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GATABLE" sheetId="1" r:id="rId5"/>
    <sheet state="visible" name="MERUKHAND" sheetId="2" r:id="rId6"/>
    <sheet state="visible" name="TETRACHORDS" sheetId="3" r:id="rId7"/>
    <sheet state="visible" name="32 THAAT" sheetId="4" r:id="rId8"/>
    <sheet state="visible" name="Kaunsis" sheetId="5" r:id="rId9"/>
    <sheet state="visible" name="CHECKS" sheetId="6" r:id="rId10"/>
  </sheets>
  <definedNames>
    <definedName hidden="1" localSheetId="0" name="_xlnm._FilterDatabase">RAGATABLE!$A$2:$LX$369</definedName>
    <definedName hidden="1" localSheetId="1" name="_xlnm._FilterDatabase">MERUKHAND!$B$2:$O$170</definedName>
    <definedName hidden="1" localSheetId="2" name="_xlnm._FilterDatabase">TETRACHORDS!$A$1:$AJ$97</definedName>
    <definedName hidden="1" localSheetId="3" name="_xlnm._FilterDatabase">'32 THAAT'!$C$2:$JP$34</definedName>
    <definedName hidden="1" localSheetId="4" name="_xlnm._FilterDatabase">Kaunsis!$A$2:$JU$65</definedName>
    <definedName hidden="1" localSheetId="5" name="_xlnm._FilterDatabase">CHECKS!$A$2:$J$323</definedName>
  </definedNames>
  <calcPr/>
</workbook>
</file>

<file path=xl/sharedStrings.xml><?xml version="1.0" encoding="utf-8"?>
<sst xmlns="http://schemas.openxmlformats.org/spreadsheetml/2006/main" count="5851" uniqueCount="1515">
  <si>
    <t>MERUKHAND</t>
  </si>
  <si>
    <t>RAGATABLE</t>
  </si>
  <si>
    <t>SWARAS</t>
  </si>
  <si>
    <t>Swara Set</t>
  </si>
  <si>
    <t>#</t>
  </si>
  <si>
    <t>STRING</t>
  </si>
  <si>
    <t>Type</t>
  </si>
  <si>
    <t>CAT</t>
  </si>
  <si>
    <t>Code</t>
  </si>
  <si>
    <t>S</t>
  </si>
  <si>
    <t>Cong.</t>
  </si>
  <si>
    <t>-</t>
  </si>
  <si>
    <t>Spc.</t>
  </si>
  <si>
    <t>Spec.</t>
  </si>
  <si>
    <t>(r)</t>
  </si>
  <si>
    <t>Gen.</t>
  </si>
  <si>
    <t>r</t>
  </si>
  <si>
    <t>R</t>
  </si>
  <si>
    <t>rR</t>
  </si>
  <si>
    <t>(g)</t>
  </si>
  <si>
    <t>g</t>
  </si>
  <si>
    <t>G</t>
  </si>
  <si>
    <t>gG</t>
  </si>
  <si>
    <t>Numeric swaras</t>
  </si>
  <si>
    <t>(m)</t>
  </si>
  <si>
    <t>m</t>
  </si>
  <si>
    <t>Diff.</t>
  </si>
  <si>
    <t>M</t>
  </si>
  <si>
    <t>mM</t>
  </si>
  <si>
    <t>P</t>
  </si>
  <si>
    <t>(p)</t>
  </si>
  <si>
    <t>d</t>
  </si>
  <si>
    <t>D</t>
  </si>
  <si>
    <t>Octaved swaras</t>
  </si>
  <si>
    <t>n</t>
  </si>
  <si>
    <t>(d)</t>
  </si>
  <si>
    <t>N</t>
  </si>
  <si>
    <t>dD</t>
  </si>
  <si>
    <t>(n)</t>
  </si>
  <si>
    <t>Swaras (full)</t>
  </si>
  <si>
    <t>nN</t>
  </si>
  <si>
    <t>Poorvang</t>
  </si>
  <si>
    <t>Uttarang</t>
  </si>
  <si>
    <t>Prv.(S)</t>
  </si>
  <si>
    <t>Utr.(S)</t>
  </si>
  <si>
    <t>Prv.(G)</t>
  </si>
  <si>
    <t>Utr.(G)</t>
  </si>
  <si>
    <t>Generic</t>
  </si>
  <si>
    <t>Chal</t>
  </si>
  <si>
    <t>Swaras (short)</t>
  </si>
  <si>
    <t>Amir Khan seq.</t>
  </si>
  <si>
    <t>Group</t>
  </si>
  <si>
    <t>Pitch Classes</t>
  </si>
  <si>
    <t>n1</t>
  </si>
  <si>
    <t>n2</t>
  </si>
  <si>
    <t>SM</t>
  </si>
  <si>
    <t>n3</t>
  </si>
  <si>
    <t>n4</t>
  </si>
  <si>
    <t>rP</t>
  </si>
  <si>
    <t>o1</t>
  </si>
  <si>
    <t>Rd</t>
  </si>
  <si>
    <t>gD</t>
  </si>
  <si>
    <t>Gn</t>
  </si>
  <si>
    <t>o2</t>
  </si>
  <si>
    <t>o3</t>
  </si>
  <si>
    <t>Pattern</t>
  </si>
  <si>
    <t>mN</t>
  </si>
  <si>
    <t>Doubled</t>
  </si>
  <si>
    <t>o4</t>
  </si>
  <si>
    <t>s1</t>
  </si>
  <si>
    <t>Trit.</t>
  </si>
  <si>
    <t>Reversed</t>
  </si>
  <si>
    <t>s2</t>
  </si>
  <si>
    <t>s3</t>
  </si>
  <si>
    <t>s4</t>
  </si>
  <si>
    <t>Frag.</t>
  </si>
  <si>
    <t>Swara Seq.</t>
  </si>
  <si>
    <t>M+Sa</t>
  </si>
  <si>
    <t>q1</t>
  </si>
  <si>
    <t>Prv.</t>
  </si>
  <si>
    <t>Mir.Loop</t>
  </si>
  <si>
    <t>q2</t>
  </si>
  <si>
    <t>q3</t>
  </si>
  <si>
    <t>q4</t>
  </si>
  <si>
    <t>R1-G1-M1</t>
  </si>
  <si>
    <t>Prakriti</t>
  </si>
  <si>
    <t>G.Mir</t>
  </si>
  <si>
    <t>M1</t>
  </si>
  <si>
    <t>G.Pal</t>
  </si>
  <si>
    <t>G.Rot</t>
  </si>
  <si>
    <t>Murchana</t>
  </si>
  <si>
    <t>Deg.</t>
  </si>
  <si>
    <t>Uniq.</t>
  </si>
  <si>
    <t>Murc.</t>
  </si>
  <si>
    <t>Set.</t>
  </si>
  <si>
    <t>Opt.</t>
  </si>
  <si>
    <t>M2</t>
  </si>
  <si>
    <t>M3</t>
  </si>
  <si>
    <t>M4</t>
  </si>
  <si>
    <t>M5</t>
  </si>
  <si>
    <t>M6</t>
  </si>
  <si>
    <t>M7</t>
  </si>
  <si>
    <t>M8</t>
  </si>
  <si>
    <t>Utt.</t>
  </si>
  <si>
    <t>M9</t>
  </si>
  <si>
    <t>M10</t>
  </si>
  <si>
    <t>M11</t>
  </si>
  <si>
    <t>P.RPT?</t>
  </si>
  <si>
    <t>Gaps</t>
  </si>
  <si>
    <t>Cohe.</t>
  </si>
  <si>
    <t>N-str</t>
  </si>
  <si>
    <t>CoCo.</t>
  </si>
  <si>
    <t>CCC.</t>
  </si>
  <si>
    <t>MUR</t>
  </si>
  <si>
    <t>Exact?</t>
  </si>
  <si>
    <t>Encl.?</t>
  </si>
  <si>
    <t>Murchana Set</t>
  </si>
  <si>
    <t>Th.#</t>
  </si>
  <si>
    <t>Kalyan</t>
  </si>
  <si>
    <t>Bilawal</t>
  </si>
  <si>
    <t>Khamaj</t>
  </si>
  <si>
    <t>Kafi</t>
  </si>
  <si>
    <t>Asavari</t>
  </si>
  <si>
    <t>Bhairavi</t>
  </si>
  <si>
    <t>Bhairav</t>
  </si>
  <si>
    <t>Marwa</t>
  </si>
  <si>
    <t>Poorvi</t>
  </si>
  <si>
    <t>Todi</t>
  </si>
  <si>
    <t>Jazz</t>
  </si>
  <si>
    <t>Carnatic</t>
  </si>
  <si>
    <t>C-Sa</t>
  </si>
  <si>
    <t>TEMP</t>
  </si>
  <si>
    <t>Swa.</t>
  </si>
  <si>
    <t>Sapta</t>
  </si>
  <si>
    <t>Poorv.</t>
  </si>
  <si>
    <t>Uttar.</t>
  </si>
  <si>
    <t>Murch.</t>
  </si>
  <si>
    <t>Hemi.</t>
  </si>
  <si>
    <t>Runs.</t>
  </si>
  <si>
    <t>T:Exa.</t>
  </si>
  <si>
    <t>T: Enc</t>
  </si>
  <si>
    <t>R1-G1-M2</t>
  </si>
  <si>
    <t>T:Ine</t>
  </si>
  <si>
    <t>C: Shuddha</t>
  </si>
  <si>
    <t>C: Komal</t>
  </si>
  <si>
    <t>Ma-tivra</t>
  </si>
  <si>
    <t>V: Re</t>
  </si>
  <si>
    <t>V: Ga</t>
  </si>
  <si>
    <t>V: Ma</t>
  </si>
  <si>
    <t>V: Pa</t>
  </si>
  <si>
    <t>V: Dha</t>
  </si>
  <si>
    <t>V: Ni</t>
  </si>
  <si>
    <t>UQ?</t>
  </si>
  <si>
    <t>Core form</t>
  </si>
  <si>
    <t>Reverse</t>
  </si>
  <si>
    <t>Inverse</t>
  </si>
  <si>
    <t>Imp.#</t>
  </si>
  <si>
    <t>Imperfects</t>
  </si>
  <si>
    <t>Det.#</t>
  </si>
  <si>
    <t>Detached</t>
  </si>
  <si>
    <t>R1-G1-M3</t>
  </si>
  <si>
    <t>Pitch classes</t>
  </si>
  <si>
    <t>Fret-jumps</t>
  </si>
  <si>
    <t>Visual</t>
  </si>
  <si>
    <t>Tanpura</t>
  </si>
  <si>
    <t>CALC</t>
  </si>
  <si>
    <t>Tan:M</t>
  </si>
  <si>
    <t>Tan:Pa</t>
  </si>
  <si>
    <t>Tan:P</t>
  </si>
  <si>
    <t>Tan:m</t>
  </si>
  <si>
    <t>R1-G2-M1</t>
  </si>
  <si>
    <t>Dots</t>
  </si>
  <si>
    <t>R1-G3-M1</t>
  </si>
  <si>
    <t>[Explanations]</t>
  </si>
  <si>
    <t>R2-G1-M1</t>
  </si>
  <si>
    <t>R3-G1-M1</t>
  </si>
  <si>
    <t>R1-G1-M4</t>
  </si>
  <si>
    <t>Aroha</t>
  </si>
  <si>
    <t>Avroh</t>
  </si>
  <si>
    <t>Aroha (")</t>
  </si>
  <si>
    <t>Avroh (")</t>
  </si>
  <si>
    <t>R1-G2-M2</t>
  </si>
  <si>
    <t>Dif.(G)</t>
  </si>
  <si>
    <t>Dif.(S)</t>
  </si>
  <si>
    <t>Equi?</t>
  </si>
  <si>
    <t>Aroha (rev.)</t>
  </si>
  <si>
    <t>Avroh (rev.)</t>
  </si>
  <si>
    <t>Aroha (-)</t>
  </si>
  <si>
    <t>Avroh (-)</t>
  </si>
  <si>
    <t>AR+AV</t>
  </si>
  <si>
    <t>Check?</t>
  </si>
  <si>
    <t>R1-G2-M3</t>
  </si>
  <si>
    <t>LEV?</t>
  </si>
  <si>
    <t>R1-G3-M2</t>
  </si>
  <si>
    <t>R1-G3-M3</t>
  </si>
  <si>
    <t>R1-G4-M1</t>
  </si>
  <si>
    <t>R2-G1-M2</t>
  </si>
  <si>
    <t>R2-G1-M3</t>
  </si>
  <si>
    <t>R2-G2-M1</t>
  </si>
  <si>
    <t>R2-G3-M1</t>
  </si>
  <si>
    <t>M12</t>
  </si>
  <si>
    <t>R3-G1-M2</t>
  </si>
  <si>
    <t>M13</t>
  </si>
  <si>
    <t>R3-G1-M3</t>
  </si>
  <si>
    <t>M14</t>
  </si>
  <si>
    <t>R3-G2-M1</t>
  </si>
  <si>
    <t>M15</t>
  </si>
  <si>
    <t>R3-G3-M1</t>
  </si>
  <si>
    <t>S-R-G-M-P-D-N-S</t>
  </si>
  <si>
    <t>M16</t>
  </si>
  <si>
    <t>R4-G1-M1</t>
  </si>
  <si>
    <t>M17</t>
  </si>
  <si>
    <t>R1-G2-M4</t>
  </si>
  <si>
    <t>M18</t>
  </si>
  <si>
    <t>R1-G3-M4</t>
  </si>
  <si>
    <t>M19</t>
  </si>
  <si>
    <t>R1-G4-M2</t>
  </si>
  <si>
    <t>Complement</t>
  </si>
  <si>
    <t>C?</t>
  </si>
  <si>
    <t>M20</t>
  </si>
  <si>
    <t>R1-G4-M3</t>
  </si>
  <si>
    <t>M21</t>
  </si>
  <si>
    <t>R2-G1-M4</t>
  </si>
  <si>
    <t>M22</t>
  </si>
  <si>
    <t>R2-G2-M2</t>
  </si>
  <si>
    <t>M23</t>
  </si>
  <si>
    <t>R2-G2-M3</t>
  </si>
  <si>
    <t>M24</t>
  </si>
  <si>
    <t>R2-G3-M2</t>
  </si>
  <si>
    <t>R2-G3-M3</t>
  </si>
  <si>
    <t>M25</t>
  </si>
  <si>
    <t>R2-G4-M1</t>
  </si>
  <si>
    <t>M26</t>
  </si>
  <si>
    <t>R3-G1-M4</t>
  </si>
  <si>
    <t>M27</t>
  </si>
  <si>
    <t>R3-G2-M2</t>
  </si>
  <si>
    <t>R3-G2-M3</t>
  </si>
  <si>
    <t>M28</t>
  </si>
  <si>
    <t>R3-G3-M2</t>
  </si>
  <si>
    <t>M29</t>
  </si>
  <si>
    <t>R3-G3-M3</t>
  </si>
  <si>
    <t>M30</t>
  </si>
  <si>
    <t>Abheri Todi</t>
  </si>
  <si>
    <t>R3-G4-M1</t>
  </si>
  <si>
    <t>M31</t>
  </si>
  <si>
    <t>S-rR-gG-m-P-d-n-S</t>
  </si>
  <si>
    <t>R4-G1-M2</t>
  </si>
  <si>
    <t>M32</t>
  </si>
  <si>
    <t>R4-G1-M3</t>
  </si>
  <si>
    <t>M33</t>
  </si>
  <si>
    <t>R4-G2-M1</t>
  </si>
  <si>
    <t>M34</t>
  </si>
  <si>
    <t>R4-G3-M1</t>
  </si>
  <si>
    <t>M35</t>
  </si>
  <si>
    <t>R1-G4-M4</t>
  </si>
  <si>
    <t>M36</t>
  </si>
  <si>
    <t>R2-G2-M4</t>
  </si>
  <si>
    <t>M37</t>
  </si>
  <si>
    <t>R2-G3-M4</t>
  </si>
  <si>
    <t>M38</t>
  </si>
  <si>
    <t>R2-G4-M2</t>
  </si>
  <si>
    <t>M39</t>
  </si>
  <si>
    <t>R2-G4-M3</t>
  </si>
  <si>
    <t>M40</t>
  </si>
  <si>
    <t>R3-G2-M4</t>
  </si>
  <si>
    <t>M41</t>
  </si>
  <si>
    <t>R3-G3-M4</t>
  </si>
  <si>
    <t>M42</t>
  </si>
  <si>
    <t>R3-G4-M2</t>
  </si>
  <si>
    <t>M43</t>
  </si>
  <si>
    <t>R3-G4-M3</t>
  </si>
  <si>
    <t>M44</t>
  </si>
  <si>
    <t>R4-G1-M4</t>
  </si>
  <si>
    <t>M45</t>
  </si>
  <si>
    <t>R4-G2-M2</t>
  </si>
  <si>
    <t>X</t>
  </si>
  <si>
    <t>M46</t>
  </si>
  <si>
    <t>R4-G2-M3</t>
  </si>
  <si>
    <t>M47</t>
  </si>
  <si>
    <t>R4-G3-M2</t>
  </si>
  <si>
    <t>M48</t>
  </si>
  <si>
    <t>R4-G3-M3</t>
  </si>
  <si>
    <t>R4-G4-M1</t>
  </si>
  <si>
    <t>M49</t>
  </si>
  <si>
    <t>R2-G4-M4</t>
  </si>
  <si>
    <t>M50</t>
  </si>
  <si>
    <t>R3-G4-M4</t>
  </si>
  <si>
    <t>M51</t>
  </si>
  <si>
    <t>S-r-G-M-P-D-N-S</t>
  </si>
  <si>
    <t>R4-G2-M4</t>
  </si>
  <si>
    <t>M52</t>
  </si>
  <si>
    <t>R4-G3-M4</t>
  </si>
  <si>
    <t>M53</t>
  </si>
  <si>
    <t>R4-G4-M2</t>
  </si>
  <si>
    <t>M54</t>
  </si>
  <si>
    <t>R4-G4-M3</t>
  </si>
  <si>
    <t>M55</t>
  </si>
  <si>
    <t>R4-G4-M4</t>
  </si>
  <si>
    <t>P1-D1-N1</t>
  </si>
  <si>
    <t>M56</t>
  </si>
  <si>
    <t>P1-D1-N2</t>
  </si>
  <si>
    <t>M57</t>
  </si>
  <si>
    <t>P1-D1-N3</t>
  </si>
  <si>
    <t>M58</t>
  </si>
  <si>
    <t>P1-D2-N1</t>
  </si>
  <si>
    <t>M59</t>
  </si>
  <si>
    <t>P1-D3-N1</t>
  </si>
  <si>
    <t>M60</t>
  </si>
  <si>
    <t>P2-D1-N1</t>
  </si>
  <si>
    <t>M61</t>
  </si>
  <si>
    <t>P1-D1-N4</t>
  </si>
  <si>
    <t>M62</t>
  </si>
  <si>
    <t>P1-D2-N2</t>
  </si>
  <si>
    <t>M63</t>
  </si>
  <si>
    <t>P1-D2-N3</t>
  </si>
  <si>
    <t>M64</t>
  </si>
  <si>
    <t>P1-D3-N2</t>
  </si>
  <si>
    <t>Latangi</t>
  </si>
  <si>
    <t>S-R-G-M-P-d-N-S</t>
  </si>
  <si>
    <t>M65</t>
  </si>
  <si>
    <t>P1-D3-N3</t>
  </si>
  <si>
    <t>M66</t>
  </si>
  <si>
    <t>P1-D4-N1</t>
  </si>
  <si>
    <t>M67</t>
  </si>
  <si>
    <t>P2-D1-N2</t>
  </si>
  <si>
    <t>M68</t>
  </si>
  <si>
    <t>P2-D1-N3</t>
  </si>
  <si>
    <t>P2-D2-N1</t>
  </si>
  <si>
    <t>M69</t>
  </si>
  <si>
    <t>P2-D3-N1</t>
  </si>
  <si>
    <t>M70</t>
  </si>
  <si>
    <t>P1-D2-N4</t>
  </si>
  <si>
    <t>M71</t>
  </si>
  <si>
    <t>P1-D3-N4</t>
  </si>
  <si>
    <t>M72</t>
  </si>
  <si>
    <t>P1-D4-N2</t>
  </si>
  <si>
    <t>P1-D4-N3</t>
  </si>
  <si>
    <t>M73</t>
  </si>
  <si>
    <t>P2-D1-N4</t>
  </si>
  <si>
    <t>S-r-G-M-P-d-N-S</t>
  </si>
  <si>
    <t>M74</t>
  </si>
  <si>
    <t>P2-D2-N2</t>
  </si>
  <si>
    <t>M75</t>
  </si>
  <si>
    <t>P2-D2-N3</t>
  </si>
  <si>
    <t>M76</t>
  </si>
  <si>
    <t>P2-D3-N2</t>
  </si>
  <si>
    <t>M77</t>
  </si>
  <si>
    <t>M78</t>
  </si>
  <si>
    <t>P2-D3-N3</t>
  </si>
  <si>
    <t>M79</t>
  </si>
  <si>
    <t>P2-D4-N1</t>
  </si>
  <si>
    <t>M80</t>
  </si>
  <si>
    <t>P1-D4-N4</t>
  </si>
  <si>
    <t>S-R-G-m-P-d-n-S</t>
  </si>
  <si>
    <t>S-n-d-P-m-Gg-Rr-S</t>
  </si>
  <si>
    <t>M81</t>
  </si>
  <si>
    <t>P2-D2-N4</t>
  </si>
  <si>
    <t>P2-D3-N4</t>
  </si>
  <si>
    <t>M82</t>
  </si>
  <si>
    <t>P2-D4-N2</t>
  </si>
  <si>
    <t>M83</t>
  </si>
  <si>
    <t>Madhuvanti</t>
  </si>
  <si>
    <t>S-R-g-M-P-D-N-S</t>
  </si>
  <si>
    <t>P2-D4-N3</t>
  </si>
  <si>
    <t>M84</t>
  </si>
  <si>
    <t>P2-D4-N4</t>
  </si>
  <si>
    <t>M85</t>
  </si>
  <si>
    <t>M86</t>
  </si>
  <si>
    <t>Abhogi</t>
  </si>
  <si>
    <t>M87</t>
  </si>
  <si>
    <t>KAUNSIS</t>
  </si>
  <si>
    <t>S-R-g-m-D-S</t>
  </si>
  <si>
    <t>M88</t>
  </si>
  <si>
    <t>M89</t>
  </si>
  <si>
    <t>M90</t>
  </si>
  <si>
    <t>M91</t>
  </si>
  <si>
    <t>Madhu Multani</t>
  </si>
  <si>
    <t>S-r-g-M-P-D-N-S</t>
  </si>
  <si>
    <t>M92</t>
  </si>
  <si>
    <t>M93</t>
  </si>
  <si>
    <t>Sgm</t>
  </si>
  <si>
    <t>SgM</t>
  </si>
  <si>
    <t>dnS</t>
  </si>
  <si>
    <t>dNS</t>
  </si>
  <si>
    <t>M94</t>
  </si>
  <si>
    <t>M95</t>
  </si>
  <si>
    <t>M96</t>
  </si>
  <si>
    <t>M97</t>
  </si>
  <si>
    <t>Simhendra M.</t>
  </si>
  <si>
    <t>S-R-g-M-P-d-N-S</t>
  </si>
  <si>
    <t>M98</t>
  </si>
  <si>
    <t>M99</t>
  </si>
  <si>
    <t>M100</t>
  </si>
  <si>
    <t>M101</t>
  </si>
  <si>
    <t>M102</t>
  </si>
  <si>
    <t>M103</t>
  </si>
  <si>
    <t>Malkauns</t>
  </si>
  <si>
    <t>S-g-m-d-n-S</t>
  </si>
  <si>
    <t>PK</t>
  </si>
  <si>
    <t>S-D-m-g-R-S</t>
  </si>
  <si>
    <t>M104</t>
  </si>
  <si>
    <t>S-r-g-M-P-d-N-S</t>
  </si>
  <si>
    <t>M105</t>
  </si>
  <si>
    <t>Adana</t>
  </si>
  <si>
    <t>M106</t>
  </si>
  <si>
    <t>S-R-g-m-P-d-n-S</t>
  </si>
  <si>
    <t>M107</t>
  </si>
  <si>
    <t>M108</t>
  </si>
  <si>
    <t>M109</t>
  </si>
  <si>
    <t>M110</t>
  </si>
  <si>
    <t>M111</t>
  </si>
  <si>
    <t>M112</t>
  </si>
  <si>
    <t>Vachaspati</t>
  </si>
  <si>
    <t>S-R-G-M-P-D-n-S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</si>
  <si>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</si>
  <si>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</si>
  <si>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</si>
  <si>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</si>
  <si>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</si>
  <si>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</si>
  <si>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</si>
  <si>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</si>
  <si>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</si>
  <si>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</si>
  <si>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</si>
  <si>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Rampriya</t>
  </si>
  <si>
    <t>S-r-G-M-P-D-n-S</t>
  </si>
  <si>
    <t>M124</t>
  </si>
  <si>
    <t>M125</t>
  </si>
  <si>
    <t>M126</t>
  </si>
  <si>
    <t>S-R-m-P-d-n-S</t>
  </si>
  <si>
    <t>S-n-d-P-m-g-R-S</t>
  </si>
  <si>
    <t>M127</t>
  </si>
  <si>
    <t>Adarangi Todi</t>
  </si>
  <si>
    <t>M128</t>
  </si>
  <si>
    <t>S-r-g-mM-P-d-nN-S</t>
  </si>
  <si>
    <t>M129</t>
  </si>
  <si>
    <t>Rishabhapriya</t>
  </si>
  <si>
    <t>S-R-G-M-P-d-n-S</t>
  </si>
  <si>
    <t>M130</t>
  </si>
  <si>
    <t>M131</t>
  </si>
  <si>
    <t>M132</t>
  </si>
  <si>
    <t>M133</t>
  </si>
  <si>
    <t>M134</t>
  </si>
  <si>
    <t>Chandrakauns</t>
  </si>
  <si>
    <t>S-g-m-d-N-S</t>
  </si>
  <si>
    <t>M135</t>
  </si>
  <si>
    <t>M136</t>
  </si>
  <si>
    <t>M137</t>
  </si>
  <si>
    <t>M138</t>
  </si>
  <si>
    <t>Namanarayani</t>
  </si>
  <si>
    <t>S-r-G-M-P-d-n-S</t>
  </si>
  <si>
    <t>??</t>
  </si>
  <si>
    <t>M139</t>
  </si>
  <si>
    <t>M140</t>
  </si>
  <si>
    <t>M141</t>
  </si>
  <si>
    <t>M142</t>
  </si>
  <si>
    <t>M143</t>
  </si>
  <si>
    <t>M144</t>
  </si>
  <si>
    <t>M145</t>
  </si>
  <si>
    <t>M146</t>
  </si>
  <si>
    <t>Hemavati</t>
  </si>
  <si>
    <t>S-R-g-M-P-D-n-S</t>
  </si>
  <si>
    <t>M147</t>
  </si>
  <si>
    <t>M148</t>
  </si>
  <si>
    <t>M149</t>
  </si>
  <si>
    <t>Adbhut Kalyan</t>
  </si>
  <si>
    <t>S-R-G-D-N-S</t>
  </si>
  <si>
    <t>M150</t>
  </si>
  <si>
    <t>M151</t>
  </si>
  <si>
    <t>Jogkauns</t>
  </si>
  <si>
    <t>S-gG-m-P-d-N-S</t>
  </si>
  <si>
    <t>M152</t>
  </si>
  <si>
    <t>M153</t>
  </si>
  <si>
    <t>M154</t>
  </si>
  <si>
    <t>Chandni Todi</t>
  </si>
  <si>
    <t>S-r-g-M-P-D-n-S</t>
  </si>
  <si>
    <t>M155</t>
  </si>
  <si>
    <t>M156</t>
  </si>
  <si>
    <t>M157</t>
  </si>
  <si>
    <t>M158</t>
  </si>
  <si>
    <t>M159</t>
  </si>
  <si>
    <t>M160</t>
  </si>
  <si>
    <t>M161</t>
  </si>
  <si>
    <t>M162</t>
  </si>
  <si>
    <t>Shanmukhpriya</t>
  </si>
  <si>
    <t>S-R-g-M-P-d-n-S</t>
  </si>
  <si>
    <t>M163</t>
  </si>
  <si>
    <t>Nandkauns</t>
  </si>
  <si>
    <t>S-gG-m-P-d-n-S</t>
  </si>
  <si>
    <t>M164</t>
  </si>
  <si>
    <t>M165</t>
  </si>
  <si>
    <t>S-N-D-G-R-S</t>
  </si>
  <si>
    <t>M166</t>
  </si>
  <si>
    <t>Adi Basant</t>
  </si>
  <si>
    <t>M167</t>
  </si>
  <si>
    <t>S-rR-G-m-P-D-N-S</t>
  </si>
  <si>
    <t>M168</t>
  </si>
  <si>
    <t>Komal Ramkali</t>
  </si>
  <si>
    <t>S-r-g-M-P-d-n-S</t>
  </si>
  <si>
    <t>RAGA</t>
  </si>
  <si>
    <t>SWARA SET</t>
  </si>
  <si>
    <t>MELODIES</t>
  </si>
  <si>
    <t>Match?</t>
  </si>
  <si>
    <t>NOTE</t>
  </si>
  <si>
    <t>S.Char</t>
  </si>
  <si>
    <t>M.Char</t>
  </si>
  <si>
    <t>S.All</t>
  </si>
  <si>
    <t>L</t>
  </si>
  <si>
    <t>M.All</t>
  </si>
  <si>
    <t>(n)S (nSn)S (m)Rm, mP P(PmPnP)mg (m)R, (dP)d (n)dP P, (S)Pm (Pm)P, mP(nP) (nP)m\g, g(RSR)S (SnSgRgRSnS), S(nS)RG mm, (Pm)P, P(mPDPD) n(DnP) dPm Pmg, RSRm(P), (P)m (P)mPDnSnS nD(nD)Pm (mD)P, n(dn)P, dPmP, RgmP(nP)m\g (RS)RS, S RG(mG)m, m(nP) (m)G (RS)RS, R S(nS)S, RGm…</t>
  </si>
  <si>
    <t>Dha-kan</t>
  </si>
  <si>
    <t>mgRS\D, mgmDS, gRgmD, S\D S\m S\D, S(\D)S, S SS; S\D S/R m\g…</t>
  </si>
  <si>
    <t>—</t>
  </si>
  <si>
    <t>Sn\dn, PmP, ggmP, gmRS, nS(m\)R, mP(S\)n, ngR, SgR, nSPnmP, Sn\dn, P…</t>
  </si>
  <si>
    <t>r gP(M)d, d, d, n\d d\P, P, P, Md/n n, n\d d\M, M\g, rgrS, r/Mg g, (N)S S, r gP(M)d, d, d…</t>
  </si>
  <si>
    <t>GDGR, SNDG, G(S)DSR, S(D) S(N)R S, GD DDG…</t>
  </si>
  <si>
    <t>(SN)D(ND), (N)D, D(SNr)S, S(NS), NS(NrS), N(D), DS(N), DS(N)G r, r, S, D(NS), N(S), S(DN), (G)m, (G)m, (G)m, r, S…</t>
  </si>
  <si>
    <t>Ahir Bhairav</t>
  </si>
  <si>
    <t>S-r-G-m-P-D-n-S</t>
  </si>
  <si>
    <t>Ahir Lalit</t>
  </si>
  <si>
    <t>S-r-G-mM-D-n-S</t>
  </si>
  <si>
    <t>D D D, MMD, nnS(rS), r, r(/GMG), G\r, S, rGm/M M\G, rS, n SS, Dn(Dn), D D D…</t>
  </si>
  <si>
    <t>Ahiri</t>
  </si>
  <si>
    <t>S-r-g-m-P-D-n-S</t>
  </si>
  <si>
    <t>(g)mPDnD mP, g\r gmg; m, g, r, (Sn)DnSr…</t>
  </si>
  <si>
    <t>Ahiri Todi</t>
  </si>
  <si>
    <t>S-R-g-m-P-D-nN-S</t>
  </si>
  <si>
    <t>(S)g\nS SS, m\g(m)g R(S)RS Sg, S, S(N)S, SS SSS, m\g(m)g, gg (RS)R, Sg (RS)R, Sg, (g)R RS, g\nS SSS, SSS, S(n) S(n)S, gm…</t>
  </si>
  <si>
    <t>Alhaiya Bilawal</t>
  </si>
  <si>
    <t>S-R-G-m-P-D-nN-S</t>
  </si>
  <si>
    <t>(S)n\D, D(nDPGP), PmG…</t>
  </si>
  <si>
    <t>Ambika Sarang</t>
  </si>
  <si>
    <t>S-R-mM-P-D-nN-S</t>
  </si>
  <si>
    <t>DDPM, S\n(Sn) DDP(M)P, (P)M\R, P(M)P, DDPM, S\n…</t>
  </si>
  <si>
    <t>Amiri Todi</t>
  </si>
  <si>
    <t>S-rR-g-m-P-dD-n-S</t>
  </si>
  <si>
    <t>SgmD mgmD; mnmP, DnD / rgPdS; Srnd, Pdndmg, rgrS…</t>
  </si>
  <si>
    <t>Amirkhani Kauns</t>
  </si>
  <si>
    <t>S-G-M-P-n-S</t>
  </si>
  <si>
    <t>(S)G, MPM\G(Sn)S, (S)P (P)n S, S(nS), (S)G, MPM\G(Sn)S, (S)P (PS)n S…</t>
  </si>
  <si>
    <t>Amrut Ranjani</t>
  </si>
  <si>
    <t>S-gG-m-dD-n-S</t>
  </si>
  <si>
    <t>GmnD, (m)dmGm gSnS GmnD, (m)dmGm gSnS GmnD…</t>
  </si>
  <si>
    <t>Anand Bhairav</t>
  </si>
  <si>
    <t>S-r-G-m-P-D-nN-S</t>
  </si>
  <si>
    <t>(S)D S\D D\P, GGmP(mGm) (G)rS S…</t>
  </si>
  <si>
    <t>Anjani Kalyan</t>
  </si>
  <si>
    <t>Kaunsi Kanada</t>
  </si>
  <si>
    <t>(DM)PMgM PD S(NS)DP, P(DN) D(PM)P, PMgP, PD S(NDNS)DP, P(DPDNSND), (P)MgR/gS S(RN), NNS, DNSRgM P(DP), (DP)MgR/gS S(RN), NNS, DNSRgM P(DP), (M)gMPDN, S(RSgR) (R)S N(SDNP), N(DPMD)PMg, PMgM PDN/S(ND)…</t>
  </si>
  <si>
    <t>Annapurna</t>
  </si>
  <si>
    <t>P/S S(NSNS), (S)NSr, PS(N)Sr\N N(Sr), PrNd P, P(M) P(M)PN(d), PS(NSd)P, PS S(NS), SNSgr(gr)Sr(S), Sr Srgr(S)N Nrg(rN), PrN PrNd P…</t>
  </si>
  <si>
    <t>Antardhwani</t>
  </si>
  <si>
    <t>S-r-g-m-d-N-S</t>
  </si>
  <si>
    <t>S-R-G-m-P-D-N-S</t>
  </si>
  <si>
    <t>Arun Malhar</t>
  </si>
  <si>
    <t>G/NPGm G RS, (N)SRG(R)Gm, GRGm, GGR(GR) R/P, P/NPGm G RS…</t>
  </si>
  <si>
    <t>Asa Bhairav</t>
  </si>
  <si>
    <t>(m)RmP DS, S(NS)D, mG(mG) (S)rS, (m)RmP DS…</t>
  </si>
  <si>
    <t>S-rR-g-m-P-d-n-S</t>
  </si>
  <si>
    <t>Bageshri</t>
  </si>
  <si>
    <t>S-R-g-m-P-D-n-S</t>
  </si>
  <si>
    <t>Bageshri Bahar</t>
  </si>
  <si>
    <t>Sn(S)D (S)Dm, nSS, Dn(D)S, nD(Pm) m(D) (nD)S; S(nSnS)R R(S) S(nDn) D, (n)S n\P P(DP)m\g, g(m) mP(Pm)P…</t>
  </si>
  <si>
    <t>Bahaduri Todi</t>
  </si>
  <si>
    <t>R, nS Rg(gRgm), m m, m\gP Pmgg, g\r(g)SS, SR/g\rr, r r(g)SS, (S)r nS, S(r)SR(g)rr, S\n\d(nd), n(dnd), d mm, m\gP, m(d) P(nd)d, d(P)P, mP, mPm(g)g, gm mP, Rg SR, nSRg (gRg)m m\gP…</t>
  </si>
  <si>
    <t>Bahar</t>
  </si>
  <si>
    <t>(mPDSN)S (N)S, nP (PmP)m P, m\g m, (mP)n, SNS, nP…</t>
  </si>
  <si>
    <t>Bairagi</t>
  </si>
  <si>
    <t>S-r-m-P-n-S</t>
  </si>
  <si>
    <t>P/n\P, n S r, r/m g/m, (m)rS, P/n\P, n(Sn) S r…</t>
  </si>
  <si>
    <t>ga-kan</t>
  </si>
  <si>
    <t>Bairagi Todi</t>
  </si>
  <si>
    <t>S-r-g-P-n-S</t>
  </si>
  <si>
    <t>PnSr, r g, g r, g r, S r, n PnSr, r r(g)…</t>
  </si>
  <si>
    <t>Bangal Bhairav</t>
  </si>
  <si>
    <t>S-r-G-m-P-d-S</t>
  </si>
  <si>
    <t>G(PmP) m(Gm) G\r, GmP (n)d, d/S (n)d (d)P, G(mGm)P, G(PmP) m(Gm) G\r, GmP (n)d, d/S…</t>
  </si>
  <si>
    <t>ni-kan</t>
  </si>
  <si>
    <t>Baradi</t>
  </si>
  <si>
    <t>P P(DPMP) S, S(P) P(SPrS)G r, r\S S; (Nr)S\D D\P P\G G(SGMPM)P…</t>
  </si>
  <si>
    <t>Barwa</t>
  </si>
  <si>
    <t>P(m)P, m\g(mg), m\R (R)g\S, (D)mR (mg)gRS, (PNS)R\n(SnD), NN NS, (PNSRm)g (mgm)g\R, R(Pm)P, m\g…</t>
  </si>
  <si>
    <t>Basant</t>
  </si>
  <si>
    <t>Pd S(rSNS), N\d P(dPMP), MG M(PMGM), dN S(rSNS), Pd S(rSNS)…</t>
  </si>
  <si>
    <t>Basant Mukhari</t>
  </si>
  <si>
    <t>S-r-G-m-P-d-n-S</t>
  </si>
  <si>
    <t>Basanti Kanada</t>
  </si>
  <si>
    <t>S-r-G-mM-P-D-nN-S</t>
  </si>
  <si>
    <t>D m G, G GM(d)M\G, (M)G rS, (S)G rS, S(NR)S, Sm, m m\G, P m\G, G(m)D DP, DPDND, PDnDP…</t>
  </si>
  <si>
    <t>Re/dha-kan</t>
  </si>
  <si>
    <t>S-r-G-m-P-d-N-S</t>
  </si>
  <si>
    <t>Bhairav Bahar</t>
  </si>
  <si>
    <t>S-rR-gG-m-P-D-nN-S</t>
  </si>
  <si>
    <t>mG m/nD, D(nSN)S, nD(n)P, mg(mP)m G\r S, mG m/nD, D(nSN)S…</t>
  </si>
  <si>
    <t>S-r-g-m-P-d-n-S</t>
  </si>
  <si>
    <t>Bhankari</t>
  </si>
  <si>
    <t>S-r-G-mM-P-D-N-S</t>
  </si>
  <si>
    <t>PGGP P, P(DNDPMP) GrS, PGGP, P…</t>
  </si>
  <si>
    <t>Bhatiyar</t>
  </si>
  <si>
    <t>N(SNR) N(SNS) N(SND), DNrG/mG(rm) Gm(G)r, SS, NN r, S; S/m, m, m…mPD N(SNSNS) D(NDNDN) P…</t>
  </si>
  <si>
    <t>Re-kan</t>
  </si>
  <si>
    <t>Bhatiyari Bhairav</t>
  </si>
  <si>
    <t>S-r-G-m-P-D-N-S</t>
  </si>
  <si>
    <t>GmPD, N(S)D D(Pm)P m(PDP), P(GP)GmGr S…</t>
  </si>
  <si>
    <t>Bhavani</t>
  </si>
  <si>
    <t>S-R-m-D-S</t>
  </si>
  <si>
    <t>SRSDm, RSR m, R mDDm, DSSD…</t>
  </si>
  <si>
    <t>Bhavmat Bhairav</t>
  </si>
  <si>
    <t>S-r-gG-m-P-d-nN-S</t>
  </si>
  <si>
    <t>PN S/G(r) r(S)S, S(NrSN)S, S(NS)N (Nd)P, NS(r) S(NS)N, S(Nd), NS/G(r) r(S)S, (N)S S, N(SR), SR(SN)SN\dP P, NS(RSN)S (GS)G r(S)S, (N)S…</t>
  </si>
  <si>
    <t>Bheem</t>
  </si>
  <si>
    <t>S-R-gG-m-P-D-n-S</t>
  </si>
  <si>
    <t>D PmP, P/S, S\n (S)n, S(nP) D(PD), D PmP, P/S…</t>
  </si>
  <si>
    <t>Bhimpalasi</t>
  </si>
  <si>
    <t>Bhinna Shadja</t>
  </si>
  <si>
    <t>S-G-m-D-N-S</t>
  </si>
  <si>
    <t>m, mG, N/G m/D(ND)G, G(R)Gm, (SG)m, G(m), G(RS), N/G G/m m/D(NSN), NN DG(m), m, mG…</t>
  </si>
  <si>
    <t>Bhupali</t>
  </si>
  <si>
    <t>S-R-G-P-D-S</t>
  </si>
  <si>
    <t>Bhupali Todi</t>
  </si>
  <si>
    <t>S-r-g-P-d-S</t>
  </si>
  <si>
    <t>grS, dS, PdSrgrS, grS, dS…</t>
  </si>
  <si>
    <t>Bibhas</t>
  </si>
  <si>
    <t>S-r-G-P-d-S</t>
  </si>
  <si>
    <t>S (S)G (G)P (P)D, D D\P G\r S; S/r\S, S\D/S(r)S…</t>
  </si>
  <si>
    <t>Variant</t>
  </si>
  <si>
    <t>Bihad Bhairav</t>
  </si>
  <si>
    <t>S-r-gG-m-P-D-nN-S</t>
  </si>
  <si>
    <t>P(nDnDND)S, D(PmP)mm, (m)PmG G\r, SG, mD D(PmP)mm, (G)PmG G\rS…</t>
  </si>
  <si>
    <t>**Dha?</t>
  </si>
  <si>
    <t>Bihag</t>
  </si>
  <si>
    <t>S-R-G-mM-P-D-N-S</t>
  </si>
  <si>
    <t>Bihagara</t>
  </si>
  <si>
    <t>SGm P/N N(RSNS) N DP, P(mP)G; SGm P/N N(RSNS) N DP, P(mP) G(mP)G; SGm P/N N(RSNS) N DP…</t>
  </si>
  <si>
    <t>S-N-D-Mm-G-R-r-S</t>
  </si>
  <si>
    <t>Bihagda</t>
  </si>
  <si>
    <t>(PmP)Gm P\G, G(mG)m, Gm(G)m/n D(nD)P, DP(P)DPm, mPGG, (SR)N (N)S, (GPGDP) P(GP)S…</t>
  </si>
  <si>
    <t>Bihari</t>
  </si>
  <si>
    <t>(N)S, S(m)R (P)m (D)PD, Pm m(PmP) D(nDP)mG, G(RSR)S, S, S\P, P(NS) S(N)R S, SS(m)R (P)m (D)PD (nD)Pm…</t>
  </si>
  <si>
    <t>Bilaskhani Todi</t>
  </si>
  <si>
    <t>(S)G, G, G(mGmG) RGR(SNSNDNRG), (R)G RS, (PN)SRGP(DPm)G, GmG(RmGRSNSRG)m G(RS), NRS…</t>
  </si>
  <si>
    <t>Champak</t>
  </si>
  <si>
    <t>PmGS Rm, m(Gm)PD m(Gm)G, PmGS Rm, m(P)G (R)S, S(nDnDP)S, SRG(RS), SRG RGm m(PmP)G(R), PmGS Rm…</t>
  </si>
  <si>
    <t>Chandni Bihag</t>
  </si>
  <si>
    <t>S-G-mM-P-D-nN-S</t>
  </si>
  <si>
    <t>GmP, NSN(DPMP) P(MP) m(Gm)G, G(R)S SN(P), NNSSS, G(mPD)G (G)P, G(RS)S, SSG m, PDD(SD)n D (P)mPNS, N(DP), S…</t>
  </si>
  <si>
    <t>Chandni Kedar</t>
  </si>
  <si>
    <t>S-R-G-mM-P-D-nN-S</t>
  </si>
  <si>
    <t>M(P)M DDP, m(G)m m, M(P)M P(M)P, (S)D D/RS(N)S (D)NDP, M(P)M DDP…</t>
  </si>
  <si>
    <t>m\g d\m N\d NS, Sg\SS N\d Ndm…</t>
  </si>
  <si>
    <t>Chandrakaushiki</t>
  </si>
  <si>
    <t>S-R-g-m-P-d-nN-S</t>
  </si>
  <si>
    <t>ddP, ddm, Snd, S S, N(SN)S, mmg(mg), m/d, d/NS(NS)n\d, Pg ddP, ddP, ddm, Snd…</t>
  </si>
  <si>
    <t>**Pa?</t>
  </si>
  <si>
    <t>Chandramadhu</t>
  </si>
  <si>
    <t>S-g-M-P-n-S</t>
  </si>
  <si>
    <t>PS(nSP)nP (n)S, g(gSnS)gMP, PgMPn P, PMP(nPSnSnPMP…), (P)n SgS…</t>
  </si>
  <si>
    <t>Chandranandan</t>
  </si>
  <si>
    <t>Charukeshi</t>
  </si>
  <si>
    <t>Chaya Malhar</t>
  </si>
  <si>
    <t>GRG R, GmG S, G\R, S SR, GmG(RS)R, N N\P, (P)NS, (NS)R, Gm(GR)G, RSR, S, S(NRS), R, Gm(GR)G…</t>
  </si>
  <si>
    <t>Chayanat</t>
  </si>
  <si>
    <t>(D)S, S(DnP) P, (M)P, RGm(D)P (G)m, G/P(G)GG, G(mG)R S; P P/S, G\RRG, GmP(nDn)P (M)P, P\R G(mPGm) RS…</t>
  </si>
  <si>
    <t>CHROMATIC</t>
  </si>
  <si>
    <t>S-rR-gG-mM-P-dD-nN-S</t>
  </si>
  <si>
    <t>Dagori</t>
  </si>
  <si>
    <t>(S)m P, P/N(SN)S, DPm, m\R, (S)m\R, S(GR)N, (S)mPNS, DPm, m\R, RN, S…</t>
  </si>
  <si>
    <t>Dakshinatya Basant</t>
  </si>
  <si>
    <t>Pancham Malkauns</t>
  </si>
  <si>
    <t>(D)S N(D)D N(S)D, m(Gm) G(r) r(Sr)SS…</t>
  </si>
  <si>
    <t>S-g-m-P-d-n-S</t>
  </si>
  <si>
    <t>Darbari</t>
  </si>
  <si>
    <t>Darjeeling</t>
  </si>
  <si>
    <t>grS(nSn) nS, r(g) r(gS), grn(dnd) dS, (r)m g(rgrS); SmmP m(gmg)mP P(dPdPmg), SmmP(dP) P(dP)nd Pmg(mnP) mg(mg) g, RgRg(mgRg) rS, gg rgrSrSnSndndP…</t>
  </si>
  <si>
    <t>Deen Todi</t>
  </si>
  <si>
    <t>S-r-g-m-D-n-S</t>
  </si>
  <si>
    <t>Sr, gmnD, DnD, DmgrSr, gmnD…</t>
  </si>
  <si>
    <t>Deepak</t>
  </si>
  <si>
    <t>PdP, S/rS, (P)GPG, (G)r, S, P (P)SS, SS rr, S, G r S, r S; P(d)P, (P)GPG, (G)r, S…</t>
  </si>
  <si>
    <t>Des Malhar</t>
  </si>
  <si>
    <t>(mRm)SRmPn P/S, n(D) D(P) P(DP) m(Gm) GR, (mRm)SRmPn P/S; (P)NN(SN), S(NSN), N(SRS) nDP…</t>
  </si>
  <si>
    <t>Desh</t>
  </si>
  <si>
    <t>Deshkar</t>
  </si>
  <si>
    <t>S/SD, D(SDPD) P(PDPD)PP\G, G(PGP)D, P(GPG) G(R)S, S/SD…</t>
  </si>
  <si>
    <t>Desi</t>
  </si>
  <si>
    <t>R(SRSnS)R, (m)RP (gRg)Rg R(SR)S, (RS)R (g)S\n S(n)SS, RPmP(mP), D(n)PmP (P)mP, (m)Rg (RS)R S(n)S; mm(nP), mP(Sn)S\nP P(m)P, D(n)mP (m)Rg (RS)R S(n)S, RP (gRg)Rg R(SR)S, (RS)R…</t>
  </si>
  <si>
    <t>Dev Gandhar</t>
  </si>
  <si>
    <t>S-R-gG-m-P-d-n-S</t>
  </si>
  <si>
    <t>PDS, R S(RGm) GmG; G(R)mGRS, S(DS)S R(SR)P(m) G(R)S; P(SR)mg RS, R S(DS)D; PDS, R S(RGm) GmG…</t>
  </si>
  <si>
    <t>Devata Bhairav</t>
  </si>
  <si>
    <t>S-r-gG-m-P-d-N-S</t>
  </si>
  <si>
    <t>P(mP)m, m(G), SmG(mG) Pm(Pm)g\r S, SNrS/mg, r(S), SrGm, (S)Pd, NS, S(NrS), S(NrS) ndP, P(nd), Pm, (G)m, m(GPm)m\g, r, S…</t>
  </si>
  <si>
    <t>Devgandhari Todi</t>
  </si>
  <si>
    <t>SR S(nS)RP, m\g g\r(S) S, R(N)S RG m(Gm), (GmG)n\d (ndn)P P, (PnPn)PmP m\g(mg) g\r S, n\PP n/S; PDNS (S)Pm mP, SRG m, (mGm)P m\g(mg) (rg)r\S, SR(gR) (Sn)SRP m\g, g\r(gr)S…</t>
  </si>
  <si>
    <t>Dha/Ni-kan</t>
  </si>
  <si>
    <t>Devgiri Bilawal</t>
  </si>
  <si>
    <t>(N)DP, (GR)G R, (SNR)SNS (S)NS, SRG (R)G, G(Pm)G mGR, (Gm)GR mGP (MPM), (PM)PG, GmnD(n)P (M)P (MPM)P, P(mP)D P(m)G mGR, GR, RGm(G)P, Gm PG, GR, S(NR)S N(DN)S…</t>
  </si>
  <si>
    <t>Ma-kan</t>
  </si>
  <si>
    <t>Nat Bhairav</t>
  </si>
  <si>
    <t>S-R-G-m-P-d-N-S</t>
  </si>
  <si>
    <t>Devranjani</t>
  </si>
  <si>
    <t>S-m-P-d-N-S</t>
  </si>
  <si>
    <t>N\d N S, (N)SSm, Pm(PmPm)S, (N)Sm, (S)Pm (Pmd), N(dNdNd) S…</t>
  </si>
  <si>
    <t>Devshri</t>
  </si>
  <si>
    <t>S-R-M-P-n-S</t>
  </si>
  <si>
    <t>MRSR, MPMMP, (SR)MPS\nP, S\n/SS, SnP, MPMRS, MRSR…</t>
  </si>
  <si>
    <t>Dhanashree</t>
  </si>
  <si>
    <t>SS(n) n(D)D, D(n)m, (Pmn)P (m)g, (mgm)R RRn S(mgPmnPSnS); SS(n) n(D)D, D(nDn)m, m(PmPn)P, S(nSnDn), n(DnP)P…</t>
  </si>
  <si>
    <t>Dhani</t>
  </si>
  <si>
    <t>S-g-m-P-n-S</t>
  </si>
  <si>
    <t>SnPnSg, gmPm gSnP SgSn Sg…</t>
  </si>
  <si>
    <t>Dhavalshree</t>
  </si>
  <si>
    <t>S-r-G-M-P-dD-N-S</t>
  </si>
  <si>
    <t>G(DM), (MP)MG GG(P)r/G G/P(MPS), (N)SGG\r (S)GMPDP(MP); (N)SGG\r, (S)GMP(MP) P(MPM), M(DM) M(P) G(MP)r/G(r)S; (N)SGG…</t>
  </si>
  <si>
    <t>Din ki Puriya</t>
  </si>
  <si>
    <t>S-r-G-M-d-N-S</t>
  </si>
  <si>
    <t>SS SS(NS) d d(MGMdM), M(G)G (S)rS S; SS SS(NSd) d d(MGMdM), (dMG)M (M)G (G)rS; SS SS(NSd) d…</t>
  </si>
  <si>
    <t>Durga</t>
  </si>
  <si>
    <t>S-R-m-P-D-S</t>
  </si>
  <si>
    <t>Durgawati</t>
  </si>
  <si>
    <t>S-R-m-P-D-n-S</t>
  </si>
  <si>
    <t>D(nDP) mPD, S, nDPm R(n)S, D(nDP) mPD, S…</t>
  </si>
  <si>
    <t>Ek Prakar ki Kauns</t>
  </si>
  <si>
    <t>S-gG-m-d-nN-S</t>
  </si>
  <si>
    <t>GGm, g(m)S, S(NSNS) (n)dm, n(dnd), (S)n S(nSn) S, SS, (m)g mm n(d), gmdn(S) n(d), m(g) g(m)S, mGgGm, gS, S(NS), (n)dm, n(dnd), (S)n S(nSn) S…</t>
  </si>
  <si>
    <t>Enayetkhani Kanada</t>
  </si>
  <si>
    <t>S-R-gG-m-P-d-nN-S</t>
  </si>
  <si>
    <t>SR (m)g/m R, n(RnSn) n\d n\d, P, mPn\d, NNS, R(SR) G, (m)g/m R(S), SR (m)g/m RS, R\d(nd) n\d n\d…</t>
  </si>
  <si>
    <t>Gagan Vihang</t>
  </si>
  <si>
    <t>GSRPm(G) m, m(GmG)P\G, GmG\R(S)G(RS), S(RSN), NSG, mG/P(SDPDPmGmP), PNS G\RS(N), NS(DP), PP(DP)D P(mPmG), G(RGmG)R\S S, GmP(SNSNDN), GSRPm(G) m…</t>
  </si>
  <si>
    <t>Gandhari</t>
  </si>
  <si>
    <t>P(d)P/S SS\d PP(d) m(G)m P mP; P(d)P/S SS\d PP(d) m(G)m P(d) mP; P(d)P/S SS\d PP(d) m(G)m P(mRmR) mP(mP)dP…</t>
  </si>
  <si>
    <t>Ga-kan</t>
  </si>
  <si>
    <t>Gangeshwari</t>
  </si>
  <si>
    <t>S-G-m-P-d-n-S</t>
  </si>
  <si>
    <t>S(G)m, m m, m(G)S, (S)nS d/n n\d, dnSG, GmPm, mGS, (S)nS d/n…</t>
  </si>
  <si>
    <t>Gaoti</t>
  </si>
  <si>
    <t>S-R-G-m-P-D-n-S</t>
  </si>
  <si>
    <t>n(SnSn…) DPD; nnmPnS GGSnSG, m(g)SnS, G, m(g)SnS, GmPn S(n)S(n)S(n)S…</t>
  </si>
  <si>
    <t>Gara</t>
  </si>
  <si>
    <t>S-R-gG-m-P-D-nN-S</t>
  </si>
  <si>
    <t>(SNS)N S(mR) R(mgmgRgRS), (RS)R SS(RS), (nDP)DP (PD)PD N(SN), N(SN), S, (NSR)S (nD)n, R, RR, Rg(Rmg) (R)SS, N(SmRmg), g(RgR), (RSNS)N N(SN), S(mR), R(gRmgRg), (RS)R S(RS), (nD)nD (DPD)PD N(SN), (nD)PDNS NS…</t>
  </si>
  <si>
    <t>Gaud Malhar</t>
  </si>
  <si>
    <t>mP P(DPDPmPDSNS), (SDP)mR m, (m)RS, R(N)S…</t>
  </si>
  <si>
    <t>Gaud Sarang</t>
  </si>
  <si>
    <t>(RSPMD)P(MP) P(MPMD) P(MP)m G, S(NSN)G (m)G (m)GRG (mGRGR)m G(mG), P(mGPG)P (M)P…</t>
  </si>
  <si>
    <t>Gaudgiri Malhar</t>
  </si>
  <si>
    <t>S-R-g-m-P-n-S</t>
  </si>
  <si>
    <t>m(R)R (S)n n(m), mmm P (PmP) m\g(mgm); m(RSnS)R R(S)n n(m), mmm P (PnP) m\g(mgm); RRR(Sn) n(m), mmm P…</t>
  </si>
  <si>
    <t>Gauri</t>
  </si>
  <si>
    <t>SG(mG)rP GrS(S), S(N)S; N S(NSd)NS PGrS, S(N)S; SGmP, Gr/G, m (G)rS, dNS, GrS…</t>
  </si>
  <si>
    <t>Gauri Basant</t>
  </si>
  <si>
    <t>PP(GP) Gr, G rS, PP(GP) Gr, G; PP(GP) Gr, G; GP(d) (d)P P(MPG)…</t>
  </si>
  <si>
    <t>Gaurimanjari</t>
  </si>
  <si>
    <t>S-rR-G-mM-P-d-nN-S</t>
  </si>
  <si>
    <t>n(d) d(P) P, P(MP) P\M G, P(M) d(P) P, P, P, (M)P P(M) G, GG d(M)M G, G, rS…</t>
  </si>
  <si>
    <t>Gopika Basant</t>
  </si>
  <si>
    <t>(gm)P, P(mg)g, gmg\S, SgmP(m)d, d(m)m, (gm)P, P(mg)g, g(P)mg\S…</t>
  </si>
  <si>
    <t>Gorakh Kalyan</t>
  </si>
  <si>
    <t>Gujiri Todi</t>
  </si>
  <si>
    <t>S-r-g-M-d-N-S</t>
  </si>
  <si>
    <t>(d)Srg/d Mg(rg)r, g r S(NS), (d)Srg/d…</t>
  </si>
  <si>
    <t>Gunakri</t>
  </si>
  <si>
    <t>S-r-m-P-d-S</t>
  </si>
  <si>
    <t>P(d)mPdP, m m, (g)r r, S S, P; (m)P mm, g\r, n\d(nd) d/S, SS…</t>
  </si>
  <si>
    <t>ga/ni-kan</t>
  </si>
  <si>
    <t>Gunji Kanada</t>
  </si>
  <si>
    <t>R(Sn) S(nS) R(SR) G(RG), RGm(G) m(G), m(GmP)m\g (mgmgR)R, S(Rgm) RSR S(nS), (mgRSndnSn)SnS n\d dnP, P(dSn)S ndnS, dnSR…</t>
  </si>
  <si>
    <t>Gunkali</t>
  </si>
  <si>
    <t>d P m, (P)m\r, rS(rS) PP, (S)dd P(d)P m(P)m\r(m)r S, Pm r(m)r S(r)S d(S)dS, rrS S(PmP)m m\rr rS S\dd rS (S)PmmP, dPdmPdd, Pdd, Pdd P m…</t>
  </si>
  <si>
    <t>Hameer</t>
  </si>
  <si>
    <t>(P)MPD, (P)MPG, RRGm N\D, (N)D, P, (P)MP P(SNS), N(SNS)D P(MP), P(G)R R(GmDPMP), (P)G/mR S, (P)MPD, (P)MPG, RRGm N\D…</t>
  </si>
  <si>
    <t>Hansa Narayani</t>
  </si>
  <si>
    <t>S-r-G-M-P-N-S</t>
  </si>
  <si>
    <t>(S)P MGM(PM) GrS; SP, PSS(NS)rS (Sr)GrS…</t>
  </si>
  <si>
    <t>Hansadhwani</t>
  </si>
  <si>
    <t>S-R-G-P-N-S</t>
  </si>
  <si>
    <t>(N)P/SN(SN), P/S(NSPGSNRSN), (NP)SN(SN)S, (N)S S(NPGPNRS), N(PSN)GR, NRSNPG, PGPS NRS, PS, PG, S…</t>
  </si>
  <si>
    <t>Hanskinkini</t>
  </si>
  <si>
    <t>PPnn D(n)PP, SGmP, (m)g RR(S)nS…</t>
  </si>
  <si>
    <t>Harikauns</t>
  </si>
  <si>
    <t>S-g-M-D-n-S</t>
  </si>
  <si>
    <t>MMgS (D)nD nD, MDnSg\S, MMgS (D)nD nD, (S)ngMDnD…</t>
  </si>
  <si>
    <t>Hem Bihag</t>
  </si>
  <si>
    <t>GmP(N) N N, N N\D D(P) (G)m m, (m)P (m)P m(PDPm), m(GmG) G, (DmP)N N, NSN N(PN) (PS)S, (N)S S, (NR)S S, (NR)S S(NS)N N, NS/GG, G(m)m P\G G, GmG\R RS, S(NS) G\R…</t>
  </si>
  <si>
    <t>Hemant</t>
  </si>
  <si>
    <t>NSDNS G, (G)R, S, NSDNS G, mm, mPN\DDD… D/NNN… N\DDD… (N)DNN/S, SS, SS…</t>
  </si>
  <si>
    <t>Sampurna Malkauns</t>
  </si>
  <si>
    <t>(R)gR n(Dn)P S, gMP S, PnSgR(gR) n(DnD)P, (R)g(RSn)R, (R)gR n(Dn)P S, gMP S…</t>
  </si>
  <si>
    <t>Hemshri</t>
  </si>
  <si>
    <t>S-g-m-P-nN-S</t>
  </si>
  <si>
    <t>NNNN SNgS, m(g) Pm n, nP, gPm, P(mgmPmgS) N, S(gSgmPnPmg)…</t>
  </si>
  <si>
    <t>Hindol</t>
  </si>
  <si>
    <t>S-G-M-D-N-S</t>
  </si>
  <si>
    <t>SM G, MGS, S(NS)D (N)SS; S(D) S(D)S (N)S, (S)G (G)SS; (S)MGGMD (M)SDDMG, MGS; SM(GM) G, MGS…</t>
  </si>
  <si>
    <t>Hindolita</t>
  </si>
  <si>
    <t>S-G-mM-P-D-N-S</t>
  </si>
  <si>
    <t>S\DD D\M(D) D\MM(m) m(Gm); m(M)G, (M)G, S…</t>
  </si>
  <si>
    <t>Hussaini Kanada</t>
  </si>
  <si>
    <t>S-n-D-P-m-G-r-S</t>
  </si>
  <si>
    <t>(P)mP P(DnD)S, n\PP P(mPmn)m\g m, m(nDn)P PP; mPDnSS, S S(nS)D, (nR)S S(RnS)S, P m(Pmgm), mPDnSS…</t>
  </si>
  <si>
    <t>Hussaini Todi</t>
  </si>
  <si>
    <t>NS, S, (SN)RS S\n D(P)D PDNS, S, D (n)PDNS, (SRN)S, (SNSR)S S\nD PDNS, S…</t>
  </si>
  <si>
    <t>Imratkauns</t>
  </si>
  <si>
    <t>S-R-G-m-d-n-S</t>
  </si>
  <si>
    <t>n\dnS G, GGm, (Gd)Gm, n n\d n/S, n\d, G, G\R, S(RS), S(mGP) m(Gm), G\R, SS, n\dnS G, GGm…</t>
  </si>
  <si>
    <t>Pa-kan</t>
  </si>
  <si>
    <t>Jaijaiwanti</t>
  </si>
  <si>
    <t>G\R, RG(R)mG, Pm G(mG)R, S(R) Rg R\S, S N S, SD/n, S, G\R, RG(R)mG…</t>
  </si>
  <si>
    <t>Jaijaiwanti Nat</t>
  </si>
  <si>
    <t>(S)G mGR, (GR)G RS, PNR(NP), (S)G\R (GR)S, S/G, G(mG)G/m GR (GR)S, (S)G\R, R…</t>
  </si>
  <si>
    <t>Jait</t>
  </si>
  <si>
    <t>S-rR-G-P-D-S</t>
  </si>
  <si>
    <t>G, G\r, DSr PD, rS(D), S(rSD) S(r)r, m\r, (S)r (S)r, mrS, rG, S(D)D GrGr SrS, DSD PD(SDP), G, PDSrDSr G, SrG, G\rS…</t>
  </si>
  <si>
    <t>ma-kan</t>
  </si>
  <si>
    <t>Jait Kalyan</t>
  </si>
  <si>
    <t>SS S/P(G), SGP(GS)G (P)G P(GD)P, (GS)G RS, (PDP)D, SDP, P/SS, SS S/P(G)…</t>
  </si>
  <si>
    <t>Jaitashree</t>
  </si>
  <si>
    <t>SG (M)G/P, P(MPM)d PMG r, SrN\d P; S(M)G (P)G/P, P(MP), P(MPM)d dM MG Gr, S(NSMGMG)P P(MdPMG) M(GM), GrS G…</t>
  </si>
  <si>
    <t>Jaiwanti Todi</t>
  </si>
  <si>
    <t>r(S) D(nD), g\r(gr)S rm, PDP(mPm) m(g) g(r) r(S)S, r(S) D(nD), g\r(gr)S rm…</t>
  </si>
  <si>
    <t>Jaldhar Kedar</t>
  </si>
  <si>
    <t>SSRS, DP mP, SSRS, (S)DP, (D)mP, SSRS…</t>
  </si>
  <si>
    <t>Jansammohini</t>
  </si>
  <si>
    <t>S-R-G-P-D-n-S</t>
  </si>
  <si>
    <t>GRG, RSR, SnS, DPG; GP (Sn)DS, nDPGR SnSRG…</t>
  </si>
  <si>
    <t>Jaun Bhairav</t>
  </si>
  <si>
    <t>S-rR-gG-m-P-d-nN-S</t>
  </si>
  <si>
    <t>G m (n)d, d N(dS)S (N)S, N\d N\d S, S(RgS) R(GRS), S(nRS), n\d n\d (n)P, S(RgS) S(GRGSn), S, P(GRGRS); P(d)m, P\mG; GmrS…</t>
  </si>
  <si>
    <t>Jaunpuri</t>
  </si>
  <si>
    <t>d(nd)/S, S, S SSS…, S(ndPm) R, m PmP/n(d)P, n\d/S; R(SR) R R, RRgR(g)R n/S\n, (S)R R R(Sn); n S, d S, P g R R, S(g)…</t>
  </si>
  <si>
    <t>Jayant Malhar</t>
  </si>
  <si>
    <t>RGmG(R), GRG, G mG(R), G(R), G(RGR), RPm\R m(gmg), m(gPmgm) R(SNSN)R, S(NR)mRP, P(mP)n m(R) m\g R(g)mRS, RGmG(R)…</t>
  </si>
  <si>
    <t>Jhinjhoti</t>
  </si>
  <si>
    <t>Patdeep</t>
  </si>
  <si>
    <t>S-R-g-m-P-D-N-S</t>
  </si>
  <si>
    <t>Jog</t>
  </si>
  <si>
    <t>S-gG-m-P-n-S</t>
  </si>
  <si>
    <t>Jogeshwari</t>
  </si>
  <si>
    <t>S-gG-m-D-n-S</t>
  </si>
  <si>
    <t>(S)n D m, GmG (m)g/m, nSDn g\S, Gm GmD, D(nSn)D, m…</t>
  </si>
  <si>
    <t>Jogeshwari Pancham</t>
  </si>
  <si>
    <t>S-gG-m-P-D-n-S</t>
  </si>
  <si>
    <t>S m G, mGm gSn, (g)S D (S)n, (S)D, S(DS), S(G)mD(SDS), D(Gm), (GPmG)m, Gmg S, G…</t>
  </si>
  <si>
    <t>Jogiya</t>
  </si>
  <si>
    <t>S-r-m-P-d-N-S</t>
  </si>
  <si>
    <t>Sr/mPd(P) P(mGm)G rS S, S/m m(GrmGrS), r/P(rmGrS), S r/P(rmrP) P, r(m)m PdPP, Pddd(Pm), mP, mPd dPm, G(mG) rSSS, d/r r, r(NrG) r(G) r(S)S (N)S, N(S) N(S) N(Sr) S(rS) N\d, m\r(P), P(NdSdrNSN), SrmPd, dPmG G(mG) r(S) SS…</t>
  </si>
  <si>
    <t>Kabiri Bhairav</t>
  </si>
  <si>
    <t>S-r-G-m-P-dD-nN-S</t>
  </si>
  <si>
    <t>mP (dn)d/r S, (N)Sdm, mP (P)G, Gm (r)Sr (G)m, mP P, (S)dm (Gm)P G, GmPm G\r S(rS)S, (mG)m mP P, P(dP)N\P PP(dP)d m, m(Gm)P PG(PG)mm, mP(dP)d/r S, S\d mP Gm (r)Sr (G)m…</t>
  </si>
  <si>
    <t>Kalashri</t>
  </si>
  <si>
    <t>SGP D(PG)P\G, Gm R(n), (SG) G; GPD (DPG)P\G, mG, (nS)G, G mRS, n(D)…</t>
  </si>
  <si>
    <t>Kalavati</t>
  </si>
  <si>
    <t>S-G-P-D-n-S</t>
  </si>
  <si>
    <t>Kalingada</t>
  </si>
  <si>
    <t>GmGP (Pd), mP(nd) d(PdP)mG, GmGP; GmP(dSNSN) dP, mP(nd)P Pm(P)G…</t>
  </si>
  <si>
    <t>Kambhoji</t>
  </si>
  <si>
    <t>GG, G(mGm)R, SS SGR(GR)G, G(m)R, SSS, SRS\n(Dn), P/S, S(n) S(nSDnD), P(DnD), (S)DD D, (n)D DnDP, DP SD/S…</t>
  </si>
  <si>
    <t>Kaushik Dhwani</t>
  </si>
  <si>
    <t>Kameshwari</t>
  </si>
  <si>
    <t>S-R-M-P-D-n-S</t>
  </si>
  <si>
    <t>R(M)P, P(M)R, S(M)R, S(n)S, nDP, MPDn(D) S, (n)SR, R(M)P…</t>
  </si>
  <si>
    <t>Kamod</t>
  </si>
  <si>
    <t>(S)m\RRP, (R)PS(NSNRNSRDNPD) P(DMPGmRGR) S(NSNS); (S)m\RRP, (R)P(MP), GmRS…</t>
  </si>
  <si>
    <t>S(GmDNS) S(ND), D(ND)m, mG, (G)S D(SnS), S(GmDNS) S(ND), DNDm, mG…</t>
  </si>
  <si>
    <t>Kedar</t>
  </si>
  <si>
    <t>S-R-mM-P-D-N-S</t>
  </si>
  <si>
    <t>S(NS)m, m(G)m/P, (PDP)M P(MPDMP)M MP(MDP) m(Gm), Sm(GmG), (PDP)MP\R, mRSNS, S(NRS)S\D D(nDnD)P, P/S R, S(RSNS)…</t>
  </si>
  <si>
    <t>Ga/ni-kan</t>
  </si>
  <si>
    <t>Kesari Kalyan</t>
  </si>
  <si>
    <t>S-R-G-P-D-N-S</t>
  </si>
  <si>
    <t>S S(GRGRSR)G, (GRG)RS S(RG), G(RSR)S N(DP), N(DND)S, PN SR(GRSRGRS) S(RGR), G(PGPG)PP, PN S(GRGRSNS)S, N(P)P/S(NS)P PG, G(PGP)R, SS(RGPDP)D, P(DPDPGRSR) G(PG), S(GRGRSR)G, RS S(RG), G(RSR)S N(DP), N(DS)…</t>
  </si>
  <si>
    <t>mG(m)P, n(DnPnP) n(D</t>
  </si>
  <si>
    <t>Khambavati</t>
  </si>
  <si>
    <t>(S)GR (R)m, P D(PD) S, (mDPnDS)R S\n DP, mP P(DPDPmP)D (P)m, R(PmDPm)P (mP)G, S(mR)m, P D(PD) S…</t>
  </si>
  <si>
    <t>Khat</t>
  </si>
  <si>
    <t>S-rR-gG-m-P-dD-n-S</t>
  </si>
  <si>
    <t>m(R)mR P, m P P(mP)mR gS R(m)n; R(mR)mP, mP (R)d, (Pn)d, (n)d, (d)n, n\P P, Pnm, mnP, PS, PS(nS), S nSR S, Sn, n\d…</t>
  </si>
  <si>
    <t>Khat Todi</t>
  </si>
  <si>
    <t>dMgMd S, S\d d/n n\P P, MgMd, dMg, g(M)gr S, Srgm (m)gm, m(g)P\S, dndP, MdNS, dMgMd S, S\d d/n n\P…</t>
  </si>
  <si>
    <t>Khem Kalyan</t>
  </si>
  <si>
    <t>GPD S\N\D M\G, GRS, NSG G\R…</t>
  </si>
  <si>
    <t>Kokilapriya</t>
  </si>
  <si>
    <t>S-r-g-m-P-D-N-S</t>
  </si>
  <si>
    <t>Khokar</t>
  </si>
  <si>
    <t>S-G-m-P-D-nN-S</t>
  </si>
  <si>
    <t>N, N/S, N(SN) N, (P)N S; SG, mPmP(GP)G\S, (PS)N S, S(NS)G m P, GmPD n(DnDn)P D(Pmm), GmP, GmPD(PD)P D(SnSDnD) n(DnDn)PP; (SGmG)P (S)mP G…</t>
  </si>
  <si>
    <t>Kirwani</t>
  </si>
  <si>
    <t>S-R-g-m-P-d-N-S</t>
  </si>
  <si>
    <t>dPgRS, RRR(g), gPmgR, dPgRS, R; mgRNdP, dPgRS, R…</t>
  </si>
  <si>
    <t>Kukubh Bilawal</t>
  </si>
  <si>
    <t>G, m(GR) (GR)G (RS)S, S\n D P, (P)N, (N)S; (NS)G G mGR(GR)G RS(NRS), (NS)G mm, mG (GmG)P PP, D(P) D(P) (DP)D Pmm G(mGRG), G(RGmG)PmG mG(m)R, (SNRSN)S…</t>
  </si>
  <si>
    <t>Lachari Kanada</t>
  </si>
  <si>
    <t>S-R-gG-m-P-nN-S</t>
  </si>
  <si>
    <t>G, Gm(G), S S(mRPmD)P, (P)SNS, (N)S nPn\PP, mPnPm\G, (Gm)P P(G)mR, SRG(mG), m/n(Pn)P, m/n(mPGmS)g (S)g(RgR)S(NS), S(mGPmnP)N S(NS)P n(PmPmg) (P)Gmg(S), G…</t>
  </si>
  <si>
    <t>Lachari Todi</t>
  </si>
  <si>
    <t>S-R-gG-m-P-dD-n-S</t>
  </si>
  <si>
    <t>RnSRG, G(m), G(mR), (G)m, m, m(GP), P(D) m(P) m(gR), R; P/n n\P, P(d) m(P), m(gR), m P/S n\d, n\d(P) P; P/g S/R, S/g S/R, R\S S(nSP), P(S)n, n/S, n(dP) P; m\R mP(n), D, D, D(Pm), P(D) m(P) m(gR), R/m mP(nd), d d(P), P(d) m(P), m(gR), R/g, SR, n(Sn) S…</t>
  </si>
  <si>
    <t>Lagan Gandhar</t>
  </si>
  <si>
    <t>S-R-gG-P-D-S</t>
  </si>
  <si>
    <t>S, G\g̃\g, R(gR) R(S)S, (GR)G, G G(RS)S, SG(RS)S, S\DS, S\D(SD), SG G\g̃\g R(S) (GR)G, SG(RS), SG(RS), S\D, DS, SR(S), RR(gRgRgRS), DS\D, S G\g̃\g R(S) (GR)G, G G(RS)S…</t>
  </si>
  <si>
    <t>Lakshmi Kalyan</t>
  </si>
  <si>
    <t>G\R(GR) P\M(PM), (P)MP/N N(DP), R(MR)P (M)P/S\N, S(NSN)S, (M)P/N\S, S S, S(NS), P/S(NSN)R, R R, P/S(NSN)R S(NS) N, P(MPM)D M(PMPM)m(G), G(mGmG)…</t>
  </si>
  <si>
    <t>Lakshmi Todi</t>
  </si>
  <si>
    <t>rg(mg)r, SRn, SRGm(G)P g(mg)r g(mg)r; SRn, SRGm(G)P g(mg)r g(mg)r S…</t>
  </si>
  <si>
    <t>Lalit</t>
  </si>
  <si>
    <t>S-r-G-mM-d-N-S</t>
  </si>
  <si>
    <t>Lalit Pancham</t>
  </si>
  <si>
    <t>N(rS)N, (NDN)DNS (S)m, mm(G), (S)mm mm Gm(MGmMmGmG), (Sm)Gm D (NDND)M, m(Gm)D m(DNDSN)S SS, P(SN) (N)Sr\ND, D\P, PD P(mP) m(Gm), S/G m(MGmMmGm)G, Gm/N S(NS)D (MG)G (r)MGG (r)S, S(NS), (SNS)DNS (S)m…</t>
  </si>
  <si>
    <t>S-n-D-Mm-G-r-S</t>
  </si>
  <si>
    <t>Lalita Gauri</t>
  </si>
  <si>
    <t>S-r-G-mM-P-dD-N-S</t>
  </si>
  <si>
    <t>GrS S(N)S, rNS, S(rN)S N, (N)dSrG, GmG GmMG(mM)Gr, S/P P\G rS(NS), r(d)Sr(Gr)G, rG(rGPM)P, PG rGM(GrSNS), GrS S(N)S…</t>
  </si>
  <si>
    <t>Lalita Sohini</t>
  </si>
  <si>
    <t>S-r-G-mM-D-N-S</t>
  </si>
  <si>
    <t>D(NDr) S(NS) N, N, N, N(SN), N(SND), DN N(SN)D, N(SN)D, (N)S, S, S, S, (N)S S, S(rS) S(rS) S(rS), S(rS) N(SN), N, N, N(S) N(SND), D/N N(SNSND), D/N N(SND), D(NS)S, N(Sr)r r(S), S, S…</t>
  </si>
  <si>
    <t>Lanka Dahan Sarang</t>
  </si>
  <si>
    <t>RmPPP, PPP, P/nnn, n n(DPD) D(P)P, RmP(nP) m(RSn) SR g/mRS; R(PmP)P, R(mRm)m, R n(DP)P, D(n)n, nS/R, n/S…</t>
  </si>
  <si>
    <t>Lankeshwari</t>
  </si>
  <si>
    <t>(Sg)R RS nDn S/G, (S)GG (mG)m (RS)R S, S/g RS nD (S)n S(mGPmGm)G, (S)GG (mG)m (RS)R S, S/g RS nD (S)n S(mGPmGmG)G, (S)GG (mG)m (RS)R S, S/g RS nD…</t>
  </si>
  <si>
    <t>Lilavati</t>
  </si>
  <si>
    <t>S-r-G-m-P-n-S</t>
  </si>
  <si>
    <t>Sn(S)r, (r)nS/m, m(PGmG), Sn(S)r, (r)nS/m m(GmrG), Sn(S)r…</t>
  </si>
  <si>
    <t>Madhukant</t>
  </si>
  <si>
    <t>(nR)S\n, RS(gRMgD)P M(gM)g, S(n) R(n) S(gR)g R, S…</t>
  </si>
  <si>
    <t>Madhukauns</t>
  </si>
  <si>
    <t>PnSgM(gM) P, MgSnSgn (n)SgM gS; PnSgMP M nP(M)gS…</t>
  </si>
  <si>
    <t>Madhumad Sarang</t>
  </si>
  <si>
    <t>S-R-m-P-n-S</t>
  </si>
  <si>
    <t>m(R)m\R, (m)RS, nR, R(mRPm)RS S…</t>
  </si>
  <si>
    <t>Madhuradhwani</t>
  </si>
  <si>
    <t>S-G-m-D-nN-S</t>
  </si>
  <si>
    <t>mG(mS) (S)nD, (S)DNS, mG(mS) (S)nD, (S)DNS…</t>
  </si>
  <si>
    <t>Madhuranjani</t>
  </si>
  <si>
    <t>S-g-m-P-N-S</t>
  </si>
  <si>
    <t>(m)P gmPS N P, PmP (m)gmP; gSg mg Pm NP S(NSNSNPN) P(NPNmP) gm(S)P; (m)P gmPS N…</t>
  </si>
  <si>
    <t>Madhurkauns</t>
  </si>
  <si>
    <t>S-gG-m-d-n-S</t>
  </si>
  <si>
    <t>G m m/n(dnd)m, GGmm; m\gS, Sgmd (m)d…</t>
  </si>
  <si>
    <t>Madhusuraja</t>
  </si>
  <si>
    <t>S-rR-mM-P-n-S</t>
  </si>
  <si>
    <t>R/m(RrS), R/mSr, r r(S), R/mSr, S (rS), SrS, m(R) mP/n (n)P, mM m, Mmm, mMm, (m)Mm(r), (m)M mMm, Rm(S), RmRm(S) r(S), (Sn)S, R/m(RS) M(m)m m…</t>
  </si>
  <si>
    <t>PS(NRSNS)N, (S)N, (S)N(SNDP), PS(NSDN)S (N)S, (NR)SNDP N, P(MPM) D(PMP) S(NRSNS)N, DPD P(MP); N P(S)NSg g(RS), (SRS)R, Sg(R) (SR)N, NSRNSR NDP(MP)M P(DPMP) S(NRSNS)N, PNSM(gMg)RS, NSgM(gR)S…</t>
  </si>
  <si>
    <t>Malashree</t>
  </si>
  <si>
    <t>S-G-P-S</t>
  </si>
  <si>
    <t>S SS, PGPG, SGG, PPS…</t>
  </si>
  <si>
    <t>Malavi</t>
  </si>
  <si>
    <t>S-r-G-M-P-D-S</t>
  </si>
  <si>
    <t>SS(NS)G, (SGMG)M/ND (DND)S, SS, D(ND) S(D)SS, (rS)r r(Sr)S, S(NSD) S(NS)M S(D), D/S(DPDMP)G P(MPD)P P\G…</t>
  </si>
  <si>
    <t>Ni-kan</t>
  </si>
  <si>
    <t>Malay Marutam</t>
  </si>
  <si>
    <t>S-r-G-P-D-n-S</t>
  </si>
  <si>
    <t>S(G)rG G, GGGr SDn(r) S, SSS SrGPGr(G)S; GGG rrr SSSn SDnS, GGG rrr SSSn SDnS rSGrPG, PSrGPGrS, P(nDnDnD) n(rSrS), S(GrGrGr)GP, GP(nDnDn)PGS…</t>
  </si>
  <si>
    <t>Malayalam</t>
  </si>
  <si>
    <t>G G, n\dPmP, (G)m, (mPG)m, G, GG G\R, S n\d…</t>
  </si>
  <si>
    <t>Malgunji</t>
  </si>
  <si>
    <t>(G)m (GmRGR)Gm S, SRGPD(nDnDP), P(D)P(Dn)D n(DnDPmG)m (mGmRG)m, m\g(mg) (SgS)RS, Smg/m(gm)S, nS(g)S, Dn SG(mGRG)m, m\g g/mR R (g)S, gS(gS)PnSG m…</t>
  </si>
  <si>
    <t>Maligoura</t>
  </si>
  <si>
    <t>P P N(D), D(P), P(M), (G)r G, GMPP, P P, N(D), D(P), P(M), (G)r G, SrS P, P…</t>
  </si>
  <si>
    <t>Malti Basant</t>
  </si>
  <si>
    <t>S(NrN)S/M G(MGr)S, DN(S)ND, DNrS, S, S(rSNS) N(D), NrS, S(NS)m (MmMmG)G, SGM/N\DMG, (S)MGS, S(NrS)MG, S(NS) DN, D(ND)…</t>
  </si>
  <si>
    <t>Maluha</t>
  </si>
  <si>
    <t>S(NSN) R S(NSD), (n)D, mPD (N)S; S(NSN) RG(RGm) G R(GRS), N(RSNS), n(DnDnD), D mPD, S…</t>
  </si>
  <si>
    <t>Manavi</t>
  </si>
  <si>
    <t>S-R-g-P-D-n-S</t>
  </si>
  <si>
    <t>SgR(gRS)R (m)g/P, P(nDnDn)P D(SnSn)D n (DP)D (n)P, P\gP (nPm)g, S(gRmgR), S(nSnSn)D (nD), S(nSn)D, S S, S(nSnDP)D (nDnD)P, D(nDPDn) S(nSnSnS)D S(nS)D n/S S…</t>
  </si>
  <si>
    <t>Mand</t>
  </si>
  <si>
    <t>GP N/SS S, N(SNRS) N\D DP, N(SNDP)DP; GP G/SS S, N(SNR) N\D DP…</t>
  </si>
  <si>
    <t>Mangal Bhairav</t>
  </si>
  <si>
    <t>S(D)S(D)S SDPDS; PDrrS(NS), (P)DrrS…</t>
  </si>
  <si>
    <t>Mangal Gujari</t>
  </si>
  <si>
    <t>S-r-g-M-d-n-S</t>
  </si>
  <si>
    <t>(gM)g M(dM) (gMdM)d d(MdMdnd), Sgd\M(dM) M(dM) M\g, M(grg)r r(gMrg)rS S, (SrgMdM)d g(rgS), (MgM)g M(dM) (ndn)d…</t>
  </si>
  <si>
    <t>Mangal Todi</t>
  </si>
  <si>
    <t>Sr/m grgr, (S)r grS (Sd)nd S; SrgM(dMd) dd, dd(MGrGMdn)S nrS(nSnd) M(dMgrSrg)m, mm/nd(M) g(Mg)r S/r, g\S, nd S…</t>
  </si>
  <si>
    <t>Manj Khamaj</t>
  </si>
  <si>
    <t>GmG RS(R), n(S) S(RS) n(S) D, DnSG m, S(NS)N(S), P/nD(P), (m)GmG RS, Gm Pm…</t>
  </si>
  <si>
    <t>Manjari Bihag</t>
  </si>
  <si>
    <t>PNS G\R\S, N(S)N(D)N(S) NDP, PNS G\R\S…</t>
  </si>
  <si>
    <t>Maru Bihag</t>
  </si>
  <si>
    <t>(S)NS (M)GMP, (P)MG G(RG), GMP/N(P), (P)S(NSDnDn)P, P P(ND)PM, MPM(G) (M)G(R)S S, (S)NS (M)GMP…</t>
  </si>
  <si>
    <t>S-r-G-M-D-N-S</t>
  </si>
  <si>
    <t>Medhavi</t>
  </si>
  <si>
    <t>(N)SN/S D/NP D/N, D, D, (G)mP, D(NSRS)N, RG(m)m, GR RG G(RS), N(SNSND), D…</t>
  </si>
  <si>
    <t>Megh</t>
  </si>
  <si>
    <t>Meghranjani</t>
  </si>
  <si>
    <t>S-r-G-mM-N-S</t>
  </si>
  <si>
    <t>(S)GrGm, GrS, (NS)N r G m; GmmN, m, (G)m, Gm, G(m)rG, rGG, G(mGm) S(NS)m, (G)m, Gm G(m)rG, (S)GrGM(GM), (M)G rS…</t>
  </si>
  <si>
    <t>Meladalan</t>
  </si>
  <si>
    <t>S-r-g-mM-d-n-S</t>
  </si>
  <si>
    <t>grn, dS (S)Srn Srg mMdMm grn, dS; mMdS, rS gS mS MS dSrg mMdMm grn, dS; gMdSg r (nd)M MM (d)n md d, Mmg; grn, dS…</t>
  </si>
  <si>
    <t>Milan Gandhar</t>
  </si>
  <si>
    <t>S-gG-P-D-n-S</t>
  </si>
  <si>
    <t>SGPDnD PG, (S)n/gS, (S)nS n/g(S), (n)D nDP, DnDn/S, SG n(DnD)PGS, (S)n…</t>
  </si>
  <si>
    <t>Miyan ki Malhar</t>
  </si>
  <si>
    <t>Miyan ki Sarang</t>
  </si>
  <si>
    <t>S-R-m-P-D-nN-S</t>
  </si>
  <si>
    <t>RSn\P(nP), n\DNS (NSRN); NS mR/P Pm\R mR; NSS (m)Rm, PPn\DNS, RNSn\P(nP), P(nPS)nP; RSn\P(nP), n\DNS…</t>
  </si>
  <si>
    <t>Mohankauns</t>
  </si>
  <si>
    <t>G GGm, n (n)d d, (dm)G Gm, G(R)Gm, m m(d) G m S, (n)d dd, (dS)n nnS S, (m)GGm, (m)G n d(nd), (dm)G, GGm, G(R)Gm, m…</t>
  </si>
  <si>
    <t>Monomanjari</t>
  </si>
  <si>
    <t>S-r-G-M-P-D-nN-S</t>
  </si>
  <si>
    <t>MPD(SnS) D(nDP), M(P)MG, G, M(D)MGr, r, S, S, N(S) (N)S N\D, D(PMP), P M(P), D, r, r, S…</t>
  </si>
  <si>
    <t>Mudriki Kanada</t>
  </si>
  <si>
    <t>P(DPD), P(mPD) PDnS (D)Dn\P, P(DPDPmP), P(mPD) PDnS (D)Dn\P…</t>
  </si>
  <si>
    <t>Multani</t>
  </si>
  <si>
    <t>Nagadhwani Kanada</t>
  </si>
  <si>
    <t>P(nPn) m(Pm) m(Pmn) n(Pm) g(mgSn) nS, m\g m m(gm)P (m)gm, n(P)P; n(Pm)g g(Pm) m(g)m, m(g) n(S), mmm m(n)P m(g)m; P P/RR, S N(SN)S, D(nDnSnSR) R(SNSnDnDPD)G, (G)P D n S…</t>
  </si>
  <si>
    <t>Nand</t>
  </si>
  <si>
    <t>SGm/D D(PMP), (G)RR S, (N)S, G, G (P)mG (G)P, P(GP) P(MP) D(PMP), GmP D(NPDN) N(DP) D(M) P(MP), P(G)Gm/D(PMP), (G)RR S, S G…</t>
  </si>
  <si>
    <t>SGmdPm g(m)SS, SSSn\d nnSG m; SGmn\d, mn\dd d/nn\d, mPmGmPG, SgSnS SGmdPm g(m)SS, SSSn\d nnSG m…</t>
  </si>
  <si>
    <t>Narayani</t>
  </si>
  <si>
    <t>mR R/P, D(PmP)m, (P)D (S)n, (S)D, P, mD(SD)S, S(nS) S(D), D(SRmR)n, D, (S)P\R…</t>
  </si>
  <si>
    <t>Ardhanarishvara</t>
  </si>
  <si>
    <t>S-r-g-m-P-d-N-S</t>
  </si>
  <si>
    <t>Nat</t>
  </si>
  <si>
    <t>S(N)S S(GR)R, (G)R, (R)G(R) Gm G (RS), (SN)S/S (DS)D (n)DP, P(MDPM)P (PM)P\G R, (G)R G(R), (GR)G mG mGR, (G)R (GR)G RS, S(NS)R, S(NS), (G)R (RGR)G RS(NR)S, S\D…</t>
  </si>
  <si>
    <t>Ma/ni-kan</t>
  </si>
  <si>
    <t>RSNRS, PmGmP, RSNRS; SGmPGm N\d P, mPG (G)mRSN SGmPGm, N\d P, mPG…</t>
  </si>
  <si>
    <t>Nat Bihag</t>
  </si>
  <si>
    <t>G(mG) m/n(D) D(nP)P, P(mPmP), (DPDPmPmPDP)m m(Gm)G, (GR)G GR(GR)m, S(GmGmG)P (P)mG, GmR (N)S, (NSR)N S, G(Pm) m/n(D) D(nP) P…</t>
  </si>
  <si>
    <t>Nat Kamod</t>
  </si>
  <si>
    <t>R(mRm)RS R(mPnDn) PmRS R, S(mRmR) SRP mP\m, P(nDnD)P m(GmGR)G, (RG)m, m(DPDP)mP mm G, (R)G G(mGmG)P m(Pm)G (R)m (GmR)R; R(mRm)RS R(mPnDn) PmRS R…</t>
  </si>
  <si>
    <t>Nayaki Kanada</t>
  </si>
  <si>
    <t>(nS)R, RRSnSnSR m\g(R) m\g(mgmg)m, m(Pm)P\m mPm/n(Pn)P, m(mnPmPmP)S, (n)S nPn P(m), mPn(Pn)P, P(SnS)nP nPmP, nPm(Pm)nPmP m\g m(g) m(g) g(mg)m…</t>
  </si>
  <si>
    <t>Neelambari</t>
  </si>
  <si>
    <t>S(GRmGPm)Gm RS, n(DPD) ngR, Rg(R)S, RS (SN)S, (N)SRgRS, (SN)S n(SD), R, S…</t>
  </si>
  <si>
    <t>Niranjani Todi</t>
  </si>
  <si>
    <t>S-r-g-mM-P-D-nN-S</t>
  </si>
  <si>
    <t>S(g)rm, P(DP) D(P), (m)D Pm, Sm(gPmgm) g\r(gr) g(rg)S, D(nDS) (nD)n D, (S)n (S)n/S S, SS (Sg)r (g)r (r)g\r r\SS, S(g)r r/m, (S)mm m(PmDPnDnP)m, g\r rS…</t>
  </si>
  <si>
    <t>Noor Sarang</t>
  </si>
  <si>
    <t>PN, N/S SRS(N), mRSN(SNSNSN), PN(SN) S, SR (m)R (m)R SRNS(NSD), P (R)m\R, MPN/S (N)S, P m(R)R S, R(mR), R/M(P) M(P)M(P) M/P, P, P, P mRS…</t>
  </si>
  <si>
    <t>Pahadi</t>
  </si>
  <si>
    <t>SRGP, P, P(DPMGRSRG), S(RGMP) D(PMPGRG) G(MPMDPMG)G; (D)GD, D, D(NDPMG) P, P(MG)RS(D), SRG, GRS, DNS(RGMPMGR), G G, GRS, DgRS, S…</t>
  </si>
  <si>
    <t>Mishra</t>
  </si>
  <si>
    <t>Pancham</t>
  </si>
  <si>
    <t>N(R)N (DP)DP, S (SN)S, SS(SNSRSRSN)N, PSN(RPNPRDR)D, (DP)D P, P\Gm, S…</t>
  </si>
  <si>
    <t>S(m)gmd nSn, (n)dm gmgS; mP Pmg, nSnd(n), S(m)gmm, gmn\dn\d, nSS, nSgn\dd, ndP Pm, S(m)gmd nSn…</t>
  </si>
  <si>
    <t>Pancham se Gara</t>
  </si>
  <si>
    <t>(S)NN N(S) N(SN), D(ND) D(PM)P, M(PM) MMP D(SnS) D(SD) P(MP), G m(G) P…</t>
  </si>
  <si>
    <t>Pancham se Pilu</t>
  </si>
  <si>
    <t>GMP, P(M) P(MPG) P(MG)S(nSn) n(SnS), RSS; GMP, P, P, PD(P) P(D) D(PM), MP M(P), P(GPG)G; GMPD(nD) D(P) P, P(nDn) n(D) n(D) n(DnDP), P(MnD) P(MPM) M, RMMP, (n)D n(DnD) n(RS) S(DnD) D(Sn) D(PMP) MP, PG(PG) RS…</t>
  </si>
  <si>
    <t>Paraj</t>
  </si>
  <si>
    <t>S-r-G-mM-P-d-N-S</t>
  </si>
  <si>
    <t>dNS, S(rN) S(N) N(SN) (N)d (dP)P (Pd), P(MP)M, d (NSNr)S, S(NS), (rSN) dNS; S(rN)S, PdP, GmG, dNS…</t>
  </si>
  <si>
    <t>Paraj Kalingada</t>
  </si>
  <si>
    <t>N, dP, GmG, N(rSNS) N(N)d N, dP, (P)GmG Md dr(SN)S N(N)d N, dP, (P)GmG (G)M GrS…</t>
  </si>
  <si>
    <t>Parameshwari</t>
  </si>
  <si>
    <t>Pat Bihag</t>
  </si>
  <si>
    <t>(PM)P (PM)DP, P/N(SNSN), (NDN)D/S (NS), D(NSNSRNS)N, D(ND) P(DP)G (P)m, Gm, Gm(GPm) m(G)G, R, S…</t>
  </si>
  <si>
    <t>Patdeepaki</t>
  </si>
  <si>
    <t>S(NS)mg (RS)R NS, S, (N)SS (N)SS, NS(gRgRSRSNS)N (D)NS (NS), PN(N)S S; SS G(m)m, mm(GmG) P(GmGmRmG)G, GGm(G)g/m (R)S, NRSN(SPNS), PN(N)S…</t>
  </si>
  <si>
    <t>Patmanjari</t>
  </si>
  <si>
    <t>SG M(PG) G(RS)R S, M, G(MGRSNS) G(mGRSNSM) G(RSNS) G, MD(PM)P, G(MP), G(RS)R, S(NS) NS N(DN)N S; S(NS)m, (P)m(PmPm)G, P(MD) P(M)m m(Gm), m(GM)P, P(MP)D (PM)P DP(M)m, S(NS) R(GR)S, NS N(DN)N S…</t>
  </si>
  <si>
    <t>Pilu</t>
  </si>
  <si>
    <t>S-R-gG-m-P-dD-nN-S</t>
  </si>
  <si>
    <t>Prabhakali</t>
  </si>
  <si>
    <t>rmP, P, P… mPdm rSdr, m, PdSr mPdmdP, d/r(SrSr…)\P, Pd(Pm), mPd(Pn)d mr…</t>
  </si>
  <si>
    <t>Prabhat Bhairav</t>
  </si>
  <si>
    <t>S(d)NS, G, G/m(GmG), G(mG)PmG\r S, SSS, S(NrS)N\d, dNSS, SG mG, PmG\r S, Sr/d(PdP), P(m), mPm(GmG), rGmMMG, r/dM(rdM), rS; S(d)NS, G…</t>
  </si>
  <si>
    <t>Prabhateshwari</t>
  </si>
  <si>
    <t>S-n-D-P-m-g-r-S</t>
  </si>
  <si>
    <t>mgmn DD, mgmD PP, m(g)m(g)P m, mn DPm\g, mS (P)D, D/mSD n, (Sn)mgr(Sr)S…</t>
  </si>
  <si>
    <t>Purba</t>
  </si>
  <si>
    <t>(NSr)Sm (m)rG, MP PdNdP, dMPGmG(r) G(rG), M\GG, (rGMD)MG, G(MGMG)rS, (N)rNS, (SrS)mm (m)G(rG), MP PdNdP, dMPGmG(r) G…</t>
  </si>
  <si>
    <t>Puriya</t>
  </si>
  <si>
    <t>Puriya Dhanashree</t>
  </si>
  <si>
    <t>Puriya Kalyan</t>
  </si>
  <si>
    <t>(M)P M(PG) GM, G (Gr)N NrGMG\r S, (M)P M(PG) GM…</t>
  </si>
  <si>
    <t>Purva</t>
  </si>
  <si>
    <t>MMdN, dN, dP, (M)PP P(MdP) MGM(G)rG rSS, NSG G(G)rGG, MP(rN) N(Nd)NdP, MMdN, dN, dP…</t>
  </si>
  <si>
    <t>Rageshri</t>
  </si>
  <si>
    <t>S-R-G-m-D-n-S</t>
  </si>
  <si>
    <t>SmGmR, S nS, n D, (S)nnS; SSG, GGm, (Dm)Gm, (m)RRS; SmGmR, S nS, n D (S)nnS…</t>
  </si>
  <si>
    <t>Rageshri Bahar</t>
  </si>
  <si>
    <t>GmD (Pm)P, P(Gm)G mR(SR) (S)nS mm, GmPmP P(DPmG)m, (P)nD, PD(nDN)S S(NS) nP(mG), S(mG) G(m)R, (S)G G(Pm) GR (S)nS mm…</t>
  </si>
  <si>
    <t>Rageshri Kanada</t>
  </si>
  <si>
    <t>(n)S, (D)S, n(SnSnS)S, (S)GR(GR) SS, SR(Gg)G, G(g)R S, DR (Sn)DnS(nD), G, S(n)S G, (nSn)S S, n(Sn) S(nSDP), mmGG, GmP (S)n S(n), S(nD) (nR)S, (R)S R(nSPn) n(DP), PmmG, GmP (PS)n, (SnSn)n S…</t>
  </si>
  <si>
    <t>Raisa Kanada</t>
  </si>
  <si>
    <t>n(DSnDn)P, mPDn S\D/n\P, (P)S\mP m\g, (m)gm, m m/n\P/S(n), R(g)S R\nS, (P)nP, P(nmP) m(gm), m(nmP), m\gm, RSR…</t>
  </si>
  <si>
    <t>Raj Kalyan</t>
  </si>
  <si>
    <t>S-R-G-M-D-N-S</t>
  </si>
  <si>
    <t>SN(D), NS N(D), N S S, N N(D) D(SD), (NR)N\D N(DS), S(RSNSND), R(GR)GRS, NRG(R)G(MRG)RS…</t>
  </si>
  <si>
    <t>Rajeshwari</t>
  </si>
  <si>
    <t>S-g-m-D-N-S</t>
  </si>
  <si>
    <t>D(ND) mDNS, N(D), m(g)g (SN)S; (SN)S/g gm, (mgm)Sgm g\S…</t>
  </si>
  <si>
    <t>Ramdasi Malhar</t>
  </si>
  <si>
    <t>g(m)RSR, NSRPm P; (S)gmP (g)mgm RS, Rg(m)R, PP(m)nP; mPDNS(R)NS, g(mPNSPmgR), gm R(gRSNS), g(m)RSR, NSRPm P…</t>
  </si>
  <si>
    <t>Ramkali</t>
  </si>
  <si>
    <t>S-r-G-mM-P-d-nN-S</t>
  </si>
  <si>
    <t>S(NS)G, G(mG), mG\r, N(SN)dS, S(N)S, S(NS)N\d, d(nd) P, P(dP)M, P d, P(nd), n\d, d/S, S(NrS)N\d S; S(NS)G…</t>
  </si>
  <si>
    <t>S(nMGPMnDSn)D D(n)P (M)P, (Gr)r, G (GrS), D(Sn) D(nD) n\D P(MP), P(MP) P(MPM) P/n(DSn)S, P(M) S(n)G, M(GrSnS)n\D(P) P(DPnDn)D (nD) n(SnS)nDP, P(MP) S\n(SnSD), (S)nSS S(nS), S(nSn)G G(MG), (SGPM)P P, (MP)M (P)M, M/P S(r)G, S(nGSMGPMP)M G\rG, rS…</t>
  </si>
  <si>
    <t>Rang Malhar</t>
  </si>
  <si>
    <t>S-R-g-mM-P-D-nN-S</t>
  </si>
  <si>
    <t>SR(m)R, m\R/P, MMP, nDNS, RSn\P, gmRS…</t>
  </si>
  <si>
    <t>Rangeshwari</t>
  </si>
  <si>
    <t>S-R-g-m-P-N-S</t>
  </si>
  <si>
    <t>gmP, P(SN)S, S(N)P, (m)gm(P), m(gm)g, R, S, NNS, RR(mg), mmP, P(SN)S…</t>
  </si>
  <si>
    <t>Rasaranjani</t>
  </si>
  <si>
    <t>S-R-m-D-N-S</t>
  </si>
  <si>
    <t>SD mmRSNS, (S)m, mR S(NS)R S; mm(N)D NS, (S)NRS; NSmR(mR), S(NSRS)N, Dm, RS…</t>
  </si>
  <si>
    <t>Rasikpriya</t>
  </si>
  <si>
    <t>S-gG-M-P-nN-S</t>
  </si>
  <si>
    <t>NNS, GgG, Pn(NS) S, (Pn)P P(MG)G, nPP, nP(MG)P G, PgG P, S, NN(S)S, PMP, GMPNS, (GMP)nPP, (nPM)PP, (nPM)MP, PgG…</t>
  </si>
  <si>
    <t>Rati Bhairav</t>
  </si>
  <si>
    <t>m, (G)m (G)r\S, G, m, PD(N)S, S(nDnPm), m(PDnDnP) G(mG)G\r(G)S, S\d, N S, m, m(P)…</t>
  </si>
  <si>
    <t>Reva</t>
  </si>
  <si>
    <t>r/G G, G\r r, S S(d) d/S, S d/r r, r(SrS) (S)d, P P, r/G G, G\r r, S…</t>
  </si>
  <si>
    <t>Roopkali</t>
  </si>
  <si>
    <t>S-rR-G-mM-P-d-N-S</t>
  </si>
  <si>
    <t>MP d, PdN dP, mR P, d (P), (PM)P, m(RmRPm) G\rSS, SrGmP, (PM)P, (PM)PP P(d) PM/P d(Nd)N dP P, (R)m\R P, d (P)…</t>
  </si>
  <si>
    <t>Saheli Todi</t>
  </si>
  <si>
    <t>S-r-g-P-d-n-S</t>
  </si>
  <si>
    <t>Srg(rg)r, g(rg)rS S(nd), dS, Srg g(rS), Srg\rr(S), Srg(rSr)SS, dS, (r)grS, d(n)d, dSrgrS(nd), dndd, dSS(d), (d)Srg rS S(nd), dSr(S), dSr, dSr, dS(nd)…</t>
  </si>
  <si>
    <t>Sakh</t>
  </si>
  <si>
    <t>Gm, m (GmRSn)D, (n)D Sn/S, (nSn)RS, SS, RS S (nS) S(nRnS) (nD)n n(DnD)SD (D)n, n\DS S, S(RSR) R(GR) S\n(RS), G (mG)m m (mGmRn), P\m P\m S/P\G G, P(G) D(P) (P)S\n (SnSnS)D, (PS)D S(nSnSD) n(DSnSnSD), D(SD) (DSD)S…</t>
  </si>
  <si>
    <t>Salagavarali</t>
  </si>
  <si>
    <t>S-r-g-P-D-n-S</t>
  </si>
  <si>
    <t>S/rgP, PD, P(DnDPDnD) D(P), S/rgP, PD…</t>
  </si>
  <si>
    <t>Samant Sarang</t>
  </si>
  <si>
    <t>Sm(R) m, m\R(PmPm)PP, PPP PmD(P), DPm\R, m\R, NS, S/DPm R(mR)m, (mSN)R, m(RmRmRm)R, SR, m\R…</t>
  </si>
  <si>
    <t>g(m)P Pm, P, (P)m, (m)g R, (n)SgR g, (g)m g/m(g) g\S, S(gSnS)n\d n, nS(nS)m, mm(P)m P(mPm) m\g, gmPn\d (S)n (n)S, S, d(SnRSnSn) n\d, P, m\g, SgmP m(Pm) g(mg) R(mg) m\g g(R)S/m mm(g), g(m)P Pm, P…</t>
  </si>
  <si>
    <t>Sanjh Saravali</t>
  </si>
  <si>
    <t>(G)P, (P)G, (G)R G, G(m)G, (RN)S, N R G M, M(DP) G, S, N, NS, N(Sn)DP, DP, PD(NS), (G)P, (P)G…</t>
  </si>
  <si>
    <t>Sarang</t>
  </si>
  <si>
    <t>S-R-m-P-nN-S</t>
  </si>
  <si>
    <t>(SR)NN S(NS)S, R S, S(NSRSNS) n\P NN, P(SN)R S, S(RmPn)P m(PnP) mRR, (R)NN, P(SN)R…</t>
  </si>
  <si>
    <t>Saraswati</t>
  </si>
  <si>
    <t>S(nSn)nS R, M, P(M), RSR, S, R(SRS)nS R, M(P), P(M), RSR…</t>
  </si>
  <si>
    <t>Saraswati Kedar</t>
  </si>
  <si>
    <t>(G)RMP, D(N)R S(NnDn), DPDP, PM(DP)m, SRRS, m\R RP(MP) MP, N\D D/R S\n, DP, (M)RMP, D(N)R S(NnDn)…</t>
  </si>
  <si>
    <t>Saraswati Sarang</t>
  </si>
  <si>
    <t>RM(PD) P(MP), mRm R, SS, (S)nD MPDS, S, S, S\DS R, m\RR M, P M(D)P mRm, R, S, RM(P)DP mRm RS, nD MPDS…</t>
  </si>
  <si>
    <t>Saurashtra Bhairav</t>
  </si>
  <si>
    <t>S-r-G-m-P-dD-N-S</t>
  </si>
  <si>
    <t>(Sr)S/ND D(Pm) m(Gm)P, P (mP)G, (S)G GmG G(mGPmG)m G\rS(S), Gm (G)P P\G, Gm/ND SS, SS(NS)NDP, PD(ND)N DP G(m), Gm(dn)d P, (PmP)Gm G\rS, S(rS)S/m P(mP)G Gmd(Pd) S(NS) N\d (P)m P(mP)G, (GmG)m/ND D(Pm) (mG)m P P (mP)G…</t>
  </si>
  <si>
    <t>Savani</t>
  </si>
  <si>
    <t>Gm(G)P mP G (R)S, (SN)S S(NRS) S, R\N S, G m G, G(mGPmG)m P/S(NRSN)S, S\P P\G, Gm/D mP(G), G (Gm)P (m)P G (R)S…</t>
  </si>
  <si>
    <t>Sazgiri</t>
  </si>
  <si>
    <t>r(Nr) (G)rr P (G), P(NPMPM)G\r, r(Sr)G rSS(NS), (G)rP PP, P(d)P P(M)P DPm (Gm), m(GmPm)D P(mP), (DPDPm)G (rGrS)r, r(SrGr)G (GrG)r SS(NSNS) (r)N G(r) (G)r P…</t>
  </si>
  <si>
    <t>Sehera</t>
  </si>
  <si>
    <t>S-R-G-M-d-n-S</t>
  </si>
  <si>
    <t>MGRS, dnSG, GMdMGMd, MGRS…</t>
  </si>
  <si>
    <t>Shahana</t>
  </si>
  <si>
    <t>(m)nmP, mPP, m\g, g(mg), mnD, DDD(nP), m, (m)nmP, P, (m)nm nnP, P, P(mPDP)m, m(gmg), g(m)g, SggmD, D, m(D)m, D(n)D, Dn(R)S, S(nS), S\D, (m)nmP, P, P…</t>
  </si>
  <si>
    <t>Shankara</t>
  </si>
  <si>
    <t>SNRS N, (N)D D(S), D(SNS), DDPGP, (D)NND/S N(DP)…</t>
  </si>
  <si>
    <t>Shankara Karan</t>
  </si>
  <si>
    <t>S-R-G-M-P-D-nN-S</t>
  </si>
  <si>
    <t>N\D/S N\P P\GPG, SNS N\D/SN\P P\GPG; N\PP NNS(NS), PGPG\S, NS/P\G, PDN S\n\P, P/n(Pm) P, P/N(P)S N\P, GPG\S…</t>
  </si>
  <si>
    <t>Shivawanti</t>
  </si>
  <si>
    <t>S-R-g-M-P-D-S</t>
  </si>
  <si>
    <t>R(/g\)R, S RS, (SD)PDP, S, R(/g\)R…</t>
  </si>
  <si>
    <t>Shivmat Bhairav</t>
  </si>
  <si>
    <t>P, Pdn ndP m(m)P, (G)mm, G/r, r/g(r) rSS; ndP m(G)mP, (G)mm, G/r, r/g(r) rSS; (N)SGm PdPS(NS) NSN\dP Pdn ndPm(GP); (G)mm, G/r, r/g(r) rSS…</t>
  </si>
  <si>
    <t>Shivranjani</t>
  </si>
  <si>
    <t>S-R-g-P-D-S</t>
  </si>
  <si>
    <t>DSgg, gRS, RRgR, (R)SSGG, GPDP, ggRS(R)S…</t>
  </si>
  <si>
    <t>Shobhawari</t>
  </si>
  <si>
    <t>S-R-m-P-d-S</t>
  </si>
  <si>
    <t>RSd(Pd) SR, (RSR)S, d/S S(dSd)R, m\R m\R (RSR)S S; SRm(Pm) (m)P P, mPS(dSd)S S, (dSdS)R R(SR)S, (dS)d, (Pd)P, (mP)m, (RS)R S;  RSd(Pd) SR, (RSR)S…</t>
  </si>
  <si>
    <t>Shree</t>
  </si>
  <si>
    <t>Shree Kalyan</t>
  </si>
  <si>
    <t>rG r(S), SP, rG r(S), S(rS)P, PP D(ND) P(D) PG\r, rG r(S), SP…</t>
  </si>
  <si>
    <t>Shuddha Basant</t>
  </si>
  <si>
    <t>D(SNR)S N(D), (NS)S (Gm)m D(SNR) (N)S N(D), M, m…</t>
  </si>
  <si>
    <t>Shuddha Chaya</t>
  </si>
  <si>
    <t>D, D PP(M)P, PmR G m DPGGm R, (S)NN S, D, D…</t>
  </si>
  <si>
    <t>Shuddha Kalyan</t>
  </si>
  <si>
    <t>(S)R S(NS) S, S(ND) D\P, N(D) S(NS) S(NR)S SR R\SS, R G R(SNS) (S)R (N)S S(ND), D(SRG) (S)RRG R(S), (S)R S(NS) S, S(ND) D\P, (N)D (N)SS; SG, RG(MPDMPGRGM) G(MPDMPRG)R S(ND); (S)R S(NS) S…</t>
  </si>
  <si>
    <t>Shuddha Malhar</t>
  </si>
  <si>
    <t>m\RR PP S\DD (D)SRS, SDP, m\RR PP S\DD (D)SRS…</t>
  </si>
  <si>
    <t>Shuddha Sarang</t>
  </si>
  <si>
    <t>R(m)R, MMP, (NR)SN, P(M)P, m\R, (m)RNS…</t>
  </si>
  <si>
    <t>Shukla Bilawal</t>
  </si>
  <si>
    <t>GGm, m(Gm), mG(RS), G(mG)m m(DP) (D)G (P)m, G(RGR) Gm; m\R m\R R/P, (GD)P (DP)DPm, G(mPm)G, SG Gm…</t>
  </si>
  <si>
    <t>Shyam Kalyan</t>
  </si>
  <si>
    <t>(RS)NSGmP G(mG)mP G(mG)mP, MPDP M(PM)P N(D)NND (D)PMPMPM, GmRSNSR R(PMPMRMPD), (G)mR; RPMPMDPD MPGmGRNS, R(m)R(m)R M(P)M(P)G P(D)P(D)P, M(P)MP (D)SNRS (D)NDPM MPD, (DP)MP, Gm RSRS, GmRSNS, S(NSGRSN)…</t>
  </si>
  <si>
    <t>Simhendra Madhyamam</t>
  </si>
  <si>
    <t>(P)Md S, (S)NS (S)dP; MP gRS, RRS NSRgMP…</t>
  </si>
  <si>
    <t>Sindhura</t>
  </si>
  <si>
    <t>R(mgm)R, SS, m\R(mR), mm, PDP(D)S, S, n/R(S) S(nSD), DD DPm, mPD m\g(m) R(mgm)RS, mR(mR), mm, PP DP(D)S…</t>
  </si>
  <si>
    <t>Sohini</t>
  </si>
  <si>
    <t>D NSND, M MGGMDNS, N/r S, NSND…</t>
  </si>
  <si>
    <t>Sohini Pancham</t>
  </si>
  <si>
    <t>(S)G, MGr(SN)S, SGMP (PM)P, (MP)GmG, GmP(DP)S (ND)N, N(DSNSr) (SN)S (ND)ND G(mG)P GP, (Gm)G, (S)MG, M(GMG)rS; MGrS…</t>
  </si>
  <si>
    <t>Sonakshi</t>
  </si>
  <si>
    <t>GmMm; MmG / dmPG; Gm(G)rS / NrGMD; DMGrS…</t>
  </si>
  <si>
    <t>Sorath</t>
  </si>
  <si>
    <t>Gm\SRGPN, NNS(RS) n\D(P)P; Gm\SRGPN, NNS(RS) n\D(P)P; Gm\SRGPN…</t>
  </si>
  <si>
    <t>Sughrai</t>
  </si>
  <si>
    <t>P/S(SP) (P)nP P, P(nPn) PmP, Pm(g) mgm, (mgm)n PP P(m) (m)nP P, P(nPn) PmP, Pm(g) m(g), (g)m RSR(gS) S, nSR m(g) mg m(gm)RP, m(Pm)n PP, P/S(SP) (P)nP P…</t>
  </si>
  <si>
    <t>Suha Kanada</t>
  </si>
  <si>
    <t>RR g(mgPmgm) R(g) R(g) S, n(Sn) SR(gS)R g(mgmgmg), R(gRgRgR), S, n(RS) S(gR) g(m), R(SR) nS(RSn), P(nP)…</t>
  </si>
  <si>
    <t>Suha Todi</t>
  </si>
  <si>
    <t>S-r-g-m-P-dD-n-S</t>
  </si>
  <si>
    <t>nnPmP, S Sn\P, mP, (m\)g/mrS; nnPmP, S…</t>
  </si>
  <si>
    <t>Sundarkali</t>
  </si>
  <si>
    <t>S-r-G-P-n-S</t>
  </si>
  <si>
    <t>(n)S (nSn)P S(nSnSP), P(nP) S(n) rSG r, nSnSr, SnS(nSn)P, nPSn rSGr, PnSGPn(P), P(SnSnP)G, PnSrS, P(nP) n(Sn) S(rS) P(nP) G(PG)r, S(n) PnSr, S(nSn) S, rG (r)…</t>
  </si>
  <si>
    <t>Sundarkauns</t>
  </si>
  <si>
    <t>S-g-m-D-n-S</t>
  </si>
  <si>
    <t>S, (n)dnS, Sg, gm, m(ndn) dmP, (P)Gm, Gm\S…</t>
  </si>
  <si>
    <t>Surdasi Malhar</t>
  </si>
  <si>
    <t>PnP m(R) RSNS (P)S, (nD)n (DP)D (P)m; PnP m(R) RSNS (P)S, (nD)n (DP)D (P)m…</t>
  </si>
  <si>
    <t>Swanandi</t>
  </si>
  <si>
    <t>Gm, G(mGm)D\P, mG, (G)P\m m\G G; Gm/ND Pm(P)G, Gm/ND Pm(P)mG, (G)P\m m\G G\R, (N)S, N, N\D(ND), NS…</t>
  </si>
  <si>
    <t>Tankeshree</t>
  </si>
  <si>
    <t>rS(rS)N SG(Gr), (P)G/P(MG), (P)G G(Gr) (S)PGP(G), G(Gr), (S)PGP, GrS, NNd, (N)dNd SN(Sr), S(d) dP(GPG), SGP, GrS…</t>
  </si>
  <si>
    <t>Tanseni Madhuvanti</t>
  </si>
  <si>
    <t>S-R-g-M-P-D-nN-S</t>
  </si>
  <si>
    <t>S-R-g-m-P-nN-S</t>
  </si>
  <si>
    <t>(M)DP M\g (gR)S M, MPP, (M)DP M\g (R)S M(g), (MPM)DP M\g (gR)S M(g), MP…</t>
  </si>
  <si>
    <t>S-Nn-D-P-m-g-Rr-S</t>
  </si>
  <si>
    <t>Tilak Bhairav</t>
  </si>
  <si>
    <t>S-rR-G-m-P-dD-N-S</t>
  </si>
  <si>
    <t>N(RSN) (P)S, SGR, Rm(P)G, G(RSG)R G, (S)G, (Pm)G\r S; S(m)R m(G)P(G), P(GmG)d P, Pd(mPm), PD mP(mG), S(G)RG\r S…</t>
  </si>
  <si>
    <t>Tilak Kamod</t>
  </si>
  <si>
    <t>RARE</t>
  </si>
  <si>
    <t>Tilak Malhar</t>
  </si>
  <si>
    <t>SRP(DnPmG), GRS, GR, GR(GRSR)mGRS, SRP(DSPmG), GRS, GR…</t>
  </si>
  <si>
    <t>Tilang</t>
  </si>
  <si>
    <t>S-G-m-P-nN-S</t>
  </si>
  <si>
    <t>GmP, NS, NSnP, P/n\P, GmG…</t>
  </si>
  <si>
    <t>Tilang Bahar</t>
  </si>
  <si>
    <t>(S)NN (S)NN, (P)n(Pn) P(mP) (g)mN, (S)NN (S)NN…</t>
  </si>
  <si>
    <t>Tivrakauns</t>
  </si>
  <si>
    <t>S-g-M-d-n-S</t>
  </si>
  <si>
    <t>(M)d g(S) M(dMd) g, S S(gS) (n)d, n(d)S, gM (M)d g(S) M(dMd) g, S S(gS) (n)d, n(d)S; (d)Md n M(gn) n(dnd) d, Md(ndMg), gM(dMg) (S)gS S, S(gS) (n)d, nS…</t>
  </si>
  <si>
    <t>Triveni</t>
  </si>
  <si>
    <t>S-r-G-P-d-N-S</t>
  </si>
  <si>
    <t>rr, rGrSS r, GrSS rr, GrSS(N)rr, GrSS, rrr rGPG(r), rrr, rGPG(rS), S(NS)P, PPPd P(rS), SP PPPd P, P/S(P) P(GP)d PPGS(N)r, GrSS(N) r, GrSS(N) r…</t>
  </si>
  <si>
    <t>Tulsikauns</t>
  </si>
  <si>
    <t>S-g-m-d-nN-S</t>
  </si>
  <si>
    <t>d, d, d, NNS, ggm, mdnNnd, ggN, S/m\g, g\S, SS(n/)S, gSn\d; NSgm…</t>
  </si>
  <si>
    <t>Vardhini</t>
  </si>
  <si>
    <t>d(ndndSn) SGG(mG), (PG)G (PG)Gmm g(S)S, G(ndG) (Gm)dnS, G, GG, GG(m), mmm…</t>
  </si>
  <si>
    <t>Vihang</t>
  </si>
  <si>
    <t>(GPM)P (PM)P (MP)G Mr, M\G; N(r)S, N(rSr)N (D)N, D(SN)SG (r), (r)M G, (GPMP)GrG r(SN)S, r(Sr) G(rG) M(GM) P(MP), (MPM)P M(PM)G Mr, M\G…</t>
  </si>
  <si>
    <t>Vijayanagari</t>
  </si>
  <si>
    <t>(S)R\S, D(SD)S, (DSDR)SD S(DS)D, DP, P(S)D/S (RS)R R(P)g, (RP)g RSR SS, (M)P P M\g(M)g RS, S(RS)R, R(gRS)S, D(SDSD)P, (SD)S…</t>
  </si>
  <si>
    <t>Virat Bhairav</t>
  </si>
  <si>
    <t>S-r-G-m-P-dD-n-S</t>
  </si>
  <si>
    <t>nSS n/rSnd, dnSrS rS(dn)S, Srr, r(SrSnSndnS)r, nnS(rSnS)r, (G)r (Gr)r, n(D) n(D) S(nr) n(r), nn(Snd), dnS nS, n n(DS)n\D(d) nS, nS nDnS…</t>
  </si>
  <si>
    <t>Viyogavarali</t>
  </si>
  <si>
    <t>dmg\r (g)rS, md(SN)S N\d, gr (g)r r\S; (S)r r(gr) Srm md(NSrS)g rS, (g)r (g)r (r)S; dmg\r (g)rS…</t>
  </si>
  <si>
    <t>Yaman</t>
  </si>
  <si>
    <t>Zeelaf</t>
  </si>
  <si>
    <t>S-G-m-P-d-S</t>
  </si>
  <si>
    <t>d, P, (P)dPm, mP, GmG\S, d, P…</t>
  </si>
  <si>
    <t>Zila Kafi</t>
  </si>
  <si>
    <t>nPS RgR; SR PPP, PmGmmm, gRggg, RSRRR; nPS gRgR, nPS GRGR, nPS gRgR…</t>
  </si>
  <si>
    <t>zz.TEST</t>
  </si>
  <si>
    <t>Arun Kauns</t>
  </si>
  <si>
    <t>S-G-m-d-N-S</t>
  </si>
  <si>
    <t>S-n-D-P-m-G-R-S</t>
  </si>
  <si>
    <t>Bahadurkauns</t>
  </si>
  <si>
    <t>S-R-g-m-d-N-S</t>
  </si>
  <si>
    <t>Bapukauns</t>
  </si>
  <si>
    <t>Bhinnakauns</t>
  </si>
  <si>
    <t>Charukauns</t>
  </si>
  <si>
    <t>Daraskauns</t>
  </si>
  <si>
    <t>S-n-P-M-G-S</t>
  </si>
  <si>
    <t>Amritvarshini</t>
  </si>
  <si>
    <t>S-G-M-P-N-S</t>
  </si>
  <si>
    <t>Deepkauns (v1)</t>
  </si>
  <si>
    <t>S-g-m-P-d-N-S</t>
  </si>
  <si>
    <t>Deepkauns (v2)</t>
  </si>
  <si>
    <t>S-g-m-P-D-N-S</t>
  </si>
  <si>
    <t>Dev Kauns</t>
  </si>
  <si>
    <t>Dhanikauns</t>
  </si>
  <si>
    <t>S-N-D-P-M-g-R-S</t>
  </si>
  <si>
    <t>Ganeshkauns</t>
  </si>
  <si>
    <t>S-N-d-P-M-g-r-S</t>
  </si>
  <si>
    <t>Gandharkauns</t>
  </si>
  <si>
    <t>S-G-m-d-n-S</t>
  </si>
  <si>
    <t>S-N-d-m-g-r-S</t>
  </si>
  <si>
    <t>Anup</t>
  </si>
  <si>
    <t>S-R-gG-m-P-n-S</t>
  </si>
  <si>
    <t>Gunakauns</t>
  </si>
  <si>
    <t>Gunjikauns</t>
  </si>
  <si>
    <t>Hafiz Kauns</t>
  </si>
  <si>
    <t>S-gG-m-P-dD-n-S</t>
  </si>
  <si>
    <t>S-Nn-D-P-m-G-R-S</t>
  </si>
  <si>
    <t>Asa</t>
  </si>
  <si>
    <t>Hussaini Kauns</t>
  </si>
  <si>
    <t>S-R-m-P-D-N-S</t>
  </si>
  <si>
    <t>S-N-D-P-m-G-r-S</t>
  </si>
  <si>
    <t>S-n-d-P-m-g-Rr-S</t>
  </si>
  <si>
    <t>Audav Meladalan</t>
  </si>
  <si>
    <t>S-g-mM-n-S</t>
  </si>
  <si>
    <t>Jai Kauns</t>
  </si>
  <si>
    <t>S-g-mM-D-N-S</t>
  </si>
  <si>
    <t>Badhans Sarang</t>
  </si>
  <si>
    <t>Kauns Gandhar</t>
  </si>
  <si>
    <t>S-R-g-m-D-n-S</t>
  </si>
  <si>
    <t>S-n-D-P-m-g-R-S</t>
  </si>
  <si>
    <t>Kaunsi Bhairavi</t>
  </si>
  <si>
    <t>Kaushik Bageshri</t>
  </si>
  <si>
    <t>S-R-g-m-d-n-S</t>
  </si>
  <si>
    <t>Kaushik Bahar</t>
  </si>
  <si>
    <t>S-R-g-m-P-dD-n-S</t>
  </si>
  <si>
    <t>S-n-P-m-g-R-S</t>
  </si>
  <si>
    <t>Kaushik Bhairav</t>
  </si>
  <si>
    <t>S-n-P-m-r-S</t>
  </si>
  <si>
    <t>Kaushik Ranjani</t>
  </si>
  <si>
    <t>S-n-P-g-r-S</t>
  </si>
  <si>
    <t>S-d-P-m-G-r-S</t>
  </si>
  <si>
    <t>Kaushik Todi</t>
  </si>
  <si>
    <t>S-g-mM-d-S</t>
  </si>
  <si>
    <t>S-N-D-P-M-G-r-S</t>
  </si>
  <si>
    <t>Kaushiki</t>
  </si>
  <si>
    <t>Madhkauns</t>
  </si>
  <si>
    <t>S-G-M-d-N-S</t>
  </si>
  <si>
    <t>S-N-d-P-M-G-r-S</t>
  </si>
  <si>
    <t>Basant Bahar</t>
  </si>
  <si>
    <t>S-n-d-P-m-G-r-S</t>
  </si>
  <si>
    <t>Mangalkauns</t>
  </si>
  <si>
    <t>Bayati</t>
  </si>
  <si>
    <t>Nabhukauns</t>
  </si>
  <si>
    <t>Neelkauns</t>
  </si>
  <si>
    <t>S-N-d-P-m-G-r-S</t>
  </si>
  <si>
    <t>Nirmalkauns</t>
  </si>
  <si>
    <t>Purana Chandrakauns</t>
  </si>
  <si>
    <t>S-n-d-P-m-g-r-S</t>
  </si>
  <si>
    <t>Bhankar</t>
  </si>
  <si>
    <t>Puriya Kauns</t>
  </si>
  <si>
    <t>S-G-m-d-nN-S</t>
  </si>
  <si>
    <t>Rageshri Kauns</t>
  </si>
  <si>
    <t>S-G-M-P-D-S</t>
  </si>
  <si>
    <t>Ranjankauns</t>
  </si>
  <si>
    <t>S-g-m-dD-n-S</t>
  </si>
  <si>
    <t>Rishabh Chandrakauns</t>
  </si>
  <si>
    <t>S-D-m-R-S</t>
  </si>
  <si>
    <t>S-r-G-mM-P-D-n-S</t>
  </si>
  <si>
    <t>Rishabh Malkauns</t>
  </si>
  <si>
    <t>Sarangkauns</t>
  </si>
  <si>
    <t>S-R-m-d-n-S</t>
  </si>
  <si>
    <t>S-G-m-P-n-S</t>
  </si>
  <si>
    <t>Shivkauns (v1)</t>
  </si>
  <si>
    <t>S-N-D-m-G-S</t>
  </si>
  <si>
    <t>Shivkauns (v2)</t>
  </si>
  <si>
    <t>S-D-P-G-R-S</t>
  </si>
  <si>
    <t>Shyamkauns</t>
  </si>
  <si>
    <t>S-d-P-g-r-S</t>
  </si>
  <si>
    <t>Sundarkauns (v1)</t>
  </si>
  <si>
    <t>S-d-P-G-r-S</t>
  </si>
  <si>
    <t>Sundarkauns (v2)</t>
  </si>
  <si>
    <t>S-r-m-P-d-n-S</t>
  </si>
  <si>
    <t>S-Nn-d-P-m-Gg-r-S</t>
  </si>
  <si>
    <t>Suryakauns (v1)</t>
  </si>
  <si>
    <t>S-G-m-P-N-S</t>
  </si>
  <si>
    <t>S-N-D-P-Mm-G-R-S</t>
  </si>
  <si>
    <t>Suryakauns (v2)</t>
  </si>
  <si>
    <t>S-R-gG-m-P-d-N-S</t>
  </si>
  <si>
    <t>Suryakosh</t>
  </si>
  <si>
    <t>S-N-D-P-m-G-R-S</t>
  </si>
  <si>
    <t>Chanchalas Malhar</t>
  </si>
  <si>
    <t>S-G-m-P-D-n-S</t>
  </si>
  <si>
    <t>S-Nn-D-P-Mm-G-S</t>
  </si>
  <si>
    <t>S-G-M-P-D-N-S</t>
  </si>
  <si>
    <t>S-n-D-P-Mm-G-R-S</t>
  </si>
  <si>
    <t>S-N-d-m-g-S</t>
  </si>
  <si>
    <t>S-Nn-d-m-g-R-S</t>
  </si>
  <si>
    <t>S-n-P-M-g-S</t>
  </si>
  <si>
    <t>S-Nn-d-P-m-g-R-S</t>
  </si>
  <si>
    <t>Chandraprabha</t>
  </si>
  <si>
    <t>S-R-m-d-N-S</t>
  </si>
  <si>
    <t>Charju ki Malhar</t>
  </si>
  <si>
    <t>S-n-d-P-m-G-R-S</t>
  </si>
  <si>
    <t>Chaya</t>
  </si>
  <si>
    <t>S-n-D-m-g-r-S</t>
  </si>
  <si>
    <t>Deepavali</t>
  </si>
  <si>
    <t>S-R-G-mM-D-N-S</t>
  </si>
  <si>
    <t>S-R-G-m-P-N-S</t>
  </si>
  <si>
    <t>S-n-d-P-m-Gg-R-S</t>
  </si>
  <si>
    <t>S-N-d-P-m-g-r-S</t>
  </si>
  <si>
    <t>S-n-D-P-m-g-Rr-S</t>
  </si>
  <si>
    <t>S-N-d-P-m-S</t>
  </si>
  <si>
    <t>S-n-P-M-R-S</t>
  </si>
  <si>
    <t>S-n-P-m-g-S</t>
  </si>
  <si>
    <t>Dhuliya Malhar</t>
  </si>
  <si>
    <t>S-N-d-M-G-r-S</t>
  </si>
  <si>
    <t>DoGa Kalyan</t>
  </si>
  <si>
    <t>S-gG-M-P-D-N-S</t>
  </si>
  <si>
    <t>S-D-P-m-R-S</t>
  </si>
  <si>
    <t>S-n-D-P-m-R-S</t>
  </si>
  <si>
    <t>Faridi Todi</t>
  </si>
  <si>
    <t>S-r-gG-M-d-n-S</t>
  </si>
  <si>
    <t>Firozkhani Todi</t>
  </si>
  <si>
    <t>S-r-g-M-d-S</t>
  </si>
  <si>
    <t>S-n-d-P-m-G-S</t>
  </si>
  <si>
    <t>Gaud</t>
  </si>
  <si>
    <t>S-n-d-P-m-g-S</t>
  </si>
  <si>
    <t>S-R-m-D-n-S</t>
  </si>
  <si>
    <t>S-N-d-M-g-r-S</t>
  </si>
  <si>
    <t>S-d-P-m-r-S</t>
  </si>
  <si>
    <t>S-G-m-P-D-N-S</t>
  </si>
  <si>
    <t>S-N-P-M-G-r-S</t>
  </si>
  <si>
    <t>S-N-P-G-R-S</t>
  </si>
  <si>
    <t>S-n-D-P-m-Gg-R-S</t>
  </si>
  <si>
    <t>S-n-D-M-g-S</t>
  </si>
  <si>
    <t>S-n-D-P-M-g-R-S</t>
  </si>
  <si>
    <t>S-N-D-M-G-S</t>
  </si>
  <si>
    <t>S-n-d-m-G-R-S</t>
  </si>
  <si>
    <t>S-R-gG-m-P-N-S</t>
  </si>
  <si>
    <t>S-Nn-D-P-m-Gg-R-S</t>
  </si>
  <si>
    <t>S-D-P-G-Rr-S</t>
  </si>
  <si>
    <t>S-G-P-N-S</t>
  </si>
  <si>
    <t>S-D-P-m-g-r-S</t>
  </si>
  <si>
    <t>S-n-D-P-G-R-S</t>
  </si>
  <si>
    <t>Japaniya</t>
  </si>
  <si>
    <t>S-R-g-P-d-S</t>
  </si>
  <si>
    <t>S-n-P-m-Gg-S</t>
  </si>
  <si>
    <t>Jog Tilang</t>
  </si>
  <si>
    <t>S-gG-m-P-nN-S</t>
  </si>
  <si>
    <t>S-G-m-D-n-S</t>
  </si>
  <si>
    <t>S-n-D-m-Gg-S</t>
  </si>
  <si>
    <t>S-n-D-P-m-Gg-S</t>
  </si>
  <si>
    <t>S-N-d-P-m-r-S</t>
  </si>
  <si>
    <t>S-N-d-P-m-Gg-S</t>
  </si>
  <si>
    <t>Jungala</t>
  </si>
  <si>
    <t>S-n-D-P-G-S</t>
  </si>
  <si>
    <t>S-n-D-P-M-R-S</t>
  </si>
  <si>
    <t>Kanakangi</t>
  </si>
  <si>
    <t>S-rR-m-P-dD-S</t>
  </si>
  <si>
    <t>S-M-P-D-N-S</t>
  </si>
  <si>
    <t>S-N-D-P-Mm-R-S</t>
  </si>
  <si>
    <t>S-N-D-P-G-R-S</t>
  </si>
  <si>
    <t>S-N-d-P-m-g-R-S</t>
  </si>
  <si>
    <t>S-rR-gG-m-P-D-n-S</t>
  </si>
  <si>
    <t>S-n-Dd-P-m-g-Rr-S</t>
  </si>
  <si>
    <t>S-N-d-Mm-G-r-S</t>
  </si>
  <si>
    <t>S-R-m-P-N-S</t>
  </si>
  <si>
    <t>S-g-P-D-n-S</t>
  </si>
  <si>
    <t>S-n-P-m-G-r-S</t>
  </si>
  <si>
    <t>Loom</t>
  </si>
  <si>
    <t>S-n-P-m-R-S</t>
  </si>
  <si>
    <t>S-n-D-m-G-S</t>
  </si>
  <si>
    <t>S-N-P-m-g-S</t>
  </si>
  <si>
    <t>Madhusurja</t>
  </si>
  <si>
    <t>S-g-M-P-N-S</t>
  </si>
  <si>
    <t>Madhyami</t>
  </si>
  <si>
    <t>S-P-G-S</t>
  </si>
  <si>
    <t>S-r-G-P-D-S</t>
  </si>
  <si>
    <t>S-D-P-M-G-r-S</t>
  </si>
  <si>
    <t>S-n-D-P-G-r-S</t>
  </si>
  <si>
    <t>S-n-d-m-g-S</t>
  </si>
  <si>
    <t>S-n-D-P-g-R-S</t>
  </si>
  <si>
    <t>S-N-D-P-m-Gg-R-S</t>
  </si>
  <si>
    <t>S-n-d-M-g-r-S</t>
  </si>
  <si>
    <t>Maru</t>
  </si>
  <si>
    <t>S-G-mM-P-N-S</t>
  </si>
  <si>
    <t>S-N-D-P-M-G-R-S</t>
  </si>
  <si>
    <t>S-N-D-M-G-r-S</t>
  </si>
  <si>
    <t>Meerabai Malhar</t>
  </si>
  <si>
    <t>S-N-Mm-G-r-S</t>
  </si>
  <si>
    <t>S-Nn-D-P-m-g-R-S</t>
  </si>
  <si>
    <t>S-n-d-P-m-Gg-S</t>
  </si>
  <si>
    <t>S-R-G-m-d-N-S</t>
  </si>
  <si>
    <t>S-N-d-P-m-G-R-S</t>
  </si>
  <si>
    <t>S-Nn-D-P-Mm-G-R-S</t>
  </si>
  <si>
    <t>S-r-g-M-P-D-nN-S</t>
  </si>
  <si>
    <t>S-n-D-P-M-g-r-S</t>
  </si>
  <si>
    <t>Palas</t>
  </si>
  <si>
    <t>S-N-d-P-Mm-G-r-S</t>
  </si>
  <si>
    <t>S-D-P-m-G-R-S</t>
  </si>
  <si>
    <t>S-N-D-P-m-g-R-S</t>
  </si>
  <si>
    <t>S-n-D-m-G-R-S</t>
  </si>
  <si>
    <t>S-N-D-M-G-R-S</t>
  </si>
  <si>
    <t>S-N-D-m-g-S</t>
  </si>
  <si>
    <t>S-n-D-P-M-G-r-S</t>
  </si>
  <si>
    <t>S-N-P-m-g-R-S</t>
  </si>
  <si>
    <t>S-N-D-m-R-S</t>
  </si>
  <si>
    <t>S-r-G-m-P-dD-S</t>
  </si>
  <si>
    <t>S-Dd-P-m-G-r-S</t>
  </si>
  <si>
    <t>S-n-d-P-g-r-S</t>
  </si>
  <si>
    <t>S-n-d-m-g-r-S</t>
  </si>
  <si>
    <t>S-n-D-P-g-r-S</t>
  </si>
  <si>
    <t>Sameshwari</t>
  </si>
  <si>
    <t>S-R-M-P-D-S</t>
  </si>
  <si>
    <t>S-R-G-M-P-D-S</t>
  </si>
  <si>
    <t>S-n-D-P-Mm-R-S</t>
  </si>
  <si>
    <t>S-n-d-M-G-R-S</t>
  </si>
  <si>
    <t>S-G-P-D-N-S</t>
  </si>
  <si>
    <t>Shankh Dhwani</t>
  </si>
  <si>
    <t>S-R-G-P-n-S</t>
  </si>
  <si>
    <t>Shiv Manjari</t>
  </si>
  <si>
    <t>Shivangi</t>
  </si>
  <si>
    <t>S-G-P-D-S</t>
  </si>
  <si>
    <t>Shivanjali</t>
  </si>
  <si>
    <t>S-gG-m-P-d-nN-S</t>
  </si>
  <si>
    <t>S-D-P-M-g-R-S</t>
  </si>
  <si>
    <t>S-D-P-g-R-S</t>
  </si>
  <si>
    <t>S-d-P-m-R-S</t>
  </si>
  <si>
    <t>S-r-M-P-N-S</t>
  </si>
  <si>
    <t>Shrutivardhini</t>
  </si>
  <si>
    <t>S-g-mM-P-n-S</t>
  </si>
  <si>
    <t>S-R-M-P-N-S</t>
  </si>
  <si>
    <t>S-N-d-P-M-g-R-S</t>
  </si>
  <si>
    <t>Sindhi Bhairavi</t>
  </si>
  <si>
    <t>Sohini Bahar</t>
  </si>
  <si>
    <t>S-rR-gG-mM-P-D-nN-S</t>
  </si>
  <si>
    <t>S-n-P-G-r-S</t>
  </si>
  <si>
    <t>S-n-D-m-g-S</t>
  </si>
  <si>
    <t>S-n-P-m-G-S</t>
  </si>
  <si>
    <t>Trishnaa</t>
  </si>
  <si>
    <t>S-R-gG-P-dD-S</t>
  </si>
  <si>
    <t>S-N-d-P-G-r-S</t>
  </si>
  <si>
    <t>S-n-D-P-M-G-R-S</t>
  </si>
  <si>
    <t>Yaman Kalyan</t>
  </si>
  <si>
    <t>S-d-P-m-G-S</t>
  </si>
  <si>
    <t>zz[TEST]</t>
  </si>
  <si>
    <t>S-gG-mM-n-S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</si>
</sst>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4.0"/>
      <color rgb="FF6AA84F"/>
      <name val="Open Sans"/>
    </font>
    <font>
      <b/>
      <sz val="11.0"/>
      <color rgb="FFEFEFEF"/>
      <name val="Open Sans"/>
    </font>
    <font>
      <b/>
      <sz val="12.0"/>
      <color theme="1"/>
      <name val="Open Sans"/>
    </font>
    <font>
      <b/>
      <sz val="11.0"/>
      <color theme="1"/>
      <name val="Arial"/>
    </font>
    <font>
      <b/>
      <sz val="10.0"/>
      <color theme="1"/>
      <name val="Open Sans"/>
    </font>
    <font>
      <b/>
      <sz val="14.0"/>
      <color rgb="FFD9D9D9"/>
      <name val="Open Sans"/>
    </font>
    <font>
      <b/>
      <sz val="9.0"/>
      <color theme="1"/>
      <name val="Open Sans"/>
    </font>
    <font>
      <b/>
      <sz val="12.0"/>
      <color theme="1"/>
      <name val="Arial"/>
      <scheme val="minor"/>
    </font>
    <font/>
    <font>
      <b/>
      <sz val="12.0"/>
      <color theme="1"/>
      <name val="Arial"/>
    </font>
    <font>
      <b/>
      <sz val="12.0"/>
      <color rgb="FFEFEFEF"/>
      <name val="Open Sans"/>
    </font>
    <font>
      <b/>
      <sz val="11.0"/>
      <color theme="1"/>
      <name val="Open Sans"/>
    </font>
    <font>
      <b/>
      <sz val="8.0"/>
      <color theme="1"/>
      <name val="Open Sans"/>
    </font>
    <font>
      <sz val="6.0"/>
      <color theme="1"/>
      <name val="Open Sans"/>
    </font>
    <font>
      <sz val="6.0"/>
      <color theme="1"/>
      <name val="Arial"/>
    </font>
    <font>
      <b/>
      <sz val="7.0"/>
      <color theme="1"/>
      <name val="Open Sans"/>
    </font>
    <font>
      <color theme="1"/>
      <name val="Arial"/>
    </font>
    <font>
      <b/>
      <sz val="5.0"/>
      <color theme="1"/>
      <name val="Open Sans"/>
    </font>
    <font>
      <b/>
      <sz val="10.0"/>
      <color rgb="FF0000FF"/>
      <name val="Open Sans"/>
    </font>
    <font>
      <b/>
      <sz val="6.0"/>
      <color theme="1"/>
      <name val="Open Sans"/>
    </font>
    <font>
      <b/>
      <sz val="11.0"/>
      <color rgb="FF1155CC"/>
      <name val="Open Sans"/>
    </font>
    <font>
      <b/>
      <sz val="7.0"/>
      <color theme="1"/>
      <name val="Arial"/>
    </font>
    <font>
      <sz val="8.0"/>
      <color theme="1"/>
      <name val="Open Sans"/>
    </font>
    <font>
      <b/>
      <sz val="11.0"/>
      <color rgb="FF0000FF"/>
      <name val="Open Sans"/>
    </font>
    <font>
      <b/>
      <sz val="14.0"/>
      <color rgb="FFF1C232"/>
      <name val="Open Sans"/>
    </font>
    <font>
      <b/>
      <sz val="10.0"/>
      <color rgb="FFF1C232"/>
      <name val="Open Sans"/>
    </font>
    <font>
      <sz val="9.0"/>
      <color theme="1"/>
      <name val="Open Sans"/>
    </font>
    <font>
      <b/>
      <sz val="11.0"/>
      <color rgb="FF85200C"/>
      <name val="Open Sans"/>
    </font>
  </fonts>
  <fills count="2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</fills>
  <borders count="47">
    <border/>
    <border>
      <right style="thick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ck">
        <color rgb="FF000000"/>
      </right>
    </border>
    <border>
      <left style="medium">
        <color rgb="FF000000"/>
      </left>
      <right style="thick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</border>
    <border>
      <left style="thick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4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 vertical="center"/>
    </xf>
    <xf borderId="2" fillId="4" fontId="4" numFmtId="0" xfId="0" applyAlignment="1" applyBorder="1" applyFill="1" applyFont="1">
      <alignment horizontal="center" readingOrder="0" vertical="bottom"/>
    </xf>
    <xf borderId="3" fillId="5" fontId="5" numFmtId="0" xfId="0" applyAlignment="1" applyBorder="1" applyFill="1" applyFont="1">
      <alignment horizontal="center" readingOrder="0" vertical="center"/>
    </xf>
    <xf borderId="2" fillId="5" fontId="4" numFmtId="0" xfId="0" applyAlignment="1" applyBorder="1" applyFill="1" applyFont="1">
      <alignment horizontal="center" readingOrder="0" vertical="bottom"/>
    </xf>
    <xf borderId="2" fillId="4" fontId="5" numFmtId="0" xfId="0" applyAlignment="1" applyBorder="1" applyFill="1" applyFont="1">
      <alignment horizontal="center" readingOrder="0" vertical="center"/>
    </xf>
    <xf borderId="4" fillId="6" fontId="4" numFmtId="0" xfId="0" applyAlignment="1" applyBorder="1" applyFill="1" applyFont="1">
      <alignment horizontal="center" readingOrder="0" vertical="bottom"/>
    </xf>
    <xf borderId="5" fillId="4" fontId="5" numFmtId="0" xfId="0" applyAlignment="1" applyBorder="1" applyFill="1" applyFont="1">
      <alignment horizontal="center" readingOrder="0" vertical="center"/>
    </xf>
    <xf borderId="6" fillId="7" fontId="4" numFmtId="0" xfId="0" applyAlignment="1" applyBorder="1" applyFill="1" applyFont="1">
      <alignment horizontal="center" readingOrder="0" vertical="bottom"/>
    </xf>
    <xf borderId="7" fillId="4" fontId="3" numFmtId="49" xfId="0" applyAlignment="1" applyBorder="1" applyFill="1" applyFont="1" applyNumberFormat="1">
      <alignment horizontal="center" readingOrder="0" vertical="center"/>
    </xf>
    <xf borderId="2" fillId="2" fontId="6" numFmtId="0" xfId="0" applyAlignment="1" applyBorder="1" applyFill="1" applyFont="1">
      <alignment horizontal="center" readingOrder="0" vertical="center"/>
    </xf>
    <xf borderId="7" fillId="6" fontId="4" numFmtId="0" xfId="0" applyAlignment="1" applyBorder="1" applyFill="1" applyFont="1">
      <alignment horizontal="center" readingOrder="0" vertical="bottom"/>
    </xf>
    <xf borderId="8" fillId="8" fontId="7" numFmtId="0" xfId="0" applyAlignment="1" applyBorder="1" applyFill="1" applyFont="1">
      <alignment horizontal="center" readingOrder="0" vertical="center"/>
    </xf>
    <xf borderId="7" fillId="7" fontId="4" numFmtId="0" xfId="0" applyAlignment="1" applyBorder="1" applyFill="1" applyFont="1">
      <alignment horizontal="center" readingOrder="0" vertical="bottom"/>
    </xf>
    <xf borderId="9" fillId="5" fontId="8" numFmtId="0" xfId="0" applyAlignment="1" applyBorder="1" applyFill="1" applyFont="1">
      <alignment horizontal="center" readingOrder="0"/>
    </xf>
    <xf borderId="10" fillId="8" fontId="7" numFmtId="0" xfId="0" applyAlignment="1" applyBorder="1" applyFill="1" applyFont="1">
      <alignment horizontal="center" readingOrder="0" vertical="center"/>
    </xf>
    <xf borderId="2" fillId="7" fontId="4" numFmtId="0" xfId="0" applyAlignment="1" applyBorder="1" applyFill="1" applyFont="1">
      <alignment horizontal="center" readingOrder="0" vertical="bottom"/>
    </xf>
    <xf borderId="10" fillId="4" fontId="5" numFmtId="0" xfId="0" applyAlignment="1" applyBorder="1" applyFill="1" applyFont="1">
      <alignment horizontal="center" readingOrder="0" vertical="center"/>
    </xf>
    <xf borderId="0" fillId="7" fontId="8" numFmtId="0" xfId="0" applyAlignment="1" applyFill="1" applyFont="1">
      <alignment horizontal="center" readingOrder="0"/>
    </xf>
    <xf borderId="6" fillId="4" fontId="5" numFmtId="49" xfId="0" applyAlignment="1" applyBorder="1" applyFill="1" applyFont="1" applyNumberFormat="1">
      <alignment horizontal="center" readingOrder="0" vertical="center"/>
    </xf>
    <xf borderId="9" fillId="0" fontId="9" numFmtId="0" xfId="0" applyBorder="1" applyFont="1"/>
    <xf borderId="6" fillId="5" fontId="4" numFmtId="0" xfId="0" applyAlignment="1" applyBorder="1" applyFill="1" applyFont="1">
      <alignment horizontal="center" readingOrder="0" vertical="bottom"/>
    </xf>
    <xf borderId="0" fillId="9" fontId="8" numFmtId="0" xfId="0" applyAlignment="1" applyFill="1" applyFont="1">
      <alignment horizontal="center" readingOrder="0"/>
    </xf>
    <xf borderId="11" fillId="8" fontId="7" numFmtId="0" xfId="0" applyAlignment="1" applyBorder="1" applyFill="1" applyFont="1">
      <alignment horizontal="center" readingOrder="0" vertical="center"/>
    </xf>
    <xf borderId="4" fillId="5" fontId="4" numFmtId="0" xfId="0" applyAlignment="1" applyBorder="1" applyFill="1" applyFont="1">
      <alignment horizontal="center" readingOrder="0" vertical="bottom"/>
    </xf>
    <xf borderId="5" fillId="4" fontId="7" numFmtId="0" xfId="0" applyAlignment="1" applyBorder="1" applyFill="1" applyFont="1">
      <alignment horizontal="center" readingOrder="0" vertical="center"/>
    </xf>
    <xf borderId="10" fillId="4" fontId="7" numFmtId="0" xfId="0" applyAlignment="1" applyBorder="1" applyFill="1" applyFont="1">
      <alignment horizontal="center" readingOrder="0" vertical="center"/>
    </xf>
    <xf borderId="6" fillId="4" fontId="7" numFmtId="0" xfId="0" applyAlignment="1" applyBorder="1" applyFill="1" applyFont="1">
      <alignment horizontal="center" readingOrder="0" vertical="center"/>
    </xf>
    <xf borderId="8" fillId="8" fontId="7" numFmtId="49" xfId="0" applyAlignment="1" applyBorder="1" applyFill="1" applyFont="1" applyNumberFormat="1">
      <alignment horizontal="center" readingOrder="0" vertical="center"/>
    </xf>
    <xf borderId="10" fillId="8" fontId="7" numFmtId="49" xfId="0" applyAlignment="1" applyBorder="1" applyFill="1" applyFont="1" applyNumberFormat="1">
      <alignment horizontal="center" readingOrder="0" vertical="center"/>
    </xf>
    <xf borderId="0" fillId="0" fontId="8" numFmtId="0" xfId="0" applyAlignment="1" applyFont="1">
      <alignment horizontal="center"/>
    </xf>
    <xf borderId="9" fillId="10" fontId="10" numFmtId="0" xfId="0" applyAlignment="1" applyBorder="1" applyFill="1" applyFont="1">
      <alignment horizontal="center" vertical="bottom"/>
    </xf>
    <xf borderId="2" fillId="2" fontId="11" numFmtId="0" xfId="0" applyAlignment="1" applyBorder="1" applyFill="1" applyFont="1">
      <alignment horizontal="center" readingOrder="0" vertical="center"/>
    </xf>
    <xf borderId="11" fillId="8" fontId="7" numFmtId="49" xfId="0" applyAlignment="1" applyBorder="1" applyFill="1" applyFont="1" applyNumberFormat="1">
      <alignment horizontal="center" readingOrder="0" vertical="center"/>
    </xf>
    <xf borderId="2" fillId="5" fontId="8" numFmtId="0" xfId="0" applyAlignment="1" applyBorder="1" applyFill="1" applyFont="1">
      <alignment horizontal="center" readingOrder="0"/>
    </xf>
    <xf borderId="5" fillId="4" fontId="12" numFmtId="49" xfId="0" applyAlignment="1" applyBorder="1" applyFill="1" applyFont="1" applyNumberFormat="1">
      <alignment horizontal="center" readingOrder="0" vertical="center"/>
    </xf>
    <xf borderId="6" fillId="7" fontId="8" numFmtId="0" xfId="0" applyAlignment="1" applyBorder="1" applyFill="1" applyFont="1">
      <alignment horizontal="center" readingOrder="0"/>
    </xf>
    <xf borderId="6" fillId="4" fontId="12" numFmtId="49" xfId="0" applyAlignment="1" applyBorder="1" applyFill="1" applyFont="1" applyNumberFormat="1">
      <alignment horizontal="center" readingOrder="0" vertical="center"/>
    </xf>
    <xf borderId="6" fillId="11" fontId="7" numFmtId="49" xfId="0" applyAlignment="1" applyBorder="1" applyFill="1" applyFont="1" applyNumberFormat="1">
      <alignment horizontal="center" readingOrder="0" textRotation="255" vertical="center"/>
    </xf>
    <xf borderId="2" fillId="7" fontId="8" numFmtId="0" xfId="0" applyAlignment="1" applyBorder="1" applyFill="1" applyFont="1">
      <alignment horizontal="center" readingOrder="0"/>
    </xf>
    <xf borderId="6" fillId="9" fontId="8" numFmtId="0" xfId="0" applyAlignment="1" applyBorder="1" applyFill="1" applyFont="1">
      <alignment horizontal="center" readingOrder="0"/>
    </xf>
    <xf borderId="5" fillId="11" fontId="7" numFmtId="49" xfId="0" applyAlignment="1" applyBorder="1" applyFill="1" applyFont="1" applyNumberFormat="1">
      <alignment horizontal="center" readingOrder="0" textRotation="255" vertical="center"/>
    </xf>
    <xf borderId="2" fillId="9" fontId="8" numFmtId="0" xfId="0" applyAlignment="1" applyBorder="1" applyFill="1" applyFont="1">
      <alignment horizontal="center" readingOrder="0"/>
    </xf>
    <xf borderId="2" fillId="4" fontId="12" numFmtId="49" xfId="0" applyAlignment="1" applyBorder="1" applyFill="1" applyFont="1" applyNumberFormat="1">
      <alignment horizontal="center" readingOrder="0" vertical="center"/>
    </xf>
    <xf borderId="5" fillId="11" fontId="5" numFmtId="49" xfId="0" applyAlignment="1" applyBorder="1" applyFill="1" applyFont="1" applyNumberFormat="1">
      <alignment horizontal="center" readingOrder="0" vertical="center"/>
    </xf>
    <xf borderId="5" fillId="4" fontId="5" numFmtId="49" xfId="0" applyAlignment="1" applyBorder="1" applyFill="1" applyFont="1" applyNumberFormat="1">
      <alignment horizontal="center" readingOrder="0" vertical="center"/>
    </xf>
    <xf borderId="2" fillId="12" fontId="5" numFmtId="49" xfId="0" applyAlignment="1" applyBorder="1" applyFill="1" applyFont="1" applyNumberFormat="1">
      <alignment horizontal="center" readingOrder="0" vertical="center"/>
    </xf>
    <xf borderId="9" fillId="4" fontId="4" numFmtId="49" xfId="0" applyAlignment="1" applyBorder="1" applyFill="1" applyFont="1" applyNumberFormat="1">
      <alignment horizontal="center" readingOrder="0" vertical="bottom"/>
    </xf>
    <xf borderId="2" fillId="4" fontId="5" numFmtId="49" xfId="0" applyAlignment="1" applyBorder="1" applyFill="1" applyFont="1" applyNumberFormat="1">
      <alignment horizontal="center" readingOrder="0" vertical="center"/>
    </xf>
    <xf borderId="2" fillId="4" fontId="7" numFmtId="49" xfId="0" applyAlignment="1" applyBorder="1" applyFill="1" applyFont="1" applyNumberFormat="1">
      <alignment horizontal="center" readingOrder="0" vertical="center"/>
    </xf>
    <xf borderId="5" fillId="4" fontId="13" numFmtId="0" xfId="0" applyAlignment="1" applyBorder="1" applyFill="1" applyFont="1">
      <alignment horizontal="center" readingOrder="0" vertical="center"/>
    </xf>
    <xf borderId="9" fillId="10" fontId="8" numFmtId="0" xfId="0" applyAlignment="1" applyBorder="1" applyFill="1" applyFont="1">
      <alignment horizontal="center" readingOrder="0"/>
    </xf>
    <xf borderId="6" fillId="4" fontId="13" numFmtId="0" xfId="0" applyAlignment="1" applyBorder="1" applyFill="1" applyFont="1">
      <alignment horizontal="center" readingOrder="0" vertical="center"/>
    </xf>
    <xf borderId="9" fillId="13" fontId="8" numFmtId="0" xfId="0" applyAlignment="1" applyBorder="1" applyFill="1" applyFont="1">
      <alignment horizontal="center" readingOrder="0"/>
    </xf>
    <xf borderId="9" fillId="13" fontId="4" numFmtId="0" xfId="0" applyAlignment="1" applyBorder="1" applyFill="1" applyFont="1">
      <alignment horizontal="center" readingOrder="0" vertical="bottom"/>
    </xf>
    <xf borderId="12" fillId="4" fontId="13" numFmtId="0" xfId="0" applyAlignment="1" applyBorder="1" applyFill="1" applyFont="1">
      <alignment horizontal="center" readingOrder="0" vertical="center"/>
    </xf>
    <xf borderId="0" fillId="14" fontId="8" numFmtId="0" xfId="0" applyAlignment="1" applyFill="1" applyFont="1">
      <alignment horizontal="center" readingOrder="0"/>
    </xf>
    <xf borderId="13" fillId="6" fontId="4" numFmtId="0" xfId="0" applyAlignment="1" applyBorder="1" applyFill="1" applyFont="1">
      <alignment horizontal="center" readingOrder="0" vertical="bottom"/>
    </xf>
    <xf borderId="14" fillId="15" fontId="7" numFmtId="0" xfId="0" applyAlignment="1" applyBorder="1" applyFill="1" applyFont="1">
      <alignment horizontal="center" readingOrder="0" vertical="center"/>
    </xf>
    <xf borderId="9" fillId="14" fontId="8" numFmtId="0" xfId="0" applyAlignment="1" applyBorder="1" applyFill="1" applyFont="1">
      <alignment horizontal="center" readingOrder="0"/>
    </xf>
    <xf borderId="5" fillId="9" fontId="13" numFmtId="0" xfId="0" applyAlignment="1" applyBorder="1" applyFill="1" applyFont="1">
      <alignment horizontal="center" readingOrder="0" vertical="center"/>
    </xf>
    <xf borderId="0" fillId="14" fontId="4" numFmtId="0" xfId="0" applyAlignment="1" applyFill="1" applyFont="1">
      <alignment horizontal="center" readingOrder="0" vertical="bottom"/>
    </xf>
    <xf borderId="1" fillId="9" fontId="13" numFmtId="0" xfId="0" applyAlignment="1" applyBorder="1" applyFill="1" applyFont="1">
      <alignment horizontal="center" readingOrder="0" vertical="center"/>
    </xf>
    <xf borderId="0" fillId="14" fontId="4" numFmtId="0" xfId="0" applyAlignment="1" applyFill="1" applyFont="1">
      <alignment horizontal="center" vertical="bottom"/>
    </xf>
    <xf borderId="5" fillId="12" fontId="14" numFmtId="0" xfId="0" applyAlignment="1" applyBorder="1" applyFill="1" applyFont="1">
      <alignment horizontal="center" readingOrder="0" vertical="center"/>
    </xf>
    <xf borderId="10" fillId="12" fontId="15" numFmtId="0" xfId="0" applyAlignment="1" applyBorder="1" applyFill="1" applyFont="1">
      <alignment horizontal="center" readingOrder="0" vertical="center"/>
    </xf>
    <xf borderId="7" fillId="16" fontId="7" numFmtId="0" xfId="0" applyAlignment="1" applyBorder="1" applyFill="1" applyFont="1">
      <alignment horizontal="center" readingOrder="0" vertical="center"/>
    </xf>
    <xf borderId="0" fillId="4" fontId="8" numFmtId="0" xfId="0" applyAlignment="1" applyFill="1" applyFont="1">
      <alignment horizontal="center" readingOrder="0"/>
    </xf>
    <xf borderId="15" fillId="6" fontId="4" numFmtId="0" xfId="0" applyAlignment="1" applyBorder="1" applyFill="1" applyFont="1">
      <alignment horizontal="center" readingOrder="0" vertical="bottom"/>
    </xf>
    <xf borderId="10" fillId="16" fontId="7" numFmtId="0" xfId="0" applyAlignment="1" applyBorder="1" applyFill="1" applyFont="1">
      <alignment horizontal="center" readingOrder="0" vertical="center"/>
    </xf>
    <xf borderId="15" fillId="14" fontId="4" numFmtId="0" xfId="0" applyAlignment="1" applyBorder="1" applyFill="1" applyFont="1">
      <alignment horizontal="center" readingOrder="0" vertical="bottom"/>
    </xf>
    <xf borderId="12" fillId="12" fontId="15" numFmtId="0" xfId="0" applyAlignment="1" applyBorder="1" applyFill="1" applyFont="1">
      <alignment horizontal="center" readingOrder="0" vertical="center"/>
    </xf>
    <xf borderId="9" fillId="4" fontId="8" numFmtId="0" xfId="0" applyAlignment="1" applyBorder="1" applyFill="1" applyFont="1">
      <alignment horizontal="center" readingOrder="0"/>
    </xf>
    <xf borderId="2" fillId="16" fontId="7" numFmtId="0" xfId="0" applyAlignment="1" applyBorder="1" applyFill="1" applyFont="1">
      <alignment horizontal="center" readingOrder="0" vertical="center"/>
    </xf>
    <xf borderId="16" fillId="4" fontId="7" numFmtId="0" xfId="0" applyAlignment="1" applyBorder="1" applyFill="1" applyFont="1">
      <alignment horizontal="center" readingOrder="0" vertical="center"/>
    </xf>
    <xf borderId="6" fillId="16" fontId="7" numFmtId="0" xfId="0" applyAlignment="1" applyBorder="1" applyFill="1" applyFont="1">
      <alignment horizontal="center" readingOrder="0" vertical="center"/>
    </xf>
    <xf borderId="2" fillId="4" fontId="7" numFmtId="0" xfId="0" applyAlignment="1" applyBorder="1" applyFill="1" applyFont="1">
      <alignment horizontal="center" readingOrder="0" vertical="center"/>
    </xf>
    <xf borderId="9" fillId="14" fontId="4" numFmtId="0" xfId="0" applyAlignment="1" applyBorder="1" applyFill="1" applyFont="1">
      <alignment horizontal="center" readingOrder="0" vertical="bottom"/>
    </xf>
    <xf borderId="7" fillId="5" fontId="5" numFmtId="0" xfId="0" applyAlignment="1" applyBorder="1" applyFill="1" applyFont="1">
      <alignment horizontal="center" readingOrder="0" vertical="center"/>
    </xf>
    <xf borderId="8" fillId="4" fontId="7" numFmtId="0" xfId="0" applyAlignment="1" applyBorder="1" applyFill="1" applyFont="1">
      <alignment horizontal="center" readingOrder="0" vertical="center"/>
    </xf>
    <xf borderId="8" fillId="4" fontId="16" numFmtId="0" xfId="0" applyAlignment="1" applyBorder="1" applyFill="1" applyFont="1">
      <alignment horizontal="center" readingOrder="0" vertical="center"/>
    </xf>
    <xf borderId="10" fillId="4" fontId="16" numFmtId="0" xfId="0" applyAlignment="1" applyBorder="1" applyFill="1" applyFont="1">
      <alignment horizontal="center" readingOrder="0" vertical="center"/>
    </xf>
    <xf borderId="0" fillId="13" fontId="4" numFmtId="0" xfId="0" applyAlignment="1" applyFill="1" applyFont="1">
      <alignment horizontal="center" readingOrder="0" vertical="bottom"/>
    </xf>
    <xf borderId="12" fillId="4" fontId="16" numFmtId="0" xfId="0" applyAlignment="1" applyBorder="1" applyFill="1" applyFont="1">
      <alignment horizontal="center" readingOrder="0" vertical="center"/>
    </xf>
    <xf borderId="8" fillId="4" fontId="12" numFmtId="49" xfId="0" applyAlignment="1" applyBorder="1" applyFill="1" applyFont="1" applyNumberFormat="1">
      <alignment horizontal="center" readingOrder="0" vertical="center"/>
    </xf>
    <xf borderId="1" fillId="4" fontId="12" numFmtId="0" xfId="0" applyAlignment="1" applyBorder="1" applyFill="1" applyFont="1">
      <alignment horizontal="center" readingOrder="0" vertical="center"/>
    </xf>
    <xf borderId="2" fillId="8" fontId="5" numFmtId="0" xfId="0" applyAlignment="1" applyBorder="1" applyFill="1" applyFont="1">
      <alignment horizontal="center" readingOrder="0" vertical="center"/>
    </xf>
    <xf borderId="5" fillId="7" fontId="16" numFmtId="0" xfId="0" applyAlignment="1" applyBorder="1" applyFill="1" applyFont="1">
      <alignment horizontal="center" readingOrder="0" vertical="center"/>
    </xf>
    <xf borderId="6" fillId="8" fontId="5" numFmtId="0" xfId="0" applyAlignment="1" applyBorder="1" applyFill="1" applyFont="1">
      <alignment horizontal="center" readingOrder="0" vertical="center"/>
    </xf>
    <xf borderId="10" fillId="8" fontId="5" numFmtId="0" xfId="0" applyAlignment="1" applyBorder="1" applyFill="1" applyFont="1">
      <alignment horizontal="center" readingOrder="0" vertical="center"/>
    </xf>
    <xf borderId="13" fillId="13" fontId="4" numFmtId="0" xfId="0" applyAlignment="1" applyBorder="1" applyFill="1" applyFont="1">
      <alignment horizontal="center" readingOrder="0" vertical="bottom"/>
    </xf>
    <xf borderId="2" fillId="7" fontId="16" numFmtId="0" xfId="0" applyAlignment="1" applyBorder="1" applyFill="1" applyFont="1">
      <alignment horizontal="center" readingOrder="0" vertical="center"/>
    </xf>
    <xf borderId="6" fillId="4" fontId="12" numFmtId="0" xfId="0" applyAlignment="1" applyBorder="1" applyFill="1" applyFont="1">
      <alignment horizontal="center" readingOrder="0" vertical="center"/>
    </xf>
    <xf borderId="5" fillId="17" fontId="16" numFmtId="0" xfId="0" applyAlignment="1" applyBorder="1" applyFill="1" applyFont="1">
      <alignment horizontal="center" readingOrder="0" vertical="center"/>
    </xf>
    <xf borderId="10" fillId="4" fontId="12" numFmtId="0" xfId="0" applyAlignment="1" applyBorder="1" applyFill="1" applyFont="1">
      <alignment horizontal="center" readingOrder="0" vertical="center"/>
    </xf>
    <xf borderId="6" fillId="17" fontId="16" numFmtId="0" xfId="0" applyAlignment="1" applyBorder="1" applyFill="1" applyFont="1">
      <alignment horizontal="center" readingOrder="0" vertical="center"/>
    </xf>
    <xf borderId="11" fillId="17" fontId="16" numFmtId="0" xfId="0" applyAlignment="1" applyBorder="1" applyFill="1" applyFont="1">
      <alignment horizontal="center" readingOrder="0" vertical="center"/>
    </xf>
    <xf borderId="2" fillId="17" fontId="16" numFmtId="0" xfId="0" applyAlignment="1" applyBorder="1" applyFill="1" applyFont="1">
      <alignment horizontal="center" readingOrder="0" vertical="center"/>
    </xf>
    <xf borderId="17" fillId="4" fontId="12" numFmtId="0" xfId="0" applyAlignment="1" applyBorder="1" applyFill="1" applyFont="1">
      <alignment horizontal="center" readingOrder="0" vertical="center"/>
    </xf>
    <xf borderId="5" fillId="4" fontId="12" numFmtId="0" xfId="0" applyAlignment="1" applyBorder="1" applyFill="1" applyFont="1">
      <alignment horizontal="center" readingOrder="0" vertical="center"/>
    </xf>
    <xf borderId="5" fillId="8" fontId="5" numFmtId="0" xfId="0" applyAlignment="1" applyBorder="1" applyFill="1" applyFont="1">
      <alignment horizontal="center" readingOrder="0" vertical="center"/>
    </xf>
    <xf borderId="6" fillId="8" fontId="5" numFmtId="0" xfId="0" applyAlignment="1" applyBorder="1" applyFill="1" applyFont="1">
      <alignment horizontal="center" readingOrder="0" vertical="center"/>
    </xf>
    <xf borderId="10" fillId="18" fontId="5" numFmtId="0" xfId="0" applyAlignment="1" applyBorder="1" applyFill="1" applyFont="1">
      <alignment horizontal="center" readingOrder="0" vertical="center"/>
    </xf>
    <xf borderId="17" fillId="19" fontId="17" numFmtId="0" xfId="0" applyBorder="1" applyFill="1" applyFont="1"/>
    <xf borderId="6" fillId="18" fontId="13" numFmtId="0" xfId="0" applyAlignment="1" applyBorder="1" applyFill="1" applyFont="1">
      <alignment horizontal="center" readingOrder="0" vertical="center"/>
    </xf>
    <xf borderId="10" fillId="18" fontId="13" numFmtId="0" xfId="0" applyAlignment="1" applyBorder="1" applyFill="1" applyFont="1">
      <alignment horizontal="center" readingOrder="0" vertical="center"/>
    </xf>
    <xf borderId="6" fillId="20" fontId="13" numFmtId="0" xfId="0" applyAlignment="1" applyBorder="1" applyFill="1" applyFont="1">
      <alignment horizontal="center" readingOrder="0" vertical="center"/>
    </xf>
    <xf borderId="10" fillId="20" fontId="13" numFmtId="0" xfId="0" applyAlignment="1" applyBorder="1" applyFill="1" applyFont="1">
      <alignment horizontal="center" readingOrder="0" vertical="center"/>
    </xf>
    <xf borderId="6" fillId="18" fontId="5" numFmtId="0" xfId="0" applyAlignment="1" applyBorder="1" applyFill="1" applyFont="1">
      <alignment horizontal="center" readingOrder="0" vertical="center"/>
    </xf>
    <xf borderId="5" fillId="18" fontId="5" numFmtId="0" xfId="0" applyAlignment="1" applyBorder="1" applyFill="1" applyFont="1">
      <alignment horizontal="center" readingOrder="0" vertical="center"/>
    </xf>
    <xf borderId="8" fillId="8" fontId="7" numFmtId="0" xfId="0" applyAlignment="1" applyBorder="1" applyFill="1" applyFont="1">
      <alignment horizontal="center"/>
    </xf>
    <xf borderId="5" fillId="8" fontId="7" numFmtId="0" xfId="0" applyAlignment="1" applyBorder="1" applyFill="1" applyFont="1">
      <alignment horizontal="center"/>
    </xf>
    <xf borderId="2" fillId="8" fontId="7" numFmtId="0" xfId="0" applyAlignment="1" applyBorder="1" applyFill="1" applyFont="1">
      <alignment horizontal="center"/>
    </xf>
    <xf borderId="5" fillId="11" fontId="5" numFmtId="0" xfId="0" applyAlignment="1" applyBorder="1" applyFill="1" applyFont="1">
      <alignment horizontal="center" readingOrder="0" vertical="center"/>
    </xf>
    <xf borderId="6" fillId="11" fontId="5" numFmtId="0" xfId="0" applyAlignment="1" applyBorder="1" applyFill="1" applyFont="1">
      <alignment horizontal="center" readingOrder="0" vertical="center"/>
    </xf>
    <xf borderId="12" fillId="18" fontId="5" numFmtId="0" xfId="0" applyAlignment="1" applyBorder="1" applyFill="1" applyFont="1">
      <alignment horizontal="center" readingOrder="0" vertical="center"/>
    </xf>
    <xf borderId="5" fillId="8" fontId="7" numFmtId="0" xfId="0" applyAlignment="1" applyBorder="1" applyFill="1" applyFont="1">
      <alignment horizontal="center" readingOrder="0"/>
    </xf>
    <xf borderId="7" fillId="18" fontId="13" numFmtId="0" xfId="0" applyAlignment="1" applyBorder="1" applyFill="1" applyFont="1">
      <alignment horizontal="center" readingOrder="0" vertical="center"/>
    </xf>
    <xf borderId="11" fillId="20" fontId="13" numFmtId="0" xfId="0" applyAlignment="1" applyBorder="1" applyFill="1" applyFont="1">
      <alignment horizontal="center" readingOrder="0" vertical="center"/>
    </xf>
    <xf borderId="2" fillId="18" fontId="5" numFmtId="0" xfId="0" applyAlignment="1" applyBorder="1" applyFill="1" applyFont="1">
      <alignment horizontal="center" readingOrder="0" vertical="center"/>
    </xf>
    <xf borderId="8" fillId="8" fontId="7" numFmtId="0" xfId="0" applyAlignment="1" applyBorder="1" applyFill="1" applyFont="1">
      <alignment horizontal="center" vertical="bottom"/>
    </xf>
    <xf borderId="5" fillId="8" fontId="7" numFmtId="0" xfId="0" applyAlignment="1" applyBorder="1" applyFill="1" applyFont="1">
      <alignment horizontal="center" vertical="bottom"/>
    </xf>
    <xf borderId="2" fillId="8" fontId="7" numFmtId="0" xfId="0" applyAlignment="1" applyBorder="1" applyFill="1" applyFont="1">
      <alignment horizontal="center" vertical="bottom"/>
    </xf>
    <xf borderId="11" fillId="4" fontId="16" numFmtId="0" xfId="0" applyAlignment="1" applyBorder="1" applyFill="1" applyFont="1">
      <alignment horizontal="center" readingOrder="0" vertical="center"/>
    </xf>
    <xf borderId="8" fillId="8" fontId="18" numFmtId="0" xfId="0" applyAlignment="1" applyBorder="1" applyFill="1" applyFont="1">
      <alignment horizontal="center" vertical="bottom"/>
    </xf>
    <xf borderId="5" fillId="8" fontId="18" numFmtId="0" xfId="0" applyAlignment="1" applyBorder="1" applyFill="1" applyFont="1">
      <alignment horizontal="center" vertical="bottom"/>
    </xf>
    <xf borderId="2" fillId="8" fontId="18" numFmtId="0" xfId="0" applyAlignment="1" applyBorder="1" applyFill="1" applyFont="1">
      <alignment horizontal="center" vertical="bottom"/>
    </xf>
    <xf borderId="0" fillId="11" fontId="12" numFmtId="0" xfId="0" applyAlignment="1" applyFill="1" applyFont="1">
      <alignment horizontal="center" readingOrder="0" vertical="center"/>
    </xf>
    <xf borderId="18" fillId="21" fontId="19" numFmtId="0" xfId="0" applyAlignment="1" applyBorder="1" applyFill="1" applyFont="1">
      <alignment horizontal="center" readingOrder="0" vertical="center"/>
    </xf>
    <xf borderId="18" fillId="3" fontId="12" numFmtId="0" xfId="0" applyAlignment="1" applyBorder="1" applyFill="1" applyFont="1">
      <alignment horizontal="center" readingOrder="0" vertical="center"/>
    </xf>
    <xf borderId="19" fillId="5" fontId="12" numFmtId="0" xfId="0" applyAlignment="1" applyBorder="1" applyFill="1" applyFont="1">
      <alignment horizontal="center" readingOrder="0" vertical="center"/>
    </xf>
    <xf borderId="20" fillId="4" fontId="7" numFmtId="0" xfId="0" applyAlignment="1" applyBorder="1" applyFill="1" applyFont="1">
      <alignment horizontal="center" readingOrder="0" vertical="center"/>
    </xf>
    <xf borderId="21" fillId="4" fontId="12" numFmtId="0" xfId="0" applyAlignment="1" applyBorder="1" applyFill="1" applyFont="1">
      <alignment horizontal="center" readingOrder="0" vertical="center"/>
    </xf>
    <xf borderId="22" fillId="4" fontId="12" numFmtId="0" xfId="0" applyAlignment="1" applyBorder="1" applyFill="1" applyFont="1">
      <alignment horizontal="center" readingOrder="0" vertical="center"/>
    </xf>
    <xf borderId="23" fillId="4" fontId="12" numFmtId="49" xfId="0" applyAlignment="1" applyBorder="1" applyFill="1" applyFont="1" applyNumberFormat="1">
      <alignment horizontal="center" readingOrder="0" vertical="center"/>
    </xf>
    <xf borderId="24" fillId="4" fontId="12" numFmtId="49" xfId="0" applyAlignment="1" applyBorder="1" applyFill="1" applyFont="1" applyNumberFormat="1">
      <alignment horizontal="center" readingOrder="0" vertical="center"/>
    </xf>
    <xf borderId="25" fillId="8" fontId="20" numFmtId="0" xfId="0" applyAlignment="1" applyBorder="1" applyFill="1" applyFont="1">
      <alignment horizontal="center" readingOrder="0" vertical="center"/>
    </xf>
    <xf borderId="22" fillId="8" fontId="20" numFmtId="0" xfId="0" applyAlignment="1" applyBorder="1" applyFill="1" applyFont="1">
      <alignment horizontal="center" readingOrder="0" vertical="center"/>
    </xf>
    <xf borderId="2" fillId="19" fontId="5" numFmtId="0" xfId="0" applyAlignment="1" applyBorder="1" applyFill="1" applyFont="1">
      <alignment horizontal="center" readingOrder="0" vertical="center"/>
    </xf>
    <xf borderId="26" fillId="3" fontId="3" numFmtId="0" xfId="0" applyAlignment="1" applyBorder="1" applyFill="1" applyFont="1">
      <alignment horizontal="center" readingOrder="0" vertical="center"/>
    </xf>
    <xf borderId="17" fillId="3" fontId="3" numFmtId="0" xfId="0" applyAlignment="1" applyBorder="1" applyFill="1" applyFont="1">
      <alignment horizontal="center" readingOrder="0" vertical="center"/>
    </xf>
    <xf borderId="3" fillId="18" fontId="3" numFmtId="0" xfId="0" applyAlignment="1" applyBorder="1" applyFill="1" applyFont="1">
      <alignment horizontal="center" readingOrder="0" vertical="center"/>
    </xf>
    <xf borderId="5" fillId="18" fontId="12" numFmtId="0" xfId="0" applyAlignment="1" applyBorder="1" applyFill="1" applyFont="1">
      <alignment horizontal="center" readingOrder="0" vertical="center"/>
    </xf>
    <xf borderId="12" fillId="18" fontId="12" numFmtId="0" xfId="0" applyAlignment="1" applyBorder="1" applyFill="1" applyFont="1">
      <alignment horizontal="center" readingOrder="0" vertical="center"/>
    </xf>
    <xf borderId="27" fillId="18" fontId="12" numFmtId="0" xfId="0" applyAlignment="1" applyBorder="1" applyFill="1" applyFont="1">
      <alignment horizontal="center" readingOrder="0" vertical="center"/>
    </xf>
    <xf borderId="28" fillId="8" fontId="20" numFmtId="0" xfId="0" applyAlignment="1" applyBorder="1" applyFill="1" applyFont="1">
      <alignment horizontal="center" readingOrder="0" vertical="center"/>
    </xf>
    <xf borderId="5" fillId="18" fontId="13" numFmtId="0" xfId="0" applyAlignment="1" applyBorder="1" applyFill="1" applyFont="1">
      <alignment horizontal="center" readingOrder="0" vertical="center"/>
    </xf>
    <xf borderId="21" fillId="4" fontId="7" numFmtId="0" xfId="0" applyAlignment="1" applyBorder="1" applyFill="1" applyFont="1">
      <alignment horizontal="center" readingOrder="0" vertical="center"/>
    </xf>
    <xf borderId="11" fillId="18" fontId="7" numFmtId="0" xfId="0" applyAlignment="1" applyBorder="1" applyFill="1" applyFont="1">
      <alignment horizontal="center" readingOrder="0" vertical="center"/>
    </xf>
    <xf borderId="22" fillId="4" fontId="7" numFmtId="0" xfId="0" applyAlignment="1" applyBorder="1" applyFill="1" applyFont="1">
      <alignment horizontal="center" readingOrder="0" vertical="center"/>
    </xf>
    <xf borderId="0" fillId="11" fontId="7" numFmtId="0" xfId="0" applyAlignment="1" applyFill="1" applyFont="1">
      <alignment horizontal="center" readingOrder="0" vertical="center"/>
    </xf>
    <xf borderId="29" fillId="11" fontId="7" numFmtId="0" xfId="0" applyAlignment="1" applyBorder="1" applyFill="1" applyFont="1">
      <alignment horizontal="center" readingOrder="0" vertical="center"/>
    </xf>
    <xf borderId="30" fillId="11" fontId="7" numFmtId="0" xfId="0" applyAlignment="1" applyBorder="1" applyFill="1" applyFont="1">
      <alignment horizontal="center" readingOrder="0" vertical="center"/>
    </xf>
    <xf borderId="23" fillId="4" fontId="7" numFmtId="0" xfId="0" applyAlignment="1" applyBorder="1" applyFill="1" applyFont="1">
      <alignment horizontal="center" readingOrder="0" vertical="center"/>
    </xf>
    <xf borderId="9" fillId="11" fontId="7" numFmtId="0" xfId="0" applyAlignment="1" applyBorder="1" applyFill="1" applyFont="1">
      <alignment horizontal="center" readingOrder="0" vertical="center"/>
    </xf>
    <xf borderId="8" fillId="16" fontId="7" numFmtId="49" xfId="0" applyAlignment="1" applyBorder="1" applyFill="1" applyFont="1" applyNumberFormat="1">
      <alignment horizontal="center" vertical="center"/>
    </xf>
    <xf borderId="5" fillId="16" fontId="7" numFmtId="49" xfId="0" applyAlignment="1" applyBorder="1" applyFill="1" applyFont="1" applyNumberFormat="1">
      <alignment horizontal="center" vertical="center"/>
    </xf>
    <xf borderId="1" fillId="16" fontId="7" numFmtId="49" xfId="0" applyAlignment="1" applyBorder="1" applyFill="1" applyFont="1" applyNumberFormat="1">
      <alignment horizontal="center" vertical="center"/>
    </xf>
    <xf borderId="9" fillId="11" fontId="21" numFmtId="0" xfId="0" applyAlignment="1" applyBorder="1" applyFill="1" applyFont="1">
      <alignment horizontal="center" readingOrder="0" vertical="center"/>
    </xf>
    <xf borderId="21" fillId="4" fontId="12" numFmtId="49" xfId="0" applyAlignment="1" applyBorder="1" applyFill="1" applyFont="1" applyNumberFormat="1">
      <alignment horizontal="center" readingOrder="0" vertical="center"/>
    </xf>
    <xf borderId="25" fillId="8" fontId="7" numFmtId="0" xfId="0" applyAlignment="1" applyBorder="1" applyFill="1" applyFont="1">
      <alignment horizontal="center" readingOrder="0" vertical="center"/>
    </xf>
    <xf borderId="22" fillId="8" fontId="7" numFmtId="0" xfId="0" applyAlignment="1" applyBorder="1" applyFill="1" applyFont="1">
      <alignment horizontal="center" readingOrder="0" vertical="center"/>
    </xf>
    <xf borderId="28" fillId="8" fontId="7" numFmtId="0" xfId="0" applyAlignment="1" applyBorder="1" applyFill="1" applyFont="1">
      <alignment horizontal="center" readingOrder="0" vertical="center"/>
    </xf>
    <xf borderId="20" fillId="4" fontId="12" numFmtId="49" xfId="0" applyAlignment="1" applyBorder="1" applyFill="1" applyFont="1" applyNumberFormat="1">
      <alignment horizontal="center" readingOrder="0" vertical="center"/>
    </xf>
    <xf borderId="21" fillId="4" fontId="5" numFmtId="49" xfId="0" applyAlignment="1" applyBorder="1" applyFill="1" applyFont="1" applyNumberFormat="1">
      <alignment horizontal="center" readingOrder="0" vertical="center"/>
    </xf>
    <xf borderId="20" fillId="4" fontId="5" numFmtId="49" xfId="0" applyAlignment="1" applyBorder="1" applyFill="1" applyFont="1" applyNumberFormat="1">
      <alignment horizontal="center" readingOrder="0" vertical="center"/>
    </xf>
    <xf borderId="21" fillId="4" fontId="13" numFmtId="0" xfId="0" applyAlignment="1" applyBorder="1" applyFill="1" applyFont="1">
      <alignment horizontal="center" readingOrder="0" vertical="center"/>
    </xf>
    <xf borderId="23" fillId="4" fontId="13" numFmtId="0" xfId="0" applyAlignment="1" applyBorder="1" applyFill="1" applyFont="1">
      <alignment horizontal="center" readingOrder="0" vertical="center"/>
    </xf>
    <xf borderId="31" fillId="4" fontId="13" numFmtId="0" xfId="0" applyAlignment="1" applyBorder="1" applyFill="1" applyFont="1">
      <alignment horizontal="center" readingOrder="0" vertical="center"/>
    </xf>
    <xf borderId="32" fillId="15" fontId="7" numFmtId="0" xfId="0" applyAlignment="1" applyBorder="1" applyFill="1" applyFont="1">
      <alignment horizontal="center" readingOrder="0" vertical="center"/>
    </xf>
    <xf borderId="21" fillId="9" fontId="7" numFmtId="0" xfId="0" applyAlignment="1" applyBorder="1" applyFill="1" applyFont="1">
      <alignment horizontal="center" readingOrder="0" vertical="center"/>
    </xf>
    <xf borderId="18" fillId="9" fontId="7" numFmtId="0" xfId="0" applyAlignment="1" applyBorder="1" applyFill="1" applyFont="1">
      <alignment horizontal="center" readingOrder="0" vertical="center"/>
    </xf>
    <xf borderId="21" fillId="12" fontId="16" numFmtId="0" xfId="0" applyAlignment="1" applyBorder="1" applyFill="1" applyFont="1">
      <alignment horizontal="center" readingOrder="0" vertical="center"/>
    </xf>
    <xf borderId="22" fillId="12" fontId="16" numFmtId="0" xfId="0" applyAlignment="1" applyBorder="1" applyFill="1" applyFont="1">
      <alignment horizontal="center" readingOrder="0" vertical="center"/>
    </xf>
    <xf borderId="31" fillId="12" fontId="22" numFmtId="0" xfId="0" applyAlignment="1" applyBorder="1" applyFill="1" applyFont="1">
      <alignment horizontal="center" readingOrder="0" vertical="center"/>
    </xf>
    <xf borderId="33" fillId="4" fontId="7" numFmtId="0" xfId="0" applyAlignment="1" applyBorder="1" applyFill="1" applyFont="1">
      <alignment horizontal="center" readingOrder="0" vertical="center"/>
    </xf>
    <xf borderId="25" fillId="4" fontId="7" numFmtId="0" xfId="0" applyAlignment="1" applyBorder="1" applyFill="1" applyFont="1">
      <alignment horizontal="center" readingOrder="0" vertical="center"/>
    </xf>
    <xf borderId="20" fillId="4" fontId="13" numFmtId="0" xfId="0" applyAlignment="1" applyBorder="1" applyFill="1" applyFont="1">
      <alignment horizontal="center" readingOrder="0" vertical="center"/>
    </xf>
    <xf borderId="25" fillId="4" fontId="16" numFmtId="0" xfId="0" applyAlignment="1" applyBorder="1" applyFill="1" applyFont="1">
      <alignment horizontal="center" readingOrder="0" vertical="center"/>
    </xf>
    <xf borderId="22" fillId="4" fontId="16" numFmtId="0" xfId="0" applyAlignment="1" applyBorder="1" applyFill="1" applyFont="1">
      <alignment horizontal="center" readingOrder="0" vertical="center"/>
    </xf>
    <xf borderId="31" fillId="4" fontId="16" numFmtId="0" xfId="0" applyAlignment="1" applyBorder="1" applyFill="1" applyFont="1">
      <alignment horizontal="center" readingOrder="0" vertical="center"/>
    </xf>
    <xf borderId="25" fillId="8" fontId="7" numFmtId="49" xfId="0" applyAlignment="1" applyBorder="1" applyFill="1" applyFont="1" applyNumberFormat="1">
      <alignment horizontal="center" readingOrder="0" vertical="center"/>
    </xf>
    <xf borderId="22" fillId="8" fontId="7" numFmtId="49" xfId="0" applyAlignment="1" applyBorder="1" applyFill="1" applyFont="1" applyNumberFormat="1">
      <alignment horizontal="center" readingOrder="0" vertical="center"/>
    </xf>
    <xf borderId="28" fillId="8" fontId="7" numFmtId="49" xfId="0" applyAlignment="1" applyBorder="1" applyFill="1" applyFont="1" applyNumberFormat="1">
      <alignment horizontal="center" readingOrder="0" vertical="center"/>
    </xf>
    <xf borderId="18" fillId="4" fontId="12" numFmtId="0" xfId="0" applyAlignment="1" applyBorder="1" applyFill="1" applyFont="1">
      <alignment horizontal="center" readingOrder="0" vertical="center"/>
    </xf>
    <xf borderId="21" fillId="7" fontId="16" numFmtId="0" xfId="0" applyAlignment="1" applyBorder="1" applyFill="1" applyFont="1">
      <alignment horizontal="center" readingOrder="0" vertical="center"/>
    </xf>
    <xf borderId="20" fillId="7" fontId="16" numFmtId="0" xfId="0" applyAlignment="1" applyBorder="1" applyFill="1" applyFont="1">
      <alignment horizontal="center" readingOrder="0" vertical="center"/>
    </xf>
    <xf borderId="21" fillId="17" fontId="16" numFmtId="0" xfId="0" applyAlignment="1" applyBorder="1" applyFill="1" applyFont="1">
      <alignment horizontal="center" readingOrder="0" vertical="center"/>
    </xf>
    <xf borderId="23" fillId="17" fontId="16" numFmtId="0" xfId="0" applyAlignment="1" applyBorder="1" applyFill="1" applyFont="1">
      <alignment horizontal="center" readingOrder="0" vertical="center"/>
    </xf>
    <xf borderId="28" fillId="17" fontId="16" numFmtId="0" xfId="0" applyAlignment="1" applyBorder="1" applyFill="1" applyFont="1">
      <alignment horizontal="center" readingOrder="0" vertical="center"/>
    </xf>
    <xf borderId="20" fillId="17" fontId="16" numFmtId="0" xfId="0" applyAlignment="1" applyBorder="1" applyFill="1" applyFont="1">
      <alignment horizontal="center" readingOrder="0" vertical="center"/>
    </xf>
    <xf borderId="21" fillId="8" fontId="12" numFmtId="0" xfId="0" applyAlignment="1" applyBorder="1" applyFill="1" applyFont="1">
      <alignment horizontal="center" readingOrder="0" vertical="center"/>
    </xf>
    <xf borderId="23" fillId="8" fontId="12" numFmtId="0" xfId="0" applyAlignment="1" applyBorder="1" applyFill="1" applyFont="1">
      <alignment horizontal="center" readingOrder="0" vertical="center"/>
    </xf>
    <xf borderId="22" fillId="18" fontId="12" numFmtId="0" xfId="0" applyAlignment="1" applyBorder="1" applyFill="1" applyFont="1">
      <alignment horizontal="center" readingOrder="0" vertical="center"/>
    </xf>
    <xf borderId="23" fillId="18" fontId="13" numFmtId="0" xfId="0" applyAlignment="1" applyBorder="1" applyFill="1" applyFont="1">
      <alignment horizontal="center" readingOrder="0" vertical="center"/>
    </xf>
    <xf borderId="22" fillId="18" fontId="13" numFmtId="0" xfId="0" applyAlignment="1" applyBorder="1" applyFill="1" applyFont="1">
      <alignment horizontal="center" readingOrder="0" vertical="center"/>
    </xf>
    <xf borderId="23" fillId="20" fontId="13" numFmtId="0" xfId="0" applyAlignment="1" applyBorder="1" applyFill="1" applyFont="1">
      <alignment horizontal="center" readingOrder="0" vertical="center"/>
    </xf>
    <xf borderId="22" fillId="20" fontId="13" numFmtId="0" xfId="0" applyAlignment="1" applyBorder="1" applyFill="1" applyFont="1">
      <alignment horizontal="center" readingOrder="0" vertical="center"/>
    </xf>
    <xf borderId="21" fillId="18" fontId="12" numFmtId="0" xfId="0" applyAlignment="1" applyBorder="1" applyFill="1" applyFont="1">
      <alignment horizontal="center" readingOrder="0" vertical="center"/>
    </xf>
    <xf borderId="23" fillId="18" fontId="12" numFmtId="0" xfId="0" applyAlignment="1" applyBorder="1" applyFill="1" applyFont="1">
      <alignment horizontal="center" readingOrder="0" vertical="center"/>
    </xf>
    <xf borderId="25" fillId="8" fontId="7" numFmtId="0" xfId="0" applyAlignment="1" applyBorder="1" applyFill="1" applyFont="1">
      <alignment horizontal="center"/>
    </xf>
    <xf borderId="21" fillId="8" fontId="7" numFmtId="0" xfId="0" applyAlignment="1" applyBorder="1" applyFill="1" applyFont="1">
      <alignment horizontal="center"/>
    </xf>
    <xf borderId="20" fillId="8" fontId="7" numFmtId="0" xfId="0" applyAlignment="1" applyBorder="1" applyFill="1" applyFont="1">
      <alignment horizontal="center"/>
    </xf>
    <xf borderId="21" fillId="11" fontId="12" numFmtId="0" xfId="0" applyAlignment="1" applyBorder="1" applyFill="1" applyFont="1">
      <alignment horizontal="center" readingOrder="0" vertical="center"/>
    </xf>
    <xf borderId="23" fillId="11" fontId="12" numFmtId="0" xfId="0" applyAlignment="1" applyBorder="1" applyFill="1" applyFont="1">
      <alignment horizontal="center" readingOrder="0" vertical="center"/>
    </xf>
    <xf borderId="25" fillId="8" fontId="20" numFmtId="0" xfId="0" applyAlignment="1" applyBorder="1" applyFill="1" applyFont="1">
      <alignment horizontal="center" vertical="center"/>
    </xf>
    <xf borderId="21" fillId="8" fontId="20" numFmtId="0" xfId="0" applyAlignment="1" applyBorder="1" applyFill="1" applyFont="1">
      <alignment horizontal="center" vertical="center"/>
    </xf>
    <xf borderId="23" fillId="11" fontId="20" numFmtId="0" xfId="0" applyAlignment="1" applyBorder="1" applyFill="1" applyFont="1">
      <alignment horizontal="center" readingOrder="0" textRotation="255" vertical="center"/>
    </xf>
    <xf borderId="20" fillId="8" fontId="20" numFmtId="0" xfId="0" applyAlignment="1" applyBorder="1" applyFill="1" applyFont="1">
      <alignment horizontal="center" vertical="center"/>
    </xf>
    <xf borderId="25" fillId="8" fontId="7" numFmtId="0" xfId="0" applyAlignment="1" applyBorder="1" applyFill="1" applyFont="1">
      <alignment horizontal="center" vertical="bottom"/>
    </xf>
    <xf borderId="21" fillId="8" fontId="7" numFmtId="0" xfId="0" applyAlignment="1" applyBorder="1" applyFill="1" applyFont="1">
      <alignment horizontal="center" vertical="bottom"/>
    </xf>
    <xf borderId="21" fillId="11" fontId="20" numFmtId="0" xfId="0" applyAlignment="1" applyBorder="1" applyFill="1" applyFont="1">
      <alignment horizontal="center" readingOrder="0" textRotation="255" vertical="center"/>
    </xf>
    <xf borderId="21" fillId="11" fontId="12" numFmtId="49" xfId="0" applyAlignment="1" applyBorder="1" applyFill="1" applyFont="1" applyNumberFormat="1">
      <alignment horizontal="center" readingOrder="0" vertical="center"/>
    </xf>
    <xf borderId="20" fillId="8" fontId="7" numFmtId="0" xfId="0" applyAlignment="1" applyBorder="1" applyFill="1" applyFont="1">
      <alignment horizontal="center" vertical="bottom"/>
    </xf>
    <xf borderId="25" fillId="8" fontId="18" numFmtId="0" xfId="0" applyAlignment="1" applyBorder="1" applyFill="1" applyFont="1">
      <alignment horizontal="center" vertical="bottom"/>
    </xf>
    <xf borderId="20" fillId="12" fontId="12" numFmtId="49" xfId="0" applyAlignment="1" applyBorder="1" applyFill="1" applyFont="1" applyNumberFormat="1">
      <alignment horizontal="center" readingOrder="0" vertical="center"/>
    </xf>
    <xf borderId="21" fillId="8" fontId="18" numFmtId="0" xfId="0" applyAlignment="1" applyBorder="1" applyFill="1" applyFont="1">
      <alignment horizontal="center" vertical="bottom"/>
    </xf>
    <xf borderId="20" fillId="8" fontId="18" numFmtId="0" xfId="0" applyAlignment="1" applyBorder="1" applyFill="1" applyFont="1">
      <alignment horizontal="center" vertical="bottom"/>
    </xf>
    <xf borderId="20" fillId="18" fontId="12" numFmtId="0" xfId="0" applyAlignment="1" applyBorder="1" applyFill="1" applyFont="1">
      <alignment horizontal="center" readingOrder="0" vertical="center"/>
    </xf>
    <xf borderId="34" fillId="22" fontId="12" numFmtId="0" xfId="0" applyAlignment="1" applyBorder="1" applyFill="1" applyFont="1">
      <alignment horizontal="center" readingOrder="0" vertical="center"/>
    </xf>
    <xf borderId="34" fillId="23" fontId="5" numFmtId="0" xfId="0" applyAlignment="1" applyBorder="1" applyFill="1" applyFont="1">
      <alignment horizontal="center" readingOrder="0" vertical="center"/>
    </xf>
    <xf borderId="35" fillId="23" fontId="5" numFmtId="0" xfId="0" applyAlignment="1" applyBorder="1" applyFill="1" applyFont="1">
      <alignment horizontal="center" readingOrder="0" vertical="center"/>
    </xf>
    <xf borderId="9" fillId="13" fontId="7" numFmtId="0" xfId="0" applyAlignment="1" applyBorder="1" applyFill="1" applyFont="1">
      <alignment horizontal="center" readingOrder="0" vertical="center"/>
    </xf>
    <xf borderId="9" fillId="20" fontId="5" numFmtId="0" xfId="0" applyAlignment="1" applyBorder="1" applyFill="1" applyFont="1">
      <alignment horizontal="center" vertical="center"/>
    </xf>
    <xf borderId="24" fillId="16" fontId="7" numFmtId="0" xfId="0" applyAlignment="1" applyBorder="1" applyFill="1" applyFont="1">
      <alignment horizontal="center" readingOrder="0" vertical="center"/>
    </xf>
    <xf borderId="30" fillId="20" fontId="5" numFmtId="0" xfId="0" applyAlignment="1" applyBorder="1" applyFill="1" applyFont="1">
      <alignment horizontal="center" readingOrder="0" vertical="center"/>
    </xf>
    <xf borderId="22" fillId="16" fontId="7" numFmtId="0" xfId="0" applyAlignment="1" applyBorder="1" applyFill="1" applyFont="1">
      <alignment horizontal="center" readingOrder="0" vertical="center"/>
    </xf>
    <xf borderId="29" fillId="20" fontId="5" numFmtId="0" xfId="0" applyAlignment="1" applyBorder="1" applyFill="1" applyFont="1">
      <alignment horizontal="center" vertical="center"/>
    </xf>
    <xf borderId="36" fillId="20" fontId="5" numFmtId="49" xfId="0" applyAlignment="1" applyBorder="1" applyFill="1" applyFont="1" applyNumberFormat="1">
      <alignment horizontal="center" readingOrder="0" vertical="center"/>
    </xf>
    <xf borderId="20" fillId="16" fontId="7" numFmtId="0" xfId="0" applyAlignment="1" applyBorder="1" applyFill="1" applyFont="1">
      <alignment horizontal="center" readingOrder="0" vertical="center"/>
    </xf>
    <xf borderId="23" fillId="16" fontId="7" numFmtId="0" xfId="0" applyAlignment="1" applyBorder="1" applyFill="1" applyFont="1">
      <alignment horizontal="center" readingOrder="0" vertical="center"/>
    </xf>
    <xf borderId="15" fillId="20" fontId="7" numFmtId="49" xfId="0" applyAlignment="1" applyBorder="1" applyFill="1" applyFont="1" applyNumberFormat="1">
      <alignment horizontal="center" readingOrder="0" vertical="center"/>
    </xf>
    <xf borderId="37" fillId="24" fontId="7" numFmtId="0" xfId="0" applyAlignment="1" applyBorder="1" applyFill="1" applyFont="1">
      <alignment horizontal="center" readingOrder="0" vertical="center"/>
    </xf>
    <xf borderId="24" fillId="5" fontId="7" numFmtId="0" xfId="0" applyAlignment="1" applyBorder="1" applyFill="1" applyFont="1">
      <alignment horizontal="center" readingOrder="0" vertical="center"/>
    </xf>
    <xf borderId="29" fillId="20" fontId="7" numFmtId="0" xfId="0" applyAlignment="1" applyBorder="1" applyFill="1" applyFont="1">
      <alignment horizontal="center" readingOrder="0" vertical="center"/>
    </xf>
    <xf borderId="29" fillId="20" fontId="7" numFmtId="0" xfId="0" applyAlignment="1" applyBorder="1" applyFill="1" applyFont="1">
      <alignment horizontal="center" vertical="center"/>
    </xf>
    <xf borderId="38" fillId="24" fontId="7" numFmtId="0" xfId="0" applyAlignment="1" applyBorder="1" applyFill="1" applyFont="1">
      <alignment horizontal="center" readingOrder="0" vertical="center"/>
    </xf>
    <xf borderId="30" fillId="20" fontId="5" numFmtId="0" xfId="0" applyAlignment="1" applyBorder="1" applyFill="1" applyFont="1">
      <alignment horizontal="center" vertical="center"/>
    </xf>
    <xf borderId="25" fillId="4" fontId="12" numFmtId="49" xfId="0" applyAlignment="1" applyBorder="1" applyFill="1" applyFont="1" applyNumberFormat="1">
      <alignment horizontal="center" readingOrder="0" vertical="center"/>
    </xf>
    <xf borderId="20" fillId="8" fontId="7" numFmtId="0" xfId="0" applyAlignment="1" applyBorder="1" applyFill="1" applyFont="1">
      <alignment horizontal="center" readingOrder="0" vertical="center"/>
    </xf>
    <xf borderId="36" fillId="20" fontId="7" numFmtId="0" xfId="0" applyAlignment="1" applyBorder="1" applyFill="1" applyFont="1">
      <alignment horizontal="center" vertical="center"/>
    </xf>
    <xf borderId="23" fillId="8" fontId="7" numFmtId="0" xfId="0" applyAlignment="1" applyBorder="1" applyFill="1" applyFont="1">
      <alignment horizontal="center" readingOrder="0" vertical="center"/>
    </xf>
    <xf borderId="37" fillId="24" fontId="7" numFmtId="49" xfId="0" applyAlignment="1" applyBorder="1" applyFill="1" applyFont="1" applyNumberFormat="1">
      <alignment horizontal="center" readingOrder="0" vertical="center"/>
    </xf>
    <xf borderId="29" fillId="20" fontId="7" numFmtId="49" xfId="0" applyAlignment="1" applyBorder="1" applyFill="1" applyFont="1" applyNumberFormat="1">
      <alignment horizontal="center" readingOrder="0" vertical="center"/>
    </xf>
    <xf borderId="29" fillId="20" fontId="7" numFmtId="49" xfId="0" applyAlignment="1" applyBorder="1" applyFill="1" applyFont="1" applyNumberFormat="1">
      <alignment horizontal="center" vertical="center"/>
    </xf>
    <xf borderId="39" fillId="4" fontId="5" numFmtId="0" xfId="0" applyAlignment="1" applyBorder="1" applyFill="1" applyFont="1">
      <alignment horizontal="center" readingOrder="0" vertical="center"/>
    </xf>
    <xf borderId="39" fillId="19" fontId="17" numFmtId="0" xfId="0" applyBorder="1" applyFill="1" applyFont="1"/>
    <xf borderId="38" fillId="24" fontId="7" numFmtId="49" xfId="0" applyAlignment="1" applyBorder="1" applyFill="1" applyFont="1" applyNumberFormat="1">
      <alignment horizontal="center" readingOrder="0" vertical="center"/>
    </xf>
    <xf borderId="30" fillId="20" fontId="7" numFmtId="49" xfId="0" applyAlignment="1" applyBorder="1" applyFill="1" applyFont="1" applyNumberFormat="1">
      <alignment horizontal="center" vertical="center"/>
    </xf>
    <xf borderId="36" fillId="20" fontId="12" numFmtId="49" xfId="0" applyAlignment="1" applyBorder="1" applyFill="1" applyFont="1" applyNumberFormat="1">
      <alignment horizontal="center" vertical="center"/>
    </xf>
    <xf borderId="31" fillId="18" fontId="12" numFmtId="0" xfId="0" applyAlignment="1" applyBorder="1" applyFill="1" applyFont="1">
      <alignment horizontal="center" readingOrder="0" vertical="center"/>
    </xf>
    <xf borderId="24" fillId="18" fontId="13" numFmtId="0" xfId="0" applyAlignment="1" applyBorder="1" applyFill="1" applyFont="1">
      <alignment horizontal="center" readingOrder="0" vertical="center"/>
    </xf>
    <xf borderId="28" fillId="20" fontId="13" numFmtId="0" xfId="0" applyAlignment="1" applyBorder="1" applyFill="1" applyFont="1">
      <alignment horizontal="center" readingOrder="0" vertical="center"/>
    </xf>
    <xf borderId="38" fillId="20" fontId="7" numFmtId="49" xfId="0" applyAlignment="1" applyBorder="1" applyFill="1" applyFont="1" applyNumberFormat="1">
      <alignment horizontal="center" vertical="center"/>
    </xf>
    <xf borderId="30" fillId="20" fontId="23" numFmtId="49" xfId="0" applyAlignment="1" applyBorder="1" applyFill="1" applyFont="1" applyNumberFormat="1">
      <alignment horizontal="center" vertical="center"/>
    </xf>
    <xf borderId="29" fillId="20" fontId="23" numFmtId="49" xfId="0" applyAlignment="1" applyBorder="1" applyFill="1" applyFont="1" applyNumberFormat="1">
      <alignment horizontal="center" vertical="center"/>
    </xf>
    <xf borderId="38" fillId="20" fontId="23" numFmtId="49" xfId="0" applyAlignment="1" applyBorder="1" applyFill="1" applyFont="1" applyNumberFormat="1">
      <alignment horizontal="center" vertical="center"/>
    </xf>
    <xf borderId="28" fillId="4" fontId="16" numFmtId="0" xfId="0" applyAlignment="1" applyBorder="1" applyFill="1" applyFont="1">
      <alignment horizontal="center" readingOrder="0" vertical="center"/>
    </xf>
    <xf borderId="36" fillId="20" fontId="5" numFmtId="0" xfId="0" applyAlignment="1" applyBorder="1" applyFill="1" applyFont="1">
      <alignment horizontal="center" vertical="center"/>
    </xf>
    <xf borderId="40" fillId="20" fontId="7" numFmtId="0" xfId="0" applyAlignment="1" applyBorder="1" applyFill="1" applyFont="1">
      <alignment horizontal="center" vertical="center"/>
    </xf>
    <xf borderId="20" fillId="10" fontId="8" numFmtId="0" xfId="0" applyAlignment="1" applyBorder="1" applyFill="1" applyFont="1">
      <alignment horizontal="center" readingOrder="0"/>
    </xf>
    <xf borderId="20" fillId="13" fontId="8" numFmtId="0" xfId="0" applyAlignment="1" applyBorder="1" applyFill="1" applyFont="1">
      <alignment horizontal="center" readingOrder="0"/>
    </xf>
    <xf borderId="23" fillId="14" fontId="8" numFmtId="0" xfId="0" applyAlignment="1" applyBorder="1" applyFill="1" applyFont="1">
      <alignment horizontal="center" readingOrder="0"/>
    </xf>
    <xf borderId="20" fillId="14" fontId="8" numFmtId="0" xfId="0" applyAlignment="1" applyBorder="1" applyFill="1" applyFont="1">
      <alignment horizontal="center" readingOrder="0"/>
    </xf>
    <xf borderId="23" fillId="4" fontId="8" numFmtId="0" xfId="0" applyAlignment="1" applyBorder="1" applyFill="1" applyFont="1">
      <alignment horizontal="center" readingOrder="0"/>
    </xf>
    <xf borderId="41" fillId="20" fontId="5" numFmtId="49" xfId="0" applyAlignment="1" applyBorder="1" applyFill="1" applyFont="1" applyNumberFormat="1">
      <alignment horizontal="center" vertical="center"/>
    </xf>
    <xf borderId="20" fillId="4" fontId="8" numFmtId="0" xfId="0" applyAlignment="1" applyBorder="1" applyFill="1" applyFont="1">
      <alignment horizontal="center" readingOrder="0"/>
    </xf>
    <xf borderId="30" fillId="20" fontId="14" numFmtId="0" xfId="0" applyAlignment="1" applyBorder="1" applyFill="1" applyFont="1">
      <alignment horizontal="center" vertical="center"/>
    </xf>
    <xf borderId="29" fillId="20" fontId="14" numFmtId="0" xfId="0" applyAlignment="1" applyBorder="1" applyFill="1" applyFont="1">
      <alignment horizontal="center" vertical="center"/>
    </xf>
    <xf borderId="29" fillId="20" fontId="15" numFmtId="0" xfId="0" applyAlignment="1" applyBorder="1" applyFill="1" applyFont="1">
      <alignment horizontal="center" vertical="center"/>
    </xf>
    <xf borderId="0" fillId="14" fontId="8" numFmtId="0" xfId="0" applyAlignment="1" applyFill="1" applyFont="1">
      <alignment horizontal="center"/>
    </xf>
    <xf borderId="9" fillId="14" fontId="8" numFmtId="0" xfId="0" applyAlignment="1" applyBorder="1" applyFill="1" applyFont="1">
      <alignment horizontal="center"/>
    </xf>
    <xf borderId="36" fillId="20" fontId="15" numFmtId="0" xfId="0" applyAlignment="1" applyBorder="1" applyFill="1" applyFont="1">
      <alignment horizontal="center" vertical="center"/>
    </xf>
    <xf borderId="20" fillId="19" fontId="12" numFmtId="0" xfId="0" applyAlignment="1" applyBorder="1" applyFill="1" applyFont="1">
      <alignment horizontal="center" readingOrder="0" vertical="center"/>
    </xf>
    <xf borderId="42" fillId="20" fontId="7" numFmtId="0" xfId="0" applyAlignment="1" applyBorder="1" applyFill="1" applyFont="1">
      <alignment horizontal="center" vertical="center"/>
    </xf>
    <xf borderId="43" fillId="3" fontId="12" numFmtId="0" xfId="0" applyAlignment="1" applyBorder="1" applyFill="1" applyFont="1">
      <alignment horizontal="center" readingOrder="0" vertical="center"/>
    </xf>
    <xf borderId="39" fillId="3" fontId="12" numFmtId="0" xfId="0" applyAlignment="1" applyBorder="1" applyFill="1" applyFont="1">
      <alignment horizontal="center" readingOrder="0" vertical="center"/>
    </xf>
    <xf borderId="38" fillId="20" fontId="7" numFmtId="0" xfId="0" applyAlignment="1" applyBorder="1" applyFill="1" applyFont="1">
      <alignment horizontal="center" vertical="center"/>
    </xf>
    <xf borderId="19" fillId="18" fontId="12" numFmtId="0" xfId="0" applyAlignment="1" applyBorder="1" applyFill="1" applyFont="1">
      <alignment horizontal="center" readingOrder="0" vertical="center"/>
    </xf>
    <xf borderId="44" fillId="18" fontId="12" numFmtId="0" xfId="0" applyAlignment="1" applyBorder="1" applyFill="1" applyFont="1">
      <alignment horizontal="center" readingOrder="0" vertical="center"/>
    </xf>
    <xf borderId="30" fillId="20" fontId="7" numFmtId="0" xfId="0" applyAlignment="1" applyBorder="1" applyFill="1" applyFont="1">
      <alignment horizontal="center" vertical="center"/>
    </xf>
    <xf borderId="28" fillId="18" fontId="7" numFmtId="0" xfId="0" applyAlignment="1" applyBorder="1" applyFill="1" applyFont="1">
      <alignment horizontal="center" readingOrder="0" vertical="center"/>
    </xf>
    <xf borderId="23" fillId="11" fontId="13" numFmtId="0" xfId="0" applyAlignment="1" applyBorder="1" applyFill="1" applyFont="1">
      <alignment horizontal="center" readingOrder="0" vertical="center"/>
    </xf>
    <xf borderId="22" fillId="11" fontId="13" numFmtId="0" xfId="0" applyAlignment="1" applyBorder="1" applyFill="1" applyFont="1">
      <alignment horizontal="center" readingOrder="0" vertical="center"/>
    </xf>
    <xf borderId="21" fillId="11" fontId="13" numFmtId="0" xfId="0" applyAlignment="1" applyBorder="1" applyFill="1" applyFont="1">
      <alignment horizontal="center" readingOrder="0" vertical="center"/>
    </xf>
    <xf borderId="38" fillId="20" fontId="5" numFmtId="0" xfId="0" applyAlignment="1" applyBorder="1" applyFill="1" applyFont="1">
      <alignment horizontal="center" vertical="center"/>
    </xf>
    <xf borderId="20" fillId="11" fontId="13" numFmtId="0" xfId="0" applyAlignment="1" applyBorder="1" applyFill="1" applyFont="1">
      <alignment horizontal="center" readingOrder="0" vertical="center"/>
    </xf>
    <xf borderId="30" fillId="20" fontId="18" numFmtId="0" xfId="0" applyAlignment="1" applyBorder="1" applyFill="1" applyFont="1">
      <alignment horizontal="center" vertical="center"/>
    </xf>
    <xf borderId="29" fillId="20" fontId="18" numFmtId="0" xfId="0" applyAlignment="1" applyBorder="1" applyFill="1" applyFont="1">
      <alignment horizontal="center" vertical="center"/>
    </xf>
    <xf borderId="25" fillId="16" fontId="20" numFmtId="0" xfId="0" applyAlignment="1" applyBorder="1" applyFill="1" applyFont="1">
      <alignment horizontal="center"/>
    </xf>
    <xf borderId="21" fillId="16" fontId="20" numFmtId="0" xfId="0" applyAlignment="1" applyBorder="1" applyFill="1" applyFont="1">
      <alignment horizontal="center"/>
    </xf>
    <xf borderId="36" fillId="20" fontId="18" numFmtId="0" xfId="0" applyAlignment="1" applyBorder="1" applyFill="1" applyFont="1">
      <alignment horizontal="center" vertical="center"/>
    </xf>
    <xf borderId="29" fillId="20" fontId="13" numFmtId="49" xfId="0" applyAlignment="1" applyBorder="1" applyFill="1" applyFont="1" applyNumberFormat="1">
      <alignment horizontal="center" readingOrder="0" vertical="center"/>
    </xf>
    <xf borderId="29" fillId="20" fontId="13" numFmtId="49" xfId="0" applyAlignment="1" applyBorder="1" applyFill="1" applyFont="1" applyNumberFormat="1">
      <alignment horizontal="center" vertical="center"/>
    </xf>
    <xf borderId="18" fillId="16" fontId="20" numFmtId="0" xfId="0" applyAlignment="1" applyBorder="1" applyFill="1" applyFont="1">
      <alignment horizontal="center"/>
    </xf>
    <xf borderId="20" fillId="11" fontId="12" numFmtId="0" xfId="0" applyAlignment="1" applyBorder="1" applyFill="1" applyFont="1">
      <alignment horizontal="center" readingOrder="0" vertical="center"/>
    </xf>
    <xf borderId="34" fillId="13" fontId="24" numFmtId="0" xfId="0" applyAlignment="1" applyBorder="1" applyFill="1" applyFont="1">
      <alignment horizontal="center" readingOrder="0" vertical="center"/>
    </xf>
    <xf borderId="30" fillId="20" fontId="13" numFmtId="49" xfId="0" applyAlignment="1" applyBorder="1" applyFill="1" applyFont="1" applyNumberFormat="1">
      <alignment horizontal="center" vertical="center"/>
    </xf>
    <xf borderId="41" fillId="20" fontId="13" numFmtId="0" xfId="0" applyAlignment="1" applyBorder="1" applyFill="1" applyFont="1">
      <alignment horizontal="center" vertical="center"/>
    </xf>
    <xf borderId="30" fillId="16" fontId="7" numFmtId="0" xfId="0" applyAlignment="1" applyBorder="1" applyFill="1" applyFont="1">
      <alignment horizontal="center" vertical="center"/>
    </xf>
    <xf borderId="30" fillId="16" fontId="13" numFmtId="0" xfId="0" applyAlignment="1" applyBorder="1" applyFill="1" applyFont="1">
      <alignment horizontal="center" vertical="center"/>
    </xf>
    <xf borderId="29" fillId="16" fontId="7" numFmtId="0" xfId="0" applyAlignment="1" applyBorder="1" applyFill="1" applyFont="1">
      <alignment horizontal="center" vertical="center"/>
    </xf>
    <xf borderId="29" fillId="16" fontId="13" numFmtId="0" xfId="0" applyAlignment="1" applyBorder="1" applyFill="1" applyFont="1">
      <alignment horizontal="center" vertical="center"/>
    </xf>
    <xf borderId="38" fillId="16" fontId="7" numFmtId="0" xfId="0" applyAlignment="1" applyBorder="1" applyFill="1" applyFont="1">
      <alignment horizontal="center" vertical="center"/>
    </xf>
    <xf borderId="30" fillId="14" fontId="16" numFmtId="0" xfId="0" applyAlignment="1" applyBorder="1" applyFill="1" applyFont="1">
      <alignment horizontal="center" vertical="center"/>
    </xf>
    <xf borderId="29" fillId="14" fontId="16" numFmtId="0" xfId="0" applyAlignment="1" applyBorder="1" applyFill="1" applyFont="1">
      <alignment horizontal="center" vertical="center"/>
    </xf>
    <xf borderId="38" fillId="14" fontId="16" numFmtId="0" xfId="0" applyAlignment="1" applyBorder="1" applyFill="1" applyFont="1">
      <alignment horizontal="center" vertical="center"/>
    </xf>
    <xf borderId="0" fillId="20" fontId="7" numFmtId="0" xfId="0" applyAlignment="1" applyFill="1" applyFont="1">
      <alignment horizontal="center" vertical="center"/>
    </xf>
    <xf borderId="30" fillId="16" fontId="16" numFmtId="0" xfId="0" applyAlignment="1" applyBorder="1" applyFill="1" applyFont="1">
      <alignment horizontal="center" vertical="center"/>
    </xf>
    <xf borderId="29" fillId="16" fontId="16" numFmtId="0" xfId="0" applyAlignment="1" applyBorder="1" applyFill="1" applyFont="1">
      <alignment horizontal="center" vertical="center"/>
    </xf>
    <xf borderId="38" fillId="16" fontId="16" numFmtId="0" xfId="0" applyAlignment="1" applyBorder="1" applyFill="1" applyFont="1">
      <alignment horizontal="center" vertical="center"/>
    </xf>
    <xf borderId="0" fillId="11" fontId="7" numFmtId="49" xfId="0" applyAlignment="1" applyFill="1" applyFont="1" applyNumberFormat="1">
      <alignment horizontal="center" readingOrder="0" textRotation="255" vertical="center"/>
    </xf>
    <xf borderId="30" fillId="11" fontId="7" numFmtId="49" xfId="0" applyAlignment="1" applyBorder="1" applyFill="1" applyFont="1" applyNumberFormat="1">
      <alignment horizontal="center" readingOrder="0" textRotation="255" vertical="center"/>
    </xf>
    <xf borderId="30" fillId="25" fontId="13" numFmtId="0" xfId="0" applyAlignment="1" applyBorder="1" applyFill="1" applyFont="1">
      <alignment horizontal="center" readingOrder="0" vertical="center"/>
    </xf>
    <xf borderId="30" fillId="11" fontId="7" numFmtId="49" xfId="0" applyAlignment="1" applyBorder="1" applyFill="1" applyFont="1" applyNumberFormat="1">
      <alignment horizontal="center" vertical="center"/>
    </xf>
    <xf borderId="0" fillId="8" fontId="13" numFmtId="0" xfId="0" applyAlignment="1" applyFill="1" applyFont="1">
      <alignment horizontal="center" readingOrder="0" vertical="center"/>
    </xf>
    <xf borderId="29" fillId="17" fontId="13" numFmtId="0" xfId="0" applyAlignment="1" applyBorder="1" applyFill="1" applyFont="1">
      <alignment horizontal="center" readingOrder="0" vertical="center"/>
    </xf>
    <xf borderId="9" fillId="12" fontId="7" numFmtId="49" xfId="0" applyAlignment="1" applyBorder="1" applyFill="1" applyFont="1" applyNumberFormat="1">
      <alignment horizontal="center" vertical="center"/>
    </xf>
    <xf borderId="38" fillId="20" fontId="12" numFmtId="49" xfId="0" applyAlignment="1" applyBorder="1" applyFill="1" applyFont="1" applyNumberFormat="1">
      <alignment horizontal="center" vertical="center"/>
    </xf>
    <xf borderId="0" fillId="17" fontId="13" numFmtId="0" xfId="0" applyAlignment="1" applyFill="1" applyFont="1">
      <alignment horizontal="center" readingOrder="0" vertical="center"/>
    </xf>
    <xf borderId="0" fillId="20" fontId="13" numFmtId="0" xfId="0" applyAlignment="1" applyFill="1" applyFont="1">
      <alignment horizontal="center" readingOrder="0" vertical="center"/>
    </xf>
    <xf borderId="9" fillId="20" fontId="7" numFmtId="49" xfId="0" applyAlignment="1" applyBorder="1" applyFill="1" applyFont="1" applyNumberFormat="1">
      <alignment horizontal="center" vertical="center"/>
    </xf>
    <xf borderId="29" fillId="20" fontId="13" numFmtId="0" xfId="0" applyAlignment="1" applyBorder="1" applyFill="1" applyFont="1">
      <alignment horizontal="center" readingOrder="0" vertical="center"/>
    </xf>
    <xf borderId="0" fillId="17" fontId="13" numFmtId="49" xfId="0" applyAlignment="1" applyFill="1" applyFont="1" applyNumberFormat="1">
      <alignment horizontal="center" readingOrder="0" vertical="center"/>
    </xf>
    <xf borderId="29" fillId="17" fontId="13" numFmtId="49" xfId="0" applyAlignment="1" applyBorder="1" applyFill="1" applyFont="1" applyNumberFormat="1">
      <alignment horizontal="center" readingOrder="0" vertical="center"/>
    </xf>
    <xf borderId="9" fillId="20" fontId="23" numFmtId="49" xfId="0" applyAlignment="1" applyBorder="1" applyFill="1" applyFont="1" applyNumberFormat="1">
      <alignment horizontal="center" vertical="center"/>
    </xf>
    <xf borderId="30" fillId="17" fontId="13" numFmtId="0" xfId="0" applyAlignment="1" applyBorder="1" applyFill="1" applyFont="1">
      <alignment horizontal="center" readingOrder="0" vertical="center"/>
    </xf>
    <xf borderId="0" fillId="26" fontId="13" numFmtId="0" xfId="0" applyAlignment="1" applyFill="1" applyFont="1">
      <alignment horizontal="center" readingOrder="0" vertical="center"/>
    </xf>
    <xf borderId="0" fillId="20" fontId="5" numFmtId="0" xfId="0" applyAlignment="1" applyFill="1" applyFont="1">
      <alignment horizontal="center" vertical="center"/>
    </xf>
    <xf borderId="37" fillId="24" fontId="7" numFmtId="0" xfId="0" applyAlignment="1" applyBorder="1" applyFill="1" applyFont="1">
      <alignment horizontal="center"/>
    </xf>
    <xf borderId="30" fillId="20" fontId="7" numFmtId="0" xfId="0" applyAlignment="1" applyBorder="1" applyFill="1" applyFont="1">
      <alignment horizontal="center"/>
    </xf>
    <xf borderId="15" fillId="16" fontId="7" numFmtId="0" xfId="0" applyAlignment="1" applyBorder="1" applyFill="1" applyFont="1">
      <alignment horizontal="center" readingOrder="0" vertical="center"/>
    </xf>
    <xf borderId="29" fillId="16" fontId="7" numFmtId="0" xfId="0" applyAlignment="1" applyBorder="1" applyFill="1" applyFont="1">
      <alignment horizontal="center" readingOrder="0" vertical="center"/>
    </xf>
    <xf borderId="9" fillId="16" fontId="7" numFmtId="0" xfId="0" applyAlignment="1" applyBorder="1" applyFill="1" applyFont="1">
      <alignment horizontal="center" readingOrder="0" vertical="center"/>
    </xf>
    <xf borderId="0" fillId="16" fontId="7" numFmtId="0" xfId="0" applyAlignment="1" applyFill="1" applyFont="1">
      <alignment horizontal="center" readingOrder="0" vertical="center"/>
    </xf>
    <xf borderId="15" fillId="13" fontId="12" numFmtId="0" xfId="0" applyAlignment="1" applyBorder="1" applyFill="1" applyFont="1">
      <alignment horizontal="center" readingOrder="0" vertical="center"/>
    </xf>
    <xf borderId="9" fillId="24" fontId="7" numFmtId="0" xfId="0" applyAlignment="1" applyBorder="1" applyFill="1" applyFont="1">
      <alignment horizontal="center"/>
    </xf>
    <xf borderId="30" fillId="14" fontId="13" numFmtId="0" xfId="0" applyAlignment="1" applyBorder="1" applyFill="1" applyFont="1">
      <alignment horizontal="center" readingOrder="0" vertical="center"/>
    </xf>
    <xf borderId="0" fillId="14" fontId="13" numFmtId="0" xfId="0" applyAlignment="1" applyFill="1" applyFont="1">
      <alignment horizontal="center" readingOrder="0" vertical="center"/>
    </xf>
    <xf borderId="34" fillId="20" fontId="5" numFmtId="49" xfId="0" applyAlignment="1" applyBorder="1" applyFill="1" applyFont="1" applyNumberFormat="1">
      <alignment horizontal="center" vertical="center"/>
    </xf>
    <xf borderId="9" fillId="20" fontId="7" numFmtId="0" xfId="0" applyAlignment="1" applyBorder="1" applyFill="1" applyFont="1">
      <alignment horizontal="center" vertical="center"/>
    </xf>
    <xf borderId="30" fillId="24" fontId="7" numFmtId="0" xfId="0" applyAlignment="1" applyBorder="1" applyFill="1" applyFont="1">
      <alignment horizontal="center"/>
    </xf>
    <xf borderId="37" fillId="20" fontId="7" numFmtId="0" xfId="0" applyAlignment="1" applyBorder="1" applyFill="1" applyFont="1">
      <alignment horizontal="center" vertical="center"/>
    </xf>
    <xf borderId="37" fillId="20" fontId="13" numFmtId="49" xfId="0" applyAlignment="1" applyBorder="1" applyFill="1" applyFont="1" applyNumberFormat="1">
      <alignment horizontal="center" vertical="center"/>
    </xf>
    <xf borderId="37" fillId="24" fontId="18" numFmtId="0" xfId="0" applyAlignment="1" applyBorder="1" applyFill="1" applyFont="1">
      <alignment horizontal="center" vertical="center"/>
    </xf>
    <xf borderId="30" fillId="20" fontId="18" numFmtId="0" xfId="0" applyAlignment="1" applyBorder="1" applyFill="1" applyFont="1">
      <alignment horizontal="center" vertical="center"/>
    </xf>
    <xf borderId="34" fillId="20" fontId="13" numFmtId="0" xfId="0" applyAlignment="1" applyBorder="1" applyFill="1" applyFont="1">
      <alignment horizontal="center" vertical="center"/>
    </xf>
    <xf borderId="9" fillId="27" fontId="5" numFmtId="49" xfId="0" applyAlignment="1" applyBorder="1" applyFill="1" applyFont="1" applyNumberFormat="1">
      <alignment horizontal="center" vertical="center"/>
    </xf>
    <xf borderId="9" fillId="27" fontId="5" numFmtId="0" xfId="0" applyAlignment="1" applyBorder="1" applyFill="1" applyFont="1">
      <alignment horizontal="center" vertical="center"/>
    </xf>
    <xf borderId="0" fillId="27" fontId="5" numFmtId="0" xfId="0" applyAlignment="1" applyFill="1" applyFont="1">
      <alignment horizontal="center" readingOrder="0" vertical="center"/>
    </xf>
    <xf borderId="29" fillId="27" fontId="5" numFmtId="0" xfId="0" applyAlignment="1" applyBorder="1" applyFill="1" applyFont="1">
      <alignment horizontal="center" readingOrder="0" vertical="center"/>
    </xf>
    <xf borderId="9" fillId="24" fontId="18" numFmtId="0" xfId="0" applyAlignment="1" applyBorder="1" applyFill="1" applyFont="1">
      <alignment horizontal="center" vertical="center"/>
    </xf>
    <xf borderId="37" fillId="24" fontId="16" numFmtId="0" xfId="0" applyAlignment="1" applyBorder="1" applyFill="1" applyFont="1">
      <alignment horizontal="center" vertical="center"/>
    </xf>
    <xf borderId="30" fillId="20" fontId="16" numFmtId="0" xfId="0" applyAlignment="1" applyBorder="1" applyFill="1" applyFont="1">
      <alignment horizontal="center" vertical="center"/>
    </xf>
    <xf borderId="36" fillId="20" fontId="7" numFmtId="49" xfId="0" applyAlignment="1" applyBorder="1" applyFill="1" applyFont="1" applyNumberFormat="1">
      <alignment horizontal="center" vertical="center"/>
    </xf>
    <xf borderId="35" fillId="20" fontId="7" numFmtId="0" xfId="0" applyAlignment="1" applyBorder="1" applyFill="1" applyFont="1">
      <alignment horizontal="center" vertical="center"/>
    </xf>
    <xf borderId="34" fillId="20" fontId="12" numFmtId="0" xfId="0" applyAlignment="1" applyBorder="1" applyFill="1" applyFont="1">
      <alignment horizontal="center" vertical="center"/>
    </xf>
    <xf borderId="9" fillId="24" fontId="16" numFmtId="0" xfId="0" applyAlignment="1" applyBorder="1" applyFill="1" applyFont="1">
      <alignment horizontal="center" vertical="center"/>
    </xf>
    <xf borderId="23" fillId="14" fontId="8" numFmtId="0" xfId="0" applyAlignment="1" applyBorder="1" applyFill="1" applyFont="1">
      <alignment horizontal="center"/>
    </xf>
    <xf borderId="20" fillId="14" fontId="8" numFmtId="0" xfId="0" applyAlignment="1" applyBorder="1" applyFill="1" applyFont="1">
      <alignment horizontal="center"/>
    </xf>
    <xf borderId="0" fillId="20" fontId="7" numFmtId="49" xfId="0" applyAlignment="1" applyFill="1" applyFont="1" applyNumberFormat="1">
      <alignment horizontal="center" vertical="center"/>
    </xf>
    <xf borderId="35" fillId="19" fontId="17" numFmtId="0" xfId="0" applyBorder="1" applyFill="1" applyFont="1"/>
    <xf borderId="9" fillId="16" fontId="7" numFmtId="0" xfId="0" applyAlignment="1" applyBorder="1" applyFill="1" applyFont="1">
      <alignment horizontal="center" vertical="center"/>
    </xf>
    <xf borderId="30" fillId="24" fontId="18" numFmtId="0" xfId="0" applyAlignment="1" applyBorder="1" applyFill="1" applyFont="1">
      <alignment horizontal="center" vertical="center"/>
    </xf>
    <xf borderId="0" fillId="14" fontId="16" numFmtId="0" xfId="0" applyAlignment="1" applyFill="1" applyFont="1">
      <alignment horizontal="center" vertical="center"/>
    </xf>
    <xf borderId="9" fillId="14" fontId="16" numFmtId="0" xfId="0" applyAlignment="1" applyBorder="1" applyFill="1" applyFont="1">
      <alignment horizontal="center" vertical="center"/>
    </xf>
    <xf borderId="9" fillId="17" fontId="13" numFmtId="0" xfId="0" applyAlignment="1" applyBorder="1" applyFill="1" applyFont="1">
      <alignment horizontal="center" readingOrder="0" vertical="center"/>
    </xf>
    <xf borderId="0" fillId="14" fontId="7" numFmtId="0" xfId="0" applyAlignment="1" applyFill="1" applyFont="1">
      <alignment horizontal="center" readingOrder="0" vertical="center"/>
    </xf>
    <xf borderId="9" fillId="16" fontId="16" numFmtId="0" xfId="0" applyAlignment="1" applyBorder="1" applyFill="1" applyFont="1">
      <alignment horizontal="center" vertical="center"/>
    </xf>
    <xf borderId="36" fillId="14" fontId="13" numFmtId="0" xfId="0" applyAlignment="1" applyBorder="1" applyFill="1" applyFont="1">
      <alignment horizontal="center" readingOrder="0" vertical="center"/>
    </xf>
    <xf borderId="15" fillId="14" fontId="13" numFmtId="0" xfId="0" applyAlignment="1" applyBorder="1" applyFill="1" applyFont="1">
      <alignment horizontal="center" readingOrder="0" vertical="center"/>
    </xf>
    <xf borderId="29" fillId="14" fontId="13" numFmtId="0" xfId="0" applyAlignment="1" applyBorder="1" applyFill="1" applyFont="1">
      <alignment horizontal="center" readingOrder="0" vertical="center"/>
    </xf>
    <xf borderId="38" fillId="20" fontId="13" numFmtId="0" xfId="0" applyAlignment="1" applyBorder="1" applyFill="1" applyFont="1">
      <alignment horizontal="center" readingOrder="0" vertical="center"/>
    </xf>
    <xf borderId="9" fillId="4" fontId="4" numFmtId="0" xfId="0" applyAlignment="1" applyBorder="1" applyFill="1" applyFont="1">
      <alignment horizontal="center" readingOrder="0" vertical="bottom"/>
    </xf>
    <xf borderId="37" fillId="20" fontId="18" numFmtId="0" xfId="0" applyAlignment="1" applyBorder="1" applyFill="1" applyFont="1">
      <alignment horizontal="center" vertical="center"/>
    </xf>
    <xf borderId="38" fillId="20" fontId="18" numFmtId="0" xfId="0" applyAlignment="1" applyBorder="1" applyFill="1" applyFont="1">
      <alignment horizontal="center" vertical="center"/>
    </xf>
    <xf borderId="9" fillId="19" fontId="13" numFmtId="0" xfId="0" applyAlignment="1" applyBorder="1" applyFill="1" applyFont="1">
      <alignment horizontal="center" readingOrder="0" vertical="center"/>
    </xf>
    <xf borderId="45" fillId="17" fontId="7" numFmtId="0" xfId="0" applyAlignment="1" applyBorder="1" applyFill="1" applyFont="1">
      <alignment horizontal="center" readingOrder="0" vertical="center"/>
    </xf>
    <xf borderId="35" fillId="17" fontId="7" numFmtId="0" xfId="0" applyAlignment="1" applyBorder="1" applyFill="1" applyFont="1">
      <alignment horizontal="center" readingOrder="0" vertical="center"/>
    </xf>
    <xf borderId="46" fillId="14" fontId="7" numFmtId="0" xfId="0" applyAlignment="1" applyBorder="1" applyFill="1" applyFont="1">
      <alignment horizontal="center" readingOrder="0" vertical="center"/>
    </xf>
    <xf borderId="30" fillId="14" fontId="7" numFmtId="0" xfId="0" applyAlignment="1" applyBorder="1" applyFill="1" applyFont="1">
      <alignment horizontal="center" readingOrder="0" vertical="center"/>
    </xf>
    <xf borderId="36" fillId="14" fontId="7" numFmtId="0" xfId="0" applyAlignment="1" applyBorder="1" applyFill="1" applyFont="1">
      <alignment horizontal="center" readingOrder="0" vertical="center"/>
    </xf>
    <xf borderId="41" fillId="14" fontId="7" numFmtId="0" xfId="0" applyAlignment="1" applyBorder="1" applyFill="1" applyFont="1">
      <alignment horizontal="center" readingOrder="0" vertical="center"/>
    </xf>
    <xf borderId="38" fillId="14" fontId="7" numFmtId="0" xfId="0" applyAlignment="1" applyBorder="1" applyFill="1" applyFont="1">
      <alignment horizontal="center" readingOrder="0" vertical="center"/>
    </xf>
    <xf borderId="9" fillId="14" fontId="13" numFmtId="0" xfId="0" applyAlignment="1" applyBorder="1" applyFill="1" applyFont="1">
      <alignment horizontal="center" readingOrder="0" vertical="center"/>
    </xf>
    <xf borderId="37" fillId="24" fontId="13" numFmtId="49" xfId="0" applyAlignment="1" applyBorder="1" applyFill="1" applyFont="1" applyNumberFormat="1">
      <alignment horizontal="center" vertical="center"/>
    </xf>
    <xf borderId="34" fillId="24" fontId="13" numFmtId="49" xfId="0" applyAlignment="1" applyBorder="1" applyFill="1" applyFont="1" applyNumberFormat="1">
      <alignment horizontal="center" vertical="center"/>
    </xf>
    <xf borderId="9" fillId="14" fontId="7" numFmtId="0" xfId="0" applyAlignment="1" applyBorder="1" applyFill="1" applyFont="1">
      <alignment horizontal="center" readingOrder="0" vertical="center"/>
    </xf>
    <xf borderId="1" fillId="2" fontId="25" numFmtId="0" xfId="0" applyAlignment="1" applyBorder="1" applyFill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center"/>
    </xf>
    <xf borderId="29" fillId="27" fontId="5" numFmtId="0" xfId="0" applyAlignment="1" applyBorder="1" applyFill="1" applyFont="1">
      <alignment horizontal="center" vertical="center"/>
    </xf>
    <xf borderId="18" fillId="21" fontId="26" numFmtId="0" xfId="0" applyAlignment="1" applyBorder="1" applyFill="1" applyFont="1">
      <alignment horizontal="center" readingOrder="0" vertical="center"/>
    </xf>
    <xf borderId="18" fillId="6" fontId="12" numFmtId="0" xfId="0" applyAlignment="1" applyBorder="1" applyFill="1" applyFont="1">
      <alignment horizontal="center" readingOrder="0" vertical="center"/>
    </xf>
    <xf borderId="34" fillId="6" fontId="5" numFmtId="0" xfId="0" applyAlignment="1" applyBorder="1" applyFill="1" applyFont="1">
      <alignment horizontal="center" readingOrder="0" vertical="center"/>
    </xf>
    <xf borderId="6" fillId="0" fontId="8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horizontal="center" readingOrder="0" vertical="center"/>
    </xf>
    <xf borderId="1" fillId="3" fontId="12" numFmtId="0" xfId="0" applyAlignment="1" applyBorder="1" applyFill="1" applyFont="1">
      <alignment horizontal="center" readingOrder="0" vertical="center"/>
    </xf>
    <xf borderId="5" fillId="3" fontId="3" numFmtId="0" xfId="0" applyAlignment="1" applyBorder="1" applyFill="1" applyFont="1">
      <alignment horizontal="center" readingOrder="0" vertical="center"/>
    </xf>
    <xf borderId="20" fillId="21" fontId="19" numFmtId="0" xfId="0" applyAlignment="1" applyBorder="1" applyFill="1" applyFont="1">
      <alignment horizontal="center" readingOrder="0" vertical="center"/>
    </xf>
    <xf borderId="20" fillId="3" fontId="12" numFmtId="0" xfId="0" applyAlignment="1" applyBorder="1" applyFill="1" applyFont="1">
      <alignment horizontal="center" readingOrder="0" vertical="center"/>
    </xf>
    <xf borderId="21" fillId="3" fontId="5" numFmtId="0" xfId="0" applyAlignment="1" applyBorder="1" applyFill="1" applyFont="1">
      <alignment horizontal="center" readingOrder="0" vertical="center"/>
    </xf>
    <xf borderId="18" fillId="3" fontId="5" numFmtId="0" xfId="0" applyAlignment="1" applyBorder="1" applyFill="1" applyFont="1">
      <alignment horizontal="center" readingOrder="0" vertical="center"/>
    </xf>
    <xf borderId="20" fillId="3" fontId="5" numFmtId="0" xfId="0" applyAlignment="1" applyBorder="1" applyFill="1" applyFont="1">
      <alignment horizontal="center" readingOrder="0" vertical="center"/>
    </xf>
    <xf borderId="9" fillId="13" fontId="12" numFmtId="0" xfId="0" applyAlignment="1" applyBorder="1" applyFill="1" applyFont="1">
      <alignment horizontal="center" readingOrder="0" vertical="center"/>
    </xf>
    <xf borderId="9" fillId="23" fontId="5" numFmtId="0" xfId="0" applyAlignment="1" applyBorder="1" applyFill="1" applyFont="1">
      <alignment horizontal="center" readingOrder="0" vertical="center"/>
    </xf>
    <xf borderId="9" fillId="7" fontId="5" numFmtId="0" xfId="0" applyAlignment="1" applyBorder="1" applyFill="1" applyFont="1">
      <alignment horizontal="center" readingOrder="0" vertical="center"/>
    </xf>
    <xf borderId="34" fillId="16" fontId="5" numFmtId="0" xfId="0" applyAlignment="1" applyBorder="1" applyFill="1" applyFont="1">
      <alignment horizontal="center" readingOrder="0" vertical="center"/>
    </xf>
    <xf borderId="30" fillId="14" fontId="5" numFmtId="0" xfId="0" applyAlignment="1" applyBorder="1" applyFill="1" applyFont="1">
      <alignment horizontal="center" readingOrder="0" vertical="center"/>
    </xf>
    <xf borderId="34" fillId="14" fontId="5" numFmtId="0" xfId="0" applyAlignment="1" applyBorder="1" applyFill="1" applyFont="1">
      <alignment horizontal="center" readingOrder="0" vertical="center"/>
    </xf>
    <xf borderId="9" fillId="14" fontId="5" numFmtId="0" xfId="0" applyAlignment="1" applyBorder="1" applyFill="1" applyFont="1">
      <alignment horizontal="center" readingOrder="0" vertical="center"/>
    </xf>
    <xf borderId="9" fillId="5" fontId="12" numFmtId="0" xfId="0" applyAlignment="1" applyBorder="1" applyFill="1" applyFont="1">
      <alignment horizontal="center" readingOrder="0" vertical="center"/>
    </xf>
    <xf borderId="9" fillId="20" fontId="5" numFmtId="49" xfId="0" applyAlignment="1" applyBorder="1" applyFill="1" applyFont="1" applyNumberFormat="1">
      <alignment horizontal="center" vertical="center"/>
    </xf>
    <xf borderId="30" fillId="25" fontId="13" numFmtId="49" xfId="0" applyAlignment="1" applyBorder="1" applyFill="1" applyFont="1" applyNumberFormat="1">
      <alignment horizontal="center" readingOrder="0" vertical="center"/>
    </xf>
    <xf borderId="9" fillId="28" fontId="12" numFmtId="0" xfId="0" applyAlignment="1" applyBorder="1" applyFill="1" applyFont="1">
      <alignment horizontal="center" readingOrder="0" vertical="center"/>
    </xf>
    <xf borderId="9" fillId="8" fontId="12" numFmtId="0" xfId="0" applyAlignment="1" applyBorder="1" applyFill="1" applyFont="1">
      <alignment horizontal="center" readingOrder="0" vertical="center"/>
    </xf>
    <xf borderId="9" fillId="13" fontId="3" numFmtId="0" xfId="0" applyAlignment="1" applyBorder="1" applyFill="1" applyFont="1">
      <alignment horizontal="center" readingOrder="0" vertical="center"/>
    </xf>
    <xf borderId="0" fillId="13" fontId="3" numFmtId="0" xfId="0" applyAlignment="1" applyFill="1" applyFont="1">
      <alignment horizontal="center" readingOrder="0" vertical="center"/>
    </xf>
    <xf borderId="0" fillId="23" fontId="5" numFmtId="0" xfId="0" applyAlignment="1" applyFill="1" applyFont="1">
      <alignment horizontal="center" readingOrder="0" vertical="center"/>
    </xf>
    <xf borderId="0" fillId="13" fontId="7" numFmtId="0" xfId="0" applyAlignment="1" applyFill="1" applyFont="1">
      <alignment horizontal="center" readingOrder="0" vertical="center"/>
    </xf>
    <xf borderId="0" fillId="20" fontId="5" numFmtId="0" xfId="0" applyAlignment="1" applyFill="1" applyFont="1">
      <alignment horizontal="center" readingOrder="0" vertical="center"/>
    </xf>
    <xf borderId="0" fillId="20" fontId="5" numFmtId="49" xfId="0" applyAlignment="1" applyFill="1" applyFont="1" applyNumberFormat="1">
      <alignment horizontal="center" readingOrder="0" vertical="center"/>
    </xf>
    <xf borderId="0" fillId="20" fontId="7" numFmtId="49" xfId="0" applyAlignment="1" applyFill="1" applyFont="1" applyNumberFormat="1">
      <alignment horizontal="center" readingOrder="0" vertical="center"/>
    </xf>
    <xf borderId="0" fillId="24" fontId="7" numFmtId="0" xfId="0" applyAlignment="1" applyFill="1" applyFont="1">
      <alignment horizontal="center" readingOrder="0" vertical="center"/>
    </xf>
    <xf borderId="0" fillId="20" fontId="7" numFmtId="0" xfId="0" applyAlignment="1" applyFill="1" applyFont="1">
      <alignment horizontal="center" readingOrder="0" vertical="center"/>
    </xf>
    <xf borderId="0" fillId="24" fontId="7" numFmtId="49" xfId="0" applyAlignment="1" applyFill="1" applyFont="1" applyNumberFormat="1">
      <alignment horizontal="center" readingOrder="0" vertical="center"/>
    </xf>
    <xf borderId="0" fillId="20" fontId="12" numFmtId="49" xfId="0" applyAlignment="1" applyFill="1" applyFont="1" applyNumberFormat="1">
      <alignment horizontal="center" vertical="center"/>
    </xf>
    <xf borderId="0" fillId="20" fontId="27" numFmtId="49" xfId="0" applyAlignment="1" applyFill="1" applyFont="1" applyNumberFormat="1">
      <alignment horizontal="center" vertical="center"/>
    </xf>
    <xf borderId="0" fillId="20" fontId="23" numFmtId="49" xfId="0" applyAlignment="1" applyFill="1" applyFont="1" applyNumberFormat="1">
      <alignment horizontal="center" vertical="center"/>
    </xf>
    <xf borderId="0" fillId="20" fontId="14" numFmtId="0" xfId="0" applyAlignment="1" applyFill="1" applyFont="1">
      <alignment horizontal="left" vertical="center"/>
    </xf>
    <xf borderId="0" fillId="20" fontId="15" numFmtId="0" xfId="0" applyAlignment="1" applyFill="1" applyFont="1">
      <alignment horizontal="left" vertical="center"/>
    </xf>
    <xf borderId="0" fillId="20" fontId="18" numFmtId="0" xfId="0" applyAlignment="1" applyFill="1" applyFont="1">
      <alignment horizontal="center" vertical="center"/>
    </xf>
    <xf borderId="0" fillId="16" fontId="7" numFmtId="0" xfId="0" applyAlignment="1" applyFill="1" applyFont="1">
      <alignment horizontal="center" vertical="center"/>
    </xf>
    <xf borderId="0" fillId="16" fontId="13" numFmtId="0" xfId="0" applyAlignment="1" applyFill="1" applyFont="1">
      <alignment horizontal="center" vertical="center"/>
    </xf>
    <xf borderId="0" fillId="16" fontId="16" numFmtId="0" xfId="0" applyAlignment="1" applyFill="1" applyFont="1">
      <alignment horizontal="center" vertical="center"/>
    </xf>
    <xf borderId="0" fillId="24" fontId="7" numFmtId="0" xfId="0" applyAlignment="1" applyFill="1" applyFont="1">
      <alignment horizontal="center"/>
    </xf>
    <xf borderId="0" fillId="20" fontId="7" numFmtId="0" xfId="0" applyAlignment="1" applyFill="1" applyFont="1">
      <alignment horizontal="center"/>
    </xf>
    <xf borderId="0" fillId="24" fontId="20" numFmtId="0" xfId="0" applyAlignment="1" applyFill="1" applyFont="1">
      <alignment horizontal="center" vertical="center"/>
    </xf>
    <xf borderId="0" fillId="20" fontId="20" numFmtId="0" xfId="0" applyAlignment="1" applyFill="1" applyFont="1">
      <alignment horizontal="center" vertical="center"/>
    </xf>
    <xf borderId="0" fillId="24" fontId="16" numFmtId="0" xfId="0" applyAlignment="1" applyFill="1" applyFont="1">
      <alignment horizontal="center" vertical="center"/>
    </xf>
    <xf borderId="0" fillId="20" fontId="16" numFmtId="0" xfId="0" applyAlignment="1" applyFill="1" applyFont="1">
      <alignment horizontal="center" vertical="center"/>
    </xf>
    <xf borderId="0" fillId="24" fontId="18" numFmtId="0" xfId="0" applyAlignment="1" applyFill="1" applyFont="1">
      <alignment horizontal="center" vertical="center"/>
    </xf>
    <xf borderId="0" fillId="20" fontId="18" numFmtId="0" xfId="0" applyAlignment="1" applyFill="1" applyFont="1">
      <alignment horizontal="center" vertical="center"/>
    </xf>
    <xf borderId="0" fillId="6" fontId="5" numFmtId="0" xfId="0" applyAlignment="1" applyFill="1" applyFont="1">
      <alignment horizontal="center" readingOrder="0" vertical="center"/>
    </xf>
    <xf borderId="15" fillId="19" fontId="17" numFmtId="0" xfId="0" applyBorder="1" applyFill="1" applyFont="1"/>
    <xf borderId="34" fillId="13" fontId="21" numFmtId="0" xfId="0" applyAlignment="1" applyBorder="1" applyFill="1" applyFont="1">
      <alignment horizontal="center" readingOrder="0" vertical="center"/>
    </xf>
    <xf borderId="34" fillId="13" fontId="28" numFmtId="0" xfId="0" applyAlignment="1" applyBorder="1" applyFill="1" applyFont="1">
      <alignment horizontal="center" readingOrder="0" vertical="center"/>
    </xf>
    <xf borderId="0" fillId="13" fontId="3" numFmtId="0" xfId="0" applyAlignment="1" applyFill="1" applyFont="1">
      <alignment horizontal="center" readingOrder="0" vertical="center"/>
    </xf>
    <xf borderId="9" fillId="20" fontId="12" numFmtId="49" xfId="0" applyAlignment="1" applyBorder="1" applyFill="1" applyFont="1" applyNumberFormat="1">
      <alignment horizontal="center" vertical="center"/>
    </xf>
    <xf borderId="15" fillId="16" fontId="7" numFmtId="0" xfId="0" applyAlignment="1" applyBorder="1" applyFill="1" applyFont="1">
      <alignment horizontal="center" vertical="center"/>
    </xf>
    <xf borderId="0" fillId="13" fontId="12" numFmtId="0" xfId="0" applyAlignment="1" applyFill="1" applyFont="1">
      <alignment horizontal="center" vertical="center"/>
    </xf>
    <xf borderId="15" fillId="20" fontId="7" numFmtId="49" xfId="0" applyAlignment="1" applyBorder="1" applyFill="1" applyFont="1" applyNumberFormat="1">
      <alignment horizontal="center" vertical="center"/>
    </xf>
    <xf borderId="15" fillId="20" fontId="7" numFmtId="0" xfId="0" applyAlignment="1" applyBorder="1" applyFill="1" applyFont="1">
      <alignment horizontal="center" vertical="center"/>
    </xf>
    <xf borderId="0" fillId="19" fontId="17" numFmtId="0" xfId="0" applyFill="1" applyFont="1"/>
    <xf borderId="9" fillId="20" fontId="13" numFmtId="0" xfId="0" applyAlignment="1" applyBorder="1" applyFill="1" applyFont="1">
      <alignment horizontal="center" readingOrder="0" vertical="center"/>
    </xf>
    <xf borderId="15" fillId="20" fontId="18" numFmtId="0" xfId="0" applyAlignment="1" applyBorder="1" applyFill="1" applyFont="1">
      <alignment horizontal="center" vertical="center"/>
    </xf>
    <xf borderId="9" fillId="20" fontId="18" numFmtId="0" xfId="0" applyAlignment="1" applyBorder="1" applyFill="1" applyFont="1">
      <alignment horizontal="center" vertical="center"/>
    </xf>
    <xf borderId="0" fillId="19" fontId="13" numFmtId="0" xfId="0" applyAlignment="1" applyFill="1" applyFont="1">
      <alignment horizontal="center" readingOrder="0" vertical="center"/>
    </xf>
    <xf borderId="0" fillId="17" fontId="7" numFmtId="0" xfId="0" applyAlignment="1" applyFill="1" applyFont="1">
      <alignment horizontal="center" readingOrder="0" vertical="center"/>
    </xf>
    <xf borderId="0" fillId="24" fontId="13" numFmtId="49" xfId="0" applyAlignment="1" applyFill="1" applyFont="1" applyNumberFormat="1">
      <alignment horizontal="center" vertical="center"/>
    </xf>
    <xf borderId="0" fillId="20" fontId="13" numFmtId="49" xfId="0" applyAlignment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agajunglism.org/ragas/basant/" TargetMode="External"/><Relationship Id="rId190" Type="http://schemas.openxmlformats.org/officeDocument/2006/relationships/hyperlink" Target="https://ragajunglism.org/ragas/lakshmi-kalyan/" TargetMode="External"/><Relationship Id="rId42" Type="http://schemas.openxmlformats.org/officeDocument/2006/relationships/hyperlink" Target="https://ragajunglism.org/ragas/basant-mukhari/" TargetMode="External"/><Relationship Id="rId41" Type="http://schemas.openxmlformats.org/officeDocument/2006/relationships/hyperlink" Target="https://ragajunglism.org/ragas/basant-bahar/" TargetMode="External"/><Relationship Id="rId44" Type="http://schemas.openxmlformats.org/officeDocument/2006/relationships/hyperlink" Target="https://ragajunglism.org/ragas/bayati/" TargetMode="External"/><Relationship Id="rId194" Type="http://schemas.openxmlformats.org/officeDocument/2006/relationships/hyperlink" Target="https://ragajunglism.org/ragas/lalita-gauri/" TargetMode="External"/><Relationship Id="rId43" Type="http://schemas.openxmlformats.org/officeDocument/2006/relationships/hyperlink" Target="https://ragajunglism.org/ragas/basanti-kanada/" TargetMode="External"/><Relationship Id="rId193" Type="http://schemas.openxmlformats.org/officeDocument/2006/relationships/hyperlink" Target="https://ragajunglism.org/ragas/lalit-pancham/" TargetMode="External"/><Relationship Id="rId46" Type="http://schemas.openxmlformats.org/officeDocument/2006/relationships/hyperlink" Target="https://ragajunglism.org/ragas/bhairav-bahar/" TargetMode="External"/><Relationship Id="rId192" Type="http://schemas.openxmlformats.org/officeDocument/2006/relationships/hyperlink" Target="https://ragajunglism.org/ragas/lalit/" TargetMode="External"/><Relationship Id="rId45" Type="http://schemas.openxmlformats.org/officeDocument/2006/relationships/hyperlink" Target="https://ragajunglism.org/ragas/bhairav/" TargetMode="External"/><Relationship Id="rId191" Type="http://schemas.openxmlformats.org/officeDocument/2006/relationships/hyperlink" Target="https://ragajunglism.org/ragas/lakshmi-todi/" TargetMode="External"/><Relationship Id="rId48" Type="http://schemas.openxmlformats.org/officeDocument/2006/relationships/hyperlink" Target="https://ragajunglism.org/ragas/bhankar/" TargetMode="External"/><Relationship Id="rId187" Type="http://schemas.openxmlformats.org/officeDocument/2006/relationships/hyperlink" Target="https://ragajunglism.org/ragas/lachari-kanada/" TargetMode="External"/><Relationship Id="rId47" Type="http://schemas.openxmlformats.org/officeDocument/2006/relationships/hyperlink" Target="https://ragajunglism.org/ragas/bhairavi/" TargetMode="External"/><Relationship Id="rId186" Type="http://schemas.openxmlformats.org/officeDocument/2006/relationships/hyperlink" Target="https://ragajunglism.org/ragas/kukubh-bilawal/" TargetMode="External"/><Relationship Id="rId185" Type="http://schemas.openxmlformats.org/officeDocument/2006/relationships/hyperlink" Target="https://ragajunglism.org/ragas/komal-ramkali/" TargetMode="External"/><Relationship Id="rId49" Type="http://schemas.openxmlformats.org/officeDocument/2006/relationships/hyperlink" Target="https://ragajunglism.org/ragas/bhankari/" TargetMode="External"/><Relationship Id="rId184" Type="http://schemas.openxmlformats.org/officeDocument/2006/relationships/hyperlink" Target="https://ragajunglism.org/ragas/kokilapriya/" TargetMode="External"/><Relationship Id="rId189" Type="http://schemas.openxmlformats.org/officeDocument/2006/relationships/hyperlink" Target="https://ragajunglism.org/ragas/lagan-gandhar/" TargetMode="External"/><Relationship Id="rId188" Type="http://schemas.openxmlformats.org/officeDocument/2006/relationships/hyperlink" Target="https://ragajunglism.org/ragas/lachari-todi/" TargetMode="External"/><Relationship Id="rId31" Type="http://schemas.openxmlformats.org/officeDocument/2006/relationships/hyperlink" Target="https://ragajunglism.org/ragas/bageshri/" TargetMode="External"/><Relationship Id="rId30" Type="http://schemas.openxmlformats.org/officeDocument/2006/relationships/hyperlink" Target="https://ragajunglism.org/ragas/badhans-sarang/" TargetMode="External"/><Relationship Id="rId33" Type="http://schemas.openxmlformats.org/officeDocument/2006/relationships/hyperlink" Target="https://ragajunglism.org/ragas/bahaduri-todi/" TargetMode="External"/><Relationship Id="rId183" Type="http://schemas.openxmlformats.org/officeDocument/2006/relationships/hyperlink" Target="https://ragajunglism.org/ragas/kirwani/" TargetMode="External"/><Relationship Id="rId32" Type="http://schemas.openxmlformats.org/officeDocument/2006/relationships/hyperlink" Target="https://ragajunglism.org/ragas/bageshri-bahar/" TargetMode="External"/><Relationship Id="rId182" Type="http://schemas.openxmlformats.org/officeDocument/2006/relationships/hyperlink" Target="https://ragajunglism.org/ragas/khokar/" TargetMode="External"/><Relationship Id="rId35" Type="http://schemas.openxmlformats.org/officeDocument/2006/relationships/hyperlink" Target="https://ragajunglism.org/ragas/bairagi/" TargetMode="External"/><Relationship Id="rId181" Type="http://schemas.openxmlformats.org/officeDocument/2006/relationships/hyperlink" Target="https://ragajunglism.org/ragas/khem-kalyan/" TargetMode="External"/><Relationship Id="rId34" Type="http://schemas.openxmlformats.org/officeDocument/2006/relationships/hyperlink" Target="https://ragajunglism.org/ragas/bahar/" TargetMode="External"/><Relationship Id="rId180" Type="http://schemas.openxmlformats.org/officeDocument/2006/relationships/hyperlink" Target="https://ragajunglism.org/ragas/khat-todi/" TargetMode="External"/><Relationship Id="rId37" Type="http://schemas.openxmlformats.org/officeDocument/2006/relationships/hyperlink" Target="https://ragajunglism.org/ragas/bangal-bhairav/" TargetMode="External"/><Relationship Id="rId176" Type="http://schemas.openxmlformats.org/officeDocument/2006/relationships/hyperlink" Target="https://ragajunglism.org/ragas/kesari-kalyan/" TargetMode="External"/><Relationship Id="rId297" Type="http://schemas.openxmlformats.org/officeDocument/2006/relationships/hyperlink" Target="https://ragajunglism.org/ragas/salagavarali/" TargetMode="External"/><Relationship Id="rId36" Type="http://schemas.openxmlformats.org/officeDocument/2006/relationships/hyperlink" Target="https://ragajunglism.org/ragas/bairagi-todi/" TargetMode="External"/><Relationship Id="rId175" Type="http://schemas.openxmlformats.org/officeDocument/2006/relationships/hyperlink" Target="https://ragajunglism.org/ragas/kedar/" TargetMode="External"/><Relationship Id="rId296" Type="http://schemas.openxmlformats.org/officeDocument/2006/relationships/hyperlink" Target="https://ragajunglism.org/ragas/sakh/" TargetMode="External"/><Relationship Id="rId39" Type="http://schemas.openxmlformats.org/officeDocument/2006/relationships/hyperlink" Target="https://ragajunglism.org/ragas/barwa/" TargetMode="External"/><Relationship Id="rId174" Type="http://schemas.openxmlformats.org/officeDocument/2006/relationships/hyperlink" Target="https://ragajunglism.org/ragas/kaushiki/" TargetMode="External"/><Relationship Id="rId295" Type="http://schemas.openxmlformats.org/officeDocument/2006/relationships/hyperlink" Target="https://ragajunglism.org/ragas/saheli-todi/" TargetMode="External"/><Relationship Id="rId38" Type="http://schemas.openxmlformats.org/officeDocument/2006/relationships/hyperlink" Target="https://ragajunglism.org/ragas/baradi/" TargetMode="External"/><Relationship Id="rId173" Type="http://schemas.openxmlformats.org/officeDocument/2006/relationships/hyperlink" Target="https://ragajunglism.org/ragas/kaushik-dhwani/" TargetMode="External"/><Relationship Id="rId294" Type="http://schemas.openxmlformats.org/officeDocument/2006/relationships/hyperlink" Target="https://ragajunglism.org/ragas/roopkali/" TargetMode="External"/><Relationship Id="rId179" Type="http://schemas.openxmlformats.org/officeDocument/2006/relationships/hyperlink" Target="https://ragajunglism.org/ragas/khat/" TargetMode="External"/><Relationship Id="rId178" Type="http://schemas.openxmlformats.org/officeDocument/2006/relationships/hyperlink" Target="https://ragajunglism.org/ragas/khambavati/" TargetMode="External"/><Relationship Id="rId299" Type="http://schemas.openxmlformats.org/officeDocument/2006/relationships/hyperlink" Target="https://ragajunglism.org/ragas/sameshwari/" TargetMode="External"/><Relationship Id="rId177" Type="http://schemas.openxmlformats.org/officeDocument/2006/relationships/hyperlink" Target="https://ragajunglism.org/ragas/khamaj/" TargetMode="External"/><Relationship Id="rId298" Type="http://schemas.openxmlformats.org/officeDocument/2006/relationships/hyperlink" Target="https://ragajunglism.org/ragas/samant-sarang/" TargetMode="External"/><Relationship Id="rId20" Type="http://schemas.openxmlformats.org/officeDocument/2006/relationships/hyperlink" Target="https://ragajunglism.org/ragas/anjani-kalyan/" TargetMode="External"/><Relationship Id="rId22" Type="http://schemas.openxmlformats.org/officeDocument/2006/relationships/hyperlink" Target="https://ragajunglism.org/ragas/antardhwani/" TargetMode="External"/><Relationship Id="rId21" Type="http://schemas.openxmlformats.org/officeDocument/2006/relationships/hyperlink" Target="https://ragajunglism.org/ragas/annapurna/" TargetMode="External"/><Relationship Id="rId24" Type="http://schemas.openxmlformats.org/officeDocument/2006/relationships/hyperlink" Target="https://ragajunglism.org/ragas/ardhanarishvara/" TargetMode="External"/><Relationship Id="rId23" Type="http://schemas.openxmlformats.org/officeDocument/2006/relationships/hyperlink" Target="https://ragajunglism.org/ragas/anup/" TargetMode="External"/><Relationship Id="rId26" Type="http://schemas.openxmlformats.org/officeDocument/2006/relationships/hyperlink" Target="https://ragajunglism.org/ragas/asa/" TargetMode="External"/><Relationship Id="rId25" Type="http://schemas.openxmlformats.org/officeDocument/2006/relationships/hyperlink" Target="https://ragajunglism.org/ragas/arun-malhar/" TargetMode="External"/><Relationship Id="rId28" Type="http://schemas.openxmlformats.org/officeDocument/2006/relationships/hyperlink" Target="https://ragajunglism.org/ragas/asavari/" TargetMode="External"/><Relationship Id="rId27" Type="http://schemas.openxmlformats.org/officeDocument/2006/relationships/hyperlink" Target="https://ragajunglism.org/ragas/asa-bhairav/" TargetMode="External"/><Relationship Id="rId29" Type="http://schemas.openxmlformats.org/officeDocument/2006/relationships/hyperlink" Target="https://ragajunglism.org/ragas/audav-meladalan/" TargetMode="External"/><Relationship Id="rId11" Type="http://schemas.openxmlformats.org/officeDocument/2006/relationships/hyperlink" Target="https://ragajunglism.org/ragas/ahiri/" TargetMode="External"/><Relationship Id="rId10" Type="http://schemas.openxmlformats.org/officeDocument/2006/relationships/hyperlink" Target="https://ragajunglism.org/ragas/ahir-lalit/" TargetMode="External"/><Relationship Id="rId13" Type="http://schemas.openxmlformats.org/officeDocument/2006/relationships/hyperlink" Target="https://ragajunglism.org/ragas/alhaiya-bilawal/" TargetMode="External"/><Relationship Id="rId12" Type="http://schemas.openxmlformats.org/officeDocument/2006/relationships/hyperlink" Target="https://ragajunglism.org/ragas/ahiri-todi/" TargetMode="External"/><Relationship Id="rId15" Type="http://schemas.openxmlformats.org/officeDocument/2006/relationships/hyperlink" Target="https://ragajunglism.org/ragas/amiri-todi/" TargetMode="External"/><Relationship Id="rId198" Type="http://schemas.openxmlformats.org/officeDocument/2006/relationships/hyperlink" Target="https://ragajunglism.org/ragas/latangi/" TargetMode="External"/><Relationship Id="rId14" Type="http://schemas.openxmlformats.org/officeDocument/2006/relationships/hyperlink" Target="https://ragajunglism.org/ragas/ambika-sarang/" TargetMode="External"/><Relationship Id="rId197" Type="http://schemas.openxmlformats.org/officeDocument/2006/relationships/hyperlink" Target="https://ragajunglism.org/ragas/lankeshwari/" TargetMode="External"/><Relationship Id="rId17" Type="http://schemas.openxmlformats.org/officeDocument/2006/relationships/hyperlink" Target="https://ragajunglism.org/ragas/amritvarshini/" TargetMode="External"/><Relationship Id="rId196" Type="http://schemas.openxmlformats.org/officeDocument/2006/relationships/hyperlink" Target="https://ragajunglism.org/ragas/lanka-dahan-sarang/" TargetMode="External"/><Relationship Id="rId16" Type="http://schemas.openxmlformats.org/officeDocument/2006/relationships/hyperlink" Target="https://ragajunglism.org/ragas/amirkhani-kauns/" TargetMode="External"/><Relationship Id="rId195" Type="http://schemas.openxmlformats.org/officeDocument/2006/relationships/hyperlink" Target="https://ragajunglism.org/ragas/lalita-sohini/" TargetMode="External"/><Relationship Id="rId19" Type="http://schemas.openxmlformats.org/officeDocument/2006/relationships/hyperlink" Target="https://ragajunglism.org/ragas/anand-bhairav/" TargetMode="External"/><Relationship Id="rId18" Type="http://schemas.openxmlformats.org/officeDocument/2006/relationships/hyperlink" Target="https://ragajunglism.org/ragas/amrut-ranjani/" TargetMode="External"/><Relationship Id="rId199" Type="http://schemas.openxmlformats.org/officeDocument/2006/relationships/hyperlink" Target="https://ragajunglism.org/ragas/lilavati/" TargetMode="External"/><Relationship Id="rId84" Type="http://schemas.openxmlformats.org/officeDocument/2006/relationships/hyperlink" Target="https://ragajunglism.org/ragas/darbari/" TargetMode="External"/><Relationship Id="rId83" Type="http://schemas.openxmlformats.org/officeDocument/2006/relationships/hyperlink" Target="https://ragajunglism.org/ragas/dakshinatya-basant/" TargetMode="External"/><Relationship Id="rId86" Type="http://schemas.openxmlformats.org/officeDocument/2006/relationships/hyperlink" Target="https://ragajunglism.org/ragas/deen-todi/" TargetMode="External"/><Relationship Id="rId85" Type="http://schemas.openxmlformats.org/officeDocument/2006/relationships/hyperlink" Target="https://ragajunglism.org/ragas/darjeeling/" TargetMode="External"/><Relationship Id="rId88" Type="http://schemas.openxmlformats.org/officeDocument/2006/relationships/hyperlink" Target="https://ragajunglism.org/ragas/deepavali/" TargetMode="External"/><Relationship Id="rId150" Type="http://schemas.openxmlformats.org/officeDocument/2006/relationships/hyperlink" Target="https://ragajunglism.org/ragas/jansammohini/" TargetMode="External"/><Relationship Id="rId271" Type="http://schemas.openxmlformats.org/officeDocument/2006/relationships/hyperlink" Target="https://ragajunglism.org/ragas/prabhat-bhairav/" TargetMode="External"/><Relationship Id="rId87" Type="http://schemas.openxmlformats.org/officeDocument/2006/relationships/hyperlink" Target="https://ragajunglism.org/ragas/deepak/" TargetMode="External"/><Relationship Id="rId270" Type="http://schemas.openxmlformats.org/officeDocument/2006/relationships/hyperlink" Target="https://ragajunglism.org/ragas/prabhakali/" TargetMode="External"/><Relationship Id="rId89" Type="http://schemas.openxmlformats.org/officeDocument/2006/relationships/hyperlink" Target="https://ragajunglism.org/ragas/des-malhar/" TargetMode="External"/><Relationship Id="rId80" Type="http://schemas.openxmlformats.org/officeDocument/2006/relationships/hyperlink" Target="https://ragajunglism.org/ragas/chaya-malhar/" TargetMode="External"/><Relationship Id="rId82" Type="http://schemas.openxmlformats.org/officeDocument/2006/relationships/hyperlink" Target="https://ragajunglism.org/ragas/dagori/" TargetMode="External"/><Relationship Id="rId81" Type="http://schemas.openxmlformats.org/officeDocument/2006/relationships/hyperlink" Target="https://ragajunglism.org/ragas/chayanat/" TargetMode="External"/><Relationship Id="rId1" Type="http://schemas.openxmlformats.org/officeDocument/2006/relationships/hyperlink" Target="https://www.causal.app/formulae/lt-google-sheets" TargetMode="External"/><Relationship Id="rId2" Type="http://schemas.openxmlformats.org/officeDocument/2006/relationships/hyperlink" Target="https://ragajunglism.org/ragas/ragatable/" TargetMode="External"/><Relationship Id="rId3" Type="http://schemas.openxmlformats.org/officeDocument/2006/relationships/hyperlink" Target="https://ragajunglism.org/ragas/abheri-todi/" TargetMode="External"/><Relationship Id="rId149" Type="http://schemas.openxmlformats.org/officeDocument/2006/relationships/hyperlink" Target="https://ragajunglism.org/ragas/jaldhar-kedar/" TargetMode="External"/><Relationship Id="rId4" Type="http://schemas.openxmlformats.org/officeDocument/2006/relationships/hyperlink" Target="https://ragajunglism.org/ragas/abhogi/" TargetMode="External"/><Relationship Id="rId148" Type="http://schemas.openxmlformats.org/officeDocument/2006/relationships/hyperlink" Target="https://ragajunglism.org/ragas/jaiwanti-todi/" TargetMode="External"/><Relationship Id="rId269" Type="http://schemas.openxmlformats.org/officeDocument/2006/relationships/hyperlink" Target="https://ragajunglism.org/ragas/poorvi/" TargetMode="External"/><Relationship Id="rId9" Type="http://schemas.openxmlformats.org/officeDocument/2006/relationships/hyperlink" Target="https://ragajunglism.org/ragas/ahir-bhairav/" TargetMode="External"/><Relationship Id="rId143" Type="http://schemas.openxmlformats.org/officeDocument/2006/relationships/hyperlink" Target="https://ragajunglism.org/ragas/jaijaiwanti/" TargetMode="External"/><Relationship Id="rId264" Type="http://schemas.openxmlformats.org/officeDocument/2006/relationships/hyperlink" Target="https://ragajunglism.org/ragas/pat-bihag/" TargetMode="External"/><Relationship Id="rId142" Type="http://schemas.openxmlformats.org/officeDocument/2006/relationships/hyperlink" Target="https://ragajunglism.org/ragas/imratkauns/" TargetMode="External"/><Relationship Id="rId263" Type="http://schemas.openxmlformats.org/officeDocument/2006/relationships/hyperlink" Target="https://ragajunglism.org/ragas/parameshwari/" TargetMode="External"/><Relationship Id="rId141" Type="http://schemas.openxmlformats.org/officeDocument/2006/relationships/hyperlink" Target="https://ragajunglism.org/ragas/hussaini-todi/" TargetMode="External"/><Relationship Id="rId262" Type="http://schemas.openxmlformats.org/officeDocument/2006/relationships/hyperlink" Target="https://ragajunglism.org/ragas/paraj-kalingada/" TargetMode="External"/><Relationship Id="rId140" Type="http://schemas.openxmlformats.org/officeDocument/2006/relationships/hyperlink" Target="https://ragajunglism.org/ragas/hussaini-kanada/" TargetMode="External"/><Relationship Id="rId261" Type="http://schemas.openxmlformats.org/officeDocument/2006/relationships/hyperlink" Target="https://ragajunglism.org/ragas/paraj/" TargetMode="External"/><Relationship Id="rId5" Type="http://schemas.openxmlformats.org/officeDocument/2006/relationships/hyperlink" Target="https://ragajunglism.org/ragas/adana/" TargetMode="External"/><Relationship Id="rId147" Type="http://schemas.openxmlformats.org/officeDocument/2006/relationships/hyperlink" Target="https://ragajunglism.org/ragas/jaitashree/" TargetMode="External"/><Relationship Id="rId268" Type="http://schemas.openxmlformats.org/officeDocument/2006/relationships/hyperlink" Target="https://ragajunglism.org/ragas/pilu/" TargetMode="External"/><Relationship Id="rId6" Type="http://schemas.openxmlformats.org/officeDocument/2006/relationships/hyperlink" Target="https://ragajunglism.org/ragas/adarangi-todi/" TargetMode="External"/><Relationship Id="rId146" Type="http://schemas.openxmlformats.org/officeDocument/2006/relationships/hyperlink" Target="https://ragajunglism.org/ragas/jait-kalyan/" TargetMode="External"/><Relationship Id="rId267" Type="http://schemas.openxmlformats.org/officeDocument/2006/relationships/hyperlink" Target="https://ragajunglism.org/ragas/patmanjari/" TargetMode="External"/><Relationship Id="rId7" Type="http://schemas.openxmlformats.org/officeDocument/2006/relationships/hyperlink" Target="https://ragajunglism.org/ragas/adbhut-kalyan/" TargetMode="External"/><Relationship Id="rId145" Type="http://schemas.openxmlformats.org/officeDocument/2006/relationships/hyperlink" Target="https://ragajunglism.org/ragas/jait/" TargetMode="External"/><Relationship Id="rId266" Type="http://schemas.openxmlformats.org/officeDocument/2006/relationships/hyperlink" Target="https://ragajunglism.org/ragas/patdeepaki/" TargetMode="External"/><Relationship Id="rId8" Type="http://schemas.openxmlformats.org/officeDocument/2006/relationships/hyperlink" Target="https://ragajunglism.org/ragas/adi-basant/" TargetMode="External"/><Relationship Id="rId144" Type="http://schemas.openxmlformats.org/officeDocument/2006/relationships/hyperlink" Target="https://ragajunglism.org/ragas/jaijaiwanti-nat/" TargetMode="External"/><Relationship Id="rId265" Type="http://schemas.openxmlformats.org/officeDocument/2006/relationships/hyperlink" Target="https://ragajunglism.org/ragas/patdeep/" TargetMode="External"/><Relationship Id="rId73" Type="http://schemas.openxmlformats.org/officeDocument/2006/relationships/hyperlink" Target="https://ragajunglism.org/ragas/chandrakaushiki/" TargetMode="External"/><Relationship Id="rId72" Type="http://schemas.openxmlformats.org/officeDocument/2006/relationships/hyperlink" Target="https://ragajunglism.org/ragas/chandrakauns/" TargetMode="External"/><Relationship Id="rId75" Type="http://schemas.openxmlformats.org/officeDocument/2006/relationships/hyperlink" Target="https://ragajunglism.org/ragas/chandranandan/" TargetMode="External"/><Relationship Id="rId74" Type="http://schemas.openxmlformats.org/officeDocument/2006/relationships/hyperlink" Target="https://ragajunglism.org/ragas/chandramadhu/" TargetMode="External"/><Relationship Id="rId77" Type="http://schemas.openxmlformats.org/officeDocument/2006/relationships/hyperlink" Target="https://ragajunglism.org/ragas/charju-ki-malhar/" TargetMode="External"/><Relationship Id="rId260" Type="http://schemas.openxmlformats.org/officeDocument/2006/relationships/hyperlink" Target="https://ragajunglism.org/ragas/pancham-se-pilu/" TargetMode="External"/><Relationship Id="rId76" Type="http://schemas.openxmlformats.org/officeDocument/2006/relationships/hyperlink" Target="https://ragajunglism.org/ragas/chandraprabha/" TargetMode="External"/><Relationship Id="rId79" Type="http://schemas.openxmlformats.org/officeDocument/2006/relationships/hyperlink" Target="https://ragajunglism.org/ragas/shuddha-chaya/" TargetMode="External"/><Relationship Id="rId78" Type="http://schemas.openxmlformats.org/officeDocument/2006/relationships/hyperlink" Target="https://ragajunglism.org/ragas/charukeshi/" TargetMode="External"/><Relationship Id="rId71" Type="http://schemas.openxmlformats.org/officeDocument/2006/relationships/hyperlink" Target="https://ragajunglism.org/ragas/chandni-todi/" TargetMode="External"/><Relationship Id="rId70" Type="http://schemas.openxmlformats.org/officeDocument/2006/relationships/hyperlink" Target="https://ragajunglism.org/ragas/chandni-kedar/" TargetMode="External"/><Relationship Id="rId139" Type="http://schemas.openxmlformats.org/officeDocument/2006/relationships/hyperlink" Target="https://ragajunglism.org/ragas/hindolita/" TargetMode="External"/><Relationship Id="rId138" Type="http://schemas.openxmlformats.org/officeDocument/2006/relationships/hyperlink" Target="https://ragajunglism.org/ragas/hindol/" TargetMode="External"/><Relationship Id="rId259" Type="http://schemas.openxmlformats.org/officeDocument/2006/relationships/hyperlink" Target="https://ragajunglism.org/ragas/pancham-se-gara/" TargetMode="External"/><Relationship Id="rId137" Type="http://schemas.openxmlformats.org/officeDocument/2006/relationships/hyperlink" Target="https://ragajunglism.org/ragas/hemshri/" TargetMode="External"/><Relationship Id="rId258" Type="http://schemas.openxmlformats.org/officeDocument/2006/relationships/hyperlink" Target="https://ragajunglism.org/ragas/pancham-malkauns/" TargetMode="External"/><Relationship Id="rId132" Type="http://schemas.openxmlformats.org/officeDocument/2006/relationships/hyperlink" Target="https://ragajunglism.org/ragas/hanskinkini/" TargetMode="External"/><Relationship Id="rId253" Type="http://schemas.openxmlformats.org/officeDocument/2006/relationships/hyperlink" Target="https://ragajunglism.org/ragas/niranjani-todi/" TargetMode="External"/><Relationship Id="rId131" Type="http://schemas.openxmlformats.org/officeDocument/2006/relationships/hyperlink" Target="https://ragajunglism.org/ragas/hansadhwani/" TargetMode="External"/><Relationship Id="rId252" Type="http://schemas.openxmlformats.org/officeDocument/2006/relationships/hyperlink" Target="https://ragajunglism.org/ragas/neelambari/" TargetMode="External"/><Relationship Id="rId130" Type="http://schemas.openxmlformats.org/officeDocument/2006/relationships/hyperlink" Target="https://ragajunglism.org/ragas/hansa-narayani/" TargetMode="External"/><Relationship Id="rId251" Type="http://schemas.openxmlformats.org/officeDocument/2006/relationships/hyperlink" Target="https://ragajunglism.org/ragas/nayaki-kanada/" TargetMode="External"/><Relationship Id="rId250" Type="http://schemas.openxmlformats.org/officeDocument/2006/relationships/hyperlink" Target="https://ragajunglism.org/ragas/nat-kamod/" TargetMode="External"/><Relationship Id="rId136" Type="http://schemas.openxmlformats.org/officeDocument/2006/relationships/hyperlink" Target="https://ragajunglism.org/ragas/hemavati/" TargetMode="External"/><Relationship Id="rId257" Type="http://schemas.openxmlformats.org/officeDocument/2006/relationships/hyperlink" Target="https://ragajunglism.org/ragas/pancham/" TargetMode="External"/><Relationship Id="rId135" Type="http://schemas.openxmlformats.org/officeDocument/2006/relationships/hyperlink" Target="https://ragajunglism.org/ragas/hemant/" TargetMode="External"/><Relationship Id="rId256" Type="http://schemas.openxmlformats.org/officeDocument/2006/relationships/hyperlink" Target="https://ragajunglism.org/ragas/palas/" TargetMode="External"/><Relationship Id="rId134" Type="http://schemas.openxmlformats.org/officeDocument/2006/relationships/hyperlink" Target="https://ragajunglism.org/ragas/hem-bihag/" TargetMode="External"/><Relationship Id="rId255" Type="http://schemas.openxmlformats.org/officeDocument/2006/relationships/hyperlink" Target="https://ragajunglism.org/ragas/pahadi/" TargetMode="External"/><Relationship Id="rId133" Type="http://schemas.openxmlformats.org/officeDocument/2006/relationships/hyperlink" Target="https://ragajunglism.org/ragas/harikauns/" TargetMode="External"/><Relationship Id="rId254" Type="http://schemas.openxmlformats.org/officeDocument/2006/relationships/hyperlink" Target="https://ragajunglism.org/ragas/noor-sarang/" TargetMode="External"/><Relationship Id="rId62" Type="http://schemas.openxmlformats.org/officeDocument/2006/relationships/hyperlink" Target="https://ragajunglism.org/ragas/bihagara/" TargetMode="External"/><Relationship Id="rId61" Type="http://schemas.openxmlformats.org/officeDocument/2006/relationships/hyperlink" Target="https://ragajunglism.org/ragas/bihag/" TargetMode="External"/><Relationship Id="rId64" Type="http://schemas.openxmlformats.org/officeDocument/2006/relationships/hyperlink" Target="https://ragajunglism.org/ragas/bihari/" TargetMode="External"/><Relationship Id="rId63" Type="http://schemas.openxmlformats.org/officeDocument/2006/relationships/hyperlink" Target="https://ragajunglism.org/ragas/bihagda/" TargetMode="External"/><Relationship Id="rId66" Type="http://schemas.openxmlformats.org/officeDocument/2006/relationships/hyperlink" Target="https://ragajunglism.org/ragas/bilawal/" TargetMode="External"/><Relationship Id="rId172" Type="http://schemas.openxmlformats.org/officeDocument/2006/relationships/hyperlink" Target="https://ragajunglism.org/ragas/kaunsi-kanada/" TargetMode="External"/><Relationship Id="rId293" Type="http://schemas.openxmlformats.org/officeDocument/2006/relationships/hyperlink" Target="https://ragajunglism.org/ragas/rishabhapriya/" TargetMode="External"/><Relationship Id="rId65" Type="http://schemas.openxmlformats.org/officeDocument/2006/relationships/hyperlink" Target="https://ragajunglism.org/ragas/bilaskhani-todi/" TargetMode="External"/><Relationship Id="rId171" Type="http://schemas.openxmlformats.org/officeDocument/2006/relationships/hyperlink" Target="https://ragajunglism.org/ragas/kanakangi/" TargetMode="External"/><Relationship Id="rId292" Type="http://schemas.openxmlformats.org/officeDocument/2006/relationships/hyperlink" Target="https://ragajunglism.org/ragas/reva/" TargetMode="External"/><Relationship Id="rId68" Type="http://schemas.openxmlformats.org/officeDocument/2006/relationships/hyperlink" Target="https://ragajunglism.org/ragas/chanchalas-malhar/" TargetMode="External"/><Relationship Id="rId170" Type="http://schemas.openxmlformats.org/officeDocument/2006/relationships/hyperlink" Target="https://ragajunglism.org/ragas/kamod/" TargetMode="External"/><Relationship Id="rId291" Type="http://schemas.openxmlformats.org/officeDocument/2006/relationships/hyperlink" Target="https://ragajunglism.org/ragas/rati-bhairav/" TargetMode="External"/><Relationship Id="rId67" Type="http://schemas.openxmlformats.org/officeDocument/2006/relationships/hyperlink" Target="https://ragajunglism.org/ragas/champak/" TargetMode="External"/><Relationship Id="rId290" Type="http://schemas.openxmlformats.org/officeDocument/2006/relationships/hyperlink" Target="https://ragajunglism.org/ragas/rasikpriya/" TargetMode="External"/><Relationship Id="rId60" Type="http://schemas.openxmlformats.org/officeDocument/2006/relationships/hyperlink" Target="https://ragajunglism.org/ragas/bihad-bhairav/" TargetMode="External"/><Relationship Id="rId165" Type="http://schemas.openxmlformats.org/officeDocument/2006/relationships/hyperlink" Target="https://ragajunglism.org/ragas/kalashri/" TargetMode="External"/><Relationship Id="rId286" Type="http://schemas.openxmlformats.org/officeDocument/2006/relationships/hyperlink" Target="https://ragajunglism.org/ragas/rampriya/" TargetMode="External"/><Relationship Id="rId69" Type="http://schemas.openxmlformats.org/officeDocument/2006/relationships/hyperlink" Target="https://ragajunglism.org/ragas/chandni-bihag/" TargetMode="External"/><Relationship Id="rId164" Type="http://schemas.openxmlformats.org/officeDocument/2006/relationships/hyperlink" Target="https://ragajunglism.org/ragas/kafi/" TargetMode="External"/><Relationship Id="rId285" Type="http://schemas.openxmlformats.org/officeDocument/2006/relationships/hyperlink" Target="https://ragajunglism.org/ragas/ramkali/" TargetMode="External"/><Relationship Id="rId163" Type="http://schemas.openxmlformats.org/officeDocument/2006/relationships/hyperlink" Target="https://ragajunglism.org/ragas/kabiri-bhairav/" TargetMode="External"/><Relationship Id="rId284" Type="http://schemas.openxmlformats.org/officeDocument/2006/relationships/hyperlink" Target="https://ragajunglism.org/ragas/ramdasi-malhar/" TargetMode="External"/><Relationship Id="rId162" Type="http://schemas.openxmlformats.org/officeDocument/2006/relationships/hyperlink" Target="https://ragajunglism.org/ragas/jungala/" TargetMode="External"/><Relationship Id="rId283" Type="http://schemas.openxmlformats.org/officeDocument/2006/relationships/hyperlink" Target="https://ragajunglism.org/ragas/rajeshwari/" TargetMode="External"/><Relationship Id="rId169" Type="http://schemas.openxmlformats.org/officeDocument/2006/relationships/hyperlink" Target="https://ragajunglism.org/ragas/kameshwari/" TargetMode="External"/><Relationship Id="rId168" Type="http://schemas.openxmlformats.org/officeDocument/2006/relationships/hyperlink" Target="https://ragajunglism.org/ragas/kambhoji/" TargetMode="External"/><Relationship Id="rId289" Type="http://schemas.openxmlformats.org/officeDocument/2006/relationships/hyperlink" Target="https://ragajunglism.org/ragas/rasaranjani/" TargetMode="External"/><Relationship Id="rId167" Type="http://schemas.openxmlformats.org/officeDocument/2006/relationships/hyperlink" Target="https://ragajunglism.org/ragas/kalingada/" TargetMode="External"/><Relationship Id="rId288" Type="http://schemas.openxmlformats.org/officeDocument/2006/relationships/hyperlink" Target="https://ragajunglism.org/ragas/rangeshwari/" TargetMode="External"/><Relationship Id="rId166" Type="http://schemas.openxmlformats.org/officeDocument/2006/relationships/hyperlink" Target="https://ragajunglism.org/ragas/kalavati/" TargetMode="External"/><Relationship Id="rId287" Type="http://schemas.openxmlformats.org/officeDocument/2006/relationships/hyperlink" Target="https://ragajunglism.org/ragas/rang-malhar/" TargetMode="External"/><Relationship Id="rId51" Type="http://schemas.openxmlformats.org/officeDocument/2006/relationships/hyperlink" Target="https://ragajunglism.org/ragas/bhatiyari-bhairav/" TargetMode="External"/><Relationship Id="rId50" Type="http://schemas.openxmlformats.org/officeDocument/2006/relationships/hyperlink" Target="https://ragajunglism.org/ragas/bhatiyar/" TargetMode="External"/><Relationship Id="rId53" Type="http://schemas.openxmlformats.org/officeDocument/2006/relationships/hyperlink" Target="https://ragajunglism.org/ragas/bhavmat-bhairav/" TargetMode="External"/><Relationship Id="rId52" Type="http://schemas.openxmlformats.org/officeDocument/2006/relationships/hyperlink" Target="https://ragajunglism.org/ragas/chatuswari-bhavani/" TargetMode="External"/><Relationship Id="rId55" Type="http://schemas.openxmlformats.org/officeDocument/2006/relationships/hyperlink" Target="https://ragajunglism.org/ragas/bhimpalasi/" TargetMode="External"/><Relationship Id="rId161" Type="http://schemas.openxmlformats.org/officeDocument/2006/relationships/hyperlink" Target="https://ragajunglism.org/ragas/jogkauns/" TargetMode="External"/><Relationship Id="rId282" Type="http://schemas.openxmlformats.org/officeDocument/2006/relationships/hyperlink" Target="https://ragajunglism.org/ragas/raj-kalyan/" TargetMode="External"/><Relationship Id="rId54" Type="http://schemas.openxmlformats.org/officeDocument/2006/relationships/hyperlink" Target="https://ragajunglism.org/ragas/bheem/" TargetMode="External"/><Relationship Id="rId160" Type="http://schemas.openxmlformats.org/officeDocument/2006/relationships/hyperlink" Target="https://ragajunglism.org/ragas/jogiya/" TargetMode="External"/><Relationship Id="rId281" Type="http://schemas.openxmlformats.org/officeDocument/2006/relationships/hyperlink" Target="https://ragajunglism.org/ragas/raisa-kanada/" TargetMode="External"/><Relationship Id="rId57" Type="http://schemas.openxmlformats.org/officeDocument/2006/relationships/hyperlink" Target="https://ragajunglism.org/ragas/bhupali/" TargetMode="External"/><Relationship Id="rId280" Type="http://schemas.openxmlformats.org/officeDocument/2006/relationships/hyperlink" Target="https://ragajunglism.org/ragas/rageshri-kanada/" TargetMode="External"/><Relationship Id="rId56" Type="http://schemas.openxmlformats.org/officeDocument/2006/relationships/hyperlink" Target="https://ragajunglism.org/ragas/bhinna-shadja/" TargetMode="External"/><Relationship Id="rId159" Type="http://schemas.openxmlformats.org/officeDocument/2006/relationships/hyperlink" Target="https://ragajunglism.org/ragas/jogeshwari-pancham/" TargetMode="External"/><Relationship Id="rId59" Type="http://schemas.openxmlformats.org/officeDocument/2006/relationships/hyperlink" Target="https://ragajunglism.org/ragas/bibhas/" TargetMode="External"/><Relationship Id="rId154" Type="http://schemas.openxmlformats.org/officeDocument/2006/relationships/hyperlink" Target="https://ragajunglism.org/ragas/jayant-malhar/" TargetMode="External"/><Relationship Id="rId275" Type="http://schemas.openxmlformats.org/officeDocument/2006/relationships/hyperlink" Target="https://ragajunglism.org/ragas/puriya-dhanashree/" TargetMode="External"/><Relationship Id="rId58" Type="http://schemas.openxmlformats.org/officeDocument/2006/relationships/hyperlink" Target="https://ragajunglism.org/ragas/bhupali-todi/" TargetMode="External"/><Relationship Id="rId153" Type="http://schemas.openxmlformats.org/officeDocument/2006/relationships/hyperlink" Target="https://ragajunglism.org/ragas/jaunpuri/" TargetMode="External"/><Relationship Id="rId274" Type="http://schemas.openxmlformats.org/officeDocument/2006/relationships/hyperlink" Target="https://ragajunglism.org/ragas/puriya/" TargetMode="External"/><Relationship Id="rId152" Type="http://schemas.openxmlformats.org/officeDocument/2006/relationships/hyperlink" Target="https://ragajunglism.org/ragas/jaun-bhairav/" TargetMode="External"/><Relationship Id="rId273" Type="http://schemas.openxmlformats.org/officeDocument/2006/relationships/hyperlink" Target="https://ragajunglism.org/ragas/purba/" TargetMode="External"/><Relationship Id="rId151" Type="http://schemas.openxmlformats.org/officeDocument/2006/relationships/hyperlink" Target="https://ragajunglism.org/ragas/japaniya/" TargetMode="External"/><Relationship Id="rId272" Type="http://schemas.openxmlformats.org/officeDocument/2006/relationships/hyperlink" Target="https://ragajunglism.org/ragas/prabhateshwari/" TargetMode="External"/><Relationship Id="rId158" Type="http://schemas.openxmlformats.org/officeDocument/2006/relationships/hyperlink" Target="https://ragajunglism.org/ragas/jogeshwari/" TargetMode="External"/><Relationship Id="rId279" Type="http://schemas.openxmlformats.org/officeDocument/2006/relationships/hyperlink" Target="https://ragajunglism.org/ragas/rageshri-bahar/" TargetMode="External"/><Relationship Id="rId157" Type="http://schemas.openxmlformats.org/officeDocument/2006/relationships/hyperlink" Target="https://ragajunglism.org/ragas/jog-tilang/" TargetMode="External"/><Relationship Id="rId278" Type="http://schemas.openxmlformats.org/officeDocument/2006/relationships/hyperlink" Target="https://ragajunglism.org/ragas/rageshri/" TargetMode="External"/><Relationship Id="rId156" Type="http://schemas.openxmlformats.org/officeDocument/2006/relationships/hyperlink" Target="https://ragajunglism.org/ragas/jog/" TargetMode="External"/><Relationship Id="rId277" Type="http://schemas.openxmlformats.org/officeDocument/2006/relationships/hyperlink" Target="https://ragajunglism.org/ragas/purva/" TargetMode="External"/><Relationship Id="rId155" Type="http://schemas.openxmlformats.org/officeDocument/2006/relationships/hyperlink" Target="https://ragajunglism.org/ragas/jhinjhoti/" TargetMode="External"/><Relationship Id="rId276" Type="http://schemas.openxmlformats.org/officeDocument/2006/relationships/hyperlink" Target="https://ragajunglism.org/ragas/puriya-kalyan/" TargetMode="External"/><Relationship Id="rId107" Type="http://schemas.openxmlformats.org/officeDocument/2006/relationships/hyperlink" Target="https://ragajunglism.org/ragas/ek-prakar-ki-kauns/" TargetMode="External"/><Relationship Id="rId228" Type="http://schemas.openxmlformats.org/officeDocument/2006/relationships/hyperlink" Target="https://ragajunglism.org/ragas/maru-bihag/" TargetMode="External"/><Relationship Id="rId349" Type="http://schemas.openxmlformats.org/officeDocument/2006/relationships/hyperlink" Target="https://ragajunglism.org/ragas/tilak-bhairav/" TargetMode="External"/><Relationship Id="rId106" Type="http://schemas.openxmlformats.org/officeDocument/2006/relationships/hyperlink" Target="https://ragajunglism.org/ragas/durgawati/" TargetMode="External"/><Relationship Id="rId227" Type="http://schemas.openxmlformats.org/officeDocument/2006/relationships/hyperlink" Target="https://ragajunglism.org/ragas/maru/" TargetMode="External"/><Relationship Id="rId348" Type="http://schemas.openxmlformats.org/officeDocument/2006/relationships/hyperlink" Target="https://ragajunglism.org/ragas/tanseni-madhuvanti/" TargetMode="External"/><Relationship Id="rId105" Type="http://schemas.openxmlformats.org/officeDocument/2006/relationships/hyperlink" Target="https://ragajunglism.org/ragas/durga/" TargetMode="External"/><Relationship Id="rId226" Type="http://schemas.openxmlformats.org/officeDocument/2006/relationships/hyperlink" Target="https://ragajunglism.org/ragas/manjari-bihag/" TargetMode="External"/><Relationship Id="rId347" Type="http://schemas.openxmlformats.org/officeDocument/2006/relationships/hyperlink" Target="https://ragajunglism.org/ragas/tankeshree/" TargetMode="External"/><Relationship Id="rId104" Type="http://schemas.openxmlformats.org/officeDocument/2006/relationships/hyperlink" Target="https://ragajunglism.org/ragas/doga-kalyan/" TargetMode="External"/><Relationship Id="rId225" Type="http://schemas.openxmlformats.org/officeDocument/2006/relationships/hyperlink" Target="https://ragajunglism.org/ragas/manj-khamaj/" TargetMode="External"/><Relationship Id="rId346" Type="http://schemas.openxmlformats.org/officeDocument/2006/relationships/hyperlink" Target="https://ragajunglism.org/ragas/swanandi/" TargetMode="External"/><Relationship Id="rId109" Type="http://schemas.openxmlformats.org/officeDocument/2006/relationships/hyperlink" Target="https://ragajunglism.org/ragas/faridi-todi/" TargetMode="External"/><Relationship Id="rId108" Type="http://schemas.openxmlformats.org/officeDocument/2006/relationships/hyperlink" Target="https://ragajunglism.org/ragas/enayetkhani-kanada/" TargetMode="External"/><Relationship Id="rId229" Type="http://schemas.openxmlformats.org/officeDocument/2006/relationships/hyperlink" Target="https://ragajunglism.org/ragas/marwa/" TargetMode="External"/><Relationship Id="rId220" Type="http://schemas.openxmlformats.org/officeDocument/2006/relationships/hyperlink" Target="https://ragajunglism.org/ragas/manavi/" TargetMode="External"/><Relationship Id="rId341" Type="http://schemas.openxmlformats.org/officeDocument/2006/relationships/hyperlink" Target="https://ragajunglism.org/ragas/suha-kanada/" TargetMode="External"/><Relationship Id="rId340" Type="http://schemas.openxmlformats.org/officeDocument/2006/relationships/hyperlink" Target="https://ragajunglism.org/ragas/sughrai/" TargetMode="External"/><Relationship Id="rId103" Type="http://schemas.openxmlformats.org/officeDocument/2006/relationships/hyperlink" Target="https://ragajunglism.org/ragas/din-ki-puriya/" TargetMode="External"/><Relationship Id="rId224" Type="http://schemas.openxmlformats.org/officeDocument/2006/relationships/hyperlink" Target="https://ragajunglism.org/ragas/mangal-todi/" TargetMode="External"/><Relationship Id="rId345" Type="http://schemas.openxmlformats.org/officeDocument/2006/relationships/hyperlink" Target="https://ragajunglism.org/ragas/surdasi-malhar/" TargetMode="External"/><Relationship Id="rId102" Type="http://schemas.openxmlformats.org/officeDocument/2006/relationships/hyperlink" Target="https://ragajunglism.org/ragas/dhuliya-malhar/" TargetMode="External"/><Relationship Id="rId223" Type="http://schemas.openxmlformats.org/officeDocument/2006/relationships/hyperlink" Target="https://ragajunglism.org/ragas/mangal-gujari/" TargetMode="External"/><Relationship Id="rId344" Type="http://schemas.openxmlformats.org/officeDocument/2006/relationships/hyperlink" Target="https://ragajunglism.org/ragas/sundarkauns/" TargetMode="External"/><Relationship Id="rId101" Type="http://schemas.openxmlformats.org/officeDocument/2006/relationships/hyperlink" Target="https://ragajunglism.org/ragas/dhavalshree/" TargetMode="External"/><Relationship Id="rId222" Type="http://schemas.openxmlformats.org/officeDocument/2006/relationships/hyperlink" Target="https://ragajunglism.org/ragas/mangal-bhairav/" TargetMode="External"/><Relationship Id="rId343" Type="http://schemas.openxmlformats.org/officeDocument/2006/relationships/hyperlink" Target="https://ragajunglism.org/ragas/sundarkali/" TargetMode="External"/><Relationship Id="rId100" Type="http://schemas.openxmlformats.org/officeDocument/2006/relationships/hyperlink" Target="https://ragajunglism.org/ragas/dhani/" TargetMode="External"/><Relationship Id="rId221" Type="http://schemas.openxmlformats.org/officeDocument/2006/relationships/hyperlink" Target="https://ragajunglism.org/ragas/mand/" TargetMode="External"/><Relationship Id="rId342" Type="http://schemas.openxmlformats.org/officeDocument/2006/relationships/hyperlink" Target="https://ragajunglism.org/ragas/suha-todi/" TargetMode="External"/><Relationship Id="rId217" Type="http://schemas.openxmlformats.org/officeDocument/2006/relationships/hyperlink" Target="https://ragajunglism.org/ragas/malkauns/" TargetMode="External"/><Relationship Id="rId338" Type="http://schemas.openxmlformats.org/officeDocument/2006/relationships/hyperlink" Target="https://ragajunglism.org/ragas/sonakshi/" TargetMode="External"/><Relationship Id="rId216" Type="http://schemas.openxmlformats.org/officeDocument/2006/relationships/hyperlink" Target="https://ragajunglism.org/ragas/maligoura/" TargetMode="External"/><Relationship Id="rId337" Type="http://schemas.openxmlformats.org/officeDocument/2006/relationships/hyperlink" Target="https://ragajunglism.org/ragas/sohini-pancham/" TargetMode="External"/><Relationship Id="rId215" Type="http://schemas.openxmlformats.org/officeDocument/2006/relationships/hyperlink" Target="https://ragajunglism.org/ragas/malgunji/" TargetMode="External"/><Relationship Id="rId336" Type="http://schemas.openxmlformats.org/officeDocument/2006/relationships/hyperlink" Target="https://ragajunglism.org/ragas/sohini-bahar/" TargetMode="External"/><Relationship Id="rId214" Type="http://schemas.openxmlformats.org/officeDocument/2006/relationships/hyperlink" Target="https://ragajunglism.org/ragas/malayalam/" TargetMode="External"/><Relationship Id="rId335" Type="http://schemas.openxmlformats.org/officeDocument/2006/relationships/hyperlink" Target="https://ragajunglism.org/ragas/sohini/" TargetMode="External"/><Relationship Id="rId219" Type="http://schemas.openxmlformats.org/officeDocument/2006/relationships/hyperlink" Target="https://ragajunglism.org/ragas/maluha/" TargetMode="External"/><Relationship Id="rId218" Type="http://schemas.openxmlformats.org/officeDocument/2006/relationships/hyperlink" Target="https://ragajunglism.org/ragas/malti-basant/" TargetMode="External"/><Relationship Id="rId339" Type="http://schemas.openxmlformats.org/officeDocument/2006/relationships/hyperlink" Target="https://ragajunglism.org/ragas/sorath/" TargetMode="External"/><Relationship Id="rId330" Type="http://schemas.openxmlformats.org/officeDocument/2006/relationships/hyperlink" Target="https://ragajunglism.org/ragas/shukla-bilawal/" TargetMode="External"/><Relationship Id="rId213" Type="http://schemas.openxmlformats.org/officeDocument/2006/relationships/hyperlink" Target="https://ragajunglism.org/ragas/malay-marutam/" TargetMode="External"/><Relationship Id="rId334" Type="http://schemas.openxmlformats.org/officeDocument/2006/relationships/hyperlink" Target="https://ragajunglism.org/ragas/sindhura/" TargetMode="External"/><Relationship Id="rId212" Type="http://schemas.openxmlformats.org/officeDocument/2006/relationships/hyperlink" Target="https://ragajunglism.org/ragas/malavi/" TargetMode="External"/><Relationship Id="rId333" Type="http://schemas.openxmlformats.org/officeDocument/2006/relationships/hyperlink" Target="https://ragajunglism.org/ragas/sindhi-bhairavi/" TargetMode="External"/><Relationship Id="rId211" Type="http://schemas.openxmlformats.org/officeDocument/2006/relationships/hyperlink" Target="https://ragajunglism.org/ragas/malashree/" TargetMode="External"/><Relationship Id="rId332" Type="http://schemas.openxmlformats.org/officeDocument/2006/relationships/hyperlink" Target="https://ragajunglism.org/ragas/simhendra-madhyamam/" TargetMode="External"/><Relationship Id="rId210" Type="http://schemas.openxmlformats.org/officeDocument/2006/relationships/hyperlink" Target="https://ragajunglism.org/ragas/madhyami/" TargetMode="External"/><Relationship Id="rId331" Type="http://schemas.openxmlformats.org/officeDocument/2006/relationships/hyperlink" Target="https://ragajunglism.org/ragas/shyam-kalyan/" TargetMode="External"/><Relationship Id="rId129" Type="http://schemas.openxmlformats.org/officeDocument/2006/relationships/hyperlink" Target="https://ragajunglism.org/ragas/hameer/" TargetMode="External"/><Relationship Id="rId128" Type="http://schemas.openxmlformats.org/officeDocument/2006/relationships/hyperlink" Target="https://ragajunglism.org/ragas/gunkali/" TargetMode="External"/><Relationship Id="rId249" Type="http://schemas.openxmlformats.org/officeDocument/2006/relationships/hyperlink" Target="https://ragajunglism.org/ragas/nat-bihag/" TargetMode="External"/><Relationship Id="rId127" Type="http://schemas.openxmlformats.org/officeDocument/2006/relationships/hyperlink" Target="https://ragajunglism.org/ragas/gunji-kanada/" TargetMode="External"/><Relationship Id="rId248" Type="http://schemas.openxmlformats.org/officeDocument/2006/relationships/hyperlink" Target="https://ragajunglism.org/ragas/nat-bhairav/" TargetMode="External"/><Relationship Id="rId369" Type="http://schemas.openxmlformats.org/officeDocument/2006/relationships/drawing" Target="../drawings/drawing1.xml"/><Relationship Id="rId126" Type="http://schemas.openxmlformats.org/officeDocument/2006/relationships/hyperlink" Target="https://ragajunglism.org/ragas/gunakri/" TargetMode="External"/><Relationship Id="rId247" Type="http://schemas.openxmlformats.org/officeDocument/2006/relationships/hyperlink" Target="https://ragajunglism.org/ragas/nat/" TargetMode="External"/><Relationship Id="rId368" Type="http://schemas.openxmlformats.org/officeDocument/2006/relationships/hyperlink" Target="https://ragajunglism.org/ragas/zila-kafi/" TargetMode="External"/><Relationship Id="rId121" Type="http://schemas.openxmlformats.org/officeDocument/2006/relationships/hyperlink" Target="https://ragajunglism.org/ragas/gauri-basant/" TargetMode="External"/><Relationship Id="rId242" Type="http://schemas.openxmlformats.org/officeDocument/2006/relationships/hyperlink" Target="https://ragajunglism.org/ragas/nagadhwani-kanada/" TargetMode="External"/><Relationship Id="rId363" Type="http://schemas.openxmlformats.org/officeDocument/2006/relationships/hyperlink" Target="https://ragajunglism.org/ragas/virat-bhairav/" TargetMode="External"/><Relationship Id="rId120" Type="http://schemas.openxmlformats.org/officeDocument/2006/relationships/hyperlink" Target="https://ragajunglism.org/ragas/gauri/" TargetMode="External"/><Relationship Id="rId241" Type="http://schemas.openxmlformats.org/officeDocument/2006/relationships/hyperlink" Target="https://ragajunglism.org/ragas/multani/" TargetMode="External"/><Relationship Id="rId362" Type="http://schemas.openxmlformats.org/officeDocument/2006/relationships/hyperlink" Target="https://ragajunglism.org/ragas/vijayanagari/" TargetMode="External"/><Relationship Id="rId240" Type="http://schemas.openxmlformats.org/officeDocument/2006/relationships/hyperlink" Target="https://ragajunglism.org/ragas/mudriki-kanada/" TargetMode="External"/><Relationship Id="rId361" Type="http://schemas.openxmlformats.org/officeDocument/2006/relationships/hyperlink" Target="https://ragajunglism.org/ragas/vihang/" TargetMode="External"/><Relationship Id="rId360" Type="http://schemas.openxmlformats.org/officeDocument/2006/relationships/hyperlink" Target="https://ragajunglism.org/ragas/vardhini/" TargetMode="External"/><Relationship Id="rId125" Type="http://schemas.openxmlformats.org/officeDocument/2006/relationships/hyperlink" Target="https://ragajunglism.org/ragas/gujiri-todi/" TargetMode="External"/><Relationship Id="rId246" Type="http://schemas.openxmlformats.org/officeDocument/2006/relationships/hyperlink" Target="https://ragajunglism.org/ragas/narayani/" TargetMode="External"/><Relationship Id="rId367" Type="http://schemas.openxmlformats.org/officeDocument/2006/relationships/hyperlink" Target="https://ragajunglism.org/ragas/zeelaf/" TargetMode="External"/><Relationship Id="rId124" Type="http://schemas.openxmlformats.org/officeDocument/2006/relationships/hyperlink" Target="https://ragajunglism.org/ragas/gorakh-kalyan/" TargetMode="External"/><Relationship Id="rId245" Type="http://schemas.openxmlformats.org/officeDocument/2006/relationships/hyperlink" Target="https://ragajunglism.org/ragas/nandkauns/" TargetMode="External"/><Relationship Id="rId366" Type="http://schemas.openxmlformats.org/officeDocument/2006/relationships/hyperlink" Target="https://ragajunglism.org/ragas/yaman-kalyan/" TargetMode="External"/><Relationship Id="rId123" Type="http://schemas.openxmlformats.org/officeDocument/2006/relationships/hyperlink" Target="https://ragajunglism.org/ragas/gopika-basant/" TargetMode="External"/><Relationship Id="rId244" Type="http://schemas.openxmlformats.org/officeDocument/2006/relationships/hyperlink" Target="https://ragajunglism.org/ragas/nand/" TargetMode="External"/><Relationship Id="rId365" Type="http://schemas.openxmlformats.org/officeDocument/2006/relationships/hyperlink" Target="https://ragajunglism.org/ragas/yaman/" TargetMode="External"/><Relationship Id="rId122" Type="http://schemas.openxmlformats.org/officeDocument/2006/relationships/hyperlink" Target="https://ragajunglism.org/ragas/gaurimanjari/" TargetMode="External"/><Relationship Id="rId243" Type="http://schemas.openxmlformats.org/officeDocument/2006/relationships/hyperlink" Target="https://ragajunglism.org/ragas/namanarayani/" TargetMode="External"/><Relationship Id="rId364" Type="http://schemas.openxmlformats.org/officeDocument/2006/relationships/hyperlink" Target="https://ragajunglism.org/ragas/viyogavarali/" TargetMode="External"/><Relationship Id="rId95" Type="http://schemas.openxmlformats.org/officeDocument/2006/relationships/hyperlink" Target="https://ragajunglism.org/ragas/devgandhari-todi/" TargetMode="External"/><Relationship Id="rId94" Type="http://schemas.openxmlformats.org/officeDocument/2006/relationships/hyperlink" Target="https://ragajunglism.org/ragas/devata-bhairav/" TargetMode="External"/><Relationship Id="rId97" Type="http://schemas.openxmlformats.org/officeDocument/2006/relationships/hyperlink" Target="https://ragajunglism.org/ragas/devranjani/" TargetMode="External"/><Relationship Id="rId96" Type="http://schemas.openxmlformats.org/officeDocument/2006/relationships/hyperlink" Target="https://ragajunglism.org/ragas/devgiri-bilawal/" TargetMode="External"/><Relationship Id="rId99" Type="http://schemas.openxmlformats.org/officeDocument/2006/relationships/hyperlink" Target="https://ragajunglism.org/ragas/dhanashree/" TargetMode="External"/><Relationship Id="rId98" Type="http://schemas.openxmlformats.org/officeDocument/2006/relationships/hyperlink" Target="https://ragajunglism.org/ragas/devshri/" TargetMode="External"/><Relationship Id="rId91" Type="http://schemas.openxmlformats.org/officeDocument/2006/relationships/hyperlink" Target="https://ragajunglism.org/ragas/deshkar/" TargetMode="External"/><Relationship Id="rId90" Type="http://schemas.openxmlformats.org/officeDocument/2006/relationships/hyperlink" Target="https://ragajunglism.org/ragas/desh/" TargetMode="External"/><Relationship Id="rId93" Type="http://schemas.openxmlformats.org/officeDocument/2006/relationships/hyperlink" Target="https://ragajunglism.org/ragas/dev-gandhar/" TargetMode="External"/><Relationship Id="rId92" Type="http://schemas.openxmlformats.org/officeDocument/2006/relationships/hyperlink" Target="https://ragajunglism.org/ragas/desi/" TargetMode="External"/><Relationship Id="rId118" Type="http://schemas.openxmlformats.org/officeDocument/2006/relationships/hyperlink" Target="https://ragajunglism.org/ragas/gaud-sarang/" TargetMode="External"/><Relationship Id="rId239" Type="http://schemas.openxmlformats.org/officeDocument/2006/relationships/hyperlink" Target="https://ragajunglism.org/ragas/monomanjari/" TargetMode="External"/><Relationship Id="rId117" Type="http://schemas.openxmlformats.org/officeDocument/2006/relationships/hyperlink" Target="https://ragajunglism.org/ragas/gaud-malhar/" TargetMode="External"/><Relationship Id="rId238" Type="http://schemas.openxmlformats.org/officeDocument/2006/relationships/hyperlink" Target="https://ragajunglism.org/ragas/mohankauns/" TargetMode="External"/><Relationship Id="rId359" Type="http://schemas.openxmlformats.org/officeDocument/2006/relationships/hyperlink" Target="https://ragajunglism.org/ragas/vachaspati/" TargetMode="External"/><Relationship Id="rId116" Type="http://schemas.openxmlformats.org/officeDocument/2006/relationships/hyperlink" Target="https://ragajunglism.org/ragas/gaud/" TargetMode="External"/><Relationship Id="rId237" Type="http://schemas.openxmlformats.org/officeDocument/2006/relationships/hyperlink" Target="https://ragajunglism.org/ragas/miyan-ki-sarang/" TargetMode="External"/><Relationship Id="rId358" Type="http://schemas.openxmlformats.org/officeDocument/2006/relationships/hyperlink" Target="https://ragajunglism.org/ragas/tulsikauns/" TargetMode="External"/><Relationship Id="rId115" Type="http://schemas.openxmlformats.org/officeDocument/2006/relationships/hyperlink" Target="https://ragajunglism.org/ragas/gara/" TargetMode="External"/><Relationship Id="rId236" Type="http://schemas.openxmlformats.org/officeDocument/2006/relationships/hyperlink" Target="https://ragajunglism.org/ragas/miyan-ki-malhar/" TargetMode="External"/><Relationship Id="rId357" Type="http://schemas.openxmlformats.org/officeDocument/2006/relationships/hyperlink" Target="https://ragajunglism.org/ragas/triveni/" TargetMode="External"/><Relationship Id="rId119" Type="http://schemas.openxmlformats.org/officeDocument/2006/relationships/hyperlink" Target="https://ragajunglism.org/ragas/gaudgiri-malhar/" TargetMode="External"/><Relationship Id="rId110" Type="http://schemas.openxmlformats.org/officeDocument/2006/relationships/hyperlink" Target="https://ragajunglism.org/ragas/firozkhani-todi/" TargetMode="External"/><Relationship Id="rId231" Type="http://schemas.openxmlformats.org/officeDocument/2006/relationships/hyperlink" Target="https://ragajunglism.org/ragas/meerabai-malhar/" TargetMode="External"/><Relationship Id="rId352" Type="http://schemas.openxmlformats.org/officeDocument/2006/relationships/hyperlink" Target="https://ragajunglism.org/ragas/tilang/" TargetMode="External"/><Relationship Id="rId230" Type="http://schemas.openxmlformats.org/officeDocument/2006/relationships/hyperlink" Target="https://ragajunglism.org/ragas/medhavi/" TargetMode="External"/><Relationship Id="rId351" Type="http://schemas.openxmlformats.org/officeDocument/2006/relationships/hyperlink" Target="https://ragajunglism.org/ragas/tilak-malhar/" TargetMode="External"/><Relationship Id="rId350" Type="http://schemas.openxmlformats.org/officeDocument/2006/relationships/hyperlink" Target="https://ragajunglism.org/ragas/tilak-kamod/" TargetMode="External"/><Relationship Id="rId114" Type="http://schemas.openxmlformats.org/officeDocument/2006/relationships/hyperlink" Target="https://ragajunglism.org/ragas/gaoti/" TargetMode="External"/><Relationship Id="rId235" Type="http://schemas.openxmlformats.org/officeDocument/2006/relationships/hyperlink" Target="https://ragajunglism.org/ragas/milan-gandhar/" TargetMode="External"/><Relationship Id="rId356" Type="http://schemas.openxmlformats.org/officeDocument/2006/relationships/hyperlink" Target="https://ragajunglism.org/ragas/trishnaa/" TargetMode="External"/><Relationship Id="rId113" Type="http://schemas.openxmlformats.org/officeDocument/2006/relationships/hyperlink" Target="https://ragajunglism.org/ragas/gangeshwari/" TargetMode="External"/><Relationship Id="rId234" Type="http://schemas.openxmlformats.org/officeDocument/2006/relationships/hyperlink" Target="https://ragajunglism.org/ragas/meladalan/" TargetMode="External"/><Relationship Id="rId355" Type="http://schemas.openxmlformats.org/officeDocument/2006/relationships/hyperlink" Target="https://ragajunglism.org/ragas/todi/" TargetMode="External"/><Relationship Id="rId112" Type="http://schemas.openxmlformats.org/officeDocument/2006/relationships/hyperlink" Target="https://ragajunglism.org/ragas/gandhari/" TargetMode="External"/><Relationship Id="rId233" Type="http://schemas.openxmlformats.org/officeDocument/2006/relationships/hyperlink" Target="https://ragajunglism.org/ragas/meghranjani/" TargetMode="External"/><Relationship Id="rId354" Type="http://schemas.openxmlformats.org/officeDocument/2006/relationships/hyperlink" Target="https://ragajunglism.org/ragas/tivrakauns/" TargetMode="External"/><Relationship Id="rId111" Type="http://schemas.openxmlformats.org/officeDocument/2006/relationships/hyperlink" Target="https://ragajunglism.org/ragas/gagan-vihang/" TargetMode="External"/><Relationship Id="rId232" Type="http://schemas.openxmlformats.org/officeDocument/2006/relationships/hyperlink" Target="https://ragajunglism.org/ragas/megh/" TargetMode="External"/><Relationship Id="rId353" Type="http://schemas.openxmlformats.org/officeDocument/2006/relationships/hyperlink" Target="https://ragajunglism.org/ragas/tilang-bahar/" TargetMode="External"/><Relationship Id="rId305" Type="http://schemas.openxmlformats.org/officeDocument/2006/relationships/hyperlink" Target="https://ragajunglism.org/ragas/saraswati-kedar/" TargetMode="External"/><Relationship Id="rId304" Type="http://schemas.openxmlformats.org/officeDocument/2006/relationships/hyperlink" Target="https://ragajunglism.org/ragas/saraswati/" TargetMode="External"/><Relationship Id="rId303" Type="http://schemas.openxmlformats.org/officeDocument/2006/relationships/hyperlink" Target="https://ragajunglism.org/ragas/sarangkauns/" TargetMode="External"/><Relationship Id="rId302" Type="http://schemas.openxmlformats.org/officeDocument/2006/relationships/hyperlink" Target="https://ragajunglism.org/ragas/sarang/" TargetMode="External"/><Relationship Id="rId309" Type="http://schemas.openxmlformats.org/officeDocument/2006/relationships/hyperlink" Target="https://ragajunglism.org/ragas/sazgiri/" TargetMode="External"/><Relationship Id="rId308" Type="http://schemas.openxmlformats.org/officeDocument/2006/relationships/hyperlink" Target="https://ragajunglism.org/ragas/savani/" TargetMode="External"/><Relationship Id="rId307" Type="http://schemas.openxmlformats.org/officeDocument/2006/relationships/hyperlink" Target="https://ragajunglism.org/ragas/saurashtra-bhairav/" TargetMode="External"/><Relationship Id="rId306" Type="http://schemas.openxmlformats.org/officeDocument/2006/relationships/hyperlink" Target="https://ragajunglism.org/ragas/saraswati-sarang/" TargetMode="External"/><Relationship Id="rId301" Type="http://schemas.openxmlformats.org/officeDocument/2006/relationships/hyperlink" Target="https://ragajunglism.org/ragas/sanjh-saravali/" TargetMode="External"/><Relationship Id="rId300" Type="http://schemas.openxmlformats.org/officeDocument/2006/relationships/hyperlink" Target="https://ragajunglism.org/ragas/sampurna-malkauns/" TargetMode="External"/><Relationship Id="rId206" Type="http://schemas.openxmlformats.org/officeDocument/2006/relationships/hyperlink" Target="https://ragajunglism.org/ragas/madhuranjani/" TargetMode="External"/><Relationship Id="rId327" Type="http://schemas.openxmlformats.org/officeDocument/2006/relationships/hyperlink" Target="https://ragajunglism.org/ragas/shuddha-kalyan/" TargetMode="External"/><Relationship Id="rId205" Type="http://schemas.openxmlformats.org/officeDocument/2006/relationships/hyperlink" Target="https://ragajunglism.org/ragas/madhuradhwani/" TargetMode="External"/><Relationship Id="rId326" Type="http://schemas.openxmlformats.org/officeDocument/2006/relationships/hyperlink" Target="https://ragajunglism.org/ragas/shuddha-basant/" TargetMode="External"/><Relationship Id="rId204" Type="http://schemas.openxmlformats.org/officeDocument/2006/relationships/hyperlink" Target="https://ragajunglism.org/ragas/madhumad-sarang/" TargetMode="External"/><Relationship Id="rId325" Type="http://schemas.openxmlformats.org/officeDocument/2006/relationships/hyperlink" Target="https://ragajunglism.org/ragas/shrutivardhini/" TargetMode="External"/><Relationship Id="rId203" Type="http://schemas.openxmlformats.org/officeDocument/2006/relationships/hyperlink" Target="https://ragajunglism.org/ragas/madhukauns/" TargetMode="External"/><Relationship Id="rId324" Type="http://schemas.openxmlformats.org/officeDocument/2006/relationships/hyperlink" Target="https://ragajunglism.org/ragas/shree-kalyan/" TargetMode="External"/><Relationship Id="rId209" Type="http://schemas.openxmlformats.org/officeDocument/2006/relationships/hyperlink" Target="https://ragajunglism.org/ragas/madhuvanti/" TargetMode="External"/><Relationship Id="rId208" Type="http://schemas.openxmlformats.org/officeDocument/2006/relationships/hyperlink" Target="https://ragajunglism.org/ragas/madhusurja/" TargetMode="External"/><Relationship Id="rId329" Type="http://schemas.openxmlformats.org/officeDocument/2006/relationships/hyperlink" Target="https://ragajunglism.org/ragas/shuddha-sarang/" TargetMode="External"/><Relationship Id="rId207" Type="http://schemas.openxmlformats.org/officeDocument/2006/relationships/hyperlink" Target="https://ragajunglism.org/ragas/madhurkauns/" TargetMode="External"/><Relationship Id="rId328" Type="http://schemas.openxmlformats.org/officeDocument/2006/relationships/hyperlink" Target="https://ragajunglism.org/ragas/shuddha-malhar/" TargetMode="External"/><Relationship Id="rId202" Type="http://schemas.openxmlformats.org/officeDocument/2006/relationships/hyperlink" Target="https://ragajunglism.org/ragas/madhukant/" TargetMode="External"/><Relationship Id="rId323" Type="http://schemas.openxmlformats.org/officeDocument/2006/relationships/hyperlink" Target="https://ragajunglism.org/ragas/shree/" TargetMode="External"/><Relationship Id="rId201" Type="http://schemas.openxmlformats.org/officeDocument/2006/relationships/hyperlink" Target="https://ragajunglism.org/ragas/madhu-multani/" TargetMode="External"/><Relationship Id="rId322" Type="http://schemas.openxmlformats.org/officeDocument/2006/relationships/hyperlink" Target="https://ragajunglism.org/ragas/shobhawari/" TargetMode="External"/><Relationship Id="rId200" Type="http://schemas.openxmlformats.org/officeDocument/2006/relationships/hyperlink" Target="https://ragajunglism.org/ragas/loom/" TargetMode="External"/><Relationship Id="rId321" Type="http://schemas.openxmlformats.org/officeDocument/2006/relationships/hyperlink" Target="https://ragajunglism.org/ragas/shivranjani/" TargetMode="External"/><Relationship Id="rId320" Type="http://schemas.openxmlformats.org/officeDocument/2006/relationships/hyperlink" Target="https://ragajunglism.org/ragas/shivmat-bhairav/" TargetMode="External"/><Relationship Id="rId316" Type="http://schemas.openxmlformats.org/officeDocument/2006/relationships/hyperlink" Target="https://ragajunglism.org/ragas/shiv-manjari/" TargetMode="External"/><Relationship Id="rId315" Type="http://schemas.openxmlformats.org/officeDocument/2006/relationships/hyperlink" Target="https://ragajunglism.org/ragas/shanmukhpriya/" TargetMode="External"/><Relationship Id="rId314" Type="http://schemas.openxmlformats.org/officeDocument/2006/relationships/hyperlink" Target="https://ragajunglism.org/ragas/shankh-dhwani/" TargetMode="External"/><Relationship Id="rId313" Type="http://schemas.openxmlformats.org/officeDocument/2006/relationships/hyperlink" Target="https://ragajunglism.org/ragas/shankara-karan/" TargetMode="External"/><Relationship Id="rId319" Type="http://schemas.openxmlformats.org/officeDocument/2006/relationships/hyperlink" Target="https://ragajunglism.org/ragas/shivawanti/" TargetMode="External"/><Relationship Id="rId318" Type="http://schemas.openxmlformats.org/officeDocument/2006/relationships/hyperlink" Target="https://ragajunglism.org/ragas/shivanjali/" TargetMode="External"/><Relationship Id="rId317" Type="http://schemas.openxmlformats.org/officeDocument/2006/relationships/hyperlink" Target="https://ragajunglism.org/ragas/shivangi/" TargetMode="External"/><Relationship Id="rId312" Type="http://schemas.openxmlformats.org/officeDocument/2006/relationships/hyperlink" Target="https://ragajunglism.org/ragas/shankara/" TargetMode="External"/><Relationship Id="rId311" Type="http://schemas.openxmlformats.org/officeDocument/2006/relationships/hyperlink" Target="https://ragajunglism.org/ragas/shahana/" TargetMode="External"/><Relationship Id="rId310" Type="http://schemas.openxmlformats.org/officeDocument/2006/relationships/hyperlink" Target="https://ragajunglism.org/ragas/sehera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agajunglism.org/ragas/thaat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agajunglism.org/ragas/ragatable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agajunglism.org/ragas/kaunsis/" TargetMode="External"/><Relationship Id="rId2" Type="http://schemas.openxmlformats.org/officeDocument/2006/relationships/hyperlink" Target="https://ragajunglism.org/ragas/kaunsis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Col="1" outlineLevelRow="1"/>
  <cols>
    <col customWidth="1" min="1" max="1" width="19.75" outlineLevel="1"/>
    <col customWidth="1" min="2" max="2" width="16.88"/>
    <col customWidth="1" min="3" max="3" width="12.75"/>
    <col customWidth="1" min="4" max="16" width="2.5"/>
    <col customWidth="1" min="17" max="17" width="9.38"/>
    <col customWidth="1" min="18" max="20" width="8.75"/>
    <col customWidth="1" min="21" max="21" width="13.88"/>
    <col customWidth="1" min="22" max="22" width="10.38"/>
    <col customWidth="1" min="23" max="35" width="2.25"/>
    <col customWidth="1" min="36" max="41" width="1.88"/>
    <col customWidth="1" min="42" max="43" width="4.75"/>
    <col customWidth="1" min="44" max="44" width="6.5"/>
    <col customWidth="1" min="45" max="45" width="12.0"/>
    <col customWidth="1" min="46" max="46" width="23.0"/>
    <col customWidth="1" min="47" max="48" width="11.75"/>
    <col customWidth="1" min="49" max="49" width="19.75"/>
    <col customWidth="1" min="50" max="52" width="5.38"/>
    <col customWidth="1" min="53" max="53" width="7.75"/>
    <col customWidth="1" min="54" max="54" width="7.25"/>
    <col customWidth="1" min="55" max="55" width="3.5"/>
    <col customWidth="1" min="56" max="56" width="0.63"/>
    <col customWidth="1" min="57" max="57" width="5.38"/>
    <col customWidth="1" min="58" max="58" width="11.5"/>
    <col customWidth="1" min="59" max="63" width="5.38"/>
    <col customWidth="1" min="64" max="68" width="6.75"/>
    <col customWidth="1" min="69" max="70" width="5.88"/>
    <col customWidth="1" min="71" max="71" width="17.63"/>
    <col customWidth="1" min="72" max="72" width="19.13"/>
    <col customWidth="1" min="73" max="73" width="19.38"/>
    <col customWidth="1" min="74" max="74" width="12.13"/>
    <col customWidth="1" min="75" max="77" width="3.38"/>
    <col customWidth="1" hidden="1" min="78" max="90" width="2.38"/>
    <col customWidth="1" min="91" max="91" width="14.38"/>
    <col customWidth="1" min="92" max="92" width="5.0"/>
    <col customWidth="1" hidden="1" min="93" max="105" width="2.38"/>
    <col customWidth="1" min="106" max="106" width="13.38"/>
    <col customWidth="1" min="107" max="107" width="3.13"/>
    <col customWidth="1" min="108" max="108" width="5.88"/>
    <col customWidth="1" min="109" max="109" width="8.5"/>
    <col customWidth="1" min="110" max="111" width="7.25"/>
    <col customWidth="1" min="112" max="112" width="8.13"/>
    <col customWidth="1" min="113" max="114" width="7.25"/>
    <col customWidth="1" min="115" max="115" width="5.88"/>
    <col customWidth="1" min="116" max="134" width="4.0"/>
    <col customWidth="1" min="135" max="135" width="14.25"/>
    <col customWidth="1" min="136" max="136" width="13.0"/>
    <col customWidth="1" min="137" max="137" width="4.75"/>
    <col customWidth="1" min="138" max="138" width="13.38"/>
    <col customWidth="1" min="139" max="139" width="4.75"/>
    <col customWidth="1" min="140" max="140" width="9.13"/>
    <col customWidth="1" min="141" max="141" width="13.5"/>
    <col customWidth="1" min="142" max="142" width="11.38"/>
    <col customWidth="1" min="143" max="143" width="10.63"/>
    <col customWidth="1" min="144" max="144" width="15.38"/>
    <col customWidth="1" min="145" max="145" width="9.13"/>
    <col customWidth="1" min="146" max="149" width="7.13"/>
    <col customWidth="1" min="150" max="150" width="3.75"/>
    <col customWidth="1" hidden="1" min="151" max="160" width="2.5"/>
    <col customWidth="1" hidden="1" min="161" max="184" width="1.88"/>
    <col customWidth="1" hidden="1" min="185" max="210" width="2.25"/>
    <col customWidth="1" hidden="1" min="211" max="223" width="2.0"/>
    <col customWidth="1" hidden="1" min="224" max="236" width="2.25"/>
    <col customWidth="1" hidden="1" min="237" max="301" width="2.0"/>
    <col customWidth="1" min="302" max="302" width="5.25"/>
    <col customWidth="1" hidden="1" min="303" max="304" width="14.75"/>
    <col customWidth="1" hidden="1" min="305" max="305" width="14.0"/>
    <col customWidth="1" hidden="1" min="306" max="307" width="3.38"/>
    <col customWidth="1" hidden="1" min="308" max="308" width="15.5"/>
    <col customWidth="1" hidden="1" min="309" max="310" width="3.38"/>
    <col customWidth="1" hidden="1" min="311" max="312" width="4.88"/>
    <col customWidth="1" hidden="1" min="313" max="313" width="5.75"/>
    <col customWidth="1" hidden="1" min="314" max="315" width="13.0"/>
    <col customWidth="1" hidden="1" min="316" max="318" width="10.25"/>
    <col customWidth="1" hidden="1" min="319" max="319" width="7.0"/>
    <col customWidth="1" hidden="1" min="320" max="332" width="2.25"/>
    <col customWidth="1" hidden="1" min="333" max="333" width="8.38"/>
    <col customWidth="1" min="334" max="334" width="5.25"/>
    <col customWidth="1" min="335" max="336" width="3.38"/>
  </cols>
  <sheetData>
    <row r="1" ht="24.75" customHeight="1">
      <c r="A1" s="1" t="s">
        <v>1</v>
      </c>
      <c r="B1" s="3" t="s">
        <v>3</v>
      </c>
      <c r="C1" s="11" t="s">
        <v>13</v>
      </c>
      <c r="D1" s="14" t="s">
        <v>9</v>
      </c>
      <c r="E1" s="17" t="s">
        <v>16</v>
      </c>
      <c r="F1" s="17" t="s">
        <v>17</v>
      </c>
      <c r="G1" s="17" t="s">
        <v>20</v>
      </c>
      <c r="H1" s="17" t="s">
        <v>21</v>
      </c>
      <c r="I1" s="17" t="s">
        <v>25</v>
      </c>
      <c r="J1" s="17" t="s">
        <v>27</v>
      </c>
      <c r="K1" s="17" t="s">
        <v>29</v>
      </c>
      <c r="L1" s="17" t="s">
        <v>31</v>
      </c>
      <c r="M1" s="17" t="s">
        <v>32</v>
      </c>
      <c r="N1" s="17" t="s">
        <v>34</v>
      </c>
      <c r="O1" s="17" t="s">
        <v>36</v>
      </c>
      <c r="P1" s="25" t="s">
        <v>9</v>
      </c>
      <c r="Q1" s="27" t="s">
        <v>41</v>
      </c>
      <c r="R1" s="28" t="s">
        <v>42</v>
      </c>
      <c r="S1" s="27" t="s">
        <v>45</v>
      </c>
      <c r="T1" s="27" t="s">
        <v>46</v>
      </c>
      <c r="U1" s="27" t="s">
        <v>47</v>
      </c>
      <c r="V1" s="29" t="s">
        <v>48</v>
      </c>
      <c r="W1" s="30" t="s">
        <v>9</v>
      </c>
      <c r="X1" s="31" t="s">
        <v>16</v>
      </c>
      <c r="Y1" s="31" t="s">
        <v>17</v>
      </c>
      <c r="Z1" s="31" t="s">
        <v>20</v>
      </c>
      <c r="AA1" s="31" t="s">
        <v>21</v>
      </c>
      <c r="AB1" s="31" t="s">
        <v>25</v>
      </c>
      <c r="AC1" s="31" t="s">
        <v>27</v>
      </c>
      <c r="AD1" s="31" t="s">
        <v>29</v>
      </c>
      <c r="AE1" s="31" t="s">
        <v>31</v>
      </c>
      <c r="AF1" s="31" t="s">
        <v>32</v>
      </c>
      <c r="AG1" s="31" t="s">
        <v>34</v>
      </c>
      <c r="AH1" s="31" t="s">
        <v>36</v>
      </c>
      <c r="AI1" s="35" t="s">
        <v>9</v>
      </c>
      <c r="AJ1" s="40" t="s">
        <v>55</v>
      </c>
      <c r="AK1" s="40" t="s">
        <v>58</v>
      </c>
      <c r="AL1" s="40" t="s">
        <v>60</v>
      </c>
      <c r="AM1" s="40" t="s">
        <v>61</v>
      </c>
      <c r="AN1" s="40" t="s">
        <v>62</v>
      </c>
      <c r="AO1" s="43" t="s">
        <v>66</v>
      </c>
      <c r="AP1" s="46" t="s">
        <v>70</v>
      </c>
      <c r="AQ1" s="48" t="s">
        <v>75</v>
      </c>
      <c r="AR1" s="51" t="s">
        <v>85</v>
      </c>
      <c r="AS1" s="37" t="s">
        <v>65</v>
      </c>
      <c r="AT1" s="45" t="s">
        <v>67</v>
      </c>
      <c r="AU1" s="47" t="s">
        <v>71</v>
      </c>
      <c r="AV1" s="47" t="s">
        <v>77</v>
      </c>
      <c r="AW1" s="50" t="s">
        <v>80</v>
      </c>
      <c r="AX1" s="52" t="s">
        <v>86</v>
      </c>
      <c r="AY1" s="54" t="s">
        <v>88</v>
      </c>
      <c r="AZ1" s="57" t="s">
        <v>89</v>
      </c>
      <c r="BA1" s="68" t="s">
        <v>79</v>
      </c>
      <c r="BB1" s="71" t="s">
        <v>103</v>
      </c>
      <c r="BC1" s="75" t="s">
        <v>107</v>
      </c>
      <c r="BD1" s="77" t="s">
        <v>110</v>
      </c>
      <c r="BE1" s="80" t="s">
        <v>113</v>
      </c>
      <c r="BF1" s="60" t="s">
        <v>116</v>
      </c>
      <c r="BG1" s="62" t="s">
        <v>91</v>
      </c>
      <c r="BH1" s="62" t="s">
        <v>92</v>
      </c>
      <c r="BI1" s="62" t="s">
        <v>93</v>
      </c>
      <c r="BJ1" s="62" t="s">
        <v>94</v>
      </c>
      <c r="BK1" s="64" t="s">
        <v>95</v>
      </c>
      <c r="BL1" s="76" t="s">
        <v>108</v>
      </c>
      <c r="BM1" s="27" t="s">
        <v>109</v>
      </c>
      <c r="BN1" s="27" t="s">
        <v>111</v>
      </c>
      <c r="BO1" s="78" t="s">
        <v>112</v>
      </c>
      <c r="BP1" s="81" t="s">
        <v>114</v>
      </c>
      <c r="BQ1" s="27" t="s">
        <v>115</v>
      </c>
      <c r="BR1" s="78" t="s">
        <v>117</v>
      </c>
      <c r="BS1" s="86" t="s">
        <v>128</v>
      </c>
      <c r="BT1" s="37" t="s">
        <v>129</v>
      </c>
      <c r="BU1" s="87" t="s">
        <v>130</v>
      </c>
      <c r="BV1" s="88" t="s">
        <v>131</v>
      </c>
      <c r="BW1" s="88"/>
      <c r="BX1" s="90"/>
      <c r="BY1" s="91"/>
      <c r="BZ1" s="94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4"/>
      <c r="CM1" s="100"/>
      <c r="CN1" s="87"/>
      <c r="CO1" s="96"/>
      <c r="CP1" s="101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101"/>
      <c r="DB1" s="94"/>
      <c r="DC1" s="105"/>
      <c r="DD1" s="89" t="s">
        <v>132</v>
      </c>
      <c r="DE1" s="89" t="s">
        <v>133</v>
      </c>
      <c r="DF1" s="89" t="s">
        <v>134</v>
      </c>
      <c r="DG1" s="89" t="s">
        <v>135</v>
      </c>
      <c r="DH1" s="89" t="s">
        <v>136</v>
      </c>
      <c r="DI1" s="89" t="s">
        <v>137</v>
      </c>
      <c r="DJ1" s="93" t="s">
        <v>138</v>
      </c>
      <c r="DK1" s="95" t="s">
        <v>139</v>
      </c>
      <c r="DL1" s="97" t="s">
        <v>140</v>
      </c>
      <c r="DM1" s="98" t="s">
        <v>142</v>
      </c>
      <c r="DN1" s="95" t="s">
        <v>143</v>
      </c>
      <c r="DO1" s="95" t="s">
        <v>144</v>
      </c>
      <c r="DP1" s="99" t="s">
        <v>145</v>
      </c>
      <c r="DQ1" s="89" t="s">
        <v>18</v>
      </c>
      <c r="DR1" s="89" t="s">
        <v>22</v>
      </c>
      <c r="DS1" s="89" t="s">
        <v>28</v>
      </c>
      <c r="DT1" s="89" t="s">
        <v>37</v>
      </c>
      <c r="DU1" s="93" t="s">
        <v>40</v>
      </c>
      <c r="DV1" s="95" t="s">
        <v>146</v>
      </c>
      <c r="DW1" s="95" t="s">
        <v>147</v>
      </c>
      <c r="DX1" s="95" t="s">
        <v>148</v>
      </c>
      <c r="DY1" s="95" t="s">
        <v>149</v>
      </c>
      <c r="DZ1" s="95" t="s">
        <v>150</v>
      </c>
      <c r="EA1" s="99" t="s">
        <v>151</v>
      </c>
      <c r="EB1" s="89" t="s">
        <v>86</v>
      </c>
      <c r="EC1" s="89" t="s">
        <v>89</v>
      </c>
      <c r="ED1" s="93" t="s">
        <v>88</v>
      </c>
      <c r="EE1" s="103" t="s">
        <v>153</v>
      </c>
      <c r="EF1" s="117" t="s">
        <v>154</v>
      </c>
      <c r="EG1" s="119" t="s">
        <v>156</v>
      </c>
      <c r="EH1" s="107" t="s">
        <v>157</v>
      </c>
      <c r="EI1" s="108" t="s">
        <v>158</v>
      </c>
      <c r="EJ1" s="120" t="s">
        <v>159</v>
      </c>
      <c r="EK1" s="106" t="s">
        <v>129</v>
      </c>
      <c r="EL1" s="104" t="s">
        <v>128</v>
      </c>
      <c r="EM1" s="104" t="s">
        <v>161</v>
      </c>
      <c r="EN1" s="111" t="s">
        <v>171</v>
      </c>
      <c r="EO1" s="121" t="s">
        <v>164</v>
      </c>
      <c r="EP1" s="115" t="s">
        <v>166</v>
      </c>
      <c r="EQ1" s="115" t="s">
        <v>167</v>
      </c>
      <c r="ER1" s="115" t="s">
        <v>168</v>
      </c>
      <c r="ES1" s="116" t="s">
        <v>169</v>
      </c>
      <c r="ET1" s="105"/>
      <c r="EU1" s="82" t="s">
        <v>118</v>
      </c>
      <c r="EV1" s="83" t="s">
        <v>119</v>
      </c>
      <c r="EW1" s="83" t="s">
        <v>120</v>
      </c>
      <c r="EX1" s="83" t="s">
        <v>121</v>
      </c>
      <c r="EY1" s="83" t="s">
        <v>122</v>
      </c>
      <c r="EZ1" s="83" t="s">
        <v>123</v>
      </c>
      <c r="FA1" s="83" t="s">
        <v>124</v>
      </c>
      <c r="FB1" s="83" t="s">
        <v>125</v>
      </c>
      <c r="FC1" s="83" t="s">
        <v>126</v>
      </c>
      <c r="FD1" s="125" t="s">
        <v>127</v>
      </c>
      <c r="FE1" s="66" t="s">
        <v>87</v>
      </c>
      <c r="FF1" s="66" t="s">
        <v>96</v>
      </c>
      <c r="FG1" s="67" t="s">
        <v>97</v>
      </c>
      <c r="FH1" s="66" t="s">
        <v>98</v>
      </c>
      <c r="FI1" s="67" t="s">
        <v>99</v>
      </c>
      <c r="FJ1" s="67" t="s">
        <v>100</v>
      </c>
      <c r="FK1" s="67" t="s">
        <v>101</v>
      </c>
      <c r="FL1" s="67" t="s">
        <v>102</v>
      </c>
      <c r="FM1" s="67" t="s">
        <v>104</v>
      </c>
      <c r="FN1" s="67" t="s">
        <v>105</v>
      </c>
      <c r="FO1" s="73" t="s">
        <v>106</v>
      </c>
      <c r="FP1" s="14" t="s">
        <v>9</v>
      </c>
      <c r="FQ1" s="17" t="s">
        <v>16</v>
      </c>
      <c r="FR1" s="17" t="s">
        <v>17</v>
      </c>
      <c r="FS1" s="17" t="s">
        <v>20</v>
      </c>
      <c r="FT1" s="17" t="s">
        <v>21</v>
      </c>
      <c r="FU1" s="17" t="s">
        <v>25</v>
      </c>
      <c r="FV1" s="17" t="s">
        <v>27</v>
      </c>
      <c r="FW1" s="17" t="s">
        <v>29</v>
      </c>
      <c r="FX1" s="17" t="s">
        <v>31</v>
      </c>
      <c r="FY1" s="17" t="s">
        <v>32</v>
      </c>
      <c r="FZ1" s="17" t="s">
        <v>34</v>
      </c>
      <c r="GA1" s="17" t="s">
        <v>36</v>
      </c>
      <c r="GB1" s="25" t="s">
        <v>9</v>
      </c>
      <c r="GC1" s="30" t="s">
        <v>9</v>
      </c>
      <c r="GD1" s="31" t="s">
        <v>16</v>
      </c>
      <c r="GE1" s="31" t="s">
        <v>17</v>
      </c>
      <c r="GF1" s="31" t="s">
        <v>20</v>
      </c>
      <c r="GG1" s="31" t="s">
        <v>21</v>
      </c>
      <c r="GH1" s="31" t="s">
        <v>25</v>
      </c>
      <c r="GI1" s="31" t="s">
        <v>27</v>
      </c>
      <c r="GJ1" s="31" t="s">
        <v>29</v>
      </c>
      <c r="GK1" s="31" t="s">
        <v>31</v>
      </c>
      <c r="GL1" s="31" t="s">
        <v>32</v>
      </c>
      <c r="GM1" s="31" t="s">
        <v>34</v>
      </c>
      <c r="GN1" s="31" t="s">
        <v>36</v>
      </c>
      <c r="GO1" s="35" t="s">
        <v>9</v>
      </c>
      <c r="GP1" s="30" t="s">
        <v>9</v>
      </c>
      <c r="GQ1" s="31" t="s">
        <v>16</v>
      </c>
      <c r="GR1" s="31" t="s">
        <v>17</v>
      </c>
      <c r="GS1" s="31" t="s">
        <v>20</v>
      </c>
      <c r="GT1" s="31" t="s">
        <v>21</v>
      </c>
      <c r="GU1" s="31" t="s">
        <v>25</v>
      </c>
      <c r="GV1" s="31" t="s">
        <v>27</v>
      </c>
      <c r="GW1" s="31" t="s">
        <v>29</v>
      </c>
      <c r="GX1" s="31" t="s">
        <v>31</v>
      </c>
      <c r="GY1" s="31" t="s">
        <v>32</v>
      </c>
      <c r="GZ1" s="31" t="s">
        <v>34</v>
      </c>
      <c r="HA1" s="31" t="s">
        <v>36</v>
      </c>
      <c r="HB1" s="35" t="s">
        <v>9</v>
      </c>
      <c r="HC1" s="112" t="s">
        <v>9</v>
      </c>
      <c r="HD1" s="118" t="s">
        <v>36</v>
      </c>
      <c r="HE1" s="118" t="s">
        <v>34</v>
      </c>
      <c r="HF1" s="118" t="s">
        <v>32</v>
      </c>
      <c r="HG1" s="118" t="s">
        <v>31</v>
      </c>
      <c r="HH1" s="118" t="s">
        <v>29</v>
      </c>
      <c r="HI1" s="113" t="s">
        <v>27</v>
      </c>
      <c r="HJ1" s="118" t="s">
        <v>25</v>
      </c>
      <c r="HK1" s="118" t="s">
        <v>21</v>
      </c>
      <c r="HL1" s="118" t="s">
        <v>20</v>
      </c>
      <c r="HM1" s="118" t="s">
        <v>17</v>
      </c>
      <c r="HN1" s="118" t="s">
        <v>16</v>
      </c>
      <c r="HO1" s="113" t="s">
        <v>9</v>
      </c>
      <c r="HP1" s="112" t="s">
        <v>9</v>
      </c>
      <c r="HQ1" s="113" t="s">
        <v>16</v>
      </c>
      <c r="HR1" s="113" t="s">
        <v>17</v>
      </c>
      <c r="HS1" s="113" t="s">
        <v>20</v>
      </c>
      <c r="HT1" s="113" t="s">
        <v>21</v>
      </c>
      <c r="HU1" s="113" t="s">
        <v>25</v>
      </c>
      <c r="HV1" s="113" t="s">
        <v>27</v>
      </c>
      <c r="HW1" s="113" t="s">
        <v>29</v>
      </c>
      <c r="HX1" s="113" t="s">
        <v>31</v>
      </c>
      <c r="HY1" s="113" t="s">
        <v>32</v>
      </c>
      <c r="HZ1" s="113" t="s">
        <v>34</v>
      </c>
      <c r="IA1" s="113" t="s">
        <v>36</v>
      </c>
      <c r="IB1" s="114" t="s">
        <v>9</v>
      </c>
      <c r="IC1" s="112" t="s">
        <v>9</v>
      </c>
      <c r="ID1" s="113" t="s">
        <v>16</v>
      </c>
      <c r="IE1" s="113" t="s">
        <v>17</v>
      </c>
      <c r="IF1" s="113" t="s">
        <v>20</v>
      </c>
      <c r="IG1" s="113" t="s">
        <v>21</v>
      </c>
      <c r="IH1" s="113" t="s">
        <v>25</v>
      </c>
      <c r="II1" s="113" t="s">
        <v>27</v>
      </c>
      <c r="IJ1" s="113" t="s">
        <v>29</v>
      </c>
      <c r="IK1" s="113" t="s">
        <v>31</v>
      </c>
      <c r="IL1" s="113" t="s">
        <v>32</v>
      </c>
      <c r="IM1" s="113" t="s">
        <v>34</v>
      </c>
      <c r="IN1" s="113" t="s">
        <v>36</v>
      </c>
      <c r="IO1" s="114" t="s">
        <v>9</v>
      </c>
      <c r="IP1" s="122" t="s">
        <v>9</v>
      </c>
      <c r="IQ1" s="123" t="s">
        <v>16</v>
      </c>
      <c r="IR1" s="123" t="s">
        <v>17</v>
      </c>
      <c r="IS1" s="123" t="s">
        <v>20</v>
      </c>
      <c r="IT1" s="123" t="s">
        <v>21</v>
      </c>
      <c r="IU1" s="123" t="s">
        <v>25</v>
      </c>
      <c r="IV1" s="123" t="s">
        <v>27</v>
      </c>
      <c r="IW1" s="123" t="s">
        <v>29</v>
      </c>
      <c r="IX1" s="123" t="s">
        <v>31</v>
      </c>
      <c r="IY1" s="123" t="s">
        <v>32</v>
      </c>
      <c r="IZ1" s="123" t="s">
        <v>34</v>
      </c>
      <c r="JA1" s="123" t="s">
        <v>36</v>
      </c>
      <c r="JB1" s="124" t="s">
        <v>9</v>
      </c>
      <c r="JC1" s="122" t="s">
        <v>9</v>
      </c>
      <c r="JD1" s="123" t="s">
        <v>16</v>
      </c>
      <c r="JE1" s="123" t="s">
        <v>17</v>
      </c>
      <c r="JF1" s="123" t="s">
        <v>20</v>
      </c>
      <c r="JG1" s="123" t="s">
        <v>21</v>
      </c>
      <c r="JH1" s="123" t="s">
        <v>25</v>
      </c>
      <c r="JI1" s="123" t="s">
        <v>27</v>
      </c>
      <c r="JJ1" s="123" t="s">
        <v>29</v>
      </c>
      <c r="JK1" s="123" t="s">
        <v>31</v>
      </c>
      <c r="JL1" s="123" t="s">
        <v>32</v>
      </c>
      <c r="JM1" s="123" t="s">
        <v>34</v>
      </c>
      <c r="JN1" s="123" t="s">
        <v>36</v>
      </c>
      <c r="JO1" s="124" t="s">
        <v>9</v>
      </c>
      <c r="JP1" s="122" t="s">
        <v>9</v>
      </c>
      <c r="JQ1" s="123" t="s">
        <v>16</v>
      </c>
      <c r="JR1" s="123" t="s">
        <v>17</v>
      </c>
      <c r="JS1" s="123" t="s">
        <v>20</v>
      </c>
      <c r="JT1" s="123" t="s">
        <v>21</v>
      </c>
      <c r="JU1" s="123" t="s">
        <v>25</v>
      </c>
      <c r="JV1" s="123" t="s">
        <v>27</v>
      </c>
      <c r="JW1" s="123" t="s">
        <v>29</v>
      </c>
      <c r="JX1" s="123" t="s">
        <v>31</v>
      </c>
      <c r="JY1" s="123" t="s">
        <v>32</v>
      </c>
      <c r="JZ1" s="123" t="s">
        <v>34</v>
      </c>
      <c r="KA1" s="123" t="s">
        <v>36</v>
      </c>
      <c r="KB1" s="124" t="s">
        <v>9</v>
      </c>
      <c r="KC1" s="122" t="s">
        <v>9</v>
      </c>
      <c r="KD1" s="123" t="s">
        <v>16</v>
      </c>
      <c r="KE1" s="123" t="s">
        <v>17</v>
      </c>
      <c r="KF1" s="123" t="s">
        <v>20</v>
      </c>
      <c r="KG1" s="123" t="s">
        <v>21</v>
      </c>
      <c r="KH1" s="123" t="s">
        <v>25</v>
      </c>
      <c r="KI1" s="123" t="s">
        <v>27</v>
      </c>
      <c r="KJ1" s="123" t="s">
        <v>29</v>
      </c>
      <c r="KK1" s="123" t="s">
        <v>31</v>
      </c>
      <c r="KL1" s="123" t="s">
        <v>32</v>
      </c>
      <c r="KM1" s="123" t="s">
        <v>34</v>
      </c>
      <c r="KN1" s="123" t="s">
        <v>36</v>
      </c>
      <c r="KO1" s="124" t="s">
        <v>9</v>
      </c>
      <c r="KP1" s="140"/>
      <c r="KQ1" s="141" t="s">
        <v>177</v>
      </c>
      <c r="KR1" s="142" t="s">
        <v>178</v>
      </c>
      <c r="KS1" s="143" t="s">
        <v>179</v>
      </c>
      <c r="KT1" s="144" t="s">
        <v>21</v>
      </c>
      <c r="KU1" s="145" t="s">
        <v>9</v>
      </c>
      <c r="KV1" s="143" t="s">
        <v>180</v>
      </c>
      <c r="KW1" s="144" t="s">
        <v>21</v>
      </c>
      <c r="KX1" s="146" t="s">
        <v>9</v>
      </c>
      <c r="KY1" s="148" t="s">
        <v>182</v>
      </c>
      <c r="KZ1" s="106" t="s">
        <v>183</v>
      </c>
      <c r="LA1" s="150" t="s">
        <v>184</v>
      </c>
      <c r="LB1" s="152" t="s">
        <v>185</v>
      </c>
      <c r="LC1" s="153" t="s">
        <v>186</v>
      </c>
      <c r="LD1" s="153" t="s">
        <v>187</v>
      </c>
      <c r="LE1" s="154" t="s">
        <v>188</v>
      </c>
      <c r="LF1" s="156" t="s">
        <v>189</v>
      </c>
      <c r="LG1" s="152" t="s">
        <v>190</v>
      </c>
      <c r="LH1" s="157" t="s">
        <v>9</v>
      </c>
      <c r="LI1" s="158" t="s">
        <v>16</v>
      </c>
      <c r="LJ1" s="158" t="s">
        <v>17</v>
      </c>
      <c r="LK1" s="158" t="s">
        <v>20</v>
      </c>
      <c r="LL1" s="158" t="s">
        <v>21</v>
      </c>
      <c r="LM1" s="158" t="s">
        <v>25</v>
      </c>
      <c r="LN1" s="158" t="s">
        <v>27</v>
      </c>
      <c r="LO1" s="158" t="s">
        <v>29</v>
      </c>
      <c r="LP1" s="158" t="s">
        <v>31</v>
      </c>
      <c r="LQ1" s="158" t="s">
        <v>32</v>
      </c>
      <c r="LR1" s="158" t="s">
        <v>34</v>
      </c>
      <c r="LS1" s="158" t="s">
        <v>36</v>
      </c>
      <c r="LT1" s="159" t="s">
        <v>9</v>
      </c>
      <c r="LU1" s="160" t="s">
        <v>192</v>
      </c>
      <c r="LV1" s="140"/>
      <c r="LW1" s="129"/>
      <c r="LX1" s="129"/>
    </row>
    <row r="2" ht="18.0" customHeight="1" outlineLevel="1">
      <c r="A2" s="130" t="s">
        <v>173</v>
      </c>
      <c r="B2" s="131">
        <f>IFERROR(__xludf.DUMMYFUNCTION("COUNTUNIQUE(B3:B370)"),186.0)</f>
        <v>186</v>
      </c>
      <c r="C2" s="137" t="s">
        <v>11</v>
      </c>
      <c r="D2" s="138">
        <f>COUNTIF(D3:D370, "S")</f>
        <v>367</v>
      </c>
      <c r="E2" s="139">
        <f>COUNTIF(E3:E370, "r")</f>
        <v>127</v>
      </c>
      <c r="F2" s="139">
        <f>COUNTIF(F3:F370, "R")</f>
        <v>213</v>
      </c>
      <c r="G2" s="139">
        <f>COUNTIF(G3:G370, "g")</f>
        <v>160</v>
      </c>
      <c r="H2" s="139">
        <f>COUNTIF(H3:H370, "G")</f>
        <v>230</v>
      </c>
      <c r="I2" s="139">
        <f>COUNTIF(I3:I370, "m")</f>
        <v>276</v>
      </c>
      <c r="J2" s="139">
        <f>COUNTIF(J3:J370, "M")</f>
        <v>129</v>
      </c>
      <c r="K2" s="139">
        <f>COUNTIF(K3:K370, "P")</f>
        <v>318</v>
      </c>
      <c r="L2" s="139">
        <f>COUNTIF(L3:L370, "d")</f>
        <v>126</v>
      </c>
      <c r="M2" s="139">
        <f>COUNTIF(M3:M370, "D")</f>
        <v>232</v>
      </c>
      <c r="N2" s="139">
        <f>COUNTIF(N3:N370, "n")</f>
        <v>215</v>
      </c>
      <c r="O2" s="139">
        <f>COUNTIF(O3:O370, "N")</f>
        <v>213</v>
      </c>
      <c r="P2" s="147">
        <f>COUNTIF(P3:P370, "S")</f>
        <v>367</v>
      </c>
      <c r="Q2" s="149">
        <f>IFERROR(__xludf.DUMMYFUNCTION("COUNTUNIQUE(Q3:Q370)"),44.0)</f>
        <v>44</v>
      </c>
      <c r="R2" s="151">
        <f>IFERROR(__xludf.DUMMYFUNCTION("COUNTUNIQUE(R3:R370)"),27.0)</f>
        <v>27</v>
      </c>
      <c r="S2" s="149">
        <f>IFERROR(__xludf.DUMMYFUNCTION("COUNTUNIQUE(S3:S370)"),6.0)</f>
        <v>6</v>
      </c>
      <c r="T2" s="149">
        <f>IFERROR(__xludf.DUMMYFUNCTION("COUNTUNIQUE(T3:T370)"),7.0)</f>
        <v>7</v>
      </c>
      <c r="U2" s="149"/>
      <c r="V2" s="155">
        <f>IFERROR(__xludf.DUMMYFUNCTION("COUNTUNIQUE(V3:V370)"),164.0)</f>
        <v>164</v>
      </c>
      <c r="W2" s="138">
        <f>COUNTIF(W3:W370, "0")</f>
        <v>367</v>
      </c>
      <c r="X2" s="139">
        <f>COUNTIF(X3:X370, "1")</f>
        <v>127</v>
      </c>
      <c r="Y2" s="139">
        <f>COUNTIF(Y3:Y370, "2")</f>
        <v>213</v>
      </c>
      <c r="Z2" s="139">
        <f>COUNTIF(Z3:Z370, "3")</f>
        <v>160</v>
      </c>
      <c r="AA2" s="139">
        <f>COUNTIF(AA3:AA370, "4")</f>
        <v>230</v>
      </c>
      <c r="AB2" s="139">
        <f>COUNTIF(AB3:AB370, "5")</f>
        <v>276</v>
      </c>
      <c r="AC2" s="139">
        <f>COUNTIF(AC3:AC370, "6")</f>
        <v>129</v>
      </c>
      <c r="AD2" s="139">
        <f>COUNTIF(AD3:AD370, "7")</f>
        <v>318</v>
      </c>
      <c r="AE2" s="139">
        <f>COUNTIF(AE3:AE370, "8")</f>
        <v>126</v>
      </c>
      <c r="AF2" s="139">
        <f>COUNTIF(AF3:AF370, "9")</f>
        <v>232</v>
      </c>
      <c r="AG2" s="139">
        <f>COUNTIF(AG3:AG370, "10")</f>
        <v>215</v>
      </c>
      <c r="AH2" s="139">
        <f>COUNTIF(AH3:AH370, "11")</f>
        <v>213</v>
      </c>
      <c r="AI2" s="147">
        <f>COUNTIF(AI3:AI370, "12")</f>
        <v>0</v>
      </c>
      <c r="AJ2" s="209"/>
      <c r="AK2" s="209"/>
      <c r="AL2" s="209"/>
      <c r="AM2" s="209"/>
      <c r="AN2" s="209"/>
      <c r="AO2" s="213"/>
      <c r="AP2" s="214"/>
      <c r="AQ2" s="217"/>
      <c r="AR2" s="165" t="s">
        <v>11</v>
      </c>
      <c r="AS2" s="161">
        <f>IFERROR(__xludf.DUMMYFUNCTION("COUNTUNIQUE(AS3:AS370)"),186.0)</f>
        <v>186</v>
      </c>
      <c r="AT2" s="165" t="s">
        <v>11</v>
      </c>
      <c r="AU2" s="166" t="s">
        <v>11</v>
      </c>
      <c r="AV2" s="166" t="s">
        <v>11</v>
      </c>
      <c r="AW2" s="167" t="s">
        <v>11</v>
      </c>
      <c r="AX2" s="168">
        <f t="shared" ref="AX2:AZ2" si="1">COUNTIF(AX3:AX370, "✔")</f>
        <v>188</v>
      </c>
      <c r="AY2" s="169">
        <f t="shared" si="1"/>
        <v>29</v>
      </c>
      <c r="AZ2" s="170">
        <f t="shared" si="1"/>
        <v>0</v>
      </c>
      <c r="BA2" s="226">
        <f>IFERROR(__xludf.DUMMYFUNCTION("COUNTUNIQUE(BA3:BA370)"),44.0)</f>
        <v>44</v>
      </c>
      <c r="BB2" s="228">
        <f>IFERROR(__xludf.DUMMYFUNCTION("COUNTUNIQUE(BB3:BB370)"),27.0)</f>
        <v>27</v>
      </c>
      <c r="BC2" s="231">
        <f>COUNTIF(BC3:BC370, "✔")</f>
        <v>76</v>
      </c>
      <c r="BD2" s="232">
        <f>IFERROR(__xludf.DUMMYFUNCTION("COUNTUNIQUE(BD3:BD370)"),367.0)</f>
        <v>367</v>
      </c>
      <c r="BE2" s="235">
        <f>COUNTIF(BE3:BE370, "X")</f>
        <v>0</v>
      </c>
      <c r="BF2" s="171">
        <f>IFERROR(__xludf.DUMMYFUNCTION("COUNTUNIQUE(BF3:BF370)"),25.0)</f>
        <v>25</v>
      </c>
      <c r="BG2" s="172">
        <f>IFERROR(__xludf.DUMMYFUNCTION("COUNTUNIQUE(BG3:BG370)"),1.0)</f>
        <v>1</v>
      </c>
      <c r="BH2" s="172">
        <f>IFERROR(__xludf.DUMMYFUNCTION("COUNTUNIQUE(BH3:BH370)"),11.0)</f>
        <v>11</v>
      </c>
      <c r="BI2" s="172">
        <f>IFERROR(__xludf.DUMMYFUNCTION("COUNTUNIQUE(BI3:BI370)"),7.0)</f>
        <v>7</v>
      </c>
      <c r="BJ2" s="172">
        <f>IFERROR(__xludf.DUMMYFUNCTION("COUNTUNIQUE(BJ3:BJ370)"),14.0)</f>
        <v>14</v>
      </c>
      <c r="BK2" s="173">
        <f>IFERROR(__xludf.DUMMYFUNCTION("COUNTUNIQUE(BK3:BK370)"),14.0)</f>
        <v>14</v>
      </c>
      <c r="BL2" s="177" t="s">
        <v>11</v>
      </c>
      <c r="BM2" s="149">
        <f>COUNTIF(BM3:BM370, "Cohem.")</f>
        <v>213</v>
      </c>
      <c r="BN2" s="149">
        <f>COUNTIF(BN3:BN370, "Co-Co.")</f>
        <v>139</v>
      </c>
      <c r="BO2" s="133">
        <f>COUNTIF(BO3:BO370, "CCC.")</f>
        <v>30</v>
      </c>
      <c r="BP2" s="178">
        <f>COUNTIF(BP3:BP370,"-")</f>
        <v>304</v>
      </c>
      <c r="BQ2" s="168">
        <f>COUNTIF(BQ3:BQ370, "✔")</f>
        <v>130</v>
      </c>
      <c r="BR2" s="179" t="s">
        <v>11</v>
      </c>
      <c r="BS2" s="240" t="s">
        <v>11</v>
      </c>
      <c r="BT2" s="161"/>
      <c r="BU2" s="186" t="s">
        <v>11</v>
      </c>
      <c r="BV2" s="241"/>
      <c r="BW2" s="241"/>
      <c r="BX2" s="243"/>
      <c r="BY2" s="163"/>
      <c r="BZ2" s="155" t="s">
        <v>9</v>
      </c>
      <c r="CA2" s="151" t="s">
        <v>16</v>
      </c>
      <c r="CB2" s="151" t="s">
        <v>17</v>
      </c>
      <c r="CC2" s="151" t="s">
        <v>20</v>
      </c>
      <c r="CD2" s="151" t="s">
        <v>21</v>
      </c>
      <c r="CE2" s="151" t="s">
        <v>25</v>
      </c>
      <c r="CF2" s="151" t="s">
        <v>27</v>
      </c>
      <c r="CG2" s="151" t="s">
        <v>29</v>
      </c>
      <c r="CH2" s="151" t="s">
        <v>31</v>
      </c>
      <c r="CI2" s="151" t="s">
        <v>32</v>
      </c>
      <c r="CJ2" s="151" t="s">
        <v>34</v>
      </c>
      <c r="CK2" s="151" t="s">
        <v>36</v>
      </c>
      <c r="CL2" s="155" t="s">
        <v>9</v>
      </c>
      <c r="CM2" s="247" t="s">
        <v>217</v>
      </c>
      <c r="CN2" s="186" t="s">
        <v>218</v>
      </c>
      <c r="CO2" s="151" t="s">
        <v>9</v>
      </c>
      <c r="CP2" s="149" t="s">
        <v>16</v>
      </c>
      <c r="CQ2" s="151" t="s">
        <v>17</v>
      </c>
      <c r="CR2" s="151" t="s">
        <v>20</v>
      </c>
      <c r="CS2" s="151" t="s">
        <v>21</v>
      </c>
      <c r="CT2" s="151" t="s">
        <v>25</v>
      </c>
      <c r="CU2" s="151" t="s">
        <v>27</v>
      </c>
      <c r="CV2" s="151" t="s">
        <v>29</v>
      </c>
      <c r="CW2" s="151" t="s">
        <v>31</v>
      </c>
      <c r="CX2" s="151" t="s">
        <v>32</v>
      </c>
      <c r="CY2" s="151" t="s">
        <v>34</v>
      </c>
      <c r="CZ2" s="151" t="s">
        <v>36</v>
      </c>
      <c r="DA2" s="149" t="s">
        <v>9</v>
      </c>
      <c r="DB2" s="155" t="s">
        <v>217</v>
      </c>
      <c r="DC2" s="248"/>
      <c r="DD2" s="187" t="s">
        <v>11</v>
      </c>
      <c r="DE2" s="187"/>
      <c r="DF2" s="187" t="s">
        <v>11</v>
      </c>
      <c r="DG2" s="187" t="s">
        <v>11</v>
      </c>
      <c r="DH2" s="187" t="s">
        <v>11</v>
      </c>
      <c r="DI2" s="187" t="s">
        <v>11</v>
      </c>
      <c r="DJ2" s="188" t="s">
        <v>11</v>
      </c>
      <c r="DK2" s="189">
        <f>COUNTIF(DK3:DK370,"-")</f>
        <v>304</v>
      </c>
      <c r="DL2" s="190">
        <f t="shared" ref="DL2:ED2" si="2">COUNTIF(DL3:DL370, "✔")</f>
        <v>67</v>
      </c>
      <c r="DM2" s="191">
        <f t="shared" si="2"/>
        <v>237</v>
      </c>
      <c r="DN2" s="189">
        <f t="shared" si="2"/>
        <v>34</v>
      </c>
      <c r="DO2" s="189">
        <f t="shared" si="2"/>
        <v>23</v>
      </c>
      <c r="DP2" s="192">
        <f t="shared" si="2"/>
        <v>61</v>
      </c>
      <c r="DQ2" s="187">
        <f t="shared" si="2"/>
        <v>22</v>
      </c>
      <c r="DR2" s="187">
        <f t="shared" si="2"/>
        <v>57</v>
      </c>
      <c r="DS2" s="187">
        <f t="shared" si="2"/>
        <v>68</v>
      </c>
      <c r="DT2" s="187">
        <f t="shared" si="2"/>
        <v>26</v>
      </c>
      <c r="DU2" s="188">
        <f t="shared" si="2"/>
        <v>90</v>
      </c>
      <c r="DV2" s="189">
        <f t="shared" si="2"/>
        <v>49</v>
      </c>
      <c r="DW2" s="189">
        <f t="shared" si="2"/>
        <v>34</v>
      </c>
      <c r="DX2" s="189">
        <f t="shared" si="2"/>
        <v>30</v>
      </c>
      <c r="DY2" s="189">
        <f t="shared" si="2"/>
        <v>49</v>
      </c>
      <c r="DZ2" s="189">
        <f t="shared" si="2"/>
        <v>35</v>
      </c>
      <c r="EA2" s="192">
        <f t="shared" si="2"/>
        <v>29</v>
      </c>
      <c r="EB2" s="187">
        <f t="shared" si="2"/>
        <v>188</v>
      </c>
      <c r="EC2" s="187">
        <f t="shared" si="2"/>
        <v>0</v>
      </c>
      <c r="ED2" s="188">
        <f t="shared" si="2"/>
        <v>29</v>
      </c>
      <c r="EE2" s="194"/>
      <c r="EF2" s="252"/>
      <c r="EG2" s="253"/>
      <c r="EH2" s="197"/>
      <c r="EI2" s="198"/>
      <c r="EJ2" s="254"/>
      <c r="EK2" s="196"/>
      <c r="EL2" s="195"/>
      <c r="EM2" s="195"/>
      <c r="EN2" s="200"/>
      <c r="EO2" s="220"/>
      <c r="EP2" s="205"/>
      <c r="EQ2" s="205"/>
      <c r="ER2" s="205"/>
      <c r="ES2" s="206"/>
      <c r="ET2" s="248"/>
      <c r="EU2" s="180">
        <f t="shared" ref="EU2:FD2" si="3">COUNTIF(EU3:EU370, "TRUE")</f>
        <v>16</v>
      </c>
      <c r="EV2" s="181">
        <f t="shared" si="3"/>
        <v>34</v>
      </c>
      <c r="EW2" s="181">
        <f t="shared" si="3"/>
        <v>27</v>
      </c>
      <c r="EX2" s="181">
        <f t="shared" si="3"/>
        <v>28</v>
      </c>
      <c r="EY2" s="181">
        <f t="shared" si="3"/>
        <v>20</v>
      </c>
      <c r="EZ2" s="181">
        <f t="shared" si="3"/>
        <v>14</v>
      </c>
      <c r="FA2" s="181">
        <f t="shared" si="3"/>
        <v>13</v>
      </c>
      <c r="FB2" s="181">
        <f t="shared" si="3"/>
        <v>13</v>
      </c>
      <c r="FC2" s="181">
        <f t="shared" si="3"/>
        <v>13</v>
      </c>
      <c r="FD2" s="259">
        <f t="shared" si="3"/>
        <v>6</v>
      </c>
      <c r="FE2" s="174">
        <f>IFERROR(__xludf.DUMMYFUNCTION("COUNTUNIQUE(FE3:FE370)"),77.0)</f>
        <v>77</v>
      </c>
      <c r="FF2" s="174">
        <f>IFERROR(__xludf.DUMMYFUNCTION("COUNTUNIQUE(FF3:FF370)"),75.0)</f>
        <v>75</v>
      </c>
      <c r="FG2" s="175">
        <f>IFERROR(__xludf.DUMMYFUNCTION("COUNTUNIQUE(FG3:FG370)"),78.0)</f>
        <v>78</v>
      </c>
      <c r="FH2" s="174">
        <f>IFERROR(__xludf.DUMMYFUNCTION("COUNTUNIQUE(FH3:FH370)"),101.0)</f>
        <v>101</v>
      </c>
      <c r="FI2" s="175">
        <f>IFERROR(__xludf.DUMMYFUNCTION("COUNTUNIQUE(FI3:FI370)"),98.0)</f>
        <v>98</v>
      </c>
      <c r="FJ2" s="175">
        <f>IFERROR(__xludf.DUMMYFUNCTION("COUNTUNIQUE(FJ3:FJ370)"),58.0)</f>
        <v>58</v>
      </c>
      <c r="FK2" s="175">
        <f>IFERROR(__xludf.DUMMYFUNCTION("COUNTUNIQUE(FK3:FK370)"),128.0)</f>
        <v>128</v>
      </c>
      <c r="FL2" s="175">
        <f>IFERROR(__xludf.DUMMYFUNCTION("COUNTUNIQUE(FL3:FL370)"),69.0)</f>
        <v>69</v>
      </c>
      <c r="FM2" s="175">
        <f>IFERROR(__xludf.DUMMYFUNCTION("COUNTUNIQUE(FM3:FM370)"),82.0)</f>
        <v>82</v>
      </c>
      <c r="FN2" s="175">
        <f>IFERROR(__xludf.DUMMYFUNCTION("COUNTUNIQUE(FN3:FN370)"),92.0)</f>
        <v>92</v>
      </c>
      <c r="FO2" s="176">
        <f>IFERROR(__xludf.DUMMYFUNCTION("COUNTUNIQUE(FO3:FO370)"),74.0)</f>
        <v>74</v>
      </c>
      <c r="FP2" s="162" t="s">
        <v>11</v>
      </c>
      <c r="FQ2" s="163" t="s">
        <v>11</v>
      </c>
      <c r="FR2" s="163" t="s">
        <v>11</v>
      </c>
      <c r="FS2" s="163" t="s">
        <v>11</v>
      </c>
      <c r="FT2" s="163" t="s">
        <v>11</v>
      </c>
      <c r="FU2" s="163" t="s">
        <v>11</v>
      </c>
      <c r="FV2" s="163" t="s">
        <v>11</v>
      </c>
      <c r="FW2" s="163" t="s">
        <v>11</v>
      </c>
      <c r="FX2" s="163" t="s">
        <v>11</v>
      </c>
      <c r="FY2" s="163" t="s">
        <v>11</v>
      </c>
      <c r="FZ2" s="163" t="s">
        <v>11</v>
      </c>
      <c r="GA2" s="163" t="s">
        <v>11</v>
      </c>
      <c r="GB2" s="164" t="s">
        <v>11</v>
      </c>
      <c r="GC2" s="183" t="s">
        <v>11</v>
      </c>
      <c r="GD2" s="184" t="s">
        <v>11</v>
      </c>
      <c r="GE2" s="184" t="s">
        <v>11</v>
      </c>
      <c r="GF2" s="184" t="s">
        <v>11</v>
      </c>
      <c r="GG2" s="184" t="s">
        <v>11</v>
      </c>
      <c r="GH2" s="184" t="s">
        <v>11</v>
      </c>
      <c r="GI2" s="184" t="s">
        <v>11</v>
      </c>
      <c r="GJ2" s="184" t="s">
        <v>11</v>
      </c>
      <c r="GK2" s="184" t="s">
        <v>11</v>
      </c>
      <c r="GL2" s="184" t="s">
        <v>11</v>
      </c>
      <c r="GM2" s="184" t="s">
        <v>11</v>
      </c>
      <c r="GN2" s="184" t="s">
        <v>11</v>
      </c>
      <c r="GO2" s="185" t="s">
        <v>11</v>
      </c>
      <c r="GP2" s="183" t="s">
        <v>11</v>
      </c>
      <c r="GQ2" s="184" t="s">
        <v>11</v>
      </c>
      <c r="GR2" s="184" t="s">
        <v>11</v>
      </c>
      <c r="GS2" s="184" t="s">
        <v>11</v>
      </c>
      <c r="GT2" s="184" t="s">
        <v>11</v>
      </c>
      <c r="GU2" s="184" t="s">
        <v>11</v>
      </c>
      <c r="GV2" s="184" t="s">
        <v>11</v>
      </c>
      <c r="GW2" s="184" t="s">
        <v>11</v>
      </c>
      <c r="GX2" s="184" t="s">
        <v>11</v>
      </c>
      <c r="GY2" s="184" t="s">
        <v>11</v>
      </c>
      <c r="GZ2" s="184" t="s">
        <v>11</v>
      </c>
      <c r="HA2" s="184" t="s">
        <v>11</v>
      </c>
      <c r="HB2" s="185" t="s">
        <v>11</v>
      </c>
      <c r="HC2" s="202" t="s">
        <v>11</v>
      </c>
      <c r="HD2" s="203" t="s">
        <v>11</v>
      </c>
      <c r="HE2" s="203" t="s">
        <v>11</v>
      </c>
      <c r="HF2" s="203" t="s">
        <v>11</v>
      </c>
      <c r="HG2" s="203" t="s">
        <v>11</v>
      </c>
      <c r="HH2" s="203" t="s">
        <v>11</v>
      </c>
      <c r="HI2" s="203" t="s">
        <v>11</v>
      </c>
      <c r="HJ2" s="203" t="s">
        <v>11</v>
      </c>
      <c r="HK2" s="203" t="s">
        <v>11</v>
      </c>
      <c r="HL2" s="203" t="s">
        <v>11</v>
      </c>
      <c r="HM2" s="203" t="s">
        <v>11</v>
      </c>
      <c r="HN2" s="203" t="s">
        <v>11</v>
      </c>
      <c r="HO2" s="203" t="s">
        <v>11</v>
      </c>
      <c r="HP2" s="202" t="s">
        <v>11</v>
      </c>
      <c r="HQ2" s="203" t="s">
        <v>11</v>
      </c>
      <c r="HR2" s="203" t="s">
        <v>11</v>
      </c>
      <c r="HS2" s="203" t="s">
        <v>11</v>
      </c>
      <c r="HT2" s="203" t="s">
        <v>11</v>
      </c>
      <c r="HU2" s="203" t="s">
        <v>11</v>
      </c>
      <c r="HV2" s="203" t="s">
        <v>11</v>
      </c>
      <c r="HW2" s="203" t="s">
        <v>11</v>
      </c>
      <c r="HX2" s="203" t="s">
        <v>11</v>
      </c>
      <c r="HY2" s="203" t="s">
        <v>11</v>
      </c>
      <c r="HZ2" s="203" t="s">
        <v>11</v>
      </c>
      <c r="IA2" s="203" t="s">
        <v>11</v>
      </c>
      <c r="IB2" s="204" t="s">
        <v>11</v>
      </c>
      <c r="IC2" s="202" t="s">
        <v>11</v>
      </c>
      <c r="ID2" s="203" t="s">
        <v>11</v>
      </c>
      <c r="IE2" s="203" t="s">
        <v>11</v>
      </c>
      <c r="IF2" s="203" t="s">
        <v>11</v>
      </c>
      <c r="IG2" s="203" t="s">
        <v>11</v>
      </c>
      <c r="IH2" s="203" t="s">
        <v>11</v>
      </c>
      <c r="II2" s="203" t="s">
        <v>11</v>
      </c>
      <c r="IJ2" s="203" t="s">
        <v>11</v>
      </c>
      <c r="IK2" s="203" t="s">
        <v>11</v>
      </c>
      <c r="IL2" s="203" t="s">
        <v>11</v>
      </c>
      <c r="IM2" s="203" t="s">
        <v>11</v>
      </c>
      <c r="IN2" s="203" t="s">
        <v>11</v>
      </c>
      <c r="IO2" s="204" t="s">
        <v>11</v>
      </c>
      <c r="IP2" s="207" t="s">
        <v>11</v>
      </c>
      <c r="IQ2" s="208" t="s">
        <v>11</v>
      </c>
      <c r="IR2" s="208" t="s">
        <v>11</v>
      </c>
      <c r="IS2" s="208" t="s">
        <v>11</v>
      </c>
      <c r="IT2" s="208" t="s">
        <v>11</v>
      </c>
      <c r="IU2" s="208" t="s">
        <v>11</v>
      </c>
      <c r="IV2" s="208" t="s">
        <v>11</v>
      </c>
      <c r="IW2" s="208" t="s">
        <v>11</v>
      </c>
      <c r="IX2" s="208" t="s">
        <v>11</v>
      </c>
      <c r="IY2" s="208" t="s">
        <v>11</v>
      </c>
      <c r="IZ2" s="208" t="s">
        <v>11</v>
      </c>
      <c r="JA2" s="208" t="s">
        <v>11</v>
      </c>
      <c r="JB2" s="210" t="s">
        <v>11</v>
      </c>
      <c r="JC2" s="211" t="s">
        <v>11</v>
      </c>
      <c r="JD2" s="212" t="s">
        <v>11</v>
      </c>
      <c r="JE2" s="212" t="s">
        <v>11</v>
      </c>
      <c r="JF2" s="212" t="s">
        <v>11</v>
      </c>
      <c r="JG2" s="212" t="s">
        <v>11</v>
      </c>
      <c r="JH2" s="212" t="s">
        <v>11</v>
      </c>
      <c r="JI2" s="212" t="s">
        <v>11</v>
      </c>
      <c r="JJ2" s="212" t="s">
        <v>11</v>
      </c>
      <c r="JK2" s="212" t="s">
        <v>11</v>
      </c>
      <c r="JL2" s="212" t="s">
        <v>11</v>
      </c>
      <c r="JM2" s="212" t="s">
        <v>11</v>
      </c>
      <c r="JN2" s="212" t="s">
        <v>11</v>
      </c>
      <c r="JO2" s="215" t="s">
        <v>11</v>
      </c>
      <c r="JP2" s="216" t="s">
        <v>11</v>
      </c>
      <c r="JQ2" s="218" t="s">
        <v>11</v>
      </c>
      <c r="JR2" s="218" t="s">
        <v>11</v>
      </c>
      <c r="JS2" s="218" t="s">
        <v>11</v>
      </c>
      <c r="JT2" s="218" t="s">
        <v>11</v>
      </c>
      <c r="JU2" s="218" t="s">
        <v>11</v>
      </c>
      <c r="JV2" s="218" t="s">
        <v>11</v>
      </c>
      <c r="JW2" s="218" t="s">
        <v>11</v>
      </c>
      <c r="JX2" s="218" t="s">
        <v>11</v>
      </c>
      <c r="JY2" s="218" t="s">
        <v>11</v>
      </c>
      <c r="JZ2" s="218" t="s">
        <v>11</v>
      </c>
      <c r="KA2" s="218" t="s">
        <v>11</v>
      </c>
      <c r="KB2" s="219" t="s">
        <v>11</v>
      </c>
      <c r="KC2" s="211" t="s">
        <v>11</v>
      </c>
      <c r="KD2" s="212" t="s">
        <v>11</v>
      </c>
      <c r="KE2" s="212" t="s">
        <v>11</v>
      </c>
      <c r="KF2" s="212" t="s">
        <v>11</v>
      </c>
      <c r="KG2" s="212" t="s">
        <v>11</v>
      </c>
      <c r="KH2" s="212" t="s">
        <v>11</v>
      </c>
      <c r="KI2" s="212" t="s">
        <v>11</v>
      </c>
      <c r="KJ2" s="212" t="s">
        <v>11</v>
      </c>
      <c r="KK2" s="212" t="s">
        <v>11</v>
      </c>
      <c r="KL2" s="212" t="s">
        <v>11</v>
      </c>
      <c r="KM2" s="212" t="s">
        <v>11</v>
      </c>
      <c r="KN2" s="212" t="s">
        <v>11</v>
      </c>
      <c r="KO2" s="215" t="s">
        <v>11</v>
      </c>
      <c r="KP2" s="275"/>
      <c r="KQ2" s="277">
        <f t="shared" ref="KQ2:KS2" si="4">COUNTIF(KQ3:KQ370, "S")</f>
        <v>166</v>
      </c>
      <c r="KR2" s="278">
        <f t="shared" si="4"/>
        <v>134</v>
      </c>
      <c r="KS2" s="280">
        <f t="shared" si="4"/>
        <v>170</v>
      </c>
      <c r="KT2" s="200"/>
      <c r="KU2" s="252"/>
      <c r="KV2" s="280">
        <f>COUNTIF(KV3:KV370, "S")</f>
        <v>134</v>
      </c>
      <c r="KW2" s="200"/>
      <c r="KX2" s="281"/>
      <c r="KY2" s="200"/>
      <c r="KZ2" s="201"/>
      <c r="LA2" s="283">
        <f>COUNTIF(LA3:LA370, "✔")</f>
        <v>239</v>
      </c>
      <c r="LB2" s="284"/>
      <c r="LC2" s="285"/>
      <c r="LD2" s="285"/>
      <c r="LE2" s="286"/>
      <c r="LF2" s="288"/>
      <c r="LG2" s="284"/>
      <c r="LH2" s="291">
        <f>COUNTIF(LH3:LH370, "0")</f>
        <v>0</v>
      </c>
      <c r="LI2" s="292">
        <f>COUNTIF(LI3:LI370, "1")</f>
        <v>0</v>
      </c>
      <c r="LJ2" s="292">
        <f>COUNTIF(LJ3:LJ370, "2")</f>
        <v>0</v>
      </c>
      <c r="LK2" s="292">
        <f>COUNTIF(LK3:LK370, "3")</f>
        <v>0</v>
      </c>
      <c r="LL2" s="292">
        <f>COUNTIF(LL3:LL370, "4")</f>
        <v>0</v>
      </c>
      <c r="LM2" s="292">
        <f>COUNTIF(LM3:LM370, "5")</f>
        <v>0</v>
      </c>
      <c r="LN2" s="292">
        <f>COUNTIF(LN3:LN370, "6")</f>
        <v>0</v>
      </c>
      <c r="LO2" s="292">
        <f>COUNTIF(LO3:LO370, "7")</f>
        <v>0</v>
      </c>
      <c r="LP2" s="292">
        <f>COUNTIF(LP3:LP370, "8")</f>
        <v>0</v>
      </c>
      <c r="LQ2" s="292">
        <f>COUNTIF(LQ3:LQ370, "9")</f>
        <v>0</v>
      </c>
      <c r="LR2" s="292">
        <f>COUNTIF(LR3:LR370, "10")</f>
        <v>0</v>
      </c>
      <c r="LS2" s="292">
        <f>COUNTIF(LS3:LS370, "11")</f>
        <v>0</v>
      </c>
      <c r="LT2" s="296">
        <f>COUNTIF(LT3:LT370, "12")</f>
        <v>0</v>
      </c>
      <c r="LU2" s="297"/>
      <c r="LV2" s="275"/>
      <c r="LW2" s="206"/>
      <c r="LX2" s="206"/>
    </row>
    <row r="3" ht="20.25" customHeight="1">
      <c r="A3" s="298" t="s">
        <v>242</v>
      </c>
      <c r="B3" s="222" t="s">
        <v>245</v>
      </c>
      <c r="C3" s="233" t="str">
        <f t="shared" ref="C3:C369" si="7">SUBSTITUTE(B3,"-","")</f>
        <v>SrRgGmPdnS</v>
      </c>
      <c r="D3" s="234" t="str">
        <f>IFERROR(__xludf.DUMMYFUNCTION("IF(REGEXMATCH(C3, ""S""), ""S"","""")"),"S")</f>
        <v>S</v>
      </c>
      <c r="E3" s="236" t="str">
        <f>IFERROR(__xludf.DUMMYFUNCTION("IF(REGEXMATCH(C3, ""r""), ""r"","""")"),"r")</f>
        <v>r</v>
      </c>
      <c r="F3" s="237" t="str">
        <f>IFERROR(__xludf.DUMMYFUNCTION("IF(REGEXMATCH(C3, ""R""), ""R"","""")"),"R")</f>
        <v>R</v>
      </c>
      <c r="G3" s="237" t="str">
        <f>IFERROR(__xludf.DUMMYFUNCTION("IF(REGEXMATCH(C3, ""g""), ""g"","""")"),"g")</f>
        <v>g</v>
      </c>
      <c r="H3" s="236" t="str">
        <f>IFERROR(__xludf.DUMMYFUNCTION("IF(REGEXMATCH(C3, ""G""), ""G"","""")"),"G")</f>
        <v>G</v>
      </c>
      <c r="I3" s="236" t="str">
        <f>IFERROR(__xludf.DUMMYFUNCTION("IF(REGEXMATCH(C3, ""m""), ""m"","""")"),"m")</f>
        <v>m</v>
      </c>
      <c r="J3" s="237" t="str">
        <f>IFERROR(__xludf.DUMMYFUNCTION("IF(REGEXMATCH(C3, ""M""), ""M"","""")"),"")</f>
        <v/>
      </c>
      <c r="K3" s="236" t="str">
        <f>IFERROR(__xludf.DUMMYFUNCTION("IF(REGEXMATCH(C3, ""P""), ""P"","""")"),"P")</f>
        <v>P</v>
      </c>
      <c r="L3" s="237" t="str">
        <f>IFERROR(__xludf.DUMMYFUNCTION("IF(REGEXMATCH(C3, ""d""), ""d"","""")"),"d")</f>
        <v>d</v>
      </c>
      <c r="M3" s="236" t="str">
        <f>IFERROR(__xludf.DUMMYFUNCTION("IF(REGEXMATCH(C3, ""D""), ""D"","""")"),"")</f>
        <v/>
      </c>
      <c r="N3" s="236" t="str">
        <f>IFERROR(__xludf.DUMMYFUNCTION("IF(REGEXMATCH(C3, ""n""), ""n"","""")"),"n")</f>
        <v>n</v>
      </c>
      <c r="O3" s="237" t="str">
        <f>IFERROR(__xludf.DUMMYFUNCTION("IF(REGEXMATCH(C3, ""N""), ""N"","""")"),"")</f>
        <v/>
      </c>
      <c r="P3" s="238" t="str">
        <f>IFERROR(__xludf.DUMMYFUNCTION("IF(REGEXMATCH(C3, ""S""), ""S"","""")"),"S")</f>
        <v>S</v>
      </c>
      <c r="Q3" s="239" t="str">
        <f>IFERROR(__xludf.DUMMYFUNCTION("SUBSTITUTE(CONCATENATE(JOIN(""-"",D3:J3)),""-"","""")"),"SrRgGm")</f>
        <v>SrRgGm</v>
      </c>
      <c r="R3" s="229" t="str">
        <f>IFERROR(__xludf.DUMMYFUNCTION("SUBSTITUTE(CONCATENATE(JOIN(""-"",K3:P3)),""-"","""")"),"PdnS")</f>
        <v>PdnS</v>
      </c>
      <c r="S3" s="282" t="str">
        <f t="shared" ref="S3:S369" si="8">SUBSTITUTE(SUBSTITUTE(SUBSTITUTE(SUBSTITUTE(UPPER(SUBSTITUTE(SUBSTITUTE(SUBSTITUTE(Q3,"rR","R"),"gG","G"),"mM","M")),"S","S-"),"R","R-"),"G","G-"),"M","M")</f>
        <v>S-R-G-M</v>
      </c>
      <c r="T3" s="282" t="str">
        <f t="shared" ref="T3:T369" si="9">SUBSTITUTE(SUBSTITUTE(SUBSTITUTE(SUBSTITUTE(UPPER(SUBSTITUTE(SUBSTITUTE(R3,"dD","D"),"nN","N")),"P","P-"),"D","D-"),"N","N-"),"S","S")</f>
        <v>P-D-N-S</v>
      </c>
      <c r="U3" s="237" t="str">
        <f>IFERROR(__xludf.DUMMYFUNCTION("SUBSTITUTE(JOIN(""-"",S3,T3),""--"",""-"")"),"S-R-G-M-P-D-N-S")</f>
        <v>S-R-G-M-P-D-N-S</v>
      </c>
      <c r="V3" s="309" t="str">
        <f t="shared" ref="V3:V369" si="10">SUBSTITUTE(SUBSTITUTE(C3,"S",""),"P","")</f>
        <v>rRgGmdn</v>
      </c>
      <c r="W3" s="244" t="str">
        <f>IFERROR(__xludf.DUMMYFUNCTION("IF(REGEXMATCH(C3, ""S""), ""0"","""")"),"0")</f>
        <v>0</v>
      </c>
      <c r="X3" s="245" t="str">
        <f>IFERROR(__xludf.DUMMYFUNCTION("IF(REGEXMATCH(C3, ""r""), ""1"","""")"),"1")</f>
        <v>1</v>
      </c>
      <c r="Y3" s="246" t="str">
        <f>IFERROR(__xludf.DUMMYFUNCTION("IF(REGEXMATCH(C3, ""R""), ""2"","""")"),"2")</f>
        <v>2</v>
      </c>
      <c r="Z3" s="246" t="str">
        <f>IFERROR(__xludf.DUMMYFUNCTION("IF(REGEXMATCH(C3, ""g""), ""3"","""")"),"3")</f>
        <v>3</v>
      </c>
      <c r="AA3" s="245" t="str">
        <f>IFERROR(__xludf.DUMMYFUNCTION("IF(REGEXMATCH(C3, ""G""), ""4"","""")"),"4")</f>
        <v>4</v>
      </c>
      <c r="AB3" s="245" t="str">
        <f>IFERROR(__xludf.DUMMYFUNCTION("IF(REGEXMATCH(C3, ""m""), ""5"","""")"),"5")</f>
        <v>5</v>
      </c>
      <c r="AC3" s="246" t="str">
        <f>IFERROR(__xludf.DUMMYFUNCTION("IF(REGEXMATCH(C3, ""M""), ""6"","""")"),"")</f>
        <v/>
      </c>
      <c r="AD3" s="245" t="str">
        <f>IFERROR(__xludf.DUMMYFUNCTION("IF(REGEXMATCH(C3, ""P""), ""7"","""")"),"7")</f>
        <v>7</v>
      </c>
      <c r="AE3" s="246" t="str">
        <f>IFERROR(__xludf.DUMMYFUNCTION("IF(REGEXMATCH(C3, ""d""), ""8"","""")"),"8")</f>
        <v>8</v>
      </c>
      <c r="AF3" s="245" t="str">
        <f>IFERROR(__xludf.DUMMYFUNCTION("IF(REGEXMATCH(C3, ""D""), ""9"","""")"),"")</f>
        <v/>
      </c>
      <c r="AG3" s="245" t="str">
        <f>IFERROR(__xludf.DUMMYFUNCTION("IF(REGEXMATCH(C3, ""n""), ""10"","""")"),"10")</f>
        <v>10</v>
      </c>
      <c r="AH3" s="246" t="str">
        <f>IFERROR(__xludf.DUMMYFUNCTION("IF(REGEXMATCH(C3, ""N""), ""11"","""")"),"")</f>
        <v/>
      </c>
      <c r="AI3" s="249" t="str">
        <f>IFERROR(__xludf.DUMMYFUNCTION("IF(REGEXMATCH(C3, ""S""), ""0"","""")"),"0")</f>
        <v>0</v>
      </c>
      <c r="AJ3" s="313" t="str">
        <f t="shared" ref="AJ3:AJ369" si="11">IF(AND(W3="0", AC3="6"), "T","-")</f>
        <v>-</v>
      </c>
      <c r="AK3" s="313" t="str">
        <f t="shared" ref="AK3:AK369" si="12">IF(AND(X3="1", AD3="7"), "T","-")</f>
        <v>T</v>
      </c>
      <c r="AL3" s="313" t="str">
        <f t="shared" ref="AL3:AL369" si="13">IF(AND(Y3="2", AE3="8"), "T","-")</f>
        <v>T</v>
      </c>
      <c r="AM3" s="313" t="str">
        <f t="shared" ref="AM3:AM369" si="14">IF(AND(Z3="3", AF3="9"), "T","-")</f>
        <v>-</v>
      </c>
      <c r="AN3" s="313" t="str">
        <f t="shared" ref="AN3:AN369" si="15">IF(AND(AA3="4", AG3="10"), "T","-")</f>
        <v>T</v>
      </c>
      <c r="AO3" s="314" t="str">
        <f t="shared" ref="AO3:AO369" si="16">IF(AND(AB3="5", AH3="11"), "T","-")</f>
        <v>-</v>
      </c>
      <c r="AP3" s="316">
        <f t="shared" ref="AP3:AP369" si="17">COUNTIF(AJ3:AO3, "T")</f>
        <v>3</v>
      </c>
      <c r="AQ3" s="319" t="str">
        <f t="shared" ref="AQ3:AQ369" si="18">IF(EI3=0,"-",IF(#REF!/EI3&lt;=2,"F","-"))</f>
        <v>#REF!</v>
      </c>
      <c r="AR3" s="320">
        <f t="shared" ref="AR3:AR369" si="19">countif(#REF!,#REF!)-1</f>
        <v>0</v>
      </c>
      <c r="AS3" s="250" t="str">
        <f>IFERROR(__xludf.DUMMYFUNCTION("SUBSTITUTE(SUBSTITUTE(CONCATENATE(JOIN("""",FP3:GA3)),""|"",""x""),""-"",""o"")"),"xxxxxxoxxoxo")</f>
        <v>xxxxxxoxxoxo</v>
      </c>
      <c r="AT3" s="323" t="str">
        <f>IFERROR(__xludf.DUMMYFUNCTION("JOIN("""",AS3,AS3)"),"xxxxxxoxxoxoxxxxxxoxxoxo")</f>
        <v>xxxxxxoxxoxoxxxxxxoxxoxo</v>
      </c>
      <c r="AU3" s="256" t="str">
        <f>IFERROR(__xludf.DUMMYFUNCTION("JOIN("""",ArrayFormula(MID(AS3,LEN(AS3)-SEQUENCE(1,LEN(AS3))+1,1)))"),"oxoxxoxxxxxx")</f>
        <v>oxoxxoxxxxxx</v>
      </c>
      <c r="AV3" s="256" t="str">
        <f>IFERROR(__xludf.DUMMYFUNCTION("LEFT(CONCATENATE(""x"",JOIN("""",ArrayFormula(MID(AS3,LEN(AS3)-SEQUENCE(1,LEN(AS3))+1,1)))),12)"),"xoxoxxoxxxxx")</f>
        <v>xoxoxxoxxxxx</v>
      </c>
      <c r="AW3" s="327" t="str">
        <f>IFERROR(__xludf.DUMMYFUNCTION("JOIN("""",AU3,AU3)"),"oxoxxoxxxxxxoxoxxoxxxxxx")</f>
        <v>oxoxxoxxxxxxoxoxxoxxxxxx</v>
      </c>
      <c r="AX3" s="239" t="str">
        <f>IFERROR(__xludf.DUMMYFUNCTION("IF(REGEXMATCH(AW3,AS3),""✔"",""-"")"),"-")</f>
        <v>-</v>
      </c>
      <c r="AY3" s="330" t="str">
        <f t="shared" ref="AY3:AY369" si="20">IF(AS3=AV3,"✔","-")</f>
        <v>-</v>
      </c>
      <c r="AZ3" s="260" t="str">
        <f t="shared" ref="AZ3:AZ369" si="21">IF(BG3=BH3,"-","✔")</f>
        <v>#REF!</v>
      </c>
      <c r="BA3" s="333" t="str">
        <f t="shared" ref="BA3:BA369" si="22">LEFT(AS3,7)</f>
        <v>xxxxxxo</v>
      </c>
      <c r="BB3" s="334" t="str">
        <f t="shared" ref="BB3:BB369" si="23">CONCATENATE(RIGHT(AS3,5),"x")</f>
        <v>xxoxox</v>
      </c>
      <c r="BC3" s="335" t="str">
        <f t="shared" ref="BC3:BC21" si="24">IF(LEFT(BA3,6)=BB3,"✔","-")</f>
        <v>-</v>
      </c>
      <c r="BD3" s="336" t="str">
        <f t="shared" ref="BD3:BD369" si="25">CONCATENATE(A3,": ","'",BA3,"' + '",BB3,"'")</f>
        <v>Abheri Todi: 'xxxxxxo' + 'xxoxox'</v>
      </c>
      <c r="BE3" s="337">
        <f>IFERROR(__xludf.DUMMYFUNCTION("COUNTUNIQUE(FILTER(AT:AT,REGEXMATCH(AT:AT,AS3)))-1"),0.0)</f>
        <v>0</v>
      </c>
      <c r="BF3" s="261" t="str">
        <f>IFERROR(__xludf.DUMMYFUNCTION("IF(BI3=0,""(n/a)"",IF(BJ3=2,""(PAIR)"",IF(REGEXMATCH(AT3,""xoxoxxoxoxox""),""Bilawal"",IF(REGEXMATCH(AT3,""xoxoxooxoxoo""),""Bhupali"",IF(REGEXMATCH(AT3,""xoxoxxoxxoxo""),""Charukeshi"",IF(REGEXMATCH(AT3,""xoxoooxxoxxo""),""Kameshwari"",IF(REGEXMATCH(AT3,"&amp;"""xoxoxooxoxox""),""Shankara"",IF(REGEXMATCH(AT3,""xxooxoxxxoox""),""Basant"",IF(REGEXMATCH(AT3,""xoxoxxxxoxox""),""Bihag"",IF(REGEXMATCH(AT3,""xoxxxxoxoxxx""),""Pilu"",IF(REGEXMATCH(AT3,""xoxxoxoxxoox""),""Kirwani"",IF(REGEXMATCH(AT3,""xoxxoxoxoxxx""),"""&amp;"Mk.Malhar"",IF(REGEXMATCH(AT3,""xxooxxoxxoox""),""Bhairav"",IF(REGEXMATCH(AT3,""xxoxooxxxoox""),""Todi"",IF(REGEXMATCH(AT3,""xxooxoxooxox""),""Marwa"",IF(REGEXMATCH(AT3,""xxoooxoxxooo""),""Gunkali"",IF(REGEXMATCH(AT3,""xoxoxxoxxoox""),""Nat Bhairav"",IF(R"&amp;"EGEXMATCH(AT3,""xoxxoooxoxoo""),""Shivranjani"",IF(REGEXMATCH(AT3,""xooxxxoxooxo""),""Jog"",IF(REGEXMATCH(AT3,""xxooxoxoxoox""),""Hemshri"",IF(REGEXMATCH(AT3,""xoooxooxoxxo""),""Kalavati"",IF(REGEXMATCH(AT3,""xxoxoxxoxoox""),""Kedar"",IF(REGEXMATCH(AT3,"""&amp;"xoxxxxoxooxx""),""Gara"",IF(REGEXMATCH(AT3,""xooxoxooxoox""),""Chandrakauns"",IF(REGEXMATCH(AT3,""xoxxxxoxxxox""),""Mand"",IF(REGEXMATCH(AT3,""xoxxxxoxoxox""),""Hanskinkini"",IF(REGEXMATCH(AT3,""xxooxxoxooxo""),""Lilavati"",IF(REGEXMATCH(AT3,""xooxoxoooxo"&amp;"x""),""Rajeshwari"",IF(REGEXMATCH(AT3,""xoooxxoxoxxx""),""Khokar"",IF(REGEXMATCH(AT3,""xxooxoxxxxox""),""Maligoura"",""-""))))))))))))))))))))))))))))))"),"(n/a)")</f>
        <v>(n/a)</v>
      </c>
      <c r="BG3" s="239" t="str">
        <f t="shared" ref="BG3:BG369" si="26">#REF!-1</f>
        <v>#REF!</v>
      </c>
      <c r="BH3" s="239">
        <f>IFERROR(__xludf.DUMMYFUNCTION("COUNTUNIQUE(FE3:FO3)-1"),8.0)</f>
        <v>8</v>
      </c>
      <c r="BI3" s="239">
        <f>IFERROR(__xludf.DUMMYFUNCTION("COUNTUNIQUE(FILTER(AT:AT,REGEXMATCH(AT:AT,AS3)))-1"),0.0)</f>
        <v>0</v>
      </c>
      <c r="BJ3" s="239">
        <f>IFERROR(__xludf.DUMMYFUNCTION("COUNTA(FILTER(AT:AT,REGEXMATCH(AT:AT,AS3)))"),2.0)</f>
        <v>2</v>
      </c>
      <c r="BK3" s="341">
        <f>IFERROR(__xludf.DUMMYFUNCTION("COUNTA(FILTER(AT:AT,REGEXMATCH(AT:AT,AS3)))-AR3"),2.0)</f>
        <v>2</v>
      </c>
      <c r="BL3" s="276" t="str">
        <f>IFERROR(__xludf.DUMMYFUNCTION("IF(AS3=""oooooooooooo"",""-"",IF(REGEXMATCH(AT3,""xx""), ""Hemi."", ""Anhemi.""))"),"Hemi.")</f>
        <v>Hemi.</v>
      </c>
      <c r="BM3" s="282" t="str">
        <f>IFERROR(__xludf.DUMMYFUNCTION("IF(AS3=""oooooooooooo"",""-"",IF(REGEXMATCH(AT3,""xxx""), ""Cohem."", ""-""))"),"Cohem.")</f>
        <v>Cohem.</v>
      </c>
      <c r="BN3" s="282" t="str">
        <f>IFERROR(__xludf.DUMMYFUNCTION("IF(AS3=""oooooooooooo"",""-"",IF(REGEXMATCH(AT3,""xxxx""), ""Co-Co."", ""-""))"),"Co-Co.")</f>
        <v>Co-Co.</v>
      </c>
      <c r="BO3" s="342" t="str">
        <f>IFERROR(__xludf.DUMMYFUNCTION("IF(AS3=""oooooooooooo"",""-"",IF(REGEXMATCH(AT3,""xxxxx""), ""CCC."", ""-""))"),"CCC.")</f>
        <v>CCC.</v>
      </c>
      <c r="BP3" s="344" t="str">
        <f t="shared" ref="BP3:BP369" si="27">IF(AS3="xoxoxoxxoxox","Kalyan",
IF(AS3="xoxoxxoxoxox","Bilawal",
IF(AS3="xoxoxxoxoxxo","Khamaj",
IF(AS3="xoxxoxoxoxxo","Kafi",
IF(AS3="xoxxoxoxxoxo","Asavari",
IF(AS3="xxoxoxoxxoxo","Bhairavi",
IF(AS3="xxooxxoxxoox","Bhairav",
IF(AS3="xxooxoxxoxox","Marwa",
IF(AS3="xxooxoxxxoox","Poorvi",
IF(AS3="xxoxooxxxoox","Todi","-"))))))))))
</f>
        <v>-</v>
      </c>
      <c r="BQ3" s="282" t="str">
        <f>IFERROR(__xludf.DUMMYFUNCTION("IF(REGEXMATCH(JOIN(""-"",EU3:FD3),""TRUE""),""✔"",""-"")"),"-")</f>
        <v>-</v>
      </c>
      <c r="BR3" s="225">
        <f t="shared" ref="BR3:BR369" si="28">countif(EU3:FD3,TRUE)</f>
        <v>0</v>
      </c>
      <c r="BS3" s="345" t="str">
        <f>IFERROR(__xludf.DUMMYFUNCTION("SUBSTITUTE(SUBSTITUTE(SUBSTITUTE(SUBSTITUTE(CONCATENATE(JOIN(""-"",GC3:GO3)),""--"",""-""),""--"",""-""),""--"",""-""),""--"",""-"")"),"1-b2-2-b3-3-4-5-b6-b7-8")</f>
        <v>1-b2-2-b3-3-4-5-b6-b7-8</v>
      </c>
      <c r="BT3" s="299" t="str">
        <f>IFERROR(__xludf.DUMMYFUNCTION("SUBSTITUTE(SUBSTITUTE(SUBSTITUTE(SUBSTITUTE(CONCATENATE(JOIN(""-"",GP3:HB3)),""--"",""-""),""--"",""-""),""--"",""-""),""--"",""-"")"),"S-R1-R2-G2-G3-M1-P-D1-N2-S")</f>
        <v>S-R1-R2-G2-G3-M1-P-D1-N2-S</v>
      </c>
      <c r="BU3" s="348" t="str">
        <f t="shared" ref="BU3:BU369" si="29">SUBSTITUTE(SUBSTITUTE(SUBSTITUTE(SUBSTITUTE(SUBSTITUTE(SUBSTITUTE(SUBSTITUTE(SUBSTITUTE(SUBSTITUTE(SUBSTITUTE(SUBSTITUTE(SUBSTITUTE(SUBSTITUTE(SUBSTITUTE(BS3,"1","C"),"b2","Db"),"2","D"),"b3","Eb"),"3","E"),"4","F"),"#4","F#"),"5","G"),"b6","Ab"),"6","A"),"b7","Bb"),"7","B"),"8","C"),"#F","F#")</f>
        <v>C-Db-D-Eb-E-F-G-Ab-Bb-C</v>
      </c>
      <c r="BV3" s="349" t="str">
        <f t="shared" ref="BV3:BV370" si="30">DB3</f>
        <v>SMDNS</v>
      </c>
      <c r="BW3" s="350">
        <f t="shared" ref="BW3:BW370" si="31">CN3</f>
        <v>0</v>
      </c>
      <c r="BX3" s="351">
        <f t="shared" ref="BX3:BX369" si="32">countif(CM:CM,CM3)</f>
        <v>2</v>
      </c>
      <c r="BY3" s="352" t="s">
        <v>275</v>
      </c>
      <c r="BZ3" s="309" t="str">
        <f>IFERROR(__xludf.DUMMYFUNCTION("IF(REGEXMATCH(C3, ""S""), ""x"",""x"")"),"x")</f>
        <v>x</v>
      </c>
      <c r="CA3" s="245" t="str">
        <f>IFERROR(__xludf.DUMMYFUNCTION("IF(REGEXMATCH(C3, ""r""), ""o"",""x"")"),"o")</f>
        <v>o</v>
      </c>
      <c r="CB3" s="246" t="str">
        <f>IFERROR(__xludf.DUMMYFUNCTION("IF(REGEXMATCH(C3, ""R""), ""o"",""x"")"),"o")</f>
        <v>o</v>
      </c>
      <c r="CC3" s="246" t="str">
        <f>IFERROR(__xludf.DUMMYFUNCTION("IF(REGEXMATCH(C3, ""g""), ""o"",""x"")"),"o")</f>
        <v>o</v>
      </c>
      <c r="CD3" s="245" t="str">
        <f>IFERROR(__xludf.DUMMYFUNCTION("IF(REGEXMATCH(C3, ""G""), ""o"",""x"")"),"o")</f>
        <v>o</v>
      </c>
      <c r="CE3" s="245" t="str">
        <f>IFERROR(__xludf.DUMMYFUNCTION("IF(REGEXMATCH(C3, ""m""), ""o"",""x"")"),"o")</f>
        <v>o</v>
      </c>
      <c r="CF3" s="246" t="str">
        <f>IFERROR(__xludf.DUMMYFUNCTION("IF(REGEXMATCH(C3, ""M""), ""o"",""x"")"),"x")</f>
        <v>x</v>
      </c>
      <c r="CG3" s="245" t="str">
        <f>IFERROR(__xludf.DUMMYFUNCTION("IF(REGEXMATCH(C3, ""P""), ""o"",""x"")"),"o")</f>
        <v>o</v>
      </c>
      <c r="CH3" s="246" t="str">
        <f>IFERROR(__xludf.DUMMYFUNCTION("IF(REGEXMATCH(C3, ""d""), ""o"",""x"")"),"o")</f>
        <v>o</v>
      </c>
      <c r="CI3" s="245" t="str">
        <f>IFERROR(__xludf.DUMMYFUNCTION("IF(REGEXMATCH(C3, ""D""), ""o"",""x"")"),"x")</f>
        <v>x</v>
      </c>
      <c r="CJ3" s="245" t="str">
        <f>IFERROR(__xludf.DUMMYFUNCTION("IF(REGEXMATCH(C3, ""n""), ""o"",""x"")"),"o")</f>
        <v>o</v>
      </c>
      <c r="CK3" s="245" t="str">
        <f>IFERROR(__xludf.DUMMYFUNCTION("IF(REGEXMATCH(C3, ""N""), ""o"",""x"")"),"x")</f>
        <v>x</v>
      </c>
      <c r="CL3" s="356" t="str">
        <f>IFERROR(__xludf.DUMMYFUNCTION("IF(REGEXMATCH(C3, ""S""), ""x"",""x"")"),"x")</f>
        <v>x</v>
      </c>
      <c r="CM3" s="357" t="str">
        <f t="shared" ref="CM3:CM369" si="33">CONCATENATE(BZ3:CK3)</f>
        <v>xoooooxooxox</v>
      </c>
      <c r="CN3" s="358">
        <f t="shared" ref="CN3:CN369" si="34">COUNTIF(AS$3:AS370,CM3)</f>
        <v>0</v>
      </c>
      <c r="CO3" s="246" t="str">
        <f>IFERROR(__xludf.DUMMYFUNCTION("IF(REGEXMATCH($C3, ""S""), ""S"",""S"")"),"S")</f>
        <v>S</v>
      </c>
      <c r="CP3" s="246" t="str">
        <f>IFERROR(__xludf.DUMMYFUNCTION("IF(REGEXMATCH($C3, ""r""), """",""r"")"),"")</f>
        <v/>
      </c>
      <c r="CQ3" s="246" t="str">
        <f>IFERROR(__xludf.DUMMYFUNCTION("IF(REGEXMATCH($C3, ""R""), """",""R"")"),"")</f>
        <v/>
      </c>
      <c r="CR3" s="246" t="str">
        <f>IFERROR(__xludf.DUMMYFUNCTION("IF(REGEXMATCH($C3, ""g""), """",""g"")"),"")</f>
        <v/>
      </c>
      <c r="CS3" s="246" t="str">
        <f>IFERROR(__xludf.DUMMYFUNCTION("IF(REGEXMATCH($C3, ""G""), """",""G"")"),"")</f>
        <v/>
      </c>
      <c r="CT3" s="246" t="str">
        <f>IFERROR(__xludf.DUMMYFUNCTION("IF(REGEXMATCH($C3, ""m""), """",""m"")"),"")</f>
        <v/>
      </c>
      <c r="CU3" s="246" t="str">
        <f>IFERROR(__xludf.DUMMYFUNCTION("IF(REGEXMATCH($C3, ""M""), """",""M"")"),"M")</f>
        <v>M</v>
      </c>
      <c r="CV3" s="246" t="str">
        <f>IFERROR(__xludf.DUMMYFUNCTION("IF(REGEXMATCH($C3, ""P""), """",""P"")"),"")</f>
        <v/>
      </c>
      <c r="CW3" s="246" t="str">
        <f>IFERROR(__xludf.DUMMYFUNCTION("IF(REGEXMATCH($C3, ""d""), """",""d"")"),"")</f>
        <v/>
      </c>
      <c r="CX3" s="246" t="str">
        <f>IFERROR(__xludf.DUMMYFUNCTION("IF(REGEXMATCH($C3, ""D""), """",""D"")"),"D")</f>
        <v>D</v>
      </c>
      <c r="CY3" s="246" t="str">
        <f>IFERROR(__xludf.DUMMYFUNCTION("IF(REGEXMATCH($C3, ""n""), """",""n"")"),"")</f>
        <v/>
      </c>
      <c r="CZ3" s="246" t="str">
        <f>IFERROR(__xludf.DUMMYFUNCTION("IF(REGEXMATCH($C3, ""N""), """",""N"")"),"N")</f>
        <v>N</v>
      </c>
      <c r="DA3" s="246" t="str">
        <f>IFERROR(__xludf.DUMMYFUNCTION("IF(REGEXMATCH($C3, ""S""), ""S"",""S"")"),"S")</f>
        <v>S</v>
      </c>
      <c r="DB3" s="362" t="str">
        <f>IFERROR(__xludf.DUMMYFUNCTION("JOIN("""",CO3:DA3,"""","""")"),"SMDNS")</f>
        <v>SMDNS</v>
      </c>
      <c r="DC3" s="363"/>
      <c r="DD3" s="301" t="str">
        <f t="shared" ref="DD3:DD369" si="35">#REF!</f>
        <v>#REF!</v>
      </c>
      <c r="DE3" s="302" t="str">
        <f t="shared" ref="DE3:DE369" si="36">IF(#REF!=5,"Audav",IF(#REF!=6,"Shadav",IF(#REF!=7,"Sampurna","-")))</f>
        <v>#REF!</v>
      </c>
      <c r="DF3" s="301" t="str">
        <f t="shared" ref="DF3:DG3" si="5">SUBSTITUTE(S3,"-","")</f>
        <v>SRGM</v>
      </c>
      <c r="DG3" s="301" t="str">
        <f t="shared" si="5"/>
        <v>PDNS</v>
      </c>
      <c r="DH3" s="302" t="str">
        <f t="shared" ref="DH3:DH369" si="38">BF3</f>
        <v>(n/a)</v>
      </c>
      <c r="DI3" s="301" t="str">
        <f t="shared" ref="DI3:DI369" si="39">BL3</f>
        <v>Hemi.</v>
      </c>
      <c r="DJ3" s="364" t="str">
        <f t="shared" ref="DJ3:DJ369" si="40">IF(BO3="CCC.",BO3,IF(BN3="Co-Co.",BN3,IF(BM3="Cohem.",BM3,"-")))</f>
        <v>CCC.</v>
      </c>
      <c r="DK3" s="306" t="str">
        <f t="shared" ref="DK3:DK369" si="41">BP3</f>
        <v>-</v>
      </c>
      <c r="DL3" s="366" t="str">
        <f t="shared" ref="DL3:DL369" si="42">IF(CONCATENATE(DK3,BQ3)="-✔","✔","-")</f>
        <v>-</v>
      </c>
      <c r="DM3" s="308" t="str">
        <f t="shared" ref="DM3:DM369" si="43">IF(BR3=0,"✔","-")</f>
        <v>✔</v>
      </c>
      <c r="DN3" s="306" t="str">
        <f t="shared" ref="DN3:DN369" si="44">IF(CONCATENATE(E3,G3,J3,L3,N3)="","✔","-")</f>
        <v>-</v>
      </c>
      <c r="DO3" s="306" t="str">
        <f t="shared" ref="DO3:DO369" si="45">IF(CONCATENATE(F3,H3,M3,O3)="","✔","-")</f>
        <v>-</v>
      </c>
      <c r="DP3" s="367" t="str">
        <f t="shared" ref="DP3:DP369" si="46">IF(CONCATENATE(I3,"-",J3)="-M","✔","-")</f>
        <v>-</v>
      </c>
      <c r="DQ3" s="310" t="str">
        <f t="shared" ref="DQ3:DQ369" si="47">IF(CONCATENATE(E3,"-",F3)="r-R","✔","-")</f>
        <v>✔</v>
      </c>
      <c r="DR3" s="310" t="str">
        <f t="shared" ref="DR3:DR369" si="48">IF(CONCATENATE(G3,"-",H3)="g-G","✔","-")</f>
        <v>✔</v>
      </c>
      <c r="DS3" s="310" t="str">
        <f t="shared" ref="DS3:DS369" si="49">IF(CONCATENATE(I3,"-",J3)="m-M","✔","-")</f>
        <v>-</v>
      </c>
      <c r="DT3" s="310" t="str">
        <f t="shared" ref="DT3:DT369" si="50">IF(CONCATENATE(L3,"-",M3)="d-D","✔","-")</f>
        <v>-</v>
      </c>
      <c r="DU3" s="370" t="str">
        <f t="shared" ref="DU3:DU369" si="51">IF(CONCATENATE(N3,"-",O3)="n-N","✔","-")</f>
        <v>-</v>
      </c>
      <c r="DV3" s="306" t="str">
        <f t="shared" ref="DV3:DV369" si="52">IF(CONCATENATE(E3,"-",F3)="-","✔","-")</f>
        <v>-</v>
      </c>
      <c r="DW3" s="306" t="str">
        <f t="shared" ref="DW3:DW369" si="53">IF(CONCATENATE(G3,"-",H3)="-","✔","-")</f>
        <v>-</v>
      </c>
      <c r="DX3" s="306" t="str">
        <f t="shared" ref="DX3:DX369" si="54">IF(CONCATENATE(I3,"-",J3)="-","✔","-")</f>
        <v>-</v>
      </c>
      <c r="DY3" s="306" t="str">
        <f t="shared" ref="DY3:DY369" si="55">IF(CONCATENATE(K3,"-",K3)="-","✔","-")</f>
        <v>-</v>
      </c>
      <c r="DZ3" s="306" t="str">
        <f t="shared" ref="DZ3:DZ369" si="56">IF(CONCATENATE(L3,"-",M3)="-","✔","-")</f>
        <v>-</v>
      </c>
      <c r="EA3" s="367" t="str">
        <f t="shared" ref="EA3:EA369" si="57">IF(CONCATENATE(N3,"-",O3)="-","✔","-")</f>
        <v>-</v>
      </c>
      <c r="EB3" s="310" t="str">
        <f>IFERROR(__xludf.DUMMYFUNCTION("IF(REGEXMATCH(AW3,AS3),""✔"",""-"")"),"-")</f>
        <v>-</v>
      </c>
      <c r="EC3" s="310" t="str">
        <f t="shared" ref="EC3:EC369" si="58">IF(BG3=BH3,"-","✔")</f>
        <v>#REF!</v>
      </c>
      <c r="ED3" s="370" t="str">
        <f t="shared" ref="ED3:ED369" si="59">IF(AS3=AV3,"✔","-")</f>
        <v>-</v>
      </c>
      <c r="EE3" s="340" t="str">
        <f t="shared" ref="EE3:EE369" si="60">B3</f>
        <v>S-rR-gG-m-P-d-n-S</v>
      </c>
      <c r="EF3" s="371" t="str">
        <f>IFERROR(__xludf.DUMMYFUNCTION("CONCATENATE(JOIN("""",HC3:HO3))"),"SRGmPdDnNS")</f>
        <v>SRGmPdDnNS</v>
      </c>
      <c r="EG3" s="372">
        <f t="shared" ref="EG3:EG369" si="61">13-(COUNTIF(JC3:JO3, ""))</f>
        <v>2</v>
      </c>
      <c r="EH3" s="373" t="str">
        <f>IFERROR(__xludf.DUMMYFUNCTION("CONCATENATE(JOIN("""",JC3:JO3))"),"Re, Ga, ")</f>
        <v>Re, Ga, </v>
      </c>
      <c r="EI3" s="322">
        <f t="shared" ref="EI3:EI369" si="62">13-(COUNTIF(KC3:KO3, ""))</f>
        <v>1</v>
      </c>
      <c r="EJ3" s="374" t="str">
        <f>IFERROR(__xludf.DUMMYFUNCTION("CONCATENATE(JOIN("""",KC3:KO3))"),"Ga, ")</f>
        <v>Ga, </v>
      </c>
      <c r="EK3" s="325" t="str">
        <f t="shared" ref="EK3:EK369" si="63">BT3</f>
        <v>S-R1-R2-G2-G3-M1-P-D1-N2-S</v>
      </c>
      <c r="EL3" s="326" t="str">
        <f t="shared" ref="EL3:EL369" si="64">BS3</f>
        <v>1-b2-2-b3-3-4-5-b6-b7-8</v>
      </c>
      <c r="EM3" s="318" t="str">
        <f t="shared" ref="EM3:EM369" si="65">#REF!</f>
        <v>#REF!</v>
      </c>
      <c r="EN3" s="328" t="str">
        <f>IFERROR(__xludf.DUMMYFUNCTION("SUBSTITUTE(SUBSTITUTE(SUBSTITUTE(SUBSTITUTE(CONCATENATE(JOIN("" "",HP3:IB3)),""  "","" ""),""  "","" ""),""  "","" ""),""  "","" "")"),"o o o o o o • o o • o • o")</f>
        <v>o o o o o o • o o • o • o</v>
      </c>
      <c r="EO3" s="368" t="str">
        <f t="shared" ref="EO3:EO369" si="66">IF(EP3="Sa-Pa",EP3,IF(ER3="Sa-Pa",ER3,IF(ES3="Sa-ma",ES3,"-")))</f>
        <v>-</v>
      </c>
      <c r="EP3" s="339" t="str">
        <f t="shared" ref="EP3:EP369" si="67">IF(DP3="✔","Sa-Pa","-")</f>
        <v>-</v>
      </c>
      <c r="EQ3" s="339" t="str">
        <f t="shared" ref="EQ3:EQ369" si="68">IF(K3="P","Sa-Pa","-")</f>
        <v>Sa-Pa</v>
      </c>
      <c r="ER3" s="339" t="str">
        <f t="shared" ref="ER3:ER369" si="69">IF(CONCATENATE(I3,"-",J3,"-",K3)="--P","Sa-Pa","-")</f>
        <v>-</v>
      </c>
      <c r="ES3" s="340" t="str">
        <f t="shared" ref="ES3:ES369" si="70">IF(CONCATENATE(I3,"-",J3,"-",K3)="m--","Sa-ma","-")</f>
        <v>-</v>
      </c>
      <c r="ET3" s="363"/>
      <c r="EU3" s="376" t="b">
        <f>IFERROR(__xludf.DUMMYFUNCTION("arrayformula(sum(--REGEXMATCH(""SRGMPDNS"",split(REGEXREPLACE(C3,""(.)"",""$1~""),""~""))))=len(C3)
"),FALSE)</f>
        <v>0</v>
      </c>
      <c r="EV3" s="290" t="b">
        <f>IFERROR(__xludf.DUMMYFUNCTION("arrayformula(sum(--REGEXMATCH(""SRGmPDNS"",split(REGEXREPLACE(C3,""(.)"",""$1~""),""~""))))=len(C3)"),FALSE)</f>
        <v>0</v>
      </c>
      <c r="EW3" s="290" t="b">
        <f>IFERROR(__xludf.DUMMYFUNCTION("arrayformula(sum(--REGEXMATCH(""SRGmPDnS"",split(REGEXREPLACE(C3,""(.)"",""$1~""),""~""))))=len(C3)"),FALSE)</f>
        <v>0</v>
      </c>
      <c r="EX3" s="290" t="b">
        <f>IFERROR(__xludf.DUMMYFUNCTION("arrayformula(sum(--REGEXMATCH(""SRgmPDnS"",split(REGEXREPLACE(C3,""(.)"",""$1~""),""~""))))=len(C3)"),FALSE)</f>
        <v>0</v>
      </c>
      <c r="EY3" s="290" t="b">
        <f>IFERROR(__xludf.DUMMYFUNCTION("arrayformula(sum(--REGEXMATCH(""SRgmPdnS"",split(REGEXREPLACE(C3,""(.)"",""$1~""),""~""))))=len(C3)"),FALSE)</f>
        <v>0</v>
      </c>
      <c r="EZ3" s="290" t="b">
        <f>IFERROR(__xludf.DUMMYFUNCTION("arrayformula(sum(--REGEXMATCH(""SrgmPdnS"",split(REGEXREPLACE(C3,""(.)"",""$1~""),""~""))))=len(C3)"),FALSE)</f>
        <v>0</v>
      </c>
      <c r="FA3" s="290" t="b">
        <f>IFERROR(__xludf.DUMMYFUNCTION("arrayformula(sum(--REGEXMATCH(""SrGmPdNS"",split(REGEXREPLACE(C3,""(.)"",""$1~""),""~""))))=len(C3)"),FALSE)</f>
        <v>0</v>
      </c>
      <c r="FB3" s="290" t="b">
        <f>IFERROR(__xludf.DUMMYFUNCTION("arrayformula(sum(--REGEXMATCH(""SrGMPDNS"",split(REGEXREPLACE(C3,""(.)"",""$1~""),""~""))))=len(C3)"),FALSE)</f>
        <v>0</v>
      </c>
      <c r="FC3" s="290" t="b">
        <f>IFERROR(__xludf.DUMMYFUNCTION("arrayformula(sum(--REGEXMATCH(""SrGMPdNS"",split(REGEXREPLACE(C3,""(.)"",""$1~""),""~""))))=len(C3)"),FALSE)</f>
        <v>0</v>
      </c>
      <c r="FD3" s="377" t="b">
        <f>IFERROR(__xludf.DUMMYFUNCTION("arrayformula(sum(--REGEXMATCH(""SrgMPdNS"",split(REGEXREPLACE(C3,""(.)"",""$1~""),""~""))))=len(C3)"),FALSE)</f>
        <v>0</v>
      </c>
      <c r="FE3" s="269" t="str">
        <f t="shared" ref="FE3:FE369" si="71">IF(LEFT(MID(AT3,2,11))&lt;&gt;"o",MID(AT3,2,11),"-")</f>
        <v>xxxxxoxxoxo</v>
      </c>
      <c r="FF3" s="269" t="str">
        <f t="shared" ref="FF3:FF369" si="72">IF(LEFT(MID(AT3,3,11))&lt;&gt;"o",MID(AT3,3,11),"-")</f>
        <v>xxxxoxxoxox</v>
      </c>
      <c r="FG3" s="271" t="str">
        <f t="shared" ref="FG3:FG369" si="73">IF(LEFT(MID(AT3,4,11))&lt;&gt;"o",MID(AT3,4,11),"-")</f>
        <v>xxxoxxoxoxx</v>
      </c>
      <c r="FH3" s="269" t="str">
        <f t="shared" ref="FH3:FH369" si="74">IF(LEFT(MID(AT3,5,11))&lt;&gt;"o",MID(AT3,5,11),"-")</f>
        <v>xxoxxoxoxxx</v>
      </c>
      <c r="FI3" s="271" t="str">
        <f t="shared" ref="FI3:FI369" si="75">IF(LEFT(MID(AT3,6,11))&lt;&gt;"o",MID(AT3,6,11),"-")</f>
        <v>xoxxoxoxxxx</v>
      </c>
      <c r="FJ3" s="271" t="str">
        <f t="shared" ref="FJ3:FJ369" si="76">IF(LEFT(MID(AT3,7,11))&lt;&gt;"o",MID(AT3,7,11),"-")</f>
        <v>-</v>
      </c>
      <c r="FK3" s="271" t="str">
        <f t="shared" ref="FK3:FK369" si="77">IF(LEFT(MID(AT3,8,11))&lt;&gt;"o",MID(AT3,8,11),"-")</f>
        <v>xxoxoxxxxxx</v>
      </c>
      <c r="FL3" s="271" t="str">
        <f t="shared" ref="FL3:FL369" si="78">IF(LEFT(MID(AT3,9,11))&lt;&gt;"o",MID(AT3,9,11),"-")</f>
        <v>xoxoxxxxxxo</v>
      </c>
      <c r="FM3" s="271" t="str">
        <f t="shared" ref="FM3:FM369" si="79">IF(LEFT(MID(AT3,10,11))&lt;&gt;"o",MID(AT3,10,11),"-")</f>
        <v>-</v>
      </c>
      <c r="FN3" s="271" t="str">
        <f t="shared" ref="FN3:FN369" si="80">IF(LEFT(MID(AT3,11,11))&lt;&gt;"o",MID(AT3,11,11),"-")</f>
        <v>xoxxxxxxoxx</v>
      </c>
      <c r="FO3" s="274" t="str">
        <f t="shared" ref="FO3:FO369" si="81">IF(LEFT(MID(AT3,12,11))&lt;&gt;"o",MID(AT3,12,11),"-")</f>
        <v>-</v>
      </c>
      <c r="FP3" s="234" t="str">
        <f t="shared" ref="FP3:FP369" si="82">IF(W3="0","|","-")</f>
        <v>|</v>
      </c>
      <c r="FQ3" s="236" t="str">
        <f t="shared" ref="FQ3:FQ369" si="83">IF(X3="1","|","-")</f>
        <v>|</v>
      </c>
      <c r="FR3" s="237" t="str">
        <f t="shared" ref="FR3:FR369" si="84">IF(Y3="2","|","-")</f>
        <v>|</v>
      </c>
      <c r="FS3" s="236" t="str">
        <f t="shared" ref="FS3:FS369" si="85">IF(Z3="3","|","-")</f>
        <v>|</v>
      </c>
      <c r="FT3" s="237" t="str">
        <f t="shared" ref="FT3:FT369" si="86">IF(AA3="4","|","-")</f>
        <v>|</v>
      </c>
      <c r="FU3" s="236" t="str">
        <f t="shared" ref="FU3:FU369" si="87">IF(AB3="5","|","-")</f>
        <v>|</v>
      </c>
      <c r="FV3" s="237" t="str">
        <f t="shared" ref="FV3:FV369" si="88">IF(AC3="6","|","-")</f>
        <v>-</v>
      </c>
      <c r="FW3" s="236" t="str">
        <f t="shared" ref="FW3:FW369" si="89">IF(AD3="7","|","-")</f>
        <v>|</v>
      </c>
      <c r="FX3" s="237" t="str">
        <f t="shared" ref="FX3:FX369" si="90">IF(AE3="8","|","-")</f>
        <v>|</v>
      </c>
      <c r="FY3" s="236" t="str">
        <f t="shared" ref="FY3:FY369" si="91">IF(AF3="9","|","-")</f>
        <v>-</v>
      </c>
      <c r="FZ3" s="237" t="str">
        <f t="shared" ref="FZ3:FZ369" si="92">IF(AG3="10","|","-")</f>
        <v>|</v>
      </c>
      <c r="GA3" s="236" t="str">
        <f t="shared" ref="GA3:GA369" si="93">IF(AH3="11","|","-")</f>
        <v>-</v>
      </c>
      <c r="GB3" s="238" t="str">
        <f t="shared" ref="GB3:GB369" si="94">IF(AI3="0","|","-")</f>
        <v>|</v>
      </c>
      <c r="GC3" s="244" t="str">
        <f>IFERROR(__xludf.DUMMYFUNCTION("IF(REGEXMATCH(C3, ""S""), ""1"","""")"),"1")</f>
        <v>1</v>
      </c>
      <c r="GD3" s="245" t="str">
        <f>IFERROR(__xludf.DUMMYFUNCTION("IF(REGEXMATCH(C3, ""r""), ""b2"","""")"),"b2")</f>
        <v>b2</v>
      </c>
      <c r="GE3" s="246" t="str">
        <f>IFERROR(__xludf.DUMMYFUNCTION("IF(REGEXMATCH(C3, ""R""), ""2"","""")"),"2")</f>
        <v>2</v>
      </c>
      <c r="GF3" s="246" t="str">
        <f>IFERROR(__xludf.DUMMYFUNCTION("IF(REGEXMATCH(C3, ""g""), ""b3"","""")"),"b3")</f>
        <v>b3</v>
      </c>
      <c r="GG3" s="245" t="str">
        <f>IFERROR(__xludf.DUMMYFUNCTION("IF(REGEXMATCH(C3, ""G""), ""3"","""")"),"3")</f>
        <v>3</v>
      </c>
      <c r="GH3" s="245" t="str">
        <f>IFERROR(__xludf.DUMMYFUNCTION("IF(REGEXMATCH(C3, ""m""), ""4"","""")"),"4")</f>
        <v>4</v>
      </c>
      <c r="GI3" s="246" t="str">
        <f>IFERROR(__xludf.DUMMYFUNCTION("IF(REGEXMATCH(C3, ""M""), ""#4"","""")"),"")</f>
        <v/>
      </c>
      <c r="GJ3" s="245" t="str">
        <f>IFERROR(__xludf.DUMMYFUNCTION("IF(REGEXMATCH(C3, ""P""), ""5"","""")"),"5")</f>
        <v>5</v>
      </c>
      <c r="GK3" s="246" t="str">
        <f>IFERROR(__xludf.DUMMYFUNCTION("IF(REGEXMATCH(C3, ""d""), ""b6"","""")"),"b6")</f>
        <v>b6</v>
      </c>
      <c r="GL3" s="245" t="str">
        <f>IFERROR(__xludf.DUMMYFUNCTION("IF(REGEXMATCH(C3, ""D""), ""6"","""")"),"")</f>
        <v/>
      </c>
      <c r="GM3" s="245" t="str">
        <f>IFERROR(__xludf.DUMMYFUNCTION("IF(REGEXMATCH(C3, ""n""), ""b7"","""")"),"b7")</f>
        <v>b7</v>
      </c>
      <c r="GN3" s="246" t="str">
        <f>IFERROR(__xludf.DUMMYFUNCTION("IF(REGEXMATCH(C3, ""N""), ""7"","""")"),"")</f>
        <v/>
      </c>
      <c r="GO3" s="249" t="str">
        <f>IFERROR(__xludf.DUMMYFUNCTION("IF(REGEXMATCH(C3, ""S""), ""8"","""")"),"8")</f>
        <v>8</v>
      </c>
      <c r="GP3" s="244" t="str">
        <f>IFERROR(__xludf.DUMMYFUNCTION("IF(REGEXMATCH(C3, ""S""), ""S"","""")"),"S")</f>
        <v>S</v>
      </c>
      <c r="GQ3" s="294" t="str">
        <f>IFERROR(__xludf.DUMMYFUNCTION("IF(REGEXMATCH(C3, ""r""), ""R1"","""")"),"R1")</f>
        <v>R1</v>
      </c>
      <c r="GR3" s="295" t="str">
        <f>IFERROR(__xludf.DUMMYFUNCTION("IF(REGEXMATCH(C3, ""R""), ""R2"","""")"),"R2")</f>
        <v>R2</v>
      </c>
      <c r="GS3" s="295" t="str">
        <f>IFERROR(__xludf.DUMMYFUNCTION("IF(REGEXMATCH(C3, ""g""), ""G2"","""")"),"G2")</f>
        <v>G2</v>
      </c>
      <c r="GT3" s="294" t="str">
        <f>IFERROR(__xludf.DUMMYFUNCTION("IF(REGEXMATCH(C3, ""G""), ""G3"","""")"),"G3")</f>
        <v>G3</v>
      </c>
      <c r="GU3" s="294" t="str">
        <f>IFERROR(__xludf.DUMMYFUNCTION("IF(REGEXMATCH(C3, ""m""), ""M1"","""")"),"M1")</f>
        <v>M1</v>
      </c>
      <c r="GV3" s="295" t="str">
        <f>IFERROR(__xludf.DUMMYFUNCTION("IF(REGEXMATCH(C3, ""M""), ""M2"","""")"),"")</f>
        <v/>
      </c>
      <c r="GW3" s="294" t="str">
        <f>IFERROR(__xludf.DUMMYFUNCTION("IF(REGEXMATCH(C3, ""P""), ""P"","""")"),"P")</f>
        <v>P</v>
      </c>
      <c r="GX3" s="295" t="str">
        <f>IFERROR(__xludf.DUMMYFUNCTION("IF(REGEXMATCH(C3, ""d""), ""D1"","""")"),"D1")</f>
        <v>D1</v>
      </c>
      <c r="GY3" s="294" t="str">
        <f>IFERROR(__xludf.DUMMYFUNCTION("IF(REGEXMATCH(C3, ""D""), ""D2"","""")"),"")</f>
        <v/>
      </c>
      <c r="GZ3" s="294" t="str">
        <f>IFERROR(__xludf.DUMMYFUNCTION("IF(REGEXMATCH(C3, ""n""), ""N2"","""")"),"N2")</f>
        <v>N2</v>
      </c>
      <c r="HA3" s="295" t="str">
        <f>IFERROR(__xludf.DUMMYFUNCTION("IF(REGEXMATCH(C3, ""N""), ""N3"","""")"),"")</f>
        <v/>
      </c>
      <c r="HB3" s="249" t="str">
        <f>IFERROR(__xludf.DUMMYFUNCTION("IF(REGEXMATCH(C3, ""S""), ""S"","""")"),"S")</f>
        <v>S</v>
      </c>
      <c r="HC3" s="331" t="str">
        <f t="shared" ref="HC3:HC369" si="95">IF(AI3="0","S","")</f>
        <v>S</v>
      </c>
      <c r="HD3" s="332" t="str">
        <f t="shared" ref="HD3:HD369" si="96">IF(AH3="11","r","")</f>
        <v/>
      </c>
      <c r="HE3" s="332" t="str">
        <f t="shared" ref="HE3:HE369" si="97">IF(AG3="10","R","")</f>
        <v>R</v>
      </c>
      <c r="HF3" s="332" t="str">
        <f t="shared" ref="HF3:HF369" si="98">IF(AF3="9","g","")</f>
        <v/>
      </c>
      <c r="HG3" s="332" t="str">
        <f t="shared" ref="HG3:HG369" si="99">IF(AE3="8","G","")</f>
        <v>G</v>
      </c>
      <c r="HH3" s="332" t="str">
        <f t="shared" ref="HH3:HH369" si="100">IF(AD3="7","m","")</f>
        <v>m</v>
      </c>
      <c r="HI3" s="332" t="str">
        <f t="shared" ref="HI3:HI369" si="101">IF(AC3="6","M","")</f>
        <v/>
      </c>
      <c r="HJ3" s="332" t="str">
        <f t="shared" ref="HJ3:HJ369" si="102">IF(AB3="5","P","")</f>
        <v>P</v>
      </c>
      <c r="HK3" s="332" t="str">
        <f t="shared" ref="HK3:HK369" si="103">IF(AA3="4","d","")</f>
        <v>d</v>
      </c>
      <c r="HL3" s="332" t="str">
        <f t="shared" ref="HL3:HL369" si="104">IF(Z3="3","D","")</f>
        <v>D</v>
      </c>
      <c r="HM3" s="332" t="str">
        <f t="shared" ref="HM3:HM369" si="105">IF(Y3="2","n","")</f>
        <v>n</v>
      </c>
      <c r="HN3" s="332" t="str">
        <f t="shared" ref="HN3:HN369" si="106">IF(X3="1","N","")</f>
        <v>N</v>
      </c>
      <c r="HO3" s="343" t="str">
        <f t="shared" ref="HO3:HO369" si="107">IF(W3="0","S","")</f>
        <v>S</v>
      </c>
      <c r="HP3" s="331" t="str">
        <f t="shared" ref="HP3:HP369" si="108">IF(W3="0","o","•")</f>
        <v>o</v>
      </c>
      <c r="HQ3" s="332" t="str">
        <f t="shared" ref="HQ3:HQ369" si="109">IF(X3="1","o","•")</f>
        <v>o</v>
      </c>
      <c r="HR3" s="332" t="str">
        <f t="shared" ref="HR3:HR369" si="110">IF(Y3="2","o","•")</f>
        <v>o</v>
      </c>
      <c r="HS3" s="332" t="str">
        <f t="shared" ref="HS3:HS369" si="111">IF(Z3="3","o","•")</f>
        <v>o</v>
      </c>
      <c r="HT3" s="332" t="str">
        <f t="shared" ref="HT3:HT369" si="112">IF(AA3="4","o","•")</f>
        <v>o</v>
      </c>
      <c r="HU3" s="332" t="str">
        <f t="shared" ref="HU3:HU369" si="113">IF(AB3="5","o","•")</f>
        <v>o</v>
      </c>
      <c r="HV3" s="332" t="str">
        <f t="shared" ref="HV3:HV369" si="114">IF(AC3="6","o","•")</f>
        <v>•</v>
      </c>
      <c r="HW3" s="332" t="str">
        <f t="shared" ref="HW3:HW369" si="115">IF(AD3="7","o","•")</f>
        <v>o</v>
      </c>
      <c r="HX3" s="332" t="str">
        <f t="shared" ref="HX3:HX369" si="116">IF(AE3="8","o","•")</f>
        <v>o</v>
      </c>
      <c r="HY3" s="332" t="str">
        <f t="shared" ref="HY3:HY369" si="117">IF(AF3="9","o","•")</f>
        <v>•</v>
      </c>
      <c r="HZ3" s="332" t="str">
        <f t="shared" ref="HZ3:HZ369" si="118">IF(AG3="10","o","•")</f>
        <v>o</v>
      </c>
      <c r="IA3" s="332" t="str">
        <f t="shared" ref="IA3:IA369" si="119">IF(AH3="11","o","•")</f>
        <v>•</v>
      </c>
      <c r="IB3" s="338" t="str">
        <f t="shared" ref="IB3:IB369" si="120">IF(AI3="0","o","•")</f>
        <v>o</v>
      </c>
      <c r="IC3" s="331" t="str">
        <f t="shared" ref="IC3:IC369" si="121">IF(W3="0","•","o")</f>
        <v>•</v>
      </c>
      <c r="ID3" s="332" t="str">
        <f t="shared" ref="ID3:ID369" si="122">IF(X3="1","•","o")</f>
        <v>•</v>
      </c>
      <c r="IE3" s="332" t="str">
        <f t="shared" ref="IE3:IE369" si="123">IF(Y3="2","•","o")</f>
        <v>•</v>
      </c>
      <c r="IF3" s="332" t="str">
        <f t="shared" ref="IF3:IF369" si="124">IF(Z3="3","•","o")</f>
        <v>•</v>
      </c>
      <c r="IG3" s="332" t="str">
        <f t="shared" ref="IG3:IG369" si="125">IF(AA3="4","•","o")</f>
        <v>•</v>
      </c>
      <c r="IH3" s="332" t="str">
        <f t="shared" ref="IH3:IH369" si="126">IF(AB3="5","•","o")</f>
        <v>•</v>
      </c>
      <c r="II3" s="332" t="str">
        <f t="shared" ref="II3:II369" si="127">IF(AC3="6","•","o")</f>
        <v>o</v>
      </c>
      <c r="IJ3" s="332" t="str">
        <f t="shared" ref="IJ3:IJ369" si="128">IF(AD3="7","•","o")</f>
        <v>•</v>
      </c>
      <c r="IK3" s="332" t="str">
        <f t="shared" ref="IK3:IK369" si="129">IF(AE3="8","•","o")</f>
        <v>•</v>
      </c>
      <c r="IL3" s="332" t="str">
        <f t="shared" ref="IL3:IL369" si="130">IF(AF3="9","•","o")</f>
        <v>o</v>
      </c>
      <c r="IM3" s="332" t="str">
        <f t="shared" ref="IM3:IM369" si="131">IF(AG3="10","•","o")</f>
        <v>•</v>
      </c>
      <c r="IN3" s="332" t="str">
        <f t="shared" ref="IN3:IN369" si="132">IF(AH3="11","•","o")</f>
        <v>o</v>
      </c>
      <c r="IO3" s="338" t="str">
        <f t="shared" ref="IO3:IO369" si="133">IF(AI3="0","•","o")</f>
        <v>•</v>
      </c>
      <c r="IP3" s="346" t="b">
        <f t="shared" ref="IP3:IP369" si="134">AND(W3="0",AD3="")</f>
        <v>0</v>
      </c>
      <c r="IQ3" s="347" t="b">
        <f t="shared" ref="IQ3:IQ369" si="135">AND(X3="1",AE3="")</f>
        <v>0</v>
      </c>
      <c r="IR3" s="347" t="b">
        <f t="shared" ref="IR3:IR369" si="136">AND(Y3="2",AF3="")</f>
        <v>1</v>
      </c>
      <c r="IS3" s="347" t="b">
        <f t="shared" ref="IS3:IS369" si="137">AND(Z3="3",AG3="")</f>
        <v>0</v>
      </c>
      <c r="IT3" s="347" t="b">
        <f t="shared" ref="IT3:IT369" si="138">AND(AA3="4",AH3="")</f>
        <v>1</v>
      </c>
      <c r="IU3" s="347" t="b">
        <f t="shared" ref="IU3:IU369" si="139">AND(AB3="5",W3="")</f>
        <v>0</v>
      </c>
      <c r="IV3" s="347" t="b">
        <f t="shared" ref="IV3:IV369" si="140">AND(AC3="6",X3="")</f>
        <v>0</v>
      </c>
      <c r="IW3" s="347" t="b">
        <f t="shared" ref="IW3:IW369" si="141">AND(AD3="7",Y3="")</f>
        <v>0</v>
      </c>
      <c r="IX3" s="347" t="b">
        <f t="shared" ref="IX3:IX369" si="142">AND(AE3="8",Z3="")</f>
        <v>0</v>
      </c>
      <c r="IY3" s="347" t="b">
        <f t="shared" ref="IY3:IY369" si="143">AND(AF3="9",AA3="")</f>
        <v>0</v>
      </c>
      <c r="IZ3" s="347" t="b">
        <f t="shared" ref="IZ3:IZ369" si="144">AND(AG3="10",AB3="")</f>
        <v>0</v>
      </c>
      <c r="JA3" s="347" t="b">
        <f t="shared" ref="JA3:JA369" si="145">AND(AH3="11",AC3="")</f>
        <v>0</v>
      </c>
      <c r="JB3" s="353" t="b">
        <f t="shared" ref="JB3:JB369" si="146">AND(AI3="0",AD3="")</f>
        <v>0</v>
      </c>
      <c r="JC3" s="354" t="str">
        <f t="shared" ref="JC3:JC369" si="147">IF(IP3=TRUE,"Sa, ","")</f>
        <v/>
      </c>
      <c r="JD3" s="355" t="str">
        <f t="shared" ref="JD3:JD369" si="148">IF(IQ3=TRUE,"re, ","")</f>
        <v/>
      </c>
      <c r="JE3" s="355" t="str">
        <f t="shared" ref="JE3:JE369" si="149">IF(IR3=TRUE,"Re, ","")</f>
        <v>Re, </v>
      </c>
      <c r="JF3" s="355" t="str">
        <f t="shared" ref="JF3:JF369" si="150">IF(IS3=TRUE,"ga, ","")</f>
        <v/>
      </c>
      <c r="JG3" s="355" t="str">
        <f t="shared" ref="JG3:JG369" si="151">IF(IT3=TRUE,"Ga, ","")</f>
        <v>Ga, </v>
      </c>
      <c r="JH3" s="355" t="str">
        <f t="shared" ref="JH3:JH369" si="152">IF(IU3=TRUE,"ma, ","")</f>
        <v/>
      </c>
      <c r="JI3" s="355" t="str">
        <f t="shared" ref="JI3:JI369" si="153">IF(IV3=TRUE,"Ma, ","")</f>
        <v/>
      </c>
      <c r="JJ3" s="355" t="str">
        <f t="shared" ref="JJ3:JJ369" si="154">IF(IW3=TRUE,"Pa, ","")</f>
        <v/>
      </c>
      <c r="JK3" s="355" t="str">
        <f t="shared" ref="JK3:JK369" si="155">IF(IX3=TRUE,"dha, ","")</f>
        <v/>
      </c>
      <c r="JL3" s="355" t="str">
        <f t="shared" ref="JL3:JL369" si="156">IF(IY3=TRUE,"Dha, ","")</f>
        <v/>
      </c>
      <c r="JM3" s="355" t="str">
        <f t="shared" ref="JM3:JM369" si="157">IF(IZ3=TRUE,"ni, ","")</f>
        <v/>
      </c>
      <c r="JN3" s="355" t="str">
        <f t="shared" ref="JN3:JN369" si="158">IF(JA3=TRUE,"Ni, ","")</f>
        <v/>
      </c>
      <c r="JO3" s="359" t="str">
        <f t="shared" ref="JO3:JO369" si="159">IF(JB3=TRUE,"", "")</f>
        <v/>
      </c>
      <c r="JP3" s="346" t="b">
        <f t="shared" ref="JP3:JP369" si="160">AND(W3="0",AD3="",AB3="")</f>
        <v>0</v>
      </c>
      <c r="JQ3" s="347" t="b">
        <f t="shared" ref="JQ3:JQ369" si="161">AND(X3="1",AE3="",AC3="")</f>
        <v>0</v>
      </c>
      <c r="JR3" s="347" t="b">
        <f t="shared" ref="JR3:JR369" si="162">AND(Y3="2",AF3="",AD3="")</f>
        <v>0</v>
      </c>
      <c r="JS3" s="347" t="b">
        <f t="shared" ref="JS3:JS369" si="163">AND(Z3="3",AG3="",AE3="")</f>
        <v>0</v>
      </c>
      <c r="JT3" s="347" t="b">
        <f t="shared" ref="JT3:JT369" si="164">AND(AA3="4",AH3="",AF3="")</f>
        <v>1</v>
      </c>
      <c r="JU3" s="347" t="b">
        <f t="shared" ref="JU3:JU369" si="165">AND(AB3="5",AI3="",AG3="")</f>
        <v>0</v>
      </c>
      <c r="JV3" s="347" t="b">
        <f t="shared" ref="JV3:JV369" si="166">AND(AC3="6",X3="",AH3="")</f>
        <v>0</v>
      </c>
      <c r="JW3" s="347" t="b">
        <f t="shared" ref="JW3:JW369" si="167">AND(AD3="7",W3="",Y3="")</f>
        <v>0</v>
      </c>
      <c r="JX3" s="347" t="b">
        <f t="shared" ref="JX3:JX369" si="168">AND(AE3="8",X3="",Z3="")</f>
        <v>0</v>
      </c>
      <c r="JY3" s="347" t="b">
        <f t="shared" ref="JY3:JY369" si="169">AND(AF3="9",Y3="",AA3="")</f>
        <v>0</v>
      </c>
      <c r="JZ3" s="347" t="b">
        <f t="shared" ref="JZ3:JZ369" si="170">AND(AG3="10",Z3="",AB3="")</f>
        <v>0</v>
      </c>
      <c r="KA3" s="347" t="b">
        <f t="shared" ref="KA3:KA369" si="171">AND(AH3="11",AA3="",AC3="")</f>
        <v>0</v>
      </c>
      <c r="KB3" s="365" t="b">
        <f t="shared" ref="KB3:KB369" si="172">AND(W3="0",AD3="",AB3="")</f>
        <v>0</v>
      </c>
      <c r="KC3" s="354" t="str">
        <f t="shared" ref="KC3:KC369" si="173">IF(JP3=TRUE,"Sa, ","")</f>
        <v/>
      </c>
      <c r="KD3" s="355" t="str">
        <f t="shared" ref="KD3:KD369" si="174">IF(JQ3=TRUE,"re, ","")</f>
        <v/>
      </c>
      <c r="KE3" s="355" t="str">
        <f t="shared" ref="KE3:KE369" si="175">IF(JR3=TRUE,"Re, ","")</f>
        <v/>
      </c>
      <c r="KF3" s="355" t="str">
        <f t="shared" ref="KF3:KF369" si="176">IF(JS3=TRUE,"ga, ","")</f>
        <v/>
      </c>
      <c r="KG3" s="355" t="str">
        <f t="shared" ref="KG3:KG369" si="177">IF(JT3=TRUE,"Ga, ","")</f>
        <v>Ga, </v>
      </c>
      <c r="KH3" s="355" t="str">
        <f t="shared" ref="KH3:KH369" si="178">IF(JU3=TRUE,"ma, ","")</f>
        <v/>
      </c>
      <c r="KI3" s="355" t="str">
        <f t="shared" ref="KI3:KI369" si="179">IF(JV3=TRUE,"Ma, ","")</f>
        <v/>
      </c>
      <c r="KJ3" s="355" t="str">
        <f t="shared" ref="KJ3:KJ369" si="180">IF(JW3=TRUE,"Pa, ","")</f>
        <v/>
      </c>
      <c r="KK3" s="355" t="str">
        <f t="shared" ref="KK3:KK369" si="181">IF(JX3=TRUE,"dha, ","")</f>
        <v/>
      </c>
      <c r="KL3" s="355" t="str">
        <f t="shared" ref="KL3:KL369" si="182">IF(JY3=TRUE,"Dha, ","")</f>
        <v/>
      </c>
      <c r="KM3" s="355" t="str">
        <f t="shared" ref="KM3:KM369" si="183">IF(JZ3=TRUE,"ni, ","")</f>
        <v/>
      </c>
      <c r="KN3" s="355" t="str">
        <f t="shared" ref="KN3:KN369" si="184">IF(KA3=TRUE,"Ni, ","")</f>
        <v/>
      </c>
      <c r="KO3" s="359"/>
      <c r="KP3" s="378"/>
      <c r="KQ3" s="379" t="s">
        <v>353</v>
      </c>
      <c r="KR3" s="380" t="s">
        <v>354</v>
      </c>
      <c r="KS3" s="381" t="str">
        <f t="shared" ref="KS3:KS5" si="185">KQ3</f>
        <v>S-R-G-m-P-d-n-S</v>
      </c>
      <c r="KT3" s="382">
        <f t="shared" ref="KT3:KT369" si="186">len(KS3)-len(SUBSTITUTE(KS3,"-",""))</f>
        <v>7</v>
      </c>
      <c r="KU3" s="383">
        <f t="shared" ref="KU3:KU369" si="187">(LEN(SUBSTITUTE(KS3,"-","")))-1</f>
        <v>7</v>
      </c>
      <c r="KV3" s="381" t="str">
        <f t="shared" ref="KV3:KV5" si="188">KR3</f>
        <v>S-n-d-P-m-Gg-Rr-S</v>
      </c>
      <c r="KW3" s="382">
        <f t="shared" ref="KW3:KW369" si="189">len(KV3)-len(SUBSTITUTE(KV3,"-",""))</f>
        <v>7</v>
      </c>
      <c r="KX3" s="384">
        <f t="shared" ref="KX3:KX369" si="190">(LEN(SUBSTITUTE(KV3,"-","")))-1</f>
        <v>9</v>
      </c>
      <c r="KY3" s="382">
        <f t="shared" ref="KY3:KZ3" si="6">KW3-KT3</f>
        <v>0</v>
      </c>
      <c r="KZ3" s="369">
        <f t="shared" si="6"/>
        <v>2</v>
      </c>
      <c r="LA3" s="385" t="str">
        <f t="shared" ref="LA3:LA369" si="192">IF(KS3=LC3,"✔","-")</f>
        <v>-</v>
      </c>
      <c r="LB3" s="340" t="str">
        <f>IFERROR(__xludf.DUMMYFUNCTION("JOIN("""",ArrayFormula(MID(KS3,LEN(KS3)-SEQUENCE(1,LEN(KS3))+1,1)))"),"S-n-d-P-m-G-R-S")</f>
        <v>S-n-d-P-m-G-R-S</v>
      </c>
      <c r="LC3" s="373" t="str">
        <f>IFERROR(__xludf.DUMMYFUNCTION("JOIN("""",ArrayFormula(MID(KV3,LEN(KV3)-SEQUENCE(1,LEN(KV3))+1,1)))"),"S-rR-gG-m-P-d-n-S")</f>
        <v>S-rR-gG-m-P-d-n-S</v>
      </c>
      <c r="LD3" s="373" t="str">
        <f t="shared" ref="LD3:LD369" si="193">SUBSTITUTE(KS3,"-","")</f>
        <v>SRGmPdnS</v>
      </c>
      <c r="LE3" s="339" t="str">
        <f t="shared" ref="LE3:LE369" si="194">SUBSTITUTE(LC3,"-","")</f>
        <v>SrRgGmPdnS</v>
      </c>
      <c r="LF3" s="386" t="str">
        <f>IFERROR(__xludf.DUMMYFUNCTION("SUBSTITUTE(SUBSTITUTE(CONCATENATE(JOIN("""",LH3:LT3)),""1"",""""),""2"","""")"),"SrRgGmPdnS")</f>
        <v>SrRgGmPdnS</v>
      </c>
      <c r="LG3" s="369" t="str">
        <f t="shared" ref="LG3:LG369" si="195">IF(LF3=C3,"✔","-")</f>
        <v>✔</v>
      </c>
      <c r="LH3" s="387" t="str">
        <f>IFERROR(__xludf.DUMMYFUNCTION("IF(REGEXMATCH(LD3, ""S""), ""S"",IF(REGEXMATCH(LE3, ""S""), ""S"",""""))"),"S")</f>
        <v>S</v>
      </c>
      <c r="LI3" s="299" t="str">
        <f>IFERROR(__xludf.DUMMYFUNCTION("IF(REGEXMATCH(LD3, ""r""), ""r1"",IF(REGEXMATCH(LE3, ""r""), ""r2"",""""))"),"r2")</f>
        <v>r2</v>
      </c>
      <c r="LJ3" s="299" t="str">
        <f>IFERROR(__xludf.DUMMYFUNCTION("IF(REGEXMATCH(LD3, ""R""), ""R1"",IF(REGEXMATCH(LE3, ""R""), ""R2"",""""))"),"R1")</f>
        <v>R1</v>
      </c>
      <c r="LK3" s="299" t="str">
        <f>IFERROR(__xludf.DUMMYFUNCTION("IF(REGEXMATCH(LD3, ""g""), ""g1"",IF(REGEXMATCH(LE3, ""g""), ""g2"",""""))"),"g2")</f>
        <v>g2</v>
      </c>
      <c r="LL3" s="299" t="str">
        <f>IFERROR(__xludf.DUMMYFUNCTION("IF(REGEXMATCH(LD3, ""G""), ""G1"",IF(REGEXMATCH(LE3, ""G""), ""G2"",""""))"),"G1")</f>
        <v>G1</v>
      </c>
      <c r="LM3" s="299" t="str">
        <f>IFERROR(__xludf.DUMMYFUNCTION("IF(REGEXMATCH(LD3, ""m""), ""m1"",IF(REGEXMATCH(LE3, ""m""), ""m2"",""""))"),"m1")</f>
        <v>m1</v>
      </c>
      <c r="LN3" s="299" t="str">
        <f>IFERROR(__xludf.DUMMYFUNCTION("IF(REGEXMATCH(LD3, ""M""), ""M1"",IF(REGEXMATCH(LE3, ""M""), ""M2"",""""))"),"")</f>
        <v/>
      </c>
      <c r="LO3" s="299" t="str">
        <f>IFERROR(__xludf.DUMMYFUNCTION("IF(REGEXMATCH(LD3, ""P""), ""P1"",IF(REGEXMATCH(LE3, ""P""), ""P2"",""""))"),"P1")</f>
        <v>P1</v>
      </c>
      <c r="LP3" s="299" t="str">
        <f>IFERROR(__xludf.DUMMYFUNCTION("IF(REGEXMATCH(LD3, ""d""), ""d1"",IF(REGEXMATCH(LE3, ""d""), ""d2"",""""))"),"d1")</f>
        <v>d1</v>
      </c>
      <c r="LQ3" s="299" t="str">
        <f>IFERROR(__xludf.DUMMYFUNCTION("IF(REGEXMATCH(LD3, ""D""), ""D1"",IF(REGEXMATCH(LE3, ""D""), ""D2"",""""))"),"")</f>
        <v/>
      </c>
      <c r="LR3" s="299" t="str">
        <f>IFERROR(__xludf.DUMMYFUNCTION("IF(REGEXMATCH(LD3, ""n""), ""n1"",IF(REGEXMATCH(LE3, ""n""), ""n2"",""""))"),"n1")</f>
        <v>n1</v>
      </c>
      <c r="LS3" s="299" t="str">
        <f>IFERROR(__xludf.DUMMYFUNCTION("IF(REGEXMATCH(LD3, ""N""), ""N1"",IF(REGEXMATCH(LE3, ""N""), ""N2"",""""))"),"")</f>
        <v/>
      </c>
      <c r="LT3" s="388" t="str">
        <f>IFERROR(__xludf.DUMMYFUNCTION("IF(REGEXMATCH(LD3, ""S""), ""S"",IF(REGEXMATCH(LE3, ""S""), ""S"",""""))"),"S")</f>
        <v>S</v>
      </c>
      <c r="LU3" s="389">
        <f t="shared" ref="LU3:LU369" si="196">LEN(KS3)-LEN(KV3)+1</f>
        <v>-1</v>
      </c>
      <c r="LV3" s="378"/>
      <c r="LW3" s="369"/>
      <c r="LX3" s="369"/>
    </row>
    <row r="4" ht="20.25" customHeight="1">
      <c r="A4" s="298" t="s">
        <v>368</v>
      </c>
      <c r="B4" s="222" t="s">
        <v>371</v>
      </c>
      <c r="C4" s="233" t="str">
        <f t="shared" si="7"/>
        <v>SRgmDS</v>
      </c>
      <c r="D4" s="234" t="str">
        <f>IFERROR(__xludf.DUMMYFUNCTION("IF(REGEXMATCH(C4, ""S""), ""S"","""")"),"S")</f>
        <v>S</v>
      </c>
      <c r="E4" s="236" t="str">
        <f>IFERROR(__xludf.DUMMYFUNCTION("IF(REGEXMATCH(C4, ""r""), ""r"","""")"),"")</f>
        <v/>
      </c>
      <c r="F4" s="237" t="str">
        <f>IFERROR(__xludf.DUMMYFUNCTION("IF(REGEXMATCH(C4, ""R""), ""R"","""")"),"R")</f>
        <v>R</v>
      </c>
      <c r="G4" s="237" t="str">
        <f>IFERROR(__xludf.DUMMYFUNCTION("IF(REGEXMATCH(C4, ""g""), ""g"","""")"),"g")</f>
        <v>g</v>
      </c>
      <c r="H4" s="236" t="str">
        <f>IFERROR(__xludf.DUMMYFUNCTION("IF(REGEXMATCH(C4, ""G""), ""G"","""")"),"")</f>
        <v/>
      </c>
      <c r="I4" s="236" t="str">
        <f>IFERROR(__xludf.DUMMYFUNCTION("IF(REGEXMATCH(C4, ""m""), ""m"","""")"),"m")</f>
        <v>m</v>
      </c>
      <c r="J4" s="237" t="str">
        <f>IFERROR(__xludf.DUMMYFUNCTION("IF(REGEXMATCH(C4, ""M""), ""M"","""")"),"")</f>
        <v/>
      </c>
      <c r="K4" s="236" t="str">
        <f>IFERROR(__xludf.DUMMYFUNCTION("IF(REGEXMATCH(C4, ""P""), ""P"","""")"),"")</f>
        <v/>
      </c>
      <c r="L4" s="237" t="str">
        <f>IFERROR(__xludf.DUMMYFUNCTION("IF(REGEXMATCH(C4, ""d""), ""d"","""")"),"")</f>
        <v/>
      </c>
      <c r="M4" s="236" t="str">
        <f>IFERROR(__xludf.DUMMYFUNCTION("IF(REGEXMATCH(C4, ""D""), ""D"","""")"),"D")</f>
        <v>D</v>
      </c>
      <c r="N4" s="236" t="str">
        <f>IFERROR(__xludf.DUMMYFUNCTION("IF(REGEXMATCH(C4, ""n""), ""n"","""")"),"")</f>
        <v/>
      </c>
      <c r="O4" s="237" t="str">
        <f>IFERROR(__xludf.DUMMYFUNCTION("IF(REGEXMATCH(C4, ""N""), ""N"","""")"),"")</f>
        <v/>
      </c>
      <c r="P4" s="238" t="str">
        <f>IFERROR(__xludf.DUMMYFUNCTION("IF(REGEXMATCH(C4, ""S""), ""S"","""")"),"S")</f>
        <v>S</v>
      </c>
      <c r="Q4" s="239" t="str">
        <f>IFERROR(__xludf.DUMMYFUNCTION("SUBSTITUTE(CONCATENATE(JOIN(""-"",D4:J4)),""-"","""")"),"SRgm")</f>
        <v>SRgm</v>
      </c>
      <c r="R4" s="229" t="str">
        <f>IFERROR(__xludf.DUMMYFUNCTION("SUBSTITUTE(CONCATENATE(JOIN(""-"",K4:P4)),""-"","""")"),"DS")</f>
        <v>DS</v>
      </c>
      <c r="S4" s="282" t="str">
        <f t="shared" si="8"/>
        <v>S-R-G-M</v>
      </c>
      <c r="T4" s="282" t="str">
        <f t="shared" si="9"/>
        <v>D-S</v>
      </c>
      <c r="U4" s="237" t="str">
        <f>IFERROR(__xludf.DUMMYFUNCTION("SUBSTITUTE(JOIN(""-"",S4,T4),""--"",""-"")"),"S-R-G-M-D-S")</f>
        <v>S-R-G-M-D-S</v>
      </c>
      <c r="V4" s="309" t="str">
        <f t="shared" si="10"/>
        <v>RgmD</v>
      </c>
      <c r="W4" s="244" t="str">
        <f>IFERROR(__xludf.DUMMYFUNCTION("IF(REGEXMATCH(C4, ""S""), ""0"","""")"),"0")</f>
        <v>0</v>
      </c>
      <c r="X4" s="245" t="str">
        <f>IFERROR(__xludf.DUMMYFUNCTION("IF(REGEXMATCH(C4, ""r""), ""1"","""")"),"")</f>
        <v/>
      </c>
      <c r="Y4" s="246" t="str">
        <f>IFERROR(__xludf.DUMMYFUNCTION("IF(REGEXMATCH(C4, ""R""), ""2"","""")"),"2")</f>
        <v>2</v>
      </c>
      <c r="Z4" s="246" t="str">
        <f>IFERROR(__xludf.DUMMYFUNCTION("IF(REGEXMATCH(C4, ""g""), ""3"","""")"),"3")</f>
        <v>3</v>
      </c>
      <c r="AA4" s="245" t="str">
        <f>IFERROR(__xludf.DUMMYFUNCTION("IF(REGEXMATCH(C4, ""G""), ""4"","""")"),"")</f>
        <v/>
      </c>
      <c r="AB4" s="245" t="str">
        <f>IFERROR(__xludf.DUMMYFUNCTION("IF(REGEXMATCH(C4, ""m""), ""5"","""")"),"5")</f>
        <v>5</v>
      </c>
      <c r="AC4" s="246" t="str">
        <f>IFERROR(__xludf.DUMMYFUNCTION("IF(REGEXMATCH(C4, ""M""), ""6"","""")"),"")</f>
        <v/>
      </c>
      <c r="AD4" s="245" t="str">
        <f>IFERROR(__xludf.DUMMYFUNCTION("IF(REGEXMATCH(C4, ""P""), ""7"","""")"),"")</f>
        <v/>
      </c>
      <c r="AE4" s="246" t="str">
        <f>IFERROR(__xludf.DUMMYFUNCTION("IF(REGEXMATCH(C4, ""d""), ""8"","""")"),"")</f>
        <v/>
      </c>
      <c r="AF4" s="245" t="str">
        <f>IFERROR(__xludf.DUMMYFUNCTION("IF(REGEXMATCH(C4, ""D""), ""9"","""")"),"9")</f>
        <v>9</v>
      </c>
      <c r="AG4" s="245" t="str">
        <f>IFERROR(__xludf.DUMMYFUNCTION("IF(REGEXMATCH(C4, ""n""), ""10"","""")"),"")</f>
        <v/>
      </c>
      <c r="AH4" s="246" t="str">
        <f>IFERROR(__xludf.DUMMYFUNCTION("IF(REGEXMATCH(C4, ""N""), ""11"","""")"),"")</f>
        <v/>
      </c>
      <c r="AI4" s="249" t="str">
        <f>IFERROR(__xludf.DUMMYFUNCTION("IF(REGEXMATCH(C4, ""S""), ""0"","""")"),"0")</f>
        <v>0</v>
      </c>
      <c r="AJ4" s="313" t="str">
        <f t="shared" si="11"/>
        <v>-</v>
      </c>
      <c r="AK4" s="313" t="str">
        <f t="shared" si="12"/>
        <v>-</v>
      </c>
      <c r="AL4" s="313" t="str">
        <f t="shared" si="13"/>
        <v>-</v>
      </c>
      <c r="AM4" s="313" t="str">
        <f t="shared" si="14"/>
        <v>T</v>
      </c>
      <c r="AN4" s="313" t="str">
        <f t="shared" si="15"/>
        <v>-</v>
      </c>
      <c r="AO4" s="314" t="str">
        <f t="shared" si="16"/>
        <v>-</v>
      </c>
      <c r="AP4" s="316">
        <f t="shared" si="17"/>
        <v>1</v>
      </c>
      <c r="AQ4" s="319" t="str">
        <f t="shared" si="18"/>
        <v>#REF!</v>
      </c>
      <c r="AR4" s="320">
        <f t="shared" si="19"/>
        <v>0</v>
      </c>
      <c r="AS4" s="250" t="str">
        <f>IFERROR(__xludf.DUMMYFUNCTION("SUBSTITUTE(SUBSTITUTE(CONCATENATE(JOIN("""",FP4:GA4)),""|"",""x""),""-"",""o"")"),"xoxxoxoooxoo")</f>
        <v>xoxxoxoooxoo</v>
      </c>
      <c r="AT4" s="323" t="str">
        <f>IFERROR(__xludf.DUMMYFUNCTION("JOIN("""",AS4,AS4)"),"xoxxoxoooxooxoxxoxoooxoo")</f>
        <v>xoxxoxoooxooxoxxoxoooxoo</v>
      </c>
      <c r="AU4" s="256" t="str">
        <f>IFERROR(__xludf.DUMMYFUNCTION("JOIN("""",ArrayFormula(MID(AS4,LEN(AS4)-SEQUENCE(1,LEN(AS4))+1,1)))"),"ooxoooxoxxox")</f>
        <v>ooxoooxoxxox</v>
      </c>
      <c r="AV4" s="256" t="str">
        <f>IFERROR(__xludf.DUMMYFUNCTION("LEFT(CONCATENATE(""x"",JOIN("""",ArrayFormula(MID(AS4,LEN(AS4)-SEQUENCE(1,LEN(AS4))+1,1)))),12)"),"xooxoooxoxxo")</f>
        <v>xooxoooxoxxo</v>
      </c>
      <c r="AW4" s="327" t="str">
        <f>IFERROR(__xludf.DUMMYFUNCTION("JOIN("""",AU4,AU4)"),"ooxoooxoxxoxooxoooxoxxox")</f>
        <v>ooxoooxoxxoxooxoooxoxxox</v>
      </c>
      <c r="AX4" s="239" t="str">
        <f>IFERROR(__xludf.DUMMYFUNCTION("IF(REGEXMATCH(AW4,AS4),""✔"",""-"")"),"-")</f>
        <v>-</v>
      </c>
      <c r="AY4" s="330" t="str">
        <f t="shared" si="20"/>
        <v>-</v>
      </c>
      <c r="AZ4" s="260" t="str">
        <f t="shared" si="21"/>
        <v>#REF!</v>
      </c>
      <c r="BA4" s="333" t="str">
        <f t="shared" si="22"/>
        <v>xoxxoxo</v>
      </c>
      <c r="BB4" s="334" t="str">
        <f t="shared" si="23"/>
        <v>ooxoox</v>
      </c>
      <c r="BC4" s="335" t="str">
        <f t="shared" si="24"/>
        <v>-</v>
      </c>
      <c r="BD4" s="336" t="str">
        <f t="shared" si="25"/>
        <v>Abhogi: 'xoxxoxo' + 'ooxoox'</v>
      </c>
      <c r="BE4" s="337">
        <f>IFERROR(__xludf.DUMMYFUNCTION("COUNTUNIQUE(FILTER(AT:AT,REGEXMATCH(AT:AT,AS4)))-1"),2.0)</f>
        <v>2</v>
      </c>
      <c r="BF4" s="261" t="str">
        <f>IFERROR(__xludf.DUMMYFUNCTION("IF(BI4=0,""(n/a)"",IF(BJ4=2,""(PAIR)"",IF(REGEXMATCH(AT4,""xoxoxxoxoxox""),""Bilawal"",IF(REGEXMATCH(AT4,""xoxoxooxoxoo""),""Bhupali"",IF(REGEXMATCH(AT4,""xoxoxxoxxoxo""),""Charukeshi"",IF(REGEXMATCH(AT4,""xoxoooxxoxxo""),""Kameshwari"",IF(REGEXMATCH(AT4,"&amp;"""xoxoxooxoxox""),""Shankara"",IF(REGEXMATCH(AT4,""xxooxoxxxoox""),""Basant"",IF(REGEXMATCH(AT4,""xoxoxxxxoxox""),""Bihag"",IF(REGEXMATCH(AT4,""xoxxxxoxoxxx""),""Pilu"",IF(REGEXMATCH(AT4,""xoxxoxoxxoox""),""Kirwani"",IF(REGEXMATCH(AT4,""xoxxoxoxoxxx""),"""&amp;"Mk.Malhar"",IF(REGEXMATCH(AT4,""xxooxxoxxoox""),""Bhairav"",IF(REGEXMATCH(AT4,""xxoxooxxxoox""),""Todi"",IF(REGEXMATCH(AT4,""xxooxoxooxox""),""Marwa"",IF(REGEXMATCH(AT4,""xxoooxoxxooo""),""Gunkali"",IF(REGEXMATCH(AT4,""xoxoxxoxxoox""),""Nat Bhairav"",IF(R"&amp;"EGEXMATCH(AT4,""xoxxoooxoxoo""),""Shivranjani"",IF(REGEXMATCH(AT4,""xooxxxoxooxo""),""Jog"",IF(REGEXMATCH(AT4,""xxooxoxoxoox""),""Hemshri"",IF(REGEXMATCH(AT4,""xoooxooxoxxo""),""Kalavati"",IF(REGEXMATCH(AT4,""xxoxoxxoxoox""),""Kedar"",IF(REGEXMATCH(AT4,"""&amp;"xoxxxxoxooxx""),""Gara"",IF(REGEXMATCH(AT4,""xooxoxooxoox""),""Chandrakauns"",IF(REGEXMATCH(AT4,""xoxxxxoxxxox""),""Mand"",IF(REGEXMATCH(AT4,""xoxxxxoxoxox""),""Hanskinkini"",IF(REGEXMATCH(AT4,""xxooxxoxooxo""),""Lilavati"",IF(REGEXMATCH(AT4,""xooxoxoooxo"&amp;"x""),""Rajeshwari"",IF(REGEXMATCH(AT4,""xoooxxoxoxxx""),""Khokar"",IF(REGEXMATCH(AT4,""xxooxoxxxxox""),""Maligoura"",""-""))))))))))))))))))))))))))))))"),"Kalavati")</f>
        <v>Kalavati</v>
      </c>
      <c r="BG4" s="239" t="str">
        <f t="shared" si="26"/>
        <v>#REF!</v>
      </c>
      <c r="BH4" s="239">
        <f>IFERROR(__xludf.DUMMYFUNCTION("COUNTUNIQUE(FE4:FO4)-1"),4.0)</f>
        <v>4</v>
      </c>
      <c r="BI4" s="239">
        <f>IFERROR(__xludf.DUMMYFUNCTION("COUNTUNIQUE(FILTER(AT:AT,REGEXMATCH(AT:AT,AS4)))-1"),2.0)</f>
        <v>2</v>
      </c>
      <c r="BJ4" s="239">
        <f>IFERROR(__xludf.DUMMYFUNCTION("COUNTA(FILTER(AT:AT,REGEXMATCH(AT:AT,AS4)))"),3.0)</f>
        <v>3</v>
      </c>
      <c r="BK4" s="341">
        <f>IFERROR(__xludf.DUMMYFUNCTION("COUNTA(FILTER(AT:AT,REGEXMATCH(AT:AT,AS4)))-AR4"),3.0)</f>
        <v>3</v>
      </c>
      <c r="BL4" s="276" t="str">
        <f>IFERROR(__xludf.DUMMYFUNCTION("IF(AS4=""oooooooooooo"",""-"",IF(REGEXMATCH(AT4,""xx""), ""Hemi."", ""Anhemi.""))"),"Hemi.")</f>
        <v>Hemi.</v>
      </c>
      <c r="BM4" s="282" t="str">
        <f>IFERROR(__xludf.DUMMYFUNCTION("IF(AS4=""oooooooooooo"",""-"",IF(REGEXMATCH(AT4,""xxx""), ""Cohem."", ""-""))"),"-")</f>
        <v>-</v>
      </c>
      <c r="BN4" s="282" t="str">
        <f>IFERROR(__xludf.DUMMYFUNCTION("IF(AS4=""oooooooooooo"",""-"",IF(REGEXMATCH(AT4,""xxxx""), ""Co-Co."", ""-""))"),"-")</f>
        <v>-</v>
      </c>
      <c r="BO4" s="342" t="str">
        <f>IFERROR(__xludf.DUMMYFUNCTION("IF(AS4=""oooooooooooo"",""-"",IF(REGEXMATCH(AT4,""xxxxx""), ""CCC."", ""-""))"),"-")</f>
        <v>-</v>
      </c>
      <c r="BP4" s="344" t="str">
        <f t="shared" si="27"/>
        <v>-</v>
      </c>
      <c r="BQ4" s="282" t="str">
        <f>IFERROR(__xludf.DUMMYFUNCTION("IF(REGEXMATCH(JOIN(""-"",EU4:FD4),""TRUE""),""✔"",""-"")"),"✔")</f>
        <v>✔</v>
      </c>
      <c r="BR4" s="225">
        <f t="shared" si="28"/>
        <v>1</v>
      </c>
      <c r="BS4" s="345" t="str">
        <f>IFERROR(__xludf.DUMMYFUNCTION("SUBSTITUTE(SUBSTITUTE(SUBSTITUTE(SUBSTITUTE(CONCATENATE(JOIN(""-"",GC4:GO4)),""--"",""-""),""--"",""-""),""--"",""-""),""--"",""-"")"),"1-2-b3-4-6-8")</f>
        <v>1-2-b3-4-6-8</v>
      </c>
      <c r="BT4" s="299" t="str">
        <f>IFERROR(__xludf.DUMMYFUNCTION("SUBSTITUTE(SUBSTITUTE(SUBSTITUTE(SUBSTITUTE(CONCATENATE(JOIN(""-"",GP4:HB4)),""--"",""-""),""--"",""-""),""--"",""-""),""--"",""-"")"),"S-R2-G2-M1-D2-S")</f>
        <v>S-R2-G2-M1-D2-S</v>
      </c>
      <c r="BU4" s="348" t="str">
        <f t="shared" si="29"/>
        <v>C-D-Eb-F-A-C</v>
      </c>
      <c r="BV4" s="349" t="str">
        <f t="shared" si="30"/>
        <v>SrGMPdnNS</v>
      </c>
      <c r="BW4" s="350">
        <f t="shared" si="31"/>
        <v>0</v>
      </c>
      <c r="BX4" s="351">
        <f t="shared" si="32"/>
        <v>1</v>
      </c>
      <c r="BY4" s="392"/>
      <c r="BZ4" s="309" t="str">
        <f>IFERROR(__xludf.DUMMYFUNCTION("IF(REGEXMATCH(C4, ""S""), ""x"",""x"")"),"x")</f>
        <v>x</v>
      </c>
      <c r="CA4" s="245" t="str">
        <f>IFERROR(__xludf.DUMMYFUNCTION("IF(REGEXMATCH(C4, ""r""), ""o"",""x"")"),"x")</f>
        <v>x</v>
      </c>
      <c r="CB4" s="246" t="str">
        <f>IFERROR(__xludf.DUMMYFUNCTION("IF(REGEXMATCH(C4, ""R""), ""o"",""x"")"),"o")</f>
        <v>o</v>
      </c>
      <c r="CC4" s="246" t="str">
        <f>IFERROR(__xludf.DUMMYFUNCTION("IF(REGEXMATCH(C4, ""g""), ""o"",""x"")"),"o")</f>
        <v>o</v>
      </c>
      <c r="CD4" s="245" t="str">
        <f>IFERROR(__xludf.DUMMYFUNCTION("IF(REGEXMATCH(C4, ""G""), ""o"",""x"")"),"x")</f>
        <v>x</v>
      </c>
      <c r="CE4" s="245" t="str">
        <f>IFERROR(__xludf.DUMMYFUNCTION("IF(REGEXMATCH(C4, ""m""), ""o"",""x"")"),"o")</f>
        <v>o</v>
      </c>
      <c r="CF4" s="246" t="str">
        <f>IFERROR(__xludf.DUMMYFUNCTION("IF(REGEXMATCH(C4, ""M""), ""o"",""x"")"),"x")</f>
        <v>x</v>
      </c>
      <c r="CG4" s="245" t="str">
        <f>IFERROR(__xludf.DUMMYFUNCTION("IF(REGEXMATCH(C4, ""P""), ""o"",""x"")"),"x")</f>
        <v>x</v>
      </c>
      <c r="CH4" s="246" t="str">
        <f>IFERROR(__xludf.DUMMYFUNCTION("IF(REGEXMATCH(C4, ""d""), ""o"",""x"")"),"x")</f>
        <v>x</v>
      </c>
      <c r="CI4" s="245" t="str">
        <f>IFERROR(__xludf.DUMMYFUNCTION("IF(REGEXMATCH(C4, ""D""), ""o"",""x"")"),"o")</f>
        <v>o</v>
      </c>
      <c r="CJ4" s="245" t="str">
        <f>IFERROR(__xludf.DUMMYFUNCTION("IF(REGEXMATCH(C4, ""n""), ""o"",""x"")"),"x")</f>
        <v>x</v>
      </c>
      <c r="CK4" s="245" t="str">
        <f>IFERROR(__xludf.DUMMYFUNCTION("IF(REGEXMATCH(C4, ""N""), ""o"",""x"")"),"x")</f>
        <v>x</v>
      </c>
      <c r="CL4" s="356" t="str">
        <f>IFERROR(__xludf.DUMMYFUNCTION("IF(REGEXMATCH(C4, ""S""), ""x"",""x"")"),"x")</f>
        <v>x</v>
      </c>
      <c r="CM4" s="357" t="str">
        <f t="shared" si="33"/>
        <v>xxooxoxxxoxx</v>
      </c>
      <c r="CN4" s="358">
        <f t="shared" si="34"/>
        <v>0</v>
      </c>
      <c r="CO4" s="246" t="str">
        <f>IFERROR(__xludf.DUMMYFUNCTION("IF(REGEXMATCH($C4, ""S""), ""S"",""S"")"),"S")</f>
        <v>S</v>
      </c>
      <c r="CP4" s="246" t="str">
        <f>IFERROR(__xludf.DUMMYFUNCTION("IF(REGEXMATCH($C4, ""r""), """",""r"")"),"r")</f>
        <v>r</v>
      </c>
      <c r="CQ4" s="246" t="str">
        <f>IFERROR(__xludf.DUMMYFUNCTION("IF(REGEXMATCH($C4, ""R""), """",""R"")"),"")</f>
        <v/>
      </c>
      <c r="CR4" s="246" t="str">
        <f>IFERROR(__xludf.DUMMYFUNCTION("IF(REGEXMATCH($C4, ""g""), """",""g"")"),"")</f>
        <v/>
      </c>
      <c r="CS4" s="246" t="str">
        <f>IFERROR(__xludf.DUMMYFUNCTION("IF(REGEXMATCH($C4, ""G""), """",""G"")"),"G")</f>
        <v>G</v>
      </c>
      <c r="CT4" s="246" t="str">
        <f>IFERROR(__xludf.DUMMYFUNCTION("IF(REGEXMATCH($C4, ""m""), """",""m"")"),"")</f>
        <v/>
      </c>
      <c r="CU4" s="246" t="str">
        <f>IFERROR(__xludf.DUMMYFUNCTION("IF(REGEXMATCH($C4, ""M""), """",""M"")"),"M")</f>
        <v>M</v>
      </c>
      <c r="CV4" s="246" t="str">
        <f>IFERROR(__xludf.DUMMYFUNCTION("IF(REGEXMATCH($C4, ""P""), """",""P"")"),"P")</f>
        <v>P</v>
      </c>
      <c r="CW4" s="246" t="str">
        <f>IFERROR(__xludf.DUMMYFUNCTION("IF(REGEXMATCH($C4, ""d""), """",""d"")"),"d")</f>
        <v>d</v>
      </c>
      <c r="CX4" s="246" t="str">
        <f>IFERROR(__xludf.DUMMYFUNCTION("IF(REGEXMATCH($C4, ""D""), """",""D"")"),"")</f>
        <v/>
      </c>
      <c r="CY4" s="246" t="str">
        <f>IFERROR(__xludf.DUMMYFUNCTION("IF(REGEXMATCH($C4, ""n""), """",""n"")"),"n")</f>
        <v>n</v>
      </c>
      <c r="CZ4" s="246" t="str">
        <f>IFERROR(__xludf.DUMMYFUNCTION("IF(REGEXMATCH($C4, ""N""), """",""N"")"),"N")</f>
        <v>N</v>
      </c>
      <c r="DA4" s="246" t="str">
        <f>IFERROR(__xludf.DUMMYFUNCTION("IF(REGEXMATCH($C4, ""S""), ""S"",""S"")"),"S")</f>
        <v>S</v>
      </c>
      <c r="DB4" s="362" t="str">
        <f>IFERROR(__xludf.DUMMYFUNCTION("JOIN("""",CO4:DA4,"""","""")"),"SrGMPdnNS")</f>
        <v>SrGMPdnNS</v>
      </c>
      <c r="DC4" s="363"/>
      <c r="DD4" s="301" t="str">
        <f t="shared" si="35"/>
        <v>#REF!</v>
      </c>
      <c r="DE4" s="302" t="str">
        <f t="shared" si="36"/>
        <v>#REF!</v>
      </c>
      <c r="DF4" s="301" t="str">
        <f t="shared" ref="DF4:DG4" si="37">SUBSTITUTE(S4,"-","")</f>
        <v>SRGM</v>
      </c>
      <c r="DG4" s="301" t="str">
        <f t="shared" si="37"/>
        <v>DS</v>
      </c>
      <c r="DH4" s="302" t="str">
        <f t="shared" si="38"/>
        <v>Kalavati</v>
      </c>
      <c r="DI4" s="301" t="str">
        <f t="shared" si="39"/>
        <v>Hemi.</v>
      </c>
      <c r="DJ4" s="364" t="str">
        <f t="shared" si="40"/>
        <v>-</v>
      </c>
      <c r="DK4" s="306" t="str">
        <f t="shared" si="41"/>
        <v>-</v>
      </c>
      <c r="DL4" s="366" t="str">
        <f t="shared" si="42"/>
        <v>✔</v>
      </c>
      <c r="DM4" s="308" t="str">
        <f t="shared" si="43"/>
        <v>-</v>
      </c>
      <c r="DN4" s="306" t="str">
        <f t="shared" si="44"/>
        <v>-</v>
      </c>
      <c r="DO4" s="306" t="str">
        <f t="shared" si="45"/>
        <v>-</v>
      </c>
      <c r="DP4" s="367" t="str">
        <f t="shared" si="46"/>
        <v>-</v>
      </c>
      <c r="DQ4" s="310" t="str">
        <f t="shared" si="47"/>
        <v>-</v>
      </c>
      <c r="DR4" s="310" t="str">
        <f t="shared" si="48"/>
        <v>-</v>
      </c>
      <c r="DS4" s="310" t="str">
        <f t="shared" si="49"/>
        <v>-</v>
      </c>
      <c r="DT4" s="310" t="str">
        <f t="shared" si="50"/>
        <v>-</v>
      </c>
      <c r="DU4" s="370" t="str">
        <f t="shared" si="51"/>
        <v>-</v>
      </c>
      <c r="DV4" s="306" t="str">
        <f t="shared" si="52"/>
        <v>-</v>
      </c>
      <c r="DW4" s="306" t="str">
        <f t="shared" si="53"/>
        <v>-</v>
      </c>
      <c r="DX4" s="306" t="str">
        <f t="shared" si="54"/>
        <v>-</v>
      </c>
      <c r="DY4" s="306" t="str">
        <f t="shared" si="55"/>
        <v>✔</v>
      </c>
      <c r="DZ4" s="306" t="str">
        <f t="shared" si="56"/>
        <v>-</v>
      </c>
      <c r="EA4" s="367" t="str">
        <f t="shared" si="57"/>
        <v>✔</v>
      </c>
      <c r="EB4" s="310" t="str">
        <f>IFERROR(__xludf.DUMMYFUNCTION("IF(REGEXMATCH(AW4,AS4),""✔"",""-"")"),"-")</f>
        <v>-</v>
      </c>
      <c r="EC4" s="310" t="str">
        <f t="shared" si="58"/>
        <v>#REF!</v>
      </c>
      <c r="ED4" s="370" t="str">
        <f t="shared" si="59"/>
        <v>-</v>
      </c>
      <c r="EE4" s="340" t="str">
        <f t="shared" si="60"/>
        <v>S-R-g-m-D-S</v>
      </c>
      <c r="EF4" s="371" t="str">
        <f>IFERROR(__xludf.DUMMYFUNCTION("CONCATENATE(JOIN("""",HC4:HO4))"),"SgPDnS")</f>
        <v>SgPDnS</v>
      </c>
      <c r="EG4" s="372">
        <f t="shared" si="61"/>
        <v>3</v>
      </c>
      <c r="EH4" s="373" t="str">
        <f>IFERROR(__xludf.DUMMYFUNCTION("CONCATENATE(JOIN("""",JC4:JO4))"),"Sa, ga, Dha, ")</f>
        <v>Sa, ga, Dha, </v>
      </c>
      <c r="EI4" s="322">
        <f t="shared" si="62"/>
        <v>1</v>
      </c>
      <c r="EJ4" s="374" t="str">
        <f>IFERROR(__xludf.DUMMYFUNCTION("CONCATENATE(JOIN("""",KC4:KO4))"),"ga, ")</f>
        <v>ga, </v>
      </c>
      <c r="EK4" s="325" t="str">
        <f t="shared" si="63"/>
        <v>S-R2-G2-M1-D2-S</v>
      </c>
      <c r="EL4" s="326" t="str">
        <f t="shared" si="64"/>
        <v>1-2-b3-4-6-8</v>
      </c>
      <c r="EM4" s="318" t="str">
        <f t="shared" si="65"/>
        <v>#REF!</v>
      </c>
      <c r="EN4" s="328" t="str">
        <f>IFERROR(__xludf.DUMMYFUNCTION("SUBSTITUTE(SUBSTITUTE(SUBSTITUTE(SUBSTITUTE(CONCATENATE(JOIN("" "",HP4:IB4)),""  "","" ""),""  "","" ""),""  "","" ""),""  "","" "")"),"o • o o • o • • • o • • o")</f>
        <v>o • o o • o • • • o • • o</v>
      </c>
      <c r="EO4" s="368" t="str">
        <f t="shared" si="66"/>
        <v>Sa-ma</v>
      </c>
      <c r="EP4" s="339" t="str">
        <f t="shared" si="67"/>
        <v>-</v>
      </c>
      <c r="EQ4" s="339" t="str">
        <f t="shared" si="68"/>
        <v>-</v>
      </c>
      <c r="ER4" s="339" t="str">
        <f t="shared" si="69"/>
        <v>-</v>
      </c>
      <c r="ES4" s="340" t="str">
        <f t="shared" si="70"/>
        <v>Sa-ma</v>
      </c>
      <c r="ET4" s="363"/>
      <c r="EU4" s="376" t="b">
        <f>IFERROR(__xludf.DUMMYFUNCTION("arrayformula(sum(--REGEXMATCH(""SRGMPDNS"",split(REGEXREPLACE(C4,""(.)"",""$1~""),""~""))))=len(C4)
"),FALSE)</f>
        <v>0</v>
      </c>
      <c r="EV4" s="290" t="b">
        <f>IFERROR(__xludf.DUMMYFUNCTION("arrayformula(sum(--REGEXMATCH(""SRGmPDNS"",split(REGEXREPLACE(C4,""(.)"",""$1~""),""~""))))=len(C4)"),FALSE)</f>
        <v>0</v>
      </c>
      <c r="EW4" s="290" t="b">
        <f>IFERROR(__xludf.DUMMYFUNCTION("arrayformula(sum(--REGEXMATCH(""SRGmPDnS"",split(REGEXREPLACE(C4,""(.)"",""$1~""),""~""))))=len(C4)"),FALSE)</f>
        <v>0</v>
      </c>
      <c r="EX4" s="290" t="b">
        <f>IFERROR(__xludf.DUMMYFUNCTION("arrayformula(sum(--REGEXMATCH(""SRgmPDnS"",split(REGEXREPLACE(C4,""(.)"",""$1~""),""~""))))=len(C4)"),TRUE)</f>
        <v>1</v>
      </c>
      <c r="EY4" s="290" t="b">
        <f>IFERROR(__xludf.DUMMYFUNCTION("arrayformula(sum(--REGEXMATCH(""SRgmPdnS"",split(REGEXREPLACE(C4,""(.)"",""$1~""),""~""))))=len(C4)"),FALSE)</f>
        <v>0</v>
      </c>
      <c r="EZ4" s="290" t="b">
        <f>IFERROR(__xludf.DUMMYFUNCTION("arrayformula(sum(--REGEXMATCH(""SrgmPdnS"",split(REGEXREPLACE(C4,""(.)"",""$1~""),""~""))))=len(C4)"),FALSE)</f>
        <v>0</v>
      </c>
      <c r="FA4" s="290" t="b">
        <f>IFERROR(__xludf.DUMMYFUNCTION("arrayformula(sum(--REGEXMATCH(""SrGmPdNS"",split(REGEXREPLACE(C4,""(.)"",""$1~""),""~""))))=len(C4)"),FALSE)</f>
        <v>0</v>
      </c>
      <c r="FB4" s="290" t="b">
        <f>IFERROR(__xludf.DUMMYFUNCTION("arrayformula(sum(--REGEXMATCH(""SrGMPDNS"",split(REGEXREPLACE(C4,""(.)"",""$1~""),""~""))))=len(C4)"),FALSE)</f>
        <v>0</v>
      </c>
      <c r="FC4" s="290" t="b">
        <f>IFERROR(__xludf.DUMMYFUNCTION("arrayformula(sum(--REGEXMATCH(""SrGMPdNS"",split(REGEXREPLACE(C4,""(.)"",""$1~""),""~""))))=len(C4)"),FALSE)</f>
        <v>0</v>
      </c>
      <c r="FD4" s="377" t="b">
        <f>IFERROR(__xludf.DUMMYFUNCTION("arrayformula(sum(--REGEXMATCH(""SrgMPdNS"",split(REGEXREPLACE(C4,""(.)"",""$1~""),""~""))))=len(C4)"),FALSE)</f>
        <v>0</v>
      </c>
      <c r="FE4" s="269" t="str">
        <f t="shared" si="71"/>
        <v>-</v>
      </c>
      <c r="FF4" s="269" t="str">
        <f t="shared" si="72"/>
        <v>xxoxoooxoox</v>
      </c>
      <c r="FG4" s="271" t="str">
        <f t="shared" si="73"/>
        <v>xoxoooxooxo</v>
      </c>
      <c r="FH4" s="269" t="str">
        <f t="shared" si="74"/>
        <v>-</v>
      </c>
      <c r="FI4" s="271" t="str">
        <f t="shared" si="75"/>
        <v>xoooxooxoxx</v>
      </c>
      <c r="FJ4" s="271" t="str">
        <f t="shared" si="76"/>
        <v>-</v>
      </c>
      <c r="FK4" s="271" t="str">
        <f t="shared" si="77"/>
        <v>-</v>
      </c>
      <c r="FL4" s="271" t="str">
        <f t="shared" si="78"/>
        <v>-</v>
      </c>
      <c r="FM4" s="271" t="str">
        <f t="shared" si="79"/>
        <v>xooxoxxoxoo</v>
      </c>
      <c r="FN4" s="271" t="str">
        <f t="shared" si="80"/>
        <v>-</v>
      </c>
      <c r="FO4" s="274" t="str">
        <f t="shared" si="81"/>
        <v>-</v>
      </c>
      <c r="FP4" s="234" t="str">
        <f t="shared" si="82"/>
        <v>|</v>
      </c>
      <c r="FQ4" s="236" t="str">
        <f t="shared" si="83"/>
        <v>-</v>
      </c>
      <c r="FR4" s="237" t="str">
        <f t="shared" si="84"/>
        <v>|</v>
      </c>
      <c r="FS4" s="236" t="str">
        <f t="shared" si="85"/>
        <v>|</v>
      </c>
      <c r="FT4" s="237" t="str">
        <f t="shared" si="86"/>
        <v>-</v>
      </c>
      <c r="FU4" s="236" t="str">
        <f t="shared" si="87"/>
        <v>|</v>
      </c>
      <c r="FV4" s="237" t="str">
        <f t="shared" si="88"/>
        <v>-</v>
      </c>
      <c r="FW4" s="236" t="str">
        <f t="shared" si="89"/>
        <v>-</v>
      </c>
      <c r="FX4" s="237" t="str">
        <f t="shared" si="90"/>
        <v>-</v>
      </c>
      <c r="FY4" s="236" t="str">
        <f t="shared" si="91"/>
        <v>|</v>
      </c>
      <c r="FZ4" s="237" t="str">
        <f t="shared" si="92"/>
        <v>-</v>
      </c>
      <c r="GA4" s="236" t="str">
        <f t="shared" si="93"/>
        <v>-</v>
      </c>
      <c r="GB4" s="238" t="str">
        <f t="shared" si="94"/>
        <v>|</v>
      </c>
      <c r="GC4" s="244" t="str">
        <f>IFERROR(__xludf.DUMMYFUNCTION("IF(REGEXMATCH(C4, ""S""), ""1"","""")"),"1")</f>
        <v>1</v>
      </c>
      <c r="GD4" s="245" t="str">
        <f>IFERROR(__xludf.DUMMYFUNCTION("IF(REGEXMATCH(C4, ""r""), ""b2"","""")"),"")</f>
        <v/>
      </c>
      <c r="GE4" s="246" t="str">
        <f>IFERROR(__xludf.DUMMYFUNCTION("IF(REGEXMATCH(C4, ""R""), ""2"","""")"),"2")</f>
        <v>2</v>
      </c>
      <c r="GF4" s="246" t="str">
        <f>IFERROR(__xludf.DUMMYFUNCTION("IF(REGEXMATCH(C4, ""g""), ""b3"","""")"),"b3")</f>
        <v>b3</v>
      </c>
      <c r="GG4" s="245" t="str">
        <f>IFERROR(__xludf.DUMMYFUNCTION("IF(REGEXMATCH(C4, ""G""), ""3"","""")"),"")</f>
        <v/>
      </c>
      <c r="GH4" s="245" t="str">
        <f>IFERROR(__xludf.DUMMYFUNCTION("IF(REGEXMATCH(C4, ""m""), ""4"","""")"),"4")</f>
        <v>4</v>
      </c>
      <c r="GI4" s="246" t="str">
        <f>IFERROR(__xludf.DUMMYFUNCTION("IF(REGEXMATCH(C4, ""M""), ""#4"","""")"),"")</f>
        <v/>
      </c>
      <c r="GJ4" s="245" t="str">
        <f>IFERROR(__xludf.DUMMYFUNCTION("IF(REGEXMATCH(C4, ""P""), ""5"","""")"),"")</f>
        <v/>
      </c>
      <c r="GK4" s="246" t="str">
        <f>IFERROR(__xludf.DUMMYFUNCTION("IF(REGEXMATCH(C4, ""d""), ""b6"","""")"),"")</f>
        <v/>
      </c>
      <c r="GL4" s="245" t="str">
        <f>IFERROR(__xludf.DUMMYFUNCTION("IF(REGEXMATCH(C4, ""D""), ""6"","""")"),"6")</f>
        <v>6</v>
      </c>
      <c r="GM4" s="245" t="str">
        <f>IFERROR(__xludf.DUMMYFUNCTION("IF(REGEXMATCH(C4, ""n""), ""b7"","""")"),"")</f>
        <v/>
      </c>
      <c r="GN4" s="246" t="str">
        <f>IFERROR(__xludf.DUMMYFUNCTION("IF(REGEXMATCH(C4, ""N""), ""7"","""")"),"")</f>
        <v/>
      </c>
      <c r="GO4" s="249" t="str">
        <f>IFERROR(__xludf.DUMMYFUNCTION("IF(REGEXMATCH(C4, ""S""), ""8"","""")"),"8")</f>
        <v>8</v>
      </c>
      <c r="GP4" s="244" t="str">
        <f>IFERROR(__xludf.DUMMYFUNCTION("IF(REGEXMATCH(C4, ""S""), ""S"","""")"),"S")</f>
        <v>S</v>
      </c>
      <c r="GQ4" s="294" t="str">
        <f>IFERROR(__xludf.DUMMYFUNCTION("IF(REGEXMATCH(C4, ""r""), ""R1"","""")"),"")</f>
        <v/>
      </c>
      <c r="GR4" s="295" t="str">
        <f>IFERROR(__xludf.DUMMYFUNCTION("IF(REGEXMATCH(C4, ""R""), ""R2"","""")"),"R2")</f>
        <v>R2</v>
      </c>
      <c r="GS4" s="295" t="str">
        <f>IFERROR(__xludf.DUMMYFUNCTION("IF(REGEXMATCH(C4, ""g""), ""G2"","""")"),"G2")</f>
        <v>G2</v>
      </c>
      <c r="GT4" s="294" t="str">
        <f>IFERROR(__xludf.DUMMYFUNCTION("IF(REGEXMATCH(C4, ""G""), ""G3"","""")"),"")</f>
        <v/>
      </c>
      <c r="GU4" s="294" t="str">
        <f>IFERROR(__xludf.DUMMYFUNCTION("IF(REGEXMATCH(C4, ""m""), ""M1"","""")"),"M1")</f>
        <v>M1</v>
      </c>
      <c r="GV4" s="295" t="str">
        <f>IFERROR(__xludf.DUMMYFUNCTION("IF(REGEXMATCH(C4, ""M""), ""M2"","""")"),"")</f>
        <v/>
      </c>
      <c r="GW4" s="294" t="str">
        <f>IFERROR(__xludf.DUMMYFUNCTION("IF(REGEXMATCH(C4, ""P""), ""P"","""")"),"")</f>
        <v/>
      </c>
      <c r="GX4" s="295" t="str">
        <f>IFERROR(__xludf.DUMMYFUNCTION("IF(REGEXMATCH(C4, ""d""), ""D1"","""")"),"")</f>
        <v/>
      </c>
      <c r="GY4" s="294" t="str">
        <f>IFERROR(__xludf.DUMMYFUNCTION("IF(REGEXMATCH(C4, ""D""), ""D2"","""")"),"D2")</f>
        <v>D2</v>
      </c>
      <c r="GZ4" s="294" t="str">
        <f>IFERROR(__xludf.DUMMYFUNCTION("IF(REGEXMATCH(C4, ""n""), ""N2"","""")"),"")</f>
        <v/>
      </c>
      <c r="HA4" s="295" t="str">
        <f>IFERROR(__xludf.DUMMYFUNCTION("IF(REGEXMATCH(C4, ""N""), ""N3"","""")"),"")</f>
        <v/>
      </c>
      <c r="HB4" s="249" t="str">
        <f>IFERROR(__xludf.DUMMYFUNCTION("IF(REGEXMATCH(C4, ""S""), ""S"","""")"),"S")</f>
        <v>S</v>
      </c>
      <c r="HC4" s="331" t="str">
        <f t="shared" si="95"/>
        <v>S</v>
      </c>
      <c r="HD4" s="332" t="str">
        <f t="shared" si="96"/>
        <v/>
      </c>
      <c r="HE4" s="332" t="str">
        <f t="shared" si="97"/>
        <v/>
      </c>
      <c r="HF4" s="332" t="str">
        <f t="shared" si="98"/>
        <v>g</v>
      </c>
      <c r="HG4" s="332" t="str">
        <f t="shared" si="99"/>
        <v/>
      </c>
      <c r="HH4" s="332" t="str">
        <f t="shared" si="100"/>
        <v/>
      </c>
      <c r="HI4" s="332" t="str">
        <f t="shared" si="101"/>
        <v/>
      </c>
      <c r="HJ4" s="332" t="str">
        <f t="shared" si="102"/>
        <v>P</v>
      </c>
      <c r="HK4" s="332" t="str">
        <f t="shared" si="103"/>
        <v/>
      </c>
      <c r="HL4" s="332" t="str">
        <f t="shared" si="104"/>
        <v>D</v>
      </c>
      <c r="HM4" s="332" t="str">
        <f t="shared" si="105"/>
        <v>n</v>
      </c>
      <c r="HN4" s="332" t="str">
        <f t="shared" si="106"/>
        <v/>
      </c>
      <c r="HO4" s="343" t="str">
        <f t="shared" si="107"/>
        <v>S</v>
      </c>
      <c r="HP4" s="331" t="str">
        <f t="shared" si="108"/>
        <v>o</v>
      </c>
      <c r="HQ4" s="332" t="str">
        <f t="shared" si="109"/>
        <v>•</v>
      </c>
      <c r="HR4" s="332" t="str">
        <f t="shared" si="110"/>
        <v>o</v>
      </c>
      <c r="HS4" s="332" t="str">
        <f t="shared" si="111"/>
        <v>o</v>
      </c>
      <c r="HT4" s="332" t="str">
        <f t="shared" si="112"/>
        <v>•</v>
      </c>
      <c r="HU4" s="332" t="str">
        <f t="shared" si="113"/>
        <v>o</v>
      </c>
      <c r="HV4" s="332" t="str">
        <f t="shared" si="114"/>
        <v>•</v>
      </c>
      <c r="HW4" s="332" t="str">
        <f t="shared" si="115"/>
        <v>•</v>
      </c>
      <c r="HX4" s="332" t="str">
        <f t="shared" si="116"/>
        <v>•</v>
      </c>
      <c r="HY4" s="332" t="str">
        <f t="shared" si="117"/>
        <v>o</v>
      </c>
      <c r="HZ4" s="332" t="str">
        <f t="shared" si="118"/>
        <v>•</v>
      </c>
      <c r="IA4" s="332" t="str">
        <f t="shared" si="119"/>
        <v>•</v>
      </c>
      <c r="IB4" s="338" t="str">
        <f t="shared" si="120"/>
        <v>o</v>
      </c>
      <c r="IC4" s="331" t="str">
        <f t="shared" si="121"/>
        <v>•</v>
      </c>
      <c r="ID4" s="332" t="str">
        <f t="shared" si="122"/>
        <v>o</v>
      </c>
      <c r="IE4" s="332" t="str">
        <f t="shared" si="123"/>
        <v>•</v>
      </c>
      <c r="IF4" s="332" t="str">
        <f t="shared" si="124"/>
        <v>•</v>
      </c>
      <c r="IG4" s="332" t="str">
        <f t="shared" si="125"/>
        <v>o</v>
      </c>
      <c r="IH4" s="332" t="str">
        <f t="shared" si="126"/>
        <v>•</v>
      </c>
      <c r="II4" s="332" t="str">
        <f t="shared" si="127"/>
        <v>o</v>
      </c>
      <c r="IJ4" s="332" t="str">
        <f t="shared" si="128"/>
        <v>o</v>
      </c>
      <c r="IK4" s="332" t="str">
        <f t="shared" si="129"/>
        <v>o</v>
      </c>
      <c r="IL4" s="332" t="str">
        <f t="shared" si="130"/>
        <v>•</v>
      </c>
      <c r="IM4" s="332" t="str">
        <f t="shared" si="131"/>
        <v>o</v>
      </c>
      <c r="IN4" s="332" t="str">
        <f t="shared" si="132"/>
        <v>o</v>
      </c>
      <c r="IO4" s="338" t="str">
        <f t="shared" si="133"/>
        <v>•</v>
      </c>
      <c r="IP4" s="346" t="b">
        <f t="shared" si="134"/>
        <v>1</v>
      </c>
      <c r="IQ4" s="347" t="b">
        <f t="shared" si="135"/>
        <v>0</v>
      </c>
      <c r="IR4" s="347" t="b">
        <f t="shared" si="136"/>
        <v>0</v>
      </c>
      <c r="IS4" s="347" t="b">
        <f t="shared" si="137"/>
        <v>1</v>
      </c>
      <c r="IT4" s="347" t="b">
        <f t="shared" si="138"/>
        <v>0</v>
      </c>
      <c r="IU4" s="347" t="b">
        <f t="shared" si="139"/>
        <v>0</v>
      </c>
      <c r="IV4" s="347" t="b">
        <f t="shared" si="140"/>
        <v>0</v>
      </c>
      <c r="IW4" s="347" t="b">
        <f t="shared" si="141"/>
        <v>0</v>
      </c>
      <c r="IX4" s="347" t="b">
        <f t="shared" si="142"/>
        <v>0</v>
      </c>
      <c r="IY4" s="347" t="b">
        <f t="shared" si="143"/>
        <v>1</v>
      </c>
      <c r="IZ4" s="347" t="b">
        <f t="shared" si="144"/>
        <v>0</v>
      </c>
      <c r="JA4" s="347" t="b">
        <f t="shared" si="145"/>
        <v>0</v>
      </c>
      <c r="JB4" s="353" t="b">
        <f t="shared" si="146"/>
        <v>1</v>
      </c>
      <c r="JC4" s="354" t="str">
        <f t="shared" si="147"/>
        <v>Sa, </v>
      </c>
      <c r="JD4" s="355" t="str">
        <f t="shared" si="148"/>
        <v/>
      </c>
      <c r="JE4" s="355" t="str">
        <f t="shared" si="149"/>
        <v/>
      </c>
      <c r="JF4" s="355" t="str">
        <f t="shared" si="150"/>
        <v>ga, </v>
      </c>
      <c r="JG4" s="355" t="str">
        <f t="shared" si="151"/>
        <v/>
      </c>
      <c r="JH4" s="355" t="str">
        <f t="shared" si="152"/>
        <v/>
      </c>
      <c r="JI4" s="355" t="str">
        <f t="shared" si="153"/>
        <v/>
      </c>
      <c r="JJ4" s="355" t="str">
        <f t="shared" si="154"/>
        <v/>
      </c>
      <c r="JK4" s="355" t="str">
        <f t="shared" si="155"/>
        <v/>
      </c>
      <c r="JL4" s="355" t="str">
        <f t="shared" si="156"/>
        <v>Dha, </v>
      </c>
      <c r="JM4" s="355" t="str">
        <f t="shared" si="157"/>
        <v/>
      </c>
      <c r="JN4" s="355" t="str">
        <f t="shared" si="158"/>
        <v/>
      </c>
      <c r="JO4" s="359" t="str">
        <f t="shared" si="159"/>
        <v/>
      </c>
      <c r="JP4" s="346" t="b">
        <f t="shared" si="160"/>
        <v>0</v>
      </c>
      <c r="JQ4" s="347" t="b">
        <f t="shared" si="161"/>
        <v>0</v>
      </c>
      <c r="JR4" s="347" t="b">
        <f t="shared" si="162"/>
        <v>0</v>
      </c>
      <c r="JS4" s="347" t="b">
        <f t="shared" si="163"/>
        <v>1</v>
      </c>
      <c r="JT4" s="347" t="b">
        <f t="shared" si="164"/>
        <v>0</v>
      </c>
      <c r="JU4" s="347" t="b">
        <f t="shared" si="165"/>
        <v>0</v>
      </c>
      <c r="JV4" s="347" t="b">
        <f t="shared" si="166"/>
        <v>0</v>
      </c>
      <c r="JW4" s="347" t="b">
        <f t="shared" si="167"/>
        <v>0</v>
      </c>
      <c r="JX4" s="347" t="b">
        <f t="shared" si="168"/>
        <v>0</v>
      </c>
      <c r="JY4" s="347" t="b">
        <f t="shared" si="169"/>
        <v>0</v>
      </c>
      <c r="JZ4" s="347" t="b">
        <f t="shared" si="170"/>
        <v>0</v>
      </c>
      <c r="KA4" s="347" t="b">
        <f t="shared" si="171"/>
        <v>0</v>
      </c>
      <c r="KB4" s="365" t="b">
        <f t="shared" si="172"/>
        <v>0</v>
      </c>
      <c r="KC4" s="354" t="str">
        <f t="shared" si="173"/>
        <v/>
      </c>
      <c r="KD4" s="355" t="str">
        <f t="shared" si="174"/>
        <v/>
      </c>
      <c r="KE4" s="355" t="str">
        <f t="shared" si="175"/>
        <v/>
      </c>
      <c r="KF4" s="355" t="str">
        <f t="shared" si="176"/>
        <v>ga, </v>
      </c>
      <c r="KG4" s="355" t="str">
        <f t="shared" si="177"/>
        <v/>
      </c>
      <c r="KH4" s="355" t="str">
        <f t="shared" si="178"/>
        <v/>
      </c>
      <c r="KI4" s="355" t="str">
        <f t="shared" si="179"/>
        <v/>
      </c>
      <c r="KJ4" s="355" t="str">
        <f t="shared" si="180"/>
        <v/>
      </c>
      <c r="KK4" s="355" t="str">
        <f t="shared" si="181"/>
        <v/>
      </c>
      <c r="KL4" s="355" t="str">
        <f t="shared" si="182"/>
        <v/>
      </c>
      <c r="KM4" s="355" t="str">
        <f t="shared" si="183"/>
        <v/>
      </c>
      <c r="KN4" s="355" t="str">
        <f t="shared" si="184"/>
        <v/>
      </c>
      <c r="KO4" s="359"/>
      <c r="KP4" s="378"/>
      <c r="KQ4" s="379" t="s">
        <v>371</v>
      </c>
      <c r="KR4" s="380" t="s">
        <v>399</v>
      </c>
      <c r="KS4" s="381" t="str">
        <f t="shared" si="185"/>
        <v>S-R-g-m-D-S</v>
      </c>
      <c r="KT4" s="382">
        <f t="shared" si="186"/>
        <v>5</v>
      </c>
      <c r="KU4" s="383">
        <f t="shared" si="187"/>
        <v>5</v>
      </c>
      <c r="KV4" s="381" t="str">
        <f t="shared" si="188"/>
        <v>S-D-m-g-R-S</v>
      </c>
      <c r="KW4" s="382">
        <f t="shared" si="189"/>
        <v>5</v>
      </c>
      <c r="KX4" s="384">
        <f t="shared" si="190"/>
        <v>5</v>
      </c>
      <c r="KY4" s="382">
        <f t="shared" ref="KY4:KZ4" si="191">KW4-KT4</f>
        <v>0</v>
      </c>
      <c r="KZ4" s="369">
        <f t="shared" si="191"/>
        <v>0</v>
      </c>
      <c r="LA4" s="385" t="str">
        <f t="shared" si="192"/>
        <v>✔</v>
      </c>
      <c r="LB4" s="340" t="str">
        <f>IFERROR(__xludf.DUMMYFUNCTION("JOIN("""",ArrayFormula(MID(KS4,LEN(KS4)-SEQUENCE(1,LEN(KS4))+1,1)))"),"S-D-m-g-R-S")</f>
        <v>S-D-m-g-R-S</v>
      </c>
      <c r="LC4" s="373" t="str">
        <f>IFERROR(__xludf.DUMMYFUNCTION("JOIN("""",ArrayFormula(MID(KV4,LEN(KV4)-SEQUENCE(1,LEN(KV4))+1,1)))"),"S-R-g-m-D-S")</f>
        <v>S-R-g-m-D-S</v>
      </c>
      <c r="LD4" s="373" t="str">
        <f t="shared" si="193"/>
        <v>SRgmDS</v>
      </c>
      <c r="LE4" s="339" t="str">
        <f t="shared" si="194"/>
        <v>SRgmDS</v>
      </c>
      <c r="LF4" s="386" t="str">
        <f>IFERROR(__xludf.DUMMYFUNCTION("SUBSTITUTE(SUBSTITUTE(CONCATENATE(JOIN("""",LH4:LT4)),""1"",""""),""2"","""")"),"SRgmDS")</f>
        <v>SRgmDS</v>
      </c>
      <c r="LG4" s="369" t="str">
        <f t="shared" si="195"/>
        <v>✔</v>
      </c>
      <c r="LH4" s="387" t="str">
        <f>IFERROR(__xludf.DUMMYFUNCTION("IF(REGEXMATCH(LD4, ""S""), ""S"",IF(REGEXMATCH(LE4, ""S""), ""S"",""""))"),"S")</f>
        <v>S</v>
      </c>
      <c r="LI4" s="299" t="str">
        <f>IFERROR(__xludf.DUMMYFUNCTION("IF(REGEXMATCH(LD4, ""r""), ""r1"",IF(REGEXMATCH(LE4, ""r""), ""r2"",""""))"),"")</f>
        <v/>
      </c>
      <c r="LJ4" s="299" t="str">
        <f>IFERROR(__xludf.DUMMYFUNCTION("IF(REGEXMATCH(LD4, ""R""), ""R1"",IF(REGEXMATCH(LE4, ""R""), ""R2"",""""))"),"R1")</f>
        <v>R1</v>
      </c>
      <c r="LK4" s="299" t="str">
        <f>IFERROR(__xludf.DUMMYFUNCTION("IF(REGEXMATCH(LD4, ""g""), ""g1"",IF(REGEXMATCH(LE4, ""g""), ""g2"",""""))"),"g1")</f>
        <v>g1</v>
      </c>
      <c r="LL4" s="299" t="str">
        <f>IFERROR(__xludf.DUMMYFUNCTION("IF(REGEXMATCH(LD4, ""G""), ""G1"",IF(REGEXMATCH(LE4, ""G""), ""G2"",""""))"),"")</f>
        <v/>
      </c>
      <c r="LM4" s="299" t="str">
        <f>IFERROR(__xludf.DUMMYFUNCTION("IF(REGEXMATCH(LD4, ""m""), ""m1"",IF(REGEXMATCH(LE4, ""m""), ""m2"",""""))"),"m1")</f>
        <v>m1</v>
      </c>
      <c r="LN4" s="299" t="str">
        <f>IFERROR(__xludf.DUMMYFUNCTION("IF(REGEXMATCH(LD4, ""M""), ""M1"",IF(REGEXMATCH(LE4, ""M""), ""M2"",""""))"),"")</f>
        <v/>
      </c>
      <c r="LO4" s="299" t="str">
        <f>IFERROR(__xludf.DUMMYFUNCTION("IF(REGEXMATCH(LD4, ""P""), ""P1"",IF(REGEXMATCH(LE4, ""P""), ""P2"",""""))"),"")</f>
        <v/>
      </c>
      <c r="LP4" s="299" t="str">
        <f>IFERROR(__xludf.DUMMYFUNCTION("IF(REGEXMATCH(LD4, ""d""), ""d1"",IF(REGEXMATCH(LE4, ""d""), ""d2"",""""))"),"")</f>
        <v/>
      </c>
      <c r="LQ4" s="299" t="str">
        <f>IFERROR(__xludf.DUMMYFUNCTION("IF(REGEXMATCH(LD4, ""D""), ""D1"",IF(REGEXMATCH(LE4, ""D""), ""D2"",""""))"),"D1")</f>
        <v>D1</v>
      </c>
      <c r="LR4" s="299" t="str">
        <f>IFERROR(__xludf.DUMMYFUNCTION("IF(REGEXMATCH(LD4, ""n""), ""n1"",IF(REGEXMATCH(LE4, ""n""), ""n2"",""""))"),"")</f>
        <v/>
      </c>
      <c r="LS4" s="299" t="str">
        <f>IFERROR(__xludf.DUMMYFUNCTION("IF(REGEXMATCH(LD4, ""N""), ""N1"",IF(REGEXMATCH(LE4, ""N""), ""N2"",""""))"),"")</f>
        <v/>
      </c>
      <c r="LT4" s="388" t="str">
        <f>IFERROR(__xludf.DUMMYFUNCTION("IF(REGEXMATCH(LD4, ""S""), ""S"",IF(REGEXMATCH(LE4, ""S""), ""S"",""""))"),"S")</f>
        <v>S</v>
      </c>
      <c r="LU4" s="389">
        <f t="shared" si="196"/>
        <v>1</v>
      </c>
      <c r="LV4" s="378"/>
      <c r="LW4" s="369"/>
      <c r="LX4" s="369"/>
    </row>
    <row r="5" ht="20.25" customHeight="1">
      <c r="A5" s="298" t="s">
        <v>403</v>
      </c>
      <c r="B5" s="222" t="s">
        <v>405</v>
      </c>
      <c r="C5" s="233" t="str">
        <f t="shared" si="7"/>
        <v>SRgmPdnS</v>
      </c>
      <c r="D5" s="234" t="str">
        <f>IFERROR(__xludf.DUMMYFUNCTION("IF(REGEXMATCH(C5, ""S""), ""S"","""")"),"S")</f>
        <v>S</v>
      </c>
      <c r="E5" s="236" t="str">
        <f>IFERROR(__xludf.DUMMYFUNCTION("IF(REGEXMATCH(C5, ""r""), ""r"","""")"),"")</f>
        <v/>
      </c>
      <c r="F5" s="237" t="str">
        <f>IFERROR(__xludf.DUMMYFUNCTION("IF(REGEXMATCH(C5, ""R""), ""R"","""")"),"R")</f>
        <v>R</v>
      </c>
      <c r="G5" s="237" t="str">
        <f>IFERROR(__xludf.DUMMYFUNCTION("IF(REGEXMATCH(C5, ""g""), ""g"","""")"),"g")</f>
        <v>g</v>
      </c>
      <c r="H5" s="236" t="str">
        <f>IFERROR(__xludf.DUMMYFUNCTION("IF(REGEXMATCH(C5, ""G""), ""G"","""")"),"")</f>
        <v/>
      </c>
      <c r="I5" s="236" t="str">
        <f>IFERROR(__xludf.DUMMYFUNCTION("IF(REGEXMATCH(C5, ""m""), ""m"","""")"),"m")</f>
        <v>m</v>
      </c>
      <c r="J5" s="237" t="str">
        <f>IFERROR(__xludf.DUMMYFUNCTION("IF(REGEXMATCH(C5, ""M""), ""M"","""")"),"")</f>
        <v/>
      </c>
      <c r="K5" s="236" t="str">
        <f>IFERROR(__xludf.DUMMYFUNCTION("IF(REGEXMATCH(C5, ""P""), ""P"","""")"),"P")</f>
        <v>P</v>
      </c>
      <c r="L5" s="237" t="str">
        <f>IFERROR(__xludf.DUMMYFUNCTION("IF(REGEXMATCH(C5, ""d""), ""d"","""")"),"d")</f>
        <v>d</v>
      </c>
      <c r="M5" s="236" t="str">
        <f>IFERROR(__xludf.DUMMYFUNCTION("IF(REGEXMATCH(C5, ""D""), ""D"","""")"),"")</f>
        <v/>
      </c>
      <c r="N5" s="236" t="str">
        <f>IFERROR(__xludf.DUMMYFUNCTION("IF(REGEXMATCH(C5, ""n""), ""n"","""")"),"n")</f>
        <v>n</v>
      </c>
      <c r="O5" s="237" t="str">
        <f>IFERROR(__xludf.DUMMYFUNCTION("IF(REGEXMATCH(C5, ""N""), ""N"","""")"),"")</f>
        <v/>
      </c>
      <c r="P5" s="238" t="str">
        <f>IFERROR(__xludf.DUMMYFUNCTION("IF(REGEXMATCH(C5, ""S""), ""S"","""")"),"S")</f>
        <v>S</v>
      </c>
      <c r="Q5" s="239" t="str">
        <f>IFERROR(__xludf.DUMMYFUNCTION("SUBSTITUTE(CONCATENATE(JOIN(""-"",D5:J5)),""-"","""")"),"SRgm")</f>
        <v>SRgm</v>
      </c>
      <c r="R5" s="229" t="str">
        <f>IFERROR(__xludf.DUMMYFUNCTION("SUBSTITUTE(CONCATENATE(JOIN(""-"",K5:P5)),""-"","""")"),"PdnS")</f>
        <v>PdnS</v>
      </c>
      <c r="S5" s="282" t="str">
        <f t="shared" si="8"/>
        <v>S-R-G-M</v>
      </c>
      <c r="T5" s="282" t="str">
        <f t="shared" si="9"/>
        <v>P-D-N-S</v>
      </c>
      <c r="U5" s="237" t="str">
        <f>IFERROR(__xludf.DUMMYFUNCTION("SUBSTITUTE(JOIN(""-"",S5,T5),""--"",""-"")"),"S-R-G-M-P-D-N-S")</f>
        <v>S-R-G-M-P-D-N-S</v>
      </c>
      <c r="V5" s="309" t="str">
        <f t="shared" si="10"/>
        <v>Rgmdn</v>
      </c>
      <c r="W5" s="244" t="str">
        <f>IFERROR(__xludf.DUMMYFUNCTION("IF(REGEXMATCH(C5, ""S""), ""0"","""")"),"0")</f>
        <v>0</v>
      </c>
      <c r="X5" s="245" t="str">
        <f>IFERROR(__xludf.DUMMYFUNCTION("IF(REGEXMATCH(C5, ""r""), ""1"","""")"),"")</f>
        <v/>
      </c>
      <c r="Y5" s="246" t="str">
        <f>IFERROR(__xludf.DUMMYFUNCTION("IF(REGEXMATCH(C5, ""R""), ""2"","""")"),"2")</f>
        <v>2</v>
      </c>
      <c r="Z5" s="246" t="str">
        <f>IFERROR(__xludf.DUMMYFUNCTION("IF(REGEXMATCH(C5, ""g""), ""3"","""")"),"3")</f>
        <v>3</v>
      </c>
      <c r="AA5" s="245" t="str">
        <f>IFERROR(__xludf.DUMMYFUNCTION("IF(REGEXMATCH(C5, ""G""), ""4"","""")"),"")</f>
        <v/>
      </c>
      <c r="AB5" s="245" t="str">
        <f>IFERROR(__xludf.DUMMYFUNCTION("IF(REGEXMATCH(C5, ""m""), ""5"","""")"),"5")</f>
        <v>5</v>
      </c>
      <c r="AC5" s="246" t="str">
        <f>IFERROR(__xludf.DUMMYFUNCTION("IF(REGEXMATCH(C5, ""M""), ""6"","""")"),"")</f>
        <v/>
      </c>
      <c r="AD5" s="245" t="str">
        <f>IFERROR(__xludf.DUMMYFUNCTION("IF(REGEXMATCH(C5, ""P""), ""7"","""")"),"7")</f>
        <v>7</v>
      </c>
      <c r="AE5" s="246" t="str">
        <f>IFERROR(__xludf.DUMMYFUNCTION("IF(REGEXMATCH(C5, ""d""), ""8"","""")"),"8")</f>
        <v>8</v>
      </c>
      <c r="AF5" s="245" t="str">
        <f>IFERROR(__xludf.DUMMYFUNCTION("IF(REGEXMATCH(C5, ""D""), ""9"","""")"),"")</f>
        <v/>
      </c>
      <c r="AG5" s="245" t="str">
        <f>IFERROR(__xludf.DUMMYFUNCTION("IF(REGEXMATCH(C5, ""n""), ""10"","""")"),"10")</f>
        <v>10</v>
      </c>
      <c r="AH5" s="246" t="str">
        <f>IFERROR(__xludf.DUMMYFUNCTION("IF(REGEXMATCH(C5, ""N""), ""11"","""")"),"")</f>
        <v/>
      </c>
      <c r="AI5" s="249" t="str">
        <f>IFERROR(__xludf.DUMMYFUNCTION("IF(REGEXMATCH(C5, ""S""), ""0"","""")"),"0")</f>
        <v>0</v>
      </c>
      <c r="AJ5" s="313" t="str">
        <f t="shared" si="11"/>
        <v>-</v>
      </c>
      <c r="AK5" s="313" t="str">
        <f t="shared" si="12"/>
        <v>-</v>
      </c>
      <c r="AL5" s="313" t="str">
        <f t="shared" si="13"/>
        <v>T</v>
      </c>
      <c r="AM5" s="313" t="str">
        <f t="shared" si="14"/>
        <v>-</v>
      </c>
      <c r="AN5" s="313" t="str">
        <f t="shared" si="15"/>
        <v>-</v>
      </c>
      <c r="AO5" s="314" t="str">
        <f t="shared" si="16"/>
        <v>-</v>
      </c>
      <c r="AP5" s="316">
        <f t="shared" si="17"/>
        <v>1</v>
      </c>
      <c r="AQ5" s="319" t="str">
        <f t="shared" si="18"/>
        <v>-</v>
      </c>
      <c r="AR5" s="320">
        <f t="shared" si="19"/>
        <v>0</v>
      </c>
      <c r="AS5" s="250" t="str">
        <f>IFERROR(__xludf.DUMMYFUNCTION("SUBSTITUTE(SUBSTITUTE(CONCATENATE(JOIN("""",FP5:GA5)),""|"",""x""),""-"",""o"")"),"xoxxoxoxxoxo")</f>
        <v>xoxxoxoxxoxo</v>
      </c>
      <c r="AT5" s="323" t="str">
        <f>IFERROR(__xludf.DUMMYFUNCTION("JOIN("""",AS5,AS5)"),"xoxxoxoxxoxoxoxxoxoxxoxo")</f>
        <v>xoxxoxoxxoxoxoxxoxoxxoxo</v>
      </c>
      <c r="AU5" s="256" t="str">
        <f>IFERROR(__xludf.DUMMYFUNCTION("JOIN("""",ArrayFormula(MID(AS5,LEN(AS5)-SEQUENCE(1,LEN(AS5))+1,1)))"),"oxoxxoxoxxox")</f>
        <v>oxoxxoxoxxox</v>
      </c>
      <c r="AV5" s="256" t="str">
        <f>IFERROR(__xludf.DUMMYFUNCTION("LEFT(CONCATENATE(""x"",JOIN("""",ArrayFormula(MID(AS5,LEN(AS5)-SEQUENCE(1,LEN(AS5))+1,1)))),12)"),"xoxoxxoxoxxo")</f>
        <v>xoxoxxoxoxxo</v>
      </c>
      <c r="AW5" s="327" t="str">
        <f>IFERROR(__xludf.DUMMYFUNCTION("JOIN("""",AU5,AU5)"),"oxoxxoxoxxoxoxoxxoxoxxox")</f>
        <v>oxoxxoxoxxoxoxoxxoxoxxox</v>
      </c>
      <c r="AX5" s="239" t="str">
        <f>IFERROR(__xludf.DUMMYFUNCTION("IF(REGEXMATCH(AW5,AS5),""✔"",""-"")"),"✔")</f>
        <v>✔</v>
      </c>
      <c r="AY5" s="330" t="str">
        <f t="shared" si="20"/>
        <v>-</v>
      </c>
      <c r="AZ5" s="260" t="str">
        <f t="shared" si="21"/>
        <v>#REF!</v>
      </c>
      <c r="BA5" s="333" t="str">
        <f t="shared" si="22"/>
        <v>xoxxoxo</v>
      </c>
      <c r="BB5" s="334" t="str">
        <f t="shared" si="23"/>
        <v>xxoxox</v>
      </c>
      <c r="BC5" s="335" t="str">
        <f t="shared" si="24"/>
        <v>-</v>
      </c>
      <c r="BD5" s="336" t="str">
        <f t="shared" si="25"/>
        <v>Adana: 'xoxxoxo' + 'xxoxox'</v>
      </c>
      <c r="BE5" s="337">
        <f>IFERROR(__xludf.DUMMYFUNCTION("COUNTUNIQUE(FILTER(AT:AT,REGEXMATCH(AT:AT,AS5)))-1"),6.0)</f>
        <v>6</v>
      </c>
      <c r="BF5" s="261" t="str">
        <f>IFERROR(__xludf.DUMMYFUNCTION("IF(BI5=0,""(n/a)"",IF(BJ5=2,""(PAIR)"",IF(REGEXMATCH(AT5,""xoxoxxoxoxox""),""Bilawal"",IF(REGEXMATCH(AT5,""xoxoxooxoxoo""),""Bhupali"",IF(REGEXMATCH(AT5,""xoxoxxoxxoxo""),""Charukeshi"",IF(REGEXMATCH(AT5,""xoxoooxxoxxo""),""Kameshwari"",IF(REGEXMATCH(AT5,"&amp;"""xoxoxooxoxox""),""Shankara"",IF(REGEXMATCH(AT5,""xxooxoxxxoox""),""Basant"",IF(REGEXMATCH(AT5,""xoxoxxxxoxox""),""Bihag"",IF(REGEXMATCH(AT5,""xoxxxxoxoxxx""),""Pilu"",IF(REGEXMATCH(AT5,""xoxxoxoxxoox""),""Kirwani"",IF(REGEXMATCH(AT5,""xoxxoxoxoxxx""),"""&amp;"Mk.Malhar"",IF(REGEXMATCH(AT5,""xxooxxoxxoox""),""Bhairav"",IF(REGEXMATCH(AT5,""xxoxooxxxoox""),""Todi"",IF(REGEXMATCH(AT5,""xxooxoxooxox""),""Marwa"",IF(REGEXMATCH(AT5,""xxoooxoxxooo""),""Gunkali"",IF(REGEXMATCH(AT5,""xoxoxxoxxoox""),""Nat Bhairav"",IF(R"&amp;"EGEXMATCH(AT5,""xoxxoooxoxoo""),""Shivranjani"",IF(REGEXMATCH(AT5,""xooxxxoxooxo""),""Jog"",IF(REGEXMATCH(AT5,""xxooxoxoxoox""),""Hemshri"",IF(REGEXMATCH(AT5,""xoooxooxoxxo""),""Kalavati"",IF(REGEXMATCH(AT5,""xxoxoxxoxoox""),""Kedar"",IF(REGEXMATCH(AT5,"""&amp;"xoxxxxoxooxx""),""Gara"",IF(REGEXMATCH(AT5,""xooxoxooxoox""),""Chandrakauns"",IF(REGEXMATCH(AT5,""xoxxxxoxxxox""),""Mand"",IF(REGEXMATCH(AT5,""xoxxxxoxoxox""),""Hanskinkini"",IF(REGEXMATCH(AT5,""xxooxxoxooxo""),""Lilavati"",IF(REGEXMATCH(AT5,""xooxoxoooxo"&amp;"x""),""Rajeshwari"",IF(REGEXMATCH(AT5,""xoooxxoxoxxx""),""Khokar"",IF(REGEXMATCH(AT5,""xxooxoxxxxox""),""Maligoura"",""-""))))))))))))))))))))))))))))))"),"Bilawal")</f>
        <v>Bilawal</v>
      </c>
      <c r="BG5" s="239" t="str">
        <f t="shared" si="26"/>
        <v>#REF!</v>
      </c>
      <c r="BH5" s="239">
        <f>IFERROR(__xludf.DUMMYFUNCTION("COUNTUNIQUE(FE5:FO5)-1"),6.0)</f>
        <v>6</v>
      </c>
      <c r="BI5" s="239">
        <f>IFERROR(__xludf.DUMMYFUNCTION("COUNTUNIQUE(FILTER(AT:AT,REGEXMATCH(AT:AT,AS5)))-1"),6.0)</f>
        <v>6</v>
      </c>
      <c r="BJ5" s="239">
        <f>IFERROR(__xludf.DUMMYFUNCTION("COUNTA(FILTER(AT:AT,REGEXMATCH(AT:AT,AS5)))"),48.0)</f>
        <v>48</v>
      </c>
      <c r="BK5" s="341">
        <f>IFERROR(__xludf.DUMMYFUNCTION("COUNTA(FILTER(AT:AT,REGEXMATCH(AT:AT,AS5)))-AR5"),48.0)</f>
        <v>48</v>
      </c>
      <c r="BL5" s="276" t="str">
        <f>IFERROR(__xludf.DUMMYFUNCTION("IF(AS5=""oooooooooooo"",""-"",IF(REGEXMATCH(AT5,""xx""), ""Hemi."", ""Anhemi.""))"),"Hemi.")</f>
        <v>Hemi.</v>
      </c>
      <c r="BM5" s="282" t="str">
        <f>IFERROR(__xludf.DUMMYFUNCTION("IF(AS5=""oooooooooooo"",""-"",IF(REGEXMATCH(AT5,""xxx""), ""Cohem."", ""-""))"),"-")</f>
        <v>-</v>
      </c>
      <c r="BN5" s="282" t="str">
        <f>IFERROR(__xludf.DUMMYFUNCTION("IF(AS5=""oooooooooooo"",""-"",IF(REGEXMATCH(AT5,""xxxx""), ""Co-Co."", ""-""))"),"-")</f>
        <v>-</v>
      </c>
      <c r="BO5" s="342" t="str">
        <f>IFERROR(__xludf.DUMMYFUNCTION("IF(AS5=""oooooooooooo"",""-"",IF(REGEXMATCH(AT5,""xxxxx""), ""CCC."", ""-""))"),"-")</f>
        <v>-</v>
      </c>
      <c r="BP5" s="344" t="str">
        <f t="shared" si="27"/>
        <v>Asavari</v>
      </c>
      <c r="BQ5" s="282" t="str">
        <f>IFERROR(__xludf.DUMMYFUNCTION("IF(REGEXMATCH(JOIN(""-"",EU5:FD5),""TRUE""),""✔"",""-"")"),"✔")</f>
        <v>✔</v>
      </c>
      <c r="BR5" s="225">
        <f t="shared" si="28"/>
        <v>1</v>
      </c>
      <c r="BS5" s="345" t="str">
        <f>IFERROR(__xludf.DUMMYFUNCTION("SUBSTITUTE(SUBSTITUTE(SUBSTITUTE(SUBSTITUTE(CONCATENATE(JOIN(""-"",GC5:GO5)),""--"",""-""),""--"",""-""),""--"",""-""),""--"",""-"")"),"1-2-b3-4-5-b6-b7-8")</f>
        <v>1-2-b3-4-5-b6-b7-8</v>
      </c>
      <c r="BT5" s="299" t="str">
        <f>IFERROR(__xludf.DUMMYFUNCTION("SUBSTITUTE(SUBSTITUTE(SUBSTITUTE(SUBSTITUTE(CONCATENATE(JOIN(""-"",GP5:HB5)),""--"",""-""),""--"",""-""),""--"",""-""),""--"",""-"")"),"S-R2-G2-M1-P-D1-N2-S")</f>
        <v>S-R2-G2-M1-P-D1-N2-S</v>
      </c>
      <c r="BU5" s="348" t="str">
        <f t="shared" si="29"/>
        <v>C-D-Eb-F-G-Ab-Bb-C</v>
      </c>
      <c r="BV5" s="349" t="str">
        <f t="shared" si="30"/>
        <v>SrGMDNS</v>
      </c>
      <c r="BW5" s="350">
        <f t="shared" si="31"/>
        <v>3</v>
      </c>
      <c r="BX5" s="351">
        <f t="shared" si="32"/>
        <v>7</v>
      </c>
      <c r="BY5" s="392"/>
      <c r="BZ5" s="309" t="str">
        <f>IFERROR(__xludf.DUMMYFUNCTION("IF(REGEXMATCH(C5, ""S""), ""x"",""x"")"),"x")</f>
        <v>x</v>
      </c>
      <c r="CA5" s="245" t="str">
        <f>IFERROR(__xludf.DUMMYFUNCTION("IF(REGEXMATCH(C5, ""r""), ""o"",""x"")"),"x")</f>
        <v>x</v>
      </c>
      <c r="CB5" s="246" t="str">
        <f>IFERROR(__xludf.DUMMYFUNCTION("IF(REGEXMATCH(C5, ""R""), ""o"",""x"")"),"o")</f>
        <v>o</v>
      </c>
      <c r="CC5" s="246" t="str">
        <f>IFERROR(__xludf.DUMMYFUNCTION("IF(REGEXMATCH(C5, ""g""), ""o"",""x"")"),"o")</f>
        <v>o</v>
      </c>
      <c r="CD5" s="245" t="str">
        <f>IFERROR(__xludf.DUMMYFUNCTION("IF(REGEXMATCH(C5, ""G""), ""o"",""x"")"),"x")</f>
        <v>x</v>
      </c>
      <c r="CE5" s="245" t="str">
        <f>IFERROR(__xludf.DUMMYFUNCTION("IF(REGEXMATCH(C5, ""m""), ""o"",""x"")"),"o")</f>
        <v>o</v>
      </c>
      <c r="CF5" s="246" t="str">
        <f>IFERROR(__xludf.DUMMYFUNCTION("IF(REGEXMATCH(C5, ""M""), ""o"",""x"")"),"x")</f>
        <v>x</v>
      </c>
      <c r="CG5" s="245" t="str">
        <f>IFERROR(__xludf.DUMMYFUNCTION("IF(REGEXMATCH(C5, ""P""), ""o"",""x"")"),"o")</f>
        <v>o</v>
      </c>
      <c r="CH5" s="246" t="str">
        <f>IFERROR(__xludf.DUMMYFUNCTION("IF(REGEXMATCH(C5, ""d""), ""o"",""x"")"),"o")</f>
        <v>o</v>
      </c>
      <c r="CI5" s="245" t="str">
        <f>IFERROR(__xludf.DUMMYFUNCTION("IF(REGEXMATCH(C5, ""D""), ""o"",""x"")"),"x")</f>
        <v>x</v>
      </c>
      <c r="CJ5" s="245" t="str">
        <f>IFERROR(__xludf.DUMMYFUNCTION("IF(REGEXMATCH(C5, ""n""), ""o"",""x"")"),"o")</f>
        <v>o</v>
      </c>
      <c r="CK5" s="245" t="str">
        <f>IFERROR(__xludf.DUMMYFUNCTION("IF(REGEXMATCH(C5, ""N""), ""o"",""x"")"),"x")</f>
        <v>x</v>
      </c>
      <c r="CL5" s="356" t="str">
        <f>IFERROR(__xludf.DUMMYFUNCTION("IF(REGEXMATCH(C5, ""S""), ""x"",""x"")"),"x")</f>
        <v>x</v>
      </c>
      <c r="CM5" s="357" t="str">
        <f t="shared" si="33"/>
        <v>xxooxoxooxox</v>
      </c>
      <c r="CN5" s="358">
        <f t="shared" si="34"/>
        <v>3</v>
      </c>
      <c r="CO5" s="246" t="str">
        <f>IFERROR(__xludf.DUMMYFUNCTION("IF(REGEXMATCH($C5, ""S""), ""S"",""S"")"),"S")</f>
        <v>S</v>
      </c>
      <c r="CP5" s="246" t="str">
        <f>IFERROR(__xludf.DUMMYFUNCTION("IF(REGEXMATCH($C5, ""r""), """",""r"")"),"r")</f>
        <v>r</v>
      </c>
      <c r="CQ5" s="246" t="str">
        <f>IFERROR(__xludf.DUMMYFUNCTION("IF(REGEXMATCH($C5, ""R""), """",""R"")"),"")</f>
        <v/>
      </c>
      <c r="CR5" s="246" t="str">
        <f>IFERROR(__xludf.DUMMYFUNCTION("IF(REGEXMATCH($C5, ""g""), """",""g"")"),"")</f>
        <v/>
      </c>
      <c r="CS5" s="246" t="str">
        <f>IFERROR(__xludf.DUMMYFUNCTION("IF(REGEXMATCH($C5, ""G""), """",""G"")"),"G")</f>
        <v>G</v>
      </c>
      <c r="CT5" s="246" t="str">
        <f>IFERROR(__xludf.DUMMYFUNCTION("IF(REGEXMATCH($C5, ""m""), """",""m"")"),"")</f>
        <v/>
      </c>
      <c r="CU5" s="246" t="str">
        <f>IFERROR(__xludf.DUMMYFUNCTION("IF(REGEXMATCH($C5, ""M""), """",""M"")"),"M")</f>
        <v>M</v>
      </c>
      <c r="CV5" s="246" t="str">
        <f>IFERROR(__xludf.DUMMYFUNCTION("IF(REGEXMATCH($C5, ""P""), """",""P"")"),"")</f>
        <v/>
      </c>
      <c r="CW5" s="246" t="str">
        <f>IFERROR(__xludf.DUMMYFUNCTION("IF(REGEXMATCH($C5, ""d""), """",""d"")"),"")</f>
        <v/>
      </c>
      <c r="CX5" s="246" t="str">
        <f>IFERROR(__xludf.DUMMYFUNCTION("IF(REGEXMATCH($C5, ""D""), """",""D"")"),"D")</f>
        <v>D</v>
      </c>
      <c r="CY5" s="246" t="str">
        <f>IFERROR(__xludf.DUMMYFUNCTION("IF(REGEXMATCH($C5, ""n""), """",""n"")"),"")</f>
        <v/>
      </c>
      <c r="CZ5" s="246" t="str">
        <f>IFERROR(__xludf.DUMMYFUNCTION("IF(REGEXMATCH($C5, ""N""), """",""N"")"),"N")</f>
        <v>N</v>
      </c>
      <c r="DA5" s="246" t="str">
        <f>IFERROR(__xludf.DUMMYFUNCTION("IF(REGEXMATCH($C5, ""S""), ""S"",""S"")"),"S")</f>
        <v>S</v>
      </c>
      <c r="DB5" s="362" t="str">
        <f>IFERROR(__xludf.DUMMYFUNCTION("JOIN("""",CO5:DA5,"""","""")"),"SrGMDNS")</f>
        <v>SrGMDNS</v>
      </c>
      <c r="DC5" s="363"/>
      <c r="DD5" s="301" t="str">
        <f t="shared" si="35"/>
        <v>#REF!</v>
      </c>
      <c r="DE5" s="302" t="str">
        <f t="shared" si="36"/>
        <v>#REF!</v>
      </c>
      <c r="DF5" s="301" t="str">
        <f t="shared" ref="DF5:DG5" si="197">SUBSTITUTE(S5,"-","")</f>
        <v>SRGM</v>
      </c>
      <c r="DG5" s="301" t="str">
        <f t="shared" si="197"/>
        <v>PDNS</v>
      </c>
      <c r="DH5" s="302" t="str">
        <f t="shared" si="38"/>
        <v>Bilawal</v>
      </c>
      <c r="DI5" s="301" t="str">
        <f t="shared" si="39"/>
        <v>Hemi.</v>
      </c>
      <c r="DJ5" s="364" t="str">
        <f t="shared" si="40"/>
        <v>-</v>
      </c>
      <c r="DK5" s="306" t="str">
        <f t="shared" si="41"/>
        <v>Asavari</v>
      </c>
      <c r="DL5" s="366" t="str">
        <f t="shared" si="42"/>
        <v>-</v>
      </c>
      <c r="DM5" s="308" t="str">
        <f t="shared" si="43"/>
        <v>-</v>
      </c>
      <c r="DN5" s="306" t="str">
        <f t="shared" si="44"/>
        <v>-</v>
      </c>
      <c r="DO5" s="306" t="str">
        <f t="shared" si="45"/>
        <v>-</v>
      </c>
      <c r="DP5" s="367" t="str">
        <f t="shared" si="46"/>
        <v>-</v>
      </c>
      <c r="DQ5" s="310" t="str">
        <f t="shared" si="47"/>
        <v>-</v>
      </c>
      <c r="DR5" s="310" t="str">
        <f t="shared" si="48"/>
        <v>-</v>
      </c>
      <c r="DS5" s="310" t="str">
        <f t="shared" si="49"/>
        <v>-</v>
      </c>
      <c r="DT5" s="310" t="str">
        <f t="shared" si="50"/>
        <v>-</v>
      </c>
      <c r="DU5" s="370" t="str">
        <f t="shared" si="51"/>
        <v>-</v>
      </c>
      <c r="DV5" s="306" t="str">
        <f t="shared" si="52"/>
        <v>-</v>
      </c>
      <c r="DW5" s="306" t="str">
        <f t="shared" si="53"/>
        <v>-</v>
      </c>
      <c r="DX5" s="306" t="str">
        <f t="shared" si="54"/>
        <v>-</v>
      </c>
      <c r="DY5" s="306" t="str">
        <f t="shared" si="55"/>
        <v>-</v>
      </c>
      <c r="DZ5" s="306" t="str">
        <f t="shared" si="56"/>
        <v>-</v>
      </c>
      <c r="EA5" s="367" t="str">
        <f t="shared" si="57"/>
        <v>-</v>
      </c>
      <c r="EB5" s="310" t="str">
        <f>IFERROR(__xludf.DUMMYFUNCTION("IF(REGEXMATCH(AW5,AS5),""✔"",""-"")"),"✔")</f>
        <v>✔</v>
      </c>
      <c r="EC5" s="310" t="str">
        <f t="shared" si="58"/>
        <v>#REF!</v>
      </c>
      <c r="ED5" s="370" t="str">
        <f t="shared" si="59"/>
        <v>-</v>
      </c>
      <c r="EE5" s="340" t="str">
        <f t="shared" si="60"/>
        <v>S-R-g-m-P-d-n-S</v>
      </c>
      <c r="EF5" s="371" t="str">
        <f>IFERROR(__xludf.DUMMYFUNCTION("CONCATENATE(JOIN("""",HC5:HO5))"),"SRGmPDnS")</f>
        <v>SRGmPDnS</v>
      </c>
      <c r="EG5" s="372">
        <f t="shared" si="61"/>
        <v>1</v>
      </c>
      <c r="EH5" s="373" t="str">
        <f>IFERROR(__xludf.DUMMYFUNCTION("CONCATENATE(JOIN("""",JC5:JO5))"),"Re, ")</f>
        <v>Re, </v>
      </c>
      <c r="EI5" s="322">
        <f t="shared" si="62"/>
        <v>0</v>
      </c>
      <c r="EJ5" s="374" t="str">
        <f>IFERROR(__xludf.DUMMYFUNCTION("CONCATENATE(JOIN("""",KC5:KO5))"),"")</f>
        <v/>
      </c>
      <c r="EK5" s="325" t="str">
        <f t="shared" si="63"/>
        <v>S-R2-G2-M1-P-D1-N2-S</v>
      </c>
      <c r="EL5" s="326" t="str">
        <f t="shared" si="64"/>
        <v>1-2-b3-4-5-b6-b7-8</v>
      </c>
      <c r="EM5" s="318" t="str">
        <f t="shared" si="65"/>
        <v>#REF!</v>
      </c>
      <c r="EN5" s="328" t="str">
        <f>IFERROR(__xludf.DUMMYFUNCTION("SUBSTITUTE(SUBSTITUTE(SUBSTITUTE(SUBSTITUTE(CONCATENATE(JOIN("" "",HP5:IB5)),""  "","" ""),""  "","" ""),""  "","" ""),""  "","" "")"),"o • o o • o • o o • o • o")</f>
        <v>o • o o • o • o o • o • o</v>
      </c>
      <c r="EO5" s="368" t="str">
        <f t="shared" si="66"/>
        <v>-</v>
      </c>
      <c r="EP5" s="339" t="str">
        <f t="shared" si="67"/>
        <v>-</v>
      </c>
      <c r="EQ5" s="339" t="str">
        <f t="shared" si="68"/>
        <v>Sa-Pa</v>
      </c>
      <c r="ER5" s="339" t="str">
        <f t="shared" si="69"/>
        <v>-</v>
      </c>
      <c r="ES5" s="340" t="str">
        <f t="shared" si="70"/>
        <v>-</v>
      </c>
      <c r="ET5" s="363"/>
      <c r="EU5" s="376" t="b">
        <f>IFERROR(__xludf.DUMMYFUNCTION("arrayformula(sum(--REGEXMATCH(""SRGMPDNS"",split(REGEXREPLACE(C5,""(.)"",""$1~""),""~""))))=len(C5)
"),FALSE)</f>
        <v>0</v>
      </c>
      <c r="EV5" s="290" t="b">
        <f>IFERROR(__xludf.DUMMYFUNCTION("arrayformula(sum(--REGEXMATCH(""SRGmPDNS"",split(REGEXREPLACE(C5,""(.)"",""$1~""),""~""))))=len(C5)"),FALSE)</f>
        <v>0</v>
      </c>
      <c r="EW5" s="290" t="b">
        <f>IFERROR(__xludf.DUMMYFUNCTION("arrayformula(sum(--REGEXMATCH(""SRGmPDnS"",split(REGEXREPLACE(C5,""(.)"",""$1~""),""~""))))=len(C5)"),FALSE)</f>
        <v>0</v>
      </c>
      <c r="EX5" s="290" t="b">
        <f>IFERROR(__xludf.DUMMYFUNCTION("arrayformula(sum(--REGEXMATCH(""SRgmPDnS"",split(REGEXREPLACE(C5,""(.)"",""$1~""),""~""))))=len(C5)"),FALSE)</f>
        <v>0</v>
      </c>
      <c r="EY5" s="290" t="b">
        <f>IFERROR(__xludf.DUMMYFUNCTION("arrayformula(sum(--REGEXMATCH(""SRgmPdnS"",split(REGEXREPLACE(C5,""(.)"",""$1~""),""~""))))=len(C5)"),TRUE)</f>
        <v>1</v>
      </c>
      <c r="EZ5" s="290" t="b">
        <f>IFERROR(__xludf.DUMMYFUNCTION("arrayformula(sum(--REGEXMATCH(""SrgmPdnS"",split(REGEXREPLACE(C5,""(.)"",""$1~""),""~""))))=len(C5)"),FALSE)</f>
        <v>0</v>
      </c>
      <c r="FA5" s="290" t="b">
        <f>IFERROR(__xludf.DUMMYFUNCTION("arrayformula(sum(--REGEXMATCH(""SrGmPdNS"",split(REGEXREPLACE(C5,""(.)"",""$1~""),""~""))))=len(C5)"),FALSE)</f>
        <v>0</v>
      </c>
      <c r="FB5" s="290" t="b">
        <f>IFERROR(__xludf.DUMMYFUNCTION("arrayformula(sum(--REGEXMATCH(""SrGMPDNS"",split(REGEXREPLACE(C5,""(.)"",""$1~""),""~""))))=len(C5)"),FALSE)</f>
        <v>0</v>
      </c>
      <c r="FC5" s="290" t="b">
        <f>IFERROR(__xludf.DUMMYFUNCTION("arrayformula(sum(--REGEXMATCH(""SrGMPdNS"",split(REGEXREPLACE(C5,""(.)"",""$1~""),""~""))))=len(C5)"),FALSE)</f>
        <v>0</v>
      </c>
      <c r="FD5" s="377" t="b">
        <f>IFERROR(__xludf.DUMMYFUNCTION("arrayformula(sum(--REGEXMATCH(""SrgMPdNS"",split(REGEXREPLACE(C5,""(.)"",""$1~""),""~""))))=len(C5)"),FALSE)</f>
        <v>0</v>
      </c>
      <c r="FE5" s="269" t="str">
        <f t="shared" si="71"/>
        <v>-</v>
      </c>
      <c r="FF5" s="269" t="str">
        <f t="shared" si="72"/>
        <v>xxoxoxxoxox</v>
      </c>
      <c r="FG5" s="271" t="str">
        <f t="shared" si="73"/>
        <v>xoxoxxoxoxo</v>
      </c>
      <c r="FH5" s="269" t="str">
        <f t="shared" si="74"/>
        <v>-</v>
      </c>
      <c r="FI5" s="271" t="str">
        <f t="shared" si="75"/>
        <v>xoxxoxoxoxx</v>
      </c>
      <c r="FJ5" s="271" t="str">
        <f t="shared" si="76"/>
        <v>-</v>
      </c>
      <c r="FK5" s="271" t="str">
        <f t="shared" si="77"/>
        <v>xxoxoxoxxox</v>
      </c>
      <c r="FL5" s="271" t="str">
        <f t="shared" si="78"/>
        <v>xoxoxoxxoxo</v>
      </c>
      <c r="FM5" s="271" t="str">
        <f t="shared" si="79"/>
        <v>-</v>
      </c>
      <c r="FN5" s="271" t="str">
        <f t="shared" si="80"/>
        <v>xoxoxxoxoxx</v>
      </c>
      <c r="FO5" s="274" t="str">
        <f t="shared" si="81"/>
        <v>-</v>
      </c>
      <c r="FP5" s="234" t="str">
        <f t="shared" si="82"/>
        <v>|</v>
      </c>
      <c r="FQ5" s="236" t="str">
        <f t="shared" si="83"/>
        <v>-</v>
      </c>
      <c r="FR5" s="237" t="str">
        <f t="shared" si="84"/>
        <v>|</v>
      </c>
      <c r="FS5" s="236" t="str">
        <f t="shared" si="85"/>
        <v>|</v>
      </c>
      <c r="FT5" s="237" t="str">
        <f t="shared" si="86"/>
        <v>-</v>
      </c>
      <c r="FU5" s="236" t="str">
        <f t="shared" si="87"/>
        <v>|</v>
      </c>
      <c r="FV5" s="237" t="str">
        <f t="shared" si="88"/>
        <v>-</v>
      </c>
      <c r="FW5" s="236" t="str">
        <f t="shared" si="89"/>
        <v>|</v>
      </c>
      <c r="FX5" s="237" t="str">
        <f t="shared" si="90"/>
        <v>|</v>
      </c>
      <c r="FY5" s="236" t="str">
        <f t="shared" si="91"/>
        <v>-</v>
      </c>
      <c r="FZ5" s="237" t="str">
        <f t="shared" si="92"/>
        <v>|</v>
      </c>
      <c r="GA5" s="236" t="str">
        <f t="shared" si="93"/>
        <v>-</v>
      </c>
      <c r="GB5" s="238" t="str">
        <f t="shared" si="94"/>
        <v>|</v>
      </c>
      <c r="GC5" s="244" t="str">
        <f>IFERROR(__xludf.DUMMYFUNCTION("IF(REGEXMATCH(C5, ""S""), ""1"","""")"),"1")</f>
        <v>1</v>
      </c>
      <c r="GD5" s="245" t="str">
        <f>IFERROR(__xludf.DUMMYFUNCTION("IF(REGEXMATCH(C5, ""r""), ""b2"","""")"),"")</f>
        <v/>
      </c>
      <c r="GE5" s="246" t="str">
        <f>IFERROR(__xludf.DUMMYFUNCTION("IF(REGEXMATCH(C5, ""R""), ""2"","""")"),"2")</f>
        <v>2</v>
      </c>
      <c r="GF5" s="246" t="str">
        <f>IFERROR(__xludf.DUMMYFUNCTION("IF(REGEXMATCH(C5, ""g""), ""b3"","""")"),"b3")</f>
        <v>b3</v>
      </c>
      <c r="GG5" s="245" t="str">
        <f>IFERROR(__xludf.DUMMYFUNCTION("IF(REGEXMATCH(C5, ""G""), ""3"","""")"),"")</f>
        <v/>
      </c>
      <c r="GH5" s="245" t="str">
        <f>IFERROR(__xludf.DUMMYFUNCTION("IF(REGEXMATCH(C5, ""m""), ""4"","""")"),"4")</f>
        <v>4</v>
      </c>
      <c r="GI5" s="246" t="str">
        <f>IFERROR(__xludf.DUMMYFUNCTION("IF(REGEXMATCH(C5, ""M""), ""#4"","""")"),"")</f>
        <v/>
      </c>
      <c r="GJ5" s="245" t="str">
        <f>IFERROR(__xludf.DUMMYFUNCTION("IF(REGEXMATCH(C5, ""P""), ""5"","""")"),"5")</f>
        <v>5</v>
      </c>
      <c r="GK5" s="246" t="str">
        <f>IFERROR(__xludf.DUMMYFUNCTION("IF(REGEXMATCH(C5, ""d""), ""b6"","""")"),"b6")</f>
        <v>b6</v>
      </c>
      <c r="GL5" s="245" t="str">
        <f>IFERROR(__xludf.DUMMYFUNCTION("IF(REGEXMATCH(C5, ""D""), ""6"","""")"),"")</f>
        <v/>
      </c>
      <c r="GM5" s="245" t="str">
        <f>IFERROR(__xludf.DUMMYFUNCTION("IF(REGEXMATCH(C5, ""n""), ""b7"","""")"),"b7")</f>
        <v>b7</v>
      </c>
      <c r="GN5" s="246" t="str">
        <f>IFERROR(__xludf.DUMMYFUNCTION("IF(REGEXMATCH(C5, ""N""), ""7"","""")"),"")</f>
        <v/>
      </c>
      <c r="GO5" s="249" t="str">
        <f>IFERROR(__xludf.DUMMYFUNCTION("IF(REGEXMATCH(C5, ""S""), ""8"","""")"),"8")</f>
        <v>8</v>
      </c>
      <c r="GP5" s="244" t="str">
        <f>IFERROR(__xludf.DUMMYFUNCTION("IF(REGEXMATCH(C5, ""S""), ""S"","""")"),"S")</f>
        <v>S</v>
      </c>
      <c r="GQ5" s="294" t="str">
        <f>IFERROR(__xludf.DUMMYFUNCTION("IF(REGEXMATCH(C5, ""r""), ""R1"","""")"),"")</f>
        <v/>
      </c>
      <c r="GR5" s="295" t="str">
        <f>IFERROR(__xludf.DUMMYFUNCTION("IF(REGEXMATCH(C5, ""R""), ""R2"","""")"),"R2")</f>
        <v>R2</v>
      </c>
      <c r="GS5" s="295" t="str">
        <f>IFERROR(__xludf.DUMMYFUNCTION("IF(REGEXMATCH(C5, ""g""), ""G2"","""")"),"G2")</f>
        <v>G2</v>
      </c>
      <c r="GT5" s="294" t="str">
        <f>IFERROR(__xludf.DUMMYFUNCTION("IF(REGEXMATCH(C5, ""G""), ""G3"","""")"),"")</f>
        <v/>
      </c>
      <c r="GU5" s="294" t="str">
        <f>IFERROR(__xludf.DUMMYFUNCTION("IF(REGEXMATCH(C5, ""m""), ""M1"","""")"),"M1")</f>
        <v>M1</v>
      </c>
      <c r="GV5" s="295" t="str">
        <f>IFERROR(__xludf.DUMMYFUNCTION("IF(REGEXMATCH(C5, ""M""), ""M2"","""")"),"")</f>
        <v/>
      </c>
      <c r="GW5" s="294" t="str">
        <f>IFERROR(__xludf.DUMMYFUNCTION("IF(REGEXMATCH(C5, ""P""), ""P"","""")"),"P")</f>
        <v>P</v>
      </c>
      <c r="GX5" s="295" t="str">
        <f>IFERROR(__xludf.DUMMYFUNCTION("IF(REGEXMATCH(C5, ""d""), ""D1"","""")"),"D1")</f>
        <v>D1</v>
      </c>
      <c r="GY5" s="294" t="str">
        <f>IFERROR(__xludf.DUMMYFUNCTION("IF(REGEXMATCH(C5, ""D""), ""D2"","""")"),"")</f>
        <v/>
      </c>
      <c r="GZ5" s="294" t="str">
        <f>IFERROR(__xludf.DUMMYFUNCTION("IF(REGEXMATCH(C5, ""n""), ""N2"","""")"),"N2")</f>
        <v>N2</v>
      </c>
      <c r="HA5" s="295" t="str">
        <f>IFERROR(__xludf.DUMMYFUNCTION("IF(REGEXMATCH(C5, ""N""), ""N3"","""")"),"")</f>
        <v/>
      </c>
      <c r="HB5" s="249" t="str">
        <f>IFERROR(__xludf.DUMMYFUNCTION("IF(REGEXMATCH(C5, ""S""), ""S"","""")"),"S")</f>
        <v>S</v>
      </c>
      <c r="HC5" s="331" t="str">
        <f t="shared" si="95"/>
        <v>S</v>
      </c>
      <c r="HD5" s="332" t="str">
        <f t="shared" si="96"/>
        <v/>
      </c>
      <c r="HE5" s="332" t="str">
        <f t="shared" si="97"/>
        <v>R</v>
      </c>
      <c r="HF5" s="332" t="str">
        <f t="shared" si="98"/>
        <v/>
      </c>
      <c r="HG5" s="332" t="str">
        <f t="shared" si="99"/>
        <v>G</v>
      </c>
      <c r="HH5" s="332" t="str">
        <f t="shared" si="100"/>
        <v>m</v>
      </c>
      <c r="HI5" s="332" t="str">
        <f t="shared" si="101"/>
        <v/>
      </c>
      <c r="HJ5" s="332" t="str">
        <f t="shared" si="102"/>
        <v>P</v>
      </c>
      <c r="HK5" s="332" t="str">
        <f t="shared" si="103"/>
        <v/>
      </c>
      <c r="HL5" s="332" t="str">
        <f t="shared" si="104"/>
        <v>D</v>
      </c>
      <c r="HM5" s="332" t="str">
        <f t="shared" si="105"/>
        <v>n</v>
      </c>
      <c r="HN5" s="332" t="str">
        <f t="shared" si="106"/>
        <v/>
      </c>
      <c r="HO5" s="343" t="str">
        <f t="shared" si="107"/>
        <v>S</v>
      </c>
      <c r="HP5" s="331" t="str">
        <f t="shared" si="108"/>
        <v>o</v>
      </c>
      <c r="HQ5" s="332" t="str">
        <f t="shared" si="109"/>
        <v>•</v>
      </c>
      <c r="HR5" s="332" t="str">
        <f t="shared" si="110"/>
        <v>o</v>
      </c>
      <c r="HS5" s="332" t="str">
        <f t="shared" si="111"/>
        <v>o</v>
      </c>
      <c r="HT5" s="332" t="str">
        <f t="shared" si="112"/>
        <v>•</v>
      </c>
      <c r="HU5" s="332" t="str">
        <f t="shared" si="113"/>
        <v>o</v>
      </c>
      <c r="HV5" s="332" t="str">
        <f t="shared" si="114"/>
        <v>•</v>
      </c>
      <c r="HW5" s="332" t="str">
        <f t="shared" si="115"/>
        <v>o</v>
      </c>
      <c r="HX5" s="332" t="str">
        <f t="shared" si="116"/>
        <v>o</v>
      </c>
      <c r="HY5" s="332" t="str">
        <f t="shared" si="117"/>
        <v>•</v>
      </c>
      <c r="HZ5" s="332" t="str">
        <f t="shared" si="118"/>
        <v>o</v>
      </c>
      <c r="IA5" s="332" t="str">
        <f t="shared" si="119"/>
        <v>•</v>
      </c>
      <c r="IB5" s="338" t="str">
        <f t="shared" si="120"/>
        <v>o</v>
      </c>
      <c r="IC5" s="331" t="str">
        <f t="shared" si="121"/>
        <v>•</v>
      </c>
      <c r="ID5" s="332" t="str">
        <f t="shared" si="122"/>
        <v>o</v>
      </c>
      <c r="IE5" s="332" t="str">
        <f t="shared" si="123"/>
        <v>•</v>
      </c>
      <c r="IF5" s="332" t="str">
        <f t="shared" si="124"/>
        <v>•</v>
      </c>
      <c r="IG5" s="332" t="str">
        <f t="shared" si="125"/>
        <v>o</v>
      </c>
      <c r="IH5" s="332" t="str">
        <f t="shared" si="126"/>
        <v>•</v>
      </c>
      <c r="II5" s="332" t="str">
        <f t="shared" si="127"/>
        <v>o</v>
      </c>
      <c r="IJ5" s="332" t="str">
        <f t="shared" si="128"/>
        <v>•</v>
      </c>
      <c r="IK5" s="332" t="str">
        <f t="shared" si="129"/>
        <v>•</v>
      </c>
      <c r="IL5" s="332" t="str">
        <f t="shared" si="130"/>
        <v>o</v>
      </c>
      <c r="IM5" s="332" t="str">
        <f t="shared" si="131"/>
        <v>•</v>
      </c>
      <c r="IN5" s="332" t="str">
        <f t="shared" si="132"/>
        <v>o</v>
      </c>
      <c r="IO5" s="338" t="str">
        <f t="shared" si="133"/>
        <v>•</v>
      </c>
      <c r="IP5" s="346" t="b">
        <f t="shared" si="134"/>
        <v>0</v>
      </c>
      <c r="IQ5" s="347" t="b">
        <f t="shared" si="135"/>
        <v>0</v>
      </c>
      <c r="IR5" s="347" t="b">
        <f t="shared" si="136"/>
        <v>1</v>
      </c>
      <c r="IS5" s="347" t="b">
        <f t="shared" si="137"/>
        <v>0</v>
      </c>
      <c r="IT5" s="347" t="b">
        <f t="shared" si="138"/>
        <v>0</v>
      </c>
      <c r="IU5" s="347" t="b">
        <f t="shared" si="139"/>
        <v>0</v>
      </c>
      <c r="IV5" s="347" t="b">
        <f t="shared" si="140"/>
        <v>0</v>
      </c>
      <c r="IW5" s="347" t="b">
        <f t="shared" si="141"/>
        <v>0</v>
      </c>
      <c r="IX5" s="347" t="b">
        <f t="shared" si="142"/>
        <v>0</v>
      </c>
      <c r="IY5" s="347" t="b">
        <f t="shared" si="143"/>
        <v>0</v>
      </c>
      <c r="IZ5" s="347" t="b">
        <f t="shared" si="144"/>
        <v>0</v>
      </c>
      <c r="JA5" s="347" t="b">
        <f t="shared" si="145"/>
        <v>0</v>
      </c>
      <c r="JB5" s="353" t="b">
        <f t="shared" si="146"/>
        <v>0</v>
      </c>
      <c r="JC5" s="354" t="str">
        <f t="shared" si="147"/>
        <v/>
      </c>
      <c r="JD5" s="355" t="str">
        <f t="shared" si="148"/>
        <v/>
      </c>
      <c r="JE5" s="355" t="str">
        <f t="shared" si="149"/>
        <v>Re, </v>
      </c>
      <c r="JF5" s="355" t="str">
        <f t="shared" si="150"/>
        <v/>
      </c>
      <c r="JG5" s="355" t="str">
        <f t="shared" si="151"/>
        <v/>
      </c>
      <c r="JH5" s="355" t="str">
        <f t="shared" si="152"/>
        <v/>
      </c>
      <c r="JI5" s="355" t="str">
        <f t="shared" si="153"/>
        <v/>
      </c>
      <c r="JJ5" s="355" t="str">
        <f t="shared" si="154"/>
        <v/>
      </c>
      <c r="JK5" s="355" t="str">
        <f t="shared" si="155"/>
        <v/>
      </c>
      <c r="JL5" s="355" t="str">
        <f t="shared" si="156"/>
        <v/>
      </c>
      <c r="JM5" s="355" t="str">
        <f t="shared" si="157"/>
        <v/>
      </c>
      <c r="JN5" s="355" t="str">
        <f t="shared" si="158"/>
        <v/>
      </c>
      <c r="JO5" s="359" t="str">
        <f t="shared" si="159"/>
        <v/>
      </c>
      <c r="JP5" s="346" t="b">
        <f t="shared" si="160"/>
        <v>0</v>
      </c>
      <c r="JQ5" s="347" t="b">
        <f t="shared" si="161"/>
        <v>0</v>
      </c>
      <c r="JR5" s="347" t="b">
        <f t="shared" si="162"/>
        <v>0</v>
      </c>
      <c r="JS5" s="347" t="b">
        <f t="shared" si="163"/>
        <v>0</v>
      </c>
      <c r="JT5" s="347" t="b">
        <f t="shared" si="164"/>
        <v>0</v>
      </c>
      <c r="JU5" s="347" t="b">
        <f t="shared" si="165"/>
        <v>0</v>
      </c>
      <c r="JV5" s="347" t="b">
        <f t="shared" si="166"/>
        <v>0</v>
      </c>
      <c r="JW5" s="347" t="b">
        <f t="shared" si="167"/>
        <v>0</v>
      </c>
      <c r="JX5" s="347" t="b">
        <f t="shared" si="168"/>
        <v>0</v>
      </c>
      <c r="JY5" s="347" t="b">
        <f t="shared" si="169"/>
        <v>0</v>
      </c>
      <c r="JZ5" s="347" t="b">
        <f t="shared" si="170"/>
        <v>0</v>
      </c>
      <c r="KA5" s="347" t="b">
        <f t="shared" si="171"/>
        <v>0</v>
      </c>
      <c r="KB5" s="365" t="b">
        <f t="shared" si="172"/>
        <v>0</v>
      </c>
      <c r="KC5" s="354" t="str">
        <f t="shared" si="173"/>
        <v/>
      </c>
      <c r="KD5" s="355" t="str">
        <f t="shared" si="174"/>
        <v/>
      </c>
      <c r="KE5" s="355" t="str">
        <f t="shared" si="175"/>
        <v/>
      </c>
      <c r="KF5" s="355" t="str">
        <f t="shared" si="176"/>
        <v/>
      </c>
      <c r="KG5" s="355" t="str">
        <f t="shared" si="177"/>
        <v/>
      </c>
      <c r="KH5" s="355" t="str">
        <f t="shared" si="178"/>
        <v/>
      </c>
      <c r="KI5" s="355" t="str">
        <f t="shared" si="179"/>
        <v/>
      </c>
      <c r="KJ5" s="355" t="str">
        <f t="shared" si="180"/>
        <v/>
      </c>
      <c r="KK5" s="355" t="str">
        <f t="shared" si="181"/>
        <v/>
      </c>
      <c r="KL5" s="355" t="str">
        <f t="shared" si="182"/>
        <v/>
      </c>
      <c r="KM5" s="355" t="str">
        <f t="shared" si="183"/>
        <v/>
      </c>
      <c r="KN5" s="355" t="str">
        <f t="shared" si="184"/>
        <v/>
      </c>
      <c r="KO5" s="359"/>
      <c r="KP5" s="378"/>
      <c r="KQ5" s="379" t="s">
        <v>430</v>
      </c>
      <c r="KR5" s="380" t="s">
        <v>431</v>
      </c>
      <c r="KS5" s="381" t="str">
        <f t="shared" si="185"/>
        <v>S-R-m-P-d-n-S</v>
      </c>
      <c r="KT5" s="382">
        <f t="shared" si="186"/>
        <v>6</v>
      </c>
      <c r="KU5" s="383">
        <f t="shared" si="187"/>
        <v>6</v>
      </c>
      <c r="KV5" s="381" t="str">
        <f t="shared" si="188"/>
        <v>S-n-d-P-m-g-R-S</v>
      </c>
      <c r="KW5" s="382">
        <f t="shared" si="189"/>
        <v>7</v>
      </c>
      <c r="KX5" s="384">
        <f t="shared" si="190"/>
        <v>7</v>
      </c>
      <c r="KY5" s="382">
        <f t="shared" ref="KY5:KZ5" si="198">KW5-KT5</f>
        <v>1</v>
      </c>
      <c r="KZ5" s="369">
        <f t="shared" si="198"/>
        <v>1</v>
      </c>
      <c r="LA5" s="385" t="str">
        <f t="shared" si="192"/>
        <v>-</v>
      </c>
      <c r="LB5" s="340" t="str">
        <f>IFERROR(__xludf.DUMMYFUNCTION("JOIN("""",ArrayFormula(MID(KS5,LEN(KS5)-SEQUENCE(1,LEN(KS5))+1,1)))"),"S-n-d-P-m-R-S")</f>
        <v>S-n-d-P-m-R-S</v>
      </c>
      <c r="LC5" s="373" t="str">
        <f>IFERROR(__xludf.DUMMYFUNCTION("JOIN("""",ArrayFormula(MID(KV5,LEN(KV5)-SEQUENCE(1,LEN(KV5))+1,1)))"),"S-R-g-m-P-d-n-S")</f>
        <v>S-R-g-m-P-d-n-S</v>
      </c>
      <c r="LD5" s="373" t="str">
        <f t="shared" si="193"/>
        <v>SRmPdnS</v>
      </c>
      <c r="LE5" s="339" t="str">
        <f t="shared" si="194"/>
        <v>SRgmPdnS</v>
      </c>
      <c r="LF5" s="386" t="str">
        <f>IFERROR(__xludf.DUMMYFUNCTION("SUBSTITUTE(SUBSTITUTE(CONCATENATE(JOIN("""",LH5:LT5)),""1"",""""),""2"","""")"),"SRgmPdnS")</f>
        <v>SRgmPdnS</v>
      </c>
      <c r="LG5" s="369" t="str">
        <f t="shared" si="195"/>
        <v>✔</v>
      </c>
      <c r="LH5" s="387" t="str">
        <f>IFERROR(__xludf.DUMMYFUNCTION("IF(REGEXMATCH(LD5, ""S""), ""S"",IF(REGEXMATCH(LE5, ""S""), ""S"",""""))"),"S")</f>
        <v>S</v>
      </c>
      <c r="LI5" s="299" t="str">
        <f>IFERROR(__xludf.DUMMYFUNCTION("IF(REGEXMATCH(LD5, ""r""), ""r1"",IF(REGEXMATCH(LE5, ""r""), ""r2"",""""))"),"")</f>
        <v/>
      </c>
      <c r="LJ5" s="299" t="str">
        <f>IFERROR(__xludf.DUMMYFUNCTION("IF(REGEXMATCH(LD5, ""R""), ""R1"",IF(REGEXMATCH(LE5, ""R""), ""R2"",""""))"),"R1")</f>
        <v>R1</v>
      </c>
      <c r="LK5" s="299" t="str">
        <f>IFERROR(__xludf.DUMMYFUNCTION("IF(REGEXMATCH(LD5, ""g""), ""g1"",IF(REGEXMATCH(LE5, ""g""), ""g2"",""""))"),"g2")</f>
        <v>g2</v>
      </c>
      <c r="LL5" s="299" t="str">
        <f>IFERROR(__xludf.DUMMYFUNCTION("IF(REGEXMATCH(LD5, ""G""), ""G1"",IF(REGEXMATCH(LE5, ""G""), ""G2"",""""))"),"")</f>
        <v/>
      </c>
      <c r="LM5" s="299" t="str">
        <f>IFERROR(__xludf.DUMMYFUNCTION("IF(REGEXMATCH(LD5, ""m""), ""m1"",IF(REGEXMATCH(LE5, ""m""), ""m2"",""""))"),"m1")</f>
        <v>m1</v>
      </c>
      <c r="LN5" s="299" t="str">
        <f>IFERROR(__xludf.DUMMYFUNCTION("IF(REGEXMATCH(LD5, ""M""), ""M1"",IF(REGEXMATCH(LE5, ""M""), ""M2"",""""))"),"")</f>
        <v/>
      </c>
      <c r="LO5" s="299" t="str">
        <f>IFERROR(__xludf.DUMMYFUNCTION("IF(REGEXMATCH(LD5, ""P""), ""P1"",IF(REGEXMATCH(LE5, ""P""), ""P2"",""""))"),"P1")</f>
        <v>P1</v>
      </c>
      <c r="LP5" s="299" t="str">
        <f>IFERROR(__xludf.DUMMYFUNCTION("IF(REGEXMATCH(LD5, ""d""), ""d1"",IF(REGEXMATCH(LE5, ""d""), ""d2"",""""))"),"d1")</f>
        <v>d1</v>
      </c>
      <c r="LQ5" s="299" t="str">
        <f>IFERROR(__xludf.DUMMYFUNCTION("IF(REGEXMATCH(LD5, ""D""), ""D1"",IF(REGEXMATCH(LE5, ""D""), ""D2"",""""))"),"")</f>
        <v/>
      </c>
      <c r="LR5" s="299" t="str">
        <f>IFERROR(__xludf.DUMMYFUNCTION("IF(REGEXMATCH(LD5, ""n""), ""n1"",IF(REGEXMATCH(LE5, ""n""), ""n2"",""""))"),"n1")</f>
        <v>n1</v>
      </c>
      <c r="LS5" s="299" t="str">
        <f>IFERROR(__xludf.DUMMYFUNCTION("IF(REGEXMATCH(LD5, ""N""), ""N1"",IF(REGEXMATCH(LE5, ""N""), ""N2"",""""))"),"")</f>
        <v/>
      </c>
      <c r="LT5" s="388" t="str">
        <f>IFERROR(__xludf.DUMMYFUNCTION("IF(REGEXMATCH(LD5, ""S""), ""S"",IF(REGEXMATCH(LE5, ""S""), ""S"",""""))"),"S")</f>
        <v>S</v>
      </c>
      <c r="LU5" s="389">
        <f t="shared" si="196"/>
        <v>-1</v>
      </c>
      <c r="LV5" s="378"/>
      <c r="LW5" s="369"/>
      <c r="LX5" s="369"/>
    </row>
    <row r="6" ht="20.25" customHeight="1">
      <c r="A6" s="298" t="s">
        <v>433</v>
      </c>
      <c r="B6" s="222" t="s">
        <v>435</v>
      </c>
      <c r="C6" s="233" t="str">
        <f t="shared" si="7"/>
        <v>SrgmMPdnNS</v>
      </c>
      <c r="D6" s="234" t="str">
        <f>IFERROR(__xludf.DUMMYFUNCTION("IF(REGEXMATCH(C6, ""S""), ""S"","""")"),"S")</f>
        <v>S</v>
      </c>
      <c r="E6" s="236" t="str">
        <f>IFERROR(__xludf.DUMMYFUNCTION("IF(REGEXMATCH(C6, ""r""), ""r"","""")"),"r")</f>
        <v>r</v>
      </c>
      <c r="F6" s="237" t="str">
        <f>IFERROR(__xludf.DUMMYFUNCTION("IF(REGEXMATCH(C6, ""R""), ""R"","""")"),"")</f>
        <v/>
      </c>
      <c r="G6" s="237" t="str">
        <f>IFERROR(__xludf.DUMMYFUNCTION("IF(REGEXMATCH(C6, ""g""), ""g"","""")"),"g")</f>
        <v>g</v>
      </c>
      <c r="H6" s="236" t="str">
        <f>IFERROR(__xludf.DUMMYFUNCTION("IF(REGEXMATCH(C6, ""G""), ""G"","""")"),"")</f>
        <v/>
      </c>
      <c r="I6" s="236" t="str">
        <f>IFERROR(__xludf.DUMMYFUNCTION("IF(REGEXMATCH(C6, ""m""), ""m"","""")"),"m")</f>
        <v>m</v>
      </c>
      <c r="J6" s="237" t="str">
        <f>IFERROR(__xludf.DUMMYFUNCTION("IF(REGEXMATCH(C6, ""M""), ""M"","""")"),"M")</f>
        <v>M</v>
      </c>
      <c r="K6" s="236" t="str">
        <f>IFERROR(__xludf.DUMMYFUNCTION("IF(REGEXMATCH(C6, ""P""), ""P"","""")"),"P")</f>
        <v>P</v>
      </c>
      <c r="L6" s="237" t="str">
        <f>IFERROR(__xludf.DUMMYFUNCTION("IF(REGEXMATCH(C6, ""d""), ""d"","""")"),"d")</f>
        <v>d</v>
      </c>
      <c r="M6" s="236" t="str">
        <f>IFERROR(__xludf.DUMMYFUNCTION("IF(REGEXMATCH(C6, ""D""), ""D"","""")"),"")</f>
        <v/>
      </c>
      <c r="N6" s="236" t="str">
        <f>IFERROR(__xludf.DUMMYFUNCTION("IF(REGEXMATCH(C6, ""n""), ""n"","""")"),"n")</f>
        <v>n</v>
      </c>
      <c r="O6" s="237" t="str">
        <f>IFERROR(__xludf.DUMMYFUNCTION("IF(REGEXMATCH(C6, ""N""), ""N"","""")"),"N")</f>
        <v>N</v>
      </c>
      <c r="P6" s="238" t="str">
        <f>IFERROR(__xludf.DUMMYFUNCTION("IF(REGEXMATCH(C6, ""S""), ""S"","""")"),"S")</f>
        <v>S</v>
      </c>
      <c r="Q6" s="239" t="str">
        <f>IFERROR(__xludf.DUMMYFUNCTION("SUBSTITUTE(CONCATENATE(JOIN(""-"",D6:J6)),""-"","""")"),"SrgmM")</f>
        <v>SrgmM</v>
      </c>
      <c r="R6" s="229" t="str">
        <f>IFERROR(__xludf.DUMMYFUNCTION("SUBSTITUTE(CONCATENATE(JOIN(""-"",K6:P6)),""-"","""")"),"PdnNS")</f>
        <v>PdnNS</v>
      </c>
      <c r="S6" s="282" t="str">
        <f t="shared" si="8"/>
        <v>S-R-G-M</v>
      </c>
      <c r="T6" s="282" t="str">
        <f t="shared" si="9"/>
        <v>P-D-N-S</v>
      </c>
      <c r="U6" s="237" t="str">
        <f>IFERROR(__xludf.DUMMYFUNCTION("SUBSTITUTE(JOIN(""-"",S6,T6),""--"",""-"")"),"S-R-G-M-P-D-N-S")</f>
        <v>S-R-G-M-P-D-N-S</v>
      </c>
      <c r="V6" s="309" t="str">
        <f t="shared" si="10"/>
        <v>rgmMdnN</v>
      </c>
      <c r="W6" s="244" t="str">
        <f>IFERROR(__xludf.DUMMYFUNCTION("IF(REGEXMATCH(C6, ""S""), ""0"","""")"),"0")</f>
        <v>0</v>
      </c>
      <c r="X6" s="245" t="str">
        <f>IFERROR(__xludf.DUMMYFUNCTION("IF(REGEXMATCH(C6, ""r""), ""1"","""")"),"1")</f>
        <v>1</v>
      </c>
      <c r="Y6" s="246" t="str">
        <f>IFERROR(__xludf.DUMMYFUNCTION("IF(REGEXMATCH(C6, ""R""), ""2"","""")"),"")</f>
        <v/>
      </c>
      <c r="Z6" s="246" t="str">
        <f>IFERROR(__xludf.DUMMYFUNCTION("IF(REGEXMATCH(C6, ""g""), ""3"","""")"),"3")</f>
        <v>3</v>
      </c>
      <c r="AA6" s="245" t="str">
        <f>IFERROR(__xludf.DUMMYFUNCTION("IF(REGEXMATCH(C6, ""G""), ""4"","""")"),"")</f>
        <v/>
      </c>
      <c r="AB6" s="245" t="str">
        <f>IFERROR(__xludf.DUMMYFUNCTION("IF(REGEXMATCH(C6, ""m""), ""5"","""")"),"5")</f>
        <v>5</v>
      </c>
      <c r="AC6" s="246" t="str">
        <f>IFERROR(__xludf.DUMMYFUNCTION("IF(REGEXMATCH(C6, ""M""), ""6"","""")"),"6")</f>
        <v>6</v>
      </c>
      <c r="AD6" s="245" t="str">
        <f>IFERROR(__xludf.DUMMYFUNCTION("IF(REGEXMATCH(C6, ""P""), ""7"","""")"),"7")</f>
        <v>7</v>
      </c>
      <c r="AE6" s="246" t="str">
        <f>IFERROR(__xludf.DUMMYFUNCTION("IF(REGEXMATCH(C6, ""d""), ""8"","""")"),"8")</f>
        <v>8</v>
      </c>
      <c r="AF6" s="245" t="str">
        <f>IFERROR(__xludf.DUMMYFUNCTION("IF(REGEXMATCH(C6, ""D""), ""9"","""")"),"")</f>
        <v/>
      </c>
      <c r="AG6" s="245" t="str">
        <f>IFERROR(__xludf.DUMMYFUNCTION("IF(REGEXMATCH(C6, ""n""), ""10"","""")"),"10")</f>
        <v>10</v>
      </c>
      <c r="AH6" s="246" t="str">
        <f>IFERROR(__xludf.DUMMYFUNCTION("IF(REGEXMATCH(C6, ""N""), ""11"","""")"),"11")</f>
        <v>11</v>
      </c>
      <c r="AI6" s="249" t="str">
        <f>IFERROR(__xludf.DUMMYFUNCTION("IF(REGEXMATCH(C6, ""S""), ""0"","""")"),"0")</f>
        <v>0</v>
      </c>
      <c r="AJ6" s="313" t="str">
        <f t="shared" si="11"/>
        <v>T</v>
      </c>
      <c r="AK6" s="313" t="str">
        <f t="shared" si="12"/>
        <v>T</v>
      </c>
      <c r="AL6" s="313" t="str">
        <f t="shared" si="13"/>
        <v>-</v>
      </c>
      <c r="AM6" s="313" t="str">
        <f t="shared" si="14"/>
        <v>-</v>
      </c>
      <c r="AN6" s="313" t="str">
        <f t="shared" si="15"/>
        <v>-</v>
      </c>
      <c r="AO6" s="314" t="str">
        <f t="shared" si="16"/>
        <v>T</v>
      </c>
      <c r="AP6" s="316">
        <f t="shared" si="17"/>
        <v>3</v>
      </c>
      <c r="AQ6" s="319" t="str">
        <f t="shared" si="18"/>
        <v>-</v>
      </c>
      <c r="AR6" s="320">
        <f t="shared" si="19"/>
        <v>0</v>
      </c>
      <c r="AS6" s="250" t="str">
        <f>IFERROR(__xludf.DUMMYFUNCTION("SUBSTITUTE(SUBSTITUTE(CONCATENATE(JOIN("""",FP6:GA6)),""|"",""x""),""-"",""o"")"),"xxoxoxxxxoxx")</f>
        <v>xxoxoxxxxoxx</v>
      </c>
      <c r="AT6" s="323" t="str">
        <f>IFERROR(__xludf.DUMMYFUNCTION("JOIN("""",AS6,AS6)"),"xxoxoxxxxoxxxxoxoxxxxoxx")</f>
        <v>xxoxoxxxxoxxxxoxoxxxxoxx</v>
      </c>
      <c r="AU6" s="256" t="str">
        <f>IFERROR(__xludf.DUMMYFUNCTION("JOIN("""",ArrayFormula(MID(AS6,LEN(AS6)-SEQUENCE(1,LEN(AS6))+1,1)))"),"xxoxxxxoxoxx")</f>
        <v>xxoxxxxoxoxx</v>
      </c>
      <c r="AV6" s="256" t="str">
        <f>IFERROR(__xludf.DUMMYFUNCTION("LEFT(CONCATENATE(""x"",JOIN("""",ArrayFormula(MID(AS6,LEN(AS6)-SEQUENCE(1,LEN(AS6))+1,1)))),12)"),"xxxoxxxxoxox")</f>
        <v>xxxoxxxxoxox</v>
      </c>
      <c r="AW6" s="327" t="str">
        <f>IFERROR(__xludf.DUMMYFUNCTION("JOIN("""",AU6,AU6)"),"xxoxxxxoxoxxxxoxxxxoxoxx")</f>
        <v>xxoxxxxoxoxxxxoxxxxoxoxx</v>
      </c>
      <c r="AX6" s="239" t="str">
        <f>IFERROR(__xludf.DUMMYFUNCTION("IF(REGEXMATCH(AW6,AS6),""✔"",""-"")"),"✔")</f>
        <v>✔</v>
      </c>
      <c r="AY6" s="330" t="str">
        <f t="shared" si="20"/>
        <v>-</v>
      </c>
      <c r="AZ6" s="260" t="str">
        <f t="shared" si="21"/>
        <v>#REF!</v>
      </c>
      <c r="BA6" s="333" t="str">
        <f t="shared" si="22"/>
        <v>xxoxoxx</v>
      </c>
      <c r="BB6" s="334" t="str">
        <f t="shared" si="23"/>
        <v>xxoxxx</v>
      </c>
      <c r="BC6" s="335" t="str">
        <f t="shared" si="24"/>
        <v>-</v>
      </c>
      <c r="BD6" s="336" t="str">
        <f t="shared" si="25"/>
        <v>Adarangi Todi: 'xxoxoxx' + 'xxoxxx'</v>
      </c>
      <c r="BE6" s="337">
        <f>IFERROR(__xludf.DUMMYFUNCTION("COUNTUNIQUE(FILTER(AT:AT,REGEXMATCH(AT:AT,AS6)))-1"),4.0)</f>
        <v>4</v>
      </c>
      <c r="BF6" s="261" t="str">
        <f>IFERROR(__xludf.DUMMYFUNCTION("IF(BI6=0,""(n/a)"",IF(BJ6=2,""(PAIR)"",IF(REGEXMATCH(AT6,""xoxoxxoxoxox""),""Bilawal"",IF(REGEXMATCH(AT6,""xoxoxooxoxoo""),""Bhupali"",IF(REGEXMATCH(AT6,""xoxoxxoxxoxo""),""Charukeshi"",IF(REGEXMATCH(AT6,""xoxoooxxoxxo""),""Kameshwari"",IF(REGEXMATCH(AT6,"&amp;"""xoxoxooxoxox""),""Shankara"",IF(REGEXMATCH(AT6,""xxooxoxxxoox""),""Basant"",IF(REGEXMATCH(AT6,""xoxoxxxxoxox""),""Bihag"",IF(REGEXMATCH(AT6,""xoxxxxoxoxxx""),""Pilu"",IF(REGEXMATCH(AT6,""xoxxoxoxxoox""),""Kirwani"",IF(REGEXMATCH(AT6,""xoxxoxoxoxxx""),"""&amp;"Mk.Malhar"",IF(REGEXMATCH(AT6,""xxooxxoxxoox""),""Bhairav"",IF(REGEXMATCH(AT6,""xxoxooxxxoox""),""Todi"",IF(REGEXMATCH(AT6,""xxooxoxooxox""),""Marwa"",IF(REGEXMATCH(AT6,""xxoooxoxxooo""),""Gunkali"",IF(REGEXMATCH(AT6,""xoxoxxoxxoox""),""Nat Bhairav"",IF(R"&amp;"EGEXMATCH(AT6,""xoxxoooxoxoo""),""Shivranjani"",IF(REGEXMATCH(AT6,""xooxxxoxooxo""),""Jog"",IF(REGEXMATCH(AT6,""xxooxoxoxoox""),""Hemshri"",IF(REGEXMATCH(AT6,""xoooxooxoxxo""),""Kalavati"",IF(REGEXMATCH(AT6,""xxoxoxxoxoox""),""Kedar"",IF(REGEXMATCH(AT6,"""&amp;"xoxxxxoxooxx""),""Gara"",IF(REGEXMATCH(AT6,""xooxoxooxoox""),""Chandrakauns"",IF(REGEXMATCH(AT6,""xoxxxxoxxxox""),""Mand"",IF(REGEXMATCH(AT6,""xoxxxxoxoxox""),""Hanskinkini"",IF(REGEXMATCH(AT6,""xxooxxoxooxo""),""Lilavati"",IF(REGEXMATCH(AT6,""xooxoxoooxo"&amp;"x""),""Rajeshwari"",IF(REGEXMATCH(AT6,""xoooxxoxoxxx""),""Khokar"",IF(REGEXMATCH(AT6,""xxooxoxxxxox""),""Maligoura"",""-""))))))))))))))))))))))))))))))"),"Pilu")</f>
        <v>Pilu</v>
      </c>
      <c r="BG6" s="239" t="str">
        <f t="shared" si="26"/>
        <v>#REF!</v>
      </c>
      <c r="BH6" s="239">
        <f>IFERROR(__xludf.DUMMYFUNCTION("COUNTUNIQUE(FE6:FO6)-1"),8.0)</f>
        <v>8</v>
      </c>
      <c r="BI6" s="239">
        <f>IFERROR(__xludf.DUMMYFUNCTION("COUNTUNIQUE(FILTER(AT:AT,REGEXMATCH(AT:AT,AS6)))-1"),4.0)</f>
        <v>4</v>
      </c>
      <c r="BJ6" s="239">
        <f>IFERROR(__xludf.DUMMYFUNCTION("COUNTA(FILTER(AT:AT,REGEXMATCH(AT:AT,AS6)))"),26.0)</f>
        <v>26</v>
      </c>
      <c r="BK6" s="341">
        <f>IFERROR(__xludf.DUMMYFUNCTION("COUNTA(FILTER(AT:AT,REGEXMATCH(AT:AT,AS6)))-AR6"),26.0)</f>
        <v>26</v>
      </c>
      <c r="BL6" s="276" t="str">
        <f>IFERROR(__xludf.DUMMYFUNCTION("IF(AS6=""oooooooooooo"",""-"",IF(REGEXMATCH(AT6,""xx""), ""Hemi."", ""Anhemi.""))"),"Hemi.")</f>
        <v>Hemi.</v>
      </c>
      <c r="BM6" s="282" t="str">
        <f>IFERROR(__xludf.DUMMYFUNCTION("IF(AS6=""oooooooooooo"",""-"",IF(REGEXMATCH(AT6,""xxx""), ""Cohem."", ""-""))"),"Cohem.")</f>
        <v>Cohem.</v>
      </c>
      <c r="BN6" s="282" t="str">
        <f>IFERROR(__xludf.DUMMYFUNCTION("IF(AS6=""oooooooooooo"",""-"",IF(REGEXMATCH(AT6,""xxxx""), ""Co-Co."", ""-""))"),"Co-Co.")</f>
        <v>Co-Co.</v>
      </c>
      <c r="BO6" s="342" t="str">
        <f>IFERROR(__xludf.DUMMYFUNCTION("IF(AS6=""oooooooooooo"",""-"",IF(REGEXMATCH(AT6,""xxxxx""), ""CCC."", ""-""))"),"-")</f>
        <v>-</v>
      </c>
      <c r="BP6" s="344" t="str">
        <f t="shared" si="27"/>
        <v>-</v>
      </c>
      <c r="BQ6" s="282" t="str">
        <f>IFERROR(__xludf.DUMMYFUNCTION("IF(REGEXMATCH(JOIN(""-"",EU6:FD6),""TRUE""),""✔"",""-"")"),"-")</f>
        <v>-</v>
      </c>
      <c r="BR6" s="225">
        <f t="shared" si="28"/>
        <v>0</v>
      </c>
      <c r="BS6" s="345" t="str">
        <f>IFERROR(__xludf.DUMMYFUNCTION("SUBSTITUTE(SUBSTITUTE(SUBSTITUTE(SUBSTITUTE(CONCATENATE(JOIN(""-"",GC6:GO6)),""--"",""-""),""--"",""-""),""--"",""-""),""--"",""-"")"),"1-b2-b3-4-#4-5-b6-b7-7-8")</f>
        <v>1-b2-b3-4-#4-5-b6-b7-7-8</v>
      </c>
      <c r="BT6" s="299" t="str">
        <f>IFERROR(__xludf.DUMMYFUNCTION("SUBSTITUTE(SUBSTITUTE(SUBSTITUTE(SUBSTITUTE(CONCATENATE(JOIN(""-"",GP6:HB6)),""--"",""-""),""--"",""-""),""--"",""-""),""--"",""-"")"),"S-R1-G2-M1-M2-P-D1-N2-N3-S")</f>
        <v>S-R1-G2-M1-M2-P-D1-N2-N3-S</v>
      </c>
      <c r="BU6" s="348" t="str">
        <f t="shared" si="29"/>
        <v>C-Db-Eb-F-F#-G-Ab-Bb-B-C</v>
      </c>
      <c r="BV6" s="349" t="str">
        <f t="shared" si="30"/>
        <v>SRGDS</v>
      </c>
      <c r="BW6" s="350">
        <f t="shared" si="31"/>
        <v>0</v>
      </c>
      <c r="BX6" s="351">
        <f t="shared" si="32"/>
        <v>3</v>
      </c>
      <c r="BY6" s="352" t="s">
        <v>275</v>
      </c>
      <c r="BZ6" s="309" t="str">
        <f>IFERROR(__xludf.DUMMYFUNCTION("IF(REGEXMATCH(C6, ""S""), ""x"",""x"")"),"x")</f>
        <v>x</v>
      </c>
      <c r="CA6" s="245" t="str">
        <f>IFERROR(__xludf.DUMMYFUNCTION("IF(REGEXMATCH(C6, ""r""), ""o"",""x"")"),"o")</f>
        <v>o</v>
      </c>
      <c r="CB6" s="246" t="str">
        <f>IFERROR(__xludf.DUMMYFUNCTION("IF(REGEXMATCH(C6, ""R""), ""o"",""x"")"),"x")</f>
        <v>x</v>
      </c>
      <c r="CC6" s="246" t="str">
        <f>IFERROR(__xludf.DUMMYFUNCTION("IF(REGEXMATCH(C6, ""g""), ""o"",""x"")"),"o")</f>
        <v>o</v>
      </c>
      <c r="CD6" s="245" t="str">
        <f>IFERROR(__xludf.DUMMYFUNCTION("IF(REGEXMATCH(C6, ""G""), ""o"",""x"")"),"x")</f>
        <v>x</v>
      </c>
      <c r="CE6" s="245" t="str">
        <f>IFERROR(__xludf.DUMMYFUNCTION("IF(REGEXMATCH(C6, ""m""), ""o"",""x"")"),"o")</f>
        <v>o</v>
      </c>
      <c r="CF6" s="246" t="str">
        <f>IFERROR(__xludf.DUMMYFUNCTION("IF(REGEXMATCH(C6, ""M""), ""o"",""x"")"),"o")</f>
        <v>o</v>
      </c>
      <c r="CG6" s="245" t="str">
        <f>IFERROR(__xludf.DUMMYFUNCTION("IF(REGEXMATCH(C6, ""P""), ""o"",""x"")"),"o")</f>
        <v>o</v>
      </c>
      <c r="CH6" s="246" t="str">
        <f>IFERROR(__xludf.DUMMYFUNCTION("IF(REGEXMATCH(C6, ""d""), ""o"",""x"")"),"o")</f>
        <v>o</v>
      </c>
      <c r="CI6" s="245" t="str">
        <f>IFERROR(__xludf.DUMMYFUNCTION("IF(REGEXMATCH(C6, ""D""), ""o"",""x"")"),"x")</f>
        <v>x</v>
      </c>
      <c r="CJ6" s="245" t="str">
        <f>IFERROR(__xludf.DUMMYFUNCTION("IF(REGEXMATCH(C6, ""n""), ""o"",""x"")"),"o")</f>
        <v>o</v>
      </c>
      <c r="CK6" s="245" t="str">
        <f>IFERROR(__xludf.DUMMYFUNCTION("IF(REGEXMATCH(C6, ""N""), ""o"",""x"")"),"o")</f>
        <v>o</v>
      </c>
      <c r="CL6" s="356" t="str">
        <f>IFERROR(__xludf.DUMMYFUNCTION("IF(REGEXMATCH(C6, ""S""), ""x"",""x"")"),"x")</f>
        <v>x</v>
      </c>
      <c r="CM6" s="357" t="str">
        <f t="shared" si="33"/>
        <v>xoxoxooooxoo</v>
      </c>
      <c r="CN6" s="358">
        <f t="shared" si="34"/>
        <v>0</v>
      </c>
      <c r="CO6" s="246" t="str">
        <f>IFERROR(__xludf.DUMMYFUNCTION("IF(REGEXMATCH($C6, ""S""), ""S"",""S"")"),"S")</f>
        <v>S</v>
      </c>
      <c r="CP6" s="246" t="str">
        <f>IFERROR(__xludf.DUMMYFUNCTION("IF(REGEXMATCH($C6, ""r""), """",""r"")"),"")</f>
        <v/>
      </c>
      <c r="CQ6" s="246" t="str">
        <f>IFERROR(__xludf.DUMMYFUNCTION("IF(REGEXMATCH($C6, ""R""), """",""R"")"),"R")</f>
        <v>R</v>
      </c>
      <c r="CR6" s="246" t="str">
        <f>IFERROR(__xludf.DUMMYFUNCTION("IF(REGEXMATCH($C6, ""g""), """",""g"")"),"")</f>
        <v/>
      </c>
      <c r="CS6" s="246" t="str">
        <f>IFERROR(__xludf.DUMMYFUNCTION("IF(REGEXMATCH($C6, ""G""), """",""G"")"),"G")</f>
        <v>G</v>
      </c>
      <c r="CT6" s="246" t="str">
        <f>IFERROR(__xludf.DUMMYFUNCTION("IF(REGEXMATCH($C6, ""m""), """",""m"")"),"")</f>
        <v/>
      </c>
      <c r="CU6" s="246" t="str">
        <f>IFERROR(__xludf.DUMMYFUNCTION("IF(REGEXMATCH($C6, ""M""), """",""M"")"),"")</f>
        <v/>
      </c>
      <c r="CV6" s="246" t="str">
        <f>IFERROR(__xludf.DUMMYFUNCTION("IF(REGEXMATCH($C6, ""P""), """",""P"")"),"")</f>
        <v/>
      </c>
      <c r="CW6" s="246" t="str">
        <f>IFERROR(__xludf.DUMMYFUNCTION("IF(REGEXMATCH($C6, ""d""), """",""d"")"),"")</f>
        <v/>
      </c>
      <c r="CX6" s="246" t="str">
        <f>IFERROR(__xludf.DUMMYFUNCTION("IF(REGEXMATCH($C6, ""D""), """",""D"")"),"D")</f>
        <v>D</v>
      </c>
      <c r="CY6" s="246" t="str">
        <f>IFERROR(__xludf.DUMMYFUNCTION("IF(REGEXMATCH($C6, ""n""), """",""n"")"),"")</f>
        <v/>
      </c>
      <c r="CZ6" s="246" t="str">
        <f>IFERROR(__xludf.DUMMYFUNCTION("IF(REGEXMATCH($C6, ""N""), """",""N"")"),"")</f>
        <v/>
      </c>
      <c r="DA6" s="246" t="str">
        <f>IFERROR(__xludf.DUMMYFUNCTION("IF(REGEXMATCH($C6, ""S""), ""S"",""S"")"),"S")</f>
        <v>S</v>
      </c>
      <c r="DB6" s="362" t="str">
        <f>IFERROR(__xludf.DUMMYFUNCTION("JOIN("""",CO6:DA6,"""","""")"),"SRGDS")</f>
        <v>SRGDS</v>
      </c>
      <c r="DC6" s="363"/>
      <c r="DD6" s="301" t="str">
        <f t="shared" si="35"/>
        <v>#REF!</v>
      </c>
      <c r="DE6" s="302" t="str">
        <f t="shared" si="36"/>
        <v>#REF!</v>
      </c>
      <c r="DF6" s="301" t="str">
        <f t="shared" ref="DF6:DG6" si="199">SUBSTITUTE(S6,"-","")</f>
        <v>SRGM</v>
      </c>
      <c r="DG6" s="301" t="str">
        <f t="shared" si="199"/>
        <v>PDNS</v>
      </c>
      <c r="DH6" s="302" t="str">
        <f t="shared" si="38"/>
        <v>Pilu</v>
      </c>
      <c r="DI6" s="301" t="str">
        <f t="shared" si="39"/>
        <v>Hemi.</v>
      </c>
      <c r="DJ6" s="364" t="str">
        <f t="shared" si="40"/>
        <v>Co-Co.</v>
      </c>
      <c r="DK6" s="306" t="str">
        <f t="shared" si="41"/>
        <v>-</v>
      </c>
      <c r="DL6" s="366" t="str">
        <f t="shared" si="42"/>
        <v>-</v>
      </c>
      <c r="DM6" s="308" t="str">
        <f t="shared" si="43"/>
        <v>✔</v>
      </c>
      <c r="DN6" s="306" t="str">
        <f t="shared" si="44"/>
        <v>-</v>
      </c>
      <c r="DO6" s="306" t="str">
        <f t="shared" si="45"/>
        <v>-</v>
      </c>
      <c r="DP6" s="367" t="str">
        <f t="shared" si="46"/>
        <v>-</v>
      </c>
      <c r="DQ6" s="310" t="str">
        <f t="shared" si="47"/>
        <v>-</v>
      </c>
      <c r="DR6" s="310" t="str">
        <f t="shared" si="48"/>
        <v>-</v>
      </c>
      <c r="DS6" s="310" t="str">
        <f t="shared" si="49"/>
        <v>✔</v>
      </c>
      <c r="DT6" s="310" t="str">
        <f t="shared" si="50"/>
        <v>-</v>
      </c>
      <c r="DU6" s="370" t="str">
        <f t="shared" si="51"/>
        <v>✔</v>
      </c>
      <c r="DV6" s="306" t="str">
        <f t="shared" si="52"/>
        <v>-</v>
      </c>
      <c r="DW6" s="306" t="str">
        <f t="shared" si="53"/>
        <v>-</v>
      </c>
      <c r="DX6" s="306" t="str">
        <f t="shared" si="54"/>
        <v>-</v>
      </c>
      <c r="DY6" s="306" t="str">
        <f t="shared" si="55"/>
        <v>-</v>
      </c>
      <c r="DZ6" s="306" t="str">
        <f t="shared" si="56"/>
        <v>-</v>
      </c>
      <c r="EA6" s="367" t="str">
        <f t="shared" si="57"/>
        <v>-</v>
      </c>
      <c r="EB6" s="310" t="str">
        <f>IFERROR(__xludf.DUMMYFUNCTION("IF(REGEXMATCH(AW6,AS6),""✔"",""-"")"),"✔")</f>
        <v>✔</v>
      </c>
      <c r="EC6" s="310" t="str">
        <f t="shared" si="58"/>
        <v>#REF!</v>
      </c>
      <c r="ED6" s="370" t="str">
        <f t="shared" si="59"/>
        <v>-</v>
      </c>
      <c r="EE6" s="340" t="str">
        <f t="shared" si="60"/>
        <v>S-r-g-mM-P-d-nN-S</v>
      </c>
      <c r="EF6" s="371" t="str">
        <f>IFERROR(__xludf.DUMMYFUNCTION("CONCATENATE(JOIN("""",HC6:HO6))"),"SrRGmMPDNS")</f>
        <v>SrRGmMPDNS</v>
      </c>
      <c r="EG6" s="372">
        <f t="shared" si="61"/>
        <v>1</v>
      </c>
      <c r="EH6" s="373" t="str">
        <f>IFERROR(__xludf.DUMMYFUNCTION("CONCATENATE(JOIN("""",JC6:JO6))"),"Pa, ")</f>
        <v>Pa, </v>
      </c>
      <c r="EI6" s="322">
        <f t="shared" si="62"/>
        <v>0</v>
      </c>
      <c r="EJ6" s="374" t="str">
        <f>IFERROR(__xludf.DUMMYFUNCTION("CONCATENATE(JOIN("""",KC6:KO6))"),"")</f>
        <v/>
      </c>
      <c r="EK6" s="325" t="str">
        <f t="shared" si="63"/>
        <v>S-R1-G2-M1-M2-P-D1-N2-N3-S</v>
      </c>
      <c r="EL6" s="326" t="str">
        <f t="shared" si="64"/>
        <v>1-b2-b3-4-#4-5-b6-b7-7-8</v>
      </c>
      <c r="EM6" s="318" t="str">
        <f t="shared" si="65"/>
        <v>#REF!</v>
      </c>
      <c r="EN6" s="328" t="str">
        <f>IFERROR(__xludf.DUMMYFUNCTION("SUBSTITUTE(SUBSTITUTE(SUBSTITUTE(SUBSTITUTE(CONCATENATE(JOIN("" "",HP6:IB6)),""  "","" ""),""  "","" ""),""  "","" ""),""  "","" "")"),"o o • o • o o o o • o o o")</f>
        <v>o o • o • o o o o • o o o</v>
      </c>
      <c r="EO6" s="368" t="str">
        <f t="shared" si="66"/>
        <v>-</v>
      </c>
      <c r="EP6" s="339" t="str">
        <f t="shared" si="67"/>
        <v>-</v>
      </c>
      <c r="EQ6" s="339" t="str">
        <f t="shared" si="68"/>
        <v>Sa-Pa</v>
      </c>
      <c r="ER6" s="339" t="str">
        <f t="shared" si="69"/>
        <v>-</v>
      </c>
      <c r="ES6" s="340" t="str">
        <f t="shared" si="70"/>
        <v>-</v>
      </c>
      <c r="ET6" s="363"/>
      <c r="EU6" s="376" t="b">
        <f>IFERROR(__xludf.DUMMYFUNCTION("arrayformula(sum(--REGEXMATCH(""SRGMPDNS"",split(REGEXREPLACE(C6,""(.)"",""$1~""),""~""))))=len(C6)
"),FALSE)</f>
        <v>0</v>
      </c>
      <c r="EV6" s="290" t="b">
        <f>IFERROR(__xludf.DUMMYFUNCTION("arrayformula(sum(--REGEXMATCH(""SRGmPDNS"",split(REGEXREPLACE(C6,""(.)"",""$1~""),""~""))))=len(C6)"),FALSE)</f>
        <v>0</v>
      </c>
      <c r="EW6" s="290" t="b">
        <f>IFERROR(__xludf.DUMMYFUNCTION("arrayformula(sum(--REGEXMATCH(""SRGmPDnS"",split(REGEXREPLACE(C6,""(.)"",""$1~""),""~""))))=len(C6)"),FALSE)</f>
        <v>0</v>
      </c>
      <c r="EX6" s="290" t="b">
        <f>IFERROR(__xludf.DUMMYFUNCTION("arrayformula(sum(--REGEXMATCH(""SRgmPDnS"",split(REGEXREPLACE(C6,""(.)"",""$1~""),""~""))))=len(C6)"),FALSE)</f>
        <v>0</v>
      </c>
      <c r="EY6" s="290" t="b">
        <f>IFERROR(__xludf.DUMMYFUNCTION("arrayformula(sum(--REGEXMATCH(""SRgmPdnS"",split(REGEXREPLACE(C6,""(.)"",""$1~""),""~""))))=len(C6)"),FALSE)</f>
        <v>0</v>
      </c>
      <c r="EZ6" s="290" t="b">
        <f>IFERROR(__xludf.DUMMYFUNCTION("arrayformula(sum(--REGEXMATCH(""SrgmPdnS"",split(REGEXREPLACE(C6,""(.)"",""$1~""),""~""))))=len(C6)"),FALSE)</f>
        <v>0</v>
      </c>
      <c r="FA6" s="290" t="b">
        <f>IFERROR(__xludf.DUMMYFUNCTION("arrayformula(sum(--REGEXMATCH(""SrGmPdNS"",split(REGEXREPLACE(C6,""(.)"",""$1~""),""~""))))=len(C6)"),FALSE)</f>
        <v>0</v>
      </c>
      <c r="FB6" s="290" t="b">
        <f>IFERROR(__xludf.DUMMYFUNCTION("arrayformula(sum(--REGEXMATCH(""SrGMPDNS"",split(REGEXREPLACE(C6,""(.)"",""$1~""),""~""))))=len(C6)"),FALSE)</f>
        <v>0</v>
      </c>
      <c r="FC6" s="290" t="b">
        <f>IFERROR(__xludf.DUMMYFUNCTION("arrayformula(sum(--REGEXMATCH(""SrGMPdNS"",split(REGEXREPLACE(C6,""(.)"",""$1~""),""~""))))=len(C6)"),FALSE)</f>
        <v>0</v>
      </c>
      <c r="FD6" s="377" t="b">
        <f>IFERROR(__xludf.DUMMYFUNCTION("arrayformula(sum(--REGEXMATCH(""SrgMPdNS"",split(REGEXREPLACE(C6,""(.)"",""$1~""),""~""))))=len(C6)"),FALSE)</f>
        <v>0</v>
      </c>
      <c r="FE6" s="269" t="str">
        <f t="shared" si="71"/>
        <v>xoxoxxxxoxx</v>
      </c>
      <c r="FF6" s="269" t="str">
        <f t="shared" si="72"/>
        <v>-</v>
      </c>
      <c r="FG6" s="271" t="str">
        <f t="shared" si="73"/>
        <v>xoxxxxoxxxx</v>
      </c>
      <c r="FH6" s="269" t="str">
        <f t="shared" si="74"/>
        <v>-</v>
      </c>
      <c r="FI6" s="271" t="str">
        <f t="shared" si="75"/>
        <v>xxxxoxxxxox</v>
      </c>
      <c r="FJ6" s="271" t="str">
        <f t="shared" si="76"/>
        <v>xxxoxxxxoxo</v>
      </c>
      <c r="FK6" s="271" t="str">
        <f t="shared" si="77"/>
        <v>xxoxxxxoxox</v>
      </c>
      <c r="FL6" s="271" t="str">
        <f t="shared" si="78"/>
        <v>xoxxxxoxoxx</v>
      </c>
      <c r="FM6" s="271" t="str">
        <f t="shared" si="79"/>
        <v>-</v>
      </c>
      <c r="FN6" s="271" t="str">
        <f t="shared" si="80"/>
        <v>xxxxoxoxxxx</v>
      </c>
      <c r="FO6" s="274" t="str">
        <f t="shared" si="81"/>
        <v>xxxoxoxxxxo</v>
      </c>
      <c r="FP6" s="234" t="str">
        <f t="shared" si="82"/>
        <v>|</v>
      </c>
      <c r="FQ6" s="236" t="str">
        <f t="shared" si="83"/>
        <v>|</v>
      </c>
      <c r="FR6" s="237" t="str">
        <f t="shared" si="84"/>
        <v>-</v>
      </c>
      <c r="FS6" s="236" t="str">
        <f t="shared" si="85"/>
        <v>|</v>
      </c>
      <c r="FT6" s="237" t="str">
        <f t="shared" si="86"/>
        <v>-</v>
      </c>
      <c r="FU6" s="236" t="str">
        <f t="shared" si="87"/>
        <v>|</v>
      </c>
      <c r="FV6" s="237" t="str">
        <f t="shared" si="88"/>
        <v>|</v>
      </c>
      <c r="FW6" s="236" t="str">
        <f t="shared" si="89"/>
        <v>|</v>
      </c>
      <c r="FX6" s="237" t="str">
        <f t="shared" si="90"/>
        <v>|</v>
      </c>
      <c r="FY6" s="236" t="str">
        <f t="shared" si="91"/>
        <v>-</v>
      </c>
      <c r="FZ6" s="237" t="str">
        <f t="shared" si="92"/>
        <v>|</v>
      </c>
      <c r="GA6" s="236" t="str">
        <f t="shared" si="93"/>
        <v>|</v>
      </c>
      <c r="GB6" s="238" t="str">
        <f t="shared" si="94"/>
        <v>|</v>
      </c>
      <c r="GC6" s="244" t="str">
        <f>IFERROR(__xludf.DUMMYFUNCTION("IF(REGEXMATCH(C6, ""S""), ""1"","""")"),"1")</f>
        <v>1</v>
      </c>
      <c r="GD6" s="245" t="str">
        <f>IFERROR(__xludf.DUMMYFUNCTION("IF(REGEXMATCH(C6, ""r""), ""b2"","""")"),"b2")</f>
        <v>b2</v>
      </c>
      <c r="GE6" s="246" t="str">
        <f>IFERROR(__xludf.DUMMYFUNCTION("IF(REGEXMATCH(C6, ""R""), ""2"","""")"),"")</f>
        <v/>
      </c>
      <c r="GF6" s="246" t="str">
        <f>IFERROR(__xludf.DUMMYFUNCTION("IF(REGEXMATCH(C6, ""g""), ""b3"","""")"),"b3")</f>
        <v>b3</v>
      </c>
      <c r="GG6" s="245" t="str">
        <f>IFERROR(__xludf.DUMMYFUNCTION("IF(REGEXMATCH(C6, ""G""), ""3"","""")"),"")</f>
        <v/>
      </c>
      <c r="GH6" s="245" t="str">
        <f>IFERROR(__xludf.DUMMYFUNCTION("IF(REGEXMATCH(C6, ""m""), ""4"","""")"),"4")</f>
        <v>4</v>
      </c>
      <c r="GI6" s="246" t="str">
        <f>IFERROR(__xludf.DUMMYFUNCTION("IF(REGEXMATCH(C6, ""M""), ""#4"","""")"),"#4")</f>
        <v>#4</v>
      </c>
      <c r="GJ6" s="245" t="str">
        <f>IFERROR(__xludf.DUMMYFUNCTION("IF(REGEXMATCH(C6, ""P""), ""5"","""")"),"5")</f>
        <v>5</v>
      </c>
      <c r="GK6" s="246" t="str">
        <f>IFERROR(__xludf.DUMMYFUNCTION("IF(REGEXMATCH(C6, ""d""), ""b6"","""")"),"b6")</f>
        <v>b6</v>
      </c>
      <c r="GL6" s="245" t="str">
        <f>IFERROR(__xludf.DUMMYFUNCTION("IF(REGEXMATCH(C6, ""D""), ""6"","""")"),"")</f>
        <v/>
      </c>
      <c r="GM6" s="245" t="str">
        <f>IFERROR(__xludf.DUMMYFUNCTION("IF(REGEXMATCH(C6, ""n""), ""b7"","""")"),"b7")</f>
        <v>b7</v>
      </c>
      <c r="GN6" s="246" t="str">
        <f>IFERROR(__xludf.DUMMYFUNCTION("IF(REGEXMATCH(C6, ""N""), ""7"","""")"),"7")</f>
        <v>7</v>
      </c>
      <c r="GO6" s="249" t="str">
        <f>IFERROR(__xludf.DUMMYFUNCTION("IF(REGEXMATCH(C6, ""S""), ""8"","""")"),"8")</f>
        <v>8</v>
      </c>
      <c r="GP6" s="244" t="str">
        <f>IFERROR(__xludf.DUMMYFUNCTION("IF(REGEXMATCH(C6, ""S""), ""S"","""")"),"S")</f>
        <v>S</v>
      </c>
      <c r="GQ6" s="294" t="str">
        <f>IFERROR(__xludf.DUMMYFUNCTION("IF(REGEXMATCH(C6, ""r""), ""R1"","""")"),"R1")</f>
        <v>R1</v>
      </c>
      <c r="GR6" s="295" t="str">
        <f>IFERROR(__xludf.DUMMYFUNCTION("IF(REGEXMATCH(C6, ""R""), ""R2"","""")"),"")</f>
        <v/>
      </c>
      <c r="GS6" s="295" t="str">
        <f>IFERROR(__xludf.DUMMYFUNCTION("IF(REGEXMATCH(C6, ""g""), ""G2"","""")"),"G2")</f>
        <v>G2</v>
      </c>
      <c r="GT6" s="294" t="str">
        <f>IFERROR(__xludf.DUMMYFUNCTION("IF(REGEXMATCH(C6, ""G""), ""G3"","""")"),"")</f>
        <v/>
      </c>
      <c r="GU6" s="294" t="str">
        <f>IFERROR(__xludf.DUMMYFUNCTION("IF(REGEXMATCH(C6, ""m""), ""M1"","""")"),"M1")</f>
        <v>M1</v>
      </c>
      <c r="GV6" s="295" t="str">
        <f>IFERROR(__xludf.DUMMYFUNCTION("IF(REGEXMATCH(C6, ""M""), ""M2"","""")"),"M2")</f>
        <v>M2</v>
      </c>
      <c r="GW6" s="294" t="str">
        <f>IFERROR(__xludf.DUMMYFUNCTION("IF(REGEXMATCH(C6, ""P""), ""P"","""")"),"P")</f>
        <v>P</v>
      </c>
      <c r="GX6" s="295" t="str">
        <f>IFERROR(__xludf.DUMMYFUNCTION("IF(REGEXMATCH(C6, ""d""), ""D1"","""")"),"D1")</f>
        <v>D1</v>
      </c>
      <c r="GY6" s="294" t="str">
        <f>IFERROR(__xludf.DUMMYFUNCTION("IF(REGEXMATCH(C6, ""D""), ""D2"","""")"),"")</f>
        <v/>
      </c>
      <c r="GZ6" s="294" t="str">
        <f>IFERROR(__xludf.DUMMYFUNCTION("IF(REGEXMATCH(C6, ""n""), ""N2"","""")"),"N2")</f>
        <v>N2</v>
      </c>
      <c r="HA6" s="295" t="str">
        <f>IFERROR(__xludf.DUMMYFUNCTION("IF(REGEXMATCH(C6, ""N""), ""N3"","""")"),"N3")</f>
        <v>N3</v>
      </c>
      <c r="HB6" s="249" t="str">
        <f>IFERROR(__xludf.DUMMYFUNCTION("IF(REGEXMATCH(C6, ""S""), ""S"","""")"),"S")</f>
        <v>S</v>
      </c>
      <c r="HC6" s="331" t="str">
        <f t="shared" si="95"/>
        <v>S</v>
      </c>
      <c r="HD6" s="332" t="str">
        <f t="shared" si="96"/>
        <v>r</v>
      </c>
      <c r="HE6" s="332" t="str">
        <f t="shared" si="97"/>
        <v>R</v>
      </c>
      <c r="HF6" s="332" t="str">
        <f t="shared" si="98"/>
        <v/>
      </c>
      <c r="HG6" s="332" t="str">
        <f t="shared" si="99"/>
        <v>G</v>
      </c>
      <c r="HH6" s="332" t="str">
        <f t="shared" si="100"/>
        <v>m</v>
      </c>
      <c r="HI6" s="332" t="str">
        <f t="shared" si="101"/>
        <v>M</v>
      </c>
      <c r="HJ6" s="332" t="str">
        <f t="shared" si="102"/>
        <v>P</v>
      </c>
      <c r="HK6" s="332" t="str">
        <f t="shared" si="103"/>
        <v/>
      </c>
      <c r="HL6" s="332" t="str">
        <f t="shared" si="104"/>
        <v>D</v>
      </c>
      <c r="HM6" s="332" t="str">
        <f t="shared" si="105"/>
        <v/>
      </c>
      <c r="HN6" s="332" t="str">
        <f t="shared" si="106"/>
        <v>N</v>
      </c>
      <c r="HO6" s="343" t="str">
        <f t="shared" si="107"/>
        <v>S</v>
      </c>
      <c r="HP6" s="331" t="str">
        <f t="shared" si="108"/>
        <v>o</v>
      </c>
      <c r="HQ6" s="332" t="str">
        <f t="shared" si="109"/>
        <v>o</v>
      </c>
      <c r="HR6" s="332" t="str">
        <f t="shared" si="110"/>
        <v>•</v>
      </c>
      <c r="HS6" s="332" t="str">
        <f t="shared" si="111"/>
        <v>o</v>
      </c>
      <c r="HT6" s="332" t="str">
        <f t="shared" si="112"/>
        <v>•</v>
      </c>
      <c r="HU6" s="332" t="str">
        <f t="shared" si="113"/>
        <v>o</v>
      </c>
      <c r="HV6" s="332" t="str">
        <f t="shared" si="114"/>
        <v>o</v>
      </c>
      <c r="HW6" s="332" t="str">
        <f t="shared" si="115"/>
        <v>o</v>
      </c>
      <c r="HX6" s="332" t="str">
        <f t="shared" si="116"/>
        <v>o</v>
      </c>
      <c r="HY6" s="332" t="str">
        <f t="shared" si="117"/>
        <v>•</v>
      </c>
      <c r="HZ6" s="332" t="str">
        <f t="shared" si="118"/>
        <v>o</v>
      </c>
      <c r="IA6" s="332" t="str">
        <f t="shared" si="119"/>
        <v>o</v>
      </c>
      <c r="IB6" s="338" t="str">
        <f t="shared" si="120"/>
        <v>o</v>
      </c>
      <c r="IC6" s="331" t="str">
        <f t="shared" si="121"/>
        <v>•</v>
      </c>
      <c r="ID6" s="332" t="str">
        <f t="shared" si="122"/>
        <v>•</v>
      </c>
      <c r="IE6" s="332" t="str">
        <f t="shared" si="123"/>
        <v>o</v>
      </c>
      <c r="IF6" s="332" t="str">
        <f t="shared" si="124"/>
        <v>•</v>
      </c>
      <c r="IG6" s="332" t="str">
        <f t="shared" si="125"/>
        <v>o</v>
      </c>
      <c r="IH6" s="332" t="str">
        <f t="shared" si="126"/>
        <v>•</v>
      </c>
      <c r="II6" s="332" t="str">
        <f t="shared" si="127"/>
        <v>•</v>
      </c>
      <c r="IJ6" s="332" t="str">
        <f t="shared" si="128"/>
        <v>•</v>
      </c>
      <c r="IK6" s="332" t="str">
        <f t="shared" si="129"/>
        <v>•</v>
      </c>
      <c r="IL6" s="332" t="str">
        <f t="shared" si="130"/>
        <v>o</v>
      </c>
      <c r="IM6" s="332" t="str">
        <f t="shared" si="131"/>
        <v>•</v>
      </c>
      <c r="IN6" s="332" t="str">
        <f t="shared" si="132"/>
        <v>•</v>
      </c>
      <c r="IO6" s="338" t="str">
        <f t="shared" si="133"/>
        <v>•</v>
      </c>
      <c r="IP6" s="346" t="b">
        <f t="shared" si="134"/>
        <v>0</v>
      </c>
      <c r="IQ6" s="347" t="b">
        <f t="shared" si="135"/>
        <v>0</v>
      </c>
      <c r="IR6" s="347" t="b">
        <f t="shared" si="136"/>
        <v>0</v>
      </c>
      <c r="IS6" s="347" t="b">
        <f t="shared" si="137"/>
        <v>0</v>
      </c>
      <c r="IT6" s="347" t="b">
        <f t="shared" si="138"/>
        <v>0</v>
      </c>
      <c r="IU6" s="347" t="b">
        <f t="shared" si="139"/>
        <v>0</v>
      </c>
      <c r="IV6" s="347" t="b">
        <f t="shared" si="140"/>
        <v>0</v>
      </c>
      <c r="IW6" s="347" t="b">
        <f t="shared" si="141"/>
        <v>1</v>
      </c>
      <c r="IX6" s="347" t="b">
        <f t="shared" si="142"/>
        <v>0</v>
      </c>
      <c r="IY6" s="347" t="b">
        <f t="shared" si="143"/>
        <v>0</v>
      </c>
      <c r="IZ6" s="347" t="b">
        <f t="shared" si="144"/>
        <v>0</v>
      </c>
      <c r="JA6" s="347" t="b">
        <f t="shared" si="145"/>
        <v>0</v>
      </c>
      <c r="JB6" s="353" t="b">
        <f t="shared" si="146"/>
        <v>0</v>
      </c>
      <c r="JC6" s="354" t="str">
        <f t="shared" si="147"/>
        <v/>
      </c>
      <c r="JD6" s="355" t="str">
        <f t="shared" si="148"/>
        <v/>
      </c>
      <c r="JE6" s="355" t="str">
        <f t="shared" si="149"/>
        <v/>
      </c>
      <c r="JF6" s="355" t="str">
        <f t="shared" si="150"/>
        <v/>
      </c>
      <c r="JG6" s="355" t="str">
        <f t="shared" si="151"/>
        <v/>
      </c>
      <c r="JH6" s="355" t="str">
        <f t="shared" si="152"/>
        <v/>
      </c>
      <c r="JI6" s="355" t="str">
        <f t="shared" si="153"/>
        <v/>
      </c>
      <c r="JJ6" s="355" t="str">
        <f t="shared" si="154"/>
        <v>Pa, </v>
      </c>
      <c r="JK6" s="355" t="str">
        <f t="shared" si="155"/>
        <v/>
      </c>
      <c r="JL6" s="355" t="str">
        <f t="shared" si="156"/>
        <v/>
      </c>
      <c r="JM6" s="355" t="str">
        <f t="shared" si="157"/>
        <v/>
      </c>
      <c r="JN6" s="355" t="str">
        <f t="shared" si="158"/>
        <v/>
      </c>
      <c r="JO6" s="359" t="str">
        <f t="shared" si="159"/>
        <v/>
      </c>
      <c r="JP6" s="346" t="b">
        <f t="shared" si="160"/>
        <v>0</v>
      </c>
      <c r="JQ6" s="347" t="b">
        <f t="shared" si="161"/>
        <v>0</v>
      </c>
      <c r="JR6" s="347" t="b">
        <f t="shared" si="162"/>
        <v>0</v>
      </c>
      <c r="JS6" s="347" t="b">
        <f t="shared" si="163"/>
        <v>0</v>
      </c>
      <c r="JT6" s="347" t="b">
        <f t="shared" si="164"/>
        <v>0</v>
      </c>
      <c r="JU6" s="347" t="b">
        <f t="shared" si="165"/>
        <v>0</v>
      </c>
      <c r="JV6" s="347" t="b">
        <f t="shared" si="166"/>
        <v>0</v>
      </c>
      <c r="JW6" s="347" t="b">
        <f t="shared" si="167"/>
        <v>0</v>
      </c>
      <c r="JX6" s="347" t="b">
        <f t="shared" si="168"/>
        <v>0</v>
      </c>
      <c r="JY6" s="347" t="b">
        <f t="shared" si="169"/>
        <v>0</v>
      </c>
      <c r="JZ6" s="347" t="b">
        <f t="shared" si="170"/>
        <v>0</v>
      </c>
      <c r="KA6" s="347" t="b">
        <f t="shared" si="171"/>
        <v>0</v>
      </c>
      <c r="KB6" s="365" t="b">
        <f t="shared" si="172"/>
        <v>0</v>
      </c>
      <c r="KC6" s="354" t="str">
        <f t="shared" si="173"/>
        <v/>
      </c>
      <c r="KD6" s="355" t="str">
        <f t="shared" si="174"/>
        <v/>
      </c>
      <c r="KE6" s="355" t="str">
        <f t="shared" si="175"/>
        <v/>
      </c>
      <c r="KF6" s="355" t="str">
        <f t="shared" si="176"/>
        <v/>
      </c>
      <c r="KG6" s="355" t="str">
        <f t="shared" si="177"/>
        <v/>
      </c>
      <c r="KH6" s="355" t="str">
        <f t="shared" si="178"/>
        <v/>
      </c>
      <c r="KI6" s="355" t="str">
        <f t="shared" si="179"/>
        <v/>
      </c>
      <c r="KJ6" s="355" t="str">
        <f t="shared" si="180"/>
        <v/>
      </c>
      <c r="KK6" s="355" t="str">
        <f t="shared" si="181"/>
        <v/>
      </c>
      <c r="KL6" s="355" t="str">
        <f t="shared" si="182"/>
        <v/>
      </c>
      <c r="KM6" s="355" t="str">
        <f t="shared" si="183"/>
        <v/>
      </c>
      <c r="KN6" s="355" t="str">
        <f t="shared" si="184"/>
        <v/>
      </c>
      <c r="KO6" s="359"/>
      <c r="KP6" s="378"/>
      <c r="KQ6" s="379" t="s">
        <v>9</v>
      </c>
      <c r="KR6" s="380" t="s">
        <v>9</v>
      </c>
      <c r="KS6" s="381" t="s">
        <v>9</v>
      </c>
      <c r="KT6" s="382">
        <f t="shared" si="186"/>
        <v>0</v>
      </c>
      <c r="KU6" s="383">
        <f t="shared" si="187"/>
        <v>0</v>
      </c>
      <c r="KV6" s="381" t="s">
        <v>9</v>
      </c>
      <c r="KW6" s="382">
        <f t="shared" si="189"/>
        <v>0</v>
      </c>
      <c r="KX6" s="384">
        <f t="shared" si="190"/>
        <v>0</v>
      </c>
      <c r="KY6" s="382">
        <f t="shared" ref="KY6:KZ6" si="200">KW6-KT6</f>
        <v>0</v>
      </c>
      <c r="KZ6" s="369">
        <f t="shared" si="200"/>
        <v>0</v>
      </c>
      <c r="LA6" s="385" t="str">
        <f t="shared" si="192"/>
        <v>✔</v>
      </c>
      <c r="LB6" s="340" t="str">
        <f>IFERROR(__xludf.DUMMYFUNCTION("JOIN("""",ArrayFormula(MID(KS6,LEN(KS6)-SEQUENCE(1,LEN(KS6))+1,1)))"),"S")</f>
        <v>S</v>
      </c>
      <c r="LC6" s="373" t="str">
        <f>IFERROR(__xludf.DUMMYFUNCTION("JOIN("""",ArrayFormula(MID(KV6,LEN(KV6)-SEQUENCE(1,LEN(KV6))+1,1)))"),"S")</f>
        <v>S</v>
      </c>
      <c r="LD6" s="373" t="str">
        <f t="shared" si="193"/>
        <v>S</v>
      </c>
      <c r="LE6" s="339" t="str">
        <f t="shared" si="194"/>
        <v>S</v>
      </c>
      <c r="LF6" s="386" t="str">
        <f>IFERROR(__xludf.DUMMYFUNCTION("SUBSTITUTE(SUBSTITUTE(CONCATENATE(JOIN("""",LH6:LT6)),""1"",""""),""2"","""")"),"SS")</f>
        <v>SS</v>
      </c>
      <c r="LG6" s="369" t="str">
        <f t="shared" si="195"/>
        <v>-</v>
      </c>
      <c r="LH6" s="387" t="str">
        <f>IFERROR(__xludf.DUMMYFUNCTION("IF(REGEXMATCH(LD6, ""S""), ""S"",IF(REGEXMATCH(LE6, ""S""), ""S"",""""))"),"S")</f>
        <v>S</v>
      </c>
      <c r="LI6" s="299" t="str">
        <f>IFERROR(__xludf.DUMMYFUNCTION("IF(REGEXMATCH(LD6, ""r""), ""r1"",IF(REGEXMATCH(LE6, ""r""), ""r2"",""""))"),"")</f>
        <v/>
      </c>
      <c r="LJ6" s="299" t="str">
        <f>IFERROR(__xludf.DUMMYFUNCTION("IF(REGEXMATCH(LD6, ""R""), ""R1"",IF(REGEXMATCH(LE6, ""R""), ""R2"",""""))"),"")</f>
        <v/>
      </c>
      <c r="LK6" s="299" t="str">
        <f>IFERROR(__xludf.DUMMYFUNCTION("IF(REGEXMATCH(LD6, ""g""), ""g1"",IF(REGEXMATCH(LE6, ""g""), ""g2"",""""))"),"")</f>
        <v/>
      </c>
      <c r="LL6" s="299" t="str">
        <f>IFERROR(__xludf.DUMMYFUNCTION("IF(REGEXMATCH(LD6, ""G""), ""G1"",IF(REGEXMATCH(LE6, ""G""), ""G2"",""""))"),"")</f>
        <v/>
      </c>
      <c r="LM6" s="299" t="str">
        <f>IFERROR(__xludf.DUMMYFUNCTION("IF(REGEXMATCH(LD6, ""m""), ""m1"",IF(REGEXMATCH(LE6, ""m""), ""m2"",""""))"),"")</f>
        <v/>
      </c>
      <c r="LN6" s="299" t="str">
        <f>IFERROR(__xludf.DUMMYFUNCTION("IF(REGEXMATCH(LD6, ""M""), ""M1"",IF(REGEXMATCH(LE6, ""M""), ""M2"",""""))"),"")</f>
        <v/>
      </c>
      <c r="LO6" s="299" t="str">
        <f>IFERROR(__xludf.DUMMYFUNCTION("IF(REGEXMATCH(LD6, ""P""), ""P1"",IF(REGEXMATCH(LE6, ""P""), ""P2"",""""))"),"")</f>
        <v/>
      </c>
      <c r="LP6" s="299" t="str">
        <f>IFERROR(__xludf.DUMMYFUNCTION("IF(REGEXMATCH(LD6, ""d""), ""d1"",IF(REGEXMATCH(LE6, ""d""), ""d2"",""""))"),"")</f>
        <v/>
      </c>
      <c r="LQ6" s="299" t="str">
        <f>IFERROR(__xludf.DUMMYFUNCTION("IF(REGEXMATCH(LD6, ""D""), ""D1"",IF(REGEXMATCH(LE6, ""D""), ""D2"",""""))"),"")</f>
        <v/>
      </c>
      <c r="LR6" s="299" t="str">
        <f>IFERROR(__xludf.DUMMYFUNCTION("IF(REGEXMATCH(LD6, ""n""), ""n1"",IF(REGEXMATCH(LE6, ""n""), ""n2"",""""))"),"")</f>
        <v/>
      </c>
      <c r="LS6" s="299" t="str">
        <f>IFERROR(__xludf.DUMMYFUNCTION("IF(REGEXMATCH(LD6, ""N""), ""N1"",IF(REGEXMATCH(LE6, ""N""), ""N2"",""""))"),"")</f>
        <v/>
      </c>
      <c r="LT6" s="388" t="str">
        <f>IFERROR(__xludf.DUMMYFUNCTION("IF(REGEXMATCH(LD6, ""S""), ""S"",IF(REGEXMATCH(LE6, ""S""), ""S"",""""))"),"S")</f>
        <v>S</v>
      </c>
      <c r="LU6" s="389">
        <f t="shared" si="196"/>
        <v>1</v>
      </c>
      <c r="LV6" s="378"/>
      <c r="LW6" s="369"/>
      <c r="LX6" s="369"/>
    </row>
    <row r="7" ht="20.25" customHeight="1">
      <c r="A7" s="298" t="s">
        <v>466</v>
      </c>
      <c r="B7" s="222" t="s">
        <v>467</v>
      </c>
      <c r="C7" s="233" t="str">
        <f t="shared" si="7"/>
        <v>SRGDNS</v>
      </c>
      <c r="D7" s="234" t="str">
        <f>IFERROR(__xludf.DUMMYFUNCTION("IF(REGEXMATCH(C7, ""S""), ""S"","""")"),"S")</f>
        <v>S</v>
      </c>
      <c r="E7" s="236" t="str">
        <f>IFERROR(__xludf.DUMMYFUNCTION("IF(REGEXMATCH(C7, ""r""), ""r"","""")"),"")</f>
        <v/>
      </c>
      <c r="F7" s="237" t="str">
        <f>IFERROR(__xludf.DUMMYFUNCTION("IF(REGEXMATCH(C7, ""R""), ""R"","""")"),"R")</f>
        <v>R</v>
      </c>
      <c r="G7" s="237" t="str">
        <f>IFERROR(__xludf.DUMMYFUNCTION("IF(REGEXMATCH(C7, ""g""), ""g"","""")"),"")</f>
        <v/>
      </c>
      <c r="H7" s="236" t="str">
        <f>IFERROR(__xludf.DUMMYFUNCTION("IF(REGEXMATCH(C7, ""G""), ""G"","""")"),"G")</f>
        <v>G</v>
      </c>
      <c r="I7" s="236" t="str">
        <f>IFERROR(__xludf.DUMMYFUNCTION("IF(REGEXMATCH(C7, ""m""), ""m"","""")"),"")</f>
        <v/>
      </c>
      <c r="J7" s="237" t="str">
        <f>IFERROR(__xludf.DUMMYFUNCTION("IF(REGEXMATCH(C7, ""M""), ""M"","""")"),"")</f>
        <v/>
      </c>
      <c r="K7" s="236" t="str">
        <f>IFERROR(__xludf.DUMMYFUNCTION("IF(REGEXMATCH(C7, ""P""), ""P"","""")"),"")</f>
        <v/>
      </c>
      <c r="L7" s="237" t="str">
        <f>IFERROR(__xludf.DUMMYFUNCTION("IF(REGEXMATCH(C7, ""d""), ""d"","""")"),"")</f>
        <v/>
      </c>
      <c r="M7" s="236" t="str">
        <f>IFERROR(__xludf.DUMMYFUNCTION("IF(REGEXMATCH(C7, ""D""), ""D"","""")"),"D")</f>
        <v>D</v>
      </c>
      <c r="N7" s="236" t="str">
        <f>IFERROR(__xludf.DUMMYFUNCTION("IF(REGEXMATCH(C7, ""n""), ""n"","""")"),"")</f>
        <v/>
      </c>
      <c r="O7" s="237" t="str">
        <f>IFERROR(__xludf.DUMMYFUNCTION("IF(REGEXMATCH(C7, ""N""), ""N"","""")"),"N")</f>
        <v>N</v>
      </c>
      <c r="P7" s="238" t="str">
        <f>IFERROR(__xludf.DUMMYFUNCTION("IF(REGEXMATCH(C7, ""S""), ""S"","""")"),"S")</f>
        <v>S</v>
      </c>
      <c r="Q7" s="239" t="str">
        <f>IFERROR(__xludf.DUMMYFUNCTION("SUBSTITUTE(CONCATENATE(JOIN(""-"",D7:J7)),""-"","""")"),"SRG")</f>
        <v>SRG</v>
      </c>
      <c r="R7" s="229" t="str">
        <f>IFERROR(__xludf.DUMMYFUNCTION("SUBSTITUTE(CONCATENATE(JOIN(""-"",K7:P7)),""-"","""")"),"DNS")</f>
        <v>DNS</v>
      </c>
      <c r="S7" s="282" t="str">
        <f t="shared" si="8"/>
        <v>S-R-G-</v>
      </c>
      <c r="T7" s="282" t="str">
        <f t="shared" si="9"/>
        <v>D-N-S</v>
      </c>
      <c r="U7" s="237" t="str">
        <f>IFERROR(__xludf.DUMMYFUNCTION("SUBSTITUTE(JOIN(""-"",S7,T7),""--"",""-"")"),"S-R-G-D-N-S")</f>
        <v>S-R-G-D-N-S</v>
      </c>
      <c r="V7" s="309" t="str">
        <f t="shared" si="10"/>
        <v>RGDN</v>
      </c>
      <c r="W7" s="244" t="str">
        <f>IFERROR(__xludf.DUMMYFUNCTION("IF(REGEXMATCH(C7, ""S""), ""0"","""")"),"0")</f>
        <v>0</v>
      </c>
      <c r="X7" s="245" t="str">
        <f>IFERROR(__xludf.DUMMYFUNCTION("IF(REGEXMATCH(C7, ""r""), ""1"","""")"),"")</f>
        <v/>
      </c>
      <c r="Y7" s="246" t="str">
        <f>IFERROR(__xludf.DUMMYFUNCTION("IF(REGEXMATCH(C7, ""R""), ""2"","""")"),"2")</f>
        <v>2</v>
      </c>
      <c r="Z7" s="246" t="str">
        <f>IFERROR(__xludf.DUMMYFUNCTION("IF(REGEXMATCH(C7, ""g""), ""3"","""")"),"")</f>
        <v/>
      </c>
      <c r="AA7" s="245" t="str">
        <f>IFERROR(__xludf.DUMMYFUNCTION("IF(REGEXMATCH(C7, ""G""), ""4"","""")"),"4")</f>
        <v>4</v>
      </c>
      <c r="AB7" s="245" t="str">
        <f>IFERROR(__xludf.DUMMYFUNCTION("IF(REGEXMATCH(C7, ""m""), ""5"","""")"),"")</f>
        <v/>
      </c>
      <c r="AC7" s="246" t="str">
        <f>IFERROR(__xludf.DUMMYFUNCTION("IF(REGEXMATCH(C7, ""M""), ""6"","""")"),"")</f>
        <v/>
      </c>
      <c r="AD7" s="245" t="str">
        <f>IFERROR(__xludf.DUMMYFUNCTION("IF(REGEXMATCH(C7, ""P""), ""7"","""")"),"")</f>
        <v/>
      </c>
      <c r="AE7" s="246" t="str">
        <f>IFERROR(__xludf.DUMMYFUNCTION("IF(REGEXMATCH(C7, ""d""), ""8"","""")"),"")</f>
        <v/>
      </c>
      <c r="AF7" s="245" t="str">
        <f>IFERROR(__xludf.DUMMYFUNCTION("IF(REGEXMATCH(C7, ""D""), ""9"","""")"),"9")</f>
        <v>9</v>
      </c>
      <c r="AG7" s="245" t="str">
        <f>IFERROR(__xludf.DUMMYFUNCTION("IF(REGEXMATCH(C7, ""n""), ""10"","""")"),"")</f>
        <v/>
      </c>
      <c r="AH7" s="246" t="str">
        <f>IFERROR(__xludf.DUMMYFUNCTION("IF(REGEXMATCH(C7, ""N""), ""11"","""")"),"11")</f>
        <v>11</v>
      </c>
      <c r="AI7" s="249" t="str">
        <f>IFERROR(__xludf.DUMMYFUNCTION("IF(REGEXMATCH(C7, ""S""), ""0"","""")"),"0")</f>
        <v>0</v>
      </c>
      <c r="AJ7" s="313" t="str">
        <f t="shared" si="11"/>
        <v>-</v>
      </c>
      <c r="AK7" s="313" t="str">
        <f t="shared" si="12"/>
        <v>-</v>
      </c>
      <c r="AL7" s="313" t="str">
        <f t="shared" si="13"/>
        <v>-</v>
      </c>
      <c r="AM7" s="313" t="str">
        <f t="shared" si="14"/>
        <v>-</v>
      </c>
      <c r="AN7" s="313" t="str">
        <f t="shared" si="15"/>
        <v>-</v>
      </c>
      <c r="AO7" s="314" t="str">
        <f t="shared" si="16"/>
        <v>-</v>
      </c>
      <c r="AP7" s="316">
        <f t="shared" si="17"/>
        <v>0</v>
      </c>
      <c r="AQ7" s="319" t="str">
        <f t="shared" si="18"/>
        <v>#REF!</v>
      </c>
      <c r="AR7" s="320">
        <f t="shared" si="19"/>
        <v>0</v>
      </c>
      <c r="AS7" s="250" t="str">
        <f>IFERROR(__xludf.DUMMYFUNCTION("SUBSTITUTE(SUBSTITUTE(CONCATENATE(JOIN("""",FP7:GA7)),""|"",""x""),""-"",""o"")"),"xoxoxooooxox")</f>
        <v>xoxoxooooxox</v>
      </c>
      <c r="AT7" s="323" t="str">
        <f>IFERROR(__xludf.DUMMYFUNCTION("JOIN("""",AS7,AS7)"),"xoxoxooooxoxxoxoxooooxox")</f>
        <v>xoxoxooooxoxxoxoxooooxox</v>
      </c>
      <c r="AU7" s="256" t="str">
        <f>IFERROR(__xludf.DUMMYFUNCTION("JOIN("""",ArrayFormula(MID(AS7,LEN(AS7)-SEQUENCE(1,LEN(AS7))+1,1)))"),"xoxooooxoxox")</f>
        <v>xoxooooxoxox</v>
      </c>
      <c r="AV7" s="256" t="str">
        <f>IFERROR(__xludf.DUMMYFUNCTION("LEFT(CONCATENATE(""x"",JOIN("""",ArrayFormula(MID(AS7,LEN(AS7)-SEQUENCE(1,LEN(AS7))+1,1)))),12)"),"xxoxooooxoxo")</f>
        <v>xxoxooooxoxo</v>
      </c>
      <c r="AW7" s="327" t="str">
        <f>IFERROR(__xludf.DUMMYFUNCTION("JOIN("""",AU7,AU7)"),"xoxooooxoxoxxoxooooxoxox")</f>
        <v>xoxooooxoxoxxoxooooxoxox</v>
      </c>
      <c r="AX7" s="239" t="str">
        <f>IFERROR(__xludf.DUMMYFUNCTION("IF(REGEXMATCH(AW7,AS7),""✔"",""-"")"),"-")</f>
        <v>-</v>
      </c>
      <c r="AY7" s="330" t="str">
        <f t="shared" si="20"/>
        <v>-</v>
      </c>
      <c r="AZ7" s="260" t="str">
        <f t="shared" si="21"/>
        <v>#REF!</v>
      </c>
      <c r="BA7" s="333" t="str">
        <f t="shared" si="22"/>
        <v>xoxoxoo</v>
      </c>
      <c r="BB7" s="334" t="str">
        <f t="shared" si="23"/>
        <v>ooxoxx</v>
      </c>
      <c r="BC7" s="335" t="str">
        <f t="shared" si="24"/>
        <v>-</v>
      </c>
      <c r="BD7" s="336" t="str">
        <f t="shared" si="25"/>
        <v>Adbhut Kalyan: 'xoxoxoo' + 'ooxoxx'</v>
      </c>
      <c r="BE7" s="337">
        <f>IFERROR(__xludf.DUMMYFUNCTION("COUNTUNIQUE(FILTER(AT:AT,REGEXMATCH(AT:AT,AS7)))-1"),0.0)</f>
        <v>0</v>
      </c>
      <c r="BF7" s="261" t="str">
        <f>IFERROR(__xludf.DUMMYFUNCTION("IF(BI7=0,""(n/a)"",IF(BJ7=2,""(PAIR)"",IF(REGEXMATCH(AT7,""xoxoxxoxoxox""),""Bilawal"",IF(REGEXMATCH(AT7,""xoxoxooxoxoo""),""Bhupali"",IF(REGEXMATCH(AT7,""xoxoxxoxxoxo""),""Charukeshi"",IF(REGEXMATCH(AT7,""xoxoooxxoxxo""),""Kameshwari"",IF(REGEXMATCH(AT7,"&amp;"""xoxoxooxoxox""),""Shankara"",IF(REGEXMATCH(AT7,""xxooxoxxxoox""),""Basant"",IF(REGEXMATCH(AT7,""xoxoxxxxoxox""),""Bihag"",IF(REGEXMATCH(AT7,""xoxxxxoxoxxx""),""Pilu"",IF(REGEXMATCH(AT7,""xoxxoxoxxoox""),""Kirwani"",IF(REGEXMATCH(AT7,""xoxxoxoxoxxx""),"""&amp;"Mk.Malhar"",IF(REGEXMATCH(AT7,""xxooxxoxxoox""),""Bhairav"",IF(REGEXMATCH(AT7,""xxoxooxxxoox""),""Todi"",IF(REGEXMATCH(AT7,""xxooxoxooxox""),""Marwa"",IF(REGEXMATCH(AT7,""xxoooxoxxooo""),""Gunkali"",IF(REGEXMATCH(AT7,""xoxoxxoxxoox""),""Nat Bhairav"",IF(R"&amp;"EGEXMATCH(AT7,""xoxxoooxoxoo""),""Shivranjani"",IF(REGEXMATCH(AT7,""xooxxxoxooxo""),""Jog"",IF(REGEXMATCH(AT7,""xxooxoxoxoox""),""Hemshri"",IF(REGEXMATCH(AT7,""xoooxooxoxxo""),""Kalavati"",IF(REGEXMATCH(AT7,""xxoxoxxoxoox""),""Kedar"",IF(REGEXMATCH(AT7,"""&amp;"xoxxxxoxooxx""),""Gara"",IF(REGEXMATCH(AT7,""xooxoxooxoox""),""Chandrakauns"",IF(REGEXMATCH(AT7,""xoxxxxoxxxox""),""Mand"",IF(REGEXMATCH(AT7,""xoxxxxoxoxox""),""Hanskinkini"",IF(REGEXMATCH(AT7,""xxooxxoxooxo""),""Lilavati"",IF(REGEXMATCH(AT7,""xooxoxoooxo"&amp;"x""),""Rajeshwari"",IF(REGEXMATCH(AT7,""xoooxxoxoxxx""),""Khokar"",IF(REGEXMATCH(AT7,""xxooxoxxxxox""),""Maligoura"",""-""))))))))))))))))))))))))))))))"),"(n/a)")</f>
        <v>(n/a)</v>
      </c>
      <c r="BG7" s="239" t="str">
        <f t="shared" si="26"/>
        <v>#REF!</v>
      </c>
      <c r="BH7" s="239">
        <f>IFERROR(__xludf.DUMMYFUNCTION("COUNTUNIQUE(FE7:FO7)-1"),4.0)</f>
        <v>4</v>
      </c>
      <c r="BI7" s="239">
        <f>IFERROR(__xludf.DUMMYFUNCTION("COUNTUNIQUE(FILTER(AT:AT,REGEXMATCH(AT:AT,AS7)))-1"),0.0)</f>
        <v>0</v>
      </c>
      <c r="BJ7" s="239">
        <f>IFERROR(__xludf.DUMMYFUNCTION("COUNTA(FILTER(AT:AT,REGEXMATCH(AT:AT,AS7)))"),1.0)</f>
        <v>1</v>
      </c>
      <c r="BK7" s="341">
        <f>IFERROR(__xludf.DUMMYFUNCTION("COUNTA(FILTER(AT:AT,REGEXMATCH(AT:AT,AS7)))-AR7"),1.0)</f>
        <v>1</v>
      </c>
      <c r="BL7" s="276" t="str">
        <f>IFERROR(__xludf.DUMMYFUNCTION("IF(AS7=""oooooooooooo"",""-"",IF(REGEXMATCH(AT7,""xx""), ""Hemi."", ""Anhemi.""))"),"Hemi.")</f>
        <v>Hemi.</v>
      </c>
      <c r="BM7" s="282" t="str">
        <f>IFERROR(__xludf.DUMMYFUNCTION("IF(AS7=""oooooooooooo"",""-"",IF(REGEXMATCH(AT7,""xxx""), ""Cohem."", ""-""))"),"-")</f>
        <v>-</v>
      </c>
      <c r="BN7" s="282" t="str">
        <f>IFERROR(__xludf.DUMMYFUNCTION("IF(AS7=""oooooooooooo"",""-"",IF(REGEXMATCH(AT7,""xxxx""), ""Co-Co."", ""-""))"),"-")</f>
        <v>-</v>
      </c>
      <c r="BO7" s="342" t="str">
        <f>IFERROR(__xludf.DUMMYFUNCTION("IF(AS7=""oooooooooooo"",""-"",IF(REGEXMATCH(AT7,""xxxxx""), ""CCC."", ""-""))"),"-")</f>
        <v>-</v>
      </c>
      <c r="BP7" s="344" t="str">
        <f t="shared" si="27"/>
        <v>-</v>
      </c>
      <c r="BQ7" s="282" t="str">
        <f>IFERROR(__xludf.DUMMYFUNCTION("IF(REGEXMATCH(JOIN(""-"",EU7:FD7),""TRUE""),""✔"",""-"")"),"✔")</f>
        <v>✔</v>
      </c>
      <c r="BR7" s="225">
        <f t="shared" si="28"/>
        <v>2</v>
      </c>
      <c r="BS7" s="345" t="str">
        <f>IFERROR(__xludf.DUMMYFUNCTION("SUBSTITUTE(SUBSTITUTE(SUBSTITUTE(SUBSTITUTE(CONCATENATE(JOIN(""-"",GC7:GO7)),""--"",""-""),""--"",""-""),""--"",""-""),""--"",""-"")"),"1-2-3-6-7-8")</f>
        <v>1-2-3-6-7-8</v>
      </c>
      <c r="BT7" s="299" t="str">
        <f>IFERROR(__xludf.DUMMYFUNCTION("SUBSTITUTE(SUBSTITUTE(SUBSTITUTE(SUBSTITUTE(CONCATENATE(JOIN(""-"",GP7:HB7)),""--"",""-""),""--"",""-""),""--"",""-""),""--"",""-"")"),"S-R2-G3-D2-N3-S")</f>
        <v>S-R2-G3-D2-N3-S</v>
      </c>
      <c r="BU7" s="348" t="str">
        <f t="shared" si="29"/>
        <v>C-D-E-A-B-C</v>
      </c>
      <c r="BV7" s="349" t="str">
        <f t="shared" si="30"/>
        <v>SrgmMPdnS</v>
      </c>
      <c r="BW7" s="350">
        <f t="shared" si="31"/>
        <v>0</v>
      </c>
      <c r="BX7" s="351">
        <f t="shared" si="32"/>
        <v>1</v>
      </c>
      <c r="BY7" s="392"/>
      <c r="BZ7" s="309" t="str">
        <f>IFERROR(__xludf.DUMMYFUNCTION("IF(REGEXMATCH(C7, ""S""), ""x"",""x"")"),"x")</f>
        <v>x</v>
      </c>
      <c r="CA7" s="245" t="str">
        <f>IFERROR(__xludf.DUMMYFUNCTION("IF(REGEXMATCH(C7, ""r""), ""o"",""x"")"),"x")</f>
        <v>x</v>
      </c>
      <c r="CB7" s="246" t="str">
        <f>IFERROR(__xludf.DUMMYFUNCTION("IF(REGEXMATCH(C7, ""R""), ""o"",""x"")"),"o")</f>
        <v>o</v>
      </c>
      <c r="CC7" s="246" t="str">
        <f>IFERROR(__xludf.DUMMYFUNCTION("IF(REGEXMATCH(C7, ""g""), ""o"",""x"")"),"x")</f>
        <v>x</v>
      </c>
      <c r="CD7" s="245" t="str">
        <f>IFERROR(__xludf.DUMMYFUNCTION("IF(REGEXMATCH(C7, ""G""), ""o"",""x"")"),"o")</f>
        <v>o</v>
      </c>
      <c r="CE7" s="245" t="str">
        <f>IFERROR(__xludf.DUMMYFUNCTION("IF(REGEXMATCH(C7, ""m""), ""o"",""x"")"),"x")</f>
        <v>x</v>
      </c>
      <c r="CF7" s="246" t="str">
        <f>IFERROR(__xludf.DUMMYFUNCTION("IF(REGEXMATCH(C7, ""M""), ""o"",""x"")"),"x")</f>
        <v>x</v>
      </c>
      <c r="CG7" s="245" t="str">
        <f>IFERROR(__xludf.DUMMYFUNCTION("IF(REGEXMATCH(C7, ""P""), ""o"",""x"")"),"x")</f>
        <v>x</v>
      </c>
      <c r="CH7" s="246" t="str">
        <f>IFERROR(__xludf.DUMMYFUNCTION("IF(REGEXMATCH(C7, ""d""), ""o"",""x"")"),"x")</f>
        <v>x</v>
      </c>
      <c r="CI7" s="245" t="str">
        <f>IFERROR(__xludf.DUMMYFUNCTION("IF(REGEXMATCH(C7, ""D""), ""o"",""x"")"),"o")</f>
        <v>o</v>
      </c>
      <c r="CJ7" s="245" t="str">
        <f>IFERROR(__xludf.DUMMYFUNCTION("IF(REGEXMATCH(C7, ""n""), ""o"",""x"")"),"x")</f>
        <v>x</v>
      </c>
      <c r="CK7" s="245" t="str">
        <f>IFERROR(__xludf.DUMMYFUNCTION("IF(REGEXMATCH(C7, ""N""), ""o"",""x"")"),"o")</f>
        <v>o</v>
      </c>
      <c r="CL7" s="356" t="str">
        <f>IFERROR(__xludf.DUMMYFUNCTION("IF(REGEXMATCH(C7, ""S""), ""x"",""x"")"),"x")</f>
        <v>x</v>
      </c>
      <c r="CM7" s="357" t="str">
        <f t="shared" si="33"/>
        <v>xxoxoxxxxoxo</v>
      </c>
      <c r="CN7" s="358">
        <f t="shared" si="34"/>
        <v>0</v>
      </c>
      <c r="CO7" s="246" t="str">
        <f>IFERROR(__xludf.DUMMYFUNCTION("IF(REGEXMATCH($C7, ""S""), ""S"",""S"")"),"S")</f>
        <v>S</v>
      </c>
      <c r="CP7" s="246" t="str">
        <f>IFERROR(__xludf.DUMMYFUNCTION("IF(REGEXMATCH($C7, ""r""), """",""r"")"),"r")</f>
        <v>r</v>
      </c>
      <c r="CQ7" s="246" t="str">
        <f>IFERROR(__xludf.DUMMYFUNCTION("IF(REGEXMATCH($C7, ""R""), """",""R"")"),"")</f>
        <v/>
      </c>
      <c r="CR7" s="246" t="str">
        <f>IFERROR(__xludf.DUMMYFUNCTION("IF(REGEXMATCH($C7, ""g""), """",""g"")"),"g")</f>
        <v>g</v>
      </c>
      <c r="CS7" s="246" t="str">
        <f>IFERROR(__xludf.DUMMYFUNCTION("IF(REGEXMATCH($C7, ""G""), """",""G"")"),"")</f>
        <v/>
      </c>
      <c r="CT7" s="246" t="str">
        <f>IFERROR(__xludf.DUMMYFUNCTION("IF(REGEXMATCH($C7, ""m""), """",""m"")"),"m")</f>
        <v>m</v>
      </c>
      <c r="CU7" s="246" t="str">
        <f>IFERROR(__xludf.DUMMYFUNCTION("IF(REGEXMATCH($C7, ""M""), """",""M"")"),"M")</f>
        <v>M</v>
      </c>
      <c r="CV7" s="246" t="str">
        <f>IFERROR(__xludf.DUMMYFUNCTION("IF(REGEXMATCH($C7, ""P""), """",""P"")"),"P")</f>
        <v>P</v>
      </c>
      <c r="CW7" s="246" t="str">
        <f>IFERROR(__xludf.DUMMYFUNCTION("IF(REGEXMATCH($C7, ""d""), """",""d"")"),"d")</f>
        <v>d</v>
      </c>
      <c r="CX7" s="246" t="str">
        <f>IFERROR(__xludf.DUMMYFUNCTION("IF(REGEXMATCH($C7, ""D""), """",""D"")"),"")</f>
        <v/>
      </c>
      <c r="CY7" s="246" t="str">
        <f>IFERROR(__xludf.DUMMYFUNCTION("IF(REGEXMATCH($C7, ""n""), """",""n"")"),"n")</f>
        <v>n</v>
      </c>
      <c r="CZ7" s="246" t="str">
        <f>IFERROR(__xludf.DUMMYFUNCTION("IF(REGEXMATCH($C7, ""N""), """",""N"")"),"")</f>
        <v/>
      </c>
      <c r="DA7" s="246" t="str">
        <f>IFERROR(__xludf.DUMMYFUNCTION("IF(REGEXMATCH($C7, ""S""), ""S"",""S"")"),"S")</f>
        <v>S</v>
      </c>
      <c r="DB7" s="362" t="str">
        <f>IFERROR(__xludf.DUMMYFUNCTION("JOIN("""",CO7:DA7,"""","""")"),"SrgmMPdnS")</f>
        <v>SrgmMPdnS</v>
      </c>
      <c r="DC7" s="363"/>
      <c r="DD7" s="301" t="str">
        <f t="shared" si="35"/>
        <v>#REF!</v>
      </c>
      <c r="DE7" s="302" t="str">
        <f t="shared" si="36"/>
        <v>#REF!</v>
      </c>
      <c r="DF7" s="301" t="str">
        <f t="shared" ref="DF7:DG7" si="201">SUBSTITUTE(S7,"-","")</f>
        <v>SRG</v>
      </c>
      <c r="DG7" s="301" t="str">
        <f t="shared" si="201"/>
        <v>DNS</v>
      </c>
      <c r="DH7" s="302" t="str">
        <f t="shared" si="38"/>
        <v>(n/a)</v>
      </c>
      <c r="DI7" s="301" t="str">
        <f t="shared" si="39"/>
        <v>Hemi.</v>
      </c>
      <c r="DJ7" s="364" t="str">
        <f t="shared" si="40"/>
        <v>-</v>
      </c>
      <c r="DK7" s="306" t="str">
        <f t="shared" si="41"/>
        <v>-</v>
      </c>
      <c r="DL7" s="366" t="str">
        <f t="shared" si="42"/>
        <v>✔</v>
      </c>
      <c r="DM7" s="308" t="str">
        <f t="shared" si="43"/>
        <v>-</v>
      </c>
      <c r="DN7" s="306" t="str">
        <f t="shared" si="44"/>
        <v>✔</v>
      </c>
      <c r="DO7" s="306" t="str">
        <f t="shared" si="45"/>
        <v>-</v>
      </c>
      <c r="DP7" s="367" t="str">
        <f t="shared" si="46"/>
        <v>-</v>
      </c>
      <c r="DQ7" s="310" t="str">
        <f t="shared" si="47"/>
        <v>-</v>
      </c>
      <c r="DR7" s="310" t="str">
        <f t="shared" si="48"/>
        <v>-</v>
      </c>
      <c r="DS7" s="310" t="str">
        <f t="shared" si="49"/>
        <v>-</v>
      </c>
      <c r="DT7" s="310" t="str">
        <f t="shared" si="50"/>
        <v>-</v>
      </c>
      <c r="DU7" s="370" t="str">
        <f t="shared" si="51"/>
        <v>-</v>
      </c>
      <c r="DV7" s="306" t="str">
        <f t="shared" si="52"/>
        <v>-</v>
      </c>
      <c r="DW7" s="306" t="str">
        <f t="shared" si="53"/>
        <v>-</v>
      </c>
      <c r="DX7" s="306" t="str">
        <f t="shared" si="54"/>
        <v>✔</v>
      </c>
      <c r="DY7" s="306" t="str">
        <f t="shared" si="55"/>
        <v>✔</v>
      </c>
      <c r="DZ7" s="306" t="str">
        <f t="shared" si="56"/>
        <v>-</v>
      </c>
      <c r="EA7" s="367" t="str">
        <f t="shared" si="57"/>
        <v>-</v>
      </c>
      <c r="EB7" s="310" t="str">
        <f>IFERROR(__xludf.DUMMYFUNCTION("IF(REGEXMATCH(AW7,AS7),""✔"",""-"")"),"-")</f>
        <v>-</v>
      </c>
      <c r="EC7" s="310" t="str">
        <f t="shared" si="58"/>
        <v>#REF!</v>
      </c>
      <c r="ED7" s="370" t="str">
        <f t="shared" si="59"/>
        <v>-</v>
      </c>
      <c r="EE7" s="340" t="str">
        <f t="shared" si="60"/>
        <v>S-R-G-D-N-S</v>
      </c>
      <c r="EF7" s="371" t="str">
        <f>IFERROR(__xludf.DUMMYFUNCTION("CONCATENATE(JOIN("""",HC7:HO7))"),"SrgdnS")</f>
        <v>SrgdnS</v>
      </c>
      <c r="EG7" s="372">
        <f t="shared" si="61"/>
        <v>2</v>
      </c>
      <c r="EH7" s="373" t="str">
        <f>IFERROR(__xludf.DUMMYFUNCTION("CONCATENATE(JOIN("""",JC7:JO7))"),"Sa, Ni, ")</f>
        <v>Sa, Ni, </v>
      </c>
      <c r="EI7" s="322">
        <f t="shared" si="62"/>
        <v>1</v>
      </c>
      <c r="EJ7" s="374" t="str">
        <f>IFERROR(__xludf.DUMMYFUNCTION("CONCATENATE(JOIN("""",KC7:KO7))"),"Sa, ")</f>
        <v>Sa, </v>
      </c>
      <c r="EK7" s="325" t="str">
        <f t="shared" si="63"/>
        <v>S-R2-G3-D2-N3-S</v>
      </c>
      <c r="EL7" s="326" t="str">
        <f t="shared" si="64"/>
        <v>1-2-3-6-7-8</v>
      </c>
      <c r="EM7" s="318" t="str">
        <f t="shared" si="65"/>
        <v>#REF!</v>
      </c>
      <c r="EN7" s="328" t="str">
        <f>IFERROR(__xludf.DUMMYFUNCTION("SUBSTITUTE(SUBSTITUTE(SUBSTITUTE(SUBSTITUTE(CONCATENATE(JOIN("" "",HP7:IB7)),""  "","" ""),""  "","" ""),""  "","" ""),""  "","" "")"),"o • o • o • • • • o • o o")</f>
        <v>o • o • o • • • • o • o o</v>
      </c>
      <c r="EO7" s="368" t="str">
        <f t="shared" si="66"/>
        <v>-</v>
      </c>
      <c r="EP7" s="339" t="str">
        <f t="shared" si="67"/>
        <v>-</v>
      </c>
      <c r="EQ7" s="339" t="str">
        <f t="shared" si="68"/>
        <v>-</v>
      </c>
      <c r="ER7" s="339" t="str">
        <f t="shared" si="69"/>
        <v>-</v>
      </c>
      <c r="ES7" s="340" t="str">
        <f t="shared" si="70"/>
        <v>-</v>
      </c>
      <c r="ET7" s="363"/>
      <c r="EU7" s="376" t="b">
        <f>IFERROR(__xludf.DUMMYFUNCTION("arrayformula(sum(--REGEXMATCH(""SRGMPDNS"",split(REGEXREPLACE(C7,""(.)"",""$1~""),""~""))))=len(C7)
"),TRUE)</f>
        <v>1</v>
      </c>
      <c r="EV7" s="290" t="b">
        <f>IFERROR(__xludf.DUMMYFUNCTION("arrayformula(sum(--REGEXMATCH(""SRGmPDNS"",split(REGEXREPLACE(C7,""(.)"",""$1~""),""~""))))=len(C7)"),TRUE)</f>
        <v>1</v>
      </c>
      <c r="EW7" s="290" t="b">
        <f>IFERROR(__xludf.DUMMYFUNCTION("arrayformula(sum(--REGEXMATCH(""SRGmPDnS"",split(REGEXREPLACE(C7,""(.)"",""$1~""),""~""))))=len(C7)"),FALSE)</f>
        <v>0</v>
      </c>
      <c r="EX7" s="290" t="b">
        <f>IFERROR(__xludf.DUMMYFUNCTION("arrayformula(sum(--REGEXMATCH(""SRgmPDnS"",split(REGEXREPLACE(C7,""(.)"",""$1~""),""~""))))=len(C7)"),FALSE)</f>
        <v>0</v>
      </c>
      <c r="EY7" s="290" t="b">
        <f>IFERROR(__xludf.DUMMYFUNCTION("arrayformula(sum(--REGEXMATCH(""SRgmPdnS"",split(REGEXREPLACE(C7,""(.)"",""$1~""),""~""))))=len(C7)"),FALSE)</f>
        <v>0</v>
      </c>
      <c r="EZ7" s="290" t="b">
        <f>IFERROR(__xludf.DUMMYFUNCTION("arrayformula(sum(--REGEXMATCH(""SrgmPdnS"",split(REGEXREPLACE(C7,""(.)"",""$1~""),""~""))))=len(C7)"),FALSE)</f>
        <v>0</v>
      </c>
      <c r="FA7" s="290" t="b">
        <f>IFERROR(__xludf.DUMMYFUNCTION("arrayformula(sum(--REGEXMATCH(""SrGmPdNS"",split(REGEXREPLACE(C7,""(.)"",""$1~""),""~""))))=len(C7)"),FALSE)</f>
        <v>0</v>
      </c>
      <c r="FB7" s="290" t="b">
        <f>IFERROR(__xludf.DUMMYFUNCTION("arrayformula(sum(--REGEXMATCH(""SrGMPDNS"",split(REGEXREPLACE(C7,""(.)"",""$1~""),""~""))))=len(C7)"),FALSE)</f>
        <v>0</v>
      </c>
      <c r="FC7" s="290" t="b">
        <f>IFERROR(__xludf.DUMMYFUNCTION("arrayformula(sum(--REGEXMATCH(""SrGMPdNS"",split(REGEXREPLACE(C7,""(.)"",""$1~""),""~""))))=len(C7)"),FALSE)</f>
        <v>0</v>
      </c>
      <c r="FD7" s="377" t="b">
        <f>IFERROR(__xludf.DUMMYFUNCTION("arrayformula(sum(--REGEXMATCH(""SrgMPdNS"",split(REGEXREPLACE(C7,""(.)"",""$1~""),""~""))))=len(C7)"),FALSE)</f>
        <v>0</v>
      </c>
      <c r="FE7" s="269" t="str">
        <f t="shared" si="71"/>
        <v>-</v>
      </c>
      <c r="FF7" s="269" t="str">
        <f t="shared" si="72"/>
        <v>xoxooooxoxx</v>
      </c>
      <c r="FG7" s="271" t="str">
        <f t="shared" si="73"/>
        <v>-</v>
      </c>
      <c r="FH7" s="269" t="str">
        <f t="shared" si="74"/>
        <v>xooooxoxxox</v>
      </c>
      <c r="FI7" s="271" t="str">
        <f t="shared" si="75"/>
        <v>-</v>
      </c>
      <c r="FJ7" s="271" t="str">
        <f t="shared" si="76"/>
        <v>-</v>
      </c>
      <c r="FK7" s="271" t="str">
        <f t="shared" si="77"/>
        <v>-</v>
      </c>
      <c r="FL7" s="271" t="str">
        <f t="shared" si="78"/>
        <v>-</v>
      </c>
      <c r="FM7" s="271" t="str">
        <f t="shared" si="79"/>
        <v>xoxxoxoxooo</v>
      </c>
      <c r="FN7" s="271" t="str">
        <f t="shared" si="80"/>
        <v>-</v>
      </c>
      <c r="FO7" s="274" t="str">
        <f t="shared" si="81"/>
        <v>xxoxoxoooox</v>
      </c>
      <c r="FP7" s="234" t="str">
        <f t="shared" si="82"/>
        <v>|</v>
      </c>
      <c r="FQ7" s="236" t="str">
        <f t="shared" si="83"/>
        <v>-</v>
      </c>
      <c r="FR7" s="237" t="str">
        <f t="shared" si="84"/>
        <v>|</v>
      </c>
      <c r="FS7" s="236" t="str">
        <f t="shared" si="85"/>
        <v>-</v>
      </c>
      <c r="FT7" s="237" t="str">
        <f t="shared" si="86"/>
        <v>|</v>
      </c>
      <c r="FU7" s="236" t="str">
        <f t="shared" si="87"/>
        <v>-</v>
      </c>
      <c r="FV7" s="237" t="str">
        <f t="shared" si="88"/>
        <v>-</v>
      </c>
      <c r="FW7" s="236" t="str">
        <f t="shared" si="89"/>
        <v>-</v>
      </c>
      <c r="FX7" s="237" t="str">
        <f t="shared" si="90"/>
        <v>-</v>
      </c>
      <c r="FY7" s="236" t="str">
        <f t="shared" si="91"/>
        <v>|</v>
      </c>
      <c r="FZ7" s="237" t="str">
        <f t="shared" si="92"/>
        <v>-</v>
      </c>
      <c r="GA7" s="236" t="str">
        <f t="shared" si="93"/>
        <v>|</v>
      </c>
      <c r="GB7" s="238" t="str">
        <f t="shared" si="94"/>
        <v>|</v>
      </c>
      <c r="GC7" s="244" t="str">
        <f>IFERROR(__xludf.DUMMYFUNCTION("IF(REGEXMATCH(C7, ""S""), ""1"","""")"),"1")</f>
        <v>1</v>
      </c>
      <c r="GD7" s="245" t="str">
        <f>IFERROR(__xludf.DUMMYFUNCTION("IF(REGEXMATCH(C7, ""r""), ""b2"","""")"),"")</f>
        <v/>
      </c>
      <c r="GE7" s="246" t="str">
        <f>IFERROR(__xludf.DUMMYFUNCTION("IF(REGEXMATCH(C7, ""R""), ""2"","""")"),"2")</f>
        <v>2</v>
      </c>
      <c r="GF7" s="246" t="str">
        <f>IFERROR(__xludf.DUMMYFUNCTION("IF(REGEXMATCH(C7, ""g""), ""b3"","""")"),"")</f>
        <v/>
      </c>
      <c r="GG7" s="245" t="str">
        <f>IFERROR(__xludf.DUMMYFUNCTION("IF(REGEXMATCH(C7, ""G""), ""3"","""")"),"3")</f>
        <v>3</v>
      </c>
      <c r="GH7" s="245" t="str">
        <f>IFERROR(__xludf.DUMMYFUNCTION("IF(REGEXMATCH(C7, ""m""), ""4"","""")"),"")</f>
        <v/>
      </c>
      <c r="GI7" s="246" t="str">
        <f>IFERROR(__xludf.DUMMYFUNCTION("IF(REGEXMATCH(C7, ""M""), ""#4"","""")"),"")</f>
        <v/>
      </c>
      <c r="GJ7" s="245" t="str">
        <f>IFERROR(__xludf.DUMMYFUNCTION("IF(REGEXMATCH(C7, ""P""), ""5"","""")"),"")</f>
        <v/>
      </c>
      <c r="GK7" s="246" t="str">
        <f>IFERROR(__xludf.DUMMYFUNCTION("IF(REGEXMATCH(C7, ""d""), ""b6"","""")"),"")</f>
        <v/>
      </c>
      <c r="GL7" s="245" t="str">
        <f>IFERROR(__xludf.DUMMYFUNCTION("IF(REGEXMATCH(C7, ""D""), ""6"","""")"),"6")</f>
        <v>6</v>
      </c>
      <c r="GM7" s="245" t="str">
        <f>IFERROR(__xludf.DUMMYFUNCTION("IF(REGEXMATCH(C7, ""n""), ""b7"","""")"),"")</f>
        <v/>
      </c>
      <c r="GN7" s="246" t="str">
        <f>IFERROR(__xludf.DUMMYFUNCTION("IF(REGEXMATCH(C7, ""N""), ""7"","""")"),"7")</f>
        <v>7</v>
      </c>
      <c r="GO7" s="249" t="str">
        <f>IFERROR(__xludf.DUMMYFUNCTION("IF(REGEXMATCH(C7, ""S""), ""8"","""")"),"8")</f>
        <v>8</v>
      </c>
      <c r="GP7" s="244" t="str">
        <f>IFERROR(__xludf.DUMMYFUNCTION("IF(REGEXMATCH(C7, ""S""), ""S"","""")"),"S")</f>
        <v>S</v>
      </c>
      <c r="GQ7" s="294" t="str">
        <f>IFERROR(__xludf.DUMMYFUNCTION("IF(REGEXMATCH(C7, ""r""), ""R1"","""")"),"")</f>
        <v/>
      </c>
      <c r="GR7" s="295" t="str">
        <f>IFERROR(__xludf.DUMMYFUNCTION("IF(REGEXMATCH(C7, ""R""), ""R2"","""")"),"R2")</f>
        <v>R2</v>
      </c>
      <c r="GS7" s="295" t="str">
        <f>IFERROR(__xludf.DUMMYFUNCTION("IF(REGEXMATCH(C7, ""g""), ""G2"","""")"),"")</f>
        <v/>
      </c>
      <c r="GT7" s="294" t="str">
        <f>IFERROR(__xludf.DUMMYFUNCTION("IF(REGEXMATCH(C7, ""G""), ""G3"","""")"),"G3")</f>
        <v>G3</v>
      </c>
      <c r="GU7" s="294" t="str">
        <f>IFERROR(__xludf.DUMMYFUNCTION("IF(REGEXMATCH(C7, ""m""), ""M1"","""")"),"")</f>
        <v/>
      </c>
      <c r="GV7" s="295" t="str">
        <f>IFERROR(__xludf.DUMMYFUNCTION("IF(REGEXMATCH(C7, ""M""), ""M2"","""")"),"")</f>
        <v/>
      </c>
      <c r="GW7" s="294" t="str">
        <f>IFERROR(__xludf.DUMMYFUNCTION("IF(REGEXMATCH(C7, ""P""), ""P"","""")"),"")</f>
        <v/>
      </c>
      <c r="GX7" s="295" t="str">
        <f>IFERROR(__xludf.DUMMYFUNCTION("IF(REGEXMATCH(C7, ""d""), ""D1"","""")"),"")</f>
        <v/>
      </c>
      <c r="GY7" s="294" t="str">
        <f>IFERROR(__xludf.DUMMYFUNCTION("IF(REGEXMATCH(C7, ""D""), ""D2"","""")"),"D2")</f>
        <v>D2</v>
      </c>
      <c r="GZ7" s="294" t="str">
        <f>IFERROR(__xludf.DUMMYFUNCTION("IF(REGEXMATCH(C7, ""n""), ""N2"","""")"),"")</f>
        <v/>
      </c>
      <c r="HA7" s="295" t="str">
        <f>IFERROR(__xludf.DUMMYFUNCTION("IF(REGEXMATCH(C7, ""N""), ""N3"","""")"),"N3")</f>
        <v>N3</v>
      </c>
      <c r="HB7" s="249" t="str">
        <f>IFERROR(__xludf.DUMMYFUNCTION("IF(REGEXMATCH(C7, ""S""), ""S"","""")"),"S")</f>
        <v>S</v>
      </c>
      <c r="HC7" s="331" t="str">
        <f t="shared" si="95"/>
        <v>S</v>
      </c>
      <c r="HD7" s="332" t="str">
        <f t="shared" si="96"/>
        <v>r</v>
      </c>
      <c r="HE7" s="332" t="str">
        <f t="shared" si="97"/>
        <v/>
      </c>
      <c r="HF7" s="332" t="str">
        <f t="shared" si="98"/>
        <v>g</v>
      </c>
      <c r="HG7" s="332" t="str">
        <f t="shared" si="99"/>
        <v/>
      </c>
      <c r="HH7" s="332" t="str">
        <f t="shared" si="100"/>
        <v/>
      </c>
      <c r="HI7" s="332" t="str">
        <f t="shared" si="101"/>
        <v/>
      </c>
      <c r="HJ7" s="332" t="str">
        <f t="shared" si="102"/>
        <v/>
      </c>
      <c r="HK7" s="332" t="str">
        <f t="shared" si="103"/>
        <v>d</v>
      </c>
      <c r="HL7" s="332" t="str">
        <f t="shared" si="104"/>
        <v/>
      </c>
      <c r="HM7" s="332" t="str">
        <f t="shared" si="105"/>
        <v>n</v>
      </c>
      <c r="HN7" s="332" t="str">
        <f t="shared" si="106"/>
        <v/>
      </c>
      <c r="HO7" s="343" t="str">
        <f t="shared" si="107"/>
        <v>S</v>
      </c>
      <c r="HP7" s="331" t="str">
        <f t="shared" si="108"/>
        <v>o</v>
      </c>
      <c r="HQ7" s="332" t="str">
        <f t="shared" si="109"/>
        <v>•</v>
      </c>
      <c r="HR7" s="332" t="str">
        <f t="shared" si="110"/>
        <v>o</v>
      </c>
      <c r="HS7" s="332" t="str">
        <f t="shared" si="111"/>
        <v>•</v>
      </c>
      <c r="HT7" s="332" t="str">
        <f t="shared" si="112"/>
        <v>o</v>
      </c>
      <c r="HU7" s="332" t="str">
        <f t="shared" si="113"/>
        <v>•</v>
      </c>
      <c r="HV7" s="332" t="str">
        <f t="shared" si="114"/>
        <v>•</v>
      </c>
      <c r="HW7" s="332" t="str">
        <f t="shared" si="115"/>
        <v>•</v>
      </c>
      <c r="HX7" s="332" t="str">
        <f t="shared" si="116"/>
        <v>•</v>
      </c>
      <c r="HY7" s="332" t="str">
        <f t="shared" si="117"/>
        <v>o</v>
      </c>
      <c r="HZ7" s="332" t="str">
        <f t="shared" si="118"/>
        <v>•</v>
      </c>
      <c r="IA7" s="332" t="str">
        <f t="shared" si="119"/>
        <v>o</v>
      </c>
      <c r="IB7" s="338" t="str">
        <f t="shared" si="120"/>
        <v>o</v>
      </c>
      <c r="IC7" s="331" t="str">
        <f t="shared" si="121"/>
        <v>•</v>
      </c>
      <c r="ID7" s="332" t="str">
        <f t="shared" si="122"/>
        <v>o</v>
      </c>
      <c r="IE7" s="332" t="str">
        <f t="shared" si="123"/>
        <v>•</v>
      </c>
      <c r="IF7" s="332" t="str">
        <f t="shared" si="124"/>
        <v>o</v>
      </c>
      <c r="IG7" s="332" t="str">
        <f t="shared" si="125"/>
        <v>•</v>
      </c>
      <c r="IH7" s="332" t="str">
        <f t="shared" si="126"/>
        <v>o</v>
      </c>
      <c r="II7" s="332" t="str">
        <f t="shared" si="127"/>
        <v>o</v>
      </c>
      <c r="IJ7" s="332" t="str">
        <f t="shared" si="128"/>
        <v>o</v>
      </c>
      <c r="IK7" s="332" t="str">
        <f t="shared" si="129"/>
        <v>o</v>
      </c>
      <c r="IL7" s="332" t="str">
        <f t="shared" si="130"/>
        <v>•</v>
      </c>
      <c r="IM7" s="332" t="str">
        <f t="shared" si="131"/>
        <v>o</v>
      </c>
      <c r="IN7" s="332" t="str">
        <f t="shared" si="132"/>
        <v>•</v>
      </c>
      <c r="IO7" s="338" t="str">
        <f t="shared" si="133"/>
        <v>•</v>
      </c>
      <c r="IP7" s="346" t="b">
        <f t="shared" si="134"/>
        <v>1</v>
      </c>
      <c r="IQ7" s="347" t="b">
        <f t="shared" si="135"/>
        <v>0</v>
      </c>
      <c r="IR7" s="347" t="b">
        <f t="shared" si="136"/>
        <v>0</v>
      </c>
      <c r="IS7" s="347" t="b">
        <f t="shared" si="137"/>
        <v>0</v>
      </c>
      <c r="IT7" s="347" t="b">
        <f t="shared" si="138"/>
        <v>0</v>
      </c>
      <c r="IU7" s="347" t="b">
        <f t="shared" si="139"/>
        <v>0</v>
      </c>
      <c r="IV7" s="347" t="b">
        <f t="shared" si="140"/>
        <v>0</v>
      </c>
      <c r="IW7" s="347" t="b">
        <f t="shared" si="141"/>
        <v>0</v>
      </c>
      <c r="IX7" s="347" t="b">
        <f t="shared" si="142"/>
        <v>0</v>
      </c>
      <c r="IY7" s="347" t="b">
        <f t="shared" si="143"/>
        <v>0</v>
      </c>
      <c r="IZ7" s="347" t="b">
        <f t="shared" si="144"/>
        <v>0</v>
      </c>
      <c r="JA7" s="347" t="b">
        <f t="shared" si="145"/>
        <v>1</v>
      </c>
      <c r="JB7" s="353" t="b">
        <f t="shared" si="146"/>
        <v>1</v>
      </c>
      <c r="JC7" s="354" t="str">
        <f t="shared" si="147"/>
        <v>Sa, </v>
      </c>
      <c r="JD7" s="355" t="str">
        <f t="shared" si="148"/>
        <v/>
      </c>
      <c r="JE7" s="355" t="str">
        <f t="shared" si="149"/>
        <v/>
      </c>
      <c r="JF7" s="355" t="str">
        <f t="shared" si="150"/>
        <v/>
      </c>
      <c r="JG7" s="355" t="str">
        <f t="shared" si="151"/>
        <v/>
      </c>
      <c r="JH7" s="355" t="str">
        <f t="shared" si="152"/>
        <v/>
      </c>
      <c r="JI7" s="355" t="str">
        <f t="shared" si="153"/>
        <v/>
      </c>
      <c r="JJ7" s="355" t="str">
        <f t="shared" si="154"/>
        <v/>
      </c>
      <c r="JK7" s="355" t="str">
        <f t="shared" si="155"/>
        <v/>
      </c>
      <c r="JL7" s="355" t="str">
        <f t="shared" si="156"/>
        <v/>
      </c>
      <c r="JM7" s="355" t="str">
        <f t="shared" si="157"/>
        <v/>
      </c>
      <c r="JN7" s="355" t="str">
        <f t="shared" si="158"/>
        <v>Ni, </v>
      </c>
      <c r="JO7" s="359" t="str">
        <f t="shared" si="159"/>
        <v/>
      </c>
      <c r="JP7" s="346" t="b">
        <f t="shared" si="160"/>
        <v>1</v>
      </c>
      <c r="JQ7" s="347" t="b">
        <f t="shared" si="161"/>
        <v>0</v>
      </c>
      <c r="JR7" s="347" t="b">
        <f t="shared" si="162"/>
        <v>0</v>
      </c>
      <c r="JS7" s="347" t="b">
        <f t="shared" si="163"/>
        <v>0</v>
      </c>
      <c r="JT7" s="347" t="b">
        <f t="shared" si="164"/>
        <v>0</v>
      </c>
      <c r="JU7" s="347" t="b">
        <f t="shared" si="165"/>
        <v>0</v>
      </c>
      <c r="JV7" s="347" t="b">
        <f t="shared" si="166"/>
        <v>0</v>
      </c>
      <c r="JW7" s="347" t="b">
        <f t="shared" si="167"/>
        <v>0</v>
      </c>
      <c r="JX7" s="347" t="b">
        <f t="shared" si="168"/>
        <v>0</v>
      </c>
      <c r="JY7" s="347" t="b">
        <f t="shared" si="169"/>
        <v>0</v>
      </c>
      <c r="JZ7" s="347" t="b">
        <f t="shared" si="170"/>
        <v>0</v>
      </c>
      <c r="KA7" s="347" t="b">
        <f t="shared" si="171"/>
        <v>0</v>
      </c>
      <c r="KB7" s="365" t="b">
        <f t="shared" si="172"/>
        <v>1</v>
      </c>
      <c r="KC7" s="354" t="str">
        <f t="shared" si="173"/>
        <v>Sa, </v>
      </c>
      <c r="KD7" s="355" t="str">
        <f t="shared" si="174"/>
        <v/>
      </c>
      <c r="KE7" s="355" t="str">
        <f t="shared" si="175"/>
        <v/>
      </c>
      <c r="KF7" s="355" t="str">
        <f t="shared" si="176"/>
        <v/>
      </c>
      <c r="KG7" s="355" t="str">
        <f t="shared" si="177"/>
        <v/>
      </c>
      <c r="KH7" s="355" t="str">
        <f t="shared" si="178"/>
        <v/>
      </c>
      <c r="KI7" s="355" t="str">
        <f t="shared" si="179"/>
        <v/>
      </c>
      <c r="KJ7" s="355" t="str">
        <f t="shared" si="180"/>
        <v/>
      </c>
      <c r="KK7" s="355" t="str">
        <f t="shared" si="181"/>
        <v/>
      </c>
      <c r="KL7" s="355" t="str">
        <f t="shared" si="182"/>
        <v/>
      </c>
      <c r="KM7" s="355" t="str">
        <f t="shared" si="183"/>
        <v/>
      </c>
      <c r="KN7" s="355" t="str">
        <f t="shared" si="184"/>
        <v/>
      </c>
      <c r="KO7" s="359"/>
      <c r="KP7" s="378"/>
      <c r="KQ7" s="379" t="s">
        <v>467</v>
      </c>
      <c r="KR7" s="380" t="s">
        <v>492</v>
      </c>
      <c r="KS7" s="381" t="str">
        <f t="shared" ref="KS7:KS13" si="204">KQ7</f>
        <v>S-R-G-D-N-S</v>
      </c>
      <c r="KT7" s="382">
        <f t="shared" si="186"/>
        <v>5</v>
      </c>
      <c r="KU7" s="383">
        <f t="shared" si="187"/>
        <v>5</v>
      </c>
      <c r="KV7" s="381" t="str">
        <f t="shared" ref="KV7:KV369" si="205">KR7</f>
        <v>S-N-D-G-R-S</v>
      </c>
      <c r="KW7" s="382">
        <f t="shared" si="189"/>
        <v>5</v>
      </c>
      <c r="KX7" s="384">
        <f t="shared" si="190"/>
        <v>5</v>
      </c>
      <c r="KY7" s="382">
        <f t="shared" ref="KY7:KZ7" si="202">KW7-KT7</f>
        <v>0</v>
      </c>
      <c r="KZ7" s="369">
        <f t="shared" si="202"/>
        <v>0</v>
      </c>
      <c r="LA7" s="385" t="str">
        <f t="shared" si="192"/>
        <v>✔</v>
      </c>
      <c r="LB7" s="340" t="str">
        <f>IFERROR(__xludf.DUMMYFUNCTION("JOIN("""",ArrayFormula(MID(KS7,LEN(KS7)-SEQUENCE(1,LEN(KS7))+1,1)))"),"S-N-D-G-R-S")</f>
        <v>S-N-D-G-R-S</v>
      </c>
      <c r="LC7" s="373" t="str">
        <f>IFERROR(__xludf.DUMMYFUNCTION("JOIN("""",ArrayFormula(MID(KV7,LEN(KV7)-SEQUENCE(1,LEN(KV7))+1,1)))"),"S-R-G-D-N-S")</f>
        <v>S-R-G-D-N-S</v>
      </c>
      <c r="LD7" s="373" t="str">
        <f t="shared" si="193"/>
        <v>SRGDNS</v>
      </c>
      <c r="LE7" s="339" t="str">
        <f t="shared" si="194"/>
        <v>SRGDNS</v>
      </c>
      <c r="LF7" s="386" t="str">
        <f>IFERROR(__xludf.DUMMYFUNCTION("SUBSTITUTE(SUBSTITUTE(CONCATENATE(JOIN("""",LH7:LT7)),""1"",""""),""2"","""")"),"SRGDNS")</f>
        <v>SRGDNS</v>
      </c>
      <c r="LG7" s="369" t="str">
        <f t="shared" si="195"/>
        <v>✔</v>
      </c>
      <c r="LH7" s="387" t="str">
        <f>IFERROR(__xludf.DUMMYFUNCTION("IF(REGEXMATCH(LD7, ""S""), ""S"",IF(REGEXMATCH(LE7, ""S""), ""S"",""""))"),"S")</f>
        <v>S</v>
      </c>
      <c r="LI7" s="299" t="str">
        <f>IFERROR(__xludf.DUMMYFUNCTION("IF(REGEXMATCH(LD7, ""r""), ""r1"",IF(REGEXMATCH(LE7, ""r""), ""r2"",""""))"),"")</f>
        <v/>
      </c>
      <c r="LJ7" s="299" t="str">
        <f>IFERROR(__xludf.DUMMYFUNCTION("IF(REGEXMATCH(LD7, ""R""), ""R1"",IF(REGEXMATCH(LE7, ""R""), ""R2"",""""))"),"R1")</f>
        <v>R1</v>
      </c>
      <c r="LK7" s="299" t="str">
        <f>IFERROR(__xludf.DUMMYFUNCTION("IF(REGEXMATCH(LD7, ""g""), ""g1"",IF(REGEXMATCH(LE7, ""g""), ""g2"",""""))"),"")</f>
        <v/>
      </c>
      <c r="LL7" s="299" t="str">
        <f>IFERROR(__xludf.DUMMYFUNCTION("IF(REGEXMATCH(LD7, ""G""), ""G1"",IF(REGEXMATCH(LE7, ""G""), ""G2"",""""))"),"G1")</f>
        <v>G1</v>
      </c>
      <c r="LM7" s="299" t="str">
        <f>IFERROR(__xludf.DUMMYFUNCTION("IF(REGEXMATCH(LD7, ""m""), ""m1"",IF(REGEXMATCH(LE7, ""m""), ""m2"",""""))"),"")</f>
        <v/>
      </c>
      <c r="LN7" s="299" t="str">
        <f>IFERROR(__xludf.DUMMYFUNCTION("IF(REGEXMATCH(LD7, ""M""), ""M1"",IF(REGEXMATCH(LE7, ""M""), ""M2"",""""))"),"")</f>
        <v/>
      </c>
      <c r="LO7" s="299" t="str">
        <f>IFERROR(__xludf.DUMMYFUNCTION("IF(REGEXMATCH(LD7, ""P""), ""P1"",IF(REGEXMATCH(LE7, ""P""), ""P2"",""""))"),"")</f>
        <v/>
      </c>
      <c r="LP7" s="299" t="str">
        <f>IFERROR(__xludf.DUMMYFUNCTION("IF(REGEXMATCH(LD7, ""d""), ""d1"",IF(REGEXMATCH(LE7, ""d""), ""d2"",""""))"),"")</f>
        <v/>
      </c>
      <c r="LQ7" s="299" t="str">
        <f>IFERROR(__xludf.DUMMYFUNCTION("IF(REGEXMATCH(LD7, ""D""), ""D1"",IF(REGEXMATCH(LE7, ""D""), ""D2"",""""))"),"D1")</f>
        <v>D1</v>
      </c>
      <c r="LR7" s="299" t="str">
        <f>IFERROR(__xludf.DUMMYFUNCTION("IF(REGEXMATCH(LD7, ""n""), ""n1"",IF(REGEXMATCH(LE7, ""n""), ""n2"",""""))"),"")</f>
        <v/>
      </c>
      <c r="LS7" s="299" t="str">
        <f>IFERROR(__xludf.DUMMYFUNCTION("IF(REGEXMATCH(LD7, ""N""), ""N1"",IF(REGEXMATCH(LE7, ""N""), ""N2"",""""))"),"N1")</f>
        <v>N1</v>
      </c>
      <c r="LT7" s="388" t="str">
        <f>IFERROR(__xludf.DUMMYFUNCTION("IF(REGEXMATCH(LD7, ""S""), ""S"",IF(REGEXMATCH(LE7, ""S""), ""S"",""""))"),"S")</f>
        <v>S</v>
      </c>
      <c r="LU7" s="389">
        <f t="shared" si="196"/>
        <v>1</v>
      </c>
      <c r="LV7" s="378"/>
      <c r="LW7" s="369"/>
      <c r="LX7" s="369"/>
    </row>
    <row r="8" ht="20.25" customHeight="1">
      <c r="A8" s="298" t="s">
        <v>494</v>
      </c>
      <c r="B8" s="222" t="s">
        <v>496</v>
      </c>
      <c r="C8" s="233" t="str">
        <f t="shared" si="7"/>
        <v>SrRGmPDNS</v>
      </c>
      <c r="D8" s="234" t="str">
        <f>IFERROR(__xludf.DUMMYFUNCTION("IF(REGEXMATCH(C8, ""S""), ""S"","""")"),"S")</f>
        <v>S</v>
      </c>
      <c r="E8" s="236" t="str">
        <f>IFERROR(__xludf.DUMMYFUNCTION("IF(REGEXMATCH(C8, ""r""), ""r"","""")"),"r")</f>
        <v>r</v>
      </c>
      <c r="F8" s="237" t="str">
        <f>IFERROR(__xludf.DUMMYFUNCTION("IF(REGEXMATCH(C8, ""R""), ""R"","""")"),"R")</f>
        <v>R</v>
      </c>
      <c r="G8" s="237" t="str">
        <f>IFERROR(__xludf.DUMMYFUNCTION("IF(REGEXMATCH(C8, ""g""), ""g"","""")"),"")</f>
        <v/>
      </c>
      <c r="H8" s="236" t="str">
        <f>IFERROR(__xludf.DUMMYFUNCTION("IF(REGEXMATCH(C8, ""G""), ""G"","""")"),"G")</f>
        <v>G</v>
      </c>
      <c r="I8" s="236" t="str">
        <f>IFERROR(__xludf.DUMMYFUNCTION("IF(REGEXMATCH(C8, ""m""), ""m"","""")"),"m")</f>
        <v>m</v>
      </c>
      <c r="J8" s="237" t="str">
        <f>IFERROR(__xludf.DUMMYFUNCTION("IF(REGEXMATCH(C8, ""M""), ""M"","""")"),"")</f>
        <v/>
      </c>
      <c r="K8" s="236" t="str">
        <f>IFERROR(__xludf.DUMMYFUNCTION("IF(REGEXMATCH(C8, ""P""), ""P"","""")"),"P")</f>
        <v>P</v>
      </c>
      <c r="L8" s="237" t="str">
        <f>IFERROR(__xludf.DUMMYFUNCTION("IF(REGEXMATCH(C8, ""d""), ""d"","""")"),"")</f>
        <v/>
      </c>
      <c r="M8" s="236" t="str">
        <f>IFERROR(__xludf.DUMMYFUNCTION("IF(REGEXMATCH(C8, ""D""), ""D"","""")"),"D")</f>
        <v>D</v>
      </c>
      <c r="N8" s="236" t="str">
        <f>IFERROR(__xludf.DUMMYFUNCTION("IF(REGEXMATCH(C8, ""n""), ""n"","""")"),"")</f>
        <v/>
      </c>
      <c r="O8" s="237" t="str">
        <f>IFERROR(__xludf.DUMMYFUNCTION("IF(REGEXMATCH(C8, ""N""), ""N"","""")"),"N")</f>
        <v>N</v>
      </c>
      <c r="P8" s="238" t="str">
        <f>IFERROR(__xludf.DUMMYFUNCTION("IF(REGEXMATCH(C8, ""S""), ""S"","""")"),"S")</f>
        <v>S</v>
      </c>
      <c r="Q8" s="239" t="str">
        <f>IFERROR(__xludf.DUMMYFUNCTION("SUBSTITUTE(CONCATENATE(JOIN(""-"",D8:J8)),""-"","""")"),"SrRGm")</f>
        <v>SrRGm</v>
      </c>
      <c r="R8" s="229" t="str">
        <f>IFERROR(__xludf.DUMMYFUNCTION("SUBSTITUTE(CONCATENATE(JOIN(""-"",K8:P8)),""-"","""")"),"PDNS")</f>
        <v>PDNS</v>
      </c>
      <c r="S8" s="282" t="str">
        <f t="shared" si="8"/>
        <v>S-R-G-M</v>
      </c>
      <c r="T8" s="282" t="str">
        <f t="shared" si="9"/>
        <v>P-D-N-S</v>
      </c>
      <c r="U8" s="237" t="str">
        <f>IFERROR(__xludf.DUMMYFUNCTION("SUBSTITUTE(JOIN(""-"",S8,T8),""--"",""-"")"),"S-R-G-M-P-D-N-S")</f>
        <v>S-R-G-M-P-D-N-S</v>
      </c>
      <c r="V8" s="309" t="str">
        <f t="shared" si="10"/>
        <v>rRGmDN</v>
      </c>
      <c r="W8" s="244" t="str">
        <f>IFERROR(__xludf.DUMMYFUNCTION("IF(REGEXMATCH(C8, ""S""), ""0"","""")"),"0")</f>
        <v>0</v>
      </c>
      <c r="X8" s="245" t="str">
        <f>IFERROR(__xludf.DUMMYFUNCTION("IF(REGEXMATCH(C8, ""r""), ""1"","""")"),"1")</f>
        <v>1</v>
      </c>
      <c r="Y8" s="246" t="str">
        <f>IFERROR(__xludf.DUMMYFUNCTION("IF(REGEXMATCH(C8, ""R""), ""2"","""")"),"2")</f>
        <v>2</v>
      </c>
      <c r="Z8" s="246" t="str">
        <f>IFERROR(__xludf.DUMMYFUNCTION("IF(REGEXMATCH(C8, ""g""), ""3"","""")"),"")</f>
        <v/>
      </c>
      <c r="AA8" s="245" t="str">
        <f>IFERROR(__xludf.DUMMYFUNCTION("IF(REGEXMATCH(C8, ""G""), ""4"","""")"),"4")</f>
        <v>4</v>
      </c>
      <c r="AB8" s="245" t="str">
        <f>IFERROR(__xludf.DUMMYFUNCTION("IF(REGEXMATCH(C8, ""m""), ""5"","""")"),"5")</f>
        <v>5</v>
      </c>
      <c r="AC8" s="246" t="str">
        <f>IFERROR(__xludf.DUMMYFUNCTION("IF(REGEXMATCH(C8, ""M""), ""6"","""")"),"")</f>
        <v/>
      </c>
      <c r="AD8" s="245" t="str">
        <f>IFERROR(__xludf.DUMMYFUNCTION("IF(REGEXMATCH(C8, ""P""), ""7"","""")"),"7")</f>
        <v>7</v>
      </c>
      <c r="AE8" s="246" t="str">
        <f>IFERROR(__xludf.DUMMYFUNCTION("IF(REGEXMATCH(C8, ""d""), ""8"","""")"),"")</f>
        <v/>
      </c>
      <c r="AF8" s="245" t="str">
        <f>IFERROR(__xludf.DUMMYFUNCTION("IF(REGEXMATCH(C8, ""D""), ""9"","""")"),"9")</f>
        <v>9</v>
      </c>
      <c r="AG8" s="245" t="str">
        <f>IFERROR(__xludf.DUMMYFUNCTION("IF(REGEXMATCH(C8, ""n""), ""10"","""")"),"")</f>
        <v/>
      </c>
      <c r="AH8" s="246" t="str">
        <f>IFERROR(__xludf.DUMMYFUNCTION("IF(REGEXMATCH(C8, ""N""), ""11"","""")"),"11")</f>
        <v>11</v>
      </c>
      <c r="AI8" s="249" t="str">
        <f>IFERROR(__xludf.DUMMYFUNCTION("IF(REGEXMATCH(C8, ""S""), ""0"","""")"),"0")</f>
        <v>0</v>
      </c>
      <c r="AJ8" s="313" t="str">
        <f t="shared" si="11"/>
        <v>-</v>
      </c>
      <c r="AK8" s="313" t="str">
        <f t="shared" si="12"/>
        <v>T</v>
      </c>
      <c r="AL8" s="313" t="str">
        <f t="shared" si="13"/>
        <v>-</v>
      </c>
      <c r="AM8" s="313" t="str">
        <f t="shared" si="14"/>
        <v>-</v>
      </c>
      <c r="AN8" s="313" t="str">
        <f t="shared" si="15"/>
        <v>-</v>
      </c>
      <c r="AO8" s="314" t="str">
        <f t="shared" si="16"/>
        <v>T</v>
      </c>
      <c r="AP8" s="316">
        <f t="shared" si="17"/>
        <v>2</v>
      </c>
      <c r="AQ8" s="319" t="str">
        <f t="shared" si="18"/>
        <v>#REF!</v>
      </c>
      <c r="AR8" s="320">
        <f t="shared" si="19"/>
        <v>0</v>
      </c>
      <c r="AS8" s="250" t="str">
        <f>IFERROR(__xludf.DUMMYFUNCTION("SUBSTITUTE(SUBSTITUTE(CONCATENATE(JOIN("""",FP8:GA8)),""|"",""x""),""-"",""o"")"),"xxxoxxoxoxox")</f>
        <v>xxxoxxoxoxox</v>
      </c>
      <c r="AT8" s="323" t="str">
        <f>IFERROR(__xludf.DUMMYFUNCTION("JOIN("""",AS8,AS8)"),"xxxoxxoxoxoxxxxoxxoxoxox")</f>
        <v>xxxoxxoxoxoxxxxoxxoxoxox</v>
      </c>
      <c r="AU8" s="256" t="str">
        <f>IFERROR(__xludf.DUMMYFUNCTION("JOIN("""",ArrayFormula(MID(AS8,LEN(AS8)-SEQUENCE(1,LEN(AS8))+1,1)))"),"xoxoxoxxoxxx")</f>
        <v>xoxoxoxxoxxx</v>
      </c>
      <c r="AV8" s="256" t="str">
        <f>IFERROR(__xludf.DUMMYFUNCTION("LEFT(CONCATENATE(""x"",JOIN("""",ArrayFormula(MID(AS8,LEN(AS8)-SEQUENCE(1,LEN(AS8))+1,1)))),12)"),"xxoxoxoxxoxx")</f>
        <v>xxoxoxoxxoxx</v>
      </c>
      <c r="AW8" s="327" t="str">
        <f>IFERROR(__xludf.DUMMYFUNCTION("JOIN("""",AU8,AU8)"),"xoxoxoxxoxxxxoxoxoxxoxxx")</f>
        <v>xoxoxoxxoxxxxoxoxoxxoxxx</v>
      </c>
      <c r="AX8" s="239" t="str">
        <f>IFERROR(__xludf.DUMMYFUNCTION("IF(REGEXMATCH(AW8,AS8),""✔"",""-"")"),"-")</f>
        <v>-</v>
      </c>
      <c r="AY8" s="330" t="str">
        <f t="shared" si="20"/>
        <v>-</v>
      </c>
      <c r="AZ8" s="260" t="str">
        <f t="shared" si="21"/>
        <v>#REF!</v>
      </c>
      <c r="BA8" s="333" t="str">
        <f t="shared" si="22"/>
        <v>xxxoxxo</v>
      </c>
      <c r="BB8" s="334" t="str">
        <f t="shared" si="23"/>
        <v>xoxoxx</v>
      </c>
      <c r="BC8" s="335" t="str">
        <f t="shared" si="24"/>
        <v>-</v>
      </c>
      <c r="BD8" s="336" t="str">
        <f t="shared" si="25"/>
        <v>Adi Basant: 'xxxoxxo' + 'xoxoxx'</v>
      </c>
      <c r="BE8" s="337">
        <f>IFERROR(__xludf.DUMMYFUNCTION("COUNTUNIQUE(FILTER(AT:AT,REGEXMATCH(AT:AT,AS8)))-1"),3.0)</f>
        <v>3</v>
      </c>
      <c r="BF8" s="261" t="str">
        <f>IFERROR(__xludf.DUMMYFUNCTION("IF(BI8=0,""(n/a)"",IF(BJ8=2,""(PAIR)"",IF(REGEXMATCH(AT8,""xoxoxxoxoxox""),""Bilawal"",IF(REGEXMATCH(AT8,""xoxoxooxoxoo""),""Bhupali"",IF(REGEXMATCH(AT8,""xoxoxxoxxoxo""),""Charukeshi"",IF(REGEXMATCH(AT8,""xoxoooxxoxxo""),""Kameshwari"",IF(REGEXMATCH(AT8,"&amp;"""xoxoxooxoxox""),""Shankara"",IF(REGEXMATCH(AT8,""xxooxoxxxoox""),""Basant"",IF(REGEXMATCH(AT8,""xoxoxxxxoxox""),""Bihag"",IF(REGEXMATCH(AT8,""xoxxxxoxoxxx""),""Pilu"",IF(REGEXMATCH(AT8,""xoxxoxoxxoox""),""Kirwani"",IF(REGEXMATCH(AT8,""xoxxoxoxoxxx""),"""&amp;"Mk.Malhar"",IF(REGEXMATCH(AT8,""xxooxxoxxoox""),""Bhairav"",IF(REGEXMATCH(AT8,""xxoxooxxxoox""),""Todi"",IF(REGEXMATCH(AT8,""xxooxoxooxox""),""Marwa"",IF(REGEXMATCH(AT8,""xxoooxoxxooo""),""Gunkali"",IF(REGEXMATCH(AT8,""xoxoxxoxxoox""),""Nat Bhairav"",IF(R"&amp;"EGEXMATCH(AT8,""xoxxoooxoxoo""),""Shivranjani"",IF(REGEXMATCH(AT8,""xooxxxoxooxo""),""Jog"",IF(REGEXMATCH(AT8,""xxooxoxoxoox""),""Hemshri"",IF(REGEXMATCH(AT8,""xoooxooxoxxo""),""Kalavati"",IF(REGEXMATCH(AT8,""xxoxoxxoxoox""),""Kedar"",IF(REGEXMATCH(AT8,"""&amp;"xoxxxxoxooxx""),""Gara"",IF(REGEXMATCH(AT8,""xooxoxooxoox""),""Chandrakauns"",IF(REGEXMATCH(AT8,""xoxxxxoxxxox""),""Mand"",IF(REGEXMATCH(AT8,""xoxxxxoxoxox""),""Hanskinkini"",IF(REGEXMATCH(AT8,""xxooxxoxooxo""),""Lilavati"",IF(REGEXMATCH(AT8,""xooxoxoooxo"&amp;"x""),""Rajeshwari"",IF(REGEXMATCH(AT8,""xoooxxoxoxxx""),""Khokar"",IF(REGEXMATCH(AT8,""xxooxoxxxxox""),""Maligoura"",""-""))))))))))))))))))))))))))))))"),"Mk.Malhar")</f>
        <v>Mk.Malhar</v>
      </c>
      <c r="BG8" s="239" t="str">
        <f t="shared" si="26"/>
        <v>#REF!</v>
      </c>
      <c r="BH8" s="239">
        <f>IFERROR(__xludf.DUMMYFUNCTION("COUNTUNIQUE(FE8:FO8)-1"),7.0)</f>
        <v>7</v>
      </c>
      <c r="BI8" s="239">
        <f>IFERROR(__xludf.DUMMYFUNCTION("COUNTUNIQUE(FILTER(AT:AT,REGEXMATCH(AT:AT,AS8)))-1"),3.0)</f>
        <v>3</v>
      </c>
      <c r="BJ8" s="239">
        <f>IFERROR(__xludf.DUMMYFUNCTION("COUNTA(FILTER(AT:AT,REGEXMATCH(AT:AT,AS8)))"),16.0)</f>
        <v>16</v>
      </c>
      <c r="BK8" s="341">
        <f>IFERROR(__xludf.DUMMYFUNCTION("COUNTA(FILTER(AT:AT,REGEXMATCH(AT:AT,AS8)))-AR8"),16.0)</f>
        <v>16</v>
      </c>
      <c r="BL8" s="276" t="str">
        <f>IFERROR(__xludf.DUMMYFUNCTION("IF(AS8=""oooooooooooo"",""-"",IF(REGEXMATCH(AT8,""xx""), ""Hemi."", ""Anhemi.""))"),"Hemi.")</f>
        <v>Hemi.</v>
      </c>
      <c r="BM8" s="282" t="str">
        <f>IFERROR(__xludf.DUMMYFUNCTION("IF(AS8=""oooooooooooo"",""-"",IF(REGEXMATCH(AT8,""xxx""), ""Cohem."", ""-""))"),"Cohem.")</f>
        <v>Cohem.</v>
      </c>
      <c r="BN8" s="282" t="str">
        <f>IFERROR(__xludf.DUMMYFUNCTION("IF(AS8=""oooooooooooo"",""-"",IF(REGEXMATCH(AT8,""xxxx""), ""Co-Co."", ""-""))"),"Co-Co.")</f>
        <v>Co-Co.</v>
      </c>
      <c r="BO8" s="342" t="str">
        <f>IFERROR(__xludf.DUMMYFUNCTION("IF(AS8=""oooooooooooo"",""-"",IF(REGEXMATCH(AT8,""xxxxx""), ""CCC."", ""-""))"),"-")</f>
        <v>-</v>
      </c>
      <c r="BP8" s="344" t="str">
        <f t="shared" si="27"/>
        <v>-</v>
      </c>
      <c r="BQ8" s="282" t="str">
        <f>IFERROR(__xludf.DUMMYFUNCTION("IF(REGEXMATCH(JOIN(""-"",EU8:FD8),""TRUE""),""✔"",""-"")"),"-")</f>
        <v>-</v>
      </c>
      <c r="BR8" s="225">
        <f t="shared" si="28"/>
        <v>0</v>
      </c>
      <c r="BS8" s="345" t="str">
        <f>IFERROR(__xludf.DUMMYFUNCTION("SUBSTITUTE(SUBSTITUTE(SUBSTITUTE(SUBSTITUTE(CONCATENATE(JOIN(""-"",GC8:GO8)),""--"",""-""),""--"",""-""),""--"",""-""),""--"",""-"")"),"1-b2-2-3-4-5-6-7-8")</f>
        <v>1-b2-2-3-4-5-6-7-8</v>
      </c>
      <c r="BT8" s="299" t="str">
        <f>IFERROR(__xludf.DUMMYFUNCTION("SUBSTITUTE(SUBSTITUTE(SUBSTITUTE(SUBSTITUTE(CONCATENATE(JOIN(""-"",GP8:HB8)),""--"",""-""),""--"",""-""),""--"",""-""),""--"",""-"")"),"S-R1-R2-G3-M1-P-D2-N3-S")</f>
        <v>S-R1-R2-G3-M1-P-D2-N3-S</v>
      </c>
      <c r="BU8" s="348" t="str">
        <f t="shared" si="29"/>
        <v>C-Db-D-E-F-G-A-B-C</v>
      </c>
      <c r="BV8" s="349" t="str">
        <f t="shared" si="30"/>
        <v>SgMdnS</v>
      </c>
      <c r="BW8" s="350">
        <f t="shared" si="31"/>
        <v>1</v>
      </c>
      <c r="BX8" s="351">
        <f t="shared" si="32"/>
        <v>2</v>
      </c>
      <c r="BY8" s="352" t="s">
        <v>275</v>
      </c>
      <c r="BZ8" s="309" t="str">
        <f>IFERROR(__xludf.DUMMYFUNCTION("IF(REGEXMATCH(C8, ""S""), ""x"",""x"")"),"x")</f>
        <v>x</v>
      </c>
      <c r="CA8" s="245" t="str">
        <f>IFERROR(__xludf.DUMMYFUNCTION("IF(REGEXMATCH(C8, ""r""), ""o"",""x"")"),"o")</f>
        <v>o</v>
      </c>
      <c r="CB8" s="246" t="str">
        <f>IFERROR(__xludf.DUMMYFUNCTION("IF(REGEXMATCH(C8, ""R""), ""o"",""x"")"),"o")</f>
        <v>o</v>
      </c>
      <c r="CC8" s="246" t="str">
        <f>IFERROR(__xludf.DUMMYFUNCTION("IF(REGEXMATCH(C8, ""g""), ""o"",""x"")"),"x")</f>
        <v>x</v>
      </c>
      <c r="CD8" s="245" t="str">
        <f>IFERROR(__xludf.DUMMYFUNCTION("IF(REGEXMATCH(C8, ""G""), ""o"",""x"")"),"o")</f>
        <v>o</v>
      </c>
      <c r="CE8" s="245" t="str">
        <f>IFERROR(__xludf.DUMMYFUNCTION("IF(REGEXMATCH(C8, ""m""), ""o"",""x"")"),"o")</f>
        <v>o</v>
      </c>
      <c r="CF8" s="246" t="str">
        <f>IFERROR(__xludf.DUMMYFUNCTION("IF(REGEXMATCH(C8, ""M""), ""o"",""x"")"),"x")</f>
        <v>x</v>
      </c>
      <c r="CG8" s="245" t="str">
        <f>IFERROR(__xludf.DUMMYFUNCTION("IF(REGEXMATCH(C8, ""P""), ""o"",""x"")"),"o")</f>
        <v>o</v>
      </c>
      <c r="CH8" s="246" t="str">
        <f>IFERROR(__xludf.DUMMYFUNCTION("IF(REGEXMATCH(C8, ""d""), ""o"",""x"")"),"x")</f>
        <v>x</v>
      </c>
      <c r="CI8" s="245" t="str">
        <f>IFERROR(__xludf.DUMMYFUNCTION("IF(REGEXMATCH(C8, ""D""), ""o"",""x"")"),"o")</f>
        <v>o</v>
      </c>
      <c r="CJ8" s="245" t="str">
        <f>IFERROR(__xludf.DUMMYFUNCTION("IF(REGEXMATCH(C8, ""n""), ""o"",""x"")"),"x")</f>
        <v>x</v>
      </c>
      <c r="CK8" s="245" t="str">
        <f>IFERROR(__xludf.DUMMYFUNCTION("IF(REGEXMATCH(C8, ""N""), ""o"",""x"")"),"o")</f>
        <v>o</v>
      </c>
      <c r="CL8" s="356" t="str">
        <f>IFERROR(__xludf.DUMMYFUNCTION("IF(REGEXMATCH(C8, ""S""), ""x"",""x"")"),"x")</f>
        <v>x</v>
      </c>
      <c r="CM8" s="357" t="str">
        <f t="shared" si="33"/>
        <v>xooxooxoxoxo</v>
      </c>
      <c r="CN8" s="358">
        <f t="shared" si="34"/>
        <v>1</v>
      </c>
      <c r="CO8" s="246" t="str">
        <f>IFERROR(__xludf.DUMMYFUNCTION("IF(REGEXMATCH($C8, ""S""), ""S"",""S"")"),"S")</f>
        <v>S</v>
      </c>
      <c r="CP8" s="246" t="str">
        <f>IFERROR(__xludf.DUMMYFUNCTION("IF(REGEXMATCH($C8, ""r""), """",""r"")"),"")</f>
        <v/>
      </c>
      <c r="CQ8" s="246" t="str">
        <f>IFERROR(__xludf.DUMMYFUNCTION("IF(REGEXMATCH($C8, ""R""), """",""R"")"),"")</f>
        <v/>
      </c>
      <c r="CR8" s="246" t="str">
        <f>IFERROR(__xludf.DUMMYFUNCTION("IF(REGEXMATCH($C8, ""g""), """",""g"")"),"g")</f>
        <v>g</v>
      </c>
      <c r="CS8" s="246" t="str">
        <f>IFERROR(__xludf.DUMMYFUNCTION("IF(REGEXMATCH($C8, ""G""), """",""G"")"),"")</f>
        <v/>
      </c>
      <c r="CT8" s="246" t="str">
        <f>IFERROR(__xludf.DUMMYFUNCTION("IF(REGEXMATCH($C8, ""m""), """",""m"")"),"")</f>
        <v/>
      </c>
      <c r="CU8" s="246" t="str">
        <f>IFERROR(__xludf.DUMMYFUNCTION("IF(REGEXMATCH($C8, ""M""), """",""M"")"),"M")</f>
        <v>M</v>
      </c>
      <c r="CV8" s="246" t="str">
        <f>IFERROR(__xludf.DUMMYFUNCTION("IF(REGEXMATCH($C8, ""P""), """",""P"")"),"")</f>
        <v/>
      </c>
      <c r="CW8" s="246" t="str">
        <f>IFERROR(__xludf.DUMMYFUNCTION("IF(REGEXMATCH($C8, ""d""), """",""d"")"),"d")</f>
        <v>d</v>
      </c>
      <c r="CX8" s="246" t="str">
        <f>IFERROR(__xludf.DUMMYFUNCTION("IF(REGEXMATCH($C8, ""D""), """",""D"")"),"")</f>
        <v/>
      </c>
      <c r="CY8" s="246" t="str">
        <f>IFERROR(__xludf.DUMMYFUNCTION("IF(REGEXMATCH($C8, ""n""), """",""n"")"),"n")</f>
        <v>n</v>
      </c>
      <c r="CZ8" s="246" t="str">
        <f>IFERROR(__xludf.DUMMYFUNCTION("IF(REGEXMATCH($C8, ""N""), """",""N"")"),"")</f>
        <v/>
      </c>
      <c r="DA8" s="246" t="str">
        <f>IFERROR(__xludf.DUMMYFUNCTION("IF(REGEXMATCH($C8, ""S""), ""S"",""S"")"),"S")</f>
        <v>S</v>
      </c>
      <c r="DB8" s="362" t="str">
        <f>IFERROR(__xludf.DUMMYFUNCTION("JOIN("""",CO8:DA8,"""","""")"),"SgMdnS")</f>
        <v>SgMdnS</v>
      </c>
      <c r="DC8" s="363"/>
      <c r="DD8" s="301" t="str">
        <f t="shared" si="35"/>
        <v>#REF!</v>
      </c>
      <c r="DE8" s="302" t="str">
        <f t="shared" si="36"/>
        <v>#REF!</v>
      </c>
      <c r="DF8" s="301" t="str">
        <f t="shared" ref="DF8:DG8" si="203">SUBSTITUTE(S8,"-","")</f>
        <v>SRGM</v>
      </c>
      <c r="DG8" s="301" t="str">
        <f t="shared" si="203"/>
        <v>PDNS</v>
      </c>
      <c r="DH8" s="302" t="str">
        <f t="shared" si="38"/>
        <v>Mk.Malhar</v>
      </c>
      <c r="DI8" s="301" t="str">
        <f t="shared" si="39"/>
        <v>Hemi.</v>
      </c>
      <c r="DJ8" s="364" t="str">
        <f t="shared" si="40"/>
        <v>Co-Co.</v>
      </c>
      <c r="DK8" s="306" t="str">
        <f t="shared" si="41"/>
        <v>-</v>
      </c>
      <c r="DL8" s="366" t="str">
        <f t="shared" si="42"/>
        <v>-</v>
      </c>
      <c r="DM8" s="308" t="str">
        <f t="shared" si="43"/>
        <v>✔</v>
      </c>
      <c r="DN8" s="306" t="str">
        <f t="shared" si="44"/>
        <v>-</v>
      </c>
      <c r="DO8" s="306" t="str">
        <f t="shared" si="45"/>
        <v>-</v>
      </c>
      <c r="DP8" s="367" t="str">
        <f t="shared" si="46"/>
        <v>-</v>
      </c>
      <c r="DQ8" s="310" t="str">
        <f t="shared" si="47"/>
        <v>✔</v>
      </c>
      <c r="DR8" s="310" t="str">
        <f t="shared" si="48"/>
        <v>-</v>
      </c>
      <c r="DS8" s="310" t="str">
        <f t="shared" si="49"/>
        <v>-</v>
      </c>
      <c r="DT8" s="310" t="str">
        <f t="shared" si="50"/>
        <v>-</v>
      </c>
      <c r="DU8" s="370" t="str">
        <f t="shared" si="51"/>
        <v>-</v>
      </c>
      <c r="DV8" s="306" t="str">
        <f t="shared" si="52"/>
        <v>-</v>
      </c>
      <c r="DW8" s="306" t="str">
        <f t="shared" si="53"/>
        <v>-</v>
      </c>
      <c r="DX8" s="306" t="str">
        <f t="shared" si="54"/>
        <v>-</v>
      </c>
      <c r="DY8" s="306" t="str">
        <f t="shared" si="55"/>
        <v>-</v>
      </c>
      <c r="DZ8" s="306" t="str">
        <f t="shared" si="56"/>
        <v>-</v>
      </c>
      <c r="EA8" s="367" t="str">
        <f t="shared" si="57"/>
        <v>-</v>
      </c>
      <c r="EB8" s="310" t="str">
        <f>IFERROR(__xludf.DUMMYFUNCTION("IF(REGEXMATCH(AW8,AS8),""✔"",""-"")"),"-")</f>
        <v>-</v>
      </c>
      <c r="EC8" s="310" t="str">
        <f t="shared" si="58"/>
        <v>#REF!</v>
      </c>
      <c r="ED8" s="370" t="str">
        <f t="shared" si="59"/>
        <v>-</v>
      </c>
      <c r="EE8" s="340" t="str">
        <f t="shared" si="60"/>
        <v>S-rR-G-m-P-D-N-S</v>
      </c>
      <c r="EF8" s="371" t="str">
        <f>IFERROR(__xludf.DUMMYFUNCTION("CONCATENATE(JOIN("""",HC8:HO8))"),"SrgmPdnNS")</f>
        <v>SrgmPdnNS</v>
      </c>
      <c r="EG8" s="372">
        <f t="shared" si="61"/>
        <v>2</v>
      </c>
      <c r="EH8" s="373" t="str">
        <f>IFERROR(__xludf.DUMMYFUNCTION("CONCATENATE(JOIN("""",JC8:JO8))"),"re, Ni, ")</f>
        <v>re, Ni, </v>
      </c>
      <c r="EI8" s="322">
        <f t="shared" si="62"/>
        <v>1</v>
      </c>
      <c r="EJ8" s="374" t="str">
        <f>IFERROR(__xludf.DUMMYFUNCTION("CONCATENATE(JOIN("""",KC8:KO8))"),"re, ")</f>
        <v>re, </v>
      </c>
      <c r="EK8" s="325" t="str">
        <f t="shared" si="63"/>
        <v>S-R1-R2-G3-M1-P-D2-N3-S</v>
      </c>
      <c r="EL8" s="326" t="str">
        <f t="shared" si="64"/>
        <v>1-b2-2-3-4-5-6-7-8</v>
      </c>
      <c r="EM8" s="318" t="str">
        <f t="shared" si="65"/>
        <v>#REF!</v>
      </c>
      <c r="EN8" s="328" t="str">
        <f>IFERROR(__xludf.DUMMYFUNCTION("SUBSTITUTE(SUBSTITUTE(SUBSTITUTE(SUBSTITUTE(CONCATENATE(JOIN("" "",HP8:IB8)),""  "","" ""),""  "","" ""),""  "","" ""),""  "","" "")"),"o o o • o o • o • o • o o")</f>
        <v>o o o • o o • o • o • o o</v>
      </c>
      <c r="EO8" s="368" t="str">
        <f t="shared" si="66"/>
        <v>-</v>
      </c>
      <c r="EP8" s="339" t="str">
        <f t="shared" si="67"/>
        <v>-</v>
      </c>
      <c r="EQ8" s="339" t="str">
        <f t="shared" si="68"/>
        <v>Sa-Pa</v>
      </c>
      <c r="ER8" s="339" t="str">
        <f t="shared" si="69"/>
        <v>-</v>
      </c>
      <c r="ES8" s="340" t="str">
        <f t="shared" si="70"/>
        <v>-</v>
      </c>
      <c r="ET8" s="363"/>
      <c r="EU8" s="376" t="b">
        <f>IFERROR(__xludf.DUMMYFUNCTION("arrayformula(sum(--REGEXMATCH(""SRGMPDNS"",split(REGEXREPLACE(C8,""(.)"",""$1~""),""~""))))=len(C8)
"),FALSE)</f>
        <v>0</v>
      </c>
      <c r="EV8" s="290" t="b">
        <f>IFERROR(__xludf.DUMMYFUNCTION("arrayformula(sum(--REGEXMATCH(""SRGmPDNS"",split(REGEXREPLACE(C8,""(.)"",""$1~""),""~""))))=len(C8)"),FALSE)</f>
        <v>0</v>
      </c>
      <c r="EW8" s="290" t="b">
        <f>IFERROR(__xludf.DUMMYFUNCTION("arrayformula(sum(--REGEXMATCH(""SRGmPDnS"",split(REGEXREPLACE(C8,""(.)"",""$1~""),""~""))))=len(C8)"),FALSE)</f>
        <v>0</v>
      </c>
      <c r="EX8" s="290" t="b">
        <f>IFERROR(__xludf.DUMMYFUNCTION("arrayformula(sum(--REGEXMATCH(""SRgmPDnS"",split(REGEXREPLACE(C8,""(.)"",""$1~""),""~""))))=len(C8)"),FALSE)</f>
        <v>0</v>
      </c>
      <c r="EY8" s="290" t="b">
        <f>IFERROR(__xludf.DUMMYFUNCTION("arrayformula(sum(--REGEXMATCH(""SRgmPdnS"",split(REGEXREPLACE(C8,""(.)"",""$1~""),""~""))))=len(C8)"),FALSE)</f>
        <v>0</v>
      </c>
      <c r="EZ8" s="290" t="b">
        <f>IFERROR(__xludf.DUMMYFUNCTION("arrayformula(sum(--REGEXMATCH(""SrgmPdnS"",split(REGEXREPLACE(C8,""(.)"",""$1~""),""~""))))=len(C8)"),FALSE)</f>
        <v>0</v>
      </c>
      <c r="FA8" s="290" t="b">
        <f>IFERROR(__xludf.DUMMYFUNCTION("arrayformula(sum(--REGEXMATCH(""SrGmPdNS"",split(REGEXREPLACE(C8,""(.)"",""$1~""),""~""))))=len(C8)"),FALSE)</f>
        <v>0</v>
      </c>
      <c r="FB8" s="290" t="b">
        <f>IFERROR(__xludf.DUMMYFUNCTION("arrayformula(sum(--REGEXMATCH(""SrGMPDNS"",split(REGEXREPLACE(C8,""(.)"",""$1~""),""~""))))=len(C8)"),FALSE)</f>
        <v>0</v>
      </c>
      <c r="FC8" s="290" t="b">
        <f>IFERROR(__xludf.DUMMYFUNCTION("arrayformula(sum(--REGEXMATCH(""SrGMPdNS"",split(REGEXREPLACE(C8,""(.)"",""$1~""),""~""))))=len(C8)"),FALSE)</f>
        <v>0</v>
      </c>
      <c r="FD8" s="377" t="b">
        <f>IFERROR(__xludf.DUMMYFUNCTION("arrayformula(sum(--REGEXMATCH(""SrgMPdNS"",split(REGEXREPLACE(C8,""(.)"",""$1~""),""~""))))=len(C8)"),FALSE)</f>
        <v>0</v>
      </c>
      <c r="FE8" s="269" t="str">
        <f t="shared" si="71"/>
        <v>xxoxxoxoxox</v>
      </c>
      <c r="FF8" s="269" t="str">
        <f t="shared" si="72"/>
        <v>xoxxoxoxoxx</v>
      </c>
      <c r="FG8" s="271" t="str">
        <f t="shared" si="73"/>
        <v>-</v>
      </c>
      <c r="FH8" s="269" t="str">
        <f t="shared" si="74"/>
        <v>xxoxoxoxxxx</v>
      </c>
      <c r="FI8" s="271" t="str">
        <f t="shared" si="75"/>
        <v>xoxoxoxxxxo</v>
      </c>
      <c r="FJ8" s="271" t="str">
        <f t="shared" si="76"/>
        <v>-</v>
      </c>
      <c r="FK8" s="271" t="str">
        <f t="shared" si="77"/>
        <v>xoxoxxxxoxx</v>
      </c>
      <c r="FL8" s="271" t="str">
        <f t="shared" si="78"/>
        <v>-</v>
      </c>
      <c r="FM8" s="271" t="str">
        <f t="shared" si="79"/>
        <v>xoxxxxoxxox</v>
      </c>
      <c r="FN8" s="271" t="str">
        <f t="shared" si="80"/>
        <v>-</v>
      </c>
      <c r="FO8" s="274" t="str">
        <f t="shared" si="81"/>
        <v>xxxxoxxoxox</v>
      </c>
      <c r="FP8" s="234" t="str">
        <f t="shared" si="82"/>
        <v>|</v>
      </c>
      <c r="FQ8" s="236" t="str">
        <f t="shared" si="83"/>
        <v>|</v>
      </c>
      <c r="FR8" s="237" t="str">
        <f t="shared" si="84"/>
        <v>|</v>
      </c>
      <c r="FS8" s="236" t="str">
        <f t="shared" si="85"/>
        <v>-</v>
      </c>
      <c r="FT8" s="237" t="str">
        <f t="shared" si="86"/>
        <v>|</v>
      </c>
      <c r="FU8" s="236" t="str">
        <f t="shared" si="87"/>
        <v>|</v>
      </c>
      <c r="FV8" s="237" t="str">
        <f t="shared" si="88"/>
        <v>-</v>
      </c>
      <c r="FW8" s="236" t="str">
        <f t="shared" si="89"/>
        <v>|</v>
      </c>
      <c r="FX8" s="237" t="str">
        <f t="shared" si="90"/>
        <v>-</v>
      </c>
      <c r="FY8" s="236" t="str">
        <f t="shared" si="91"/>
        <v>|</v>
      </c>
      <c r="FZ8" s="237" t="str">
        <f t="shared" si="92"/>
        <v>-</v>
      </c>
      <c r="GA8" s="236" t="str">
        <f t="shared" si="93"/>
        <v>|</v>
      </c>
      <c r="GB8" s="238" t="str">
        <f t="shared" si="94"/>
        <v>|</v>
      </c>
      <c r="GC8" s="244" t="str">
        <f>IFERROR(__xludf.DUMMYFUNCTION("IF(REGEXMATCH(C8, ""S""), ""1"","""")"),"1")</f>
        <v>1</v>
      </c>
      <c r="GD8" s="245" t="str">
        <f>IFERROR(__xludf.DUMMYFUNCTION("IF(REGEXMATCH(C8, ""r""), ""b2"","""")"),"b2")</f>
        <v>b2</v>
      </c>
      <c r="GE8" s="246" t="str">
        <f>IFERROR(__xludf.DUMMYFUNCTION("IF(REGEXMATCH(C8, ""R""), ""2"","""")"),"2")</f>
        <v>2</v>
      </c>
      <c r="GF8" s="246" t="str">
        <f>IFERROR(__xludf.DUMMYFUNCTION("IF(REGEXMATCH(C8, ""g""), ""b3"","""")"),"")</f>
        <v/>
      </c>
      <c r="GG8" s="245" t="str">
        <f>IFERROR(__xludf.DUMMYFUNCTION("IF(REGEXMATCH(C8, ""G""), ""3"","""")"),"3")</f>
        <v>3</v>
      </c>
      <c r="GH8" s="245" t="str">
        <f>IFERROR(__xludf.DUMMYFUNCTION("IF(REGEXMATCH(C8, ""m""), ""4"","""")"),"4")</f>
        <v>4</v>
      </c>
      <c r="GI8" s="246" t="str">
        <f>IFERROR(__xludf.DUMMYFUNCTION("IF(REGEXMATCH(C8, ""M""), ""#4"","""")"),"")</f>
        <v/>
      </c>
      <c r="GJ8" s="245" t="str">
        <f>IFERROR(__xludf.DUMMYFUNCTION("IF(REGEXMATCH(C8, ""P""), ""5"","""")"),"5")</f>
        <v>5</v>
      </c>
      <c r="GK8" s="246" t="str">
        <f>IFERROR(__xludf.DUMMYFUNCTION("IF(REGEXMATCH(C8, ""d""), ""b6"","""")"),"")</f>
        <v/>
      </c>
      <c r="GL8" s="245" t="str">
        <f>IFERROR(__xludf.DUMMYFUNCTION("IF(REGEXMATCH(C8, ""D""), ""6"","""")"),"6")</f>
        <v>6</v>
      </c>
      <c r="GM8" s="245" t="str">
        <f>IFERROR(__xludf.DUMMYFUNCTION("IF(REGEXMATCH(C8, ""n""), ""b7"","""")"),"")</f>
        <v/>
      </c>
      <c r="GN8" s="246" t="str">
        <f>IFERROR(__xludf.DUMMYFUNCTION("IF(REGEXMATCH(C8, ""N""), ""7"","""")"),"7")</f>
        <v>7</v>
      </c>
      <c r="GO8" s="249" t="str">
        <f>IFERROR(__xludf.DUMMYFUNCTION("IF(REGEXMATCH(C8, ""S""), ""8"","""")"),"8")</f>
        <v>8</v>
      </c>
      <c r="GP8" s="244" t="str">
        <f>IFERROR(__xludf.DUMMYFUNCTION("IF(REGEXMATCH(C8, ""S""), ""S"","""")"),"S")</f>
        <v>S</v>
      </c>
      <c r="GQ8" s="294" t="str">
        <f>IFERROR(__xludf.DUMMYFUNCTION("IF(REGEXMATCH(C8, ""r""), ""R1"","""")"),"R1")</f>
        <v>R1</v>
      </c>
      <c r="GR8" s="295" t="str">
        <f>IFERROR(__xludf.DUMMYFUNCTION("IF(REGEXMATCH(C8, ""R""), ""R2"","""")"),"R2")</f>
        <v>R2</v>
      </c>
      <c r="GS8" s="295" t="str">
        <f>IFERROR(__xludf.DUMMYFUNCTION("IF(REGEXMATCH(C8, ""g""), ""G2"","""")"),"")</f>
        <v/>
      </c>
      <c r="GT8" s="294" t="str">
        <f>IFERROR(__xludf.DUMMYFUNCTION("IF(REGEXMATCH(C8, ""G""), ""G3"","""")"),"G3")</f>
        <v>G3</v>
      </c>
      <c r="GU8" s="294" t="str">
        <f>IFERROR(__xludf.DUMMYFUNCTION("IF(REGEXMATCH(C8, ""m""), ""M1"","""")"),"M1")</f>
        <v>M1</v>
      </c>
      <c r="GV8" s="295" t="str">
        <f>IFERROR(__xludf.DUMMYFUNCTION("IF(REGEXMATCH(C8, ""M""), ""M2"","""")"),"")</f>
        <v/>
      </c>
      <c r="GW8" s="294" t="str">
        <f>IFERROR(__xludf.DUMMYFUNCTION("IF(REGEXMATCH(C8, ""P""), ""P"","""")"),"P")</f>
        <v>P</v>
      </c>
      <c r="GX8" s="295" t="str">
        <f>IFERROR(__xludf.DUMMYFUNCTION("IF(REGEXMATCH(C8, ""d""), ""D1"","""")"),"")</f>
        <v/>
      </c>
      <c r="GY8" s="294" t="str">
        <f>IFERROR(__xludf.DUMMYFUNCTION("IF(REGEXMATCH(C8, ""D""), ""D2"","""")"),"D2")</f>
        <v>D2</v>
      </c>
      <c r="GZ8" s="294" t="str">
        <f>IFERROR(__xludf.DUMMYFUNCTION("IF(REGEXMATCH(C8, ""n""), ""N2"","""")"),"")</f>
        <v/>
      </c>
      <c r="HA8" s="295" t="str">
        <f>IFERROR(__xludf.DUMMYFUNCTION("IF(REGEXMATCH(C8, ""N""), ""N3"","""")"),"N3")</f>
        <v>N3</v>
      </c>
      <c r="HB8" s="249" t="str">
        <f>IFERROR(__xludf.DUMMYFUNCTION("IF(REGEXMATCH(C8, ""S""), ""S"","""")"),"S")</f>
        <v>S</v>
      </c>
      <c r="HC8" s="331" t="str">
        <f t="shared" si="95"/>
        <v>S</v>
      </c>
      <c r="HD8" s="332" t="str">
        <f t="shared" si="96"/>
        <v>r</v>
      </c>
      <c r="HE8" s="332" t="str">
        <f t="shared" si="97"/>
        <v/>
      </c>
      <c r="HF8" s="332" t="str">
        <f t="shared" si="98"/>
        <v>g</v>
      </c>
      <c r="HG8" s="332" t="str">
        <f t="shared" si="99"/>
        <v/>
      </c>
      <c r="HH8" s="332" t="str">
        <f t="shared" si="100"/>
        <v>m</v>
      </c>
      <c r="HI8" s="332" t="str">
        <f t="shared" si="101"/>
        <v/>
      </c>
      <c r="HJ8" s="332" t="str">
        <f t="shared" si="102"/>
        <v>P</v>
      </c>
      <c r="HK8" s="332" t="str">
        <f t="shared" si="103"/>
        <v>d</v>
      </c>
      <c r="HL8" s="332" t="str">
        <f t="shared" si="104"/>
        <v/>
      </c>
      <c r="HM8" s="332" t="str">
        <f t="shared" si="105"/>
        <v>n</v>
      </c>
      <c r="HN8" s="332" t="str">
        <f t="shared" si="106"/>
        <v>N</v>
      </c>
      <c r="HO8" s="343" t="str">
        <f t="shared" si="107"/>
        <v>S</v>
      </c>
      <c r="HP8" s="331" t="str">
        <f t="shared" si="108"/>
        <v>o</v>
      </c>
      <c r="HQ8" s="332" t="str">
        <f t="shared" si="109"/>
        <v>o</v>
      </c>
      <c r="HR8" s="332" t="str">
        <f t="shared" si="110"/>
        <v>o</v>
      </c>
      <c r="HS8" s="332" t="str">
        <f t="shared" si="111"/>
        <v>•</v>
      </c>
      <c r="HT8" s="332" t="str">
        <f t="shared" si="112"/>
        <v>o</v>
      </c>
      <c r="HU8" s="332" t="str">
        <f t="shared" si="113"/>
        <v>o</v>
      </c>
      <c r="HV8" s="332" t="str">
        <f t="shared" si="114"/>
        <v>•</v>
      </c>
      <c r="HW8" s="332" t="str">
        <f t="shared" si="115"/>
        <v>o</v>
      </c>
      <c r="HX8" s="332" t="str">
        <f t="shared" si="116"/>
        <v>•</v>
      </c>
      <c r="HY8" s="332" t="str">
        <f t="shared" si="117"/>
        <v>o</v>
      </c>
      <c r="HZ8" s="332" t="str">
        <f t="shared" si="118"/>
        <v>•</v>
      </c>
      <c r="IA8" s="332" t="str">
        <f t="shared" si="119"/>
        <v>o</v>
      </c>
      <c r="IB8" s="338" t="str">
        <f t="shared" si="120"/>
        <v>o</v>
      </c>
      <c r="IC8" s="331" t="str">
        <f t="shared" si="121"/>
        <v>•</v>
      </c>
      <c r="ID8" s="332" t="str">
        <f t="shared" si="122"/>
        <v>•</v>
      </c>
      <c r="IE8" s="332" t="str">
        <f t="shared" si="123"/>
        <v>•</v>
      </c>
      <c r="IF8" s="332" t="str">
        <f t="shared" si="124"/>
        <v>o</v>
      </c>
      <c r="IG8" s="332" t="str">
        <f t="shared" si="125"/>
        <v>•</v>
      </c>
      <c r="IH8" s="332" t="str">
        <f t="shared" si="126"/>
        <v>•</v>
      </c>
      <c r="II8" s="332" t="str">
        <f t="shared" si="127"/>
        <v>o</v>
      </c>
      <c r="IJ8" s="332" t="str">
        <f t="shared" si="128"/>
        <v>•</v>
      </c>
      <c r="IK8" s="332" t="str">
        <f t="shared" si="129"/>
        <v>o</v>
      </c>
      <c r="IL8" s="332" t="str">
        <f t="shared" si="130"/>
        <v>•</v>
      </c>
      <c r="IM8" s="332" t="str">
        <f t="shared" si="131"/>
        <v>o</v>
      </c>
      <c r="IN8" s="332" t="str">
        <f t="shared" si="132"/>
        <v>•</v>
      </c>
      <c r="IO8" s="338" t="str">
        <f t="shared" si="133"/>
        <v>•</v>
      </c>
      <c r="IP8" s="346" t="b">
        <f t="shared" si="134"/>
        <v>0</v>
      </c>
      <c r="IQ8" s="347" t="b">
        <f t="shared" si="135"/>
        <v>1</v>
      </c>
      <c r="IR8" s="347" t="b">
        <f t="shared" si="136"/>
        <v>0</v>
      </c>
      <c r="IS8" s="347" t="b">
        <f t="shared" si="137"/>
        <v>0</v>
      </c>
      <c r="IT8" s="347" t="b">
        <f t="shared" si="138"/>
        <v>0</v>
      </c>
      <c r="IU8" s="347" t="b">
        <f t="shared" si="139"/>
        <v>0</v>
      </c>
      <c r="IV8" s="347" t="b">
        <f t="shared" si="140"/>
        <v>0</v>
      </c>
      <c r="IW8" s="347" t="b">
        <f t="shared" si="141"/>
        <v>0</v>
      </c>
      <c r="IX8" s="347" t="b">
        <f t="shared" si="142"/>
        <v>0</v>
      </c>
      <c r="IY8" s="347" t="b">
        <f t="shared" si="143"/>
        <v>0</v>
      </c>
      <c r="IZ8" s="347" t="b">
        <f t="shared" si="144"/>
        <v>0</v>
      </c>
      <c r="JA8" s="347" t="b">
        <f t="shared" si="145"/>
        <v>1</v>
      </c>
      <c r="JB8" s="353" t="b">
        <f t="shared" si="146"/>
        <v>0</v>
      </c>
      <c r="JC8" s="354" t="str">
        <f t="shared" si="147"/>
        <v/>
      </c>
      <c r="JD8" s="355" t="str">
        <f t="shared" si="148"/>
        <v>re, </v>
      </c>
      <c r="JE8" s="355" t="str">
        <f t="shared" si="149"/>
        <v/>
      </c>
      <c r="JF8" s="355" t="str">
        <f t="shared" si="150"/>
        <v/>
      </c>
      <c r="JG8" s="355" t="str">
        <f t="shared" si="151"/>
        <v/>
      </c>
      <c r="JH8" s="355" t="str">
        <f t="shared" si="152"/>
        <v/>
      </c>
      <c r="JI8" s="355" t="str">
        <f t="shared" si="153"/>
        <v/>
      </c>
      <c r="JJ8" s="355" t="str">
        <f t="shared" si="154"/>
        <v/>
      </c>
      <c r="JK8" s="355" t="str">
        <f t="shared" si="155"/>
        <v/>
      </c>
      <c r="JL8" s="355" t="str">
        <f t="shared" si="156"/>
        <v/>
      </c>
      <c r="JM8" s="355" t="str">
        <f t="shared" si="157"/>
        <v/>
      </c>
      <c r="JN8" s="355" t="str">
        <f t="shared" si="158"/>
        <v>Ni, </v>
      </c>
      <c r="JO8" s="359" t="str">
        <f t="shared" si="159"/>
        <v/>
      </c>
      <c r="JP8" s="346" t="b">
        <f t="shared" si="160"/>
        <v>0</v>
      </c>
      <c r="JQ8" s="347" t="b">
        <f t="shared" si="161"/>
        <v>1</v>
      </c>
      <c r="JR8" s="347" t="b">
        <f t="shared" si="162"/>
        <v>0</v>
      </c>
      <c r="JS8" s="347" t="b">
        <f t="shared" si="163"/>
        <v>0</v>
      </c>
      <c r="JT8" s="347" t="b">
        <f t="shared" si="164"/>
        <v>0</v>
      </c>
      <c r="JU8" s="347" t="b">
        <f t="shared" si="165"/>
        <v>0</v>
      </c>
      <c r="JV8" s="347" t="b">
        <f t="shared" si="166"/>
        <v>0</v>
      </c>
      <c r="JW8" s="347" t="b">
        <f t="shared" si="167"/>
        <v>0</v>
      </c>
      <c r="JX8" s="347" t="b">
        <f t="shared" si="168"/>
        <v>0</v>
      </c>
      <c r="JY8" s="347" t="b">
        <f t="shared" si="169"/>
        <v>0</v>
      </c>
      <c r="JZ8" s="347" t="b">
        <f t="shared" si="170"/>
        <v>0</v>
      </c>
      <c r="KA8" s="347" t="b">
        <f t="shared" si="171"/>
        <v>0</v>
      </c>
      <c r="KB8" s="365" t="b">
        <f t="shared" si="172"/>
        <v>0</v>
      </c>
      <c r="KC8" s="354" t="str">
        <f t="shared" si="173"/>
        <v/>
      </c>
      <c r="KD8" s="355" t="str">
        <f t="shared" si="174"/>
        <v>re, </v>
      </c>
      <c r="KE8" s="355" t="str">
        <f t="shared" si="175"/>
        <v/>
      </c>
      <c r="KF8" s="355" t="str">
        <f t="shared" si="176"/>
        <v/>
      </c>
      <c r="KG8" s="355" t="str">
        <f t="shared" si="177"/>
        <v/>
      </c>
      <c r="KH8" s="355" t="str">
        <f t="shared" si="178"/>
        <v/>
      </c>
      <c r="KI8" s="355" t="str">
        <f t="shared" si="179"/>
        <v/>
      </c>
      <c r="KJ8" s="355" t="str">
        <f t="shared" si="180"/>
        <v/>
      </c>
      <c r="KK8" s="355" t="str">
        <f t="shared" si="181"/>
        <v/>
      </c>
      <c r="KL8" s="355" t="str">
        <f t="shared" si="182"/>
        <v/>
      </c>
      <c r="KM8" s="355" t="str">
        <f t="shared" si="183"/>
        <v/>
      </c>
      <c r="KN8" s="355" t="str">
        <f t="shared" si="184"/>
        <v/>
      </c>
      <c r="KO8" s="359"/>
      <c r="KP8" s="378"/>
      <c r="KQ8" s="379" t="s">
        <v>616</v>
      </c>
      <c r="KR8" s="380" t="s">
        <v>635</v>
      </c>
      <c r="KS8" s="381" t="str">
        <f t="shared" si="204"/>
        <v>S-G-m-D-N-S</v>
      </c>
      <c r="KT8" s="382">
        <f t="shared" si="186"/>
        <v>5</v>
      </c>
      <c r="KU8" s="383">
        <f t="shared" si="187"/>
        <v>5</v>
      </c>
      <c r="KV8" s="381" t="str">
        <f t="shared" si="205"/>
        <v>S-N-D-Mm-G-R-r-S</v>
      </c>
      <c r="KW8" s="382">
        <f t="shared" si="189"/>
        <v>7</v>
      </c>
      <c r="KX8" s="384">
        <f t="shared" si="190"/>
        <v>8</v>
      </c>
      <c r="KY8" s="382">
        <f t="shared" ref="KY8:KZ8" si="206">KW8-KT8</f>
        <v>2</v>
      </c>
      <c r="KZ8" s="369">
        <f t="shared" si="206"/>
        <v>3</v>
      </c>
      <c r="LA8" s="385" t="str">
        <f t="shared" si="192"/>
        <v>-</v>
      </c>
      <c r="LB8" s="340" t="str">
        <f>IFERROR(__xludf.DUMMYFUNCTION("JOIN("""",ArrayFormula(MID(KS8,LEN(KS8)-SEQUENCE(1,LEN(KS8))+1,1)))"),"S-N-D-m-G-S")</f>
        <v>S-N-D-m-G-S</v>
      </c>
      <c r="LC8" s="373" t="str">
        <f>IFERROR(__xludf.DUMMYFUNCTION("JOIN("""",ArrayFormula(MID(KV8,LEN(KV8)-SEQUENCE(1,LEN(KV8))+1,1)))"),"S-r-R-G-mM-D-N-S")</f>
        <v>S-r-R-G-mM-D-N-S</v>
      </c>
      <c r="LD8" s="373" t="str">
        <f t="shared" si="193"/>
        <v>SGmDNS</v>
      </c>
      <c r="LE8" s="339" t="str">
        <f t="shared" si="194"/>
        <v>SrRGmMDNS</v>
      </c>
      <c r="LF8" s="386" t="str">
        <f>IFERROR(__xludf.DUMMYFUNCTION("SUBSTITUTE(SUBSTITUTE(CONCATENATE(JOIN("""",LH8:LT8)),""1"",""""),""2"","""")"),"SrRGmMDNS")</f>
        <v>SrRGmMDNS</v>
      </c>
      <c r="LG8" s="369" t="str">
        <f t="shared" si="195"/>
        <v>-</v>
      </c>
      <c r="LH8" s="387" t="str">
        <f>IFERROR(__xludf.DUMMYFUNCTION("IF(REGEXMATCH(LD8, ""S""), ""S"",IF(REGEXMATCH(LE8, ""S""), ""S"",""""))"),"S")</f>
        <v>S</v>
      </c>
      <c r="LI8" s="299" t="str">
        <f>IFERROR(__xludf.DUMMYFUNCTION("IF(REGEXMATCH(LD8, ""r""), ""r1"",IF(REGEXMATCH(LE8, ""r""), ""r2"",""""))"),"r2")</f>
        <v>r2</v>
      </c>
      <c r="LJ8" s="299" t="str">
        <f>IFERROR(__xludf.DUMMYFUNCTION("IF(REGEXMATCH(LD8, ""R""), ""R1"",IF(REGEXMATCH(LE8, ""R""), ""R2"",""""))"),"R2")</f>
        <v>R2</v>
      </c>
      <c r="LK8" s="299" t="str">
        <f>IFERROR(__xludf.DUMMYFUNCTION("IF(REGEXMATCH(LD8, ""g""), ""g1"",IF(REGEXMATCH(LE8, ""g""), ""g2"",""""))"),"")</f>
        <v/>
      </c>
      <c r="LL8" s="299" t="str">
        <f>IFERROR(__xludf.DUMMYFUNCTION("IF(REGEXMATCH(LD8, ""G""), ""G1"",IF(REGEXMATCH(LE8, ""G""), ""G2"",""""))"),"G1")</f>
        <v>G1</v>
      </c>
      <c r="LM8" s="299" t="str">
        <f>IFERROR(__xludf.DUMMYFUNCTION("IF(REGEXMATCH(LD8, ""m""), ""m1"",IF(REGEXMATCH(LE8, ""m""), ""m2"",""""))"),"m1")</f>
        <v>m1</v>
      </c>
      <c r="LN8" s="299" t="str">
        <f>IFERROR(__xludf.DUMMYFUNCTION("IF(REGEXMATCH(LD8, ""M""), ""M1"",IF(REGEXMATCH(LE8, ""M""), ""M2"",""""))"),"M2")</f>
        <v>M2</v>
      </c>
      <c r="LO8" s="299" t="str">
        <f>IFERROR(__xludf.DUMMYFUNCTION("IF(REGEXMATCH(LD8, ""P""), ""P1"",IF(REGEXMATCH(LE8, ""P""), ""P2"",""""))"),"")</f>
        <v/>
      </c>
      <c r="LP8" s="299" t="str">
        <f>IFERROR(__xludf.DUMMYFUNCTION("IF(REGEXMATCH(LD8, ""d""), ""d1"",IF(REGEXMATCH(LE8, ""d""), ""d2"",""""))"),"")</f>
        <v/>
      </c>
      <c r="LQ8" s="299" t="str">
        <f>IFERROR(__xludf.DUMMYFUNCTION("IF(REGEXMATCH(LD8, ""D""), ""D1"",IF(REGEXMATCH(LE8, ""D""), ""D2"",""""))"),"D1")</f>
        <v>D1</v>
      </c>
      <c r="LR8" s="299" t="str">
        <f>IFERROR(__xludf.DUMMYFUNCTION("IF(REGEXMATCH(LD8, ""n""), ""n1"",IF(REGEXMATCH(LE8, ""n""), ""n2"",""""))"),"")</f>
        <v/>
      </c>
      <c r="LS8" s="299" t="str">
        <f>IFERROR(__xludf.DUMMYFUNCTION("IF(REGEXMATCH(LD8, ""N""), ""N1"",IF(REGEXMATCH(LE8, ""N""), ""N2"",""""))"),"N1")</f>
        <v>N1</v>
      </c>
      <c r="LT8" s="388" t="str">
        <f>IFERROR(__xludf.DUMMYFUNCTION("IF(REGEXMATCH(LD8, ""S""), ""S"",IF(REGEXMATCH(LE8, ""S""), ""S"",""""))"),"S")</f>
        <v>S</v>
      </c>
      <c r="LU8" s="389">
        <f t="shared" si="196"/>
        <v>-4</v>
      </c>
      <c r="LV8" s="378"/>
      <c r="LW8" s="369"/>
      <c r="LX8" s="369"/>
    </row>
    <row r="9" ht="20.25" customHeight="1">
      <c r="A9" s="298" t="s">
        <v>518</v>
      </c>
      <c r="B9" s="222" t="s">
        <v>519</v>
      </c>
      <c r="C9" s="233" t="str">
        <f t="shared" si="7"/>
        <v>SrGmPDnS</v>
      </c>
      <c r="D9" s="234" t="str">
        <f>IFERROR(__xludf.DUMMYFUNCTION("IF(REGEXMATCH(C9, ""S""), ""S"","""")"),"S")</f>
        <v>S</v>
      </c>
      <c r="E9" s="236" t="str">
        <f>IFERROR(__xludf.DUMMYFUNCTION("IF(REGEXMATCH(C9, ""r""), ""r"","""")"),"r")</f>
        <v>r</v>
      </c>
      <c r="F9" s="237" t="str">
        <f>IFERROR(__xludf.DUMMYFUNCTION("IF(REGEXMATCH(C9, ""R""), ""R"","""")"),"")</f>
        <v/>
      </c>
      <c r="G9" s="237" t="str">
        <f>IFERROR(__xludf.DUMMYFUNCTION("IF(REGEXMATCH(C9, ""g""), ""g"","""")"),"")</f>
        <v/>
      </c>
      <c r="H9" s="236" t="str">
        <f>IFERROR(__xludf.DUMMYFUNCTION("IF(REGEXMATCH(C9, ""G""), ""G"","""")"),"G")</f>
        <v>G</v>
      </c>
      <c r="I9" s="236" t="str">
        <f>IFERROR(__xludf.DUMMYFUNCTION("IF(REGEXMATCH(C9, ""m""), ""m"","""")"),"m")</f>
        <v>m</v>
      </c>
      <c r="J9" s="237" t="str">
        <f>IFERROR(__xludf.DUMMYFUNCTION("IF(REGEXMATCH(C9, ""M""), ""M"","""")"),"")</f>
        <v/>
      </c>
      <c r="K9" s="236" t="str">
        <f>IFERROR(__xludf.DUMMYFUNCTION("IF(REGEXMATCH(C9, ""P""), ""P"","""")"),"P")</f>
        <v>P</v>
      </c>
      <c r="L9" s="237" t="str">
        <f>IFERROR(__xludf.DUMMYFUNCTION("IF(REGEXMATCH(C9, ""d""), ""d"","""")"),"")</f>
        <v/>
      </c>
      <c r="M9" s="236" t="str">
        <f>IFERROR(__xludf.DUMMYFUNCTION("IF(REGEXMATCH(C9, ""D""), ""D"","""")"),"D")</f>
        <v>D</v>
      </c>
      <c r="N9" s="236" t="str">
        <f>IFERROR(__xludf.DUMMYFUNCTION("IF(REGEXMATCH(C9, ""n""), ""n"","""")"),"n")</f>
        <v>n</v>
      </c>
      <c r="O9" s="237" t="str">
        <f>IFERROR(__xludf.DUMMYFUNCTION("IF(REGEXMATCH(C9, ""N""), ""N"","""")"),"")</f>
        <v/>
      </c>
      <c r="P9" s="238" t="str">
        <f>IFERROR(__xludf.DUMMYFUNCTION("IF(REGEXMATCH(C9, ""S""), ""S"","""")"),"S")</f>
        <v>S</v>
      </c>
      <c r="Q9" s="239" t="str">
        <f>IFERROR(__xludf.DUMMYFUNCTION("SUBSTITUTE(CONCATENATE(JOIN(""-"",D9:J9)),""-"","""")"),"SrGm")</f>
        <v>SrGm</v>
      </c>
      <c r="R9" s="229" t="str">
        <f>IFERROR(__xludf.DUMMYFUNCTION("SUBSTITUTE(CONCATENATE(JOIN(""-"",K9:P9)),""-"","""")"),"PDnS")</f>
        <v>PDnS</v>
      </c>
      <c r="S9" s="282" t="str">
        <f t="shared" si="8"/>
        <v>S-R-G-M</v>
      </c>
      <c r="T9" s="282" t="str">
        <f t="shared" si="9"/>
        <v>P-D-N-S</v>
      </c>
      <c r="U9" s="237" t="str">
        <f>IFERROR(__xludf.DUMMYFUNCTION("SUBSTITUTE(JOIN(""-"",S9,T9),""--"",""-"")"),"S-R-G-M-P-D-N-S")</f>
        <v>S-R-G-M-P-D-N-S</v>
      </c>
      <c r="V9" s="309" t="str">
        <f t="shared" si="10"/>
        <v>rGmDn</v>
      </c>
      <c r="W9" s="244" t="str">
        <f>IFERROR(__xludf.DUMMYFUNCTION("IF(REGEXMATCH(C9, ""S""), ""0"","""")"),"0")</f>
        <v>0</v>
      </c>
      <c r="X9" s="245" t="str">
        <f>IFERROR(__xludf.DUMMYFUNCTION("IF(REGEXMATCH(C9, ""r""), ""1"","""")"),"1")</f>
        <v>1</v>
      </c>
      <c r="Y9" s="246" t="str">
        <f>IFERROR(__xludf.DUMMYFUNCTION("IF(REGEXMATCH(C9, ""R""), ""2"","""")"),"")</f>
        <v/>
      </c>
      <c r="Z9" s="246" t="str">
        <f>IFERROR(__xludf.DUMMYFUNCTION("IF(REGEXMATCH(C9, ""g""), ""3"","""")"),"")</f>
        <v/>
      </c>
      <c r="AA9" s="245" t="str">
        <f>IFERROR(__xludf.DUMMYFUNCTION("IF(REGEXMATCH(C9, ""G""), ""4"","""")"),"4")</f>
        <v>4</v>
      </c>
      <c r="AB9" s="245" t="str">
        <f>IFERROR(__xludf.DUMMYFUNCTION("IF(REGEXMATCH(C9, ""m""), ""5"","""")"),"5")</f>
        <v>5</v>
      </c>
      <c r="AC9" s="246" t="str">
        <f>IFERROR(__xludf.DUMMYFUNCTION("IF(REGEXMATCH(C9, ""M""), ""6"","""")"),"")</f>
        <v/>
      </c>
      <c r="AD9" s="245" t="str">
        <f>IFERROR(__xludf.DUMMYFUNCTION("IF(REGEXMATCH(C9, ""P""), ""7"","""")"),"7")</f>
        <v>7</v>
      </c>
      <c r="AE9" s="246" t="str">
        <f>IFERROR(__xludf.DUMMYFUNCTION("IF(REGEXMATCH(C9, ""d""), ""8"","""")"),"")</f>
        <v/>
      </c>
      <c r="AF9" s="245" t="str">
        <f>IFERROR(__xludf.DUMMYFUNCTION("IF(REGEXMATCH(C9, ""D""), ""9"","""")"),"9")</f>
        <v>9</v>
      </c>
      <c r="AG9" s="245" t="str">
        <f>IFERROR(__xludf.DUMMYFUNCTION("IF(REGEXMATCH(C9, ""n""), ""10"","""")"),"10")</f>
        <v>10</v>
      </c>
      <c r="AH9" s="246" t="str">
        <f>IFERROR(__xludf.DUMMYFUNCTION("IF(REGEXMATCH(C9, ""N""), ""11"","""")"),"")</f>
        <v/>
      </c>
      <c r="AI9" s="249" t="str">
        <f>IFERROR(__xludf.DUMMYFUNCTION("IF(REGEXMATCH(C9, ""S""), ""0"","""")"),"0")</f>
        <v>0</v>
      </c>
      <c r="AJ9" s="313" t="str">
        <f t="shared" si="11"/>
        <v>-</v>
      </c>
      <c r="AK9" s="313" t="str">
        <f t="shared" si="12"/>
        <v>T</v>
      </c>
      <c r="AL9" s="313" t="str">
        <f t="shared" si="13"/>
        <v>-</v>
      </c>
      <c r="AM9" s="313" t="str">
        <f t="shared" si="14"/>
        <v>-</v>
      </c>
      <c r="AN9" s="313" t="str">
        <f t="shared" si="15"/>
        <v>T</v>
      </c>
      <c r="AO9" s="314" t="str">
        <f t="shared" si="16"/>
        <v>-</v>
      </c>
      <c r="AP9" s="316">
        <f t="shared" si="17"/>
        <v>2</v>
      </c>
      <c r="AQ9" s="319" t="str">
        <f t="shared" si="18"/>
        <v>#REF!</v>
      </c>
      <c r="AR9" s="320">
        <f t="shared" si="19"/>
        <v>0</v>
      </c>
      <c r="AS9" s="250" t="str">
        <f>IFERROR(__xludf.DUMMYFUNCTION("SUBSTITUTE(SUBSTITUTE(CONCATENATE(JOIN("""",FP9:GA9)),""|"",""x""),""-"",""o"")"),"xxooxxoxoxxo")</f>
        <v>xxooxxoxoxxo</v>
      </c>
      <c r="AT9" s="323" t="str">
        <f>IFERROR(__xludf.DUMMYFUNCTION("JOIN("""",AS9,AS9)"),"xxooxxoxoxxoxxooxxoxoxxo")</f>
        <v>xxooxxoxoxxoxxooxxoxoxxo</v>
      </c>
      <c r="AU9" s="256" t="str">
        <f>IFERROR(__xludf.DUMMYFUNCTION("JOIN("""",ArrayFormula(MID(AS9,LEN(AS9)-SEQUENCE(1,LEN(AS9))+1,1)))"),"oxxoxoxxooxx")</f>
        <v>oxxoxoxxooxx</v>
      </c>
      <c r="AV9" s="256" t="str">
        <f>IFERROR(__xludf.DUMMYFUNCTION("LEFT(CONCATENATE(""x"",JOIN("""",ArrayFormula(MID(AS9,LEN(AS9)-SEQUENCE(1,LEN(AS9))+1,1)))),12)"),"xoxxoxoxxoox")</f>
        <v>xoxxoxoxxoox</v>
      </c>
      <c r="AW9" s="327" t="str">
        <f>IFERROR(__xludf.DUMMYFUNCTION("JOIN("""",AU9,AU9)"),"oxxoxoxxooxxoxxoxoxxooxx")</f>
        <v>oxxoxoxxooxxoxxoxoxxooxx</v>
      </c>
      <c r="AX9" s="239" t="str">
        <f>IFERROR(__xludf.DUMMYFUNCTION("IF(REGEXMATCH(AW9,AS9),""✔"",""-"")"),"-")</f>
        <v>-</v>
      </c>
      <c r="AY9" s="330" t="str">
        <f t="shared" si="20"/>
        <v>-</v>
      </c>
      <c r="AZ9" s="260" t="str">
        <f t="shared" si="21"/>
        <v>#REF!</v>
      </c>
      <c r="BA9" s="333" t="str">
        <f t="shared" si="22"/>
        <v>xxooxxo</v>
      </c>
      <c r="BB9" s="334" t="str">
        <f t="shared" si="23"/>
        <v>xoxxox</v>
      </c>
      <c r="BC9" s="335" t="str">
        <f t="shared" si="24"/>
        <v>-</v>
      </c>
      <c r="BD9" s="336" t="str">
        <f t="shared" si="25"/>
        <v>Ahir Bhairav: 'xxooxxo' + 'xoxxox'</v>
      </c>
      <c r="BE9" s="337">
        <f>IFERROR(__xludf.DUMMYFUNCTION("COUNTUNIQUE(FILTER(AT:AT,REGEXMATCH(AT:AT,AS9)))-1"),2.0)</f>
        <v>2</v>
      </c>
      <c r="BF9" s="261" t="str">
        <f>IFERROR(__xludf.DUMMYFUNCTION("IF(BI9=0,""(n/a)"",IF(BJ9=2,""(PAIR)"",IF(REGEXMATCH(AT9,""xoxoxxoxoxox""),""Bilawal"",IF(REGEXMATCH(AT9,""xoxoxooxoxoo""),""Bhupali"",IF(REGEXMATCH(AT9,""xoxoxxoxxoxo""),""Charukeshi"",IF(REGEXMATCH(AT9,""xoxoooxxoxxo""),""Kameshwari"",IF(REGEXMATCH(AT9,"&amp;"""xoxoxooxoxox""),""Shankara"",IF(REGEXMATCH(AT9,""xxooxoxxxoox""),""Basant"",IF(REGEXMATCH(AT9,""xoxoxxxxoxox""),""Bihag"",IF(REGEXMATCH(AT9,""xoxxxxoxoxxx""),""Pilu"",IF(REGEXMATCH(AT9,""xoxxoxoxxoox""),""Kirwani"",IF(REGEXMATCH(AT9,""xoxxoxoxoxxx""),"""&amp;"Mk.Malhar"",IF(REGEXMATCH(AT9,""xxooxxoxxoox""),""Bhairav"",IF(REGEXMATCH(AT9,""xxoxooxxxoox""),""Todi"",IF(REGEXMATCH(AT9,""xxooxoxooxox""),""Marwa"",IF(REGEXMATCH(AT9,""xxoooxoxxooo""),""Gunkali"",IF(REGEXMATCH(AT9,""xoxoxxoxxoox""),""Nat Bhairav"",IF(R"&amp;"EGEXMATCH(AT9,""xoxxoooxoxoo""),""Shivranjani"",IF(REGEXMATCH(AT9,""xooxxxoxooxo""),""Jog"",IF(REGEXMATCH(AT9,""xxooxoxoxoox""),""Hemshri"",IF(REGEXMATCH(AT9,""xoooxooxoxxo""),""Kalavati"",IF(REGEXMATCH(AT9,""xxoxoxxoxoox""),""Kedar"",IF(REGEXMATCH(AT9,"""&amp;"xoxxxxoxooxx""),""Gara"",IF(REGEXMATCH(AT9,""xooxoxooxoox""),""Chandrakauns"",IF(REGEXMATCH(AT9,""xoxxxxoxxxox""),""Mand"",IF(REGEXMATCH(AT9,""xoxxxxoxoxox""),""Hanskinkini"",IF(REGEXMATCH(AT9,""xxooxxoxooxo""),""Lilavati"",IF(REGEXMATCH(AT9,""xooxoxoooxo"&amp;"x""),""Rajeshwari"",IF(REGEXMATCH(AT9,""xoooxxoxoxxx""),""Khokar"",IF(REGEXMATCH(AT9,""xxooxoxxxxox""),""Maligoura"",""-""))))))))))))))))))))))))))))))"),"Nat Bhairav")</f>
        <v>Nat Bhairav</v>
      </c>
      <c r="BG9" s="239" t="str">
        <f t="shared" si="26"/>
        <v>#REF!</v>
      </c>
      <c r="BH9" s="239">
        <f>IFERROR(__xludf.DUMMYFUNCTION("COUNTUNIQUE(FE9:FO9)-1"),6.0)</f>
        <v>6</v>
      </c>
      <c r="BI9" s="239">
        <f>IFERROR(__xludf.DUMMYFUNCTION("COUNTUNIQUE(FILTER(AT:AT,REGEXMATCH(AT:AT,AS9)))-1"),2.0)</f>
        <v>2</v>
      </c>
      <c r="BJ9" s="239">
        <f>IFERROR(__xludf.DUMMYFUNCTION("COUNTA(FILTER(AT:AT,REGEXMATCH(AT:AT,AS9)))"),4.0)</f>
        <v>4</v>
      </c>
      <c r="BK9" s="341">
        <f>IFERROR(__xludf.DUMMYFUNCTION("COUNTA(FILTER(AT:AT,REGEXMATCH(AT:AT,AS9)))-AR9"),4.0)</f>
        <v>4</v>
      </c>
      <c r="BL9" s="276" t="str">
        <f>IFERROR(__xludf.DUMMYFUNCTION("IF(AS9=""oooooooooooo"",""-"",IF(REGEXMATCH(AT9,""xx""), ""Hemi."", ""Anhemi.""))"),"Hemi.")</f>
        <v>Hemi.</v>
      </c>
      <c r="BM9" s="282" t="str">
        <f>IFERROR(__xludf.DUMMYFUNCTION("IF(AS9=""oooooooooooo"",""-"",IF(REGEXMATCH(AT9,""xxx""), ""Cohem."", ""-""))"),"-")</f>
        <v>-</v>
      </c>
      <c r="BN9" s="282" t="str">
        <f>IFERROR(__xludf.DUMMYFUNCTION("IF(AS9=""oooooooooooo"",""-"",IF(REGEXMATCH(AT9,""xxxx""), ""Co-Co."", ""-""))"),"-")</f>
        <v>-</v>
      </c>
      <c r="BO9" s="342" t="str">
        <f>IFERROR(__xludf.DUMMYFUNCTION("IF(AS9=""oooooooooooo"",""-"",IF(REGEXMATCH(AT9,""xxxxx""), ""CCC."", ""-""))"),"-")</f>
        <v>-</v>
      </c>
      <c r="BP9" s="344" t="str">
        <f t="shared" si="27"/>
        <v>-</v>
      </c>
      <c r="BQ9" s="282" t="str">
        <f>IFERROR(__xludf.DUMMYFUNCTION("IF(REGEXMATCH(JOIN(""-"",EU9:FD9),""TRUE""),""✔"",""-"")"),"-")</f>
        <v>-</v>
      </c>
      <c r="BR9" s="225">
        <f t="shared" si="28"/>
        <v>0</v>
      </c>
      <c r="BS9" s="345" t="str">
        <f>IFERROR(__xludf.DUMMYFUNCTION("SUBSTITUTE(SUBSTITUTE(SUBSTITUTE(SUBSTITUTE(CONCATENATE(JOIN(""-"",GC9:GO9)),""--"",""-""),""--"",""-""),""--"",""-""),""--"",""-"")"),"1-b2-3-4-5-6-b7-8")</f>
        <v>1-b2-3-4-5-6-b7-8</v>
      </c>
      <c r="BT9" s="299" t="str">
        <f>IFERROR(__xludf.DUMMYFUNCTION("SUBSTITUTE(SUBSTITUTE(SUBSTITUTE(SUBSTITUTE(CONCATENATE(JOIN(""-"",GP9:HB9)),""--"",""-""),""--"",""-""),""--"",""-""),""--"",""-"")"),"S-R1-G3-M1-P-D2-N2-S")</f>
        <v>S-R1-G3-M1-P-D2-N2-S</v>
      </c>
      <c r="BU9" s="348" t="str">
        <f t="shared" si="29"/>
        <v>C-Db-E-F-G-A-Bb-C</v>
      </c>
      <c r="BV9" s="349" t="str">
        <f t="shared" si="30"/>
        <v>SRgMdNS</v>
      </c>
      <c r="BW9" s="350">
        <f t="shared" si="31"/>
        <v>0</v>
      </c>
      <c r="BX9" s="351">
        <f t="shared" si="32"/>
        <v>1</v>
      </c>
      <c r="BY9" s="392"/>
      <c r="BZ9" s="309" t="str">
        <f>IFERROR(__xludf.DUMMYFUNCTION("IF(REGEXMATCH(C9, ""S""), ""x"",""x"")"),"x")</f>
        <v>x</v>
      </c>
      <c r="CA9" s="245" t="str">
        <f>IFERROR(__xludf.DUMMYFUNCTION("IF(REGEXMATCH(C9, ""r""), ""o"",""x"")"),"o")</f>
        <v>o</v>
      </c>
      <c r="CB9" s="246" t="str">
        <f>IFERROR(__xludf.DUMMYFUNCTION("IF(REGEXMATCH(C9, ""R""), ""o"",""x"")"),"x")</f>
        <v>x</v>
      </c>
      <c r="CC9" s="246" t="str">
        <f>IFERROR(__xludf.DUMMYFUNCTION("IF(REGEXMATCH(C9, ""g""), ""o"",""x"")"),"x")</f>
        <v>x</v>
      </c>
      <c r="CD9" s="245" t="str">
        <f>IFERROR(__xludf.DUMMYFUNCTION("IF(REGEXMATCH(C9, ""G""), ""o"",""x"")"),"o")</f>
        <v>o</v>
      </c>
      <c r="CE9" s="245" t="str">
        <f>IFERROR(__xludf.DUMMYFUNCTION("IF(REGEXMATCH(C9, ""m""), ""o"",""x"")"),"o")</f>
        <v>o</v>
      </c>
      <c r="CF9" s="246" t="str">
        <f>IFERROR(__xludf.DUMMYFUNCTION("IF(REGEXMATCH(C9, ""M""), ""o"",""x"")"),"x")</f>
        <v>x</v>
      </c>
      <c r="CG9" s="245" t="str">
        <f>IFERROR(__xludf.DUMMYFUNCTION("IF(REGEXMATCH(C9, ""P""), ""o"",""x"")"),"o")</f>
        <v>o</v>
      </c>
      <c r="CH9" s="246" t="str">
        <f>IFERROR(__xludf.DUMMYFUNCTION("IF(REGEXMATCH(C9, ""d""), ""o"",""x"")"),"x")</f>
        <v>x</v>
      </c>
      <c r="CI9" s="245" t="str">
        <f>IFERROR(__xludf.DUMMYFUNCTION("IF(REGEXMATCH(C9, ""D""), ""o"",""x"")"),"o")</f>
        <v>o</v>
      </c>
      <c r="CJ9" s="245" t="str">
        <f>IFERROR(__xludf.DUMMYFUNCTION("IF(REGEXMATCH(C9, ""n""), ""o"",""x"")"),"o")</f>
        <v>o</v>
      </c>
      <c r="CK9" s="245" t="str">
        <f>IFERROR(__xludf.DUMMYFUNCTION("IF(REGEXMATCH(C9, ""N""), ""o"",""x"")"),"x")</f>
        <v>x</v>
      </c>
      <c r="CL9" s="356" t="str">
        <f>IFERROR(__xludf.DUMMYFUNCTION("IF(REGEXMATCH(C9, ""S""), ""x"",""x"")"),"x")</f>
        <v>x</v>
      </c>
      <c r="CM9" s="357" t="str">
        <f t="shared" si="33"/>
        <v>xoxxooxoxoox</v>
      </c>
      <c r="CN9" s="358">
        <f t="shared" si="34"/>
        <v>0</v>
      </c>
      <c r="CO9" s="246" t="str">
        <f>IFERROR(__xludf.DUMMYFUNCTION("IF(REGEXMATCH($C9, ""S""), ""S"",""S"")"),"S")</f>
        <v>S</v>
      </c>
      <c r="CP9" s="246" t="str">
        <f>IFERROR(__xludf.DUMMYFUNCTION("IF(REGEXMATCH($C9, ""r""), """",""r"")"),"")</f>
        <v/>
      </c>
      <c r="CQ9" s="246" t="str">
        <f>IFERROR(__xludf.DUMMYFUNCTION("IF(REGEXMATCH($C9, ""R""), """",""R"")"),"R")</f>
        <v>R</v>
      </c>
      <c r="CR9" s="246" t="str">
        <f>IFERROR(__xludf.DUMMYFUNCTION("IF(REGEXMATCH($C9, ""g""), """",""g"")"),"g")</f>
        <v>g</v>
      </c>
      <c r="CS9" s="246" t="str">
        <f>IFERROR(__xludf.DUMMYFUNCTION("IF(REGEXMATCH($C9, ""G""), """",""G"")"),"")</f>
        <v/>
      </c>
      <c r="CT9" s="246" t="str">
        <f>IFERROR(__xludf.DUMMYFUNCTION("IF(REGEXMATCH($C9, ""m""), """",""m"")"),"")</f>
        <v/>
      </c>
      <c r="CU9" s="246" t="str">
        <f>IFERROR(__xludf.DUMMYFUNCTION("IF(REGEXMATCH($C9, ""M""), """",""M"")"),"M")</f>
        <v>M</v>
      </c>
      <c r="CV9" s="246" t="str">
        <f>IFERROR(__xludf.DUMMYFUNCTION("IF(REGEXMATCH($C9, ""P""), """",""P"")"),"")</f>
        <v/>
      </c>
      <c r="CW9" s="246" t="str">
        <f>IFERROR(__xludf.DUMMYFUNCTION("IF(REGEXMATCH($C9, ""d""), """",""d"")"),"d")</f>
        <v>d</v>
      </c>
      <c r="CX9" s="246" t="str">
        <f>IFERROR(__xludf.DUMMYFUNCTION("IF(REGEXMATCH($C9, ""D""), """",""D"")"),"")</f>
        <v/>
      </c>
      <c r="CY9" s="246" t="str">
        <f>IFERROR(__xludf.DUMMYFUNCTION("IF(REGEXMATCH($C9, ""n""), """",""n"")"),"")</f>
        <v/>
      </c>
      <c r="CZ9" s="246" t="str">
        <f>IFERROR(__xludf.DUMMYFUNCTION("IF(REGEXMATCH($C9, ""N""), """",""N"")"),"N")</f>
        <v>N</v>
      </c>
      <c r="DA9" s="246" t="str">
        <f>IFERROR(__xludf.DUMMYFUNCTION("IF(REGEXMATCH($C9, ""S""), ""S"",""S"")"),"S")</f>
        <v>S</v>
      </c>
      <c r="DB9" s="362" t="str">
        <f>IFERROR(__xludf.DUMMYFUNCTION("JOIN("""",CO9:DA9,"""","""")"),"SRgMdNS")</f>
        <v>SRgMdNS</v>
      </c>
      <c r="DC9" s="363"/>
      <c r="DD9" s="301" t="str">
        <f t="shared" si="35"/>
        <v>#REF!</v>
      </c>
      <c r="DE9" s="302" t="str">
        <f t="shared" si="36"/>
        <v>#REF!</v>
      </c>
      <c r="DF9" s="301" t="str">
        <f t="shared" ref="DF9:DG9" si="207">SUBSTITUTE(S9,"-","")</f>
        <v>SRGM</v>
      </c>
      <c r="DG9" s="301" t="str">
        <f t="shared" si="207"/>
        <v>PDNS</v>
      </c>
      <c r="DH9" s="302" t="str">
        <f t="shared" si="38"/>
        <v>Nat Bhairav</v>
      </c>
      <c r="DI9" s="301" t="str">
        <f t="shared" si="39"/>
        <v>Hemi.</v>
      </c>
      <c r="DJ9" s="364" t="str">
        <f t="shared" si="40"/>
        <v>-</v>
      </c>
      <c r="DK9" s="306" t="str">
        <f t="shared" si="41"/>
        <v>-</v>
      </c>
      <c r="DL9" s="366" t="str">
        <f t="shared" si="42"/>
        <v>-</v>
      </c>
      <c r="DM9" s="308" t="str">
        <f t="shared" si="43"/>
        <v>✔</v>
      </c>
      <c r="DN9" s="306" t="str">
        <f t="shared" si="44"/>
        <v>-</v>
      </c>
      <c r="DO9" s="306" t="str">
        <f t="shared" si="45"/>
        <v>-</v>
      </c>
      <c r="DP9" s="367" t="str">
        <f t="shared" si="46"/>
        <v>-</v>
      </c>
      <c r="DQ9" s="310" t="str">
        <f t="shared" si="47"/>
        <v>-</v>
      </c>
      <c r="DR9" s="310" t="str">
        <f t="shared" si="48"/>
        <v>-</v>
      </c>
      <c r="DS9" s="310" t="str">
        <f t="shared" si="49"/>
        <v>-</v>
      </c>
      <c r="DT9" s="310" t="str">
        <f t="shared" si="50"/>
        <v>-</v>
      </c>
      <c r="DU9" s="370" t="str">
        <f t="shared" si="51"/>
        <v>-</v>
      </c>
      <c r="DV9" s="306" t="str">
        <f t="shared" si="52"/>
        <v>-</v>
      </c>
      <c r="DW9" s="306" t="str">
        <f t="shared" si="53"/>
        <v>-</v>
      </c>
      <c r="DX9" s="306" t="str">
        <f t="shared" si="54"/>
        <v>-</v>
      </c>
      <c r="DY9" s="306" t="str">
        <f t="shared" si="55"/>
        <v>-</v>
      </c>
      <c r="DZ9" s="306" t="str">
        <f t="shared" si="56"/>
        <v>-</v>
      </c>
      <c r="EA9" s="367" t="str">
        <f t="shared" si="57"/>
        <v>-</v>
      </c>
      <c r="EB9" s="310" t="str">
        <f>IFERROR(__xludf.DUMMYFUNCTION("IF(REGEXMATCH(AW9,AS9),""✔"",""-"")"),"-")</f>
        <v>-</v>
      </c>
      <c r="EC9" s="310" t="str">
        <f t="shared" si="58"/>
        <v>#REF!</v>
      </c>
      <c r="ED9" s="370" t="str">
        <f t="shared" si="59"/>
        <v>-</v>
      </c>
      <c r="EE9" s="340" t="str">
        <f t="shared" si="60"/>
        <v>S-r-G-m-P-D-n-S</v>
      </c>
      <c r="EF9" s="371" t="str">
        <f>IFERROR(__xludf.DUMMYFUNCTION("CONCATENATE(JOIN("""",HC9:HO9))"),"SRgmPdNS")</f>
        <v>SRgmPdNS</v>
      </c>
      <c r="EG9" s="372">
        <f t="shared" si="61"/>
        <v>3</v>
      </c>
      <c r="EH9" s="373" t="str">
        <f>IFERROR(__xludf.DUMMYFUNCTION("CONCATENATE(JOIN("""",JC9:JO9))"),"re, Ga, Pa, ")</f>
        <v>re, Ga, Pa, </v>
      </c>
      <c r="EI9" s="322">
        <f t="shared" si="62"/>
        <v>1</v>
      </c>
      <c r="EJ9" s="374" t="str">
        <f>IFERROR(__xludf.DUMMYFUNCTION("CONCATENATE(JOIN("""",KC9:KO9))"),"re, ")</f>
        <v>re, </v>
      </c>
      <c r="EK9" s="325" t="str">
        <f t="shared" si="63"/>
        <v>S-R1-G3-M1-P-D2-N2-S</v>
      </c>
      <c r="EL9" s="326" t="str">
        <f t="shared" si="64"/>
        <v>1-b2-3-4-5-6-b7-8</v>
      </c>
      <c r="EM9" s="318" t="str">
        <f t="shared" si="65"/>
        <v>#REF!</v>
      </c>
      <c r="EN9" s="328" t="str">
        <f>IFERROR(__xludf.DUMMYFUNCTION("SUBSTITUTE(SUBSTITUTE(SUBSTITUTE(SUBSTITUTE(CONCATENATE(JOIN("" "",HP9:IB9)),""  "","" ""),""  "","" ""),""  "","" ""),""  "","" "")"),"o o • • o o • o • o o • o")</f>
        <v>o o • • o o • o • o o • o</v>
      </c>
      <c r="EO9" s="368" t="str">
        <f t="shared" si="66"/>
        <v>-</v>
      </c>
      <c r="EP9" s="339" t="str">
        <f t="shared" si="67"/>
        <v>-</v>
      </c>
      <c r="EQ9" s="339" t="str">
        <f t="shared" si="68"/>
        <v>Sa-Pa</v>
      </c>
      <c r="ER9" s="339" t="str">
        <f t="shared" si="69"/>
        <v>-</v>
      </c>
      <c r="ES9" s="340" t="str">
        <f t="shared" si="70"/>
        <v>-</v>
      </c>
      <c r="ET9" s="363"/>
      <c r="EU9" s="376" t="b">
        <f>IFERROR(__xludf.DUMMYFUNCTION("arrayformula(sum(--REGEXMATCH(""SRGMPDNS"",split(REGEXREPLACE(C9,""(.)"",""$1~""),""~""))))=len(C9)
"),FALSE)</f>
        <v>0</v>
      </c>
      <c r="EV9" s="290" t="b">
        <f>IFERROR(__xludf.DUMMYFUNCTION("arrayformula(sum(--REGEXMATCH(""SRGmPDNS"",split(REGEXREPLACE(C9,""(.)"",""$1~""),""~""))))=len(C9)"),FALSE)</f>
        <v>0</v>
      </c>
      <c r="EW9" s="290" t="b">
        <f>IFERROR(__xludf.DUMMYFUNCTION("arrayformula(sum(--REGEXMATCH(""SRGmPDnS"",split(REGEXREPLACE(C9,""(.)"",""$1~""),""~""))))=len(C9)"),FALSE)</f>
        <v>0</v>
      </c>
      <c r="EX9" s="290" t="b">
        <f>IFERROR(__xludf.DUMMYFUNCTION("arrayformula(sum(--REGEXMATCH(""SRgmPDnS"",split(REGEXREPLACE(C9,""(.)"",""$1~""),""~""))))=len(C9)"),FALSE)</f>
        <v>0</v>
      </c>
      <c r="EY9" s="290" t="b">
        <f>IFERROR(__xludf.DUMMYFUNCTION("arrayformula(sum(--REGEXMATCH(""SRgmPdnS"",split(REGEXREPLACE(C9,""(.)"",""$1~""),""~""))))=len(C9)"),FALSE)</f>
        <v>0</v>
      </c>
      <c r="EZ9" s="290" t="b">
        <f>IFERROR(__xludf.DUMMYFUNCTION("arrayformula(sum(--REGEXMATCH(""SrgmPdnS"",split(REGEXREPLACE(C9,""(.)"",""$1~""),""~""))))=len(C9)"),FALSE)</f>
        <v>0</v>
      </c>
      <c r="FA9" s="290" t="b">
        <f>IFERROR(__xludf.DUMMYFUNCTION("arrayformula(sum(--REGEXMATCH(""SrGmPdNS"",split(REGEXREPLACE(C9,""(.)"",""$1~""),""~""))))=len(C9)"),FALSE)</f>
        <v>0</v>
      </c>
      <c r="FB9" s="290" t="b">
        <f>IFERROR(__xludf.DUMMYFUNCTION("arrayformula(sum(--REGEXMATCH(""SrGMPDNS"",split(REGEXREPLACE(C9,""(.)"",""$1~""),""~""))))=len(C9)"),FALSE)</f>
        <v>0</v>
      </c>
      <c r="FC9" s="290" t="b">
        <f>IFERROR(__xludf.DUMMYFUNCTION("arrayformula(sum(--REGEXMATCH(""SrGMPdNS"",split(REGEXREPLACE(C9,""(.)"",""$1~""),""~""))))=len(C9)"),FALSE)</f>
        <v>0</v>
      </c>
      <c r="FD9" s="377" t="b">
        <f>IFERROR(__xludf.DUMMYFUNCTION("arrayformula(sum(--REGEXMATCH(""SrgMPdNS"",split(REGEXREPLACE(C9,""(.)"",""$1~""),""~""))))=len(C9)"),FALSE)</f>
        <v>0</v>
      </c>
      <c r="FE9" s="269" t="str">
        <f t="shared" si="71"/>
        <v>xooxxoxoxxo</v>
      </c>
      <c r="FF9" s="269" t="str">
        <f t="shared" si="72"/>
        <v>-</v>
      </c>
      <c r="FG9" s="271" t="str">
        <f t="shared" si="73"/>
        <v>-</v>
      </c>
      <c r="FH9" s="269" t="str">
        <f t="shared" si="74"/>
        <v>xxoxoxxoxxo</v>
      </c>
      <c r="FI9" s="271" t="str">
        <f t="shared" si="75"/>
        <v>xoxoxxoxxoo</v>
      </c>
      <c r="FJ9" s="271" t="str">
        <f t="shared" si="76"/>
        <v>-</v>
      </c>
      <c r="FK9" s="271" t="str">
        <f t="shared" si="77"/>
        <v>xoxxoxxooxx</v>
      </c>
      <c r="FL9" s="271" t="str">
        <f t="shared" si="78"/>
        <v>-</v>
      </c>
      <c r="FM9" s="271" t="str">
        <f t="shared" si="79"/>
        <v>xxoxxooxxox</v>
      </c>
      <c r="FN9" s="271" t="str">
        <f t="shared" si="80"/>
        <v>xoxxooxxoxo</v>
      </c>
      <c r="FO9" s="274" t="str">
        <f t="shared" si="81"/>
        <v>-</v>
      </c>
      <c r="FP9" s="234" t="str">
        <f t="shared" si="82"/>
        <v>|</v>
      </c>
      <c r="FQ9" s="236" t="str">
        <f t="shared" si="83"/>
        <v>|</v>
      </c>
      <c r="FR9" s="237" t="str">
        <f t="shared" si="84"/>
        <v>-</v>
      </c>
      <c r="FS9" s="236" t="str">
        <f t="shared" si="85"/>
        <v>-</v>
      </c>
      <c r="FT9" s="237" t="str">
        <f t="shared" si="86"/>
        <v>|</v>
      </c>
      <c r="FU9" s="236" t="str">
        <f t="shared" si="87"/>
        <v>|</v>
      </c>
      <c r="FV9" s="237" t="str">
        <f t="shared" si="88"/>
        <v>-</v>
      </c>
      <c r="FW9" s="236" t="str">
        <f t="shared" si="89"/>
        <v>|</v>
      </c>
      <c r="FX9" s="237" t="str">
        <f t="shared" si="90"/>
        <v>-</v>
      </c>
      <c r="FY9" s="236" t="str">
        <f t="shared" si="91"/>
        <v>|</v>
      </c>
      <c r="FZ9" s="237" t="str">
        <f t="shared" si="92"/>
        <v>|</v>
      </c>
      <c r="GA9" s="236" t="str">
        <f t="shared" si="93"/>
        <v>-</v>
      </c>
      <c r="GB9" s="238" t="str">
        <f t="shared" si="94"/>
        <v>|</v>
      </c>
      <c r="GC9" s="244" t="str">
        <f>IFERROR(__xludf.DUMMYFUNCTION("IF(REGEXMATCH(C9, ""S""), ""1"","""")"),"1")</f>
        <v>1</v>
      </c>
      <c r="GD9" s="245" t="str">
        <f>IFERROR(__xludf.DUMMYFUNCTION("IF(REGEXMATCH(C9, ""r""), ""b2"","""")"),"b2")</f>
        <v>b2</v>
      </c>
      <c r="GE9" s="246" t="str">
        <f>IFERROR(__xludf.DUMMYFUNCTION("IF(REGEXMATCH(C9, ""R""), ""2"","""")"),"")</f>
        <v/>
      </c>
      <c r="GF9" s="246" t="str">
        <f>IFERROR(__xludf.DUMMYFUNCTION("IF(REGEXMATCH(C9, ""g""), ""b3"","""")"),"")</f>
        <v/>
      </c>
      <c r="GG9" s="245" t="str">
        <f>IFERROR(__xludf.DUMMYFUNCTION("IF(REGEXMATCH(C9, ""G""), ""3"","""")"),"3")</f>
        <v>3</v>
      </c>
      <c r="GH9" s="245" t="str">
        <f>IFERROR(__xludf.DUMMYFUNCTION("IF(REGEXMATCH(C9, ""m""), ""4"","""")"),"4")</f>
        <v>4</v>
      </c>
      <c r="GI9" s="246" t="str">
        <f>IFERROR(__xludf.DUMMYFUNCTION("IF(REGEXMATCH(C9, ""M""), ""#4"","""")"),"")</f>
        <v/>
      </c>
      <c r="GJ9" s="245" t="str">
        <f>IFERROR(__xludf.DUMMYFUNCTION("IF(REGEXMATCH(C9, ""P""), ""5"","""")"),"5")</f>
        <v>5</v>
      </c>
      <c r="GK9" s="246" t="str">
        <f>IFERROR(__xludf.DUMMYFUNCTION("IF(REGEXMATCH(C9, ""d""), ""b6"","""")"),"")</f>
        <v/>
      </c>
      <c r="GL9" s="245" t="str">
        <f>IFERROR(__xludf.DUMMYFUNCTION("IF(REGEXMATCH(C9, ""D""), ""6"","""")"),"6")</f>
        <v>6</v>
      </c>
      <c r="GM9" s="245" t="str">
        <f>IFERROR(__xludf.DUMMYFUNCTION("IF(REGEXMATCH(C9, ""n""), ""b7"","""")"),"b7")</f>
        <v>b7</v>
      </c>
      <c r="GN9" s="246" t="str">
        <f>IFERROR(__xludf.DUMMYFUNCTION("IF(REGEXMATCH(C9, ""N""), ""7"","""")"),"")</f>
        <v/>
      </c>
      <c r="GO9" s="249" t="str">
        <f>IFERROR(__xludf.DUMMYFUNCTION("IF(REGEXMATCH(C9, ""S""), ""8"","""")"),"8")</f>
        <v>8</v>
      </c>
      <c r="GP9" s="244" t="str">
        <f>IFERROR(__xludf.DUMMYFUNCTION("IF(REGEXMATCH(C9, ""S""), ""S"","""")"),"S")</f>
        <v>S</v>
      </c>
      <c r="GQ9" s="294" t="str">
        <f>IFERROR(__xludf.DUMMYFUNCTION("IF(REGEXMATCH(C9, ""r""), ""R1"","""")"),"R1")</f>
        <v>R1</v>
      </c>
      <c r="GR9" s="295" t="str">
        <f>IFERROR(__xludf.DUMMYFUNCTION("IF(REGEXMATCH(C9, ""R""), ""R2"","""")"),"")</f>
        <v/>
      </c>
      <c r="GS9" s="295" t="str">
        <f>IFERROR(__xludf.DUMMYFUNCTION("IF(REGEXMATCH(C9, ""g""), ""G2"","""")"),"")</f>
        <v/>
      </c>
      <c r="GT9" s="294" t="str">
        <f>IFERROR(__xludf.DUMMYFUNCTION("IF(REGEXMATCH(C9, ""G""), ""G3"","""")"),"G3")</f>
        <v>G3</v>
      </c>
      <c r="GU9" s="294" t="str">
        <f>IFERROR(__xludf.DUMMYFUNCTION("IF(REGEXMATCH(C9, ""m""), ""M1"","""")"),"M1")</f>
        <v>M1</v>
      </c>
      <c r="GV9" s="295" t="str">
        <f>IFERROR(__xludf.DUMMYFUNCTION("IF(REGEXMATCH(C9, ""M""), ""M2"","""")"),"")</f>
        <v/>
      </c>
      <c r="GW9" s="294" t="str">
        <f>IFERROR(__xludf.DUMMYFUNCTION("IF(REGEXMATCH(C9, ""P""), ""P"","""")"),"P")</f>
        <v>P</v>
      </c>
      <c r="GX9" s="295" t="str">
        <f>IFERROR(__xludf.DUMMYFUNCTION("IF(REGEXMATCH(C9, ""d""), ""D1"","""")"),"")</f>
        <v/>
      </c>
      <c r="GY9" s="294" t="str">
        <f>IFERROR(__xludf.DUMMYFUNCTION("IF(REGEXMATCH(C9, ""D""), ""D2"","""")"),"D2")</f>
        <v>D2</v>
      </c>
      <c r="GZ9" s="294" t="str">
        <f>IFERROR(__xludf.DUMMYFUNCTION("IF(REGEXMATCH(C9, ""n""), ""N2"","""")"),"N2")</f>
        <v>N2</v>
      </c>
      <c r="HA9" s="295" t="str">
        <f>IFERROR(__xludf.DUMMYFUNCTION("IF(REGEXMATCH(C9, ""N""), ""N3"","""")"),"")</f>
        <v/>
      </c>
      <c r="HB9" s="249" t="str">
        <f>IFERROR(__xludf.DUMMYFUNCTION("IF(REGEXMATCH(C9, ""S""), ""S"","""")"),"S")</f>
        <v>S</v>
      </c>
      <c r="HC9" s="331" t="str">
        <f t="shared" si="95"/>
        <v>S</v>
      </c>
      <c r="HD9" s="332" t="str">
        <f t="shared" si="96"/>
        <v/>
      </c>
      <c r="HE9" s="332" t="str">
        <f t="shared" si="97"/>
        <v>R</v>
      </c>
      <c r="HF9" s="332" t="str">
        <f t="shared" si="98"/>
        <v>g</v>
      </c>
      <c r="HG9" s="332" t="str">
        <f t="shared" si="99"/>
        <v/>
      </c>
      <c r="HH9" s="332" t="str">
        <f t="shared" si="100"/>
        <v>m</v>
      </c>
      <c r="HI9" s="332" t="str">
        <f t="shared" si="101"/>
        <v/>
      </c>
      <c r="HJ9" s="332" t="str">
        <f t="shared" si="102"/>
        <v>P</v>
      </c>
      <c r="HK9" s="332" t="str">
        <f t="shared" si="103"/>
        <v>d</v>
      </c>
      <c r="HL9" s="332" t="str">
        <f t="shared" si="104"/>
        <v/>
      </c>
      <c r="HM9" s="332" t="str">
        <f t="shared" si="105"/>
        <v/>
      </c>
      <c r="HN9" s="332" t="str">
        <f t="shared" si="106"/>
        <v>N</v>
      </c>
      <c r="HO9" s="343" t="str">
        <f t="shared" si="107"/>
        <v>S</v>
      </c>
      <c r="HP9" s="331" t="str">
        <f t="shared" si="108"/>
        <v>o</v>
      </c>
      <c r="HQ9" s="332" t="str">
        <f t="shared" si="109"/>
        <v>o</v>
      </c>
      <c r="HR9" s="332" t="str">
        <f t="shared" si="110"/>
        <v>•</v>
      </c>
      <c r="HS9" s="332" t="str">
        <f t="shared" si="111"/>
        <v>•</v>
      </c>
      <c r="HT9" s="332" t="str">
        <f t="shared" si="112"/>
        <v>o</v>
      </c>
      <c r="HU9" s="332" t="str">
        <f t="shared" si="113"/>
        <v>o</v>
      </c>
      <c r="HV9" s="332" t="str">
        <f t="shared" si="114"/>
        <v>•</v>
      </c>
      <c r="HW9" s="332" t="str">
        <f t="shared" si="115"/>
        <v>o</v>
      </c>
      <c r="HX9" s="332" t="str">
        <f t="shared" si="116"/>
        <v>•</v>
      </c>
      <c r="HY9" s="332" t="str">
        <f t="shared" si="117"/>
        <v>o</v>
      </c>
      <c r="HZ9" s="332" t="str">
        <f t="shared" si="118"/>
        <v>o</v>
      </c>
      <c r="IA9" s="332" t="str">
        <f t="shared" si="119"/>
        <v>•</v>
      </c>
      <c r="IB9" s="338" t="str">
        <f t="shared" si="120"/>
        <v>o</v>
      </c>
      <c r="IC9" s="331" t="str">
        <f t="shared" si="121"/>
        <v>•</v>
      </c>
      <c r="ID9" s="332" t="str">
        <f t="shared" si="122"/>
        <v>•</v>
      </c>
      <c r="IE9" s="332" t="str">
        <f t="shared" si="123"/>
        <v>o</v>
      </c>
      <c r="IF9" s="332" t="str">
        <f t="shared" si="124"/>
        <v>o</v>
      </c>
      <c r="IG9" s="332" t="str">
        <f t="shared" si="125"/>
        <v>•</v>
      </c>
      <c r="IH9" s="332" t="str">
        <f t="shared" si="126"/>
        <v>•</v>
      </c>
      <c r="II9" s="332" t="str">
        <f t="shared" si="127"/>
        <v>o</v>
      </c>
      <c r="IJ9" s="332" t="str">
        <f t="shared" si="128"/>
        <v>•</v>
      </c>
      <c r="IK9" s="332" t="str">
        <f t="shared" si="129"/>
        <v>o</v>
      </c>
      <c r="IL9" s="332" t="str">
        <f t="shared" si="130"/>
        <v>•</v>
      </c>
      <c r="IM9" s="332" t="str">
        <f t="shared" si="131"/>
        <v>•</v>
      </c>
      <c r="IN9" s="332" t="str">
        <f t="shared" si="132"/>
        <v>o</v>
      </c>
      <c r="IO9" s="338" t="str">
        <f t="shared" si="133"/>
        <v>•</v>
      </c>
      <c r="IP9" s="346" t="b">
        <f t="shared" si="134"/>
        <v>0</v>
      </c>
      <c r="IQ9" s="347" t="b">
        <f t="shared" si="135"/>
        <v>1</v>
      </c>
      <c r="IR9" s="347" t="b">
        <f t="shared" si="136"/>
        <v>0</v>
      </c>
      <c r="IS9" s="347" t="b">
        <f t="shared" si="137"/>
        <v>0</v>
      </c>
      <c r="IT9" s="347" t="b">
        <f t="shared" si="138"/>
        <v>1</v>
      </c>
      <c r="IU9" s="347" t="b">
        <f t="shared" si="139"/>
        <v>0</v>
      </c>
      <c r="IV9" s="347" t="b">
        <f t="shared" si="140"/>
        <v>0</v>
      </c>
      <c r="IW9" s="347" t="b">
        <f t="shared" si="141"/>
        <v>1</v>
      </c>
      <c r="IX9" s="347" t="b">
        <f t="shared" si="142"/>
        <v>0</v>
      </c>
      <c r="IY9" s="347" t="b">
        <f t="shared" si="143"/>
        <v>0</v>
      </c>
      <c r="IZ9" s="347" t="b">
        <f t="shared" si="144"/>
        <v>0</v>
      </c>
      <c r="JA9" s="347" t="b">
        <f t="shared" si="145"/>
        <v>0</v>
      </c>
      <c r="JB9" s="353" t="b">
        <f t="shared" si="146"/>
        <v>0</v>
      </c>
      <c r="JC9" s="354" t="str">
        <f t="shared" si="147"/>
        <v/>
      </c>
      <c r="JD9" s="355" t="str">
        <f t="shared" si="148"/>
        <v>re, </v>
      </c>
      <c r="JE9" s="355" t="str">
        <f t="shared" si="149"/>
        <v/>
      </c>
      <c r="JF9" s="355" t="str">
        <f t="shared" si="150"/>
        <v/>
      </c>
      <c r="JG9" s="355" t="str">
        <f t="shared" si="151"/>
        <v>Ga, </v>
      </c>
      <c r="JH9" s="355" t="str">
        <f t="shared" si="152"/>
        <v/>
      </c>
      <c r="JI9" s="355" t="str">
        <f t="shared" si="153"/>
        <v/>
      </c>
      <c r="JJ9" s="355" t="str">
        <f t="shared" si="154"/>
        <v>Pa, </v>
      </c>
      <c r="JK9" s="355" t="str">
        <f t="shared" si="155"/>
        <v/>
      </c>
      <c r="JL9" s="355" t="str">
        <f t="shared" si="156"/>
        <v/>
      </c>
      <c r="JM9" s="355" t="str">
        <f t="shared" si="157"/>
        <v/>
      </c>
      <c r="JN9" s="355" t="str">
        <f t="shared" si="158"/>
        <v/>
      </c>
      <c r="JO9" s="359" t="str">
        <f t="shared" si="159"/>
        <v/>
      </c>
      <c r="JP9" s="346" t="b">
        <f t="shared" si="160"/>
        <v>0</v>
      </c>
      <c r="JQ9" s="347" t="b">
        <f t="shared" si="161"/>
        <v>1</v>
      </c>
      <c r="JR9" s="347" t="b">
        <f t="shared" si="162"/>
        <v>0</v>
      </c>
      <c r="JS9" s="347" t="b">
        <f t="shared" si="163"/>
        <v>0</v>
      </c>
      <c r="JT9" s="347" t="b">
        <f t="shared" si="164"/>
        <v>0</v>
      </c>
      <c r="JU9" s="347" t="b">
        <f t="shared" si="165"/>
        <v>0</v>
      </c>
      <c r="JV9" s="347" t="b">
        <f t="shared" si="166"/>
        <v>0</v>
      </c>
      <c r="JW9" s="347" t="b">
        <f t="shared" si="167"/>
        <v>0</v>
      </c>
      <c r="JX9" s="347" t="b">
        <f t="shared" si="168"/>
        <v>0</v>
      </c>
      <c r="JY9" s="347" t="b">
        <f t="shared" si="169"/>
        <v>0</v>
      </c>
      <c r="JZ9" s="347" t="b">
        <f t="shared" si="170"/>
        <v>0</v>
      </c>
      <c r="KA9" s="347" t="b">
        <f t="shared" si="171"/>
        <v>0</v>
      </c>
      <c r="KB9" s="365" t="b">
        <f t="shared" si="172"/>
        <v>0</v>
      </c>
      <c r="KC9" s="354" t="str">
        <f t="shared" si="173"/>
        <v/>
      </c>
      <c r="KD9" s="355" t="str">
        <f t="shared" si="174"/>
        <v>re, </v>
      </c>
      <c r="KE9" s="355" t="str">
        <f t="shared" si="175"/>
        <v/>
      </c>
      <c r="KF9" s="355" t="str">
        <f t="shared" si="176"/>
        <v/>
      </c>
      <c r="KG9" s="355" t="str">
        <f t="shared" si="177"/>
        <v/>
      </c>
      <c r="KH9" s="355" t="str">
        <f t="shared" si="178"/>
        <v/>
      </c>
      <c r="KI9" s="355" t="str">
        <f t="shared" si="179"/>
        <v/>
      </c>
      <c r="KJ9" s="355" t="str">
        <f t="shared" si="180"/>
        <v/>
      </c>
      <c r="KK9" s="355" t="str">
        <f t="shared" si="181"/>
        <v/>
      </c>
      <c r="KL9" s="355" t="str">
        <f t="shared" si="182"/>
        <v/>
      </c>
      <c r="KM9" s="355" t="str">
        <f t="shared" si="183"/>
        <v/>
      </c>
      <c r="KN9" s="355" t="str">
        <f t="shared" si="184"/>
        <v/>
      </c>
      <c r="KO9" s="359"/>
      <c r="KP9" s="378"/>
      <c r="KQ9" s="379" t="s">
        <v>519</v>
      </c>
      <c r="KR9" s="380" t="s">
        <v>800</v>
      </c>
      <c r="KS9" s="381" t="str">
        <f t="shared" si="204"/>
        <v>S-r-G-m-P-D-n-S</v>
      </c>
      <c r="KT9" s="382">
        <f t="shared" si="186"/>
        <v>7</v>
      </c>
      <c r="KU9" s="383">
        <f t="shared" si="187"/>
        <v>7</v>
      </c>
      <c r="KV9" s="381" t="str">
        <f t="shared" si="205"/>
        <v>S-n-D-P-m-G-r-S</v>
      </c>
      <c r="KW9" s="382">
        <f t="shared" si="189"/>
        <v>7</v>
      </c>
      <c r="KX9" s="384">
        <f t="shared" si="190"/>
        <v>7</v>
      </c>
      <c r="KY9" s="382">
        <f t="shared" ref="KY9:KZ9" si="208">KW9-KT9</f>
        <v>0</v>
      </c>
      <c r="KZ9" s="369">
        <f t="shared" si="208"/>
        <v>0</v>
      </c>
      <c r="LA9" s="385" t="str">
        <f t="shared" si="192"/>
        <v>✔</v>
      </c>
      <c r="LB9" s="340" t="str">
        <f>IFERROR(__xludf.DUMMYFUNCTION("JOIN("""",ArrayFormula(MID(KS9,LEN(KS9)-SEQUENCE(1,LEN(KS9))+1,1)))"),"S-n-D-P-m-G-r-S")</f>
        <v>S-n-D-P-m-G-r-S</v>
      </c>
      <c r="LC9" s="373" t="str">
        <f>IFERROR(__xludf.DUMMYFUNCTION("JOIN("""",ArrayFormula(MID(KV9,LEN(KV9)-SEQUENCE(1,LEN(KV9))+1,1)))"),"S-r-G-m-P-D-n-S")</f>
        <v>S-r-G-m-P-D-n-S</v>
      </c>
      <c r="LD9" s="373" t="str">
        <f t="shared" si="193"/>
        <v>SrGmPDnS</v>
      </c>
      <c r="LE9" s="339" t="str">
        <f t="shared" si="194"/>
        <v>SrGmPDnS</v>
      </c>
      <c r="LF9" s="386" t="str">
        <f>IFERROR(__xludf.DUMMYFUNCTION("SUBSTITUTE(SUBSTITUTE(CONCATENATE(JOIN("""",LH9:LT9)),""1"",""""),""2"","""")"),"SrGmPDnS")</f>
        <v>SrGmPDnS</v>
      </c>
      <c r="LG9" s="369" t="str">
        <f t="shared" si="195"/>
        <v>✔</v>
      </c>
      <c r="LH9" s="387" t="str">
        <f>IFERROR(__xludf.DUMMYFUNCTION("IF(REGEXMATCH(LD9, ""S""), ""S"",IF(REGEXMATCH(LE9, ""S""), ""S"",""""))"),"S")</f>
        <v>S</v>
      </c>
      <c r="LI9" s="299" t="str">
        <f>IFERROR(__xludf.DUMMYFUNCTION("IF(REGEXMATCH(LD9, ""r""), ""r1"",IF(REGEXMATCH(LE9, ""r""), ""r2"",""""))"),"r1")</f>
        <v>r1</v>
      </c>
      <c r="LJ9" s="299" t="str">
        <f>IFERROR(__xludf.DUMMYFUNCTION("IF(REGEXMATCH(LD9, ""R""), ""R1"",IF(REGEXMATCH(LE9, ""R""), ""R2"",""""))"),"")</f>
        <v/>
      </c>
      <c r="LK9" s="299" t="str">
        <f>IFERROR(__xludf.DUMMYFUNCTION("IF(REGEXMATCH(LD9, ""g""), ""g1"",IF(REGEXMATCH(LE9, ""g""), ""g2"",""""))"),"")</f>
        <v/>
      </c>
      <c r="LL9" s="299" t="str">
        <f>IFERROR(__xludf.DUMMYFUNCTION("IF(REGEXMATCH(LD9, ""G""), ""G1"",IF(REGEXMATCH(LE9, ""G""), ""G2"",""""))"),"G1")</f>
        <v>G1</v>
      </c>
      <c r="LM9" s="299" t="str">
        <f>IFERROR(__xludf.DUMMYFUNCTION("IF(REGEXMATCH(LD9, ""m""), ""m1"",IF(REGEXMATCH(LE9, ""m""), ""m2"",""""))"),"m1")</f>
        <v>m1</v>
      </c>
      <c r="LN9" s="299" t="str">
        <f>IFERROR(__xludf.DUMMYFUNCTION("IF(REGEXMATCH(LD9, ""M""), ""M1"",IF(REGEXMATCH(LE9, ""M""), ""M2"",""""))"),"")</f>
        <v/>
      </c>
      <c r="LO9" s="299" t="str">
        <f>IFERROR(__xludf.DUMMYFUNCTION("IF(REGEXMATCH(LD9, ""P""), ""P1"",IF(REGEXMATCH(LE9, ""P""), ""P2"",""""))"),"P1")</f>
        <v>P1</v>
      </c>
      <c r="LP9" s="299" t="str">
        <f>IFERROR(__xludf.DUMMYFUNCTION("IF(REGEXMATCH(LD9, ""d""), ""d1"",IF(REGEXMATCH(LE9, ""d""), ""d2"",""""))"),"")</f>
        <v/>
      </c>
      <c r="LQ9" s="299" t="str">
        <f>IFERROR(__xludf.DUMMYFUNCTION("IF(REGEXMATCH(LD9, ""D""), ""D1"",IF(REGEXMATCH(LE9, ""D""), ""D2"",""""))"),"D1")</f>
        <v>D1</v>
      </c>
      <c r="LR9" s="299" t="str">
        <f>IFERROR(__xludf.DUMMYFUNCTION("IF(REGEXMATCH(LD9, ""n""), ""n1"",IF(REGEXMATCH(LE9, ""n""), ""n2"",""""))"),"n1")</f>
        <v>n1</v>
      </c>
      <c r="LS9" s="299" t="str">
        <f>IFERROR(__xludf.DUMMYFUNCTION("IF(REGEXMATCH(LD9, ""N""), ""N1"",IF(REGEXMATCH(LE9, ""N""), ""N2"",""""))"),"")</f>
        <v/>
      </c>
      <c r="LT9" s="388" t="str">
        <f>IFERROR(__xludf.DUMMYFUNCTION("IF(REGEXMATCH(LD9, ""S""), ""S"",IF(REGEXMATCH(LE9, ""S""), ""S"",""""))"),"S")</f>
        <v>S</v>
      </c>
      <c r="LU9" s="389">
        <f t="shared" si="196"/>
        <v>1</v>
      </c>
      <c r="LV9" s="378"/>
      <c r="LW9" s="369"/>
      <c r="LX9" s="369"/>
    </row>
    <row r="10" ht="20.25" customHeight="1">
      <c r="A10" s="298" t="s">
        <v>520</v>
      </c>
      <c r="B10" s="222" t="s">
        <v>521</v>
      </c>
      <c r="C10" s="233" t="str">
        <f t="shared" si="7"/>
        <v>SrGmMDnS</v>
      </c>
      <c r="D10" s="234" t="str">
        <f>IFERROR(__xludf.DUMMYFUNCTION("IF(REGEXMATCH(C10, ""S""), ""S"","""")"),"S")</f>
        <v>S</v>
      </c>
      <c r="E10" s="236" t="str">
        <f>IFERROR(__xludf.DUMMYFUNCTION("IF(REGEXMATCH(C10, ""r""), ""r"","""")"),"r")</f>
        <v>r</v>
      </c>
      <c r="F10" s="237" t="str">
        <f>IFERROR(__xludf.DUMMYFUNCTION("IF(REGEXMATCH(C10, ""R""), ""R"","""")"),"")</f>
        <v/>
      </c>
      <c r="G10" s="237" t="str">
        <f>IFERROR(__xludf.DUMMYFUNCTION("IF(REGEXMATCH(C10, ""g""), ""g"","""")"),"")</f>
        <v/>
      </c>
      <c r="H10" s="236" t="str">
        <f>IFERROR(__xludf.DUMMYFUNCTION("IF(REGEXMATCH(C10, ""G""), ""G"","""")"),"G")</f>
        <v>G</v>
      </c>
      <c r="I10" s="236" t="str">
        <f>IFERROR(__xludf.DUMMYFUNCTION("IF(REGEXMATCH(C10, ""m""), ""m"","""")"),"m")</f>
        <v>m</v>
      </c>
      <c r="J10" s="237" t="str">
        <f>IFERROR(__xludf.DUMMYFUNCTION("IF(REGEXMATCH(C10, ""M""), ""M"","""")"),"M")</f>
        <v>M</v>
      </c>
      <c r="K10" s="236" t="str">
        <f>IFERROR(__xludf.DUMMYFUNCTION("IF(REGEXMATCH(C10, ""P""), ""P"","""")"),"")</f>
        <v/>
      </c>
      <c r="L10" s="237" t="str">
        <f>IFERROR(__xludf.DUMMYFUNCTION("IF(REGEXMATCH(C10, ""d""), ""d"","""")"),"")</f>
        <v/>
      </c>
      <c r="M10" s="236" t="str">
        <f>IFERROR(__xludf.DUMMYFUNCTION("IF(REGEXMATCH(C10, ""D""), ""D"","""")"),"D")</f>
        <v>D</v>
      </c>
      <c r="N10" s="236" t="str">
        <f>IFERROR(__xludf.DUMMYFUNCTION("IF(REGEXMATCH(C10, ""n""), ""n"","""")"),"n")</f>
        <v>n</v>
      </c>
      <c r="O10" s="237" t="str">
        <f>IFERROR(__xludf.DUMMYFUNCTION("IF(REGEXMATCH(C10, ""N""), ""N"","""")"),"")</f>
        <v/>
      </c>
      <c r="P10" s="238" t="str">
        <f>IFERROR(__xludf.DUMMYFUNCTION("IF(REGEXMATCH(C10, ""S""), ""S"","""")"),"S")</f>
        <v>S</v>
      </c>
      <c r="Q10" s="239" t="str">
        <f>IFERROR(__xludf.DUMMYFUNCTION("SUBSTITUTE(CONCATENATE(JOIN(""-"",D10:J10)),""-"","""")"),"SrGmM")</f>
        <v>SrGmM</v>
      </c>
      <c r="R10" s="229" t="str">
        <f>IFERROR(__xludf.DUMMYFUNCTION("SUBSTITUTE(CONCATENATE(JOIN(""-"",K10:P10)),""-"","""")"),"DnS")</f>
        <v>DnS</v>
      </c>
      <c r="S10" s="282" t="str">
        <f t="shared" si="8"/>
        <v>S-R-G-M</v>
      </c>
      <c r="T10" s="282" t="str">
        <f t="shared" si="9"/>
        <v>D-N-S</v>
      </c>
      <c r="U10" s="237" t="str">
        <f>IFERROR(__xludf.DUMMYFUNCTION("SUBSTITUTE(JOIN(""-"",S10,T10),""--"",""-"")"),"S-R-G-M-D-N-S")</f>
        <v>S-R-G-M-D-N-S</v>
      </c>
      <c r="V10" s="309" t="str">
        <f t="shared" si="10"/>
        <v>rGmMDn</v>
      </c>
      <c r="W10" s="244" t="str">
        <f>IFERROR(__xludf.DUMMYFUNCTION("IF(REGEXMATCH(C10, ""S""), ""0"","""")"),"0")</f>
        <v>0</v>
      </c>
      <c r="X10" s="245" t="str">
        <f>IFERROR(__xludf.DUMMYFUNCTION("IF(REGEXMATCH(C10, ""r""), ""1"","""")"),"1")</f>
        <v>1</v>
      </c>
      <c r="Y10" s="246" t="str">
        <f>IFERROR(__xludf.DUMMYFUNCTION("IF(REGEXMATCH(C10, ""R""), ""2"","""")"),"")</f>
        <v/>
      </c>
      <c r="Z10" s="246" t="str">
        <f>IFERROR(__xludf.DUMMYFUNCTION("IF(REGEXMATCH(C10, ""g""), ""3"","""")"),"")</f>
        <v/>
      </c>
      <c r="AA10" s="245" t="str">
        <f>IFERROR(__xludf.DUMMYFUNCTION("IF(REGEXMATCH(C10, ""G""), ""4"","""")"),"4")</f>
        <v>4</v>
      </c>
      <c r="AB10" s="245" t="str">
        <f>IFERROR(__xludf.DUMMYFUNCTION("IF(REGEXMATCH(C10, ""m""), ""5"","""")"),"5")</f>
        <v>5</v>
      </c>
      <c r="AC10" s="246" t="str">
        <f>IFERROR(__xludf.DUMMYFUNCTION("IF(REGEXMATCH(C10, ""M""), ""6"","""")"),"6")</f>
        <v>6</v>
      </c>
      <c r="AD10" s="245" t="str">
        <f>IFERROR(__xludf.DUMMYFUNCTION("IF(REGEXMATCH(C10, ""P""), ""7"","""")"),"")</f>
        <v/>
      </c>
      <c r="AE10" s="246" t="str">
        <f>IFERROR(__xludf.DUMMYFUNCTION("IF(REGEXMATCH(C10, ""d""), ""8"","""")"),"")</f>
        <v/>
      </c>
      <c r="AF10" s="245" t="str">
        <f>IFERROR(__xludf.DUMMYFUNCTION("IF(REGEXMATCH(C10, ""D""), ""9"","""")"),"9")</f>
        <v>9</v>
      </c>
      <c r="AG10" s="245" t="str">
        <f>IFERROR(__xludf.DUMMYFUNCTION("IF(REGEXMATCH(C10, ""n""), ""10"","""")"),"10")</f>
        <v>10</v>
      </c>
      <c r="AH10" s="246" t="str">
        <f>IFERROR(__xludf.DUMMYFUNCTION("IF(REGEXMATCH(C10, ""N""), ""11"","""")"),"")</f>
        <v/>
      </c>
      <c r="AI10" s="249" t="str">
        <f>IFERROR(__xludf.DUMMYFUNCTION("IF(REGEXMATCH(C10, ""S""), ""0"","""")"),"0")</f>
        <v>0</v>
      </c>
      <c r="AJ10" s="313" t="str">
        <f t="shared" si="11"/>
        <v>T</v>
      </c>
      <c r="AK10" s="313" t="str">
        <f t="shared" si="12"/>
        <v>-</v>
      </c>
      <c r="AL10" s="313" t="str">
        <f t="shared" si="13"/>
        <v>-</v>
      </c>
      <c r="AM10" s="313" t="str">
        <f t="shared" si="14"/>
        <v>-</v>
      </c>
      <c r="AN10" s="313" t="str">
        <f t="shared" si="15"/>
        <v>T</v>
      </c>
      <c r="AO10" s="314" t="str">
        <f t="shared" si="16"/>
        <v>-</v>
      </c>
      <c r="AP10" s="316">
        <f t="shared" si="17"/>
        <v>2</v>
      </c>
      <c r="AQ10" s="319" t="str">
        <f t="shared" si="18"/>
        <v>-</v>
      </c>
      <c r="AR10" s="320">
        <f t="shared" si="19"/>
        <v>0</v>
      </c>
      <c r="AS10" s="250" t="str">
        <f>IFERROR(__xludf.DUMMYFUNCTION("SUBSTITUTE(SUBSTITUTE(CONCATENATE(JOIN("""",FP10:GA10)),""|"",""x""),""-"",""o"")"),"xxooxxxooxxo")</f>
        <v>xxooxxxooxxo</v>
      </c>
      <c r="AT10" s="323" t="str">
        <f>IFERROR(__xludf.DUMMYFUNCTION("JOIN("""",AS10,AS10)"),"xxooxxxooxxoxxooxxxooxxo")</f>
        <v>xxooxxxooxxoxxooxxxooxxo</v>
      </c>
      <c r="AU10" s="256" t="str">
        <f>IFERROR(__xludf.DUMMYFUNCTION("JOIN("""",ArrayFormula(MID(AS10,LEN(AS10)-SEQUENCE(1,LEN(AS10))+1,1)))"),"oxxooxxxooxx")</f>
        <v>oxxooxxxooxx</v>
      </c>
      <c r="AV10" s="256" t="str">
        <f>IFERROR(__xludf.DUMMYFUNCTION("LEFT(CONCATENATE(""x"",JOIN("""",ArrayFormula(MID(AS10,LEN(AS10)-SEQUENCE(1,LEN(AS10))+1,1)))),12)"),"xoxxooxxxoox")</f>
        <v>xoxxooxxxoox</v>
      </c>
      <c r="AW10" s="327" t="str">
        <f>IFERROR(__xludf.DUMMYFUNCTION("JOIN("""",AU10,AU10)"),"oxxooxxxooxxoxxooxxxooxx")</f>
        <v>oxxooxxxooxxoxxooxxxooxx</v>
      </c>
      <c r="AX10" s="239" t="str">
        <f>IFERROR(__xludf.DUMMYFUNCTION("IF(REGEXMATCH(AW10,AS10),""✔"",""-"")"),"✔")</f>
        <v>✔</v>
      </c>
      <c r="AY10" s="330" t="str">
        <f t="shared" si="20"/>
        <v>-</v>
      </c>
      <c r="AZ10" s="260" t="str">
        <f t="shared" si="21"/>
        <v>#REF!</v>
      </c>
      <c r="BA10" s="333" t="str">
        <f t="shared" si="22"/>
        <v>xxooxxx</v>
      </c>
      <c r="BB10" s="334" t="str">
        <f t="shared" si="23"/>
        <v>ooxxox</v>
      </c>
      <c r="BC10" s="335" t="str">
        <f t="shared" si="24"/>
        <v>-</v>
      </c>
      <c r="BD10" s="336" t="str">
        <f t="shared" si="25"/>
        <v>Ahir Lalit: 'xxooxxx' + 'ooxxox'</v>
      </c>
      <c r="BE10" s="337">
        <f>IFERROR(__xludf.DUMMYFUNCTION("COUNTUNIQUE(FILTER(AT:AT,REGEXMATCH(AT:AT,AS10)))-1"),3.0)</f>
        <v>3</v>
      </c>
      <c r="BF10" s="261" t="str">
        <f>IFERROR(__xludf.DUMMYFUNCTION("IF(BI10=0,""(n/a)"",IF(BJ10=2,""(PAIR)"",IF(REGEXMATCH(AT10,""xoxoxxoxoxox""),""Bilawal"",IF(REGEXMATCH(AT10,""xoxoxooxoxoo""),""Bhupali"",IF(REGEXMATCH(AT10,""xoxoxxoxxoxo""),""Charukeshi"",IF(REGEXMATCH(AT10,""xoxoooxxoxxo""),""Kameshwari"",IF(REGEXMATC"&amp;"H(AT10,""xoxoxooxoxox""),""Shankara"",IF(REGEXMATCH(AT10,""xxooxoxxxoox""),""Basant"",IF(REGEXMATCH(AT10,""xoxoxxxxoxox""),""Bihag"",IF(REGEXMATCH(AT10,""xoxxxxoxoxxx""),""Pilu"",IF(REGEXMATCH(AT10,""xoxxoxoxxoox""),""Kirwani"",IF(REGEXMATCH(AT10,""xoxxox"&amp;"oxoxxx""),""Mk.Malhar"",IF(REGEXMATCH(AT10,""xxooxxoxxoox""),""Bhairav"",IF(REGEXMATCH(AT10,""xxoxooxxxoox""),""Todi"",IF(REGEXMATCH(AT10,""xxooxoxooxox""),""Marwa"",IF(REGEXMATCH(AT10,""xxoooxoxxooo""),""Gunkali"",IF(REGEXMATCH(AT10,""xoxoxxoxxoox""),""N"&amp;"at Bhairav"",IF(REGEXMATCH(AT10,""xoxxoooxoxoo""),""Shivranjani"",IF(REGEXMATCH(AT10,""xooxxxoxooxo""),""Jog"",IF(REGEXMATCH(AT10,""xxooxoxoxoox""),""Hemshri"",IF(REGEXMATCH(AT10,""xoooxooxoxxo""),""Kalavati"",IF(REGEXMATCH(AT10,""xxoxoxxoxoox""),""Kedar"&amp;""",IF(REGEXMATCH(AT10,""xoxxxxoxooxx""),""Gara"",IF(REGEXMATCH(AT10,""xooxoxooxoox""),""Chandrakauns"",IF(REGEXMATCH(AT10,""xoxxxxoxxxox""),""Mand"",IF(REGEXMATCH(AT10,""xoxxxxoxoxox""),""Hanskinkini"",IF(REGEXMATCH(AT10,""xxooxxoxooxo""),""Lilavati"",IF("&amp;"REGEXMATCH(AT10,""xooxoxoooxox""),""Rajeshwari"",IF(REGEXMATCH(AT10,""xoooxxoxoxxx""),""Khokar"",IF(REGEXMATCH(AT10,""xxooxoxxxxox""),""Maligoura"",""-""))))))))))))))))))))))))))))))"),"Bhairav")</f>
        <v>Bhairav</v>
      </c>
      <c r="BG10" s="239" t="str">
        <f t="shared" si="26"/>
        <v>#REF!</v>
      </c>
      <c r="BH10" s="239">
        <f>IFERROR(__xludf.DUMMYFUNCTION("COUNTUNIQUE(FE10:FO10)-1"),6.0)</f>
        <v>6</v>
      </c>
      <c r="BI10" s="239">
        <f>IFERROR(__xludf.DUMMYFUNCTION("COUNTUNIQUE(FILTER(AT:AT,REGEXMATCH(AT:AT,AS10)))-1"),3.0)</f>
        <v>3</v>
      </c>
      <c r="BJ10" s="239">
        <f>IFERROR(__xludf.DUMMYFUNCTION("COUNTA(FILTER(AT:AT,REGEXMATCH(AT:AT,AS10)))"),6.0)</f>
        <v>6</v>
      </c>
      <c r="BK10" s="341">
        <f>IFERROR(__xludf.DUMMYFUNCTION("COUNTA(FILTER(AT:AT,REGEXMATCH(AT:AT,AS10)))-AR10"),6.0)</f>
        <v>6</v>
      </c>
      <c r="BL10" s="276" t="str">
        <f>IFERROR(__xludf.DUMMYFUNCTION("IF(AS10=""oooooooooooo"",""-"",IF(REGEXMATCH(AT10,""xx""), ""Hemi."", ""Anhemi.""))"),"Hemi.")</f>
        <v>Hemi.</v>
      </c>
      <c r="BM10" s="282" t="str">
        <f>IFERROR(__xludf.DUMMYFUNCTION("IF(AS10=""oooooooooooo"",""-"",IF(REGEXMATCH(AT10,""xxx""), ""Cohem."", ""-""))"),"Cohem.")</f>
        <v>Cohem.</v>
      </c>
      <c r="BN10" s="282" t="str">
        <f>IFERROR(__xludf.DUMMYFUNCTION("IF(AS10=""oooooooooooo"",""-"",IF(REGEXMATCH(AT10,""xxxx""), ""Co-Co."", ""-""))"),"-")</f>
        <v>-</v>
      </c>
      <c r="BO10" s="342" t="str">
        <f>IFERROR(__xludf.DUMMYFUNCTION("IF(AS10=""oooooooooooo"",""-"",IF(REGEXMATCH(AT10,""xxxxx""), ""CCC."", ""-""))"),"-")</f>
        <v>-</v>
      </c>
      <c r="BP10" s="344" t="str">
        <f t="shared" si="27"/>
        <v>-</v>
      </c>
      <c r="BQ10" s="282" t="str">
        <f>IFERROR(__xludf.DUMMYFUNCTION("IF(REGEXMATCH(JOIN(""-"",EU10:FD10),""TRUE""),""✔"",""-"")"),"-")</f>
        <v>-</v>
      </c>
      <c r="BR10" s="225">
        <f t="shared" si="28"/>
        <v>0</v>
      </c>
      <c r="BS10" s="345" t="str">
        <f>IFERROR(__xludf.DUMMYFUNCTION("SUBSTITUTE(SUBSTITUTE(SUBSTITUTE(SUBSTITUTE(CONCATENATE(JOIN(""-"",GC10:GO10)),""--"",""-""),""--"",""-""),""--"",""-""),""--"",""-"")"),"1-b2-3-4-#4-6-b7-8")</f>
        <v>1-b2-3-4-#4-6-b7-8</v>
      </c>
      <c r="BT10" s="299" t="str">
        <f>IFERROR(__xludf.DUMMYFUNCTION("SUBSTITUTE(SUBSTITUTE(SUBSTITUTE(SUBSTITUTE(CONCATENATE(JOIN(""-"",GP10:HB10)),""--"",""-""),""--"",""-""),""--"",""-""),""--"",""-"")"),"S-R1-G3-M1-M2-D2-N2-S")</f>
        <v>S-R1-G3-M1-M2-D2-N2-S</v>
      </c>
      <c r="BU10" s="348" t="str">
        <f t="shared" si="29"/>
        <v>C-Db-E-F-F#-A-Bb-C</v>
      </c>
      <c r="BV10" s="349" t="str">
        <f t="shared" si="30"/>
        <v>SRgPdNS</v>
      </c>
      <c r="BW10" s="350">
        <f t="shared" si="31"/>
        <v>0</v>
      </c>
      <c r="BX10" s="351">
        <f t="shared" si="32"/>
        <v>1</v>
      </c>
      <c r="BY10" s="392"/>
      <c r="BZ10" s="309" t="str">
        <f>IFERROR(__xludf.DUMMYFUNCTION("IF(REGEXMATCH(C10, ""S""), ""x"",""x"")"),"x")</f>
        <v>x</v>
      </c>
      <c r="CA10" s="245" t="str">
        <f>IFERROR(__xludf.DUMMYFUNCTION("IF(REGEXMATCH(C10, ""r""), ""o"",""x"")"),"o")</f>
        <v>o</v>
      </c>
      <c r="CB10" s="246" t="str">
        <f>IFERROR(__xludf.DUMMYFUNCTION("IF(REGEXMATCH(C10, ""R""), ""o"",""x"")"),"x")</f>
        <v>x</v>
      </c>
      <c r="CC10" s="246" t="str">
        <f>IFERROR(__xludf.DUMMYFUNCTION("IF(REGEXMATCH(C10, ""g""), ""o"",""x"")"),"x")</f>
        <v>x</v>
      </c>
      <c r="CD10" s="245" t="str">
        <f>IFERROR(__xludf.DUMMYFUNCTION("IF(REGEXMATCH(C10, ""G""), ""o"",""x"")"),"o")</f>
        <v>o</v>
      </c>
      <c r="CE10" s="245" t="str">
        <f>IFERROR(__xludf.DUMMYFUNCTION("IF(REGEXMATCH(C10, ""m""), ""o"",""x"")"),"o")</f>
        <v>o</v>
      </c>
      <c r="CF10" s="246" t="str">
        <f>IFERROR(__xludf.DUMMYFUNCTION("IF(REGEXMATCH(C10, ""M""), ""o"",""x"")"),"o")</f>
        <v>o</v>
      </c>
      <c r="CG10" s="245" t="str">
        <f>IFERROR(__xludf.DUMMYFUNCTION("IF(REGEXMATCH(C10, ""P""), ""o"",""x"")"),"x")</f>
        <v>x</v>
      </c>
      <c r="CH10" s="246" t="str">
        <f>IFERROR(__xludf.DUMMYFUNCTION("IF(REGEXMATCH(C10, ""d""), ""o"",""x"")"),"x")</f>
        <v>x</v>
      </c>
      <c r="CI10" s="245" t="str">
        <f>IFERROR(__xludf.DUMMYFUNCTION("IF(REGEXMATCH(C10, ""D""), ""o"",""x"")"),"o")</f>
        <v>o</v>
      </c>
      <c r="CJ10" s="245" t="str">
        <f>IFERROR(__xludf.DUMMYFUNCTION("IF(REGEXMATCH(C10, ""n""), ""o"",""x"")"),"o")</f>
        <v>o</v>
      </c>
      <c r="CK10" s="245" t="str">
        <f>IFERROR(__xludf.DUMMYFUNCTION("IF(REGEXMATCH(C10, ""N""), ""o"",""x"")"),"x")</f>
        <v>x</v>
      </c>
      <c r="CL10" s="356" t="str">
        <f>IFERROR(__xludf.DUMMYFUNCTION("IF(REGEXMATCH(C10, ""S""), ""x"",""x"")"),"x")</f>
        <v>x</v>
      </c>
      <c r="CM10" s="357" t="str">
        <f t="shared" si="33"/>
        <v>xoxxoooxxoox</v>
      </c>
      <c r="CN10" s="358">
        <f t="shared" si="34"/>
        <v>0</v>
      </c>
      <c r="CO10" s="246" t="str">
        <f>IFERROR(__xludf.DUMMYFUNCTION("IF(REGEXMATCH($C10, ""S""), ""S"",""S"")"),"S")</f>
        <v>S</v>
      </c>
      <c r="CP10" s="246" t="str">
        <f>IFERROR(__xludf.DUMMYFUNCTION("IF(REGEXMATCH($C10, ""r""), """",""r"")"),"")</f>
        <v/>
      </c>
      <c r="CQ10" s="246" t="str">
        <f>IFERROR(__xludf.DUMMYFUNCTION("IF(REGEXMATCH($C10, ""R""), """",""R"")"),"R")</f>
        <v>R</v>
      </c>
      <c r="CR10" s="246" t="str">
        <f>IFERROR(__xludf.DUMMYFUNCTION("IF(REGEXMATCH($C10, ""g""), """",""g"")"),"g")</f>
        <v>g</v>
      </c>
      <c r="CS10" s="246" t="str">
        <f>IFERROR(__xludf.DUMMYFUNCTION("IF(REGEXMATCH($C10, ""G""), """",""G"")"),"")</f>
        <v/>
      </c>
      <c r="CT10" s="246" t="str">
        <f>IFERROR(__xludf.DUMMYFUNCTION("IF(REGEXMATCH($C10, ""m""), """",""m"")"),"")</f>
        <v/>
      </c>
      <c r="CU10" s="246" t="str">
        <f>IFERROR(__xludf.DUMMYFUNCTION("IF(REGEXMATCH($C10, ""M""), """",""M"")"),"")</f>
        <v/>
      </c>
      <c r="CV10" s="246" t="str">
        <f>IFERROR(__xludf.DUMMYFUNCTION("IF(REGEXMATCH($C10, ""P""), """",""P"")"),"P")</f>
        <v>P</v>
      </c>
      <c r="CW10" s="246" t="str">
        <f>IFERROR(__xludf.DUMMYFUNCTION("IF(REGEXMATCH($C10, ""d""), """",""d"")"),"d")</f>
        <v>d</v>
      </c>
      <c r="CX10" s="246" t="str">
        <f>IFERROR(__xludf.DUMMYFUNCTION("IF(REGEXMATCH($C10, ""D""), """",""D"")"),"")</f>
        <v/>
      </c>
      <c r="CY10" s="246" t="str">
        <f>IFERROR(__xludf.DUMMYFUNCTION("IF(REGEXMATCH($C10, ""n""), """",""n"")"),"")</f>
        <v/>
      </c>
      <c r="CZ10" s="246" t="str">
        <f>IFERROR(__xludf.DUMMYFUNCTION("IF(REGEXMATCH($C10, ""N""), """",""N"")"),"N")</f>
        <v>N</v>
      </c>
      <c r="DA10" s="246" t="str">
        <f>IFERROR(__xludf.DUMMYFUNCTION("IF(REGEXMATCH($C10, ""S""), ""S"",""S"")"),"S")</f>
        <v>S</v>
      </c>
      <c r="DB10" s="362" t="str">
        <f>IFERROR(__xludf.DUMMYFUNCTION("JOIN("""",CO10:DA10,"""","""")"),"SRgPdNS")</f>
        <v>SRgPdNS</v>
      </c>
      <c r="DC10" s="363"/>
      <c r="DD10" s="301" t="str">
        <f t="shared" si="35"/>
        <v>#REF!</v>
      </c>
      <c r="DE10" s="302" t="str">
        <f t="shared" si="36"/>
        <v>#REF!</v>
      </c>
      <c r="DF10" s="301" t="str">
        <f t="shared" ref="DF10:DG10" si="209">SUBSTITUTE(S10,"-","")</f>
        <v>SRGM</v>
      </c>
      <c r="DG10" s="301" t="str">
        <f t="shared" si="209"/>
        <v>DNS</v>
      </c>
      <c r="DH10" s="302" t="str">
        <f t="shared" si="38"/>
        <v>Bhairav</v>
      </c>
      <c r="DI10" s="301" t="str">
        <f t="shared" si="39"/>
        <v>Hemi.</v>
      </c>
      <c r="DJ10" s="364" t="str">
        <f t="shared" si="40"/>
        <v>Cohem.</v>
      </c>
      <c r="DK10" s="306" t="str">
        <f t="shared" si="41"/>
        <v>-</v>
      </c>
      <c r="DL10" s="366" t="str">
        <f t="shared" si="42"/>
        <v>-</v>
      </c>
      <c r="DM10" s="308" t="str">
        <f t="shared" si="43"/>
        <v>✔</v>
      </c>
      <c r="DN10" s="306" t="str">
        <f t="shared" si="44"/>
        <v>-</v>
      </c>
      <c r="DO10" s="306" t="str">
        <f t="shared" si="45"/>
        <v>-</v>
      </c>
      <c r="DP10" s="367" t="str">
        <f t="shared" si="46"/>
        <v>-</v>
      </c>
      <c r="DQ10" s="310" t="str">
        <f t="shared" si="47"/>
        <v>-</v>
      </c>
      <c r="DR10" s="310" t="str">
        <f t="shared" si="48"/>
        <v>-</v>
      </c>
      <c r="DS10" s="310" t="str">
        <f t="shared" si="49"/>
        <v>✔</v>
      </c>
      <c r="DT10" s="310" t="str">
        <f t="shared" si="50"/>
        <v>-</v>
      </c>
      <c r="DU10" s="370" t="str">
        <f t="shared" si="51"/>
        <v>-</v>
      </c>
      <c r="DV10" s="306" t="str">
        <f t="shared" si="52"/>
        <v>-</v>
      </c>
      <c r="DW10" s="306" t="str">
        <f t="shared" si="53"/>
        <v>-</v>
      </c>
      <c r="DX10" s="306" t="str">
        <f t="shared" si="54"/>
        <v>-</v>
      </c>
      <c r="DY10" s="306" t="str">
        <f t="shared" si="55"/>
        <v>✔</v>
      </c>
      <c r="DZ10" s="306" t="str">
        <f t="shared" si="56"/>
        <v>-</v>
      </c>
      <c r="EA10" s="367" t="str">
        <f t="shared" si="57"/>
        <v>-</v>
      </c>
      <c r="EB10" s="310" t="str">
        <f>IFERROR(__xludf.DUMMYFUNCTION("IF(REGEXMATCH(AW10,AS10),""✔"",""-"")"),"✔")</f>
        <v>✔</v>
      </c>
      <c r="EC10" s="310" t="str">
        <f t="shared" si="58"/>
        <v>#REF!</v>
      </c>
      <c r="ED10" s="370" t="str">
        <f t="shared" si="59"/>
        <v>-</v>
      </c>
      <c r="EE10" s="340" t="str">
        <f t="shared" si="60"/>
        <v>S-r-G-mM-D-n-S</v>
      </c>
      <c r="EF10" s="371" t="str">
        <f>IFERROR(__xludf.DUMMYFUNCTION("CONCATENATE(JOIN("""",HC10:HO10))"),"SRgMPdNS")</f>
        <v>SRgMPdNS</v>
      </c>
      <c r="EG10" s="372">
        <f t="shared" si="61"/>
        <v>3</v>
      </c>
      <c r="EH10" s="373" t="str">
        <f>IFERROR(__xludf.DUMMYFUNCTION("CONCATENATE(JOIN("""",JC10:JO10))"),"Sa, re, Ga, ")</f>
        <v>Sa, re, Ga, </v>
      </c>
      <c r="EI10" s="322">
        <f t="shared" si="62"/>
        <v>0</v>
      </c>
      <c r="EJ10" s="374" t="str">
        <f>IFERROR(__xludf.DUMMYFUNCTION("CONCATENATE(JOIN("""",KC10:KO10))"),"")</f>
        <v/>
      </c>
      <c r="EK10" s="325" t="str">
        <f t="shared" si="63"/>
        <v>S-R1-G3-M1-M2-D2-N2-S</v>
      </c>
      <c r="EL10" s="326" t="str">
        <f t="shared" si="64"/>
        <v>1-b2-3-4-#4-6-b7-8</v>
      </c>
      <c r="EM10" s="318" t="str">
        <f t="shared" si="65"/>
        <v>#REF!</v>
      </c>
      <c r="EN10" s="328" t="str">
        <f>IFERROR(__xludf.DUMMYFUNCTION("SUBSTITUTE(SUBSTITUTE(SUBSTITUTE(SUBSTITUTE(CONCATENATE(JOIN("" "",HP10:IB10)),""  "","" ""),""  "","" ""),""  "","" ""),""  "","" "")"),"o o • • o o o • • o o • o")</f>
        <v>o o • • o o o • • o o • o</v>
      </c>
      <c r="EO10" s="368" t="str">
        <f t="shared" si="66"/>
        <v>-</v>
      </c>
      <c r="EP10" s="339" t="str">
        <f t="shared" si="67"/>
        <v>-</v>
      </c>
      <c r="EQ10" s="339" t="str">
        <f t="shared" si="68"/>
        <v>-</v>
      </c>
      <c r="ER10" s="339" t="str">
        <f t="shared" si="69"/>
        <v>-</v>
      </c>
      <c r="ES10" s="340" t="str">
        <f t="shared" si="70"/>
        <v>-</v>
      </c>
      <c r="ET10" s="363"/>
      <c r="EU10" s="376" t="b">
        <f>IFERROR(__xludf.DUMMYFUNCTION("arrayformula(sum(--REGEXMATCH(""SRGMPDNS"",split(REGEXREPLACE(C10,""(.)"",""$1~""),""~""))))=len(C10)
"),FALSE)</f>
        <v>0</v>
      </c>
      <c r="EV10" s="290" t="b">
        <f>IFERROR(__xludf.DUMMYFUNCTION("arrayformula(sum(--REGEXMATCH(""SRGmPDNS"",split(REGEXREPLACE(C10,""(.)"",""$1~""),""~""))))=len(C10)"),FALSE)</f>
        <v>0</v>
      </c>
      <c r="EW10" s="290" t="b">
        <f>IFERROR(__xludf.DUMMYFUNCTION("arrayformula(sum(--REGEXMATCH(""SRGmPDnS"",split(REGEXREPLACE(C10,""(.)"",""$1~""),""~""))))=len(C10)"),FALSE)</f>
        <v>0</v>
      </c>
      <c r="EX10" s="290" t="b">
        <f>IFERROR(__xludf.DUMMYFUNCTION("arrayformula(sum(--REGEXMATCH(""SRgmPDnS"",split(REGEXREPLACE(C10,""(.)"",""$1~""),""~""))))=len(C10)"),FALSE)</f>
        <v>0</v>
      </c>
      <c r="EY10" s="290" t="b">
        <f>IFERROR(__xludf.DUMMYFUNCTION("arrayformula(sum(--REGEXMATCH(""SRgmPdnS"",split(REGEXREPLACE(C10,""(.)"",""$1~""),""~""))))=len(C10)"),FALSE)</f>
        <v>0</v>
      </c>
      <c r="EZ10" s="290" t="b">
        <f>IFERROR(__xludf.DUMMYFUNCTION("arrayformula(sum(--REGEXMATCH(""SrgmPdnS"",split(REGEXREPLACE(C10,""(.)"",""$1~""),""~""))))=len(C10)"),FALSE)</f>
        <v>0</v>
      </c>
      <c r="FA10" s="290" t="b">
        <f>IFERROR(__xludf.DUMMYFUNCTION("arrayformula(sum(--REGEXMATCH(""SrGmPdNS"",split(REGEXREPLACE(C10,""(.)"",""$1~""),""~""))))=len(C10)"),FALSE)</f>
        <v>0</v>
      </c>
      <c r="FB10" s="290" t="b">
        <f>IFERROR(__xludf.DUMMYFUNCTION("arrayformula(sum(--REGEXMATCH(""SrGMPDNS"",split(REGEXREPLACE(C10,""(.)"",""$1~""),""~""))))=len(C10)"),FALSE)</f>
        <v>0</v>
      </c>
      <c r="FC10" s="290" t="b">
        <f>IFERROR(__xludf.DUMMYFUNCTION("arrayformula(sum(--REGEXMATCH(""SrGMPdNS"",split(REGEXREPLACE(C10,""(.)"",""$1~""),""~""))))=len(C10)"),FALSE)</f>
        <v>0</v>
      </c>
      <c r="FD10" s="377" t="b">
        <f>IFERROR(__xludf.DUMMYFUNCTION("arrayformula(sum(--REGEXMATCH(""SrgMPdNS"",split(REGEXREPLACE(C10,""(.)"",""$1~""),""~""))))=len(C10)"),FALSE)</f>
        <v>0</v>
      </c>
      <c r="FE10" s="269" t="str">
        <f t="shared" si="71"/>
        <v>xooxxxooxxo</v>
      </c>
      <c r="FF10" s="269" t="str">
        <f t="shared" si="72"/>
        <v>-</v>
      </c>
      <c r="FG10" s="271" t="str">
        <f t="shared" si="73"/>
        <v>-</v>
      </c>
      <c r="FH10" s="269" t="str">
        <f t="shared" si="74"/>
        <v>xxxooxxoxxo</v>
      </c>
      <c r="FI10" s="271" t="str">
        <f t="shared" si="75"/>
        <v>xxooxxoxxoo</v>
      </c>
      <c r="FJ10" s="271" t="str">
        <f t="shared" si="76"/>
        <v>xooxxoxxoox</v>
      </c>
      <c r="FK10" s="271" t="str">
        <f t="shared" si="77"/>
        <v>-</v>
      </c>
      <c r="FL10" s="271" t="str">
        <f t="shared" si="78"/>
        <v>-</v>
      </c>
      <c r="FM10" s="271" t="str">
        <f t="shared" si="79"/>
        <v>xxoxxooxxxo</v>
      </c>
      <c r="FN10" s="271" t="str">
        <f t="shared" si="80"/>
        <v>xoxxooxxxoo</v>
      </c>
      <c r="FO10" s="274" t="str">
        <f t="shared" si="81"/>
        <v>-</v>
      </c>
      <c r="FP10" s="234" t="str">
        <f t="shared" si="82"/>
        <v>|</v>
      </c>
      <c r="FQ10" s="236" t="str">
        <f t="shared" si="83"/>
        <v>|</v>
      </c>
      <c r="FR10" s="237" t="str">
        <f t="shared" si="84"/>
        <v>-</v>
      </c>
      <c r="FS10" s="236" t="str">
        <f t="shared" si="85"/>
        <v>-</v>
      </c>
      <c r="FT10" s="237" t="str">
        <f t="shared" si="86"/>
        <v>|</v>
      </c>
      <c r="FU10" s="236" t="str">
        <f t="shared" si="87"/>
        <v>|</v>
      </c>
      <c r="FV10" s="237" t="str">
        <f t="shared" si="88"/>
        <v>|</v>
      </c>
      <c r="FW10" s="236" t="str">
        <f t="shared" si="89"/>
        <v>-</v>
      </c>
      <c r="FX10" s="237" t="str">
        <f t="shared" si="90"/>
        <v>-</v>
      </c>
      <c r="FY10" s="236" t="str">
        <f t="shared" si="91"/>
        <v>|</v>
      </c>
      <c r="FZ10" s="237" t="str">
        <f t="shared" si="92"/>
        <v>|</v>
      </c>
      <c r="GA10" s="236" t="str">
        <f t="shared" si="93"/>
        <v>-</v>
      </c>
      <c r="GB10" s="238" t="str">
        <f t="shared" si="94"/>
        <v>|</v>
      </c>
      <c r="GC10" s="244" t="str">
        <f>IFERROR(__xludf.DUMMYFUNCTION("IF(REGEXMATCH(C10, ""S""), ""1"","""")"),"1")</f>
        <v>1</v>
      </c>
      <c r="GD10" s="245" t="str">
        <f>IFERROR(__xludf.DUMMYFUNCTION("IF(REGEXMATCH(C10, ""r""), ""b2"","""")"),"b2")</f>
        <v>b2</v>
      </c>
      <c r="GE10" s="246" t="str">
        <f>IFERROR(__xludf.DUMMYFUNCTION("IF(REGEXMATCH(C10, ""R""), ""2"","""")"),"")</f>
        <v/>
      </c>
      <c r="GF10" s="246" t="str">
        <f>IFERROR(__xludf.DUMMYFUNCTION("IF(REGEXMATCH(C10, ""g""), ""b3"","""")"),"")</f>
        <v/>
      </c>
      <c r="GG10" s="245" t="str">
        <f>IFERROR(__xludf.DUMMYFUNCTION("IF(REGEXMATCH(C10, ""G""), ""3"","""")"),"3")</f>
        <v>3</v>
      </c>
      <c r="GH10" s="245" t="str">
        <f>IFERROR(__xludf.DUMMYFUNCTION("IF(REGEXMATCH(C10, ""m""), ""4"","""")"),"4")</f>
        <v>4</v>
      </c>
      <c r="GI10" s="246" t="str">
        <f>IFERROR(__xludf.DUMMYFUNCTION("IF(REGEXMATCH(C10, ""M""), ""#4"","""")"),"#4")</f>
        <v>#4</v>
      </c>
      <c r="GJ10" s="245" t="str">
        <f>IFERROR(__xludf.DUMMYFUNCTION("IF(REGEXMATCH(C10, ""P""), ""5"","""")"),"")</f>
        <v/>
      </c>
      <c r="GK10" s="246" t="str">
        <f>IFERROR(__xludf.DUMMYFUNCTION("IF(REGEXMATCH(C10, ""d""), ""b6"","""")"),"")</f>
        <v/>
      </c>
      <c r="GL10" s="245" t="str">
        <f>IFERROR(__xludf.DUMMYFUNCTION("IF(REGEXMATCH(C10, ""D""), ""6"","""")"),"6")</f>
        <v>6</v>
      </c>
      <c r="GM10" s="245" t="str">
        <f>IFERROR(__xludf.DUMMYFUNCTION("IF(REGEXMATCH(C10, ""n""), ""b7"","""")"),"b7")</f>
        <v>b7</v>
      </c>
      <c r="GN10" s="246" t="str">
        <f>IFERROR(__xludf.DUMMYFUNCTION("IF(REGEXMATCH(C10, ""N""), ""7"","""")"),"")</f>
        <v/>
      </c>
      <c r="GO10" s="249" t="str">
        <f>IFERROR(__xludf.DUMMYFUNCTION("IF(REGEXMATCH(C10, ""S""), ""8"","""")"),"8")</f>
        <v>8</v>
      </c>
      <c r="GP10" s="244" t="str">
        <f>IFERROR(__xludf.DUMMYFUNCTION("IF(REGEXMATCH(C10, ""S""), ""S"","""")"),"S")</f>
        <v>S</v>
      </c>
      <c r="GQ10" s="294" t="str">
        <f>IFERROR(__xludf.DUMMYFUNCTION("IF(REGEXMATCH(C10, ""r""), ""R1"","""")"),"R1")</f>
        <v>R1</v>
      </c>
      <c r="GR10" s="295" t="str">
        <f>IFERROR(__xludf.DUMMYFUNCTION("IF(REGEXMATCH(C10, ""R""), ""R2"","""")"),"")</f>
        <v/>
      </c>
      <c r="GS10" s="295" t="str">
        <f>IFERROR(__xludf.DUMMYFUNCTION("IF(REGEXMATCH(C10, ""g""), ""G2"","""")"),"")</f>
        <v/>
      </c>
      <c r="GT10" s="294" t="str">
        <f>IFERROR(__xludf.DUMMYFUNCTION("IF(REGEXMATCH(C10, ""G""), ""G3"","""")"),"G3")</f>
        <v>G3</v>
      </c>
      <c r="GU10" s="294" t="str">
        <f>IFERROR(__xludf.DUMMYFUNCTION("IF(REGEXMATCH(C10, ""m""), ""M1"","""")"),"M1")</f>
        <v>M1</v>
      </c>
      <c r="GV10" s="295" t="str">
        <f>IFERROR(__xludf.DUMMYFUNCTION("IF(REGEXMATCH(C10, ""M""), ""M2"","""")"),"M2")</f>
        <v>M2</v>
      </c>
      <c r="GW10" s="294" t="str">
        <f>IFERROR(__xludf.DUMMYFUNCTION("IF(REGEXMATCH(C10, ""P""), ""P"","""")"),"")</f>
        <v/>
      </c>
      <c r="GX10" s="295" t="str">
        <f>IFERROR(__xludf.DUMMYFUNCTION("IF(REGEXMATCH(C10, ""d""), ""D1"","""")"),"")</f>
        <v/>
      </c>
      <c r="GY10" s="294" t="str">
        <f>IFERROR(__xludf.DUMMYFUNCTION("IF(REGEXMATCH(C10, ""D""), ""D2"","""")"),"D2")</f>
        <v>D2</v>
      </c>
      <c r="GZ10" s="294" t="str">
        <f>IFERROR(__xludf.DUMMYFUNCTION("IF(REGEXMATCH(C10, ""n""), ""N2"","""")"),"N2")</f>
        <v>N2</v>
      </c>
      <c r="HA10" s="295" t="str">
        <f>IFERROR(__xludf.DUMMYFUNCTION("IF(REGEXMATCH(C10, ""N""), ""N3"","""")"),"")</f>
        <v/>
      </c>
      <c r="HB10" s="249" t="str">
        <f>IFERROR(__xludf.DUMMYFUNCTION("IF(REGEXMATCH(C10, ""S""), ""S"","""")"),"S")</f>
        <v>S</v>
      </c>
      <c r="HC10" s="331" t="str">
        <f t="shared" si="95"/>
        <v>S</v>
      </c>
      <c r="HD10" s="332" t="str">
        <f t="shared" si="96"/>
        <v/>
      </c>
      <c r="HE10" s="332" t="str">
        <f t="shared" si="97"/>
        <v>R</v>
      </c>
      <c r="HF10" s="332" t="str">
        <f t="shared" si="98"/>
        <v>g</v>
      </c>
      <c r="HG10" s="332" t="str">
        <f t="shared" si="99"/>
        <v/>
      </c>
      <c r="HH10" s="332" t="str">
        <f t="shared" si="100"/>
        <v/>
      </c>
      <c r="HI10" s="332" t="str">
        <f t="shared" si="101"/>
        <v>M</v>
      </c>
      <c r="HJ10" s="332" t="str">
        <f t="shared" si="102"/>
        <v>P</v>
      </c>
      <c r="HK10" s="332" t="str">
        <f t="shared" si="103"/>
        <v>d</v>
      </c>
      <c r="HL10" s="332" t="str">
        <f t="shared" si="104"/>
        <v/>
      </c>
      <c r="HM10" s="332" t="str">
        <f t="shared" si="105"/>
        <v/>
      </c>
      <c r="HN10" s="332" t="str">
        <f t="shared" si="106"/>
        <v>N</v>
      </c>
      <c r="HO10" s="343" t="str">
        <f t="shared" si="107"/>
        <v>S</v>
      </c>
      <c r="HP10" s="331" t="str">
        <f t="shared" si="108"/>
        <v>o</v>
      </c>
      <c r="HQ10" s="332" t="str">
        <f t="shared" si="109"/>
        <v>o</v>
      </c>
      <c r="HR10" s="332" t="str">
        <f t="shared" si="110"/>
        <v>•</v>
      </c>
      <c r="HS10" s="332" t="str">
        <f t="shared" si="111"/>
        <v>•</v>
      </c>
      <c r="HT10" s="332" t="str">
        <f t="shared" si="112"/>
        <v>o</v>
      </c>
      <c r="HU10" s="332" t="str">
        <f t="shared" si="113"/>
        <v>o</v>
      </c>
      <c r="HV10" s="332" t="str">
        <f t="shared" si="114"/>
        <v>o</v>
      </c>
      <c r="HW10" s="332" t="str">
        <f t="shared" si="115"/>
        <v>•</v>
      </c>
      <c r="HX10" s="332" t="str">
        <f t="shared" si="116"/>
        <v>•</v>
      </c>
      <c r="HY10" s="332" t="str">
        <f t="shared" si="117"/>
        <v>o</v>
      </c>
      <c r="HZ10" s="332" t="str">
        <f t="shared" si="118"/>
        <v>o</v>
      </c>
      <c r="IA10" s="332" t="str">
        <f t="shared" si="119"/>
        <v>•</v>
      </c>
      <c r="IB10" s="338" t="str">
        <f t="shared" si="120"/>
        <v>o</v>
      </c>
      <c r="IC10" s="331" t="str">
        <f t="shared" si="121"/>
        <v>•</v>
      </c>
      <c r="ID10" s="332" t="str">
        <f t="shared" si="122"/>
        <v>•</v>
      </c>
      <c r="IE10" s="332" t="str">
        <f t="shared" si="123"/>
        <v>o</v>
      </c>
      <c r="IF10" s="332" t="str">
        <f t="shared" si="124"/>
        <v>o</v>
      </c>
      <c r="IG10" s="332" t="str">
        <f t="shared" si="125"/>
        <v>•</v>
      </c>
      <c r="IH10" s="332" t="str">
        <f t="shared" si="126"/>
        <v>•</v>
      </c>
      <c r="II10" s="332" t="str">
        <f t="shared" si="127"/>
        <v>•</v>
      </c>
      <c r="IJ10" s="332" t="str">
        <f t="shared" si="128"/>
        <v>o</v>
      </c>
      <c r="IK10" s="332" t="str">
        <f t="shared" si="129"/>
        <v>o</v>
      </c>
      <c r="IL10" s="332" t="str">
        <f t="shared" si="130"/>
        <v>•</v>
      </c>
      <c r="IM10" s="332" t="str">
        <f t="shared" si="131"/>
        <v>•</v>
      </c>
      <c r="IN10" s="332" t="str">
        <f t="shared" si="132"/>
        <v>o</v>
      </c>
      <c r="IO10" s="338" t="str">
        <f t="shared" si="133"/>
        <v>•</v>
      </c>
      <c r="IP10" s="346" t="b">
        <f t="shared" si="134"/>
        <v>1</v>
      </c>
      <c r="IQ10" s="347" t="b">
        <f t="shared" si="135"/>
        <v>1</v>
      </c>
      <c r="IR10" s="347" t="b">
        <f t="shared" si="136"/>
        <v>0</v>
      </c>
      <c r="IS10" s="347" t="b">
        <f t="shared" si="137"/>
        <v>0</v>
      </c>
      <c r="IT10" s="347" t="b">
        <f t="shared" si="138"/>
        <v>1</v>
      </c>
      <c r="IU10" s="347" t="b">
        <f t="shared" si="139"/>
        <v>0</v>
      </c>
      <c r="IV10" s="347" t="b">
        <f t="shared" si="140"/>
        <v>0</v>
      </c>
      <c r="IW10" s="347" t="b">
        <f t="shared" si="141"/>
        <v>0</v>
      </c>
      <c r="IX10" s="347" t="b">
        <f t="shared" si="142"/>
        <v>0</v>
      </c>
      <c r="IY10" s="347" t="b">
        <f t="shared" si="143"/>
        <v>0</v>
      </c>
      <c r="IZ10" s="347" t="b">
        <f t="shared" si="144"/>
        <v>0</v>
      </c>
      <c r="JA10" s="347" t="b">
        <f t="shared" si="145"/>
        <v>0</v>
      </c>
      <c r="JB10" s="353" t="b">
        <f t="shared" si="146"/>
        <v>1</v>
      </c>
      <c r="JC10" s="354" t="str">
        <f t="shared" si="147"/>
        <v>Sa, </v>
      </c>
      <c r="JD10" s="355" t="str">
        <f t="shared" si="148"/>
        <v>re, </v>
      </c>
      <c r="JE10" s="355" t="str">
        <f t="shared" si="149"/>
        <v/>
      </c>
      <c r="JF10" s="355" t="str">
        <f t="shared" si="150"/>
        <v/>
      </c>
      <c r="JG10" s="355" t="str">
        <f t="shared" si="151"/>
        <v>Ga, </v>
      </c>
      <c r="JH10" s="355" t="str">
        <f t="shared" si="152"/>
        <v/>
      </c>
      <c r="JI10" s="355" t="str">
        <f t="shared" si="153"/>
        <v/>
      </c>
      <c r="JJ10" s="355" t="str">
        <f t="shared" si="154"/>
        <v/>
      </c>
      <c r="JK10" s="355" t="str">
        <f t="shared" si="155"/>
        <v/>
      </c>
      <c r="JL10" s="355" t="str">
        <f t="shared" si="156"/>
        <v/>
      </c>
      <c r="JM10" s="355" t="str">
        <f t="shared" si="157"/>
        <v/>
      </c>
      <c r="JN10" s="355" t="str">
        <f t="shared" si="158"/>
        <v/>
      </c>
      <c r="JO10" s="359" t="str">
        <f t="shared" si="159"/>
        <v/>
      </c>
      <c r="JP10" s="346" t="b">
        <f t="shared" si="160"/>
        <v>0</v>
      </c>
      <c r="JQ10" s="347" t="b">
        <f t="shared" si="161"/>
        <v>0</v>
      </c>
      <c r="JR10" s="347" t="b">
        <f t="shared" si="162"/>
        <v>0</v>
      </c>
      <c r="JS10" s="347" t="b">
        <f t="shared" si="163"/>
        <v>0</v>
      </c>
      <c r="JT10" s="347" t="b">
        <f t="shared" si="164"/>
        <v>0</v>
      </c>
      <c r="JU10" s="347" t="b">
        <f t="shared" si="165"/>
        <v>0</v>
      </c>
      <c r="JV10" s="347" t="b">
        <f t="shared" si="166"/>
        <v>0</v>
      </c>
      <c r="JW10" s="347" t="b">
        <f t="shared" si="167"/>
        <v>0</v>
      </c>
      <c r="JX10" s="347" t="b">
        <f t="shared" si="168"/>
        <v>0</v>
      </c>
      <c r="JY10" s="347" t="b">
        <f t="shared" si="169"/>
        <v>0</v>
      </c>
      <c r="JZ10" s="347" t="b">
        <f t="shared" si="170"/>
        <v>0</v>
      </c>
      <c r="KA10" s="347" t="b">
        <f t="shared" si="171"/>
        <v>0</v>
      </c>
      <c r="KB10" s="365" t="b">
        <f t="shared" si="172"/>
        <v>0</v>
      </c>
      <c r="KC10" s="354" t="str">
        <f t="shared" si="173"/>
        <v/>
      </c>
      <c r="KD10" s="355" t="str">
        <f t="shared" si="174"/>
        <v/>
      </c>
      <c r="KE10" s="355" t="str">
        <f t="shared" si="175"/>
        <v/>
      </c>
      <c r="KF10" s="355" t="str">
        <f t="shared" si="176"/>
        <v/>
      </c>
      <c r="KG10" s="355" t="str">
        <f t="shared" si="177"/>
        <v/>
      </c>
      <c r="KH10" s="355" t="str">
        <f t="shared" si="178"/>
        <v/>
      </c>
      <c r="KI10" s="355" t="str">
        <f t="shared" si="179"/>
        <v/>
      </c>
      <c r="KJ10" s="355" t="str">
        <f t="shared" si="180"/>
        <v/>
      </c>
      <c r="KK10" s="355" t="str">
        <f t="shared" si="181"/>
        <v/>
      </c>
      <c r="KL10" s="355" t="str">
        <f t="shared" si="182"/>
        <v/>
      </c>
      <c r="KM10" s="355" t="str">
        <f t="shared" si="183"/>
        <v/>
      </c>
      <c r="KN10" s="355" t="str">
        <f t="shared" si="184"/>
        <v/>
      </c>
      <c r="KO10" s="359"/>
      <c r="KP10" s="378"/>
      <c r="KQ10" s="379" t="s">
        <v>521</v>
      </c>
      <c r="KR10" s="380" t="s">
        <v>910</v>
      </c>
      <c r="KS10" s="381" t="str">
        <f t="shared" si="204"/>
        <v>S-r-G-mM-D-n-S</v>
      </c>
      <c r="KT10" s="382">
        <f t="shared" si="186"/>
        <v>6</v>
      </c>
      <c r="KU10" s="383">
        <f t="shared" si="187"/>
        <v>7</v>
      </c>
      <c r="KV10" s="381" t="str">
        <f t="shared" si="205"/>
        <v>S-n-D-Mm-G-r-S</v>
      </c>
      <c r="KW10" s="382">
        <f t="shared" si="189"/>
        <v>6</v>
      </c>
      <c r="KX10" s="384">
        <f t="shared" si="190"/>
        <v>7</v>
      </c>
      <c r="KY10" s="382">
        <f t="shared" ref="KY10:KZ10" si="210">KW10-KT10</f>
        <v>0</v>
      </c>
      <c r="KZ10" s="369">
        <f t="shared" si="210"/>
        <v>0</v>
      </c>
      <c r="LA10" s="385" t="str">
        <f t="shared" si="192"/>
        <v>✔</v>
      </c>
      <c r="LB10" s="340" t="str">
        <f>IFERROR(__xludf.DUMMYFUNCTION("JOIN("""",ArrayFormula(MID(KS10,LEN(KS10)-SEQUENCE(1,LEN(KS10))+1,1)))"),"S-n-D-Mm-G-r-S")</f>
        <v>S-n-D-Mm-G-r-S</v>
      </c>
      <c r="LC10" s="373" t="str">
        <f>IFERROR(__xludf.DUMMYFUNCTION("JOIN("""",ArrayFormula(MID(KV10,LEN(KV10)-SEQUENCE(1,LEN(KV10))+1,1)))"),"S-r-G-mM-D-n-S")</f>
        <v>S-r-G-mM-D-n-S</v>
      </c>
      <c r="LD10" s="373" t="str">
        <f t="shared" si="193"/>
        <v>SrGmMDnS</v>
      </c>
      <c r="LE10" s="339" t="str">
        <f t="shared" si="194"/>
        <v>SrGmMDnS</v>
      </c>
      <c r="LF10" s="386" t="str">
        <f>IFERROR(__xludf.DUMMYFUNCTION("SUBSTITUTE(SUBSTITUTE(CONCATENATE(JOIN("""",LH10:LT10)),""1"",""""),""2"","""")"),"SrGmMDnS")</f>
        <v>SrGmMDnS</v>
      </c>
      <c r="LG10" s="369" t="str">
        <f t="shared" si="195"/>
        <v>✔</v>
      </c>
      <c r="LH10" s="387" t="str">
        <f>IFERROR(__xludf.DUMMYFUNCTION("IF(REGEXMATCH(LD10, ""S""), ""S"",IF(REGEXMATCH(LE10, ""S""), ""S"",""""))"),"S")</f>
        <v>S</v>
      </c>
      <c r="LI10" s="299" t="str">
        <f>IFERROR(__xludf.DUMMYFUNCTION("IF(REGEXMATCH(LD10, ""r""), ""r1"",IF(REGEXMATCH(LE10, ""r""), ""r2"",""""))"),"r1")</f>
        <v>r1</v>
      </c>
      <c r="LJ10" s="299" t="str">
        <f>IFERROR(__xludf.DUMMYFUNCTION("IF(REGEXMATCH(LD10, ""R""), ""R1"",IF(REGEXMATCH(LE10, ""R""), ""R2"",""""))"),"")</f>
        <v/>
      </c>
      <c r="LK10" s="299" t="str">
        <f>IFERROR(__xludf.DUMMYFUNCTION("IF(REGEXMATCH(LD10, ""g""), ""g1"",IF(REGEXMATCH(LE10, ""g""), ""g2"",""""))"),"")</f>
        <v/>
      </c>
      <c r="LL10" s="299" t="str">
        <f>IFERROR(__xludf.DUMMYFUNCTION("IF(REGEXMATCH(LD10, ""G""), ""G1"",IF(REGEXMATCH(LE10, ""G""), ""G2"",""""))"),"G1")</f>
        <v>G1</v>
      </c>
      <c r="LM10" s="299" t="str">
        <f>IFERROR(__xludf.DUMMYFUNCTION("IF(REGEXMATCH(LD10, ""m""), ""m1"",IF(REGEXMATCH(LE10, ""m""), ""m2"",""""))"),"m1")</f>
        <v>m1</v>
      </c>
      <c r="LN10" s="299" t="str">
        <f>IFERROR(__xludf.DUMMYFUNCTION("IF(REGEXMATCH(LD10, ""M""), ""M1"",IF(REGEXMATCH(LE10, ""M""), ""M2"",""""))"),"M1")</f>
        <v>M1</v>
      </c>
      <c r="LO10" s="299" t="str">
        <f>IFERROR(__xludf.DUMMYFUNCTION("IF(REGEXMATCH(LD10, ""P""), ""P1"",IF(REGEXMATCH(LE10, ""P""), ""P2"",""""))"),"")</f>
        <v/>
      </c>
      <c r="LP10" s="299" t="str">
        <f>IFERROR(__xludf.DUMMYFUNCTION("IF(REGEXMATCH(LD10, ""d""), ""d1"",IF(REGEXMATCH(LE10, ""d""), ""d2"",""""))"),"")</f>
        <v/>
      </c>
      <c r="LQ10" s="299" t="str">
        <f>IFERROR(__xludf.DUMMYFUNCTION("IF(REGEXMATCH(LD10, ""D""), ""D1"",IF(REGEXMATCH(LE10, ""D""), ""D2"",""""))"),"D1")</f>
        <v>D1</v>
      </c>
      <c r="LR10" s="299" t="str">
        <f>IFERROR(__xludf.DUMMYFUNCTION("IF(REGEXMATCH(LD10, ""n""), ""n1"",IF(REGEXMATCH(LE10, ""n""), ""n2"",""""))"),"n1")</f>
        <v>n1</v>
      </c>
      <c r="LS10" s="299" t="str">
        <f>IFERROR(__xludf.DUMMYFUNCTION("IF(REGEXMATCH(LD10, ""N""), ""N1"",IF(REGEXMATCH(LE10, ""N""), ""N2"",""""))"),"")</f>
        <v/>
      </c>
      <c r="LT10" s="388" t="str">
        <f>IFERROR(__xludf.DUMMYFUNCTION("IF(REGEXMATCH(LD10, ""S""), ""S"",IF(REGEXMATCH(LE10, ""S""), ""S"",""""))"),"S")</f>
        <v>S</v>
      </c>
      <c r="LU10" s="389">
        <f t="shared" si="196"/>
        <v>1</v>
      </c>
      <c r="LV10" s="378"/>
      <c r="LW10" s="369"/>
      <c r="LX10" s="369"/>
    </row>
    <row r="11" ht="20.25" customHeight="1">
      <c r="A11" s="298" t="s">
        <v>523</v>
      </c>
      <c r="B11" s="222" t="s">
        <v>524</v>
      </c>
      <c r="C11" s="233" t="str">
        <f t="shared" si="7"/>
        <v>SrgmPDnS</v>
      </c>
      <c r="D11" s="234" t="str">
        <f>IFERROR(__xludf.DUMMYFUNCTION("IF(REGEXMATCH(C11, ""S""), ""S"","""")"),"S")</f>
        <v>S</v>
      </c>
      <c r="E11" s="236" t="str">
        <f>IFERROR(__xludf.DUMMYFUNCTION("IF(REGEXMATCH(C11, ""r""), ""r"","""")"),"r")</f>
        <v>r</v>
      </c>
      <c r="F11" s="237" t="str">
        <f>IFERROR(__xludf.DUMMYFUNCTION("IF(REGEXMATCH(C11, ""R""), ""R"","""")"),"")</f>
        <v/>
      </c>
      <c r="G11" s="237" t="str">
        <f>IFERROR(__xludf.DUMMYFUNCTION("IF(REGEXMATCH(C11, ""g""), ""g"","""")"),"g")</f>
        <v>g</v>
      </c>
      <c r="H11" s="236" t="str">
        <f>IFERROR(__xludf.DUMMYFUNCTION("IF(REGEXMATCH(C11, ""G""), ""G"","""")"),"")</f>
        <v/>
      </c>
      <c r="I11" s="236" t="str">
        <f>IFERROR(__xludf.DUMMYFUNCTION("IF(REGEXMATCH(C11, ""m""), ""m"","""")"),"m")</f>
        <v>m</v>
      </c>
      <c r="J11" s="237" t="str">
        <f>IFERROR(__xludf.DUMMYFUNCTION("IF(REGEXMATCH(C11, ""M""), ""M"","""")"),"")</f>
        <v/>
      </c>
      <c r="K11" s="236" t="str">
        <f>IFERROR(__xludf.DUMMYFUNCTION("IF(REGEXMATCH(C11, ""P""), ""P"","""")"),"P")</f>
        <v>P</v>
      </c>
      <c r="L11" s="237" t="str">
        <f>IFERROR(__xludf.DUMMYFUNCTION("IF(REGEXMATCH(C11, ""d""), ""d"","""")"),"")</f>
        <v/>
      </c>
      <c r="M11" s="236" t="str">
        <f>IFERROR(__xludf.DUMMYFUNCTION("IF(REGEXMATCH(C11, ""D""), ""D"","""")"),"D")</f>
        <v>D</v>
      </c>
      <c r="N11" s="236" t="str">
        <f>IFERROR(__xludf.DUMMYFUNCTION("IF(REGEXMATCH(C11, ""n""), ""n"","""")"),"n")</f>
        <v>n</v>
      </c>
      <c r="O11" s="237" t="str">
        <f>IFERROR(__xludf.DUMMYFUNCTION("IF(REGEXMATCH(C11, ""N""), ""N"","""")"),"")</f>
        <v/>
      </c>
      <c r="P11" s="238" t="str">
        <f>IFERROR(__xludf.DUMMYFUNCTION("IF(REGEXMATCH(C11, ""S""), ""S"","""")"),"S")</f>
        <v>S</v>
      </c>
      <c r="Q11" s="239" t="str">
        <f>IFERROR(__xludf.DUMMYFUNCTION("SUBSTITUTE(CONCATENATE(JOIN(""-"",D11:J11)),""-"","""")"),"Srgm")</f>
        <v>Srgm</v>
      </c>
      <c r="R11" s="229" t="str">
        <f>IFERROR(__xludf.DUMMYFUNCTION("SUBSTITUTE(CONCATENATE(JOIN(""-"",K11:P11)),""-"","""")"),"PDnS")</f>
        <v>PDnS</v>
      </c>
      <c r="S11" s="282" t="str">
        <f t="shared" si="8"/>
        <v>S-R-G-M</v>
      </c>
      <c r="T11" s="282" t="str">
        <f t="shared" si="9"/>
        <v>P-D-N-S</v>
      </c>
      <c r="U11" s="237" t="str">
        <f>IFERROR(__xludf.DUMMYFUNCTION("SUBSTITUTE(JOIN(""-"",S11,T11),""--"",""-"")"),"S-R-G-M-P-D-N-S")</f>
        <v>S-R-G-M-P-D-N-S</v>
      </c>
      <c r="V11" s="309" t="str">
        <f t="shared" si="10"/>
        <v>rgmDn</v>
      </c>
      <c r="W11" s="244" t="str">
        <f>IFERROR(__xludf.DUMMYFUNCTION("IF(REGEXMATCH(C11, ""S""), ""0"","""")"),"0")</f>
        <v>0</v>
      </c>
      <c r="X11" s="245" t="str">
        <f>IFERROR(__xludf.DUMMYFUNCTION("IF(REGEXMATCH(C11, ""r""), ""1"","""")"),"1")</f>
        <v>1</v>
      </c>
      <c r="Y11" s="246" t="str">
        <f>IFERROR(__xludf.DUMMYFUNCTION("IF(REGEXMATCH(C11, ""R""), ""2"","""")"),"")</f>
        <v/>
      </c>
      <c r="Z11" s="246" t="str">
        <f>IFERROR(__xludf.DUMMYFUNCTION("IF(REGEXMATCH(C11, ""g""), ""3"","""")"),"3")</f>
        <v>3</v>
      </c>
      <c r="AA11" s="245" t="str">
        <f>IFERROR(__xludf.DUMMYFUNCTION("IF(REGEXMATCH(C11, ""G""), ""4"","""")"),"")</f>
        <v/>
      </c>
      <c r="AB11" s="245" t="str">
        <f>IFERROR(__xludf.DUMMYFUNCTION("IF(REGEXMATCH(C11, ""m""), ""5"","""")"),"5")</f>
        <v>5</v>
      </c>
      <c r="AC11" s="246" t="str">
        <f>IFERROR(__xludf.DUMMYFUNCTION("IF(REGEXMATCH(C11, ""M""), ""6"","""")"),"")</f>
        <v/>
      </c>
      <c r="AD11" s="245" t="str">
        <f>IFERROR(__xludf.DUMMYFUNCTION("IF(REGEXMATCH(C11, ""P""), ""7"","""")"),"7")</f>
        <v>7</v>
      </c>
      <c r="AE11" s="246" t="str">
        <f>IFERROR(__xludf.DUMMYFUNCTION("IF(REGEXMATCH(C11, ""d""), ""8"","""")"),"")</f>
        <v/>
      </c>
      <c r="AF11" s="245" t="str">
        <f>IFERROR(__xludf.DUMMYFUNCTION("IF(REGEXMATCH(C11, ""D""), ""9"","""")"),"9")</f>
        <v>9</v>
      </c>
      <c r="AG11" s="245" t="str">
        <f>IFERROR(__xludf.DUMMYFUNCTION("IF(REGEXMATCH(C11, ""n""), ""10"","""")"),"10")</f>
        <v>10</v>
      </c>
      <c r="AH11" s="246" t="str">
        <f>IFERROR(__xludf.DUMMYFUNCTION("IF(REGEXMATCH(C11, ""N""), ""11"","""")"),"")</f>
        <v/>
      </c>
      <c r="AI11" s="249" t="str">
        <f>IFERROR(__xludf.DUMMYFUNCTION("IF(REGEXMATCH(C11, ""S""), ""0"","""")"),"0")</f>
        <v>0</v>
      </c>
      <c r="AJ11" s="313" t="str">
        <f t="shared" si="11"/>
        <v>-</v>
      </c>
      <c r="AK11" s="313" t="str">
        <f t="shared" si="12"/>
        <v>T</v>
      </c>
      <c r="AL11" s="313" t="str">
        <f t="shared" si="13"/>
        <v>-</v>
      </c>
      <c r="AM11" s="313" t="str">
        <f t="shared" si="14"/>
        <v>T</v>
      </c>
      <c r="AN11" s="313" t="str">
        <f t="shared" si="15"/>
        <v>-</v>
      </c>
      <c r="AO11" s="314" t="str">
        <f t="shared" si="16"/>
        <v>-</v>
      </c>
      <c r="AP11" s="316">
        <f t="shared" si="17"/>
        <v>2</v>
      </c>
      <c r="AQ11" s="319" t="str">
        <f t="shared" si="18"/>
        <v>#REF!</v>
      </c>
      <c r="AR11" s="320">
        <f t="shared" si="19"/>
        <v>0</v>
      </c>
      <c r="AS11" s="250" t="str">
        <f>IFERROR(__xludf.DUMMYFUNCTION("SUBSTITUTE(SUBSTITUTE(CONCATENATE(JOIN("""",FP11:GA11)),""|"",""x""),""-"",""o"")"),"xxoxoxoxoxxo")</f>
        <v>xxoxoxoxoxxo</v>
      </c>
      <c r="AT11" s="323" t="str">
        <f>IFERROR(__xludf.DUMMYFUNCTION("JOIN("""",AS11,AS11)"),"xxoxoxoxoxxoxxoxoxoxoxxo")</f>
        <v>xxoxoxoxoxxoxxoxoxoxoxxo</v>
      </c>
      <c r="AU11" s="256" t="str">
        <f>IFERROR(__xludf.DUMMYFUNCTION("JOIN("""",ArrayFormula(MID(AS11,LEN(AS11)-SEQUENCE(1,LEN(AS11))+1,1)))"),"oxxoxoxoxoxx")</f>
        <v>oxxoxoxoxoxx</v>
      </c>
      <c r="AV11" s="256" t="str">
        <f>IFERROR(__xludf.DUMMYFUNCTION("LEFT(CONCATENATE(""x"",JOIN("""",ArrayFormula(MID(AS11,LEN(AS11)-SEQUENCE(1,LEN(AS11))+1,1)))),12)"),"xoxxoxoxoxox")</f>
        <v>xoxxoxoxoxox</v>
      </c>
      <c r="AW11" s="327" t="str">
        <f>IFERROR(__xludf.DUMMYFUNCTION("JOIN("""",AU11,AU11)"),"oxxoxoxoxoxxoxxoxoxoxoxx")</f>
        <v>oxxoxoxoxoxxoxxoxoxoxoxx</v>
      </c>
      <c r="AX11" s="239" t="str">
        <f>IFERROR(__xludf.DUMMYFUNCTION("IF(REGEXMATCH(AW11,AS11),""✔"",""-"")"),"✔")</f>
        <v>✔</v>
      </c>
      <c r="AY11" s="330" t="str">
        <f t="shared" si="20"/>
        <v>-</v>
      </c>
      <c r="AZ11" s="260" t="str">
        <f t="shared" si="21"/>
        <v>#REF!</v>
      </c>
      <c r="BA11" s="333" t="str">
        <f t="shared" si="22"/>
        <v>xxoxoxo</v>
      </c>
      <c r="BB11" s="334" t="str">
        <f t="shared" si="23"/>
        <v>xoxxox</v>
      </c>
      <c r="BC11" s="335" t="str">
        <f t="shared" si="24"/>
        <v>-</v>
      </c>
      <c r="BD11" s="336" t="str">
        <f t="shared" si="25"/>
        <v>Ahiri: 'xxoxoxo' + 'xoxxox'</v>
      </c>
      <c r="BE11" s="337">
        <f>IFERROR(__xludf.DUMMYFUNCTION("COUNTUNIQUE(FILTER(AT:AT,REGEXMATCH(AT:AT,AS11)))-1"),4.0)</f>
        <v>4</v>
      </c>
      <c r="BF11" s="261" t="str">
        <f>IFERROR(__xludf.DUMMYFUNCTION("IF(BI11=0,""(n/a)"",IF(BJ11=2,""(PAIR)"",IF(REGEXMATCH(AT11,""xoxoxxoxoxox""),""Bilawal"",IF(REGEXMATCH(AT11,""xoxoxooxoxoo""),""Bhupali"",IF(REGEXMATCH(AT11,""xoxoxxoxxoxo""),""Charukeshi"",IF(REGEXMATCH(AT11,""xoxoooxxoxxo""),""Kameshwari"",IF(REGEXMATC"&amp;"H(AT11,""xoxoxooxoxox""),""Shankara"",IF(REGEXMATCH(AT11,""xxooxoxxxoox""),""Basant"",IF(REGEXMATCH(AT11,""xoxoxxxxoxox""),""Bihag"",IF(REGEXMATCH(AT11,""xoxxxxoxoxxx""),""Pilu"",IF(REGEXMATCH(AT11,""xoxxoxoxxoox""),""Kirwani"",IF(REGEXMATCH(AT11,""xoxxox"&amp;"oxoxxx""),""Mk.Malhar"",IF(REGEXMATCH(AT11,""xxooxxoxxoox""),""Bhairav"",IF(REGEXMATCH(AT11,""xxoxooxxxoox""),""Todi"",IF(REGEXMATCH(AT11,""xxooxoxooxox""),""Marwa"",IF(REGEXMATCH(AT11,""xxoooxoxxooo""),""Gunkali"",IF(REGEXMATCH(AT11,""xoxoxxoxxoox""),""N"&amp;"at Bhairav"",IF(REGEXMATCH(AT11,""xoxxoooxoxoo""),""Shivranjani"",IF(REGEXMATCH(AT11,""xooxxxoxooxo""),""Jog"",IF(REGEXMATCH(AT11,""xxooxoxoxoox""),""Hemshri"",IF(REGEXMATCH(AT11,""xoooxooxoxxo""),""Kalavati"",IF(REGEXMATCH(AT11,""xxoxoxxoxoox""),""Kedar"&amp;""",IF(REGEXMATCH(AT11,""xoxxxxoxooxx""),""Gara"",IF(REGEXMATCH(AT11,""xooxoxooxoox""),""Chandrakauns"",IF(REGEXMATCH(AT11,""xoxxxxoxxxox""),""Mand"",IF(REGEXMATCH(AT11,""xoxxxxoxoxox""),""Hanskinkini"",IF(REGEXMATCH(AT11,""xxooxxoxooxo""),""Lilavati"",IF("&amp;"REGEXMATCH(AT11,""xooxoxoooxox""),""Rajeshwari"",IF(REGEXMATCH(AT11,""xoooxxoxoxxx""),""Khokar"",IF(REGEXMATCH(AT11,""xxooxoxxxxox""),""Maligoura"",""-""))))))))))))))))))))))))))))))"),"Charukeshi")</f>
        <v>Charukeshi</v>
      </c>
      <c r="BG11" s="239" t="str">
        <f t="shared" si="26"/>
        <v>#REF!</v>
      </c>
      <c r="BH11" s="239">
        <f>IFERROR(__xludf.DUMMYFUNCTION("COUNTUNIQUE(FE11:FO11)-1"),6.0)</f>
        <v>6</v>
      </c>
      <c r="BI11" s="239">
        <f>IFERROR(__xludf.DUMMYFUNCTION("COUNTUNIQUE(FILTER(AT:AT,REGEXMATCH(AT:AT,AS11)))-1"),4.0)</f>
        <v>4</v>
      </c>
      <c r="BJ11" s="239">
        <f>IFERROR(__xludf.DUMMYFUNCTION("COUNTA(FILTER(AT:AT,REGEXMATCH(AT:AT,AS11)))"),8.0)</f>
        <v>8</v>
      </c>
      <c r="BK11" s="341">
        <f>IFERROR(__xludf.DUMMYFUNCTION("COUNTA(FILTER(AT:AT,REGEXMATCH(AT:AT,AS11)))-AR11"),8.0)</f>
        <v>8</v>
      </c>
      <c r="BL11" s="276" t="str">
        <f>IFERROR(__xludf.DUMMYFUNCTION("IF(AS11=""oooooooooooo"",""-"",IF(REGEXMATCH(AT11,""xx""), ""Hemi."", ""Anhemi.""))"),"Hemi.")</f>
        <v>Hemi.</v>
      </c>
      <c r="BM11" s="282" t="str">
        <f>IFERROR(__xludf.DUMMYFUNCTION("IF(AS11=""oooooooooooo"",""-"",IF(REGEXMATCH(AT11,""xxx""), ""Cohem."", ""-""))"),"-")</f>
        <v>-</v>
      </c>
      <c r="BN11" s="282" t="str">
        <f>IFERROR(__xludf.DUMMYFUNCTION("IF(AS11=""oooooooooooo"",""-"",IF(REGEXMATCH(AT11,""xxxx""), ""Co-Co."", ""-""))"),"-")</f>
        <v>-</v>
      </c>
      <c r="BO11" s="342" t="str">
        <f>IFERROR(__xludf.DUMMYFUNCTION("IF(AS11=""oooooooooooo"",""-"",IF(REGEXMATCH(AT11,""xxxxx""), ""CCC."", ""-""))"),"-")</f>
        <v>-</v>
      </c>
      <c r="BP11" s="344" t="str">
        <f t="shared" si="27"/>
        <v>-</v>
      </c>
      <c r="BQ11" s="282" t="str">
        <f>IFERROR(__xludf.DUMMYFUNCTION("IF(REGEXMATCH(JOIN(""-"",EU11:FD11),""TRUE""),""✔"",""-"")"),"-")</f>
        <v>-</v>
      </c>
      <c r="BR11" s="225">
        <f t="shared" si="28"/>
        <v>0</v>
      </c>
      <c r="BS11" s="345" t="str">
        <f>IFERROR(__xludf.DUMMYFUNCTION("SUBSTITUTE(SUBSTITUTE(SUBSTITUTE(SUBSTITUTE(CONCATENATE(JOIN(""-"",GC11:GO11)),""--"",""-""),""--"",""-""),""--"",""-""),""--"",""-"")"),"1-b2-b3-4-5-6-b7-8")</f>
        <v>1-b2-b3-4-5-6-b7-8</v>
      </c>
      <c r="BT11" s="299" t="str">
        <f>IFERROR(__xludf.DUMMYFUNCTION("SUBSTITUTE(SUBSTITUTE(SUBSTITUTE(SUBSTITUTE(CONCATENATE(JOIN(""-"",GP11:HB11)),""--"",""-""),""--"",""-""),""--"",""-""),""--"",""-"")"),"S-R1-G2-M1-P-D2-N2-S")</f>
        <v>S-R1-G2-M1-P-D2-N2-S</v>
      </c>
      <c r="BU11" s="348" t="str">
        <f t="shared" si="29"/>
        <v>C-Db-Eb-F-G-A-Bb-C</v>
      </c>
      <c r="BV11" s="349" t="str">
        <f t="shared" si="30"/>
        <v>SRGMdNS</v>
      </c>
      <c r="BW11" s="350">
        <f t="shared" si="31"/>
        <v>0</v>
      </c>
      <c r="BX11" s="351">
        <f t="shared" si="32"/>
        <v>3</v>
      </c>
      <c r="BY11" s="352" t="s">
        <v>275</v>
      </c>
      <c r="BZ11" s="309" t="str">
        <f>IFERROR(__xludf.DUMMYFUNCTION("IF(REGEXMATCH(C11, ""S""), ""x"",""x"")"),"x")</f>
        <v>x</v>
      </c>
      <c r="CA11" s="245" t="str">
        <f>IFERROR(__xludf.DUMMYFUNCTION("IF(REGEXMATCH(C11, ""r""), ""o"",""x"")"),"o")</f>
        <v>o</v>
      </c>
      <c r="CB11" s="246" t="str">
        <f>IFERROR(__xludf.DUMMYFUNCTION("IF(REGEXMATCH(C11, ""R""), ""o"",""x"")"),"x")</f>
        <v>x</v>
      </c>
      <c r="CC11" s="246" t="str">
        <f>IFERROR(__xludf.DUMMYFUNCTION("IF(REGEXMATCH(C11, ""g""), ""o"",""x"")"),"o")</f>
        <v>o</v>
      </c>
      <c r="CD11" s="245" t="str">
        <f>IFERROR(__xludf.DUMMYFUNCTION("IF(REGEXMATCH(C11, ""G""), ""o"",""x"")"),"x")</f>
        <v>x</v>
      </c>
      <c r="CE11" s="245" t="str">
        <f>IFERROR(__xludf.DUMMYFUNCTION("IF(REGEXMATCH(C11, ""m""), ""o"",""x"")"),"o")</f>
        <v>o</v>
      </c>
      <c r="CF11" s="246" t="str">
        <f>IFERROR(__xludf.DUMMYFUNCTION("IF(REGEXMATCH(C11, ""M""), ""o"",""x"")"),"x")</f>
        <v>x</v>
      </c>
      <c r="CG11" s="245" t="str">
        <f>IFERROR(__xludf.DUMMYFUNCTION("IF(REGEXMATCH(C11, ""P""), ""o"",""x"")"),"o")</f>
        <v>o</v>
      </c>
      <c r="CH11" s="246" t="str">
        <f>IFERROR(__xludf.DUMMYFUNCTION("IF(REGEXMATCH(C11, ""d""), ""o"",""x"")"),"x")</f>
        <v>x</v>
      </c>
      <c r="CI11" s="245" t="str">
        <f>IFERROR(__xludf.DUMMYFUNCTION("IF(REGEXMATCH(C11, ""D""), ""o"",""x"")"),"o")</f>
        <v>o</v>
      </c>
      <c r="CJ11" s="245" t="str">
        <f>IFERROR(__xludf.DUMMYFUNCTION("IF(REGEXMATCH(C11, ""n""), ""o"",""x"")"),"o")</f>
        <v>o</v>
      </c>
      <c r="CK11" s="245" t="str">
        <f>IFERROR(__xludf.DUMMYFUNCTION("IF(REGEXMATCH(C11, ""N""), ""o"",""x"")"),"x")</f>
        <v>x</v>
      </c>
      <c r="CL11" s="356" t="str">
        <f>IFERROR(__xludf.DUMMYFUNCTION("IF(REGEXMATCH(C11, ""S""), ""x"",""x"")"),"x")</f>
        <v>x</v>
      </c>
      <c r="CM11" s="357" t="str">
        <f t="shared" si="33"/>
        <v>xoxoxoxoxoox</v>
      </c>
      <c r="CN11" s="358">
        <f t="shared" si="34"/>
        <v>0</v>
      </c>
      <c r="CO11" s="246" t="str">
        <f>IFERROR(__xludf.DUMMYFUNCTION("IF(REGEXMATCH($C11, ""S""), ""S"",""S"")"),"S")</f>
        <v>S</v>
      </c>
      <c r="CP11" s="246" t="str">
        <f>IFERROR(__xludf.DUMMYFUNCTION("IF(REGEXMATCH($C11, ""r""), """",""r"")"),"")</f>
        <v/>
      </c>
      <c r="CQ11" s="246" t="str">
        <f>IFERROR(__xludf.DUMMYFUNCTION("IF(REGEXMATCH($C11, ""R""), """",""R"")"),"R")</f>
        <v>R</v>
      </c>
      <c r="CR11" s="246" t="str">
        <f>IFERROR(__xludf.DUMMYFUNCTION("IF(REGEXMATCH($C11, ""g""), """",""g"")"),"")</f>
        <v/>
      </c>
      <c r="CS11" s="246" t="str">
        <f>IFERROR(__xludf.DUMMYFUNCTION("IF(REGEXMATCH($C11, ""G""), """",""G"")"),"G")</f>
        <v>G</v>
      </c>
      <c r="CT11" s="246" t="str">
        <f>IFERROR(__xludf.DUMMYFUNCTION("IF(REGEXMATCH($C11, ""m""), """",""m"")"),"")</f>
        <v/>
      </c>
      <c r="CU11" s="246" t="str">
        <f>IFERROR(__xludf.DUMMYFUNCTION("IF(REGEXMATCH($C11, ""M""), """",""M"")"),"M")</f>
        <v>M</v>
      </c>
      <c r="CV11" s="246" t="str">
        <f>IFERROR(__xludf.DUMMYFUNCTION("IF(REGEXMATCH($C11, ""P""), """",""P"")"),"")</f>
        <v/>
      </c>
      <c r="CW11" s="246" t="str">
        <f>IFERROR(__xludf.DUMMYFUNCTION("IF(REGEXMATCH($C11, ""d""), """",""d"")"),"d")</f>
        <v>d</v>
      </c>
      <c r="CX11" s="246" t="str">
        <f>IFERROR(__xludf.DUMMYFUNCTION("IF(REGEXMATCH($C11, ""D""), """",""D"")"),"")</f>
        <v/>
      </c>
      <c r="CY11" s="246" t="str">
        <f>IFERROR(__xludf.DUMMYFUNCTION("IF(REGEXMATCH($C11, ""n""), """",""n"")"),"")</f>
        <v/>
      </c>
      <c r="CZ11" s="246" t="str">
        <f>IFERROR(__xludf.DUMMYFUNCTION("IF(REGEXMATCH($C11, ""N""), """",""N"")"),"N")</f>
        <v>N</v>
      </c>
      <c r="DA11" s="246" t="str">
        <f>IFERROR(__xludf.DUMMYFUNCTION("IF(REGEXMATCH($C11, ""S""), ""S"",""S"")"),"S")</f>
        <v>S</v>
      </c>
      <c r="DB11" s="362" t="str">
        <f>IFERROR(__xludf.DUMMYFUNCTION("JOIN("""",CO11:DA11,"""","""")"),"SRGMdNS")</f>
        <v>SRGMdNS</v>
      </c>
      <c r="DC11" s="363"/>
      <c r="DD11" s="301" t="str">
        <f t="shared" si="35"/>
        <v>#REF!</v>
      </c>
      <c r="DE11" s="302" t="str">
        <f t="shared" si="36"/>
        <v>#REF!</v>
      </c>
      <c r="DF11" s="301" t="str">
        <f t="shared" ref="DF11:DG11" si="211">SUBSTITUTE(S11,"-","")</f>
        <v>SRGM</v>
      </c>
      <c r="DG11" s="301" t="str">
        <f t="shared" si="211"/>
        <v>PDNS</v>
      </c>
      <c r="DH11" s="302" t="str">
        <f t="shared" si="38"/>
        <v>Charukeshi</v>
      </c>
      <c r="DI11" s="301" t="str">
        <f t="shared" si="39"/>
        <v>Hemi.</v>
      </c>
      <c r="DJ11" s="364" t="str">
        <f t="shared" si="40"/>
        <v>-</v>
      </c>
      <c r="DK11" s="306" t="str">
        <f t="shared" si="41"/>
        <v>-</v>
      </c>
      <c r="DL11" s="366" t="str">
        <f t="shared" si="42"/>
        <v>-</v>
      </c>
      <c r="DM11" s="308" t="str">
        <f t="shared" si="43"/>
        <v>✔</v>
      </c>
      <c r="DN11" s="306" t="str">
        <f t="shared" si="44"/>
        <v>-</v>
      </c>
      <c r="DO11" s="306" t="str">
        <f t="shared" si="45"/>
        <v>-</v>
      </c>
      <c r="DP11" s="367" t="str">
        <f t="shared" si="46"/>
        <v>-</v>
      </c>
      <c r="DQ11" s="310" t="str">
        <f t="shared" si="47"/>
        <v>-</v>
      </c>
      <c r="DR11" s="310" t="str">
        <f t="shared" si="48"/>
        <v>-</v>
      </c>
      <c r="DS11" s="310" t="str">
        <f t="shared" si="49"/>
        <v>-</v>
      </c>
      <c r="DT11" s="310" t="str">
        <f t="shared" si="50"/>
        <v>-</v>
      </c>
      <c r="DU11" s="370" t="str">
        <f t="shared" si="51"/>
        <v>-</v>
      </c>
      <c r="DV11" s="306" t="str">
        <f t="shared" si="52"/>
        <v>-</v>
      </c>
      <c r="DW11" s="306" t="str">
        <f t="shared" si="53"/>
        <v>-</v>
      </c>
      <c r="DX11" s="306" t="str">
        <f t="shared" si="54"/>
        <v>-</v>
      </c>
      <c r="DY11" s="306" t="str">
        <f t="shared" si="55"/>
        <v>-</v>
      </c>
      <c r="DZ11" s="306" t="str">
        <f t="shared" si="56"/>
        <v>-</v>
      </c>
      <c r="EA11" s="367" t="str">
        <f t="shared" si="57"/>
        <v>-</v>
      </c>
      <c r="EB11" s="310" t="str">
        <f>IFERROR(__xludf.DUMMYFUNCTION("IF(REGEXMATCH(AW11,AS11),""✔"",""-"")"),"✔")</f>
        <v>✔</v>
      </c>
      <c r="EC11" s="310" t="str">
        <f t="shared" si="58"/>
        <v>#REF!</v>
      </c>
      <c r="ED11" s="370" t="str">
        <f t="shared" si="59"/>
        <v>-</v>
      </c>
      <c r="EE11" s="340" t="str">
        <f t="shared" si="60"/>
        <v>S-r-g-m-P-D-n-S</v>
      </c>
      <c r="EF11" s="371" t="str">
        <f>IFERROR(__xludf.DUMMYFUNCTION("CONCATENATE(JOIN("""",HC11:HO11))"),"SRgmPDNS")</f>
        <v>SRgmPDNS</v>
      </c>
      <c r="EG11" s="372">
        <f t="shared" si="61"/>
        <v>3</v>
      </c>
      <c r="EH11" s="373" t="str">
        <f>IFERROR(__xludf.DUMMYFUNCTION("CONCATENATE(JOIN("""",JC11:JO11))"),"re, Pa, Dha, ")</f>
        <v>re, Pa, Dha, </v>
      </c>
      <c r="EI11" s="322">
        <f t="shared" si="62"/>
        <v>2</v>
      </c>
      <c r="EJ11" s="374" t="str">
        <f>IFERROR(__xludf.DUMMYFUNCTION("CONCATENATE(JOIN("""",KC11:KO11))"),"re, Dha, ")</f>
        <v>re, Dha, </v>
      </c>
      <c r="EK11" s="325" t="str">
        <f t="shared" si="63"/>
        <v>S-R1-G2-M1-P-D2-N2-S</v>
      </c>
      <c r="EL11" s="326" t="str">
        <f t="shared" si="64"/>
        <v>1-b2-b3-4-5-6-b7-8</v>
      </c>
      <c r="EM11" s="318" t="str">
        <f t="shared" si="65"/>
        <v>#REF!</v>
      </c>
      <c r="EN11" s="328" t="str">
        <f>IFERROR(__xludf.DUMMYFUNCTION("SUBSTITUTE(SUBSTITUTE(SUBSTITUTE(SUBSTITUTE(CONCATENATE(JOIN("" "",HP11:IB11)),""  "","" ""),""  "","" ""),""  "","" ""),""  "","" "")"),"o o • o • o • o • o o • o")</f>
        <v>o o • o • o • o • o o • o</v>
      </c>
      <c r="EO11" s="368" t="str">
        <f t="shared" si="66"/>
        <v>-</v>
      </c>
      <c r="EP11" s="339" t="str">
        <f t="shared" si="67"/>
        <v>-</v>
      </c>
      <c r="EQ11" s="339" t="str">
        <f t="shared" si="68"/>
        <v>Sa-Pa</v>
      </c>
      <c r="ER11" s="339" t="str">
        <f t="shared" si="69"/>
        <v>-</v>
      </c>
      <c r="ES11" s="340" t="str">
        <f t="shared" si="70"/>
        <v>-</v>
      </c>
      <c r="ET11" s="363"/>
      <c r="EU11" s="376" t="b">
        <f>IFERROR(__xludf.DUMMYFUNCTION("arrayformula(sum(--REGEXMATCH(""SRGMPDNS"",split(REGEXREPLACE(C11,""(.)"",""$1~""),""~""))))=len(C11)
"),FALSE)</f>
        <v>0</v>
      </c>
      <c r="EV11" s="290" t="b">
        <f>IFERROR(__xludf.DUMMYFUNCTION("arrayformula(sum(--REGEXMATCH(""SRGmPDNS"",split(REGEXREPLACE(C11,""(.)"",""$1~""),""~""))))=len(C11)"),FALSE)</f>
        <v>0</v>
      </c>
      <c r="EW11" s="290" t="b">
        <f>IFERROR(__xludf.DUMMYFUNCTION("arrayformula(sum(--REGEXMATCH(""SRGmPDnS"",split(REGEXREPLACE(C11,""(.)"",""$1~""),""~""))))=len(C11)"),FALSE)</f>
        <v>0</v>
      </c>
      <c r="EX11" s="290" t="b">
        <f>IFERROR(__xludf.DUMMYFUNCTION("arrayformula(sum(--REGEXMATCH(""SRgmPDnS"",split(REGEXREPLACE(C11,""(.)"",""$1~""),""~""))))=len(C11)"),FALSE)</f>
        <v>0</v>
      </c>
      <c r="EY11" s="290" t="b">
        <f>IFERROR(__xludf.DUMMYFUNCTION("arrayformula(sum(--REGEXMATCH(""SRgmPdnS"",split(REGEXREPLACE(C11,""(.)"",""$1~""),""~""))))=len(C11)"),FALSE)</f>
        <v>0</v>
      </c>
      <c r="EZ11" s="290" t="b">
        <f>IFERROR(__xludf.DUMMYFUNCTION("arrayformula(sum(--REGEXMATCH(""SrgmPdnS"",split(REGEXREPLACE(C11,""(.)"",""$1~""),""~""))))=len(C11)"),FALSE)</f>
        <v>0</v>
      </c>
      <c r="FA11" s="290" t="b">
        <f>IFERROR(__xludf.DUMMYFUNCTION("arrayformula(sum(--REGEXMATCH(""SrGmPdNS"",split(REGEXREPLACE(C11,""(.)"",""$1~""),""~""))))=len(C11)"),FALSE)</f>
        <v>0</v>
      </c>
      <c r="FB11" s="290" t="b">
        <f>IFERROR(__xludf.DUMMYFUNCTION("arrayformula(sum(--REGEXMATCH(""SrGMPDNS"",split(REGEXREPLACE(C11,""(.)"",""$1~""),""~""))))=len(C11)"),FALSE)</f>
        <v>0</v>
      </c>
      <c r="FC11" s="290" t="b">
        <f>IFERROR(__xludf.DUMMYFUNCTION("arrayformula(sum(--REGEXMATCH(""SrGMPdNS"",split(REGEXREPLACE(C11,""(.)"",""$1~""),""~""))))=len(C11)"),FALSE)</f>
        <v>0</v>
      </c>
      <c r="FD11" s="377" t="b">
        <f>IFERROR(__xludf.DUMMYFUNCTION("arrayformula(sum(--REGEXMATCH(""SrgMPdNS"",split(REGEXREPLACE(C11,""(.)"",""$1~""),""~""))))=len(C11)"),FALSE)</f>
        <v>0</v>
      </c>
      <c r="FE11" s="269" t="str">
        <f t="shared" si="71"/>
        <v>xoxoxoxoxxo</v>
      </c>
      <c r="FF11" s="269" t="str">
        <f t="shared" si="72"/>
        <v>-</v>
      </c>
      <c r="FG11" s="271" t="str">
        <f t="shared" si="73"/>
        <v>xoxoxoxxoxx</v>
      </c>
      <c r="FH11" s="269" t="str">
        <f t="shared" si="74"/>
        <v>-</v>
      </c>
      <c r="FI11" s="271" t="str">
        <f t="shared" si="75"/>
        <v>xoxoxxoxxox</v>
      </c>
      <c r="FJ11" s="271" t="str">
        <f t="shared" si="76"/>
        <v>-</v>
      </c>
      <c r="FK11" s="271" t="str">
        <f t="shared" si="77"/>
        <v>xoxxoxxoxox</v>
      </c>
      <c r="FL11" s="271" t="str">
        <f t="shared" si="78"/>
        <v>-</v>
      </c>
      <c r="FM11" s="271" t="str">
        <f t="shared" si="79"/>
        <v>xxoxxoxoxox</v>
      </c>
      <c r="FN11" s="271" t="str">
        <f t="shared" si="80"/>
        <v>xoxxoxoxoxo</v>
      </c>
      <c r="FO11" s="274" t="str">
        <f t="shared" si="81"/>
        <v>-</v>
      </c>
      <c r="FP11" s="234" t="str">
        <f t="shared" si="82"/>
        <v>|</v>
      </c>
      <c r="FQ11" s="236" t="str">
        <f t="shared" si="83"/>
        <v>|</v>
      </c>
      <c r="FR11" s="237" t="str">
        <f t="shared" si="84"/>
        <v>-</v>
      </c>
      <c r="FS11" s="236" t="str">
        <f t="shared" si="85"/>
        <v>|</v>
      </c>
      <c r="FT11" s="237" t="str">
        <f t="shared" si="86"/>
        <v>-</v>
      </c>
      <c r="FU11" s="236" t="str">
        <f t="shared" si="87"/>
        <v>|</v>
      </c>
      <c r="FV11" s="237" t="str">
        <f t="shared" si="88"/>
        <v>-</v>
      </c>
      <c r="FW11" s="236" t="str">
        <f t="shared" si="89"/>
        <v>|</v>
      </c>
      <c r="FX11" s="237" t="str">
        <f t="shared" si="90"/>
        <v>-</v>
      </c>
      <c r="FY11" s="236" t="str">
        <f t="shared" si="91"/>
        <v>|</v>
      </c>
      <c r="FZ11" s="237" t="str">
        <f t="shared" si="92"/>
        <v>|</v>
      </c>
      <c r="GA11" s="236" t="str">
        <f t="shared" si="93"/>
        <v>-</v>
      </c>
      <c r="GB11" s="238" t="str">
        <f t="shared" si="94"/>
        <v>|</v>
      </c>
      <c r="GC11" s="244" t="str">
        <f>IFERROR(__xludf.DUMMYFUNCTION("IF(REGEXMATCH(C11, ""S""), ""1"","""")"),"1")</f>
        <v>1</v>
      </c>
      <c r="GD11" s="245" t="str">
        <f>IFERROR(__xludf.DUMMYFUNCTION("IF(REGEXMATCH(C11, ""r""), ""b2"","""")"),"b2")</f>
        <v>b2</v>
      </c>
      <c r="GE11" s="246" t="str">
        <f>IFERROR(__xludf.DUMMYFUNCTION("IF(REGEXMATCH(C11, ""R""), ""2"","""")"),"")</f>
        <v/>
      </c>
      <c r="GF11" s="246" t="str">
        <f>IFERROR(__xludf.DUMMYFUNCTION("IF(REGEXMATCH(C11, ""g""), ""b3"","""")"),"b3")</f>
        <v>b3</v>
      </c>
      <c r="GG11" s="245" t="str">
        <f>IFERROR(__xludf.DUMMYFUNCTION("IF(REGEXMATCH(C11, ""G""), ""3"","""")"),"")</f>
        <v/>
      </c>
      <c r="GH11" s="245" t="str">
        <f>IFERROR(__xludf.DUMMYFUNCTION("IF(REGEXMATCH(C11, ""m""), ""4"","""")"),"4")</f>
        <v>4</v>
      </c>
      <c r="GI11" s="246" t="str">
        <f>IFERROR(__xludf.DUMMYFUNCTION("IF(REGEXMATCH(C11, ""M""), ""#4"","""")"),"")</f>
        <v/>
      </c>
      <c r="GJ11" s="245" t="str">
        <f>IFERROR(__xludf.DUMMYFUNCTION("IF(REGEXMATCH(C11, ""P""), ""5"","""")"),"5")</f>
        <v>5</v>
      </c>
      <c r="GK11" s="246" t="str">
        <f>IFERROR(__xludf.DUMMYFUNCTION("IF(REGEXMATCH(C11, ""d""), ""b6"","""")"),"")</f>
        <v/>
      </c>
      <c r="GL11" s="245" t="str">
        <f>IFERROR(__xludf.DUMMYFUNCTION("IF(REGEXMATCH(C11, ""D""), ""6"","""")"),"6")</f>
        <v>6</v>
      </c>
      <c r="GM11" s="245" t="str">
        <f>IFERROR(__xludf.DUMMYFUNCTION("IF(REGEXMATCH(C11, ""n""), ""b7"","""")"),"b7")</f>
        <v>b7</v>
      </c>
      <c r="GN11" s="246" t="str">
        <f>IFERROR(__xludf.DUMMYFUNCTION("IF(REGEXMATCH(C11, ""N""), ""7"","""")"),"")</f>
        <v/>
      </c>
      <c r="GO11" s="249" t="str">
        <f>IFERROR(__xludf.DUMMYFUNCTION("IF(REGEXMATCH(C11, ""S""), ""8"","""")"),"8")</f>
        <v>8</v>
      </c>
      <c r="GP11" s="244" t="str">
        <f>IFERROR(__xludf.DUMMYFUNCTION("IF(REGEXMATCH(C11, ""S""), ""S"","""")"),"S")</f>
        <v>S</v>
      </c>
      <c r="GQ11" s="294" t="str">
        <f>IFERROR(__xludf.DUMMYFUNCTION("IF(REGEXMATCH(C11, ""r""), ""R1"","""")"),"R1")</f>
        <v>R1</v>
      </c>
      <c r="GR11" s="295" t="str">
        <f>IFERROR(__xludf.DUMMYFUNCTION("IF(REGEXMATCH(C11, ""R""), ""R2"","""")"),"")</f>
        <v/>
      </c>
      <c r="GS11" s="295" t="str">
        <f>IFERROR(__xludf.DUMMYFUNCTION("IF(REGEXMATCH(C11, ""g""), ""G2"","""")"),"G2")</f>
        <v>G2</v>
      </c>
      <c r="GT11" s="294" t="str">
        <f>IFERROR(__xludf.DUMMYFUNCTION("IF(REGEXMATCH(C11, ""G""), ""G3"","""")"),"")</f>
        <v/>
      </c>
      <c r="GU11" s="294" t="str">
        <f>IFERROR(__xludf.DUMMYFUNCTION("IF(REGEXMATCH(C11, ""m""), ""M1"","""")"),"M1")</f>
        <v>M1</v>
      </c>
      <c r="GV11" s="295" t="str">
        <f>IFERROR(__xludf.DUMMYFUNCTION("IF(REGEXMATCH(C11, ""M""), ""M2"","""")"),"")</f>
        <v/>
      </c>
      <c r="GW11" s="294" t="str">
        <f>IFERROR(__xludf.DUMMYFUNCTION("IF(REGEXMATCH(C11, ""P""), ""P"","""")"),"P")</f>
        <v>P</v>
      </c>
      <c r="GX11" s="295" t="str">
        <f>IFERROR(__xludf.DUMMYFUNCTION("IF(REGEXMATCH(C11, ""d""), ""D1"","""")"),"")</f>
        <v/>
      </c>
      <c r="GY11" s="294" t="str">
        <f>IFERROR(__xludf.DUMMYFUNCTION("IF(REGEXMATCH(C11, ""D""), ""D2"","""")"),"D2")</f>
        <v>D2</v>
      </c>
      <c r="GZ11" s="294" t="str">
        <f>IFERROR(__xludf.DUMMYFUNCTION("IF(REGEXMATCH(C11, ""n""), ""N2"","""")"),"N2")</f>
        <v>N2</v>
      </c>
      <c r="HA11" s="295" t="str">
        <f>IFERROR(__xludf.DUMMYFUNCTION("IF(REGEXMATCH(C11, ""N""), ""N3"","""")"),"")</f>
        <v/>
      </c>
      <c r="HB11" s="249" t="str">
        <f>IFERROR(__xludf.DUMMYFUNCTION("IF(REGEXMATCH(C11, ""S""), ""S"","""")"),"S")</f>
        <v>S</v>
      </c>
      <c r="HC11" s="331" t="str">
        <f t="shared" si="95"/>
        <v>S</v>
      </c>
      <c r="HD11" s="332" t="str">
        <f t="shared" si="96"/>
        <v/>
      </c>
      <c r="HE11" s="332" t="str">
        <f t="shared" si="97"/>
        <v>R</v>
      </c>
      <c r="HF11" s="332" t="str">
        <f t="shared" si="98"/>
        <v>g</v>
      </c>
      <c r="HG11" s="332" t="str">
        <f t="shared" si="99"/>
        <v/>
      </c>
      <c r="HH11" s="332" t="str">
        <f t="shared" si="100"/>
        <v>m</v>
      </c>
      <c r="HI11" s="332" t="str">
        <f t="shared" si="101"/>
        <v/>
      </c>
      <c r="HJ11" s="332" t="str">
        <f t="shared" si="102"/>
        <v>P</v>
      </c>
      <c r="HK11" s="332" t="str">
        <f t="shared" si="103"/>
        <v/>
      </c>
      <c r="HL11" s="332" t="str">
        <f t="shared" si="104"/>
        <v>D</v>
      </c>
      <c r="HM11" s="332" t="str">
        <f t="shared" si="105"/>
        <v/>
      </c>
      <c r="HN11" s="332" t="str">
        <f t="shared" si="106"/>
        <v>N</v>
      </c>
      <c r="HO11" s="343" t="str">
        <f t="shared" si="107"/>
        <v>S</v>
      </c>
      <c r="HP11" s="331" t="str">
        <f t="shared" si="108"/>
        <v>o</v>
      </c>
      <c r="HQ11" s="332" t="str">
        <f t="shared" si="109"/>
        <v>o</v>
      </c>
      <c r="HR11" s="332" t="str">
        <f t="shared" si="110"/>
        <v>•</v>
      </c>
      <c r="HS11" s="332" t="str">
        <f t="shared" si="111"/>
        <v>o</v>
      </c>
      <c r="HT11" s="332" t="str">
        <f t="shared" si="112"/>
        <v>•</v>
      </c>
      <c r="HU11" s="332" t="str">
        <f t="shared" si="113"/>
        <v>o</v>
      </c>
      <c r="HV11" s="332" t="str">
        <f t="shared" si="114"/>
        <v>•</v>
      </c>
      <c r="HW11" s="332" t="str">
        <f t="shared" si="115"/>
        <v>o</v>
      </c>
      <c r="HX11" s="332" t="str">
        <f t="shared" si="116"/>
        <v>•</v>
      </c>
      <c r="HY11" s="332" t="str">
        <f t="shared" si="117"/>
        <v>o</v>
      </c>
      <c r="HZ11" s="332" t="str">
        <f t="shared" si="118"/>
        <v>o</v>
      </c>
      <c r="IA11" s="332" t="str">
        <f t="shared" si="119"/>
        <v>•</v>
      </c>
      <c r="IB11" s="338" t="str">
        <f t="shared" si="120"/>
        <v>o</v>
      </c>
      <c r="IC11" s="331" t="str">
        <f t="shared" si="121"/>
        <v>•</v>
      </c>
      <c r="ID11" s="332" t="str">
        <f t="shared" si="122"/>
        <v>•</v>
      </c>
      <c r="IE11" s="332" t="str">
        <f t="shared" si="123"/>
        <v>o</v>
      </c>
      <c r="IF11" s="332" t="str">
        <f t="shared" si="124"/>
        <v>•</v>
      </c>
      <c r="IG11" s="332" t="str">
        <f t="shared" si="125"/>
        <v>o</v>
      </c>
      <c r="IH11" s="332" t="str">
        <f t="shared" si="126"/>
        <v>•</v>
      </c>
      <c r="II11" s="332" t="str">
        <f t="shared" si="127"/>
        <v>o</v>
      </c>
      <c r="IJ11" s="332" t="str">
        <f t="shared" si="128"/>
        <v>•</v>
      </c>
      <c r="IK11" s="332" t="str">
        <f t="shared" si="129"/>
        <v>o</v>
      </c>
      <c r="IL11" s="332" t="str">
        <f t="shared" si="130"/>
        <v>•</v>
      </c>
      <c r="IM11" s="332" t="str">
        <f t="shared" si="131"/>
        <v>•</v>
      </c>
      <c r="IN11" s="332" t="str">
        <f t="shared" si="132"/>
        <v>o</v>
      </c>
      <c r="IO11" s="338" t="str">
        <f t="shared" si="133"/>
        <v>•</v>
      </c>
      <c r="IP11" s="346" t="b">
        <f t="shared" si="134"/>
        <v>0</v>
      </c>
      <c r="IQ11" s="347" t="b">
        <f t="shared" si="135"/>
        <v>1</v>
      </c>
      <c r="IR11" s="347" t="b">
        <f t="shared" si="136"/>
        <v>0</v>
      </c>
      <c r="IS11" s="347" t="b">
        <f t="shared" si="137"/>
        <v>0</v>
      </c>
      <c r="IT11" s="347" t="b">
        <f t="shared" si="138"/>
        <v>0</v>
      </c>
      <c r="IU11" s="347" t="b">
        <f t="shared" si="139"/>
        <v>0</v>
      </c>
      <c r="IV11" s="347" t="b">
        <f t="shared" si="140"/>
        <v>0</v>
      </c>
      <c r="IW11" s="347" t="b">
        <f t="shared" si="141"/>
        <v>1</v>
      </c>
      <c r="IX11" s="347" t="b">
        <f t="shared" si="142"/>
        <v>0</v>
      </c>
      <c r="IY11" s="347" t="b">
        <f t="shared" si="143"/>
        <v>1</v>
      </c>
      <c r="IZ11" s="347" t="b">
        <f t="shared" si="144"/>
        <v>0</v>
      </c>
      <c r="JA11" s="347" t="b">
        <f t="shared" si="145"/>
        <v>0</v>
      </c>
      <c r="JB11" s="353" t="b">
        <f t="shared" si="146"/>
        <v>0</v>
      </c>
      <c r="JC11" s="354" t="str">
        <f t="shared" si="147"/>
        <v/>
      </c>
      <c r="JD11" s="355" t="str">
        <f t="shared" si="148"/>
        <v>re, </v>
      </c>
      <c r="JE11" s="355" t="str">
        <f t="shared" si="149"/>
        <v/>
      </c>
      <c r="JF11" s="355" t="str">
        <f t="shared" si="150"/>
        <v/>
      </c>
      <c r="JG11" s="355" t="str">
        <f t="shared" si="151"/>
        <v/>
      </c>
      <c r="JH11" s="355" t="str">
        <f t="shared" si="152"/>
        <v/>
      </c>
      <c r="JI11" s="355" t="str">
        <f t="shared" si="153"/>
        <v/>
      </c>
      <c r="JJ11" s="355" t="str">
        <f t="shared" si="154"/>
        <v>Pa, </v>
      </c>
      <c r="JK11" s="355" t="str">
        <f t="shared" si="155"/>
        <v/>
      </c>
      <c r="JL11" s="355" t="str">
        <f t="shared" si="156"/>
        <v>Dha, </v>
      </c>
      <c r="JM11" s="355" t="str">
        <f t="shared" si="157"/>
        <v/>
      </c>
      <c r="JN11" s="355" t="str">
        <f t="shared" si="158"/>
        <v/>
      </c>
      <c r="JO11" s="359" t="str">
        <f t="shared" si="159"/>
        <v/>
      </c>
      <c r="JP11" s="346" t="b">
        <f t="shared" si="160"/>
        <v>0</v>
      </c>
      <c r="JQ11" s="347" t="b">
        <f t="shared" si="161"/>
        <v>1</v>
      </c>
      <c r="JR11" s="347" t="b">
        <f t="shared" si="162"/>
        <v>0</v>
      </c>
      <c r="JS11" s="347" t="b">
        <f t="shared" si="163"/>
        <v>0</v>
      </c>
      <c r="JT11" s="347" t="b">
        <f t="shared" si="164"/>
        <v>0</v>
      </c>
      <c r="JU11" s="347" t="b">
        <f t="shared" si="165"/>
        <v>0</v>
      </c>
      <c r="JV11" s="347" t="b">
        <f t="shared" si="166"/>
        <v>0</v>
      </c>
      <c r="JW11" s="347" t="b">
        <f t="shared" si="167"/>
        <v>0</v>
      </c>
      <c r="JX11" s="347" t="b">
        <f t="shared" si="168"/>
        <v>0</v>
      </c>
      <c r="JY11" s="347" t="b">
        <f t="shared" si="169"/>
        <v>1</v>
      </c>
      <c r="JZ11" s="347" t="b">
        <f t="shared" si="170"/>
        <v>0</v>
      </c>
      <c r="KA11" s="347" t="b">
        <f t="shared" si="171"/>
        <v>0</v>
      </c>
      <c r="KB11" s="365" t="b">
        <f t="shared" si="172"/>
        <v>0</v>
      </c>
      <c r="KC11" s="354" t="str">
        <f t="shared" si="173"/>
        <v/>
      </c>
      <c r="KD11" s="355" t="str">
        <f t="shared" si="174"/>
        <v>re, </v>
      </c>
      <c r="KE11" s="355" t="str">
        <f t="shared" si="175"/>
        <v/>
      </c>
      <c r="KF11" s="355" t="str">
        <f t="shared" si="176"/>
        <v/>
      </c>
      <c r="KG11" s="355" t="str">
        <f t="shared" si="177"/>
        <v/>
      </c>
      <c r="KH11" s="355" t="str">
        <f t="shared" si="178"/>
        <v/>
      </c>
      <c r="KI11" s="355" t="str">
        <f t="shared" si="179"/>
        <v/>
      </c>
      <c r="KJ11" s="355" t="str">
        <f t="shared" si="180"/>
        <v/>
      </c>
      <c r="KK11" s="355" t="str">
        <f t="shared" si="181"/>
        <v/>
      </c>
      <c r="KL11" s="355" t="str">
        <f t="shared" si="182"/>
        <v>Dha, </v>
      </c>
      <c r="KM11" s="355" t="str">
        <f t="shared" si="183"/>
        <v/>
      </c>
      <c r="KN11" s="355" t="str">
        <f t="shared" si="184"/>
        <v/>
      </c>
      <c r="KO11" s="359"/>
      <c r="KP11" s="378"/>
      <c r="KQ11" s="379" t="s">
        <v>524</v>
      </c>
      <c r="KR11" s="380" t="s">
        <v>1062</v>
      </c>
      <c r="KS11" s="381" t="str">
        <f t="shared" si="204"/>
        <v>S-r-g-m-P-D-n-S</v>
      </c>
      <c r="KT11" s="382">
        <f t="shared" si="186"/>
        <v>7</v>
      </c>
      <c r="KU11" s="383">
        <f t="shared" si="187"/>
        <v>7</v>
      </c>
      <c r="KV11" s="381" t="str">
        <f t="shared" si="205"/>
        <v>S-n-D-P-m-g-r-S</v>
      </c>
      <c r="KW11" s="382">
        <f t="shared" si="189"/>
        <v>7</v>
      </c>
      <c r="KX11" s="384">
        <f t="shared" si="190"/>
        <v>7</v>
      </c>
      <c r="KY11" s="382">
        <f t="shared" ref="KY11:KZ11" si="212">KW11-KT11</f>
        <v>0</v>
      </c>
      <c r="KZ11" s="369">
        <f t="shared" si="212"/>
        <v>0</v>
      </c>
      <c r="LA11" s="385" t="str">
        <f t="shared" si="192"/>
        <v>✔</v>
      </c>
      <c r="LB11" s="340" t="str">
        <f>IFERROR(__xludf.DUMMYFUNCTION("JOIN("""",ArrayFormula(MID(KS11,LEN(KS11)-SEQUENCE(1,LEN(KS11))+1,1)))"),"S-n-D-P-m-g-r-S")</f>
        <v>S-n-D-P-m-g-r-S</v>
      </c>
      <c r="LC11" s="373" t="str">
        <f>IFERROR(__xludf.DUMMYFUNCTION("JOIN("""",ArrayFormula(MID(KV11,LEN(KV11)-SEQUENCE(1,LEN(KV11))+1,1)))"),"S-r-g-m-P-D-n-S")</f>
        <v>S-r-g-m-P-D-n-S</v>
      </c>
      <c r="LD11" s="373" t="str">
        <f t="shared" si="193"/>
        <v>SrgmPDnS</v>
      </c>
      <c r="LE11" s="339" t="str">
        <f t="shared" si="194"/>
        <v>SrgmPDnS</v>
      </c>
      <c r="LF11" s="386" t="str">
        <f>IFERROR(__xludf.DUMMYFUNCTION("SUBSTITUTE(SUBSTITUTE(CONCATENATE(JOIN("""",LH11:LT11)),""1"",""""),""2"","""")"),"SrgmPDnS")</f>
        <v>SrgmPDnS</v>
      </c>
      <c r="LG11" s="369" t="str">
        <f t="shared" si="195"/>
        <v>✔</v>
      </c>
      <c r="LH11" s="387" t="str">
        <f>IFERROR(__xludf.DUMMYFUNCTION("IF(REGEXMATCH(LD11, ""S""), ""S"",IF(REGEXMATCH(LE11, ""S""), ""S"",""""))"),"S")</f>
        <v>S</v>
      </c>
      <c r="LI11" s="299" t="str">
        <f>IFERROR(__xludf.DUMMYFUNCTION("IF(REGEXMATCH(LD11, ""r""), ""r1"",IF(REGEXMATCH(LE11, ""r""), ""r2"",""""))"),"r1")</f>
        <v>r1</v>
      </c>
      <c r="LJ11" s="299" t="str">
        <f>IFERROR(__xludf.DUMMYFUNCTION("IF(REGEXMATCH(LD11, ""R""), ""R1"",IF(REGEXMATCH(LE11, ""R""), ""R2"",""""))"),"")</f>
        <v/>
      </c>
      <c r="LK11" s="299" t="str">
        <f>IFERROR(__xludf.DUMMYFUNCTION("IF(REGEXMATCH(LD11, ""g""), ""g1"",IF(REGEXMATCH(LE11, ""g""), ""g2"",""""))"),"g1")</f>
        <v>g1</v>
      </c>
      <c r="LL11" s="299" t="str">
        <f>IFERROR(__xludf.DUMMYFUNCTION("IF(REGEXMATCH(LD11, ""G""), ""G1"",IF(REGEXMATCH(LE11, ""G""), ""G2"",""""))"),"")</f>
        <v/>
      </c>
      <c r="LM11" s="299" t="str">
        <f>IFERROR(__xludf.DUMMYFUNCTION("IF(REGEXMATCH(LD11, ""m""), ""m1"",IF(REGEXMATCH(LE11, ""m""), ""m2"",""""))"),"m1")</f>
        <v>m1</v>
      </c>
      <c r="LN11" s="299" t="str">
        <f>IFERROR(__xludf.DUMMYFUNCTION("IF(REGEXMATCH(LD11, ""M""), ""M1"",IF(REGEXMATCH(LE11, ""M""), ""M2"",""""))"),"")</f>
        <v/>
      </c>
      <c r="LO11" s="299" t="str">
        <f>IFERROR(__xludf.DUMMYFUNCTION("IF(REGEXMATCH(LD11, ""P""), ""P1"",IF(REGEXMATCH(LE11, ""P""), ""P2"",""""))"),"P1")</f>
        <v>P1</v>
      </c>
      <c r="LP11" s="299" t="str">
        <f>IFERROR(__xludf.DUMMYFUNCTION("IF(REGEXMATCH(LD11, ""d""), ""d1"",IF(REGEXMATCH(LE11, ""d""), ""d2"",""""))"),"")</f>
        <v/>
      </c>
      <c r="LQ11" s="299" t="str">
        <f>IFERROR(__xludf.DUMMYFUNCTION("IF(REGEXMATCH(LD11, ""D""), ""D1"",IF(REGEXMATCH(LE11, ""D""), ""D2"",""""))"),"D1")</f>
        <v>D1</v>
      </c>
      <c r="LR11" s="299" t="str">
        <f>IFERROR(__xludf.DUMMYFUNCTION("IF(REGEXMATCH(LD11, ""n""), ""n1"",IF(REGEXMATCH(LE11, ""n""), ""n2"",""""))"),"n1")</f>
        <v>n1</v>
      </c>
      <c r="LS11" s="299" t="str">
        <f>IFERROR(__xludf.DUMMYFUNCTION("IF(REGEXMATCH(LD11, ""N""), ""N1"",IF(REGEXMATCH(LE11, ""N""), ""N2"",""""))"),"")</f>
        <v/>
      </c>
      <c r="LT11" s="388" t="str">
        <f>IFERROR(__xludf.DUMMYFUNCTION("IF(REGEXMATCH(LD11, ""S""), ""S"",IF(REGEXMATCH(LE11, ""S""), ""S"",""""))"),"S")</f>
        <v>S</v>
      </c>
      <c r="LU11" s="389">
        <f t="shared" si="196"/>
        <v>1</v>
      </c>
      <c r="LV11" s="378"/>
      <c r="LW11" s="369"/>
      <c r="LX11" s="369"/>
    </row>
    <row r="12" ht="20.25" customHeight="1">
      <c r="A12" s="298" t="s">
        <v>526</v>
      </c>
      <c r="B12" s="222" t="s">
        <v>527</v>
      </c>
      <c r="C12" s="233" t="str">
        <f t="shared" si="7"/>
        <v>SRgmPDnNS</v>
      </c>
      <c r="D12" s="234" t="str">
        <f>IFERROR(__xludf.DUMMYFUNCTION("IF(REGEXMATCH(C12, ""S""), ""S"","""")"),"S")</f>
        <v>S</v>
      </c>
      <c r="E12" s="236" t="str">
        <f>IFERROR(__xludf.DUMMYFUNCTION("IF(REGEXMATCH(C12, ""r""), ""r"","""")"),"")</f>
        <v/>
      </c>
      <c r="F12" s="237" t="str">
        <f>IFERROR(__xludf.DUMMYFUNCTION("IF(REGEXMATCH(C12, ""R""), ""R"","""")"),"R")</f>
        <v>R</v>
      </c>
      <c r="G12" s="237" t="str">
        <f>IFERROR(__xludf.DUMMYFUNCTION("IF(REGEXMATCH(C12, ""g""), ""g"","""")"),"g")</f>
        <v>g</v>
      </c>
      <c r="H12" s="236" t="str">
        <f>IFERROR(__xludf.DUMMYFUNCTION("IF(REGEXMATCH(C12, ""G""), ""G"","""")"),"")</f>
        <v/>
      </c>
      <c r="I12" s="236" t="str">
        <f>IFERROR(__xludf.DUMMYFUNCTION("IF(REGEXMATCH(C12, ""m""), ""m"","""")"),"m")</f>
        <v>m</v>
      </c>
      <c r="J12" s="237" t="str">
        <f>IFERROR(__xludf.DUMMYFUNCTION("IF(REGEXMATCH(C12, ""M""), ""M"","""")"),"")</f>
        <v/>
      </c>
      <c r="K12" s="236" t="str">
        <f>IFERROR(__xludf.DUMMYFUNCTION("IF(REGEXMATCH(C12, ""P""), ""P"","""")"),"P")</f>
        <v>P</v>
      </c>
      <c r="L12" s="237" t="str">
        <f>IFERROR(__xludf.DUMMYFUNCTION("IF(REGEXMATCH(C12, ""d""), ""d"","""")"),"")</f>
        <v/>
      </c>
      <c r="M12" s="236" t="str">
        <f>IFERROR(__xludf.DUMMYFUNCTION("IF(REGEXMATCH(C12, ""D""), ""D"","""")"),"D")</f>
        <v>D</v>
      </c>
      <c r="N12" s="236" t="str">
        <f>IFERROR(__xludf.DUMMYFUNCTION("IF(REGEXMATCH(C12, ""n""), ""n"","""")"),"n")</f>
        <v>n</v>
      </c>
      <c r="O12" s="237" t="str">
        <f>IFERROR(__xludf.DUMMYFUNCTION("IF(REGEXMATCH(C12, ""N""), ""N"","""")"),"N")</f>
        <v>N</v>
      </c>
      <c r="P12" s="238" t="str">
        <f>IFERROR(__xludf.DUMMYFUNCTION("IF(REGEXMATCH(C12, ""S""), ""S"","""")"),"S")</f>
        <v>S</v>
      </c>
      <c r="Q12" s="239" t="str">
        <f>IFERROR(__xludf.DUMMYFUNCTION("SUBSTITUTE(CONCATENATE(JOIN(""-"",D12:J12)),""-"","""")"),"SRgm")</f>
        <v>SRgm</v>
      </c>
      <c r="R12" s="229" t="str">
        <f>IFERROR(__xludf.DUMMYFUNCTION("SUBSTITUTE(CONCATENATE(JOIN(""-"",K12:P12)),""-"","""")"),"PDnNS")</f>
        <v>PDnNS</v>
      </c>
      <c r="S12" s="282" t="str">
        <f t="shared" si="8"/>
        <v>S-R-G-M</v>
      </c>
      <c r="T12" s="282" t="str">
        <f t="shared" si="9"/>
        <v>P-D-N-S</v>
      </c>
      <c r="U12" s="237" t="str">
        <f>IFERROR(__xludf.DUMMYFUNCTION("SUBSTITUTE(JOIN(""-"",S12,T12),""--"",""-"")"),"S-R-G-M-P-D-N-S")</f>
        <v>S-R-G-M-P-D-N-S</v>
      </c>
      <c r="V12" s="309" t="str">
        <f t="shared" si="10"/>
        <v>RgmDnN</v>
      </c>
      <c r="W12" s="244" t="str">
        <f>IFERROR(__xludf.DUMMYFUNCTION("IF(REGEXMATCH(C12, ""S""), ""0"","""")"),"0")</f>
        <v>0</v>
      </c>
      <c r="X12" s="245" t="str">
        <f>IFERROR(__xludf.DUMMYFUNCTION("IF(REGEXMATCH(C12, ""r""), ""1"","""")"),"")</f>
        <v/>
      </c>
      <c r="Y12" s="246" t="str">
        <f>IFERROR(__xludf.DUMMYFUNCTION("IF(REGEXMATCH(C12, ""R""), ""2"","""")"),"2")</f>
        <v>2</v>
      </c>
      <c r="Z12" s="246" t="str">
        <f>IFERROR(__xludf.DUMMYFUNCTION("IF(REGEXMATCH(C12, ""g""), ""3"","""")"),"3")</f>
        <v>3</v>
      </c>
      <c r="AA12" s="245" t="str">
        <f>IFERROR(__xludf.DUMMYFUNCTION("IF(REGEXMATCH(C12, ""G""), ""4"","""")"),"")</f>
        <v/>
      </c>
      <c r="AB12" s="245" t="str">
        <f>IFERROR(__xludf.DUMMYFUNCTION("IF(REGEXMATCH(C12, ""m""), ""5"","""")"),"5")</f>
        <v>5</v>
      </c>
      <c r="AC12" s="246" t="str">
        <f>IFERROR(__xludf.DUMMYFUNCTION("IF(REGEXMATCH(C12, ""M""), ""6"","""")"),"")</f>
        <v/>
      </c>
      <c r="AD12" s="245" t="str">
        <f>IFERROR(__xludf.DUMMYFUNCTION("IF(REGEXMATCH(C12, ""P""), ""7"","""")"),"7")</f>
        <v>7</v>
      </c>
      <c r="AE12" s="246" t="str">
        <f>IFERROR(__xludf.DUMMYFUNCTION("IF(REGEXMATCH(C12, ""d""), ""8"","""")"),"")</f>
        <v/>
      </c>
      <c r="AF12" s="245" t="str">
        <f>IFERROR(__xludf.DUMMYFUNCTION("IF(REGEXMATCH(C12, ""D""), ""9"","""")"),"9")</f>
        <v>9</v>
      </c>
      <c r="AG12" s="245" t="str">
        <f>IFERROR(__xludf.DUMMYFUNCTION("IF(REGEXMATCH(C12, ""n""), ""10"","""")"),"10")</f>
        <v>10</v>
      </c>
      <c r="AH12" s="246" t="str">
        <f>IFERROR(__xludf.DUMMYFUNCTION("IF(REGEXMATCH(C12, ""N""), ""11"","""")"),"11")</f>
        <v>11</v>
      </c>
      <c r="AI12" s="249" t="str">
        <f>IFERROR(__xludf.DUMMYFUNCTION("IF(REGEXMATCH(C12, ""S""), ""0"","""")"),"0")</f>
        <v>0</v>
      </c>
      <c r="AJ12" s="313" t="str">
        <f t="shared" si="11"/>
        <v>-</v>
      </c>
      <c r="AK12" s="313" t="str">
        <f t="shared" si="12"/>
        <v>-</v>
      </c>
      <c r="AL12" s="313" t="str">
        <f t="shared" si="13"/>
        <v>-</v>
      </c>
      <c r="AM12" s="313" t="str">
        <f t="shared" si="14"/>
        <v>T</v>
      </c>
      <c r="AN12" s="313" t="str">
        <f t="shared" si="15"/>
        <v>-</v>
      </c>
      <c r="AO12" s="314" t="str">
        <f t="shared" si="16"/>
        <v>T</v>
      </c>
      <c r="AP12" s="316">
        <f t="shared" si="17"/>
        <v>2</v>
      </c>
      <c r="AQ12" s="319" t="str">
        <f t="shared" si="18"/>
        <v>#REF!</v>
      </c>
      <c r="AR12" s="320">
        <f t="shared" si="19"/>
        <v>0</v>
      </c>
      <c r="AS12" s="250" t="str">
        <f>IFERROR(__xludf.DUMMYFUNCTION("SUBSTITUTE(SUBSTITUTE(CONCATENATE(JOIN("""",FP12:GA12)),""|"",""x""),""-"",""o"")"),"xoxxoxoxoxxx")</f>
        <v>xoxxoxoxoxxx</v>
      </c>
      <c r="AT12" s="323" t="str">
        <f>IFERROR(__xludf.DUMMYFUNCTION("JOIN("""",AS12,AS12)"),"xoxxoxoxoxxxxoxxoxoxoxxx")</f>
        <v>xoxxoxoxoxxxxoxxoxoxoxxx</v>
      </c>
      <c r="AU12" s="256" t="str">
        <f>IFERROR(__xludf.DUMMYFUNCTION("JOIN("""",ArrayFormula(MID(AS12,LEN(AS12)-SEQUENCE(1,LEN(AS12))+1,1)))"),"xxxoxoxoxxox")</f>
        <v>xxxoxoxoxxox</v>
      </c>
      <c r="AV12" s="256" t="str">
        <f>IFERROR(__xludf.DUMMYFUNCTION("LEFT(CONCATENATE(""x"",JOIN("""",ArrayFormula(MID(AS12,LEN(AS12)-SEQUENCE(1,LEN(AS12))+1,1)))),12)"),"xxxxoxoxoxxo")</f>
        <v>xxxxoxoxoxxo</v>
      </c>
      <c r="AW12" s="327" t="str">
        <f>IFERROR(__xludf.DUMMYFUNCTION("JOIN("""",AU12,AU12)"),"xxxoxoxoxxoxxxxoxoxoxxox")</f>
        <v>xxxoxoxoxxoxxxxoxoxoxxox</v>
      </c>
      <c r="AX12" s="239" t="str">
        <f>IFERROR(__xludf.DUMMYFUNCTION("IF(REGEXMATCH(AW12,AS12),""✔"",""-"")"),"-")</f>
        <v>-</v>
      </c>
      <c r="AY12" s="330" t="str">
        <f t="shared" si="20"/>
        <v>-</v>
      </c>
      <c r="AZ12" s="260" t="str">
        <f t="shared" si="21"/>
        <v>#REF!</v>
      </c>
      <c r="BA12" s="333" t="str">
        <f t="shared" si="22"/>
        <v>xoxxoxo</v>
      </c>
      <c r="BB12" s="334" t="str">
        <f t="shared" si="23"/>
        <v>xoxxxx</v>
      </c>
      <c r="BC12" s="335" t="str">
        <f t="shared" si="24"/>
        <v>-</v>
      </c>
      <c r="BD12" s="336" t="str">
        <f t="shared" si="25"/>
        <v>Ahiri Todi: 'xoxxoxo' + 'xoxxxx'</v>
      </c>
      <c r="BE12" s="337">
        <f>IFERROR(__xludf.DUMMYFUNCTION("COUNTUNIQUE(FILTER(AT:AT,REGEXMATCH(AT:AT,AS12)))-1"),3.0)</f>
        <v>3</v>
      </c>
      <c r="BF12" s="261" t="str">
        <f>IFERROR(__xludf.DUMMYFUNCTION("IF(BI12=0,""(n/a)"",IF(BJ12=2,""(PAIR)"",IF(REGEXMATCH(AT12,""xoxoxxoxoxox""),""Bilawal"",IF(REGEXMATCH(AT12,""xoxoxooxoxoo""),""Bhupali"",IF(REGEXMATCH(AT12,""xoxoxxoxxoxo""),""Charukeshi"",IF(REGEXMATCH(AT12,""xoxoooxxoxxo""),""Kameshwari"",IF(REGEXMATC"&amp;"H(AT12,""xoxoxooxoxox""),""Shankara"",IF(REGEXMATCH(AT12,""xxooxoxxxoox""),""Basant"",IF(REGEXMATCH(AT12,""xoxoxxxxoxox""),""Bihag"",IF(REGEXMATCH(AT12,""xoxxxxoxoxxx""),""Pilu"",IF(REGEXMATCH(AT12,""xoxxoxoxxoox""),""Kirwani"",IF(REGEXMATCH(AT12,""xoxxox"&amp;"oxoxxx""),""Mk.Malhar"",IF(REGEXMATCH(AT12,""xxooxxoxxoox""),""Bhairav"",IF(REGEXMATCH(AT12,""xxoxooxxxoox""),""Todi"",IF(REGEXMATCH(AT12,""xxooxoxooxox""),""Marwa"",IF(REGEXMATCH(AT12,""xxoooxoxxooo""),""Gunkali"",IF(REGEXMATCH(AT12,""xoxoxxoxxoox""),""N"&amp;"at Bhairav"",IF(REGEXMATCH(AT12,""xoxxoooxoxoo""),""Shivranjani"",IF(REGEXMATCH(AT12,""xooxxxoxooxo""),""Jog"",IF(REGEXMATCH(AT12,""xxooxoxoxoox""),""Hemshri"",IF(REGEXMATCH(AT12,""xoooxooxoxxo""),""Kalavati"",IF(REGEXMATCH(AT12,""xxoxoxxoxoox""),""Kedar"&amp;""",IF(REGEXMATCH(AT12,""xoxxxxoxooxx""),""Gara"",IF(REGEXMATCH(AT12,""xooxoxooxoox""),""Chandrakauns"",IF(REGEXMATCH(AT12,""xoxxxxoxxxox""),""Mand"",IF(REGEXMATCH(AT12,""xoxxxxoxoxox""),""Hanskinkini"",IF(REGEXMATCH(AT12,""xxooxxoxooxo""),""Lilavati"",IF("&amp;"REGEXMATCH(AT12,""xooxoxoooxox""),""Rajeshwari"",IF(REGEXMATCH(AT12,""xoooxxoxoxxx""),""Khokar"",IF(REGEXMATCH(AT12,""xxooxoxxxxox""),""Maligoura"",""-""))))))))))))))))))))))))))))))"),"Mk.Malhar")</f>
        <v>Mk.Malhar</v>
      </c>
      <c r="BG12" s="239" t="str">
        <f t="shared" si="26"/>
        <v>#REF!</v>
      </c>
      <c r="BH12" s="239">
        <f>IFERROR(__xludf.DUMMYFUNCTION("COUNTUNIQUE(FE12:FO12)-1"),7.0)</f>
        <v>7</v>
      </c>
      <c r="BI12" s="239">
        <f>IFERROR(__xludf.DUMMYFUNCTION("COUNTUNIQUE(FILTER(AT:AT,REGEXMATCH(AT:AT,AS12)))-1"),3.0)</f>
        <v>3</v>
      </c>
      <c r="BJ12" s="239">
        <f>IFERROR(__xludf.DUMMYFUNCTION("COUNTA(FILTER(AT:AT,REGEXMATCH(AT:AT,AS12)))"),16.0)</f>
        <v>16</v>
      </c>
      <c r="BK12" s="341">
        <f>IFERROR(__xludf.DUMMYFUNCTION("COUNTA(FILTER(AT:AT,REGEXMATCH(AT:AT,AS12)))-AR12"),16.0)</f>
        <v>16</v>
      </c>
      <c r="BL12" s="276" t="str">
        <f>IFERROR(__xludf.DUMMYFUNCTION("IF(AS12=""oooooooooooo"",""-"",IF(REGEXMATCH(AT12,""xx""), ""Hemi."", ""Anhemi.""))"),"Hemi.")</f>
        <v>Hemi.</v>
      </c>
      <c r="BM12" s="282" t="str">
        <f>IFERROR(__xludf.DUMMYFUNCTION("IF(AS12=""oooooooooooo"",""-"",IF(REGEXMATCH(AT12,""xxx""), ""Cohem."", ""-""))"),"Cohem.")</f>
        <v>Cohem.</v>
      </c>
      <c r="BN12" s="282" t="str">
        <f>IFERROR(__xludf.DUMMYFUNCTION("IF(AS12=""oooooooooooo"",""-"",IF(REGEXMATCH(AT12,""xxxx""), ""Co-Co."", ""-""))"),"Co-Co.")</f>
        <v>Co-Co.</v>
      </c>
      <c r="BO12" s="342" t="str">
        <f>IFERROR(__xludf.DUMMYFUNCTION("IF(AS12=""oooooooooooo"",""-"",IF(REGEXMATCH(AT12,""xxxxx""), ""CCC."", ""-""))"),"-")</f>
        <v>-</v>
      </c>
      <c r="BP12" s="344" t="str">
        <f t="shared" si="27"/>
        <v>-</v>
      </c>
      <c r="BQ12" s="282" t="str">
        <f>IFERROR(__xludf.DUMMYFUNCTION("IF(REGEXMATCH(JOIN(""-"",EU12:FD12),""TRUE""),""✔"",""-"")"),"-")</f>
        <v>-</v>
      </c>
      <c r="BR12" s="225">
        <f t="shared" si="28"/>
        <v>0</v>
      </c>
      <c r="BS12" s="345" t="str">
        <f>IFERROR(__xludf.DUMMYFUNCTION("SUBSTITUTE(SUBSTITUTE(SUBSTITUTE(SUBSTITUTE(CONCATENATE(JOIN(""-"",GC12:GO12)),""--"",""-""),""--"",""-""),""--"",""-""),""--"",""-"")"),"1-2-b3-4-5-6-b7-7-8")</f>
        <v>1-2-b3-4-5-6-b7-7-8</v>
      </c>
      <c r="BT12" s="299" t="str">
        <f>IFERROR(__xludf.DUMMYFUNCTION("SUBSTITUTE(SUBSTITUTE(SUBSTITUTE(SUBSTITUTE(CONCATENATE(JOIN(""-"",GP12:HB12)),""--"",""-""),""--"",""-""),""--"",""-""),""--"",""-"")"),"S-R2-G2-M1-P-D2-N2-N3-S")</f>
        <v>S-R2-G2-M1-P-D2-N2-N3-S</v>
      </c>
      <c r="BU12" s="348" t="str">
        <f t="shared" si="29"/>
        <v>C-D-Eb-F-G-A-Bb-B-C</v>
      </c>
      <c r="BV12" s="349" t="str">
        <f t="shared" si="30"/>
        <v>SrGMdS</v>
      </c>
      <c r="BW12" s="350">
        <f t="shared" si="31"/>
        <v>0</v>
      </c>
      <c r="BX12" s="351">
        <f t="shared" si="32"/>
        <v>11</v>
      </c>
      <c r="BY12" s="392"/>
      <c r="BZ12" s="309" t="str">
        <f>IFERROR(__xludf.DUMMYFUNCTION("IF(REGEXMATCH(C12, ""S""), ""x"",""x"")"),"x")</f>
        <v>x</v>
      </c>
      <c r="CA12" s="245" t="str">
        <f>IFERROR(__xludf.DUMMYFUNCTION("IF(REGEXMATCH(C12, ""r""), ""o"",""x"")"),"x")</f>
        <v>x</v>
      </c>
      <c r="CB12" s="246" t="str">
        <f>IFERROR(__xludf.DUMMYFUNCTION("IF(REGEXMATCH(C12, ""R""), ""o"",""x"")"),"o")</f>
        <v>o</v>
      </c>
      <c r="CC12" s="246" t="str">
        <f>IFERROR(__xludf.DUMMYFUNCTION("IF(REGEXMATCH(C12, ""g""), ""o"",""x"")"),"o")</f>
        <v>o</v>
      </c>
      <c r="CD12" s="245" t="str">
        <f>IFERROR(__xludf.DUMMYFUNCTION("IF(REGEXMATCH(C12, ""G""), ""o"",""x"")"),"x")</f>
        <v>x</v>
      </c>
      <c r="CE12" s="245" t="str">
        <f>IFERROR(__xludf.DUMMYFUNCTION("IF(REGEXMATCH(C12, ""m""), ""o"",""x"")"),"o")</f>
        <v>o</v>
      </c>
      <c r="CF12" s="246" t="str">
        <f>IFERROR(__xludf.DUMMYFUNCTION("IF(REGEXMATCH(C12, ""M""), ""o"",""x"")"),"x")</f>
        <v>x</v>
      </c>
      <c r="CG12" s="245" t="str">
        <f>IFERROR(__xludf.DUMMYFUNCTION("IF(REGEXMATCH(C12, ""P""), ""o"",""x"")"),"o")</f>
        <v>o</v>
      </c>
      <c r="CH12" s="246" t="str">
        <f>IFERROR(__xludf.DUMMYFUNCTION("IF(REGEXMATCH(C12, ""d""), ""o"",""x"")"),"x")</f>
        <v>x</v>
      </c>
      <c r="CI12" s="245" t="str">
        <f>IFERROR(__xludf.DUMMYFUNCTION("IF(REGEXMATCH(C12, ""D""), ""o"",""x"")"),"o")</f>
        <v>o</v>
      </c>
      <c r="CJ12" s="245" t="str">
        <f>IFERROR(__xludf.DUMMYFUNCTION("IF(REGEXMATCH(C12, ""n""), ""o"",""x"")"),"o")</f>
        <v>o</v>
      </c>
      <c r="CK12" s="245" t="str">
        <f>IFERROR(__xludf.DUMMYFUNCTION("IF(REGEXMATCH(C12, ""N""), ""o"",""x"")"),"o")</f>
        <v>o</v>
      </c>
      <c r="CL12" s="356" t="str">
        <f>IFERROR(__xludf.DUMMYFUNCTION("IF(REGEXMATCH(C12, ""S""), ""x"",""x"")"),"x")</f>
        <v>x</v>
      </c>
      <c r="CM12" s="357" t="str">
        <f t="shared" si="33"/>
        <v>xxooxoxoxooo</v>
      </c>
      <c r="CN12" s="358">
        <f t="shared" si="34"/>
        <v>0</v>
      </c>
      <c r="CO12" s="246" t="str">
        <f>IFERROR(__xludf.DUMMYFUNCTION("IF(REGEXMATCH($C12, ""S""), ""S"",""S"")"),"S")</f>
        <v>S</v>
      </c>
      <c r="CP12" s="246" t="str">
        <f>IFERROR(__xludf.DUMMYFUNCTION("IF(REGEXMATCH($C12, ""r""), """",""r"")"),"r")</f>
        <v>r</v>
      </c>
      <c r="CQ12" s="246" t="str">
        <f>IFERROR(__xludf.DUMMYFUNCTION("IF(REGEXMATCH($C12, ""R""), """",""R"")"),"")</f>
        <v/>
      </c>
      <c r="CR12" s="246" t="str">
        <f>IFERROR(__xludf.DUMMYFUNCTION("IF(REGEXMATCH($C12, ""g""), """",""g"")"),"")</f>
        <v/>
      </c>
      <c r="CS12" s="246" t="str">
        <f>IFERROR(__xludf.DUMMYFUNCTION("IF(REGEXMATCH($C12, ""G""), """",""G"")"),"G")</f>
        <v>G</v>
      </c>
      <c r="CT12" s="246" t="str">
        <f>IFERROR(__xludf.DUMMYFUNCTION("IF(REGEXMATCH($C12, ""m""), """",""m"")"),"")</f>
        <v/>
      </c>
      <c r="CU12" s="246" t="str">
        <f>IFERROR(__xludf.DUMMYFUNCTION("IF(REGEXMATCH($C12, ""M""), """",""M"")"),"M")</f>
        <v>M</v>
      </c>
      <c r="CV12" s="246" t="str">
        <f>IFERROR(__xludf.DUMMYFUNCTION("IF(REGEXMATCH($C12, ""P""), """",""P"")"),"")</f>
        <v/>
      </c>
      <c r="CW12" s="246" t="str">
        <f>IFERROR(__xludf.DUMMYFUNCTION("IF(REGEXMATCH($C12, ""d""), """",""d"")"),"d")</f>
        <v>d</v>
      </c>
      <c r="CX12" s="246" t="str">
        <f>IFERROR(__xludf.DUMMYFUNCTION("IF(REGEXMATCH($C12, ""D""), """",""D"")"),"")</f>
        <v/>
      </c>
      <c r="CY12" s="246" t="str">
        <f>IFERROR(__xludf.DUMMYFUNCTION("IF(REGEXMATCH($C12, ""n""), """",""n"")"),"")</f>
        <v/>
      </c>
      <c r="CZ12" s="246" t="str">
        <f>IFERROR(__xludf.DUMMYFUNCTION("IF(REGEXMATCH($C12, ""N""), """",""N"")"),"")</f>
        <v/>
      </c>
      <c r="DA12" s="246" t="str">
        <f>IFERROR(__xludf.DUMMYFUNCTION("IF(REGEXMATCH($C12, ""S""), ""S"",""S"")"),"S")</f>
        <v>S</v>
      </c>
      <c r="DB12" s="362" t="str">
        <f>IFERROR(__xludf.DUMMYFUNCTION("JOIN("""",CO12:DA12,"""","""")"),"SrGMdS")</f>
        <v>SrGMdS</v>
      </c>
      <c r="DC12" s="363"/>
      <c r="DD12" s="301" t="str">
        <f t="shared" si="35"/>
        <v>#REF!</v>
      </c>
      <c r="DE12" s="302" t="str">
        <f t="shared" si="36"/>
        <v>#REF!</v>
      </c>
      <c r="DF12" s="301" t="str">
        <f t="shared" ref="DF12:DG12" si="213">SUBSTITUTE(S12,"-","")</f>
        <v>SRGM</v>
      </c>
      <c r="DG12" s="301" t="str">
        <f t="shared" si="213"/>
        <v>PDNS</v>
      </c>
      <c r="DH12" s="302" t="str">
        <f t="shared" si="38"/>
        <v>Mk.Malhar</v>
      </c>
      <c r="DI12" s="301" t="str">
        <f t="shared" si="39"/>
        <v>Hemi.</v>
      </c>
      <c r="DJ12" s="364" t="str">
        <f t="shared" si="40"/>
        <v>Co-Co.</v>
      </c>
      <c r="DK12" s="306" t="str">
        <f t="shared" si="41"/>
        <v>-</v>
      </c>
      <c r="DL12" s="366" t="str">
        <f t="shared" si="42"/>
        <v>-</v>
      </c>
      <c r="DM12" s="308" t="str">
        <f t="shared" si="43"/>
        <v>✔</v>
      </c>
      <c r="DN12" s="306" t="str">
        <f t="shared" si="44"/>
        <v>-</v>
      </c>
      <c r="DO12" s="306" t="str">
        <f t="shared" si="45"/>
        <v>-</v>
      </c>
      <c r="DP12" s="367" t="str">
        <f t="shared" si="46"/>
        <v>-</v>
      </c>
      <c r="DQ12" s="310" t="str">
        <f t="shared" si="47"/>
        <v>-</v>
      </c>
      <c r="DR12" s="310" t="str">
        <f t="shared" si="48"/>
        <v>-</v>
      </c>
      <c r="DS12" s="310" t="str">
        <f t="shared" si="49"/>
        <v>-</v>
      </c>
      <c r="DT12" s="310" t="str">
        <f t="shared" si="50"/>
        <v>-</v>
      </c>
      <c r="DU12" s="370" t="str">
        <f t="shared" si="51"/>
        <v>✔</v>
      </c>
      <c r="DV12" s="306" t="str">
        <f t="shared" si="52"/>
        <v>-</v>
      </c>
      <c r="DW12" s="306" t="str">
        <f t="shared" si="53"/>
        <v>-</v>
      </c>
      <c r="DX12" s="306" t="str">
        <f t="shared" si="54"/>
        <v>-</v>
      </c>
      <c r="DY12" s="306" t="str">
        <f t="shared" si="55"/>
        <v>-</v>
      </c>
      <c r="DZ12" s="306" t="str">
        <f t="shared" si="56"/>
        <v>-</v>
      </c>
      <c r="EA12" s="367" t="str">
        <f t="shared" si="57"/>
        <v>-</v>
      </c>
      <c r="EB12" s="310" t="str">
        <f>IFERROR(__xludf.DUMMYFUNCTION("IF(REGEXMATCH(AW12,AS12),""✔"",""-"")"),"-")</f>
        <v>-</v>
      </c>
      <c r="EC12" s="310" t="str">
        <f t="shared" si="58"/>
        <v>#REF!</v>
      </c>
      <c r="ED12" s="370" t="str">
        <f t="shared" si="59"/>
        <v>-</v>
      </c>
      <c r="EE12" s="340" t="str">
        <f t="shared" si="60"/>
        <v>S-R-g-m-P-D-nN-S</v>
      </c>
      <c r="EF12" s="371" t="str">
        <f>IFERROR(__xludf.DUMMYFUNCTION("CONCATENATE(JOIN("""",HC12:HO12))"),"SrRgmPDnS")</f>
        <v>SrRgmPDnS</v>
      </c>
      <c r="EG12" s="372">
        <f t="shared" si="61"/>
        <v>2</v>
      </c>
      <c r="EH12" s="373" t="str">
        <f>IFERROR(__xludf.DUMMYFUNCTION("CONCATENATE(JOIN("""",JC12:JO12))"),"Dha, Ni, ")</f>
        <v>Dha, Ni, </v>
      </c>
      <c r="EI12" s="322">
        <f t="shared" si="62"/>
        <v>1</v>
      </c>
      <c r="EJ12" s="374" t="str">
        <f>IFERROR(__xludf.DUMMYFUNCTION("CONCATENATE(JOIN("""",KC12:KO12))"),"Ni, ")</f>
        <v>Ni, </v>
      </c>
      <c r="EK12" s="325" t="str">
        <f t="shared" si="63"/>
        <v>S-R2-G2-M1-P-D2-N2-N3-S</v>
      </c>
      <c r="EL12" s="326" t="str">
        <f t="shared" si="64"/>
        <v>1-2-b3-4-5-6-b7-7-8</v>
      </c>
      <c r="EM12" s="318" t="str">
        <f t="shared" si="65"/>
        <v>#REF!</v>
      </c>
      <c r="EN12" s="328" t="str">
        <f>IFERROR(__xludf.DUMMYFUNCTION("SUBSTITUTE(SUBSTITUTE(SUBSTITUTE(SUBSTITUTE(CONCATENATE(JOIN("" "",HP12:IB12)),""  "","" ""),""  "","" ""),""  "","" ""),""  "","" "")"),"o • o o • o • o • o o o o")</f>
        <v>o • o o • o • o • o o o o</v>
      </c>
      <c r="EO12" s="368" t="str">
        <f t="shared" si="66"/>
        <v>-</v>
      </c>
      <c r="EP12" s="339" t="str">
        <f t="shared" si="67"/>
        <v>-</v>
      </c>
      <c r="EQ12" s="339" t="str">
        <f t="shared" si="68"/>
        <v>Sa-Pa</v>
      </c>
      <c r="ER12" s="339" t="str">
        <f t="shared" si="69"/>
        <v>-</v>
      </c>
      <c r="ES12" s="340" t="str">
        <f t="shared" si="70"/>
        <v>-</v>
      </c>
      <c r="ET12" s="363"/>
      <c r="EU12" s="376" t="b">
        <f>IFERROR(__xludf.DUMMYFUNCTION("arrayformula(sum(--REGEXMATCH(""SRGMPDNS"",split(REGEXREPLACE(C12,""(.)"",""$1~""),""~""))))=len(C12)
"),FALSE)</f>
        <v>0</v>
      </c>
      <c r="EV12" s="290" t="b">
        <f>IFERROR(__xludf.DUMMYFUNCTION("arrayformula(sum(--REGEXMATCH(""SRGmPDNS"",split(REGEXREPLACE(C12,""(.)"",""$1~""),""~""))))=len(C12)"),FALSE)</f>
        <v>0</v>
      </c>
      <c r="EW12" s="290" t="b">
        <f>IFERROR(__xludf.DUMMYFUNCTION("arrayformula(sum(--REGEXMATCH(""SRGmPDnS"",split(REGEXREPLACE(C12,""(.)"",""$1~""),""~""))))=len(C12)"),FALSE)</f>
        <v>0</v>
      </c>
      <c r="EX12" s="290" t="b">
        <f>IFERROR(__xludf.DUMMYFUNCTION("arrayformula(sum(--REGEXMATCH(""SRgmPDnS"",split(REGEXREPLACE(C12,""(.)"",""$1~""),""~""))))=len(C12)"),FALSE)</f>
        <v>0</v>
      </c>
      <c r="EY12" s="290" t="b">
        <f>IFERROR(__xludf.DUMMYFUNCTION("arrayformula(sum(--REGEXMATCH(""SRgmPdnS"",split(REGEXREPLACE(C12,""(.)"",""$1~""),""~""))))=len(C12)"),FALSE)</f>
        <v>0</v>
      </c>
      <c r="EZ12" s="290" t="b">
        <f>IFERROR(__xludf.DUMMYFUNCTION("arrayformula(sum(--REGEXMATCH(""SrgmPdnS"",split(REGEXREPLACE(C12,""(.)"",""$1~""),""~""))))=len(C12)"),FALSE)</f>
        <v>0</v>
      </c>
      <c r="FA12" s="290" t="b">
        <f>IFERROR(__xludf.DUMMYFUNCTION("arrayformula(sum(--REGEXMATCH(""SrGmPdNS"",split(REGEXREPLACE(C12,""(.)"",""$1~""),""~""))))=len(C12)"),FALSE)</f>
        <v>0</v>
      </c>
      <c r="FB12" s="290" t="b">
        <f>IFERROR(__xludf.DUMMYFUNCTION("arrayformula(sum(--REGEXMATCH(""SrGMPDNS"",split(REGEXREPLACE(C12,""(.)"",""$1~""),""~""))))=len(C12)"),FALSE)</f>
        <v>0</v>
      </c>
      <c r="FC12" s="290" t="b">
        <f>IFERROR(__xludf.DUMMYFUNCTION("arrayformula(sum(--REGEXMATCH(""SrGMPdNS"",split(REGEXREPLACE(C12,""(.)"",""$1~""),""~""))))=len(C12)"),FALSE)</f>
        <v>0</v>
      </c>
      <c r="FD12" s="377" t="b">
        <f>IFERROR(__xludf.DUMMYFUNCTION("arrayformula(sum(--REGEXMATCH(""SrgMPdNS"",split(REGEXREPLACE(C12,""(.)"",""$1~""),""~""))))=len(C12)"),FALSE)</f>
        <v>0</v>
      </c>
      <c r="FE12" s="269" t="str">
        <f t="shared" si="71"/>
        <v>-</v>
      </c>
      <c r="FF12" s="269" t="str">
        <f t="shared" si="72"/>
        <v>xxoxoxoxxxx</v>
      </c>
      <c r="FG12" s="271" t="str">
        <f t="shared" si="73"/>
        <v>xoxoxoxxxxo</v>
      </c>
      <c r="FH12" s="269" t="str">
        <f t="shared" si="74"/>
        <v>-</v>
      </c>
      <c r="FI12" s="271" t="str">
        <f t="shared" si="75"/>
        <v>xoxoxxxxoxx</v>
      </c>
      <c r="FJ12" s="271" t="str">
        <f t="shared" si="76"/>
        <v>-</v>
      </c>
      <c r="FK12" s="271" t="str">
        <f t="shared" si="77"/>
        <v>xoxxxxoxxox</v>
      </c>
      <c r="FL12" s="271" t="str">
        <f t="shared" si="78"/>
        <v>-</v>
      </c>
      <c r="FM12" s="271" t="str">
        <f t="shared" si="79"/>
        <v>xxxxoxxoxox</v>
      </c>
      <c r="FN12" s="271" t="str">
        <f t="shared" si="80"/>
        <v>xxxoxxoxoxo</v>
      </c>
      <c r="FO12" s="274" t="str">
        <f t="shared" si="81"/>
        <v>xxoxxoxoxox</v>
      </c>
      <c r="FP12" s="234" t="str">
        <f t="shared" si="82"/>
        <v>|</v>
      </c>
      <c r="FQ12" s="236" t="str">
        <f t="shared" si="83"/>
        <v>-</v>
      </c>
      <c r="FR12" s="237" t="str">
        <f t="shared" si="84"/>
        <v>|</v>
      </c>
      <c r="FS12" s="236" t="str">
        <f t="shared" si="85"/>
        <v>|</v>
      </c>
      <c r="FT12" s="237" t="str">
        <f t="shared" si="86"/>
        <v>-</v>
      </c>
      <c r="FU12" s="236" t="str">
        <f t="shared" si="87"/>
        <v>|</v>
      </c>
      <c r="FV12" s="237" t="str">
        <f t="shared" si="88"/>
        <v>-</v>
      </c>
      <c r="FW12" s="236" t="str">
        <f t="shared" si="89"/>
        <v>|</v>
      </c>
      <c r="FX12" s="237" t="str">
        <f t="shared" si="90"/>
        <v>-</v>
      </c>
      <c r="FY12" s="236" t="str">
        <f t="shared" si="91"/>
        <v>|</v>
      </c>
      <c r="FZ12" s="237" t="str">
        <f t="shared" si="92"/>
        <v>|</v>
      </c>
      <c r="GA12" s="236" t="str">
        <f t="shared" si="93"/>
        <v>|</v>
      </c>
      <c r="GB12" s="238" t="str">
        <f t="shared" si="94"/>
        <v>|</v>
      </c>
      <c r="GC12" s="244" t="str">
        <f>IFERROR(__xludf.DUMMYFUNCTION("IF(REGEXMATCH(C12, ""S""), ""1"","""")"),"1")</f>
        <v>1</v>
      </c>
      <c r="GD12" s="245" t="str">
        <f>IFERROR(__xludf.DUMMYFUNCTION("IF(REGEXMATCH(C12, ""r""), ""b2"","""")"),"")</f>
        <v/>
      </c>
      <c r="GE12" s="246" t="str">
        <f>IFERROR(__xludf.DUMMYFUNCTION("IF(REGEXMATCH(C12, ""R""), ""2"","""")"),"2")</f>
        <v>2</v>
      </c>
      <c r="GF12" s="246" t="str">
        <f>IFERROR(__xludf.DUMMYFUNCTION("IF(REGEXMATCH(C12, ""g""), ""b3"","""")"),"b3")</f>
        <v>b3</v>
      </c>
      <c r="GG12" s="245" t="str">
        <f>IFERROR(__xludf.DUMMYFUNCTION("IF(REGEXMATCH(C12, ""G""), ""3"","""")"),"")</f>
        <v/>
      </c>
      <c r="GH12" s="245" t="str">
        <f>IFERROR(__xludf.DUMMYFUNCTION("IF(REGEXMATCH(C12, ""m""), ""4"","""")"),"4")</f>
        <v>4</v>
      </c>
      <c r="GI12" s="246" t="str">
        <f>IFERROR(__xludf.DUMMYFUNCTION("IF(REGEXMATCH(C12, ""M""), ""#4"","""")"),"")</f>
        <v/>
      </c>
      <c r="GJ12" s="245" t="str">
        <f>IFERROR(__xludf.DUMMYFUNCTION("IF(REGEXMATCH(C12, ""P""), ""5"","""")"),"5")</f>
        <v>5</v>
      </c>
      <c r="GK12" s="246" t="str">
        <f>IFERROR(__xludf.DUMMYFUNCTION("IF(REGEXMATCH(C12, ""d""), ""b6"","""")"),"")</f>
        <v/>
      </c>
      <c r="GL12" s="245" t="str">
        <f>IFERROR(__xludf.DUMMYFUNCTION("IF(REGEXMATCH(C12, ""D""), ""6"","""")"),"6")</f>
        <v>6</v>
      </c>
      <c r="GM12" s="245" t="str">
        <f>IFERROR(__xludf.DUMMYFUNCTION("IF(REGEXMATCH(C12, ""n""), ""b7"","""")"),"b7")</f>
        <v>b7</v>
      </c>
      <c r="GN12" s="246" t="str">
        <f>IFERROR(__xludf.DUMMYFUNCTION("IF(REGEXMATCH(C12, ""N""), ""7"","""")"),"7")</f>
        <v>7</v>
      </c>
      <c r="GO12" s="249" t="str">
        <f>IFERROR(__xludf.DUMMYFUNCTION("IF(REGEXMATCH(C12, ""S""), ""8"","""")"),"8")</f>
        <v>8</v>
      </c>
      <c r="GP12" s="244" t="str">
        <f>IFERROR(__xludf.DUMMYFUNCTION("IF(REGEXMATCH(C12, ""S""), ""S"","""")"),"S")</f>
        <v>S</v>
      </c>
      <c r="GQ12" s="294" t="str">
        <f>IFERROR(__xludf.DUMMYFUNCTION("IF(REGEXMATCH(C12, ""r""), ""R1"","""")"),"")</f>
        <v/>
      </c>
      <c r="GR12" s="295" t="str">
        <f>IFERROR(__xludf.DUMMYFUNCTION("IF(REGEXMATCH(C12, ""R""), ""R2"","""")"),"R2")</f>
        <v>R2</v>
      </c>
      <c r="GS12" s="295" t="str">
        <f>IFERROR(__xludf.DUMMYFUNCTION("IF(REGEXMATCH(C12, ""g""), ""G2"","""")"),"G2")</f>
        <v>G2</v>
      </c>
      <c r="GT12" s="294" t="str">
        <f>IFERROR(__xludf.DUMMYFUNCTION("IF(REGEXMATCH(C12, ""G""), ""G3"","""")"),"")</f>
        <v/>
      </c>
      <c r="GU12" s="294" t="str">
        <f>IFERROR(__xludf.DUMMYFUNCTION("IF(REGEXMATCH(C12, ""m""), ""M1"","""")"),"M1")</f>
        <v>M1</v>
      </c>
      <c r="GV12" s="295" t="str">
        <f>IFERROR(__xludf.DUMMYFUNCTION("IF(REGEXMATCH(C12, ""M""), ""M2"","""")"),"")</f>
        <v/>
      </c>
      <c r="GW12" s="294" t="str">
        <f>IFERROR(__xludf.DUMMYFUNCTION("IF(REGEXMATCH(C12, ""P""), ""P"","""")"),"P")</f>
        <v>P</v>
      </c>
      <c r="GX12" s="295" t="str">
        <f>IFERROR(__xludf.DUMMYFUNCTION("IF(REGEXMATCH(C12, ""d""), ""D1"","""")"),"")</f>
        <v/>
      </c>
      <c r="GY12" s="294" t="str">
        <f>IFERROR(__xludf.DUMMYFUNCTION("IF(REGEXMATCH(C12, ""D""), ""D2"","""")"),"D2")</f>
        <v>D2</v>
      </c>
      <c r="GZ12" s="294" t="str">
        <f>IFERROR(__xludf.DUMMYFUNCTION("IF(REGEXMATCH(C12, ""n""), ""N2"","""")"),"N2")</f>
        <v>N2</v>
      </c>
      <c r="HA12" s="295" t="str">
        <f>IFERROR(__xludf.DUMMYFUNCTION("IF(REGEXMATCH(C12, ""N""), ""N3"","""")"),"N3")</f>
        <v>N3</v>
      </c>
      <c r="HB12" s="249" t="str">
        <f>IFERROR(__xludf.DUMMYFUNCTION("IF(REGEXMATCH(C12, ""S""), ""S"","""")"),"S")</f>
        <v>S</v>
      </c>
      <c r="HC12" s="331" t="str">
        <f t="shared" si="95"/>
        <v>S</v>
      </c>
      <c r="HD12" s="332" t="str">
        <f t="shared" si="96"/>
        <v>r</v>
      </c>
      <c r="HE12" s="332" t="str">
        <f t="shared" si="97"/>
        <v>R</v>
      </c>
      <c r="HF12" s="332" t="str">
        <f t="shared" si="98"/>
        <v>g</v>
      </c>
      <c r="HG12" s="332" t="str">
        <f t="shared" si="99"/>
        <v/>
      </c>
      <c r="HH12" s="332" t="str">
        <f t="shared" si="100"/>
        <v>m</v>
      </c>
      <c r="HI12" s="332" t="str">
        <f t="shared" si="101"/>
        <v/>
      </c>
      <c r="HJ12" s="332" t="str">
        <f t="shared" si="102"/>
        <v>P</v>
      </c>
      <c r="HK12" s="332" t="str">
        <f t="shared" si="103"/>
        <v/>
      </c>
      <c r="HL12" s="332" t="str">
        <f t="shared" si="104"/>
        <v>D</v>
      </c>
      <c r="HM12" s="332" t="str">
        <f t="shared" si="105"/>
        <v>n</v>
      </c>
      <c r="HN12" s="332" t="str">
        <f t="shared" si="106"/>
        <v/>
      </c>
      <c r="HO12" s="343" t="str">
        <f t="shared" si="107"/>
        <v>S</v>
      </c>
      <c r="HP12" s="331" t="str">
        <f t="shared" si="108"/>
        <v>o</v>
      </c>
      <c r="HQ12" s="332" t="str">
        <f t="shared" si="109"/>
        <v>•</v>
      </c>
      <c r="HR12" s="332" t="str">
        <f t="shared" si="110"/>
        <v>o</v>
      </c>
      <c r="HS12" s="332" t="str">
        <f t="shared" si="111"/>
        <v>o</v>
      </c>
      <c r="HT12" s="332" t="str">
        <f t="shared" si="112"/>
        <v>•</v>
      </c>
      <c r="HU12" s="332" t="str">
        <f t="shared" si="113"/>
        <v>o</v>
      </c>
      <c r="HV12" s="332" t="str">
        <f t="shared" si="114"/>
        <v>•</v>
      </c>
      <c r="HW12" s="332" t="str">
        <f t="shared" si="115"/>
        <v>o</v>
      </c>
      <c r="HX12" s="332" t="str">
        <f t="shared" si="116"/>
        <v>•</v>
      </c>
      <c r="HY12" s="332" t="str">
        <f t="shared" si="117"/>
        <v>o</v>
      </c>
      <c r="HZ12" s="332" t="str">
        <f t="shared" si="118"/>
        <v>o</v>
      </c>
      <c r="IA12" s="332" t="str">
        <f t="shared" si="119"/>
        <v>o</v>
      </c>
      <c r="IB12" s="338" t="str">
        <f t="shared" si="120"/>
        <v>o</v>
      </c>
      <c r="IC12" s="331" t="str">
        <f t="shared" si="121"/>
        <v>•</v>
      </c>
      <c r="ID12" s="332" t="str">
        <f t="shared" si="122"/>
        <v>o</v>
      </c>
      <c r="IE12" s="332" t="str">
        <f t="shared" si="123"/>
        <v>•</v>
      </c>
      <c r="IF12" s="332" t="str">
        <f t="shared" si="124"/>
        <v>•</v>
      </c>
      <c r="IG12" s="332" t="str">
        <f t="shared" si="125"/>
        <v>o</v>
      </c>
      <c r="IH12" s="332" t="str">
        <f t="shared" si="126"/>
        <v>•</v>
      </c>
      <c r="II12" s="332" t="str">
        <f t="shared" si="127"/>
        <v>o</v>
      </c>
      <c r="IJ12" s="332" t="str">
        <f t="shared" si="128"/>
        <v>•</v>
      </c>
      <c r="IK12" s="332" t="str">
        <f t="shared" si="129"/>
        <v>o</v>
      </c>
      <c r="IL12" s="332" t="str">
        <f t="shared" si="130"/>
        <v>•</v>
      </c>
      <c r="IM12" s="332" t="str">
        <f t="shared" si="131"/>
        <v>•</v>
      </c>
      <c r="IN12" s="332" t="str">
        <f t="shared" si="132"/>
        <v>•</v>
      </c>
      <c r="IO12" s="338" t="str">
        <f t="shared" si="133"/>
        <v>•</v>
      </c>
      <c r="IP12" s="346" t="b">
        <f t="shared" si="134"/>
        <v>0</v>
      </c>
      <c r="IQ12" s="347" t="b">
        <f t="shared" si="135"/>
        <v>0</v>
      </c>
      <c r="IR12" s="347" t="b">
        <f t="shared" si="136"/>
        <v>0</v>
      </c>
      <c r="IS12" s="347" t="b">
        <f t="shared" si="137"/>
        <v>0</v>
      </c>
      <c r="IT12" s="347" t="b">
        <f t="shared" si="138"/>
        <v>0</v>
      </c>
      <c r="IU12" s="347" t="b">
        <f t="shared" si="139"/>
        <v>0</v>
      </c>
      <c r="IV12" s="347" t="b">
        <f t="shared" si="140"/>
        <v>0</v>
      </c>
      <c r="IW12" s="347" t="b">
        <f t="shared" si="141"/>
        <v>0</v>
      </c>
      <c r="IX12" s="347" t="b">
        <f t="shared" si="142"/>
        <v>0</v>
      </c>
      <c r="IY12" s="347" t="b">
        <f t="shared" si="143"/>
        <v>1</v>
      </c>
      <c r="IZ12" s="347" t="b">
        <f t="shared" si="144"/>
        <v>0</v>
      </c>
      <c r="JA12" s="347" t="b">
        <f t="shared" si="145"/>
        <v>1</v>
      </c>
      <c r="JB12" s="353" t="b">
        <f t="shared" si="146"/>
        <v>0</v>
      </c>
      <c r="JC12" s="354" t="str">
        <f t="shared" si="147"/>
        <v/>
      </c>
      <c r="JD12" s="355" t="str">
        <f t="shared" si="148"/>
        <v/>
      </c>
      <c r="JE12" s="355" t="str">
        <f t="shared" si="149"/>
        <v/>
      </c>
      <c r="JF12" s="355" t="str">
        <f t="shared" si="150"/>
        <v/>
      </c>
      <c r="JG12" s="355" t="str">
        <f t="shared" si="151"/>
        <v/>
      </c>
      <c r="JH12" s="355" t="str">
        <f t="shared" si="152"/>
        <v/>
      </c>
      <c r="JI12" s="355" t="str">
        <f t="shared" si="153"/>
        <v/>
      </c>
      <c r="JJ12" s="355" t="str">
        <f t="shared" si="154"/>
        <v/>
      </c>
      <c r="JK12" s="355" t="str">
        <f t="shared" si="155"/>
        <v/>
      </c>
      <c r="JL12" s="355" t="str">
        <f t="shared" si="156"/>
        <v>Dha, </v>
      </c>
      <c r="JM12" s="355" t="str">
        <f t="shared" si="157"/>
        <v/>
      </c>
      <c r="JN12" s="355" t="str">
        <f t="shared" si="158"/>
        <v>Ni, </v>
      </c>
      <c r="JO12" s="359" t="str">
        <f t="shared" si="159"/>
        <v/>
      </c>
      <c r="JP12" s="346" t="b">
        <f t="shared" si="160"/>
        <v>0</v>
      </c>
      <c r="JQ12" s="347" t="b">
        <f t="shared" si="161"/>
        <v>0</v>
      </c>
      <c r="JR12" s="347" t="b">
        <f t="shared" si="162"/>
        <v>0</v>
      </c>
      <c r="JS12" s="347" t="b">
        <f t="shared" si="163"/>
        <v>0</v>
      </c>
      <c r="JT12" s="347" t="b">
        <f t="shared" si="164"/>
        <v>0</v>
      </c>
      <c r="JU12" s="347" t="b">
        <f t="shared" si="165"/>
        <v>0</v>
      </c>
      <c r="JV12" s="347" t="b">
        <f t="shared" si="166"/>
        <v>0</v>
      </c>
      <c r="JW12" s="347" t="b">
        <f t="shared" si="167"/>
        <v>0</v>
      </c>
      <c r="JX12" s="347" t="b">
        <f t="shared" si="168"/>
        <v>0</v>
      </c>
      <c r="JY12" s="347" t="b">
        <f t="shared" si="169"/>
        <v>0</v>
      </c>
      <c r="JZ12" s="347" t="b">
        <f t="shared" si="170"/>
        <v>0</v>
      </c>
      <c r="KA12" s="347" t="b">
        <f t="shared" si="171"/>
        <v>1</v>
      </c>
      <c r="KB12" s="365" t="b">
        <f t="shared" si="172"/>
        <v>0</v>
      </c>
      <c r="KC12" s="354" t="str">
        <f t="shared" si="173"/>
        <v/>
      </c>
      <c r="KD12" s="355" t="str">
        <f t="shared" si="174"/>
        <v/>
      </c>
      <c r="KE12" s="355" t="str">
        <f t="shared" si="175"/>
        <v/>
      </c>
      <c r="KF12" s="355" t="str">
        <f t="shared" si="176"/>
        <v/>
      </c>
      <c r="KG12" s="355" t="str">
        <f t="shared" si="177"/>
        <v/>
      </c>
      <c r="KH12" s="355" t="str">
        <f t="shared" si="178"/>
        <v/>
      </c>
      <c r="KI12" s="355" t="str">
        <f t="shared" si="179"/>
        <v/>
      </c>
      <c r="KJ12" s="355" t="str">
        <f t="shared" si="180"/>
        <v/>
      </c>
      <c r="KK12" s="355" t="str">
        <f t="shared" si="181"/>
        <v/>
      </c>
      <c r="KL12" s="355" t="str">
        <f t="shared" si="182"/>
        <v/>
      </c>
      <c r="KM12" s="355" t="str">
        <f t="shared" si="183"/>
        <v/>
      </c>
      <c r="KN12" s="355" t="str">
        <f t="shared" si="184"/>
        <v>Ni, </v>
      </c>
      <c r="KO12" s="359"/>
      <c r="KP12" s="378"/>
      <c r="KQ12" s="379" t="s">
        <v>1212</v>
      </c>
      <c r="KR12" s="380" t="s">
        <v>1214</v>
      </c>
      <c r="KS12" s="381" t="str">
        <f t="shared" si="204"/>
        <v>S-R-g-m-P-nN-S</v>
      </c>
      <c r="KT12" s="382">
        <f t="shared" si="186"/>
        <v>6</v>
      </c>
      <c r="KU12" s="383">
        <f t="shared" si="187"/>
        <v>7</v>
      </c>
      <c r="KV12" s="381" t="str">
        <f t="shared" si="205"/>
        <v>S-Nn-D-P-m-g-Rr-S</v>
      </c>
      <c r="KW12" s="382">
        <f t="shared" si="189"/>
        <v>7</v>
      </c>
      <c r="KX12" s="384">
        <f t="shared" si="190"/>
        <v>9</v>
      </c>
      <c r="KY12" s="382">
        <f t="shared" ref="KY12:KZ12" si="214">KW12-KT12</f>
        <v>1</v>
      </c>
      <c r="KZ12" s="369">
        <f t="shared" si="214"/>
        <v>2</v>
      </c>
      <c r="LA12" s="385" t="str">
        <f t="shared" si="192"/>
        <v>-</v>
      </c>
      <c r="LB12" s="340" t="str">
        <f>IFERROR(__xludf.DUMMYFUNCTION("JOIN("""",ArrayFormula(MID(KS12,LEN(KS12)-SEQUENCE(1,LEN(KS12))+1,1)))"),"S-Nn-P-m-g-R-S")</f>
        <v>S-Nn-P-m-g-R-S</v>
      </c>
      <c r="LC12" s="373" t="str">
        <f>IFERROR(__xludf.DUMMYFUNCTION("JOIN("""",ArrayFormula(MID(KV12,LEN(KV12)-SEQUENCE(1,LEN(KV12))+1,1)))"),"S-rR-g-m-P-D-nN-S")</f>
        <v>S-rR-g-m-P-D-nN-S</v>
      </c>
      <c r="LD12" s="373" t="str">
        <f t="shared" si="193"/>
        <v>SRgmPnNS</v>
      </c>
      <c r="LE12" s="339" t="str">
        <f t="shared" si="194"/>
        <v>SrRgmPDnNS</v>
      </c>
      <c r="LF12" s="386" t="str">
        <f>IFERROR(__xludf.DUMMYFUNCTION("SUBSTITUTE(SUBSTITUTE(CONCATENATE(JOIN("""",LH12:LT12)),""1"",""""),""2"","""")"),"SrRgmPDnNS")</f>
        <v>SrRgmPDnNS</v>
      </c>
      <c r="LG12" s="369" t="str">
        <f t="shared" si="195"/>
        <v>-</v>
      </c>
      <c r="LH12" s="387" t="str">
        <f>IFERROR(__xludf.DUMMYFUNCTION("IF(REGEXMATCH(LD12, ""S""), ""S"",IF(REGEXMATCH(LE12, ""S""), ""S"",""""))"),"S")</f>
        <v>S</v>
      </c>
      <c r="LI12" s="299" t="str">
        <f>IFERROR(__xludf.DUMMYFUNCTION("IF(REGEXMATCH(LD12, ""r""), ""r1"",IF(REGEXMATCH(LE12, ""r""), ""r2"",""""))"),"r2")</f>
        <v>r2</v>
      </c>
      <c r="LJ12" s="299" t="str">
        <f>IFERROR(__xludf.DUMMYFUNCTION("IF(REGEXMATCH(LD12, ""R""), ""R1"",IF(REGEXMATCH(LE12, ""R""), ""R2"",""""))"),"R1")</f>
        <v>R1</v>
      </c>
      <c r="LK12" s="299" t="str">
        <f>IFERROR(__xludf.DUMMYFUNCTION("IF(REGEXMATCH(LD12, ""g""), ""g1"",IF(REGEXMATCH(LE12, ""g""), ""g2"",""""))"),"g1")</f>
        <v>g1</v>
      </c>
      <c r="LL12" s="299" t="str">
        <f>IFERROR(__xludf.DUMMYFUNCTION("IF(REGEXMATCH(LD12, ""G""), ""G1"",IF(REGEXMATCH(LE12, ""G""), ""G2"",""""))"),"")</f>
        <v/>
      </c>
      <c r="LM12" s="299" t="str">
        <f>IFERROR(__xludf.DUMMYFUNCTION("IF(REGEXMATCH(LD12, ""m""), ""m1"",IF(REGEXMATCH(LE12, ""m""), ""m2"",""""))"),"m1")</f>
        <v>m1</v>
      </c>
      <c r="LN12" s="299" t="str">
        <f>IFERROR(__xludf.DUMMYFUNCTION("IF(REGEXMATCH(LD12, ""M""), ""M1"",IF(REGEXMATCH(LE12, ""M""), ""M2"",""""))"),"")</f>
        <v/>
      </c>
      <c r="LO12" s="299" t="str">
        <f>IFERROR(__xludf.DUMMYFUNCTION("IF(REGEXMATCH(LD12, ""P""), ""P1"",IF(REGEXMATCH(LE12, ""P""), ""P2"",""""))"),"P1")</f>
        <v>P1</v>
      </c>
      <c r="LP12" s="299" t="str">
        <f>IFERROR(__xludf.DUMMYFUNCTION("IF(REGEXMATCH(LD12, ""d""), ""d1"",IF(REGEXMATCH(LE12, ""d""), ""d2"",""""))"),"")</f>
        <v/>
      </c>
      <c r="LQ12" s="299" t="str">
        <f>IFERROR(__xludf.DUMMYFUNCTION("IF(REGEXMATCH(LD12, ""D""), ""D1"",IF(REGEXMATCH(LE12, ""D""), ""D2"",""""))"),"D2")</f>
        <v>D2</v>
      </c>
      <c r="LR12" s="299" t="str">
        <f>IFERROR(__xludf.DUMMYFUNCTION("IF(REGEXMATCH(LD12, ""n""), ""n1"",IF(REGEXMATCH(LE12, ""n""), ""n2"",""""))"),"n1")</f>
        <v>n1</v>
      </c>
      <c r="LS12" s="299" t="str">
        <f>IFERROR(__xludf.DUMMYFUNCTION("IF(REGEXMATCH(LD12, ""N""), ""N1"",IF(REGEXMATCH(LE12, ""N""), ""N2"",""""))"),"N1")</f>
        <v>N1</v>
      </c>
      <c r="LT12" s="388" t="str">
        <f>IFERROR(__xludf.DUMMYFUNCTION("IF(REGEXMATCH(LD12, ""S""), ""S"",IF(REGEXMATCH(LE12, ""S""), ""S"",""""))"),"S")</f>
        <v>S</v>
      </c>
      <c r="LU12" s="389">
        <f t="shared" si="196"/>
        <v>-2</v>
      </c>
      <c r="LV12" s="378"/>
      <c r="LW12" s="369"/>
      <c r="LX12" s="369"/>
    </row>
    <row r="13" ht="20.25" customHeight="1">
      <c r="A13" s="298" t="s">
        <v>529</v>
      </c>
      <c r="B13" s="222" t="s">
        <v>530</v>
      </c>
      <c r="C13" s="233" t="str">
        <f t="shared" si="7"/>
        <v>SRGmPDnNS</v>
      </c>
      <c r="D13" s="234" t="str">
        <f>IFERROR(__xludf.DUMMYFUNCTION("IF(REGEXMATCH(C13, ""S""), ""S"","""")"),"S")</f>
        <v>S</v>
      </c>
      <c r="E13" s="236" t="str">
        <f>IFERROR(__xludf.DUMMYFUNCTION("IF(REGEXMATCH(C13, ""r""), ""r"","""")"),"")</f>
        <v/>
      </c>
      <c r="F13" s="237" t="str">
        <f>IFERROR(__xludf.DUMMYFUNCTION("IF(REGEXMATCH(C13, ""R""), ""R"","""")"),"R")</f>
        <v>R</v>
      </c>
      <c r="G13" s="237" t="str">
        <f>IFERROR(__xludf.DUMMYFUNCTION("IF(REGEXMATCH(C13, ""g""), ""g"","""")"),"")</f>
        <v/>
      </c>
      <c r="H13" s="236" t="str">
        <f>IFERROR(__xludf.DUMMYFUNCTION("IF(REGEXMATCH(C13, ""G""), ""G"","""")"),"G")</f>
        <v>G</v>
      </c>
      <c r="I13" s="236" t="str">
        <f>IFERROR(__xludf.DUMMYFUNCTION("IF(REGEXMATCH(C13, ""m""), ""m"","""")"),"m")</f>
        <v>m</v>
      </c>
      <c r="J13" s="237" t="str">
        <f>IFERROR(__xludf.DUMMYFUNCTION("IF(REGEXMATCH(C13, ""M""), ""M"","""")"),"")</f>
        <v/>
      </c>
      <c r="K13" s="236" t="str">
        <f>IFERROR(__xludf.DUMMYFUNCTION("IF(REGEXMATCH(C13, ""P""), ""P"","""")"),"P")</f>
        <v>P</v>
      </c>
      <c r="L13" s="237" t="str">
        <f>IFERROR(__xludf.DUMMYFUNCTION("IF(REGEXMATCH(C13, ""d""), ""d"","""")"),"")</f>
        <v/>
      </c>
      <c r="M13" s="236" t="str">
        <f>IFERROR(__xludf.DUMMYFUNCTION("IF(REGEXMATCH(C13, ""D""), ""D"","""")"),"D")</f>
        <v>D</v>
      </c>
      <c r="N13" s="236" t="str">
        <f>IFERROR(__xludf.DUMMYFUNCTION("IF(REGEXMATCH(C13, ""n""), ""n"","""")"),"n")</f>
        <v>n</v>
      </c>
      <c r="O13" s="237" t="str">
        <f>IFERROR(__xludf.DUMMYFUNCTION("IF(REGEXMATCH(C13, ""N""), ""N"","""")"),"N")</f>
        <v>N</v>
      </c>
      <c r="P13" s="238" t="str">
        <f>IFERROR(__xludf.DUMMYFUNCTION("IF(REGEXMATCH(C13, ""S""), ""S"","""")"),"S")</f>
        <v>S</v>
      </c>
      <c r="Q13" s="239" t="str">
        <f>IFERROR(__xludf.DUMMYFUNCTION("SUBSTITUTE(CONCATENATE(JOIN(""-"",D13:J13)),""-"","""")"),"SRGm")</f>
        <v>SRGm</v>
      </c>
      <c r="R13" s="229" t="str">
        <f>IFERROR(__xludf.DUMMYFUNCTION("SUBSTITUTE(CONCATENATE(JOIN(""-"",K13:P13)),""-"","""")"),"PDnNS")</f>
        <v>PDnNS</v>
      </c>
      <c r="S13" s="282" t="str">
        <f t="shared" si="8"/>
        <v>S-R-G-M</v>
      </c>
      <c r="T13" s="282" t="str">
        <f t="shared" si="9"/>
        <v>P-D-N-S</v>
      </c>
      <c r="U13" s="237" t="str">
        <f>IFERROR(__xludf.DUMMYFUNCTION("SUBSTITUTE(JOIN(""-"",S13,T13),""--"",""-"")"),"S-R-G-M-P-D-N-S")</f>
        <v>S-R-G-M-P-D-N-S</v>
      </c>
      <c r="V13" s="309" t="str">
        <f t="shared" si="10"/>
        <v>RGmDnN</v>
      </c>
      <c r="W13" s="244" t="str">
        <f>IFERROR(__xludf.DUMMYFUNCTION("IF(REGEXMATCH(C13, ""S""), ""0"","""")"),"0")</f>
        <v>0</v>
      </c>
      <c r="X13" s="245" t="str">
        <f>IFERROR(__xludf.DUMMYFUNCTION("IF(REGEXMATCH(C13, ""r""), ""1"","""")"),"")</f>
        <v/>
      </c>
      <c r="Y13" s="246" t="str">
        <f>IFERROR(__xludf.DUMMYFUNCTION("IF(REGEXMATCH(C13, ""R""), ""2"","""")"),"2")</f>
        <v>2</v>
      </c>
      <c r="Z13" s="246" t="str">
        <f>IFERROR(__xludf.DUMMYFUNCTION("IF(REGEXMATCH(C13, ""g""), ""3"","""")"),"")</f>
        <v/>
      </c>
      <c r="AA13" s="245" t="str">
        <f>IFERROR(__xludf.DUMMYFUNCTION("IF(REGEXMATCH(C13, ""G""), ""4"","""")"),"4")</f>
        <v>4</v>
      </c>
      <c r="AB13" s="245" t="str">
        <f>IFERROR(__xludf.DUMMYFUNCTION("IF(REGEXMATCH(C13, ""m""), ""5"","""")"),"5")</f>
        <v>5</v>
      </c>
      <c r="AC13" s="246" t="str">
        <f>IFERROR(__xludf.DUMMYFUNCTION("IF(REGEXMATCH(C13, ""M""), ""6"","""")"),"")</f>
        <v/>
      </c>
      <c r="AD13" s="245" t="str">
        <f>IFERROR(__xludf.DUMMYFUNCTION("IF(REGEXMATCH(C13, ""P""), ""7"","""")"),"7")</f>
        <v>7</v>
      </c>
      <c r="AE13" s="246" t="str">
        <f>IFERROR(__xludf.DUMMYFUNCTION("IF(REGEXMATCH(C13, ""d""), ""8"","""")"),"")</f>
        <v/>
      </c>
      <c r="AF13" s="245" t="str">
        <f>IFERROR(__xludf.DUMMYFUNCTION("IF(REGEXMATCH(C13, ""D""), ""9"","""")"),"9")</f>
        <v>9</v>
      </c>
      <c r="AG13" s="245" t="str">
        <f>IFERROR(__xludf.DUMMYFUNCTION("IF(REGEXMATCH(C13, ""n""), ""10"","""")"),"10")</f>
        <v>10</v>
      </c>
      <c r="AH13" s="246" t="str">
        <f>IFERROR(__xludf.DUMMYFUNCTION("IF(REGEXMATCH(C13, ""N""), ""11"","""")"),"11")</f>
        <v>11</v>
      </c>
      <c r="AI13" s="249" t="str">
        <f>IFERROR(__xludf.DUMMYFUNCTION("IF(REGEXMATCH(C13, ""S""), ""0"","""")"),"0")</f>
        <v>0</v>
      </c>
      <c r="AJ13" s="313" t="str">
        <f t="shared" si="11"/>
        <v>-</v>
      </c>
      <c r="AK13" s="313" t="str">
        <f t="shared" si="12"/>
        <v>-</v>
      </c>
      <c r="AL13" s="313" t="str">
        <f t="shared" si="13"/>
        <v>-</v>
      </c>
      <c r="AM13" s="313" t="str">
        <f t="shared" si="14"/>
        <v>-</v>
      </c>
      <c r="AN13" s="313" t="str">
        <f t="shared" si="15"/>
        <v>T</v>
      </c>
      <c r="AO13" s="314" t="str">
        <f t="shared" si="16"/>
        <v>T</v>
      </c>
      <c r="AP13" s="316">
        <f t="shared" si="17"/>
        <v>2</v>
      </c>
      <c r="AQ13" s="319" t="str">
        <f t="shared" si="18"/>
        <v>-</v>
      </c>
      <c r="AR13" s="320">
        <f t="shared" si="19"/>
        <v>0</v>
      </c>
      <c r="AS13" s="250" t="str">
        <f>IFERROR(__xludf.DUMMYFUNCTION("SUBSTITUTE(SUBSTITUTE(CONCATENATE(JOIN("""",FP13:GA13)),""|"",""x""),""-"",""o"")"),"xoxoxxoxoxxx")</f>
        <v>xoxoxxoxoxxx</v>
      </c>
      <c r="AT13" s="323" t="str">
        <f>IFERROR(__xludf.DUMMYFUNCTION("JOIN("""",AS13,AS13)"),"xoxoxxoxoxxxxoxoxxoxoxxx")</f>
        <v>xoxoxxoxoxxxxoxoxxoxoxxx</v>
      </c>
      <c r="AU13" s="256" t="str">
        <f>IFERROR(__xludf.DUMMYFUNCTION("JOIN("""",ArrayFormula(MID(AS13,LEN(AS13)-SEQUENCE(1,LEN(AS13))+1,1)))"),"xxxoxoxxoxox")</f>
        <v>xxxoxoxxoxox</v>
      </c>
      <c r="AV13" s="256" t="str">
        <f>IFERROR(__xludf.DUMMYFUNCTION("LEFT(CONCATENATE(""x"",JOIN("""",ArrayFormula(MID(AS13,LEN(AS13)-SEQUENCE(1,LEN(AS13))+1,1)))),12)"),"xxxxoxoxxoxo")</f>
        <v>xxxxoxoxxoxo</v>
      </c>
      <c r="AW13" s="327" t="str">
        <f>IFERROR(__xludf.DUMMYFUNCTION("JOIN("""",AU13,AU13)"),"xxxoxoxxoxoxxxxoxoxxoxox")</f>
        <v>xxxoxoxxoxoxxxxoxoxxoxox</v>
      </c>
      <c r="AX13" s="239" t="str">
        <f>IFERROR(__xludf.DUMMYFUNCTION("IF(REGEXMATCH(AW13,AS13),""✔"",""-"")"),"✔")</f>
        <v>✔</v>
      </c>
      <c r="AY13" s="330" t="str">
        <f t="shared" si="20"/>
        <v>-</v>
      </c>
      <c r="AZ13" s="260" t="str">
        <f t="shared" si="21"/>
        <v>#REF!</v>
      </c>
      <c r="BA13" s="333" t="str">
        <f t="shared" si="22"/>
        <v>xoxoxxo</v>
      </c>
      <c r="BB13" s="334" t="str">
        <f t="shared" si="23"/>
        <v>xoxxxx</v>
      </c>
      <c r="BC13" s="335" t="str">
        <f t="shared" si="24"/>
        <v>-</v>
      </c>
      <c r="BD13" s="336" t="str">
        <f t="shared" si="25"/>
        <v>Alhaiya Bilawal: 'xoxoxxo' + 'xoxxxx'</v>
      </c>
      <c r="BE13" s="337">
        <f>IFERROR(__xludf.DUMMYFUNCTION("COUNTUNIQUE(FILTER(AT:AT,REGEXMATCH(AT:AT,AS13)))-1"),3.0)</f>
        <v>3</v>
      </c>
      <c r="BF13" s="261" t="str">
        <f>IFERROR(__xludf.DUMMYFUNCTION("IF(BI13=0,""(n/a)"",IF(BJ13=2,""(PAIR)"",IF(REGEXMATCH(AT13,""xoxoxxoxoxox""),""Bilawal"",IF(REGEXMATCH(AT13,""xoxoxooxoxoo""),""Bhupali"",IF(REGEXMATCH(AT13,""xoxoxxoxxoxo""),""Charukeshi"",IF(REGEXMATCH(AT13,""xoxoooxxoxxo""),""Kameshwari"",IF(REGEXMATC"&amp;"H(AT13,""xoxoxooxoxox""),""Shankara"",IF(REGEXMATCH(AT13,""xxooxoxxxoox""),""Basant"",IF(REGEXMATCH(AT13,""xoxoxxxxoxox""),""Bihag"",IF(REGEXMATCH(AT13,""xoxxxxoxoxxx""),""Pilu"",IF(REGEXMATCH(AT13,""xoxxoxoxxoox""),""Kirwani"",IF(REGEXMATCH(AT13,""xoxxox"&amp;"oxoxxx""),""Mk.Malhar"",IF(REGEXMATCH(AT13,""xxooxxoxxoox""),""Bhairav"",IF(REGEXMATCH(AT13,""xxoxooxxxoox""),""Todi"",IF(REGEXMATCH(AT13,""xxooxoxooxox""),""Marwa"",IF(REGEXMATCH(AT13,""xxoooxoxxooo""),""Gunkali"",IF(REGEXMATCH(AT13,""xoxoxxoxxoox""),""N"&amp;"at Bhairav"",IF(REGEXMATCH(AT13,""xoxxoooxoxoo""),""Shivranjani"",IF(REGEXMATCH(AT13,""xooxxxoxooxo""),""Jog"",IF(REGEXMATCH(AT13,""xxooxoxoxoox""),""Hemshri"",IF(REGEXMATCH(AT13,""xoooxooxoxxo""),""Kalavati"",IF(REGEXMATCH(AT13,""xxoxoxxoxoox""),""Kedar"&amp;""",IF(REGEXMATCH(AT13,""xoxxxxoxooxx""),""Gara"",IF(REGEXMATCH(AT13,""xooxoxooxoox""),""Chandrakauns"",IF(REGEXMATCH(AT13,""xoxxxxoxxxox""),""Mand"",IF(REGEXMATCH(AT13,""xoxxxxoxoxox""),""Hanskinkini"",IF(REGEXMATCH(AT13,""xxooxxoxooxo""),""Lilavati"",IF("&amp;"REGEXMATCH(AT13,""xooxoxoooxox""),""Rajeshwari"",IF(REGEXMATCH(AT13,""xoooxxoxoxxx""),""Khokar"",IF(REGEXMATCH(AT13,""xxooxoxxxxox""),""Maligoura"",""-""))))))))))))))))))))))))))))))"),"Bihag")</f>
        <v>Bihag</v>
      </c>
      <c r="BG13" s="239" t="str">
        <f t="shared" si="26"/>
        <v>#REF!</v>
      </c>
      <c r="BH13" s="239">
        <f>IFERROR(__xludf.DUMMYFUNCTION("COUNTUNIQUE(FE13:FO13)-1"),7.0)</f>
        <v>7</v>
      </c>
      <c r="BI13" s="239">
        <f>IFERROR(__xludf.DUMMYFUNCTION("COUNTUNIQUE(FILTER(AT:AT,REGEXMATCH(AT:AT,AS13)))-1"),3.0)</f>
        <v>3</v>
      </c>
      <c r="BJ13" s="239">
        <f>IFERROR(__xludf.DUMMYFUNCTION("COUNTA(FILTER(AT:AT,REGEXMATCH(AT:AT,AS13)))"),36.0)</f>
        <v>36</v>
      </c>
      <c r="BK13" s="341">
        <f>IFERROR(__xludf.DUMMYFUNCTION("COUNTA(FILTER(AT:AT,REGEXMATCH(AT:AT,AS13)))-AR13"),36.0)</f>
        <v>36</v>
      </c>
      <c r="BL13" s="276" t="str">
        <f>IFERROR(__xludf.DUMMYFUNCTION("IF(AS13=""oooooooooooo"",""-"",IF(REGEXMATCH(AT13,""xx""), ""Hemi."", ""Anhemi.""))"),"Hemi.")</f>
        <v>Hemi.</v>
      </c>
      <c r="BM13" s="282" t="str">
        <f>IFERROR(__xludf.DUMMYFUNCTION("IF(AS13=""oooooooooooo"",""-"",IF(REGEXMATCH(AT13,""xxx""), ""Cohem."", ""-""))"),"Cohem.")</f>
        <v>Cohem.</v>
      </c>
      <c r="BN13" s="282" t="str">
        <f>IFERROR(__xludf.DUMMYFUNCTION("IF(AS13=""oooooooooooo"",""-"",IF(REGEXMATCH(AT13,""xxxx""), ""Co-Co."", ""-""))"),"Co-Co.")</f>
        <v>Co-Co.</v>
      </c>
      <c r="BO13" s="342" t="str">
        <f>IFERROR(__xludf.DUMMYFUNCTION("IF(AS13=""oooooooooooo"",""-"",IF(REGEXMATCH(AT13,""xxxxx""), ""CCC."", ""-""))"),"-")</f>
        <v>-</v>
      </c>
      <c r="BP13" s="344" t="str">
        <f t="shared" si="27"/>
        <v>-</v>
      </c>
      <c r="BQ13" s="282" t="str">
        <f>IFERROR(__xludf.DUMMYFUNCTION("IF(REGEXMATCH(JOIN(""-"",EU13:FD13),""TRUE""),""✔"",""-"")"),"-")</f>
        <v>-</v>
      </c>
      <c r="BR13" s="225">
        <f t="shared" si="28"/>
        <v>0</v>
      </c>
      <c r="BS13" s="345" t="str">
        <f>IFERROR(__xludf.DUMMYFUNCTION("SUBSTITUTE(SUBSTITUTE(SUBSTITUTE(SUBSTITUTE(CONCATENATE(JOIN(""-"",GC13:GO13)),""--"",""-""),""--"",""-""),""--"",""-""),""--"",""-"")"),"1-2-3-4-5-6-b7-7-8")</f>
        <v>1-2-3-4-5-6-b7-7-8</v>
      </c>
      <c r="BT13" s="299" t="str">
        <f>IFERROR(__xludf.DUMMYFUNCTION("SUBSTITUTE(SUBSTITUTE(SUBSTITUTE(SUBSTITUTE(CONCATENATE(JOIN(""-"",GP13:HB13)),""--"",""-""),""--"",""-""),""--"",""-""),""--"",""-"")"),"S-R2-G3-M1-P-D2-N2-N3-S")</f>
        <v>S-R2-G3-M1-P-D2-N2-N3-S</v>
      </c>
      <c r="BU13" s="348" t="str">
        <f t="shared" si="29"/>
        <v>C-D-E-F-G-A-Bb-B-C</v>
      </c>
      <c r="BV13" s="349" t="str">
        <f t="shared" si="30"/>
        <v>SrgMdS</v>
      </c>
      <c r="BW13" s="350">
        <f t="shared" si="31"/>
        <v>1</v>
      </c>
      <c r="BX13" s="351">
        <f t="shared" si="32"/>
        <v>15</v>
      </c>
      <c r="BY13" s="392"/>
      <c r="BZ13" s="309" t="str">
        <f>IFERROR(__xludf.DUMMYFUNCTION("IF(REGEXMATCH(C13, ""S""), ""x"",""x"")"),"x")</f>
        <v>x</v>
      </c>
      <c r="CA13" s="245" t="str">
        <f>IFERROR(__xludf.DUMMYFUNCTION("IF(REGEXMATCH(C13, ""r""), ""o"",""x"")"),"x")</f>
        <v>x</v>
      </c>
      <c r="CB13" s="246" t="str">
        <f>IFERROR(__xludf.DUMMYFUNCTION("IF(REGEXMATCH(C13, ""R""), ""o"",""x"")"),"o")</f>
        <v>o</v>
      </c>
      <c r="CC13" s="246" t="str">
        <f>IFERROR(__xludf.DUMMYFUNCTION("IF(REGEXMATCH(C13, ""g""), ""o"",""x"")"),"x")</f>
        <v>x</v>
      </c>
      <c r="CD13" s="245" t="str">
        <f>IFERROR(__xludf.DUMMYFUNCTION("IF(REGEXMATCH(C13, ""G""), ""o"",""x"")"),"o")</f>
        <v>o</v>
      </c>
      <c r="CE13" s="245" t="str">
        <f>IFERROR(__xludf.DUMMYFUNCTION("IF(REGEXMATCH(C13, ""m""), ""o"",""x"")"),"o")</f>
        <v>o</v>
      </c>
      <c r="CF13" s="246" t="str">
        <f>IFERROR(__xludf.DUMMYFUNCTION("IF(REGEXMATCH(C13, ""M""), ""o"",""x"")"),"x")</f>
        <v>x</v>
      </c>
      <c r="CG13" s="245" t="str">
        <f>IFERROR(__xludf.DUMMYFUNCTION("IF(REGEXMATCH(C13, ""P""), ""o"",""x"")"),"o")</f>
        <v>o</v>
      </c>
      <c r="CH13" s="246" t="str">
        <f>IFERROR(__xludf.DUMMYFUNCTION("IF(REGEXMATCH(C13, ""d""), ""o"",""x"")"),"x")</f>
        <v>x</v>
      </c>
      <c r="CI13" s="245" t="str">
        <f>IFERROR(__xludf.DUMMYFUNCTION("IF(REGEXMATCH(C13, ""D""), ""o"",""x"")"),"o")</f>
        <v>o</v>
      </c>
      <c r="CJ13" s="245" t="str">
        <f>IFERROR(__xludf.DUMMYFUNCTION("IF(REGEXMATCH(C13, ""n""), ""o"",""x"")"),"o")</f>
        <v>o</v>
      </c>
      <c r="CK13" s="245" t="str">
        <f>IFERROR(__xludf.DUMMYFUNCTION("IF(REGEXMATCH(C13, ""N""), ""o"",""x"")"),"o")</f>
        <v>o</v>
      </c>
      <c r="CL13" s="356" t="str">
        <f>IFERROR(__xludf.DUMMYFUNCTION("IF(REGEXMATCH(C13, ""S""), ""x"",""x"")"),"x")</f>
        <v>x</v>
      </c>
      <c r="CM13" s="357" t="str">
        <f t="shared" si="33"/>
        <v>xxoxooxoxooo</v>
      </c>
      <c r="CN13" s="358">
        <f t="shared" si="34"/>
        <v>1</v>
      </c>
      <c r="CO13" s="246" t="str">
        <f>IFERROR(__xludf.DUMMYFUNCTION("IF(REGEXMATCH($C13, ""S""), ""S"",""S"")"),"S")</f>
        <v>S</v>
      </c>
      <c r="CP13" s="246" t="str">
        <f>IFERROR(__xludf.DUMMYFUNCTION("IF(REGEXMATCH($C13, ""r""), """",""r"")"),"r")</f>
        <v>r</v>
      </c>
      <c r="CQ13" s="246" t="str">
        <f>IFERROR(__xludf.DUMMYFUNCTION("IF(REGEXMATCH($C13, ""R""), """",""R"")"),"")</f>
        <v/>
      </c>
      <c r="CR13" s="246" t="str">
        <f>IFERROR(__xludf.DUMMYFUNCTION("IF(REGEXMATCH($C13, ""g""), """",""g"")"),"g")</f>
        <v>g</v>
      </c>
      <c r="CS13" s="246" t="str">
        <f>IFERROR(__xludf.DUMMYFUNCTION("IF(REGEXMATCH($C13, ""G""), """",""G"")"),"")</f>
        <v/>
      </c>
      <c r="CT13" s="246" t="str">
        <f>IFERROR(__xludf.DUMMYFUNCTION("IF(REGEXMATCH($C13, ""m""), """",""m"")"),"")</f>
        <v/>
      </c>
      <c r="CU13" s="246" t="str">
        <f>IFERROR(__xludf.DUMMYFUNCTION("IF(REGEXMATCH($C13, ""M""), """",""M"")"),"M")</f>
        <v>M</v>
      </c>
      <c r="CV13" s="246" t="str">
        <f>IFERROR(__xludf.DUMMYFUNCTION("IF(REGEXMATCH($C13, ""P""), """",""P"")"),"")</f>
        <v/>
      </c>
      <c r="CW13" s="246" t="str">
        <f>IFERROR(__xludf.DUMMYFUNCTION("IF(REGEXMATCH($C13, ""d""), """",""d"")"),"d")</f>
        <v>d</v>
      </c>
      <c r="CX13" s="246" t="str">
        <f>IFERROR(__xludf.DUMMYFUNCTION("IF(REGEXMATCH($C13, ""D""), """",""D"")"),"")</f>
        <v/>
      </c>
      <c r="CY13" s="246" t="str">
        <f>IFERROR(__xludf.DUMMYFUNCTION("IF(REGEXMATCH($C13, ""n""), """",""n"")"),"")</f>
        <v/>
      </c>
      <c r="CZ13" s="246" t="str">
        <f>IFERROR(__xludf.DUMMYFUNCTION("IF(REGEXMATCH($C13, ""N""), """",""N"")"),"")</f>
        <v/>
      </c>
      <c r="DA13" s="246" t="str">
        <f>IFERROR(__xludf.DUMMYFUNCTION("IF(REGEXMATCH($C13, ""S""), ""S"",""S"")"),"S")</f>
        <v>S</v>
      </c>
      <c r="DB13" s="362" t="str">
        <f>IFERROR(__xludf.DUMMYFUNCTION("JOIN("""",CO13:DA13,"""","""")"),"SrgMdS")</f>
        <v>SrgMdS</v>
      </c>
      <c r="DC13" s="363"/>
      <c r="DD13" s="301" t="str">
        <f t="shared" si="35"/>
        <v>#REF!</v>
      </c>
      <c r="DE13" s="302" t="str">
        <f t="shared" si="36"/>
        <v>#REF!</v>
      </c>
      <c r="DF13" s="301" t="str">
        <f t="shared" ref="DF13:DG13" si="215">SUBSTITUTE(S13,"-","")</f>
        <v>SRGM</v>
      </c>
      <c r="DG13" s="301" t="str">
        <f t="shared" si="215"/>
        <v>PDNS</v>
      </c>
      <c r="DH13" s="302" t="str">
        <f t="shared" si="38"/>
        <v>Bihag</v>
      </c>
      <c r="DI13" s="301" t="str">
        <f t="shared" si="39"/>
        <v>Hemi.</v>
      </c>
      <c r="DJ13" s="364" t="str">
        <f t="shared" si="40"/>
        <v>Co-Co.</v>
      </c>
      <c r="DK13" s="306" t="str">
        <f t="shared" si="41"/>
        <v>-</v>
      </c>
      <c r="DL13" s="366" t="str">
        <f t="shared" si="42"/>
        <v>-</v>
      </c>
      <c r="DM13" s="308" t="str">
        <f t="shared" si="43"/>
        <v>✔</v>
      </c>
      <c r="DN13" s="306" t="str">
        <f t="shared" si="44"/>
        <v>-</v>
      </c>
      <c r="DO13" s="306" t="str">
        <f t="shared" si="45"/>
        <v>-</v>
      </c>
      <c r="DP13" s="367" t="str">
        <f t="shared" si="46"/>
        <v>-</v>
      </c>
      <c r="DQ13" s="310" t="str">
        <f t="shared" si="47"/>
        <v>-</v>
      </c>
      <c r="DR13" s="310" t="str">
        <f t="shared" si="48"/>
        <v>-</v>
      </c>
      <c r="DS13" s="310" t="str">
        <f t="shared" si="49"/>
        <v>-</v>
      </c>
      <c r="DT13" s="310" t="str">
        <f t="shared" si="50"/>
        <v>-</v>
      </c>
      <c r="DU13" s="370" t="str">
        <f t="shared" si="51"/>
        <v>✔</v>
      </c>
      <c r="DV13" s="306" t="str">
        <f t="shared" si="52"/>
        <v>-</v>
      </c>
      <c r="DW13" s="306" t="str">
        <f t="shared" si="53"/>
        <v>-</v>
      </c>
      <c r="DX13" s="306" t="str">
        <f t="shared" si="54"/>
        <v>-</v>
      </c>
      <c r="DY13" s="306" t="str">
        <f t="shared" si="55"/>
        <v>-</v>
      </c>
      <c r="DZ13" s="306" t="str">
        <f t="shared" si="56"/>
        <v>-</v>
      </c>
      <c r="EA13" s="367" t="str">
        <f t="shared" si="57"/>
        <v>-</v>
      </c>
      <c r="EB13" s="310" t="str">
        <f>IFERROR(__xludf.DUMMYFUNCTION("IF(REGEXMATCH(AW13,AS13),""✔"",""-"")"),"✔")</f>
        <v>✔</v>
      </c>
      <c r="EC13" s="310" t="str">
        <f t="shared" si="58"/>
        <v>#REF!</v>
      </c>
      <c r="ED13" s="370" t="str">
        <f t="shared" si="59"/>
        <v>-</v>
      </c>
      <c r="EE13" s="340" t="str">
        <f t="shared" si="60"/>
        <v>S-R-G-m-P-D-nN-S</v>
      </c>
      <c r="EF13" s="371" t="str">
        <f>IFERROR(__xludf.DUMMYFUNCTION("CONCATENATE(JOIN("""",HC13:HO13))"),"SrRgmPdnS")</f>
        <v>SrRgmPdnS</v>
      </c>
      <c r="EG13" s="372">
        <f t="shared" si="61"/>
        <v>1</v>
      </c>
      <c r="EH13" s="373" t="str">
        <f>IFERROR(__xludf.DUMMYFUNCTION("CONCATENATE(JOIN("""",JC13:JO13))"),"Ni, ")</f>
        <v>Ni, </v>
      </c>
      <c r="EI13" s="322">
        <f t="shared" si="62"/>
        <v>0</v>
      </c>
      <c r="EJ13" s="374" t="str">
        <f>IFERROR(__xludf.DUMMYFUNCTION("CONCATENATE(JOIN("""",KC13:KO13))"),"")</f>
        <v/>
      </c>
      <c r="EK13" s="325" t="str">
        <f t="shared" si="63"/>
        <v>S-R2-G3-M1-P-D2-N2-N3-S</v>
      </c>
      <c r="EL13" s="326" t="str">
        <f t="shared" si="64"/>
        <v>1-2-3-4-5-6-b7-7-8</v>
      </c>
      <c r="EM13" s="318" t="str">
        <f t="shared" si="65"/>
        <v>#REF!</v>
      </c>
      <c r="EN13" s="328" t="str">
        <f>IFERROR(__xludf.DUMMYFUNCTION("SUBSTITUTE(SUBSTITUTE(SUBSTITUTE(SUBSTITUTE(CONCATENATE(JOIN("" "",HP13:IB13)),""  "","" ""),""  "","" ""),""  "","" ""),""  "","" "")"),"o • o • o o • o • o o o o")</f>
        <v>o • o • o o • o • o o o o</v>
      </c>
      <c r="EO13" s="368" t="str">
        <f t="shared" si="66"/>
        <v>-</v>
      </c>
      <c r="EP13" s="339" t="str">
        <f t="shared" si="67"/>
        <v>-</v>
      </c>
      <c r="EQ13" s="339" t="str">
        <f t="shared" si="68"/>
        <v>Sa-Pa</v>
      </c>
      <c r="ER13" s="339" t="str">
        <f t="shared" si="69"/>
        <v>-</v>
      </c>
      <c r="ES13" s="340" t="str">
        <f t="shared" si="70"/>
        <v>-</v>
      </c>
      <c r="ET13" s="363"/>
      <c r="EU13" s="376" t="b">
        <f>IFERROR(__xludf.DUMMYFUNCTION("arrayformula(sum(--REGEXMATCH(""SRGMPDNS"",split(REGEXREPLACE(C13,""(.)"",""$1~""),""~""))))=len(C13)
"),FALSE)</f>
        <v>0</v>
      </c>
      <c r="EV13" s="290" t="b">
        <f>IFERROR(__xludf.DUMMYFUNCTION("arrayformula(sum(--REGEXMATCH(""SRGmPDNS"",split(REGEXREPLACE(C13,""(.)"",""$1~""),""~""))))=len(C13)"),FALSE)</f>
        <v>0</v>
      </c>
      <c r="EW13" s="290" t="b">
        <f>IFERROR(__xludf.DUMMYFUNCTION("arrayformula(sum(--REGEXMATCH(""SRGmPDnS"",split(REGEXREPLACE(C13,""(.)"",""$1~""),""~""))))=len(C13)"),FALSE)</f>
        <v>0</v>
      </c>
      <c r="EX13" s="290" t="b">
        <f>IFERROR(__xludf.DUMMYFUNCTION("arrayformula(sum(--REGEXMATCH(""SRgmPDnS"",split(REGEXREPLACE(C13,""(.)"",""$1~""),""~""))))=len(C13)"),FALSE)</f>
        <v>0</v>
      </c>
      <c r="EY13" s="290" t="b">
        <f>IFERROR(__xludf.DUMMYFUNCTION("arrayformula(sum(--REGEXMATCH(""SRgmPdnS"",split(REGEXREPLACE(C13,""(.)"",""$1~""),""~""))))=len(C13)"),FALSE)</f>
        <v>0</v>
      </c>
      <c r="EZ13" s="290" t="b">
        <f>IFERROR(__xludf.DUMMYFUNCTION("arrayformula(sum(--REGEXMATCH(""SrgmPdnS"",split(REGEXREPLACE(C13,""(.)"",""$1~""),""~""))))=len(C13)"),FALSE)</f>
        <v>0</v>
      </c>
      <c r="FA13" s="290" t="b">
        <f>IFERROR(__xludf.DUMMYFUNCTION("arrayformula(sum(--REGEXMATCH(""SrGmPdNS"",split(REGEXREPLACE(C13,""(.)"",""$1~""),""~""))))=len(C13)"),FALSE)</f>
        <v>0</v>
      </c>
      <c r="FB13" s="290" t="b">
        <f>IFERROR(__xludf.DUMMYFUNCTION("arrayformula(sum(--REGEXMATCH(""SrGMPDNS"",split(REGEXREPLACE(C13,""(.)"",""$1~""),""~""))))=len(C13)"),FALSE)</f>
        <v>0</v>
      </c>
      <c r="FC13" s="290" t="b">
        <f>IFERROR(__xludf.DUMMYFUNCTION("arrayformula(sum(--REGEXMATCH(""SrGMPdNS"",split(REGEXREPLACE(C13,""(.)"",""$1~""),""~""))))=len(C13)"),FALSE)</f>
        <v>0</v>
      </c>
      <c r="FD13" s="377" t="b">
        <f>IFERROR(__xludf.DUMMYFUNCTION("arrayformula(sum(--REGEXMATCH(""SrgMPdNS"",split(REGEXREPLACE(C13,""(.)"",""$1~""),""~""))))=len(C13)"),FALSE)</f>
        <v>0</v>
      </c>
      <c r="FE13" s="269" t="str">
        <f t="shared" si="71"/>
        <v>-</v>
      </c>
      <c r="FF13" s="269" t="str">
        <f t="shared" si="72"/>
        <v>xoxxoxoxxxx</v>
      </c>
      <c r="FG13" s="271" t="str">
        <f t="shared" si="73"/>
        <v>-</v>
      </c>
      <c r="FH13" s="269" t="str">
        <f t="shared" si="74"/>
        <v>xxoxoxxxxox</v>
      </c>
      <c r="FI13" s="271" t="str">
        <f t="shared" si="75"/>
        <v>xoxoxxxxoxo</v>
      </c>
      <c r="FJ13" s="271" t="str">
        <f t="shared" si="76"/>
        <v>-</v>
      </c>
      <c r="FK13" s="271" t="str">
        <f t="shared" si="77"/>
        <v>xoxxxxoxoxx</v>
      </c>
      <c r="FL13" s="271" t="str">
        <f t="shared" si="78"/>
        <v>-</v>
      </c>
      <c r="FM13" s="271" t="str">
        <f t="shared" si="79"/>
        <v>xxxxoxoxxox</v>
      </c>
      <c r="FN13" s="271" t="str">
        <f t="shared" si="80"/>
        <v>xxxoxoxxoxo</v>
      </c>
      <c r="FO13" s="274" t="str">
        <f t="shared" si="81"/>
        <v>xxoxoxxoxox</v>
      </c>
      <c r="FP13" s="234" t="str">
        <f t="shared" si="82"/>
        <v>|</v>
      </c>
      <c r="FQ13" s="236" t="str">
        <f t="shared" si="83"/>
        <v>-</v>
      </c>
      <c r="FR13" s="237" t="str">
        <f t="shared" si="84"/>
        <v>|</v>
      </c>
      <c r="FS13" s="236" t="str">
        <f t="shared" si="85"/>
        <v>-</v>
      </c>
      <c r="FT13" s="237" t="str">
        <f t="shared" si="86"/>
        <v>|</v>
      </c>
      <c r="FU13" s="236" t="str">
        <f t="shared" si="87"/>
        <v>|</v>
      </c>
      <c r="FV13" s="237" t="str">
        <f t="shared" si="88"/>
        <v>-</v>
      </c>
      <c r="FW13" s="236" t="str">
        <f t="shared" si="89"/>
        <v>|</v>
      </c>
      <c r="FX13" s="237" t="str">
        <f t="shared" si="90"/>
        <v>-</v>
      </c>
      <c r="FY13" s="236" t="str">
        <f t="shared" si="91"/>
        <v>|</v>
      </c>
      <c r="FZ13" s="237" t="str">
        <f t="shared" si="92"/>
        <v>|</v>
      </c>
      <c r="GA13" s="236" t="str">
        <f t="shared" si="93"/>
        <v>|</v>
      </c>
      <c r="GB13" s="238" t="str">
        <f t="shared" si="94"/>
        <v>|</v>
      </c>
      <c r="GC13" s="244" t="str">
        <f>IFERROR(__xludf.DUMMYFUNCTION("IF(REGEXMATCH(C13, ""S""), ""1"","""")"),"1")</f>
        <v>1</v>
      </c>
      <c r="GD13" s="245" t="str">
        <f>IFERROR(__xludf.DUMMYFUNCTION("IF(REGEXMATCH(C13, ""r""), ""b2"","""")"),"")</f>
        <v/>
      </c>
      <c r="GE13" s="246" t="str">
        <f>IFERROR(__xludf.DUMMYFUNCTION("IF(REGEXMATCH(C13, ""R""), ""2"","""")"),"2")</f>
        <v>2</v>
      </c>
      <c r="GF13" s="246" t="str">
        <f>IFERROR(__xludf.DUMMYFUNCTION("IF(REGEXMATCH(C13, ""g""), ""b3"","""")"),"")</f>
        <v/>
      </c>
      <c r="GG13" s="245" t="str">
        <f>IFERROR(__xludf.DUMMYFUNCTION("IF(REGEXMATCH(C13, ""G""), ""3"","""")"),"3")</f>
        <v>3</v>
      </c>
      <c r="GH13" s="245" t="str">
        <f>IFERROR(__xludf.DUMMYFUNCTION("IF(REGEXMATCH(C13, ""m""), ""4"","""")"),"4")</f>
        <v>4</v>
      </c>
      <c r="GI13" s="246" t="str">
        <f>IFERROR(__xludf.DUMMYFUNCTION("IF(REGEXMATCH(C13, ""M""), ""#4"","""")"),"")</f>
        <v/>
      </c>
      <c r="GJ13" s="245" t="str">
        <f>IFERROR(__xludf.DUMMYFUNCTION("IF(REGEXMATCH(C13, ""P""), ""5"","""")"),"5")</f>
        <v>5</v>
      </c>
      <c r="GK13" s="246" t="str">
        <f>IFERROR(__xludf.DUMMYFUNCTION("IF(REGEXMATCH(C13, ""d""), ""b6"","""")"),"")</f>
        <v/>
      </c>
      <c r="GL13" s="245" t="str">
        <f>IFERROR(__xludf.DUMMYFUNCTION("IF(REGEXMATCH(C13, ""D""), ""6"","""")"),"6")</f>
        <v>6</v>
      </c>
      <c r="GM13" s="245" t="str">
        <f>IFERROR(__xludf.DUMMYFUNCTION("IF(REGEXMATCH(C13, ""n""), ""b7"","""")"),"b7")</f>
        <v>b7</v>
      </c>
      <c r="GN13" s="246" t="str">
        <f>IFERROR(__xludf.DUMMYFUNCTION("IF(REGEXMATCH(C13, ""N""), ""7"","""")"),"7")</f>
        <v>7</v>
      </c>
      <c r="GO13" s="249" t="str">
        <f>IFERROR(__xludf.DUMMYFUNCTION("IF(REGEXMATCH(C13, ""S""), ""8"","""")"),"8")</f>
        <v>8</v>
      </c>
      <c r="GP13" s="244" t="str">
        <f>IFERROR(__xludf.DUMMYFUNCTION("IF(REGEXMATCH(C13, ""S""), ""S"","""")"),"S")</f>
        <v>S</v>
      </c>
      <c r="GQ13" s="294" t="str">
        <f>IFERROR(__xludf.DUMMYFUNCTION("IF(REGEXMATCH(C13, ""r""), ""R1"","""")"),"")</f>
        <v/>
      </c>
      <c r="GR13" s="295" t="str">
        <f>IFERROR(__xludf.DUMMYFUNCTION("IF(REGEXMATCH(C13, ""R""), ""R2"","""")"),"R2")</f>
        <v>R2</v>
      </c>
      <c r="GS13" s="295" t="str">
        <f>IFERROR(__xludf.DUMMYFUNCTION("IF(REGEXMATCH(C13, ""g""), ""G2"","""")"),"")</f>
        <v/>
      </c>
      <c r="GT13" s="294" t="str">
        <f>IFERROR(__xludf.DUMMYFUNCTION("IF(REGEXMATCH(C13, ""G""), ""G3"","""")"),"G3")</f>
        <v>G3</v>
      </c>
      <c r="GU13" s="294" t="str">
        <f>IFERROR(__xludf.DUMMYFUNCTION("IF(REGEXMATCH(C13, ""m""), ""M1"","""")"),"M1")</f>
        <v>M1</v>
      </c>
      <c r="GV13" s="295" t="str">
        <f>IFERROR(__xludf.DUMMYFUNCTION("IF(REGEXMATCH(C13, ""M""), ""M2"","""")"),"")</f>
        <v/>
      </c>
      <c r="GW13" s="294" t="str">
        <f>IFERROR(__xludf.DUMMYFUNCTION("IF(REGEXMATCH(C13, ""P""), ""P"","""")"),"P")</f>
        <v>P</v>
      </c>
      <c r="GX13" s="295" t="str">
        <f>IFERROR(__xludf.DUMMYFUNCTION("IF(REGEXMATCH(C13, ""d""), ""D1"","""")"),"")</f>
        <v/>
      </c>
      <c r="GY13" s="294" t="str">
        <f>IFERROR(__xludf.DUMMYFUNCTION("IF(REGEXMATCH(C13, ""D""), ""D2"","""")"),"D2")</f>
        <v>D2</v>
      </c>
      <c r="GZ13" s="294" t="str">
        <f>IFERROR(__xludf.DUMMYFUNCTION("IF(REGEXMATCH(C13, ""n""), ""N2"","""")"),"N2")</f>
        <v>N2</v>
      </c>
      <c r="HA13" s="295" t="str">
        <f>IFERROR(__xludf.DUMMYFUNCTION("IF(REGEXMATCH(C13, ""N""), ""N3"","""")"),"N3")</f>
        <v>N3</v>
      </c>
      <c r="HB13" s="249" t="str">
        <f>IFERROR(__xludf.DUMMYFUNCTION("IF(REGEXMATCH(C13, ""S""), ""S"","""")"),"S")</f>
        <v>S</v>
      </c>
      <c r="HC13" s="331" t="str">
        <f t="shared" si="95"/>
        <v>S</v>
      </c>
      <c r="HD13" s="332" t="str">
        <f t="shared" si="96"/>
        <v>r</v>
      </c>
      <c r="HE13" s="332" t="str">
        <f t="shared" si="97"/>
        <v>R</v>
      </c>
      <c r="HF13" s="332" t="str">
        <f t="shared" si="98"/>
        <v>g</v>
      </c>
      <c r="HG13" s="332" t="str">
        <f t="shared" si="99"/>
        <v/>
      </c>
      <c r="HH13" s="332" t="str">
        <f t="shared" si="100"/>
        <v>m</v>
      </c>
      <c r="HI13" s="332" t="str">
        <f t="shared" si="101"/>
        <v/>
      </c>
      <c r="HJ13" s="332" t="str">
        <f t="shared" si="102"/>
        <v>P</v>
      </c>
      <c r="HK13" s="332" t="str">
        <f t="shared" si="103"/>
        <v>d</v>
      </c>
      <c r="HL13" s="332" t="str">
        <f t="shared" si="104"/>
        <v/>
      </c>
      <c r="HM13" s="332" t="str">
        <f t="shared" si="105"/>
        <v>n</v>
      </c>
      <c r="HN13" s="332" t="str">
        <f t="shared" si="106"/>
        <v/>
      </c>
      <c r="HO13" s="343" t="str">
        <f t="shared" si="107"/>
        <v>S</v>
      </c>
      <c r="HP13" s="331" t="str">
        <f t="shared" si="108"/>
        <v>o</v>
      </c>
      <c r="HQ13" s="332" t="str">
        <f t="shared" si="109"/>
        <v>•</v>
      </c>
      <c r="HR13" s="332" t="str">
        <f t="shared" si="110"/>
        <v>o</v>
      </c>
      <c r="HS13" s="332" t="str">
        <f t="shared" si="111"/>
        <v>•</v>
      </c>
      <c r="HT13" s="332" t="str">
        <f t="shared" si="112"/>
        <v>o</v>
      </c>
      <c r="HU13" s="332" t="str">
        <f t="shared" si="113"/>
        <v>o</v>
      </c>
      <c r="HV13" s="332" t="str">
        <f t="shared" si="114"/>
        <v>•</v>
      </c>
      <c r="HW13" s="332" t="str">
        <f t="shared" si="115"/>
        <v>o</v>
      </c>
      <c r="HX13" s="332" t="str">
        <f t="shared" si="116"/>
        <v>•</v>
      </c>
      <c r="HY13" s="332" t="str">
        <f t="shared" si="117"/>
        <v>o</v>
      </c>
      <c r="HZ13" s="332" t="str">
        <f t="shared" si="118"/>
        <v>o</v>
      </c>
      <c r="IA13" s="332" t="str">
        <f t="shared" si="119"/>
        <v>o</v>
      </c>
      <c r="IB13" s="338" t="str">
        <f t="shared" si="120"/>
        <v>o</v>
      </c>
      <c r="IC13" s="331" t="str">
        <f t="shared" si="121"/>
        <v>•</v>
      </c>
      <c r="ID13" s="332" t="str">
        <f t="shared" si="122"/>
        <v>o</v>
      </c>
      <c r="IE13" s="332" t="str">
        <f t="shared" si="123"/>
        <v>•</v>
      </c>
      <c r="IF13" s="332" t="str">
        <f t="shared" si="124"/>
        <v>o</v>
      </c>
      <c r="IG13" s="332" t="str">
        <f t="shared" si="125"/>
        <v>•</v>
      </c>
      <c r="IH13" s="332" t="str">
        <f t="shared" si="126"/>
        <v>•</v>
      </c>
      <c r="II13" s="332" t="str">
        <f t="shared" si="127"/>
        <v>o</v>
      </c>
      <c r="IJ13" s="332" t="str">
        <f t="shared" si="128"/>
        <v>•</v>
      </c>
      <c r="IK13" s="332" t="str">
        <f t="shared" si="129"/>
        <v>o</v>
      </c>
      <c r="IL13" s="332" t="str">
        <f t="shared" si="130"/>
        <v>•</v>
      </c>
      <c r="IM13" s="332" t="str">
        <f t="shared" si="131"/>
        <v>•</v>
      </c>
      <c r="IN13" s="332" t="str">
        <f t="shared" si="132"/>
        <v>•</v>
      </c>
      <c r="IO13" s="338" t="str">
        <f t="shared" si="133"/>
        <v>•</v>
      </c>
      <c r="IP13" s="346" t="b">
        <f t="shared" si="134"/>
        <v>0</v>
      </c>
      <c r="IQ13" s="347" t="b">
        <f t="shared" si="135"/>
        <v>0</v>
      </c>
      <c r="IR13" s="347" t="b">
        <f t="shared" si="136"/>
        <v>0</v>
      </c>
      <c r="IS13" s="347" t="b">
        <f t="shared" si="137"/>
        <v>0</v>
      </c>
      <c r="IT13" s="347" t="b">
        <f t="shared" si="138"/>
        <v>0</v>
      </c>
      <c r="IU13" s="347" t="b">
        <f t="shared" si="139"/>
        <v>0</v>
      </c>
      <c r="IV13" s="347" t="b">
        <f t="shared" si="140"/>
        <v>0</v>
      </c>
      <c r="IW13" s="347" t="b">
        <f t="shared" si="141"/>
        <v>0</v>
      </c>
      <c r="IX13" s="347" t="b">
        <f t="shared" si="142"/>
        <v>0</v>
      </c>
      <c r="IY13" s="347" t="b">
        <f t="shared" si="143"/>
        <v>0</v>
      </c>
      <c r="IZ13" s="347" t="b">
        <f t="shared" si="144"/>
        <v>0</v>
      </c>
      <c r="JA13" s="347" t="b">
        <f t="shared" si="145"/>
        <v>1</v>
      </c>
      <c r="JB13" s="353" t="b">
        <f t="shared" si="146"/>
        <v>0</v>
      </c>
      <c r="JC13" s="354" t="str">
        <f t="shared" si="147"/>
        <v/>
      </c>
      <c r="JD13" s="355" t="str">
        <f t="shared" si="148"/>
        <v/>
      </c>
      <c r="JE13" s="355" t="str">
        <f t="shared" si="149"/>
        <v/>
      </c>
      <c r="JF13" s="355" t="str">
        <f t="shared" si="150"/>
        <v/>
      </c>
      <c r="JG13" s="355" t="str">
        <f t="shared" si="151"/>
        <v/>
      </c>
      <c r="JH13" s="355" t="str">
        <f t="shared" si="152"/>
        <v/>
      </c>
      <c r="JI13" s="355" t="str">
        <f t="shared" si="153"/>
        <v/>
      </c>
      <c r="JJ13" s="355" t="str">
        <f t="shared" si="154"/>
        <v/>
      </c>
      <c r="JK13" s="355" t="str">
        <f t="shared" si="155"/>
        <v/>
      </c>
      <c r="JL13" s="355" t="str">
        <f t="shared" si="156"/>
        <v/>
      </c>
      <c r="JM13" s="355" t="str">
        <f t="shared" si="157"/>
        <v/>
      </c>
      <c r="JN13" s="355" t="str">
        <f t="shared" si="158"/>
        <v>Ni, </v>
      </c>
      <c r="JO13" s="359" t="str">
        <f t="shared" si="159"/>
        <v/>
      </c>
      <c r="JP13" s="346" t="b">
        <f t="shared" si="160"/>
        <v>0</v>
      </c>
      <c r="JQ13" s="347" t="b">
        <f t="shared" si="161"/>
        <v>0</v>
      </c>
      <c r="JR13" s="347" t="b">
        <f t="shared" si="162"/>
        <v>0</v>
      </c>
      <c r="JS13" s="347" t="b">
        <f t="shared" si="163"/>
        <v>0</v>
      </c>
      <c r="JT13" s="347" t="b">
        <f t="shared" si="164"/>
        <v>0</v>
      </c>
      <c r="JU13" s="347" t="b">
        <f t="shared" si="165"/>
        <v>0</v>
      </c>
      <c r="JV13" s="347" t="b">
        <f t="shared" si="166"/>
        <v>0</v>
      </c>
      <c r="JW13" s="347" t="b">
        <f t="shared" si="167"/>
        <v>0</v>
      </c>
      <c r="JX13" s="347" t="b">
        <f t="shared" si="168"/>
        <v>0</v>
      </c>
      <c r="JY13" s="347" t="b">
        <f t="shared" si="169"/>
        <v>0</v>
      </c>
      <c r="JZ13" s="347" t="b">
        <f t="shared" si="170"/>
        <v>0</v>
      </c>
      <c r="KA13" s="347" t="b">
        <f t="shared" si="171"/>
        <v>0</v>
      </c>
      <c r="KB13" s="365" t="b">
        <f t="shared" si="172"/>
        <v>0</v>
      </c>
      <c r="KC13" s="354" t="str">
        <f t="shared" si="173"/>
        <v/>
      </c>
      <c r="KD13" s="355" t="str">
        <f t="shared" si="174"/>
        <v/>
      </c>
      <c r="KE13" s="355" t="str">
        <f t="shared" si="175"/>
        <v/>
      </c>
      <c r="KF13" s="355" t="str">
        <f t="shared" si="176"/>
        <v/>
      </c>
      <c r="KG13" s="355" t="str">
        <f t="shared" si="177"/>
        <v/>
      </c>
      <c r="KH13" s="355" t="str">
        <f t="shared" si="178"/>
        <v/>
      </c>
      <c r="KI13" s="355" t="str">
        <f t="shared" si="179"/>
        <v/>
      </c>
      <c r="KJ13" s="355" t="str">
        <f t="shared" si="180"/>
        <v/>
      </c>
      <c r="KK13" s="355" t="str">
        <f t="shared" si="181"/>
        <v/>
      </c>
      <c r="KL13" s="355" t="str">
        <f t="shared" si="182"/>
        <v/>
      </c>
      <c r="KM13" s="355" t="str">
        <f t="shared" si="183"/>
        <v/>
      </c>
      <c r="KN13" s="355" t="str">
        <f t="shared" si="184"/>
        <v/>
      </c>
      <c r="KO13" s="359"/>
      <c r="KP13" s="378"/>
      <c r="KQ13" s="379" t="s">
        <v>871</v>
      </c>
      <c r="KR13" s="380" t="s">
        <v>1256</v>
      </c>
      <c r="KS13" s="381" t="str">
        <f t="shared" si="204"/>
        <v>S-R-G-P-D-N-S</v>
      </c>
      <c r="KT13" s="382">
        <f t="shared" si="186"/>
        <v>6</v>
      </c>
      <c r="KU13" s="383">
        <f t="shared" si="187"/>
        <v>6</v>
      </c>
      <c r="KV13" s="381" t="str">
        <f t="shared" si="205"/>
        <v>S-n-D-P-m-G-R-S</v>
      </c>
      <c r="KW13" s="382">
        <f t="shared" si="189"/>
        <v>7</v>
      </c>
      <c r="KX13" s="384">
        <f t="shared" si="190"/>
        <v>7</v>
      </c>
      <c r="KY13" s="382">
        <f t="shared" ref="KY13:KZ13" si="216">KW13-KT13</f>
        <v>1</v>
      </c>
      <c r="KZ13" s="369">
        <f t="shared" si="216"/>
        <v>1</v>
      </c>
      <c r="LA13" s="385" t="str">
        <f t="shared" si="192"/>
        <v>-</v>
      </c>
      <c r="LB13" s="340" t="str">
        <f>IFERROR(__xludf.DUMMYFUNCTION("JOIN("""",ArrayFormula(MID(KS13,LEN(KS13)-SEQUENCE(1,LEN(KS13))+1,1)))"),"S-N-D-P-G-R-S")</f>
        <v>S-N-D-P-G-R-S</v>
      </c>
      <c r="LC13" s="373" t="str">
        <f>IFERROR(__xludf.DUMMYFUNCTION("JOIN("""",ArrayFormula(MID(KV13,LEN(KV13)-SEQUENCE(1,LEN(KV13))+1,1)))"),"S-R-G-m-P-D-n-S")</f>
        <v>S-R-G-m-P-D-n-S</v>
      </c>
      <c r="LD13" s="373" t="str">
        <f t="shared" si="193"/>
        <v>SRGPDNS</v>
      </c>
      <c r="LE13" s="339" t="str">
        <f t="shared" si="194"/>
        <v>SRGmPDnS</v>
      </c>
      <c r="LF13" s="386" t="str">
        <f>IFERROR(__xludf.DUMMYFUNCTION("SUBSTITUTE(SUBSTITUTE(CONCATENATE(JOIN("""",LH13:LT13)),""1"",""""),""2"","""")"),"SRGmPDnNS")</f>
        <v>SRGmPDnNS</v>
      </c>
      <c r="LG13" s="369" t="str">
        <f t="shared" si="195"/>
        <v>✔</v>
      </c>
      <c r="LH13" s="387" t="str">
        <f>IFERROR(__xludf.DUMMYFUNCTION("IF(REGEXMATCH(LD13, ""S""), ""S"",IF(REGEXMATCH(LE13, ""S""), ""S"",""""))"),"S")</f>
        <v>S</v>
      </c>
      <c r="LI13" s="299" t="str">
        <f>IFERROR(__xludf.DUMMYFUNCTION("IF(REGEXMATCH(LD13, ""r""), ""r1"",IF(REGEXMATCH(LE13, ""r""), ""r2"",""""))"),"")</f>
        <v/>
      </c>
      <c r="LJ13" s="299" t="str">
        <f>IFERROR(__xludf.DUMMYFUNCTION("IF(REGEXMATCH(LD13, ""R""), ""R1"",IF(REGEXMATCH(LE13, ""R""), ""R2"",""""))"),"R1")</f>
        <v>R1</v>
      </c>
      <c r="LK13" s="299" t="str">
        <f>IFERROR(__xludf.DUMMYFUNCTION("IF(REGEXMATCH(LD13, ""g""), ""g1"",IF(REGEXMATCH(LE13, ""g""), ""g2"",""""))"),"")</f>
        <v/>
      </c>
      <c r="LL13" s="299" t="str">
        <f>IFERROR(__xludf.DUMMYFUNCTION("IF(REGEXMATCH(LD13, ""G""), ""G1"",IF(REGEXMATCH(LE13, ""G""), ""G2"",""""))"),"G1")</f>
        <v>G1</v>
      </c>
      <c r="LM13" s="299" t="str">
        <f>IFERROR(__xludf.DUMMYFUNCTION("IF(REGEXMATCH(LD13, ""m""), ""m1"",IF(REGEXMATCH(LE13, ""m""), ""m2"",""""))"),"m2")</f>
        <v>m2</v>
      </c>
      <c r="LN13" s="299" t="str">
        <f>IFERROR(__xludf.DUMMYFUNCTION("IF(REGEXMATCH(LD13, ""M""), ""M1"",IF(REGEXMATCH(LE13, ""M""), ""M2"",""""))"),"")</f>
        <v/>
      </c>
      <c r="LO13" s="299" t="str">
        <f>IFERROR(__xludf.DUMMYFUNCTION("IF(REGEXMATCH(LD13, ""P""), ""P1"",IF(REGEXMATCH(LE13, ""P""), ""P2"",""""))"),"P1")</f>
        <v>P1</v>
      </c>
      <c r="LP13" s="299" t="str">
        <f>IFERROR(__xludf.DUMMYFUNCTION("IF(REGEXMATCH(LD13, ""d""), ""d1"",IF(REGEXMATCH(LE13, ""d""), ""d2"",""""))"),"")</f>
        <v/>
      </c>
      <c r="LQ13" s="299" t="str">
        <f>IFERROR(__xludf.DUMMYFUNCTION("IF(REGEXMATCH(LD13, ""D""), ""D1"",IF(REGEXMATCH(LE13, ""D""), ""D2"",""""))"),"D1")</f>
        <v>D1</v>
      </c>
      <c r="LR13" s="299" t="str">
        <f>IFERROR(__xludf.DUMMYFUNCTION("IF(REGEXMATCH(LD13, ""n""), ""n1"",IF(REGEXMATCH(LE13, ""n""), ""n2"",""""))"),"n2")</f>
        <v>n2</v>
      </c>
      <c r="LS13" s="299" t="str">
        <f>IFERROR(__xludf.DUMMYFUNCTION("IF(REGEXMATCH(LD13, ""N""), ""N1"",IF(REGEXMATCH(LE13, ""N""), ""N2"",""""))"),"N1")</f>
        <v>N1</v>
      </c>
      <c r="LT13" s="388" t="str">
        <f>IFERROR(__xludf.DUMMYFUNCTION("IF(REGEXMATCH(LD13, ""S""), ""S"",IF(REGEXMATCH(LE13, ""S""), ""S"",""""))"),"S")</f>
        <v>S</v>
      </c>
      <c r="LU13" s="389">
        <f t="shared" si="196"/>
        <v>-1</v>
      </c>
      <c r="LV13" s="378"/>
      <c r="LW13" s="369"/>
      <c r="LX13" s="369"/>
    </row>
    <row r="14" ht="20.25" customHeight="1">
      <c r="A14" s="298" t="s">
        <v>532</v>
      </c>
      <c r="B14" s="222" t="s">
        <v>533</v>
      </c>
      <c r="C14" s="233" t="str">
        <f t="shared" si="7"/>
        <v>SRmMPDnNS</v>
      </c>
      <c r="D14" s="234" t="str">
        <f>IFERROR(__xludf.DUMMYFUNCTION("IF(REGEXMATCH(C14, ""S""), ""S"","""")"),"S")</f>
        <v>S</v>
      </c>
      <c r="E14" s="236" t="str">
        <f>IFERROR(__xludf.DUMMYFUNCTION("IF(REGEXMATCH(C14, ""r""), ""r"","""")"),"")</f>
        <v/>
      </c>
      <c r="F14" s="237" t="str">
        <f>IFERROR(__xludf.DUMMYFUNCTION("IF(REGEXMATCH(C14, ""R""), ""R"","""")"),"R")</f>
        <v>R</v>
      </c>
      <c r="G14" s="237" t="str">
        <f>IFERROR(__xludf.DUMMYFUNCTION("IF(REGEXMATCH(C14, ""g""), ""g"","""")"),"")</f>
        <v/>
      </c>
      <c r="H14" s="236" t="str">
        <f>IFERROR(__xludf.DUMMYFUNCTION("IF(REGEXMATCH(C14, ""G""), ""G"","""")"),"")</f>
        <v/>
      </c>
      <c r="I14" s="236" t="str">
        <f>IFERROR(__xludf.DUMMYFUNCTION("IF(REGEXMATCH(C14, ""m""), ""m"","""")"),"m")</f>
        <v>m</v>
      </c>
      <c r="J14" s="237" t="str">
        <f>IFERROR(__xludf.DUMMYFUNCTION("IF(REGEXMATCH(C14, ""M""), ""M"","""")"),"M")</f>
        <v>M</v>
      </c>
      <c r="K14" s="236" t="str">
        <f>IFERROR(__xludf.DUMMYFUNCTION("IF(REGEXMATCH(C14, ""P""), ""P"","""")"),"P")</f>
        <v>P</v>
      </c>
      <c r="L14" s="237" t="str">
        <f>IFERROR(__xludf.DUMMYFUNCTION("IF(REGEXMATCH(C14, ""d""), ""d"","""")"),"")</f>
        <v/>
      </c>
      <c r="M14" s="236" t="str">
        <f>IFERROR(__xludf.DUMMYFUNCTION("IF(REGEXMATCH(C14, ""D""), ""D"","""")"),"D")</f>
        <v>D</v>
      </c>
      <c r="N14" s="236" t="str">
        <f>IFERROR(__xludf.DUMMYFUNCTION("IF(REGEXMATCH(C14, ""n""), ""n"","""")"),"n")</f>
        <v>n</v>
      </c>
      <c r="O14" s="237" t="str">
        <f>IFERROR(__xludf.DUMMYFUNCTION("IF(REGEXMATCH(C14, ""N""), ""N"","""")"),"N")</f>
        <v>N</v>
      </c>
      <c r="P14" s="238" t="str">
        <f>IFERROR(__xludf.DUMMYFUNCTION("IF(REGEXMATCH(C14, ""S""), ""S"","""")"),"S")</f>
        <v>S</v>
      </c>
      <c r="Q14" s="239" t="str">
        <f>IFERROR(__xludf.DUMMYFUNCTION("SUBSTITUTE(CONCATENATE(JOIN(""-"",D14:J14)),""-"","""")"),"SRmM")</f>
        <v>SRmM</v>
      </c>
      <c r="R14" s="229" t="str">
        <f>IFERROR(__xludf.DUMMYFUNCTION("SUBSTITUTE(CONCATENATE(JOIN(""-"",K14:P14)),""-"","""")"),"PDnNS")</f>
        <v>PDnNS</v>
      </c>
      <c r="S14" s="282" t="str">
        <f t="shared" si="8"/>
        <v>S-R-M</v>
      </c>
      <c r="T14" s="282" t="str">
        <f t="shared" si="9"/>
        <v>P-D-N-S</v>
      </c>
      <c r="U14" s="237" t="str">
        <f>IFERROR(__xludf.DUMMYFUNCTION("SUBSTITUTE(JOIN(""-"",S14,T14),""--"",""-"")"),"S-R-M-P-D-N-S")</f>
        <v>S-R-M-P-D-N-S</v>
      </c>
      <c r="V14" s="309" t="str">
        <f t="shared" si="10"/>
        <v>RmMDnN</v>
      </c>
      <c r="W14" s="244" t="str">
        <f>IFERROR(__xludf.DUMMYFUNCTION("IF(REGEXMATCH(C14, ""S""), ""0"","""")"),"0")</f>
        <v>0</v>
      </c>
      <c r="X14" s="245" t="str">
        <f>IFERROR(__xludf.DUMMYFUNCTION("IF(REGEXMATCH(C14, ""r""), ""1"","""")"),"")</f>
        <v/>
      </c>
      <c r="Y14" s="246" t="str">
        <f>IFERROR(__xludf.DUMMYFUNCTION("IF(REGEXMATCH(C14, ""R""), ""2"","""")"),"2")</f>
        <v>2</v>
      </c>
      <c r="Z14" s="246" t="str">
        <f>IFERROR(__xludf.DUMMYFUNCTION("IF(REGEXMATCH(C14, ""g""), ""3"","""")"),"")</f>
        <v/>
      </c>
      <c r="AA14" s="245" t="str">
        <f>IFERROR(__xludf.DUMMYFUNCTION("IF(REGEXMATCH(C14, ""G""), ""4"","""")"),"")</f>
        <v/>
      </c>
      <c r="AB14" s="245" t="str">
        <f>IFERROR(__xludf.DUMMYFUNCTION("IF(REGEXMATCH(C14, ""m""), ""5"","""")"),"5")</f>
        <v>5</v>
      </c>
      <c r="AC14" s="246" t="str">
        <f>IFERROR(__xludf.DUMMYFUNCTION("IF(REGEXMATCH(C14, ""M""), ""6"","""")"),"6")</f>
        <v>6</v>
      </c>
      <c r="AD14" s="245" t="str">
        <f>IFERROR(__xludf.DUMMYFUNCTION("IF(REGEXMATCH(C14, ""P""), ""7"","""")"),"7")</f>
        <v>7</v>
      </c>
      <c r="AE14" s="246" t="str">
        <f>IFERROR(__xludf.DUMMYFUNCTION("IF(REGEXMATCH(C14, ""d""), ""8"","""")"),"")</f>
        <v/>
      </c>
      <c r="AF14" s="245" t="str">
        <f>IFERROR(__xludf.DUMMYFUNCTION("IF(REGEXMATCH(C14, ""D""), ""9"","""")"),"9")</f>
        <v>9</v>
      </c>
      <c r="AG14" s="245" t="str">
        <f>IFERROR(__xludf.DUMMYFUNCTION("IF(REGEXMATCH(C14, ""n""), ""10"","""")"),"10")</f>
        <v>10</v>
      </c>
      <c r="AH14" s="246" t="str">
        <f>IFERROR(__xludf.DUMMYFUNCTION("IF(REGEXMATCH(C14, ""N""), ""11"","""")"),"11")</f>
        <v>11</v>
      </c>
      <c r="AI14" s="249" t="str">
        <f>IFERROR(__xludf.DUMMYFUNCTION("IF(REGEXMATCH(C14, ""S""), ""0"","""")"),"0")</f>
        <v>0</v>
      </c>
      <c r="AJ14" s="313" t="str">
        <f t="shared" si="11"/>
        <v>T</v>
      </c>
      <c r="AK14" s="313" t="str">
        <f t="shared" si="12"/>
        <v>-</v>
      </c>
      <c r="AL14" s="313" t="str">
        <f t="shared" si="13"/>
        <v>-</v>
      </c>
      <c r="AM14" s="313" t="str">
        <f t="shared" si="14"/>
        <v>-</v>
      </c>
      <c r="AN14" s="313" t="str">
        <f t="shared" si="15"/>
        <v>-</v>
      </c>
      <c r="AO14" s="314" t="str">
        <f t="shared" si="16"/>
        <v>T</v>
      </c>
      <c r="AP14" s="316">
        <f t="shared" si="17"/>
        <v>2</v>
      </c>
      <c r="AQ14" s="319" t="str">
        <f t="shared" si="18"/>
        <v>-</v>
      </c>
      <c r="AR14" s="320">
        <f t="shared" si="19"/>
        <v>0</v>
      </c>
      <c r="AS14" s="250" t="str">
        <f>IFERROR(__xludf.DUMMYFUNCTION("SUBSTITUTE(SUBSTITUTE(CONCATENATE(JOIN("""",FP14:GA14)),""|"",""x""),""-"",""o"")"),"xoxooxxxoxxx")</f>
        <v>xoxooxxxoxxx</v>
      </c>
      <c r="AT14" s="323" t="str">
        <f>IFERROR(__xludf.DUMMYFUNCTION("JOIN("""",AS14,AS14)"),"xoxooxxxoxxxxoxooxxxoxxx")</f>
        <v>xoxooxxxoxxxxoxooxxxoxxx</v>
      </c>
      <c r="AU14" s="256" t="str">
        <f>IFERROR(__xludf.DUMMYFUNCTION("JOIN("""",ArrayFormula(MID(AS14,LEN(AS14)-SEQUENCE(1,LEN(AS14))+1,1)))"),"xxxoxxxooxox")</f>
        <v>xxxoxxxooxox</v>
      </c>
      <c r="AV14" s="256" t="str">
        <f>IFERROR(__xludf.DUMMYFUNCTION("LEFT(CONCATENATE(""x"",JOIN("""",ArrayFormula(MID(AS14,LEN(AS14)-SEQUENCE(1,LEN(AS14))+1,1)))),12)"),"xxxxoxxxooxo")</f>
        <v>xxxxoxxxooxo</v>
      </c>
      <c r="AW14" s="327" t="str">
        <f>IFERROR(__xludf.DUMMYFUNCTION("JOIN("""",AU14,AU14)"),"xxxoxxxooxoxxxxoxxxooxox")</f>
        <v>xxxoxxxooxoxxxxoxxxooxox</v>
      </c>
      <c r="AX14" s="239" t="str">
        <f>IFERROR(__xludf.DUMMYFUNCTION("IF(REGEXMATCH(AW14,AS14),""✔"",""-"")"),"-")</f>
        <v>-</v>
      </c>
      <c r="AY14" s="330" t="str">
        <f t="shared" si="20"/>
        <v>-</v>
      </c>
      <c r="AZ14" s="260" t="str">
        <f t="shared" si="21"/>
        <v>#REF!</v>
      </c>
      <c r="BA14" s="333" t="str">
        <f t="shared" si="22"/>
        <v>xoxooxx</v>
      </c>
      <c r="BB14" s="334" t="str">
        <f t="shared" si="23"/>
        <v>xoxxxx</v>
      </c>
      <c r="BC14" s="335" t="str">
        <f t="shared" si="24"/>
        <v>-</v>
      </c>
      <c r="BD14" s="336" t="str">
        <f t="shared" si="25"/>
        <v>Ambika Sarang: 'xoxooxx' + 'xoxxxx'</v>
      </c>
      <c r="BE14" s="337">
        <f>IFERROR(__xludf.DUMMYFUNCTION("COUNTUNIQUE(FILTER(AT:AT,REGEXMATCH(AT:AT,AS14)))-1"),1.0)</f>
        <v>1</v>
      </c>
      <c r="BF14" s="261" t="str">
        <f>IFERROR(__xludf.DUMMYFUNCTION("IF(BI14=0,""(n/a)"",IF(BJ14=2,""(PAIR)"",IF(REGEXMATCH(AT14,""xoxoxxoxoxox""),""Bilawal"",IF(REGEXMATCH(AT14,""xoxoxooxoxoo""),""Bhupali"",IF(REGEXMATCH(AT14,""xoxoxxoxxoxo""),""Charukeshi"",IF(REGEXMATCH(AT14,""xoxoooxxoxxo""),""Kameshwari"",IF(REGEXMATC"&amp;"H(AT14,""xoxoxooxoxox""),""Shankara"",IF(REGEXMATCH(AT14,""xxooxoxxxoox""),""Basant"",IF(REGEXMATCH(AT14,""xoxoxxxxoxox""),""Bihag"",IF(REGEXMATCH(AT14,""xoxxxxoxoxxx""),""Pilu"",IF(REGEXMATCH(AT14,""xoxxoxoxxoox""),""Kirwani"",IF(REGEXMATCH(AT14,""xoxxox"&amp;"oxoxxx""),""Mk.Malhar"",IF(REGEXMATCH(AT14,""xxooxxoxxoox""),""Bhairav"",IF(REGEXMATCH(AT14,""xxoxooxxxoox""),""Todi"",IF(REGEXMATCH(AT14,""xxooxoxooxox""),""Marwa"",IF(REGEXMATCH(AT14,""xxoooxoxxooo""),""Gunkali"",IF(REGEXMATCH(AT14,""xoxoxxoxxoox""),""N"&amp;"at Bhairav"",IF(REGEXMATCH(AT14,""xoxxoooxoxoo""),""Shivranjani"",IF(REGEXMATCH(AT14,""xooxxxoxooxo""),""Jog"",IF(REGEXMATCH(AT14,""xxooxoxoxoox""),""Hemshri"",IF(REGEXMATCH(AT14,""xoooxooxoxxo""),""Kalavati"",IF(REGEXMATCH(AT14,""xxoxoxxoxoox""),""Kedar"&amp;""",IF(REGEXMATCH(AT14,""xoxxxxoxooxx""),""Gara"",IF(REGEXMATCH(AT14,""xooxoxooxoox""),""Chandrakauns"",IF(REGEXMATCH(AT14,""xoxxxxoxxxox""),""Mand"",IF(REGEXMATCH(AT14,""xoxxxxoxoxox""),""Hanskinkini"",IF(REGEXMATCH(AT14,""xxooxxoxooxo""),""Lilavati"",IF("&amp;"REGEXMATCH(AT14,""xooxoxoooxox""),""Rajeshwari"",IF(REGEXMATCH(AT14,""xoooxxoxoxxx""),""Khokar"",IF(REGEXMATCH(AT14,""xxooxoxxxxox""),""Maligoura"",""-""))))))))))))))))))))))))))))))"),"Gara")</f>
        <v>Gara</v>
      </c>
      <c r="BG14" s="239" t="str">
        <f t="shared" si="26"/>
        <v>#REF!</v>
      </c>
      <c r="BH14" s="239">
        <f>IFERROR(__xludf.DUMMYFUNCTION("COUNTUNIQUE(FE14:FO14)-1"),7.0)</f>
        <v>7</v>
      </c>
      <c r="BI14" s="239">
        <f>IFERROR(__xludf.DUMMYFUNCTION("COUNTUNIQUE(FILTER(AT:AT,REGEXMATCH(AT:AT,AS14)))-1"),1.0)</f>
        <v>1</v>
      </c>
      <c r="BJ14" s="239">
        <f>IFERROR(__xludf.DUMMYFUNCTION("COUNTA(FILTER(AT:AT,REGEXMATCH(AT:AT,AS14)))"),4.0)</f>
        <v>4</v>
      </c>
      <c r="BK14" s="341">
        <f>IFERROR(__xludf.DUMMYFUNCTION("COUNTA(FILTER(AT:AT,REGEXMATCH(AT:AT,AS14)))-AR14"),4.0)</f>
        <v>4</v>
      </c>
      <c r="BL14" s="276" t="str">
        <f>IFERROR(__xludf.DUMMYFUNCTION("IF(AS14=""oooooooooooo"",""-"",IF(REGEXMATCH(AT14,""xx""), ""Hemi."", ""Anhemi.""))"),"Hemi.")</f>
        <v>Hemi.</v>
      </c>
      <c r="BM14" s="282" t="str">
        <f>IFERROR(__xludf.DUMMYFUNCTION("IF(AS14=""oooooooooooo"",""-"",IF(REGEXMATCH(AT14,""xxx""), ""Cohem."", ""-""))"),"Cohem.")</f>
        <v>Cohem.</v>
      </c>
      <c r="BN14" s="282" t="str">
        <f>IFERROR(__xludf.DUMMYFUNCTION("IF(AS14=""oooooooooooo"",""-"",IF(REGEXMATCH(AT14,""xxxx""), ""Co-Co."", ""-""))"),"Co-Co.")</f>
        <v>Co-Co.</v>
      </c>
      <c r="BO14" s="342" t="str">
        <f>IFERROR(__xludf.DUMMYFUNCTION("IF(AS14=""oooooooooooo"",""-"",IF(REGEXMATCH(AT14,""xxxxx""), ""CCC."", ""-""))"),"-")</f>
        <v>-</v>
      </c>
      <c r="BP14" s="344" t="str">
        <f t="shared" si="27"/>
        <v>-</v>
      </c>
      <c r="BQ14" s="282" t="str">
        <f>IFERROR(__xludf.DUMMYFUNCTION("IF(REGEXMATCH(JOIN(""-"",EU14:FD14),""TRUE""),""✔"",""-"")"),"-")</f>
        <v>-</v>
      </c>
      <c r="BR14" s="225">
        <f t="shared" si="28"/>
        <v>0</v>
      </c>
      <c r="BS14" s="345" t="str">
        <f>IFERROR(__xludf.DUMMYFUNCTION("SUBSTITUTE(SUBSTITUTE(SUBSTITUTE(SUBSTITUTE(CONCATENATE(JOIN(""-"",GC14:GO14)),""--"",""-""),""--"",""-""),""--"",""-""),""--"",""-"")"),"1-2-4-#4-5-6-b7-7-8")</f>
        <v>1-2-4-#4-5-6-b7-7-8</v>
      </c>
      <c r="BT14" s="299" t="str">
        <f>IFERROR(__xludf.DUMMYFUNCTION("SUBSTITUTE(SUBSTITUTE(SUBSTITUTE(SUBSTITUTE(CONCATENATE(JOIN(""-"",GP14:HB14)),""--"",""-""),""--"",""-""),""--"",""-""),""--"",""-"")"),"S-R2-M1-M2-P-D2-N2-N3-S")</f>
        <v>S-R2-M1-M2-P-D2-N2-N3-S</v>
      </c>
      <c r="BU14" s="348" t="str">
        <f t="shared" si="29"/>
        <v>C-D-F-F#-G-A-Bb-B-C</v>
      </c>
      <c r="BV14" s="349" t="str">
        <f t="shared" si="30"/>
        <v>SrgGdS</v>
      </c>
      <c r="BW14" s="350">
        <f t="shared" si="31"/>
        <v>0</v>
      </c>
      <c r="BX14" s="351">
        <f t="shared" si="32"/>
        <v>3</v>
      </c>
      <c r="BY14" s="392"/>
      <c r="BZ14" s="309" t="str">
        <f>IFERROR(__xludf.DUMMYFUNCTION("IF(REGEXMATCH(C14, ""S""), ""x"",""x"")"),"x")</f>
        <v>x</v>
      </c>
      <c r="CA14" s="245" t="str">
        <f>IFERROR(__xludf.DUMMYFUNCTION("IF(REGEXMATCH(C14, ""r""), ""o"",""x"")"),"x")</f>
        <v>x</v>
      </c>
      <c r="CB14" s="246" t="str">
        <f>IFERROR(__xludf.DUMMYFUNCTION("IF(REGEXMATCH(C14, ""R""), ""o"",""x"")"),"o")</f>
        <v>o</v>
      </c>
      <c r="CC14" s="246" t="str">
        <f>IFERROR(__xludf.DUMMYFUNCTION("IF(REGEXMATCH(C14, ""g""), ""o"",""x"")"),"x")</f>
        <v>x</v>
      </c>
      <c r="CD14" s="245" t="str">
        <f>IFERROR(__xludf.DUMMYFUNCTION("IF(REGEXMATCH(C14, ""G""), ""o"",""x"")"),"x")</f>
        <v>x</v>
      </c>
      <c r="CE14" s="245" t="str">
        <f>IFERROR(__xludf.DUMMYFUNCTION("IF(REGEXMATCH(C14, ""m""), ""o"",""x"")"),"o")</f>
        <v>o</v>
      </c>
      <c r="CF14" s="246" t="str">
        <f>IFERROR(__xludf.DUMMYFUNCTION("IF(REGEXMATCH(C14, ""M""), ""o"",""x"")"),"o")</f>
        <v>o</v>
      </c>
      <c r="CG14" s="245" t="str">
        <f>IFERROR(__xludf.DUMMYFUNCTION("IF(REGEXMATCH(C14, ""P""), ""o"",""x"")"),"o")</f>
        <v>o</v>
      </c>
      <c r="CH14" s="246" t="str">
        <f>IFERROR(__xludf.DUMMYFUNCTION("IF(REGEXMATCH(C14, ""d""), ""o"",""x"")"),"x")</f>
        <v>x</v>
      </c>
      <c r="CI14" s="245" t="str">
        <f>IFERROR(__xludf.DUMMYFUNCTION("IF(REGEXMATCH(C14, ""D""), ""o"",""x"")"),"o")</f>
        <v>o</v>
      </c>
      <c r="CJ14" s="245" t="str">
        <f>IFERROR(__xludf.DUMMYFUNCTION("IF(REGEXMATCH(C14, ""n""), ""o"",""x"")"),"o")</f>
        <v>o</v>
      </c>
      <c r="CK14" s="245" t="str">
        <f>IFERROR(__xludf.DUMMYFUNCTION("IF(REGEXMATCH(C14, ""N""), ""o"",""x"")"),"o")</f>
        <v>o</v>
      </c>
      <c r="CL14" s="356" t="str">
        <f>IFERROR(__xludf.DUMMYFUNCTION("IF(REGEXMATCH(C14, ""S""), ""x"",""x"")"),"x")</f>
        <v>x</v>
      </c>
      <c r="CM14" s="357" t="str">
        <f t="shared" si="33"/>
        <v>xxoxxoooxooo</v>
      </c>
      <c r="CN14" s="358">
        <f t="shared" si="34"/>
        <v>0</v>
      </c>
      <c r="CO14" s="246" t="str">
        <f>IFERROR(__xludf.DUMMYFUNCTION("IF(REGEXMATCH($C14, ""S""), ""S"",""S"")"),"S")</f>
        <v>S</v>
      </c>
      <c r="CP14" s="246" t="str">
        <f>IFERROR(__xludf.DUMMYFUNCTION("IF(REGEXMATCH($C14, ""r""), """",""r"")"),"r")</f>
        <v>r</v>
      </c>
      <c r="CQ14" s="246" t="str">
        <f>IFERROR(__xludf.DUMMYFUNCTION("IF(REGEXMATCH($C14, ""R""), """",""R"")"),"")</f>
        <v/>
      </c>
      <c r="CR14" s="246" t="str">
        <f>IFERROR(__xludf.DUMMYFUNCTION("IF(REGEXMATCH($C14, ""g""), """",""g"")"),"g")</f>
        <v>g</v>
      </c>
      <c r="CS14" s="246" t="str">
        <f>IFERROR(__xludf.DUMMYFUNCTION("IF(REGEXMATCH($C14, ""G""), """",""G"")"),"G")</f>
        <v>G</v>
      </c>
      <c r="CT14" s="246" t="str">
        <f>IFERROR(__xludf.DUMMYFUNCTION("IF(REGEXMATCH($C14, ""m""), """",""m"")"),"")</f>
        <v/>
      </c>
      <c r="CU14" s="246" t="str">
        <f>IFERROR(__xludf.DUMMYFUNCTION("IF(REGEXMATCH($C14, ""M""), """",""M"")"),"")</f>
        <v/>
      </c>
      <c r="CV14" s="246" t="str">
        <f>IFERROR(__xludf.DUMMYFUNCTION("IF(REGEXMATCH($C14, ""P""), """",""P"")"),"")</f>
        <v/>
      </c>
      <c r="CW14" s="246" t="str">
        <f>IFERROR(__xludf.DUMMYFUNCTION("IF(REGEXMATCH($C14, ""d""), """",""d"")"),"d")</f>
        <v>d</v>
      </c>
      <c r="CX14" s="246" t="str">
        <f>IFERROR(__xludf.DUMMYFUNCTION("IF(REGEXMATCH($C14, ""D""), """",""D"")"),"")</f>
        <v/>
      </c>
      <c r="CY14" s="246" t="str">
        <f>IFERROR(__xludf.DUMMYFUNCTION("IF(REGEXMATCH($C14, ""n""), """",""n"")"),"")</f>
        <v/>
      </c>
      <c r="CZ14" s="246" t="str">
        <f>IFERROR(__xludf.DUMMYFUNCTION("IF(REGEXMATCH($C14, ""N""), """",""N"")"),"")</f>
        <v/>
      </c>
      <c r="DA14" s="246" t="str">
        <f>IFERROR(__xludf.DUMMYFUNCTION("IF(REGEXMATCH($C14, ""S""), ""S"",""S"")"),"S")</f>
        <v>S</v>
      </c>
      <c r="DB14" s="362" t="str">
        <f>IFERROR(__xludf.DUMMYFUNCTION("JOIN("""",CO14:DA14,"""","""")"),"SrgGdS")</f>
        <v>SrgGdS</v>
      </c>
      <c r="DC14" s="363"/>
      <c r="DD14" s="301" t="str">
        <f t="shared" si="35"/>
        <v>#REF!</v>
      </c>
      <c r="DE14" s="302" t="str">
        <f t="shared" si="36"/>
        <v>#REF!</v>
      </c>
      <c r="DF14" s="301" t="str">
        <f t="shared" ref="DF14:DG14" si="217">SUBSTITUTE(S14,"-","")</f>
        <v>SRM</v>
      </c>
      <c r="DG14" s="301" t="str">
        <f t="shared" si="217"/>
        <v>PDNS</v>
      </c>
      <c r="DH14" s="302" t="str">
        <f t="shared" si="38"/>
        <v>Gara</v>
      </c>
      <c r="DI14" s="301" t="str">
        <f t="shared" si="39"/>
        <v>Hemi.</v>
      </c>
      <c r="DJ14" s="364" t="str">
        <f t="shared" si="40"/>
        <v>Co-Co.</v>
      </c>
      <c r="DK14" s="306" t="str">
        <f t="shared" si="41"/>
        <v>-</v>
      </c>
      <c r="DL14" s="366" t="str">
        <f t="shared" si="42"/>
        <v>-</v>
      </c>
      <c r="DM14" s="308" t="str">
        <f t="shared" si="43"/>
        <v>✔</v>
      </c>
      <c r="DN14" s="306" t="str">
        <f t="shared" si="44"/>
        <v>-</v>
      </c>
      <c r="DO14" s="306" t="str">
        <f t="shared" si="45"/>
        <v>-</v>
      </c>
      <c r="DP14" s="367" t="str">
        <f t="shared" si="46"/>
        <v>-</v>
      </c>
      <c r="DQ14" s="310" t="str">
        <f t="shared" si="47"/>
        <v>-</v>
      </c>
      <c r="DR14" s="310" t="str">
        <f t="shared" si="48"/>
        <v>-</v>
      </c>
      <c r="DS14" s="310" t="str">
        <f t="shared" si="49"/>
        <v>✔</v>
      </c>
      <c r="DT14" s="310" t="str">
        <f t="shared" si="50"/>
        <v>-</v>
      </c>
      <c r="DU14" s="370" t="str">
        <f t="shared" si="51"/>
        <v>✔</v>
      </c>
      <c r="DV14" s="306" t="str">
        <f t="shared" si="52"/>
        <v>-</v>
      </c>
      <c r="DW14" s="306" t="str">
        <f t="shared" si="53"/>
        <v>✔</v>
      </c>
      <c r="DX14" s="306" t="str">
        <f t="shared" si="54"/>
        <v>-</v>
      </c>
      <c r="DY14" s="306" t="str">
        <f t="shared" si="55"/>
        <v>-</v>
      </c>
      <c r="DZ14" s="306" t="str">
        <f t="shared" si="56"/>
        <v>-</v>
      </c>
      <c r="EA14" s="367" t="str">
        <f t="shared" si="57"/>
        <v>-</v>
      </c>
      <c r="EB14" s="310" t="str">
        <f>IFERROR(__xludf.DUMMYFUNCTION("IF(REGEXMATCH(AW14,AS14),""✔"",""-"")"),"-")</f>
        <v>-</v>
      </c>
      <c r="EC14" s="310" t="str">
        <f t="shared" si="58"/>
        <v>#REF!</v>
      </c>
      <c r="ED14" s="370" t="str">
        <f t="shared" si="59"/>
        <v>-</v>
      </c>
      <c r="EE14" s="340" t="str">
        <f t="shared" si="60"/>
        <v>S-R-mM-P-D-nN-S</v>
      </c>
      <c r="EF14" s="371" t="str">
        <f>IFERROR(__xludf.DUMMYFUNCTION("CONCATENATE(JOIN("""",HC14:HO14))"),"SrRgmMPnS")</f>
        <v>SrRgmMPnS</v>
      </c>
      <c r="EG14" s="372">
        <f t="shared" si="61"/>
        <v>2</v>
      </c>
      <c r="EH14" s="373" t="str">
        <f>IFERROR(__xludf.DUMMYFUNCTION("CONCATENATE(JOIN("""",JC14:JO14))"),"Ma, Dha, ")</f>
        <v>Ma, Dha, </v>
      </c>
      <c r="EI14" s="322">
        <f t="shared" si="62"/>
        <v>0</v>
      </c>
      <c r="EJ14" s="374" t="str">
        <f>IFERROR(__xludf.DUMMYFUNCTION("CONCATENATE(JOIN("""",KC14:KO14))"),"")</f>
        <v/>
      </c>
      <c r="EK14" s="325" t="str">
        <f t="shared" si="63"/>
        <v>S-R2-M1-M2-P-D2-N2-N3-S</v>
      </c>
      <c r="EL14" s="326" t="str">
        <f t="shared" si="64"/>
        <v>1-2-4-#4-5-6-b7-7-8</v>
      </c>
      <c r="EM14" s="318" t="str">
        <f t="shared" si="65"/>
        <v>#REF!</v>
      </c>
      <c r="EN14" s="328" t="str">
        <f>IFERROR(__xludf.DUMMYFUNCTION("SUBSTITUTE(SUBSTITUTE(SUBSTITUTE(SUBSTITUTE(CONCATENATE(JOIN("" "",HP14:IB14)),""  "","" ""),""  "","" ""),""  "","" ""),""  "","" "")"),"o • o • • o o o • o o o o")</f>
        <v>o • o • • o o o • o o o o</v>
      </c>
      <c r="EO14" s="368" t="str">
        <f t="shared" si="66"/>
        <v>-</v>
      </c>
      <c r="EP14" s="339" t="str">
        <f t="shared" si="67"/>
        <v>-</v>
      </c>
      <c r="EQ14" s="339" t="str">
        <f t="shared" si="68"/>
        <v>Sa-Pa</v>
      </c>
      <c r="ER14" s="339" t="str">
        <f t="shared" si="69"/>
        <v>-</v>
      </c>
      <c r="ES14" s="340" t="str">
        <f t="shared" si="70"/>
        <v>-</v>
      </c>
      <c r="ET14" s="363"/>
      <c r="EU14" s="376" t="b">
        <f>IFERROR(__xludf.DUMMYFUNCTION("arrayformula(sum(--REGEXMATCH(""SRGMPDNS"",split(REGEXREPLACE(C14,""(.)"",""$1~""),""~""))))=len(C14)
"),FALSE)</f>
        <v>0</v>
      </c>
      <c r="EV14" s="290" t="b">
        <f>IFERROR(__xludf.DUMMYFUNCTION("arrayformula(sum(--REGEXMATCH(""SRGmPDNS"",split(REGEXREPLACE(C14,""(.)"",""$1~""),""~""))))=len(C14)"),FALSE)</f>
        <v>0</v>
      </c>
      <c r="EW14" s="290" t="b">
        <f>IFERROR(__xludf.DUMMYFUNCTION("arrayformula(sum(--REGEXMATCH(""SRGmPDnS"",split(REGEXREPLACE(C14,""(.)"",""$1~""),""~""))))=len(C14)"),FALSE)</f>
        <v>0</v>
      </c>
      <c r="EX14" s="290" t="b">
        <f>IFERROR(__xludf.DUMMYFUNCTION("arrayformula(sum(--REGEXMATCH(""SRgmPDnS"",split(REGEXREPLACE(C14,""(.)"",""$1~""),""~""))))=len(C14)"),FALSE)</f>
        <v>0</v>
      </c>
      <c r="EY14" s="290" t="b">
        <f>IFERROR(__xludf.DUMMYFUNCTION("arrayformula(sum(--REGEXMATCH(""SRgmPdnS"",split(REGEXREPLACE(C14,""(.)"",""$1~""),""~""))))=len(C14)"),FALSE)</f>
        <v>0</v>
      </c>
      <c r="EZ14" s="290" t="b">
        <f>IFERROR(__xludf.DUMMYFUNCTION("arrayformula(sum(--REGEXMATCH(""SrgmPdnS"",split(REGEXREPLACE(C14,""(.)"",""$1~""),""~""))))=len(C14)"),FALSE)</f>
        <v>0</v>
      </c>
      <c r="FA14" s="290" t="b">
        <f>IFERROR(__xludf.DUMMYFUNCTION("arrayformula(sum(--REGEXMATCH(""SrGmPdNS"",split(REGEXREPLACE(C14,""(.)"",""$1~""),""~""))))=len(C14)"),FALSE)</f>
        <v>0</v>
      </c>
      <c r="FB14" s="290" t="b">
        <f>IFERROR(__xludf.DUMMYFUNCTION("arrayformula(sum(--REGEXMATCH(""SrGMPDNS"",split(REGEXREPLACE(C14,""(.)"",""$1~""),""~""))))=len(C14)"),FALSE)</f>
        <v>0</v>
      </c>
      <c r="FC14" s="290" t="b">
        <f>IFERROR(__xludf.DUMMYFUNCTION("arrayformula(sum(--REGEXMATCH(""SrGMPdNS"",split(REGEXREPLACE(C14,""(.)"",""$1~""),""~""))))=len(C14)"),FALSE)</f>
        <v>0</v>
      </c>
      <c r="FD14" s="377" t="b">
        <f>IFERROR(__xludf.DUMMYFUNCTION("arrayformula(sum(--REGEXMATCH(""SrgMPdNS"",split(REGEXREPLACE(C14,""(.)"",""$1~""),""~""))))=len(C14)"),FALSE)</f>
        <v>0</v>
      </c>
      <c r="FE14" s="269" t="str">
        <f t="shared" si="71"/>
        <v>-</v>
      </c>
      <c r="FF14" s="269" t="str">
        <f t="shared" si="72"/>
        <v>xooxxxoxxxx</v>
      </c>
      <c r="FG14" s="271" t="str">
        <f t="shared" si="73"/>
        <v>-</v>
      </c>
      <c r="FH14" s="269" t="str">
        <f t="shared" si="74"/>
        <v>-</v>
      </c>
      <c r="FI14" s="271" t="str">
        <f t="shared" si="75"/>
        <v>xxxoxxxxoxo</v>
      </c>
      <c r="FJ14" s="271" t="str">
        <f t="shared" si="76"/>
        <v>xxoxxxxoxoo</v>
      </c>
      <c r="FK14" s="271" t="str">
        <f t="shared" si="77"/>
        <v>xoxxxxoxoox</v>
      </c>
      <c r="FL14" s="271" t="str">
        <f t="shared" si="78"/>
        <v>-</v>
      </c>
      <c r="FM14" s="271" t="str">
        <f t="shared" si="79"/>
        <v>xxxxoxooxxx</v>
      </c>
      <c r="FN14" s="271" t="str">
        <f t="shared" si="80"/>
        <v>xxxoxooxxxo</v>
      </c>
      <c r="FO14" s="274" t="str">
        <f t="shared" si="81"/>
        <v>xxoxooxxxox</v>
      </c>
      <c r="FP14" s="234" t="str">
        <f t="shared" si="82"/>
        <v>|</v>
      </c>
      <c r="FQ14" s="236" t="str">
        <f t="shared" si="83"/>
        <v>-</v>
      </c>
      <c r="FR14" s="237" t="str">
        <f t="shared" si="84"/>
        <v>|</v>
      </c>
      <c r="FS14" s="236" t="str">
        <f t="shared" si="85"/>
        <v>-</v>
      </c>
      <c r="FT14" s="237" t="str">
        <f t="shared" si="86"/>
        <v>-</v>
      </c>
      <c r="FU14" s="236" t="str">
        <f t="shared" si="87"/>
        <v>|</v>
      </c>
      <c r="FV14" s="237" t="str">
        <f t="shared" si="88"/>
        <v>|</v>
      </c>
      <c r="FW14" s="236" t="str">
        <f t="shared" si="89"/>
        <v>|</v>
      </c>
      <c r="FX14" s="237" t="str">
        <f t="shared" si="90"/>
        <v>-</v>
      </c>
      <c r="FY14" s="236" t="str">
        <f t="shared" si="91"/>
        <v>|</v>
      </c>
      <c r="FZ14" s="237" t="str">
        <f t="shared" si="92"/>
        <v>|</v>
      </c>
      <c r="GA14" s="236" t="str">
        <f t="shared" si="93"/>
        <v>|</v>
      </c>
      <c r="GB14" s="238" t="str">
        <f t="shared" si="94"/>
        <v>|</v>
      </c>
      <c r="GC14" s="244" t="str">
        <f>IFERROR(__xludf.DUMMYFUNCTION("IF(REGEXMATCH(C14, ""S""), ""1"","""")"),"1")</f>
        <v>1</v>
      </c>
      <c r="GD14" s="245" t="str">
        <f>IFERROR(__xludf.DUMMYFUNCTION("IF(REGEXMATCH(C14, ""r""), ""b2"","""")"),"")</f>
        <v/>
      </c>
      <c r="GE14" s="246" t="str">
        <f>IFERROR(__xludf.DUMMYFUNCTION("IF(REGEXMATCH(C14, ""R""), ""2"","""")"),"2")</f>
        <v>2</v>
      </c>
      <c r="GF14" s="246" t="str">
        <f>IFERROR(__xludf.DUMMYFUNCTION("IF(REGEXMATCH(C14, ""g""), ""b3"","""")"),"")</f>
        <v/>
      </c>
      <c r="GG14" s="245" t="str">
        <f>IFERROR(__xludf.DUMMYFUNCTION("IF(REGEXMATCH(C14, ""G""), ""3"","""")"),"")</f>
        <v/>
      </c>
      <c r="GH14" s="245" t="str">
        <f>IFERROR(__xludf.DUMMYFUNCTION("IF(REGEXMATCH(C14, ""m""), ""4"","""")"),"4")</f>
        <v>4</v>
      </c>
      <c r="GI14" s="246" t="str">
        <f>IFERROR(__xludf.DUMMYFUNCTION("IF(REGEXMATCH(C14, ""M""), ""#4"","""")"),"#4")</f>
        <v>#4</v>
      </c>
      <c r="GJ14" s="245" t="str">
        <f>IFERROR(__xludf.DUMMYFUNCTION("IF(REGEXMATCH(C14, ""P""), ""5"","""")"),"5")</f>
        <v>5</v>
      </c>
      <c r="GK14" s="246" t="str">
        <f>IFERROR(__xludf.DUMMYFUNCTION("IF(REGEXMATCH(C14, ""d""), ""b6"","""")"),"")</f>
        <v/>
      </c>
      <c r="GL14" s="245" t="str">
        <f>IFERROR(__xludf.DUMMYFUNCTION("IF(REGEXMATCH(C14, ""D""), ""6"","""")"),"6")</f>
        <v>6</v>
      </c>
      <c r="GM14" s="245" t="str">
        <f>IFERROR(__xludf.DUMMYFUNCTION("IF(REGEXMATCH(C14, ""n""), ""b7"","""")"),"b7")</f>
        <v>b7</v>
      </c>
      <c r="GN14" s="246" t="str">
        <f>IFERROR(__xludf.DUMMYFUNCTION("IF(REGEXMATCH(C14, ""N""), ""7"","""")"),"7")</f>
        <v>7</v>
      </c>
      <c r="GO14" s="249" t="str">
        <f>IFERROR(__xludf.DUMMYFUNCTION("IF(REGEXMATCH(C14, ""S""), ""8"","""")"),"8")</f>
        <v>8</v>
      </c>
      <c r="GP14" s="244" t="str">
        <f>IFERROR(__xludf.DUMMYFUNCTION("IF(REGEXMATCH(C14, ""S""), ""S"","""")"),"S")</f>
        <v>S</v>
      </c>
      <c r="GQ14" s="294" t="str">
        <f>IFERROR(__xludf.DUMMYFUNCTION("IF(REGEXMATCH(C14, ""r""), ""R1"","""")"),"")</f>
        <v/>
      </c>
      <c r="GR14" s="295" t="str">
        <f>IFERROR(__xludf.DUMMYFUNCTION("IF(REGEXMATCH(C14, ""R""), ""R2"","""")"),"R2")</f>
        <v>R2</v>
      </c>
      <c r="GS14" s="295" t="str">
        <f>IFERROR(__xludf.DUMMYFUNCTION("IF(REGEXMATCH(C14, ""g""), ""G2"","""")"),"")</f>
        <v/>
      </c>
      <c r="GT14" s="294" t="str">
        <f>IFERROR(__xludf.DUMMYFUNCTION("IF(REGEXMATCH(C14, ""G""), ""G3"","""")"),"")</f>
        <v/>
      </c>
      <c r="GU14" s="294" t="str">
        <f>IFERROR(__xludf.DUMMYFUNCTION("IF(REGEXMATCH(C14, ""m""), ""M1"","""")"),"M1")</f>
        <v>M1</v>
      </c>
      <c r="GV14" s="295" t="str">
        <f>IFERROR(__xludf.DUMMYFUNCTION("IF(REGEXMATCH(C14, ""M""), ""M2"","""")"),"M2")</f>
        <v>M2</v>
      </c>
      <c r="GW14" s="294" t="str">
        <f>IFERROR(__xludf.DUMMYFUNCTION("IF(REGEXMATCH(C14, ""P""), ""P"","""")"),"P")</f>
        <v>P</v>
      </c>
      <c r="GX14" s="295" t="str">
        <f>IFERROR(__xludf.DUMMYFUNCTION("IF(REGEXMATCH(C14, ""d""), ""D1"","""")"),"")</f>
        <v/>
      </c>
      <c r="GY14" s="294" t="str">
        <f>IFERROR(__xludf.DUMMYFUNCTION("IF(REGEXMATCH(C14, ""D""), ""D2"","""")"),"D2")</f>
        <v>D2</v>
      </c>
      <c r="GZ14" s="294" t="str">
        <f>IFERROR(__xludf.DUMMYFUNCTION("IF(REGEXMATCH(C14, ""n""), ""N2"","""")"),"N2")</f>
        <v>N2</v>
      </c>
      <c r="HA14" s="295" t="str">
        <f>IFERROR(__xludf.DUMMYFUNCTION("IF(REGEXMATCH(C14, ""N""), ""N3"","""")"),"N3")</f>
        <v>N3</v>
      </c>
      <c r="HB14" s="249" t="str">
        <f>IFERROR(__xludf.DUMMYFUNCTION("IF(REGEXMATCH(C14, ""S""), ""S"","""")"),"S")</f>
        <v>S</v>
      </c>
      <c r="HC14" s="331" t="str">
        <f t="shared" si="95"/>
        <v>S</v>
      </c>
      <c r="HD14" s="332" t="str">
        <f t="shared" si="96"/>
        <v>r</v>
      </c>
      <c r="HE14" s="332" t="str">
        <f t="shared" si="97"/>
        <v>R</v>
      </c>
      <c r="HF14" s="332" t="str">
        <f t="shared" si="98"/>
        <v>g</v>
      </c>
      <c r="HG14" s="332" t="str">
        <f t="shared" si="99"/>
        <v/>
      </c>
      <c r="HH14" s="332" t="str">
        <f t="shared" si="100"/>
        <v>m</v>
      </c>
      <c r="HI14" s="332" t="str">
        <f t="shared" si="101"/>
        <v>M</v>
      </c>
      <c r="HJ14" s="332" t="str">
        <f t="shared" si="102"/>
        <v>P</v>
      </c>
      <c r="HK14" s="332" t="str">
        <f t="shared" si="103"/>
        <v/>
      </c>
      <c r="HL14" s="332" t="str">
        <f t="shared" si="104"/>
        <v/>
      </c>
      <c r="HM14" s="332" t="str">
        <f t="shared" si="105"/>
        <v>n</v>
      </c>
      <c r="HN14" s="332" t="str">
        <f t="shared" si="106"/>
        <v/>
      </c>
      <c r="HO14" s="343" t="str">
        <f t="shared" si="107"/>
        <v>S</v>
      </c>
      <c r="HP14" s="331" t="str">
        <f t="shared" si="108"/>
        <v>o</v>
      </c>
      <c r="HQ14" s="332" t="str">
        <f t="shared" si="109"/>
        <v>•</v>
      </c>
      <c r="HR14" s="332" t="str">
        <f t="shared" si="110"/>
        <v>o</v>
      </c>
      <c r="HS14" s="332" t="str">
        <f t="shared" si="111"/>
        <v>•</v>
      </c>
      <c r="HT14" s="332" t="str">
        <f t="shared" si="112"/>
        <v>•</v>
      </c>
      <c r="HU14" s="332" t="str">
        <f t="shared" si="113"/>
        <v>o</v>
      </c>
      <c r="HV14" s="332" t="str">
        <f t="shared" si="114"/>
        <v>o</v>
      </c>
      <c r="HW14" s="332" t="str">
        <f t="shared" si="115"/>
        <v>o</v>
      </c>
      <c r="HX14" s="332" t="str">
        <f t="shared" si="116"/>
        <v>•</v>
      </c>
      <c r="HY14" s="332" t="str">
        <f t="shared" si="117"/>
        <v>o</v>
      </c>
      <c r="HZ14" s="332" t="str">
        <f t="shared" si="118"/>
        <v>o</v>
      </c>
      <c r="IA14" s="332" t="str">
        <f t="shared" si="119"/>
        <v>o</v>
      </c>
      <c r="IB14" s="338" t="str">
        <f t="shared" si="120"/>
        <v>o</v>
      </c>
      <c r="IC14" s="331" t="str">
        <f t="shared" si="121"/>
        <v>•</v>
      </c>
      <c r="ID14" s="332" t="str">
        <f t="shared" si="122"/>
        <v>o</v>
      </c>
      <c r="IE14" s="332" t="str">
        <f t="shared" si="123"/>
        <v>•</v>
      </c>
      <c r="IF14" s="332" t="str">
        <f t="shared" si="124"/>
        <v>o</v>
      </c>
      <c r="IG14" s="332" t="str">
        <f t="shared" si="125"/>
        <v>o</v>
      </c>
      <c r="IH14" s="332" t="str">
        <f t="shared" si="126"/>
        <v>•</v>
      </c>
      <c r="II14" s="332" t="str">
        <f t="shared" si="127"/>
        <v>•</v>
      </c>
      <c r="IJ14" s="332" t="str">
        <f t="shared" si="128"/>
        <v>•</v>
      </c>
      <c r="IK14" s="332" t="str">
        <f t="shared" si="129"/>
        <v>o</v>
      </c>
      <c r="IL14" s="332" t="str">
        <f t="shared" si="130"/>
        <v>•</v>
      </c>
      <c r="IM14" s="332" t="str">
        <f t="shared" si="131"/>
        <v>•</v>
      </c>
      <c r="IN14" s="332" t="str">
        <f t="shared" si="132"/>
        <v>•</v>
      </c>
      <c r="IO14" s="338" t="str">
        <f t="shared" si="133"/>
        <v>•</v>
      </c>
      <c r="IP14" s="346" t="b">
        <f t="shared" si="134"/>
        <v>0</v>
      </c>
      <c r="IQ14" s="347" t="b">
        <f t="shared" si="135"/>
        <v>0</v>
      </c>
      <c r="IR14" s="347" t="b">
        <f t="shared" si="136"/>
        <v>0</v>
      </c>
      <c r="IS14" s="347" t="b">
        <f t="shared" si="137"/>
        <v>0</v>
      </c>
      <c r="IT14" s="347" t="b">
        <f t="shared" si="138"/>
        <v>0</v>
      </c>
      <c r="IU14" s="347" t="b">
        <f t="shared" si="139"/>
        <v>0</v>
      </c>
      <c r="IV14" s="347" t="b">
        <f t="shared" si="140"/>
        <v>1</v>
      </c>
      <c r="IW14" s="347" t="b">
        <f t="shared" si="141"/>
        <v>0</v>
      </c>
      <c r="IX14" s="347" t="b">
        <f t="shared" si="142"/>
        <v>0</v>
      </c>
      <c r="IY14" s="347" t="b">
        <f t="shared" si="143"/>
        <v>1</v>
      </c>
      <c r="IZ14" s="347" t="b">
        <f t="shared" si="144"/>
        <v>0</v>
      </c>
      <c r="JA14" s="347" t="b">
        <f t="shared" si="145"/>
        <v>0</v>
      </c>
      <c r="JB14" s="353" t="b">
        <f t="shared" si="146"/>
        <v>0</v>
      </c>
      <c r="JC14" s="354" t="str">
        <f t="shared" si="147"/>
        <v/>
      </c>
      <c r="JD14" s="355" t="str">
        <f t="shared" si="148"/>
        <v/>
      </c>
      <c r="JE14" s="355" t="str">
        <f t="shared" si="149"/>
        <v/>
      </c>
      <c r="JF14" s="355" t="str">
        <f t="shared" si="150"/>
        <v/>
      </c>
      <c r="JG14" s="355" t="str">
        <f t="shared" si="151"/>
        <v/>
      </c>
      <c r="JH14" s="355" t="str">
        <f t="shared" si="152"/>
        <v/>
      </c>
      <c r="JI14" s="355" t="str">
        <f t="shared" si="153"/>
        <v>Ma, </v>
      </c>
      <c r="JJ14" s="355" t="str">
        <f t="shared" si="154"/>
        <v/>
      </c>
      <c r="JK14" s="355" t="str">
        <f t="shared" si="155"/>
        <v/>
      </c>
      <c r="JL14" s="355" t="str">
        <f t="shared" si="156"/>
        <v>Dha, </v>
      </c>
      <c r="JM14" s="355" t="str">
        <f t="shared" si="157"/>
        <v/>
      </c>
      <c r="JN14" s="355" t="str">
        <f t="shared" si="158"/>
        <v/>
      </c>
      <c r="JO14" s="359" t="str">
        <f t="shared" si="159"/>
        <v/>
      </c>
      <c r="JP14" s="346" t="b">
        <f t="shared" si="160"/>
        <v>0</v>
      </c>
      <c r="JQ14" s="347" t="b">
        <f t="shared" si="161"/>
        <v>0</v>
      </c>
      <c r="JR14" s="347" t="b">
        <f t="shared" si="162"/>
        <v>0</v>
      </c>
      <c r="JS14" s="347" t="b">
        <f t="shared" si="163"/>
        <v>0</v>
      </c>
      <c r="JT14" s="347" t="b">
        <f t="shared" si="164"/>
        <v>0</v>
      </c>
      <c r="JU14" s="347" t="b">
        <f t="shared" si="165"/>
        <v>0</v>
      </c>
      <c r="JV14" s="347" t="b">
        <f t="shared" si="166"/>
        <v>0</v>
      </c>
      <c r="JW14" s="347" t="b">
        <f t="shared" si="167"/>
        <v>0</v>
      </c>
      <c r="JX14" s="347" t="b">
        <f t="shared" si="168"/>
        <v>0</v>
      </c>
      <c r="JY14" s="347" t="b">
        <f t="shared" si="169"/>
        <v>0</v>
      </c>
      <c r="JZ14" s="347" t="b">
        <f t="shared" si="170"/>
        <v>0</v>
      </c>
      <c r="KA14" s="347" t="b">
        <f t="shared" si="171"/>
        <v>0</v>
      </c>
      <c r="KB14" s="365" t="b">
        <f t="shared" si="172"/>
        <v>0</v>
      </c>
      <c r="KC14" s="354" t="str">
        <f t="shared" si="173"/>
        <v/>
      </c>
      <c r="KD14" s="355" t="str">
        <f t="shared" si="174"/>
        <v/>
      </c>
      <c r="KE14" s="355" t="str">
        <f t="shared" si="175"/>
        <v/>
      </c>
      <c r="KF14" s="355" t="str">
        <f t="shared" si="176"/>
        <v/>
      </c>
      <c r="KG14" s="355" t="str">
        <f t="shared" si="177"/>
        <v/>
      </c>
      <c r="KH14" s="355" t="str">
        <f t="shared" si="178"/>
        <v/>
      </c>
      <c r="KI14" s="355" t="str">
        <f t="shared" si="179"/>
        <v/>
      </c>
      <c r="KJ14" s="355" t="str">
        <f t="shared" si="180"/>
        <v/>
      </c>
      <c r="KK14" s="355" t="str">
        <f t="shared" si="181"/>
        <v/>
      </c>
      <c r="KL14" s="355" t="str">
        <f t="shared" si="182"/>
        <v/>
      </c>
      <c r="KM14" s="355" t="str">
        <f t="shared" si="183"/>
        <v/>
      </c>
      <c r="KN14" s="355" t="str">
        <f t="shared" si="184"/>
        <v/>
      </c>
      <c r="KO14" s="359"/>
      <c r="KP14" s="378"/>
      <c r="KQ14" s="379" t="s">
        <v>9</v>
      </c>
      <c r="KR14" s="380" t="s">
        <v>9</v>
      </c>
      <c r="KS14" s="381" t="s">
        <v>9</v>
      </c>
      <c r="KT14" s="382">
        <f t="shared" si="186"/>
        <v>0</v>
      </c>
      <c r="KU14" s="383">
        <f t="shared" si="187"/>
        <v>0</v>
      </c>
      <c r="KV14" s="381" t="str">
        <f t="shared" si="205"/>
        <v>S</v>
      </c>
      <c r="KW14" s="382">
        <f t="shared" si="189"/>
        <v>0</v>
      </c>
      <c r="KX14" s="384">
        <f t="shared" si="190"/>
        <v>0</v>
      </c>
      <c r="KY14" s="382">
        <f t="shared" ref="KY14:KZ14" si="218">KW14-KT14</f>
        <v>0</v>
      </c>
      <c r="KZ14" s="369">
        <f t="shared" si="218"/>
        <v>0</v>
      </c>
      <c r="LA14" s="385" t="str">
        <f t="shared" si="192"/>
        <v>✔</v>
      </c>
      <c r="LB14" s="340" t="str">
        <f>IFERROR(__xludf.DUMMYFUNCTION("JOIN("""",ArrayFormula(MID(KS14,LEN(KS14)-SEQUENCE(1,LEN(KS14))+1,1)))"),"S")</f>
        <v>S</v>
      </c>
      <c r="LC14" s="373" t="str">
        <f>IFERROR(__xludf.DUMMYFUNCTION("JOIN("""",ArrayFormula(MID(KV14,LEN(KV14)-SEQUENCE(1,LEN(KV14))+1,1)))"),"S")</f>
        <v>S</v>
      </c>
      <c r="LD14" s="373" t="str">
        <f t="shared" si="193"/>
        <v>S</v>
      </c>
      <c r="LE14" s="339" t="str">
        <f t="shared" si="194"/>
        <v>S</v>
      </c>
      <c r="LF14" s="386" t="str">
        <f>IFERROR(__xludf.DUMMYFUNCTION("SUBSTITUTE(SUBSTITUTE(CONCATENATE(JOIN("""",LH14:LT14)),""1"",""""),""2"","""")"),"SS")</f>
        <v>SS</v>
      </c>
      <c r="LG14" s="369" t="str">
        <f t="shared" si="195"/>
        <v>-</v>
      </c>
      <c r="LH14" s="387" t="str">
        <f>IFERROR(__xludf.DUMMYFUNCTION("IF(REGEXMATCH(LD14, ""S""), ""S"",IF(REGEXMATCH(LE14, ""S""), ""S"",""""))"),"S")</f>
        <v>S</v>
      </c>
      <c r="LI14" s="299" t="str">
        <f>IFERROR(__xludf.DUMMYFUNCTION("IF(REGEXMATCH(LD14, ""r""), ""r1"",IF(REGEXMATCH(LE14, ""r""), ""r2"",""""))"),"")</f>
        <v/>
      </c>
      <c r="LJ14" s="299" t="str">
        <f>IFERROR(__xludf.DUMMYFUNCTION("IF(REGEXMATCH(LD14, ""R""), ""R1"",IF(REGEXMATCH(LE14, ""R""), ""R2"",""""))"),"")</f>
        <v/>
      </c>
      <c r="LK14" s="299" t="str">
        <f>IFERROR(__xludf.DUMMYFUNCTION("IF(REGEXMATCH(LD14, ""g""), ""g1"",IF(REGEXMATCH(LE14, ""g""), ""g2"",""""))"),"")</f>
        <v/>
      </c>
      <c r="LL14" s="299" t="str">
        <f>IFERROR(__xludf.DUMMYFUNCTION("IF(REGEXMATCH(LD14, ""G""), ""G1"",IF(REGEXMATCH(LE14, ""G""), ""G2"",""""))"),"")</f>
        <v/>
      </c>
      <c r="LM14" s="299" t="str">
        <f>IFERROR(__xludf.DUMMYFUNCTION("IF(REGEXMATCH(LD14, ""m""), ""m1"",IF(REGEXMATCH(LE14, ""m""), ""m2"",""""))"),"")</f>
        <v/>
      </c>
      <c r="LN14" s="299" t="str">
        <f>IFERROR(__xludf.DUMMYFUNCTION("IF(REGEXMATCH(LD14, ""M""), ""M1"",IF(REGEXMATCH(LE14, ""M""), ""M2"",""""))"),"")</f>
        <v/>
      </c>
      <c r="LO14" s="299" t="str">
        <f>IFERROR(__xludf.DUMMYFUNCTION("IF(REGEXMATCH(LD14, ""P""), ""P1"",IF(REGEXMATCH(LE14, ""P""), ""P2"",""""))"),"")</f>
        <v/>
      </c>
      <c r="LP14" s="299" t="str">
        <f>IFERROR(__xludf.DUMMYFUNCTION("IF(REGEXMATCH(LD14, ""d""), ""d1"",IF(REGEXMATCH(LE14, ""d""), ""d2"",""""))"),"")</f>
        <v/>
      </c>
      <c r="LQ14" s="299" t="str">
        <f>IFERROR(__xludf.DUMMYFUNCTION("IF(REGEXMATCH(LD14, ""D""), ""D1"",IF(REGEXMATCH(LE14, ""D""), ""D2"",""""))"),"")</f>
        <v/>
      </c>
      <c r="LR14" s="299" t="str">
        <f>IFERROR(__xludf.DUMMYFUNCTION("IF(REGEXMATCH(LD14, ""n""), ""n1"",IF(REGEXMATCH(LE14, ""n""), ""n2"",""""))"),"")</f>
        <v/>
      </c>
      <c r="LS14" s="299" t="str">
        <f>IFERROR(__xludf.DUMMYFUNCTION("IF(REGEXMATCH(LD14, ""N""), ""N1"",IF(REGEXMATCH(LE14, ""N""), ""N2"",""""))"),"")</f>
        <v/>
      </c>
      <c r="LT14" s="388" t="str">
        <f>IFERROR(__xludf.DUMMYFUNCTION("IF(REGEXMATCH(LD14, ""S""), ""S"",IF(REGEXMATCH(LE14, ""S""), ""S"",""""))"),"S")</f>
        <v>S</v>
      </c>
      <c r="LU14" s="389">
        <f t="shared" si="196"/>
        <v>1</v>
      </c>
      <c r="LV14" s="378"/>
      <c r="LW14" s="369"/>
      <c r="LX14" s="369"/>
    </row>
    <row r="15" ht="20.25" customHeight="1">
      <c r="A15" s="298" t="s">
        <v>535</v>
      </c>
      <c r="B15" s="222" t="s">
        <v>536</v>
      </c>
      <c r="C15" s="233" t="str">
        <f t="shared" si="7"/>
        <v>SrRgmPdDnS</v>
      </c>
      <c r="D15" s="234" t="str">
        <f>IFERROR(__xludf.DUMMYFUNCTION("IF(REGEXMATCH(C15, ""S""), ""S"","""")"),"S")</f>
        <v>S</v>
      </c>
      <c r="E15" s="236" t="str">
        <f>IFERROR(__xludf.DUMMYFUNCTION("IF(REGEXMATCH(C15, ""r""), ""r"","""")"),"r")</f>
        <v>r</v>
      </c>
      <c r="F15" s="237" t="str">
        <f>IFERROR(__xludf.DUMMYFUNCTION("IF(REGEXMATCH(C15, ""R""), ""R"","""")"),"R")</f>
        <v>R</v>
      </c>
      <c r="G15" s="237" t="str">
        <f>IFERROR(__xludf.DUMMYFUNCTION("IF(REGEXMATCH(C15, ""g""), ""g"","""")"),"g")</f>
        <v>g</v>
      </c>
      <c r="H15" s="236" t="str">
        <f>IFERROR(__xludf.DUMMYFUNCTION("IF(REGEXMATCH(C15, ""G""), ""G"","""")"),"")</f>
        <v/>
      </c>
      <c r="I15" s="236" t="str">
        <f>IFERROR(__xludf.DUMMYFUNCTION("IF(REGEXMATCH(C15, ""m""), ""m"","""")"),"m")</f>
        <v>m</v>
      </c>
      <c r="J15" s="237" t="str">
        <f>IFERROR(__xludf.DUMMYFUNCTION("IF(REGEXMATCH(C15, ""M""), ""M"","""")"),"")</f>
        <v/>
      </c>
      <c r="K15" s="236" t="str">
        <f>IFERROR(__xludf.DUMMYFUNCTION("IF(REGEXMATCH(C15, ""P""), ""P"","""")"),"P")</f>
        <v>P</v>
      </c>
      <c r="L15" s="237" t="str">
        <f>IFERROR(__xludf.DUMMYFUNCTION("IF(REGEXMATCH(C15, ""d""), ""d"","""")"),"d")</f>
        <v>d</v>
      </c>
      <c r="M15" s="236" t="str">
        <f>IFERROR(__xludf.DUMMYFUNCTION("IF(REGEXMATCH(C15, ""D""), ""D"","""")"),"D")</f>
        <v>D</v>
      </c>
      <c r="N15" s="236" t="str">
        <f>IFERROR(__xludf.DUMMYFUNCTION("IF(REGEXMATCH(C15, ""n""), ""n"","""")"),"n")</f>
        <v>n</v>
      </c>
      <c r="O15" s="237" t="str">
        <f>IFERROR(__xludf.DUMMYFUNCTION("IF(REGEXMATCH(C15, ""N""), ""N"","""")"),"")</f>
        <v/>
      </c>
      <c r="P15" s="238" t="str">
        <f>IFERROR(__xludf.DUMMYFUNCTION("IF(REGEXMATCH(C15, ""S""), ""S"","""")"),"S")</f>
        <v>S</v>
      </c>
      <c r="Q15" s="239" t="str">
        <f>IFERROR(__xludf.DUMMYFUNCTION("SUBSTITUTE(CONCATENATE(JOIN(""-"",D15:J15)),""-"","""")"),"SrRgm")</f>
        <v>SrRgm</v>
      </c>
      <c r="R15" s="229" t="str">
        <f>IFERROR(__xludf.DUMMYFUNCTION("SUBSTITUTE(CONCATENATE(JOIN(""-"",K15:P15)),""-"","""")"),"PdDnS")</f>
        <v>PdDnS</v>
      </c>
      <c r="S15" s="282" t="str">
        <f t="shared" si="8"/>
        <v>S-R-G-M</v>
      </c>
      <c r="T15" s="282" t="str">
        <f t="shared" si="9"/>
        <v>P-D-N-S</v>
      </c>
      <c r="U15" s="237" t="str">
        <f>IFERROR(__xludf.DUMMYFUNCTION("SUBSTITUTE(JOIN(""-"",S15,T15),""--"",""-"")"),"S-R-G-M-P-D-N-S")</f>
        <v>S-R-G-M-P-D-N-S</v>
      </c>
      <c r="V15" s="309" t="str">
        <f t="shared" si="10"/>
        <v>rRgmdDn</v>
      </c>
      <c r="W15" s="244" t="str">
        <f>IFERROR(__xludf.DUMMYFUNCTION("IF(REGEXMATCH(C15, ""S""), ""0"","""")"),"0")</f>
        <v>0</v>
      </c>
      <c r="X15" s="245" t="str">
        <f>IFERROR(__xludf.DUMMYFUNCTION("IF(REGEXMATCH(C15, ""r""), ""1"","""")"),"1")</f>
        <v>1</v>
      </c>
      <c r="Y15" s="246" t="str">
        <f>IFERROR(__xludf.DUMMYFUNCTION("IF(REGEXMATCH(C15, ""R""), ""2"","""")"),"2")</f>
        <v>2</v>
      </c>
      <c r="Z15" s="246" t="str">
        <f>IFERROR(__xludf.DUMMYFUNCTION("IF(REGEXMATCH(C15, ""g""), ""3"","""")"),"3")</f>
        <v>3</v>
      </c>
      <c r="AA15" s="245" t="str">
        <f>IFERROR(__xludf.DUMMYFUNCTION("IF(REGEXMATCH(C15, ""G""), ""4"","""")"),"")</f>
        <v/>
      </c>
      <c r="AB15" s="245" t="str">
        <f>IFERROR(__xludf.DUMMYFUNCTION("IF(REGEXMATCH(C15, ""m""), ""5"","""")"),"5")</f>
        <v>5</v>
      </c>
      <c r="AC15" s="246" t="str">
        <f>IFERROR(__xludf.DUMMYFUNCTION("IF(REGEXMATCH(C15, ""M""), ""6"","""")"),"")</f>
        <v/>
      </c>
      <c r="AD15" s="245" t="str">
        <f>IFERROR(__xludf.DUMMYFUNCTION("IF(REGEXMATCH(C15, ""P""), ""7"","""")"),"7")</f>
        <v>7</v>
      </c>
      <c r="AE15" s="246" t="str">
        <f>IFERROR(__xludf.DUMMYFUNCTION("IF(REGEXMATCH(C15, ""d""), ""8"","""")"),"8")</f>
        <v>8</v>
      </c>
      <c r="AF15" s="245" t="str">
        <f>IFERROR(__xludf.DUMMYFUNCTION("IF(REGEXMATCH(C15, ""D""), ""9"","""")"),"9")</f>
        <v>9</v>
      </c>
      <c r="AG15" s="245" t="str">
        <f>IFERROR(__xludf.DUMMYFUNCTION("IF(REGEXMATCH(C15, ""n""), ""10"","""")"),"10")</f>
        <v>10</v>
      </c>
      <c r="AH15" s="246" t="str">
        <f>IFERROR(__xludf.DUMMYFUNCTION("IF(REGEXMATCH(C15, ""N""), ""11"","""")"),"")</f>
        <v/>
      </c>
      <c r="AI15" s="249" t="str">
        <f>IFERROR(__xludf.DUMMYFUNCTION("IF(REGEXMATCH(C15, ""S""), ""0"","""")"),"0")</f>
        <v>0</v>
      </c>
      <c r="AJ15" s="313" t="str">
        <f t="shared" si="11"/>
        <v>-</v>
      </c>
      <c r="AK15" s="313" t="str">
        <f t="shared" si="12"/>
        <v>T</v>
      </c>
      <c r="AL15" s="313" t="str">
        <f t="shared" si="13"/>
        <v>T</v>
      </c>
      <c r="AM15" s="313" t="str">
        <f t="shared" si="14"/>
        <v>T</v>
      </c>
      <c r="AN15" s="313" t="str">
        <f t="shared" si="15"/>
        <v>-</v>
      </c>
      <c r="AO15" s="314" t="str">
        <f t="shared" si="16"/>
        <v>-</v>
      </c>
      <c r="AP15" s="316">
        <f t="shared" si="17"/>
        <v>3</v>
      </c>
      <c r="AQ15" s="319" t="str">
        <f t="shared" si="18"/>
        <v>-</v>
      </c>
      <c r="AR15" s="320">
        <f t="shared" si="19"/>
        <v>0</v>
      </c>
      <c r="AS15" s="250" t="str">
        <f>IFERROR(__xludf.DUMMYFUNCTION("SUBSTITUTE(SUBSTITUTE(CONCATENATE(JOIN("""",FP15:GA15)),""|"",""x""),""-"",""o"")"),"xxxxoxoxxxxo")</f>
        <v>xxxxoxoxxxxo</v>
      </c>
      <c r="AT15" s="323" t="str">
        <f>IFERROR(__xludf.DUMMYFUNCTION("JOIN("""",AS15,AS15)"),"xxxxoxoxxxxoxxxxoxoxxxxo")</f>
        <v>xxxxoxoxxxxoxxxxoxoxxxxo</v>
      </c>
      <c r="AU15" s="256" t="str">
        <f>IFERROR(__xludf.DUMMYFUNCTION("JOIN("""",ArrayFormula(MID(AS15,LEN(AS15)-SEQUENCE(1,LEN(AS15))+1,1)))"),"oxxxxoxoxxxx")</f>
        <v>oxxxxoxoxxxx</v>
      </c>
      <c r="AV15" s="256" t="str">
        <f>IFERROR(__xludf.DUMMYFUNCTION("LEFT(CONCATENATE(""x"",JOIN("""",ArrayFormula(MID(AS15,LEN(AS15)-SEQUENCE(1,LEN(AS15))+1,1)))),12)"),"xoxxxxoxoxxx")</f>
        <v>xoxxxxoxoxxx</v>
      </c>
      <c r="AW15" s="327" t="str">
        <f>IFERROR(__xludf.DUMMYFUNCTION("JOIN("""",AU15,AU15)"),"oxxxxoxoxxxxoxxxxoxoxxxx")</f>
        <v>oxxxxoxoxxxxoxxxxoxoxxxx</v>
      </c>
      <c r="AX15" s="239" t="str">
        <f>IFERROR(__xludf.DUMMYFUNCTION("IF(REGEXMATCH(AW15,AS15),""✔"",""-"")"),"✔")</f>
        <v>✔</v>
      </c>
      <c r="AY15" s="330" t="str">
        <f t="shared" si="20"/>
        <v>-</v>
      </c>
      <c r="AZ15" s="260" t="str">
        <f t="shared" si="21"/>
        <v>#REF!</v>
      </c>
      <c r="BA15" s="333" t="str">
        <f t="shared" si="22"/>
        <v>xxxxoxo</v>
      </c>
      <c r="BB15" s="334" t="str">
        <f t="shared" si="23"/>
        <v>xxxxox</v>
      </c>
      <c r="BC15" s="335" t="str">
        <f t="shared" si="24"/>
        <v>✔</v>
      </c>
      <c r="BD15" s="336" t="str">
        <f t="shared" si="25"/>
        <v>Amiri Todi: 'xxxxoxo' + 'xxxxox'</v>
      </c>
      <c r="BE15" s="337">
        <f>IFERROR(__xludf.DUMMYFUNCTION("COUNTUNIQUE(FILTER(AT:AT,REGEXMATCH(AT:AT,AS15)))-1"),4.0)</f>
        <v>4</v>
      </c>
      <c r="BF15" s="261" t="str">
        <f>IFERROR(__xludf.DUMMYFUNCTION("IF(BI15=0,""(n/a)"",IF(BJ15=2,""(PAIR)"",IF(REGEXMATCH(AT15,""xoxoxxoxoxox""),""Bilawal"",IF(REGEXMATCH(AT15,""xoxoxooxoxoo""),""Bhupali"",IF(REGEXMATCH(AT15,""xoxoxxoxxoxo""),""Charukeshi"",IF(REGEXMATCH(AT15,""xoxoooxxoxxo""),""Kameshwari"",IF(REGEXMATC"&amp;"H(AT15,""xoxoxooxoxox""),""Shankara"",IF(REGEXMATCH(AT15,""xxooxoxxxoox""),""Basant"",IF(REGEXMATCH(AT15,""xoxoxxxxoxox""),""Bihag"",IF(REGEXMATCH(AT15,""xoxxxxoxoxxx""),""Pilu"",IF(REGEXMATCH(AT15,""xoxxoxoxxoox""),""Kirwani"",IF(REGEXMATCH(AT15,""xoxxox"&amp;"oxoxxx""),""Mk.Malhar"",IF(REGEXMATCH(AT15,""xxooxxoxxoox""),""Bhairav"",IF(REGEXMATCH(AT15,""xxoxooxxxoox""),""Todi"",IF(REGEXMATCH(AT15,""xxooxoxooxox""),""Marwa"",IF(REGEXMATCH(AT15,""xxoooxoxxooo""),""Gunkali"",IF(REGEXMATCH(AT15,""xoxoxxoxxoox""),""N"&amp;"at Bhairav"",IF(REGEXMATCH(AT15,""xoxxoooxoxoo""),""Shivranjani"",IF(REGEXMATCH(AT15,""xooxxxoxooxo""),""Jog"",IF(REGEXMATCH(AT15,""xxooxoxoxoox""),""Hemshri"",IF(REGEXMATCH(AT15,""xoooxooxoxxo""),""Kalavati"",IF(REGEXMATCH(AT15,""xxoxoxxoxoox""),""Kedar"&amp;""",IF(REGEXMATCH(AT15,""xoxxxxoxooxx""),""Gara"",IF(REGEXMATCH(AT15,""xooxoxooxoox""),""Chandrakauns"",IF(REGEXMATCH(AT15,""xoxxxxoxxxox""),""Mand"",IF(REGEXMATCH(AT15,""xoxxxxoxoxox""),""Hanskinkini"",IF(REGEXMATCH(AT15,""xxooxxoxooxo""),""Lilavati"",IF("&amp;"REGEXMATCH(AT15,""xooxoxoooxox""),""Rajeshwari"",IF(REGEXMATCH(AT15,""xoooxxoxoxxx""),""Khokar"",IF(REGEXMATCH(AT15,""xxooxoxxxxox""),""Maligoura"",""-""))))))))))))))))))))))))))))))"),"Pilu")</f>
        <v>Pilu</v>
      </c>
      <c r="BG15" s="239" t="str">
        <f t="shared" si="26"/>
        <v>#REF!</v>
      </c>
      <c r="BH15" s="239">
        <f>IFERROR(__xludf.DUMMYFUNCTION("COUNTUNIQUE(FE15:FO15)-1"),8.0)</f>
        <v>8</v>
      </c>
      <c r="BI15" s="239">
        <f>IFERROR(__xludf.DUMMYFUNCTION("COUNTUNIQUE(FILTER(AT:AT,REGEXMATCH(AT:AT,AS15)))-1"),4.0)</f>
        <v>4</v>
      </c>
      <c r="BJ15" s="239">
        <f>IFERROR(__xludf.DUMMYFUNCTION("COUNTA(FILTER(AT:AT,REGEXMATCH(AT:AT,AS15)))"),26.0)</f>
        <v>26</v>
      </c>
      <c r="BK15" s="341">
        <f>IFERROR(__xludf.DUMMYFUNCTION("COUNTA(FILTER(AT:AT,REGEXMATCH(AT:AT,AS15)))-AR15"),26.0)</f>
        <v>26</v>
      </c>
      <c r="BL15" s="276" t="str">
        <f>IFERROR(__xludf.DUMMYFUNCTION("IF(AS15=""oooooooooooo"",""-"",IF(REGEXMATCH(AT15,""xx""), ""Hemi."", ""Anhemi.""))"),"Hemi.")</f>
        <v>Hemi.</v>
      </c>
      <c r="BM15" s="282" t="str">
        <f>IFERROR(__xludf.DUMMYFUNCTION("IF(AS15=""oooooooooooo"",""-"",IF(REGEXMATCH(AT15,""xxx""), ""Cohem."", ""-""))"),"Cohem.")</f>
        <v>Cohem.</v>
      </c>
      <c r="BN15" s="282" t="str">
        <f>IFERROR(__xludf.DUMMYFUNCTION("IF(AS15=""oooooooooooo"",""-"",IF(REGEXMATCH(AT15,""xxxx""), ""Co-Co."", ""-""))"),"Co-Co.")</f>
        <v>Co-Co.</v>
      </c>
      <c r="BO15" s="342" t="str">
        <f>IFERROR(__xludf.DUMMYFUNCTION("IF(AS15=""oooooooooooo"",""-"",IF(REGEXMATCH(AT15,""xxxxx""), ""CCC."", ""-""))"),"-")</f>
        <v>-</v>
      </c>
      <c r="BP15" s="344" t="str">
        <f t="shared" si="27"/>
        <v>-</v>
      </c>
      <c r="BQ15" s="282" t="str">
        <f>IFERROR(__xludf.DUMMYFUNCTION("IF(REGEXMATCH(JOIN(""-"",EU15:FD15),""TRUE""),""✔"",""-"")"),"-")</f>
        <v>-</v>
      </c>
      <c r="BR15" s="225">
        <f t="shared" si="28"/>
        <v>0</v>
      </c>
      <c r="BS15" s="345" t="str">
        <f>IFERROR(__xludf.DUMMYFUNCTION("SUBSTITUTE(SUBSTITUTE(SUBSTITUTE(SUBSTITUTE(CONCATENATE(JOIN(""-"",GC15:GO15)),""--"",""-""),""--"",""-""),""--"",""-""),""--"",""-"")"),"1-b2-2-b3-4-5-b6-6-b7-8")</f>
        <v>1-b2-2-b3-4-5-b6-6-b7-8</v>
      </c>
      <c r="BT15" s="299" t="str">
        <f>IFERROR(__xludf.DUMMYFUNCTION("SUBSTITUTE(SUBSTITUTE(SUBSTITUTE(SUBSTITUTE(CONCATENATE(JOIN(""-"",GP15:HB15)),""--"",""-""),""--"",""-""),""--"",""-""),""--"",""-"")"),"S-R1-R2-G2-M1-P-D1-D2-N2-S")</f>
        <v>S-R1-R2-G2-M1-P-D1-D2-N2-S</v>
      </c>
      <c r="BU15" s="348" t="str">
        <f t="shared" si="29"/>
        <v>C-Db-D-Eb-F-G-Ab-A-Bb-C</v>
      </c>
      <c r="BV15" s="349" t="str">
        <f t="shared" si="30"/>
        <v>SGMNS</v>
      </c>
      <c r="BW15" s="350">
        <f t="shared" si="31"/>
        <v>0</v>
      </c>
      <c r="BX15" s="351">
        <f t="shared" si="32"/>
        <v>2</v>
      </c>
      <c r="BY15" s="352" t="s">
        <v>275</v>
      </c>
      <c r="BZ15" s="309" t="str">
        <f>IFERROR(__xludf.DUMMYFUNCTION("IF(REGEXMATCH(C15, ""S""), ""x"",""x"")"),"x")</f>
        <v>x</v>
      </c>
      <c r="CA15" s="245" t="str">
        <f>IFERROR(__xludf.DUMMYFUNCTION("IF(REGEXMATCH(C15, ""r""), ""o"",""x"")"),"o")</f>
        <v>o</v>
      </c>
      <c r="CB15" s="246" t="str">
        <f>IFERROR(__xludf.DUMMYFUNCTION("IF(REGEXMATCH(C15, ""R""), ""o"",""x"")"),"o")</f>
        <v>o</v>
      </c>
      <c r="CC15" s="246" t="str">
        <f>IFERROR(__xludf.DUMMYFUNCTION("IF(REGEXMATCH(C15, ""g""), ""o"",""x"")"),"o")</f>
        <v>o</v>
      </c>
      <c r="CD15" s="245" t="str">
        <f>IFERROR(__xludf.DUMMYFUNCTION("IF(REGEXMATCH(C15, ""G""), ""o"",""x"")"),"x")</f>
        <v>x</v>
      </c>
      <c r="CE15" s="245" t="str">
        <f>IFERROR(__xludf.DUMMYFUNCTION("IF(REGEXMATCH(C15, ""m""), ""o"",""x"")"),"o")</f>
        <v>o</v>
      </c>
      <c r="CF15" s="246" t="str">
        <f>IFERROR(__xludf.DUMMYFUNCTION("IF(REGEXMATCH(C15, ""M""), ""o"",""x"")"),"x")</f>
        <v>x</v>
      </c>
      <c r="CG15" s="245" t="str">
        <f>IFERROR(__xludf.DUMMYFUNCTION("IF(REGEXMATCH(C15, ""P""), ""o"",""x"")"),"o")</f>
        <v>o</v>
      </c>
      <c r="CH15" s="246" t="str">
        <f>IFERROR(__xludf.DUMMYFUNCTION("IF(REGEXMATCH(C15, ""d""), ""o"",""x"")"),"o")</f>
        <v>o</v>
      </c>
      <c r="CI15" s="245" t="str">
        <f>IFERROR(__xludf.DUMMYFUNCTION("IF(REGEXMATCH(C15, ""D""), ""o"",""x"")"),"o")</f>
        <v>o</v>
      </c>
      <c r="CJ15" s="245" t="str">
        <f>IFERROR(__xludf.DUMMYFUNCTION("IF(REGEXMATCH(C15, ""n""), ""o"",""x"")"),"o")</f>
        <v>o</v>
      </c>
      <c r="CK15" s="245" t="str">
        <f>IFERROR(__xludf.DUMMYFUNCTION("IF(REGEXMATCH(C15, ""N""), ""o"",""x"")"),"x")</f>
        <v>x</v>
      </c>
      <c r="CL15" s="356" t="str">
        <f>IFERROR(__xludf.DUMMYFUNCTION("IF(REGEXMATCH(C15, ""S""), ""x"",""x"")"),"x")</f>
        <v>x</v>
      </c>
      <c r="CM15" s="357" t="str">
        <f t="shared" si="33"/>
        <v>xoooxoxoooox</v>
      </c>
      <c r="CN15" s="358">
        <f t="shared" si="34"/>
        <v>0</v>
      </c>
      <c r="CO15" s="246" t="str">
        <f>IFERROR(__xludf.DUMMYFUNCTION("IF(REGEXMATCH($C15, ""S""), ""S"",""S"")"),"S")</f>
        <v>S</v>
      </c>
      <c r="CP15" s="246" t="str">
        <f>IFERROR(__xludf.DUMMYFUNCTION("IF(REGEXMATCH($C15, ""r""), """",""r"")"),"")</f>
        <v/>
      </c>
      <c r="CQ15" s="246" t="str">
        <f>IFERROR(__xludf.DUMMYFUNCTION("IF(REGEXMATCH($C15, ""R""), """",""R"")"),"")</f>
        <v/>
      </c>
      <c r="CR15" s="246" t="str">
        <f>IFERROR(__xludf.DUMMYFUNCTION("IF(REGEXMATCH($C15, ""g""), """",""g"")"),"")</f>
        <v/>
      </c>
      <c r="CS15" s="246" t="str">
        <f>IFERROR(__xludf.DUMMYFUNCTION("IF(REGEXMATCH($C15, ""G""), """",""G"")"),"G")</f>
        <v>G</v>
      </c>
      <c r="CT15" s="246" t="str">
        <f>IFERROR(__xludf.DUMMYFUNCTION("IF(REGEXMATCH($C15, ""m""), """",""m"")"),"")</f>
        <v/>
      </c>
      <c r="CU15" s="246" t="str">
        <f>IFERROR(__xludf.DUMMYFUNCTION("IF(REGEXMATCH($C15, ""M""), """",""M"")"),"M")</f>
        <v>M</v>
      </c>
      <c r="CV15" s="246" t="str">
        <f>IFERROR(__xludf.DUMMYFUNCTION("IF(REGEXMATCH($C15, ""P""), """",""P"")"),"")</f>
        <v/>
      </c>
      <c r="CW15" s="246" t="str">
        <f>IFERROR(__xludf.DUMMYFUNCTION("IF(REGEXMATCH($C15, ""d""), """",""d"")"),"")</f>
        <v/>
      </c>
      <c r="CX15" s="246" t="str">
        <f>IFERROR(__xludf.DUMMYFUNCTION("IF(REGEXMATCH($C15, ""D""), """",""D"")"),"")</f>
        <v/>
      </c>
      <c r="CY15" s="246" t="str">
        <f>IFERROR(__xludf.DUMMYFUNCTION("IF(REGEXMATCH($C15, ""n""), """",""n"")"),"")</f>
        <v/>
      </c>
      <c r="CZ15" s="246" t="str">
        <f>IFERROR(__xludf.DUMMYFUNCTION("IF(REGEXMATCH($C15, ""N""), """",""N"")"),"N")</f>
        <v>N</v>
      </c>
      <c r="DA15" s="246" t="str">
        <f>IFERROR(__xludf.DUMMYFUNCTION("IF(REGEXMATCH($C15, ""S""), ""S"",""S"")"),"S")</f>
        <v>S</v>
      </c>
      <c r="DB15" s="362" t="str">
        <f>IFERROR(__xludf.DUMMYFUNCTION("JOIN("""",CO15:DA15,"""","""")"),"SGMNS")</f>
        <v>SGMNS</v>
      </c>
      <c r="DC15" s="363"/>
      <c r="DD15" s="301" t="str">
        <f t="shared" si="35"/>
        <v>#REF!</v>
      </c>
      <c r="DE15" s="302" t="str">
        <f t="shared" si="36"/>
        <v>#REF!</v>
      </c>
      <c r="DF15" s="301" t="str">
        <f t="shared" ref="DF15:DG15" si="219">SUBSTITUTE(S15,"-","")</f>
        <v>SRGM</v>
      </c>
      <c r="DG15" s="301" t="str">
        <f t="shared" si="219"/>
        <v>PDNS</v>
      </c>
      <c r="DH15" s="302" t="str">
        <f t="shared" si="38"/>
        <v>Pilu</v>
      </c>
      <c r="DI15" s="301" t="str">
        <f t="shared" si="39"/>
        <v>Hemi.</v>
      </c>
      <c r="DJ15" s="364" t="str">
        <f t="shared" si="40"/>
        <v>Co-Co.</v>
      </c>
      <c r="DK15" s="306" t="str">
        <f t="shared" si="41"/>
        <v>-</v>
      </c>
      <c r="DL15" s="366" t="str">
        <f t="shared" si="42"/>
        <v>-</v>
      </c>
      <c r="DM15" s="308" t="str">
        <f t="shared" si="43"/>
        <v>✔</v>
      </c>
      <c r="DN15" s="306" t="str">
        <f t="shared" si="44"/>
        <v>-</v>
      </c>
      <c r="DO15" s="306" t="str">
        <f t="shared" si="45"/>
        <v>-</v>
      </c>
      <c r="DP15" s="367" t="str">
        <f t="shared" si="46"/>
        <v>-</v>
      </c>
      <c r="DQ15" s="310" t="str">
        <f t="shared" si="47"/>
        <v>✔</v>
      </c>
      <c r="DR15" s="310" t="str">
        <f t="shared" si="48"/>
        <v>-</v>
      </c>
      <c r="DS15" s="310" t="str">
        <f t="shared" si="49"/>
        <v>-</v>
      </c>
      <c r="DT15" s="310" t="str">
        <f t="shared" si="50"/>
        <v>✔</v>
      </c>
      <c r="DU15" s="370" t="str">
        <f t="shared" si="51"/>
        <v>-</v>
      </c>
      <c r="DV15" s="306" t="str">
        <f t="shared" si="52"/>
        <v>-</v>
      </c>
      <c r="DW15" s="306" t="str">
        <f t="shared" si="53"/>
        <v>-</v>
      </c>
      <c r="DX15" s="306" t="str">
        <f t="shared" si="54"/>
        <v>-</v>
      </c>
      <c r="DY15" s="306" t="str">
        <f t="shared" si="55"/>
        <v>-</v>
      </c>
      <c r="DZ15" s="306" t="str">
        <f t="shared" si="56"/>
        <v>-</v>
      </c>
      <c r="EA15" s="367" t="str">
        <f t="shared" si="57"/>
        <v>-</v>
      </c>
      <c r="EB15" s="310" t="str">
        <f>IFERROR(__xludf.DUMMYFUNCTION("IF(REGEXMATCH(AW15,AS15),""✔"",""-"")"),"✔")</f>
        <v>✔</v>
      </c>
      <c r="EC15" s="310" t="str">
        <f t="shared" si="58"/>
        <v>#REF!</v>
      </c>
      <c r="ED15" s="370" t="str">
        <f t="shared" si="59"/>
        <v>-</v>
      </c>
      <c r="EE15" s="340" t="str">
        <f t="shared" si="60"/>
        <v>S-rR-g-m-P-dD-n-S</v>
      </c>
      <c r="EF15" s="371" t="str">
        <f>IFERROR(__xludf.DUMMYFUNCTION("CONCATENATE(JOIN("""",HC15:HO15))"),"SRgGmPDnNS")</f>
        <v>SRgGmPDnNS</v>
      </c>
      <c r="EG15" s="372">
        <f t="shared" si="61"/>
        <v>1</v>
      </c>
      <c r="EH15" s="373" t="str">
        <f>IFERROR(__xludf.DUMMYFUNCTION("CONCATENATE(JOIN("""",JC15:JO15))"),"Dha, ")</f>
        <v>Dha, </v>
      </c>
      <c r="EI15" s="322">
        <f t="shared" si="62"/>
        <v>0</v>
      </c>
      <c r="EJ15" s="374" t="str">
        <f>IFERROR(__xludf.DUMMYFUNCTION("CONCATENATE(JOIN("""",KC15:KO15))"),"")</f>
        <v/>
      </c>
      <c r="EK15" s="325" t="str">
        <f t="shared" si="63"/>
        <v>S-R1-R2-G2-M1-P-D1-D2-N2-S</v>
      </c>
      <c r="EL15" s="326" t="str">
        <f t="shared" si="64"/>
        <v>1-b2-2-b3-4-5-b6-6-b7-8</v>
      </c>
      <c r="EM15" s="318" t="str">
        <f t="shared" si="65"/>
        <v>#REF!</v>
      </c>
      <c r="EN15" s="328" t="str">
        <f>IFERROR(__xludf.DUMMYFUNCTION("SUBSTITUTE(SUBSTITUTE(SUBSTITUTE(SUBSTITUTE(CONCATENATE(JOIN("" "",HP15:IB15)),""  "","" ""),""  "","" ""),""  "","" ""),""  "","" "")"),"o o o o • o • o o o o • o")</f>
        <v>o o o o • o • o o o o • o</v>
      </c>
      <c r="EO15" s="368" t="str">
        <f t="shared" si="66"/>
        <v>-</v>
      </c>
      <c r="EP15" s="339" t="str">
        <f t="shared" si="67"/>
        <v>-</v>
      </c>
      <c r="EQ15" s="339" t="str">
        <f t="shared" si="68"/>
        <v>Sa-Pa</v>
      </c>
      <c r="ER15" s="339" t="str">
        <f t="shared" si="69"/>
        <v>-</v>
      </c>
      <c r="ES15" s="340" t="str">
        <f t="shared" si="70"/>
        <v>-</v>
      </c>
      <c r="ET15" s="363"/>
      <c r="EU15" s="376" t="b">
        <f>IFERROR(__xludf.DUMMYFUNCTION("arrayformula(sum(--REGEXMATCH(""SRGMPDNS"",split(REGEXREPLACE(C15,""(.)"",""$1~""),""~""))))=len(C15)
"),FALSE)</f>
        <v>0</v>
      </c>
      <c r="EV15" s="290" t="b">
        <f>IFERROR(__xludf.DUMMYFUNCTION("arrayformula(sum(--REGEXMATCH(""SRGmPDNS"",split(REGEXREPLACE(C15,""(.)"",""$1~""),""~""))))=len(C15)"),FALSE)</f>
        <v>0</v>
      </c>
      <c r="EW15" s="290" t="b">
        <f>IFERROR(__xludf.DUMMYFUNCTION("arrayformula(sum(--REGEXMATCH(""SRGmPDnS"",split(REGEXREPLACE(C15,""(.)"",""$1~""),""~""))))=len(C15)"),FALSE)</f>
        <v>0</v>
      </c>
      <c r="EX15" s="290" t="b">
        <f>IFERROR(__xludf.DUMMYFUNCTION("arrayformula(sum(--REGEXMATCH(""SRgmPDnS"",split(REGEXREPLACE(C15,""(.)"",""$1~""),""~""))))=len(C15)"),FALSE)</f>
        <v>0</v>
      </c>
      <c r="EY15" s="290" t="b">
        <f>IFERROR(__xludf.DUMMYFUNCTION("arrayformula(sum(--REGEXMATCH(""SRgmPdnS"",split(REGEXREPLACE(C15,""(.)"",""$1~""),""~""))))=len(C15)"),FALSE)</f>
        <v>0</v>
      </c>
      <c r="EZ15" s="290" t="b">
        <f>IFERROR(__xludf.DUMMYFUNCTION("arrayformula(sum(--REGEXMATCH(""SrgmPdnS"",split(REGEXREPLACE(C15,""(.)"",""$1~""),""~""))))=len(C15)"),FALSE)</f>
        <v>0</v>
      </c>
      <c r="FA15" s="290" t="b">
        <f>IFERROR(__xludf.DUMMYFUNCTION("arrayformula(sum(--REGEXMATCH(""SrGmPdNS"",split(REGEXREPLACE(C15,""(.)"",""$1~""),""~""))))=len(C15)"),FALSE)</f>
        <v>0</v>
      </c>
      <c r="FB15" s="290" t="b">
        <f>IFERROR(__xludf.DUMMYFUNCTION("arrayformula(sum(--REGEXMATCH(""SrGMPDNS"",split(REGEXREPLACE(C15,""(.)"",""$1~""),""~""))))=len(C15)"),FALSE)</f>
        <v>0</v>
      </c>
      <c r="FC15" s="290" t="b">
        <f>IFERROR(__xludf.DUMMYFUNCTION("arrayformula(sum(--REGEXMATCH(""SrGMPdNS"",split(REGEXREPLACE(C15,""(.)"",""$1~""),""~""))))=len(C15)"),FALSE)</f>
        <v>0</v>
      </c>
      <c r="FD15" s="377" t="b">
        <f>IFERROR(__xludf.DUMMYFUNCTION("arrayformula(sum(--REGEXMATCH(""SrgMPdNS"",split(REGEXREPLACE(C15,""(.)"",""$1~""),""~""))))=len(C15)"),FALSE)</f>
        <v>0</v>
      </c>
      <c r="FE15" s="269" t="str">
        <f t="shared" si="71"/>
        <v>xxxoxoxxxxo</v>
      </c>
      <c r="FF15" s="269" t="str">
        <f t="shared" si="72"/>
        <v>xxoxoxxxxox</v>
      </c>
      <c r="FG15" s="271" t="str">
        <f t="shared" si="73"/>
        <v>xoxoxxxxoxx</v>
      </c>
      <c r="FH15" s="269" t="str">
        <f t="shared" si="74"/>
        <v>-</v>
      </c>
      <c r="FI15" s="271" t="str">
        <f t="shared" si="75"/>
        <v>xoxxxxoxxxx</v>
      </c>
      <c r="FJ15" s="271" t="str">
        <f t="shared" si="76"/>
        <v>-</v>
      </c>
      <c r="FK15" s="271" t="str">
        <f t="shared" si="77"/>
        <v>xxxxoxxxxox</v>
      </c>
      <c r="FL15" s="271" t="str">
        <f t="shared" si="78"/>
        <v>xxxoxxxxoxo</v>
      </c>
      <c r="FM15" s="271" t="str">
        <f t="shared" si="79"/>
        <v>xxoxxxxoxox</v>
      </c>
      <c r="FN15" s="271" t="str">
        <f t="shared" si="80"/>
        <v>xoxxxxoxoxx</v>
      </c>
      <c r="FO15" s="274" t="str">
        <f t="shared" si="81"/>
        <v>-</v>
      </c>
      <c r="FP15" s="234" t="str">
        <f t="shared" si="82"/>
        <v>|</v>
      </c>
      <c r="FQ15" s="236" t="str">
        <f t="shared" si="83"/>
        <v>|</v>
      </c>
      <c r="FR15" s="237" t="str">
        <f t="shared" si="84"/>
        <v>|</v>
      </c>
      <c r="FS15" s="236" t="str">
        <f t="shared" si="85"/>
        <v>|</v>
      </c>
      <c r="FT15" s="237" t="str">
        <f t="shared" si="86"/>
        <v>-</v>
      </c>
      <c r="FU15" s="236" t="str">
        <f t="shared" si="87"/>
        <v>|</v>
      </c>
      <c r="FV15" s="237" t="str">
        <f t="shared" si="88"/>
        <v>-</v>
      </c>
      <c r="FW15" s="236" t="str">
        <f t="shared" si="89"/>
        <v>|</v>
      </c>
      <c r="FX15" s="237" t="str">
        <f t="shared" si="90"/>
        <v>|</v>
      </c>
      <c r="FY15" s="236" t="str">
        <f t="shared" si="91"/>
        <v>|</v>
      </c>
      <c r="FZ15" s="237" t="str">
        <f t="shared" si="92"/>
        <v>|</v>
      </c>
      <c r="GA15" s="236" t="str">
        <f t="shared" si="93"/>
        <v>-</v>
      </c>
      <c r="GB15" s="238" t="str">
        <f t="shared" si="94"/>
        <v>|</v>
      </c>
      <c r="GC15" s="244" t="str">
        <f>IFERROR(__xludf.DUMMYFUNCTION("IF(REGEXMATCH(C15, ""S""), ""1"","""")"),"1")</f>
        <v>1</v>
      </c>
      <c r="GD15" s="245" t="str">
        <f>IFERROR(__xludf.DUMMYFUNCTION("IF(REGEXMATCH(C15, ""r""), ""b2"","""")"),"b2")</f>
        <v>b2</v>
      </c>
      <c r="GE15" s="246" t="str">
        <f>IFERROR(__xludf.DUMMYFUNCTION("IF(REGEXMATCH(C15, ""R""), ""2"","""")"),"2")</f>
        <v>2</v>
      </c>
      <c r="GF15" s="246" t="str">
        <f>IFERROR(__xludf.DUMMYFUNCTION("IF(REGEXMATCH(C15, ""g""), ""b3"","""")"),"b3")</f>
        <v>b3</v>
      </c>
      <c r="GG15" s="245" t="str">
        <f>IFERROR(__xludf.DUMMYFUNCTION("IF(REGEXMATCH(C15, ""G""), ""3"","""")"),"")</f>
        <v/>
      </c>
      <c r="GH15" s="245" t="str">
        <f>IFERROR(__xludf.DUMMYFUNCTION("IF(REGEXMATCH(C15, ""m""), ""4"","""")"),"4")</f>
        <v>4</v>
      </c>
      <c r="GI15" s="246" t="str">
        <f>IFERROR(__xludf.DUMMYFUNCTION("IF(REGEXMATCH(C15, ""M""), ""#4"","""")"),"")</f>
        <v/>
      </c>
      <c r="GJ15" s="245" t="str">
        <f>IFERROR(__xludf.DUMMYFUNCTION("IF(REGEXMATCH(C15, ""P""), ""5"","""")"),"5")</f>
        <v>5</v>
      </c>
      <c r="GK15" s="246" t="str">
        <f>IFERROR(__xludf.DUMMYFUNCTION("IF(REGEXMATCH(C15, ""d""), ""b6"","""")"),"b6")</f>
        <v>b6</v>
      </c>
      <c r="GL15" s="245" t="str">
        <f>IFERROR(__xludf.DUMMYFUNCTION("IF(REGEXMATCH(C15, ""D""), ""6"","""")"),"6")</f>
        <v>6</v>
      </c>
      <c r="GM15" s="245" t="str">
        <f>IFERROR(__xludf.DUMMYFUNCTION("IF(REGEXMATCH(C15, ""n""), ""b7"","""")"),"b7")</f>
        <v>b7</v>
      </c>
      <c r="GN15" s="246" t="str">
        <f>IFERROR(__xludf.DUMMYFUNCTION("IF(REGEXMATCH(C15, ""N""), ""7"","""")"),"")</f>
        <v/>
      </c>
      <c r="GO15" s="249" t="str">
        <f>IFERROR(__xludf.DUMMYFUNCTION("IF(REGEXMATCH(C15, ""S""), ""8"","""")"),"8")</f>
        <v>8</v>
      </c>
      <c r="GP15" s="244" t="str">
        <f>IFERROR(__xludf.DUMMYFUNCTION("IF(REGEXMATCH(C15, ""S""), ""S"","""")"),"S")</f>
        <v>S</v>
      </c>
      <c r="GQ15" s="294" t="str">
        <f>IFERROR(__xludf.DUMMYFUNCTION("IF(REGEXMATCH(C15, ""r""), ""R1"","""")"),"R1")</f>
        <v>R1</v>
      </c>
      <c r="GR15" s="295" t="str">
        <f>IFERROR(__xludf.DUMMYFUNCTION("IF(REGEXMATCH(C15, ""R""), ""R2"","""")"),"R2")</f>
        <v>R2</v>
      </c>
      <c r="GS15" s="295" t="str">
        <f>IFERROR(__xludf.DUMMYFUNCTION("IF(REGEXMATCH(C15, ""g""), ""G2"","""")"),"G2")</f>
        <v>G2</v>
      </c>
      <c r="GT15" s="294" t="str">
        <f>IFERROR(__xludf.DUMMYFUNCTION("IF(REGEXMATCH(C15, ""G""), ""G3"","""")"),"")</f>
        <v/>
      </c>
      <c r="GU15" s="294" t="str">
        <f>IFERROR(__xludf.DUMMYFUNCTION("IF(REGEXMATCH(C15, ""m""), ""M1"","""")"),"M1")</f>
        <v>M1</v>
      </c>
      <c r="GV15" s="295" t="str">
        <f>IFERROR(__xludf.DUMMYFUNCTION("IF(REGEXMATCH(C15, ""M""), ""M2"","""")"),"")</f>
        <v/>
      </c>
      <c r="GW15" s="294" t="str">
        <f>IFERROR(__xludf.DUMMYFUNCTION("IF(REGEXMATCH(C15, ""P""), ""P"","""")"),"P")</f>
        <v>P</v>
      </c>
      <c r="GX15" s="295" t="str">
        <f>IFERROR(__xludf.DUMMYFUNCTION("IF(REGEXMATCH(C15, ""d""), ""D1"","""")"),"D1")</f>
        <v>D1</v>
      </c>
      <c r="GY15" s="294" t="str">
        <f>IFERROR(__xludf.DUMMYFUNCTION("IF(REGEXMATCH(C15, ""D""), ""D2"","""")"),"D2")</f>
        <v>D2</v>
      </c>
      <c r="GZ15" s="294" t="str">
        <f>IFERROR(__xludf.DUMMYFUNCTION("IF(REGEXMATCH(C15, ""n""), ""N2"","""")"),"N2")</f>
        <v>N2</v>
      </c>
      <c r="HA15" s="295" t="str">
        <f>IFERROR(__xludf.DUMMYFUNCTION("IF(REGEXMATCH(C15, ""N""), ""N3"","""")"),"")</f>
        <v/>
      </c>
      <c r="HB15" s="249" t="str">
        <f>IFERROR(__xludf.DUMMYFUNCTION("IF(REGEXMATCH(C15, ""S""), ""S"","""")"),"S")</f>
        <v>S</v>
      </c>
      <c r="HC15" s="331" t="str">
        <f t="shared" si="95"/>
        <v>S</v>
      </c>
      <c r="HD15" s="332" t="str">
        <f t="shared" si="96"/>
        <v/>
      </c>
      <c r="HE15" s="332" t="str">
        <f t="shared" si="97"/>
        <v>R</v>
      </c>
      <c r="HF15" s="332" t="str">
        <f t="shared" si="98"/>
        <v>g</v>
      </c>
      <c r="HG15" s="332" t="str">
        <f t="shared" si="99"/>
        <v>G</v>
      </c>
      <c r="HH15" s="332" t="str">
        <f t="shared" si="100"/>
        <v>m</v>
      </c>
      <c r="HI15" s="332" t="str">
        <f t="shared" si="101"/>
        <v/>
      </c>
      <c r="HJ15" s="332" t="str">
        <f t="shared" si="102"/>
        <v>P</v>
      </c>
      <c r="HK15" s="332" t="str">
        <f t="shared" si="103"/>
        <v/>
      </c>
      <c r="HL15" s="332" t="str">
        <f t="shared" si="104"/>
        <v>D</v>
      </c>
      <c r="HM15" s="332" t="str">
        <f t="shared" si="105"/>
        <v>n</v>
      </c>
      <c r="HN15" s="332" t="str">
        <f t="shared" si="106"/>
        <v>N</v>
      </c>
      <c r="HO15" s="343" t="str">
        <f t="shared" si="107"/>
        <v>S</v>
      </c>
      <c r="HP15" s="331" t="str">
        <f t="shared" si="108"/>
        <v>o</v>
      </c>
      <c r="HQ15" s="332" t="str">
        <f t="shared" si="109"/>
        <v>o</v>
      </c>
      <c r="HR15" s="332" t="str">
        <f t="shared" si="110"/>
        <v>o</v>
      </c>
      <c r="HS15" s="332" t="str">
        <f t="shared" si="111"/>
        <v>o</v>
      </c>
      <c r="HT15" s="332" t="str">
        <f t="shared" si="112"/>
        <v>•</v>
      </c>
      <c r="HU15" s="332" t="str">
        <f t="shared" si="113"/>
        <v>o</v>
      </c>
      <c r="HV15" s="332" t="str">
        <f t="shared" si="114"/>
        <v>•</v>
      </c>
      <c r="HW15" s="332" t="str">
        <f t="shared" si="115"/>
        <v>o</v>
      </c>
      <c r="HX15" s="332" t="str">
        <f t="shared" si="116"/>
        <v>o</v>
      </c>
      <c r="HY15" s="332" t="str">
        <f t="shared" si="117"/>
        <v>o</v>
      </c>
      <c r="HZ15" s="332" t="str">
        <f t="shared" si="118"/>
        <v>o</v>
      </c>
      <c r="IA15" s="332" t="str">
        <f t="shared" si="119"/>
        <v>•</v>
      </c>
      <c r="IB15" s="338" t="str">
        <f t="shared" si="120"/>
        <v>o</v>
      </c>
      <c r="IC15" s="331" t="str">
        <f t="shared" si="121"/>
        <v>•</v>
      </c>
      <c r="ID15" s="332" t="str">
        <f t="shared" si="122"/>
        <v>•</v>
      </c>
      <c r="IE15" s="332" t="str">
        <f t="shared" si="123"/>
        <v>•</v>
      </c>
      <c r="IF15" s="332" t="str">
        <f t="shared" si="124"/>
        <v>•</v>
      </c>
      <c r="IG15" s="332" t="str">
        <f t="shared" si="125"/>
        <v>o</v>
      </c>
      <c r="IH15" s="332" t="str">
        <f t="shared" si="126"/>
        <v>•</v>
      </c>
      <c r="II15" s="332" t="str">
        <f t="shared" si="127"/>
        <v>o</v>
      </c>
      <c r="IJ15" s="332" t="str">
        <f t="shared" si="128"/>
        <v>•</v>
      </c>
      <c r="IK15" s="332" t="str">
        <f t="shared" si="129"/>
        <v>•</v>
      </c>
      <c r="IL15" s="332" t="str">
        <f t="shared" si="130"/>
        <v>•</v>
      </c>
      <c r="IM15" s="332" t="str">
        <f t="shared" si="131"/>
        <v>•</v>
      </c>
      <c r="IN15" s="332" t="str">
        <f t="shared" si="132"/>
        <v>o</v>
      </c>
      <c r="IO15" s="338" t="str">
        <f t="shared" si="133"/>
        <v>•</v>
      </c>
      <c r="IP15" s="346" t="b">
        <f t="shared" si="134"/>
        <v>0</v>
      </c>
      <c r="IQ15" s="347" t="b">
        <f t="shared" si="135"/>
        <v>0</v>
      </c>
      <c r="IR15" s="347" t="b">
        <f t="shared" si="136"/>
        <v>0</v>
      </c>
      <c r="IS15" s="347" t="b">
        <f t="shared" si="137"/>
        <v>0</v>
      </c>
      <c r="IT15" s="347" t="b">
        <f t="shared" si="138"/>
        <v>0</v>
      </c>
      <c r="IU15" s="347" t="b">
        <f t="shared" si="139"/>
        <v>0</v>
      </c>
      <c r="IV15" s="347" t="b">
        <f t="shared" si="140"/>
        <v>0</v>
      </c>
      <c r="IW15" s="347" t="b">
        <f t="shared" si="141"/>
        <v>0</v>
      </c>
      <c r="IX15" s="347" t="b">
        <f t="shared" si="142"/>
        <v>0</v>
      </c>
      <c r="IY15" s="347" t="b">
        <f t="shared" si="143"/>
        <v>1</v>
      </c>
      <c r="IZ15" s="347" t="b">
        <f t="shared" si="144"/>
        <v>0</v>
      </c>
      <c r="JA15" s="347" t="b">
        <f t="shared" si="145"/>
        <v>0</v>
      </c>
      <c r="JB15" s="353" t="b">
        <f t="shared" si="146"/>
        <v>0</v>
      </c>
      <c r="JC15" s="354" t="str">
        <f t="shared" si="147"/>
        <v/>
      </c>
      <c r="JD15" s="355" t="str">
        <f t="shared" si="148"/>
        <v/>
      </c>
      <c r="JE15" s="355" t="str">
        <f t="shared" si="149"/>
        <v/>
      </c>
      <c r="JF15" s="355" t="str">
        <f t="shared" si="150"/>
        <v/>
      </c>
      <c r="JG15" s="355" t="str">
        <f t="shared" si="151"/>
        <v/>
      </c>
      <c r="JH15" s="355" t="str">
        <f t="shared" si="152"/>
        <v/>
      </c>
      <c r="JI15" s="355" t="str">
        <f t="shared" si="153"/>
        <v/>
      </c>
      <c r="JJ15" s="355" t="str">
        <f t="shared" si="154"/>
        <v/>
      </c>
      <c r="JK15" s="355" t="str">
        <f t="shared" si="155"/>
        <v/>
      </c>
      <c r="JL15" s="355" t="str">
        <f t="shared" si="156"/>
        <v>Dha, </v>
      </c>
      <c r="JM15" s="355" t="str">
        <f t="shared" si="157"/>
        <v/>
      </c>
      <c r="JN15" s="355" t="str">
        <f t="shared" si="158"/>
        <v/>
      </c>
      <c r="JO15" s="359" t="str">
        <f t="shared" si="159"/>
        <v/>
      </c>
      <c r="JP15" s="346" t="b">
        <f t="shared" si="160"/>
        <v>0</v>
      </c>
      <c r="JQ15" s="347" t="b">
        <f t="shared" si="161"/>
        <v>0</v>
      </c>
      <c r="JR15" s="347" t="b">
        <f t="shared" si="162"/>
        <v>0</v>
      </c>
      <c r="JS15" s="347" t="b">
        <f t="shared" si="163"/>
        <v>0</v>
      </c>
      <c r="JT15" s="347" t="b">
        <f t="shared" si="164"/>
        <v>0</v>
      </c>
      <c r="JU15" s="347" t="b">
        <f t="shared" si="165"/>
        <v>0</v>
      </c>
      <c r="JV15" s="347" t="b">
        <f t="shared" si="166"/>
        <v>0</v>
      </c>
      <c r="JW15" s="347" t="b">
        <f t="shared" si="167"/>
        <v>0</v>
      </c>
      <c r="JX15" s="347" t="b">
        <f t="shared" si="168"/>
        <v>0</v>
      </c>
      <c r="JY15" s="347" t="b">
        <f t="shared" si="169"/>
        <v>0</v>
      </c>
      <c r="JZ15" s="347" t="b">
        <f t="shared" si="170"/>
        <v>0</v>
      </c>
      <c r="KA15" s="347" t="b">
        <f t="shared" si="171"/>
        <v>0</v>
      </c>
      <c r="KB15" s="365" t="b">
        <f t="shared" si="172"/>
        <v>0</v>
      </c>
      <c r="KC15" s="354" t="str">
        <f t="shared" si="173"/>
        <v/>
      </c>
      <c r="KD15" s="355" t="str">
        <f t="shared" si="174"/>
        <v/>
      </c>
      <c r="KE15" s="355" t="str">
        <f t="shared" si="175"/>
        <v/>
      </c>
      <c r="KF15" s="355" t="str">
        <f t="shared" si="176"/>
        <v/>
      </c>
      <c r="KG15" s="355" t="str">
        <f t="shared" si="177"/>
        <v/>
      </c>
      <c r="KH15" s="355" t="str">
        <f t="shared" si="178"/>
        <v/>
      </c>
      <c r="KI15" s="355" t="str">
        <f t="shared" si="179"/>
        <v/>
      </c>
      <c r="KJ15" s="355" t="str">
        <f t="shared" si="180"/>
        <v/>
      </c>
      <c r="KK15" s="355" t="str">
        <f t="shared" si="181"/>
        <v/>
      </c>
      <c r="KL15" s="355" t="str">
        <f t="shared" si="182"/>
        <v/>
      </c>
      <c r="KM15" s="355" t="str">
        <f t="shared" si="183"/>
        <v/>
      </c>
      <c r="KN15" s="355" t="str">
        <f t="shared" si="184"/>
        <v/>
      </c>
      <c r="KO15" s="359"/>
      <c r="KP15" s="378"/>
      <c r="KQ15" s="379" t="s">
        <v>9</v>
      </c>
      <c r="KR15" s="380" t="s">
        <v>9</v>
      </c>
      <c r="KS15" s="381" t="s">
        <v>9</v>
      </c>
      <c r="KT15" s="382">
        <f t="shared" si="186"/>
        <v>0</v>
      </c>
      <c r="KU15" s="383">
        <f t="shared" si="187"/>
        <v>0</v>
      </c>
      <c r="KV15" s="381" t="str">
        <f t="shared" si="205"/>
        <v>S</v>
      </c>
      <c r="KW15" s="382">
        <f t="shared" si="189"/>
        <v>0</v>
      </c>
      <c r="KX15" s="384">
        <f t="shared" si="190"/>
        <v>0</v>
      </c>
      <c r="KY15" s="382">
        <f t="shared" ref="KY15:KZ15" si="220">KW15-KT15</f>
        <v>0</v>
      </c>
      <c r="KZ15" s="369">
        <f t="shared" si="220"/>
        <v>0</v>
      </c>
      <c r="LA15" s="385" t="str">
        <f t="shared" si="192"/>
        <v>✔</v>
      </c>
      <c r="LB15" s="340" t="str">
        <f>IFERROR(__xludf.DUMMYFUNCTION("JOIN("""",ArrayFormula(MID(KS15,LEN(KS15)-SEQUENCE(1,LEN(KS15))+1,1)))"),"S")</f>
        <v>S</v>
      </c>
      <c r="LC15" s="373" t="str">
        <f>IFERROR(__xludf.DUMMYFUNCTION("JOIN("""",ArrayFormula(MID(KV15,LEN(KV15)-SEQUENCE(1,LEN(KV15))+1,1)))"),"S")</f>
        <v>S</v>
      </c>
      <c r="LD15" s="373" t="str">
        <f t="shared" si="193"/>
        <v>S</v>
      </c>
      <c r="LE15" s="339" t="str">
        <f t="shared" si="194"/>
        <v>S</v>
      </c>
      <c r="LF15" s="386" t="str">
        <f>IFERROR(__xludf.DUMMYFUNCTION("SUBSTITUTE(SUBSTITUTE(CONCATENATE(JOIN("""",LH15:LT15)),""1"",""""),""2"","""")"),"SS")</f>
        <v>SS</v>
      </c>
      <c r="LG15" s="369" t="str">
        <f t="shared" si="195"/>
        <v>-</v>
      </c>
      <c r="LH15" s="387" t="str">
        <f>IFERROR(__xludf.DUMMYFUNCTION("IF(REGEXMATCH(LD15, ""S""), ""S"",IF(REGEXMATCH(LE15, ""S""), ""S"",""""))"),"S")</f>
        <v>S</v>
      </c>
      <c r="LI15" s="299" t="str">
        <f>IFERROR(__xludf.DUMMYFUNCTION("IF(REGEXMATCH(LD15, ""r""), ""r1"",IF(REGEXMATCH(LE15, ""r""), ""r2"",""""))"),"")</f>
        <v/>
      </c>
      <c r="LJ15" s="299" t="str">
        <f>IFERROR(__xludf.DUMMYFUNCTION("IF(REGEXMATCH(LD15, ""R""), ""R1"",IF(REGEXMATCH(LE15, ""R""), ""R2"",""""))"),"")</f>
        <v/>
      </c>
      <c r="LK15" s="299" t="str">
        <f>IFERROR(__xludf.DUMMYFUNCTION("IF(REGEXMATCH(LD15, ""g""), ""g1"",IF(REGEXMATCH(LE15, ""g""), ""g2"",""""))"),"")</f>
        <v/>
      </c>
      <c r="LL15" s="299" t="str">
        <f>IFERROR(__xludf.DUMMYFUNCTION("IF(REGEXMATCH(LD15, ""G""), ""G1"",IF(REGEXMATCH(LE15, ""G""), ""G2"",""""))"),"")</f>
        <v/>
      </c>
      <c r="LM15" s="299" t="str">
        <f>IFERROR(__xludf.DUMMYFUNCTION("IF(REGEXMATCH(LD15, ""m""), ""m1"",IF(REGEXMATCH(LE15, ""m""), ""m2"",""""))"),"")</f>
        <v/>
      </c>
      <c r="LN15" s="299" t="str">
        <f>IFERROR(__xludf.DUMMYFUNCTION("IF(REGEXMATCH(LD15, ""M""), ""M1"",IF(REGEXMATCH(LE15, ""M""), ""M2"",""""))"),"")</f>
        <v/>
      </c>
      <c r="LO15" s="299" t="str">
        <f>IFERROR(__xludf.DUMMYFUNCTION("IF(REGEXMATCH(LD15, ""P""), ""P1"",IF(REGEXMATCH(LE15, ""P""), ""P2"",""""))"),"")</f>
        <v/>
      </c>
      <c r="LP15" s="299" t="str">
        <f>IFERROR(__xludf.DUMMYFUNCTION("IF(REGEXMATCH(LD15, ""d""), ""d1"",IF(REGEXMATCH(LE15, ""d""), ""d2"",""""))"),"")</f>
        <v/>
      </c>
      <c r="LQ15" s="299" t="str">
        <f>IFERROR(__xludf.DUMMYFUNCTION("IF(REGEXMATCH(LD15, ""D""), ""D1"",IF(REGEXMATCH(LE15, ""D""), ""D2"",""""))"),"")</f>
        <v/>
      </c>
      <c r="LR15" s="299" t="str">
        <f>IFERROR(__xludf.DUMMYFUNCTION("IF(REGEXMATCH(LD15, ""n""), ""n1"",IF(REGEXMATCH(LE15, ""n""), ""n2"",""""))"),"")</f>
        <v/>
      </c>
      <c r="LS15" s="299" t="str">
        <f>IFERROR(__xludf.DUMMYFUNCTION("IF(REGEXMATCH(LD15, ""N""), ""N1"",IF(REGEXMATCH(LE15, ""N""), ""N2"",""""))"),"")</f>
        <v/>
      </c>
      <c r="LT15" s="388" t="str">
        <f>IFERROR(__xludf.DUMMYFUNCTION("IF(REGEXMATCH(LD15, ""S""), ""S"",IF(REGEXMATCH(LE15, ""S""), ""S"",""""))"),"S")</f>
        <v>S</v>
      </c>
      <c r="LU15" s="389">
        <f t="shared" si="196"/>
        <v>1</v>
      </c>
      <c r="LV15" s="378"/>
      <c r="LW15" s="369"/>
      <c r="LX15" s="369"/>
    </row>
    <row r="16" ht="20.25" customHeight="1">
      <c r="A16" s="298" t="s">
        <v>538</v>
      </c>
      <c r="B16" s="222" t="s">
        <v>539</v>
      </c>
      <c r="C16" s="233" t="str">
        <f t="shared" si="7"/>
        <v>SGMPnS</v>
      </c>
      <c r="D16" s="234" t="str">
        <f>IFERROR(__xludf.DUMMYFUNCTION("IF(REGEXMATCH(C16, ""S""), ""S"","""")"),"S")</f>
        <v>S</v>
      </c>
      <c r="E16" s="236" t="str">
        <f>IFERROR(__xludf.DUMMYFUNCTION("IF(REGEXMATCH(C16, ""r""), ""r"","""")"),"")</f>
        <v/>
      </c>
      <c r="F16" s="237" t="str">
        <f>IFERROR(__xludf.DUMMYFUNCTION("IF(REGEXMATCH(C16, ""R""), ""R"","""")"),"")</f>
        <v/>
      </c>
      <c r="G16" s="237" t="str">
        <f>IFERROR(__xludf.DUMMYFUNCTION("IF(REGEXMATCH(C16, ""g""), ""g"","""")"),"")</f>
        <v/>
      </c>
      <c r="H16" s="236" t="str">
        <f>IFERROR(__xludf.DUMMYFUNCTION("IF(REGEXMATCH(C16, ""G""), ""G"","""")"),"G")</f>
        <v>G</v>
      </c>
      <c r="I16" s="236" t="str">
        <f>IFERROR(__xludf.DUMMYFUNCTION("IF(REGEXMATCH(C16, ""m""), ""m"","""")"),"")</f>
        <v/>
      </c>
      <c r="J16" s="237" t="str">
        <f>IFERROR(__xludf.DUMMYFUNCTION("IF(REGEXMATCH(C16, ""M""), ""M"","""")"),"M")</f>
        <v>M</v>
      </c>
      <c r="K16" s="236" t="str">
        <f>IFERROR(__xludf.DUMMYFUNCTION("IF(REGEXMATCH(C16, ""P""), ""P"","""")"),"P")</f>
        <v>P</v>
      </c>
      <c r="L16" s="237" t="str">
        <f>IFERROR(__xludf.DUMMYFUNCTION("IF(REGEXMATCH(C16, ""d""), ""d"","""")"),"")</f>
        <v/>
      </c>
      <c r="M16" s="236" t="str">
        <f>IFERROR(__xludf.DUMMYFUNCTION("IF(REGEXMATCH(C16, ""D""), ""D"","""")"),"")</f>
        <v/>
      </c>
      <c r="N16" s="236" t="str">
        <f>IFERROR(__xludf.DUMMYFUNCTION("IF(REGEXMATCH(C16, ""n""), ""n"","""")"),"n")</f>
        <v>n</v>
      </c>
      <c r="O16" s="237" t="str">
        <f>IFERROR(__xludf.DUMMYFUNCTION("IF(REGEXMATCH(C16, ""N""), ""N"","""")"),"")</f>
        <v/>
      </c>
      <c r="P16" s="238" t="str">
        <f>IFERROR(__xludf.DUMMYFUNCTION("IF(REGEXMATCH(C16, ""S""), ""S"","""")"),"S")</f>
        <v>S</v>
      </c>
      <c r="Q16" s="239" t="str">
        <f>IFERROR(__xludf.DUMMYFUNCTION("SUBSTITUTE(CONCATENATE(JOIN(""-"",D16:J16)),""-"","""")"),"SGM")</f>
        <v>SGM</v>
      </c>
      <c r="R16" s="229" t="str">
        <f>IFERROR(__xludf.DUMMYFUNCTION("SUBSTITUTE(CONCATENATE(JOIN(""-"",K16:P16)),""-"","""")"),"PnS")</f>
        <v>PnS</v>
      </c>
      <c r="S16" s="282" t="str">
        <f t="shared" si="8"/>
        <v>S-G-M</v>
      </c>
      <c r="T16" s="282" t="str">
        <f t="shared" si="9"/>
        <v>P-N-S</v>
      </c>
      <c r="U16" s="237" t="str">
        <f>IFERROR(__xludf.DUMMYFUNCTION("SUBSTITUTE(JOIN(""-"",S16,T16),""--"",""-"")"),"S-G-M-P-N-S")</f>
        <v>S-G-M-P-N-S</v>
      </c>
      <c r="V16" s="309" t="str">
        <f t="shared" si="10"/>
        <v>GMn</v>
      </c>
      <c r="W16" s="244" t="str">
        <f>IFERROR(__xludf.DUMMYFUNCTION("IF(REGEXMATCH(C16, ""S""), ""0"","""")"),"0")</f>
        <v>0</v>
      </c>
      <c r="X16" s="245" t="str">
        <f>IFERROR(__xludf.DUMMYFUNCTION("IF(REGEXMATCH(C16, ""r""), ""1"","""")"),"")</f>
        <v/>
      </c>
      <c r="Y16" s="246" t="str">
        <f>IFERROR(__xludf.DUMMYFUNCTION("IF(REGEXMATCH(C16, ""R""), ""2"","""")"),"")</f>
        <v/>
      </c>
      <c r="Z16" s="246" t="str">
        <f>IFERROR(__xludf.DUMMYFUNCTION("IF(REGEXMATCH(C16, ""g""), ""3"","""")"),"")</f>
        <v/>
      </c>
      <c r="AA16" s="245" t="str">
        <f>IFERROR(__xludf.DUMMYFUNCTION("IF(REGEXMATCH(C16, ""G""), ""4"","""")"),"4")</f>
        <v>4</v>
      </c>
      <c r="AB16" s="245" t="str">
        <f>IFERROR(__xludf.DUMMYFUNCTION("IF(REGEXMATCH(C16, ""m""), ""5"","""")"),"")</f>
        <v/>
      </c>
      <c r="AC16" s="246" t="str">
        <f>IFERROR(__xludf.DUMMYFUNCTION("IF(REGEXMATCH(C16, ""M""), ""6"","""")"),"6")</f>
        <v>6</v>
      </c>
      <c r="AD16" s="245" t="str">
        <f>IFERROR(__xludf.DUMMYFUNCTION("IF(REGEXMATCH(C16, ""P""), ""7"","""")"),"7")</f>
        <v>7</v>
      </c>
      <c r="AE16" s="246" t="str">
        <f>IFERROR(__xludf.DUMMYFUNCTION("IF(REGEXMATCH(C16, ""d""), ""8"","""")"),"")</f>
        <v/>
      </c>
      <c r="AF16" s="245" t="str">
        <f>IFERROR(__xludf.DUMMYFUNCTION("IF(REGEXMATCH(C16, ""D""), ""9"","""")"),"")</f>
        <v/>
      </c>
      <c r="AG16" s="245" t="str">
        <f>IFERROR(__xludf.DUMMYFUNCTION("IF(REGEXMATCH(C16, ""n""), ""10"","""")"),"10")</f>
        <v>10</v>
      </c>
      <c r="AH16" s="246" t="str">
        <f>IFERROR(__xludf.DUMMYFUNCTION("IF(REGEXMATCH(C16, ""N""), ""11"","""")"),"")</f>
        <v/>
      </c>
      <c r="AI16" s="249" t="str">
        <f>IFERROR(__xludf.DUMMYFUNCTION("IF(REGEXMATCH(C16, ""S""), ""0"","""")"),"0")</f>
        <v>0</v>
      </c>
      <c r="AJ16" s="313" t="str">
        <f t="shared" si="11"/>
        <v>T</v>
      </c>
      <c r="AK16" s="313" t="str">
        <f t="shared" si="12"/>
        <v>-</v>
      </c>
      <c r="AL16" s="313" t="str">
        <f t="shared" si="13"/>
        <v>-</v>
      </c>
      <c r="AM16" s="313" t="str">
        <f t="shared" si="14"/>
        <v>-</v>
      </c>
      <c r="AN16" s="313" t="str">
        <f t="shared" si="15"/>
        <v>T</v>
      </c>
      <c r="AO16" s="314" t="str">
        <f t="shared" si="16"/>
        <v>-</v>
      </c>
      <c r="AP16" s="316">
        <f t="shared" si="17"/>
        <v>2</v>
      </c>
      <c r="AQ16" s="319" t="str">
        <f t="shared" si="18"/>
        <v>#REF!</v>
      </c>
      <c r="AR16" s="320">
        <f t="shared" si="19"/>
        <v>0</v>
      </c>
      <c r="AS16" s="250" t="str">
        <f>IFERROR(__xludf.DUMMYFUNCTION("SUBSTITUTE(SUBSTITUTE(CONCATENATE(JOIN("""",FP16:GA16)),""|"",""x""),""-"",""o"")"),"xoooxoxxooxo")</f>
        <v>xoooxoxxooxo</v>
      </c>
      <c r="AT16" s="323" t="str">
        <f>IFERROR(__xludf.DUMMYFUNCTION("JOIN("""",AS16,AS16)"),"xoooxoxxooxoxoooxoxxooxo")</f>
        <v>xoooxoxxooxoxoooxoxxooxo</v>
      </c>
      <c r="AU16" s="256" t="str">
        <f>IFERROR(__xludf.DUMMYFUNCTION("JOIN("""",ArrayFormula(MID(AS16,LEN(AS16)-SEQUENCE(1,LEN(AS16))+1,1)))"),"oxooxxoxooox")</f>
        <v>oxooxxoxooox</v>
      </c>
      <c r="AV16" s="256" t="str">
        <f>IFERROR(__xludf.DUMMYFUNCTION("LEFT(CONCATENATE(""x"",JOIN("""",ArrayFormula(MID(AS16,LEN(AS16)-SEQUENCE(1,LEN(AS16))+1,1)))),12)"),"xoxooxxoxooo")</f>
        <v>xoxooxxoxooo</v>
      </c>
      <c r="AW16" s="327" t="str">
        <f>IFERROR(__xludf.DUMMYFUNCTION("JOIN("""",AU16,AU16)"),"oxooxxoxoooxoxooxxoxooox")</f>
        <v>oxooxxoxoooxoxooxxoxooox</v>
      </c>
      <c r="AX16" s="239" t="str">
        <f>IFERROR(__xludf.DUMMYFUNCTION("IF(REGEXMATCH(AW16,AS16),""✔"",""-"")"),"-")</f>
        <v>-</v>
      </c>
      <c r="AY16" s="330" t="str">
        <f t="shared" si="20"/>
        <v>-</v>
      </c>
      <c r="AZ16" s="260" t="str">
        <f t="shared" si="21"/>
        <v>#REF!</v>
      </c>
      <c r="BA16" s="333" t="str">
        <f t="shared" si="22"/>
        <v>xoooxox</v>
      </c>
      <c r="BB16" s="334" t="str">
        <f t="shared" si="23"/>
        <v>xooxox</v>
      </c>
      <c r="BC16" s="335" t="str">
        <f t="shared" si="24"/>
        <v>-</v>
      </c>
      <c r="BD16" s="336" t="str">
        <f t="shared" si="25"/>
        <v>Amirkhani Kauns: 'xoooxox' + 'xooxox'</v>
      </c>
      <c r="BE16" s="337">
        <f>IFERROR(__xludf.DUMMYFUNCTION("COUNTUNIQUE(FILTER(AT:AT,REGEXMATCH(AT:AT,AS16)))-1"),1.0)</f>
        <v>1</v>
      </c>
      <c r="BF16" s="261" t="str">
        <f>IFERROR(__xludf.DUMMYFUNCTION("IF(BI16=0,""(n/a)"",IF(BJ16=2,""(PAIR)"",IF(REGEXMATCH(AT16,""xoxoxxoxoxox""),""Bilawal"",IF(REGEXMATCH(AT16,""xoxoxooxoxoo""),""Bhupali"",IF(REGEXMATCH(AT16,""xoxoxxoxxoxo""),""Charukeshi"",IF(REGEXMATCH(AT16,""xoxoooxxoxxo""),""Kameshwari"",IF(REGEXMATC"&amp;"H(AT16,""xoxoxooxoxox""),""Shankara"",IF(REGEXMATCH(AT16,""xxooxoxxxoox""),""Basant"",IF(REGEXMATCH(AT16,""xoxoxxxxoxox""),""Bihag"",IF(REGEXMATCH(AT16,""xoxxxxoxoxxx""),""Pilu"",IF(REGEXMATCH(AT16,""xoxxoxoxxoox""),""Kirwani"",IF(REGEXMATCH(AT16,""xoxxox"&amp;"oxoxxx""),""Mk.Malhar"",IF(REGEXMATCH(AT16,""xxooxxoxxoox""),""Bhairav"",IF(REGEXMATCH(AT16,""xxoxooxxxoox""),""Todi"",IF(REGEXMATCH(AT16,""xxooxoxooxox""),""Marwa"",IF(REGEXMATCH(AT16,""xxoooxoxxooo""),""Gunkali"",IF(REGEXMATCH(AT16,""xoxoxxoxxoox""),""N"&amp;"at Bhairav"",IF(REGEXMATCH(AT16,""xoxxoooxoxoo""),""Shivranjani"",IF(REGEXMATCH(AT16,""xooxxxoxooxo""),""Jog"",IF(REGEXMATCH(AT16,""xxooxoxoxoox""),""Hemshri"",IF(REGEXMATCH(AT16,""xoooxooxoxxo""),""Kalavati"",IF(REGEXMATCH(AT16,""xxoxoxxoxoox""),""Kedar"&amp;""",IF(REGEXMATCH(AT16,""xoxxxxoxooxx""),""Gara"",IF(REGEXMATCH(AT16,""xooxoxooxoox""),""Chandrakauns"",IF(REGEXMATCH(AT16,""xoxxxxoxxxox""),""Mand"",IF(REGEXMATCH(AT16,""xoxxxxoxoxox""),""Hanskinkini"",IF(REGEXMATCH(AT16,""xxooxxoxooxo""),""Lilavati"",IF("&amp;"REGEXMATCH(AT16,""xooxoxoooxox""),""Rajeshwari"",IF(REGEXMATCH(AT16,""xoooxxoxoxxx""),""Khokar"",IF(REGEXMATCH(AT16,""xxooxoxxxxox""),""Maligoura"",""-""))))))))))))))))))))))))))))))"),"(PAIR)")</f>
        <v>(PAIR)</v>
      </c>
      <c r="BG16" s="239" t="str">
        <f t="shared" si="26"/>
        <v>#REF!</v>
      </c>
      <c r="BH16" s="239">
        <f>IFERROR(__xludf.DUMMYFUNCTION("COUNTUNIQUE(FE16:FO16)-1"),4.0)</f>
        <v>4</v>
      </c>
      <c r="BI16" s="239">
        <f>IFERROR(__xludf.DUMMYFUNCTION("COUNTUNIQUE(FILTER(AT:AT,REGEXMATCH(AT:AT,AS16)))-1"),1.0)</f>
        <v>1</v>
      </c>
      <c r="BJ16" s="239">
        <f>IFERROR(__xludf.DUMMYFUNCTION("COUNTA(FILTER(AT:AT,REGEXMATCH(AT:AT,AS16)))"),2.0)</f>
        <v>2</v>
      </c>
      <c r="BK16" s="341">
        <f>IFERROR(__xludf.DUMMYFUNCTION("COUNTA(FILTER(AT:AT,REGEXMATCH(AT:AT,AS16)))-AR16"),2.0)</f>
        <v>2</v>
      </c>
      <c r="BL16" s="276" t="str">
        <f>IFERROR(__xludf.DUMMYFUNCTION("IF(AS16=""oooooooooooo"",""-"",IF(REGEXMATCH(AT16,""xx""), ""Hemi."", ""Anhemi.""))"),"Hemi.")</f>
        <v>Hemi.</v>
      </c>
      <c r="BM16" s="282" t="str">
        <f>IFERROR(__xludf.DUMMYFUNCTION("IF(AS16=""oooooooooooo"",""-"",IF(REGEXMATCH(AT16,""xxx""), ""Cohem."", ""-""))"),"-")</f>
        <v>-</v>
      </c>
      <c r="BN16" s="282" t="str">
        <f>IFERROR(__xludf.DUMMYFUNCTION("IF(AS16=""oooooooooooo"",""-"",IF(REGEXMATCH(AT16,""xxxx""), ""Co-Co."", ""-""))"),"-")</f>
        <v>-</v>
      </c>
      <c r="BO16" s="342" t="str">
        <f>IFERROR(__xludf.DUMMYFUNCTION("IF(AS16=""oooooooooooo"",""-"",IF(REGEXMATCH(AT16,""xxxxx""), ""CCC."", ""-""))"),"-")</f>
        <v>-</v>
      </c>
      <c r="BP16" s="344" t="str">
        <f t="shared" si="27"/>
        <v>-</v>
      </c>
      <c r="BQ16" s="282" t="str">
        <f>IFERROR(__xludf.DUMMYFUNCTION("IF(REGEXMATCH(JOIN(""-"",EU16:FD16),""TRUE""),""✔"",""-"")"),"-")</f>
        <v>-</v>
      </c>
      <c r="BR16" s="225">
        <f t="shared" si="28"/>
        <v>0</v>
      </c>
      <c r="BS16" s="345" t="str">
        <f>IFERROR(__xludf.DUMMYFUNCTION("SUBSTITUTE(SUBSTITUTE(SUBSTITUTE(SUBSTITUTE(CONCATENATE(JOIN(""-"",GC16:GO16)),""--"",""-""),""--"",""-""),""--"",""-""),""--"",""-"")"),"1-3-#4-5-b7-8")</f>
        <v>1-3-#4-5-b7-8</v>
      </c>
      <c r="BT16" s="299" t="str">
        <f>IFERROR(__xludf.DUMMYFUNCTION("SUBSTITUTE(SUBSTITUTE(SUBSTITUTE(SUBSTITUTE(CONCATENATE(JOIN(""-"",GP16:HB16)),""--"",""-""),""--"",""-""),""--"",""-""),""--"",""-"")"),"S-G3-M2-P-N2-S")</f>
        <v>S-G3-M2-P-N2-S</v>
      </c>
      <c r="BU16" s="348" t="str">
        <f t="shared" si="29"/>
        <v>C-E-F#-G-Bb-C</v>
      </c>
      <c r="BV16" s="349" t="str">
        <f t="shared" si="30"/>
        <v>SrRgmdDNS</v>
      </c>
      <c r="BW16" s="350">
        <f t="shared" si="31"/>
        <v>0</v>
      </c>
      <c r="BX16" s="351">
        <f t="shared" si="32"/>
        <v>1</v>
      </c>
      <c r="BY16" s="392"/>
      <c r="BZ16" s="309" t="str">
        <f>IFERROR(__xludf.DUMMYFUNCTION("IF(REGEXMATCH(C16, ""S""), ""x"",""x"")"),"x")</f>
        <v>x</v>
      </c>
      <c r="CA16" s="245" t="str">
        <f>IFERROR(__xludf.DUMMYFUNCTION("IF(REGEXMATCH(C16, ""r""), ""o"",""x"")"),"x")</f>
        <v>x</v>
      </c>
      <c r="CB16" s="246" t="str">
        <f>IFERROR(__xludf.DUMMYFUNCTION("IF(REGEXMATCH(C16, ""R""), ""o"",""x"")"),"x")</f>
        <v>x</v>
      </c>
      <c r="CC16" s="246" t="str">
        <f>IFERROR(__xludf.DUMMYFUNCTION("IF(REGEXMATCH(C16, ""g""), ""o"",""x"")"),"x")</f>
        <v>x</v>
      </c>
      <c r="CD16" s="245" t="str">
        <f>IFERROR(__xludf.DUMMYFUNCTION("IF(REGEXMATCH(C16, ""G""), ""o"",""x"")"),"o")</f>
        <v>o</v>
      </c>
      <c r="CE16" s="245" t="str">
        <f>IFERROR(__xludf.DUMMYFUNCTION("IF(REGEXMATCH(C16, ""m""), ""o"",""x"")"),"x")</f>
        <v>x</v>
      </c>
      <c r="CF16" s="246" t="str">
        <f>IFERROR(__xludf.DUMMYFUNCTION("IF(REGEXMATCH(C16, ""M""), ""o"",""x"")"),"o")</f>
        <v>o</v>
      </c>
      <c r="CG16" s="245" t="str">
        <f>IFERROR(__xludf.DUMMYFUNCTION("IF(REGEXMATCH(C16, ""P""), ""o"",""x"")"),"o")</f>
        <v>o</v>
      </c>
      <c r="CH16" s="246" t="str">
        <f>IFERROR(__xludf.DUMMYFUNCTION("IF(REGEXMATCH(C16, ""d""), ""o"",""x"")"),"x")</f>
        <v>x</v>
      </c>
      <c r="CI16" s="245" t="str">
        <f>IFERROR(__xludf.DUMMYFUNCTION("IF(REGEXMATCH(C16, ""D""), ""o"",""x"")"),"x")</f>
        <v>x</v>
      </c>
      <c r="CJ16" s="245" t="str">
        <f>IFERROR(__xludf.DUMMYFUNCTION("IF(REGEXMATCH(C16, ""n""), ""o"",""x"")"),"o")</f>
        <v>o</v>
      </c>
      <c r="CK16" s="245" t="str">
        <f>IFERROR(__xludf.DUMMYFUNCTION("IF(REGEXMATCH(C16, ""N""), ""o"",""x"")"),"x")</f>
        <v>x</v>
      </c>
      <c r="CL16" s="356" t="str">
        <f>IFERROR(__xludf.DUMMYFUNCTION("IF(REGEXMATCH(C16, ""S""), ""x"",""x"")"),"x")</f>
        <v>x</v>
      </c>
      <c r="CM16" s="357" t="str">
        <f t="shared" si="33"/>
        <v>xxxxoxooxxox</v>
      </c>
      <c r="CN16" s="358">
        <f t="shared" si="34"/>
        <v>0</v>
      </c>
      <c r="CO16" s="246" t="str">
        <f>IFERROR(__xludf.DUMMYFUNCTION("IF(REGEXMATCH($C16, ""S""), ""S"",""S"")"),"S")</f>
        <v>S</v>
      </c>
      <c r="CP16" s="246" t="str">
        <f>IFERROR(__xludf.DUMMYFUNCTION("IF(REGEXMATCH($C16, ""r""), """",""r"")"),"r")</f>
        <v>r</v>
      </c>
      <c r="CQ16" s="246" t="str">
        <f>IFERROR(__xludf.DUMMYFUNCTION("IF(REGEXMATCH($C16, ""R""), """",""R"")"),"R")</f>
        <v>R</v>
      </c>
      <c r="CR16" s="246" t="str">
        <f>IFERROR(__xludf.DUMMYFUNCTION("IF(REGEXMATCH($C16, ""g""), """",""g"")"),"g")</f>
        <v>g</v>
      </c>
      <c r="CS16" s="246" t="str">
        <f>IFERROR(__xludf.DUMMYFUNCTION("IF(REGEXMATCH($C16, ""G""), """",""G"")"),"")</f>
        <v/>
      </c>
      <c r="CT16" s="246" t="str">
        <f>IFERROR(__xludf.DUMMYFUNCTION("IF(REGEXMATCH($C16, ""m""), """",""m"")"),"m")</f>
        <v>m</v>
      </c>
      <c r="CU16" s="246" t="str">
        <f>IFERROR(__xludf.DUMMYFUNCTION("IF(REGEXMATCH($C16, ""M""), """",""M"")"),"")</f>
        <v/>
      </c>
      <c r="CV16" s="246" t="str">
        <f>IFERROR(__xludf.DUMMYFUNCTION("IF(REGEXMATCH($C16, ""P""), """",""P"")"),"")</f>
        <v/>
      </c>
      <c r="CW16" s="246" t="str">
        <f>IFERROR(__xludf.DUMMYFUNCTION("IF(REGEXMATCH($C16, ""d""), """",""d"")"),"d")</f>
        <v>d</v>
      </c>
      <c r="CX16" s="246" t="str">
        <f>IFERROR(__xludf.DUMMYFUNCTION("IF(REGEXMATCH($C16, ""D""), """",""D"")"),"D")</f>
        <v>D</v>
      </c>
      <c r="CY16" s="246" t="str">
        <f>IFERROR(__xludf.DUMMYFUNCTION("IF(REGEXMATCH($C16, ""n""), """",""n"")"),"")</f>
        <v/>
      </c>
      <c r="CZ16" s="246" t="str">
        <f>IFERROR(__xludf.DUMMYFUNCTION("IF(REGEXMATCH($C16, ""N""), """",""N"")"),"N")</f>
        <v>N</v>
      </c>
      <c r="DA16" s="246" t="str">
        <f>IFERROR(__xludf.DUMMYFUNCTION("IF(REGEXMATCH($C16, ""S""), ""S"",""S"")"),"S")</f>
        <v>S</v>
      </c>
      <c r="DB16" s="362" t="str">
        <f>IFERROR(__xludf.DUMMYFUNCTION("JOIN("""",CO16:DA16,"""","""")"),"SrRgmdDNS")</f>
        <v>SrRgmdDNS</v>
      </c>
      <c r="DC16" s="363"/>
      <c r="DD16" s="301" t="str">
        <f t="shared" si="35"/>
        <v>#REF!</v>
      </c>
      <c r="DE16" s="302" t="str">
        <f t="shared" si="36"/>
        <v>#REF!</v>
      </c>
      <c r="DF16" s="301" t="str">
        <f t="shared" ref="DF16:DG16" si="221">SUBSTITUTE(S16,"-","")</f>
        <v>SGM</v>
      </c>
      <c r="DG16" s="301" t="str">
        <f t="shared" si="221"/>
        <v>PNS</v>
      </c>
      <c r="DH16" s="302" t="str">
        <f t="shared" si="38"/>
        <v>(PAIR)</v>
      </c>
      <c r="DI16" s="301" t="str">
        <f t="shared" si="39"/>
        <v>Hemi.</v>
      </c>
      <c r="DJ16" s="364" t="str">
        <f t="shared" si="40"/>
        <v>-</v>
      </c>
      <c r="DK16" s="306" t="str">
        <f t="shared" si="41"/>
        <v>-</v>
      </c>
      <c r="DL16" s="366" t="str">
        <f t="shared" si="42"/>
        <v>-</v>
      </c>
      <c r="DM16" s="308" t="str">
        <f t="shared" si="43"/>
        <v>✔</v>
      </c>
      <c r="DN16" s="306" t="str">
        <f t="shared" si="44"/>
        <v>-</v>
      </c>
      <c r="DO16" s="306" t="str">
        <f t="shared" si="45"/>
        <v>-</v>
      </c>
      <c r="DP16" s="367" t="str">
        <f t="shared" si="46"/>
        <v>✔</v>
      </c>
      <c r="DQ16" s="310" t="str">
        <f t="shared" si="47"/>
        <v>-</v>
      </c>
      <c r="DR16" s="310" t="str">
        <f t="shared" si="48"/>
        <v>-</v>
      </c>
      <c r="DS16" s="310" t="str">
        <f t="shared" si="49"/>
        <v>-</v>
      </c>
      <c r="DT16" s="310" t="str">
        <f t="shared" si="50"/>
        <v>-</v>
      </c>
      <c r="DU16" s="370" t="str">
        <f t="shared" si="51"/>
        <v>-</v>
      </c>
      <c r="DV16" s="306" t="str">
        <f t="shared" si="52"/>
        <v>✔</v>
      </c>
      <c r="DW16" s="306" t="str">
        <f t="shared" si="53"/>
        <v>-</v>
      </c>
      <c r="DX16" s="306" t="str">
        <f t="shared" si="54"/>
        <v>-</v>
      </c>
      <c r="DY16" s="306" t="str">
        <f t="shared" si="55"/>
        <v>-</v>
      </c>
      <c r="DZ16" s="306" t="str">
        <f t="shared" si="56"/>
        <v>✔</v>
      </c>
      <c r="EA16" s="367" t="str">
        <f t="shared" si="57"/>
        <v>-</v>
      </c>
      <c r="EB16" s="310" t="str">
        <f>IFERROR(__xludf.DUMMYFUNCTION("IF(REGEXMATCH(AW16,AS16),""✔"",""-"")"),"-")</f>
        <v>-</v>
      </c>
      <c r="EC16" s="310" t="str">
        <f t="shared" si="58"/>
        <v>#REF!</v>
      </c>
      <c r="ED16" s="370" t="str">
        <f t="shared" si="59"/>
        <v>-</v>
      </c>
      <c r="EE16" s="340" t="str">
        <f t="shared" si="60"/>
        <v>S-G-M-P-n-S</v>
      </c>
      <c r="EF16" s="371" t="str">
        <f>IFERROR(__xludf.DUMMYFUNCTION("CONCATENATE(JOIN("""",HC16:HO16))"),"SRmMdS")</f>
        <v>SRmMdS</v>
      </c>
      <c r="EG16" s="372">
        <f t="shared" si="61"/>
        <v>4</v>
      </c>
      <c r="EH16" s="373" t="str">
        <f>IFERROR(__xludf.DUMMYFUNCTION("CONCATENATE(JOIN("""",JC16:JO16))"),"Ga, Ma, Pa, ni, ")</f>
        <v>Ga, Ma, Pa, ni, </v>
      </c>
      <c r="EI16" s="322">
        <f t="shared" si="62"/>
        <v>3</v>
      </c>
      <c r="EJ16" s="374" t="str">
        <f>IFERROR(__xludf.DUMMYFUNCTION("CONCATENATE(JOIN("""",KC16:KO16))"),"Ga, Ma, ni, ")</f>
        <v>Ga, Ma, ni, </v>
      </c>
      <c r="EK16" s="325" t="str">
        <f t="shared" si="63"/>
        <v>S-G3-M2-P-N2-S</v>
      </c>
      <c r="EL16" s="326" t="str">
        <f t="shared" si="64"/>
        <v>1-3-#4-5-b7-8</v>
      </c>
      <c r="EM16" s="318" t="str">
        <f t="shared" si="65"/>
        <v>#REF!</v>
      </c>
      <c r="EN16" s="328" t="str">
        <f>IFERROR(__xludf.DUMMYFUNCTION("SUBSTITUTE(SUBSTITUTE(SUBSTITUTE(SUBSTITUTE(CONCATENATE(JOIN("" "",HP16:IB16)),""  "","" ""),""  "","" ""),""  "","" ""),""  "","" "")"),"o • • • o • o o • • o • o")</f>
        <v>o • • • o • o o • • o • o</v>
      </c>
      <c r="EO16" s="368" t="str">
        <f t="shared" si="66"/>
        <v>Sa-Pa</v>
      </c>
      <c r="EP16" s="339" t="str">
        <f t="shared" si="67"/>
        <v>Sa-Pa</v>
      </c>
      <c r="EQ16" s="339" t="str">
        <f t="shared" si="68"/>
        <v>Sa-Pa</v>
      </c>
      <c r="ER16" s="339" t="str">
        <f t="shared" si="69"/>
        <v>-</v>
      </c>
      <c r="ES16" s="340" t="str">
        <f t="shared" si="70"/>
        <v>-</v>
      </c>
      <c r="ET16" s="363"/>
      <c r="EU16" s="376" t="b">
        <f>IFERROR(__xludf.DUMMYFUNCTION("arrayformula(sum(--REGEXMATCH(""SRGMPDNS"",split(REGEXREPLACE(C16,""(.)"",""$1~""),""~""))))=len(C16)
"),FALSE)</f>
        <v>0</v>
      </c>
      <c r="EV16" s="290" t="b">
        <f>IFERROR(__xludf.DUMMYFUNCTION("arrayformula(sum(--REGEXMATCH(""SRGmPDNS"",split(REGEXREPLACE(C16,""(.)"",""$1~""),""~""))))=len(C16)"),FALSE)</f>
        <v>0</v>
      </c>
      <c r="EW16" s="290" t="b">
        <f>IFERROR(__xludf.DUMMYFUNCTION("arrayformula(sum(--REGEXMATCH(""SRGmPDnS"",split(REGEXREPLACE(C16,""(.)"",""$1~""),""~""))))=len(C16)"),FALSE)</f>
        <v>0</v>
      </c>
      <c r="EX16" s="290" t="b">
        <f>IFERROR(__xludf.DUMMYFUNCTION("arrayformula(sum(--REGEXMATCH(""SRgmPDnS"",split(REGEXREPLACE(C16,""(.)"",""$1~""),""~""))))=len(C16)"),FALSE)</f>
        <v>0</v>
      </c>
      <c r="EY16" s="290" t="b">
        <f>IFERROR(__xludf.DUMMYFUNCTION("arrayformula(sum(--REGEXMATCH(""SRgmPdnS"",split(REGEXREPLACE(C16,""(.)"",""$1~""),""~""))))=len(C16)"),FALSE)</f>
        <v>0</v>
      </c>
      <c r="EZ16" s="290" t="b">
        <f>IFERROR(__xludf.DUMMYFUNCTION("arrayformula(sum(--REGEXMATCH(""SrgmPdnS"",split(REGEXREPLACE(C16,""(.)"",""$1~""),""~""))))=len(C16)"),FALSE)</f>
        <v>0</v>
      </c>
      <c r="FA16" s="290" t="b">
        <f>IFERROR(__xludf.DUMMYFUNCTION("arrayformula(sum(--REGEXMATCH(""SrGmPdNS"",split(REGEXREPLACE(C16,""(.)"",""$1~""),""~""))))=len(C16)"),FALSE)</f>
        <v>0</v>
      </c>
      <c r="FB16" s="290" t="b">
        <f>IFERROR(__xludf.DUMMYFUNCTION("arrayformula(sum(--REGEXMATCH(""SrGMPDNS"",split(REGEXREPLACE(C16,""(.)"",""$1~""),""~""))))=len(C16)"),FALSE)</f>
        <v>0</v>
      </c>
      <c r="FC16" s="290" t="b">
        <f>IFERROR(__xludf.DUMMYFUNCTION("arrayformula(sum(--REGEXMATCH(""SrGMPdNS"",split(REGEXREPLACE(C16,""(.)"",""$1~""),""~""))))=len(C16)"),FALSE)</f>
        <v>0</v>
      </c>
      <c r="FD16" s="377" t="b">
        <f>IFERROR(__xludf.DUMMYFUNCTION("arrayformula(sum(--REGEXMATCH(""SrgMPdNS"",split(REGEXREPLACE(C16,""(.)"",""$1~""),""~""))))=len(C16)"),FALSE)</f>
        <v>0</v>
      </c>
      <c r="FE16" s="269" t="str">
        <f t="shared" si="71"/>
        <v>-</v>
      </c>
      <c r="FF16" s="269" t="str">
        <f t="shared" si="72"/>
        <v>-</v>
      </c>
      <c r="FG16" s="271" t="str">
        <f t="shared" si="73"/>
        <v>-</v>
      </c>
      <c r="FH16" s="269" t="str">
        <f t="shared" si="74"/>
        <v>xoxxooxoxoo</v>
      </c>
      <c r="FI16" s="271" t="str">
        <f t="shared" si="75"/>
        <v>-</v>
      </c>
      <c r="FJ16" s="271" t="str">
        <f t="shared" si="76"/>
        <v>xxooxoxooox</v>
      </c>
      <c r="FK16" s="271" t="str">
        <f t="shared" si="77"/>
        <v>xooxoxoooxo</v>
      </c>
      <c r="FL16" s="271" t="str">
        <f t="shared" si="78"/>
        <v>-</v>
      </c>
      <c r="FM16" s="271" t="str">
        <f t="shared" si="79"/>
        <v>-</v>
      </c>
      <c r="FN16" s="271" t="str">
        <f t="shared" si="80"/>
        <v>xoxoooxoxxo</v>
      </c>
      <c r="FO16" s="274" t="str">
        <f t="shared" si="81"/>
        <v>-</v>
      </c>
      <c r="FP16" s="234" t="str">
        <f t="shared" si="82"/>
        <v>|</v>
      </c>
      <c r="FQ16" s="236" t="str">
        <f t="shared" si="83"/>
        <v>-</v>
      </c>
      <c r="FR16" s="237" t="str">
        <f t="shared" si="84"/>
        <v>-</v>
      </c>
      <c r="FS16" s="236" t="str">
        <f t="shared" si="85"/>
        <v>-</v>
      </c>
      <c r="FT16" s="237" t="str">
        <f t="shared" si="86"/>
        <v>|</v>
      </c>
      <c r="FU16" s="236" t="str">
        <f t="shared" si="87"/>
        <v>-</v>
      </c>
      <c r="FV16" s="237" t="str">
        <f t="shared" si="88"/>
        <v>|</v>
      </c>
      <c r="FW16" s="236" t="str">
        <f t="shared" si="89"/>
        <v>|</v>
      </c>
      <c r="FX16" s="237" t="str">
        <f t="shared" si="90"/>
        <v>-</v>
      </c>
      <c r="FY16" s="236" t="str">
        <f t="shared" si="91"/>
        <v>-</v>
      </c>
      <c r="FZ16" s="237" t="str">
        <f t="shared" si="92"/>
        <v>|</v>
      </c>
      <c r="GA16" s="236" t="str">
        <f t="shared" si="93"/>
        <v>-</v>
      </c>
      <c r="GB16" s="238" t="str">
        <f t="shared" si="94"/>
        <v>|</v>
      </c>
      <c r="GC16" s="244" t="str">
        <f>IFERROR(__xludf.DUMMYFUNCTION("IF(REGEXMATCH(C16, ""S""), ""1"","""")"),"1")</f>
        <v>1</v>
      </c>
      <c r="GD16" s="245" t="str">
        <f>IFERROR(__xludf.DUMMYFUNCTION("IF(REGEXMATCH(C16, ""r""), ""b2"","""")"),"")</f>
        <v/>
      </c>
      <c r="GE16" s="246" t="str">
        <f>IFERROR(__xludf.DUMMYFUNCTION("IF(REGEXMATCH(C16, ""R""), ""2"","""")"),"")</f>
        <v/>
      </c>
      <c r="GF16" s="246" t="str">
        <f>IFERROR(__xludf.DUMMYFUNCTION("IF(REGEXMATCH(C16, ""g""), ""b3"","""")"),"")</f>
        <v/>
      </c>
      <c r="GG16" s="245" t="str">
        <f>IFERROR(__xludf.DUMMYFUNCTION("IF(REGEXMATCH(C16, ""G""), ""3"","""")"),"3")</f>
        <v>3</v>
      </c>
      <c r="GH16" s="245" t="str">
        <f>IFERROR(__xludf.DUMMYFUNCTION("IF(REGEXMATCH(C16, ""m""), ""4"","""")"),"")</f>
        <v/>
      </c>
      <c r="GI16" s="246" t="str">
        <f>IFERROR(__xludf.DUMMYFUNCTION("IF(REGEXMATCH(C16, ""M""), ""#4"","""")"),"#4")</f>
        <v>#4</v>
      </c>
      <c r="GJ16" s="245" t="str">
        <f>IFERROR(__xludf.DUMMYFUNCTION("IF(REGEXMATCH(C16, ""P""), ""5"","""")"),"5")</f>
        <v>5</v>
      </c>
      <c r="GK16" s="246" t="str">
        <f>IFERROR(__xludf.DUMMYFUNCTION("IF(REGEXMATCH(C16, ""d""), ""b6"","""")"),"")</f>
        <v/>
      </c>
      <c r="GL16" s="245" t="str">
        <f>IFERROR(__xludf.DUMMYFUNCTION("IF(REGEXMATCH(C16, ""D""), ""6"","""")"),"")</f>
        <v/>
      </c>
      <c r="GM16" s="245" t="str">
        <f>IFERROR(__xludf.DUMMYFUNCTION("IF(REGEXMATCH(C16, ""n""), ""b7"","""")"),"b7")</f>
        <v>b7</v>
      </c>
      <c r="GN16" s="246" t="str">
        <f>IFERROR(__xludf.DUMMYFUNCTION("IF(REGEXMATCH(C16, ""N""), ""7"","""")"),"")</f>
        <v/>
      </c>
      <c r="GO16" s="249" t="str">
        <f>IFERROR(__xludf.DUMMYFUNCTION("IF(REGEXMATCH(C16, ""S""), ""8"","""")"),"8")</f>
        <v>8</v>
      </c>
      <c r="GP16" s="244" t="str">
        <f>IFERROR(__xludf.DUMMYFUNCTION("IF(REGEXMATCH(C16, ""S""), ""S"","""")"),"S")</f>
        <v>S</v>
      </c>
      <c r="GQ16" s="294" t="str">
        <f>IFERROR(__xludf.DUMMYFUNCTION("IF(REGEXMATCH(C16, ""r""), ""R1"","""")"),"")</f>
        <v/>
      </c>
      <c r="GR16" s="295" t="str">
        <f>IFERROR(__xludf.DUMMYFUNCTION("IF(REGEXMATCH(C16, ""R""), ""R2"","""")"),"")</f>
        <v/>
      </c>
      <c r="GS16" s="295" t="str">
        <f>IFERROR(__xludf.DUMMYFUNCTION("IF(REGEXMATCH(C16, ""g""), ""G2"","""")"),"")</f>
        <v/>
      </c>
      <c r="GT16" s="294" t="str">
        <f>IFERROR(__xludf.DUMMYFUNCTION("IF(REGEXMATCH(C16, ""G""), ""G3"","""")"),"G3")</f>
        <v>G3</v>
      </c>
      <c r="GU16" s="294" t="str">
        <f>IFERROR(__xludf.DUMMYFUNCTION("IF(REGEXMATCH(C16, ""m""), ""M1"","""")"),"")</f>
        <v/>
      </c>
      <c r="GV16" s="295" t="str">
        <f>IFERROR(__xludf.DUMMYFUNCTION("IF(REGEXMATCH(C16, ""M""), ""M2"","""")"),"M2")</f>
        <v>M2</v>
      </c>
      <c r="GW16" s="294" t="str">
        <f>IFERROR(__xludf.DUMMYFUNCTION("IF(REGEXMATCH(C16, ""P""), ""P"","""")"),"P")</f>
        <v>P</v>
      </c>
      <c r="GX16" s="295" t="str">
        <f>IFERROR(__xludf.DUMMYFUNCTION("IF(REGEXMATCH(C16, ""d""), ""D1"","""")"),"")</f>
        <v/>
      </c>
      <c r="GY16" s="294" t="str">
        <f>IFERROR(__xludf.DUMMYFUNCTION("IF(REGEXMATCH(C16, ""D""), ""D2"","""")"),"")</f>
        <v/>
      </c>
      <c r="GZ16" s="294" t="str">
        <f>IFERROR(__xludf.DUMMYFUNCTION("IF(REGEXMATCH(C16, ""n""), ""N2"","""")"),"N2")</f>
        <v>N2</v>
      </c>
      <c r="HA16" s="295" t="str">
        <f>IFERROR(__xludf.DUMMYFUNCTION("IF(REGEXMATCH(C16, ""N""), ""N3"","""")"),"")</f>
        <v/>
      </c>
      <c r="HB16" s="249" t="str">
        <f>IFERROR(__xludf.DUMMYFUNCTION("IF(REGEXMATCH(C16, ""S""), ""S"","""")"),"S")</f>
        <v>S</v>
      </c>
      <c r="HC16" s="331" t="str">
        <f t="shared" si="95"/>
        <v>S</v>
      </c>
      <c r="HD16" s="332" t="str">
        <f t="shared" si="96"/>
        <v/>
      </c>
      <c r="HE16" s="332" t="str">
        <f t="shared" si="97"/>
        <v>R</v>
      </c>
      <c r="HF16" s="332" t="str">
        <f t="shared" si="98"/>
        <v/>
      </c>
      <c r="HG16" s="332" t="str">
        <f t="shared" si="99"/>
        <v/>
      </c>
      <c r="HH16" s="332" t="str">
        <f t="shared" si="100"/>
        <v>m</v>
      </c>
      <c r="HI16" s="332" t="str">
        <f t="shared" si="101"/>
        <v>M</v>
      </c>
      <c r="HJ16" s="332" t="str">
        <f t="shared" si="102"/>
        <v/>
      </c>
      <c r="HK16" s="332" t="str">
        <f t="shared" si="103"/>
        <v>d</v>
      </c>
      <c r="HL16" s="332" t="str">
        <f t="shared" si="104"/>
        <v/>
      </c>
      <c r="HM16" s="332" t="str">
        <f t="shared" si="105"/>
        <v/>
      </c>
      <c r="HN16" s="332" t="str">
        <f t="shared" si="106"/>
        <v/>
      </c>
      <c r="HO16" s="343" t="str">
        <f t="shared" si="107"/>
        <v>S</v>
      </c>
      <c r="HP16" s="331" t="str">
        <f t="shared" si="108"/>
        <v>o</v>
      </c>
      <c r="HQ16" s="332" t="str">
        <f t="shared" si="109"/>
        <v>•</v>
      </c>
      <c r="HR16" s="332" t="str">
        <f t="shared" si="110"/>
        <v>•</v>
      </c>
      <c r="HS16" s="332" t="str">
        <f t="shared" si="111"/>
        <v>•</v>
      </c>
      <c r="HT16" s="332" t="str">
        <f t="shared" si="112"/>
        <v>o</v>
      </c>
      <c r="HU16" s="332" t="str">
        <f t="shared" si="113"/>
        <v>•</v>
      </c>
      <c r="HV16" s="332" t="str">
        <f t="shared" si="114"/>
        <v>o</v>
      </c>
      <c r="HW16" s="332" t="str">
        <f t="shared" si="115"/>
        <v>o</v>
      </c>
      <c r="HX16" s="332" t="str">
        <f t="shared" si="116"/>
        <v>•</v>
      </c>
      <c r="HY16" s="332" t="str">
        <f t="shared" si="117"/>
        <v>•</v>
      </c>
      <c r="HZ16" s="332" t="str">
        <f t="shared" si="118"/>
        <v>o</v>
      </c>
      <c r="IA16" s="332" t="str">
        <f t="shared" si="119"/>
        <v>•</v>
      </c>
      <c r="IB16" s="338" t="str">
        <f t="shared" si="120"/>
        <v>o</v>
      </c>
      <c r="IC16" s="331" t="str">
        <f t="shared" si="121"/>
        <v>•</v>
      </c>
      <c r="ID16" s="332" t="str">
        <f t="shared" si="122"/>
        <v>o</v>
      </c>
      <c r="IE16" s="332" t="str">
        <f t="shared" si="123"/>
        <v>o</v>
      </c>
      <c r="IF16" s="332" t="str">
        <f t="shared" si="124"/>
        <v>o</v>
      </c>
      <c r="IG16" s="332" t="str">
        <f t="shared" si="125"/>
        <v>•</v>
      </c>
      <c r="IH16" s="332" t="str">
        <f t="shared" si="126"/>
        <v>o</v>
      </c>
      <c r="II16" s="332" t="str">
        <f t="shared" si="127"/>
        <v>•</v>
      </c>
      <c r="IJ16" s="332" t="str">
        <f t="shared" si="128"/>
        <v>•</v>
      </c>
      <c r="IK16" s="332" t="str">
        <f t="shared" si="129"/>
        <v>o</v>
      </c>
      <c r="IL16" s="332" t="str">
        <f t="shared" si="130"/>
        <v>o</v>
      </c>
      <c r="IM16" s="332" t="str">
        <f t="shared" si="131"/>
        <v>•</v>
      </c>
      <c r="IN16" s="332" t="str">
        <f t="shared" si="132"/>
        <v>o</v>
      </c>
      <c r="IO16" s="338" t="str">
        <f t="shared" si="133"/>
        <v>•</v>
      </c>
      <c r="IP16" s="346" t="b">
        <f t="shared" si="134"/>
        <v>0</v>
      </c>
      <c r="IQ16" s="347" t="b">
        <f t="shared" si="135"/>
        <v>0</v>
      </c>
      <c r="IR16" s="347" t="b">
        <f t="shared" si="136"/>
        <v>0</v>
      </c>
      <c r="IS16" s="347" t="b">
        <f t="shared" si="137"/>
        <v>0</v>
      </c>
      <c r="IT16" s="347" t="b">
        <f t="shared" si="138"/>
        <v>1</v>
      </c>
      <c r="IU16" s="347" t="b">
        <f t="shared" si="139"/>
        <v>0</v>
      </c>
      <c r="IV16" s="347" t="b">
        <f t="shared" si="140"/>
        <v>1</v>
      </c>
      <c r="IW16" s="347" t="b">
        <f t="shared" si="141"/>
        <v>1</v>
      </c>
      <c r="IX16" s="347" t="b">
        <f t="shared" si="142"/>
        <v>0</v>
      </c>
      <c r="IY16" s="347" t="b">
        <f t="shared" si="143"/>
        <v>0</v>
      </c>
      <c r="IZ16" s="347" t="b">
        <f t="shared" si="144"/>
        <v>1</v>
      </c>
      <c r="JA16" s="347" t="b">
        <f t="shared" si="145"/>
        <v>0</v>
      </c>
      <c r="JB16" s="353" t="b">
        <f t="shared" si="146"/>
        <v>0</v>
      </c>
      <c r="JC16" s="354" t="str">
        <f t="shared" si="147"/>
        <v/>
      </c>
      <c r="JD16" s="355" t="str">
        <f t="shared" si="148"/>
        <v/>
      </c>
      <c r="JE16" s="355" t="str">
        <f t="shared" si="149"/>
        <v/>
      </c>
      <c r="JF16" s="355" t="str">
        <f t="shared" si="150"/>
        <v/>
      </c>
      <c r="JG16" s="355" t="str">
        <f t="shared" si="151"/>
        <v>Ga, </v>
      </c>
      <c r="JH16" s="355" t="str">
        <f t="shared" si="152"/>
        <v/>
      </c>
      <c r="JI16" s="355" t="str">
        <f t="shared" si="153"/>
        <v>Ma, </v>
      </c>
      <c r="JJ16" s="355" t="str">
        <f t="shared" si="154"/>
        <v>Pa, </v>
      </c>
      <c r="JK16" s="355" t="str">
        <f t="shared" si="155"/>
        <v/>
      </c>
      <c r="JL16" s="355" t="str">
        <f t="shared" si="156"/>
        <v/>
      </c>
      <c r="JM16" s="355" t="str">
        <f t="shared" si="157"/>
        <v>ni, </v>
      </c>
      <c r="JN16" s="355" t="str">
        <f t="shared" si="158"/>
        <v/>
      </c>
      <c r="JO16" s="359" t="str">
        <f t="shared" si="159"/>
        <v/>
      </c>
      <c r="JP16" s="346" t="b">
        <f t="shared" si="160"/>
        <v>0</v>
      </c>
      <c r="JQ16" s="347" t="b">
        <f t="shared" si="161"/>
        <v>0</v>
      </c>
      <c r="JR16" s="347" t="b">
        <f t="shared" si="162"/>
        <v>0</v>
      </c>
      <c r="JS16" s="347" t="b">
        <f t="shared" si="163"/>
        <v>0</v>
      </c>
      <c r="JT16" s="347" t="b">
        <f t="shared" si="164"/>
        <v>1</v>
      </c>
      <c r="JU16" s="347" t="b">
        <f t="shared" si="165"/>
        <v>0</v>
      </c>
      <c r="JV16" s="347" t="b">
        <f t="shared" si="166"/>
        <v>1</v>
      </c>
      <c r="JW16" s="347" t="b">
        <f t="shared" si="167"/>
        <v>0</v>
      </c>
      <c r="JX16" s="347" t="b">
        <f t="shared" si="168"/>
        <v>0</v>
      </c>
      <c r="JY16" s="347" t="b">
        <f t="shared" si="169"/>
        <v>0</v>
      </c>
      <c r="JZ16" s="347" t="b">
        <f t="shared" si="170"/>
        <v>1</v>
      </c>
      <c r="KA16" s="347" t="b">
        <f t="shared" si="171"/>
        <v>0</v>
      </c>
      <c r="KB16" s="365" t="b">
        <f t="shared" si="172"/>
        <v>0</v>
      </c>
      <c r="KC16" s="354" t="str">
        <f t="shared" si="173"/>
        <v/>
      </c>
      <c r="KD16" s="355" t="str">
        <f t="shared" si="174"/>
        <v/>
      </c>
      <c r="KE16" s="355" t="str">
        <f t="shared" si="175"/>
        <v/>
      </c>
      <c r="KF16" s="355" t="str">
        <f t="shared" si="176"/>
        <v/>
      </c>
      <c r="KG16" s="355" t="str">
        <f t="shared" si="177"/>
        <v>Ga, </v>
      </c>
      <c r="KH16" s="355" t="str">
        <f t="shared" si="178"/>
        <v/>
      </c>
      <c r="KI16" s="355" t="str">
        <f t="shared" si="179"/>
        <v>Ma, </v>
      </c>
      <c r="KJ16" s="355" t="str">
        <f t="shared" si="180"/>
        <v/>
      </c>
      <c r="KK16" s="355" t="str">
        <f t="shared" si="181"/>
        <v/>
      </c>
      <c r="KL16" s="355" t="str">
        <f t="shared" si="182"/>
        <v/>
      </c>
      <c r="KM16" s="355" t="str">
        <f t="shared" si="183"/>
        <v>ni, </v>
      </c>
      <c r="KN16" s="355" t="str">
        <f t="shared" si="184"/>
        <v/>
      </c>
      <c r="KO16" s="359"/>
      <c r="KP16" s="378"/>
      <c r="KQ16" s="379" t="s">
        <v>539</v>
      </c>
      <c r="KR16" s="380" t="s">
        <v>1263</v>
      </c>
      <c r="KS16" s="381" t="str">
        <f>KQ16</f>
        <v>S-G-M-P-n-S</v>
      </c>
      <c r="KT16" s="382">
        <f t="shared" si="186"/>
        <v>5</v>
      </c>
      <c r="KU16" s="383">
        <f t="shared" si="187"/>
        <v>5</v>
      </c>
      <c r="KV16" s="381" t="str">
        <f t="shared" si="205"/>
        <v>S-n-P-M-G-S</v>
      </c>
      <c r="KW16" s="382">
        <f t="shared" si="189"/>
        <v>5</v>
      </c>
      <c r="KX16" s="384">
        <f t="shared" si="190"/>
        <v>5</v>
      </c>
      <c r="KY16" s="382">
        <f t="shared" ref="KY16:KZ16" si="222">KW16-KT16</f>
        <v>0</v>
      </c>
      <c r="KZ16" s="369">
        <f t="shared" si="222"/>
        <v>0</v>
      </c>
      <c r="LA16" s="385" t="str">
        <f t="shared" si="192"/>
        <v>✔</v>
      </c>
      <c r="LB16" s="340" t="str">
        <f>IFERROR(__xludf.DUMMYFUNCTION("JOIN("""",ArrayFormula(MID(KS16,LEN(KS16)-SEQUENCE(1,LEN(KS16))+1,1)))"),"S-n-P-M-G-S")</f>
        <v>S-n-P-M-G-S</v>
      </c>
      <c r="LC16" s="373" t="str">
        <f>IFERROR(__xludf.DUMMYFUNCTION("JOIN("""",ArrayFormula(MID(KV16,LEN(KV16)-SEQUENCE(1,LEN(KV16))+1,1)))"),"S-G-M-P-n-S")</f>
        <v>S-G-M-P-n-S</v>
      </c>
      <c r="LD16" s="373" t="str">
        <f t="shared" si="193"/>
        <v>SGMPnS</v>
      </c>
      <c r="LE16" s="339" t="str">
        <f t="shared" si="194"/>
        <v>SGMPnS</v>
      </c>
      <c r="LF16" s="386" t="str">
        <f>IFERROR(__xludf.DUMMYFUNCTION("SUBSTITUTE(SUBSTITUTE(CONCATENATE(JOIN("""",LH16:LT16)),""1"",""""),""2"","""")"),"SGMPnS")</f>
        <v>SGMPnS</v>
      </c>
      <c r="LG16" s="369" t="str">
        <f t="shared" si="195"/>
        <v>✔</v>
      </c>
      <c r="LH16" s="387" t="str">
        <f>IFERROR(__xludf.DUMMYFUNCTION("IF(REGEXMATCH(LD16, ""S""), ""S"",IF(REGEXMATCH(LE16, ""S""), ""S"",""""))"),"S")</f>
        <v>S</v>
      </c>
      <c r="LI16" s="299" t="str">
        <f>IFERROR(__xludf.DUMMYFUNCTION("IF(REGEXMATCH(LD16, ""r""), ""r1"",IF(REGEXMATCH(LE16, ""r""), ""r2"",""""))"),"")</f>
        <v/>
      </c>
      <c r="LJ16" s="299" t="str">
        <f>IFERROR(__xludf.DUMMYFUNCTION("IF(REGEXMATCH(LD16, ""R""), ""R1"",IF(REGEXMATCH(LE16, ""R""), ""R2"",""""))"),"")</f>
        <v/>
      </c>
      <c r="LK16" s="299" t="str">
        <f>IFERROR(__xludf.DUMMYFUNCTION("IF(REGEXMATCH(LD16, ""g""), ""g1"",IF(REGEXMATCH(LE16, ""g""), ""g2"",""""))"),"")</f>
        <v/>
      </c>
      <c r="LL16" s="299" t="str">
        <f>IFERROR(__xludf.DUMMYFUNCTION("IF(REGEXMATCH(LD16, ""G""), ""G1"",IF(REGEXMATCH(LE16, ""G""), ""G2"",""""))"),"G1")</f>
        <v>G1</v>
      </c>
      <c r="LM16" s="299" t="str">
        <f>IFERROR(__xludf.DUMMYFUNCTION("IF(REGEXMATCH(LD16, ""m""), ""m1"",IF(REGEXMATCH(LE16, ""m""), ""m2"",""""))"),"")</f>
        <v/>
      </c>
      <c r="LN16" s="299" t="str">
        <f>IFERROR(__xludf.DUMMYFUNCTION("IF(REGEXMATCH(LD16, ""M""), ""M1"",IF(REGEXMATCH(LE16, ""M""), ""M2"",""""))"),"M1")</f>
        <v>M1</v>
      </c>
      <c r="LO16" s="299" t="str">
        <f>IFERROR(__xludf.DUMMYFUNCTION("IF(REGEXMATCH(LD16, ""P""), ""P1"",IF(REGEXMATCH(LE16, ""P""), ""P2"",""""))"),"P1")</f>
        <v>P1</v>
      </c>
      <c r="LP16" s="299" t="str">
        <f>IFERROR(__xludf.DUMMYFUNCTION("IF(REGEXMATCH(LD16, ""d""), ""d1"",IF(REGEXMATCH(LE16, ""d""), ""d2"",""""))"),"")</f>
        <v/>
      </c>
      <c r="LQ16" s="299" t="str">
        <f>IFERROR(__xludf.DUMMYFUNCTION("IF(REGEXMATCH(LD16, ""D""), ""D1"",IF(REGEXMATCH(LE16, ""D""), ""D2"",""""))"),"")</f>
        <v/>
      </c>
      <c r="LR16" s="299" t="str">
        <f>IFERROR(__xludf.DUMMYFUNCTION("IF(REGEXMATCH(LD16, ""n""), ""n1"",IF(REGEXMATCH(LE16, ""n""), ""n2"",""""))"),"n1")</f>
        <v>n1</v>
      </c>
      <c r="LS16" s="299" t="str">
        <f>IFERROR(__xludf.DUMMYFUNCTION("IF(REGEXMATCH(LD16, ""N""), ""N1"",IF(REGEXMATCH(LE16, ""N""), ""N2"",""""))"),"")</f>
        <v/>
      </c>
      <c r="LT16" s="388" t="str">
        <f>IFERROR(__xludf.DUMMYFUNCTION("IF(REGEXMATCH(LD16, ""S""), ""S"",IF(REGEXMATCH(LE16, ""S""), ""S"",""""))"),"S")</f>
        <v>S</v>
      </c>
      <c r="LU16" s="389">
        <f t="shared" si="196"/>
        <v>1</v>
      </c>
      <c r="LV16" s="378"/>
      <c r="LW16" s="369"/>
      <c r="LX16" s="369"/>
    </row>
    <row r="17" ht="20.25" customHeight="1">
      <c r="A17" s="298" t="s">
        <v>1264</v>
      </c>
      <c r="B17" s="222" t="s">
        <v>1265</v>
      </c>
      <c r="C17" s="233" t="str">
        <f t="shared" si="7"/>
        <v>SGMPNS</v>
      </c>
      <c r="D17" s="234" t="str">
        <f>IFERROR(__xludf.DUMMYFUNCTION("IF(REGEXMATCH(C17, ""S""), ""S"","""")"),"S")</f>
        <v>S</v>
      </c>
      <c r="E17" s="236" t="str">
        <f>IFERROR(__xludf.DUMMYFUNCTION("IF(REGEXMATCH(C17, ""r""), ""r"","""")"),"")</f>
        <v/>
      </c>
      <c r="F17" s="237" t="str">
        <f>IFERROR(__xludf.DUMMYFUNCTION("IF(REGEXMATCH(C17, ""R""), ""R"","""")"),"")</f>
        <v/>
      </c>
      <c r="G17" s="237" t="str">
        <f>IFERROR(__xludf.DUMMYFUNCTION("IF(REGEXMATCH(C17, ""g""), ""g"","""")"),"")</f>
        <v/>
      </c>
      <c r="H17" s="236" t="str">
        <f>IFERROR(__xludf.DUMMYFUNCTION("IF(REGEXMATCH(C17, ""G""), ""G"","""")"),"G")</f>
        <v>G</v>
      </c>
      <c r="I17" s="236" t="str">
        <f>IFERROR(__xludf.DUMMYFUNCTION("IF(REGEXMATCH(C17, ""m""), ""m"","""")"),"")</f>
        <v/>
      </c>
      <c r="J17" s="237" t="str">
        <f>IFERROR(__xludf.DUMMYFUNCTION("IF(REGEXMATCH(C17, ""M""), ""M"","""")"),"M")</f>
        <v>M</v>
      </c>
      <c r="K17" s="236" t="str">
        <f>IFERROR(__xludf.DUMMYFUNCTION("IF(REGEXMATCH(C17, ""P""), ""P"","""")"),"P")</f>
        <v>P</v>
      </c>
      <c r="L17" s="237" t="str">
        <f>IFERROR(__xludf.DUMMYFUNCTION("IF(REGEXMATCH(C17, ""d""), ""d"","""")"),"")</f>
        <v/>
      </c>
      <c r="M17" s="236" t="str">
        <f>IFERROR(__xludf.DUMMYFUNCTION("IF(REGEXMATCH(C17, ""D""), ""D"","""")"),"")</f>
        <v/>
      </c>
      <c r="N17" s="236" t="str">
        <f>IFERROR(__xludf.DUMMYFUNCTION("IF(REGEXMATCH(C17, ""n""), ""n"","""")"),"")</f>
        <v/>
      </c>
      <c r="O17" s="237" t="str">
        <f>IFERROR(__xludf.DUMMYFUNCTION("IF(REGEXMATCH(C17, ""N""), ""N"","""")"),"N")</f>
        <v>N</v>
      </c>
      <c r="P17" s="238" t="str">
        <f>IFERROR(__xludf.DUMMYFUNCTION("IF(REGEXMATCH(C17, ""S""), ""S"","""")"),"S")</f>
        <v>S</v>
      </c>
      <c r="Q17" s="239" t="str">
        <f>IFERROR(__xludf.DUMMYFUNCTION("SUBSTITUTE(CONCATENATE(JOIN(""-"",D17:J17)),""-"","""")"),"SGM")</f>
        <v>SGM</v>
      </c>
      <c r="R17" s="229" t="str">
        <f>IFERROR(__xludf.DUMMYFUNCTION("SUBSTITUTE(CONCATENATE(JOIN(""-"",K17:P17)),""-"","""")"),"PNS")</f>
        <v>PNS</v>
      </c>
      <c r="S17" s="282" t="str">
        <f t="shared" si="8"/>
        <v>S-G-M</v>
      </c>
      <c r="T17" s="282" t="str">
        <f t="shared" si="9"/>
        <v>P-N-S</v>
      </c>
      <c r="U17" s="237" t="str">
        <f>IFERROR(__xludf.DUMMYFUNCTION("SUBSTITUTE(JOIN(""-"",S17,T17),""--"",""-"")"),"S-G-M-P-N-S")</f>
        <v>S-G-M-P-N-S</v>
      </c>
      <c r="V17" s="309" t="str">
        <f t="shared" si="10"/>
        <v>GMN</v>
      </c>
      <c r="W17" s="244" t="str">
        <f>IFERROR(__xludf.DUMMYFUNCTION("IF(REGEXMATCH(C17, ""S""), ""0"","""")"),"0")</f>
        <v>0</v>
      </c>
      <c r="X17" s="245" t="str">
        <f>IFERROR(__xludf.DUMMYFUNCTION("IF(REGEXMATCH(C17, ""r""), ""1"","""")"),"")</f>
        <v/>
      </c>
      <c r="Y17" s="246" t="str">
        <f>IFERROR(__xludf.DUMMYFUNCTION("IF(REGEXMATCH(C17, ""R""), ""2"","""")"),"")</f>
        <v/>
      </c>
      <c r="Z17" s="246" t="str">
        <f>IFERROR(__xludf.DUMMYFUNCTION("IF(REGEXMATCH(C17, ""g""), ""3"","""")"),"")</f>
        <v/>
      </c>
      <c r="AA17" s="245" t="str">
        <f>IFERROR(__xludf.DUMMYFUNCTION("IF(REGEXMATCH(C17, ""G""), ""4"","""")"),"4")</f>
        <v>4</v>
      </c>
      <c r="AB17" s="245" t="str">
        <f>IFERROR(__xludf.DUMMYFUNCTION("IF(REGEXMATCH(C17, ""m""), ""5"","""")"),"")</f>
        <v/>
      </c>
      <c r="AC17" s="246" t="str">
        <f>IFERROR(__xludf.DUMMYFUNCTION("IF(REGEXMATCH(C17, ""M""), ""6"","""")"),"6")</f>
        <v>6</v>
      </c>
      <c r="AD17" s="245" t="str">
        <f>IFERROR(__xludf.DUMMYFUNCTION("IF(REGEXMATCH(C17, ""P""), ""7"","""")"),"7")</f>
        <v>7</v>
      </c>
      <c r="AE17" s="246" t="str">
        <f>IFERROR(__xludf.DUMMYFUNCTION("IF(REGEXMATCH(C17, ""d""), ""8"","""")"),"")</f>
        <v/>
      </c>
      <c r="AF17" s="245" t="str">
        <f>IFERROR(__xludf.DUMMYFUNCTION("IF(REGEXMATCH(C17, ""D""), ""9"","""")"),"")</f>
        <v/>
      </c>
      <c r="AG17" s="245" t="str">
        <f>IFERROR(__xludf.DUMMYFUNCTION("IF(REGEXMATCH(C17, ""n""), ""10"","""")"),"")</f>
        <v/>
      </c>
      <c r="AH17" s="246" t="str">
        <f>IFERROR(__xludf.DUMMYFUNCTION("IF(REGEXMATCH(C17, ""N""), ""11"","""")"),"11")</f>
        <v>11</v>
      </c>
      <c r="AI17" s="249" t="str">
        <f>IFERROR(__xludf.DUMMYFUNCTION("IF(REGEXMATCH(C17, ""S""), ""0"","""")"),"0")</f>
        <v>0</v>
      </c>
      <c r="AJ17" s="313" t="str">
        <f t="shared" si="11"/>
        <v>T</v>
      </c>
      <c r="AK17" s="313" t="str">
        <f t="shared" si="12"/>
        <v>-</v>
      </c>
      <c r="AL17" s="313" t="str">
        <f t="shared" si="13"/>
        <v>-</v>
      </c>
      <c r="AM17" s="313" t="str">
        <f t="shared" si="14"/>
        <v>-</v>
      </c>
      <c r="AN17" s="313" t="str">
        <f t="shared" si="15"/>
        <v>-</v>
      </c>
      <c r="AO17" s="314" t="str">
        <f t="shared" si="16"/>
        <v>-</v>
      </c>
      <c r="AP17" s="316">
        <f t="shared" si="17"/>
        <v>1</v>
      </c>
      <c r="AQ17" s="319" t="str">
        <f t="shared" si="18"/>
        <v>-</v>
      </c>
      <c r="AR17" s="320">
        <f t="shared" si="19"/>
        <v>0</v>
      </c>
      <c r="AS17" s="250" t="str">
        <f>IFERROR(__xludf.DUMMYFUNCTION("SUBSTITUTE(SUBSTITUTE(CONCATENATE(JOIN("""",FP17:GA17)),""|"",""x""),""-"",""o"")"),"xoooxoxxooox")</f>
        <v>xoooxoxxooox</v>
      </c>
      <c r="AT17" s="323" t="str">
        <f>IFERROR(__xludf.DUMMYFUNCTION("JOIN("""",AS17,AS17)"),"xoooxoxxoooxxoooxoxxooox")</f>
        <v>xoooxoxxoooxxoooxoxxooox</v>
      </c>
      <c r="AU17" s="256" t="str">
        <f>IFERROR(__xludf.DUMMYFUNCTION("JOIN("""",ArrayFormula(MID(AS17,LEN(AS17)-SEQUENCE(1,LEN(AS17))+1,1)))"),"xoooxxoxooox")</f>
        <v>xoooxxoxooox</v>
      </c>
      <c r="AV17" s="256" t="str">
        <f>IFERROR(__xludf.DUMMYFUNCTION("LEFT(CONCATENATE(""x"",JOIN("""",ArrayFormula(MID(AS17,LEN(AS17)-SEQUENCE(1,LEN(AS17))+1,1)))),12)"),"xxoooxxoxooo")</f>
        <v>xxoooxxoxooo</v>
      </c>
      <c r="AW17" s="327" t="str">
        <f>IFERROR(__xludf.DUMMYFUNCTION("JOIN("""",AU17,AU17)"),"xoooxxoxoooxxoooxxoxooox")</f>
        <v>xoooxxoxoooxxoooxxoxooox</v>
      </c>
      <c r="AX17" s="239" t="str">
        <f>IFERROR(__xludf.DUMMYFUNCTION("IF(REGEXMATCH(AW17,AS17),""✔"",""-"")"),"-")</f>
        <v>-</v>
      </c>
      <c r="AY17" s="330" t="str">
        <f t="shared" si="20"/>
        <v>-</v>
      </c>
      <c r="AZ17" s="260" t="str">
        <f t="shared" si="21"/>
        <v>#REF!</v>
      </c>
      <c r="BA17" s="333" t="str">
        <f t="shared" si="22"/>
        <v>xoooxox</v>
      </c>
      <c r="BB17" s="334" t="str">
        <f t="shared" si="23"/>
        <v>xoooxx</v>
      </c>
      <c r="BC17" s="335" t="str">
        <f t="shared" si="24"/>
        <v>-</v>
      </c>
      <c r="BD17" s="336" t="str">
        <f t="shared" si="25"/>
        <v>Amritvarshini: 'xoooxox' + 'xoooxx'</v>
      </c>
      <c r="BE17" s="337">
        <f>IFERROR(__xludf.DUMMYFUNCTION("COUNTUNIQUE(FILTER(AT:AT,REGEXMATCH(AT:AT,AS17)))-1"),3.0)</f>
        <v>3</v>
      </c>
      <c r="BF17" s="261" t="str">
        <f>IFERROR(__xludf.DUMMYFUNCTION("IF(BI17=0,""(n/a)"",IF(BJ17=2,""(PAIR)"",IF(REGEXMATCH(AT17,""xoxoxxoxoxox""),""Bilawal"",IF(REGEXMATCH(AT17,""xoxoxooxoxoo""),""Bhupali"",IF(REGEXMATCH(AT17,""xoxoxxoxxoxo""),""Charukeshi"",IF(REGEXMATCH(AT17,""xoxoooxxoxxo""),""Kameshwari"",IF(REGEXMATC"&amp;"H(AT17,""xoxoxooxoxox""),""Shankara"",IF(REGEXMATCH(AT17,""xxooxoxxxoox""),""Basant"",IF(REGEXMATCH(AT17,""xoxoxxxxoxox""),""Bihag"",IF(REGEXMATCH(AT17,""xoxxxxoxoxxx""),""Pilu"",IF(REGEXMATCH(AT17,""xoxxoxoxxoox""),""Kirwani"",IF(REGEXMATCH(AT17,""xoxxox"&amp;"oxoxxx""),""Mk.Malhar"",IF(REGEXMATCH(AT17,""xxooxxoxxoox""),""Bhairav"",IF(REGEXMATCH(AT17,""xxoxooxxxoox""),""Todi"",IF(REGEXMATCH(AT17,""xxooxoxooxox""),""Marwa"",IF(REGEXMATCH(AT17,""xxoooxoxxooo""),""Gunkali"",IF(REGEXMATCH(AT17,""xoxoxxoxxoox""),""N"&amp;"at Bhairav"",IF(REGEXMATCH(AT17,""xoxxoooxoxoo""),""Shivranjani"",IF(REGEXMATCH(AT17,""xooxxxoxooxo""),""Jog"",IF(REGEXMATCH(AT17,""xxooxoxoxoox""),""Hemshri"",IF(REGEXMATCH(AT17,""xoooxooxoxxo""),""Kalavati"",IF(REGEXMATCH(AT17,""xxoxoxxoxoox""),""Kedar"&amp;""",IF(REGEXMATCH(AT17,""xoxxxxoxooxx""),""Gara"",IF(REGEXMATCH(AT17,""xooxoxooxoox""),""Chandrakauns"",IF(REGEXMATCH(AT17,""xoxxxxoxxxox""),""Mand"",IF(REGEXMATCH(AT17,""xoxxxxoxoxox""),""Hanskinkini"",IF(REGEXMATCH(AT17,""xxooxxoxooxo""),""Lilavati"",IF("&amp;"REGEXMATCH(AT17,""xooxoxoooxox""),""Rajeshwari"",IF(REGEXMATCH(AT17,""xoooxxoxoxxx""),""Khokar"",IF(REGEXMATCH(AT17,""xxooxoxxxxox""),""Maligoura"",""-""))))))))))))))))))))))))))))))"),"Gunkali")</f>
        <v>Gunkali</v>
      </c>
      <c r="BG17" s="239" t="str">
        <f t="shared" si="26"/>
        <v>#REF!</v>
      </c>
      <c r="BH17" s="239">
        <f>IFERROR(__xludf.DUMMYFUNCTION("COUNTUNIQUE(FE17:FO17)-1"),4.0)</f>
        <v>4</v>
      </c>
      <c r="BI17" s="239">
        <f>IFERROR(__xludf.DUMMYFUNCTION("COUNTUNIQUE(FILTER(AT:AT,REGEXMATCH(AT:AT,AS17)))-1"),3.0)</f>
        <v>3</v>
      </c>
      <c r="BJ17" s="239">
        <f>IFERROR(__xludf.DUMMYFUNCTION("COUNTA(FILTER(AT:AT,REGEXMATCH(AT:AT,AS17)))"),6.0)</f>
        <v>6</v>
      </c>
      <c r="BK17" s="341">
        <f>IFERROR(__xludf.DUMMYFUNCTION("COUNTA(FILTER(AT:AT,REGEXMATCH(AT:AT,AS17)))-AR17"),6.0)</f>
        <v>6</v>
      </c>
      <c r="BL17" s="276" t="str">
        <f>IFERROR(__xludf.DUMMYFUNCTION("IF(AS17=""oooooooooooo"",""-"",IF(REGEXMATCH(AT17,""xx""), ""Hemi."", ""Anhemi.""))"),"Hemi.")</f>
        <v>Hemi.</v>
      </c>
      <c r="BM17" s="282" t="str">
        <f>IFERROR(__xludf.DUMMYFUNCTION("IF(AS17=""oooooooooooo"",""-"",IF(REGEXMATCH(AT17,""xxx""), ""Cohem."", ""-""))"),"-")</f>
        <v>-</v>
      </c>
      <c r="BN17" s="282" t="str">
        <f>IFERROR(__xludf.DUMMYFUNCTION("IF(AS17=""oooooooooooo"",""-"",IF(REGEXMATCH(AT17,""xxxx""), ""Co-Co."", ""-""))"),"-")</f>
        <v>-</v>
      </c>
      <c r="BO17" s="342" t="str">
        <f>IFERROR(__xludf.DUMMYFUNCTION("IF(AS17=""oooooooooooo"",""-"",IF(REGEXMATCH(AT17,""xxxxx""), ""CCC."", ""-""))"),"-")</f>
        <v>-</v>
      </c>
      <c r="BP17" s="344" t="str">
        <f t="shared" si="27"/>
        <v>-</v>
      </c>
      <c r="BQ17" s="282" t="str">
        <f>IFERROR(__xludf.DUMMYFUNCTION("IF(REGEXMATCH(JOIN(""-"",EU17:FD17),""TRUE""),""✔"",""-"")"),"✔")</f>
        <v>✔</v>
      </c>
      <c r="BR17" s="225">
        <f t="shared" si="28"/>
        <v>3</v>
      </c>
      <c r="BS17" s="345" t="str">
        <f>IFERROR(__xludf.DUMMYFUNCTION("SUBSTITUTE(SUBSTITUTE(SUBSTITUTE(SUBSTITUTE(CONCATENATE(JOIN(""-"",GC17:GO17)),""--"",""-""),""--"",""-""),""--"",""-""),""--"",""-"")"),"1-3-#4-5-7-8")</f>
        <v>1-3-#4-5-7-8</v>
      </c>
      <c r="BT17" s="299" t="str">
        <f>IFERROR(__xludf.DUMMYFUNCTION("SUBSTITUTE(SUBSTITUTE(SUBSTITUTE(SUBSTITUTE(CONCATENATE(JOIN(""-"",GP17:HB17)),""--"",""-""),""--"",""-""),""--"",""-""),""--"",""-"")"),"S-G3-M2-P-N3-S")</f>
        <v>S-G3-M2-P-N3-S</v>
      </c>
      <c r="BU17" s="348" t="str">
        <f t="shared" si="29"/>
        <v>C-E-F#-G-B-C</v>
      </c>
      <c r="BV17" s="349" t="str">
        <f t="shared" si="30"/>
        <v>SrRgmdDnS</v>
      </c>
      <c r="BW17" s="350">
        <f t="shared" si="31"/>
        <v>0</v>
      </c>
      <c r="BX17" s="351">
        <f t="shared" si="32"/>
        <v>1</v>
      </c>
      <c r="BY17" s="392"/>
      <c r="BZ17" s="309" t="str">
        <f>IFERROR(__xludf.DUMMYFUNCTION("IF(REGEXMATCH(C17, ""S""), ""x"",""x"")"),"x")</f>
        <v>x</v>
      </c>
      <c r="CA17" s="245" t="str">
        <f>IFERROR(__xludf.DUMMYFUNCTION("IF(REGEXMATCH(C17, ""r""), ""o"",""x"")"),"x")</f>
        <v>x</v>
      </c>
      <c r="CB17" s="246" t="str">
        <f>IFERROR(__xludf.DUMMYFUNCTION("IF(REGEXMATCH(C17, ""R""), ""o"",""x"")"),"x")</f>
        <v>x</v>
      </c>
      <c r="CC17" s="246" t="str">
        <f>IFERROR(__xludf.DUMMYFUNCTION("IF(REGEXMATCH(C17, ""g""), ""o"",""x"")"),"x")</f>
        <v>x</v>
      </c>
      <c r="CD17" s="245" t="str">
        <f>IFERROR(__xludf.DUMMYFUNCTION("IF(REGEXMATCH(C17, ""G""), ""o"",""x"")"),"o")</f>
        <v>o</v>
      </c>
      <c r="CE17" s="245" t="str">
        <f>IFERROR(__xludf.DUMMYFUNCTION("IF(REGEXMATCH(C17, ""m""), ""o"",""x"")"),"x")</f>
        <v>x</v>
      </c>
      <c r="CF17" s="246" t="str">
        <f>IFERROR(__xludf.DUMMYFUNCTION("IF(REGEXMATCH(C17, ""M""), ""o"",""x"")"),"o")</f>
        <v>o</v>
      </c>
      <c r="CG17" s="245" t="str">
        <f>IFERROR(__xludf.DUMMYFUNCTION("IF(REGEXMATCH(C17, ""P""), ""o"",""x"")"),"o")</f>
        <v>o</v>
      </c>
      <c r="CH17" s="246" t="str">
        <f>IFERROR(__xludf.DUMMYFUNCTION("IF(REGEXMATCH(C17, ""d""), ""o"",""x"")"),"x")</f>
        <v>x</v>
      </c>
      <c r="CI17" s="245" t="str">
        <f>IFERROR(__xludf.DUMMYFUNCTION("IF(REGEXMATCH(C17, ""D""), ""o"",""x"")"),"x")</f>
        <v>x</v>
      </c>
      <c r="CJ17" s="245" t="str">
        <f>IFERROR(__xludf.DUMMYFUNCTION("IF(REGEXMATCH(C17, ""n""), ""o"",""x"")"),"x")</f>
        <v>x</v>
      </c>
      <c r="CK17" s="245" t="str">
        <f>IFERROR(__xludf.DUMMYFUNCTION("IF(REGEXMATCH(C17, ""N""), ""o"",""x"")"),"o")</f>
        <v>o</v>
      </c>
      <c r="CL17" s="356" t="str">
        <f>IFERROR(__xludf.DUMMYFUNCTION("IF(REGEXMATCH(C17, ""S""), ""x"",""x"")"),"x")</f>
        <v>x</v>
      </c>
      <c r="CM17" s="357" t="str">
        <f t="shared" si="33"/>
        <v>xxxxoxooxxxo</v>
      </c>
      <c r="CN17" s="358">
        <f t="shared" si="34"/>
        <v>0</v>
      </c>
      <c r="CO17" s="246" t="str">
        <f>IFERROR(__xludf.DUMMYFUNCTION("IF(REGEXMATCH($C17, ""S""), ""S"",""S"")"),"S")</f>
        <v>S</v>
      </c>
      <c r="CP17" s="246" t="str">
        <f>IFERROR(__xludf.DUMMYFUNCTION("IF(REGEXMATCH($C17, ""r""), """",""r"")"),"r")</f>
        <v>r</v>
      </c>
      <c r="CQ17" s="246" t="str">
        <f>IFERROR(__xludf.DUMMYFUNCTION("IF(REGEXMATCH($C17, ""R""), """",""R"")"),"R")</f>
        <v>R</v>
      </c>
      <c r="CR17" s="246" t="str">
        <f>IFERROR(__xludf.DUMMYFUNCTION("IF(REGEXMATCH($C17, ""g""), """",""g"")"),"g")</f>
        <v>g</v>
      </c>
      <c r="CS17" s="246" t="str">
        <f>IFERROR(__xludf.DUMMYFUNCTION("IF(REGEXMATCH($C17, ""G""), """",""G"")"),"")</f>
        <v/>
      </c>
      <c r="CT17" s="246" t="str">
        <f>IFERROR(__xludf.DUMMYFUNCTION("IF(REGEXMATCH($C17, ""m""), """",""m"")"),"m")</f>
        <v>m</v>
      </c>
      <c r="CU17" s="246" t="str">
        <f>IFERROR(__xludf.DUMMYFUNCTION("IF(REGEXMATCH($C17, ""M""), """",""M"")"),"")</f>
        <v/>
      </c>
      <c r="CV17" s="246" t="str">
        <f>IFERROR(__xludf.DUMMYFUNCTION("IF(REGEXMATCH($C17, ""P""), """",""P"")"),"")</f>
        <v/>
      </c>
      <c r="CW17" s="246" t="str">
        <f>IFERROR(__xludf.DUMMYFUNCTION("IF(REGEXMATCH($C17, ""d""), """",""d"")"),"d")</f>
        <v>d</v>
      </c>
      <c r="CX17" s="246" t="str">
        <f>IFERROR(__xludf.DUMMYFUNCTION("IF(REGEXMATCH($C17, ""D""), """",""D"")"),"D")</f>
        <v>D</v>
      </c>
      <c r="CY17" s="246" t="str">
        <f>IFERROR(__xludf.DUMMYFUNCTION("IF(REGEXMATCH($C17, ""n""), """",""n"")"),"n")</f>
        <v>n</v>
      </c>
      <c r="CZ17" s="246" t="str">
        <f>IFERROR(__xludf.DUMMYFUNCTION("IF(REGEXMATCH($C17, ""N""), """",""N"")"),"")</f>
        <v/>
      </c>
      <c r="DA17" s="246" t="str">
        <f>IFERROR(__xludf.DUMMYFUNCTION("IF(REGEXMATCH($C17, ""S""), ""S"",""S"")"),"S")</f>
        <v>S</v>
      </c>
      <c r="DB17" s="362" t="str">
        <f>IFERROR(__xludf.DUMMYFUNCTION("JOIN("""",CO17:DA17,"""","""")"),"SrRgmdDnS")</f>
        <v>SrRgmdDnS</v>
      </c>
      <c r="DC17" s="363"/>
      <c r="DD17" s="301" t="str">
        <f t="shared" si="35"/>
        <v>#REF!</v>
      </c>
      <c r="DE17" s="302" t="str">
        <f t="shared" si="36"/>
        <v>#REF!</v>
      </c>
      <c r="DF17" s="301" t="str">
        <f t="shared" ref="DF17:DG17" si="223">SUBSTITUTE(S17,"-","")</f>
        <v>SGM</v>
      </c>
      <c r="DG17" s="301" t="str">
        <f t="shared" si="223"/>
        <v>PNS</v>
      </c>
      <c r="DH17" s="302" t="str">
        <f t="shared" si="38"/>
        <v>Gunkali</v>
      </c>
      <c r="DI17" s="301" t="str">
        <f t="shared" si="39"/>
        <v>Hemi.</v>
      </c>
      <c r="DJ17" s="364" t="str">
        <f t="shared" si="40"/>
        <v>-</v>
      </c>
      <c r="DK17" s="306" t="str">
        <f t="shared" si="41"/>
        <v>-</v>
      </c>
      <c r="DL17" s="366" t="str">
        <f t="shared" si="42"/>
        <v>✔</v>
      </c>
      <c r="DM17" s="308" t="str">
        <f t="shared" si="43"/>
        <v>-</v>
      </c>
      <c r="DN17" s="306" t="str">
        <f t="shared" si="44"/>
        <v>-</v>
      </c>
      <c r="DO17" s="306" t="str">
        <f t="shared" si="45"/>
        <v>-</v>
      </c>
      <c r="DP17" s="367" t="str">
        <f t="shared" si="46"/>
        <v>✔</v>
      </c>
      <c r="DQ17" s="310" t="str">
        <f t="shared" si="47"/>
        <v>-</v>
      </c>
      <c r="DR17" s="310" t="str">
        <f t="shared" si="48"/>
        <v>-</v>
      </c>
      <c r="DS17" s="310" t="str">
        <f t="shared" si="49"/>
        <v>-</v>
      </c>
      <c r="DT17" s="310" t="str">
        <f t="shared" si="50"/>
        <v>-</v>
      </c>
      <c r="DU17" s="370" t="str">
        <f t="shared" si="51"/>
        <v>-</v>
      </c>
      <c r="DV17" s="306" t="str">
        <f t="shared" si="52"/>
        <v>✔</v>
      </c>
      <c r="DW17" s="306" t="str">
        <f t="shared" si="53"/>
        <v>-</v>
      </c>
      <c r="DX17" s="306" t="str">
        <f t="shared" si="54"/>
        <v>-</v>
      </c>
      <c r="DY17" s="306" t="str">
        <f t="shared" si="55"/>
        <v>-</v>
      </c>
      <c r="DZ17" s="306" t="str">
        <f t="shared" si="56"/>
        <v>✔</v>
      </c>
      <c r="EA17" s="367" t="str">
        <f t="shared" si="57"/>
        <v>-</v>
      </c>
      <c r="EB17" s="310" t="str">
        <f>IFERROR(__xludf.DUMMYFUNCTION("IF(REGEXMATCH(AW17,AS17),""✔"",""-"")"),"-")</f>
        <v>-</v>
      </c>
      <c r="EC17" s="310" t="str">
        <f t="shared" si="58"/>
        <v>#REF!</v>
      </c>
      <c r="ED17" s="370" t="str">
        <f t="shared" si="59"/>
        <v>-</v>
      </c>
      <c r="EE17" s="340" t="str">
        <f t="shared" si="60"/>
        <v>S-G-M-P-N-S</v>
      </c>
      <c r="EF17" s="371" t="str">
        <f>IFERROR(__xludf.DUMMYFUNCTION("CONCATENATE(JOIN("""",HC17:HO17))"),"SrmMdS")</f>
        <v>SrmMdS</v>
      </c>
      <c r="EG17" s="372">
        <f t="shared" si="61"/>
        <v>2</v>
      </c>
      <c r="EH17" s="373" t="str">
        <f>IFERROR(__xludf.DUMMYFUNCTION("CONCATENATE(JOIN("""",JC17:JO17))"),"Ma, Pa, ")</f>
        <v>Ma, Pa, </v>
      </c>
      <c r="EI17" s="322">
        <f t="shared" si="62"/>
        <v>0</v>
      </c>
      <c r="EJ17" s="374" t="str">
        <f>IFERROR(__xludf.DUMMYFUNCTION("CONCATENATE(JOIN("""",KC17:KO17))"),"")</f>
        <v/>
      </c>
      <c r="EK17" s="325" t="str">
        <f t="shared" si="63"/>
        <v>S-G3-M2-P-N3-S</v>
      </c>
      <c r="EL17" s="326" t="str">
        <f t="shared" si="64"/>
        <v>1-3-#4-5-7-8</v>
      </c>
      <c r="EM17" s="318" t="str">
        <f t="shared" si="65"/>
        <v>#REF!</v>
      </c>
      <c r="EN17" s="328" t="str">
        <f>IFERROR(__xludf.DUMMYFUNCTION("SUBSTITUTE(SUBSTITUTE(SUBSTITUTE(SUBSTITUTE(CONCATENATE(JOIN("" "",HP17:IB17)),""  "","" ""),""  "","" ""),""  "","" ""),""  "","" "")"),"o • • • o • o o • • • o o")</f>
        <v>o • • • o • o o • • • o o</v>
      </c>
      <c r="EO17" s="368" t="str">
        <f t="shared" si="66"/>
        <v>Sa-Pa</v>
      </c>
      <c r="EP17" s="339" t="str">
        <f t="shared" si="67"/>
        <v>Sa-Pa</v>
      </c>
      <c r="EQ17" s="339" t="str">
        <f t="shared" si="68"/>
        <v>Sa-Pa</v>
      </c>
      <c r="ER17" s="339" t="str">
        <f t="shared" si="69"/>
        <v>-</v>
      </c>
      <c r="ES17" s="340" t="str">
        <f t="shared" si="70"/>
        <v>-</v>
      </c>
      <c r="ET17" s="363"/>
      <c r="EU17" s="376" t="b">
        <f>IFERROR(__xludf.DUMMYFUNCTION("arrayformula(sum(--REGEXMATCH(""SRGMPDNS"",split(REGEXREPLACE(C17,""(.)"",""$1~""),""~""))))=len(C17)
"),TRUE)</f>
        <v>1</v>
      </c>
      <c r="EV17" s="290" t="b">
        <f>IFERROR(__xludf.DUMMYFUNCTION("arrayformula(sum(--REGEXMATCH(""SRGmPDNS"",split(REGEXREPLACE(C17,""(.)"",""$1~""),""~""))))=len(C17)"),FALSE)</f>
        <v>0</v>
      </c>
      <c r="EW17" s="290" t="b">
        <f>IFERROR(__xludf.DUMMYFUNCTION("arrayformula(sum(--REGEXMATCH(""SRGmPDnS"",split(REGEXREPLACE(C17,""(.)"",""$1~""),""~""))))=len(C17)"),FALSE)</f>
        <v>0</v>
      </c>
      <c r="EX17" s="290" t="b">
        <f>IFERROR(__xludf.DUMMYFUNCTION("arrayformula(sum(--REGEXMATCH(""SRgmPDnS"",split(REGEXREPLACE(C17,""(.)"",""$1~""),""~""))))=len(C17)"),FALSE)</f>
        <v>0</v>
      </c>
      <c r="EY17" s="290" t="b">
        <f>IFERROR(__xludf.DUMMYFUNCTION("arrayformula(sum(--REGEXMATCH(""SRgmPdnS"",split(REGEXREPLACE(C17,""(.)"",""$1~""),""~""))))=len(C17)"),FALSE)</f>
        <v>0</v>
      </c>
      <c r="EZ17" s="290" t="b">
        <f>IFERROR(__xludf.DUMMYFUNCTION("arrayformula(sum(--REGEXMATCH(""SrgmPdnS"",split(REGEXREPLACE(C17,""(.)"",""$1~""),""~""))))=len(C17)"),FALSE)</f>
        <v>0</v>
      </c>
      <c r="FA17" s="290" t="b">
        <f>IFERROR(__xludf.DUMMYFUNCTION("arrayformula(sum(--REGEXMATCH(""SrGmPdNS"",split(REGEXREPLACE(C17,""(.)"",""$1~""),""~""))))=len(C17)"),FALSE)</f>
        <v>0</v>
      </c>
      <c r="FB17" s="290" t="b">
        <f>IFERROR(__xludf.DUMMYFUNCTION("arrayformula(sum(--REGEXMATCH(""SrGMPDNS"",split(REGEXREPLACE(C17,""(.)"",""$1~""),""~""))))=len(C17)"),TRUE)</f>
        <v>1</v>
      </c>
      <c r="FC17" s="290" t="b">
        <f>IFERROR(__xludf.DUMMYFUNCTION("arrayformula(sum(--REGEXMATCH(""SrGMPdNS"",split(REGEXREPLACE(C17,""(.)"",""$1~""),""~""))))=len(C17)"),TRUE)</f>
        <v>1</v>
      </c>
      <c r="FD17" s="377" t="b">
        <f>IFERROR(__xludf.DUMMYFUNCTION("arrayformula(sum(--REGEXMATCH(""SrgMPdNS"",split(REGEXREPLACE(C17,""(.)"",""$1~""),""~""))))=len(C17)"),FALSE)</f>
        <v>0</v>
      </c>
      <c r="FE17" s="269" t="str">
        <f t="shared" si="71"/>
        <v>-</v>
      </c>
      <c r="FF17" s="269" t="str">
        <f t="shared" si="72"/>
        <v>-</v>
      </c>
      <c r="FG17" s="271" t="str">
        <f t="shared" si="73"/>
        <v>-</v>
      </c>
      <c r="FH17" s="269" t="str">
        <f t="shared" si="74"/>
        <v>xoxxoooxxoo</v>
      </c>
      <c r="FI17" s="271" t="str">
        <f t="shared" si="75"/>
        <v>-</v>
      </c>
      <c r="FJ17" s="271" t="str">
        <f t="shared" si="76"/>
        <v>xxoooxxooox</v>
      </c>
      <c r="FK17" s="271" t="str">
        <f t="shared" si="77"/>
        <v>xoooxxoooxo</v>
      </c>
      <c r="FL17" s="271" t="str">
        <f t="shared" si="78"/>
        <v>-</v>
      </c>
      <c r="FM17" s="271" t="str">
        <f t="shared" si="79"/>
        <v>-</v>
      </c>
      <c r="FN17" s="271" t="str">
        <f t="shared" si="80"/>
        <v>-</v>
      </c>
      <c r="FO17" s="274" t="str">
        <f t="shared" si="81"/>
        <v>xxoooxoxxoo</v>
      </c>
      <c r="FP17" s="234" t="str">
        <f t="shared" si="82"/>
        <v>|</v>
      </c>
      <c r="FQ17" s="236" t="str">
        <f t="shared" si="83"/>
        <v>-</v>
      </c>
      <c r="FR17" s="237" t="str">
        <f t="shared" si="84"/>
        <v>-</v>
      </c>
      <c r="FS17" s="236" t="str">
        <f t="shared" si="85"/>
        <v>-</v>
      </c>
      <c r="FT17" s="237" t="str">
        <f t="shared" si="86"/>
        <v>|</v>
      </c>
      <c r="FU17" s="236" t="str">
        <f t="shared" si="87"/>
        <v>-</v>
      </c>
      <c r="FV17" s="237" t="str">
        <f t="shared" si="88"/>
        <v>|</v>
      </c>
      <c r="FW17" s="236" t="str">
        <f t="shared" si="89"/>
        <v>|</v>
      </c>
      <c r="FX17" s="237" t="str">
        <f t="shared" si="90"/>
        <v>-</v>
      </c>
      <c r="FY17" s="236" t="str">
        <f t="shared" si="91"/>
        <v>-</v>
      </c>
      <c r="FZ17" s="237" t="str">
        <f t="shared" si="92"/>
        <v>-</v>
      </c>
      <c r="GA17" s="236" t="str">
        <f t="shared" si="93"/>
        <v>|</v>
      </c>
      <c r="GB17" s="238" t="str">
        <f t="shared" si="94"/>
        <v>|</v>
      </c>
      <c r="GC17" s="244" t="str">
        <f>IFERROR(__xludf.DUMMYFUNCTION("IF(REGEXMATCH(C17, ""S""), ""1"","""")"),"1")</f>
        <v>1</v>
      </c>
      <c r="GD17" s="245" t="str">
        <f>IFERROR(__xludf.DUMMYFUNCTION("IF(REGEXMATCH(C17, ""r""), ""b2"","""")"),"")</f>
        <v/>
      </c>
      <c r="GE17" s="246" t="str">
        <f>IFERROR(__xludf.DUMMYFUNCTION("IF(REGEXMATCH(C17, ""R""), ""2"","""")"),"")</f>
        <v/>
      </c>
      <c r="GF17" s="246" t="str">
        <f>IFERROR(__xludf.DUMMYFUNCTION("IF(REGEXMATCH(C17, ""g""), ""b3"","""")"),"")</f>
        <v/>
      </c>
      <c r="GG17" s="245" t="str">
        <f>IFERROR(__xludf.DUMMYFUNCTION("IF(REGEXMATCH(C17, ""G""), ""3"","""")"),"3")</f>
        <v>3</v>
      </c>
      <c r="GH17" s="245" t="str">
        <f>IFERROR(__xludf.DUMMYFUNCTION("IF(REGEXMATCH(C17, ""m""), ""4"","""")"),"")</f>
        <v/>
      </c>
      <c r="GI17" s="246" t="str">
        <f>IFERROR(__xludf.DUMMYFUNCTION("IF(REGEXMATCH(C17, ""M""), ""#4"","""")"),"#4")</f>
        <v>#4</v>
      </c>
      <c r="GJ17" s="245" t="str">
        <f>IFERROR(__xludf.DUMMYFUNCTION("IF(REGEXMATCH(C17, ""P""), ""5"","""")"),"5")</f>
        <v>5</v>
      </c>
      <c r="GK17" s="246" t="str">
        <f>IFERROR(__xludf.DUMMYFUNCTION("IF(REGEXMATCH(C17, ""d""), ""b6"","""")"),"")</f>
        <v/>
      </c>
      <c r="GL17" s="245" t="str">
        <f>IFERROR(__xludf.DUMMYFUNCTION("IF(REGEXMATCH(C17, ""D""), ""6"","""")"),"")</f>
        <v/>
      </c>
      <c r="GM17" s="245" t="str">
        <f>IFERROR(__xludf.DUMMYFUNCTION("IF(REGEXMATCH(C17, ""n""), ""b7"","""")"),"")</f>
        <v/>
      </c>
      <c r="GN17" s="246" t="str">
        <f>IFERROR(__xludf.DUMMYFUNCTION("IF(REGEXMATCH(C17, ""N""), ""7"","""")"),"7")</f>
        <v>7</v>
      </c>
      <c r="GO17" s="249" t="str">
        <f>IFERROR(__xludf.DUMMYFUNCTION("IF(REGEXMATCH(C17, ""S""), ""8"","""")"),"8")</f>
        <v>8</v>
      </c>
      <c r="GP17" s="244" t="str">
        <f>IFERROR(__xludf.DUMMYFUNCTION("IF(REGEXMATCH(C17, ""S""), ""S"","""")"),"S")</f>
        <v>S</v>
      </c>
      <c r="GQ17" s="294" t="str">
        <f>IFERROR(__xludf.DUMMYFUNCTION("IF(REGEXMATCH(C17, ""r""), ""R1"","""")"),"")</f>
        <v/>
      </c>
      <c r="GR17" s="295" t="str">
        <f>IFERROR(__xludf.DUMMYFUNCTION("IF(REGEXMATCH(C17, ""R""), ""R2"","""")"),"")</f>
        <v/>
      </c>
      <c r="GS17" s="295" t="str">
        <f>IFERROR(__xludf.DUMMYFUNCTION("IF(REGEXMATCH(C17, ""g""), ""G2"","""")"),"")</f>
        <v/>
      </c>
      <c r="GT17" s="294" t="str">
        <f>IFERROR(__xludf.DUMMYFUNCTION("IF(REGEXMATCH(C17, ""G""), ""G3"","""")"),"G3")</f>
        <v>G3</v>
      </c>
      <c r="GU17" s="294" t="str">
        <f>IFERROR(__xludf.DUMMYFUNCTION("IF(REGEXMATCH(C17, ""m""), ""M1"","""")"),"")</f>
        <v/>
      </c>
      <c r="GV17" s="295" t="str">
        <f>IFERROR(__xludf.DUMMYFUNCTION("IF(REGEXMATCH(C17, ""M""), ""M2"","""")"),"M2")</f>
        <v>M2</v>
      </c>
      <c r="GW17" s="294" t="str">
        <f>IFERROR(__xludf.DUMMYFUNCTION("IF(REGEXMATCH(C17, ""P""), ""P"","""")"),"P")</f>
        <v>P</v>
      </c>
      <c r="GX17" s="295" t="str">
        <f>IFERROR(__xludf.DUMMYFUNCTION("IF(REGEXMATCH(C17, ""d""), ""D1"","""")"),"")</f>
        <v/>
      </c>
      <c r="GY17" s="294" t="str">
        <f>IFERROR(__xludf.DUMMYFUNCTION("IF(REGEXMATCH(C17, ""D""), ""D2"","""")"),"")</f>
        <v/>
      </c>
      <c r="GZ17" s="294" t="str">
        <f>IFERROR(__xludf.DUMMYFUNCTION("IF(REGEXMATCH(C17, ""n""), ""N2"","""")"),"")</f>
        <v/>
      </c>
      <c r="HA17" s="295" t="str">
        <f>IFERROR(__xludf.DUMMYFUNCTION("IF(REGEXMATCH(C17, ""N""), ""N3"","""")"),"N3")</f>
        <v>N3</v>
      </c>
      <c r="HB17" s="249" t="str">
        <f>IFERROR(__xludf.DUMMYFUNCTION("IF(REGEXMATCH(C17, ""S""), ""S"","""")"),"S")</f>
        <v>S</v>
      </c>
      <c r="HC17" s="331" t="str">
        <f t="shared" si="95"/>
        <v>S</v>
      </c>
      <c r="HD17" s="332" t="str">
        <f t="shared" si="96"/>
        <v>r</v>
      </c>
      <c r="HE17" s="332" t="str">
        <f t="shared" si="97"/>
        <v/>
      </c>
      <c r="HF17" s="332" t="str">
        <f t="shared" si="98"/>
        <v/>
      </c>
      <c r="HG17" s="332" t="str">
        <f t="shared" si="99"/>
        <v/>
      </c>
      <c r="HH17" s="332" t="str">
        <f t="shared" si="100"/>
        <v>m</v>
      </c>
      <c r="HI17" s="332" t="str">
        <f t="shared" si="101"/>
        <v>M</v>
      </c>
      <c r="HJ17" s="332" t="str">
        <f t="shared" si="102"/>
        <v/>
      </c>
      <c r="HK17" s="332" t="str">
        <f t="shared" si="103"/>
        <v>d</v>
      </c>
      <c r="HL17" s="332" t="str">
        <f t="shared" si="104"/>
        <v/>
      </c>
      <c r="HM17" s="332" t="str">
        <f t="shared" si="105"/>
        <v/>
      </c>
      <c r="HN17" s="332" t="str">
        <f t="shared" si="106"/>
        <v/>
      </c>
      <c r="HO17" s="343" t="str">
        <f t="shared" si="107"/>
        <v>S</v>
      </c>
      <c r="HP17" s="331" t="str">
        <f t="shared" si="108"/>
        <v>o</v>
      </c>
      <c r="HQ17" s="332" t="str">
        <f t="shared" si="109"/>
        <v>•</v>
      </c>
      <c r="HR17" s="332" t="str">
        <f t="shared" si="110"/>
        <v>•</v>
      </c>
      <c r="HS17" s="332" t="str">
        <f t="shared" si="111"/>
        <v>•</v>
      </c>
      <c r="HT17" s="332" t="str">
        <f t="shared" si="112"/>
        <v>o</v>
      </c>
      <c r="HU17" s="332" t="str">
        <f t="shared" si="113"/>
        <v>•</v>
      </c>
      <c r="HV17" s="332" t="str">
        <f t="shared" si="114"/>
        <v>o</v>
      </c>
      <c r="HW17" s="332" t="str">
        <f t="shared" si="115"/>
        <v>o</v>
      </c>
      <c r="HX17" s="332" t="str">
        <f t="shared" si="116"/>
        <v>•</v>
      </c>
      <c r="HY17" s="332" t="str">
        <f t="shared" si="117"/>
        <v>•</v>
      </c>
      <c r="HZ17" s="332" t="str">
        <f t="shared" si="118"/>
        <v>•</v>
      </c>
      <c r="IA17" s="332" t="str">
        <f t="shared" si="119"/>
        <v>o</v>
      </c>
      <c r="IB17" s="338" t="str">
        <f t="shared" si="120"/>
        <v>o</v>
      </c>
      <c r="IC17" s="331" t="str">
        <f t="shared" si="121"/>
        <v>•</v>
      </c>
      <c r="ID17" s="332" t="str">
        <f t="shared" si="122"/>
        <v>o</v>
      </c>
      <c r="IE17" s="332" t="str">
        <f t="shared" si="123"/>
        <v>o</v>
      </c>
      <c r="IF17" s="332" t="str">
        <f t="shared" si="124"/>
        <v>o</v>
      </c>
      <c r="IG17" s="332" t="str">
        <f t="shared" si="125"/>
        <v>•</v>
      </c>
      <c r="IH17" s="332" t="str">
        <f t="shared" si="126"/>
        <v>o</v>
      </c>
      <c r="II17" s="332" t="str">
        <f t="shared" si="127"/>
        <v>•</v>
      </c>
      <c r="IJ17" s="332" t="str">
        <f t="shared" si="128"/>
        <v>•</v>
      </c>
      <c r="IK17" s="332" t="str">
        <f t="shared" si="129"/>
        <v>o</v>
      </c>
      <c r="IL17" s="332" t="str">
        <f t="shared" si="130"/>
        <v>o</v>
      </c>
      <c r="IM17" s="332" t="str">
        <f t="shared" si="131"/>
        <v>o</v>
      </c>
      <c r="IN17" s="332" t="str">
        <f t="shared" si="132"/>
        <v>•</v>
      </c>
      <c r="IO17" s="338" t="str">
        <f t="shared" si="133"/>
        <v>•</v>
      </c>
      <c r="IP17" s="346" t="b">
        <f t="shared" si="134"/>
        <v>0</v>
      </c>
      <c r="IQ17" s="347" t="b">
        <f t="shared" si="135"/>
        <v>0</v>
      </c>
      <c r="IR17" s="347" t="b">
        <f t="shared" si="136"/>
        <v>0</v>
      </c>
      <c r="IS17" s="347" t="b">
        <f t="shared" si="137"/>
        <v>0</v>
      </c>
      <c r="IT17" s="347" t="b">
        <f t="shared" si="138"/>
        <v>0</v>
      </c>
      <c r="IU17" s="347" t="b">
        <f t="shared" si="139"/>
        <v>0</v>
      </c>
      <c r="IV17" s="347" t="b">
        <f t="shared" si="140"/>
        <v>1</v>
      </c>
      <c r="IW17" s="347" t="b">
        <f t="shared" si="141"/>
        <v>1</v>
      </c>
      <c r="IX17" s="347" t="b">
        <f t="shared" si="142"/>
        <v>0</v>
      </c>
      <c r="IY17" s="347" t="b">
        <f t="shared" si="143"/>
        <v>0</v>
      </c>
      <c r="IZ17" s="347" t="b">
        <f t="shared" si="144"/>
        <v>0</v>
      </c>
      <c r="JA17" s="347" t="b">
        <f t="shared" si="145"/>
        <v>0</v>
      </c>
      <c r="JB17" s="353" t="b">
        <f t="shared" si="146"/>
        <v>0</v>
      </c>
      <c r="JC17" s="354" t="str">
        <f t="shared" si="147"/>
        <v/>
      </c>
      <c r="JD17" s="355" t="str">
        <f t="shared" si="148"/>
        <v/>
      </c>
      <c r="JE17" s="355" t="str">
        <f t="shared" si="149"/>
        <v/>
      </c>
      <c r="JF17" s="355" t="str">
        <f t="shared" si="150"/>
        <v/>
      </c>
      <c r="JG17" s="355" t="str">
        <f t="shared" si="151"/>
        <v/>
      </c>
      <c r="JH17" s="355" t="str">
        <f t="shared" si="152"/>
        <v/>
      </c>
      <c r="JI17" s="355" t="str">
        <f t="shared" si="153"/>
        <v>Ma, </v>
      </c>
      <c r="JJ17" s="355" t="str">
        <f t="shared" si="154"/>
        <v>Pa, </v>
      </c>
      <c r="JK17" s="355" t="str">
        <f t="shared" si="155"/>
        <v/>
      </c>
      <c r="JL17" s="355" t="str">
        <f t="shared" si="156"/>
        <v/>
      </c>
      <c r="JM17" s="355" t="str">
        <f t="shared" si="157"/>
        <v/>
      </c>
      <c r="JN17" s="355" t="str">
        <f t="shared" si="158"/>
        <v/>
      </c>
      <c r="JO17" s="359" t="str">
        <f t="shared" si="159"/>
        <v/>
      </c>
      <c r="JP17" s="346" t="b">
        <f t="shared" si="160"/>
        <v>0</v>
      </c>
      <c r="JQ17" s="347" t="b">
        <f t="shared" si="161"/>
        <v>0</v>
      </c>
      <c r="JR17" s="347" t="b">
        <f t="shared" si="162"/>
        <v>0</v>
      </c>
      <c r="JS17" s="347" t="b">
        <f t="shared" si="163"/>
        <v>0</v>
      </c>
      <c r="JT17" s="347" t="b">
        <f t="shared" si="164"/>
        <v>0</v>
      </c>
      <c r="JU17" s="347" t="b">
        <f t="shared" si="165"/>
        <v>0</v>
      </c>
      <c r="JV17" s="347" t="b">
        <f t="shared" si="166"/>
        <v>0</v>
      </c>
      <c r="JW17" s="347" t="b">
        <f t="shared" si="167"/>
        <v>0</v>
      </c>
      <c r="JX17" s="347" t="b">
        <f t="shared" si="168"/>
        <v>0</v>
      </c>
      <c r="JY17" s="347" t="b">
        <f t="shared" si="169"/>
        <v>0</v>
      </c>
      <c r="JZ17" s="347" t="b">
        <f t="shared" si="170"/>
        <v>0</v>
      </c>
      <c r="KA17" s="347" t="b">
        <f t="shared" si="171"/>
        <v>0</v>
      </c>
      <c r="KB17" s="365" t="b">
        <f t="shared" si="172"/>
        <v>0</v>
      </c>
      <c r="KC17" s="354" t="str">
        <f t="shared" si="173"/>
        <v/>
      </c>
      <c r="KD17" s="355" t="str">
        <f t="shared" si="174"/>
        <v/>
      </c>
      <c r="KE17" s="355" t="str">
        <f t="shared" si="175"/>
        <v/>
      </c>
      <c r="KF17" s="355" t="str">
        <f t="shared" si="176"/>
        <v/>
      </c>
      <c r="KG17" s="355" t="str">
        <f t="shared" si="177"/>
        <v/>
      </c>
      <c r="KH17" s="355" t="str">
        <f t="shared" si="178"/>
        <v/>
      </c>
      <c r="KI17" s="355" t="str">
        <f t="shared" si="179"/>
        <v/>
      </c>
      <c r="KJ17" s="355" t="str">
        <f t="shared" si="180"/>
        <v/>
      </c>
      <c r="KK17" s="355" t="str">
        <f t="shared" si="181"/>
        <v/>
      </c>
      <c r="KL17" s="355" t="str">
        <f t="shared" si="182"/>
        <v/>
      </c>
      <c r="KM17" s="355" t="str">
        <f t="shared" si="183"/>
        <v/>
      </c>
      <c r="KN17" s="355" t="str">
        <f t="shared" si="184"/>
        <v/>
      </c>
      <c r="KO17" s="359"/>
      <c r="KP17" s="378"/>
      <c r="KQ17" s="379" t="s">
        <v>9</v>
      </c>
      <c r="KR17" s="380" t="s">
        <v>9</v>
      </c>
      <c r="KS17" s="381" t="s">
        <v>9</v>
      </c>
      <c r="KT17" s="382">
        <f t="shared" si="186"/>
        <v>0</v>
      </c>
      <c r="KU17" s="383">
        <f t="shared" si="187"/>
        <v>0</v>
      </c>
      <c r="KV17" s="381" t="str">
        <f t="shared" si="205"/>
        <v>S</v>
      </c>
      <c r="KW17" s="382">
        <f t="shared" si="189"/>
        <v>0</v>
      </c>
      <c r="KX17" s="384">
        <f t="shared" si="190"/>
        <v>0</v>
      </c>
      <c r="KY17" s="382">
        <f t="shared" ref="KY17:KZ17" si="224">KW17-KT17</f>
        <v>0</v>
      </c>
      <c r="KZ17" s="369">
        <f t="shared" si="224"/>
        <v>0</v>
      </c>
      <c r="LA17" s="385" t="str">
        <f t="shared" si="192"/>
        <v>✔</v>
      </c>
      <c r="LB17" s="340" t="str">
        <f>IFERROR(__xludf.DUMMYFUNCTION("JOIN("""",ArrayFormula(MID(KS17,LEN(KS17)-SEQUENCE(1,LEN(KS17))+1,1)))"),"S")</f>
        <v>S</v>
      </c>
      <c r="LC17" s="373" t="str">
        <f>IFERROR(__xludf.DUMMYFUNCTION("JOIN("""",ArrayFormula(MID(KV17,LEN(KV17)-SEQUENCE(1,LEN(KV17))+1,1)))"),"S")</f>
        <v>S</v>
      </c>
      <c r="LD17" s="373" t="str">
        <f t="shared" si="193"/>
        <v>S</v>
      </c>
      <c r="LE17" s="339" t="str">
        <f t="shared" si="194"/>
        <v>S</v>
      </c>
      <c r="LF17" s="386" t="str">
        <f>IFERROR(__xludf.DUMMYFUNCTION("SUBSTITUTE(SUBSTITUTE(CONCATENATE(JOIN("""",LH17:LT17)),""1"",""""),""2"","""")"),"SS")</f>
        <v>SS</v>
      </c>
      <c r="LG17" s="369" t="str">
        <f t="shared" si="195"/>
        <v>-</v>
      </c>
      <c r="LH17" s="387" t="str">
        <f>IFERROR(__xludf.DUMMYFUNCTION("IF(REGEXMATCH(LD17, ""S""), ""S"",IF(REGEXMATCH(LE17, ""S""), ""S"",""""))"),"S")</f>
        <v>S</v>
      </c>
      <c r="LI17" s="299" t="str">
        <f>IFERROR(__xludf.DUMMYFUNCTION("IF(REGEXMATCH(LD17, ""r""), ""r1"",IF(REGEXMATCH(LE17, ""r""), ""r2"",""""))"),"")</f>
        <v/>
      </c>
      <c r="LJ17" s="299" t="str">
        <f>IFERROR(__xludf.DUMMYFUNCTION("IF(REGEXMATCH(LD17, ""R""), ""R1"",IF(REGEXMATCH(LE17, ""R""), ""R2"",""""))"),"")</f>
        <v/>
      </c>
      <c r="LK17" s="299" t="str">
        <f>IFERROR(__xludf.DUMMYFUNCTION("IF(REGEXMATCH(LD17, ""g""), ""g1"",IF(REGEXMATCH(LE17, ""g""), ""g2"",""""))"),"")</f>
        <v/>
      </c>
      <c r="LL17" s="299" t="str">
        <f>IFERROR(__xludf.DUMMYFUNCTION("IF(REGEXMATCH(LD17, ""G""), ""G1"",IF(REGEXMATCH(LE17, ""G""), ""G2"",""""))"),"")</f>
        <v/>
      </c>
      <c r="LM17" s="299" t="str">
        <f>IFERROR(__xludf.DUMMYFUNCTION("IF(REGEXMATCH(LD17, ""m""), ""m1"",IF(REGEXMATCH(LE17, ""m""), ""m2"",""""))"),"")</f>
        <v/>
      </c>
      <c r="LN17" s="299" t="str">
        <f>IFERROR(__xludf.DUMMYFUNCTION("IF(REGEXMATCH(LD17, ""M""), ""M1"",IF(REGEXMATCH(LE17, ""M""), ""M2"",""""))"),"")</f>
        <v/>
      </c>
      <c r="LO17" s="299" t="str">
        <f>IFERROR(__xludf.DUMMYFUNCTION("IF(REGEXMATCH(LD17, ""P""), ""P1"",IF(REGEXMATCH(LE17, ""P""), ""P2"",""""))"),"")</f>
        <v/>
      </c>
      <c r="LP17" s="299" t="str">
        <f>IFERROR(__xludf.DUMMYFUNCTION("IF(REGEXMATCH(LD17, ""d""), ""d1"",IF(REGEXMATCH(LE17, ""d""), ""d2"",""""))"),"")</f>
        <v/>
      </c>
      <c r="LQ17" s="299" t="str">
        <f>IFERROR(__xludf.DUMMYFUNCTION("IF(REGEXMATCH(LD17, ""D""), ""D1"",IF(REGEXMATCH(LE17, ""D""), ""D2"",""""))"),"")</f>
        <v/>
      </c>
      <c r="LR17" s="299" t="str">
        <f>IFERROR(__xludf.DUMMYFUNCTION("IF(REGEXMATCH(LD17, ""n""), ""n1"",IF(REGEXMATCH(LE17, ""n""), ""n2"",""""))"),"")</f>
        <v/>
      </c>
      <c r="LS17" s="299" t="str">
        <f>IFERROR(__xludf.DUMMYFUNCTION("IF(REGEXMATCH(LD17, ""N""), ""N1"",IF(REGEXMATCH(LE17, ""N""), ""N2"",""""))"),"")</f>
        <v/>
      </c>
      <c r="LT17" s="388" t="str">
        <f>IFERROR(__xludf.DUMMYFUNCTION("IF(REGEXMATCH(LD17, ""S""), ""S"",IF(REGEXMATCH(LE17, ""S""), ""S"",""""))"),"S")</f>
        <v>S</v>
      </c>
      <c r="LU17" s="389">
        <f t="shared" si="196"/>
        <v>1</v>
      </c>
      <c r="LV17" s="378"/>
      <c r="LW17" s="369"/>
      <c r="LX17" s="369"/>
    </row>
    <row r="18" ht="20.25" customHeight="1">
      <c r="A18" s="298" t="s">
        <v>541</v>
      </c>
      <c r="B18" s="222" t="s">
        <v>542</v>
      </c>
      <c r="C18" s="233" t="str">
        <f t="shared" si="7"/>
        <v>SgGmdDnS</v>
      </c>
      <c r="D18" s="234" t="str">
        <f>IFERROR(__xludf.DUMMYFUNCTION("IF(REGEXMATCH(C18, ""S""), ""S"","""")"),"S")</f>
        <v>S</v>
      </c>
      <c r="E18" s="236" t="str">
        <f>IFERROR(__xludf.DUMMYFUNCTION("IF(REGEXMATCH(C18, ""r""), ""r"","""")"),"")</f>
        <v/>
      </c>
      <c r="F18" s="237" t="str">
        <f>IFERROR(__xludf.DUMMYFUNCTION("IF(REGEXMATCH(C18, ""R""), ""R"","""")"),"")</f>
        <v/>
      </c>
      <c r="G18" s="237" t="str">
        <f>IFERROR(__xludf.DUMMYFUNCTION("IF(REGEXMATCH(C18, ""g""), ""g"","""")"),"g")</f>
        <v>g</v>
      </c>
      <c r="H18" s="236" t="str">
        <f>IFERROR(__xludf.DUMMYFUNCTION("IF(REGEXMATCH(C18, ""G""), ""G"","""")"),"G")</f>
        <v>G</v>
      </c>
      <c r="I18" s="236" t="str">
        <f>IFERROR(__xludf.DUMMYFUNCTION("IF(REGEXMATCH(C18, ""m""), ""m"","""")"),"m")</f>
        <v>m</v>
      </c>
      <c r="J18" s="237" t="str">
        <f>IFERROR(__xludf.DUMMYFUNCTION("IF(REGEXMATCH(C18, ""M""), ""M"","""")"),"")</f>
        <v/>
      </c>
      <c r="K18" s="236" t="str">
        <f>IFERROR(__xludf.DUMMYFUNCTION("IF(REGEXMATCH(C18, ""P""), ""P"","""")"),"")</f>
        <v/>
      </c>
      <c r="L18" s="237" t="str">
        <f>IFERROR(__xludf.DUMMYFUNCTION("IF(REGEXMATCH(C18, ""d""), ""d"","""")"),"d")</f>
        <v>d</v>
      </c>
      <c r="M18" s="236" t="str">
        <f>IFERROR(__xludf.DUMMYFUNCTION("IF(REGEXMATCH(C18, ""D""), ""D"","""")"),"D")</f>
        <v>D</v>
      </c>
      <c r="N18" s="236" t="str">
        <f>IFERROR(__xludf.DUMMYFUNCTION("IF(REGEXMATCH(C18, ""n""), ""n"","""")"),"n")</f>
        <v>n</v>
      </c>
      <c r="O18" s="237" t="str">
        <f>IFERROR(__xludf.DUMMYFUNCTION("IF(REGEXMATCH(C18, ""N""), ""N"","""")"),"")</f>
        <v/>
      </c>
      <c r="P18" s="238" t="str">
        <f>IFERROR(__xludf.DUMMYFUNCTION("IF(REGEXMATCH(C18, ""S""), ""S"","""")"),"S")</f>
        <v>S</v>
      </c>
      <c r="Q18" s="239" t="str">
        <f>IFERROR(__xludf.DUMMYFUNCTION("SUBSTITUTE(CONCATENATE(JOIN(""-"",D18:J18)),""-"","""")"),"SgGm")</f>
        <v>SgGm</v>
      </c>
      <c r="R18" s="229" t="str">
        <f>IFERROR(__xludf.DUMMYFUNCTION("SUBSTITUTE(CONCATENATE(JOIN(""-"",K18:P18)),""-"","""")"),"dDnS")</f>
        <v>dDnS</v>
      </c>
      <c r="S18" s="282" t="str">
        <f t="shared" si="8"/>
        <v>S-G-M</v>
      </c>
      <c r="T18" s="282" t="str">
        <f t="shared" si="9"/>
        <v>D-N-S</v>
      </c>
      <c r="U18" s="237" t="str">
        <f>IFERROR(__xludf.DUMMYFUNCTION("SUBSTITUTE(JOIN(""-"",S18,T18),""--"",""-"")"),"S-G-M-D-N-S")</f>
        <v>S-G-M-D-N-S</v>
      </c>
      <c r="V18" s="309" t="str">
        <f t="shared" si="10"/>
        <v>gGmdDn</v>
      </c>
      <c r="W18" s="244" t="str">
        <f>IFERROR(__xludf.DUMMYFUNCTION("IF(REGEXMATCH(C18, ""S""), ""0"","""")"),"0")</f>
        <v>0</v>
      </c>
      <c r="X18" s="245" t="str">
        <f>IFERROR(__xludf.DUMMYFUNCTION("IF(REGEXMATCH(C18, ""r""), ""1"","""")"),"")</f>
        <v/>
      </c>
      <c r="Y18" s="246" t="str">
        <f>IFERROR(__xludf.DUMMYFUNCTION("IF(REGEXMATCH(C18, ""R""), ""2"","""")"),"")</f>
        <v/>
      </c>
      <c r="Z18" s="246" t="str">
        <f>IFERROR(__xludf.DUMMYFUNCTION("IF(REGEXMATCH(C18, ""g""), ""3"","""")"),"3")</f>
        <v>3</v>
      </c>
      <c r="AA18" s="245" t="str">
        <f>IFERROR(__xludf.DUMMYFUNCTION("IF(REGEXMATCH(C18, ""G""), ""4"","""")"),"4")</f>
        <v>4</v>
      </c>
      <c r="AB18" s="245" t="str">
        <f>IFERROR(__xludf.DUMMYFUNCTION("IF(REGEXMATCH(C18, ""m""), ""5"","""")"),"5")</f>
        <v>5</v>
      </c>
      <c r="AC18" s="246" t="str">
        <f>IFERROR(__xludf.DUMMYFUNCTION("IF(REGEXMATCH(C18, ""M""), ""6"","""")"),"")</f>
        <v/>
      </c>
      <c r="AD18" s="245" t="str">
        <f>IFERROR(__xludf.DUMMYFUNCTION("IF(REGEXMATCH(C18, ""P""), ""7"","""")"),"")</f>
        <v/>
      </c>
      <c r="AE18" s="246" t="str">
        <f>IFERROR(__xludf.DUMMYFUNCTION("IF(REGEXMATCH(C18, ""d""), ""8"","""")"),"8")</f>
        <v>8</v>
      </c>
      <c r="AF18" s="245" t="str">
        <f>IFERROR(__xludf.DUMMYFUNCTION("IF(REGEXMATCH(C18, ""D""), ""9"","""")"),"9")</f>
        <v>9</v>
      </c>
      <c r="AG18" s="245" t="str">
        <f>IFERROR(__xludf.DUMMYFUNCTION("IF(REGEXMATCH(C18, ""n""), ""10"","""")"),"10")</f>
        <v>10</v>
      </c>
      <c r="AH18" s="246" t="str">
        <f>IFERROR(__xludf.DUMMYFUNCTION("IF(REGEXMATCH(C18, ""N""), ""11"","""")"),"")</f>
        <v/>
      </c>
      <c r="AI18" s="249" t="str">
        <f>IFERROR(__xludf.DUMMYFUNCTION("IF(REGEXMATCH(C18, ""S""), ""0"","""")"),"0")</f>
        <v>0</v>
      </c>
      <c r="AJ18" s="313" t="str">
        <f t="shared" si="11"/>
        <v>-</v>
      </c>
      <c r="AK18" s="313" t="str">
        <f t="shared" si="12"/>
        <v>-</v>
      </c>
      <c r="AL18" s="313" t="str">
        <f t="shared" si="13"/>
        <v>-</v>
      </c>
      <c r="AM18" s="313" t="str">
        <f t="shared" si="14"/>
        <v>T</v>
      </c>
      <c r="AN18" s="313" t="str">
        <f t="shared" si="15"/>
        <v>T</v>
      </c>
      <c r="AO18" s="314" t="str">
        <f t="shared" si="16"/>
        <v>-</v>
      </c>
      <c r="AP18" s="316">
        <f t="shared" si="17"/>
        <v>2</v>
      </c>
      <c r="AQ18" s="319" t="str">
        <f t="shared" si="18"/>
        <v>-</v>
      </c>
      <c r="AR18" s="320">
        <f t="shared" si="19"/>
        <v>0</v>
      </c>
      <c r="AS18" s="250" t="str">
        <f>IFERROR(__xludf.DUMMYFUNCTION("SUBSTITUTE(SUBSTITUTE(CONCATENATE(JOIN("""",FP18:GA18)),""|"",""x""),""-"",""o"")"),"xooxxxooxxxo")</f>
        <v>xooxxxooxxxo</v>
      </c>
      <c r="AT18" s="323" t="str">
        <f>IFERROR(__xludf.DUMMYFUNCTION("JOIN("""",AS18,AS18)"),"xooxxxooxxxoxooxxxooxxxo")</f>
        <v>xooxxxooxxxoxooxxxooxxxo</v>
      </c>
      <c r="AU18" s="256" t="str">
        <f>IFERROR(__xludf.DUMMYFUNCTION("JOIN("""",ArrayFormula(MID(AS18,LEN(AS18)-SEQUENCE(1,LEN(AS18))+1,1)))"),"oxxxooxxxoox")</f>
        <v>oxxxooxxxoox</v>
      </c>
      <c r="AV18" s="256" t="str">
        <f>IFERROR(__xludf.DUMMYFUNCTION("LEFT(CONCATENATE(""x"",JOIN("""",ArrayFormula(MID(AS18,LEN(AS18)-SEQUENCE(1,LEN(AS18))+1,1)))),12)"),"xoxxxooxxxoo")</f>
        <v>xoxxxooxxxoo</v>
      </c>
      <c r="AW18" s="327" t="str">
        <f>IFERROR(__xludf.DUMMYFUNCTION("JOIN("""",AU18,AU18)"),"oxxxooxxxooxoxxxooxxxoox")</f>
        <v>oxxxooxxxooxoxxxooxxxoox</v>
      </c>
      <c r="AX18" s="239" t="str">
        <f>IFERROR(__xludf.DUMMYFUNCTION("IF(REGEXMATCH(AW18,AS18),""✔"",""-"")"),"-")</f>
        <v>-</v>
      </c>
      <c r="AY18" s="330" t="str">
        <f t="shared" si="20"/>
        <v>-</v>
      </c>
      <c r="AZ18" s="260" t="str">
        <f t="shared" si="21"/>
        <v>#REF!</v>
      </c>
      <c r="BA18" s="333" t="str">
        <f t="shared" si="22"/>
        <v>xooxxxo</v>
      </c>
      <c r="BB18" s="334" t="str">
        <f t="shared" si="23"/>
        <v>oxxxox</v>
      </c>
      <c r="BC18" s="335" t="str">
        <f t="shared" si="24"/>
        <v>-</v>
      </c>
      <c r="BD18" s="336" t="str">
        <f t="shared" si="25"/>
        <v>Amrut Ranjani: 'xooxxxo' + 'oxxxox'</v>
      </c>
      <c r="BE18" s="337">
        <f>IFERROR(__xludf.DUMMYFUNCTION("COUNTUNIQUE(FILTER(AT:AT,REGEXMATCH(AT:AT,AS18)))-1"),3.0)</f>
        <v>3</v>
      </c>
      <c r="BF18" s="261" t="str">
        <f>IFERROR(__xludf.DUMMYFUNCTION("IF(BI18=0,""(n/a)"",IF(BJ18=2,""(PAIR)"",IF(REGEXMATCH(AT18,""xoxoxxoxoxox""),""Bilawal"",IF(REGEXMATCH(AT18,""xoxoxooxoxoo""),""Bhupali"",IF(REGEXMATCH(AT18,""xoxoxxoxxoxo""),""Charukeshi"",IF(REGEXMATCH(AT18,""xoxoooxxoxxo""),""Kameshwari"",IF(REGEXMATC"&amp;"H(AT18,""xoxoxooxoxox""),""Shankara"",IF(REGEXMATCH(AT18,""xxooxoxxxoox""),""Basant"",IF(REGEXMATCH(AT18,""xoxoxxxxoxox""),""Bihag"",IF(REGEXMATCH(AT18,""xoxxxxoxoxxx""),""Pilu"",IF(REGEXMATCH(AT18,""xoxxoxoxxoox""),""Kirwani"",IF(REGEXMATCH(AT18,""xoxxox"&amp;"oxoxxx""),""Mk.Malhar"",IF(REGEXMATCH(AT18,""xxooxxoxxoox""),""Bhairav"",IF(REGEXMATCH(AT18,""xxoxooxxxoox""),""Todi"",IF(REGEXMATCH(AT18,""xxooxoxooxox""),""Marwa"",IF(REGEXMATCH(AT18,""xxoooxoxxooo""),""Gunkali"",IF(REGEXMATCH(AT18,""xoxoxxoxxoox""),""N"&amp;"at Bhairav"",IF(REGEXMATCH(AT18,""xoxxoooxoxoo""),""Shivranjani"",IF(REGEXMATCH(AT18,""xooxxxoxooxo""),""Jog"",IF(REGEXMATCH(AT18,""xxooxoxoxoox""),""Hemshri"",IF(REGEXMATCH(AT18,""xoooxooxoxxo""),""Kalavati"",IF(REGEXMATCH(AT18,""xxoxoxxoxoox""),""Kedar"&amp;""",IF(REGEXMATCH(AT18,""xoxxxxoxooxx""),""Gara"",IF(REGEXMATCH(AT18,""xooxoxooxoox""),""Chandrakauns"",IF(REGEXMATCH(AT18,""xoxxxxoxxxox""),""Mand"",IF(REGEXMATCH(AT18,""xoxxxxoxoxox""),""Hanskinkini"",IF(REGEXMATCH(AT18,""xxooxxoxooxo""),""Lilavati"",IF("&amp;"REGEXMATCH(AT18,""xooxoxoooxox""),""Rajeshwari"",IF(REGEXMATCH(AT18,""xoooxxoxoxxx""),""Khokar"",IF(REGEXMATCH(AT18,""xxooxoxxxxox""),""Maligoura"",""-""))))))))))))))))))))))))))))))"),"Todi")</f>
        <v>Todi</v>
      </c>
      <c r="BG18" s="239" t="str">
        <f t="shared" si="26"/>
        <v>#REF!</v>
      </c>
      <c r="BH18" s="239">
        <f>IFERROR(__xludf.DUMMYFUNCTION("COUNTUNIQUE(FE18:FO18)-1"),6.0)</f>
        <v>6</v>
      </c>
      <c r="BI18" s="239">
        <f>IFERROR(__xludf.DUMMYFUNCTION("COUNTUNIQUE(FILTER(AT:AT,REGEXMATCH(AT:AT,AS18)))-1"),3.0)</f>
        <v>3</v>
      </c>
      <c r="BJ18" s="239">
        <f>IFERROR(__xludf.DUMMYFUNCTION("COUNTA(FILTER(AT:AT,REGEXMATCH(AT:AT,AS18)))"),6.0)</f>
        <v>6</v>
      </c>
      <c r="BK18" s="341">
        <f>IFERROR(__xludf.DUMMYFUNCTION("COUNTA(FILTER(AT:AT,REGEXMATCH(AT:AT,AS18)))-AR18"),6.0)</f>
        <v>6</v>
      </c>
      <c r="BL18" s="276" t="str">
        <f>IFERROR(__xludf.DUMMYFUNCTION("IF(AS18=""oooooooooooo"",""-"",IF(REGEXMATCH(AT18,""xx""), ""Hemi."", ""Anhemi.""))"),"Hemi.")</f>
        <v>Hemi.</v>
      </c>
      <c r="BM18" s="282" t="str">
        <f>IFERROR(__xludf.DUMMYFUNCTION("IF(AS18=""oooooooooooo"",""-"",IF(REGEXMATCH(AT18,""xxx""), ""Cohem."", ""-""))"),"Cohem.")</f>
        <v>Cohem.</v>
      </c>
      <c r="BN18" s="282" t="str">
        <f>IFERROR(__xludf.DUMMYFUNCTION("IF(AS18=""oooooooooooo"",""-"",IF(REGEXMATCH(AT18,""xxxx""), ""Co-Co."", ""-""))"),"-")</f>
        <v>-</v>
      </c>
      <c r="BO18" s="342" t="str">
        <f>IFERROR(__xludf.DUMMYFUNCTION("IF(AS18=""oooooooooooo"",""-"",IF(REGEXMATCH(AT18,""xxxxx""), ""CCC."", ""-""))"),"-")</f>
        <v>-</v>
      </c>
      <c r="BP18" s="344" t="str">
        <f t="shared" si="27"/>
        <v>-</v>
      </c>
      <c r="BQ18" s="282" t="str">
        <f>IFERROR(__xludf.DUMMYFUNCTION("IF(REGEXMATCH(JOIN(""-"",EU18:FD18),""TRUE""),""✔"",""-"")"),"-")</f>
        <v>-</v>
      </c>
      <c r="BR18" s="225">
        <f t="shared" si="28"/>
        <v>0</v>
      </c>
      <c r="BS18" s="345" t="str">
        <f>IFERROR(__xludf.DUMMYFUNCTION("SUBSTITUTE(SUBSTITUTE(SUBSTITUTE(SUBSTITUTE(CONCATENATE(JOIN(""-"",GC18:GO18)),""--"",""-""),""--"",""-""),""--"",""-""),""--"",""-"")"),"1-b3-3-4-b6-6-b7-8")</f>
        <v>1-b3-3-4-b6-6-b7-8</v>
      </c>
      <c r="BT18" s="299" t="str">
        <f>IFERROR(__xludf.DUMMYFUNCTION("SUBSTITUTE(SUBSTITUTE(SUBSTITUTE(SUBSTITUTE(CONCATENATE(JOIN(""-"",GP18:HB18)),""--"",""-""),""--"",""-""),""--"",""-""),""--"",""-"")"),"S-G2-G3-M1-D1-D2-N2-S")</f>
        <v>S-G2-G3-M1-D1-D2-N2-S</v>
      </c>
      <c r="BU18" s="348" t="str">
        <f t="shared" si="29"/>
        <v>C-Eb-E-F-Ab-A-Bb-C</v>
      </c>
      <c r="BV18" s="349" t="str">
        <f t="shared" si="30"/>
        <v>SrRMPNS</v>
      </c>
      <c r="BW18" s="350">
        <f t="shared" si="31"/>
        <v>0</v>
      </c>
      <c r="BX18" s="351">
        <f t="shared" si="32"/>
        <v>1</v>
      </c>
      <c r="BY18" s="392"/>
      <c r="BZ18" s="309" t="str">
        <f>IFERROR(__xludf.DUMMYFUNCTION("IF(REGEXMATCH(C18, ""S""), ""x"",""x"")"),"x")</f>
        <v>x</v>
      </c>
      <c r="CA18" s="245" t="str">
        <f>IFERROR(__xludf.DUMMYFUNCTION("IF(REGEXMATCH(C18, ""r""), ""o"",""x"")"),"x")</f>
        <v>x</v>
      </c>
      <c r="CB18" s="246" t="str">
        <f>IFERROR(__xludf.DUMMYFUNCTION("IF(REGEXMATCH(C18, ""R""), ""o"",""x"")"),"x")</f>
        <v>x</v>
      </c>
      <c r="CC18" s="246" t="str">
        <f>IFERROR(__xludf.DUMMYFUNCTION("IF(REGEXMATCH(C18, ""g""), ""o"",""x"")"),"o")</f>
        <v>o</v>
      </c>
      <c r="CD18" s="245" t="str">
        <f>IFERROR(__xludf.DUMMYFUNCTION("IF(REGEXMATCH(C18, ""G""), ""o"",""x"")"),"o")</f>
        <v>o</v>
      </c>
      <c r="CE18" s="245" t="str">
        <f>IFERROR(__xludf.DUMMYFUNCTION("IF(REGEXMATCH(C18, ""m""), ""o"",""x"")"),"o")</f>
        <v>o</v>
      </c>
      <c r="CF18" s="246" t="str">
        <f>IFERROR(__xludf.DUMMYFUNCTION("IF(REGEXMATCH(C18, ""M""), ""o"",""x"")"),"x")</f>
        <v>x</v>
      </c>
      <c r="CG18" s="245" t="str">
        <f>IFERROR(__xludf.DUMMYFUNCTION("IF(REGEXMATCH(C18, ""P""), ""o"",""x"")"),"x")</f>
        <v>x</v>
      </c>
      <c r="CH18" s="246" t="str">
        <f>IFERROR(__xludf.DUMMYFUNCTION("IF(REGEXMATCH(C18, ""d""), ""o"",""x"")"),"o")</f>
        <v>o</v>
      </c>
      <c r="CI18" s="245" t="str">
        <f>IFERROR(__xludf.DUMMYFUNCTION("IF(REGEXMATCH(C18, ""D""), ""o"",""x"")"),"o")</f>
        <v>o</v>
      </c>
      <c r="CJ18" s="245" t="str">
        <f>IFERROR(__xludf.DUMMYFUNCTION("IF(REGEXMATCH(C18, ""n""), ""o"",""x"")"),"o")</f>
        <v>o</v>
      </c>
      <c r="CK18" s="245" t="str">
        <f>IFERROR(__xludf.DUMMYFUNCTION("IF(REGEXMATCH(C18, ""N""), ""o"",""x"")"),"x")</f>
        <v>x</v>
      </c>
      <c r="CL18" s="356" t="str">
        <f>IFERROR(__xludf.DUMMYFUNCTION("IF(REGEXMATCH(C18, ""S""), ""x"",""x"")"),"x")</f>
        <v>x</v>
      </c>
      <c r="CM18" s="357" t="str">
        <f t="shared" si="33"/>
        <v>xxxoooxxooox</v>
      </c>
      <c r="CN18" s="358">
        <f t="shared" si="34"/>
        <v>0</v>
      </c>
      <c r="CO18" s="246" t="str">
        <f>IFERROR(__xludf.DUMMYFUNCTION("IF(REGEXMATCH($C18, ""S""), ""S"",""S"")"),"S")</f>
        <v>S</v>
      </c>
      <c r="CP18" s="246" t="str">
        <f>IFERROR(__xludf.DUMMYFUNCTION("IF(REGEXMATCH($C18, ""r""), """",""r"")"),"r")</f>
        <v>r</v>
      </c>
      <c r="CQ18" s="246" t="str">
        <f>IFERROR(__xludf.DUMMYFUNCTION("IF(REGEXMATCH($C18, ""R""), """",""R"")"),"R")</f>
        <v>R</v>
      </c>
      <c r="CR18" s="246" t="str">
        <f>IFERROR(__xludf.DUMMYFUNCTION("IF(REGEXMATCH($C18, ""g""), """",""g"")"),"")</f>
        <v/>
      </c>
      <c r="CS18" s="246" t="str">
        <f>IFERROR(__xludf.DUMMYFUNCTION("IF(REGEXMATCH($C18, ""G""), """",""G"")"),"")</f>
        <v/>
      </c>
      <c r="CT18" s="246" t="str">
        <f>IFERROR(__xludf.DUMMYFUNCTION("IF(REGEXMATCH($C18, ""m""), """",""m"")"),"")</f>
        <v/>
      </c>
      <c r="CU18" s="246" t="str">
        <f>IFERROR(__xludf.DUMMYFUNCTION("IF(REGEXMATCH($C18, ""M""), """",""M"")"),"M")</f>
        <v>M</v>
      </c>
      <c r="CV18" s="246" t="str">
        <f>IFERROR(__xludf.DUMMYFUNCTION("IF(REGEXMATCH($C18, ""P""), """",""P"")"),"P")</f>
        <v>P</v>
      </c>
      <c r="CW18" s="246" t="str">
        <f>IFERROR(__xludf.DUMMYFUNCTION("IF(REGEXMATCH($C18, ""d""), """",""d"")"),"")</f>
        <v/>
      </c>
      <c r="CX18" s="246" t="str">
        <f>IFERROR(__xludf.DUMMYFUNCTION("IF(REGEXMATCH($C18, ""D""), """",""D"")"),"")</f>
        <v/>
      </c>
      <c r="CY18" s="246" t="str">
        <f>IFERROR(__xludf.DUMMYFUNCTION("IF(REGEXMATCH($C18, ""n""), """",""n"")"),"")</f>
        <v/>
      </c>
      <c r="CZ18" s="246" t="str">
        <f>IFERROR(__xludf.DUMMYFUNCTION("IF(REGEXMATCH($C18, ""N""), """",""N"")"),"N")</f>
        <v>N</v>
      </c>
      <c r="DA18" s="246" t="str">
        <f>IFERROR(__xludf.DUMMYFUNCTION("IF(REGEXMATCH($C18, ""S""), ""S"",""S"")"),"S")</f>
        <v>S</v>
      </c>
      <c r="DB18" s="362" t="str">
        <f>IFERROR(__xludf.DUMMYFUNCTION("JOIN("""",CO18:DA18,"""","""")"),"SrRMPNS")</f>
        <v>SrRMPNS</v>
      </c>
      <c r="DC18" s="363"/>
      <c r="DD18" s="301" t="str">
        <f t="shared" si="35"/>
        <v>#REF!</v>
      </c>
      <c r="DE18" s="302" t="str">
        <f t="shared" si="36"/>
        <v>#REF!</v>
      </c>
      <c r="DF18" s="301" t="str">
        <f t="shared" ref="DF18:DG18" si="225">SUBSTITUTE(S18,"-","")</f>
        <v>SGM</v>
      </c>
      <c r="DG18" s="301" t="str">
        <f t="shared" si="225"/>
        <v>DNS</v>
      </c>
      <c r="DH18" s="302" t="str">
        <f t="shared" si="38"/>
        <v>Todi</v>
      </c>
      <c r="DI18" s="301" t="str">
        <f t="shared" si="39"/>
        <v>Hemi.</v>
      </c>
      <c r="DJ18" s="364" t="str">
        <f t="shared" si="40"/>
        <v>Cohem.</v>
      </c>
      <c r="DK18" s="306" t="str">
        <f t="shared" si="41"/>
        <v>-</v>
      </c>
      <c r="DL18" s="366" t="str">
        <f t="shared" si="42"/>
        <v>-</v>
      </c>
      <c r="DM18" s="308" t="str">
        <f t="shared" si="43"/>
        <v>✔</v>
      </c>
      <c r="DN18" s="306" t="str">
        <f t="shared" si="44"/>
        <v>-</v>
      </c>
      <c r="DO18" s="306" t="str">
        <f t="shared" si="45"/>
        <v>-</v>
      </c>
      <c r="DP18" s="367" t="str">
        <f t="shared" si="46"/>
        <v>-</v>
      </c>
      <c r="DQ18" s="310" t="str">
        <f t="shared" si="47"/>
        <v>-</v>
      </c>
      <c r="DR18" s="310" t="str">
        <f t="shared" si="48"/>
        <v>✔</v>
      </c>
      <c r="DS18" s="310" t="str">
        <f t="shared" si="49"/>
        <v>-</v>
      </c>
      <c r="DT18" s="310" t="str">
        <f t="shared" si="50"/>
        <v>✔</v>
      </c>
      <c r="DU18" s="370" t="str">
        <f t="shared" si="51"/>
        <v>-</v>
      </c>
      <c r="DV18" s="306" t="str">
        <f t="shared" si="52"/>
        <v>✔</v>
      </c>
      <c r="DW18" s="306" t="str">
        <f t="shared" si="53"/>
        <v>-</v>
      </c>
      <c r="DX18" s="306" t="str">
        <f t="shared" si="54"/>
        <v>-</v>
      </c>
      <c r="DY18" s="306" t="str">
        <f t="shared" si="55"/>
        <v>✔</v>
      </c>
      <c r="DZ18" s="306" t="str">
        <f t="shared" si="56"/>
        <v>-</v>
      </c>
      <c r="EA18" s="367" t="str">
        <f t="shared" si="57"/>
        <v>-</v>
      </c>
      <c r="EB18" s="310" t="str">
        <f>IFERROR(__xludf.DUMMYFUNCTION("IF(REGEXMATCH(AW18,AS18),""✔"",""-"")"),"-")</f>
        <v>-</v>
      </c>
      <c r="EC18" s="310" t="str">
        <f t="shared" si="58"/>
        <v>#REF!</v>
      </c>
      <c r="ED18" s="370" t="str">
        <f t="shared" si="59"/>
        <v>-</v>
      </c>
      <c r="EE18" s="340" t="str">
        <f t="shared" si="60"/>
        <v>S-gG-m-dD-n-S</v>
      </c>
      <c r="EF18" s="371" t="str">
        <f>IFERROR(__xludf.DUMMYFUNCTION("CONCATENATE(JOIN("""",HC18:HO18))"),"SRgGPdDS")</f>
        <v>SRgGPdDS</v>
      </c>
      <c r="EG18" s="372">
        <f t="shared" si="61"/>
        <v>2</v>
      </c>
      <c r="EH18" s="373" t="str">
        <f>IFERROR(__xludf.DUMMYFUNCTION("CONCATENATE(JOIN("""",JC18:JO18))"),"Sa, Ga, ")</f>
        <v>Sa, Ga, </v>
      </c>
      <c r="EI18" s="322">
        <f t="shared" si="62"/>
        <v>0</v>
      </c>
      <c r="EJ18" s="374" t="str">
        <f>IFERROR(__xludf.DUMMYFUNCTION("CONCATENATE(JOIN("""",KC18:KO18))"),"")</f>
        <v/>
      </c>
      <c r="EK18" s="325" t="str">
        <f t="shared" si="63"/>
        <v>S-G2-G3-M1-D1-D2-N2-S</v>
      </c>
      <c r="EL18" s="326" t="str">
        <f t="shared" si="64"/>
        <v>1-b3-3-4-b6-6-b7-8</v>
      </c>
      <c r="EM18" s="318" t="str">
        <f t="shared" si="65"/>
        <v>#REF!</v>
      </c>
      <c r="EN18" s="328" t="str">
        <f>IFERROR(__xludf.DUMMYFUNCTION("SUBSTITUTE(SUBSTITUTE(SUBSTITUTE(SUBSTITUTE(CONCATENATE(JOIN("" "",HP18:IB18)),""  "","" ""),""  "","" ""),""  "","" ""),""  "","" "")"),"o • • o o o • • o o o • o")</f>
        <v>o • • o o o • • o o o • o</v>
      </c>
      <c r="EO18" s="368" t="str">
        <f t="shared" si="66"/>
        <v>Sa-ma</v>
      </c>
      <c r="EP18" s="339" t="str">
        <f t="shared" si="67"/>
        <v>-</v>
      </c>
      <c r="EQ18" s="339" t="str">
        <f t="shared" si="68"/>
        <v>-</v>
      </c>
      <c r="ER18" s="339" t="str">
        <f t="shared" si="69"/>
        <v>-</v>
      </c>
      <c r="ES18" s="340" t="str">
        <f t="shared" si="70"/>
        <v>Sa-ma</v>
      </c>
      <c r="ET18" s="363"/>
      <c r="EU18" s="376" t="b">
        <f>IFERROR(__xludf.DUMMYFUNCTION("arrayformula(sum(--REGEXMATCH(""SRGMPDNS"",split(REGEXREPLACE(C18,""(.)"",""$1~""),""~""))))=len(C18)
"),FALSE)</f>
        <v>0</v>
      </c>
      <c r="EV18" s="290" t="b">
        <f>IFERROR(__xludf.DUMMYFUNCTION("arrayformula(sum(--REGEXMATCH(""SRGmPDNS"",split(REGEXREPLACE(C18,""(.)"",""$1~""),""~""))))=len(C18)"),FALSE)</f>
        <v>0</v>
      </c>
      <c r="EW18" s="290" t="b">
        <f>IFERROR(__xludf.DUMMYFUNCTION("arrayformula(sum(--REGEXMATCH(""SRGmPDnS"",split(REGEXREPLACE(C18,""(.)"",""$1~""),""~""))))=len(C18)"),FALSE)</f>
        <v>0</v>
      </c>
      <c r="EX18" s="290" t="b">
        <f>IFERROR(__xludf.DUMMYFUNCTION("arrayformula(sum(--REGEXMATCH(""SRgmPDnS"",split(REGEXREPLACE(C18,""(.)"",""$1~""),""~""))))=len(C18)"),FALSE)</f>
        <v>0</v>
      </c>
      <c r="EY18" s="290" t="b">
        <f>IFERROR(__xludf.DUMMYFUNCTION("arrayformula(sum(--REGEXMATCH(""SRgmPdnS"",split(REGEXREPLACE(C18,""(.)"",""$1~""),""~""))))=len(C18)"),FALSE)</f>
        <v>0</v>
      </c>
      <c r="EZ18" s="290" t="b">
        <f>IFERROR(__xludf.DUMMYFUNCTION("arrayformula(sum(--REGEXMATCH(""SrgmPdnS"",split(REGEXREPLACE(C18,""(.)"",""$1~""),""~""))))=len(C18)"),FALSE)</f>
        <v>0</v>
      </c>
      <c r="FA18" s="290" t="b">
        <f>IFERROR(__xludf.DUMMYFUNCTION("arrayformula(sum(--REGEXMATCH(""SrGmPdNS"",split(REGEXREPLACE(C18,""(.)"",""$1~""),""~""))))=len(C18)"),FALSE)</f>
        <v>0</v>
      </c>
      <c r="FB18" s="290" t="b">
        <f>IFERROR(__xludf.DUMMYFUNCTION("arrayformula(sum(--REGEXMATCH(""SrGMPDNS"",split(REGEXREPLACE(C18,""(.)"",""$1~""),""~""))))=len(C18)"),FALSE)</f>
        <v>0</v>
      </c>
      <c r="FC18" s="290" t="b">
        <f>IFERROR(__xludf.DUMMYFUNCTION("arrayformula(sum(--REGEXMATCH(""SrGMPdNS"",split(REGEXREPLACE(C18,""(.)"",""$1~""),""~""))))=len(C18)"),FALSE)</f>
        <v>0</v>
      </c>
      <c r="FD18" s="377" t="b">
        <f>IFERROR(__xludf.DUMMYFUNCTION("arrayformula(sum(--REGEXMATCH(""SrgMPdNS"",split(REGEXREPLACE(C18,""(.)"",""$1~""),""~""))))=len(C18)"),FALSE)</f>
        <v>0</v>
      </c>
      <c r="FE18" s="269" t="str">
        <f t="shared" si="71"/>
        <v>-</v>
      </c>
      <c r="FF18" s="269" t="str">
        <f t="shared" si="72"/>
        <v>-</v>
      </c>
      <c r="FG18" s="271" t="str">
        <f t="shared" si="73"/>
        <v>xxxooxxxoxo</v>
      </c>
      <c r="FH18" s="269" t="str">
        <f t="shared" si="74"/>
        <v>xxooxxxoxoo</v>
      </c>
      <c r="FI18" s="271" t="str">
        <f t="shared" si="75"/>
        <v>xooxxxoxoox</v>
      </c>
      <c r="FJ18" s="271" t="str">
        <f t="shared" si="76"/>
        <v>-</v>
      </c>
      <c r="FK18" s="271" t="str">
        <f t="shared" si="77"/>
        <v>-</v>
      </c>
      <c r="FL18" s="271" t="str">
        <f t="shared" si="78"/>
        <v>xxxoxooxxxo</v>
      </c>
      <c r="FM18" s="271" t="str">
        <f t="shared" si="79"/>
        <v>xxoxooxxxoo</v>
      </c>
      <c r="FN18" s="271" t="str">
        <f t="shared" si="80"/>
        <v>xoxooxxxoox</v>
      </c>
      <c r="FO18" s="274" t="str">
        <f t="shared" si="81"/>
        <v>-</v>
      </c>
      <c r="FP18" s="234" t="str">
        <f t="shared" si="82"/>
        <v>|</v>
      </c>
      <c r="FQ18" s="236" t="str">
        <f t="shared" si="83"/>
        <v>-</v>
      </c>
      <c r="FR18" s="237" t="str">
        <f t="shared" si="84"/>
        <v>-</v>
      </c>
      <c r="FS18" s="236" t="str">
        <f t="shared" si="85"/>
        <v>|</v>
      </c>
      <c r="FT18" s="237" t="str">
        <f t="shared" si="86"/>
        <v>|</v>
      </c>
      <c r="FU18" s="236" t="str">
        <f t="shared" si="87"/>
        <v>|</v>
      </c>
      <c r="FV18" s="237" t="str">
        <f t="shared" si="88"/>
        <v>-</v>
      </c>
      <c r="FW18" s="236" t="str">
        <f t="shared" si="89"/>
        <v>-</v>
      </c>
      <c r="FX18" s="237" t="str">
        <f t="shared" si="90"/>
        <v>|</v>
      </c>
      <c r="FY18" s="236" t="str">
        <f t="shared" si="91"/>
        <v>|</v>
      </c>
      <c r="FZ18" s="237" t="str">
        <f t="shared" si="92"/>
        <v>|</v>
      </c>
      <c r="GA18" s="236" t="str">
        <f t="shared" si="93"/>
        <v>-</v>
      </c>
      <c r="GB18" s="238" t="str">
        <f t="shared" si="94"/>
        <v>|</v>
      </c>
      <c r="GC18" s="244" t="str">
        <f>IFERROR(__xludf.DUMMYFUNCTION("IF(REGEXMATCH(C18, ""S""), ""1"","""")"),"1")</f>
        <v>1</v>
      </c>
      <c r="GD18" s="245" t="str">
        <f>IFERROR(__xludf.DUMMYFUNCTION("IF(REGEXMATCH(C18, ""r""), ""b2"","""")"),"")</f>
        <v/>
      </c>
      <c r="GE18" s="246" t="str">
        <f>IFERROR(__xludf.DUMMYFUNCTION("IF(REGEXMATCH(C18, ""R""), ""2"","""")"),"")</f>
        <v/>
      </c>
      <c r="GF18" s="246" t="str">
        <f>IFERROR(__xludf.DUMMYFUNCTION("IF(REGEXMATCH(C18, ""g""), ""b3"","""")"),"b3")</f>
        <v>b3</v>
      </c>
      <c r="GG18" s="245" t="str">
        <f>IFERROR(__xludf.DUMMYFUNCTION("IF(REGEXMATCH(C18, ""G""), ""3"","""")"),"3")</f>
        <v>3</v>
      </c>
      <c r="GH18" s="245" t="str">
        <f>IFERROR(__xludf.DUMMYFUNCTION("IF(REGEXMATCH(C18, ""m""), ""4"","""")"),"4")</f>
        <v>4</v>
      </c>
      <c r="GI18" s="246" t="str">
        <f>IFERROR(__xludf.DUMMYFUNCTION("IF(REGEXMATCH(C18, ""M""), ""#4"","""")"),"")</f>
        <v/>
      </c>
      <c r="GJ18" s="245" t="str">
        <f>IFERROR(__xludf.DUMMYFUNCTION("IF(REGEXMATCH(C18, ""P""), ""5"","""")"),"")</f>
        <v/>
      </c>
      <c r="GK18" s="246" t="str">
        <f>IFERROR(__xludf.DUMMYFUNCTION("IF(REGEXMATCH(C18, ""d""), ""b6"","""")"),"b6")</f>
        <v>b6</v>
      </c>
      <c r="GL18" s="245" t="str">
        <f>IFERROR(__xludf.DUMMYFUNCTION("IF(REGEXMATCH(C18, ""D""), ""6"","""")"),"6")</f>
        <v>6</v>
      </c>
      <c r="GM18" s="245" t="str">
        <f>IFERROR(__xludf.DUMMYFUNCTION("IF(REGEXMATCH(C18, ""n""), ""b7"","""")"),"b7")</f>
        <v>b7</v>
      </c>
      <c r="GN18" s="246" t="str">
        <f>IFERROR(__xludf.DUMMYFUNCTION("IF(REGEXMATCH(C18, ""N""), ""7"","""")"),"")</f>
        <v/>
      </c>
      <c r="GO18" s="249" t="str">
        <f>IFERROR(__xludf.DUMMYFUNCTION("IF(REGEXMATCH(C18, ""S""), ""8"","""")"),"8")</f>
        <v>8</v>
      </c>
      <c r="GP18" s="244" t="str">
        <f>IFERROR(__xludf.DUMMYFUNCTION("IF(REGEXMATCH(C18, ""S""), ""S"","""")"),"S")</f>
        <v>S</v>
      </c>
      <c r="GQ18" s="294" t="str">
        <f>IFERROR(__xludf.DUMMYFUNCTION("IF(REGEXMATCH(C18, ""r""), ""R1"","""")"),"")</f>
        <v/>
      </c>
      <c r="GR18" s="295" t="str">
        <f>IFERROR(__xludf.DUMMYFUNCTION("IF(REGEXMATCH(C18, ""R""), ""R2"","""")"),"")</f>
        <v/>
      </c>
      <c r="GS18" s="295" t="str">
        <f>IFERROR(__xludf.DUMMYFUNCTION("IF(REGEXMATCH(C18, ""g""), ""G2"","""")"),"G2")</f>
        <v>G2</v>
      </c>
      <c r="GT18" s="294" t="str">
        <f>IFERROR(__xludf.DUMMYFUNCTION("IF(REGEXMATCH(C18, ""G""), ""G3"","""")"),"G3")</f>
        <v>G3</v>
      </c>
      <c r="GU18" s="294" t="str">
        <f>IFERROR(__xludf.DUMMYFUNCTION("IF(REGEXMATCH(C18, ""m""), ""M1"","""")"),"M1")</f>
        <v>M1</v>
      </c>
      <c r="GV18" s="295" t="str">
        <f>IFERROR(__xludf.DUMMYFUNCTION("IF(REGEXMATCH(C18, ""M""), ""M2"","""")"),"")</f>
        <v/>
      </c>
      <c r="GW18" s="294" t="str">
        <f>IFERROR(__xludf.DUMMYFUNCTION("IF(REGEXMATCH(C18, ""P""), ""P"","""")"),"")</f>
        <v/>
      </c>
      <c r="GX18" s="295" t="str">
        <f>IFERROR(__xludf.DUMMYFUNCTION("IF(REGEXMATCH(C18, ""d""), ""D1"","""")"),"D1")</f>
        <v>D1</v>
      </c>
      <c r="GY18" s="294" t="str">
        <f>IFERROR(__xludf.DUMMYFUNCTION("IF(REGEXMATCH(C18, ""D""), ""D2"","""")"),"D2")</f>
        <v>D2</v>
      </c>
      <c r="GZ18" s="294" t="str">
        <f>IFERROR(__xludf.DUMMYFUNCTION("IF(REGEXMATCH(C18, ""n""), ""N2"","""")"),"N2")</f>
        <v>N2</v>
      </c>
      <c r="HA18" s="295" t="str">
        <f>IFERROR(__xludf.DUMMYFUNCTION("IF(REGEXMATCH(C18, ""N""), ""N3"","""")"),"")</f>
        <v/>
      </c>
      <c r="HB18" s="249" t="str">
        <f>IFERROR(__xludf.DUMMYFUNCTION("IF(REGEXMATCH(C18, ""S""), ""S"","""")"),"S")</f>
        <v>S</v>
      </c>
      <c r="HC18" s="331" t="str">
        <f t="shared" si="95"/>
        <v>S</v>
      </c>
      <c r="HD18" s="332" t="str">
        <f t="shared" si="96"/>
        <v/>
      </c>
      <c r="HE18" s="332" t="str">
        <f t="shared" si="97"/>
        <v>R</v>
      </c>
      <c r="HF18" s="332" t="str">
        <f t="shared" si="98"/>
        <v>g</v>
      </c>
      <c r="HG18" s="332" t="str">
        <f t="shared" si="99"/>
        <v>G</v>
      </c>
      <c r="HH18" s="332" t="str">
        <f t="shared" si="100"/>
        <v/>
      </c>
      <c r="HI18" s="332" t="str">
        <f t="shared" si="101"/>
        <v/>
      </c>
      <c r="HJ18" s="332" t="str">
        <f t="shared" si="102"/>
        <v>P</v>
      </c>
      <c r="HK18" s="332" t="str">
        <f t="shared" si="103"/>
        <v>d</v>
      </c>
      <c r="HL18" s="332" t="str">
        <f t="shared" si="104"/>
        <v>D</v>
      </c>
      <c r="HM18" s="332" t="str">
        <f t="shared" si="105"/>
        <v/>
      </c>
      <c r="HN18" s="332" t="str">
        <f t="shared" si="106"/>
        <v/>
      </c>
      <c r="HO18" s="343" t="str">
        <f t="shared" si="107"/>
        <v>S</v>
      </c>
      <c r="HP18" s="331" t="str">
        <f t="shared" si="108"/>
        <v>o</v>
      </c>
      <c r="HQ18" s="332" t="str">
        <f t="shared" si="109"/>
        <v>•</v>
      </c>
      <c r="HR18" s="332" t="str">
        <f t="shared" si="110"/>
        <v>•</v>
      </c>
      <c r="HS18" s="332" t="str">
        <f t="shared" si="111"/>
        <v>o</v>
      </c>
      <c r="HT18" s="332" t="str">
        <f t="shared" si="112"/>
        <v>o</v>
      </c>
      <c r="HU18" s="332" t="str">
        <f t="shared" si="113"/>
        <v>o</v>
      </c>
      <c r="HV18" s="332" t="str">
        <f t="shared" si="114"/>
        <v>•</v>
      </c>
      <c r="HW18" s="332" t="str">
        <f t="shared" si="115"/>
        <v>•</v>
      </c>
      <c r="HX18" s="332" t="str">
        <f t="shared" si="116"/>
        <v>o</v>
      </c>
      <c r="HY18" s="332" t="str">
        <f t="shared" si="117"/>
        <v>o</v>
      </c>
      <c r="HZ18" s="332" t="str">
        <f t="shared" si="118"/>
        <v>o</v>
      </c>
      <c r="IA18" s="332" t="str">
        <f t="shared" si="119"/>
        <v>•</v>
      </c>
      <c r="IB18" s="338" t="str">
        <f t="shared" si="120"/>
        <v>o</v>
      </c>
      <c r="IC18" s="331" t="str">
        <f t="shared" si="121"/>
        <v>•</v>
      </c>
      <c r="ID18" s="332" t="str">
        <f t="shared" si="122"/>
        <v>o</v>
      </c>
      <c r="IE18" s="332" t="str">
        <f t="shared" si="123"/>
        <v>o</v>
      </c>
      <c r="IF18" s="332" t="str">
        <f t="shared" si="124"/>
        <v>•</v>
      </c>
      <c r="IG18" s="332" t="str">
        <f t="shared" si="125"/>
        <v>•</v>
      </c>
      <c r="IH18" s="332" t="str">
        <f t="shared" si="126"/>
        <v>•</v>
      </c>
      <c r="II18" s="332" t="str">
        <f t="shared" si="127"/>
        <v>o</v>
      </c>
      <c r="IJ18" s="332" t="str">
        <f t="shared" si="128"/>
        <v>o</v>
      </c>
      <c r="IK18" s="332" t="str">
        <f t="shared" si="129"/>
        <v>•</v>
      </c>
      <c r="IL18" s="332" t="str">
        <f t="shared" si="130"/>
        <v>•</v>
      </c>
      <c r="IM18" s="332" t="str">
        <f t="shared" si="131"/>
        <v>•</v>
      </c>
      <c r="IN18" s="332" t="str">
        <f t="shared" si="132"/>
        <v>o</v>
      </c>
      <c r="IO18" s="338" t="str">
        <f t="shared" si="133"/>
        <v>•</v>
      </c>
      <c r="IP18" s="346" t="b">
        <f t="shared" si="134"/>
        <v>1</v>
      </c>
      <c r="IQ18" s="347" t="b">
        <f t="shared" si="135"/>
        <v>0</v>
      </c>
      <c r="IR18" s="347" t="b">
        <f t="shared" si="136"/>
        <v>0</v>
      </c>
      <c r="IS18" s="347" t="b">
        <f t="shared" si="137"/>
        <v>0</v>
      </c>
      <c r="IT18" s="347" t="b">
        <f t="shared" si="138"/>
        <v>1</v>
      </c>
      <c r="IU18" s="347" t="b">
        <f t="shared" si="139"/>
        <v>0</v>
      </c>
      <c r="IV18" s="347" t="b">
        <f t="shared" si="140"/>
        <v>0</v>
      </c>
      <c r="IW18" s="347" t="b">
        <f t="shared" si="141"/>
        <v>0</v>
      </c>
      <c r="IX18" s="347" t="b">
        <f t="shared" si="142"/>
        <v>0</v>
      </c>
      <c r="IY18" s="347" t="b">
        <f t="shared" si="143"/>
        <v>0</v>
      </c>
      <c r="IZ18" s="347" t="b">
        <f t="shared" si="144"/>
        <v>0</v>
      </c>
      <c r="JA18" s="347" t="b">
        <f t="shared" si="145"/>
        <v>0</v>
      </c>
      <c r="JB18" s="353" t="b">
        <f t="shared" si="146"/>
        <v>1</v>
      </c>
      <c r="JC18" s="354" t="str">
        <f t="shared" si="147"/>
        <v>Sa, </v>
      </c>
      <c r="JD18" s="355" t="str">
        <f t="shared" si="148"/>
        <v/>
      </c>
      <c r="JE18" s="355" t="str">
        <f t="shared" si="149"/>
        <v/>
      </c>
      <c r="JF18" s="355" t="str">
        <f t="shared" si="150"/>
        <v/>
      </c>
      <c r="JG18" s="355" t="str">
        <f t="shared" si="151"/>
        <v>Ga, </v>
      </c>
      <c r="JH18" s="355" t="str">
        <f t="shared" si="152"/>
        <v/>
      </c>
      <c r="JI18" s="355" t="str">
        <f t="shared" si="153"/>
        <v/>
      </c>
      <c r="JJ18" s="355" t="str">
        <f t="shared" si="154"/>
        <v/>
      </c>
      <c r="JK18" s="355" t="str">
        <f t="shared" si="155"/>
        <v/>
      </c>
      <c r="JL18" s="355" t="str">
        <f t="shared" si="156"/>
        <v/>
      </c>
      <c r="JM18" s="355" t="str">
        <f t="shared" si="157"/>
        <v/>
      </c>
      <c r="JN18" s="355" t="str">
        <f t="shared" si="158"/>
        <v/>
      </c>
      <c r="JO18" s="359" t="str">
        <f t="shared" si="159"/>
        <v/>
      </c>
      <c r="JP18" s="346" t="b">
        <f t="shared" si="160"/>
        <v>0</v>
      </c>
      <c r="JQ18" s="347" t="b">
        <f t="shared" si="161"/>
        <v>0</v>
      </c>
      <c r="JR18" s="347" t="b">
        <f t="shared" si="162"/>
        <v>0</v>
      </c>
      <c r="JS18" s="347" t="b">
        <f t="shared" si="163"/>
        <v>0</v>
      </c>
      <c r="JT18" s="347" t="b">
        <f t="shared" si="164"/>
        <v>0</v>
      </c>
      <c r="JU18" s="347" t="b">
        <f t="shared" si="165"/>
        <v>0</v>
      </c>
      <c r="JV18" s="347" t="b">
        <f t="shared" si="166"/>
        <v>0</v>
      </c>
      <c r="JW18" s="347" t="b">
        <f t="shared" si="167"/>
        <v>0</v>
      </c>
      <c r="JX18" s="347" t="b">
        <f t="shared" si="168"/>
        <v>0</v>
      </c>
      <c r="JY18" s="347" t="b">
        <f t="shared" si="169"/>
        <v>0</v>
      </c>
      <c r="JZ18" s="347" t="b">
        <f t="shared" si="170"/>
        <v>0</v>
      </c>
      <c r="KA18" s="347" t="b">
        <f t="shared" si="171"/>
        <v>0</v>
      </c>
      <c r="KB18" s="365" t="b">
        <f t="shared" si="172"/>
        <v>0</v>
      </c>
      <c r="KC18" s="354" t="str">
        <f t="shared" si="173"/>
        <v/>
      </c>
      <c r="KD18" s="355" t="str">
        <f t="shared" si="174"/>
        <v/>
      </c>
      <c r="KE18" s="355" t="str">
        <f t="shared" si="175"/>
        <v/>
      </c>
      <c r="KF18" s="355" t="str">
        <f t="shared" si="176"/>
        <v/>
      </c>
      <c r="KG18" s="355" t="str">
        <f t="shared" si="177"/>
        <v/>
      </c>
      <c r="KH18" s="355" t="str">
        <f t="shared" si="178"/>
        <v/>
      </c>
      <c r="KI18" s="355" t="str">
        <f t="shared" si="179"/>
        <v/>
      </c>
      <c r="KJ18" s="355" t="str">
        <f t="shared" si="180"/>
        <v/>
      </c>
      <c r="KK18" s="355" t="str">
        <f t="shared" si="181"/>
        <v/>
      </c>
      <c r="KL18" s="355" t="str">
        <f t="shared" si="182"/>
        <v/>
      </c>
      <c r="KM18" s="355" t="str">
        <f t="shared" si="183"/>
        <v/>
      </c>
      <c r="KN18" s="355" t="str">
        <f t="shared" si="184"/>
        <v/>
      </c>
      <c r="KO18" s="359"/>
      <c r="KP18" s="378"/>
      <c r="KQ18" s="379" t="s">
        <v>9</v>
      </c>
      <c r="KR18" s="380" t="s">
        <v>9</v>
      </c>
      <c r="KS18" s="381" t="s">
        <v>9</v>
      </c>
      <c r="KT18" s="382">
        <f t="shared" si="186"/>
        <v>0</v>
      </c>
      <c r="KU18" s="383">
        <f t="shared" si="187"/>
        <v>0</v>
      </c>
      <c r="KV18" s="381" t="str">
        <f t="shared" si="205"/>
        <v>S</v>
      </c>
      <c r="KW18" s="382">
        <f t="shared" si="189"/>
        <v>0</v>
      </c>
      <c r="KX18" s="384">
        <f t="shared" si="190"/>
        <v>0</v>
      </c>
      <c r="KY18" s="382">
        <f t="shared" ref="KY18:KZ18" si="226">KW18-KT18</f>
        <v>0</v>
      </c>
      <c r="KZ18" s="369">
        <f t="shared" si="226"/>
        <v>0</v>
      </c>
      <c r="LA18" s="385" t="str">
        <f t="shared" si="192"/>
        <v>✔</v>
      </c>
      <c r="LB18" s="340" t="str">
        <f>IFERROR(__xludf.DUMMYFUNCTION("JOIN("""",ArrayFormula(MID(KS18,LEN(KS18)-SEQUENCE(1,LEN(KS18))+1,1)))"),"S")</f>
        <v>S</v>
      </c>
      <c r="LC18" s="373" t="str">
        <f>IFERROR(__xludf.DUMMYFUNCTION("JOIN("""",ArrayFormula(MID(KV18,LEN(KV18)-SEQUENCE(1,LEN(KV18))+1,1)))"),"S")</f>
        <v>S</v>
      </c>
      <c r="LD18" s="373" t="str">
        <f t="shared" si="193"/>
        <v>S</v>
      </c>
      <c r="LE18" s="339" t="str">
        <f t="shared" si="194"/>
        <v>S</v>
      </c>
      <c r="LF18" s="386" t="str">
        <f>IFERROR(__xludf.DUMMYFUNCTION("SUBSTITUTE(SUBSTITUTE(CONCATENATE(JOIN("""",LH18:LT18)),""1"",""""),""2"","""")"),"SS")</f>
        <v>SS</v>
      </c>
      <c r="LG18" s="369" t="str">
        <f t="shared" si="195"/>
        <v>-</v>
      </c>
      <c r="LH18" s="387" t="str">
        <f>IFERROR(__xludf.DUMMYFUNCTION("IF(REGEXMATCH(LD18, ""S""), ""S"",IF(REGEXMATCH(LE18, ""S""), ""S"",""""))"),"S")</f>
        <v>S</v>
      </c>
      <c r="LI18" s="299" t="str">
        <f>IFERROR(__xludf.DUMMYFUNCTION("IF(REGEXMATCH(LD18, ""r""), ""r1"",IF(REGEXMATCH(LE18, ""r""), ""r2"",""""))"),"")</f>
        <v/>
      </c>
      <c r="LJ18" s="299" t="str">
        <f>IFERROR(__xludf.DUMMYFUNCTION("IF(REGEXMATCH(LD18, ""R""), ""R1"",IF(REGEXMATCH(LE18, ""R""), ""R2"",""""))"),"")</f>
        <v/>
      </c>
      <c r="LK18" s="299" t="str">
        <f>IFERROR(__xludf.DUMMYFUNCTION("IF(REGEXMATCH(LD18, ""g""), ""g1"",IF(REGEXMATCH(LE18, ""g""), ""g2"",""""))"),"")</f>
        <v/>
      </c>
      <c r="LL18" s="299" t="str">
        <f>IFERROR(__xludf.DUMMYFUNCTION("IF(REGEXMATCH(LD18, ""G""), ""G1"",IF(REGEXMATCH(LE18, ""G""), ""G2"",""""))"),"")</f>
        <v/>
      </c>
      <c r="LM18" s="299" t="str">
        <f>IFERROR(__xludf.DUMMYFUNCTION("IF(REGEXMATCH(LD18, ""m""), ""m1"",IF(REGEXMATCH(LE18, ""m""), ""m2"",""""))"),"")</f>
        <v/>
      </c>
      <c r="LN18" s="299" t="str">
        <f>IFERROR(__xludf.DUMMYFUNCTION("IF(REGEXMATCH(LD18, ""M""), ""M1"",IF(REGEXMATCH(LE18, ""M""), ""M2"",""""))"),"")</f>
        <v/>
      </c>
      <c r="LO18" s="299" t="str">
        <f>IFERROR(__xludf.DUMMYFUNCTION("IF(REGEXMATCH(LD18, ""P""), ""P1"",IF(REGEXMATCH(LE18, ""P""), ""P2"",""""))"),"")</f>
        <v/>
      </c>
      <c r="LP18" s="299" t="str">
        <f>IFERROR(__xludf.DUMMYFUNCTION("IF(REGEXMATCH(LD18, ""d""), ""d1"",IF(REGEXMATCH(LE18, ""d""), ""d2"",""""))"),"")</f>
        <v/>
      </c>
      <c r="LQ18" s="299" t="str">
        <f>IFERROR(__xludf.DUMMYFUNCTION("IF(REGEXMATCH(LD18, ""D""), ""D1"",IF(REGEXMATCH(LE18, ""D""), ""D2"",""""))"),"")</f>
        <v/>
      </c>
      <c r="LR18" s="299" t="str">
        <f>IFERROR(__xludf.DUMMYFUNCTION("IF(REGEXMATCH(LD18, ""n""), ""n1"",IF(REGEXMATCH(LE18, ""n""), ""n2"",""""))"),"")</f>
        <v/>
      </c>
      <c r="LS18" s="299" t="str">
        <f>IFERROR(__xludf.DUMMYFUNCTION("IF(REGEXMATCH(LD18, ""N""), ""N1"",IF(REGEXMATCH(LE18, ""N""), ""N2"",""""))"),"")</f>
        <v/>
      </c>
      <c r="LT18" s="388" t="str">
        <f>IFERROR(__xludf.DUMMYFUNCTION("IF(REGEXMATCH(LD18, ""S""), ""S"",IF(REGEXMATCH(LE18, ""S""), ""S"",""""))"),"S")</f>
        <v>S</v>
      </c>
      <c r="LU18" s="389">
        <f t="shared" si="196"/>
        <v>1</v>
      </c>
      <c r="LV18" s="378"/>
      <c r="LW18" s="369"/>
      <c r="LX18" s="369"/>
    </row>
    <row r="19" ht="20.25" customHeight="1">
      <c r="A19" s="298" t="s">
        <v>544</v>
      </c>
      <c r="B19" s="222" t="s">
        <v>545</v>
      </c>
      <c r="C19" s="233" t="str">
        <f t="shared" si="7"/>
        <v>SrGmPDnNS</v>
      </c>
      <c r="D19" s="234" t="str">
        <f>IFERROR(__xludf.DUMMYFUNCTION("IF(REGEXMATCH(C19, ""S""), ""S"","""")"),"S")</f>
        <v>S</v>
      </c>
      <c r="E19" s="236" t="str">
        <f>IFERROR(__xludf.DUMMYFUNCTION("IF(REGEXMATCH(C19, ""r""), ""r"","""")"),"r")</f>
        <v>r</v>
      </c>
      <c r="F19" s="237" t="str">
        <f>IFERROR(__xludf.DUMMYFUNCTION("IF(REGEXMATCH(C19, ""R""), ""R"","""")"),"")</f>
        <v/>
      </c>
      <c r="G19" s="237" t="str">
        <f>IFERROR(__xludf.DUMMYFUNCTION("IF(REGEXMATCH(C19, ""g""), ""g"","""")"),"")</f>
        <v/>
      </c>
      <c r="H19" s="236" t="str">
        <f>IFERROR(__xludf.DUMMYFUNCTION("IF(REGEXMATCH(C19, ""G""), ""G"","""")"),"G")</f>
        <v>G</v>
      </c>
      <c r="I19" s="236" t="str">
        <f>IFERROR(__xludf.DUMMYFUNCTION("IF(REGEXMATCH(C19, ""m""), ""m"","""")"),"m")</f>
        <v>m</v>
      </c>
      <c r="J19" s="237" t="str">
        <f>IFERROR(__xludf.DUMMYFUNCTION("IF(REGEXMATCH(C19, ""M""), ""M"","""")"),"")</f>
        <v/>
      </c>
      <c r="K19" s="236" t="str">
        <f>IFERROR(__xludf.DUMMYFUNCTION("IF(REGEXMATCH(C19, ""P""), ""P"","""")"),"P")</f>
        <v>P</v>
      </c>
      <c r="L19" s="237" t="str">
        <f>IFERROR(__xludf.DUMMYFUNCTION("IF(REGEXMATCH(C19, ""d""), ""d"","""")"),"")</f>
        <v/>
      </c>
      <c r="M19" s="236" t="str">
        <f>IFERROR(__xludf.DUMMYFUNCTION("IF(REGEXMATCH(C19, ""D""), ""D"","""")"),"D")</f>
        <v>D</v>
      </c>
      <c r="N19" s="236" t="str">
        <f>IFERROR(__xludf.DUMMYFUNCTION("IF(REGEXMATCH(C19, ""n""), ""n"","""")"),"n")</f>
        <v>n</v>
      </c>
      <c r="O19" s="237" t="str">
        <f>IFERROR(__xludf.DUMMYFUNCTION("IF(REGEXMATCH(C19, ""N""), ""N"","""")"),"N")</f>
        <v>N</v>
      </c>
      <c r="P19" s="238" t="str">
        <f>IFERROR(__xludf.DUMMYFUNCTION("IF(REGEXMATCH(C19, ""S""), ""S"","""")"),"S")</f>
        <v>S</v>
      </c>
      <c r="Q19" s="239" t="str">
        <f>IFERROR(__xludf.DUMMYFUNCTION("SUBSTITUTE(CONCATENATE(JOIN(""-"",D19:J19)),""-"","""")"),"SrGm")</f>
        <v>SrGm</v>
      </c>
      <c r="R19" s="229" t="str">
        <f>IFERROR(__xludf.DUMMYFUNCTION("SUBSTITUTE(CONCATENATE(JOIN(""-"",K19:P19)),""-"","""")"),"PDnNS")</f>
        <v>PDnNS</v>
      </c>
      <c r="S19" s="282" t="str">
        <f t="shared" si="8"/>
        <v>S-R-G-M</v>
      </c>
      <c r="T19" s="282" t="str">
        <f t="shared" si="9"/>
        <v>P-D-N-S</v>
      </c>
      <c r="U19" s="237" t="str">
        <f>IFERROR(__xludf.DUMMYFUNCTION("SUBSTITUTE(JOIN(""-"",S19,T19),""--"",""-"")"),"S-R-G-M-P-D-N-S")</f>
        <v>S-R-G-M-P-D-N-S</v>
      </c>
      <c r="V19" s="309" t="str">
        <f t="shared" si="10"/>
        <v>rGmDnN</v>
      </c>
      <c r="W19" s="244" t="str">
        <f>IFERROR(__xludf.DUMMYFUNCTION("IF(REGEXMATCH(C19, ""S""), ""0"","""")"),"0")</f>
        <v>0</v>
      </c>
      <c r="X19" s="245" t="str">
        <f>IFERROR(__xludf.DUMMYFUNCTION("IF(REGEXMATCH(C19, ""r""), ""1"","""")"),"1")</f>
        <v>1</v>
      </c>
      <c r="Y19" s="246" t="str">
        <f>IFERROR(__xludf.DUMMYFUNCTION("IF(REGEXMATCH(C19, ""R""), ""2"","""")"),"")</f>
        <v/>
      </c>
      <c r="Z19" s="246" t="str">
        <f>IFERROR(__xludf.DUMMYFUNCTION("IF(REGEXMATCH(C19, ""g""), ""3"","""")"),"")</f>
        <v/>
      </c>
      <c r="AA19" s="245" t="str">
        <f>IFERROR(__xludf.DUMMYFUNCTION("IF(REGEXMATCH(C19, ""G""), ""4"","""")"),"4")</f>
        <v>4</v>
      </c>
      <c r="AB19" s="245" t="str">
        <f>IFERROR(__xludf.DUMMYFUNCTION("IF(REGEXMATCH(C19, ""m""), ""5"","""")"),"5")</f>
        <v>5</v>
      </c>
      <c r="AC19" s="246" t="str">
        <f>IFERROR(__xludf.DUMMYFUNCTION("IF(REGEXMATCH(C19, ""M""), ""6"","""")"),"")</f>
        <v/>
      </c>
      <c r="AD19" s="245" t="str">
        <f>IFERROR(__xludf.DUMMYFUNCTION("IF(REGEXMATCH(C19, ""P""), ""7"","""")"),"7")</f>
        <v>7</v>
      </c>
      <c r="AE19" s="246" t="str">
        <f>IFERROR(__xludf.DUMMYFUNCTION("IF(REGEXMATCH(C19, ""d""), ""8"","""")"),"")</f>
        <v/>
      </c>
      <c r="AF19" s="245" t="str">
        <f>IFERROR(__xludf.DUMMYFUNCTION("IF(REGEXMATCH(C19, ""D""), ""9"","""")"),"9")</f>
        <v>9</v>
      </c>
      <c r="AG19" s="245" t="str">
        <f>IFERROR(__xludf.DUMMYFUNCTION("IF(REGEXMATCH(C19, ""n""), ""10"","""")"),"10")</f>
        <v>10</v>
      </c>
      <c r="AH19" s="246" t="str">
        <f>IFERROR(__xludf.DUMMYFUNCTION("IF(REGEXMATCH(C19, ""N""), ""11"","""")"),"11")</f>
        <v>11</v>
      </c>
      <c r="AI19" s="249" t="str">
        <f>IFERROR(__xludf.DUMMYFUNCTION("IF(REGEXMATCH(C19, ""S""), ""0"","""")"),"0")</f>
        <v>0</v>
      </c>
      <c r="AJ19" s="313" t="str">
        <f t="shared" si="11"/>
        <v>-</v>
      </c>
      <c r="AK19" s="313" t="str">
        <f t="shared" si="12"/>
        <v>T</v>
      </c>
      <c r="AL19" s="313" t="str">
        <f t="shared" si="13"/>
        <v>-</v>
      </c>
      <c r="AM19" s="313" t="str">
        <f t="shared" si="14"/>
        <v>-</v>
      </c>
      <c r="AN19" s="313" t="str">
        <f t="shared" si="15"/>
        <v>T</v>
      </c>
      <c r="AO19" s="314" t="str">
        <f t="shared" si="16"/>
        <v>T</v>
      </c>
      <c r="AP19" s="316">
        <f t="shared" si="17"/>
        <v>3</v>
      </c>
      <c r="AQ19" s="319" t="str">
        <f t="shared" si="18"/>
        <v>#REF!</v>
      </c>
      <c r="AR19" s="320">
        <f t="shared" si="19"/>
        <v>0</v>
      </c>
      <c r="AS19" s="250" t="str">
        <f>IFERROR(__xludf.DUMMYFUNCTION("SUBSTITUTE(SUBSTITUTE(CONCATENATE(JOIN("""",FP19:GA19)),""|"",""x""),""-"",""o"")"),"xxooxxoxoxxx")</f>
        <v>xxooxxoxoxxx</v>
      </c>
      <c r="AT19" s="323" t="str">
        <f>IFERROR(__xludf.DUMMYFUNCTION("JOIN("""",AS19,AS19)"),"xxooxxoxoxxxxxooxxoxoxxx")</f>
        <v>xxooxxoxoxxxxxooxxoxoxxx</v>
      </c>
      <c r="AU19" s="256" t="str">
        <f>IFERROR(__xludf.DUMMYFUNCTION("JOIN("""",ArrayFormula(MID(AS19,LEN(AS19)-SEQUENCE(1,LEN(AS19))+1,1)))"),"xxxoxoxxooxx")</f>
        <v>xxxoxoxxooxx</v>
      </c>
      <c r="AV19" s="256" t="str">
        <f>IFERROR(__xludf.DUMMYFUNCTION("LEFT(CONCATENATE(""x"",JOIN("""",ArrayFormula(MID(AS19,LEN(AS19)-SEQUENCE(1,LEN(AS19))+1,1)))),12)"),"xxxxoxoxxoox")</f>
        <v>xxxxoxoxxoox</v>
      </c>
      <c r="AW19" s="327" t="str">
        <f>IFERROR(__xludf.DUMMYFUNCTION("JOIN("""",AU19,AU19)"),"xxxoxoxxooxxxxxoxoxxooxx")</f>
        <v>xxxoxoxxooxxxxxoxoxxooxx</v>
      </c>
      <c r="AX19" s="239" t="str">
        <f>IFERROR(__xludf.DUMMYFUNCTION("IF(REGEXMATCH(AW19,AS19),""✔"",""-"")"),"-")</f>
        <v>-</v>
      </c>
      <c r="AY19" s="330" t="str">
        <f t="shared" si="20"/>
        <v>-</v>
      </c>
      <c r="AZ19" s="260" t="str">
        <f t="shared" si="21"/>
        <v>#REF!</v>
      </c>
      <c r="BA19" s="333" t="str">
        <f t="shared" si="22"/>
        <v>xxooxxo</v>
      </c>
      <c r="BB19" s="334" t="str">
        <f t="shared" si="23"/>
        <v>xoxxxx</v>
      </c>
      <c r="BC19" s="335" t="str">
        <f t="shared" si="24"/>
        <v>-</v>
      </c>
      <c r="BD19" s="336" t="str">
        <f t="shared" si="25"/>
        <v>Anand Bhairav: 'xxooxxo' + 'xoxxxx'</v>
      </c>
      <c r="BE19" s="337">
        <f>IFERROR(__xludf.DUMMYFUNCTION("COUNTUNIQUE(FILTER(AT:AT,REGEXMATCH(AT:AT,AS19)))-1"),0.0)</f>
        <v>0</v>
      </c>
      <c r="BF19" s="261" t="str">
        <f>IFERROR(__xludf.DUMMYFUNCTION("IF(BI19=0,""(n/a)"",IF(BJ19=2,""(PAIR)"",IF(REGEXMATCH(AT19,""xoxoxxoxoxox""),""Bilawal"",IF(REGEXMATCH(AT19,""xoxoxooxoxoo""),""Bhupali"",IF(REGEXMATCH(AT19,""xoxoxxoxxoxo""),""Charukeshi"",IF(REGEXMATCH(AT19,""xoxoooxxoxxo""),""Kameshwari"",IF(REGEXMATC"&amp;"H(AT19,""xoxoxooxoxox""),""Shankara"",IF(REGEXMATCH(AT19,""xxooxoxxxoox""),""Basant"",IF(REGEXMATCH(AT19,""xoxoxxxxoxox""),""Bihag"",IF(REGEXMATCH(AT19,""xoxxxxoxoxxx""),""Pilu"",IF(REGEXMATCH(AT19,""xoxxoxoxxoox""),""Kirwani"",IF(REGEXMATCH(AT19,""xoxxox"&amp;"oxoxxx""),""Mk.Malhar"",IF(REGEXMATCH(AT19,""xxooxxoxxoox""),""Bhairav"",IF(REGEXMATCH(AT19,""xxoxooxxxoox""),""Todi"",IF(REGEXMATCH(AT19,""xxooxoxooxox""),""Marwa"",IF(REGEXMATCH(AT19,""xxoooxoxxooo""),""Gunkali"",IF(REGEXMATCH(AT19,""xoxoxxoxxoox""),""N"&amp;"at Bhairav"",IF(REGEXMATCH(AT19,""xoxxoooxoxoo""),""Shivranjani"",IF(REGEXMATCH(AT19,""xooxxxoxooxo""),""Jog"",IF(REGEXMATCH(AT19,""xxooxoxoxoox""),""Hemshri"",IF(REGEXMATCH(AT19,""xoooxooxoxxo""),""Kalavati"",IF(REGEXMATCH(AT19,""xxoxoxxoxoox""),""Kedar"&amp;""",IF(REGEXMATCH(AT19,""xoxxxxoxooxx""),""Gara"",IF(REGEXMATCH(AT19,""xooxoxooxoox""),""Chandrakauns"",IF(REGEXMATCH(AT19,""xoxxxxoxxxox""),""Mand"",IF(REGEXMATCH(AT19,""xoxxxxoxoxox""),""Hanskinkini"",IF(REGEXMATCH(AT19,""xxooxxoxooxo""),""Lilavati"",IF("&amp;"REGEXMATCH(AT19,""xooxoxoooxox""),""Rajeshwari"",IF(REGEXMATCH(AT19,""xoooxxoxoxxx""),""Khokar"",IF(REGEXMATCH(AT19,""xxooxoxxxxox""),""Maligoura"",""-""))))))))))))))))))))))))))))))"),"(n/a)")</f>
        <v>(n/a)</v>
      </c>
      <c r="BG19" s="239" t="str">
        <f t="shared" si="26"/>
        <v>#REF!</v>
      </c>
      <c r="BH19" s="239">
        <f>IFERROR(__xludf.DUMMYFUNCTION("COUNTUNIQUE(FE19:FO19)-1"),7.0)</f>
        <v>7</v>
      </c>
      <c r="BI19" s="239">
        <f>IFERROR(__xludf.DUMMYFUNCTION("COUNTUNIQUE(FILTER(AT:AT,REGEXMATCH(AT:AT,AS19)))-1"),0.0)</f>
        <v>0</v>
      </c>
      <c r="BJ19" s="239">
        <f>IFERROR(__xludf.DUMMYFUNCTION("COUNTA(FILTER(AT:AT,REGEXMATCH(AT:AT,AS19)))"),1.0)</f>
        <v>1</v>
      </c>
      <c r="BK19" s="341">
        <f>IFERROR(__xludf.DUMMYFUNCTION("COUNTA(FILTER(AT:AT,REGEXMATCH(AT:AT,AS19)))-AR19"),1.0)</f>
        <v>1</v>
      </c>
      <c r="BL19" s="276" t="str">
        <f>IFERROR(__xludf.DUMMYFUNCTION("IF(AS19=""oooooooooooo"",""-"",IF(REGEXMATCH(AT19,""xx""), ""Hemi."", ""Anhemi.""))"),"Hemi.")</f>
        <v>Hemi.</v>
      </c>
      <c r="BM19" s="282" t="str">
        <f>IFERROR(__xludf.DUMMYFUNCTION("IF(AS19=""oooooooooooo"",""-"",IF(REGEXMATCH(AT19,""xxx""), ""Cohem."", ""-""))"),"Cohem.")</f>
        <v>Cohem.</v>
      </c>
      <c r="BN19" s="282" t="str">
        <f>IFERROR(__xludf.DUMMYFUNCTION("IF(AS19=""oooooooooooo"",""-"",IF(REGEXMATCH(AT19,""xxxx""), ""Co-Co."", ""-""))"),"Co-Co.")</f>
        <v>Co-Co.</v>
      </c>
      <c r="BO19" s="342" t="str">
        <f>IFERROR(__xludf.DUMMYFUNCTION("IF(AS19=""oooooooooooo"",""-"",IF(REGEXMATCH(AT19,""xxxxx""), ""CCC."", ""-""))"),"CCC.")</f>
        <v>CCC.</v>
      </c>
      <c r="BP19" s="344" t="str">
        <f t="shared" si="27"/>
        <v>-</v>
      </c>
      <c r="BQ19" s="282" t="str">
        <f>IFERROR(__xludf.DUMMYFUNCTION("IF(REGEXMATCH(JOIN(""-"",EU19:FD19),""TRUE""),""✔"",""-"")"),"-")</f>
        <v>-</v>
      </c>
      <c r="BR19" s="225">
        <f t="shared" si="28"/>
        <v>0</v>
      </c>
      <c r="BS19" s="345" t="str">
        <f>IFERROR(__xludf.DUMMYFUNCTION("SUBSTITUTE(SUBSTITUTE(SUBSTITUTE(SUBSTITUTE(CONCATENATE(JOIN(""-"",GC19:GO19)),""--"",""-""),""--"",""-""),""--"",""-""),""--"",""-"")"),"1-b2-3-4-5-6-b7-7-8")</f>
        <v>1-b2-3-4-5-6-b7-7-8</v>
      </c>
      <c r="BT19" s="299" t="str">
        <f>IFERROR(__xludf.DUMMYFUNCTION("SUBSTITUTE(SUBSTITUTE(SUBSTITUTE(SUBSTITUTE(CONCATENATE(JOIN(""-"",GP19:HB19)),""--"",""-""),""--"",""-""),""--"",""-""),""--"",""-"")"),"S-R1-G3-M1-P-D2-N2-N3-S")</f>
        <v>S-R1-G3-M1-P-D2-N2-N3-S</v>
      </c>
      <c r="BU19" s="348" t="str">
        <f t="shared" si="29"/>
        <v>C-Db-E-F-G-A-Bb-B-C</v>
      </c>
      <c r="BV19" s="349" t="str">
        <f t="shared" si="30"/>
        <v>SRgMdS</v>
      </c>
      <c r="BW19" s="350">
        <f t="shared" si="31"/>
        <v>0</v>
      </c>
      <c r="BX19" s="351">
        <f t="shared" si="32"/>
        <v>1</v>
      </c>
      <c r="BY19" s="392"/>
      <c r="BZ19" s="309" t="str">
        <f>IFERROR(__xludf.DUMMYFUNCTION("IF(REGEXMATCH(C19, ""S""), ""x"",""x"")"),"x")</f>
        <v>x</v>
      </c>
      <c r="CA19" s="245" t="str">
        <f>IFERROR(__xludf.DUMMYFUNCTION("IF(REGEXMATCH(C19, ""r""), ""o"",""x"")"),"o")</f>
        <v>o</v>
      </c>
      <c r="CB19" s="246" t="str">
        <f>IFERROR(__xludf.DUMMYFUNCTION("IF(REGEXMATCH(C19, ""R""), ""o"",""x"")"),"x")</f>
        <v>x</v>
      </c>
      <c r="CC19" s="246" t="str">
        <f>IFERROR(__xludf.DUMMYFUNCTION("IF(REGEXMATCH(C19, ""g""), ""o"",""x"")"),"x")</f>
        <v>x</v>
      </c>
      <c r="CD19" s="245" t="str">
        <f>IFERROR(__xludf.DUMMYFUNCTION("IF(REGEXMATCH(C19, ""G""), ""o"",""x"")"),"o")</f>
        <v>o</v>
      </c>
      <c r="CE19" s="245" t="str">
        <f>IFERROR(__xludf.DUMMYFUNCTION("IF(REGEXMATCH(C19, ""m""), ""o"",""x"")"),"o")</f>
        <v>o</v>
      </c>
      <c r="CF19" s="246" t="str">
        <f>IFERROR(__xludf.DUMMYFUNCTION("IF(REGEXMATCH(C19, ""M""), ""o"",""x"")"),"x")</f>
        <v>x</v>
      </c>
      <c r="CG19" s="245" t="str">
        <f>IFERROR(__xludf.DUMMYFUNCTION("IF(REGEXMATCH(C19, ""P""), ""o"",""x"")"),"o")</f>
        <v>o</v>
      </c>
      <c r="CH19" s="246" t="str">
        <f>IFERROR(__xludf.DUMMYFUNCTION("IF(REGEXMATCH(C19, ""d""), ""o"",""x"")"),"x")</f>
        <v>x</v>
      </c>
      <c r="CI19" s="245" t="str">
        <f>IFERROR(__xludf.DUMMYFUNCTION("IF(REGEXMATCH(C19, ""D""), ""o"",""x"")"),"o")</f>
        <v>o</v>
      </c>
      <c r="CJ19" s="245" t="str">
        <f>IFERROR(__xludf.DUMMYFUNCTION("IF(REGEXMATCH(C19, ""n""), ""o"",""x"")"),"o")</f>
        <v>o</v>
      </c>
      <c r="CK19" s="245" t="str">
        <f>IFERROR(__xludf.DUMMYFUNCTION("IF(REGEXMATCH(C19, ""N""), ""o"",""x"")"),"o")</f>
        <v>o</v>
      </c>
      <c r="CL19" s="356" t="str">
        <f>IFERROR(__xludf.DUMMYFUNCTION("IF(REGEXMATCH(C19, ""S""), ""x"",""x"")"),"x")</f>
        <v>x</v>
      </c>
      <c r="CM19" s="357" t="str">
        <f t="shared" si="33"/>
        <v>xoxxooxoxooo</v>
      </c>
      <c r="CN19" s="358">
        <f t="shared" si="34"/>
        <v>0</v>
      </c>
      <c r="CO19" s="246" t="str">
        <f>IFERROR(__xludf.DUMMYFUNCTION("IF(REGEXMATCH($C19, ""S""), ""S"",""S"")"),"S")</f>
        <v>S</v>
      </c>
      <c r="CP19" s="246" t="str">
        <f>IFERROR(__xludf.DUMMYFUNCTION("IF(REGEXMATCH($C19, ""r""), """",""r"")"),"")</f>
        <v/>
      </c>
      <c r="CQ19" s="246" t="str">
        <f>IFERROR(__xludf.DUMMYFUNCTION("IF(REGEXMATCH($C19, ""R""), """",""R"")"),"R")</f>
        <v>R</v>
      </c>
      <c r="CR19" s="246" t="str">
        <f>IFERROR(__xludf.DUMMYFUNCTION("IF(REGEXMATCH($C19, ""g""), """",""g"")"),"g")</f>
        <v>g</v>
      </c>
      <c r="CS19" s="246" t="str">
        <f>IFERROR(__xludf.DUMMYFUNCTION("IF(REGEXMATCH($C19, ""G""), """",""G"")"),"")</f>
        <v/>
      </c>
      <c r="CT19" s="246" t="str">
        <f>IFERROR(__xludf.DUMMYFUNCTION("IF(REGEXMATCH($C19, ""m""), """",""m"")"),"")</f>
        <v/>
      </c>
      <c r="CU19" s="246" t="str">
        <f>IFERROR(__xludf.DUMMYFUNCTION("IF(REGEXMATCH($C19, ""M""), """",""M"")"),"M")</f>
        <v>M</v>
      </c>
      <c r="CV19" s="246" t="str">
        <f>IFERROR(__xludf.DUMMYFUNCTION("IF(REGEXMATCH($C19, ""P""), """",""P"")"),"")</f>
        <v/>
      </c>
      <c r="CW19" s="246" t="str">
        <f>IFERROR(__xludf.DUMMYFUNCTION("IF(REGEXMATCH($C19, ""d""), """",""d"")"),"d")</f>
        <v>d</v>
      </c>
      <c r="CX19" s="246" t="str">
        <f>IFERROR(__xludf.DUMMYFUNCTION("IF(REGEXMATCH($C19, ""D""), """",""D"")"),"")</f>
        <v/>
      </c>
      <c r="CY19" s="246" t="str">
        <f>IFERROR(__xludf.DUMMYFUNCTION("IF(REGEXMATCH($C19, ""n""), """",""n"")"),"")</f>
        <v/>
      </c>
      <c r="CZ19" s="246" t="str">
        <f>IFERROR(__xludf.DUMMYFUNCTION("IF(REGEXMATCH($C19, ""N""), """",""N"")"),"")</f>
        <v/>
      </c>
      <c r="DA19" s="246" t="str">
        <f>IFERROR(__xludf.DUMMYFUNCTION("IF(REGEXMATCH($C19, ""S""), ""S"",""S"")"),"S")</f>
        <v>S</v>
      </c>
      <c r="DB19" s="362" t="str">
        <f>IFERROR(__xludf.DUMMYFUNCTION("JOIN("""",CO19:DA19,"""","""")"),"SRgMdS")</f>
        <v>SRgMdS</v>
      </c>
      <c r="DC19" s="363"/>
      <c r="DD19" s="301" t="str">
        <f t="shared" si="35"/>
        <v>#REF!</v>
      </c>
      <c r="DE19" s="302" t="str">
        <f t="shared" si="36"/>
        <v>#REF!</v>
      </c>
      <c r="DF19" s="301" t="str">
        <f t="shared" ref="DF19:DG19" si="227">SUBSTITUTE(S19,"-","")</f>
        <v>SRGM</v>
      </c>
      <c r="DG19" s="301" t="str">
        <f t="shared" si="227"/>
        <v>PDNS</v>
      </c>
      <c r="DH19" s="302" t="str">
        <f t="shared" si="38"/>
        <v>(n/a)</v>
      </c>
      <c r="DI19" s="301" t="str">
        <f t="shared" si="39"/>
        <v>Hemi.</v>
      </c>
      <c r="DJ19" s="364" t="str">
        <f t="shared" si="40"/>
        <v>CCC.</v>
      </c>
      <c r="DK19" s="306" t="str">
        <f t="shared" si="41"/>
        <v>-</v>
      </c>
      <c r="DL19" s="366" t="str">
        <f t="shared" si="42"/>
        <v>-</v>
      </c>
      <c r="DM19" s="308" t="str">
        <f t="shared" si="43"/>
        <v>✔</v>
      </c>
      <c r="DN19" s="306" t="str">
        <f t="shared" si="44"/>
        <v>-</v>
      </c>
      <c r="DO19" s="306" t="str">
        <f t="shared" si="45"/>
        <v>-</v>
      </c>
      <c r="DP19" s="367" t="str">
        <f t="shared" si="46"/>
        <v>-</v>
      </c>
      <c r="DQ19" s="310" t="str">
        <f t="shared" si="47"/>
        <v>-</v>
      </c>
      <c r="DR19" s="310" t="str">
        <f t="shared" si="48"/>
        <v>-</v>
      </c>
      <c r="DS19" s="310" t="str">
        <f t="shared" si="49"/>
        <v>-</v>
      </c>
      <c r="DT19" s="310" t="str">
        <f t="shared" si="50"/>
        <v>-</v>
      </c>
      <c r="DU19" s="370" t="str">
        <f t="shared" si="51"/>
        <v>✔</v>
      </c>
      <c r="DV19" s="306" t="str">
        <f t="shared" si="52"/>
        <v>-</v>
      </c>
      <c r="DW19" s="306" t="str">
        <f t="shared" si="53"/>
        <v>-</v>
      </c>
      <c r="DX19" s="306" t="str">
        <f t="shared" si="54"/>
        <v>-</v>
      </c>
      <c r="DY19" s="306" t="str">
        <f t="shared" si="55"/>
        <v>-</v>
      </c>
      <c r="DZ19" s="306" t="str">
        <f t="shared" si="56"/>
        <v>-</v>
      </c>
      <c r="EA19" s="367" t="str">
        <f t="shared" si="57"/>
        <v>-</v>
      </c>
      <c r="EB19" s="310" t="str">
        <f>IFERROR(__xludf.DUMMYFUNCTION("IF(REGEXMATCH(AW19,AS19),""✔"",""-"")"),"-")</f>
        <v>-</v>
      </c>
      <c r="EC19" s="310" t="str">
        <f t="shared" si="58"/>
        <v>#REF!</v>
      </c>
      <c r="ED19" s="370" t="str">
        <f t="shared" si="59"/>
        <v>-</v>
      </c>
      <c r="EE19" s="340" t="str">
        <f t="shared" si="60"/>
        <v>S-r-G-m-P-D-nN-S</v>
      </c>
      <c r="EF19" s="371" t="str">
        <f>IFERROR(__xludf.DUMMYFUNCTION("CONCATENATE(JOIN("""",HC19:HO19))"),"SrRgmPdNS")</f>
        <v>SrRgmPdNS</v>
      </c>
      <c r="EG19" s="372">
        <f t="shared" si="61"/>
        <v>3</v>
      </c>
      <c r="EH19" s="373" t="str">
        <f>IFERROR(__xludf.DUMMYFUNCTION("CONCATENATE(JOIN("""",JC19:JO19))"),"re, Pa, Ni, ")</f>
        <v>re, Pa, Ni, </v>
      </c>
      <c r="EI19" s="322">
        <f t="shared" si="62"/>
        <v>1</v>
      </c>
      <c r="EJ19" s="374" t="str">
        <f>IFERROR(__xludf.DUMMYFUNCTION("CONCATENATE(JOIN("""",KC19:KO19))"),"re, ")</f>
        <v>re, </v>
      </c>
      <c r="EK19" s="325" t="str">
        <f t="shared" si="63"/>
        <v>S-R1-G3-M1-P-D2-N2-N3-S</v>
      </c>
      <c r="EL19" s="326" t="str">
        <f t="shared" si="64"/>
        <v>1-b2-3-4-5-6-b7-7-8</v>
      </c>
      <c r="EM19" s="318" t="str">
        <f t="shared" si="65"/>
        <v>#REF!</v>
      </c>
      <c r="EN19" s="328" t="str">
        <f>IFERROR(__xludf.DUMMYFUNCTION("SUBSTITUTE(SUBSTITUTE(SUBSTITUTE(SUBSTITUTE(CONCATENATE(JOIN("" "",HP19:IB19)),""  "","" ""),""  "","" ""),""  "","" ""),""  "","" "")"),"o o • • o o • o • o o o o")</f>
        <v>o o • • o o • o • o o o o</v>
      </c>
      <c r="EO19" s="368" t="str">
        <f t="shared" si="66"/>
        <v>-</v>
      </c>
      <c r="EP19" s="339" t="str">
        <f t="shared" si="67"/>
        <v>-</v>
      </c>
      <c r="EQ19" s="339" t="str">
        <f t="shared" si="68"/>
        <v>Sa-Pa</v>
      </c>
      <c r="ER19" s="339" t="str">
        <f t="shared" si="69"/>
        <v>-</v>
      </c>
      <c r="ES19" s="340" t="str">
        <f t="shared" si="70"/>
        <v>-</v>
      </c>
      <c r="ET19" s="363"/>
      <c r="EU19" s="376" t="b">
        <f>IFERROR(__xludf.DUMMYFUNCTION("arrayformula(sum(--REGEXMATCH(""SRGMPDNS"",split(REGEXREPLACE(C19,""(.)"",""$1~""),""~""))))=len(C19)
"),FALSE)</f>
        <v>0</v>
      </c>
      <c r="EV19" s="290" t="b">
        <f>IFERROR(__xludf.DUMMYFUNCTION("arrayformula(sum(--REGEXMATCH(""SRGmPDNS"",split(REGEXREPLACE(C19,""(.)"",""$1~""),""~""))))=len(C19)"),FALSE)</f>
        <v>0</v>
      </c>
      <c r="EW19" s="290" t="b">
        <f>IFERROR(__xludf.DUMMYFUNCTION("arrayformula(sum(--REGEXMATCH(""SRGmPDnS"",split(REGEXREPLACE(C19,""(.)"",""$1~""),""~""))))=len(C19)"),FALSE)</f>
        <v>0</v>
      </c>
      <c r="EX19" s="290" t="b">
        <f>IFERROR(__xludf.DUMMYFUNCTION("arrayformula(sum(--REGEXMATCH(""SRgmPDnS"",split(REGEXREPLACE(C19,""(.)"",""$1~""),""~""))))=len(C19)"),FALSE)</f>
        <v>0</v>
      </c>
      <c r="EY19" s="290" t="b">
        <f>IFERROR(__xludf.DUMMYFUNCTION("arrayformula(sum(--REGEXMATCH(""SRgmPdnS"",split(REGEXREPLACE(C19,""(.)"",""$1~""),""~""))))=len(C19)"),FALSE)</f>
        <v>0</v>
      </c>
      <c r="EZ19" s="290" t="b">
        <f>IFERROR(__xludf.DUMMYFUNCTION("arrayformula(sum(--REGEXMATCH(""SrgmPdnS"",split(REGEXREPLACE(C19,""(.)"",""$1~""),""~""))))=len(C19)"),FALSE)</f>
        <v>0</v>
      </c>
      <c r="FA19" s="290" t="b">
        <f>IFERROR(__xludf.DUMMYFUNCTION("arrayformula(sum(--REGEXMATCH(""SrGmPdNS"",split(REGEXREPLACE(C19,""(.)"",""$1~""),""~""))))=len(C19)"),FALSE)</f>
        <v>0</v>
      </c>
      <c r="FB19" s="290" t="b">
        <f>IFERROR(__xludf.DUMMYFUNCTION("arrayformula(sum(--REGEXMATCH(""SrGMPDNS"",split(REGEXREPLACE(C19,""(.)"",""$1~""),""~""))))=len(C19)"),FALSE)</f>
        <v>0</v>
      </c>
      <c r="FC19" s="290" t="b">
        <f>IFERROR(__xludf.DUMMYFUNCTION("arrayformula(sum(--REGEXMATCH(""SrGMPdNS"",split(REGEXREPLACE(C19,""(.)"",""$1~""),""~""))))=len(C19)"),FALSE)</f>
        <v>0</v>
      </c>
      <c r="FD19" s="377" t="b">
        <f>IFERROR(__xludf.DUMMYFUNCTION("arrayformula(sum(--REGEXMATCH(""SrgMPdNS"",split(REGEXREPLACE(C19,""(.)"",""$1~""),""~""))))=len(C19)"),FALSE)</f>
        <v>0</v>
      </c>
      <c r="FE19" s="269" t="str">
        <f t="shared" si="71"/>
        <v>xooxxoxoxxx</v>
      </c>
      <c r="FF19" s="269" t="str">
        <f t="shared" si="72"/>
        <v>-</v>
      </c>
      <c r="FG19" s="271" t="str">
        <f t="shared" si="73"/>
        <v>-</v>
      </c>
      <c r="FH19" s="269" t="str">
        <f t="shared" si="74"/>
        <v>xxoxoxxxxxo</v>
      </c>
      <c r="FI19" s="271" t="str">
        <f t="shared" si="75"/>
        <v>xoxoxxxxxoo</v>
      </c>
      <c r="FJ19" s="271" t="str">
        <f t="shared" si="76"/>
        <v>-</v>
      </c>
      <c r="FK19" s="271" t="str">
        <f t="shared" si="77"/>
        <v>xoxxxxxooxx</v>
      </c>
      <c r="FL19" s="271" t="str">
        <f t="shared" si="78"/>
        <v>-</v>
      </c>
      <c r="FM19" s="271" t="str">
        <f t="shared" si="79"/>
        <v>xxxxxooxxox</v>
      </c>
      <c r="FN19" s="271" t="str">
        <f t="shared" si="80"/>
        <v>xxxxooxxoxo</v>
      </c>
      <c r="FO19" s="274" t="str">
        <f t="shared" si="81"/>
        <v>xxxooxxoxox</v>
      </c>
      <c r="FP19" s="234" t="str">
        <f t="shared" si="82"/>
        <v>|</v>
      </c>
      <c r="FQ19" s="236" t="str">
        <f t="shared" si="83"/>
        <v>|</v>
      </c>
      <c r="FR19" s="237" t="str">
        <f t="shared" si="84"/>
        <v>-</v>
      </c>
      <c r="FS19" s="236" t="str">
        <f t="shared" si="85"/>
        <v>-</v>
      </c>
      <c r="FT19" s="237" t="str">
        <f t="shared" si="86"/>
        <v>|</v>
      </c>
      <c r="FU19" s="236" t="str">
        <f t="shared" si="87"/>
        <v>|</v>
      </c>
      <c r="FV19" s="237" t="str">
        <f t="shared" si="88"/>
        <v>-</v>
      </c>
      <c r="FW19" s="236" t="str">
        <f t="shared" si="89"/>
        <v>|</v>
      </c>
      <c r="FX19" s="237" t="str">
        <f t="shared" si="90"/>
        <v>-</v>
      </c>
      <c r="FY19" s="236" t="str">
        <f t="shared" si="91"/>
        <v>|</v>
      </c>
      <c r="FZ19" s="237" t="str">
        <f t="shared" si="92"/>
        <v>|</v>
      </c>
      <c r="GA19" s="236" t="str">
        <f t="shared" si="93"/>
        <v>|</v>
      </c>
      <c r="GB19" s="238" t="str">
        <f t="shared" si="94"/>
        <v>|</v>
      </c>
      <c r="GC19" s="244" t="str">
        <f>IFERROR(__xludf.DUMMYFUNCTION("IF(REGEXMATCH(C19, ""S""), ""1"","""")"),"1")</f>
        <v>1</v>
      </c>
      <c r="GD19" s="245" t="str">
        <f>IFERROR(__xludf.DUMMYFUNCTION("IF(REGEXMATCH(C19, ""r""), ""b2"","""")"),"b2")</f>
        <v>b2</v>
      </c>
      <c r="GE19" s="246" t="str">
        <f>IFERROR(__xludf.DUMMYFUNCTION("IF(REGEXMATCH(C19, ""R""), ""2"","""")"),"")</f>
        <v/>
      </c>
      <c r="GF19" s="246" t="str">
        <f>IFERROR(__xludf.DUMMYFUNCTION("IF(REGEXMATCH(C19, ""g""), ""b3"","""")"),"")</f>
        <v/>
      </c>
      <c r="GG19" s="245" t="str">
        <f>IFERROR(__xludf.DUMMYFUNCTION("IF(REGEXMATCH(C19, ""G""), ""3"","""")"),"3")</f>
        <v>3</v>
      </c>
      <c r="GH19" s="245" t="str">
        <f>IFERROR(__xludf.DUMMYFUNCTION("IF(REGEXMATCH(C19, ""m""), ""4"","""")"),"4")</f>
        <v>4</v>
      </c>
      <c r="GI19" s="246" t="str">
        <f>IFERROR(__xludf.DUMMYFUNCTION("IF(REGEXMATCH(C19, ""M""), ""#4"","""")"),"")</f>
        <v/>
      </c>
      <c r="GJ19" s="245" t="str">
        <f>IFERROR(__xludf.DUMMYFUNCTION("IF(REGEXMATCH(C19, ""P""), ""5"","""")"),"5")</f>
        <v>5</v>
      </c>
      <c r="GK19" s="246" t="str">
        <f>IFERROR(__xludf.DUMMYFUNCTION("IF(REGEXMATCH(C19, ""d""), ""b6"","""")"),"")</f>
        <v/>
      </c>
      <c r="GL19" s="245" t="str">
        <f>IFERROR(__xludf.DUMMYFUNCTION("IF(REGEXMATCH(C19, ""D""), ""6"","""")"),"6")</f>
        <v>6</v>
      </c>
      <c r="GM19" s="245" t="str">
        <f>IFERROR(__xludf.DUMMYFUNCTION("IF(REGEXMATCH(C19, ""n""), ""b7"","""")"),"b7")</f>
        <v>b7</v>
      </c>
      <c r="GN19" s="246" t="str">
        <f>IFERROR(__xludf.DUMMYFUNCTION("IF(REGEXMATCH(C19, ""N""), ""7"","""")"),"7")</f>
        <v>7</v>
      </c>
      <c r="GO19" s="249" t="str">
        <f>IFERROR(__xludf.DUMMYFUNCTION("IF(REGEXMATCH(C19, ""S""), ""8"","""")"),"8")</f>
        <v>8</v>
      </c>
      <c r="GP19" s="244" t="str">
        <f>IFERROR(__xludf.DUMMYFUNCTION("IF(REGEXMATCH(C19, ""S""), ""S"","""")"),"S")</f>
        <v>S</v>
      </c>
      <c r="GQ19" s="294" t="str">
        <f>IFERROR(__xludf.DUMMYFUNCTION("IF(REGEXMATCH(C19, ""r""), ""R1"","""")"),"R1")</f>
        <v>R1</v>
      </c>
      <c r="GR19" s="295" t="str">
        <f>IFERROR(__xludf.DUMMYFUNCTION("IF(REGEXMATCH(C19, ""R""), ""R2"","""")"),"")</f>
        <v/>
      </c>
      <c r="GS19" s="295" t="str">
        <f>IFERROR(__xludf.DUMMYFUNCTION("IF(REGEXMATCH(C19, ""g""), ""G2"","""")"),"")</f>
        <v/>
      </c>
      <c r="GT19" s="294" t="str">
        <f>IFERROR(__xludf.DUMMYFUNCTION("IF(REGEXMATCH(C19, ""G""), ""G3"","""")"),"G3")</f>
        <v>G3</v>
      </c>
      <c r="GU19" s="294" t="str">
        <f>IFERROR(__xludf.DUMMYFUNCTION("IF(REGEXMATCH(C19, ""m""), ""M1"","""")"),"M1")</f>
        <v>M1</v>
      </c>
      <c r="GV19" s="295" t="str">
        <f>IFERROR(__xludf.DUMMYFUNCTION("IF(REGEXMATCH(C19, ""M""), ""M2"","""")"),"")</f>
        <v/>
      </c>
      <c r="GW19" s="294" t="str">
        <f>IFERROR(__xludf.DUMMYFUNCTION("IF(REGEXMATCH(C19, ""P""), ""P"","""")"),"P")</f>
        <v>P</v>
      </c>
      <c r="GX19" s="295" t="str">
        <f>IFERROR(__xludf.DUMMYFUNCTION("IF(REGEXMATCH(C19, ""d""), ""D1"","""")"),"")</f>
        <v/>
      </c>
      <c r="GY19" s="294" t="str">
        <f>IFERROR(__xludf.DUMMYFUNCTION("IF(REGEXMATCH(C19, ""D""), ""D2"","""")"),"D2")</f>
        <v>D2</v>
      </c>
      <c r="GZ19" s="294" t="str">
        <f>IFERROR(__xludf.DUMMYFUNCTION("IF(REGEXMATCH(C19, ""n""), ""N2"","""")"),"N2")</f>
        <v>N2</v>
      </c>
      <c r="HA19" s="295" t="str">
        <f>IFERROR(__xludf.DUMMYFUNCTION("IF(REGEXMATCH(C19, ""N""), ""N3"","""")"),"N3")</f>
        <v>N3</v>
      </c>
      <c r="HB19" s="249" t="str">
        <f>IFERROR(__xludf.DUMMYFUNCTION("IF(REGEXMATCH(C19, ""S""), ""S"","""")"),"S")</f>
        <v>S</v>
      </c>
      <c r="HC19" s="331" t="str">
        <f t="shared" si="95"/>
        <v>S</v>
      </c>
      <c r="HD19" s="332" t="str">
        <f t="shared" si="96"/>
        <v>r</v>
      </c>
      <c r="HE19" s="332" t="str">
        <f t="shared" si="97"/>
        <v>R</v>
      </c>
      <c r="HF19" s="332" t="str">
        <f t="shared" si="98"/>
        <v>g</v>
      </c>
      <c r="HG19" s="332" t="str">
        <f t="shared" si="99"/>
        <v/>
      </c>
      <c r="HH19" s="332" t="str">
        <f t="shared" si="100"/>
        <v>m</v>
      </c>
      <c r="HI19" s="332" t="str">
        <f t="shared" si="101"/>
        <v/>
      </c>
      <c r="HJ19" s="332" t="str">
        <f t="shared" si="102"/>
        <v>P</v>
      </c>
      <c r="HK19" s="332" t="str">
        <f t="shared" si="103"/>
        <v>d</v>
      </c>
      <c r="HL19" s="332" t="str">
        <f t="shared" si="104"/>
        <v/>
      </c>
      <c r="HM19" s="332" t="str">
        <f t="shared" si="105"/>
        <v/>
      </c>
      <c r="HN19" s="332" t="str">
        <f t="shared" si="106"/>
        <v>N</v>
      </c>
      <c r="HO19" s="343" t="str">
        <f t="shared" si="107"/>
        <v>S</v>
      </c>
      <c r="HP19" s="331" t="str">
        <f t="shared" si="108"/>
        <v>o</v>
      </c>
      <c r="HQ19" s="332" t="str">
        <f t="shared" si="109"/>
        <v>o</v>
      </c>
      <c r="HR19" s="332" t="str">
        <f t="shared" si="110"/>
        <v>•</v>
      </c>
      <c r="HS19" s="332" t="str">
        <f t="shared" si="111"/>
        <v>•</v>
      </c>
      <c r="HT19" s="332" t="str">
        <f t="shared" si="112"/>
        <v>o</v>
      </c>
      <c r="HU19" s="332" t="str">
        <f t="shared" si="113"/>
        <v>o</v>
      </c>
      <c r="HV19" s="332" t="str">
        <f t="shared" si="114"/>
        <v>•</v>
      </c>
      <c r="HW19" s="332" t="str">
        <f t="shared" si="115"/>
        <v>o</v>
      </c>
      <c r="HX19" s="332" t="str">
        <f t="shared" si="116"/>
        <v>•</v>
      </c>
      <c r="HY19" s="332" t="str">
        <f t="shared" si="117"/>
        <v>o</v>
      </c>
      <c r="HZ19" s="332" t="str">
        <f t="shared" si="118"/>
        <v>o</v>
      </c>
      <c r="IA19" s="332" t="str">
        <f t="shared" si="119"/>
        <v>o</v>
      </c>
      <c r="IB19" s="338" t="str">
        <f t="shared" si="120"/>
        <v>o</v>
      </c>
      <c r="IC19" s="331" t="str">
        <f t="shared" si="121"/>
        <v>•</v>
      </c>
      <c r="ID19" s="332" t="str">
        <f t="shared" si="122"/>
        <v>•</v>
      </c>
      <c r="IE19" s="332" t="str">
        <f t="shared" si="123"/>
        <v>o</v>
      </c>
      <c r="IF19" s="332" t="str">
        <f t="shared" si="124"/>
        <v>o</v>
      </c>
      <c r="IG19" s="332" t="str">
        <f t="shared" si="125"/>
        <v>•</v>
      </c>
      <c r="IH19" s="332" t="str">
        <f t="shared" si="126"/>
        <v>•</v>
      </c>
      <c r="II19" s="332" t="str">
        <f t="shared" si="127"/>
        <v>o</v>
      </c>
      <c r="IJ19" s="332" t="str">
        <f t="shared" si="128"/>
        <v>•</v>
      </c>
      <c r="IK19" s="332" t="str">
        <f t="shared" si="129"/>
        <v>o</v>
      </c>
      <c r="IL19" s="332" t="str">
        <f t="shared" si="130"/>
        <v>•</v>
      </c>
      <c r="IM19" s="332" t="str">
        <f t="shared" si="131"/>
        <v>•</v>
      </c>
      <c r="IN19" s="332" t="str">
        <f t="shared" si="132"/>
        <v>•</v>
      </c>
      <c r="IO19" s="338" t="str">
        <f t="shared" si="133"/>
        <v>•</v>
      </c>
      <c r="IP19" s="346" t="b">
        <f t="shared" si="134"/>
        <v>0</v>
      </c>
      <c r="IQ19" s="347" t="b">
        <f t="shared" si="135"/>
        <v>1</v>
      </c>
      <c r="IR19" s="347" t="b">
        <f t="shared" si="136"/>
        <v>0</v>
      </c>
      <c r="IS19" s="347" t="b">
        <f t="shared" si="137"/>
        <v>0</v>
      </c>
      <c r="IT19" s="347" t="b">
        <f t="shared" si="138"/>
        <v>0</v>
      </c>
      <c r="IU19" s="347" t="b">
        <f t="shared" si="139"/>
        <v>0</v>
      </c>
      <c r="IV19" s="347" t="b">
        <f t="shared" si="140"/>
        <v>0</v>
      </c>
      <c r="IW19" s="347" t="b">
        <f t="shared" si="141"/>
        <v>1</v>
      </c>
      <c r="IX19" s="347" t="b">
        <f t="shared" si="142"/>
        <v>0</v>
      </c>
      <c r="IY19" s="347" t="b">
        <f t="shared" si="143"/>
        <v>0</v>
      </c>
      <c r="IZ19" s="347" t="b">
        <f t="shared" si="144"/>
        <v>0</v>
      </c>
      <c r="JA19" s="347" t="b">
        <f t="shared" si="145"/>
        <v>1</v>
      </c>
      <c r="JB19" s="353" t="b">
        <f t="shared" si="146"/>
        <v>0</v>
      </c>
      <c r="JC19" s="354" t="str">
        <f t="shared" si="147"/>
        <v/>
      </c>
      <c r="JD19" s="355" t="str">
        <f t="shared" si="148"/>
        <v>re, </v>
      </c>
      <c r="JE19" s="355" t="str">
        <f t="shared" si="149"/>
        <v/>
      </c>
      <c r="JF19" s="355" t="str">
        <f t="shared" si="150"/>
        <v/>
      </c>
      <c r="JG19" s="355" t="str">
        <f t="shared" si="151"/>
        <v/>
      </c>
      <c r="JH19" s="355" t="str">
        <f t="shared" si="152"/>
        <v/>
      </c>
      <c r="JI19" s="355" t="str">
        <f t="shared" si="153"/>
        <v/>
      </c>
      <c r="JJ19" s="355" t="str">
        <f t="shared" si="154"/>
        <v>Pa, </v>
      </c>
      <c r="JK19" s="355" t="str">
        <f t="shared" si="155"/>
        <v/>
      </c>
      <c r="JL19" s="355" t="str">
        <f t="shared" si="156"/>
        <v/>
      </c>
      <c r="JM19" s="355" t="str">
        <f t="shared" si="157"/>
        <v/>
      </c>
      <c r="JN19" s="355" t="str">
        <f t="shared" si="158"/>
        <v>Ni, </v>
      </c>
      <c r="JO19" s="359" t="str">
        <f t="shared" si="159"/>
        <v/>
      </c>
      <c r="JP19" s="346" t="b">
        <f t="shared" si="160"/>
        <v>0</v>
      </c>
      <c r="JQ19" s="347" t="b">
        <f t="shared" si="161"/>
        <v>1</v>
      </c>
      <c r="JR19" s="347" t="b">
        <f t="shared" si="162"/>
        <v>0</v>
      </c>
      <c r="JS19" s="347" t="b">
        <f t="shared" si="163"/>
        <v>0</v>
      </c>
      <c r="JT19" s="347" t="b">
        <f t="shared" si="164"/>
        <v>0</v>
      </c>
      <c r="JU19" s="347" t="b">
        <f t="shared" si="165"/>
        <v>0</v>
      </c>
      <c r="JV19" s="347" t="b">
        <f t="shared" si="166"/>
        <v>0</v>
      </c>
      <c r="JW19" s="347" t="b">
        <f t="shared" si="167"/>
        <v>0</v>
      </c>
      <c r="JX19" s="347" t="b">
        <f t="shared" si="168"/>
        <v>0</v>
      </c>
      <c r="JY19" s="347" t="b">
        <f t="shared" si="169"/>
        <v>0</v>
      </c>
      <c r="JZ19" s="347" t="b">
        <f t="shared" si="170"/>
        <v>0</v>
      </c>
      <c r="KA19" s="347" t="b">
        <f t="shared" si="171"/>
        <v>0</v>
      </c>
      <c r="KB19" s="365" t="b">
        <f t="shared" si="172"/>
        <v>0</v>
      </c>
      <c r="KC19" s="354" t="str">
        <f t="shared" si="173"/>
        <v/>
      </c>
      <c r="KD19" s="355" t="str">
        <f t="shared" si="174"/>
        <v>re, </v>
      </c>
      <c r="KE19" s="355" t="str">
        <f t="shared" si="175"/>
        <v/>
      </c>
      <c r="KF19" s="355" t="str">
        <f t="shared" si="176"/>
        <v/>
      </c>
      <c r="KG19" s="355" t="str">
        <f t="shared" si="177"/>
        <v/>
      </c>
      <c r="KH19" s="355" t="str">
        <f t="shared" si="178"/>
        <v/>
      </c>
      <c r="KI19" s="355" t="str">
        <f t="shared" si="179"/>
        <v/>
      </c>
      <c r="KJ19" s="355" t="str">
        <f t="shared" si="180"/>
        <v/>
      </c>
      <c r="KK19" s="355" t="str">
        <f t="shared" si="181"/>
        <v/>
      </c>
      <c r="KL19" s="355" t="str">
        <f t="shared" si="182"/>
        <v/>
      </c>
      <c r="KM19" s="355" t="str">
        <f t="shared" si="183"/>
        <v/>
      </c>
      <c r="KN19" s="355" t="str">
        <f t="shared" si="184"/>
        <v/>
      </c>
      <c r="KO19" s="359"/>
      <c r="KP19" s="378"/>
      <c r="KQ19" s="379" t="s">
        <v>9</v>
      </c>
      <c r="KR19" s="380" t="s">
        <v>9</v>
      </c>
      <c r="KS19" s="381" t="s">
        <v>9</v>
      </c>
      <c r="KT19" s="382">
        <f t="shared" si="186"/>
        <v>0</v>
      </c>
      <c r="KU19" s="383">
        <f t="shared" si="187"/>
        <v>0</v>
      </c>
      <c r="KV19" s="381" t="str">
        <f t="shared" si="205"/>
        <v>S</v>
      </c>
      <c r="KW19" s="382">
        <f t="shared" si="189"/>
        <v>0</v>
      </c>
      <c r="KX19" s="384">
        <f t="shared" si="190"/>
        <v>0</v>
      </c>
      <c r="KY19" s="382">
        <f t="shared" ref="KY19:KZ19" si="228">KW19-KT19</f>
        <v>0</v>
      </c>
      <c r="KZ19" s="369">
        <f t="shared" si="228"/>
        <v>0</v>
      </c>
      <c r="LA19" s="385" t="str">
        <f t="shared" si="192"/>
        <v>✔</v>
      </c>
      <c r="LB19" s="340" t="str">
        <f>IFERROR(__xludf.DUMMYFUNCTION("JOIN("""",ArrayFormula(MID(KS19,LEN(KS19)-SEQUENCE(1,LEN(KS19))+1,1)))"),"S")</f>
        <v>S</v>
      </c>
      <c r="LC19" s="373" t="str">
        <f>IFERROR(__xludf.DUMMYFUNCTION("JOIN("""",ArrayFormula(MID(KV19,LEN(KV19)-SEQUENCE(1,LEN(KV19))+1,1)))"),"S")</f>
        <v>S</v>
      </c>
      <c r="LD19" s="373" t="str">
        <f t="shared" si="193"/>
        <v>S</v>
      </c>
      <c r="LE19" s="339" t="str">
        <f t="shared" si="194"/>
        <v>S</v>
      </c>
      <c r="LF19" s="386" t="str">
        <f>IFERROR(__xludf.DUMMYFUNCTION("SUBSTITUTE(SUBSTITUTE(CONCATENATE(JOIN("""",LH19:LT19)),""1"",""""),""2"","""")"),"SS")</f>
        <v>SS</v>
      </c>
      <c r="LG19" s="369" t="str">
        <f t="shared" si="195"/>
        <v>-</v>
      </c>
      <c r="LH19" s="387" t="str">
        <f>IFERROR(__xludf.DUMMYFUNCTION("IF(REGEXMATCH(LD19, ""S""), ""S"",IF(REGEXMATCH(LE19, ""S""), ""S"",""""))"),"S")</f>
        <v>S</v>
      </c>
      <c r="LI19" s="299" t="str">
        <f>IFERROR(__xludf.DUMMYFUNCTION("IF(REGEXMATCH(LD19, ""r""), ""r1"",IF(REGEXMATCH(LE19, ""r""), ""r2"",""""))"),"")</f>
        <v/>
      </c>
      <c r="LJ19" s="299" t="str">
        <f>IFERROR(__xludf.DUMMYFUNCTION("IF(REGEXMATCH(LD19, ""R""), ""R1"",IF(REGEXMATCH(LE19, ""R""), ""R2"",""""))"),"")</f>
        <v/>
      </c>
      <c r="LK19" s="299" t="str">
        <f>IFERROR(__xludf.DUMMYFUNCTION("IF(REGEXMATCH(LD19, ""g""), ""g1"",IF(REGEXMATCH(LE19, ""g""), ""g2"",""""))"),"")</f>
        <v/>
      </c>
      <c r="LL19" s="299" t="str">
        <f>IFERROR(__xludf.DUMMYFUNCTION("IF(REGEXMATCH(LD19, ""G""), ""G1"",IF(REGEXMATCH(LE19, ""G""), ""G2"",""""))"),"")</f>
        <v/>
      </c>
      <c r="LM19" s="299" t="str">
        <f>IFERROR(__xludf.DUMMYFUNCTION("IF(REGEXMATCH(LD19, ""m""), ""m1"",IF(REGEXMATCH(LE19, ""m""), ""m2"",""""))"),"")</f>
        <v/>
      </c>
      <c r="LN19" s="299" t="str">
        <f>IFERROR(__xludf.DUMMYFUNCTION("IF(REGEXMATCH(LD19, ""M""), ""M1"",IF(REGEXMATCH(LE19, ""M""), ""M2"",""""))"),"")</f>
        <v/>
      </c>
      <c r="LO19" s="299" t="str">
        <f>IFERROR(__xludf.DUMMYFUNCTION("IF(REGEXMATCH(LD19, ""P""), ""P1"",IF(REGEXMATCH(LE19, ""P""), ""P2"",""""))"),"")</f>
        <v/>
      </c>
      <c r="LP19" s="299" t="str">
        <f>IFERROR(__xludf.DUMMYFUNCTION("IF(REGEXMATCH(LD19, ""d""), ""d1"",IF(REGEXMATCH(LE19, ""d""), ""d2"",""""))"),"")</f>
        <v/>
      </c>
      <c r="LQ19" s="299" t="str">
        <f>IFERROR(__xludf.DUMMYFUNCTION("IF(REGEXMATCH(LD19, ""D""), ""D1"",IF(REGEXMATCH(LE19, ""D""), ""D2"",""""))"),"")</f>
        <v/>
      </c>
      <c r="LR19" s="299" t="str">
        <f>IFERROR(__xludf.DUMMYFUNCTION("IF(REGEXMATCH(LD19, ""n""), ""n1"",IF(REGEXMATCH(LE19, ""n""), ""n2"",""""))"),"")</f>
        <v/>
      </c>
      <c r="LS19" s="299" t="str">
        <f>IFERROR(__xludf.DUMMYFUNCTION("IF(REGEXMATCH(LD19, ""N""), ""N1"",IF(REGEXMATCH(LE19, ""N""), ""N2"",""""))"),"")</f>
        <v/>
      </c>
      <c r="LT19" s="388" t="str">
        <f>IFERROR(__xludf.DUMMYFUNCTION("IF(REGEXMATCH(LD19, ""S""), ""S"",IF(REGEXMATCH(LE19, ""S""), ""S"",""""))"),"S")</f>
        <v>S</v>
      </c>
      <c r="LU19" s="389">
        <f t="shared" si="196"/>
        <v>1</v>
      </c>
      <c r="LV19" s="378"/>
      <c r="LW19" s="369"/>
      <c r="LX19" s="369"/>
    </row>
    <row r="20" ht="20.25" customHeight="1">
      <c r="A20" s="298" t="s">
        <v>547</v>
      </c>
      <c r="B20" s="222" t="s">
        <v>362</v>
      </c>
      <c r="C20" s="233" t="str">
        <f t="shared" si="7"/>
        <v>SRgMPDNS</v>
      </c>
      <c r="D20" s="234" t="str">
        <f>IFERROR(__xludf.DUMMYFUNCTION("IF(REGEXMATCH(C20, ""S""), ""S"","""")"),"S")</f>
        <v>S</v>
      </c>
      <c r="E20" s="236" t="str">
        <f>IFERROR(__xludf.DUMMYFUNCTION("IF(REGEXMATCH(C20, ""r""), ""r"","""")"),"")</f>
        <v/>
      </c>
      <c r="F20" s="237" t="str">
        <f>IFERROR(__xludf.DUMMYFUNCTION("IF(REGEXMATCH(C20, ""R""), ""R"","""")"),"R")</f>
        <v>R</v>
      </c>
      <c r="G20" s="237" t="str">
        <f>IFERROR(__xludf.DUMMYFUNCTION("IF(REGEXMATCH(C20, ""g""), ""g"","""")"),"g")</f>
        <v>g</v>
      </c>
      <c r="H20" s="236" t="str">
        <f>IFERROR(__xludf.DUMMYFUNCTION("IF(REGEXMATCH(C20, ""G""), ""G"","""")"),"")</f>
        <v/>
      </c>
      <c r="I20" s="236" t="str">
        <f>IFERROR(__xludf.DUMMYFUNCTION("IF(REGEXMATCH(C20, ""m""), ""m"","""")"),"")</f>
        <v/>
      </c>
      <c r="J20" s="237" t="str">
        <f>IFERROR(__xludf.DUMMYFUNCTION("IF(REGEXMATCH(C20, ""M""), ""M"","""")"),"M")</f>
        <v>M</v>
      </c>
      <c r="K20" s="236" t="str">
        <f>IFERROR(__xludf.DUMMYFUNCTION("IF(REGEXMATCH(C20, ""P""), ""P"","""")"),"P")</f>
        <v>P</v>
      </c>
      <c r="L20" s="237" t="str">
        <f>IFERROR(__xludf.DUMMYFUNCTION("IF(REGEXMATCH(C20, ""d""), ""d"","""")"),"")</f>
        <v/>
      </c>
      <c r="M20" s="236" t="str">
        <f>IFERROR(__xludf.DUMMYFUNCTION("IF(REGEXMATCH(C20, ""D""), ""D"","""")"),"D")</f>
        <v>D</v>
      </c>
      <c r="N20" s="236" t="str">
        <f>IFERROR(__xludf.DUMMYFUNCTION("IF(REGEXMATCH(C20, ""n""), ""n"","""")"),"")</f>
        <v/>
      </c>
      <c r="O20" s="237" t="str">
        <f>IFERROR(__xludf.DUMMYFUNCTION("IF(REGEXMATCH(C20, ""N""), ""N"","""")"),"N")</f>
        <v>N</v>
      </c>
      <c r="P20" s="238" t="str">
        <f>IFERROR(__xludf.DUMMYFUNCTION("IF(REGEXMATCH(C20, ""S""), ""S"","""")"),"S")</f>
        <v>S</v>
      </c>
      <c r="Q20" s="239" t="str">
        <f>IFERROR(__xludf.DUMMYFUNCTION("SUBSTITUTE(CONCATENATE(JOIN(""-"",D20:J20)),""-"","""")"),"SRgM")</f>
        <v>SRgM</v>
      </c>
      <c r="R20" s="229" t="str">
        <f>IFERROR(__xludf.DUMMYFUNCTION("SUBSTITUTE(CONCATENATE(JOIN(""-"",K20:P20)),""-"","""")"),"PDNS")</f>
        <v>PDNS</v>
      </c>
      <c r="S20" s="282" t="str">
        <f t="shared" si="8"/>
        <v>S-R-G-M</v>
      </c>
      <c r="T20" s="282" t="str">
        <f t="shared" si="9"/>
        <v>P-D-N-S</v>
      </c>
      <c r="U20" s="237" t="str">
        <f>IFERROR(__xludf.DUMMYFUNCTION("SUBSTITUTE(JOIN(""-"",S20,T20),""--"",""-"")"),"S-R-G-M-P-D-N-S")</f>
        <v>S-R-G-M-P-D-N-S</v>
      </c>
      <c r="V20" s="309" t="str">
        <f t="shared" si="10"/>
        <v>RgMDN</v>
      </c>
      <c r="W20" s="244" t="str">
        <f>IFERROR(__xludf.DUMMYFUNCTION("IF(REGEXMATCH(C20, ""S""), ""0"","""")"),"0")</f>
        <v>0</v>
      </c>
      <c r="X20" s="245" t="str">
        <f>IFERROR(__xludf.DUMMYFUNCTION("IF(REGEXMATCH(C20, ""r""), ""1"","""")"),"")</f>
        <v/>
      </c>
      <c r="Y20" s="246" t="str">
        <f>IFERROR(__xludf.DUMMYFUNCTION("IF(REGEXMATCH(C20, ""R""), ""2"","""")"),"2")</f>
        <v>2</v>
      </c>
      <c r="Z20" s="246" t="str">
        <f>IFERROR(__xludf.DUMMYFUNCTION("IF(REGEXMATCH(C20, ""g""), ""3"","""")"),"3")</f>
        <v>3</v>
      </c>
      <c r="AA20" s="245" t="str">
        <f>IFERROR(__xludf.DUMMYFUNCTION("IF(REGEXMATCH(C20, ""G""), ""4"","""")"),"")</f>
        <v/>
      </c>
      <c r="AB20" s="245" t="str">
        <f>IFERROR(__xludf.DUMMYFUNCTION("IF(REGEXMATCH(C20, ""m""), ""5"","""")"),"")</f>
        <v/>
      </c>
      <c r="AC20" s="246" t="str">
        <f>IFERROR(__xludf.DUMMYFUNCTION("IF(REGEXMATCH(C20, ""M""), ""6"","""")"),"6")</f>
        <v>6</v>
      </c>
      <c r="AD20" s="245" t="str">
        <f>IFERROR(__xludf.DUMMYFUNCTION("IF(REGEXMATCH(C20, ""P""), ""7"","""")"),"7")</f>
        <v>7</v>
      </c>
      <c r="AE20" s="246" t="str">
        <f>IFERROR(__xludf.DUMMYFUNCTION("IF(REGEXMATCH(C20, ""d""), ""8"","""")"),"")</f>
        <v/>
      </c>
      <c r="AF20" s="245" t="str">
        <f>IFERROR(__xludf.DUMMYFUNCTION("IF(REGEXMATCH(C20, ""D""), ""9"","""")"),"9")</f>
        <v>9</v>
      </c>
      <c r="AG20" s="245" t="str">
        <f>IFERROR(__xludf.DUMMYFUNCTION("IF(REGEXMATCH(C20, ""n""), ""10"","""")"),"")</f>
        <v/>
      </c>
      <c r="AH20" s="246" t="str">
        <f>IFERROR(__xludf.DUMMYFUNCTION("IF(REGEXMATCH(C20, ""N""), ""11"","""")"),"11")</f>
        <v>11</v>
      </c>
      <c r="AI20" s="249" t="str">
        <f>IFERROR(__xludf.DUMMYFUNCTION("IF(REGEXMATCH(C20, ""S""), ""0"","""")"),"0")</f>
        <v>0</v>
      </c>
      <c r="AJ20" s="313" t="str">
        <f t="shared" si="11"/>
        <v>T</v>
      </c>
      <c r="AK20" s="313" t="str">
        <f t="shared" si="12"/>
        <v>-</v>
      </c>
      <c r="AL20" s="313" t="str">
        <f t="shared" si="13"/>
        <v>-</v>
      </c>
      <c r="AM20" s="313" t="str">
        <f t="shared" si="14"/>
        <v>T</v>
      </c>
      <c r="AN20" s="313" t="str">
        <f t="shared" si="15"/>
        <v>-</v>
      </c>
      <c r="AO20" s="314" t="str">
        <f t="shared" si="16"/>
        <v>-</v>
      </c>
      <c r="AP20" s="316">
        <f t="shared" si="17"/>
        <v>2</v>
      </c>
      <c r="AQ20" s="319" t="str">
        <f t="shared" si="18"/>
        <v>#REF!</v>
      </c>
      <c r="AR20" s="320">
        <f t="shared" si="19"/>
        <v>0</v>
      </c>
      <c r="AS20" s="250" t="str">
        <f>IFERROR(__xludf.DUMMYFUNCTION("SUBSTITUTE(SUBSTITUTE(CONCATENATE(JOIN("""",FP20:GA20)),""|"",""x""),""-"",""o"")"),"xoxxooxxoxox")</f>
        <v>xoxxooxxoxox</v>
      </c>
      <c r="AT20" s="323" t="str">
        <f>IFERROR(__xludf.DUMMYFUNCTION("JOIN("""",AS20,AS20)"),"xoxxooxxoxoxxoxxooxxoxox")</f>
        <v>xoxxooxxoxoxxoxxooxxoxox</v>
      </c>
      <c r="AU20" s="256" t="str">
        <f>IFERROR(__xludf.DUMMYFUNCTION("JOIN("""",ArrayFormula(MID(AS20,LEN(AS20)-SEQUENCE(1,LEN(AS20))+1,1)))"),"xoxoxxooxxox")</f>
        <v>xoxoxxooxxox</v>
      </c>
      <c r="AV20" s="256" t="str">
        <f>IFERROR(__xludf.DUMMYFUNCTION("LEFT(CONCATENATE(""x"",JOIN("""",ArrayFormula(MID(AS20,LEN(AS20)-SEQUENCE(1,LEN(AS20))+1,1)))),12)"),"xxoxoxxooxxo")</f>
        <v>xxoxoxxooxxo</v>
      </c>
      <c r="AW20" s="327" t="str">
        <f>IFERROR(__xludf.DUMMYFUNCTION("JOIN("""",AU20,AU20)"),"xoxoxxooxxoxxoxoxxooxxox")</f>
        <v>xoxoxxooxxoxxoxoxxooxxox</v>
      </c>
      <c r="AX20" s="239" t="str">
        <f>IFERROR(__xludf.DUMMYFUNCTION("IF(REGEXMATCH(AW20,AS20),""✔"",""-"")"),"-")</f>
        <v>-</v>
      </c>
      <c r="AY20" s="330" t="str">
        <f t="shared" si="20"/>
        <v>-</v>
      </c>
      <c r="AZ20" s="260" t="str">
        <f t="shared" si="21"/>
        <v>#REF!</v>
      </c>
      <c r="BA20" s="333" t="str">
        <f t="shared" si="22"/>
        <v>xoxxoox</v>
      </c>
      <c r="BB20" s="334" t="str">
        <f t="shared" si="23"/>
        <v>xoxoxx</v>
      </c>
      <c r="BC20" s="335" t="str">
        <f t="shared" si="24"/>
        <v>-</v>
      </c>
      <c r="BD20" s="336" t="str">
        <f t="shared" si="25"/>
        <v>Anjani Kalyan: 'xoxxoox' + 'xoxoxx'</v>
      </c>
      <c r="BE20" s="337">
        <f>IFERROR(__xludf.DUMMYFUNCTION("COUNTUNIQUE(FILTER(AT:AT,REGEXMATCH(AT:AT,AS20)))-1"),2.0)</f>
        <v>2</v>
      </c>
      <c r="BF20" s="261" t="str">
        <f>IFERROR(__xludf.DUMMYFUNCTION("IF(BI20=0,""(n/a)"",IF(BJ20=2,""(PAIR)"",IF(REGEXMATCH(AT20,""xoxoxxoxoxox""),""Bilawal"",IF(REGEXMATCH(AT20,""xoxoxooxoxoo""),""Bhupali"",IF(REGEXMATCH(AT20,""xoxoxxoxxoxo""),""Charukeshi"",IF(REGEXMATCH(AT20,""xoxoooxxoxxo""),""Kameshwari"",IF(REGEXMATC"&amp;"H(AT20,""xoxoxooxoxox""),""Shankara"",IF(REGEXMATCH(AT20,""xxooxoxxxoox""),""Basant"",IF(REGEXMATCH(AT20,""xoxoxxxxoxox""),""Bihag"",IF(REGEXMATCH(AT20,""xoxxxxoxoxxx""),""Pilu"",IF(REGEXMATCH(AT20,""xoxxoxoxxoox""),""Kirwani"",IF(REGEXMATCH(AT20,""xoxxox"&amp;"oxoxxx""),""Mk.Malhar"",IF(REGEXMATCH(AT20,""xxooxxoxxoox""),""Bhairav"",IF(REGEXMATCH(AT20,""xxoxooxxxoox""),""Todi"",IF(REGEXMATCH(AT20,""xxooxoxooxox""),""Marwa"",IF(REGEXMATCH(AT20,""xxoooxoxxooo""),""Gunkali"",IF(REGEXMATCH(AT20,""xoxoxxoxxoox""),""N"&amp;"at Bhairav"",IF(REGEXMATCH(AT20,""xoxxoooxoxoo""),""Shivranjani"",IF(REGEXMATCH(AT20,""xooxxxoxooxo""),""Jog"",IF(REGEXMATCH(AT20,""xxooxoxoxoox""),""Hemshri"",IF(REGEXMATCH(AT20,""xoooxooxoxxo""),""Kalavati"",IF(REGEXMATCH(AT20,""xxoxoxxoxoox""),""Kedar"&amp;""",IF(REGEXMATCH(AT20,""xoxxxxoxooxx""),""Gara"",IF(REGEXMATCH(AT20,""xooxoxooxoox""),""Chandrakauns"",IF(REGEXMATCH(AT20,""xoxxxxoxxxox""),""Mand"",IF(REGEXMATCH(AT20,""xoxxxxoxoxox""),""Hanskinkini"",IF(REGEXMATCH(AT20,""xxooxxoxooxo""),""Lilavati"",IF("&amp;"REGEXMATCH(AT20,""xooxoxoooxox""),""Rajeshwari"",IF(REGEXMATCH(AT20,""xoooxxoxoxxx""),""Khokar"",IF(REGEXMATCH(AT20,""xxooxoxxxxox""),""Maligoura"",""-""))))))))))))))))))))))))))))))"),"Nat Bhairav")</f>
        <v>Nat Bhairav</v>
      </c>
      <c r="BG20" s="239" t="str">
        <f t="shared" si="26"/>
        <v>#REF!</v>
      </c>
      <c r="BH20" s="239">
        <f>IFERROR(__xludf.DUMMYFUNCTION("COUNTUNIQUE(FE20:FO20)-1"),6.0)</f>
        <v>6</v>
      </c>
      <c r="BI20" s="239">
        <f>IFERROR(__xludf.DUMMYFUNCTION("COUNTUNIQUE(FILTER(AT:AT,REGEXMATCH(AT:AT,AS20)))-1"),2.0)</f>
        <v>2</v>
      </c>
      <c r="BJ20" s="239">
        <f>IFERROR(__xludf.DUMMYFUNCTION("COUNTA(FILTER(AT:AT,REGEXMATCH(AT:AT,AS20)))"),4.0)</f>
        <v>4</v>
      </c>
      <c r="BK20" s="341">
        <f>IFERROR(__xludf.DUMMYFUNCTION("COUNTA(FILTER(AT:AT,REGEXMATCH(AT:AT,AS20)))-AR20"),4.0)</f>
        <v>4</v>
      </c>
      <c r="BL20" s="276" t="str">
        <f>IFERROR(__xludf.DUMMYFUNCTION("IF(AS20=""oooooooooooo"",""-"",IF(REGEXMATCH(AT20,""xx""), ""Hemi."", ""Anhemi.""))"),"Hemi.")</f>
        <v>Hemi.</v>
      </c>
      <c r="BM20" s="282" t="str">
        <f>IFERROR(__xludf.DUMMYFUNCTION("IF(AS20=""oooooooooooo"",""-"",IF(REGEXMATCH(AT20,""xxx""), ""Cohem."", ""-""))"),"-")</f>
        <v>-</v>
      </c>
      <c r="BN20" s="282" t="str">
        <f>IFERROR(__xludf.DUMMYFUNCTION("IF(AS20=""oooooooooooo"",""-"",IF(REGEXMATCH(AT20,""xxxx""), ""Co-Co."", ""-""))"),"-")</f>
        <v>-</v>
      </c>
      <c r="BO20" s="342" t="str">
        <f>IFERROR(__xludf.DUMMYFUNCTION("IF(AS20=""oooooooooooo"",""-"",IF(REGEXMATCH(AT20,""xxxxx""), ""CCC."", ""-""))"),"-")</f>
        <v>-</v>
      </c>
      <c r="BP20" s="344" t="str">
        <f t="shared" si="27"/>
        <v>-</v>
      </c>
      <c r="BQ20" s="282" t="str">
        <f>IFERROR(__xludf.DUMMYFUNCTION("IF(REGEXMATCH(JOIN(""-"",EU20:FD20),""TRUE""),""✔"",""-"")"),"-")</f>
        <v>-</v>
      </c>
      <c r="BR20" s="225">
        <f t="shared" si="28"/>
        <v>0</v>
      </c>
      <c r="BS20" s="345" t="str">
        <f>IFERROR(__xludf.DUMMYFUNCTION("SUBSTITUTE(SUBSTITUTE(SUBSTITUTE(SUBSTITUTE(CONCATENATE(JOIN(""-"",GC20:GO20)),""--"",""-""),""--"",""-""),""--"",""-""),""--"",""-"")"),"1-2-b3-#4-5-6-7-8")</f>
        <v>1-2-b3-#4-5-6-7-8</v>
      </c>
      <c r="BT20" s="299" t="str">
        <f>IFERROR(__xludf.DUMMYFUNCTION("SUBSTITUTE(SUBSTITUTE(SUBSTITUTE(SUBSTITUTE(CONCATENATE(JOIN(""-"",GP20:HB20)),""--"",""-""),""--"",""-""),""--"",""-""),""--"",""-"")"),"S-R2-G2-M2-P-D2-N3-S")</f>
        <v>S-R2-G2-M2-P-D2-N3-S</v>
      </c>
      <c r="BU20" s="348" t="str">
        <f t="shared" si="29"/>
        <v>C-D-Eb-F#-G-A-B-C</v>
      </c>
      <c r="BV20" s="349" t="str">
        <f t="shared" si="30"/>
        <v>SrGmdnS</v>
      </c>
      <c r="BW20" s="350">
        <f t="shared" si="31"/>
        <v>0</v>
      </c>
      <c r="BX20" s="351">
        <f t="shared" si="32"/>
        <v>2</v>
      </c>
      <c r="BY20" s="392"/>
      <c r="BZ20" s="309" t="str">
        <f>IFERROR(__xludf.DUMMYFUNCTION("IF(REGEXMATCH(C20, ""S""), ""x"",""x"")"),"x")</f>
        <v>x</v>
      </c>
      <c r="CA20" s="245" t="str">
        <f>IFERROR(__xludf.DUMMYFUNCTION("IF(REGEXMATCH(C20, ""r""), ""o"",""x"")"),"x")</f>
        <v>x</v>
      </c>
      <c r="CB20" s="246" t="str">
        <f>IFERROR(__xludf.DUMMYFUNCTION("IF(REGEXMATCH(C20, ""R""), ""o"",""x"")"),"o")</f>
        <v>o</v>
      </c>
      <c r="CC20" s="246" t="str">
        <f>IFERROR(__xludf.DUMMYFUNCTION("IF(REGEXMATCH(C20, ""g""), ""o"",""x"")"),"o")</f>
        <v>o</v>
      </c>
      <c r="CD20" s="245" t="str">
        <f>IFERROR(__xludf.DUMMYFUNCTION("IF(REGEXMATCH(C20, ""G""), ""o"",""x"")"),"x")</f>
        <v>x</v>
      </c>
      <c r="CE20" s="245" t="str">
        <f>IFERROR(__xludf.DUMMYFUNCTION("IF(REGEXMATCH(C20, ""m""), ""o"",""x"")"),"x")</f>
        <v>x</v>
      </c>
      <c r="CF20" s="246" t="str">
        <f>IFERROR(__xludf.DUMMYFUNCTION("IF(REGEXMATCH(C20, ""M""), ""o"",""x"")"),"o")</f>
        <v>o</v>
      </c>
      <c r="CG20" s="245" t="str">
        <f>IFERROR(__xludf.DUMMYFUNCTION("IF(REGEXMATCH(C20, ""P""), ""o"",""x"")"),"o")</f>
        <v>o</v>
      </c>
      <c r="CH20" s="246" t="str">
        <f>IFERROR(__xludf.DUMMYFUNCTION("IF(REGEXMATCH(C20, ""d""), ""o"",""x"")"),"x")</f>
        <v>x</v>
      </c>
      <c r="CI20" s="245" t="str">
        <f>IFERROR(__xludf.DUMMYFUNCTION("IF(REGEXMATCH(C20, ""D""), ""o"",""x"")"),"o")</f>
        <v>o</v>
      </c>
      <c r="CJ20" s="245" t="str">
        <f>IFERROR(__xludf.DUMMYFUNCTION("IF(REGEXMATCH(C20, ""n""), ""o"",""x"")"),"x")</f>
        <v>x</v>
      </c>
      <c r="CK20" s="245" t="str">
        <f>IFERROR(__xludf.DUMMYFUNCTION("IF(REGEXMATCH(C20, ""N""), ""o"",""x"")"),"o")</f>
        <v>o</v>
      </c>
      <c r="CL20" s="356" t="str">
        <f>IFERROR(__xludf.DUMMYFUNCTION("IF(REGEXMATCH(C20, ""S""), ""x"",""x"")"),"x")</f>
        <v>x</v>
      </c>
      <c r="CM20" s="357" t="str">
        <f t="shared" si="33"/>
        <v>xxooxxooxoxo</v>
      </c>
      <c r="CN20" s="358">
        <f t="shared" si="34"/>
        <v>0</v>
      </c>
      <c r="CO20" s="246" t="str">
        <f>IFERROR(__xludf.DUMMYFUNCTION("IF(REGEXMATCH($C20, ""S""), ""S"",""S"")"),"S")</f>
        <v>S</v>
      </c>
      <c r="CP20" s="246" t="str">
        <f>IFERROR(__xludf.DUMMYFUNCTION("IF(REGEXMATCH($C20, ""r""), """",""r"")"),"r")</f>
        <v>r</v>
      </c>
      <c r="CQ20" s="246" t="str">
        <f>IFERROR(__xludf.DUMMYFUNCTION("IF(REGEXMATCH($C20, ""R""), """",""R"")"),"")</f>
        <v/>
      </c>
      <c r="CR20" s="246" t="str">
        <f>IFERROR(__xludf.DUMMYFUNCTION("IF(REGEXMATCH($C20, ""g""), """",""g"")"),"")</f>
        <v/>
      </c>
      <c r="CS20" s="246" t="str">
        <f>IFERROR(__xludf.DUMMYFUNCTION("IF(REGEXMATCH($C20, ""G""), """",""G"")"),"G")</f>
        <v>G</v>
      </c>
      <c r="CT20" s="246" t="str">
        <f>IFERROR(__xludf.DUMMYFUNCTION("IF(REGEXMATCH($C20, ""m""), """",""m"")"),"m")</f>
        <v>m</v>
      </c>
      <c r="CU20" s="246" t="str">
        <f>IFERROR(__xludf.DUMMYFUNCTION("IF(REGEXMATCH($C20, ""M""), """",""M"")"),"")</f>
        <v/>
      </c>
      <c r="CV20" s="246" t="str">
        <f>IFERROR(__xludf.DUMMYFUNCTION("IF(REGEXMATCH($C20, ""P""), """",""P"")"),"")</f>
        <v/>
      </c>
      <c r="CW20" s="246" t="str">
        <f>IFERROR(__xludf.DUMMYFUNCTION("IF(REGEXMATCH($C20, ""d""), """",""d"")"),"d")</f>
        <v>d</v>
      </c>
      <c r="CX20" s="246" t="str">
        <f>IFERROR(__xludf.DUMMYFUNCTION("IF(REGEXMATCH($C20, ""D""), """",""D"")"),"")</f>
        <v/>
      </c>
      <c r="CY20" s="246" t="str">
        <f>IFERROR(__xludf.DUMMYFUNCTION("IF(REGEXMATCH($C20, ""n""), """",""n"")"),"n")</f>
        <v>n</v>
      </c>
      <c r="CZ20" s="246" t="str">
        <f>IFERROR(__xludf.DUMMYFUNCTION("IF(REGEXMATCH($C20, ""N""), """",""N"")"),"")</f>
        <v/>
      </c>
      <c r="DA20" s="246" t="str">
        <f>IFERROR(__xludf.DUMMYFUNCTION("IF(REGEXMATCH($C20, ""S""), ""S"",""S"")"),"S")</f>
        <v>S</v>
      </c>
      <c r="DB20" s="362" t="str">
        <f>IFERROR(__xludf.DUMMYFUNCTION("JOIN("""",CO20:DA20,"""","""")"),"SrGmdnS")</f>
        <v>SrGmdnS</v>
      </c>
      <c r="DC20" s="363"/>
      <c r="DD20" s="301" t="str">
        <f t="shared" si="35"/>
        <v>#REF!</v>
      </c>
      <c r="DE20" s="302" t="str">
        <f t="shared" si="36"/>
        <v>#REF!</v>
      </c>
      <c r="DF20" s="301" t="str">
        <f t="shared" ref="DF20:DG20" si="229">SUBSTITUTE(S20,"-","")</f>
        <v>SRGM</v>
      </c>
      <c r="DG20" s="301" t="str">
        <f t="shared" si="229"/>
        <v>PDNS</v>
      </c>
      <c r="DH20" s="302" t="str">
        <f t="shared" si="38"/>
        <v>Nat Bhairav</v>
      </c>
      <c r="DI20" s="301" t="str">
        <f t="shared" si="39"/>
        <v>Hemi.</v>
      </c>
      <c r="DJ20" s="364" t="str">
        <f t="shared" si="40"/>
        <v>-</v>
      </c>
      <c r="DK20" s="306" t="str">
        <f t="shared" si="41"/>
        <v>-</v>
      </c>
      <c r="DL20" s="366" t="str">
        <f t="shared" si="42"/>
        <v>-</v>
      </c>
      <c r="DM20" s="308" t="str">
        <f t="shared" si="43"/>
        <v>✔</v>
      </c>
      <c r="DN20" s="306" t="str">
        <f t="shared" si="44"/>
        <v>-</v>
      </c>
      <c r="DO20" s="306" t="str">
        <f t="shared" si="45"/>
        <v>-</v>
      </c>
      <c r="DP20" s="367" t="str">
        <f t="shared" si="46"/>
        <v>✔</v>
      </c>
      <c r="DQ20" s="310" t="str">
        <f t="shared" si="47"/>
        <v>-</v>
      </c>
      <c r="DR20" s="310" t="str">
        <f t="shared" si="48"/>
        <v>-</v>
      </c>
      <c r="DS20" s="310" t="str">
        <f t="shared" si="49"/>
        <v>-</v>
      </c>
      <c r="DT20" s="310" t="str">
        <f t="shared" si="50"/>
        <v>-</v>
      </c>
      <c r="DU20" s="370" t="str">
        <f t="shared" si="51"/>
        <v>-</v>
      </c>
      <c r="DV20" s="306" t="str">
        <f t="shared" si="52"/>
        <v>-</v>
      </c>
      <c r="DW20" s="306" t="str">
        <f t="shared" si="53"/>
        <v>-</v>
      </c>
      <c r="DX20" s="306" t="str">
        <f t="shared" si="54"/>
        <v>-</v>
      </c>
      <c r="DY20" s="306" t="str">
        <f t="shared" si="55"/>
        <v>-</v>
      </c>
      <c r="DZ20" s="306" t="str">
        <f t="shared" si="56"/>
        <v>-</v>
      </c>
      <c r="EA20" s="367" t="str">
        <f t="shared" si="57"/>
        <v>-</v>
      </c>
      <c r="EB20" s="310" t="str">
        <f>IFERROR(__xludf.DUMMYFUNCTION("IF(REGEXMATCH(AW20,AS20),""✔"",""-"")"),"-")</f>
        <v>-</v>
      </c>
      <c r="EC20" s="310" t="str">
        <f t="shared" si="58"/>
        <v>#REF!</v>
      </c>
      <c r="ED20" s="370" t="str">
        <f t="shared" si="59"/>
        <v>-</v>
      </c>
      <c r="EE20" s="340" t="str">
        <f t="shared" si="60"/>
        <v>S-R-g-M-P-D-N-S</v>
      </c>
      <c r="EF20" s="371" t="str">
        <f>IFERROR(__xludf.DUMMYFUNCTION("CONCATENATE(JOIN("""",HC20:HO20))"),"SrgmMDnS")</f>
        <v>SrgmMDnS</v>
      </c>
      <c r="EG20" s="372">
        <f t="shared" si="61"/>
        <v>3</v>
      </c>
      <c r="EH20" s="373" t="str">
        <f>IFERROR(__xludf.DUMMYFUNCTION("CONCATENATE(JOIN("""",JC20:JO20))"),"ga, Ma, Dha, ")</f>
        <v>ga, Ma, Dha, </v>
      </c>
      <c r="EI20" s="322">
        <f t="shared" si="62"/>
        <v>1</v>
      </c>
      <c r="EJ20" s="374" t="str">
        <f>IFERROR(__xludf.DUMMYFUNCTION("CONCATENATE(JOIN("""",KC20:KO20))"),"ga, ")</f>
        <v>ga, </v>
      </c>
      <c r="EK20" s="325" t="str">
        <f t="shared" si="63"/>
        <v>S-R2-G2-M2-P-D2-N3-S</v>
      </c>
      <c r="EL20" s="326" t="str">
        <f t="shared" si="64"/>
        <v>1-2-b3-#4-5-6-7-8</v>
      </c>
      <c r="EM20" s="318" t="str">
        <f t="shared" si="65"/>
        <v>#REF!</v>
      </c>
      <c r="EN20" s="328" t="str">
        <f>IFERROR(__xludf.DUMMYFUNCTION("SUBSTITUTE(SUBSTITUTE(SUBSTITUTE(SUBSTITUTE(CONCATENATE(JOIN("" "",HP20:IB20)),""  "","" ""),""  "","" ""),""  "","" ""),""  "","" "")"),"o • o o • • o o • o • o o")</f>
        <v>o • o o • • o o • o • o o</v>
      </c>
      <c r="EO20" s="368" t="str">
        <f t="shared" si="66"/>
        <v>Sa-Pa</v>
      </c>
      <c r="EP20" s="339" t="str">
        <f t="shared" si="67"/>
        <v>Sa-Pa</v>
      </c>
      <c r="EQ20" s="339" t="str">
        <f t="shared" si="68"/>
        <v>Sa-Pa</v>
      </c>
      <c r="ER20" s="339" t="str">
        <f t="shared" si="69"/>
        <v>-</v>
      </c>
      <c r="ES20" s="340" t="str">
        <f t="shared" si="70"/>
        <v>-</v>
      </c>
      <c r="ET20" s="363"/>
      <c r="EU20" s="376" t="b">
        <f>IFERROR(__xludf.DUMMYFUNCTION("arrayformula(sum(--REGEXMATCH(""SRGMPDNS"",split(REGEXREPLACE(C20,""(.)"",""$1~""),""~""))))=len(C20)
"),FALSE)</f>
        <v>0</v>
      </c>
      <c r="EV20" s="290" t="b">
        <f>IFERROR(__xludf.DUMMYFUNCTION("arrayformula(sum(--REGEXMATCH(""SRGmPDNS"",split(REGEXREPLACE(C20,""(.)"",""$1~""),""~""))))=len(C20)"),FALSE)</f>
        <v>0</v>
      </c>
      <c r="EW20" s="290" t="b">
        <f>IFERROR(__xludf.DUMMYFUNCTION("arrayformula(sum(--REGEXMATCH(""SRGmPDnS"",split(REGEXREPLACE(C20,""(.)"",""$1~""),""~""))))=len(C20)"),FALSE)</f>
        <v>0</v>
      </c>
      <c r="EX20" s="290" t="b">
        <f>IFERROR(__xludf.DUMMYFUNCTION("arrayformula(sum(--REGEXMATCH(""SRgmPDnS"",split(REGEXREPLACE(C20,""(.)"",""$1~""),""~""))))=len(C20)"),FALSE)</f>
        <v>0</v>
      </c>
      <c r="EY20" s="290" t="b">
        <f>IFERROR(__xludf.DUMMYFUNCTION("arrayformula(sum(--REGEXMATCH(""SRgmPdnS"",split(REGEXREPLACE(C20,""(.)"",""$1~""),""~""))))=len(C20)"),FALSE)</f>
        <v>0</v>
      </c>
      <c r="EZ20" s="290" t="b">
        <f>IFERROR(__xludf.DUMMYFUNCTION("arrayformula(sum(--REGEXMATCH(""SrgmPdnS"",split(REGEXREPLACE(C20,""(.)"",""$1~""),""~""))))=len(C20)"),FALSE)</f>
        <v>0</v>
      </c>
      <c r="FA20" s="290" t="b">
        <f>IFERROR(__xludf.DUMMYFUNCTION("arrayformula(sum(--REGEXMATCH(""SrGmPdNS"",split(REGEXREPLACE(C20,""(.)"",""$1~""),""~""))))=len(C20)"),FALSE)</f>
        <v>0</v>
      </c>
      <c r="FB20" s="290" t="b">
        <f>IFERROR(__xludf.DUMMYFUNCTION("arrayformula(sum(--REGEXMATCH(""SrGMPDNS"",split(REGEXREPLACE(C20,""(.)"",""$1~""),""~""))))=len(C20)"),FALSE)</f>
        <v>0</v>
      </c>
      <c r="FC20" s="290" t="b">
        <f>IFERROR(__xludf.DUMMYFUNCTION("arrayformula(sum(--REGEXMATCH(""SrGMPdNS"",split(REGEXREPLACE(C20,""(.)"",""$1~""),""~""))))=len(C20)"),FALSE)</f>
        <v>0</v>
      </c>
      <c r="FD20" s="377" t="b">
        <f>IFERROR(__xludf.DUMMYFUNCTION("arrayformula(sum(--REGEXMATCH(""SrgMPdNS"",split(REGEXREPLACE(C20,""(.)"",""$1~""),""~""))))=len(C20)"),FALSE)</f>
        <v>0</v>
      </c>
      <c r="FE20" s="269" t="str">
        <f t="shared" si="71"/>
        <v>-</v>
      </c>
      <c r="FF20" s="269" t="str">
        <f t="shared" si="72"/>
        <v>xxooxxoxoxx</v>
      </c>
      <c r="FG20" s="271" t="str">
        <f t="shared" si="73"/>
        <v>xooxxoxoxxo</v>
      </c>
      <c r="FH20" s="269" t="str">
        <f t="shared" si="74"/>
        <v>-</v>
      </c>
      <c r="FI20" s="271" t="str">
        <f t="shared" si="75"/>
        <v>-</v>
      </c>
      <c r="FJ20" s="271" t="str">
        <f t="shared" si="76"/>
        <v>xxoxoxxoxxo</v>
      </c>
      <c r="FK20" s="271" t="str">
        <f t="shared" si="77"/>
        <v>xoxoxxoxxoo</v>
      </c>
      <c r="FL20" s="271" t="str">
        <f t="shared" si="78"/>
        <v>-</v>
      </c>
      <c r="FM20" s="271" t="str">
        <f t="shared" si="79"/>
        <v>xoxxoxxooxx</v>
      </c>
      <c r="FN20" s="271" t="str">
        <f t="shared" si="80"/>
        <v>-</v>
      </c>
      <c r="FO20" s="274" t="str">
        <f t="shared" si="81"/>
        <v>xxoxxooxxox</v>
      </c>
      <c r="FP20" s="234" t="str">
        <f t="shared" si="82"/>
        <v>|</v>
      </c>
      <c r="FQ20" s="236" t="str">
        <f t="shared" si="83"/>
        <v>-</v>
      </c>
      <c r="FR20" s="237" t="str">
        <f t="shared" si="84"/>
        <v>|</v>
      </c>
      <c r="FS20" s="236" t="str">
        <f t="shared" si="85"/>
        <v>|</v>
      </c>
      <c r="FT20" s="237" t="str">
        <f t="shared" si="86"/>
        <v>-</v>
      </c>
      <c r="FU20" s="236" t="str">
        <f t="shared" si="87"/>
        <v>-</v>
      </c>
      <c r="FV20" s="237" t="str">
        <f t="shared" si="88"/>
        <v>|</v>
      </c>
      <c r="FW20" s="236" t="str">
        <f t="shared" si="89"/>
        <v>|</v>
      </c>
      <c r="FX20" s="237" t="str">
        <f t="shared" si="90"/>
        <v>-</v>
      </c>
      <c r="FY20" s="236" t="str">
        <f t="shared" si="91"/>
        <v>|</v>
      </c>
      <c r="FZ20" s="237" t="str">
        <f t="shared" si="92"/>
        <v>-</v>
      </c>
      <c r="GA20" s="236" t="str">
        <f t="shared" si="93"/>
        <v>|</v>
      </c>
      <c r="GB20" s="238" t="str">
        <f t="shared" si="94"/>
        <v>|</v>
      </c>
      <c r="GC20" s="244" t="str">
        <f>IFERROR(__xludf.DUMMYFUNCTION("IF(REGEXMATCH(C20, ""S""), ""1"","""")"),"1")</f>
        <v>1</v>
      </c>
      <c r="GD20" s="245" t="str">
        <f>IFERROR(__xludf.DUMMYFUNCTION("IF(REGEXMATCH(C20, ""r""), ""b2"","""")"),"")</f>
        <v/>
      </c>
      <c r="GE20" s="246" t="str">
        <f>IFERROR(__xludf.DUMMYFUNCTION("IF(REGEXMATCH(C20, ""R""), ""2"","""")"),"2")</f>
        <v>2</v>
      </c>
      <c r="GF20" s="246" t="str">
        <f>IFERROR(__xludf.DUMMYFUNCTION("IF(REGEXMATCH(C20, ""g""), ""b3"","""")"),"b3")</f>
        <v>b3</v>
      </c>
      <c r="GG20" s="245" t="str">
        <f>IFERROR(__xludf.DUMMYFUNCTION("IF(REGEXMATCH(C20, ""G""), ""3"","""")"),"")</f>
        <v/>
      </c>
      <c r="GH20" s="245" t="str">
        <f>IFERROR(__xludf.DUMMYFUNCTION("IF(REGEXMATCH(C20, ""m""), ""4"","""")"),"")</f>
        <v/>
      </c>
      <c r="GI20" s="246" t="str">
        <f>IFERROR(__xludf.DUMMYFUNCTION("IF(REGEXMATCH(C20, ""M""), ""#4"","""")"),"#4")</f>
        <v>#4</v>
      </c>
      <c r="GJ20" s="245" t="str">
        <f>IFERROR(__xludf.DUMMYFUNCTION("IF(REGEXMATCH(C20, ""P""), ""5"","""")"),"5")</f>
        <v>5</v>
      </c>
      <c r="GK20" s="246" t="str">
        <f>IFERROR(__xludf.DUMMYFUNCTION("IF(REGEXMATCH(C20, ""d""), ""b6"","""")"),"")</f>
        <v/>
      </c>
      <c r="GL20" s="245" t="str">
        <f>IFERROR(__xludf.DUMMYFUNCTION("IF(REGEXMATCH(C20, ""D""), ""6"","""")"),"6")</f>
        <v>6</v>
      </c>
      <c r="GM20" s="245" t="str">
        <f>IFERROR(__xludf.DUMMYFUNCTION("IF(REGEXMATCH(C20, ""n""), ""b7"","""")"),"")</f>
        <v/>
      </c>
      <c r="GN20" s="246" t="str">
        <f>IFERROR(__xludf.DUMMYFUNCTION("IF(REGEXMATCH(C20, ""N""), ""7"","""")"),"7")</f>
        <v>7</v>
      </c>
      <c r="GO20" s="249" t="str">
        <f>IFERROR(__xludf.DUMMYFUNCTION("IF(REGEXMATCH(C20, ""S""), ""8"","""")"),"8")</f>
        <v>8</v>
      </c>
      <c r="GP20" s="244" t="str">
        <f>IFERROR(__xludf.DUMMYFUNCTION("IF(REGEXMATCH(C20, ""S""), ""S"","""")"),"S")</f>
        <v>S</v>
      </c>
      <c r="GQ20" s="294" t="str">
        <f>IFERROR(__xludf.DUMMYFUNCTION("IF(REGEXMATCH(C20, ""r""), ""R1"","""")"),"")</f>
        <v/>
      </c>
      <c r="GR20" s="295" t="str">
        <f>IFERROR(__xludf.DUMMYFUNCTION("IF(REGEXMATCH(C20, ""R""), ""R2"","""")"),"R2")</f>
        <v>R2</v>
      </c>
      <c r="GS20" s="295" t="str">
        <f>IFERROR(__xludf.DUMMYFUNCTION("IF(REGEXMATCH(C20, ""g""), ""G2"","""")"),"G2")</f>
        <v>G2</v>
      </c>
      <c r="GT20" s="294" t="str">
        <f>IFERROR(__xludf.DUMMYFUNCTION("IF(REGEXMATCH(C20, ""G""), ""G3"","""")"),"")</f>
        <v/>
      </c>
      <c r="GU20" s="294" t="str">
        <f>IFERROR(__xludf.DUMMYFUNCTION("IF(REGEXMATCH(C20, ""m""), ""M1"","""")"),"")</f>
        <v/>
      </c>
      <c r="GV20" s="295" t="str">
        <f>IFERROR(__xludf.DUMMYFUNCTION("IF(REGEXMATCH(C20, ""M""), ""M2"","""")"),"M2")</f>
        <v>M2</v>
      </c>
      <c r="GW20" s="294" t="str">
        <f>IFERROR(__xludf.DUMMYFUNCTION("IF(REGEXMATCH(C20, ""P""), ""P"","""")"),"P")</f>
        <v>P</v>
      </c>
      <c r="GX20" s="295" t="str">
        <f>IFERROR(__xludf.DUMMYFUNCTION("IF(REGEXMATCH(C20, ""d""), ""D1"","""")"),"")</f>
        <v/>
      </c>
      <c r="GY20" s="294" t="str">
        <f>IFERROR(__xludf.DUMMYFUNCTION("IF(REGEXMATCH(C20, ""D""), ""D2"","""")"),"D2")</f>
        <v>D2</v>
      </c>
      <c r="GZ20" s="294" t="str">
        <f>IFERROR(__xludf.DUMMYFUNCTION("IF(REGEXMATCH(C20, ""n""), ""N2"","""")"),"")</f>
        <v/>
      </c>
      <c r="HA20" s="295" t="str">
        <f>IFERROR(__xludf.DUMMYFUNCTION("IF(REGEXMATCH(C20, ""N""), ""N3"","""")"),"N3")</f>
        <v>N3</v>
      </c>
      <c r="HB20" s="249" t="str">
        <f>IFERROR(__xludf.DUMMYFUNCTION("IF(REGEXMATCH(C20, ""S""), ""S"","""")"),"S")</f>
        <v>S</v>
      </c>
      <c r="HC20" s="331" t="str">
        <f t="shared" si="95"/>
        <v>S</v>
      </c>
      <c r="HD20" s="332" t="str">
        <f t="shared" si="96"/>
        <v>r</v>
      </c>
      <c r="HE20" s="332" t="str">
        <f t="shared" si="97"/>
        <v/>
      </c>
      <c r="HF20" s="332" t="str">
        <f t="shared" si="98"/>
        <v>g</v>
      </c>
      <c r="HG20" s="332" t="str">
        <f t="shared" si="99"/>
        <v/>
      </c>
      <c r="HH20" s="332" t="str">
        <f t="shared" si="100"/>
        <v>m</v>
      </c>
      <c r="HI20" s="332" t="str">
        <f t="shared" si="101"/>
        <v>M</v>
      </c>
      <c r="HJ20" s="332" t="str">
        <f t="shared" si="102"/>
        <v/>
      </c>
      <c r="HK20" s="332" t="str">
        <f t="shared" si="103"/>
        <v/>
      </c>
      <c r="HL20" s="332" t="str">
        <f t="shared" si="104"/>
        <v>D</v>
      </c>
      <c r="HM20" s="332" t="str">
        <f t="shared" si="105"/>
        <v>n</v>
      </c>
      <c r="HN20" s="332" t="str">
        <f t="shared" si="106"/>
        <v/>
      </c>
      <c r="HO20" s="343" t="str">
        <f t="shared" si="107"/>
        <v>S</v>
      </c>
      <c r="HP20" s="331" t="str">
        <f t="shared" si="108"/>
        <v>o</v>
      </c>
      <c r="HQ20" s="332" t="str">
        <f t="shared" si="109"/>
        <v>•</v>
      </c>
      <c r="HR20" s="332" t="str">
        <f t="shared" si="110"/>
        <v>o</v>
      </c>
      <c r="HS20" s="332" t="str">
        <f t="shared" si="111"/>
        <v>o</v>
      </c>
      <c r="HT20" s="332" t="str">
        <f t="shared" si="112"/>
        <v>•</v>
      </c>
      <c r="HU20" s="332" t="str">
        <f t="shared" si="113"/>
        <v>•</v>
      </c>
      <c r="HV20" s="332" t="str">
        <f t="shared" si="114"/>
        <v>o</v>
      </c>
      <c r="HW20" s="332" t="str">
        <f t="shared" si="115"/>
        <v>o</v>
      </c>
      <c r="HX20" s="332" t="str">
        <f t="shared" si="116"/>
        <v>•</v>
      </c>
      <c r="HY20" s="332" t="str">
        <f t="shared" si="117"/>
        <v>o</v>
      </c>
      <c r="HZ20" s="332" t="str">
        <f t="shared" si="118"/>
        <v>•</v>
      </c>
      <c r="IA20" s="332" t="str">
        <f t="shared" si="119"/>
        <v>o</v>
      </c>
      <c r="IB20" s="338" t="str">
        <f t="shared" si="120"/>
        <v>o</v>
      </c>
      <c r="IC20" s="331" t="str">
        <f t="shared" si="121"/>
        <v>•</v>
      </c>
      <c r="ID20" s="332" t="str">
        <f t="shared" si="122"/>
        <v>o</v>
      </c>
      <c r="IE20" s="332" t="str">
        <f t="shared" si="123"/>
        <v>•</v>
      </c>
      <c r="IF20" s="332" t="str">
        <f t="shared" si="124"/>
        <v>•</v>
      </c>
      <c r="IG20" s="332" t="str">
        <f t="shared" si="125"/>
        <v>o</v>
      </c>
      <c r="IH20" s="332" t="str">
        <f t="shared" si="126"/>
        <v>o</v>
      </c>
      <c r="II20" s="332" t="str">
        <f t="shared" si="127"/>
        <v>•</v>
      </c>
      <c r="IJ20" s="332" t="str">
        <f t="shared" si="128"/>
        <v>•</v>
      </c>
      <c r="IK20" s="332" t="str">
        <f t="shared" si="129"/>
        <v>o</v>
      </c>
      <c r="IL20" s="332" t="str">
        <f t="shared" si="130"/>
        <v>•</v>
      </c>
      <c r="IM20" s="332" t="str">
        <f t="shared" si="131"/>
        <v>o</v>
      </c>
      <c r="IN20" s="332" t="str">
        <f t="shared" si="132"/>
        <v>•</v>
      </c>
      <c r="IO20" s="338" t="str">
        <f t="shared" si="133"/>
        <v>•</v>
      </c>
      <c r="IP20" s="346" t="b">
        <f t="shared" si="134"/>
        <v>0</v>
      </c>
      <c r="IQ20" s="347" t="b">
        <f t="shared" si="135"/>
        <v>0</v>
      </c>
      <c r="IR20" s="347" t="b">
        <f t="shared" si="136"/>
        <v>0</v>
      </c>
      <c r="IS20" s="347" t="b">
        <f t="shared" si="137"/>
        <v>1</v>
      </c>
      <c r="IT20" s="347" t="b">
        <f t="shared" si="138"/>
        <v>0</v>
      </c>
      <c r="IU20" s="347" t="b">
        <f t="shared" si="139"/>
        <v>0</v>
      </c>
      <c r="IV20" s="347" t="b">
        <f t="shared" si="140"/>
        <v>1</v>
      </c>
      <c r="IW20" s="347" t="b">
        <f t="shared" si="141"/>
        <v>0</v>
      </c>
      <c r="IX20" s="347" t="b">
        <f t="shared" si="142"/>
        <v>0</v>
      </c>
      <c r="IY20" s="347" t="b">
        <f t="shared" si="143"/>
        <v>1</v>
      </c>
      <c r="IZ20" s="347" t="b">
        <f t="shared" si="144"/>
        <v>0</v>
      </c>
      <c r="JA20" s="347" t="b">
        <f t="shared" si="145"/>
        <v>0</v>
      </c>
      <c r="JB20" s="353" t="b">
        <f t="shared" si="146"/>
        <v>0</v>
      </c>
      <c r="JC20" s="354" t="str">
        <f t="shared" si="147"/>
        <v/>
      </c>
      <c r="JD20" s="355" t="str">
        <f t="shared" si="148"/>
        <v/>
      </c>
      <c r="JE20" s="355" t="str">
        <f t="shared" si="149"/>
        <v/>
      </c>
      <c r="JF20" s="355" t="str">
        <f t="shared" si="150"/>
        <v>ga, </v>
      </c>
      <c r="JG20" s="355" t="str">
        <f t="shared" si="151"/>
        <v/>
      </c>
      <c r="JH20" s="355" t="str">
        <f t="shared" si="152"/>
        <v/>
      </c>
      <c r="JI20" s="355" t="str">
        <f t="shared" si="153"/>
        <v>Ma, </v>
      </c>
      <c r="JJ20" s="355" t="str">
        <f t="shared" si="154"/>
        <v/>
      </c>
      <c r="JK20" s="355" t="str">
        <f t="shared" si="155"/>
        <v/>
      </c>
      <c r="JL20" s="355" t="str">
        <f t="shared" si="156"/>
        <v>Dha, </v>
      </c>
      <c r="JM20" s="355" t="str">
        <f t="shared" si="157"/>
        <v/>
      </c>
      <c r="JN20" s="355" t="str">
        <f t="shared" si="158"/>
        <v/>
      </c>
      <c r="JO20" s="359" t="str">
        <f t="shared" si="159"/>
        <v/>
      </c>
      <c r="JP20" s="346" t="b">
        <f t="shared" si="160"/>
        <v>0</v>
      </c>
      <c r="JQ20" s="347" t="b">
        <f t="shared" si="161"/>
        <v>0</v>
      </c>
      <c r="JR20" s="347" t="b">
        <f t="shared" si="162"/>
        <v>0</v>
      </c>
      <c r="JS20" s="347" t="b">
        <f t="shared" si="163"/>
        <v>1</v>
      </c>
      <c r="JT20" s="347" t="b">
        <f t="shared" si="164"/>
        <v>0</v>
      </c>
      <c r="JU20" s="347" t="b">
        <f t="shared" si="165"/>
        <v>0</v>
      </c>
      <c r="JV20" s="347" t="b">
        <f t="shared" si="166"/>
        <v>0</v>
      </c>
      <c r="JW20" s="347" t="b">
        <f t="shared" si="167"/>
        <v>0</v>
      </c>
      <c r="JX20" s="347" t="b">
        <f t="shared" si="168"/>
        <v>0</v>
      </c>
      <c r="JY20" s="347" t="b">
        <f t="shared" si="169"/>
        <v>0</v>
      </c>
      <c r="JZ20" s="347" t="b">
        <f t="shared" si="170"/>
        <v>0</v>
      </c>
      <c r="KA20" s="347" t="b">
        <f t="shared" si="171"/>
        <v>0</v>
      </c>
      <c r="KB20" s="365" t="b">
        <f t="shared" si="172"/>
        <v>0</v>
      </c>
      <c r="KC20" s="354" t="str">
        <f t="shared" si="173"/>
        <v/>
      </c>
      <c r="KD20" s="355" t="str">
        <f t="shared" si="174"/>
        <v/>
      </c>
      <c r="KE20" s="355" t="str">
        <f t="shared" si="175"/>
        <v/>
      </c>
      <c r="KF20" s="355" t="str">
        <f t="shared" si="176"/>
        <v>ga, </v>
      </c>
      <c r="KG20" s="355" t="str">
        <f t="shared" si="177"/>
        <v/>
      </c>
      <c r="KH20" s="355" t="str">
        <f t="shared" si="178"/>
        <v/>
      </c>
      <c r="KI20" s="355" t="str">
        <f t="shared" si="179"/>
        <v/>
      </c>
      <c r="KJ20" s="355" t="str">
        <f t="shared" si="180"/>
        <v/>
      </c>
      <c r="KK20" s="355" t="str">
        <f t="shared" si="181"/>
        <v/>
      </c>
      <c r="KL20" s="355" t="str">
        <f t="shared" si="182"/>
        <v/>
      </c>
      <c r="KM20" s="355" t="str">
        <f t="shared" si="183"/>
        <v/>
      </c>
      <c r="KN20" s="355" t="str">
        <f t="shared" si="184"/>
        <v/>
      </c>
      <c r="KO20" s="359"/>
      <c r="KP20" s="378"/>
      <c r="KQ20" s="379" t="s">
        <v>362</v>
      </c>
      <c r="KR20" s="380" t="s">
        <v>1272</v>
      </c>
      <c r="KS20" s="381" t="str">
        <f t="shared" ref="KS20:KS22" si="232">KQ20</f>
        <v>S-R-g-M-P-D-N-S</v>
      </c>
      <c r="KT20" s="382">
        <f t="shared" si="186"/>
        <v>7</v>
      </c>
      <c r="KU20" s="383">
        <f t="shared" si="187"/>
        <v>7</v>
      </c>
      <c r="KV20" s="381" t="str">
        <f t="shared" si="205"/>
        <v>S-N-D-P-M-g-R-S</v>
      </c>
      <c r="KW20" s="382">
        <f t="shared" si="189"/>
        <v>7</v>
      </c>
      <c r="KX20" s="384">
        <f t="shared" si="190"/>
        <v>7</v>
      </c>
      <c r="KY20" s="382">
        <f t="shared" ref="KY20:KZ20" si="230">KW20-KT20</f>
        <v>0</v>
      </c>
      <c r="KZ20" s="369">
        <f t="shared" si="230"/>
        <v>0</v>
      </c>
      <c r="LA20" s="385" t="str">
        <f t="shared" si="192"/>
        <v>✔</v>
      </c>
      <c r="LB20" s="340" t="str">
        <f>IFERROR(__xludf.DUMMYFUNCTION("JOIN("""",ArrayFormula(MID(KS20,LEN(KS20)-SEQUENCE(1,LEN(KS20))+1,1)))"),"S-N-D-P-M-g-R-S")</f>
        <v>S-N-D-P-M-g-R-S</v>
      </c>
      <c r="LC20" s="373" t="str">
        <f>IFERROR(__xludf.DUMMYFUNCTION("JOIN("""",ArrayFormula(MID(KV20,LEN(KV20)-SEQUENCE(1,LEN(KV20))+1,1)))"),"S-R-g-M-P-D-N-S")</f>
        <v>S-R-g-M-P-D-N-S</v>
      </c>
      <c r="LD20" s="373" t="str">
        <f t="shared" si="193"/>
        <v>SRgMPDNS</v>
      </c>
      <c r="LE20" s="339" t="str">
        <f t="shared" si="194"/>
        <v>SRgMPDNS</v>
      </c>
      <c r="LF20" s="386" t="str">
        <f>IFERROR(__xludf.DUMMYFUNCTION("SUBSTITUTE(SUBSTITUTE(CONCATENATE(JOIN("""",LH20:LT20)),""1"",""""),""2"","""")"),"SRgMPDNS")</f>
        <v>SRgMPDNS</v>
      </c>
      <c r="LG20" s="369" t="str">
        <f t="shared" si="195"/>
        <v>✔</v>
      </c>
      <c r="LH20" s="387" t="str">
        <f>IFERROR(__xludf.DUMMYFUNCTION("IF(REGEXMATCH(LD20, ""S""), ""S"",IF(REGEXMATCH(LE20, ""S""), ""S"",""""))"),"S")</f>
        <v>S</v>
      </c>
      <c r="LI20" s="299" t="str">
        <f>IFERROR(__xludf.DUMMYFUNCTION("IF(REGEXMATCH(LD20, ""r""), ""r1"",IF(REGEXMATCH(LE20, ""r""), ""r2"",""""))"),"")</f>
        <v/>
      </c>
      <c r="LJ20" s="299" t="str">
        <f>IFERROR(__xludf.DUMMYFUNCTION("IF(REGEXMATCH(LD20, ""R""), ""R1"",IF(REGEXMATCH(LE20, ""R""), ""R2"",""""))"),"R1")</f>
        <v>R1</v>
      </c>
      <c r="LK20" s="299" t="str">
        <f>IFERROR(__xludf.DUMMYFUNCTION("IF(REGEXMATCH(LD20, ""g""), ""g1"",IF(REGEXMATCH(LE20, ""g""), ""g2"",""""))"),"g1")</f>
        <v>g1</v>
      </c>
      <c r="LL20" s="299" t="str">
        <f>IFERROR(__xludf.DUMMYFUNCTION("IF(REGEXMATCH(LD20, ""G""), ""G1"",IF(REGEXMATCH(LE20, ""G""), ""G2"",""""))"),"")</f>
        <v/>
      </c>
      <c r="LM20" s="299" t="str">
        <f>IFERROR(__xludf.DUMMYFUNCTION("IF(REGEXMATCH(LD20, ""m""), ""m1"",IF(REGEXMATCH(LE20, ""m""), ""m2"",""""))"),"")</f>
        <v/>
      </c>
      <c r="LN20" s="299" t="str">
        <f>IFERROR(__xludf.DUMMYFUNCTION("IF(REGEXMATCH(LD20, ""M""), ""M1"",IF(REGEXMATCH(LE20, ""M""), ""M2"",""""))"),"M1")</f>
        <v>M1</v>
      </c>
      <c r="LO20" s="299" t="str">
        <f>IFERROR(__xludf.DUMMYFUNCTION("IF(REGEXMATCH(LD20, ""P""), ""P1"",IF(REGEXMATCH(LE20, ""P""), ""P2"",""""))"),"P1")</f>
        <v>P1</v>
      </c>
      <c r="LP20" s="299" t="str">
        <f>IFERROR(__xludf.DUMMYFUNCTION("IF(REGEXMATCH(LD20, ""d""), ""d1"",IF(REGEXMATCH(LE20, ""d""), ""d2"",""""))"),"")</f>
        <v/>
      </c>
      <c r="LQ20" s="299" t="str">
        <f>IFERROR(__xludf.DUMMYFUNCTION("IF(REGEXMATCH(LD20, ""D""), ""D1"",IF(REGEXMATCH(LE20, ""D""), ""D2"",""""))"),"D1")</f>
        <v>D1</v>
      </c>
      <c r="LR20" s="299" t="str">
        <f>IFERROR(__xludf.DUMMYFUNCTION("IF(REGEXMATCH(LD20, ""n""), ""n1"",IF(REGEXMATCH(LE20, ""n""), ""n2"",""""))"),"")</f>
        <v/>
      </c>
      <c r="LS20" s="299" t="str">
        <f>IFERROR(__xludf.DUMMYFUNCTION("IF(REGEXMATCH(LD20, ""N""), ""N1"",IF(REGEXMATCH(LE20, ""N""), ""N2"",""""))"),"N1")</f>
        <v>N1</v>
      </c>
      <c r="LT20" s="388" t="str">
        <f>IFERROR(__xludf.DUMMYFUNCTION("IF(REGEXMATCH(LD20, ""S""), ""S"",IF(REGEXMATCH(LE20, ""S""), ""S"",""""))"),"S")</f>
        <v>S</v>
      </c>
      <c r="LU20" s="389">
        <f t="shared" si="196"/>
        <v>1</v>
      </c>
      <c r="LV20" s="378"/>
      <c r="LW20" s="369"/>
      <c r="LX20" s="369"/>
    </row>
    <row r="21" ht="20.25" customHeight="1">
      <c r="A21" s="298" t="s">
        <v>550</v>
      </c>
      <c r="B21" s="222" t="s">
        <v>401</v>
      </c>
      <c r="C21" s="233" t="str">
        <f t="shared" si="7"/>
        <v>SrgMPdNS</v>
      </c>
      <c r="D21" s="234" t="str">
        <f>IFERROR(__xludf.DUMMYFUNCTION("IF(REGEXMATCH(C21, ""S""), ""S"","""")"),"S")</f>
        <v>S</v>
      </c>
      <c r="E21" s="236" t="str">
        <f>IFERROR(__xludf.DUMMYFUNCTION("IF(REGEXMATCH(C21, ""r""), ""r"","""")"),"r")</f>
        <v>r</v>
      </c>
      <c r="F21" s="237" t="str">
        <f>IFERROR(__xludf.DUMMYFUNCTION("IF(REGEXMATCH(C21, ""R""), ""R"","""")"),"")</f>
        <v/>
      </c>
      <c r="G21" s="237" t="str">
        <f>IFERROR(__xludf.DUMMYFUNCTION("IF(REGEXMATCH(C21, ""g""), ""g"","""")"),"g")</f>
        <v>g</v>
      </c>
      <c r="H21" s="236" t="str">
        <f>IFERROR(__xludf.DUMMYFUNCTION("IF(REGEXMATCH(C21, ""G""), ""G"","""")"),"")</f>
        <v/>
      </c>
      <c r="I21" s="236" t="str">
        <f>IFERROR(__xludf.DUMMYFUNCTION("IF(REGEXMATCH(C21, ""m""), ""m"","""")"),"")</f>
        <v/>
      </c>
      <c r="J21" s="237" t="str">
        <f>IFERROR(__xludf.DUMMYFUNCTION("IF(REGEXMATCH(C21, ""M""), ""M"","""")"),"M")</f>
        <v>M</v>
      </c>
      <c r="K21" s="236" t="str">
        <f>IFERROR(__xludf.DUMMYFUNCTION("IF(REGEXMATCH(C21, ""P""), ""P"","""")"),"P")</f>
        <v>P</v>
      </c>
      <c r="L21" s="237" t="str">
        <f>IFERROR(__xludf.DUMMYFUNCTION("IF(REGEXMATCH(C21, ""d""), ""d"","""")"),"d")</f>
        <v>d</v>
      </c>
      <c r="M21" s="236" t="str">
        <f>IFERROR(__xludf.DUMMYFUNCTION("IF(REGEXMATCH(C21, ""D""), ""D"","""")"),"")</f>
        <v/>
      </c>
      <c r="N21" s="236" t="str">
        <f>IFERROR(__xludf.DUMMYFUNCTION("IF(REGEXMATCH(C21, ""n""), ""n"","""")"),"")</f>
        <v/>
      </c>
      <c r="O21" s="237" t="str">
        <f>IFERROR(__xludf.DUMMYFUNCTION("IF(REGEXMATCH(C21, ""N""), ""N"","""")"),"N")</f>
        <v>N</v>
      </c>
      <c r="P21" s="238" t="str">
        <f>IFERROR(__xludf.DUMMYFUNCTION("IF(REGEXMATCH(C21, ""S""), ""S"","""")"),"S")</f>
        <v>S</v>
      </c>
      <c r="Q21" s="239" t="str">
        <f>IFERROR(__xludf.DUMMYFUNCTION("SUBSTITUTE(CONCATENATE(JOIN(""-"",D21:J21)),""-"","""")"),"SrgM")</f>
        <v>SrgM</v>
      </c>
      <c r="R21" s="229" t="str">
        <f>IFERROR(__xludf.DUMMYFUNCTION("SUBSTITUTE(CONCATENATE(JOIN(""-"",K21:P21)),""-"","""")"),"PdNS")</f>
        <v>PdNS</v>
      </c>
      <c r="S21" s="282" t="str">
        <f t="shared" si="8"/>
        <v>S-R-G-M</v>
      </c>
      <c r="T21" s="282" t="str">
        <f t="shared" si="9"/>
        <v>P-D-N-S</v>
      </c>
      <c r="U21" s="237" t="str">
        <f>IFERROR(__xludf.DUMMYFUNCTION("SUBSTITUTE(JOIN(""-"",S21,T21),""--"",""-"")"),"S-R-G-M-P-D-N-S")</f>
        <v>S-R-G-M-P-D-N-S</v>
      </c>
      <c r="V21" s="309" t="str">
        <f t="shared" si="10"/>
        <v>rgMdN</v>
      </c>
      <c r="W21" s="244" t="str">
        <f>IFERROR(__xludf.DUMMYFUNCTION("IF(REGEXMATCH(C21, ""S""), ""0"","""")"),"0")</f>
        <v>0</v>
      </c>
      <c r="X21" s="245" t="str">
        <f>IFERROR(__xludf.DUMMYFUNCTION("IF(REGEXMATCH(C21, ""r""), ""1"","""")"),"1")</f>
        <v>1</v>
      </c>
      <c r="Y21" s="246" t="str">
        <f>IFERROR(__xludf.DUMMYFUNCTION("IF(REGEXMATCH(C21, ""R""), ""2"","""")"),"")</f>
        <v/>
      </c>
      <c r="Z21" s="246" t="str">
        <f>IFERROR(__xludf.DUMMYFUNCTION("IF(REGEXMATCH(C21, ""g""), ""3"","""")"),"3")</f>
        <v>3</v>
      </c>
      <c r="AA21" s="245" t="str">
        <f>IFERROR(__xludf.DUMMYFUNCTION("IF(REGEXMATCH(C21, ""G""), ""4"","""")"),"")</f>
        <v/>
      </c>
      <c r="AB21" s="245" t="str">
        <f>IFERROR(__xludf.DUMMYFUNCTION("IF(REGEXMATCH(C21, ""m""), ""5"","""")"),"")</f>
        <v/>
      </c>
      <c r="AC21" s="246" t="str">
        <f>IFERROR(__xludf.DUMMYFUNCTION("IF(REGEXMATCH(C21, ""M""), ""6"","""")"),"6")</f>
        <v>6</v>
      </c>
      <c r="AD21" s="245" t="str">
        <f>IFERROR(__xludf.DUMMYFUNCTION("IF(REGEXMATCH(C21, ""P""), ""7"","""")"),"7")</f>
        <v>7</v>
      </c>
      <c r="AE21" s="246" t="str">
        <f>IFERROR(__xludf.DUMMYFUNCTION("IF(REGEXMATCH(C21, ""d""), ""8"","""")"),"8")</f>
        <v>8</v>
      </c>
      <c r="AF21" s="245" t="str">
        <f>IFERROR(__xludf.DUMMYFUNCTION("IF(REGEXMATCH(C21, ""D""), ""9"","""")"),"")</f>
        <v/>
      </c>
      <c r="AG21" s="245" t="str">
        <f>IFERROR(__xludf.DUMMYFUNCTION("IF(REGEXMATCH(C21, ""n""), ""10"","""")"),"")</f>
        <v/>
      </c>
      <c r="AH21" s="246" t="str">
        <f>IFERROR(__xludf.DUMMYFUNCTION("IF(REGEXMATCH(C21, ""N""), ""11"","""")"),"11")</f>
        <v>11</v>
      </c>
      <c r="AI21" s="249" t="str">
        <f>IFERROR(__xludf.DUMMYFUNCTION("IF(REGEXMATCH(C21, ""S""), ""0"","""")"),"0")</f>
        <v>0</v>
      </c>
      <c r="AJ21" s="313" t="str">
        <f t="shared" si="11"/>
        <v>T</v>
      </c>
      <c r="AK21" s="313" t="str">
        <f t="shared" si="12"/>
        <v>T</v>
      </c>
      <c r="AL21" s="313" t="str">
        <f t="shared" si="13"/>
        <v>-</v>
      </c>
      <c r="AM21" s="313" t="str">
        <f t="shared" si="14"/>
        <v>-</v>
      </c>
      <c r="AN21" s="313" t="str">
        <f t="shared" si="15"/>
        <v>-</v>
      </c>
      <c r="AO21" s="314" t="str">
        <f t="shared" si="16"/>
        <v>-</v>
      </c>
      <c r="AP21" s="316">
        <f t="shared" si="17"/>
        <v>2</v>
      </c>
      <c r="AQ21" s="319" t="str">
        <f t="shared" si="18"/>
        <v>-</v>
      </c>
      <c r="AR21" s="320">
        <f t="shared" si="19"/>
        <v>0</v>
      </c>
      <c r="AS21" s="250" t="str">
        <f>IFERROR(__xludf.DUMMYFUNCTION("SUBSTITUTE(SUBSTITUTE(CONCATENATE(JOIN("""",FP21:GA21)),""|"",""x""),""-"",""o"")"),"xxoxooxxxoox")</f>
        <v>xxoxooxxxoox</v>
      </c>
      <c r="AT21" s="323" t="str">
        <f>IFERROR(__xludf.DUMMYFUNCTION("JOIN("""",AS21,AS21)"),"xxoxooxxxooxxxoxooxxxoox")</f>
        <v>xxoxooxxxooxxxoxooxxxoox</v>
      </c>
      <c r="AU21" s="256" t="str">
        <f>IFERROR(__xludf.DUMMYFUNCTION("JOIN("""",ArrayFormula(MID(AS21,LEN(AS21)-SEQUENCE(1,LEN(AS21))+1,1)))"),"xooxxxooxoxx")</f>
        <v>xooxxxooxoxx</v>
      </c>
      <c r="AV21" s="256" t="str">
        <f>IFERROR(__xludf.DUMMYFUNCTION("LEFT(CONCATENATE(""x"",JOIN("""",ArrayFormula(MID(AS21,LEN(AS21)-SEQUENCE(1,LEN(AS21))+1,1)))),12)"),"xxooxxxooxox")</f>
        <v>xxooxxxooxox</v>
      </c>
      <c r="AW21" s="327" t="str">
        <f>IFERROR(__xludf.DUMMYFUNCTION("JOIN("""",AU21,AU21)"),"xooxxxooxoxxxooxxxooxoxx")</f>
        <v>xooxxxooxoxxxooxxxooxoxx</v>
      </c>
      <c r="AX21" s="239" t="str">
        <f>IFERROR(__xludf.DUMMYFUNCTION("IF(REGEXMATCH(AW21,AS21),""✔"",""-"")"),"-")</f>
        <v>-</v>
      </c>
      <c r="AY21" s="330" t="str">
        <f t="shared" si="20"/>
        <v>-</v>
      </c>
      <c r="AZ21" s="260" t="str">
        <f t="shared" si="21"/>
        <v>#REF!</v>
      </c>
      <c r="BA21" s="333" t="str">
        <f t="shared" si="22"/>
        <v>xxoxoox</v>
      </c>
      <c r="BB21" s="334" t="str">
        <f t="shared" si="23"/>
        <v>xxooxx</v>
      </c>
      <c r="BC21" s="335" t="str">
        <f t="shared" si="24"/>
        <v>-</v>
      </c>
      <c r="BD21" s="336" t="str">
        <f t="shared" si="25"/>
        <v>Annapurna: 'xxoxoox' + 'xxooxx'</v>
      </c>
      <c r="BE21" s="337">
        <f>IFERROR(__xludf.DUMMYFUNCTION("COUNTUNIQUE(FILTER(AT:AT,REGEXMATCH(AT:AT,AS21)))-1"),3.0)</f>
        <v>3</v>
      </c>
      <c r="BF21" s="261" t="str">
        <f>IFERROR(__xludf.DUMMYFUNCTION("IF(BI21=0,""(n/a)"",IF(BJ21=2,""(PAIR)"",IF(REGEXMATCH(AT21,""xoxoxxoxoxox""),""Bilawal"",IF(REGEXMATCH(AT21,""xoxoxooxoxoo""),""Bhupali"",IF(REGEXMATCH(AT21,""xoxoxxoxxoxo""),""Charukeshi"",IF(REGEXMATCH(AT21,""xoxoooxxoxxo""),""Kameshwari"",IF(REGEXMATC"&amp;"H(AT21,""xoxoxooxoxox""),""Shankara"",IF(REGEXMATCH(AT21,""xxooxoxxxoox""),""Basant"",IF(REGEXMATCH(AT21,""xoxoxxxxoxox""),""Bihag"",IF(REGEXMATCH(AT21,""xoxxxxoxoxxx""),""Pilu"",IF(REGEXMATCH(AT21,""xoxxoxoxxoox""),""Kirwani"",IF(REGEXMATCH(AT21,""xoxxox"&amp;"oxoxxx""),""Mk.Malhar"",IF(REGEXMATCH(AT21,""xxooxxoxxoox""),""Bhairav"",IF(REGEXMATCH(AT21,""xxoxooxxxoox""),""Todi"",IF(REGEXMATCH(AT21,""xxooxoxooxox""),""Marwa"",IF(REGEXMATCH(AT21,""xxoooxoxxooo""),""Gunkali"",IF(REGEXMATCH(AT21,""xoxoxxoxxoox""),""N"&amp;"at Bhairav"",IF(REGEXMATCH(AT21,""xoxxoooxoxoo""),""Shivranjani"",IF(REGEXMATCH(AT21,""xooxxxoxooxo""),""Jog"",IF(REGEXMATCH(AT21,""xxooxoxoxoox""),""Hemshri"",IF(REGEXMATCH(AT21,""xoooxooxoxxo""),""Kalavati"",IF(REGEXMATCH(AT21,""xxoxoxxoxoox""),""Kedar"&amp;""",IF(REGEXMATCH(AT21,""xoxxxxoxooxx""),""Gara"",IF(REGEXMATCH(AT21,""xooxoxooxoox""),""Chandrakauns"",IF(REGEXMATCH(AT21,""xoxxxxoxxxox""),""Mand"",IF(REGEXMATCH(AT21,""xoxxxxoxoxox""),""Hanskinkini"",IF(REGEXMATCH(AT21,""xxooxxoxooxo""),""Lilavati"",IF("&amp;"REGEXMATCH(AT21,""xooxoxoooxox""),""Rajeshwari"",IF(REGEXMATCH(AT21,""xoooxxoxoxxx""),""Khokar"",IF(REGEXMATCH(AT21,""xxooxoxxxxox""),""Maligoura"",""-""))))))))))))))))))))))))))))))"),"Todi")</f>
        <v>Todi</v>
      </c>
      <c r="BG21" s="239" t="str">
        <f t="shared" si="26"/>
        <v>#REF!</v>
      </c>
      <c r="BH21" s="239">
        <f>IFERROR(__xludf.DUMMYFUNCTION("COUNTUNIQUE(FE21:FO21)-1"),6.0)</f>
        <v>6</v>
      </c>
      <c r="BI21" s="239">
        <f>IFERROR(__xludf.DUMMYFUNCTION("COUNTUNIQUE(FILTER(AT:AT,REGEXMATCH(AT:AT,AS21)))-1"),3.0)</f>
        <v>3</v>
      </c>
      <c r="BJ21" s="239">
        <f>IFERROR(__xludf.DUMMYFUNCTION("COUNTA(FILTER(AT:AT,REGEXMATCH(AT:AT,AS21)))"),6.0)</f>
        <v>6</v>
      </c>
      <c r="BK21" s="341">
        <f>IFERROR(__xludf.DUMMYFUNCTION("COUNTA(FILTER(AT:AT,REGEXMATCH(AT:AT,AS21)))-AR21"),6.0)</f>
        <v>6</v>
      </c>
      <c r="BL21" s="276" t="str">
        <f>IFERROR(__xludf.DUMMYFUNCTION("IF(AS21=""oooooooooooo"",""-"",IF(REGEXMATCH(AT21,""xx""), ""Hemi."", ""Anhemi.""))"),"Hemi.")</f>
        <v>Hemi.</v>
      </c>
      <c r="BM21" s="282" t="str">
        <f>IFERROR(__xludf.DUMMYFUNCTION("IF(AS21=""oooooooooooo"",""-"",IF(REGEXMATCH(AT21,""xxx""), ""Cohem."", ""-""))"),"Cohem.")</f>
        <v>Cohem.</v>
      </c>
      <c r="BN21" s="282" t="str">
        <f>IFERROR(__xludf.DUMMYFUNCTION("IF(AS21=""oooooooooooo"",""-"",IF(REGEXMATCH(AT21,""xxxx""), ""Co-Co."", ""-""))"),"-")</f>
        <v>-</v>
      </c>
      <c r="BO21" s="342" t="str">
        <f>IFERROR(__xludf.DUMMYFUNCTION("IF(AS21=""oooooooooooo"",""-"",IF(REGEXMATCH(AT21,""xxxxx""), ""CCC."", ""-""))"),"-")</f>
        <v>-</v>
      </c>
      <c r="BP21" s="344" t="str">
        <f t="shared" si="27"/>
        <v>Todi</v>
      </c>
      <c r="BQ21" s="282" t="str">
        <f>IFERROR(__xludf.DUMMYFUNCTION("IF(REGEXMATCH(JOIN(""-"",EU21:FD21),""TRUE""),""✔"",""-"")"),"✔")</f>
        <v>✔</v>
      </c>
      <c r="BR21" s="225">
        <f t="shared" si="28"/>
        <v>1</v>
      </c>
      <c r="BS21" s="345" t="str">
        <f>IFERROR(__xludf.DUMMYFUNCTION("SUBSTITUTE(SUBSTITUTE(SUBSTITUTE(SUBSTITUTE(CONCATENATE(JOIN(""-"",GC21:GO21)),""--"",""-""),""--"",""-""),""--"",""-""),""--"",""-"")"),"1-b2-b3-#4-5-b6-7-8")</f>
        <v>1-b2-b3-#4-5-b6-7-8</v>
      </c>
      <c r="BT21" s="299" t="str">
        <f>IFERROR(__xludf.DUMMYFUNCTION("SUBSTITUTE(SUBSTITUTE(SUBSTITUTE(SUBSTITUTE(CONCATENATE(JOIN(""-"",GP21:HB21)),""--"",""-""),""--"",""-""),""--"",""-""),""--"",""-"")"),"S-R1-G2-M2-P-D1-N3-S")</f>
        <v>S-R1-G2-M2-P-D1-N3-S</v>
      </c>
      <c r="BU21" s="348" t="str">
        <f t="shared" si="29"/>
        <v>C-Db-Eb-F#-G-Ab-B-C</v>
      </c>
      <c r="BV21" s="349" t="str">
        <f t="shared" si="30"/>
        <v>SRGmDnS</v>
      </c>
      <c r="BW21" s="350">
        <f t="shared" si="31"/>
        <v>1</v>
      </c>
      <c r="BX21" s="351">
        <f t="shared" si="32"/>
        <v>3</v>
      </c>
      <c r="BY21" s="352" t="s">
        <v>275</v>
      </c>
      <c r="BZ21" s="309" t="str">
        <f>IFERROR(__xludf.DUMMYFUNCTION("IF(REGEXMATCH(C21, ""S""), ""x"",""x"")"),"x")</f>
        <v>x</v>
      </c>
      <c r="CA21" s="245" t="str">
        <f>IFERROR(__xludf.DUMMYFUNCTION("IF(REGEXMATCH(C21, ""r""), ""o"",""x"")"),"o")</f>
        <v>o</v>
      </c>
      <c r="CB21" s="246" t="str">
        <f>IFERROR(__xludf.DUMMYFUNCTION("IF(REGEXMATCH(C21, ""R""), ""o"",""x"")"),"x")</f>
        <v>x</v>
      </c>
      <c r="CC21" s="246" t="str">
        <f>IFERROR(__xludf.DUMMYFUNCTION("IF(REGEXMATCH(C21, ""g""), ""o"",""x"")"),"o")</f>
        <v>o</v>
      </c>
      <c r="CD21" s="245" t="str">
        <f>IFERROR(__xludf.DUMMYFUNCTION("IF(REGEXMATCH(C21, ""G""), ""o"",""x"")"),"x")</f>
        <v>x</v>
      </c>
      <c r="CE21" s="245" t="str">
        <f>IFERROR(__xludf.DUMMYFUNCTION("IF(REGEXMATCH(C21, ""m""), ""o"",""x"")"),"x")</f>
        <v>x</v>
      </c>
      <c r="CF21" s="246" t="str">
        <f>IFERROR(__xludf.DUMMYFUNCTION("IF(REGEXMATCH(C21, ""M""), ""o"",""x"")"),"o")</f>
        <v>o</v>
      </c>
      <c r="CG21" s="245" t="str">
        <f>IFERROR(__xludf.DUMMYFUNCTION("IF(REGEXMATCH(C21, ""P""), ""o"",""x"")"),"o")</f>
        <v>o</v>
      </c>
      <c r="CH21" s="246" t="str">
        <f>IFERROR(__xludf.DUMMYFUNCTION("IF(REGEXMATCH(C21, ""d""), ""o"",""x"")"),"o")</f>
        <v>o</v>
      </c>
      <c r="CI21" s="245" t="str">
        <f>IFERROR(__xludf.DUMMYFUNCTION("IF(REGEXMATCH(C21, ""D""), ""o"",""x"")"),"x")</f>
        <v>x</v>
      </c>
      <c r="CJ21" s="245" t="str">
        <f>IFERROR(__xludf.DUMMYFUNCTION("IF(REGEXMATCH(C21, ""n""), ""o"",""x"")"),"x")</f>
        <v>x</v>
      </c>
      <c r="CK21" s="245" t="str">
        <f>IFERROR(__xludf.DUMMYFUNCTION("IF(REGEXMATCH(C21, ""N""), ""o"",""x"")"),"o")</f>
        <v>o</v>
      </c>
      <c r="CL21" s="356" t="str">
        <f>IFERROR(__xludf.DUMMYFUNCTION("IF(REGEXMATCH(C21, ""S""), ""x"",""x"")"),"x")</f>
        <v>x</v>
      </c>
      <c r="CM21" s="357" t="str">
        <f t="shared" si="33"/>
        <v>xoxoxxoooxxo</v>
      </c>
      <c r="CN21" s="358">
        <f t="shared" si="34"/>
        <v>1</v>
      </c>
      <c r="CO21" s="246" t="str">
        <f>IFERROR(__xludf.DUMMYFUNCTION("IF(REGEXMATCH($C21, ""S""), ""S"",""S"")"),"S")</f>
        <v>S</v>
      </c>
      <c r="CP21" s="246" t="str">
        <f>IFERROR(__xludf.DUMMYFUNCTION("IF(REGEXMATCH($C21, ""r""), """",""r"")"),"")</f>
        <v/>
      </c>
      <c r="CQ21" s="246" t="str">
        <f>IFERROR(__xludf.DUMMYFUNCTION("IF(REGEXMATCH($C21, ""R""), """",""R"")"),"R")</f>
        <v>R</v>
      </c>
      <c r="CR21" s="246" t="str">
        <f>IFERROR(__xludf.DUMMYFUNCTION("IF(REGEXMATCH($C21, ""g""), """",""g"")"),"")</f>
        <v/>
      </c>
      <c r="CS21" s="246" t="str">
        <f>IFERROR(__xludf.DUMMYFUNCTION("IF(REGEXMATCH($C21, ""G""), """",""G"")"),"G")</f>
        <v>G</v>
      </c>
      <c r="CT21" s="246" t="str">
        <f>IFERROR(__xludf.DUMMYFUNCTION("IF(REGEXMATCH($C21, ""m""), """",""m"")"),"m")</f>
        <v>m</v>
      </c>
      <c r="CU21" s="246" t="str">
        <f>IFERROR(__xludf.DUMMYFUNCTION("IF(REGEXMATCH($C21, ""M""), """",""M"")"),"")</f>
        <v/>
      </c>
      <c r="CV21" s="246" t="str">
        <f>IFERROR(__xludf.DUMMYFUNCTION("IF(REGEXMATCH($C21, ""P""), """",""P"")"),"")</f>
        <v/>
      </c>
      <c r="CW21" s="246" t="str">
        <f>IFERROR(__xludf.DUMMYFUNCTION("IF(REGEXMATCH($C21, ""d""), """",""d"")"),"")</f>
        <v/>
      </c>
      <c r="CX21" s="246" t="str">
        <f>IFERROR(__xludf.DUMMYFUNCTION("IF(REGEXMATCH($C21, ""D""), """",""D"")"),"D")</f>
        <v>D</v>
      </c>
      <c r="CY21" s="246" t="str">
        <f>IFERROR(__xludf.DUMMYFUNCTION("IF(REGEXMATCH($C21, ""n""), """",""n"")"),"n")</f>
        <v>n</v>
      </c>
      <c r="CZ21" s="246" t="str">
        <f>IFERROR(__xludf.DUMMYFUNCTION("IF(REGEXMATCH($C21, ""N""), """",""N"")"),"")</f>
        <v/>
      </c>
      <c r="DA21" s="246" t="str">
        <f>IFERROR(__xludf.DUMMYFUNCTION("IF(REGEXMATCH($C21, ""S""), ""S"",""S"")"),"S")</f>
        <v>S</v>
      </c>
      <c r="DB21" s="362" t="str">
        <f>IFERROR(__xludf.DUMMYFUNCTION("JOIN("""",CO21:DA21,"""","""")"),"SRGmDnS")</f>
        <v>SRGmDnS</v>
      </c>
      <c r="DC21" s="363"/>
      <c r="DD21" s="301" t="str">
        <f t="shared" si="35"/>
        <v>#REF!</v>
      </c>
      <c r="DE21" s="302" t="str">
        <f t="shared" si="36"/>
        <v>#REF!</v>
      </c>
      <c r="DF21" s="301" t="str">
        <f t="shared" ref="DF21:DG21" si="231">SUBSTITUTE(S21,"-","")</f>
        <v>SRGM</v>
      </c>
      <c r="DG21" s="301" t="str">
        <f t="shared" si="231"/>
        <v>PDNS</v>
      </c>
      <c r="DH21" s="302" t="str">
        <f t="shared" si="38"/>
        <v>Todi</v>
      </c>
      <c r="DI21" s="301" t="str">
        <f t="shared" si="39"/>
        <v>Hemi.</v>
      </c>
      <c r="DJ21" s="364" t="str">
        <f t="shared" si="40"/>
        <v>Cohem.</v>
      </c>
      <c r="DK21" s="306" t="str">
        <f t="shared" si="41"/>
        <v>Todi</v>
      </c>
      <c r="DL21" s="366" t="str">
        <f t="shared" si="42"/>
        <v>-</v>
      </c>
      <c r="DM21" s="308" t="str">
        <f t="shared" si="43"/>
        <v>-</v>
      </c>
      <c r="DN21" s="306" t="str">
        <f t="shared" si="44"/>
        <v>-</v>
      </c>
      <c r="DO21" s="306" t="str">
        <f t="shared" si="45"/>
        <v>-</v>
      </c>
      <c r="DP21" s="367" t="str">
        <f t="shared" si="46"/>
        <v>✔</v>
      </c>
      <c r="DQ21" s="310" t="str">
        <f t="shared" si="47"/>
        <v>-</v>
      </c>
      <c r="DR21" s="310" t="str">
        <f t="shared" si="48"/>
        <v>-</v>
      </c>
      <c r="DS21" s="310" t="str">
        <f t="shared" si="49"/>
        <v>-</v>
      </c>
      <c r="DT21" s="310" t="str">
        <f t="shared" si="50"/>
        <v>-</v>
      </c>
      <c r="DU21" s="370" t="str">
        <f t="shared" si="51"/>
        <v>-</v>
      </c>
      <c r="DV21" s="306" t="str">
        <f t="shared" si="52"/>
        <v>-</v>
      </c>
      <c r="DW21" s="306" t="str">
        <f t="shared" si="53"/>
        <v>-</v>
      </c>
      <c r="DX21" s="306" t="str">
        <f t="shared" si="54"/>
        <v>-</v>
      </c>
      <c r="DY21" s="306" t="str">
        <f t="shared" si="55"/>
        <v>-</v>
      </c>
      <c r="DZ21" s="306" t="str">
        <f t="shared" si="56"/>
        <v>-</v>
      </c>
      <c r="EA21" s="367" t="str">
        <f t="shared" si="57"/>
        <v>-</v>
      </c>
      <c r="EB21" s="310" t="str">
        <f>IFERROR(__xludf.DUMMYFUNCTION("IF(REGEXMATCH(AW21,AS21),""✔"",""-"")"),"-")</f>
        <v>-</v>
      </c>
      <c r="EC21" s="310" t="str">
        <f t="shared" si="58"/>
        <v>#REF!</v>
      </c>
      <c r="ED21" s="370" t="str">
        <f t="shared" si="59"/>
        <v>-</v>
      </c>
      <c r="EE21" s="340" t="str">
        <f t="shared" si="60"/>
        <v>S-r-g-M-P-d-N-S</v>
      </c>
      <c r="EF21" s="371" t="str">
        <f>IFERROR(__xludf.DUMMYFUNCTION("CONCATENATE(JOIN("""",HC21:HO21))"),"SrGmMDNS")</f>
        <v>SrGmMDNS</v>
      </c>
      <c r="EG21" s="372">
        <f t="shared" si="61"/>
        <v>2</v>
      </c>
      <c r="EH21" s="373" t="str">
        <f>IFERROR(__xludf.DUMMYFUNCTION("CONCATENATE(JOIN("""",JC21:JO21))"),"ga, Pa, ")</f>
        <v>ga, Pa, </v>
      </c>
      <c r="EI21" s="322">
        <f t="shared" si="62"/>
        <v>0</v>
      </c>
      <c r="EJ21" s="374" t="str">
        <f>IFERROR(__xludf.DUMMYFUNCTION("CONCATENATE(JOIN("""",KC21:KO21))"),"")</f>
        <v/>
      </c>
      <c r="EK21" s="325" t="str">
        <f t="shared" si="63"/>
        <v>S-R1-G2-M2-P-D1-N3-S</v>
      </c>
      <c r="EL21" s="326" t="str">
        <f t="shared" si="64"/>
        <v>1-b2-b3-#4-5-b6-7-8</v>
      </c>
      <c r="EM21" s="318" t="str">
        <f t="shared" si="65"/>
        <v>#REF!</v>
      </c>
      <c r="EN21" s="328" t="str">
        <f>IFERROR(__xludf.DUMMYFUNCTION("SUBSTITUTE(SUBSTITUTE(SUBSTITUTE(SUBSTITUTE(CONCATENATE(JOIN("" "",HP21:IB21)),""  "","" ""),""  "","" ""),""  "","" ""),""  "","" "")"),"o o • o • • o o o • • o o")</f>
        <v>o o • o • • o o o • • o o</v>
      </c>
      <c r="EO21" s="368" t="str">
        <f t="shared" si="66"/>
        <v>Sa-Pa</v>
      </c>
      <c r="EP21" s="339" t="str">
        <f t="shared" si="67"/>
        <v>Sa-Pa</v>
      </c>
      <c r="EQ21" s="339" t="str">
        <f t="shared" si="68"/>
        <v>Sa-Pa</v>
      </c>
      <c r="ER21" s="339" t="str">
        <f t="shared" si="69"/>
        <v>-</v>
      </c>
      <c r="ES21" s="340" t="str">
        <f t="shared" si="70"/>
        <v>-</v>
      </c>
      <c r="ET21" s="363"/>
      <c r="EU21" s="376" t="b">
        <f>IFERROR(__xludf.DUMMYFUNCTION("arrayformula(sum(--REGEXMATCH(""SRGMPDNS"",split(REGEXREPLACE(C21,""(.)"",""$1~""),""~""))))=len(C21)
"),FALSE)</f>
        <v>0</v>
      </c>
      <c r="EV21" s="290" t="b">
        <f>IFERROR(__xludf.DUMMYFUNCTION("arrayformula(sum(--REGEXMATCH(""SRGmPDNS"",split(REGEXREPLACE(C21,""(.)"",""$1~""),""~""))))=len(C21)"),FALSE)</f>
        <v>0</v>
      </c>
      <c r="EW21" s="290" t="b">
        <f>IFERROR(__xludf.DUMMYFUNCTION("arrayformula(sum(--REGEXMATCH(""SRGmPDnS"",split(REGEXREPLACE(C21,""(.)"",""$1~""),""~""))))=len(C21)"),FALSE)</f>
        <v>0</v>
      </c>
      <c r="EX21" s="290" t="b">
        <f>IFERROR(__xludf.DUMMYFUNCTION("arrayformula(sum(--REGEXMATCH(""SRgmPDnS"",split(REGEXREPLACE(C21,""(.)"",""$1~""),""~""))))=len(C21)"),FALSE)</f>
        <v>0</v>
      </c>
      <c r="EY21" s="290" t="b">
        <f>IFERROR(__xludf.DUMMYFUNCTION("arrayformula(sum(--REGEXMATCH(""SRgmPdnS"",split(REGEXREPLACE(C21,""(.)"",""$1~""),""~""))))=len(C21)"),FALSE)</f>
        <v>0</v>
      </c>
      <c r="EZ21" s="290" t="b">
        <f>IFERROR(__xludf.DUMMYFUNCTION("arrayformula(sum(--REGEXMATCH(""SrgmPdnS"",split(REGEXREPLACE(C21,""(.)"",""$1~""),""~""))))=len(C21)"),FALSE)</f>
        <v>0</v>
      </c>
      <c r="FA21" s="290" t="b">
        <f>IFERROR(__xludf.DUMMYFUNCTION("arrayformula(sum(--REGEXMATCH(""SrGmPdNS"",split(REGEXREPLACE(C21,""(.)"",""$1~""),""~""))))=len(C21)"),FALSE)</f>
        <v>0</v>
      </c>
      <c r="FB21" s="290" t="b">
        <f>IFERROR(__xludf.DUMMYFUNCTION("arrayformula(sum(--REGEXMATCH(""SrGMPDNS"",split(REGEXREPLACE(C21,""(.)"",""$1~""),""~""))))=len(C21)"),FALSE)</f>
        <v>0</v>
      </c>
      <c r="FC21" s="290" t="b">
        <f>IFERROR(__xludf.DUMMYFUNCTION("arrayformula(sum(--REGEXMATCH(""SrGMPdNS"",split(REGEXREPLACE(C21,""(.)"",""$1~""),""~""))))=len(C21)"),FALSE)</f>
        <v>0</v>
      </c>
      <c r="FD21" s="377" t="b">
        <f>IFERROR(__xludf.DUMMYFUNCTION("arrayformula(sum(--REGEXMATCH(""SrgMPdNS"",split(REGEXREPLACE(C21,""(.)"",""$1~""),""~""))))=len(C21)"),TRUE)</f>
        <v>1</v>
      </c>
      <c r="FE21" s="269" t="str">
        <f t="shared" si="71"/>
        <v>xoxooxxxoox</v>
      </c>
      <c r="FF21" s="269" t="str">
        <f t="shared" si="72"/>
        <v>-</v>
      </c>
      <c r="FG21" s="271" t="str">
        <f t="shared" si="73"/>
        <v>xooxxxooxxx</v>
      </c>
      <c r="FH21" s="269" t="str">
        <f t="shared" si="74"/>
        <v>-</v>
      </c>
      <c r="FI21" s="271" t="str">
        <f t="shared" si="75"/>
        <v>-</v>
      </c>
      <c r="FJ21" s="271" t="str">
        <f t="shared" si="76"/>
        <v>xxxooxxxoxo</v>
      </c>
      <c r="FK21" s="271" t="str">
        <f t="shared" si="77"/>
        <v>xxooxxxoxoo</v>
      </c>
      <c r="FL21" s="271" t="str">
        <f t="shared" si="78"/>
        <v>xooxxxoxoox</v>
      </c>
      <c r="FM21" s="271" t="str">
        <f t="shared" si="79"/>
        <v>-</v>
      </c>
      <c r="FN21" s="271" t="str">
        <f t="shared" si="80"/>
        <v>-</v>
      </c>
      <c r="FO21" s="274" t="str">
        <f t="shared" si="81"/>
        <v>xxxoxooxxxo</v>
      </c>
      <c r="FP21" s="234" t="str">
        <f t="shared" si="82"/>
        <v>|</v>
      </c>
      <c r="FQ21" s="236" t="str">
        <f t="shared" si="83"/>
        <v>|</v>
      </c>
      <c r="FR21" s="237" t="str">
        <f t="shared" si="84"/>
        <v>-</v>
      </c>
      <c r="FS21" s="236" t="str">
        <f t="shared" si="85"/>
        <v>|</v>
      </c>
      <c r="FT21" s="237" t="str">
        <f t="shared" si="86"/>
        <v>-</v>
      </c>
      <c r="FU21" s="236" t="str">
        <f t="shared" si="87"/>
        <v>-</v>
      </c>
      <c r="FV21" s="237" t="str">
        <f t="shared" si="88"/>
        <v>|</v>
      </c>
      <c r="FW21" s="236" t="str">
        <f t="shared" si="89"/>
        <v>|</v>
      </c>
      <c r="FX21" s="237" t="str">
        <f t="shared" si="90"/>
        <v>|</v>
      </c>
      <c r="FY21" s="236" t="str">
        <f t="shared" si="91"/>
        <v>-</v>
      </c>
      <c r="FZ21" s="237" t="str">
        <f t="shared" si="92"/>
        <v>-</v>
      </c>
      <c r="GA21" s="236" t="str">
        <f t="shared" si="93"/>
        <v>|</v>
      </c>
      <c r="GB21" s="238" t="str">
        <f t="shared" si="94"/>
        <v>|</v>
      </c>
      <c r="GC21" s="244" t="str">
        <f>IFERROR(__xludf.DUMMYFUNCTION("IF(REGEXMATCH(C21, ""S""), ""1"","""")"),"1")</f>
        <v>1</v>
      </c>
      <c r="GD21" s="245" t="str">
        <f>IFERROR(__xludf.DUMMYFUNCTION("IF(REGEXMATCH(C21, ""r""), ""b2"","""")"),"b2")</f>
        <v>b2</v>
      </c>
      <c r="GE21" s="246" t="str">
        <f>IFERROR(__xludf.DUMMYFUNCTION("IF(REGEXMATCH(C21, ""R""), ""2"","""")"),"")</f>
        <v/>
      </c>
      <c r="GF21" s="246" t="str">
        <f>IFERROR(__xludf.DUMMYFUNCTION("IF(REGEXMATCH(C21, ""g""), ""b3"","""")"),"b3")</f>
        <v>b3</v>
      </c>
      <c r="GG21" s="245" t="str">
        <f>IFERROR(__xludf.DUMMYFUNCTION("IF(REGEXMATCH(C21, ""G""), ""3"","""")"),"")</f>
        <v/>
      </c>
      <c r="GH21" s="245" t="str">
        <f>IFERROR(__xludf.DUMMYFUNCTION("IF(REGEXMATCH(C21, ""m""), ""4"","""")"),"")</f>
        <v/>
      </c>
      <c r="GI21" s="246" t="str">
        <f>IFERROR(__xludf.DUMMYFUNCTION("IF(REGEXMATCH(C21, ""M""), ""#4"","""")"),"#4")</f>
        <v>#4</v>
      </c>
      <c r="GJ21" s="245" t="str">
        <f>IFERROR(__xludf.DUMMYFUNCTION("IF(REGEXMATCH(C21, ""P""), ""5"","""")"),"5")</f>
        <v>5</v>
      </c>
      <c r="GK21" s="246" t="str">
        <f>IFERROR(__xludf.DUMMYFUNCTION("IF(REGEXMATCH(C21, ""d""), ""b6"","""")"),"b6")</f>
        <v>b6</v>
      </c>
      <c r="GL21" s="245" t="str">
        <f>IFERROR(__xludf.DUMMYFUNCTION("IF(REGEXMATCH(C21, ""D""), ""6"","""")"),"")</f>
        <v/>
      </c>
      <c r="GM21" s="245" t="str">
        <f>IFERROR(__xludf.DUMMYFUNCTION("IF(REGEXMATCH(C21, ""n""), ""b7"","""")"),"")</f>
        <v/>
      </c>
      <c r="GN21" s="246" t="str">
        <f>IFERROR(__xludf.DUMMYFUNCTION("IF(REGEXMATCH(C21, ""N""), ""7"","""")"),"7")</f>
        <v>7</v>
      </c>
      <c r="GO21" s="249" t="str">
        <f>IFERROR(__xludf.DUMMYFUNCTION("IF(REGEXMATCH(C21, ""S""), ""8"","""")"),"8")</f>
        <v>8</v>
      </c>
      <c r="GP21" s="244" t="str">
        <f>IFERROR(__xludf.DUMMYFUNCTION("IF(REGEXMATCH(C21, ""S""), ""S"","""")"),"S")</f>
        <v>S</v>
      </c>
      <c r="GQ21" s="294" t="str">
        <f>IFERROR(__xludf.DUMMYFUNCTION("IF(REGEXMATCH(C21, ""r""), ""R1"","""")"),"R1")</f>
        <v>R1</v>
      </c>
      <c r="GR21" s="295" t="str">
        <f>IFERROR(__xludf.DUMMYFUNCTION("IF(REGEXMATCH(C21, ""R""), ""R2"","""")"),"")</f>
        <v/>
      </c>
      <c r="GS21" s="295" t="str">
        <f>IFERROR(__xludf.DUMMYFUNCTION("IF(REGEXMATCH(C21, ""g""), ""G2"","""")"),"G2")</f>
        <v>G2</v>
      </c>
      <c r="GT21" s="294" t="str">
        <f>IFERROR(__xludf.DUMMYFUNCTION("IF(REGEXMATCH(C21, ""G""), ""G3"","""")"),"")</f>
        <v/>
      </c>
      <c r="GU21" s="294" t="str">
        <f>IFERROR(__xludf.DUMMYFUNCTION("IF(REGEXMATCH(C21, ""m""), ""M1"","""")"),"")</f>
        <v/>
      </c>
      <c r="GV21" s="295" t="str">
        <f>IFERROR(__xludf.DUMMYFUNCTION("IF(REGEXMATCH(C21, ""M""), ""M2"","""")"),"M2")</f>
        <v>M2</v>
      </c>
      <c r="GW21" s="294" t="str">
        <f>IFERROR(__xludf.DUMMYFUNCTION("IF(REGEXMATCH(C21, ""P""), ""P"","""")"),"P")</f>
        <v>P</v>
      </c>
      <c r="GX21" s="295" t="str">
        <f>IFERROR(__xludf.DUMMYFUNCTION("IF(REGEXMATCH(C21, ""d""), ""D1"","""")"),"D1")</f>
        <v>D1</v>
      </c>
      <c r="GY21" s="294" t="str">
        <f>IFERROR(__xludf.DUMMYFUNCTION("IF(REGEXMATCH(C21, ""D""), ""D2"","""")"),"")</f>
        <v/>
      </c>
      <c r="GZ21" s="294" t="str">
        <f>IFERROR(__xludf.DUMMYFUNCTION("IF(REGEXMATCH(C21, ""n""), ""N2"","""")"),"")</f>
        <v/>
      </c>
      <c r="HA21" s="295" t="str">
        <f>IFERROR(__xludf.DUMMYFUNCTION("IF(REGEXMATCH(C21, ""N""), ""N3"","""")"),"N3")</f>
        <v>N3</v>
      </c>
      <c r="HB21" s="249" t="str">
        <f>IFERROR(__xludf.DUMMYFUNCTION("IF(REGEXMATCH(C21, ""S""), ""S"","""")"),"S")</f>
        <v>S</v>
      </c>
      <c r="HC21" s="331" t="str">
        <f t="shared" si="95"/>
        <v>S</v>
      </c>
      <c r="HD21" s="332" t="str">
        <f t="shared" si="96"/>
        <v>r</v>
      </c>
      <c r="HE21" s="332" t="str">
        <f t="shared" si="97"/>
        <v/>
      </c>
      <c r="HF21" s="332" t="str">
        <f t="shared" si="98"/>
        <v/>
      </c>
      <c r="HG21" s="332" t="str">
        <f t="shared" si="99"/>
        <v>G</v>
      </c>
      <c r="HH21" s="332" t="str">
        <f t="shared" si="100"/>
        <v>m</v>
      </c>
      <c r="HI21" s="332" t="str">
        <f t="shared" si="101"/>
        <v>M</v>
      </c>
      <c r="HJ21" s="332" t="str">
        <f t="shared" si="102"/>
        <v/>
      </c>
      <c r="HK21" s="332" t="str">
        <f t="shared" si="103"/>
        <v/>
      </c>
      <c r="HL21" s="332" t="str">
        <f t="shared" si="104"/>
        <v>D</v>
      </c>
      <c r="HM21" s="332" t="str">
        <f t="shared" si="105"/>
        <v/>
      </c>
      <c r="HN21" s="332" t="str">
        <f t="shared" si="106"/>
        <v>N</v>
      </c>
      <c r="HO21" s="343" t="str">
        <f t="shared" si="107"/>
        <v>S</v>
      </c>
      <c r="HP21" s="331" t="str">
        <f t="shared" si="108"/>
        <v>o</v>
      </c>
      <c r="HQ21" s="332" t="str">
        <f t="shared" si="109"/>
        <v>o</v>
      </c>
      <c r="HR21" s="332" t="str">
        <f t="shared" si="110"/>
        <v>•</v>
      </c>
      <c r="HS21" s="332" t="str">
        <f t="shared" si="111"/>
        <v>o</v>
      </c>
      <c r="HT21" s="332" t="str">
        <f t="shared" si="112"/>
        <v>•</v>
      </c>
      <c r="HU21" s="332" t="str">
        <f t="shared" si="113"/>
        <v>•</v>
      </c>
      <c r="HV21" s="332" t="str">
        <f t="shared" si="114"/>
        <v>o</v>
      </c>
      <c r="HW21" s="332" t="str">
        <f t="shared" si="115"/>
        <v>o</v>
      </c>
      <c r="HX21" s="332" t="str">
        <f t="shared" si="116"/>
        <v>o</v>
      </c>
      <c r="HY21" s="332" t="str">
        <f t="shared" si="117"/>
        <v>•</v>
      </c>
      <c r="HZ21" s="332" t="str">
        <f t="shared" si="118"/>
        <v>•</v>
      </c>
      <c r="IA21" s="332" t="str">
        <f t="shared" si="119"/>
        <v>o</v>
      </c>
      <c r="IB21" s="338" t="str">
        <f t="shared" si="120"/>
        <v>o</v>
      </c>
      <c r="IC21" s="331" t="str">
        <f t="shared" si="121"/>
        <v>•</v>
      </c>
      <c r="ID21" s="332" t="str">
        <f t="shared" si="122"/>
        <v>•</v>
      </c>
      <c r="IE21" s="332" t="str">
        <f t="shared" si="123"/>
        <v>o</v>
      </c>
      <c r="IF21" s="332" t="str">
        <f t="shared" si="124"/>
        <v>•</v>
      </c>
      <c r="IG21" s="332" t="str">
        <f t="shared" si="125"/>
        <v>o</v>
      </c>
      <c r="IH21" s="332" t="str">
        <f t="shared" si="126"/>
        <v>o</v>
      </c>
      <c r="II21" s="332" t="str">
        <f t="shared" si="127"/>
        <v>•</v>
      </c>
      <c r="IJ21" s="332" t="str">
        <f t="shared" si="128"/>
        <v>•</v>
      </c>
      <c r="IK21" s="332" t="str">
        <f t="shared" si="129"/>
        <v>•</v>
      </c>
      <c r="IL21" s="332" t="str">
        <f t="shared" si="130"/>
        <v>o</v>
      </c>
      <c r="IM21" s="332" t="str">
        <f t="shared" si="131"/>
        <v>o</v>
      </c>
      <c r="IN21" s="332" t="str">
        <f t="shared" si="132"/>
        <v>•</v>
      </c>
      <c r="IO21" s="338" t="str">
        <f t="shared" si="133"/>
        <v>•</v>
      </c>
      <c r="IP21" s="346" t="b">
        <f t="shared" si="134"/>
        <v>0</v>
      </c>
      <c r="IQ21" s="347" t="b">
        <f t="shared" si="135"/>
        <v>0</v>
      </c>
      <c r="IR21" s="347" t="b">
        <f t="shared" si="136"/>
        <v>0</v>
      </c>
      <c r="IS21" s="347" t="b">
        <f t="shared" si="137"/>
        <v>1</v>
      </c>
      <c r="IT21" s="347" t="b">
        <f t="shared" si="138"/>
        <v>0</v>
      </c>
      <c r="IU21" s="347" t="b">
        <f t="shared" si="139"/>
        <v>0</v>
      </c>
      <c r="IV21" s="347" t="b">
        <f t="shared" si="140"/>
        <v>0</v>
      </c>
      <c r="IW21" s="347" t="b">
        <f t="shared" si="141"/>
        <v>1</v>
      </c>
      <c r="IX21" s="347" t="b">
        <f t="shared" si="142"/>
        <v>0</v>
      </c>
      <c r="IY21" s="347" t="b">
        <f t="shared" si="143"/>
        <v>0</v>
      </c>
      <c r="IZ21" s="347" t="b">
        <f t="shared" si="144"/>
        <v>0</v>
      </c>
      <c r="JA21" s="347" t="b">
        <f t="shared" si="145"/>
        <v>0</v>
      </c>
      <c r="JB21" s="353" t="b">
        <f t="shared" si="146"/>
        <v>0</v>
      </c>
      <c r="JC21" s="354" t="str">
        <f t="shared" si="147"/>
        <v/>
      </c>
      <c r="JD21" s="355" t="str">
        <f t="shared" si="148"/>
        <v/>
      </c>
      <c r="JE21" s="355" t="str">
        <f t="shared" si="149"/>
        <v/>
      </c>
      <c r="JF21" s="355" t="str">
        <f t="shared" si="150"/>
        <v>ga, </v>
      </c>
      <c r="JG21" s="355" t="str">
        <f t="shared" si="151"/>
        <v/>
      </c>
      <c r="JH21" s="355" t="str">
        <f t="shared" si="152"/>
        <v/>
      </c>
      <c r="JI21" s="355" t="str">
        <f t="shared" si="153"/>
        <v/>
      </c>
      <c r="JJ21" s="355" t="str">
        <f t="shared" si="154"/>
        <v>Pa, </v>
      </c>
      <c r="JK21" s="355" t="str">
        <f t="shared" si="155"/>
        <v/>
      </c>
      <c r="JL21" s="355" t="str">
        <f t="shared" si="156"/>
        <v/>
      </c>
      <c r="JM21" s="355" t="str">
        <f t="shared" si="157"/>
        <v/>
      </c>
      <c r="JN21" s="355" t="str">
        <f t="shared" si="158"/>
        <v/>
      </c>
      <c r="JO21" s="359" t="str">
        <f t="shared" si="159"/>
        <v/>
      </c>
      <c r="JP21" s="346" t="b">
        <f t="shared" si="160"/>
        <v>0</v>
      </c>
      <c r="JQ21" s="347" t="b">
        <f t="shared" si="161"/>
        <v>0</v>
      </c>
      <c r="JR21" s="347" t="b">
        <f t="shared" si="162"/>
        <v>0</v>
      </c>
      <c r="JS21" s="347" t="b">
        <f t="shared" si="163"/>
        <v>0</v>
      </c>
      <c r="JT21" s="347" t="b">
        <f t="shared" si="164"/>
        <v>0</v>
      </c>
      <c r="JU21" s="347" t="b">
        <f t="shared" si="165"/>
        <v>0</v>
      </c>
      <c r="JV21" s="347" t="b">
        <f t="shared" si="166"/>
        <v>0</v>
      </c>
      <c r="JW21" s="347" t="b">
        <f t="shared" si="167"/>
        <v>0</v>
      </c>
      <c r="JX21" s="347" t="b">
        <f t="shared" si="168"/>
        <v>0</v>
      </c>
      <c r="JY21" s="347" t="b">
        <f t="shared" si="169"/>
        <v>0</v>
      </c>
      <c r="JZ21" s="347" t="b">
        <f t="shared" si="170"/>
        <v>0</v>
      </c>
      <c r="KA21" s="347" t="b">
        <f t="shared" si="171"/>
        <v>0</v>
      </c>
      <c r="KB21" s="365" t="b">
        <f t="shared" si="172"/>
        <v>0</v>
      </c>
      <c r="KC21" s="354" t="str">
        <f t="shared" si="173"/>
        <v/>
      </c>
      <c r="KD21" s="355" t="str">
        <f t="shared" si="174"/>
        <v/>
      </c>
      <c r="KE21" s="355" t="str">
        <f t="shared" si="175"/>
        <v/>
      </c>
      <c r="KF21" s="355" t="str">
        <f t="shared" si="176"/>
        <v/>
      </c>
      <c r="KG21" s="355" t="str">
        <f t="shared" si="177"/>
        <v/>
      </c>
      <c r="KH21" s="355" t="str">
        <f t="shared" si="178"/>
        <v/>
      </c>
      <c r="KI21" s="355" t="str">
        <f t="shared" si="179"/>
        <v/>
      </c>
      <c r="KJ21" s="355" t="str">
        <f t="shared" si="180"/>
        <v/>
      </c>
      <c r="KK21" s="355" t="str">
        <f t="shared" si="181"/>
        <v/>
      </c>
      <c r="KL21" s="355" t="str">
        <f t="shared" si="182"/>
        <v/>
      </c>
      <c r="KM21" s="355" t="str">
        <f t="shared" si="183"/>
        <v/>
      </c>
      <c r="KN21" s="355" t="str">
        <f t="shared" si="184"/>
        <v/>
      </c>
      <c r="KO21" s="359"/>
      <c r="KP21" s="378"/>
      <c r="KQ21" s="379" t="s">
        <v>401</v>
      </c>
      <c r="KR21" s="380" t="s">
        <v>1274</v>
      </c>
      <c r="KS21" s="381" t="str">
        <f t="shared" si="232"/>
        <v>S-r-g-M-P-d-N-S</v>
      </c>
      <c r="KT21" s="382">
        <f t="shared" si="186"/>
        <v>7</v>
      </c>
      <c r="KU21" s="383">
        <f t="shared" si="187"/>
        <v>7</v>
      </c>
      <c r="KV21" s="381" t="str">
        <f t="shared" si="205"/>
        <v>S-N-d-P-M-g-r-S</v>
      </c>
      <c r="KW21" s="382">
        <f t="shared" si="189"/>
        <v>7</v>
      </c>
      <c r="KX21" s="384">
        <f t="shared" si="190"/>
        <v>7</v>
      </c>
      <c r="KY21" s="382">
        <f t="shared" ref="KY21:KZ21" si="233">KW21-KT21</f>
        <v>0</v>
      </c>
      <c r="KZ21" s="369">
        <f t="shared" si="233"/>
        <v>0</v>
      </c>
      <c r="LA21" s="385" t="str">
        <f t="shared" si="192"/>
        <v>✔</v>
      </c>
      <c r="LB21" s="340" t="str">
        <f>IFERROR(__xludf.DUMMYFUNCTION("JOIN("""",ArrayFormula(MID(KS21,LEN(KS21)-SEQUENCE(1,LEN(KS21))+1,1)))"),"S-N-d-P-M-g-r-S")</f>
        <v>S-N-d-P-M-g-r-S</v>
      </c>
      <c r="LC21" s="373" t="str">
        <f>IFERROR(__xludf.DUMMYFUNCTION("JOIN("""",ArrayFormula(MID(KV21,LEN(KV21)-SEQUENCE(1,LEN(KV21))+1,1)))"),"S-r-g-M-P-d-N-S")</f>
        <v>S-r-g-M-P-d-N-S</v>
      </c>
      <c r="LD21" s="373" t="str">
        <f t="shared" si="193"/>
        <v>SrgMPdNS</v>
      </c>
      <c r="LE21" s="339" t="str">
        <f t="shared" si="194"/>
        <v>SrgMPdNS</v>
      </c>
      <c r="LF21" s="386" t="str">
        <f>IFERROR(__xludf.DUMMYFUNCTION("SUBSTITUTE(SUBSTITUTE(CONCATENATE(JOIN("""",LH21:LT21)),""1"",""""),""2"","""")"),"SrgMPdNS")</f>
        <v>SrgMPdNS</v>
      </c>
      <c r="LG21" s="369" t="str">
        <f t="shared" si="195"/>
        <v>✔</v>
      </c>
      <c r="LH21" s="387" t="str">
        <f>IFERROR(__xludf.DUMMYFUNCTION("IF(REGEXMATCH(LD21, ""S""), ""S"",IF(REGEXMATCH(LE21, ""S""), ""S"",""""))"),"S")</f>
        <v>S</v>
      </c>
      <c r="LI21" s="299" t="str">
        <f>IFERROR(__xludf.DUMMYFUNCTION("IF(REGEXMATCH(LD21, ""r""), ""r1"",IF(REGEXMATCH(LE21, ""r""), ""r2"",""""))"),"r1")</f>
        <v>r1</v>
      </c>
      <c r="LJ21" s="299" t="str">
        <f>IFERROR(__xludf.DUMMYFUNCTION("IF(REGEXMATCH(LD21, ""R""), ""R1"",IF(REGEXMATCH(LE21, ""R""), ""R2"",""""))"),"")</f>
        <v/>
      </c>
      <c r="LK21" s="299" t="str">
        <f>IFERROR(__xludf.DUMMYFUNCTION("IF(REGEXMATCH(LD21, ""g""), ""g1"",IF(REGEXMATCH(LE21, ""g""), ""g2"",""""))"),"g1")</f>
        <v>g1</v>
      </c>
      <c r="LL21" s="299" t="str">
        <f>IFERROR(__xludf.DUMMYFUNCTION("IF(REGEXMATCH(LD21, ""G""), ""G1"",IF(REGEXMATCH(LE21, ""G""), ""G2"",""""))"),"")</f>
        <v/>
      </c>
      <c r="LM21" s="299" t="str">
        <f>IFERROR(__xludf.DUMMYFUNCTION("IF(REGEXMATCH(LD21, ""m""), ""m1"",IF(REGEXMATCH(LE21, ""m""), ""m2"",""""))"),"")</f>
        <v/>
      </c>
      <c r="LN21" s="299" t="str">
        <f>IFERROR(__xludf.DUMMYFUNCTION("IF(REGEXMATCH(LD21, ""M""), ""M1"",IF(REGEXMATCH(LE21, ""M""), ""M2"",""""))"),"M1")</f>
        <v>M1</v>
      </c>
      <c r="LO21" s="299" t="str">
        <f>IFERROR(__xludf.DUMMYFUNCTION("IF(REGEXMATCH(LD21, ""P""), ""P1"",IF(REGEXMATCH(LE21, ""P""), ""P2"",""""))"),"P1")</f>
        <v>P1</v>
      </c>
      <c r="LP21" s="299" t="str">
        <f>IFERROR(__xludf.DUMMYFUNCTION("IF(REGEXMATCH(LD21, ""d""), ""d1"",IF(REGEXMATCH(LE21, ""d""), ""d2"",""""))"),"d1")</f>
        <v>d1</v>
      </c>
      <c r="LQ21" s="299" t="str">
        <f>IFERROR(__xludf.DUMMYFUNCTION("IF(REGEXMATCH(LD21, ""D""), ""D1"",IF(REGEXMATCH(LE21, ""D""), ""D2"",""""))"),"")</f>
        <v/>
      </c>
      <c r="LR21" s="299" t="str">
        <f>IFERROR(__xludf.DUMMYFUNCTION("IF(REGEXMATCH(LD21, ""n""), ""n1"",IF(REGEXMATCH(LE21, ""n""), ""n2"",""""))"),"")</f>
        <v/>
      </c>
      <c r="LS21" s="299" t="str">
        <f>IFERROR(__xludf.DUMMYFUNCTION("IF(REGEXMATCH(LD21, ""N""), ""N1"",IF(REGEXMATCH(LE21, ""N""), ""N2"",""""))"),"N1")</f>
        <v>N1</v>
      </c>
      <c r="LT21" s="388" t="str">
        <f>IFERROR(__xludf.DUMMYFUNCTION("IF(REGEXMATCH(LD21, ""S""), ""S"",IF(REGEXMATCH(LE21, ""S""), ""S"",""""))"),"S")</f>
        <v>S</v>
      </c>
      <c r="LU21" s="389">
        <f t="shared" si="196"/>
        <v>1</v>
      </c>
      <c r="LV21" s="378"/>
      <c r="LW21" s="369"/>
      <c r="LX21" s="369"/>
    </row>
    <row r="22" ht="20.25" customHeight="1">
      <c r="A22" s="298" t="s">
        <v>552</v>
      </c>
      <c r="B22" s="222" t="s">
        <v>553</v>
      </c>
      <c r="C22" s="233" t="str">
        <f t="shared" si="7"/>
        <v>SrgmdNS</v>
      </c>
      <c r="D22" s="234" t="str">
        <f>IFERROR(__xludf.DUMMYFUNCTION("IF(REGEXMATCH(C22, ""S""), ""S"","""")"),"S")</f>
        <v>S</v>
      </c>
      <c r="E22" s="236" t="str">
        <f>IFERROR(__xludf.DUMMYFUNCTION("IF(REGEXMATCH(C22, ""r""), ""r"","""")"),"r")</f>
        <v>r</v>
      </c>
      <c r="F22" s="237" t="str">
        <f>IFERROR(__xludf.DUMMYFUNCTION("IF(REGEXMATCH(C22, ""R""), ""R"","""")"),"")</f>
        <v/>
      </c>
      <c r="G22" s="237" t="str">
        <f>IFERROR(__xludf.DUMMYFUNCTION("IF(REGEXMATCH(C22, ""g""), ""g"","""")"),"g")</f>
        <v>g</v>
      </c>
      <c r="H22" s="236" t="str">
        <f>IFERROR(__xludf.DUMMYFUNCTION("IF(REGEXMATCH(C22, ""G""), ""G"","""")"),"")</f>
        <v/>
      </c>
      <c r="I22" s="236" t="str">
        <f>IFERROR(__xludf.DUMMYFUNCTION("IF(REGEXMATCH(C22, ""m""), ""m"","""")"),"m")</f>
        <v>m</v>
      </c>
      <c r="J22" s="237" t="str">
        <f>IFERROR(__xludf.DUMMYFUNCTION("IF(REGEXMATCH(C22, ""M""), ""M"","""")"),"")</f>
        <v/>
      </c>
      <c r="K22" s="236" t="str">
        <f>IFERROR(__xludf.DUMMYFUNCTION("IF(REGEXMATCH(C22, ""P""), ""P"","""")"),"")</f>
        <v/>
      </c>
      <c r="L22" s="237" t="str">
        <f>IFERROR(__xludf.DUMMYFUNCTION("IF(REGEXMATCH(C22, ""d""), ""d"","""")"),"d")</f>
        <v>d</v>
      </c>
      <c r="M22" s="236" t="str">
        <f>IFERROR(__xludf.DUMMYFUNCTION("IF(REGEXMATCH(C22, ""D""), ""D"","""")"),"")</f>
        <v/>
      </c>
      <c r="N22" s="236" t="str">
        <f>IFERROR(__xludf.DUMMYFUNCTION("IF(REGEXMATCH(C22, ""n""), ""n"","""")"),"")</f>
        <v/>
      </c>
      <c r="O22" s="237" t="str">
        <f>IFERROR(__xludf.DUMMYFUNCTION("IF(REGEXMATCH(C22, ""N""), ""N"","""")"),"N")</f>
        <v>N</v>
      </c>
      <c r="P22" s="238" t="str">
        <f>IFERROR(__xludf.DUMMYFUNCTION("IF(REGEXMATCH(C22, ""S""), ""S"","""")"),"S")</f>
        <v>S</v>
      </c>
      <c r="Q22" s="239" t="str">
        <f>IFERROR(__xludf.DUMMYFUNCTION("SUBSTITUTE(CONCATENATE(JOIN(""-"",D22:J22)),""-"","""")"),"Srgm")</f>
        <v>Srgm</v>
      </c>
      <c r="R22" s="229" t="str">
        <f>IFERROR(__xludf.DUMMYFUNCTION("SUBSTITUTE(CONCATENATE(JOIN(""-"",K22:P22)),""-"","""")"),"dNS")</f>
        <v>dNS</v>
      </c>
      <c r="S22" s="282" t="str">
        <f t="shared" si="8"/>
        <v>S-R-G-M</v>
      </c>
      <c r="T22" s="282" t="str">
        <f t="shared" si="9"/>
        <v>D-N-S</v>
      </c>
      <c r="U22" s="237" t="str">
        <f>IFERROR(__xludf.DUMMYFUNCTION("SUBSTITUTE(JOIN(""-"",S22,T22),""--"",""-"")"),"S-R-G-M-D-N-S")</f>
        <v>S-R-G-M-D-N-S</v>
      </c>
      <c r="V22" s="309" t="str">
        <f t="shared" si="10"/>
        <v>rgmdN</v>
      </c>
      <c r="W22" s="244" t="str">
        <f>IFERROR(__xludf.DUMMYFUNCTION("IF(REGEXMATCH(C22, ""S""), ""0"","""")"),"0")</f>
        <v>0</v>
      </c>
      <c r="X22" s="245" t="str">
        <f>IFERROR(__xludf.DUMMYFUNCTION("IF(REGEXMATCH(C22, ""r""), ""1"","""")"),"1")</f>
        <v>1</v>
      </c>
      <c r="Y22" s="246" t="str">
        <f>IFERROR(__xludf.DUMMYFUNCTION("IF(REGEXMATCH(C22, ""R""), ""2"","""")"),"")</f>
        <v/>
      </c>
      <c r="Z22" s="246" t="str">
        <f>IFERROR(__xludf.DUMMYFUNCTION("IF(REGEXMATCH(C22, ""g""), ""3"","""")"),"3")</f>
        <v>3</v>
      </c>
      <c r="AA22" s="245" t="str">
        <f>IFERROR(__xludf.DUMMYFUNCTION("IF(REGEXMATCH(C22, ""G""), ""4"","""")"),"")</f>
        <v/>
      </c>
      <c r="AB22" s="245" t="str">
        <f>IFERROR(__xludf.DUMMYFUNCTION("IF(REGEXMATCH(C22, ""m""), ""5"","""")"),"5")</f>
        <v>5</v>
      </c>
      <c r="AC22" s="246" t="str">
        <f>IFERROR(__xludf.DUMMYFUNCTION("IF(REGEXMATCH(C22, ""M""), ""6"","""")"),"")</f>
        <v/>
      </c>
      <c r="AD22" s="245" t="str">
        <f>IFERROR(__xludf.DUMMYFUNCTION("IF(REGEXMATCH(C22, ""P""), ""7"","""")"),"")</f>
        <v/>
      </c>
      <c r="AE22" s="246" t="str">
        <f>IFERROR(__xludf.DUMMYFUNCTION("IF(REGEXMATCH(C22, ""d""), ""8"","""")"),"8")</f>
        <v>8</v>
      </c>
      <c r="AF22" s="245" t="str">
        <f>IFERROR(__xludf.DUMMYFUNCTION("IF(REGEXMATCH(C22, ""D""), ""9"","""")"),"")</f>
        <v/>
      </c>
      <c r="AG22" s="245" t="str">
        <f>IFERROR(__xludf.DUMMYFUNCTION("IF(REGEXMATCH(C22, ""n""), ""10"","""")"),"")</f>
        <v/>
      </c>
      <c r="AH22" s="246" t="str">
        <f>IFERROR(__xludf.DUMMYFUNCTION("IF(REGEXMATCH(C22, ""N""), ""11"","""")"),"11")</f>
        <v>11</v>
      </c>
      <c r="AI22" s="249" t="str">
        <f>IFERROR(__xludf.DUMMYFUNCTION("IF(REGEXMATCH(C22, ""S""), ""0"","""")"),"0")</f>
        <v>0</v>
      </c>
      <c r="AJ22" s="313" t="str">
        <f t="shared" si="11"/>
        <v>-</v>
      </c>
      <c r="AK22" s="313" t="str">
        <f t="shared" si="12"/>
        <v>-</v>
      </c>
      <c r="AL22" s="313" t="str">
        <f t="shared" si="13"/>
        <v>-</v>
      </c>
      <c r="AM22" s="313" t="str">
        <f t="shared" si="14"/>
        <v>-</v>
      </c>
      <c r="AN22" s="313" t="str">
        <f t="shared" si="15"/>
        <v>-</v>
      </c>
      <c r="AO22" s="314" t="str">
        <f t="shared" si="16"/>
        <v>T</v>
      </c>
      <c r="AP22" s="316">
        <f t="shared" si="17"/>
        <v>1</v>
      </c>
      <c r="AQ22" s="319" t="str">
        <f t="shared" si="18"/>
        <v>#REF!</v>
      </c>
      <c r="AR22" s="320">
        <f t="shared" si="19"/>
        <v>0</v>
      </c>
      <c r="AS22" s="250" t="str">
        <f>IFERROR(__xludf.DUMMYFUNCTION("SUBSTITUTE(SUBSTITUTE(CONCATENATE(JOIN("""",FP22:GA22)),""|"",""x""),""-"",""o"")"),"xxoxoxooxoox")</f>
        <v>xxoxoxooxoox</v>
      </c>
      <c r="AT22" s="323" t="str">
        <f>IFERROR(__xludf.DUMMYFUNCTION("JOIN("""",AS22,AS22)"),"xxoxoxooxooxxxoxoxooxoox")</f>
        <v>xxoxoxooxooxxxoxoxooxoox</v>
      </c>
      <c r="AU22" s="256" t="str">
        <f>IFERROR(__xludf.DUMMYFUNCTION("JOIN("""",ArrayFormula(MID(AS22,LEN(AS22)-SEQUENCE(1,LEN(AS22))+1,1)))"),"xooxooxoxoxx")</f>
        <v>xooxooxoxoxx</v>
      </c>
      <c r="AV22" s="256" t="str">
        <f>IFERROR(__xludf.DUMMYFUNCTION("LEFT(CONCATENATE(""x"",JOIN("""",ArrayFormula(MID(AS22,LEN(AS22)-SEQUENCE(1,LEN(AS22))+1,1)))),12)"),"xxooxooxoxox")</f>
        <v>xxooxooxoxox</v>
      </c>
      <c r="AW22" s="327" t="str">
        <f>IFERROR(__xludf.DUMMYFUNCTION("JOIN("""",AU22,AU22)"),"xooxooxoxoxxxooxooxoxoxx")</f>
        <v>xooxooxoxoxxxooxooxoxoxx</v>
      </c>
      <c r="AX22" s="239" t="str">
        <f>IFERROR(__xludf.DUMMYFUNCTION("IF(REGEXMATCH(AW22,AS22),""✔"",""-"")"),"-")</f>
        <v>-</v>
      </c>
      <c r="AY22" s="330" t="str">
        <f t="shared" si="20"/>
        <v>-</v>
      </c>
      <c r="AZ22" s="260" t="str">
        <f t="shared" si="21"/>
        <v>#REF!</v>
      </c>
      <c r="BA22" s="333" t="str">
        <f t="shared" si="22"/>
        <v>xxoxoxo</v>
      </c>
      <c r="BB22" s="334" t="str">
        <f t="shared" si="23"/>
        <v>oxooxx</v>
      </c>
      <c r="BC22" s="335" t="str">
        <f t="shared" ref="BC22:BC369" si="236">IF((LEFT(BA22,6))=BB22,"✔","-")</f>
        <v>-</v>
      </c>
      <c r="BD22" s="336" t="str">
        <f t="shared" si="25"/>
        <v>Antardhwani: 'xxoxoxo' + 'oxooxx'</v>
      </c>
      <c r="BE22" s="337">
        <f>IFERROR(__xludf.DUMMYFUNCTION("COUNTUNIQUE(FILTER(AT:AT,REGEXMATCH(AT:AT,AS22)))-1"),0.0)</f>
        <v>0</v>
      </c>
      <c r="BF22" s="261" t="str">
        <f>IFERROR(__xludf.DUMMYFUNCTION("IF(BI22=0,""(n/a)"",IF(BJ22=2,""(PAIR)"",IF(REGEXMATCH(AT22,""xoxoxxoxoxox""),""Bilawal"",IF(REGEXMATCH(AT22,""xoxoxooxoxoo""),""Bhupali"",IF(REGEXMATCH(AT22,""xoxoxxoxxoxo""),""Charukeshi"",IF(REGEXMATCH(AT22,""xoxoooxxoxxo""),""Kameshwari"",IF(REGEXMATC"&amp;"H(AT22,""xoxoxooxoxox""),""Shankara"",IF(REGEXMATCH(AT22,""xxooxoxxxoox""),""Basant"",IF(REGEXMATCH(AT22,""xoxoxxxxoxox""),""Bihag"",IF(REGEXMATCH(AT22,""xoxxxxoxoxxx""),""Pilu"",IF(REGEXMATCH(AT22,""xoxxoxoxxoox""),""Kirwani"",IF(REGEXMATCH(AT22,""xoxxox"&amp;"oxoxxx""),""Mk.Malhar"",IF(REGEXMATCH(AT22,""xxooxxoxxoox""),""Bhairav"",IF(REGEXMATCH(AT22,""xxoxooxxxoox""),""Todi"",IF(REGEXMATCH(AT22,""xxooxoxooxox""),""Marwa"",IF(REGEXMATCH(AT22,""xxoooxoxxooo""),""Gunkali"",IF(REGEXMATCH(AT22,""xoxoxxoxxoox""),""N"&amp;"at Bhairav"",IF(REGEXMATCH(AT22,""xoxxoooxoxoo""),""Shivranjani"",IF(REGEXMATCH(AT22,""xooxxxoxooxo""),""Jog"",IF(REGEXMATCH(AT22,""xxooxoxoxoox""),""Hemshri"",IF(REGEXMATCH(AT22,""xoooxooxoxxo""),""Kalavati"",IF(REGEXMATCH(AT22,""xxoxoxxoxoox""),""Kedar"&amp;""",IF(REGEXMATCH(AT22,""xoxxxxoxooxx""),""Gara"",IF(REGEXMATCH(AT22,""xooxoxooxoox""),""Chandrakauns"",IF(REGEXMATCH(AT22,""xoxxxxoxxxox""),""Mand"",IF(REGEXMATCH(AT22,""xoxxxxoxoxox""),""Hanskinkini"",IF(REGEXMATCH(AT22,""xxooxxoxooxo""),""Lilavati"",IF("&amp;"REGEXMATCH(AT22,""xooxoxoooxox""),""Rajeshwari"",IF(REGEXMATCH(AT22,""xoooxxoxoxxx""),""Khokar"",IF(REGEXMATCH(AT22,""xxooxoxxxxox""),""Maligoura"",""-""))))))))))))))))))))))))))))))"),"(n/a)")</f>
        <v>(n/a)</v>
      </c>
      <c r="BG22" s="239" t="str">
        <f t="shared" si="26"/>
        <v>#REF!</v>
      </c>
      <c r="BH22" s="239">
        <f>IFERROR(__xludf.DUMMYFUNCTION("COUNTUNIQUE(FE22:FO22)-1"),5.0)</f>
        <v>5</v>
      </c>
      <c r="BI22" s="239">
        <f>IFERROR(__xludf.DUMMYFUNCTION("COUNTUNIQUE(FILTER(AT:AT,REGEXMATCH(AT:AT,AS22)))-1"),0.0)</f>
        <v>0</v>
      </c>
      <c r="BJ22" s="239">
        <f>IFERROR(__xludf.DUMMYFUNCTION("COUNTA(FILTER(AT:AT,REGEXMATCH(AT:AT,AS22)))"),2.0)</f>
        <v>2</v>
      </c>
      <c r="BK22" s="341">
        <f>IFERROR(__xludf.DUMMYFUNCTION("COUNTA(FILTER(AT:AT,REGEXMATCH(AT:AT,AS22)))-AR22"),2.0)</f>
        <v>2</v>
      </c>
      <c r="BL22" s="276" t="str">
        <f>IFERROR(__xludf.DUMMYFUNCTION("IF(AS22=""oooooooooooo"",""-"",IF(REGEXMATCH(AT22,""xx""), ""Hemi."", ""Anhemi.""))"),"Hemi.")</f>
        <v>Hemi.</v>
      </c>
      <c r="BM22" s="282" t="str">
        <f>IFERROR(__xludf.DUMMYFUNCTION("IF(AS22=""oooooooooooo"",""-"",IF(REGEXMATCH(AT22,""xxx""), ""Cohem."", ""-""))"),"Cohem.")</f>
        <v>Cohem.</v>
      </c>
      <c r="BN22" s="282" t="str">
        <f>IFERROR(__xludf.DUMMYFUNCTION("IF(AS22=""oooooooooooo"",""-"",IF(REGEXMATCH(AT22,""xxxx""), ""Co-Co."", ""-""))"),"-")</f>
        <v>-</v>
      </c>
      <c r="BO22" s="342" t="str">
        <f>IFERROR(__xludf.DUMMYFUNCTION("IF(AS22=""oooooooooooo"",""-"",IF(REGEXMATCH(AT22,""xxxxx""), ""CCC."", ""-""))"),"-")</f>
        <v>-</v>
      </c>
      <c r="BP22" s="344" t="str">
        <f t="shared" si="27"/>
        <v>-</v>
      </c>
      <c r="BQ22" s="282" t="str">
        <f>IFERROR(__xludf.DUMMYFUNCTION("IF(REGEXMATCH(JOIN(""-"",EU22:FD22),""TRUE""),""✔"",""-"")"),"-")</f>
        <v>-</v>
      </c>
      <c r="BR22" s="225">
        <f t="shared" si="28"/>
        <v>0</v>
      </c>
      <c r="BS22" s="345" t="str">
        <f>IFERROR(__xludf.DUMMYFUNCTION("SUBSTITUTE(SUBSTITUTE(SUBSTITUTE(SUBSTITUTE(CONCATENATE(JOIN(""-"",GC22:GO22)),""--"",""-""),""--"",""-""),""--"",""-""),""--"",""-"")"),"1-b2-b3-4-b6-7-8")</f>
        <v>1-b2-b3-4-b6-7-8</v>
      </c>
      <c r="BT22" s="299" t="str">
        <f>IFERROR(__xludf.DUMMYFUNCTION("SUBSTITUTE(SUBSTITUTE(SUBSTITUTE(SUBSTITUTE(CONCATENATE(JOIN(""-"",GP22:HB22)),""--"",""-""),""--"",""-""),""--"",""-""),""--"",""-"")"),"S-R1-G2-M1-D1-N3-S")</f>
        <v>S-R1-G2-M1-D1-N3-S</v>
      </c>
      <c r="BU22" s="348" t="str">
        <f t="shared" si="29"/>
        <v>C-Db-Eb-F-Ab-B-C</v>
      </c>
      <c r="BV22" s="349" t="str">
        <f t="shared" si="30"/>
        <v>SRGMPDnS</v>
      </c>
      <c r="BW22" s="350">
        <f t="shared" si="31"/>
        <v>1</v>
      </c>
      <c r="BX22" s="351">
        <f t="shared" si="32"/>
        <v>2</v>
      </c>
      <c r="BY22" s="352" t="s">
        <v>275</v>
      </c>
      <c r="BZ22" s="309" t="str">
        <f>IFERROR(__xludf.DUMMYFUNCTION("IF(REGEXMATCH(C22, ""S""), ""x"",""x"")"),"x")</f>
        <v>x</v>
      </c>
      <c r="CA22" s="245" t="str">
        <f>IFERROR(__xludf.DUMMYFUNCTION("IF(REGEXMATCH(C22, ""r""), ""o"",""x"")"),"o")</f>
        <v>o</v>
      </c>
      <c r="CB22" s="246" t="str">
        <f>IFERROR(__xludf.DUMMYFUNCTION("IF(REGEXMATCH(C22, ""R""), ""o"",""x"")"),"x")</f>
        <v>x</v>
      </c>
      <c r="CC22" s="246" t="str">
        <f>IFERROR(__xludf.DUMMYFUNCTION("IF(REGEXMATCH(C22, ""g""), ""o"",""x"")"),"o")</f>
        <v>o</v>
      </c>
      <c r="CD22" s="245" t="str">
        <f>IFERROR(__xludf.DUMMYFUNCTION("IF(REGEXMATCH(C22, ""G""), ""o"",""x"")"),"x")</f>
        <v>x</v>
      </c>
      <c r="CE22" s="245" t="str">
        <f>IFERROR(__xludf.DUMMYFUNCTION("IF(REGEXMATCH(C22, ""m""), ""o"",""x"")"),"o")</f>
        <v>o</v>
      </c>
      <c r="CF22" s="246" t="str">
        <f>IFERROR(__xludf.DUMMYFUNCTION("IF(REGEXMATCH(C22, ""M""), ""o"",""x"")"),"x")</f>
        <v>x</v>
      </c>
      <c r="CG22" s="245" t="str">
        <f>IFERROR(__xludf.DUMMYFUNCTION("IF(REGEXMATCH(C22, ""P""), ""o"",""x"")"),"x")</f>
        <v>x</v>
      </c>
      <c r="CH22" s="246" t="str">
        <f>IFERROR(__xludf.DUMMYFUNCTION("IF(REGEXMATCH(C22, ""d""), ""o"",""x"")"),"o")</f>
        <v>o</v>
      </c>
      <c r="CI22" s="245" t="str">
        <f>IFERROR(__xludf.DUMMYFUNCTION("IF(REGEXMATCH(C22, ""D""), ""o"",""x"")"),"x")</f>
        <v>x</v>
      </c>
      <c r="CJ22" s="245" t="str">
        <f>IFERROR(__xludf.DUMMYFUNCTION("IF(REGEXMATCH(C22, ""n""), ""o"",""x"")"),"x")</f>
        <v>x</v>
      </c>
      <c r="CK22" s="245" t="str">
        <f>IFERROR(__xludf.DUMMYFUNCTION("IF(REGEXMATCH(C22, ""N""), ""o"",""x"")"),"o")</f>
        <v>o</v>
      </c>
      <c r="CL22" s="356" t="str">
        <f>IFERROR(__xludf.DUMMYFUNCTION("IF(REGEXMATCH(C22, ""S""), ""x"",""x"")"),"x")</f>
        <v>x</v>
      </c>
      <c r="CM22" s="357" t="str">
        <f t="shared" si="33"/>
        <v>xoxoxoxxoxxo</v>
      </c>
      <c r="CN22" s="358">
        <f t="shared" si="34"/>
        <v>1</v>
      </c>
      <c r="CO22" s="246" t="str">
        <f>IFERROR(__xludf.DUMMYFUNCTION("IF(REGEXMATCH($C22, ""S""), ""S"",""S"")"),"S")</f>
        <v>S</v>
      </c>
      <c r="CP22" s="246" t="str">
        <f>IFERROR(__xludf.DUMMYFUNCTION("IF(REGEXMATCH($C22, ""r""), """",""r"")"),"")</f>
        <v/>
      </c>
      <c r="CQ22" s="246" t="str">
        <f>IFERROR(__xludf.DUMMYFUNCTION("IF(REGEXMATCH($C22, ""R""), """",""R"")"),"R")</f>
        <v>R</v>
      </c>
      <c r="CR22" s="246" t="str">
        <f>IFERROR(__xludf.DUMMYFUNCTION("IF(REGEXMATCH($C22, ""g""), """",""g"")"),"")</f>
        <v/>
      </c>
      <c r="CS22" s="246" t="str">
        <f>IFERROR(__xludf.DUMMYFUNCTION("IF(REGEXMATCH($C22, ""G""), """",""G"")"),"G")</f>
        <v>G</v>
      </c>
      <c r="CT22" s="246" t="str">
        <f>IFERROR(__xludf.DUMMYFUNCTION("IF(REGEXMATCH($C22, ""m""), """",""m"")"),"")</f>
        <v/>
      </c>
      <c r="CU22" s="246" t="str">
        <f>IFERROR(__xludf.DUMMYFUNCTION("IF(REGEXMATCH($C22, ""M""), """",""M"")"),"M")</f>
        <v>M</v>
      </c>
      <c r="CV22" s="246" t="str">
        <f>IFERROR(__xludf.DUMMYFUNCTION("IF(REGEXMATCH($C22, ""P""), """",""P"")"),"P")</f>
        <v>P</v>
      </c>
      <c r="CW22" s="246" t="str">
        <f>IFERROR(__xludf.DUMMYFUNCTION("IF(REGEXMATCH($C22, ""d""), """",""d"")"),"")</f>
        <v/>
      </c>
      <c r="CX22" s="246" t="str">
        <f>IFERROR(__xludf.DUMMYFUNCTION("IF(REGEXMATCH($C22, ""D""), """",""D"")"),"D")</f>
        <v>D</v>
      </c>
      <c r="CY22" s="246" t="str">
        <f>IFERROR(__xludf.DUMMYFUNCTION("IF(REGEXMATCH($C22, ""n""), """",""n"")"),"n")</f>
        <v>n</v>
      </c>
      <c r="CZ22" s="246" t="str">
        <f>IFERROR(__xludf.DUMMYFUNCTION("IF(REGEXMATCH($C22, ""N""), """",""N"")"),"")</f>
        <v/>
      </c>
      <c r="DA22" s="246" t="str">
        <f>IFERROR(__xludf.DUMMYFUNCTION("IF(REGEXMATCH($C22, ""S""), ""S"",""S"")"),"S")</f>
        <v>S</v>
      </c>
      <c r="DB22" s="362" t="str">
        <f>IFERROR(__xludf.DUMMYFUNCTION("JOIN("""",CO22:DA22,"""","""")"),"SRGMPDnS")</f>
        <v>SRGMPDnS</v>
      </c>
      <c r="DC22" s="363"/>
      <c r="DD22" s="301" t="str">
        <f t="shared" si="35"/>
        <v>#REF!</v>
      </c>
      <c r="DE22" s="302" t="str">
        <f t="shared" si="36"/>
        <v>#REF!</v>
      </c>
      <c r="DF22" s="301" t="str">
        <f t="shared" ref="DF22:DG22" si="234">SUBSTITUTE(S22,"-","")</f>
        <v>SRGM</v>
      </c>
      <c r="DG22" s="301" t="str">
        <f t="shared" si="234"/>
        <v>DNS</v>
      </c>
      <c r="DH22" s="302" t="str">
        <f t="shared" si="38"/>
        <v>(n/a)</v>
      </c>
      <c r="DI22" s="301" t="str">
        <f t="shared" si="39"/>
        <v>Hemi.</v>
      </c>
      <c r="DJ22" s="364" t="str">
        <f t="shared" si="40"/>
        <v>Cohem.</v>
      </c>
      <c r="DK22" s="306" t="str">
        <f t="shared" si="41"/>
        <v>-</v>
      </c>
      <c r="DL22" s="366" t="str">
        <f t="shared" si="42"/>
        <v>-</v>
      </c>
      <c r="DM22" s="308" t="str">
        <f t="shared" si="43"/>
        <v>✔</v>
      </c>
      <c r="DN22" s="306" t="str">
        <f t="shared" si="44"/>
        <v>-</v>
      </c>
      <c r="DO22" s="306" t="str">
        <f t="shared" si="45"/>
        <v>-</v>
      </c>
      <c r="DP22" s="367" t="str">
        <f t="shared" si="46"/>
        <v>-</v>
      </c>
      <c r="DQ22" s="310" t="str">
        <f t="shared" si="47"/>
        <v>-</v>
      </c>
      <c r="DR22" s="310" t="str">
        <f t="shared" si="48"/>
        <v>-</v>
      </c>
      <c r="DS22" s="310" t="str">
        <f t="shared" si="49"/>
        <v>-</v>
      </c>
      <c r="DT22" s="310" t="str">
        <f t="shared" si="50"/>
        <v>-</v>
      </c>
      <c r="DU22" s="370" t="str">
        <f t="shared" si="51"/>
        <v>-</v>
      </c>
      <c r="DV22" s="306" t="str">
        <f t="shared" si="52"/>
        <v>-</v>
      </c>
      <c r="DW22" s="306" t="str">
        <f t="shared" si="53"/>
        <v>-</v>
      </c>
      <c r="DX22" s="306" t="str">
        <f t="shared" si="54"/>
        <v>-</v>
      </c>
      <c r="DY22" s="306" t="str">
        <f t="shared" si="55"/>
        <v>✔</v>
      </c>
      <c r="DZ22" s="306" t="str">
        <f t="shared" si="56"/>
        <v>-</v>
      </c>
      <c r="EA22" s="367" t="str">
        <f t="shared" si="57"/>
        <v>-</v>
      </c>
      <c r="EB22" s="310" t="str">
        <f>IFERROR(__xludf.DUMMYFUNCTION("IF(REGEXMATCH(AW22,AS22),""✔"",""-"")"),"-")</f>
        <v>-</v>
      </c>
      <c r="EC22" s="310" t="str">
        <f t="shared" si="58"/>
        <v>#REF!</v>
      </c>
      <c r="ED22" s="370" t="str">
        <f t="shared" si="59"/>
        <v>-</v>
      </c>
      <c r="EE22" s="340" t="str">
        <f t="shared" si="60"/>
        <v>S-r-g-m-d-N-S</v>
      </c>
      <c r="EF22" s="371" t="str">
        <f>IFERROR(__xludf.DUMMYFUNCTION("CONCATENATE(JOIN("""",HC22:HO22))"),"SrGPDNS")</f>
        <v>SrGPDNS</v>
      </c>
      <c r="EG22" s="372">
        <f t="shared" si="61"/>
        <v>3</v>
      </c>
      <c r="EH22" s="373" t="str">
        <f>IFERROR(__xludf.DUMMYFUNCTION("CONCATENATE(JOIN("""",JC22:JO22))"),"Sa, ga, Ni, ")</f>
        <v>Sa, ga, Ni, </v>
      </c>
      <c r="EI22" s="322">
        <f t="shared" si="62"/>
        <v>1</v>
      </c>
      <c r="EJ22" s="374" t="str">
        <f>IFERROR(__xludf.DUMMYFUNCTION("CONCATENATE(JOIN("""",KC22:KO22))"),"Ni, ")</f>
        <v>Ni, </v>
      </c>
      <c r="EK22" s="325" t="str">
        <f t="shared" si="63"/>
        <v>S-R1-G2-M1-D1-N3-S</v>
      </c>
      <c r="EL22" s="326" t="str">
        <f t="shared" si="64"/>
        <v>1-b2-b3-4-b6-7-8</v>
      </c>
      <c r="EM22" s="318" t="str">
        <f t="shared" si="65"/>
        <v>#REF!</v>
      </c>
      <c r="EN22" s="328" t="str">
        <f>IFERROR(__xludf.DUMMYFUNCTION("SUBSTITUTE(SUBSTITUTE(SUBSTITUTE(SUBSTITUTE(CONCATENATE(JOIN("" "",HP22:IB22)),""  "","" ""),""  "","" ""),""  "","" ""),""  "","" "")"),"o o • o • o • • o • • o o")</f>
        <v>o o • o • o • • o • • o o</v>
      </c>
      <c r="EO22" s="368" t="str">
        <f t="shared" si="66"/>
        <v>Sa-ma</v>
      </c>
      <c r="EP22" s="339" t="str">
        <f t="shared" si="67"/>
        <v>-</v>
      </c>
      <c r="EQ22" s="339" t="str">
        <f t="shared" si="68"/>
        <v>-</v>
      </c>
      <c r="ER22" s="339" t="str">
        <f t="shared" si="69"/>
        <v>-</v>
      </c>
      <c r="ES22" s="340" t="str">
        <f t="shared" si="70"/>
        <v>Sa-ma</v>
      </c>
      <c r="ET22" s="363"/>
      <c r="EU22" s="376" t="b">
        <f>IFERROR(__xludf.DUMMYFUNCTION("arrayformula(sum(--REGEXMATCH(""SRGMPDNS"",split(REGEXREPLACE(C22,""(.)"",""$1~""),""~""))))=len(C22)
"),FALSE)</f>
        <v>0</v>
      </c>
      <c r="EV22" s="290" t="b">
        <f>IFERROR(__xludf.DUMMYFUNCTION("arrayformula(sum(--REGEXMATCH(""SRGmPDNS"",split(REGEXREPLACE(C22,""(.)"",""$1~""),""~""))))=len(C22)"),FALSE)</f>
        <v>0</v>
      </c>
      <c r="EW22" s="290" t="b">
        <f>IFERROR(__xludf.DUMMYFUNCTION("arrayformula(sum(--REGEXMATCH(""SRGmPDnS"",split(REGEXREPLACE(C22,""(.)"",""$1~""),""~""))))=len(C22)"),FALSE)</f>
        <v>0</v>
      </c>
      <c r="EX22" s="290" t="b">
        <f>IFERROR(__xludf.DUMMYFUNCTION("arrayformula(sum(--REGEXMATCH(""SRgmPDnS"",split(REGEXREPLACE(C22,""(.)"",""$1~""),""~""))))=len(C22)"),FALSE)</f>
        <v>0</v>
      </c>
      <c r="EY22" s="290" t="b">
        <f>IFERROR(__xludf.DUMMYFUNCTION("arrayformula(sum(--REGEXMATCH(""SRgmPdnS"",split(REGEXREPLACE(C22,""(.)"",""$1~""),""~""))))=len(C22)"),FALSE)</f>
        <v>0</v>
      </c>
      <c r="EZ22" s="290" t="b">
        <f>IFERROR(__xludf.DUMMYFUNCTION("arrayformula(sum(--REGEXMATCH(""SrgmPdnS"",split(REGEXREPLACE(C22,""(.)"",""$1~""),""~""))))=len(C22)"),FALSE)</f>
        <v>0</v>
      </c>
      <c r="FA22" s="290" t="b">
        <f>IFERROR(__xludf.DUMMYFUNCTION("arrayformula(sum(--REGEXMATCH(""SrGmPdNS"",split(REGEXREPLACE(C22,""(.)"",""$1~""),""~""))))=len(C22)"),FALSE)</f>
        <v>0</v>
      </c>
      <c r="FB22" s="290" t="b">
        <f>IFERROR(__xludf.DUMMYFUNCTION("arrayformula(sum(--REGEXMATCH(""SrGMPDNS"",split(REGEXREPLACE(C22,""(.)"",""$1~""),""~""))))=len(C22)"),FALSE)</f>
        <v>0</v>
      </c>
      <c r="FC22" s="290" t="b">
        <f>IFERROR(__xludf.DUMMYFUNCTION("arrayformula(sum(--REGEXMATCH(""SrGMPdNS"",split(REGEXREPLACE(C22,""(.)"",""$1~""),""~""))))=len(C22)"),FALSE)</f>
        <v>0</v>
      </c>
      <c r="FD22" s="377" t="b">
        <f>IFERROR(__xludf.DUMMYFUNCTION("arrayformula(sum(--REGEXMATCH(""SrgMPdNS"",split(REGEXREPLACE(C22,""(.)"",""$1~""),""~""))))=len(C22)"),FALSE)</f>
        <v>0</v>
      </c>
      <c r="FE22" s="269" t="str">
        <f t="shared" si="71"/>
        <v>xoxoxooxoox</v>
      </c>
      <c r="FF22" s="269" t="str">
        <f t="shared" si="72"/>
        <v>-</v>
      </c>
      <c r="FG22" s="271" t="str">
        <f t="shared" si="73"/>
        <v>xoxooxooxxx</v>
      </c>
      <c r="FH22" s="269" t="str">
        <f t="shared" si="74"/>
        <v>-</v>
      </c>
      <c r="FI22" s="271" t="str">
        <f t="shared" si="75"/>
        <v>xooxooxxxox</v>
      </c>
      <c r="FJ22" s="271" t="str">
        <f t="shared" si="76"/>
        <v>-</v>
      </c>
      <c r="FK22" s="271" t="str">
        <f t="shared" si="77"/>
        <v>-</v>
      </c>
      <c r="FL22" s="271" t="str">
        <f t="shared" si="78"/>
        <v>xooxxxoxoxo</v>
      </c>
      <c r="FM22" s="271" t="str">
        <f t="shared" si="79"/>
        <v>-</v>
      </c>
      <c r="FN22" s="271" t="str">
        <f t="shared" si="80"/>
        <v>-</v>
      </c>
      <c r="FO22" s="274" t="str">
        <f t="shared" si="81"/>
        <v>xxxoxoxooxo</v>
      </c>
      <c r="FP22" s="234" t="str">
        <f t="shared" si="82"/>
        <v>|</v>
      </c>
      <c r="FQ22" s="236" t="str">
        <f t="shared" si="83"/>
        <v>|</v>
      </c>
      <c r="FR22" s="237" t="str">
        <f t="shared" si="84"/>
        <v>-</v>
      </c>
      <c r="FS22" s="236" t="str">
        <f t="shared" si="85"/>
        <v>|</v>
      </c>
      <c r="FT22" s="237" t="str">
        <f t="shared" si="86"/>
        <v>-</v>
      </c>
      <c r="FU22" s="236" t="str">
        <f t="shared" si="87"/>
        <v>|</v>
      </c>
      <c r="FV22" s="237" t="str">
        <f t="shared" si="88"/>
        <v>-</v>
      </c>
      <c r="FW22" s="236" t="str">
        <f t="shared" si="89"/>
        <v>-</v>
      </c>
      <c r="FX22" s="237" t="str">
        <f t="shared" si="90"/>
        <v>|</v>
      </c>
      <c r="FY22" s="236" t="str">
        <f t="shared" si="91"/>
        <v>-</v>
      </c>
      <c r="FZ22" s="237" t="str">
        <f t="shared" si="92"/>
        <v>-</v>
      </c>
      <c r="GA22" s="236" t="str">
        <f t="shared" si="93"/>
        <v>|</v>
      </c>
      <c r="GB22" s="238" t="str">
        <f t="shared" si="94"/>
        <v>|</v>
      </c>
      <c r="GC22" s="244" t="str">
        <f>IFERROR(__xludf.DUMMYFUNCTION("IF(REGEXMATCH(C22, ""S""), ""1"","""")"),"1")</f>
        <v>1</v>
      </c>
      <c r="GD22" s="245" t="str">
        <f>IFERROR(__xludf.DUMMYFUNCTION("IF(REGEXMATCH(C22, ""r""), ""b2"","""")"),"b2")</f>
        <v>b2</v>
      </c>
      <c r="GE22" s="246" t="str">
        <f>IFERROR(__xludf.DUMMYFUNCTION("IF(REGEXMATCH(C22, ""R""), ""2"","""")"),"")</f>
        <v/>
      </c>
      <c r="GF22" s="246" t="str">
        <f>IFERROR(__xludf.DUMMYFUNCTION("IF(REGEXMATCH(C22, ""g""), ""b3"","""")"),"b3")</f>
        <v>b3</v>
      </c>
      <c r="GG22" s="245" t="str">
        <f>IFERROR(__xludf.DUMMYFUNCTION("IF(REGEXMATCH(C22, ""G""), ""3"","""")"),"")</f>
        <v/>
      </c>
      <c r="GH22" s="245" t="str">
        <f>IFERROR(__xludf.DUMMYFUNCTION("IF(REGEXMATCH(C22, ""m""), ""4"","""")"),"4")</f>
        <v>4</v>
      </c>
      <c r="GI22" s="246" t="str">
        <f>IFERROR(__xludf.DUMMYFUNCTION("IF(REGEXMATCH(C22, ""M""), ""#4"","""")"),"")</f>
        <v/>
      </c>
      <c r="GJ22" s="245" t="str">
        <f>IFERROR(__xludf.DUMMYFUNCTION("IF(REGEXMATCH(C22, ""P""), ""5"","""")"),"")</f>
        <v/>
      </c>
      <c r="GK22" s="246" t="str">
        <f>IFERROR(__xludf.DUMMYFUNCTION("IF(REGEXMATCH(C22, ""d""), ""b6"","""")"),"b6")</f>
        <v>b6</v>
      </c>
      <c r="GL22" s="245" t="str">
        <f>IFERROR(__xludf.DUMMYFUNCTION("IF(REGEXMATCH(C22, ""D""), ""6"","""")"),"")</f>
        <v/>
      </c>
      <c r="GM22" s="245" t="str">
        <f>IFERROR(__xludf.DUMMYFUNCTION("IF(REGEXMATCH(C22, ""n""), ""b7"","""")"),"")</f>
        <v/>
      </c>
      <c r="GN22" s="246" t="str">
        <f>IFERROR(__xludf.DUMMYFUNCTION("IF(REGEXMATCH(C22, ""N""), ""7"","""")"),"7")</f>
        <v>7</v>
      </c>
      <c r="GO22" s="249" t="str">
        <f>IFERROR(__xludf.DUMMYFUNCTION("IF(REGEXMATCH(C22, ""S""), ""8"","""")"),"8")</f>
        <v>8</v>
      </c>
      <c r="GP22" s="244" t="str">
        <f>IFERROR(__xludf.DUMMYFUNCTION("IF(REGEXMATCH(C22, ""S""), ""S"","""")"),"S")</f>
        <v>S</v>
      </c>
      <c r="GQ22" s="294" t="str">
        <f>IFERROR(__xludf.DUMMYFUNCTION("IF(REGEXMATCH(C22, ""r""), ""R1"","""")"),"R1")</f>
        <v>R1</v>
      </c>
      <c r="GR22" s="295" t="str">
        <f>IFERROR(__xludf.DUMMYFUNCTION("IF(REGEXMATCH(C22, ""R""), ""R2"","""")"),"")</f>
        <v/>
      </c>
      <c r="GS22" s="295" t="str">
        <f>IFERROR(__xludf.DUMMYFUNCTION("IF(REGEXMATCH(C22, ""g""), ""G2"","""")"),"G2")</f>
        <v>G2</v>
      </c>
      <c r="GT22" s="294" t="str">
        <f>IFERROR(__xludf.DUMMYFUNCTION("IF(REGEXMATCH(C22, ""G""), ""G3"","""")"),"")</f>
        <v/>
      </c>
      <c r="GU22" s="294" t="str">
        <f>IFERROR(__xludf.DUMMYFUNCTION("IF(REGEXMATCH(C22, ""m""), ""M1"","""")"),"M1")</f>
        <v>M1</v>
      </c>
      <c r="GV22" s="295" t="str">
        <f>IFERROR(__xludf.DUMMYFUNCTION("IF(REGEXMATCH(C22, ""M""), ""M2"","""")"),"")</f>
        <v/>
      </c>
      <c r="GW22" s="294" t="str">
        <f>IFERROR(__xludf.DUMMYFUNCTION("IF(REGEXMATCH(C22, ""P""), ""P"","""")"),"")</f>
        <v/>
      </c>
      <c r="GX22" s="295" t="str">
        <f>IFERROR(__xludf.DUMMYFUNCTION("IF(REGEXMATCH(C22, ""d""), ""D1"","""")"),"D1")</f>
        <v>D1</v>
      </c>
      <c r="GY22" s="294" t="str">
        <f>IFERROR(__xludf.DUMMYFUNCTION("IF(REGEXMATCH(C22, ""D""), ""D2"","""")"),"")</f>
        <v/>
      </c>
      <c r="GZ22" s="294" t="str">
        <f>IFERROR(__xludf.DUMMYFUNCTION("IF(REGEXMATCH(C22, ""n""), ""N2"","""")"),"")</f>
        <v/>
      </c>
      <c r="HA22" s="295" t="str">
        <f>IFERROR(__xludf.DUMMYFUNCTION("IF(REGEXMATCH(C22, ""N""), ""N3"","""")"),"N3")</f>
        <v>N3</v>
      </c>
      <c r="HB22" s="249" t="str">
        <f>IFERROR(__xludf.DUMMYFUNCTION("IF(REGEXMATCH(C22, ""S""), ""S"","""")"),"S")</f>
        <v>S</v>
      </c>
      <c r="HC22" s="331" t="str">
        <f t="shared" si="95"/>
        <v>S</v>
      </c>
      <c r="HD22" s="332" t="str">
        <f t="shared" si="96"/>
        <v>r</v>
      </c>
      <c r="HE22" s="332" t="str">
        <f t="shared" si="97"/>
        <v/>
      </c>
      <c r="HF22" s="332" t="str">
        <f t="shared" si="98"/>
        <v/>
      </c>
      <c r="HG22" s="332" t="str">
        <f t="shared" si="99"/>
        <v>G</v>
      </c>
      <c r="HH22" s="332" t="str">
        <f t="shared" si="100"/>
        <v/>
      </c>
      <c r="HI22" s="332" t="str">
        <f t="shared" si="101"/>
        <v/>
      </c>
      <c r="HJ22" s="332" t="str">
        <f t="shared" si="102"/>
        <v>P</v>
      </c>
      <c r="HK22" s="332" t="str">
        <f t="shared" si="103"/>
        <v/>
      </c>
      <c r="HL22" s="332" t="str">
        <f t="shared" si="104"/>
        <v>D</v>
      </c>
      <c r="HM22" s="332" t="str">
        <f t="shared" si="105"/>
        <v/>
      </c>
      <c r="HN22" s="332" t="str">
        <f t="shared" si="106"/>
        <v>N</v>
      </c>
      <c r="HO22" s="343" t="str">
        <f t="shared" si="107"/>
        <v>S</v>
      </c>
      <c r="HP22" s="331" t="str">
        <f t="shared" si="108"/>
        <v>o</v>
      </c>
      <c r="HQ22" s="332" t="str">
        <f t="shared" si="109"/>
        <v>o</v>
      </c>
      <c r="HR22" s="332" t="str">
        <f t="shared" si="110"/>
        <v>•</v>
      </c>
      <c r="HS22" s="332" t="str">
        <f t="shared" si="111"/>
        <v>o</v>
      </c>
      <c r="HT22" s="332" t="str">
        <f t="shared" si="112"/>
        <v>•</v>
      </c>
      <c r="HU22" s="332" t="str">
        <f t="shared" si="113"/>
        <v>o</v>
      </c>
      <c r="HV22" s="332" t="str">
        <f t="shared" si="114"/>
        <v>•</v>
      </c>
      <c r="HW22" s="332" t="str">
        <f t="shared" si="115"/>
        <v>•</v>
      </c>
      <c r="HX22" s="332" t="str">
        <f t="shared" si="116"/>
        <v>o</v>
      </c>
      <c r="HY22" s="332" t="str">
        <f t="shared" si="117"/>
        <v>•</v>
      </c>
      <c r="HZ22" s="332" t="str">
        <f t="shared" si="118"/>
        <v>•</v>
      </c>
      <c r="IA22" s="332" t="str">
        <f t="shared" si="119"/>
        <v>o</v>
      </c>
      <c r="IB22" s="338" t="str">
        <f t="shared" si="120"/>
        <v>o</v>
      </c>
      <c r="IC22" s="331" t="str">
        <f t="shared" si="121"/>
        <v>•</v>
      </c>
      <c r="ID22" s="332" t="str">
        <f t="shared" si="122"/>
        <v>•</v>
      </c>
      <c r="IE22" s="332" t="str">
        <f t="shared" si="123"/>
        <v>o</v>
      </c>
      <c r="IF22" s="332" t="str">
        <f t="shared" si="124"/>
        <v>•</v>
      </c>
      <c r="IG22" s="332" t="str">
        <f t="shared" si="125"/>
        <v>o</v>
      </c>
      <c r="IH22" s="332" t="str">
        <f t="shared" si="126"/>
        <v>•</v>
      </c>
      <c r="II22" s="332" t="str">
        <f t="shared" si="127"/>
        <v>o</v>
      </c>
      <c r="IJ22" s="332" t="str">
        <f t="shared" si="128"/>
        <v>o</v>
      </c>
      <c r="IK22" s="332" t="str">
        <f t="shared" si="129"/>
        <v>•</v>
      </c>
      <c r="IL22" s="332" t="str">
        <f t="shared" si="130"/>
        <v>o</v>
      </c>
      <c r="IM22" s="332" t="str">
        <f t="shared" si="131"/>
        <v>o</v>
      </c>
      <c r="IN22" s="332" t="str">
        <f t="shared" si="132"/>
        <v>•</v>
      </c>
      <c r="IO22" s="338" t="str">
        <f t="shared" si="133"/>
        <v>•</v>
      </c>
      <c r="IP22" s="346" t="b">
        <f t="shared" si="134"/>
        <v>1</v>
      </c>
      <c r="IQ22" s="347" t="b">
        <f t="shared" si="135"/>
        <v>0</v>
      </c>
      <c r="IR22" s="347" t="b">
        <f t="shared" si="136"/>
        <v>0</v>
      </c>
      <c r="IS22" s="347" t="b">
        <f t="shared" si="137"/>
        <v>1</v>
      </c>
      <c r="IT22" s="347" t="b">
        <f t="shared" si="138"/>
        <v>0</v>
      </c>
      <c r="IU22" s="347" t="b">
        <f t="shared" si="139"/>
        <v>0</v>
      </c>
      <c r="IV22" s="347" t="b">
        <f t="shared" si="140"/>
        <v>0</v>
      </c>
      <c r="IW22" s="347" t="b">
        <f t="shared" si="141"/>
        <v>0</v>
      </c>
      <c r="IX22" s="347" t="b">
        <f t="shared" si="142"/>
        <v>0</v>
      </c>
      <c r="IY22" s="347" t="b">
        <f t="shared" si="143"/>
        <v>0</v>
      </c>
      <c r="IZ22" s="347" t="b">
        <f t="shared" si="144"/>
        <v>0</v>
      </c>
      <c r="JA22" s="347" t="b">
        <f t="shared" si="145"/>
        <v>1</v>
      </c>
      <c r="JB22" s="353" t="b">
        <f t="shared" si="146"/>
        <v>1</v>
      </c>
      <c r="JC22" s="354" t="str">
        <f t="shared" si="147"/>
        <v>Sa, </v>
      </c>
      <c r="JD22" s="355" t="str">
        <f t="shared" si="148"/>
        <v/>
      </c>
      <c r="JE22" s="355" t="str">
        <f t="shared" si="149"/>
        <v/>
      </c>
      <c r="JF22" s="355" t="str">
        <f t="shared" si="150"/>
        <v>ga, </v>
      </c>
      <c r="JG22" s="355" t="str">
        <f t="shared" si="151"/>
        <v/>
      </c>
      <c r="JH22" s="355" t="str">
        <f t="shared" si="152"/>
        <v/>
      </c>
      <c r="JI22" s="355" t="str">
        <f t="shared" si="153"/>
        <v/>
      </c>
      <c r="JJ22" s="355" t="str">
        <f t="shared" si="154"/>
        <v/>
      </c>
      <c r="JK22" s="355" t="str">
        <f t="shared" si="155"/>
        <v/>
      </c>
      <c r="JL22" s="355" t="str">
        <f t="shared" si="156"/>
        <v/>
      </c>
      <c r="JM22" s="355" t="str">
        <f t="shared" si="157"/>
        <v/>
      </c>
      <c r="JN22" s="355" t="str">
        <f t="shared" si="158"/>
        <v>Ni, </v>
      </c>
      <c r="JO22" s="359" t="str">
        <f t="shared" si="159"/>
        <v/>
      </c>
      <c r="JP22" s="346" t="b">
        <f t="shared" si="160"/>
        <v>0</v>
      </c>
      <c r="JQ22" s="347" t="b">
        <f t="shared" si="161"/>
        <v>0</v>
      </c>
      <c r="JR22" s="347" t="b">
        <f t="shared" si="162"/>
        <v>0</v>
      </c>
      <c r="JS22" s="347" t="b">
        <f t="shared" si="163"/>
        <v>0</v>
      </c>
      <c r="JT22" s="347" t="b">
        <f t="shared" si="164"/>
        <v>0</v>
      </c>
      <c r="JU22" s="347" t="b">
        <f t="shared" si="165"/>
        <v>0</v>
      </c>
      <c r="JV22" s="347" t="b">
        <f t="shared" si="166"/>
        <v>0</v>
      </c>
      <c r="JW22" s="347" t="b">
        <f t="shared" si="167"/>
        <v>0</v>
      </c>
      <c r="JX22" s="347" t="b">
        <f t="shared" si="168"/>
        <v>0</v>
      </c>
      <c r="JY22" s="347" t="b">
        <f t="shared" si="169"/>
        <v>0</v>
      </c>
      <c r="JZ22" s="347" t="b">
        <f t="shared" si="170"/>
        <v>0</v>
      </c>
      <c r="KA22" s="347" t="b">
        <f t="shared" si="171"/>
        <v>1</v>
      </c>
      <c r="KB22" s="365" t="b">
        <f t="shared" si="172"/>
        <v>0</v>
      </c>
      <c r="KC22" s="354" t="str">
        <f t="shared" si="173"/>
        <v/>
      </c>
      <c r="KD22" s="355" t="str">
        <f t="shared" si="174"/>
        <v/>
      </c>
      <c r="KE22" s="355" t="str">
        <f t="shared" si="175"/>
        <v/>
      </c>
      <c r="KF22" s="355" t="str">
        <f t="shared" si="176"/>
        <v/>
      </c>
      <c r="KG22" s="355" t="str">
        <f t="shared" si="177"/>
        <v/>
      </c>
      <c r="KH22" s="355" t="str">
        <f t="shared" si="178"/>
        <v/>
      </c>
      <c r="KI22" s="355" t="str">
        <f t="shared" si="179"/>
        <v/>
      </c>
      <c r="KJ22" s="355" t="str">
        <f t="shared" si="180"/>
        <v/>
      </c>
      <c r="KK22" s="355" t="str">
        <f t="shared" si="181"/>
        <v/>
      </c>
      <c r="KL22" s="355" t="str">
        <f t="shared" si="182"/>
        <v/>
      </c>
      <c r="KM22" s="355" t="str">
        <f t="shared" si="183"/>
        <v/>
      </c>
      <c r="KN22" s="355" t="str">
        <f t="shared" si="184"/>
        <v>Ni, </v>
      </c>
      <c r="KO22" s="359"/>
      <c r="KP22" s="378"/>
      <c r="KQ22" s="379" t="s">
        <v>553</v>
      </c>
      <c r="KR22" s="380" t="s">
        <v>1277</v>
      </c>
      <c r="KS22" s="381" t="str">
        <f t="shared" si="232"/>
        <v>S-r-g-m-d-N-S</v>
      </c>
      <c r="KT22" s="382">
        <f t="shared" si="186"/>
        <v>6</v>
      </c>
      <c r="KU22" s="383">
        <f t="shared" si="187"/>
        <v>6</v>
      </c>
      <c r="KV22" s="381" t="str">
        <f t="shared" si="205"/>
        <v>S-N-d-m-g-r-S</v>
      </c>
      <c r="KW22" s="382">
        <f t="shared" si="189"/>
        <v>6</v>
      </c>
      <c r="KX22" s="384">
        <f t="shared" si="190"/>
        <v>6</v>
      </c>
      <c r="KY22" s="382">
        <f t="shared" ref="KY22:KZ22" si="235">KW22-KT22</f>
        <v>0</v>
      </c>
      <c r="KZ22" s="369">
        <f t="shared" si="235"/>
        <v>0</v>
      </c>
      <c r="LA22" s="385" t="str">
        <f t="shared" si="192"/>
        <v>✔</v>
      </c>
      <c r="LB22" s="340" t="str">
        <f>IFERROR(__xludf.DUMMYFUNCTION("JOIN("""",ArrayFormula(MID(KS22,LEN(KS22)-SEQUENCE(1,LEN(KS22))+1,1)))"),"S-N-d-m-g-r-S")</f>
        <v>S-N-d-m-g-r-S</v>
      </c>
      <c r="LC22" s="373" t="str">
        <f>IFERROR(__xludf.DUMMYFUNCTION("JOIN("""",ArrayFormula(MID(KV22,LEN(KV22)-SEQUENCE(1,LEN(KV22))+1,1)))"),"S-r-g-m-d-N-S")</f>
        <v>S-r-g-m-d-N-S</v>
      </c>
      <c r="LD22" s="373" t="str">
        <f t="shared" si="193"/>
        <v>SrgmdNS</v>
      </c>
      <c r="LE22" s="339" t="str">
        <f t="shared" si="194"/>
        <v>SrgmdNS</v>
      </c>
      <c r="LF22" s="386" t="str">
        <f>IFERROR(__xludf.DUMMYFUNCTION("SUBSTITUTE(SUBSTITUTE(CONCATENATE(JOIN("""",LH22:LT22)),""1"",""""),""2"","""")"),"SrgmdNS")</f>
        <v>SrgmdNS</v>
      </c>
      <c r="LG22" s="369" t="str">
        <f t="shared" si="195"/>
        <v>✔</v>
      </c>
      <c r="LH22" s="387" t="str">
        <f>IFERROR(__xludf.DUMMYFUNCTION("IF(REGEXMATCH(LD22, ""S""), ""S"",IF(REGEXMATCH(LE22, ""S""), ""S"",""""))"),"S")</f>
        <v>S</v>
      </c>
      <c r="LI22" s="299" t="str">
        <f>IFERROR(__xludf.DUMMYFUNCTION("IF(REGEXMATCH(LD22, ""r""), ""r1"",IF(REGEXMATCH(LE22, ""r""), ""r2"",""""))"),"r1")</f>
        <v>r1</v>
      </c>
      <c r="LJ22" s="299" t="str">
        <f>IFERROR(__xludf.DUMMYFUNCTION("IF(REGEXMATCH(LD22, ""R""), ""R1"",IF(REGEXMATCH(LE22, ""R""), ""R2"",""""))"),"")</f>
        <v/>
      </c>
      <c r="LK22" s="299" t="str">
        <f>IFERROR(__xludf.DUMMYFUNCTION("IF(REGEXMATCH(LD22, ""g""), ""g1"",IF(REGEXMATCH(LE22, ""g""), ""g2"",""""))"),"g1")</f>
        <v>g1</v>
      </c>
      <c r="LL22" s="299" t="str">
        <f>IFERROR(__xludf.DUMMYFUNCTION("IF(REGEXMATCH(LD22, ""G""), ""G1"",IF(REGEXMATCH(LE22, ""G""), ""G2"",""""))"),"")</f>
        <v/>
      </c>
      <c r="LM22" s="299" t="str">
        <f>IFERROR(__xludf.DUMMYFUNCTION("IF(REGEXMATCH(LD22, ""m""), ""m1"",IF(REGEXMATCH(LE22, ""m""), ""m2"",""""))"),"m1")</f>
        <v>m1</v>
      </c>
      <c r="LN22" s="299" t="str">
        <f>IFERROR(__xludf.DUMMYFUNCTION("IF(REGEXMATCH(LD22, ""M""), ""M1"",IF(REGEXMATCH(LE22, ""M""), ""M2"",""""))"),"")</f>
        <v/>
      </c>
      <c r="LO22" s="299" t="str">
        <f>IFERROR(__xludf.DUMMYFUNCTION("IF(REGEXMATCH(LD22, ""P""), ""P1"",IF(REGEXMATCH(LE22, ""P""), ""P2"",""""))"),"")</f>
        <v/>
      </c>
      <c r="LP22" s="299" t="str">
        <f>IFERROR(__xludf.DUMMYFUNCTION("IF(REGEXMATCH(LD22, ""d""), ""d1"",IF(REGEXMATCH(LE22, ""d""), ""d2"",""""))"),"d1")</f>
        <v>d1</v>
      </c>
      <c r="LQ22" s="299" t="str">
        <f>IFERROR(__xludf.DUMMYFUNCTION("IF(REGEXMATCH(LD22, ""D""), ""D1"",IF(REGEXMATCH(LE22, ""D""), ""D2"",""""))"),"")</f>
        <v/>
      </c>
      <c r="LR22" s="299" t="str">
        <f>IFERROR(__xludf.DUMMYFUNCTION("IF(REGEXMATCH(LD22, ""n""), ""n1"",IF(REGEXMATCH(LE22, ""n""), ""n2"",""""))"),"")</f>
        <v/>
      </c>
      <c r="LS22" s="299" t="str">
        <f>IFERROR(__xludf.DUMMYFUNCTION("IF(REGEXMATCH(LD22, ""N""), ""N1"",IF(REGEXMATCH(LE22, ""N""), ""N2"",""""))"),"N1")</f>
        <v>N1</v>
      </c>
      <c r="LT22" s="388" t="str">
        <f>IFERROR(__xludf.DUMMYFUNCTION("IF(REGEXMATCH(LD22, ""S""), ""S"",IF(REGEXMATCH(LE22, ""S""), ""S"",""""))"),"S")</f>
        <v>S</v>
      </c>
      <c r="LU22" s="389">
        <f t="shared" si="196"/>
        <v>1</v>
      </c>
      <c r="LV22" s="378"/>
      <c r="LW22" s="369"/>
      <c r="LX22" s="369"/>
    </row>
    <row r="23" ht="20.25" customHeight="1">
      <c r="A23" s="298" t="s">
        <v>1278</v>
      </c>
      <c r="B23" s="222" t="s">
        <v>1279</v>
      </c>
      <c r="C23" s="233" t="str">
        <f t="shared" si="7"/>
        <v>SRgGmPnS</v>
      </c>
      <c r="D23" s="234" t="str">
        <f>IFERROR(__xludf.DUMMYFUNCTION("IF(REGEXMATCH(C23, ""S""), ""S"","""")"),"S")</f>
        <v>S</v>
      </c>
      <c r="E23" s="236" t="str">
        <f>IFERROR(__xludf.DUMMYFUNCTION("IF(REGEXMATCH(C23, ""r""), ""r"","""")"),"")</f>
        <v/>
      </c>
      <c r="F23" s="237" t="str">
        <f>IFERROR(__xludf.DUMMYFUNCTION("IF(REGEXMATCH(C23, ""R""), ""R"","""")"),"R")</f>
        <v>R</v>
      </c>
      <c r="G23" s="237" t="str">
        <f>IFERROR(__xludf.DUMMYFUNCTION("IF(REGEXMATCH(C23, ""g""), ""g"","""")"),"g")</f>
        <v>g</v>
      </c>
      <c r="H23" s="236" t="str">
        <f>IFERROR(__xludf.DUMMYFUNCTION("IF(REGEXMATCH(C23, ""G""), ""G"","""")"),"G")</f>
        <v>G</v>
      </c>
      <c r="I23" s="236" t="str">
        <f>IFERROR(__xludf.DUMMYFUNCTION("IF(REGEXMATCH(C23, ""m""), ""m"","""")"),"m")</f>
        <v>m</v>
      </c>
      <c r="J23" s="237" t="str">
        <f>IFERROR(__xludf.DUMMYFUNCTION("IF(REGEXMATCH(C23, ""M""), ""M"","""")"),"")</f>
        <v/>
      </c>
      <c r="K23" s="236" t="str">
        <f>IFERROR(__xludf.DUMMYFUNCTION("IF(REGEXMATCH(C23, ""P""), ""P"","""")"),"P")</f>
        <v>P</v>
      </c>
      <c r="L23" s="237" t="str">
        <f>IFERROR(__xludf.DUMMYFUNCTION("IF(REGEXMATCH(C23, ""d""), ""d"","""")"),"")</f>
        <v/>
      </c>
      <c r="M23" s="236" t="str">
        <f>IFERROR(__xludf.DUMMYFUNCTION("IF(REGEXMATCH(C23, ""D""), ""D"","""")"),"")</f>
        <v/>
      </c>
      <c r="N23" s="236" t="str">
        <f>IFERROR(__xludf.DUMMYFUNCTION("IF(REGEXMATCH(C23, ""n""), ""n"","""")"),"n")</f>
        <v>n</v>
      </c>
      <c r="O23" s="237" t="str">
        <f>IFERROR(__xludf.DUMMYFUNCTION("IF(REGEXMATCH(C23, ""N""), ""N"","""")"),"")</f>
        <v/>
      </c>
      <c r="P23" s="238" t="str">
        <f>IFERROR(__xludf.DUMMYFUNCTION("IF(REGEXMATCH(C23, ""S""), ""S"","""")"),"S")</f>
        <v>S</v>
      </c>
      <c r="Q23" s="239" t="str">
        <f>IFERROR(__xludf.DUMMYFUNCTION("SUBSTITUTE(CONCATENATE(JOIN(""-"",D23:J23)),""-"","""")"),"SRgGm")</f>
        <v>SRgGm</v>
      </c>
      <c r="R23" s="229" t="str">
        <f>IFERROR(__xludf.DUMMYFUNCTION("SUBSTITUTE(CONCATENATE(JOIN(""-"",K23:P23)),""-"","""")"),"PnS")</f>
        <v>PnS</v>
      </c>
      <c r="S23" s="282" t="str">
        <f t="shared" si="8"/>
        <v>S-R-G-M</v>
      </c>
      <c r="T23" s="282" t="str">
        <f t="shared" si="9"/>
        <v>P-N-S</v>
      </c>
      <c r="U23" s="237" t="str">
        <f>IFERROR(__xludf.DUMMYFUNCTION("SUBSTITUTE(JOIN(""-"",S23,T23),""--"",""-"")"),"S-R-G-M-P-N-S")</f>
        <v>S-R-G-M-P-N-S</v>
      </c>
      <c r="V23" s="309" t="str">
        <f t="shared" si="10"/>
        <v>RgGmn</v>
      </c>
      <c r="W23" s="244" t="str">
        <f>IFERROR(__xludf.DUMMYFUNCTION("IF(REGEXMATCH(C23, ""S""), ""0"","""")"),"0")</f>
        <v>0</v>
      </c>
      <c r="X23" s="245" t="str">
        <f>IFERROR(__xludf.DUMMYFUNCTION("IF(REGEXMATCH(C23, ""r""), ""1"","""")"),"")</f>
        <v/>
      </c>
      <c r="Y23" s="246" t="str">
        <f>IFERROR(__xludf.DUMMYFUNCTION("IF(REGEXMATCH(C23, ""R""), ""2"","""")"),"2")</f>
        <v>2</v>
      </c>
      <c r="Z23" s="246" t="str">
        <f>IFERROR(__xludf.DUMMYFUNCTION("IF(REGEXMATCH(C23, ""g""), ""3"","""")"),"3")</f>
        <v>3</v>
      </c>
      <c r="AA23" s="245" t="str">
        <f>IFERROR(__xludf.DUMMYFUNCTION("IF(REGEXMATCH(C23, ""G""), ""4"","""")"),"4")</f>
        <v>4</v>
      </c>
      <c r="AB23" s="245" t="str">
        <f>IFERROR(__xludf.DUMMYFUNCTION("IF(REGEXMATCH(C23, ""m""), ""5"","""")"),"5")</f>
        <v>5</v>
      </c>
      <c r="AC23" s="246" t="str">
        <f>IFERROR(__xludf.DUMMYFUNCTION("IF(REGEXMATCH(C23, ""M""), ""6"","""")"),"")</f>
        <v/>
      </c>
      <c r="AD23" s="245" t="str">
        <f>IFERROR(__xludf.DUMMYFUNCTION("IF(REGEXMATCH(C23, ""P""), ""7"","""")"),"7")</f>
        <v>7</v>
      </c>
      <c r="AE23" s="246" t="str">
        <f>IFERROR(__xludf.DUMMYFUNCTION("IF(REGEXMATCH(C23, ""d""), ""8"","""")"),"")</f>
        <v/>
      </c>
      <c r="AF23" s="245" t="str">
        <f>IFERROR(__xludf.DUMMYFUNCTION("IF(REGEXMATCH(C23, ""D""), ""9"","""")"),"")</f>
        <v/>
      </c>
      <c r="AG23" s="245" t="str">
        <f>IFERROR(__xludf.DUMMYFUNCTION("IF(REGEXMATCH(C23, ""n""), ""10"","""")"),"10")</f>
        <v>10</v>
      </c>
      <c r="AH23" s="246" t="str">
        <f>IFERROR(__xludf.DUMMYFUNCTION("IF(REGEXMATCH(C23, ""N""), ""11"","""")"),"")</f>
        <v/>
      </c>
      <c r="AI23" s="249" t="str">
        <f>IFERROR(__xludf.DUMMYFUNCTION("IF(REGEXMATCH(C23, ""S""), ""0"","""")"),"0")</f>
        <v>0</v>
      </c>
      <c r="AJ23" s="313" t="str">
        <f t="shared" si="11"/>
        <v>-</v>
      </c>
      <c r="AK23" s="313" t="str">
        <f t="shared" si="12"/>
        <v>-</v>
      </c>
      <c r="AL23" s="313" t="str">
        <f t="shared" si="13"/>
        <v>-</v>
      </c>
      <c r="AM23" s="313" t="str">
        <f t="shared" si="14"/>
        <v>-</v>
      </c>
      <c r="AN23" s="313" t="str">
        <f t="shared" si="15"/>
        <v>T</v>
      </c>
      <c r="AO23" s="314" t="str">
        <f t="shared" si="16"/>
        <v>-</v>
      </c>
      <c r="AP23" s="316">
        <f t="shared" si="17"/>
        <v>1</v>
      </c>
      <c r="AQ23" s="319" t="str">
        <f t="shared" si="18"/>
        <v>#REF!</v>
      </c>
      <c r="AR23" s="320">
        <f t="shared" si="19"/>
        <v>0</v>
      </c>
      <c r="AS23" s="250" t="str">
        <f>IFERROR(__xludf.DUMMYFUNCTION("SUBSTITUTE(SUBSTITUTE(CONCATENATE(JOIN("""",FP23:GA23)),""|"",""x""),""-"",""o"")"),"xoxxxxoxooxo")</f>
        <v>xoxxxxoxooxo</v>
      </c>
      <c r="AT23" s="323" t="str">
        <f>IFERROR(__xludf.DUMMYFUNCTION("JOIN("""",AS23,AS23)"),"xoxxxxoxooxoxoxxxxoxooxo")</f>
        <v>xoxxxxoxooxoxoxxxxoxooxo</v>
      </c>
      <c r="AU23" s="256" t="str">
        <f>IFERROR(__xludf.DUMMYFUNCTION("JOIN("""",ArrayFormula(MID(AS23,LEN(AS23)-SEQUENCE(1,LEN(AS23))+1,1)))"),"oxooxoxxxxox")</f>
        <v>oxooxoxxxxox</v>
      </c>
      <c r="AV23" s="256" t="str">
        <f>IFERROR(__xludf.DUMMYFUNCTION("LEFT(CONCATENATE(""x"",JOIN("""",ArrayFormula(MID(AS23,LEN(AS23)-SEQUENCE(1,LEN(AS23))+1,1)))),12)"),"xoxooxoxxxxo")</f>
        <v>xoxooxoxxxxo</v>
      </c>
      <c r="AW23" s="327" t="str">
        <f>IFERROR(__xludf.DUMMYFUNCTION("JOIN("""",AU23,AU23)"),"oxooxoxxxxoxoxooxoxxxxox")</f>
        <v>oxooxoxxxxoxoxooxoxxxxox</v>
      </c>
      <c r="AX23" s="239" t="str">
        <f>IFERROR(__xludf.DUMMYFUNCTION("IF(REGEXMATCH(AW23,AS23),""✔"",""-"")"),"-")</f>
        <v>-</v>
      </c>
      <c r="AY23" s="330" t="str">
        <f t="shared" si="20"/>
        <v>-</v>
      </c>
      <c r="AZ23" s="260" t="str">
        <f t="shared" si="21"/>
        <v>#REF!</v>
      </c>
      <c r="BA23" s="333" t="str">
        <f t="shared" si="22"/>
        <v>xoxxxxo</v>
      </c>
      <c r="BB23" s="334" t="str">
        <f t="shared" si="23"/>
        <v>xooxox</v>
      </c>
      <c r="BC23" s="335" t="str">
        <f t="shared" si="236"/>
        <v>-</v>
      </c>
      <c r="BD23" s="336" t="str">
        <f t="shared" si="25"/>
        <v>Anup: 'xoxxxxo' + 'xooxox'</v>
      </c>
      <c r="BE23" s="337">
        <f>IFERROR(__xludf.DUMMYFUNCTION("COUNTUNIQUE(FILTER(AT:AT,REGEXMATCH(AT:AT,AS23)))-1"),1.0)</f>
        <v>1</v>
      </c>
      <c r="BF23" s="261" t="str">
        <f>IFERROR(__xludf.DUMMYFUNCTION("IF(BI23=0,""(n/a)"",IF(BJ23=2,""(PAIR)"",IF(REGEXMATCH(AT23,""xoxoxxoxoxox""),""Bilawal"",IF(REGEXMATCH(AT23,""xoxoxooxoxoo""),""Bhupali"",IF(REGEXMATCH(AT23,""xoxoxxoxxoxo""),""Charukeshi"",IF(REGEXMATCH(AT23,""xoxoooxxoxxo""),""Kameshwari"",IF(REGEXMATC"&amp;"H(AT23,""xoxoxooxoxox""),""Shankara"",IF(REGEXMATCH(AT23,""xxooxoxxxoox""),""Basant"",IF(REGEXMATCH(AT23,""xoxoxxxxoxox""),""Bihag"",IF(REGEXMATCH(AT23,""xoxxxxoxoxxx""),""Pilu"",IF(REGEXMATCH(AT23,""xoxxoxoxxoox""),""Kirwani"",IF(REGEXMATCH(AT23,""xoxxox"&amp;"oxoxxx""),""Mk.Malhar"",IF(REGEXMATCH(AT23,""xxooxxoxxoox""),""Bhairav"",IF(REGEXMATCH(AT23,""xxoxooxxxoox""),""Todi"",IF(REGEXMATCH(AT23,""xxooxoxooxox""),""Marwa"",IF(REGEXMATCH(AT23,""xxoooxoxxooo""),""Gunkali"",IF(REGEXMATCH(AT23,""xoxoxxoxxoox""),""N"&amp;"at Bhairav"",IF(REGEXMATCH(AT23,""xoxxoooxoxoo""),""Shivranjani"",IF(REGEXMATCH(AT23,""xooxxxoxooxo""),""Jog"",IF(REGEXMATCH(AT23,""xxooxoxoxoox""),""Hemshri"",IF(REGEXMATCH(AT23,""xoooxooxoxxo""),""Kalavati"",IF(REGEXMATCH(AT23,""xxoxoxxoxoox""),""Kedar"&amp;""",IF(REGEXMATCH(AT23,""xoxxxxoxooxx""),""Gara"",IF(REGEXMATCH(AT23,""xooxoxooxoox""),""Chandrakauns"",IF(REGEXMATCH(AT23,""xoxxxxoxxxox""),""Mand"",IF(REGEXMATCH(AT23,""xoxxxxoxoxox""),""Hanskinkini"",IF(REGEXMATCH(AT23,""xxooxxoxooxo""),""Lilavati"",IF("&amp;"REGEXMATCH(AT23,""xooxoxoooxox""),""Rajeshwari"",IF(REGEXMATCH(AT23,""xoooxxoxoxxx""),""Khokar"",IF(REGEXMATCH(AT23,""xxooxoxxxxox""),""Maligoura"",""-""))))))))))))))))))))))))))))))"),"-")</f>
        <v>-</v>
      </c>
      <c r="BG23" s="239" t="str">
        <f t="shared" si="26"/>
        <v>#REF!</v>
      </c>
      <c r="BH23" s="239">
        <f>IFERROR(__xludf.DUMMYFUNCTION("COUNTUNIQUE(FE23:FO23)-1"),6.0)</f>
        <v>6</v>
      </c>
      <c r="BI23" s="239">
        <f>IFERROR(__xludf.DUMMYFUNCTION("COUNTUNIQUE(FILTER(AT:AT,REGEXMATCH(AT:AT,AS23)))-1"),1.0)</f>
        <v>1</v>
      </c>
      <c r="BJ23" s="239">
        <f>IFERROR(__xludf.DUMMYFUNCTION("COUNTA(FILTER(AT:AT,REGEXMATCH(AT:AT,AS23)))"),5.0)</f>
        <v>5</v>
      </c>
      <c r="BK23" s="341">
        <f>IFERROR(__xludf.DUMMYFUNCTION("COUNTA(FILTER(AT:AT,REGEXMATCH(AT:AT,AS23)))-AR23"),5.0)</f>
        <v>5</v>
      </c>
      <c r="BL23" s="276" t="str">
        <f>IFERROR(__xludf.DUMMYFUNCTION("IF(AS23=""oooooooooooo"",""-"",IF(REGEXMATCH(AT23,""xx""), ""Hemi."", ""Anhemi.""))"),"Hemi.")</f>
        <v>Hemi.</v>
      </c>
      <c r="BM23" s="282" t="str">
        <f>IFERROR(__xludf.DUMMYFUNCTION("IF(AS23=""oooooooooooo"",""-"",IF(REGEXMATCH(AT23,""xxx""), ""Cohem."", ""-""))"),"Cohem.")</f>
        <v>Cohem.</v>
      </c>
      <c r="BN23" s="282" t="str">
        <f>IFERROR(__xludf.DUMMYFUNCTION("IF(AS23=""oooooooooooo"",""-"",IF(REGEXMATCH(AT23,""xxxx""), ""Co-Co."", ""-""))"),"Co-Co.")</f>
        <v>Co-Co.</v>
      </c>
      <c r="BO23" s="342" t="str">
        <f>IFERROR(__xludf.DUMMYFUNCTION("IF(AS23=""oooooooooooo"",""-"",IF(REGEXMATCH(AT23,""xxxxx""), ""CCC."", ""-""))"),"-")</f>
        <v>-</v>
      </c>
      <c r="BP23" s="344" t="str">
        <f t="shared" si="27"/>
        <v>-</v>
      </c>
      <c r="BQ23" s="282" t="str">
        <f>IFERROR(__xludf.DUMMYFUNCTION("IF(REGEXMATCH(JOIN(""-"",EU23:FD23),""TRUE""),""✔"",""-"")"),"-")</f>
        <v>-</v>
      </c>
      <c r="BR23" s="225">
        <f t="shared" si="28"/>
        <v>0</v>
      </c>
      <c r="BS23" s="345" t="str">
        <f>IFERROR(__xludf.DUMMYFUNCTION("SUBSTITUTE(SUBSTITUTE(SUBSTITUTE(SUBSTITUTE(CONCATENATE(JOIN(""-"",GC23:GO23)),""--"",""-""),""--"",""-""),""--"",""-""),""--"",""-"")"),"1-2-b3-3-4-5-b7-8")</f>
        <v>1-2-b3-3-4-5-b7-8</v>
      </c>
      <c r="BT23" s="299" t="str">
        <f>IFERROR(__xludf.DUMMYFUNCTION("SUBSTITUTE(SUBSTITUTE(SUBSTITUTE(SUBSTITUTE(CONCATENATE(JOIN(""-"",GP23:HB23)),""--"",""-""),""--"",""-""),""--"",""-""),""--"",""-"")"),"S-R2-G2-G3-M1-P-N2-S")</f>
        <v>S-R2-G2-G3-M1-P-N2-S</v>
      </c>
      <c r="BU23" s="348" t="str">
        <f t="shared" si="29"/>
        <v>C-D-Eb-E-F-G-Bb-C</v>
      </c>
      <c r="BV23" s="349" t="str">
        <f t="shared" si="30"/>
        <v>SrMdDNS</v>
      </c>
      <c r="BW23" s="350">
        <f t="shared" si="31"/>
        <v>0</v>
      </c>
      <c r="BX23" s="351">
        <f t="shared" si="32"/>
        <v>1</v>
      </c>
      <c r="BY23" s="392"/>
      <c r="BZ23" s="309" t="str">
        <f>IFERROR(__xludf.DUMMYFUNCTION("IF(REGEXMATCH(C23, ""S""), ""x"",""x"")"),"x")</f>
        <v>x</v>
      </c>
      <c r="CA23" s="245" t="str">
        <f>IFERROR(__xludf.DUMMYFUNCTION("IF(REGEXMATCH(C23, ""r""), ""o"",""x"")"),"x")</f>
        <v>x</v>
      </c>
      <c r="CB23" s="246" t="str">
        <f>IFERROR(__xludf.DUMMYFUNCTION("IF(REGEXMATCH(C23, ""R""), ""o"",""x"")"),"o")</f>
        <v>o</v>
      </c>
      <c r="CC23" s="246" t="str">
        <f>IFERROR(__xludf.DUMMYFUNCTION("IF(REGEXMATCH(C23, ""g""), ""o"",""x"")"),"o")</f>
        <v>o</v>
      </c>
      <c r="CD23" s="245" t="str">
        <f>IFERROR(__xludf.DUMMYFUNCTION("IF(REGEXMATCH(C23, ""G""), ""o"",""x"")"),"o")</f>
        <v>o</v>
      </c>
      <c r="CE23" s="245" t="str">
        <f>IFERROR(__xludf.DUMMYFUNCTION("IF(REGEXMATCH(C23, ""m""), ""o"",""x"")"),"o")</f>
        <v>o</v>
      </c>
      <c r="CF23" s="246" t="str">
        <f>IFERROR(__xludf.DUMMYFUNCTION("IF(REGEXMATCH(C23, ""M""), ""o"",""x"")"),"x")</f>
        <v>x</v>
      </c>
      <c r="CG23" s="245" t="str">
        <f>IFERROR(__xludf.DUMMYFUNCTION("IF(REGEXMATCH(C23, ""P""), ""o"",""x"")"),"o")</f>
        <v>o</v>
      </c>
      <c r="CH23" s="246" t="str">
        <f>IFERROR(__xludf.DUMMYFUNCTION("IF(REGEXMATCH(C23, ""d""), ""o"",""x"")"),"x")</f>
        <v>x</v>
      </c>
      <c r="CI23" s="245" t="str">
        <f>IFERROR(__xludf.DUMMYFUNCTION("IF(REGEXMATCH(C23, ""D""), ""o"",""x"")"),"x")</f>
        <v>x</v>
      </c>
      <c r="CJ23" s="245" t="str">
        <f>IFERROR(__xludf.DUMMYFUNCTION("IF(REGEXMATCH(C23, ""n""), ""o"",""x"")"),"o")</f>
        <v>o</v>
      </c>
      <c r="CK23" s="245" t="str">
        <f>IFERROR(__xludf.DUMMYFUNCTION("IF(REGEXMATCH(C23, ""N""), ""o"",""x"")"),"x")</f>
        <v>x</v>
      </c>
      <c r="CL23" s="356" t="str">
        <f>IFERROR(__xludf.DUMMYFUNCTION("IF(REGEXMATCH(C23, ""S""), ""x"",""x"")"),"x")</f>
        <v>x</v>
      </c>
      <c r="CM23" s="357" t="str">
        <f t="shared" si="33"/>
        <v>xxooooxoxxox</v>
      </c>
      <c r="CN23" s="358">
        <f t="shared" si="34"/>
        <v>0</v>
      </c>
      <c r="CO23" s="246" t="str">
        <f>IFERROR(__xludf.DUMMYFUNCTION("IF(REGEXMATCH($C23, ""S""), ""S"",""S"")"),"S")</f>
        <v>S</v>
      </c>
      <c r="CP23" s="246" t="str">
        <f>IFERROR(__xludf.DUMMYFUNCTION("IF(REGEXMATCH($C23, ""r""), """",""r"")"),"r")</f>
        <v>r</v>
      </c>
      <c r="CQ23" s="246" t="str">
        <f>IFERROR(__xludf.DUMMYFUNCTION("IF(REGEXMATCH($C23, ""R""), """",""R"")"),"")</f>
        <v/>
      </c>
      <c r="CR23" s="246" t="str">
        <f>IFERROR(__xludf.DUMMYFUNCTION("IF(REGEXMATCH($C23, ""g""), """",""g"")"),"")</f>
        <v/>
      </c>
      <c r="CS23" s="246" t="str">
        <f>IFERROR(__xludf.DUMMYFUNCTION("IF(REGEXMATCH($C23, ""G""), """",""G"")"),"")</f>
        <v/>
      </c>
      <c r="CT23" s="246" t="str">
        <f>IFERROR(__xludf.DUMMYFUNCTION("IF(REGEXMATCH($C23, ""m""), """",""m"")"),"")</f>
        <v/>
      </c>
      <c r="CU23" s="246" t="str">
        <f>IFERROR(__xludf.DUMMYFUNCTION("IF(REGEXMATCH($C23, ""M""), """",""M"")"),"M")</f>
        <v>M</v>
      </c>
      <c r="CV23" s="246" t="str">
        <f>IFERROR(__xludf.DUMMYFUNCTION("IF(REGEXMATCH($C23, ""P""), """",""P"")"),"")</f>
        <v/>
      </c>
      <c r="CW23" s="246" t="str">
        <f>IFERROR(__xludf.DUMMYFUNCTION("IF(REGEXMATCH($C23, ""d""), """",""d"")"),"d")</f>
        <v>d</v>
      </c>
      <c r="CX23" s="246" t="str">
        <f>IFERROR(__xludf.DUMMYFUNCTION("IF(REGEXMATCH($C23, ""D""), """",""D"")"),"D")</f>
        <v>D</v>
      </c>
      <c r="CY23" s="246" t="str">
        <f>IFERROR(__xludf.DUMMYFUNCTION("IF(REGEXMATCH($C23, ""n""), """",""n"")"),"")</f>
        <v/>
      </c>
      <c r="CZ23" s="246" t="str">
        <f>IFERROR(__xludf.DUMMYFUNCTION("IF(REGEXMATCH($C23, ""N""), """",""N"")"),"N")</f>
        <v>N</v>
      </c>
      <c r="DA23" s="246" t="str">
        <f>IFERROR(__xludf.DUMMYFUNCTION("IF(REGEXMATCH($C23, ""S""), ""S"",""S"")"),"S")</f>
        <v>S</v>
      </c>
      <c r="DB23" s="362" t="str">
        <f>IFERROR(__xludf.DUMMYFUNCTION("JOIN("""",CO23:DA23,"""","""")"),"SrMdDNS")</f>
        <v>SrMdDNS</v>
      </c>
      <c r="DC23" s="363"/>
      <c r="DD23" s="301" t="str">
        <f t="shared" si="35"/>
        <v>#REF!</v>
      </c>
      <c r="DE23" s="302" t="str">
        <f t="shared" si="36"/>
        <v>#REF!</v>
      </c>
      <c r="DF23" s="301" t="str">
        <f t="shared" ref="DF23:DG23" si="237">SUBSTITUTE(S23,"-","")</f>
        <v>SRGM</v>
      </c>
      <c r="DG23" s="301" t="str">
        <f t="shared" si="237"/>
        <v>PNS</v>
      </c>
      <c r="DH23" s="302" t="str">
        <f t="shared" si="38"/>
        <v>-</v>
      </c>
      <c r="DI23" s="301" t="str">
        <f t="shared" si="39"/>
        <v>Hemi.</v>
      </c>
      <c r="DJ23" s="364" t="str">
        <f t="shared" si="40"/>
        <v>Co-Co.</v>
      </c>
      <c r="DK23" s="306" t="str">
        <f t="shared" si="41"/>
        <v>-</v>
      </c>
      <c r="DL23" s="366" t="str">
        <f t="shared" si="42"/>
        <v>-</v>
      </c>
      <c r="DM23" s="308" t="str">
        <f t="shared" si="43"/>
        <v>✔</v>
      </c>
      <c r="DN23" s="306" t="str">
        <f t="shared" si="44"/>
        <v>-</v>
      </c>
      <c r="DO23" s="306" t="str">
        <f t="shared" si="45"/>
        <v>-</v>
      </c>
      <c r="DP23" s="367" t="str">
        <f t="shared" si="46"/>
        <v>-</v>
      </c>
      <c r="DQ23" s="310" t="str">
        <f t="shared" si="47"/>
        <v>-</v>
      </c>
      <c r="DR23" s="310" t="str">
        <f t="shared" si="48"/>
        <v>✔</v>
      </c>
      <c r="DS23" s="310" t="str">
        <f t="shared" si="49"/>
        <v>-</v>
      </c>
      <c r="DT23" s="310" t="str">
        <f t="shared" si="50"/>
        <v>-</v>
      </c>
      <c r="DU23" s="370" t="str">
        <f t="shared" si="51"/>
        <v>-</v>
      </c>
      <c r="DV23" s="306" t="str">
        <f t="shared" si="52"/>
        <v>-</v>
      </c>
      <c r="DW23" s="306" t="str">
        <f t="shared" si="53"/>
        <v>-</v>
      </c>
      <c r="DX23" s="306" t="str">
        <f t="shared" si="54"/>
        <v>-</v>
      </c>
      <c r="DY23" s="306" t="str">
        <f t="shared" si="55"/>
        <v>-</v>
      </c>
      <c r="DZ23" s="306" t="str">
        <f t="shared" si="56"/>
        <v>✔</v>
      </c>
      <c r="EA23" s="367" t="str">
        <f t="shared" si="57"/>
        <v>-</v>
      </c>
      <c r="EB23" s="310" t="str">
        <f>IFERROR(__xludf.DUMMYFUNCTION("IF(REGEXMATCH(AW23,AS23),""✔"",""-"")"),"-")</f>
        <v>-</v>
      </c>
      <c r="EC23" s="310" t="str">
        <f t="shared" si="58"/>
        <v>#REF!</v>
      </c>
      <c r="ED23" s="370" t="str">
        <f t="shared" si="59"/>
        <v>-</v>
      </c>
      <c r="EE23" s="340" t="str">
        <f t="shared" si="60"/>
        <v>S-R-gG-m-P-n-S</v>
      </c>
      <c r="EF23" s="371" t="str">
        <f>IFERROR(__xludf.DUMMYFUNCTION("CONCATENATE(JOIN("""",HC23:HO23))"),"SRmPdDnS")</f>
        <v>SRmPdDnS</v>
      </c>
      <c r="EG23" s="372">
        <f t="shared" si="61"/>
        <v>2</v>
      </c>
      <c r="EH23" s="373" t="str">
        <f>IFERROR(__xludf.DUMMYFUNCTION("CONCATENATE(JOIN("""",JC23:JO23))"),"Re, Ga, ")</f>
        <v>Re, Ga, </v>
      </c>
      <c r="EI23" s="322">
        <f t="shared" si="62"/>
        <v>1</v>
      </c>
      <c r="EJ23" s="374" t="str">
        <f>IFERROR(__xludf.DUMMYFUNCTION("CONCATENATE(JOIN("""",KC23:KO23))"),"Ga, ")</f>
        <v>Ga, </v>
      </c>
      <c r="EK23" s="325" t="str">
        <f t="shared" si="63"/>
        <v>S-R2-G2-G3-M1-P-N2-S</v>
      </c>
      <c r="EL23" s="326" t="str">
        <f t="shared" si="64"/>
        <v>1-2-b3-3-4-5-b7-8</v>
      </c>
      <c r="EM23" s="318" t="str">
        <f t="shared" si="65"/>
        <v>#REF!</v>
      </c>
      <c r="EN23" s="328" t="str">
        <f>IFERROR(__xludf.DUMMYFUNCTION("SUBSTITUTE(SUBSTITUTE(SUBSTITUTE(SUBSTITUTE(CONCATENATE(JOIN("" "",HP23:IB23)),""  "","" ""),""  "","" ""),""  "","" ""),""  "","" "")"),"o • o o o o • o • • o • o")</f>
        <v>o • o o o o • o • • o • o</v>
      </c>
      <c r="EO23" s="368" t="str">
        <f t="shared" si="66"/>
        <v>-</v>
      </c>
      <c r="EP23" s="339" t="str">
        <f t="shared" si="67"/>
        <v>-</v>
      </c>
      <c r="EQ23" s="339" t="str">
        <f t="shared" si="68"/>
        <v>Sa-Pa</v>
      </c>
      <c r="ER23" s="339" t="str">
        <f t="shared" si="69"/>
        <v>-</v>
      </c>
      <c r="ES23" s="340" t="str">
        <f t="shared" si="70"/>
        <v>-</v>
      </c>
      <c r="ET23" s="363"/>
      <c r="EU23" s="376" t="b">
        <f>IFERROR(__xludf.DUMMYFUNCTION("arrayformula(sum(--REGEXMATCH(""SRGMPDNS"",split(REGEXREPLACE(C23,""(.)"",""$1~""),""~""))))=len(C23)
"),FALSE)</f>
        <v>0</v>
      </c>
      <c r="EV23" s="290" t="b">
        <f>IFERROR(__xludf.DUMMYFUNCTION("arrayformula(sum(--REGEXMATCH(""SRGmPDNS"",split(REGEXREPLACE(C23,""(.)"",""$1~""),""~""))))=len(C23)"),FALSE)</f>
        <v>0</v>
      </c>
      <c r="EW23" s="290" t="b">
        <f>IFERROR(__xludf.DUMMYFUNCTION("arrayformula(sum(--REGEXMATCH(""SRGmPDnS"",split(REGEXREPLACE(C23,""(.)"",""$1~""),""~""))))=len(C23)"),FALSE)</f>
        <v>0</v>
      </c>
      <c r="EX23" s="290" t="b">
        <f>IFERROR(__xludf.DUMMYFUNCTION("arrayformula(sum(--REGEXMATCH(""SRgmPDnS"",split(REGEXREPLACE(C23,""(.)"",""$1~""),""~""))))=len(C23)"),FALSE)</f>
        <v>0</v>
      </c>
      <c r="EY23" s="290" t="b">
        <f>IFERROR(__xludf.DUMMYFUNCTION("arrayformula(sum(--REGEXMATCH(""SRgmPdnS"",split(REGEXREPLACE(C23,""(.)"",""$1~""),""~""))))=len(C23)"),FALSE)</f>
        <v>0</v>
      </c>
      <c r="EZ23" s="290" t="b">
        <f>IFERROR(__xludf.DUMMYFUNCTION("arrayformula(sum(--REGEXMATCH(""SrgmPdnS"",split(REGEXREPLACE(C23,""(.)"",""$1~""),""~""))))=len(C23)"),FALSE)</f>
        <v>0</v>
      </c>
      <c r="FA23" s="290" t="b">
        <f>IFERROR(__xludf.DUMMYFUNCTION("arrayformula(sum(--REGEXMATCH(""SrGmPdNS"",split(REGEXREPLACE(C23,""(.)"",""$1~""),""~""))))=len(C23)"),FALSE)</f>
        <v>0</v>
      </c>
      <c r="FB23" s="290" t="b">
        <f>IFERROR(__xludf.DUMMYFUNCTION("arrayformula(sum(--REGEXMATCH(""SrGMPDNS"",split(REGEXREPLACE(C23,""(.)"",""$1~""),""~""))))=len(C23)"),FALSE)</f>
        <v>0</v>
      </c>
      <c r="FC23" s="290" t="b">
        <f>IFERROR(__xludf.DUMMYFUNCTION("arrayformula(sum(--REGEXMATCH(""SrGMPdNS"",split(REGEXREPLACE(C23,""(.)"",""$1~""),""~""))))=len(C23)"),FALSE)</f>
        <v>0</v>
      </c>
      <c r="FD23" s="377" t="b">
        <f>IFERROR(__xludf.DUMMYFUNCTION("arrayformula(sum(--REGEXMATCH(""SrgMPdNS"",split(REGEXREPLACE(C23,""(.)"",""$1~""),""~""))))=len(C23)"),FALSE)</f>
        <v>0</v>
      </c>
      <c r="FE23" s="269" t="str">
        <f t="shared" si="71"/>
        <v>-</v>
      </c>
      <c r="FF23" s="269" t="str">
        <f t="shared" si="72"/>
        <v>xxxxoxooxox</v>
      </c>
      <c r="FG23" s="271" t="str">
        <f t="shared" si="73"/>
        <v>xxxoxooxoxo</v>
      </c>
      <c r="FH23" s="269" t="str">
        <f t="shared" si="74"/>
        <v>xxoxooxoxox</v>
      </c>
      <c r="FI23" s="271" t="str">
        <f t="shared" si="75"/>
        <v>xoxooxoxoxx</v>
      </c>
      <c r="FJ23" s="271" t="str">
        <f t="shared" si="76"/>
        <v>-</v>
      </c>
      <c r="FK23" s="271" t="str">
        <f t="shared" si="77"/>
        <v>xooxoxoxxxx</v>
      </c>
      <c r="FL23" s="271" t="str">
        <f t="shared" si="78"/>
        <v>-</v>
      </c>
      <c r="FM23" s="271" t="str">
        <f t="shared" si="79"/>
        <v>-</v>
      </c>
      <c r="FN23" s="271" t="str">
        <f t="shared" si="80"/>
        <v>xoxoxxxxoxo</v>
      </c>
      <c r="FO23" s="274" t="str">
        <f t="shared" si="81"/>
        <v>-</v>
      </c>
      <c r="FP23" s="234" t="str">
        <f t="shared" si="82"/>
        <v>|</v>
      </c>
      <c r="FQ23" s="236" t="str">
        <f t="shared" si="83"/>
        <v>-</v>
      </c>
      <c r="FR23" s="237" t="str">
        <f t="shared" si="84"/>
        <v>|</v>
      </c>
      <c r="FS23" s="236" t="str">
        <f t="shared" si="85"/>
        <v>|</v>
      </c>
      <c r="FT23" s="237" t="str">
        <f t="shared" si="86"/>
        <v>|</v>
      </c>
      <c r="FU23" s="236" t="str">
        <f t="shared" si="87"/>
        <v>|</v>
      </c>
      <c r="FV23" s="237" t="str">
        <f t="shared" si="88"/>
        <v>-</v>
      </c>
      <c r="FW23" s="236" t="str">
        <f t="shared" si="89"/>
        <v>|</v>
      </c>
      <c r="FX23" s="237" t="str">
        <f t="shared" si="90"/>
        <v>-</v>
      </c>
      <c r="FY23" s="236" t="str">
        <f t="shared" si="91"/>
        <v>-</v>
      </c>
      <c r="FZ23" s="237" t="str">
        <f t="shared" si="92"/>
        <v>|</v>
      </c>
      <c r="GA23" s="236" t="str">
        <f t="shared" si="93"/>
        <v>-</v>
      </c>
      <c r="GB23" s="238" t="str">
        <f t="shared" si="94"/>
        <v>|</v>
      </c>
      <c r="GC23" s="244" t="str">
        <f>IFERROR(__xludf.DUMMYFUNCTION("IF(REGEXMATCH(C23, ""S""), ""1"","""")"),"1")</f>
        <v>1</v>
      </c>
      <c r="GD23" s="245" t="str">
        <f>IFERROR(__xludf.DUMMYFUNCTION("IF(REGEXMATCH(C23, ""r""), ""b2"","""")"),"")</f>
        <v/>
      </c>
      <c r="GE23" s="246" t="str">
        <f>IFERROR(__xludf.DUMMYFUNCTION("IF(REGEXMATCH(C23, ""R""), ""2"","""")"),"2")</f>
        <v>2</v>
      </c>
      <c r="GF23" s="246" t="str">
        <f>IFERROR(__xludf.DUMMYFUNCTION("IF(REGEXMATCH(C23, ""g""), ""b3"","""")"),"b3")</f>
        <v>b3</v>
      </c>
      <c r="GG23" s="245" t="str">
        <f>IFERROR(__xludf.DUMMYFUNCTION("IF(REGEXMATCH(C23, ""G""), ""3"","""")"),"3")</f>
        <v>3</v>
      </c>
      <c r="GH23" s="245" t="str">
        <f>IFERROR(__xludf.DUMMYFUNCTION("IF(REGEXMATCH(C23, ""m""), ""4"","""")"),"4")</f>
        <v>4</v>
      </c>
      <c r="GI23" s="246" t="str">
        <f>IFERROR(__xludf.DUMMYFUNCTION("IF(REGEXMATCH(C23, ""M""), ""#4"","""")"),"")</f>
        <v/>
      </c>
      <c r="GJ23" s="245" t="str">
        <f>IFERROR(__xludf.DUMMYFUNCTION("IF(REGEXMATCH(C23, ""P""), ""5"","""")"),"5")</f>
        <v>5</v>
      </c>
      <c r="GK23" s="246" t="str">
        <f>IFERROR(__xludf.DUMMYFUNCTION("IF(REGEXMATCH(C23, ""d""), ""b6"","""")"),"")</f>
        <v/>
      </c>
      <c r="GL23" s="245" t="str">
        <f>IFERROR(__xludf.DUMMYFUNCTION("IF(REGEXMATCH(C23, ""D""), ""6"","""")"),"")</f>
        <v/>
      </c>
      <c r="GM23" s="245" t="str">
        <f>IFERROR(__xludf.DUMMYFUNCTION("IF(REGEXMATCH(C23, ""n""), ""b7"","""")"),"b7")</f>
        <v>b7</v>
      </c>
      <c r="GN23" s="246" t="str">
        <f>IFERROR(__xludf.DUMMYFUNCTION("IF(REGEXMATCH(C23, ""N""), ""7"","""")"),"")</f>
        <v/>
      </c>
      <c r="GO23" s="249" t="str">
        <f>IFERROR(__xludf.DUMMYFUNCTION("IF(REGEXMATCH(C23, ""S""), ""8"","""")"),"8")</f>
        <v>8</v>
      </c>
      <c r="GP23" s="244" t="str">
        <f>IFERROR(__xludf.DUMMYFUNCTION("IF(REGEXMATCH(C23, ""S""), ""S"","""")"),"S")</f>
        <v>S</v>
      </c>
      <c r="GQ23" s="294" t="str">
        <f>IFERROR(__xludf.DUMMYFUNCTION("IF(REGEXMATCH(C23, ""r""), ""R1"","""")"),"")</f>
        <v/>
      </c>
      <c r="GR23" s="295" t="str">
        <f>IFERROR(__xludf.DUMMYFUNCTION("IF(REGEXMATCH(C23, ""R""), ""R2"","""")"),"R2")</f>
        <v>R2</v>
      </c>
      <c r="GS23" s="295" t="str">
        <f>IFERROR(__xludf.DUMMYFUNCTION("IF(REGEXMATCH(C23, ""g""), ""G2"","""")"),"G2")</f>
        <v>G2</v>
      </c>
      <c r="GT23" s="294" t="str">
        <f>IFERROR(__xludf.DUMMYFUNCTION("IF(REGEXMATCH(C23, ""G""), ""G3"","""")"),"G3")</f>
        <v>G3</v>
      </c>
      <c r="GU23" s="294" t="str">
        <f>IFERROR(__xludf.DUMMYFUNCTION("IF(REGEXMATCH(C23, ""m""), ""M1"","""")"),"M1")</f>
        <v>M1</v>
      </c>
      <c r="GV23" s="295" t="str">
        <f>IFERROR(__xludf.DUMMYFUNCTION("IF(REGEXMATCH(C23, ""M""), ""M2"","""")"),"")</f>
        <v/>
      </c>
      <c r="GW23" s="294" t="str">
        <f>IFERROR(__xludf.DUMMYFUNCTION("IF(REGEXMATCH(C23, ""P""), ""P"","""")"),"P")</f>
        <v>P</v>
      </c>
      <c r="GX23" s="295" t="str">
        <f>IFERROR(__xludf.DUMMYFUNCTION("IF(REGEXMATCH(C23, ""d""), ""D1"","""")"),"")</f>
        <v/>
      </c>
      <c r="GY23" s="294" t="str">
        <f>IFERROR(__xludf.DUMMYFUNCTION("IF(REGEXMATCH(C23, ""D""), ""D2"","""")"),"")</f>
        <v/>
      </c>
      <c r="GZ23" s="294" t="str">
        <f>IFERROR(__xludf.DUMMYFUNCTION("IF(REGEXMATCH(C23, ""n""), ""N2"","""")"),"N2")</f>
        <v>N2</v>
      </c>
      <c r="HA23" s="295" t="str">
        <f>IFERROR(__xludf.DUMMYFUNCTION("IF(REGEXMATCH(C23, ""N""), ""N3"","""")"),"")</f>
        <v/>
      </c>
      <c r="HB23" s="249" t="str">
        <f>IFERROR(__xludf.DUMMYFUNCTION("IF(REGEXMATCH(C23, ""S""), ""S"","""")"),"S")</f>
        <v>S</v>
      </c>
      <c r="HC23" s="331" t="str">
        <f t="shared" si="95"/>
        <v>S</v>
      </c>
      <c r="HD23" s="332" t="str">
        <f t="shared" si="96"/>
        <v/>
      </c>
      <c r="HE23" s="332" t="str">
        <f t="shared" si="97"/>
        <v>R</v>
      </c>
      <c r="HF23" s="332" t="str">
        <f t="shared" si="98"/>
        <v/>
      </c>
      <c r="HG23" s="332" t="str">
        <f t="shared" si="99"/>
        <v/>
      </c>
      <c r="HH23" s="332" t="str">
        <f t="shared" si="100"/>
        <v>m</v>
      </c>
      <c r="HI23" s="332" t="str">
        <f t="shared" si="101"/>
        <v/>
      </c>
      <c r="HJ23" s="332" t="str">
        <f t="shared" si="102"/>
        <v>P</v>
      </c>
      <c r="HK23" s="332" t="str">
        <f t="shared" si="103"/>
        <v>d</v>
      </c>
      <c r="HL23" s="332" t="str">
        <f t="shared" si="104"/>
        <v>D</v>
      </c>
      <c r="HM23" s="332" t="str">
        <f t="shared" si="105"/>
        <v>n</v>
      </c>
      <c r="HN23" s="332" t="str">
        <f t="shared" si="106"/>
        <v/>
      </c>
      <c r="HO23" s="343" t="str">
        <f t="shared" si="107"/>
        <v>S</v>
      </c>
      <c r="HP23" s="331" t="str">
        <f t="shared" si="108"/>
        <v>o</v>
      </c>
      <c r="HQ23" s="332" t="str">
        <f t="shared" si="109"/>
        <v>•</v>
      </c>
      <c r="HR23" s="332" t="str">
        <f t="shared" si="110"/>
        <v>o</v>
      </c>
      <c r="HS23" s="332" t="str">
        <f t="shared" si="111"/>
        <v>o</v>
      </c>
      <c r="HT23" s="332" t="str">
        <f t="shared" si="112"/>
        <v>o</v>
      </c>
      <c r="HU23" s="332" t="str">
        <f t="shared" si="113"/>
        <v>o</v>
      </c>
      <c r="HV23" s="332" t="str">
        <f t="shared" si="114"/>
        <v>•</v>
      </c>
      <c r="HW23" s="332" t="str">
        <f t="shared" si="115"/>
        <v>o</v>
      </c>
      <c r="HX23" s="332" t="str">
        <f t="shared" si="116"/>
        <v>•</v>
      </c>
      <c r="HY23" s="332" t="str">
        <f t="shared" si="117"/>
        <v>•</v>
      </c>
      <c r="HZ23" s="332" t="str">
        <f t="shared" si="118"/>
        <v>o</v>
      </c>
      <c r="IA23" s="332" t="str">
        <f t="shared" si="119"/>
        <v>•</v>
      </c>
      <c r="IB23" s="338" t="str">
        <f t="shared" si="120"/>
        <v>o</v>
      </c>
      <c r="IC23" s="331" t="str">
        <f t="shared" si="121"/>
        <v>•</v>
      </c>
      <c r="ID23" s="332" t="str">
        <f t="shared" si="122"/>
        <v>o</v>
      </c>
      <c r="IE23" s="332" t="str">
        <f t="shared" si="123"/>
        <v>•</v>
      </c>
      <c r="IF23" s="332" t="str">
        <f t="shared" si="124"/>
        <v>•</v>
      </c>
      <c r="IG23" s="332" t="str">
        <f t="shared" si="125"/>
        <v>•</v>
      </c>
      <c r="IH23" s="332" t="str">
        <f t="shared" si="126"/>
        <v>•</v>
      </c>
      <c r="II23" s="332" t="str">
        <f t="shared" si="127"/>
        <v>o</v>
      </c>
      <c r="IJ23" s="332" t="str">
        <f t="shared" si="128"/>
        <v>•</v>
      </c>
      <c r="IK23" s="332" t="str">
        <f t="shared" si="129"/>
        <v>o</v>
      </c>
      <c r="IL23" s="332" t="str">
        <f t="shared" si="130"/>
        <v>o</v>
      </c>
      <c r="IM23" s="332" t="str">
        <f t="shared" si="131"/>
        <v>•</v>
      </c>
      <c r="IN23" s="332" t="str">
        <f t="shared" si="132"/>
        <v>o</v>
      </c>
      <c r="IO23" s="338" t="str">
        <f t="shared" si="133"/>
        <v>•</v>
      </c>
      <c r="IP23" s="346" t="b">
        <f t="shared" si="134"/>
        <v>0</v>
      </c>
      <c r="IQ23" s="347" t="b">
        <f t="shared" si="135"/>
        <v>0</v>
      </c>
      <c r="IR23" s="347" t="b">
        <f t="shared" si="136"/>
        <v>1</v>
      </c>
      <c r="IS23" s="347" t="b">
        <f t="shared" si="137"/>
        <v>0</v>
      </c>
      <c r="IT23" s="347" t="b">
        <f t="shared" si="138"/>
        <v>1</v>
      </c>
      <c r="IU23" s="347" t="b">
        <f t="shared" si="139"/>
        <v>0</v>
      </c>
      <c r="IV23" s="347" t="b">
        <f t="shared" si="140"/>
        <v>0</v>
      </c>
      <c r="IW23" s="347" t="b">
        <f t="shared" si="141"/>
        <v>0</v>
      </c>
      <c r="IX23" s="347" t="b">
        <f t="shared" si="142"/>
        <v>0</v>
      </c>
      <c r="IY23" s="347" t="b">
        <f t="shared" si="143"/>
        <v>0</v>
      </c>
      <c r="IZ23" s="347" t="b">
        <f t="shared" si="144"/>
        <v>0</v>
      </c>
      <c r="JA23" s="347" t="b">
        <f t="shared" si="145"/>
        <v>0</v>
      </c>
      <c r="JB23" s="353" t="b">
        <f t="shared" si="146"/>
        <v>0</v>
      </c>
      <c r="JC23" s="354" t="str">
        <f t="shared" si="147"/>
        <v/>
      </c>
      <c r="JD23" s="355" t="str">
        <f t="shared" si="148"/>
        <v/>
      </c>
      <c r="JE23" s="355" t="str">
        <f t="shared" si="149"/>
        <v>Re, </v>
      </c>
      <c r="JF23" s="355" t="str">
        <f t="shared" si="150"/>
        <v/>
      </c>
      <c r="JG23" s="355" t="str">
        <f t="shared" si="151"/>
        <v>Ga, </v>
      </c>
      <c r="JH23" s="355" t="str">
        <f t="shared" si="152"/>
        <v/>
      </c>
      <c r="JI23" s="355" t="str">
        <f t="shared" si="153"/>
        <v/>
      </c>
      <c r="JJ23" s="355" t="str">
        <f t="shared" si="154"/>
        <v/>
      </c>
      <c r="JK23" s="355" t="str">
        <f t="shared" si="155"/>
        <v/>
      </c>
      <c r="JL23" s="355" t="str">
        <f t="shared" si="156"/>
        <v/>
      </c>
      <c r="JM23" s="355" t="str">
        <f t="shared" si="157"/>
        <v/>
      </c>
      <c r="JN23" s="355" t="str">
        <f t="shared" si="158"/>
        <v/>
      </c>
      <c r="JO23" s="359" t="str">
        <f t="shared" si="159"/>
        <v/>
      </c>
      <c r="JP23" s="346" t="b">
        <f t="shared" si="160"/>
        <v>0</v>
      </c>
      <c r="JQ23" s="347" t="b">
        <f t="shared" si="161"/>
        <v>0</v>
      </c>
      <c r="JR23" s="347" t="b">
        <f t="shared" si="162"/>
        <v>0</v>
      </c>
      <c r="JS23" s="347" t="b">
        <f t="shared" si="163"/>
        <v>0</v>
      </c>
      <c r="JT23" s="347" t="b">
        <f t="shared" si="164"/>
        <v>1</v>
      </c>
      <c r="JU23" s="347" t="b">
        <f t="shared" si="165"/>
        <v>0</v>
      </c>
      <c r="JV23" s="347" t="b">
        <f t="shared" si="166"/>
        <v>0</v>
      </c>
      <c r="JW23" s="347" t="b">
        <f t="shared" si="167"/>
        <v>0</v>
      </c>
      <c r="JX23" s="347" t="b">
        <f t="shared" si="168"/>
        <v>0</v>
      </c>
      <c r="JY23" s="347" t="b">
        <f t="shared" si="169"/>
        <v>0</v>
      </c>
      <c r="JZ23" s="347" t="b">
        <f t="shared" si="170"/>
        <v>0</v>
      </c>
      <c r="KA23" s="347" t="b">
        <f t="shared" si="171"/>
        <v>0</v>
      </c>
      <c r="KB23" s="365" t="b">
        <f t="shared" si="172"/>
        <v>0</v>
      </c>
      <c r="KC23" s="354" t="str">
        <f t="shared" si="173"/>
        <v/>
      </c>
      <c r="KD23" s="355" t="str">
        <f t="shared" si="174"/>
        <v/>
      </c>
      <c r="KE23" s="355" t="str">
        <f t="shared" si="175"/>
        <v/>
      </c>
      <c r="KF23" s="355" t="str">
        <f t="shared" si="176"/>
        <v/>
      </c>
      <c r="KG23" s="355" t="str">
        <f t="shared" si="177"/>
        <v>Ga, </v>
      </c>
      <c r="KH23" s="355" t="str">
        <f t="shared" si="178"/>
        <v/>
      </c>
      <c r="KI23" s="355" t="str">
        <f t="shared" si="179"/>
        <v/>
      </c>
      <c r="KJ23" s="355" t="str">
        <f t="shared" si="180"/>
        <v/>
      </c>
      <c r="KK23" s="355" t="str">
        <f t="shared" si="181"/>
        <v/>
      </c>
      <c r="KL23" s="355" t="str">
        <f t="shared" si="182"/>
        <v/>
      </c>
      <c r="KM23" s="355" t="str">
        <f t="shared" si="183"/>
        <v/>
      </c>
      <c r="KN23" s="355" t="str">
        <f t="shared" si="184"/>
        <v/>
      </c>
      <c r="KO23" s="359"/>
      <c r="KP23" s="378"/>
      <c r="KQ23" s="379" t="s">
        <v>9</v>
      </c>
      <c r="KR23" s="380" t="s">
        <v>9</v>
      </c>
      <c r="KS23" s="381" t="s">
        <v>9</v>
      </c>
      <c r="KT23" s="382">
        <f t="shared" si="186"/>
        <v>0</v>
      </c>
      <c r="KU23" s="383">
        <f t="shared" si="187"/>
        <v>0</v>
      </c>
      <c r="KV23" s="381" t="str">
        <f t="shared" si="205"/>
        <v>S</v>
      </c>
      <c r="KW23" s="382">
        <f t="shared" si="189"/>
        <v>0</v>
      </c>
      <c r="KX23" s="384">
        <f t="shared" si="190"/>
        <v>0</v>
      </c>
      <c r="KY23" s="382">
        <f t="shared" ref="KY23:KZ23" si="238">KW23-KT23</f>
        <v>0</v>
      </c>
      <c r="KZ23" s="369">
        <f t="shared" si="238"/>
        <v>0</v>
      </c>
      <c r="LA23" s="385" t="str">
        <f t="shared" si="192"/>
        <v>✔</v>
      </c>
      <c r="LB23" s="340" t="str">
        <f>IFERROR(__xludf.DUMMYFUNCTION("JOIN("""",ArrayFormula(MID(KS23,LEN(KS23)-SEQUENCE(1,LEN(KS23))+1,1)))"),"S")</f>
        <v>S</v>
      </c>
      <c r="LC23" s="373" t="str">
        <f>IFERROR(__xludf.DUMMYFUNCTION("JOIN("""",ArrayFormula(MID(KV23,LEN(KV23)-SEQUENCE(1,LEN(KV23))+1,1)))"),"S")</f>
        <v>S</v>
      </c>
      <c r="LD23" s="373" t="str">
        <f t="shared" si="193"/>
        <v>S</v>
      </c>
      <c r="LE23" s="339" t="str">
        <f t="shared" si="194"/>
        <v>S</v>
      </c>
      <c r="LF23" s="386" t="str">
        <f>IFERROR(__xludf.DUMMYFUNCTION("SUBSTITUTE(SUBSTITUTE(CONCATENATE(JOIN("""",LH23:LT23)),""1"",""""),""2"","""")"),"SS")</f>
        <v>SS</v>
      </c>
      <c r="LG23" s="369" t="str">
        <f t="shared" si="195"/>
        <v>-</v>
      </c>
      <c r="LH23" s="387" t="str">
        <f>IFERROR(__xludf.DUMMYFUNCTION("IF(REGEXMATCH(LD23, ""S""), ""S"",IF(REGEXMATCH(LE23, ""S""), ""S"",""""))"),"S")</f>
        <v>S</v>
      </c>
      <c r="LI23" s="299" t="str">
        <f>IFERROR(__xludf.DUMMYFUNCTION("IF(REGEXMATCH(LD23, ""r""), ""r1"",IF(REGEXMATCH(LE23, ""r""), ""r2"",""""))"),"")</f>
        <v/>
      </c>
      <c r="LJ23" s="299" t="str">
        <f>IFERROR(__xludf.DUMMYFUNCTION("IF(REGEXMATCH(LD23, ""R""), ""R1"",IF(REGEXMATCH(LE23, ""R""), ""R2"",""""))"),"")</f>
        <v/>
      </c>
      <c r="LK23" s="299" t="str">
        <f>IFERROR(__xludf.DUMMYFUNCTION("IF(REGEXMATCH(LD23, ""g""), ""g1"",IF(REGEXMATCH(LE23, ""g""), ""g2"",""""))"),"")</f>
        <v/>
      </c>
      <c r="LL23" s="299" t="str">
        <f>IFERROR(__xludf.DUMMYFUNCTION("IF(REGEXMATCH(LD23, ""G""), ""G1"",IF(REGEXMATCH(LE23, ""G""), ""G2"",""""))"),"")</f>
        <v/>
      </c>
      <c r="LM23" s="299" t="str">
        <f>IFERROR(__xludf.DUMMYFUNCTION("IF(REGEXMATCH(LD23, ""m""), ""m1"",IF(REGEXMATCH(LE23, ""m""), ""m2"",""""))"),"")</f>
        <v/>
      </c>
      <c r="LN23" s="299" t="str">
        <f>IFERROR(__xludf.DUMMYFUNCTION("IF(REGEXMATCH(LD23, ""M""), ""M1"",IF(REGEXMATCH(LE23, ""M""), ""M2"",""""))"),"")</f>
        <v/>
      </c>
      <c r="LO23" s="299" t="str">
        <f>IFERROR(__xludf.DUMMYFUNCTION("IF(REGEXMATCH(LD23, ""P""), ""P1"",IF(REGEXMATCH(LE23, ""P""), ""P2"",""""))"),"")</f>
        <v/>
      </c>
      <c r="LP23" s="299" t="str">
        <f>IFERROR(__xludf.DUMMYFUNCTION("IF(REGEXMATCH(LD23, ""d""), ""d1"",IF(REGEXMATCH(LE23, ""d""), ""d2"",""""))"),"")</f>
        <v/>
      </c>
      <c r="LQ23" s="299" t="str">
        <f>IFERROR(__xludf.DUMMYFUNCTION("IF(REGEXMATCH(LD23, ""D""), ""D1"",IF(REGEXMATCH(LE23, ""D""), ""D2"",""""))"),"")</f>
        <v/>
      </c>
      <c r="LR23" s="299" t="str">
        <f>IFERROR(__xludf.DUMMYFUNCTION("IF(REGEXMATCH(LD23, ""n""), ""n1"",IF(REGEXMATCH(LE23, ""n""), ""n2"",""""))"),"")</f>
        <v/>
      </c>
      <c r="LS23" s="299" t="str">
        <f>IFERROR(__xludf.DUMMYFUNCTION("IF(REGEXMATCH(LD23, ""N""), ""N1"",IF(REGEXMATCH(LE23, ""N""), ""N2"",""""))"),"")</f>
        <v/>
      </c>
      <c r="LT23" s="388" t="str">
        <f>IFERROR(__xludf.DUMMYFUNCTION("IF(REGEXMATCH(LD23, ""S""), ""S"",IF(REGEXMATCH(LE23, ""S""), ""S"",""""))"),"S")</f>
        <v>S</v>
      </c>
      <c r="LU23" s="389">
        <f t="shared" si="196"/>
        <v>1</v>
      </c>
      <c r="LV23" s="378"/>
      <c r="LW23" s="369"/>
      <c r="LX23" s="369"/>
    </row>
    <row r="24" ht="20.25" customHeight="1">
      <c r="A24" s="298" t="s">
        <v>1014</v>
      </c>
      <c r="B24" s="222" t="s">
        <v>1015</v>
      </c>
      <c r="C24" s="233" t="str">
        <f t="shared" si="7"/>
        <v>SrgmPdNS</v>
      </c>
      <c r="D24" s="234" t="str">
        <f>IFERROR(__xludf.DUMMYFUNCTION("IF(REGEXMATCH(C24, ""S""), ""S"","""")"),"S")</f>
        <v>S</v>
      </c>
      <c r="E24" s="236" t="str">
        <f>IFERROR(__xludf.DUMMYFUNCTION("IF(REGEXMATCH(C24, ""r""), ""r"","""")"),"r")</f>
        <v>r</v>
      </c>
      <c r="F24" s="237" t="str">
        <f>IFERROR(__xludf.DUMMYFUNCTION("IF(REGEXMATCH(C24, ""R""), ""R"","""")"),"")</f>
        <v/>
      </c>
      <c r="G24" s="237" t="str">
        <f>IFERROR(__xludf.DUMMYFUNCTION("IF(REGEXMATCH(C24, ""g""), ""g"","""")"),"g")</f>
        <v>g</v>
      </c>
      <c r="H24" s="236" t="str">
        <f>IFERROR(__xludf.DUMMYFUNCTION("IF(REGEXMATCH(C24, ""G""), ""G"","""")"),"")</f>
        <v/>
      </c>
      <c r="I24" s="236" t="str">
        <f>IFERROR(__xludf.DUMMYFUNCTION("IF(REGEXMATCH(C24, ""m""), ""m"","""")"),"m")</f>
        <v>m</v>
      </c>
      <c r="J24" s="237" t="str">
        <f>IFERROR(__xludf.DUMMYFUNCTION("IF(REGEXMATCH(C24, ""M""), ""M"","""")"),"")</f>
        <v/>
      </c>
      <c r="K24" s="236" t="str">
        <f>IFERROR(__xludf.DUMMYFUNCTION("IF(REGEXMATCH(C24, ""P""), ""P"","""")"),"P")</f>
        <v>P</v>
      </c>
      <c r="L24" s="237" t="str">
        <f>IFERROR(__xludf.DUMMYFUNCTION("IF(REGEXMATCH(C24, ""d""), ""d"","""")"),"d")</f>
        <v>d</v>
      </c>
      <c r="M24" s="236" t="str">
        <f>IFERROR(__xludf.DUMMYFUNCTION("IF(REGEXMATCH(C24, ""D""), ""D"","""")"),"")</f>
        <v/>
      </c>
      <c r="N24" s="236" t="str">
        <f>IFERROR(__xludf.DUMMYFUNCTION("IF(REGEXMATCH(C24, ""n""), ""n"","""")"),"")</f>
        <v/>
      </c>
      <c r="O24" s="237" t="str">
        <f>IFERROR(__xludf.DUMMYFUNCTION("IF(REGEXMATCH(C24, ""N""), ""N"","""")"),"N")</f>
        <v>N</v>
      </c>
      <c r="P24" s="238" t="str">
        <f>IFERROR(__xludf.DUMMYFUNCTION("IF(REGEXMATCH(C24, ""S""), ""S"","""")"),"S")</f>
        <v>S</v>
      </c>
      <c r="Q24" s="239" t="str">
        <f>IFERROR(__xludf.DUMMYFUNCTION("SUBSTITUTE(CONCATENATE(JOIN(""-"",D24:J24)),""-"","""")"),"Srgm")</f>
        <v>Srgm</v>
      </c>
      <c r="R24" s="229" t="str">
        <f>IFERROR(__xludf.DUMMYFUNCTION("SUBSTITUTE(CONCATENATE(JOIN(""-"",K24:P24)),""-"","""")"),"PdNS")</f>
        <v>PdNS</v>
      </c>
      <c r="S24" s="282" t="str">
        <f t="shared" si="8"/>
        <v>S-R-G-M</v>
      </c>
      <c r="T24" s="282" t="str">
        <f t="shared" si="9"/>
        <v>P-D-N-S</v>
      </c>
      <c r="U24" s="237" t="str">
        <f>IFERROR(__xludf.DUMMYFUNCTION("SUBSTITUTE(JOIN(""-"",S24,T24),""--"",""-"")"),"S-R-G-M-P-D-N-S")</f>
        <v>S-R-G-M-P-D-N-S</v>
      </c>
      <c r="V24" s="309" t="str">
        <f t="shared" si="10"/>
        <v>rgmdN</v>
      </c>
      <c r="W24" s="244" t="str">
        <f>IFERROR(__xludf.DUMMYFUNCTION("IF(REGEXMATCH(C24, ""S""), ""0"","""")"),"0")</f>
        <v>0</v>
      </c>
      <c r="X24" s="245" t="str">
        <f>IFERROR(__xludf.DUMMYFUNCTION("IF(REGEXMATCH(C24, ""r""), ""1"","""")"),"1")</f>
        <v>1</v>
      </c>
      <c r="Y24" s="246" t="str">
        <f>IFERROR(__xludf.DUMMYFUNCTION("IF(REGEXMATCH(C24, ""R""), ""2"","""")"),"")</f>
        <v/>
      </c>
      <c r="Z24" s="246" t="str">
        <f>IFERROR(__xludf.DUMMYFUNCTION("IF(REGEXMATCH(C24, ""g""), ""3"","""")"),"3")</f>
        <v>3</v>
      </c>
      <c r="AA24" s="245" t="str">
        <f>IFERROR(__xludf.DUMMYFUNCTION("IF(REGEXMATCH(C24, ""G""), ""4"","""")"),"")</f>
        <v/>
      </c>
      <c r="AB24" s="245" t="str">
        <f>IFERROR(__xludf.DUMMYFUNCTION("IF(REGEXMATCH(C24, ""m""), ""5"","""")"),"5")</f>
        <v>5</v>
      </c>
      <c r="AC24" s="246" t="str">
        <f>IFERROR(__xludf.DUMMYFUNCTION("IF(REGEXMATCH(C24, ""M""), ""6"","""")"),"")</f>
        <v/>
      </c>
      <c r="AD24" s="245" t="str">
        <f>IFERROR(__xludf.DUMMYFUNCTION("IF(REGEXMATCH(C24, ""P""), ""7"","""")"),"7")</f>
        <v>7</v>
      </c>
      <c r="AE24" s="246" t="str">
        <f>IFERROR(__xludf.DUMMYFUNCTION("IF(REGEXMATCH(C24, ""d""), ""8"","""")"),"8")</f>
        <v>8</v>
      </c>
      <c r="AF24" s="245" t="str">
        <f>IFERROR(__xludf.DUMMYFUNCTION("IF(REGEXMATCH(C24, ""D""), ""9"","""")"),"")</f>
        <v/>
      </c>
      <c r="AG24" s="245" t="str">
        <f>IFERROR(__xludf.DUMMYFUNCTION("IF(REGEXMATCH(C24, ""n""), ""10"","""")"),"")</f>
        <v/>
      </c>
      <c r="AH24" s="246" t="str">
        <f>IFERROR(__xludf.DUMMYFUNCTION("IF(REGEXMATCH(C24, ""N""), ""11"","""")"),"11")</f>
        <v>11</v>
      </c>
      <c r="AI24" s="249" t="str">
        <f>IFERROR(__xludf.DUMMYFUNCTION("IF(REGEXMATCH(C24, ""S""), ""0"","""")"),"0")</f>
        <v>0</v>
      </c>
      <c r="AJ24" s="313" t="str">
        <f t="shared" si="11"/>
        <v>-</v>
      </c>
      <c r="AK24" s="313" t="str">
        <f t="shared" si="12"/>
        <v>T</v>
      </c>
      <c r="AL24" s="313" t="str">
        <f t="shared" si="13"/>
        <v>-</v>
      </c>
      <c r="AM24" s="313" t="str">
        <f t="shared" si="14"/>
        <v>-</v>
      </c>
      <c r="AN24" s="313" t="str">
        <f t="shared" si="15"/>
        <v>-</v>
      </c>
      <c r="AO24" s="314" t="str">
        <f t="shared" si="16"/>
        <v>T</v>
      </c>
      <c r="AP24" s="316">
        <f t="shared" si="17"/>
        <v>2</v>
      </c>
      <c r="AQ24" s="319" t="str">
        <f t="shared" si="18"/>
        <v>#REF!</v>
      </c>
      <c r="AR24" s="320">
        <f t="shared" si="19"/>
        <v>0</v>
      </c>
      <c r="AS24" s="250" t="str">
        <f>IFERROR(__xludf.DUMMYFUNCTION("SUBSTITUTE(SUBSTITUTE(CONCATENATE(JOIN("""",FP24:GA24)),""|"",""x""),""-"",""o"")"),"xxoxoxoxxoox")</f>
        <v>xxoxoxoxxoox</v>
      </c>
      <c r="AT24" s="323" t="str">
        <f>IFERROR(__xludf.DUMMYFUNCTION("JOIN("""",AS24,AS24)"),"xxoxoxoxxooxxxoxoxoxxoox")</f>
        <v>xxoxoxoxxooxxxoxoxoxxoox</v>
      </c>
      <c r="AU24" s="256" t="str">
        <f>IFERROR(__xludf.DUMMYFUNCTION("JOIN("""",ArrayFormula(MID(AS24,LEN(AS24)-SEQUENCE(1,LEN(AS24))+1,1)))"),"xooxxoxoxoxx")</f>
        <v>xooxxoxoxoxx</v>
      </c>
      <c r="AV24" s="256" t="str">
        <f>IFERROR(__xludf.DUMMYFUNCTION("LEFT(CONCATENATE(""x"",JOIN("""",ArrayFormula(MID(AS24,LEN(AS24)-SEQUENCE(1,LEN(AS24))+1,1)))),12)"),"xxooxxoxoxox")</f>
        <v>xxooxxoxoxox</v>
      </c>
      <c r="AW24" s="327" t="str">
        <f>IFERROR(__xludf.DUMMYFUNCTION("JOIN("""",AU24,AU24)"),"xooxxoxoxoxxxooxxoxoxoxx")</f>
        <v>xooxxoxoxoxxxooxxoxoxoxx</v>
      </c>
      <c r="AX24" s="239" t="str">
        <f>IFERROR(__xludf.DUMMYFUNCTION("IF(REGEXMATCH(AW24,AS24),""✔"",""-"")"),"-")</f>
        <v>-</v>
      </c>
      <c r="AY24" s="330" t="str">
        <f t="shared" si="20"/>
        <v>-</v>
      </c>
      <c r="AZ24" s="260" t="str">
        <f t="shared" si="21"/>
        <v>#REF!</v>
      </c>
      <c r="BA24" s="333" t="str">
        <f t="shared" si="22"/>
        <v>xxoxoxo</v>
      </c>
      <c r="BB24" s="334" t="str">
        <f t="shared" si="23"/>
        <v>xxooxx</v>
      </c>
      <c r="BC24" s="335" t="str">
        <f t="shared" si="236"/>
        <v>-</v>
      </c>
      <c r="BD24" s="336" t="str">
        <f t="shared" si="25"/>
        <v>Ardhanarishvara: 'xxoxoxo' + 'xxooxx'</v>
      </c>
      <c r="BE24" s="337">
        <f>IFERROR(__xludf.DUMMYFUNCTION("COUNTUNIQUE(FILTER(AT:AT,REGEXMATCH(AT:AT,AS24)))-1"),1.0)</f>
        <v>1</v>
      </c>
      <c r="BF24" s="261" t="str">
        <f>IFERROR(__xludf.DUMMYFUNCTION("IF(BI24=0,""(n/a)"",IF(BJ24=2,""(PAIR)"",IF(REGEXMATCH(AT24,""xoxoxxoxoxox""),""Bilawal"",IF(REGEXMATCH(AT24,""xoxoxooxoxoo""),""Bhupali"",IF(REGEXMATCH(AT24,""xoxoxxoxxoxo""),""Charukeshi"",IF(REGEXMATCH(AT24,""xoxoooxxoxxo""),""Kameshwari"",IF(REGEXMATC"&amp;"H(AT24,""xoxoxooxoxox""),""Shankara"",IF(REGEXMATCH(AT24,""xxooxoxxxoox""),""Basant"",IF(REGEXMATCH(AT24,""xoxoxxxxoxox""),""Bihag"",IF(REGEXMATCH(AT24,""xoxxxxoxoxxx""),""Pilu"",IF(REGEXMATCH(AT24,""xoxxoxoxxoox""),""Kirwani"",IF(REGEXMATCH(AT24,""xoxxox"&amp;"oxoxxx""),""Mk.Malhar"",IF(REGEXMATCH(AT24,""xxooxxoxxoox""),""Bhairav"",IF(REGEXMATCH(AT24,""xxoxooxxxoox""),""Todi"",IF(REGEXMATCH(AT24,""xxooxoxooxox""),""Marwa"",IF(REGEXMATCH(AT24,""xxoooxoxxooo""),""Gunkali"",IF(REGEXMATCH(AT24,""xoxoxxoxxoox""),""N"&amp;"at Bhairav"",IF(REGEXMATCH(AT24,""xoxxoooxoxoo""),""Shivranjani"",IF(REGEXMATCH(AT24,""xooxxxoxooxo""),""Jog"",IF(REGEXMATCH(AT24,""xxooxoxoxoox""),""Hemshri"",IF(REGEXMATCH(AT24,""xoooxooxoxxo""),""Kalavati"",IF(REGEXMATCH(AT24,""xxoxoxxoxoox""),""Kedar"&amp;""",IF(REGEXMATCH(AT24,""xoxxxxoxooxx""),""Gara"",IF(REGEXMATCH(AT24,""xooxoxooxoox""),""Chandrakauns"",IF(REGEXMATCH(AT24,""xoxxxxoxxxox""),""Mand"",IF(REGEXMATCH(AT24,""xoxxxxoxoxox""),""Hanskinkini"",IF(REGEXMATCH(AT24,""xxooxxoxooxo""),""Lilavati"",IF("&amp;"REGEXMATCH(AT24,""xooxoxoooxox""),""Rajeshwari"",IF(REGEXMATCH(AT24,""xoooxxoxoxxx""),""Khokar"",IF(REGEXMATCH(AT24,""xxooxoxxxxox""),""Maligoura"",""-""))))))))))))))))))))))))))))))"),"(PAIR)")</f>
        <v>(PAIR)</v>
      </c>
      <c r="BG24" s="239" t="str">
        <f t="shared" si="26"/>
        <v>#REF!</v>
      </c>
      <c r="BH24" s="239">
        <f>IFERROR(__xludf.DUMMYFUNCTION("COUNTUNIQUE(FE24:FO24)-1"),6.0)</f>
        <v>6</v>
      </c>
      <c r="BI24" s="239">
        <f>IFERROR(__xludf.DUMMYFUNCTION("COUNTUNIQUE(FILTER(AT:AT,REGEXMATCH(AT:AT,AS24)))-1"),1.0)</f>
        <v>1</v>
      </c>
      <c r="BJ24" s="239">
        <f>IFERROR(__xludf.DUMMYFUNCTION("COUNTA(FILTER(AT:AT,REGEXMATCH(AT:AT,AS24)))"),2.0)</f>
        <v>2</v>
      </c>
      <c r="BK24" s="341">
        <f>IFERROR(__xludf.DUMMYFUNCTION("COUNTA(FILTER(AT:AT,REGEXMATCH(AT:AT,AS24)))-AR24"),2.0)</f>
        <v>2</v>
      </c>
      <c r="BL24" s="276" t="str">
        <f>IFERROR(__xludf.DUMMYFUNCTION("IF(AS24=""oooooooooooo"",""-"",IF(REGEXMATCH(AT24,""xx""), ""Hemi."", ""Anhemi.""))"),"Hemi.")</f>
        <v>Hemi.</v>
      </c>
      <c r="BM24" s="282" t="str">
        <f>IFERROR(__xludf.DUMMYFUNCTION("IF(AS24=""oooooooooooo"",""-"",IF(REGEXMATCH(AT24,""xxx""), ""Cohem."", ""-""))"),"Cohem.")</f>
        <v>Cohem.</v>
      </c>
      <c r="BN24" s="282" t="str">
        <f>IFERROR(__xludf.DUMMYFUNCTION("IF(AS24=""oooooooooooo"",""-"",IF(REGEXMATCH(AT24,""xxxx""), ""Co-Co."", ""-""))"),"-")</f>
        <v>-</v>
      </c>
      <c r="BO24" s="342" t="str">
        <f>IFERROR(__xludf.DUMMYFUNCTION("IF(AS24=""oooooooooooo"",""-"",IF(REGEXMATCH(AT24,""xxxxx""), ""CCC."", ""-""))"),"-")</f>
        <v>-</v>
      </c>
      <c r="BP24" s="344" t="str">
        <f t="shared" si="27"/>
        <v>-</v>
      </c>
      <c r="BQ24" s="282" t="str">
        <f>IFERROR(__xludf.DUMMYFUNCTION("IF(REGEXMATCH(JOIN(""-"",EU24:FD24),""TRUE""),""✔"",""-"")"),"-")</f>
        <v>-</v>
      </c>
      <c r="BR24" s="225">
        <f t="shared" si="28"/>
        <v>0</v>
      </c>
      <c r="BS24" s="345" t="str">
        <f>IFERROR(__xludf.DUMMYFUNCTION("SUBSTITUTE(SUBSTITUTE(SUBSTITUTE(SUBSTITUTE(CONCATENATE(JOIN(""-"",GC24:GO24)),""--"",""-""),""--"",""-""),""--"",""-""),""--"",""-"")"),"1-b2-b3-4-5-b6-7-8")</f>
        <v>1-b2-b3-4-5-b6-7-8</v>
      </c>
      <c r="BT24" s="299" t="str">
        <f>IFERROR(__xludf.DUMMYFUNCTION("SUBSTITUTE(SUBSTITUTE(SUBSTITUTE(SUBSTITUTE(CONCATENATE(JOIN(""-"",GP24:HB24)),""--"",""-""),""--"",""-""),""--"",""-""),""--"",""-"")"),"S-R1-G2-M1-P-D1-N3-S")</f>
        <v>S-R1-G2-M1-P-D1-N3-S</v>
      </c>
      <c r="BU24" s="348" t="str">
        <f t="shared" si="29"/>
        <v>C-Db-Eb-F-G-Ab-B-C</v>
      </c>
      <c r="BV24" s="349" t="str">
        <f t="shared" si="30"/>
        <v>SRGMDnS</v>
      </c>
      <c r="BW24" s="350">
        <f t="shared" si="31"/>
        <v>0</v>
      </c>
      <c r="BX24" s="351">
        <f t="shared" si="32"/>
        <v>1</v>
      </c>
      <c r="BY24" s="352" t="s">
        <v>275</v>
      </c>
      <c r="BZ24" s="309" t="str">
        <f>IFERROR(__xludf.DUMMYFUNCTION("IF(REGEXMATCH(C24, ""S""), ""x"",""x"")"),"x")</f>
        <v>x</v>
      </c>
      <c r="CA24" s="245" t="str">
        <f>IFERROR(__xludf.DUMMYFUNCTION("IF(REGEXMATCH(C24, ""r""), ""o"",""x"")"),"o")</f>
        <v>o</v>
      </c>
      <c r="CB24" s="246" t="str">
        <f>IFERROR(__xludf.DUMMYFUNCTION("IF(REGEXMATCH(C24, ""R""), ""o"",""x"")"),"x")</f>
        <v>x</v>
      </c>
      <c r="CC24" s="246" t="str">
        <f>IFERROR(__xludf.DUMMYFUNCTION("IF(REGEXMATCH(C24, ""g""), ""o"",""x"")"),"o")</f>
        <v>o</v>
      </c>
      <c r="CD24" s="245" t="str">
        <f>IFERROR(__xludf.DUMMYFUNCTION("IF(REGEXMATCH(C24, ""G""), ""o"",""x"")"),"x")</f>
        <v>x</v>
      </c>
      <c r="CE24" s="245" t="str">
        <f>IFERROR(__xludf.DUMMYFUNCTION("IF(REGEXMATCH(C24, ""m""), ""o"",""x"")"),"o")</f>
        <v>o</v>
      </c>
      <c r="CF24" s="246" t="str">
        <f>IFERROR(__xludf.DUMMYFUNCTION("IF(REGEXMATCH(C24, ""M""), ""o"",""x"")"),"x")</f>
        <v>x</v>
      </c>
      <c r="CG24" s="245" t="str">
        <f>IFERROR(__xludf.DUMMYFUNCTION("IF(REGEXMATCH(C24, ""P""), ""o"",""x"")"),"o")</f>
        <v>o</v>
      </c>
      <c r="CH24" s="246" t="str">
        <f>IFERROR(__xludf.DUMMYFUNCTION("IF(REGEXMATCH(C24, ""d""), ""o"",""x"")"),"o")</f>
        <v>o</v>
      </c>
      <c r="CI24" s="245" t="str">
        <f>IFERROR(__xludf.DUMMYFUNCTION("IF(REGEXMATCH(C24, ""D""), ""o"",""x"")"),"x")</f>
        <v>x</v>
      </c>
      <c r="CJ24" s="245" t="str">
        <f>IFERROR(__xludf.DUMMYFUNCTION("IF(REGEXMATCH(C24, ""n""), ""o"",""x"")"),"x")</f>
        <v>x</v>
      </c>
      <c r="CK24" s="245" t="str">
        <f>IFERROR(__xludf.DUMMYFUNCTION("IF(REGEXMATCH(C24, ""N""), ""o"",""x"")"),"o")</f>
        <v>o</v>
      </c>
      <c r="CL24" s="356" t="str">
        <f>IFERROR(__xludf.DUMMYFUNCTION("IF(REGEXMATCH(C24, ""S""), ""x"",""x"")"),"x")</f>
        <v>x</v>
      </c>
      <c r="CM24" s="357" t="str">
        <f t="shared" si="33"/>
        <v>xoxoxoxooxxo</v>
      </c>
      <c r="CN24" s="358">
        <f t="shared" si="34"/>
        <v>0</v>
      </c>
      <c r="CO24" s="246" t="str">
        <f>IFERROR(__xludf.DUMMYFUNCTION("IF(REGEXMATCH($C24, ""S""), ""S"",""S"")"),"S")</f>
        <v>S</v>
      </c>
      <c r="CP24" s="246" t="str">
        <f>IFERROR(__xludf.DUMMYFUNCTION("IF(REGEXMATCH($C24, ""r""), """",""r"")"),"")</f>
        <v/>
      </c>
      <c r="CQ24" s="246" t="str">
        <f>IFERROR(__xludf.DUMMYFUNCTION("IF(REGEXMATCH($C24, ""R""), """",""R"")"),"R")</f>
        <v>R</v>
      </c>
      <c r="CR24" s="246" t="str">
        <f>IFERROR(__xludf.DUMMYFUNCTION("IF(REGEXMATCH($C24, ""g""), """",""g"")"),"")</f>
        <v/>
      </c>
      <c r="CS24" s="246" t="str">
        <f>IFERROR(__xludf.DUMMYFUNCTION("IF(REGEXMATCH($C24, ""G""), """",""G"")"),"G")</f>
        <v>G</v>
      </c>
      <c r="CT24" s="246" t="str">
        <f>IFERROR(__xludf.DUMMYFUNCTION("IF(REGEXMATCH($C24, ""m""), """",""m"")"),"")</f>
        <v/>
      </c>
      <c r="CU24" s="246" t="str">
        <f>IFERROR(__xludf.DUMMYFUNCTION("IF(REGEXMATCH($C24, ""M""), """",""M"")"),"M")</f>
        <v>M</v>
      </c>
      <c r="CV24" s="246" t="str">
        <f>IFERROR(__xludf.DUMMYFUNCTION("IF(REGEXMATCH($C24, ""P""), """",""P"")"),"")</f>
        <v/>
      </c>
      <c r="CW24" s="246" t="str">
        <f>IFERROR(__xludf.DUMMYFUNCTION("IF(REGEXMATCH($C24, ""d""), """",""d"")"),"")</f>
        <v/>
      </c>
      <c r="CX24" s="246" t="str">
        <f>IFERROR(__xludf.DUMMYFUNCTION("IF(REGEXMATCH($C24, ""D""), """",""D"")"),"D")</f>
        <v>D</v>
      </c>
      <c r="CY24" s="246" t="str">
        <f>IFERROR(__xludf.DUMMYFUNCTION("IF(REGEXMATCH($C24, ""n""), """",""n"")"),"n")</f>
        <v>n</v>
      </c>
      <c r="CZ24" s="246" t="str">
        <f>IFERROR(__xludf.DUMMYFUNCTION("IF(REGEXMATCH($C24, ""N""), """",""N"")"),"")</f>
        <v/>
      </c>
      <c r="DA24" s="246" t="str">
        <f>IFERROR(__xludf.DUMMYFUNCTION("IF(REGEXMATCH($C24, ""S""), ""S"",""S"")"),"S")</f>
        <v>S</v>
      </c>
      <c r="DB24" s="362" t="str">
        <f>IFERROR(__xludf.DUMMYFUNCTION("JOIN("""",CO24:DA24,"""","""")"),"SRGMDnS")</f>
        <v>SRGMDnS</v>
      </c>
      <c r="DC24" s="363"/>
      <c r="DD24" s="301" t="str">
        <f t="shared" si="35"/>
        <v>#REF!</v>
      </c>
      <c r="DE24" s="302" t="str">
        <f t="shared" si="36"/>
        <v>#REF!</v>
      </c>
      <c r="DF24" s="301" t="str">
        <f t="shared" ref="DF24:DG24" si="239">SUBSTITUTE(S24,"-","")</f>
        <v>SRGM</v>
      </c>
      <c r="DG24" s="301" t="str">
        <f t="shared" si="239"/>
        <v>PDNS</v>
      </c>
      <c r="DH24" s="302" t="str">
        <f t="shared" si="38"/>
        <v>(PAIR)</v>
      </c>
      <c r="DI24" s="301" t="str">
        <f t="shared" si="39"/>
        <v>Hemi.</v>
      </c>
      <c r="DJ24" s="364" t="str">
        <f t="shared" si="40"/>
        <v>Cohem.</v>
      </c>
      <c r="DK24" s="306" t="str">
        <f t="shared" si="41"/>
        <v>-</v>
      </c>
      <c r="DL24" s="366" t="str">
        <f t="shared" si="42"/>
        <v>-</v>
      </c>
      <c r="DM24" s="308" t="str">
        <f t="shared" si="43"/>
        <v>✔</v>
      </c>
      <c r="DN24" s="306" t="str">
        <f t="shared" si="44"/>
        <v>-</v>
      </c>
      <c r="DO24" s="306" t="str">
        <f t="shared" si="45"/>
        <v>-</v>
      </c>
      <c r="DP24" s="367" t="str">
        <f t="shared" si="46"/>
        <v>-</v>
      </c>
      <c r="DQ24" s="310" t="str">
        <f t="shared" si="47"/>
        <v>-</v>
      </c>
      <c r="DR24" s="310" t="str">
        <f t="shared" si="48"/>
        <v>-</v>
      </c>
      <c r="DS24" s="310" t="str">
        <f t="shared" si="49"/>
        <v>-</v>
      </c>
      <c r="DT24" s="310" t="str">
        <f t="shared" si="50"/>
        <v>-</v>
      </c>
      <c r="DU24" s="370" t="str">
        <f t="shared" si="51"/>
        <v>-</v>
      </c>
      <c r="DV24" s="306" t="str">
        <f t="shared" si="52"/>
        <v>-</v>
      </c>
      <c r="DW24" s="306" t="str">
        <f t="shared" si="53"/>
        <v>-</v>
      </c>
      <c r="DX24" s="306" t="str">
        <f t="shared" si="54"/>
        <v>-</v>
      </c>
      <c r="DY24" s="306" t="str">
        <f t="shared" si="55"/>
        <v>-</v>
      </c>
      <c r="DZ24" s="306" t="str">
        <f t="shared" si="56"/>
        <v>-</v>
      </c>
      <c r="EA24" s="367" t="str">
        <f t="shared" si="57"/>
        <v>-</v>
      </c>
      <c r="EB24" s="310" t="str">
        <f>IFERROR(__xludf.DUMMYFUNCTION("IF(REGEXMATCH(AW24,AS24),""✔"",""-"")"),"-")</f>
        <v>-</v>
      </c>
      <c r="EC24" s="310" t="str">
        <f t="shared" si="58"/>
        <v>#REF!</v>
      </c>
      <c r="ED24" s="370" t="str">
        <f t="shared" si="59"/>
        <v>-</v>
      </c>
      <c r="EE24" s="340" t="str">
        <f t="shared" si="60"/>
        <v>S-r-g-m-P-d-N-S</v>
      </c>
      <c r="EF24" s="371" t="str">
        <f>IFERROR(__xludf.DUMMYFUNCTION("CONCATENATE(JOIN("""",HC24:HO24))"),"SrGmPDNS")</f>
        <v>SrGmPDNS</v>
      </c>
      <c r="EG24" s="372">
        <f t="shared" si="61"/>
        <v>3</v>
      </c>
      <c r="EH24" s="373" t="str">
        <f>IFERROR(__xludf.DUMMYFUNCTION("CONCATENATE(JOIN("""",JC24:JO24))"),"ga, Pa, Ni, ")</f>
        <v>ga, Pa, Ni, </v>
      </c>
      <c r="EI24" s="322">
        <f t="shared" si="62"/>
        <v>1</v>
      </c>
      <c r="EJ24" s="374" t="str">
        <f>IFERROR(__xludf.DUMMYFUNCTION("CONCATENATE(JOIN("""",KC24:KO24))"),"Ni, ")</f>
        <v>Ni, </v>
      </c>
      <c r="EK24" s="325" t="str">
        <f t="shared" si="63"/>
        <v>S-R1-G2-M1-P-D1-N3-S</v>
      </c>
      <c r="EL24" s="326" t="str">
        <f t="shared" si="64"/>
        <v>1-b2-b3-4-5-b6-7-8</v>
      </c>
      <c r="EM24" s="318" t="str">
        <f t="shared" si="65"/>
        <v>#REF!</v>
      </c>
      <c r="EN24" s="328" t="str">
        <f>IFERROR(__xludf.DUMMYFUNCTION("SUBSTITUTE(SUBSTITUTE(SUBSTITUTE(SUBSTITUTE(CONCATENATE(JOIN("" "",HP24:IB24)),""  "","" ""),""  "","" ""),""  "","" ""),""  "","" "")"),"o o • o • o • o o • • o o")</f>
        <v>o o • o • o • o o • • o o</v>
      </c>
      <c r="EO24" s="368" t="str">
        <f t="shared" si="66"/>
        <v>-</v>
      </c>
      <c r="EP24" s="339" t="str">
        <f t="shared" si="67"/>
        <v>-</v>
      </c>
      <c r="EQ24" s="339" t="str">
        <f t="shared" si="68"/>
        <v>Sa-Pa</v>
      </c>
      <c r="ER24" s="339" t="str">
        <f t="shared" si="69"/>
        <v>-</v>
      </c>
      <c r="ES24" s="340" t="str">
        <f t="shared" si="70"/>
        <v>-</v>
      </c>
      <c r="ET24" s="363"/>
      <c r="EU24" s="376" t="b">
        <f>IFERROR(__xludf.DUMMYFUNCTION("arrayformula(sum(--REGEXMATCH(""SRGMPDNS"",split(REGEXREPLACE(C24,""(.)"",""$1~""),""~""))))=len(C24)
"),FALSE)</f>
        <v>0</v>
      </c>
      <c r="EV24" s="290" t="b">
        <f>IFERROR(__xludf.DUMMYFUNCTION("arrayformula(sum(--REGEXMATCH(""SRGmPDNS"",split(REGEXREPLACE(C24,""(.)"",""$1~""),""~""))))=len(C24)"),FALSE)</f>
        <v>0</v>
      </c>
      <c r="EW24" s="290" t="b">
        <f>IFERROR(__xludf.DUMMYFUNCTION("arrayformula(sum(--REGEXMATCH(""SRGmPDnS"",split(REGEXREPLACE(C24,""(.)"",""$1~""),""~""))))=len(C24)"),FALSE)</f>
        <v>0</v>
      </c>
      <c r="EX24" s="290" t="b">
        <f>IFERROR(__xludf.DUMMYFUNCTION("arrayformula(sum(--REGEXMATCH(""SRgmPDnS"",split(REGEXREPLACE(C24,""(.)"",""$1~""),""~""))))=len(C24)"),FALSE)</f>
        <v>0</v>
      </c>
      <c r="EY24" s="290" t="b">
        <f>IFERROR(__xludf.DUMMYFUNCTION("arrayformula(sum(--REGEXMATCH(""SRgmPdnS"",split(REGEXREPLACE(C24,""(.)"",""$1~""),""~""))))=len(C24)"),FALSE)</f>
        <v>0</v>
      </c>
      <c r="EZ24" s="290" t="b">
        <f>IFERROR(__xludf.DUMMYFUNCTION("arrayformula(sum(--REGEXMATCH(""SrgmPdnS"",split(REGEXREPLACE(C24,""(.)"",""$1~""),""~""))))=len(C24)"),FALSE)</f>
        <v>0</v>
      </c>
      <c r="FA24" s="290" t="b">
        <f>IFERROR(__xludf.DUMMYFUNCTION("arrayformula(sum(--REGEXMATCH(""SrGmPdNS"",split(REGEXREPLACE(C24,""(.)"",""$1~""),""~""))))=len(C24)"),FALSE)</f>
        <v>0</v>
      </c>
      <c r="FB24" s="290" t="b">
        <f>IFERROR(__xludf.DUMMYFUNCTION("arrayformula(sum(--REGEXMATCH(""SrGMPDNS"",split(REGEXREPLACE(C24,""(.)"",""$1~""),""~""))))=len(C24)"),FALSE)</f>
        <v>0</v>
      </c>
      <c r="FC24" s="290" t="b">
        <f>IFERROR(__xludf.DUMMYFUNCTION("arrayformula(sum(--REGEXMATCH(""SrGMPdNS"",split(REGEXREPLACE(C24,""(.)"",""$1~""),""~""))))=len(C24)"),FALSE)</f>
        <v>0</v>
      </c>
      <c r="FD24" s="377" t="b">
        <f>IFERROR(__xludf.DUMMYFUNCTION("arrayformula(sum(--REGEXMATCH(""SrgMPdNS"",split(REGEXREPLACE(C24,""(.)"",""$1~""),""~""))))=len(C24)"),FALSE)</f>
        <v>0</v>
      </c>
      <c r="FE24" s="269" t="str">
        <f t="shared" si="71"/>
        <v>xoxoxoxxoox</v>
      </c>
      <c r="FF24" s="269" t="str">
        <f t="shared" si="72"/>
        <v>-</v>
      </c>
      <c r="FG24" s="271" t="str">
        <f t="shared" si="73"/>
        <v>xoxoxxooxxx</v>
      </c>
      <c r="FH24" s="269" t="str">
        <f t="shared" si="74"/>
        <v>-</v>
      </c>
      <c r="FI24" s="271" t="str">
        <f t="shared" si="75"/>
        <v>xoxxooxxxox</v>
      </c>
      <c r="FJ24" s="271" t="str">
        <f t="shared" si="76"/>
        <v>-</v>
      </c>
      <c r="FK24" s="271" t="str">
        <f t="shared" si="77"/>
        <v>xxooxxxoxox</v>
      </c>
      <c r="FL24" s="271" t="str">
        <f t="shared" si="78"/>
        <v>xooxxxoxoxo</v>
      </c>
      <c r="FM24" s="271" t="str">
        <f t="shared" si="79"/>
        <v>-</v>
      </c>
      <c r="FN24" s="271" t="str">
        <f t="shared" si="80"/>
        <v>-</v>
      </c>
      <c r="FO24" s="274" t="str">
        <f t="shared" si="81"/>
        <v>xxxoxoxoxxo</v>
      </c>
      <c r="FP24" s="234" t="str">
        <f t="shared" si="82"/>
        <v>|</v>
      </c>
      <c r="FQ24" s="236" t="str">
        <f t="shared" si="83"/>
        <v>|</v>
      </c>
      <c r="FR24" s="237" t="str">
        <f t="shared" si="84"/>
        <v>-</v>
      </c>
      <c r="FS24" s="236" t="str">
        <f t="shared" si="85"/>
        <v>|</v>
      </c>
      <c r="FT24" s="237" t="str">
        <f t="shared" si="86"/>
        <v>-</v>
      </c>
      <c r="FU24" s="236" t="str">
        <f t="shared" si="87"/>
        <v>|</v>
      </c>
      <c r="FV24" s="237" t="str">
        <f t="shared" si="88"/>
        <v>-</v>
      </c>
      <c r="FW24" s="236" t="str">
        <f t="shared" si="89"/>
        <v>|</v>
      </c>
      <c r="FX24" s="237" t="str">
        <f t="shared" si="90"/>
        <v>|</v>
      </c>
      <c r="FY24" s="236" t="str">
        <f t="shared" si="91"/>
        <v>-</v>
      </c>
      <c r="FZ24" s="237" t="str">
        <f t="shared" si="92"/>
        <v>-</v>
      </c>
      <c r="GA24" s="236" t="str">
        <f t="shared" si="93"/>
        <v>|</v>
      </c>
      <c r="GB24" s="238" t="str">
        <f t="shared" si="94"/>
        <v>|</v>
      </c>
      <c r="GC24" s="244" t="str">
        <f>IFERROR(__xludf.DUMMYFUNCTION("IF(REGEXMATCH(C24, ""S""), ""1"","""")"),"1")</f>
        <v>1</v>
      </c>
      <c r="GD24" s="245" t="str">
        <f>IFERROR(__xludf.DUMMYFUNCTION("IF(REGEXMATCH(C24, ""r""), ""b2"","""")"),"b2")</f>
        <v>b2</v>
      </c>
      <c r="GE24" s="246" t="str">
        <f>IFERROR(__xludf.DUMMYFUNCTION("IF(REGEXMATCH(C24, ""R""), ""2"","""")"),"")</f>
        <v/>
      </c>
      <c r="GF24" s="246" t="str">
        <f>IFERROR(__xludf.DUMMYFUNCTION("IF(REGEXMATCH(C24, ""g""), ""b3"","""")"),"b3")</f>
        <v>b3</v>
      </c>
      <c r="GG24" s="245" t="str">
        <f>IFERROR(__xludf.DUMMYFUNCTION("IF(REGEXMATCH(C24, ""G""), ""3"","""")"),"")</f>
        <v/>
      </c>
      <c r="GH24" s="245" t="str">
        <f>IFERROR(__xludf.DUMMYFUNCTION("IF(REGEXMATCH(C24, ""m""), ""4"","""")"),"4")</f>
        <v>4</v>
      </c>
      <c r="GI24" s="246" t="str">
        <f>IFERROR(__xludf.DUMMYFUNCTION("IF(REGEXMATCH(C24, ""M""), ""#4"","""")"),"")</f>
        <v/>
      </c>
      <c r="GJ24" s="245" t="str">
        <f>IFERROR(__xludf.DUMMYFUNCTION("IF(REGEXMATCH(C24, ""P""), ""5"","""")"),"5")</f>
        <v>5</v>
      </c>
      <c r="GK24" s="246" t="str">
        <f>IFERROR(__xludf.DUMMYFUNCTION("IF(REGEXMATCH(C24, ""d""), ""b6"","""")"),"b6")</f>
        <v>b6</v>
      </c>
      <c r="GL24" s="245" t="str">
        <f>IFERROR(__xludf.DUMMYFUNCTION("IF(REGEXMATCH(C24, ""D""), ""6"","""")"),"")</f>
        <v/>
      </c>
      <c r="GM24" s="245" t="str">
        <f>IFERROR(__xludf.DUMMYFUNCTION("IF(REGEXMATCH(C24, ""n""), ""b7"","""")"),"")</f>
        <v/>
      </c>
      <c r="GN24" s="246" t="str">
        <f>IFERROR(__xludf.DUMMYFUNCTION("IF(REGEXMATCH(C24, ""N""), ""7"","""")"),"7")</f>
        <v>7</v>
      </c>
      <c r="GO24" s="249" t="str">
        <f>IFERROR(__xludf.DUMMYFUNCTION("IF(REGEXMATCH(C24, ""S""), ""8"","""")"),"8")</f>
        <v>8</v>
      </c>
      <c r="GP24" s="244" t="str">
        <f>IFERROR(__xludf.DUMMYFUNCTION("IF(REGEXMATCH(C24, ""S""), ""S"","""")"),"S")</f>
        <v>S</v>
      </c>
      <c r="GQ24" s="294" t="str">
        <f>IFERROR(__xludf.DUMMYFUNCTION("IF(REGEXMATCH(C24, ""r""), ""R1"","""")"),"R1")</f>
        <v>R1</v>
      </c>
      <c r="GR24" s="295" t="str">
        <f>IFERROR(__xludf.DUMMYFUNCTION("IF(REGEXMATCH(C24, ""R""), ""R2"","""")"),"")</f>
        <v/>
      </c>
      <c r="GS24" s="295" t="str">
        <f>IFERROR(__xludf.DUMMYFUNCTION("IF(REGEXMATCH(C24, ""g""), ""G2"","""")"),"G2")</f>
        <v>G2</v>
      </c>
      <c r="GT24" s="294" t="str">
        <f>IFERROR(__xludf.DUMMYFUNCTION("IF(REGEXMATCH(C24, ""G""), ""G3"","""")"),"")</f>
        <v/>
      </c>
      <c r="GU24" s="294" t="str">
        <f>IFERROR(__xludf.DUMMYFUNCTION("IF(REGEXMATCH(C24, ""m""), ""M1"","""")"),"M1")</f>
        <v>M1</v>
      </c>
      <c r="GV24" s="295" t="str">
        <f>IFERROR(__xludf.DUMMYFUNCTION("IF(REGEXMATCH(C24, ""M""), ""M2"","""")"),"")</f>
        <v/>
      </c>
      <c r="GW24" s="294" t="str">
        <f>IFERROR(__xludf.DUMMYFUNCTION("IF(REGEXMATCH(C24, ""P""), ""P"","""")"),"P")</f>
        <v>P</v>
      </c>
      <c r="GX24" s="295" t="str">
        <f>IFERROR(__xludf.DUMMYFUNCTION("IF(REGEXMATCH(C24, ""d""), ""D1"","""")"),"D1")</f>
        <v>D1</v>
      </c>
      <c r="GY24" s="294" t="str">
        <f>IFERROR(__xludf.DUMMYFUNCTION("IF(REGEXMATCH(C24, ""D""), ""D2"","""")"),"")</f>
        <v/>
      </c>
      <c r="GZ24" s="294" t="str">
        <f>IFERROR(__xludf.DUMMYFUNCTION("IF(REGEXMATCH(C24, ""n""), ""N2"","""")"),"")</f>
        <v/>
      </c>
      <c r="HA24" s="295" t="str">
        <f>IFERROR(__xludf.DUMMYFUNCTION("IF(REGEXMATCH(C24, ""N""), ""N3"","""")"),"N3")</f>
        <v>N3</v>
      </c>
      <c r="HB24" s="249" t="str">
        <f>IFERROR(__xludf.DUMMYFUNCTION("IF(REGEXMATCH(C24, ""S""), ""S"","""")"),"S")</f>
        <v>S</v>
      </c>
      <c r="HC24" s="331" t="str">
        <f t="shared" si="95"/>
        <v>S</v>
      </c>
      <c r="HD24" s="332" t="str">
        <f t="shared" si="96"/>
        <v>r</v>
      </c>
      <c r="HE24" s="332" t="str">
        <f t="shared" si="97"/>
        <v/>
      </c>
      <c r="HF24" s="332" t="str">
        <f t="shared" si="98"/>
        <v/>
      </c>
      <c r="HG24" s="332" t="str">
        <f t="shared" si="99"/>
        <v>G</v>
      </c>
      <c r="HH24" s="332" t="str">
        <f t="shared" si="100"/>
        <v>m</v>
      </c>
      <c r="HI24" s="332" t="str">
        <f t="shared" si="101"/>
        <v/>
      </c>
      <c r="HJ24" s="332" t="str">
        <f t="shared" si="102"/>
        <v>P</v>
      </c>
      <c r="HK24" s="332" t="str">
        <f t="shared" si="103"/>
        <v/>
      </c>
      <c r="HL24" s="332" t="str">
        <f t="shared" si="104"/>
        <v>D</v>
      </c>
      <c r="HM24" s="332" t="str">
        <f t="shared" si="105"/>
        <v/>
      </c>
      <c r="HN24" s="332" t="str">
        <f t="shared" si="106"/>
        <v>N</v>
      </c>
      <c r="HO24" s="343" t="str">
        <f t="shared" si="107"/>
        <v>S</v>
      </c>
      <c r="HP24" s="331" t="str">
        <f t="shared" si="108"/>
        <v>o</v>
      </c>
      <c r="HQ24" s="332" t="str">
        <f t="shared" si="109"/>
        <v>o</v>
      </c>
      <c r="HR24" s="332" t="str">
        <f t="shared" si="110"/>
        <v>•</v>
      </c>
      <c r="HS24" s="332" t="str">
        <f t="shared" si="111"/>
        <v>o</v>
      </c>
      <c r="HT24" s="332" t="str">
        <f t="shared" si="112"/>
        <v>•</v>
      </c>
      <c r="HU24" s="332" t="str">
        <f t="shared" si="113"/>
        <v>o</v>
      </c>
      <c r="HV24" s="332" t="str">
        <f t="shared" si="114"/>
        <v>•</v>
      </c>
      <c r="HW24" s="332" t="str">
        <f t="shared" si="115"/>
        <v>o</v>
      </c>
      <c r="HX24" s="332" t="str">
        <f t="shared" si="116"/>
        <v>o</v>
      </c>
      <c r="HY24" s="332" t="str">
        <f t="shared" si="117"/>
        <v>•</v>
      </c>
      <c r="HZ24" s="332" t="str">
        <f t="shared" si="118"/>
        <v>•</v>
      </c>
      <c r="IA24" s="332" t="str">
        <f t="shared" si="119"/>
        <v>o</v>
      </c>
      <c r="IB24" s="338" t="str">
        <f t="shared" si="120"/>
        <v>o</v>
      </c>
      <c r="IC24" s="331" t="str">
        <f t="shared" si="121"/>
        <v>•</v>
      </c>
      <c r="ID24" s="332" t="str">
        <f t="shared" si="122"/>
        <v>•</v>
      </c>
      <c r="IE24" s="332" t="str">
        <f t="shared" si="123"/>
        <v>o</v>
      </c>
      <c r="IF24" s="332" t="str">
        <f t="shared" si="124"/>
        <v>•</v>
      </c>
      <c r="IG24" s="332" t="str">
        <f t="shared" si="125"/>
        <v>o</v>
      </c>
      <c r="IH24" s="332" t="str">
        <f t="shared" si="126"/>
        <v>•</v>
      </c>
      <c r="II24" s="332" t="str">
        <f t="shared" si="127"/>
        <v>o</v>
      </c>
      <c r="IJ24" s="332" t="str">
        <f t="shared" si="128"/>
        <v>•</v>
      </c>
      <c r="IK24" s="332" t="str">
        <f t="shared" si="129"/>
        <v>•</v>
      </c>
      <c r="IL24" s="332" t="str">
        <f t="shared" si="130"/>
        <v>o</v>
      </c>
      <c r="IM24" s="332" t="str">
        <f t="shared" si="131"/>
        <v>o</v>
      </c>
      <c r="IN24" s="332" t="str">
        <f t="shared" si="132"/>
        <v>•</v>
      </c>
      <c r="IO24" s="338" t="str">
        <f t="shared" si="133"/>
        <v>•</v>
      </c>
      <c r="IP24" s="346" t="b">
        <f t="shared" si="134"/>
        <v>0</v>
      </c>
      <c r="IQ24" s="347" t="b">
        <f t="shared" si="135"/>
        <v>0</v>
      </c>
      <c r="IR24" s="347" t="b">
        <f t="shared" si="136"/>
        <v>0</v>
      </c>
      <c r="IS24" s="347" t="b">
        <f t="shared" si="137"/>
        <v>1</v>
      </c>
      <c r="IT24" s="347" t="b">
        <f t="shared" si="138"/>
        <v>0</v>
      </c>
      <c r="IU24" s="347" t="b">
        <f t="shared" si="139"/>
        <v>0</v>
      </c>
      <c r="IV24" s="347" t="b">
        <f t="shared" si="140"/>
        <v>0</v>
      </c>
      <c r="IW24" s="347" t="b">
        <f t="shared" si="141"/>
        <v>1</v>
      </c>
      <c r="IX24" s="347" t="b">
        <f t="shared" si="142"/>
        <v>0</v>
      </c>
      <c r="IY24" s="347" t="b">
        <f t="shared" si="143"/>
        <v>0</v>
      </c>
      <c r="IZ24" s="347" t="b">
        <f t="shared" si="144"/>
        <v>0</v>
      </c>
      <c r="JA24" s="347" t="b">
        <f t="shared" si="145"/>
        <v>1</v>
      </c>
      <c r="JB24" s="353" t="b">
        <f t="shared" si="146"/>
        <v>0</v>
      </c>
      <c r="JC24" s="354" t="str">
        <f t="shared" si="147"/>
        <v/>
      </c>
      <c r="JD24" s="355" t="str">
        <f t="shared" si="148"/>
        <v/>
      </c>
      <c r="JE24" s="355" t="str">
        <f t="shared" si="149"/>
        <v/>
      </c>
      <c r="JF24" s="355" t="str">
        <f t="shared" si="150"/>
        <v>ga, </v>
      </c>
      <c r="JG24" s="355" t="str">
        <f t="shared" si="151"/>
        <v/>
      </c>
      <c r="JH24" s="355" t="str">
        <f t="shared" si="152"/>
        <v/>
      </c>
      <c r="JI24" s="355" t="str">
        <f t="shared" si="153"/>
        <v/>
      </c>
      <c r="JJ24" s="355" t="str">
        <f t="shared" si="154"/>
        <v>Pa, </v>
      </c>
      <c r="JK24" s="355" t="str">
        <f t="shared" si="155"/>
        <v/>
      </c>
      <c r="JL24" s="355" t="str">
        <f t="shared" si="156"/>
        <v/>
      </c>
      <c r="JM24" s="355" t="str">
        <f t="shared" si="157"/>
        <v/>
      </c>
      <c r="JN24" s="355" t="str">
        <f t="shared" si="158"/>
        <v>Ni, </v>
      </c>
      <c r="JO24" s="359" t="str">
        <f t="shared" si="159"/>
        <v/>
      </c>
      <c r="JP24" s="346" t="b">
        <f t="shared" si="160"/>
        <v>0</v>
      </c>
      <c r="JQ24" s="347" t="b">
        <f t="shared" si="161"/>
        <v>0</v>
      </c>
      <c r="JR24" s="347" t="b">
        <f t="shared" si="162"/>
        <v>0</v>
      </c>
      <c r="JS24" s="347" t="b">
        <f t="shared" si="163"/>
        <v>0</v>
      </c>
      <c r="JT24" s="347" t="b">
        <f t="shared" si="164"/>
        <v>0</v>
      </c>
      <c r="JU24" s="347" t="b">
        <f t="shared" si="165"/>
        <v>0</v>
      </c>
      <c r="JV24" s="347" t="b">
        <f t="shared" si="166"/>
        <v>0</v>
      </c>
      <c r="JW24" s="347" t="b">
        <f t="shared" si="167"/>
        <v>0</v>
      </c>
      <c r="JX24" s="347" t="b">
        <f t="shared" si="168"/>
        <v>0</v>
      </c>
      <c r="JY24" s="347" t="b">
        <f t="shared" si="169"/>
        <v>0</v>
      </c>
      <c r="JZ24" s="347" t="b">
        <f t="shared" si="170"/>
        <v>0</v>
      </c>
      <c r="KA24" s="347" t="b">
        <f t="shared" si="171"/>
        <v>1</v>
      </c>
      <c r="KB24" s="365" t="b">
        <f t="shared" si="172"/>
        <v>0</v>
      </c>
      <c r="KC24" s="354" t="str">
        <f t="shared" si="173"/>
        <v/>
      </c>
      <c r="KD24" s="355" t="str">
        <f t="shared" si="174"/>
        <v/>
      </c>
      <c r="KE24" s="355" t="str">
        <f t="shared" si="175"/>
        <v/>
      </c>
      <c r="KF24" s="355" t="str">
        <f t="shared" si="176"/>
        <v/>
      </c>
      <c r="KG24" s="355" t="str">
        <f t="shared" si="177"/>
        <v/>
      </c>
      <c r="KH24" s="355" t="str">
        <f t="shared" si="178"/>
        <v/>
      </c>
      <c r="KI24" s="355" t="str">
        <f t="shared" si="179"/>
        <v/>
      </c>
      <c r="KJ24" s="355" t="str">
        <f t="shared" si="180"/>
        <v/>
      </c>
      <c r="KK24" s="355" t="str">
        <f t="shared" si="181"/>
        <v/>
      </c>
      <c r="KL24" s="355" t="str">
        <f t="shared" si="182"/>
        <v/>
      </c>
      <c r="KM24" s="355" t="str">
        <f t="shared" si="183"/>
        <v/>
      </c>
      <c r="KN24" s="355" t="str">
        <f t="shared" si="184"/>
        <v>Ni, </v>
      </c>
      <c r="KO24" s="359"/>
      <c r="KP24" s="378"/>
      <c r="KQ24" s="379" t="s">
        <v>9</v>
      </c>
      <c r="KR24" s="380" t="s">
        <v>9</v>
      </c>
      <c r="KS24" s="381" t="s">
        <v>9</v>
      </c>
      <c r="KT24" s="382">
        <f t="shared" si="186"/>
        <v>0</v>
      </c>
      <c r="KU24" s="383">
        <f t="shared" si="187"/>
        <v>0</v>
      </c>
      <c r="KV24" s="381" t="str">
        <f t="shared" si="205"/>
        <v>S</v>
      </c>
      <c r="KW24" s="382">
        <f t="shared" si="189"/>
        <v>0</v>
      </c>
      <c r="KX24" s="384">
        <f t="shared" si="190"/>
        <v>0</v>
      </c>
      <c r="KY24" s="382">
        <f t="shared" ref="KY24:KZ24" si="240">KW24-KT24</f>
        <v>0</v>
      </c>
      <c r="KZ24" s="369">
        <f t="shared" si="240"/>
        <v>0</v>
      </c>
      <c r="LA24" s="385" t="str">
        <f t="shared" si="192"/>
        <v>✔</v>
      </c>
      <c r="LB24" s="340" t="str">
        <f>IFERROR(__xludf.DUMMYFUNCTION("JOIN("""",ArrayFormula(MID(KS24,LEN(KS24)-SEQUENCE(1,LEN(KS24))+1,1)))"),"S")</f>
        <v>S</v>
      </c>
      <c r="LC24" s="373" t="str">
        <f>IFERROR(__xludf.DUMMYFUNCTION("JOIN("""",ArrayFormula(MID(KV24,LEN(KV24)-SEQUENCE(1,LEN(KV24))+1,1)))"),"S")</f>
        <v>S</v>
      </c>
      <c r="LD24" s="373" t="str">
        <f t="shared" si="193"/>
        <v>S</v>
      </c>
      <c r="LE24" s="339" t="str">
        <f t="shared" si="194"/>
        <v>S</v>
      </c>
      <c r="LF24" s="386" t="str">
        <f>IFERROR(__xludf.DUMMYFUNCTION("SUBSTITUTE(SUBSTITUTE(CONCATENATE(JOIN("""",LH24:LT24)),""1"",""""),""2"","""")"),"SS")</f>
        <v>SS</v>
      </c>
      <c r="LG24" s="369" t="str">
        <f t="shared" si="195"/>
        <v>-</v>
      </c>
      <c r="LH24" s="387" t="str">
        <f>IFERROR(__xludf.DUMMYFUNCTION("IF(REGEXMATCH(LD24, ""S""), ""S"",IF(REGEXMATCH(LE24, ""S""), ""S"",""""))"),"S")</f>
        <v>S</v>
      </c>
      <c r="LI24" s="299" t="str">
        <f>IFERROR(__xludf.DUMMYFUNCTION("IF(REGEXMATCH(LD24, ""r""), ""r1"",IF(REGEXMATCH(LE24, ""r""), ""r2"",""""))"),"")</f>
        <v/>
      </c>
      <c r="LJ24" s="299" t="str">
        <f>IFERROR(__xludf.DUMMYFUNCTION("IF(REGEXMATCH(LD24, ""R""), ""R1"",IF(REGEXMATCH(LE24, ""R""), ""R2"",""""))"),"")</f>
        <v/>
      </c>
      <c r="LK24" s="299" t="str">
        <f>IFERROR(__xludf.DUMMYFUNCTION("IF(REGEXMATCH(LD24, ""g""), ""g1"",IF(REGEXMATCH(LE24, ""g""), ""g2"",""""))"),"")</f>
        <v/>
      </c>
      <c r="LL24" s="299" t="str">
        <f>IFERROR(__xludf.DUMMYFUNCTION("IF(REGEXMATCH(LD24, ""G""), ""G1"",IF(REGEXMATCH(LE24, ""G""), ""G2"",""""))"),"")</f>
        <v/>
      </c>
      <c r="LM24" s="299" t="str">
        <f>IFERROR(__xludf.DUMMYFUNCTION("IF(REGEXMATCH(LD24, ""m""), ""m1"",IF(REGEXMATCH(LE24, ""m""), ""m2"",""""))"),"")</f>
        <v/>
      </c>
      <c r="LN24" s="299" t="str">
        <f>IFERROR(__xludf.DUMMYFUNCTION("IF(REGEXMATCH(LD24, ""M""), ""M1"",IF(REGEXMATCH(LE24, ""M""), ""M2"",""""))"),"")</f>
        <v/>
      </c>
      <c r="LO24" s="299" t="str">
        <f>IFERROR(__xludf.DUMMYFUNCTION("IF(REGEXMATCH(LD24, ""P""), ""P1"",IF(REGEXMATCH(LE24, ""P""), ""P2"",""""))"),"")</f>
        <v/>
      </c>
      <c r="LP24" s="299" t="str">
        <f>IFERROR(__xludf.DUMMYFUNCTION("IF(REGEXMATCH(LD24, ""d""), ""d1"",IF(REGEXMATCH(LE24, ""d""), ""d2"",""""))"),"")</f>
        <v/>
      </c>
      <c r="LQ24" s="299" t="str">
        <f>IFERROR(__xludf.DUMMYFUNCTION("IF(REGEXMATCH(LD24, ""D""), ""D1"",IF(REGEXMATCH(LE24, ""D""), ""D2"",""""))"),"")</f>
        <v/>
      </c>
      <c r="LR24" s="299" t="str">
        <f>IFERROR(__xludf.DUMMYFUNCTION("IF(REGEXMATCH(LD24, ""n""), ""n1"",IF(REGEXMATCH(LE24, ""n""), ""n2"",""""))"),"")</f>
        <v/>
      </c>
      <c r="LS24" s="299" t="str">
        <f>IFERROR(__xludf.DUMMYFUNCTION("IF(REGEXMATCH(LD24, ""N""), ""N1"",IF(REGEXMATCH(LE24, ""N""), ""N2"",""""))"),"")</f>
        <v/>
      </c>
      <c r="LT24" s="388" t="str">
        <f>IFERROR(__xludf.DUMMYFUNCTION("IF(REGEXMATCH(LD24, ""S""), ""S"",IF(REGEXMATCH(LE24, ""S""), ""S"",""""))"),"S")</f>
        <v>S</v>
      </c>
      <c r="LU24" s="389">
        <f t="shared" si="196"/>
        <v>1</v>
      </c>
      <c r="LV24" s="378"/>
      <c r="LW24" s="369"/>
      <c r="LX24" s="369"/>
    </row>
    <row r="25" ht="20.25" customHeight="1">
      <c r="A25" s="298" t="s">
        <v>555</v>
      </c>
      <c r="B25" s="222" t="s">
        <v>530</v>
      </c>
      <c r="C25" s="233" t="str">
        <f t="shared" si="7"/>
        <v>SRGmPDnNS</v>
      </c>
      <c r="D25" s="234" t="str">
        <f>IFERROR(__xludf.DUMMYFUNCTION("IF(REGEXMATCH(C25, ""S""), ""S"","""")"),"S")</f>
        <v>S</v>
      </c>
      <c r="E25" s="236" t="str">
        <f>IFERROR(__xludf.DUMMYFUNCTION("IF(REGEXMATCH(C25, ""r""), ""r"","""")"),"")</f>
        <v/>
      </c>
      <c r="F25" s="237" t="str">
        <f>IFERROR(__xludf.DUMMYFUNCTION("IF(REGEXMATCH(C25, ""R""), ""R"","""")"),"R")</f>
        <v>R</v>
      </c>
      <c r="G25" s="237" t="str">
        <f>IFERROR(__xludf.DUMMYFUNCTION("IF(REGEXMATCH(C25, ""g""), ""g"","""")"),"")</f>
        <v/>
      </c>
      <c r="H25" s="236" t="str">
        <f>IFERROR(__xludf.DUMMYFUNCTION("IF(REGEXMATCH(C25, ""G""), ""G"","""")"),"G")</f>
        <v>G</v>
      </c>
      <c r="I25" s="236" t="str">
        <f>IFERROR(__xludf.DUMMYFUNCTION("IF(REGEXMATCH(C25, ""m""), ""m"","""")"),"m")</f>
        <v>m</v>
      </c>
      <c r="J25" s="237" t="str">
        <f>IFERROR(__xludf.DUMMYFUNCTION("IF(REGEXMATCH(C25, ""M""), ""M"","""")"),"")</f>
        <v/>
      </c>
      <c r="K25" s="236" t="str">
        <f>IFERROR(__xludf.DUMMYFUNCTION("IF(REGEXMATCH(C25, ""P""), ""P"","""")"),"P")</f>
        <v>P</v>
      </c>
      <c r="L25" s="237" t="str">
        <f>IFERROR(__xludf.DUMMYFUNCTION("IF(REGEXMATCH(C25, ""d""), ""d"","""")"),"")</f>
        <v/>
      </c>
      <c r="M25" s="236" t="str">
        <f>IFERROR(__xludf.DUMMYFUNCTION("IF(REGEXMATCH(C25, ""D""), ""D"","""")"),"D")</f>
        <v>D</v>
      </c>
      <c r="N25" s="236" t="str">
        <f>IFERROR(__xludf.DUMMYFUNCTION("IF(REGEXMATCH(C25, ""n""), ""n"","""")"),"n")</f>
        <v>n</v>
      </c>
      <c r="O25" s="237" t="str">
        <f>IFERROR(__xludf.DUMMYFUNCTION("IF(REGEXMATCH(C25, ""N""), ""N"","""")"),"N")</f>
        <v>N</v>
      </c>
      <c r="P25" s="238" t="str">
        <f>IFERROR(__xludf.DUMMYFUNCTION("IF(REGEXMATCH(C25, ""S""), ""S"","""")"),"S")</f>
        <v>S</v>
      </c>
      <c r="Q25" s="239" t="str">
        <f>IFERROR(__xludf.DUMMYFUNCTION("SUBSTITUTE(CONCATENATE(JOIN(""-"",D25:J25)),""-"","""")"),"SRGm")</f>
        <v>SRGm</v>
      </c>
      <c r="R25" s="229" t="str">
        <f>IFERROR(__xludf.DUMMYFUNCTION("SUBSTITUTE(CONCATENATE(JOIN(""-"",K25:P25)),""-"","""")"),"PDnNS")</f>
        <v>PDnNS</v>
      </c>
      <c r="S25" s="282" t="str">
        <f t="shared" si="8"/>
        <v>S-R-G-M</v>
      </c>
      <c r="T25" s="282" t="str">
        <f t="shared" si="9"/>
        <v>P-D-N-S</v>
      </c>
      <c r="U25" s="237" t="str">
        <f>IFERROR(__xludf.DUMMYFUNCTION("SUBSTITUTE(JOIN(""-"",S25,T25),""--"",""-"")"),"S-R-G-M-P-D-N-S")</f>
        <v>S-R-G-M-P-D-N-S</v>
      </c>
      <c r="V25" s="309" t="str">
        <f t="shared" si="10"/>
        <v>RGmDnN</v>
      </c>
      <c r="W25" s="244" t="str">
        <f>IFERROR(__xludf.DUMMYFUNCTION("IF(REGEXMATCH(C25, ""S""), ""0"","""")"),"0")</f>
        <v>0</v>
      </c>
      <c r="X25" s="245" t="str">
        <f>IFERROR(__xludf.DUMMYFUNCTION("IF(REGEXMATCH(C25, ""r""), ""1"","""")"),"")</f>
        <v/>
      </c>
      <c r="Y25" s="246" t="str">
        <f>IFERROR(__xludf.DUMMYFUNCTION("IF(REGEXMATCH(C25, ""R""), ""2"","""")"),"2")</f>
        <v>2</v>
      </c>
      <c r="Z25" s="246" t="str">
        <f>IFERROR(__xludf.DUMMYFUNCTION("IF(REGEXMATCH(C25, ""g""), ""3"","""")"),"")</f>
        <v/>
      </c>
      <c r="AA25" s="245" t="str">
        <f>IFERROR(__xludf.DUMMYFUNCTION("IF(REGEXMATCH(C25, ""G""), ""4"","""")"),"4")</f>
        <v>4</v>
      </c>
      <c r="AB25" s="245" t="str">
        <f>IFERROR(__xludf.DUMMYFUNCTION("IF(REGEXMATCH(C25, ""m""), ""5"","""")"),"5")</f>
        <v>5</v>
      </c>
      <c r="AC25" s="246" t="str">
        <f>IFERROR(__xludf.DUMMYFUNCTION("IF(REGEXMATCH(C25, ""M""), ""6"","""")"),"")</f>
        <v/>
      </c>
      <c r="AD25" s="245" t="str">
        <f>IFERROR(__xludf.DUMMYFUNCTION("IF(REGEXMATCH(C25, ""P""), ""7"","""")"),"7")</f>
        <v>7</v>
      </c>
      <c r="AE25" s="246" t="str">
        <f>IFERROR(__xludf.DUMMYFUNCTION("IF(REGEXMATCH(C25, ""d""), ""8"","""")"),"")</f>
        <v/>
      </c>
      <c r="AF25" s="245" t="str">
        <f>IFERROR(__xludf.DUMMYFUNCTION("IF(REGEXMATCH(C25, ""D""), ""9"","""")"),"9")</f>
        <v>9</v>
      </c>
      <c r="AG25" s="245" t="str">
        <f>IFERROR(__xludf.DUMMYFUNCTION("IF(REGEXMATCH(C25, ""n""), ""10"","""")"),"10")</f>
        <v>10</v>
      </c>
      <c r="AH25" s="246" t="str">
        <f>IFERROR(__xludf.DUMMYFUNCTION("IF(REGEXMATCH(C25, ""N""), ""11"","""")"),"11")</f>
        <v>11</v>
      </c>
      <c r="AI25" s="249" t="str">
        <f>IFERROR(__xludf.DUMMYFUNCTION("IF(REGEXMATCH(C25, ""S""), ""0"","""")"),"0")</f>
        <v>0</v>
      </c>
      <c r="AJ25" s="313" t="str">
        <f t="shared" si="11"/>
        <v>-</v>
      </c>
      <c r="AK25" s="313" t="str">
        <f t="shared" si="12"/>
        <v>-</v>
      </c>
      <c r="AL25" s="313" t="str">
        <f t="shared" si="13"/>
        <v>-</v>
      </c>
      <c r="AM25" s="313" t="str">
        <f t="shared" si="14"/>
        <v>-</v>
      </c>
      <c r="AN25" s="313" t="str">
        <f t="shared" si="15"/>
        <v>T</v>
      </c>
      <c r="AO25" s="314" t="str">
        <f t="shared" si="16"/>
        <v>T</v>
      </c>
      <c r="AP25" s="316">
        <f t="shared" si="17"/>
        <v>2</v>
      </c>
      <c r="AQ25" s="319" t="str">
        <f t="shared" si="18"/>
        <v>-</v>
      </c>
      <c r="AR25" s="320">
        <f t="shared" si="19"/>
        <v>0</v>
      </c>
      <c r="AS25" s="250" t="str">
        <f>IFERROR(__xludf.DUMMYFUNCTION("SUBSTITUTE(SUBSTITUTE(CONCATENATE(JOIN("""",FP25:GA25)),""|"",""x""),""-"",""o"")"),"xoxoxxoxoxxx")</f>
        <v>xoxoxxoxoxxx</v>
      </c>
      <c r="AT25" s="323" t="str">
        <f>IFERROR(__xludf.DUMMYFUNCTION("JOIN("""",AS25,AS25)"),"xoxoxxoxoxxxxoxoxxoxoxxx")</f>
        <v>xoxoxxoxoxxxxoxoxxoxoxxx</v>
      </c>
      <c r="AU25" s="256" t="str">
        <f>IFERROR(__xludf.DUMMYFUNCTION("JOIN("""",ArrayFormula(MID(AS25,LEN(AS25)-SEQUENCE(1,LEN(AS25))+1,1)))"),"xxxoxoxxoxox")</f>
        <v>xxxoxoxxoxox</v>
      </c>
      <c r="AV25" s="256" t="str">
        <f>IFERROR(__xludf.DUMMYFUNCTION("LEFT(CONCATENATE(""x"",JOIN("""",ArrayFormula(MID(AS25,LEN(AS25)-SEQUENCE(1,LEN(AS25))+1,1)))),12)"),"xxxxoxoxxoxo")</f>
        <v>xxxxoxoxxoxo</v>
      </c>
      <c r="AW25" s="327" t="str">
        <f>IFERROR(__xludf.DUMMYFUNCTION("JOIN("""",AU25,AU25)"),"xxxoxoxxoxoxxxxoxoxxoxox")</f>
        <v>xxxoxoxxoxoxxxxoxoxxoxox</v>
      </c>
      <c r="AX25" s="239" t="str">
        <f>IFERROR(__xludf.DUMMYFUNCTION("IF(REGEXMATCH(AW25,AS25),""✔"",""-"")"),"✔")</f>
        <v>✔</v>
      </c>
      <c r="AY25" s="330" t="str">
        <f t="shared" si="20"/>
        <v>-</v>
      </c>
      <c r="AZ25" s="260" t="str">
        <f t="shared" si="21"/>
        <v>#REF!</v>
      </c>
      <c r="BA25" s="333" t="str">
        <f t="shared" si="22"/>
        <v>xoxoxxo</v>
      </c>
      <c r="BB25" s="334" t="str">
        <f t="shared" si="23"/>
        <v>xoxxxx</v>
      </c>
      <c r="BC25" s="335" t="str">
        <f t="shared" si="236"/>
        <v>-</v>
      </c>
      <c r="BD25" s="336" t="str">
        <f t="shared" si="25"/>
        <v>Arun Malhar: 'xoxoxxo' + 'xoxxxx'</v>
      </c>
      <c r="BE25" s="337">
        <f>IFERROR(__xludf.DUMMYFUNCTION("COUNTUNIQUE(FILTER(AT:AT,REGEXMATCH(AT:AT,AS25)))-1"),3.0)</f>
        <v>3</v>
      </c>
      <c r="BF25" s="261" t="str">
        <f>IFERROR(__xludf.DUMMYFUNCTION("IF(BI25=0,""(n/a)"",IF(BJ25=2,""(PAIR)"",IF(REGEXMATCH(AT25,""xoxoxxoxoxox""),""Bilawal"",IF(REGEXMATCH(AT25,""xoxoxooxoxoo""),""Bhupali"",IF(REGEXMATCH(AT25,""xoxoxxoxxoxo""),""Charukeshi"",IF(REGEXMATCH(AT25,""xoxoooxxoxxo""),""Kameshwari"",IF(REGEXMATC"&amp;"H(AT25,""xoxoxooxoxox""),""Shankara"",IF(REGEXMATCH(AT25,""xxooxoxxxoox""),""Basant"",IF(REGEXMATCH(AT25,""xoxoxxxxoxox""),""Bihag"",IF(REGEXMATCH(AT25,""xoxxxxoxoxxx""),""Pilu"",IF(REGEXMATCH(AT25,""xoxxoxoxxoox""),""Kirwani"",IF(REGEXMATCH(AT25,""xoxxox"&amp;"oxoxxx""),""Mk.Malhar"",IF(REGEXMATCH(AT25,""xxooxxoxxoox""),""Bhairav"",IF(REGEXMATCH(AT25,""xxoxooxxxoox""),""Todi"",IF(REGEXMATCH(AT25,""xxooxoxooxox""),""Marwa"",IF(REGEXMATCH(AT25,""xxoooxoxxooo""),""Gunkali"",IF(REGEXMATCH(AT25,""xoxoxxoxxoox""),""N"&amp;"at Bhairav"",IF(REGEXMATCH(AT25,""xoxxoooxoxoo""),""Shivranjani"",IF(REGEXMATCH(AT25,""xooxxxoxooxo""),""Jog"",IF(REGEXMATCH(AT25,""xxooxoxoxoox""),""Hemshri"",IF(REGEXMATCH(AT25,""xoooxooxoxxo""),""Kalavati"",IF(REGEXMATCH(AT25,""xxoxoxxoxoox""),""Kedar"&amp;""",IF(REGEXMATCH(AT25,""xoxxxxoxooxx""),""Gara"",IF(REGEXMATCH(AT25,""xooxoxooxoox""),""Chandrakauns"",IF(REGEXMATCH(AT25,""xoxxxxoxxxox""),""Mand"",IF(REGEXMATCH(AT25,""xoxxxxoxoxox""),""Hanskinkini"",IF(REGEXMATCH(AT25,""xxooxxoxooxo""),""Lilavati"",IF("&amp;"REGEXMATCH(AT25,""xooxoxoooxox""),""Rajeshwari"",IF(REGEXMATCH(AT25,""xoooxxoxoxxx""),""Khokar"",IF(REGEXMATCH(AT25,""xxooxoxxxxox""),""Maligoura"",""-""))))))))))))))))))))))))))))))"),"Bihag")</f>
        <v>Bihag</v>
      </c>
      <c r="BG25" s="239" t="str">
        <f t="shared" si="26"/>
        <v>#REF!</v>
      </c>
      <c r="BH25" s="239">
        <f>IFERROR(__xludf.DUMMYFUNCTION("COUNTUNIQUE(FE25:FO25)-1"),7.0)</f>
        <v>7</v>
      </c>
      <c r="BI25" s="239">
        <f>IFERROR(__xludf.DUMMYFUNCTION("COUNTUNIQUE(FILTER(AT:AT,REGEXMATCH(AT:AT,AS25)))-1"),3.0)</f>
        <v>3</v>
      </c>
      <c r="BJ25" s="239">
        <f>IFERROR(__xludf.DUMMYFUNCTION("COUNTA(FILTER(AT:AT,REGEXMATCH(AT:AT,AS25)))"),36.0)</f>
        <v>36</v>
      </c>
      <c r="BK25" s="341">
        <f>IFERROR(__xludf.DUMMYFUNCTION("COUNTA(FILTER(AT:AT,REGEXMATCH(AT:AT,AS25)))-AR25"),36.0)</f>
        <v>36</v>
      </c>
      <c r="BL25" s="276" t="str">
        <f>IFERROR(__xludf.DUMMYFUNCTION("IF(AS25=""oooooooooooo"",""-"",IF(REGEXMATCH(AT25,""xx""), ""Hemi."", ""Anhemi.""))"),"Hemi.")</f>
        <v>Hemi.</v>
      </c>
      <c r="BM25" s="282" t="str">
        <f>IFERROR(__xludf.DUMMYFUNCTION("IF(AS25=""oooooooooooo"",""-"",IF(REGEXMATCH(AT25,""xxx""), ""Cohem."", ""-""))"),"Cohem.")</f>
        <v>Cohem.</v>
      </c>
      <c r="BN25" s="282" t="str">
        <f>IFERROR(__xludf.DUMMYFUNCTION("IF(AS25=""oooooooooooo"",""-"",IF(REGEXMATCH(AT25,""xxxx""), ""Co-Co."", ""-""))"),"Co-Co.")</f>
        <v>Co-Co.</v>
      </c>
      <c r="BO25" s="342" t="str">
        <f>IFERROR(__xludf.DUMMYFUNCTION("IF(AS25=""oooooooooooo"",""-"",IF(REGEXMATCH(AT25,""xxxxx""), ""CCC."", ""-""))"),"-")</f>
        <v>-</v>
      </c>
      <c r="BP25" s="344" t="str">
        <f t="shared" si="27"/>
        <v>-</v>
      </c>
      <c r="BQ25" s="282" t="str">
        <f>IFERROR(__xludf.DUMMYFUNCTION("IF(REGEXMATCH(JOIN(""-"",EU25:FD25),""TRUE""),""✔"",""-"")"),"-")</f>
        <v>-</v>
      </c>
      <c r="BR25" s="225">
        <f t="shared" si="28"/>
        <v>0</v>
      </c>
      <c r="BS25" s="345" t="str">
        <f>IFERROR(__xludf.DUMMYFUNCTION("SUBSTITUTE(SUBSTITUTE(SUBSTITUTE(SUBSTITUTE(CONCATENATE(JOIN(""-"",GC25:GO25)),""--"",""-""),""--"",""-""),""--"",""-""),""--"",""-"")"),"1-2-3-4-5-6-b7-7-8")</f>
        <v>1-2-3-4-5-6-b7-7-8</v>
      </c>
      <c r="BT25" s="299" t="str">
        <f>IFERROR(__xludf.DUMMYFUNCTION("SUBSTITUTE(SUBSTITUTE(SUBSTITUTE(SUBSTITUTE(CONCATENATE(JOIN(""-"",GP25:HB25)),""--"",""-""),""--"",""-""),""--"",""-""),""--"",""-"")"),"S-R2-G3-M1-P-D2-N2-N3-S")</f>
        <v>S-R2-G3-M1-P-D2-N2-N3-S</v>
      </c>
      <c r="BU25" s="348" t="str">
        <f t="shared" si="29"/>
        <v>C-D-E-F-G-A-Bb-B-C</v>
      </c>
      <c r="BV25" s="349" t="str">
        <f t="shared" si="30"/>
        <v>SrgMdS</v>
      </c>
      <c r="BW25" s="350">
        <f t="shared" si="31"/>
        <v>1</v>
      </c>
      <c r="BX25" s="351">
        <f t="shared" si="32"/>
        <v>15</v>
      </c>
      <c r="BY25" s="392"/>
      <c r="BZ25" s="309" t="str">
        <f>IFERROR(__xludf.DUMMYFUNCTION("IF(REGEXMATCH(C25, ""S""), ""x"",""x"")"),"x")</f>
        <v>x</v>
      </c>
      <c r="CA25" s="245" t="str">
        <f>IFERROR(__xludf.DUMMYFUNCTION("IF(REGEXMATCH(C25, ""r""), ""o"",""x"")"),"x")</f>
        <v>x</v>
      </c>
      <c r="CB25" s="246" t="str">
        <f>IFERROR(__xludf.DUMMYFUNCTION("IF(REGEXMATCH(C25, ""R""), ""o"",""x"")"),"o")</f>
        <v>o</v>
      </c>
      <c r="CC25" s="246" t="str">
        <f>IFERROR(__xludf.DUMMYFUNCTION("IF(REGEXMATCH(C25, ""g""), ""o"",""x"")"),"x")</f>
        <v>x</v>
      </c>
      <c r="CD25" s="245" t="str">
        <f>IFERROR(__xludf.DUMMYFUNCTION("IF(REGEXMATCH(C25, ""G""), ""o"",""x"")"),"o")</f>
        <v>o</v>
      </c>
      <c r="CE25" s="245" t="str">
        <f>IFERROR(__xludf.DUMMYFUNCTION("IF(REGEXMATCH(C25, ""m""), ""o"",""x"")"),"o")</f>
        <v>o</v>
      </c>
      <c r="CF25" s="246" t="str">
        <f>IFERROR(__xludf.DUMMYFUNCTION("IF(REGEXMATCH(C25, ""M""), ""o"",""x"")"),"x")</f>
        <v>x</v>
      </c>
      <c r="CG25" s="245" t="str">
        <f>IFERROR(__xludf.DUMMYFUNCTION("IF(REGEXMATCH(C25, ""P""), ""o"",""x"")"),"o")</f>
        <v>o</v>
      </c>
      <c r="CH25" s="246" t="str">
        <f>IFERROR(__xludf.DUMMYFUNCTION("IF(REGEXMATCH(C25, ""d""), ""o"",""x"")"),"x")</f>
        <v>x</v>
      </c>
      <c r="CI25" s="245" t="str">
        <f>IFERROR(__xludf.DUMMYFUNCTION("IF(REGEXMATCH(C25, ""D""), ""o"",""x"")"),"o")</f>
        <v>o</v>
      </c>
      <c r="CJ25" s="245" t="str">
        <f>IFERROR(__xludf.DUMMYFUNCTION("IF(REGEXMATCH(C25, ""n""), ""o"",""x"")"),"o")</f>
        <v>o</v>
      </c>
      <c r="CK25" s="245" t="str">
        <f>IFERROR(__xludf.DUMMYFUNCTION("IF(REGEXMATCH(C25, ""N""), ""o"",""x"")"),"o")</f>
        <v>o</v>
      </c>
      <c r="CL25" s="356" t="str">
        <f>IFERROR(__xludf.DUMMYFUNCTION("IF(REGEXMATCH(C25, ""S""), ""x"",""x"")"),"x")</f>
        <v>x</v>
      </c>
      <c r="CM25" s="357" t="str">
        <f t="shared" si="33"/>
        <v>xxoxooxoxooo</v>
      </c>
      <c r="CN25" s="358">
        <f t="shared" si="34"/>
        <v>1</v>
      </c>
      <c r="CO25" s="246" t="str">
        <f>IFERROR(__xludf.DUMMYFUNCTION("IF(REGEXMATCH($C25, ""S""), ""S"",""S"")"),"S")</f>
        <v>S</v>
      </c>
      <c r="CP25" s="246" t="str">
        <f>IFERROR(__xludf.DUMMYFUNCTION("IF(REGEXMATCH($C25, ""r""), """",""r"")"),"r")</f>
        <v>r</v>
      </c>
      <c r="CQ25" s="246" t="str">
        <f>IFERROR(__xludf.DUMMYFUNCTION("IF(REGEXMATCH($C25, ""R""), """",""R"")"),"")</f>
        <v/>
      </c>
      <c r="CR25" s="246" t="str">
        <f>IFERROR(__xludf.DUMMYFUNCTION("IF(REGEXMATCH($C25, ""g""), """",""g"")"),"g")</f>
        <v>g</v>
      </c>
      <c r="CS25" s="246" t="str">
        <f>IFERROR(__xludf.DUMMYFUNCTION("IF(REGEXMATCH($C25, ""G""), """",""G"")"),"")</f>
        <v/>
      </c>
      <c r="CT25" s="246" t="str">
        <f>IFERROR(__xludf.DUMMYFUNCTION("IF(REGEXMATCH($C25, ""m""), """",""m"")"),"")</f>
        <v/>
      </c>
      <c r="CU25" s="246" t="str">
        <f>IFERROR(__xludf.DUMMYFUNCTION("IF(REGEXMATCH($C25, ""M""), """",""M"")"),"M")</f>
        <v>M</v>
      </c>
      <c r="CV25" s="246" t="str">
        <f>IFERROR(__xludf.DUMMYFUNCTION("IF(REGEXMATCH($C25, ""P""), """",""P"")"),"")</f>
        <v/>
      </c>
      <c r="CW25" s="246" t="str">
        <f>IFERROR(__xludf.DUMMYFUNCTION("IF(REGEXMATCH($C25, ""d""), """",""d"")"),"d")</f>
        <v>d</v>
      </c>
      <c r="CX25" s="246" t="str">
        <f>IFERROR(__xludf.DUMMYFUNCTION("IF(REGEXMATCH($C25, ""D""), """",""D"")"),"")</f>
        <v/>
      </c>
      <c r="CY25" s="246" t="str">
        <f>IFERROR(__xludf.DUMMYFUNCTION("IF(REGEXMATCH($C25, ""n""), """",""n"")"),"")</f>
        <v/>
      </c>
      <c r="CZ25" s="246" t="str">
        <f>IFERROR(__xludf.DUMMYFUNCTION("IF(REGEXMATCH($C25, ""N""), """",""N"")"),"")</f>
        <v/>
      </c>
      <c r="DA25" s="246" t="str">
        <f>IFERROR(__xludf.DUMMYFUNCTION("IF(REGEXMATCH($C25, ""S""), ""S"",""S"")"),"S")</f>
        <v>S</v>
      </c>
      <c r="DB25" s="362" t="str">
        <f>IFERROR(__xludf.DUMMYFUNCTION("JOIN("""",CO25:DA25,"""","""")"),"SrgMdS")</f>
        <v>SrgMdS</v>
      </c>
      <c r="DC25" s="363"/>
      <c r="DD25" s="301" t="str">
        <f t="shared" si="35"/>
        <v>#REF!</v>
      </c>
      <c r="DE25" s="302" t="str">
        <f t="shared" si="36"/>
        <v>#REF!</v>
      </c>
      <c r="DF25" s="301" t="str">
        <f t="shared" ref="DF25:DG25" si="241">SUBSTITUTE(S25,"-","")</f>
        <v>SRGM</v>
      </c>
      <c r="DG25" s="301" t="str">
        <f t="shared" si="241"/>
        <v>PDNS</v>
      </c>
      <c r="DH25" s="302" t="str">
        <f t="shared" si="38"/>
        <v>Bihag</v>
      </c>
      <c r="DI25" s="301" t="str">
        <f t="shared" si="39"/>
        <v>Hemi.</v>
      </c>
      <c r="DJ25" s="364" t="str">
        <f t="shared" si="40"/>
        <v>Co-Co.</v>
      </c>
      <c r="DK25" s="306" t="str">
        <f t="shared" si="41"/>
        <v>-</v>
      </c>
      <c r="DL25" s="366" t="str">
        <f t="shared" si="42"/>
        <v>-</v>
      </c>
      <c r="DM25" s="308" t="str">
        <f t="shared" si="43"/>
        <v>✔</v>
      </c>
      <c r="DN25" s="306" t="str">
        <f t="shared" si="44"/>
        <v>-</v>
      </c>
      <c r="DO25" s="306" t="str">
        <f t="shared" si="45"/>
        <v>-</v>
      </c>
      <c r="DP25" s="367" t="str">
        <f t="shared" si="46"/>
        <v>-</v>
      </c>
      <c r="DQ25" s="310" t="str">
        <f t="shared" si="47"/>
        <v>-</v>
      </c>
      <c r="DR25" s="310" t="str">
        <f t="shared" si="48"/>
        <v>-</v>
      </c>
      <c r="DS25" s="310" t="str">
        <f t="shared" si="49"/>
        <v>-</v>
      </c>
      <c r="DT25" s="310" t="str">
        <f t="shared" si="50"/>
        <v>-</v>
      </c>
      <c r="DU25" s="370" t="str">
        <f t="shared" si="51"/>
        <v>✔</v>
      </c>
      <c r="DV25" s="306" t="str">
        <f t="shared" si="52"/>
        <v>-</v>
      </c>
      <c r="DW25" s="306" t="str">
        <f t="shared" si="53"/>
        <v>-</v>
      </c>
      <c r="DX25" s="306" t="str">
        <f t="shared" si="54"/>
        <v>-</v>
      </c>
      <c r="DY25" s="306" t="str">
        <f t="shared" si="55"/>
        <v>-</v>
      </c>
      <c r="DZ25" s="306" t="str">
        <f t="shared" si="56"/>
        <v>-</v>
      </c>
      <c r="EA25" s="367" t="str">
        <f t="shared" si="57"/>
        <v>-</v>
      </c>
      <c r="EB25" s="310" t="str">
        <f>IFERROR(__xludf.DUMMYFUNCTION("IF(REGEXMATCH(AW25,AS25),""✔"",""-"")"),"✔")</f>
        <v>✔</v>
      </c>
      <c r="EC25" s="310" t="str">
        <f t="shared" si="58"/>
        <v>#REF!</v>
      </c>
      <c r="ED25" s="370" t="str">
        <f t="shared" si="59"/>
        <v>-</v>
      </c>
      <c r="EE25" s="340" t="str">
        <f t="shared" si="60"/>
        <v>S-R-G-m-P-D-nN-S</v>
      </c>
      <c r="EF25" s="371" t="str">
        <f>IFERROR(__xludf.DUMMYFUNCTION("CONCATENATE(JOIN("""",HC25:HO25))"),"SrRgmPdnS")</f>
        <v>SrRgmPdnS</v>
      </c>
      <c r="EG25" s="372">
        <f t="shared" si="61"/>
        <v>1</v>
      </c>
      <c r="EH25" s="373" t="str">
        <f>IFERROR(__xludf.DUMMYFUNCTION("CONCATENATE(JOIN("""",JC25:JO25))"),"Ni, ")</f>
        <v>Ni, </v>
      </c>
      <c r="EI25" s="322">
        <f t="shared" si="62"/>
        <v>0</v>
      </c>
      <c r="EJ25" s="374" t="str">
        <f>IFERROR(__xludf.DUMMYFUNCTION("CONCATENATE(JOIN("""",KC25:KO25))"),"")</f>
        <v/>
      </c>
      <c r="EK25" s="325" t="str">
        <f t="shared" si="63"/>
        <v>S-R2-G3-M1-P-D2-N2-N3-S</v>
      </c>
      <c r="EL25" s="326" t="str">
        <f t="shared" si="64"/>
        <v>1-2-3-4-5-6-b7-7-8</v>
      </c>
      <c r="EM25" s="318" t="str">
        <f t="shared" si="65"/>
        <v>#REF!</v>
      </c>
      <c r="EN25" s="328" t="str">
        <f>IFERROR(__xludf.DUMMYFUNCTION("SUBSTITUTE(SUBSTITUTE(SUBSTITUTE(SUBSTITUTE(CONCATENATE(JOIN("" "",HP25:IB25)),""  "","" ""),""  "","" ""),""  "","" ""),""  "","" "")"),"o • o • o o • o • o o o o")</f>
        <v>o • o • o o • o • o o o o</v>
      </c>
      <c r="EO25" s="368" t="str">
        <f t="shared" si="66"/>
        <v>-</v>
      </c>
      <c r="EP25" s="339" t="str">
        <f t="shared" si="67"/>
        <v>-</v>
      </c>
      <c r="EQ25" s="339" t="str">
        <f t="shared" si="68"/>
        <v>Sa-Pa</v>
      </c>
      <c r="ER25" s="339" t="str">
        <f t="shared" si="69"/>
        <v>-</v>
      </c>
      <c r="ES25" s="340" t="str">
        <f t="shared" si="70"/>
        <v>-</v>
      </c>
      <c r="ET25" s="363"/>
      <c r="EU25" s="376" t="b">
        <f>IFERROR(__xludf.DUMMYFUNCTION("arrayformula(sum(--REGEXMATCH(""SRGMPDNS"",split(REGEXREPLACE(C25,""(.)"",""$1~""),""~""))))=len(C25)
"),FALSE)</f>
        <v>0</v>
      </c>
      <c r="EV25" s="290" t="b">
        <f>IFERROR(__xludf.DUMMYFUNCTION("arrayformula(sum(--REGEXMATCH(""SRGmPDNS"",split(REGEXREPLACE(C25,""(.)"",""$1~""),""~""))))=len(C25)"),FALSE)</f>
        <v>0</v>
      </c>
      <c r="EW25" s="290" t="b">
        <f>IFERROR(__xludf.DUMMYFUNCTION("arrayformula(sum(--REGEXMATCH(""SRGmPDnS"",split(REGEXREPLACE(C25,""(.)"",""$1~""),""~""))))=len(C25)"),FALSE)</f>
        <v>0</v>
      </c>
      <c r="EX25" s="290" t="b">
        <f>IFERROR(__xludf.DUMMYFUNCTION("arrayformula(sum(--REGEXMATCH(""SRgmPDnS"",split(REGEXREPLACE(C25,""(.)"",""$1~""),""~""))))=len(C25)"),FALSE)</f>
        <v>0</v>
      </c>
      <c r="EY25" s="290" t="b">
        <f>IFERROR(__xludf.DUMMYFUNCTION("arrayformula(sum(--REGEXMATCH(""SRgmPdnS"",split(REGEXREPLACE(C25,""(.)"",""$1~""),""~""))))=len(C25)"),FALSE)</f>
        <v>0</v>
      </c>
      <c r="EZ25" s="290" t="b">
        <f>IFERROR(__xludf.DUMMYFUNCTION("arrayformula(sum(--REGEXMATCH(""SrgmPdnS"",split(REGEXREPLACE(C25,""(.)"",""$1~""),""~""))))=len(C25)"),FALSE)</f>
        <v>0</v>
      </c>
      <c r="FA25" s="290" t="b">
        <f>IFERROR(__xludf.DUMMYFUNCTION("arrayformula(sum(--REGEXMATCH(""SrGmPdNS"",split(REGEXREPLACE(C25,""(.)"",""$1~""),""~""))))=len(C25)"),FALSE)</f>
        <v>0</v>
      </c>
      <c r="FB25" s="290" t="b">
        <f>IFERROR(__xludf.DUMMYFUNCTION("arrayformula(sum(--REGEXMATCH(""SrGMPDNS"",split(REGEXREPLACE(C25,""(.)"",""$1~""),""~""))))=len(C25)"),FALSE)</f>
        <v>0</v>
      </c>
      <c r="FC25" s="290" t="b">
        <f>IFERROR(__xludf.DUMMYFUNCTION("arrayformula(sum(--REGEXMATCH(""SrGMPdNS"",split(REGEXREPLACE(C25,""(.)"",""$1~""),""~""))))=len(C25)"),FALSE)</f>
        <v>0</v>
      </c>
      <c r="FD25" s="377" t="b">
        <f>IFERROR(__xludf.DUMMYFUNCTION("arrayformula(sum(--REGEXMATCH(""SrgMPdNS"",split(REGEXREPLACE(C25,""(.)"",""$1~""),""~""))))=len(C25)"),FALSE)</f>
        <v>0</v>
      </c>
      <c r="FE25" s="269" t="str">
        <f t="shared" si="71"/>
        <v>-</v>
      </c>
      <c r="FF25" s="269" t="str">
        <f t="shared" si="72"/>
        <v>xoxxoxoxxxx</v>
      </c>
      <c r="FG25" s="271" t="str">
        <f t="shared" si="73"/>
        <v>-</v>
      </c>
      <c r="FH25" s="269" t="str">
        <f t="shared" si="74"/>
        <v>xxoxoxxxxox</v>
      </c>
      <c r="FI25" s="271" t="str">
        <f t="shared" si="75"/>
        <v>xoxoxxxxoxo</v>
      </c>
      <c r="FJ25" s="271" t="str">
        <f t="shared" si="76"/>
        <v>-</v>
      </c>
      <c r="FK25" s="271" t="str">
        <f t="shared" si="77"/>
        <v>xoxxxxoxoxx</v>
      </c>
      <c r="FL25" s="271" t="str">
        <f t="shared" si="78"/>
        <v>-</v>
      </c>
      <c r="FM25" s="271" t="str">
        <f t="shared" si="79"/>
        <v>xxxxoxoxxox</v>
      </c>
      <c r="FN25" s="271" t="str">
        <f t="shared" si="80"/>
        <v>xxxoxoxxoxo</v>
      </c>
      <c r="FO25" s="274" t="str">
        <f t="shared" si="81"/>
        <v>xxoxoxxoxox</v>
      </c>
      <c r="FP25" s="234" t="str">
        <f t="shared" si="82"/>
        <v>|</v>
      </c>
      <c r="FQ25" s="236" t="str">
        <f t="shared" si="83"/>
        <v>-</v>
      </c>
      <c r="FR25" s="237" t="str">
        <f t="shared" si="84"/>
        <v>|</v>
      </c>
      <c r="FS25" s="236" t="str">
        <f t="shared" si="85"/>
        <v>-</v>
      </c>
      <c r="FT25" s="237" t="str">
        <f t="shared" si="86"/>
        <v>|</v>
      </c>
      <c r="FU25" s="236" t="str">
        <f t="shared" si="87"/>
        <v>|</v>
      </c>
      <c r="FV25" s="237" t="str">
        <f t="shared" si="88"/>
        <v>-</v>
      </c>
      <c r="FW25" s="236" t="str">
        <f t="shared" si="89"/>
        <v>|</v>
      </c>
      <c r="FX25" s="237" t="str">
        <f t="shared" si="90"/>
        <v>-</v>
      </c>
      <c r="FY25" s="236" t="str">
        <f t="shared" si="91"/>
        <v>|</v>
      </c>
      <c r="FZ25" s="237" t="str">
        <f t="shared" si="92"/>
        <v>|</v>
      </c>
      <c r="GA25" s="236" t="str">
        <f t="shared" si="93"/>
        <v>|</v>
      </c>
      <c r="GB25" s="238" t="str">
        <f t="shared" si="94"/>
        <v>|</v>
      </c>
      <c r="GC25" s="244" t="str">
        <f>IFERROR(__xludf.DUMMYFUNCTION("IF(REGEXMATCH(C25, ""S""), ""1"","""")"),"1")</f>
        <v>1</v>
      </c>
      <c r="GD25" s="245" t="str">
        <f>IFERROR(__xludf.DUMMYFUNCTION("IF(REGEXMATCH(C25, ""r""), ""b2"","""")"),"")</f>
        <v/>
      </c>
      <c r="GE25" s="246" t="str">
        <f>IFERROR(__xludf.DUMMYFUNCTION("IF(REGEXMATCH(C25, ""R""), ""2"","""")"),"2")</f>
        <v>2</v>
      </c>
      <c r="GF25" s="246" t="str">
        <f>IFERROR(__xludf.DUMMYFUNCTION("IF(REGEXMATCH(C25, ""g""), ""b3"","""")"),"")</f>
        <v/>
      </c>
      <c r="GG25" s="245" t="str">
        <f>IFERROR(__xludf.DUMMYFUNCTION("IF(REGEXMATCH(C25, ""G""), ""3"","""")"),"3")</f>
        <v>3</v>
      </c>
      <c r="GH25" s="245" t="str">
        <f>IFERROR(__xludf.DUMMYFUNCTION("IF(REGEXMATCH(C25, ""m""), ""4"","""")"),"4")</f>
        <v>4</v>
      </c>
      <c r="GI25" s="246" t="str">
        <f>IFERROR(__xludf.DUMMYFUNCTION("IF(REGEXMATCH(C25, ""M""), ""#4"","""")"),"")</f>
        <v/>
      </c>
      <c r="GJ25" s="245" t="str">
        <f>IFERROR(__xludf.DUMMYFUNCTION("IF(REGEXMATCH(C25, ""P""), ""5"","""")"),"5")</f>
        <v>5</v>
      </c>
      <c r="GK25" s="246" t="str">
        <f>IFERROR(__xludf.DUMMYFUNCTION("IF(REGEXMATCH(C25, ""d""), ""b6"","""")"),"")</f>
        <v/>
      </c>
      <c r="GL25" s="245" t="str">
        <f>IFERROR(__xludf.DUMMYFUNCTION("IF(REGEXMATCH(C25, ""D""), ""6"","""")"),"6")</f>
        <v>6</v>
      </c>
      <c r="GM25" s="245" t="str">
        <f>IFERROR(__xludf.DUMMYFUNCTION("IF(REGEXMATCH(C25, ""n""), ""b7"","""")"),"b7")</f>
        <v>b7</v>
      </c>
      <c r="GN25" s="246" t="str">
        <f>IFERROR(__xludf.DUMMYFUNCTION("IF(REGEXMATCH(C25, ""N""), ""7"","""")"),"7")</f>
        <v>7</v>
      </c>
      <c r="GO25" s="249" t="str">
        <f>IFERROR(__xludf.DUMMYFUNCTION("IF(REGEXMATCH(C25, ""S""), ""8"","""")"),"8")</f>
        <v>8</v>
      </c>
      <c r="GP25" s="244" t="str">
        <f>IFERROR(__xludf.DUMMYFUNCTION("IF(REGEXMATCH(C25, ""S""), ""S"","""")"),"S")</f>
        <v>S</v>
      </c>
      <c r="GQ25" s="294" t="str">
        <f>IFERROR(__xludf.DUMMYFUNCTION("IF(REGEXMATCH(C25, ""r""), ""R1"","""")"),"")</f>
        <v/>
      </c>
      <c r="GR25" s="295" t="str">
        <f>IFERROR(__xludf.DUMMYFUNCTION("IF(REGEXMATCH(C25, ""R""), ""R2"","""")"),"R2")</f>
        <v>R2</v>
      </c>
      <c r="GS25" s="295" t="str">
        <f>IFERROR(__xludf.DUMMYFUNCTION("IF(REGEXMATCH(C25, ""g""), ""G2"","""")"),"")</f>
        <v/>
      </c>
      <c r="GT25" s="294" t="str">
        <f>IFERROR(__xludf.DUMMYFUNCTION("IF(REGEXMATCH(C25, ""G""), ""G3"","""")"),"G3")</f>
        <v>G3</v>
      </c>
      <c r="GU25" s="294" t="str">
        <f>IFERROR(__xludf.DUMMYFUNCTION("IF(REGEXMATCH(C25, ""m""), ""M1"","""")"),"M1")</f>
        <v>M1</v>
      </c>
      <c r="GV25" s="295" t="str">
        <f>IFERROR(__xludf.DUMMYFUNCTION("IF(REGEXMATCH(C25, ""M""), ""M2"","""")"),"")</f>
        <v/>
      </c>
      <c r="GW25" s="294" t="str">
        <f>IFERROR(__xludf.DUMMYFUNCTION("IF(REGEXMATCH(C25, ""P""), ""P"","""")"),"P")</f>
        <v>P</v>
      </c>
      <c r="GX25" s="295" t="str">
        <f>IFERROR(__xludf.DUMMYFUNCTION("IF(REGEXMATCH(C25, ""d""), ""D1"","""")"),"")</f>
        <v/>
      </c>
      <c r="GY25" s="294" t="str">
        <f>IFERROR(__xludf.DUMMYFUNCTION("IF(REGEXMATCH(C25, ""D""), ""D2"","""")"),"D2")</f>
        <v>D2</v>
      </c>
      <c r="GZ25" s="294" t="str">
        <f>IFERROR(__xludf.DUMMYFUNCTION("IF(REGEXMATCH(C25, ""n""), ""N2"","""")"),"N2")</f>
        <v>N2</v>
      </c>
      <c r="HA25" s="295" t="str">
        <f>IFERROR(__xludf.DUMMYFUNCTION("IF(REGEXMATCH(C25, ""N""), ""N3"","""")"),"N3")</f>
        <v>N3</v>
      </c>
      <c r="HB25" s="249" t="str">
        <f>IFERROR(__xludf.DUMMYFUNCTION("IF(REGEXMATCH(C25, ""S""), ""S"","""")"),"S")</f>
        <v>S</v>
      </c>
      <c r="HC25" s="331" t="str">
        <f t="shared" si="95"/>
        <v>S</v>
      </c>
      <c r="HD25" s="332" t="str">
        <f t="shared" si="96"/>
        <v>r</v>
      </c>
      <c r="HE25" s="332" t="str">
        <f t="shared" si="97"/>
        <v>R</v>
      </c>
      <c r="HF25" s="332" t="str">
        <f t="shared" si="98"/>
        <v>g</v>
      </c>
      <c r="HG25" s="332" t="str">
        <f t="shared" si="99"/>
        <v/>
      </c>
      <c r="HH25" s="332" t="str">
        <f t="shared" si="100"/>
        <v>m</v>
      </c>
      <c r="HI25" s="332" t="str">
        <f t="shared" si="101"/>
        <v/>
      </c>
      <c r="HJ25" s="332" t="str">
        <f t="shared" si="102"/>
        <v>P</v>
      </c>
      <c r="HK25" s="332" t="str">
        <f t="shared" si="103"/>
        <v>d</v>
      </c>
      <c r="HL25" s="332" t="str">
        <f t="shared" si="104"/>
        <v/>
      </c>
      <c r="HM25" s="332" t="str">
        <f t="shared" si="105"/>
        <v>n</v>
      </c>
      <c r="HN25" s="332" t="str">
        <f t="shared" si="106"/>
        <v/>
      </c>
      <c r="HO25" s="343" t="str">
        <f t="shared" si="107"/>
        <v>S</v>
      </c>
      <c r="HP25" s="331" t="str">
        <f t="shared" si="108"/>
        <v>o</v>
      </c>
      <c r="HQ25" s="332" t="str">
        <f t="shared" si="109"/>
        <v>•</v>
      </c>
      <c r="HR25" s="332" t="str">
        <f t="shared" si="110"/>
        <v>o</v>
      </c>
      <c r="HS25" s="332" t="str">
        <f t="shared" si="111"/>
        <v>•</v>
      </c>
      <c r="HT25" s="332" t="str">
        <f t="shared" si="112"/>
        <v>o</v>
      </c>
      <c r="HU25" s="332" t="str">
        <f t="shared" si="113"/>
        <v>o</v>
      </c>
      <c r="HV25" s="332" t="str">
        <f t="shared" si="114"/>
        <v>•</v>
      </c>
      <c r="HW25" s="332" t="str">
        <f t="shared" si="115"/>
        <v>o</v>
      </c>
      <c r="HX25" s="332" t="str">
        <f t="shared" si="116"/>
        <v>•</v>
      </c>
      <c r="HY25" s="332" t="str">
        <f t="shared" si="117"/>
        <v>o</v>
      </c>
      <c r="HZ25" s="332" t="str">
        <f t="shared" si="118"/>
        <v>o</v>
      </c>
      <c r="IA25" s="332" t="str">
        <f t="shared" si="119"/>
        <v>o</v>
      </c>
      <c r="IB25" s="338" t="str">
        <f t="shared" si="120"/>
        <v>o</v>
      </c>
      <c r="IC25" s="331" t="str">
        <f t="shared" si="121"/>
        <v>•</v>
      </c>
      <c r="ID25" s="332" t="str">
        <f t="shared" si="122"/>
        <v>o</v>
      </c>
      <c r="IE25" s="332" t="str">
        <f t="shared" si="123"/>
        <v>•</v>
      </c>
      <c r="IF25" s="332" t="str">
        <f t="shared" si="124"/>
        <v>o</v>
      </c>
      <c r="IG25" s="332" t="str">
        <f t="shared" si="125"/>
        <v>•</v>
      </c>
      <c r="IH25" s="332" t="str">
        <f t="shared" si="126"/>
        <v>•</v>
      </c>
      <c r="II25" s="332" t="str">
        <f t="shared" si="127"/>
        <v>o</v>
      </c>
      <c r="IJ25" s="332" t="str">
        <f t="shared" si="128"/>
        <v>•</v>
      </c>
      <c r="IK25" s="332" t="str">
        <f t="shared" si="129"/>
        <v>o</v>
      </c>
      <c r="IL25" s="332" t="str">
        <f t="shared" si="130"/>
        <v>•</v>
      </c>
      <c r="IM25" s="332" t="str">
        <f t="shared" si="131"/>
        <v>•</v>
      </c>
      <c r="IN25" s="332" t="str">
        <f t="shared" si="132"/>
        <v>•</v>
      </c>
      <c r="IO25" s="338" t="str">
        <f t="shared" si="133"/>
        <v>•</v>
      </c>
      <c r="IP25" s="346" t="b">
        <f t="shared" si="134"/>
        <v>0</v>
      </c>
      <c r="IQ25" s="347" t="b">
        <f t="shared" si="135"/>
        <v>0</v>
      </c>
      <c r="IR25" s="347" t="b">
        <f t="shared" si="136"/>
        <v>0</v>
      </c>
      <c r="IS25" s="347" t="b">
        <f t="shared" si="137"/>
        <v>0</v>
      </c>
      <c r="IT25" s="347" t="b">
        <f t="shared" si="138"/>
        <v>0</v>
      </c>
      <c r="IU25" s="347" t="b">
        <f t="shared" si="139"/>
        <v>0</v>
      </c>
      <c r="IV25" s="347" t="b">
        <f t="shared" si="140"/>
        <v>0</v>
      </c>
      <c r="IW25" s="347" t="b">
        <f t="shared" si="141"/>
        <v>0</v>
      </c>
      <c r="IX25" s="347" t="b">
        <f t="shared" si="142"/>
        <v>0</v>
      </c>
      <c r="IY25" s="347" t="b">
        <f t="shared" si="143"/>
        <v>0</v>
      </c>
      <c r="IZ25" s="347" t="b">
        <f t="shared" si="144"/>
        <v>0</v>
      </c>
      <c r="JA25" s="347" t="b">
        <f t="shared" si="145"/>
        <v>1</v>
      </c>
      <c r="JB25" s="353" t="b">
        <f t="shared" si="146"/>
        <v>0</v>
      </c>
      <c r="JC25" s="354" t="str">
        <f t="shared" si="147"/>
        <v/>
      </c>
      <c r="JD25" s="355" t="str">
        <f t="shared" si="148"/>
        <v/>
      </c>
      <c r="JE25" s="355" t="str">
        <f t="shared" si="149"/>
        <v/>
      </c>
      <c r="JF25" s="355" t="str">
        <f t="shared" si="150"/>
        <v/>
      </c>
      <c r="JG25" s="355" t="str">
        <f t="shared" si="151"/>
        <v/>
      </c>
      <c r="JH25" s="355" t="str">
        <f t="shared" si="152"/>
        <v/>
      </c>
      <c r="JI25" s="355" t="str">
        <f t="shared" si="153"/>
        <v/>
      </c>
      <c r="JJ25" s="355" t="str">
        <f t="shared" si="154"/>
        <v/>
      </c>
      <c r="JK25" s="355" t="str">
        <f t="shared" si="155"/>
        <v/>
      </c>
      <c r="JL25" s="355" t="str">
        <f t="shared" si="156"/>
        <v/>
      </c>
      <c r="JM25" s="355" t="str">
        <f t="shared" si="157"/>
        <v/>
      </c>
      <c r="JN25" s="355" t="str">
        <f t="shared" si="158"/>
        <v>Ni, </v>
      </c>
      <c r="JO25" s="359" t="str">
        <f t="shared" si="159"/>
        <v/>
      </c>
      <c r="JP25" s="346" t="b">
        <f t="shared" si="160"/>
        <v>0</v>
      </c>
      <c r="JQ25" s="347" t="b">
        <f t="shared" si="161"/>
        <v>0</v>
      </c>
      <c r="JR25" s="347" t="b">
        <f t="shared" si="162"/>
        <v>0</v>
      </c>
      <c r="JS25" s="347" t="b">
        <f t="shared" si="163"/>
        <v>0</v>
      </c>
      <c r="JT25" s="347" t="b">
        <f t="shared" si="164"/>
        <v>0</v>
      </c>
      <c r="JU25" s="347" t="b">
        <f t="shared" si="165"/>
        <v>0</v>
      </c>
      <c r="JV25" s="347" t="b">
        <f t="shared" si="166"/>
        <v>0</v>
      </c>
      <c r="JW25" s="347" t="b">
        <f t="shared" si="167"/>
        <v>0</v>
      </c>
      <c r="JX25" s="347" t="b">
        <f t="shared" si="168"/>
        <v>0</v>
      </c>
      <c r="JY25" s="347" t="b">
        <f t="shared" si="169"/>
        <v>0</v>
      </c>
      <c r="JZ25" s="347" t="b">
        <f t="shared" si="170"/>
        <v>0</v>
      </c>
      <c r="KA25" s="347" t="b">
        <f t="shared" si="171"/>
        <v>0</v>
      </c>
      <c r="KB25" s="365" t="b">
        <f t="shared" si="172"/>
        <v>0</v>
      </c>
      <c r="KC25" s="354" t="str">
        <f t="shared" si="173"/>
        <v/>
      </c>
      <c r="KD25" s="355" t="str">
        <f t="shared" si="174"/>
        <v/>
      </c>
      <c r="KE25" s="355" t="str">
        <f t="shared" si="175"/>
        <v/>
      </c>
      <c r="KF25" s="355" t="str">
        <f t="shared" si="176"/>
        <v/>
      </c>
      <c r="KG25" s="355" t="str">
        <f t="shared" si="177"/>
        <v/>
      </c>
      <c r="KH25" s="355" t="str">
        <f t="shared" si="178"/>
        <v/>
      </c>
      <c r="KI25" s="355" t="str">
        <f t="shared" si="179"/>
        <v/>
      </c>
      <c r="KJ25" s="355" t="str">
        <f t="shared" si="180"/>
        <v/>
      </c>
      <c r="KK25" s="355" t="str">
        <f t="shared" si="181"/>
        <v/>
      </c>
      <c r="KL25" s="355" t="str">
        <f t="shared" si="182"/>
        <v/>
      </c>
      <c r="KM25" s="355" t="str">
        <f t="shared" si="183"/>
        <v/>
      </c>
      <c r="KN25" s="355" t="str">
        <f t="shared" si="184"/>
        <v/>
      </c>
      <c r="KO25" s="359"/>
      <c r="KP25" s="378"/>
      <c r="KQ25" s="379" t="s">
        <v>530</v>
      </c>
      <c r="KR25" s="380" t="s">
        <v>1284</v>
      </c>
      <c r="KS25" s="381" t="str">
        <f>KQ25</f>
        <v>S-R-G-m-P-D-nN-S</v>
      </c>
      <c r="KT25" s="382">
        <f t="shared" si="186"/>
        <v>7</v>
      </c>
      <c r="KU25" s="383">
        <f t="shared" si="187"/>
        <v>8</v>
      </c>
      <c r="KV25" s="381" t="str">
        <f t="shared" si="205"/>
        <v>S-Nn-D-P-m-G-R-S</v>
      </c>
      <c r="KW25" s="382">
        <f t="shared" si="189"/>
        <v>7</v>
      </c>
      <c r="KX25" s="384">
        <f t="shared" si="190"/>
        <v>8</v>
      </c>
      <c r="KY25" s="382">
        <f t="shared" ref="KY25:KZ25" si="242">KW25-KT25</f>
        <v>0</v>
      </c>
      <c r="KZ25" s="369">
        <f t="shared" si="242"/>
        <v>0</v>
      </c>
      <c r="LA25" s="385" t="str">
        <f t="shared" si="192"/>
        <v>✔</v>
      </c>
      <c r="LB25" s="340" t="str">
        <f>IFERROR(__xludf.DUMMYFUNCTION("JOIN("""",ArrayFormula(MID(KS25,LEN(KS25)-SEQUENCE(1,LEN(KS25))+1,1)))"),"S-Nn-D-P-m-G-R-S")</f>
        <v>S-Nn-D-P-m-G-R-S</v>
      </c>
      <c r="LC25" s="373" t="str">
        <f>IFERROR(__xludf.DUMMYFUNCTION("JOIN("""",ArrayFormula(MID(KV25,LEN(KV25)-SEQUENCE(1,LEN(KV25))+1,1)))"),"S-R-G-m-P-D-nN-S")</f>
        <v>S-R-G-m-P-D-nN-S</v>
      </c>
      <c r="LD25" s="373" t="str">
        <f t="shared" si="193"/>
        <v>SRGmPDnNS</v>
      </c>
      <c r="LE25" s="339" t="str">
        <f t="shared" si="194"/>
        <v>SRGmPDnNS</v>
      </c>
      <c r="LF25" s="386" t="str">
        <f>IFERROR(__xludf.DUMMYFUNCTION("SUBSTITUTE(SUBSTITUTE(CONCATENATE(JOIN("""",LH25:LT25)),""1"",""""),""2"","""")"),"SRGmPDnNS")</f>
        <v>SRGmPDnNS</v>
      </c>
      <c r="LG25" s="369" t="str">
        <f t="shared" si="195"/>
        <v>✔</v>
      </c>
      <c r="LH25" s="387" t="str">
        <f>IFERROR(__xludf.DUMMYFUNCTION("IF(REGEXMATCH(LD25, ""S""), ""S"",IF(REGEXMATCH(LE25, ""S""), ""S"",""""))"),"S")</f>
        <v>S</v>
      </c>
      <c r="LI25" s="299" t="str">
        <f>IFERROR(__xludf.DUMMYFUNCTION("IF(REGEXMATCH(LD25, ""r""), ""r1"",IF(REGEXMATCH(LE25, ""r""), ""r2"",""""))"),"")</f>
        <v/>
      </c>
      <c r="LJ25" s="299" t="str">
        <f>IFERROR(__xludf.DUMMYFUNCTION("IF(REGEXMATCH(LD25, ""R""), ""R1"",IF(REGEXMATCH(LE25, ""R""), ""R2"",""""))"),"R1")</f>
        <v>R1</v>
      </c>
      <c r="LK25" s="299" t="str">
        <f>IFERROR(__xludf.DUMMYFUNCTION("IF(REGEXMATCH(LD25, ""g""), ""g1"",IF(REGEXMATCH(LE25, ""g""), ""g2"",""""))"),"")</f>
        <v/>
      </c>
      <c r="LL25" s="299" t="str">
        <f>IFERROR(__xludf.DUMMYFUNCTION("IF(REGEXMATCH(LD25, ""G""), ""G1"",IF(REGEXMATCH(LE25, ""G""), ""G2"",""""))"),"G1")</f>
        <v>G1</v>
      </c>
      <c r="LM25" s="299" t="str">
        <f>IFERROR(__xludf.DUMMYFUNCTION("IF(REGEXMATCH(LD25, ""m""), ""m1"",IF(REGEXMATCH(LE25, ""m""), ""m2"",""""))"),"m1")</f>
        <v>m1</v>
      </c>
      <c r="LN25" s="299" t="str">
        <f>IFERROR(__xludf.DUMMYFUNCTION("IF(REGEXMATCH(LD25, ""M""), ""M1"",IF(REGEXMATCH(LE25, ""M""), ""M2"",""""))"),"")</f>
        <v/>
      </c>
      <c r="LO25" s="299" t="str">
        <f>IFERROR(__xludf.DUMMYFUNCTION("IF(REGEXMATCH(LD25, ""P""), ""P1"",IF(REGEXMATCH(LE25, ""P""), ""P2"",""""))"),"P1")</f>
        <v>P1</v>
      </c>
      <c r="LP25" s="299" t="str">
        <f>IFERROR(__xludf.DUMMYFUNCTION("IF(REGEXMATCH(LD25, ""d""), ""d1"",IF(REGEXMATCH(LE25, ""d""), ""d2"",""""))"),"")</f>
        <v/>
      </c>
      <c r="LQ25" s="299" t="str">
        <f>IFERROR(__xludf.DUMMYFUNCTION("IF(REGEXMATCH(LD25, ""D""), ""D1"",IF(REGEXMATCH(LE25, ""D""), ""D2"",""""))"),"D1")</f>
        <v>D1</v>
      </c>
      <c r="LR25" s="299" t="str">
        <f>IFERROR(__xludf.DUMMYFUNCTION("IF(REGEXMATCH(LD25, ""n""), ""n1"",IF(REGEXMATCH(LE25, ""n""), ""n2"",""""))"),"n1")</f>
        <v>n1</v>
      </c>
      <c r="LS25" s="299" t="str">
        <f>IFERROR(__xludf.DUMMYFUNCTION("IF(REGEXMATCH(LD25, ""N""), ""N1"",IF(REGEXMATCH(LE25, ""N""), ""N2"",""""))"),"N1")</f>
        <v>N1</v>
      </c>
      <c r="LT25" s="388" t="str">
        <f>IFERROR(__xludf.DUMMYFUNCTION("IF(REGEXMATCH(LD25, ""S""), ""S"",IF(REGEXMATCH(LE25, ""S""), ""S"",""""))"),"S")</f>
        <v>S</v>
      </c>
      <c r="LU25" s="389">
        <f t="shared" si="196"/>
        <v>1</v>
      </c>
      <c r="LV25" s="378"/>
      <c r="LW25" s="369"/>
      <c r="LX25" s="369"/>
    </row>
    <row r="26" ht="20.25" customHeight="1">
      <c r="A26" s="298" t="s">
        <v>1285</v>
      </c>
      <c r="B26" s="222" t="s">
        <v>554</v>
      </c>
      <c r="C26" s="233" t="str">
        <f t="shared" si="7"/>
        <v>SRGmPDNS</v>
      </c>
      <c r="D26" s="234" t="str">
        <f>IFERROR(__xludf.DUMMYFUNCTION("IF(REGEXMATCH(C26, ""S""), ""S"","""")"),"S")</f>
        <v>S</v>
      </c>
      <c r="E26" s="236" t="str">
        <f>IFERROR(__xludf.DUMMYFUNCTION("IF(REGEXMATCH(C26, ""r""), ""r"","""")"),"")</f>
        <v/>
      </c>
      <c r="F26" s="237" t="str">
        <f>IFERROR(__xludf.DUMMYFUNCTION("IF(REGEXMATCH(C26, ""R""), ""R"","""")"),"R")</f>
        <v>R</v>
      </c>
      <c r="G26" s="237" t="str">
        <f>IFERROR(__xludf.DUMMYFUNCTION("IF(REGEXMATCH(C26, ""g""), ""g"","""")"),"")</f>
        <v/>
      </c>
      <c r="H26" s="236" t="str">
        <f>IFERROR(__xludf.DUMMYFUNCTION("IF(REGEXMATCH(C26, ""G""), ""G"","""")"),"G")</f>
        <v>G</v>
      </c>
      <c r="I26" s="236" t="str">
        <f>IFERROR(__xludf.DUMMYFUNCTION("IF(REGEXMATCH(C26, ""m""), ""m"","""")"),"m")</f>
        <v>m</v>
      </c>
      <c r="J26" s="237" t="str">
        <f>IFERROR(__xludf.DUMMYFUNCTION("IF(REGEXMATCH(C26, ""M""), ""M"","""")"),"")</f>
        <v/>
      </c>
      <c r="K26" s="236" t="str">
        <f>IFERROR(__xludf.DUMMYFUNCTION("IF(REGEXMATCH(C26, ""P""), ""P"","""")"),"P")</f>
        <v>P</v>
      </c>
      <c r="L26" s="237" t="str">
        <f>IFERROR(__xludf.DUMMYFUNCTION("IF(REGEXMATCH(C26, ""d""), ""d"","""")"),"")</f>
        <v/>
      </c>
      <c r="M26" s="236" t="str">
        <f>IFERROR(__xludf.DUMMYFUNCTION("IF(REGEXMATCH(C26, ""D""), ""D"","""")"),"D")</f>
        <v>D</v>
      </c>
      <c r="N26" s="236" t="str">
        <f>IFERROR(__xludf.DUMMYFUNCTION("IF(REGEXMATCH(C26, ""n""), ""n"","""")"),"")</f>
        <v/>
      </c>
      <c r="O26" s="237" t="str">
        <f>IFERROR(__xludf.DUMMYFUNCTION("IF(REGEXMATCH(C26, ""N""), ""N"","""")"),"N")</f>
        <v>N</v>
      </c>
      <c r="P26" s="238" t="str">
        <f>IFERROR(__xludf.DUMMYFUNCTION("IF(REGEXMATCH(C26, ""S""), ""S"","""")"),"S")</f>
        <v>S</v>
      </c>
      <c r="Q26" s="239" t="str">
        <f>IFERROR(__xludf.DUMMYFUNCTION("SUBSTITUTE(CONCATENATE(JOIN(""-"",D26:J26)),""-"","""")"),"SRGm")</f>
        <v>SRGm</v>
      </c>
      <c r="R26" s="229" t="str">
        <f>IFERROR(__xludf.DUMMYFUNCTION("SUBSTITUTE(CONCATENATE(JOIN(""-"",K26:P26)),""-"","""")"),"PDNS")</f>
        <v>PDNS</v>
      </c>
      <c r="S26" s="282" t="str">
        <f t="shared" si="8"/>
        <v>S-R-G-M</v>
      </c>
      <c r="T26" s="282" t="str">
        <f t="shared" si="9"/>
        <v>P-D-N-S</v>
      </c>
      <c r="U26" s="237" t="str">
        <f>IFERROR(__xludf.DUMMYFUNCTION("SUBSTITUTE(JOIN(""-"",S26,T26),""--"",""-"")"),"S-R-G-M-P-D-N-S")</f>
        <v>S-R-G-M-P-D-N-S</v>
      </c>
      <c r="V26" s="309" t="str">
        <f t="shared" si="10"/>
        <v>RGmDN</v>
      </c>
      <c r="W26" s="244" t="str">
        <f>IFERROR(__xludf.DUMMYFUNCTION("IF(REGEXMATCH(C26, ""S""), ""0"","""")"),"0")</f>
        <v>0</v>
      </c>
      <c r="X26" s="245" t="str">
        <f>IFERROR(__xludf.DUMMYFUNCTION("IF(REGEXMATCH(C26, ""r""), ""1"","""")"),"")</f>
        <v/>
      </c>
      <c r="Y26" s="246" t="str">
        <f>IFERROR(__xludf.DUMMYFUNCTION("IF(REGEXMATCH(C26, ""R""), ""2"","""")"),"2")</f>
        <v>2</v>
      </c>
      <c r="Z26" s="246" t="str">
        <f>IFERROR(__xludf.DUMMYFUNCTION("IF(REGEXMATCH(C26, ""g""), ""3"","""")"),"")</f>
        <v/>
      </c>
      <c r="AA26" s="245" t="str">
        <f>IFERROR(__xludf.DUMMYFUNCTION("IF(REGEXMATCH(C26, ""G""), ""4"","""")"),"4")</f>
        <v>4</v>
      </c>
      <c r="AB26" s="245" t="str">
        <f>IFERROR(__xludf.DUMMYFUNCTION("IF(REGEXMATCH(C26, ""m""), ""5"","""")"),"5")</f>
        <v>5</v>
      </c>
      <c r="AC26" s="246" t="str">
        <f>IFERROR(__xludf.DUMMYFUNCTION("IF(REGEXMATCH(C26, ""M""), ""6"","""")"),"")</f>
        <v/>
      </c>
      <c r="AD26" s="245" t="str">
        <f>IFERROR(__xludf.DUMMYFUNCTION("IF(REGEXMATCH(C26, ""P""), ""7"","""")"),"7")</f>
        <v>7</v>
      </c>
      <c r="AE26" s="246" t="str">
        <f>IFERROR(__xludf.DUMMYFUNCTION("IF(REGEXMATCH(C26, ""d""), ""8"","""")"),"")</f>
        <v/>
      </c>
      <c r="AF26" s="245" t="str">
        <f>IFERROR(__xludf.DUMMYFUNCTION("IF(REGEXMATCH(C26, ""D""), ""9"","""")"),"9")</f>
        <v>9</v>
      </c>
      <c r="AG26" s="245" t="str">
        <f>IFERROR(__xludf.DUMMYFUNCTION("IF(REGEXMATCH(C26, ""n""), ""10"","""")"),"")</f>
        <v/>
      </c>
      <c r="AH26" s="246" t="str">
        <f>IFERROR(__xludf.DUMMYFUNCTION("IF(REGEXMATCH(C26, ""N""), ""11"","""")"),"11")</f>
        <v>11</v>
      </c>
      <c r="AI26" s="249" t="str">
        <f>IFERROR(__xludf.DUMMYFUNCTION("IF(REGEXMATCH(C26, ""S""), ""0"","""")"),"0")</f>
        <v>0</v>
      </c>
      <c r="AJ26" s="313" t="str">
        <f t="shared" si="11"/>
        <v>-</v>
      </c>
      <c r="AK26" s="313" t="str">
        <f t="shared" si="12"/>
        <v>-</v>
      </c>
      <c r="AL26" s="313" t="str">
        <f t="shared" si="13"/>
        <v>-</v>
      </c>
      <c r="AM26" s="313" t="str">
        <f t="shared" si="14"/>
        <v>-</v>
      </c>
      <c r="AN26" s="313" t="str">
        <f t="shared" si="15"/>
        <v>-</v>
      </c>
      <c r="AO26" s="314" t="str">
        <f t="shared" si="16"/>
        <v>T</v>
      </c>
      <c r="AP26" s="316">
        <f t="shared" si="17"/>
        <v>1</v>
      </c>
      <c r="AQ26" s="319" t="str">
        <f t="shared" si="18"/>
        <v>-</v>
      </c>
      <c r="AR26" s="320">
        <f t="shared" si="19"/>
        <v>0</v>
      </c>
      <c r="AS26" s="250" t="str">
        <f>IFERROR(__xludf.DUMMYFUNCTION("SUBSTITUTE(SUBSTITUTE(CONCATENATE(JOIN("""",FP26:GA26)),""|"",""x""),""-"",""o"")"),"xoxoxxoxoxox")</f>
        <v>xoxoxxoxoxox</v>
      </c>
      <c r="AT26" s="323" t="str">
        <f>IFERROR(__xludf.DUMMYFUNCTION("JOIN("""",AS26,AS26)"),"xoxoxxoxoxoxxoxoxxoxoxox")</f>
        <v>xoxoxxoxoxoxxoxoxxoxoxox</v>
      </c>
      <c r="AU26" s="256" t="str">
        <f>IFERROR(__xludf.DUMMYFUNCTION("JOIN("""",ArrayFormula(MID(AS26,LEN(AS26)-SEQUENCE(1,LEN(AS26))+1,1)))"),"xoxoxoxxoxox")</f>
        <v>xoxoxoxxoxox</v>
      </c>
      <c r="AV26" s="256" t="str">
        <f>IFERROR(__xludf.DUMMYFUNCTION("LEFT(CONCATENATE(""x"",JOIN("""",ArrayFormula(MID(AS26,LEN(AS26)-SEQUENCE(1,LEN(AS26))+1,1)))),12)"),"xxoxoxoxxoxo")</f>
        <v>xxoxoxoxxoxo</v>
      </c>
      <c r="AW26" s="327" t="str">
        <f>IFERROR(__xludf.DUMMYFUNCTION("JOIN("""",AU26,AU26)"),"xoxoxoxxoxoxxoxoxoxxoxox")</f>
        <v>xoxoxoxxoxoxxoxoxoxxoxox</v>
      </c>
      <c r="AX26" s="239" t="str">
        <f>IFERROR(__xludf.DUMMYFUNCTION("IF(REGEXMATCH(AW26,AS26),""✔"",""-"")"),"✔")</f>
        <v>✔</v>
      </c>
      <c r="AY26" s="330" t="str">
        <f t="shared" si="20"/>
        <v>-</v>
      </c>
      <c r="AZ26" s="260" t="str">
        <f t="shared" si="21"/>
        <v>#REF!</v>
      </c>
      <c r="BA26" s="333" t="str">
        <f t="shared" si="22"/>
        <v>xoxoxxo</v>
      </c>
      <c r="BB26" s="334" t="str">
        <f t="shared" si="23"/>
        <v>xoxoxx</v>
      </c>
      <c r="BC26" s="335" t="str">
        <f t="shared" si="236"/>
        <v>✔</v>
      </c>
      <c r="BD26" s="336" t="str">
        <f t="shared" si="25"/>
        <v>Asa: 'xoxoxxo' + 'xoxoxx'</v>
      </c>
      <c r="BE26" s="337">
        <f>IFERROR(__xludf.DUMMYFUNCTION("COUNTUNIQUE(FILTER(AT:AT,REGEXMATCH(AT:AT,AS26)))-1"),6.0)</f>
        <v>6</v>
      </c>
      <c r="BF26" s="261" t="str">
        <f>IFERROR(__xludf.DUMMYFUNCTION("IF(BI26=0,""(n/a)"",IF(BJ26=2,""(PAIR)"",IF(REGEXMATCH(AT26,""xoxoxxoxoxox""),""Bilawal"",IF(REGEXMATCH(AT26,""xoxoxooxoxoo""),""Bhupali"",IF(REGEXMATCH(AT26,""xoxoxxoxxoxo""),""Charukeshi"",IF(REGEXMATCH(AT26,""xoxoooxxoxxo""),""Kameshwari"",IF(REGEXMATC"&amp;"H(AT26,""xoxoxooxoxox""),""Shankara"",IF(REGEXMATCH(AT26,""xxooxoxxxoox""),""Basant"",IF(REGEXMATCH(AT26,""xoxoxxxxoxox""),""Bihag"",IF(REGEXMATCH(AT26,""xoxxxxoxoxxx""),""Pilu"",IF(REGEXMATCH(AT26,""xoxxoxoxxoox""),""Kirwani"",IF(REGEXMATCH(AT26,""xoxxox"&amp;"oxoxxx""),""Mk.Malhar"",IF(REGEXMATCH(AT26,""xxooxxoxxoox""),""Bhairav"",IF(REGEXMATCH(AT26,""xxoxooxxxoox""),""Todi"",IF(REGEXMATCH(AT26,""xxooxoxooxox""),""Marwa"",IF(REGEXMATCH(AT26,""xxoooxoxxooo""),""Gunkali"",IF(REGEXMATCH(AT26,""xoxoxxoxxoox""),""N"&amp;"at Bhairav"",IF(REGEXMATCH(AT26,""xoxxoooxoxoo""),""Shivranjani"",IF(REGEXMATCH(AT26,""xooxxxoxooxo""),""Jog"",IF(REGEXMATCH(AT26,""xxooxoxoxoox""),""Hemshri"",IF(REGEXMATCH(AT26,""xoooxooxoxxo""),""Kalavati"",IF(REGEXMATCH(AT26,""xxoxoxxoxoox""),""Kedar"&amp;""",IF(REGEXMATCH(AT26,""xoxxxxoxooxx""),""Gara"",IF(REGEXMATCH(AT26,""xooxoxooxoox""),""Chandrakauns"",IF(REGEXMATCH(AT26,""xoxxxxoxxxox""),""Mand"",IF(REGEXMATCH(AT26,""xoxxxxoxoxox""),""Hanskinkini"",IF(REGEXMATCH(AT26,""xxooxxoxooxo""),""Lilavati"",IF("&amp;"REGEXMATCH(AT26,""xooxoxoooxox""),""Rajeshwari"",IF(REGEXMATCH(AT26,""xoooxxoxoxxx""),""Khokar"",IF(REGEXMATCH(AT26,""xxooxoxxxxox""),""Maligoura"",""-""))))))))))))))))))))))))))))))"),"Bilawal")</f>
        <v>Bilawal</v>
      </c>
      <c r="BG26" s="239" t="str">
        <f t="shared" si="26"/>
        <v>#REF!</v>
      </c>
      <c r="BH26" s="239">
        <f>IFERROR(__xludf.DUMMYFUNCTION("COUNTUNIQUE(FE26:FO26)-1"),6.0)</f>
        <v>6</v>
      </c>
      <c r="BI26" s="239">
        <f>IFERROR(__xludf.DUMMYFUNCTION("COUNTUNIQUE(FILTER(AT:AT,REGEXMATCH(AT:AT,AS26)))-1"),6.0)</f>
        <v>6</v>
      </c>
      <c r="BJ26" s="239">
        <f>IFERROR(__xludf.DUMMYFUNCTION("COUNTA(FILTER(AT:AT,REGEXMATCH(AT:AT,AS26)))"),48.0)</f>
        <v>48</v>
      </c>
      <c r="BK26" s="341">
        <f>IFERROR(__xludf.DUMMYFUNCTION("COUNTA(FILTER(AT:AT,REGEXMATCH(AT:AT,AS26)))-AR26"),48.0)</f>
        <v>48</v>
      </c>
      <c r="BL26" s="276" t="str">
        <f>IFERROR(__xludf.DUMMYFUNCTION("IF(AS26=""oooooooooooo"",""-"",IF(REGEXMATCH(AT26,""xx""), ""Hemi."", ""Anhemi.""))"),"Hemi.")</f>
        <v>Hemi.</v>
      </c>
      <c r="BM26" s="282" t="str">
        <f>IFERROR(__xludf.DUMMYFUNCTION("IF(AS26=""oooooooooooo"",""-"",IF(REGEXMATCH(AT26,""xxx""), ""Cohem."", ""-""))"),"-")</f>
        <v>-</v>
      </c>
      <c r="BN26" s="282" t="str">
        <f>IFERROR(__xludf.DUMMYFUNCTION("IF(AS26=""oooooooooooo"",""-"",IF(REGEXMATCH(AT26,""xxxx""), ""Co-Co."", ""-""))"),"-")</f>
        <v>-</v>
      </c>
      <c r="BO26" s="342" t="str">
        <f>IFERROR(__xludf.DUMMYFUNCTION("IF(AS26=""oooooooooooo"",""-"",IF(REGEXMATCH(AT26,""xxxxx""), ""CCC."", ""-""))"),"-")</f>
        <v>-</v>
      </c>
      <c r="BP26" s="344" t="str">
        <f t="shared" si="27"/>
        <v>Bilawal</v>
      </c>
      <c r="BQ26" s="282" t="str">
        <f>IFERROR(__xludf.DUMMYFUNCTION("IF(REGEXMATCH(JOIN(""-"",EU26:FD26),""TRUE""),""✔"",""-"")"),"✔")</f>
        <v>✔</v>
      </c>
      <c r="BR26" s="225">
        <f t="shared" si="28"/>
        <v>1</v>
      </c>
      <c r="BS26" s="345" t="str">
        <f>IFERROR(__xludf.DUMMYFUNCTION("SUBSTITUTE(SUBSTITUTE(SUBSTITUTE(SUBSTITUTE(CONCATENATE(JOIN(""-"",GC26:GO26)),""--"",""-""),""--"",""-""),""--"",""-""),""--"",""-"")"),"1-2-3-4-5-6-7-8")</f>
        <v>1-2-3-4-5-6-7-8</v>
      </c>
      <c r="BT26" s="299" t="str">
        <f>IFERROR(__xludf.DUMMYFUNCTION("SUBSTITUTE(SUBSTITUTE(SUBSTITUTE(SUBSTITUTE(CONCATENATE(JOIN(""-"",GP26:HB26)),""--"",""-""),""--"",""-""),""--"",""-""),""--"",""-"")"),"S-R2-G3-M1-P-D2-N3-S")</f>
        <v>S-R2-G3-M1-P-D2-N3-S</v>
      </c>
      <c r="BU26" s="348" t="str">
        <f t="shared" si="29"/>
        <v>C-D-E-F-G-A-B-C</v>
      </c>
      <c r="BV26" s="349" t="str">
        <f t="shared" si="30"/>
        <v>SrgMdnS</v>
      </c>
      <c r="BW26" s="350">
        <f t="shared" si="31"/>
        <v>1</v>
      </c>
      <c r="BX26" s="351">
        <f t="shared" si="32"/>
        <v>17</v>
      </c>
      <c r="BY26" s="392"/>
      <c r="BZ26" s="309" t="str">
        <f>IFERROR(__xludf.DUMMYFUNCTION("IF(REGEXMATCH(C26, ""S""), ""x"",""x"")"),"x")</f>
        <v>x</v>
      </c>
      <c r="CA26" s="245" t="str">
        <f>IFERROR(__xludf.DUMMYFUNCTION("IF(REGEXMATCH(C26, ""r""), ""o"",""x"")"),"x")</f>
        <v>x</v>
      </c>
      <c r="CB26" s="246" t="str">
        <f>IFERROR(__xludf.DUMMYFUNCTION("IF(REGEXMATCH(C26, ""R""), ""o"",""x"")"),"o")</f>
        <v>o</v>
      </c>
      <c r="CC26" s="246" t="str">
        <f>IFERROR(__xludf.DUMMYFUNCTION("IF(REGEXMATCH(C26, ""g""), ""o"",""x"")"),"x")</f>
        <v>x</v>
      </c>
      <c r="CD26" s="245" t="str">
        <f>IFERROR(__xludf.DUMMYFUNCTION("IF(REGEXMATCH(C26, ""G""), ""o"",""x"")"),"o")</f>
        <v>o</v>
      </c>
      <c r="CE26" s="245" t="str">
        <f>IFERROR(__xludf.DUMMYFUNCTION("IF(REGEXMATCH(C26, ""m""), ""o"",""x"")"),"o")</f>
        <v>o</v>
      </c>
      <c r="CF26" s="246" t="str">
        <f>IFERROR(__xludf.DUMMYFUNCTION("IF(REGEXMATCH(C26, ""M""), ""o"",""x"")"),"x")</f>
        <v>x</v>
      </c>
      <c r="CG26" s="245" t="str">
        <f>IFERROR(__xludf.DUMMYFUNCTION("IF(REGEXMATCH(C26, ""P""), ""o"",""x"")"),"o")</f>
        <v>o</v>
      </c>
      <c r="CH26" s="246" t="str">
        <f>IFERROR(__xludf.DUMMYFUNCTION("IF(REGEXMATCH(C26, ""d""), ""o"",""x"")"),"x")</f>
        <v>x</v>
      </c>
      <c r="CI26" s="245" t="str">
        <f>IFERROR(__xludf.DUMMYFUNCTION("IF(REGEXMATCH(C26, ""D""), ""o"",""x"")"),"o")</f>
        <v>o</v>
      </c>
      <c r="CJ26" s="245" t="str">
        <f>IFERROR(__xludf.DUMMYFUNCTION("IF(REGEXMATCH(C26, ""n""), ""o"",""x"")"),"x")</f>
        <v>x</v>
      </c>
      <c r="CK26" s="245" t="str">
        <f>IFERROR(__xludf.DUMMYFUNCTION("IF(REGEXMATCH(C26, ""N""), ""o"",""x"")"),"o")</f>
        <v>o</v>
      </c>
      <c r="CL26" s="356" t="str">
        <f>IFERROR(__xludf.DUMMYFUNCTION("IF(REGEXMATCH(C26, ""S""), ""x"",""x"")"),"x")</f>
        <v>x</v>
      </c>
      <c r="CM26" s="357" t="str">
        <f t="shared" si="33"/>
        <v>xxoxooxoxoxo</v>
      </c>
      <c r="CN26" s="358">
        <f t="shared" si="34"/>
        <v>1</v>
      </c>
      <c r="CO26" s="246" t="str">
        <f>IFERROR(__xludf.DUMMYFUNCTION("IF(REGEXMATCH($C26, ""S""), ""S"",""S"")"),"S")</f>
        <v>S</v>
      </c>
      <c r="CP26" s="246" t="str">
        <f>IFERROR(__xludf.DUMMYFUNCTION("IF(REGEXMATCH($C26, ""r""), """",""r"")"),"r")</f>
        <v>r</v>
      </c>
      <c r="CQ26" s="246" t="str">
        <f>IFERROR(__xludf.DUMMYFUNCTION("IF(REGEXMATCH($C26, ""R""), """",""R"")"),"")</f>
        <v/>
      </c>
      <c r="CR26" s="246" t="str">
        <f>IFERROR(__xludf.DUMMYFUNCTION("IF(REGEXMATCH($C26, ""g""), """",""g"")"),"g")</f>
        <v>g</v>
      </c>
      <c r="CS26" s="246" t="str">
        <f>IFERROR(__xludf.DUMMYFUNCTION("IF(REGEXMATCH($C26, ""G""), """",""G"")"),"")</f>
        <v/>
      </c>
      <c r="CT26" s="246" t="str">
        <f>IFERROR(__xludf.DUMMYFUNCTION("IF(REGEXMATCH($C26, ""m""), """",""m"")"),"")</f>
        <v/>
      </c>
      <c r="CU26" s="246" t="str">
        <f>IFERROR(__xludf.DUMMYFUNCTION("IF(REGEXMATCH($C26, ""M""), """",""M"")"),"M")</f>
        <v>M</v>
      </c>
      <c r="CV26" s="246" t="str">
        <f>IFERROR(__xludf.DUMMYFUNCTION("IF(REGEXMATCH($C26, ""P""), """",""P"")"),"")</f>
        <v/>
      </c>
      <c r="CW26" s="246" t="str">
        <f>IFERROR(__xludf.DUMMYFUNCTION("IF(REGEXMATCH($C26, ""d""), """",""d"")"),"d")</f>
        <v>d</v>
      </c>
      <c r="CX26" s="246" t="str">
        <f>IFERROR(__xludf.DUMMYFUNCTION("IF(REGEXMATCH($C26, ""D""), """",""D"")"),"")</f>
        <v/>
      </c>
      <c r="CY26" s="246" t="str">
        <f>IFERROR(__xludf.DUMMYFUNCTION("IF(REGEXMATCH($C26, ""n""), """",""n"")"),"n")</f>
        <v>n</v>
      </c>
      <c r="CZ26" s="246" t="str">
        <f>IFERROR(__xludf.DUMMYFUNCTION("IF(REGEXMATCH($C26, ""N""), """",""N"")"),"")</f>
        <v/>
      </c>
      <c r="DA26" s="246" t="str">
        <f>IFERROR(__xludf.DUMMYFUNCTION("IF(REGEXMATCH($C26, ""S""), ""S"",""S"")"),"S")</f>
        <v>S</v>
      </c>
      <c r="DB26" s="362" t="str">
        <f>IFERROR(__xludf.DUMMYFUNCTION("JOIN("""",CO26:DA26,"""","""")"),"SrgMdnS")</f>
        <v>SrgMdnS</v>
      </c>
      <c r="DC26" s="363"/>
      <c r="DD26" s="301" t="str">
        <f t="shared" si="35"/>
        <v>#REF!</v>
      </c>
      <c r="DE26" s="302" t="str">
        <f t="shared" si="36"/>
        <v>#REF!</v>
      </c>
      <c r="DF26" s="301" t="str">
        <f t="shared" ref="DF26:DG26" si="243">SUBSTITUTE(S26,"-","")</f>
        <v>SRGM</v>
      </c>
      <c r="DG26" s="301" t="str">
        <f t="shared" si="243"/>
        <v>PDNS</v>
      </c>
      <c r="DH26" s="302" t="str">
        <f t="shared" si="38"/>
        <v>Bilawal</v>
      </c>
      <c r="DI26" s="301" t="str">
        <f t="shared" si="39"/>
        <v>Hemi.</v>
      </c>
      <c r="DJ26" s="364" t="str">
        <f t="shared" si="40"/>
        <v>-</v>
      </c>
      <c r="DK26" s="306" t="str">
        <f t="shared" si="41"/>
        <v>Bilawal</v>
      </c>
      <c r="DL26" s="366" t="str">
        <f t="shared" si="42"/>
        <v>-</v>
      </c>
      <c r="DM26" s="308" t="str">
        <f t="shared" si="43"/>
        <v>-</v>
      </c>
      <c r="DN26" s="306" t="str">
        <f t="shared" si="44"/>
        <v>✔</v>
      </c>
      <c r="DO26" s="306" t="str">
        <f t="shared" si="45"/>
        <v>-</v>
      </c>
      <c r="DP26" s="367" t="str">
        <f t="shared" si="46"/>
        <v>-</v>
      </c>
      <c r="DQ26" s="310" t="str">
        <f t="shared" si="47"/>
        <v>-</v>
      </c>
      <c r="DR26" s="310" t="str">
        <f t="shared" si="48"/>
        <v>-</v>
      </c>
      <c r="DS26" s="310" t="str">
        <f t="shared" si="49"/>
        <v>-</v>
      </c>
      <c r="DT26" s="310" t="str">
        <f t="shared" si="50"/>
        <v>-</v>
      </c>
      <c r="DU26" s="370" t="str">
        <f t="shared" si="51"/>
        <v>-</v>
      </c>
      <c r="DV26" s="306" t="str">
        <f t="shared" si="52"/>
        <v>-</v>
      </c>
      <c r="DW26" s="306" t="str">
        <f t="shared" si="53"/>
        <v>-</v>
      </c>
      <c r="DX26" s="306" t="str">
        <f t="shared" si="54"/>
        <v>-</v>
      </c>
      <c r="DY26" s="306" t="str">
        <f t="shared" si="55"/>
        <v>-</v>
      </c>
      <c r="DZ26" s="306" t="str">
        <f t="shared" si="56"/>
        <v>-</v>
      </c>
      <c r="EA26" s="367" t="str">
        <f t="shared" si="57"/>
        <v>-</v>
      </c>
      <c r="EB26" s="310" t="str">
        <f>IFERROR(__xludf.DUMMYFUNCTION("IF(REGEXMATCH(AW26,AS26),""✔"",""-"")"),"✔")</f>
        <v>✔</v>
      </c>
      <c r="EC26" s="310" t="str">
        <f t="shared" si="58"/>
        <v>#REF!</v>
      </c>
      <c r="ED26" s="370" t="str">
        <f t="shared" si="59"/>
        <v>-</v>
      </c>
      <c r="EE26" s="340" t="str">
        <f t="shared" si="60"/>
        <v>S-R-G-m-P-D-N-S</v>
      </c>
      <c r="EF26" s="371" t="str">
        <f>IFERROR(__xludf.DUMMYFUNCTION("CONCATENATE(JOIN("""",HC26:HO26))"),"SrgmPdnS")</f>
        <v>SrgmPdnS</v>
      </c>
      <c r="EG26" s="372">
        <f t="shared" si="61"/>
        <v>1</v>
      </c>
      <c r="EH26" s="373" t="str">
        <f>IFERROR(__xludf.DUMMYFUNCTION("CONCATENATE(JOIN("""",JC26:JO26))"),"Ni, ")</f>
        <v>Ni, </v>
      </c>
      <c r="EI26" s="322">
        <f t="shared" si="62"/>
        <v>0</v>
      </c>
      <c r="EJ26" s="374" t="str">
        <f>IFERROR(__xludf.DUMMYFUNCTION("CONCATENATE(JOIN("""",KC26:KO26))"),"")</f>
        <v/>
      </c>
      <c r="EK26" s="325" t="str">
        <f t="shared" si="63"/>
        <v>S-R2-G3-M1-P-D2-N3-S</v>
      </c>
      <c r="EL26" s="326" t="str">
        <f t="shared" si="64"/>
        <v>1-2-3-4-5-6-7-8</v>
      </c>
      <c r="EM26" s="318" t="str">
        <f t="shared" si="65"/>
        <v>#REF!</v>
      </c>
      <c r="EN26" s="328" t="str">
        <f>IFERROR(__xludf.DUMMYFUNCTION("SUBSTITUTE(SUBSTITUTE(SUBSTITUTE(SUBSTITUTE(CONCATENATE(JOIN("" "",HP26:IB26)),""  "","" ""),""  "","" ""),""  "","" ""),""  "","" "")"),"o • o • o o • o • o • o o")</f>
        <v>o • o • o o • o • o • o o</v>
      </c>
      <c r="EO26" s="368" t="str">
        <f t="shared" si="66"/>
        <v>-</v>
      </c>
      <c r="EP26" s="339" t="str">
        <f t="shared" si="67"/>
        <v>-</v>
      </c>
      <c r="EQ26" s="339" t="str">
        <f t="shared" si="68"/>
        <v>Sa-Pa</v>
      </c>
      <c r="ER26" s="339" t="str">
        <f t="shared" si="69"/>
        <v>-</v>
      </c>
      <c r="ES26" s="340" t="str">
        <f t="shared" si="70"/>
        <v>-</v>
      </c>
      <c r="ET26" s="363"/>
      <c r="EU26" s="376" t="b">
        <f>IFERROR(__xludf.DUMMYFUNCTION("arrayformula(sum(--REGEXMATCH(""SRGMPDNS"",split(REGEXREPLACE(C26,""(.)"",""$1~""),""~""))))=len(C26)
"),FALSE)</f>
        <v>0</v>
      </c>
      <c r="EV26" s="290" t="b">
        <f>IFERROR(__xludf.DUMMYFUNCTION("arrayformula(sum(--REGEXMATCH(""SRGmPDNS"",split(REGEXREPLACE(C26,""(.)"",""$1~""),""~""))))=len(C26)"),TRUE)</f>
        <v>1</v>
      </c>
      <c r="EW26" s="290" t="b">
        <f>IFERROR(__xludf.DUMMYFUNCTION("arrayformula(sum(--REGEXMATCH(""SRGmPDnS"",split(REGEXREPLACE(C26,""(.)"",""$1~""),""~""))))=len(C26)"),FALSE)</f>
        <v>0</v>
      </c>
      <c r="EX26" s="290" t="b">
        <f>IFERROR(__xludf.DUMMYFUNCTION("arrayformula(sum(--REGEXMATCH(""SRgmPDnS"",split(REGEXREPLACE(C26,""(.)"",""$1~""),""~""))))=len(C26)"),FALSE)</f>
        <v>0</v>
      </c>
      <c r="EY26" s="290" t="b">
        <f>IFERROR(__xludf.DUMMYFUNCTION("arrayformula(sum(--REGEXMATCH(""SRgmPdnS"",split(REGEXREPLACE(C26,""(.)"",""$1~""),""~""))))=len(C26)"),FALSE)</f>
        <v>0</v>
      </c>
      <c r="EZ26" s="290" t="b">
        <f>IFERROR(__xludf.DUMMYFUNCTION("arrayformula(sum(--REGEXMATCH(""SrgmPdnS"",split(REGEXREPLACE(C26,""(.)"",""$1~""),""~""))))=len(C26)"),FALSE)</f>
        <v>0</v>
      </c>
      <c r="FA26" s="290" t="b">
        <f>IFERROR(__xludf.DUMMYFUNCTION("arrayformula(sum(--REGEXMATCH(""SrGmPdNS"",split(REGEXREPLACE(C26,""(.)"",""$1~""),""~""))))=len(C26)"),FALSE)</f>
        <v>0</v>
      </c>
      <c r="FB26" s="290" t="b">
        <f>IFERROR(__xludf.DUMMYFUNCTION("arrayformula(sum(--REGEXMATCH(""SrGMPDNS"",split(REGEXREPLACE(C26,""(.)"",""$1~""),""~""))))=len(C26)"),FALSE)</f>
        <v>0</v>
      </c>
      <c r="FC26" s="290" t="b">
        <f>IFERROR(__xludf.DUMMYFUNCTION("arrayformula(sum(--REGEXMATCH(""SrGMPdNS"",split(REGEXREPLACE(C26,""(.)"",""$1~""),""~""))))=len(C26)"),FALSE)</f>
        <v>0</v>
      </c>
      <c r="FD26" s="377" t="b">
        <f>IFERROR(__xludf.DUMMYFUNCTION("arrayformula(sum(--REGEXMATCH(""SrgMPdNS"",split(REGEXREPLACE(C26,""(.)"",""$1~""),""~""))))=len(C26)"),FALSE)</f>
        <v>0</v>
      </c>
      <c r="FE26" s="269" t="str">
        <f t="shared" si="71"/>
        <v>-</v>
      </c>
      <c r="FF26" s="269" t="str">
        <f t="shared" si="72"/>
        <v>xoxxoxoxoxx</v>
      </c>
      <c r="FG26" s="271" t="str">
        <f t="shared" si="73"/>
        <v>-</v>
      </c>
      <c r="FH26" s="269" t="str">
        <f t="shared" si="74"/>
        <v>xxoxoxoxxox</v>
      </c>
      <c r="FI26" s="271" t="str">
        <f t="shared" si="75"/>
        <v>xoxoxoxxoxo</v>
      </c>
      <c r="FJ26" s="271" t="str">
        <f t="shared" si="76"/>
        <v>-</v>
      </c>
      <c r="FK26" s="271" t="str">
        <f t="shared" si="77"/>
        <v>xoxoxxoxoxx</v>
      </c>
      <c r="FL26" s="271" t="str">
        <f t="shared" si="78"/>
        <v>-</v>
      </c>
      <c r="FM26" s="271" t="str">
        <f t="shared" si="79"/>
        <v>xoxxoxoxxox</v>
      </c>
      <c r="FN26" s="271" t="str">
        <f t="shared" si="80"/>
        <v>-</v>
      </c>
      <c r="FO26" s="274" t="str">
        <f t="shared" si="81"/>
        <v>xxoxoxxoxox</v>
      </c>
      <c r="FP26" s="234" t="str">
        <f t="shared" si="82"/>
        <v>|</v>
      </c>
      <c r="FQ26" s="236" t="str">
        <f t="shared" si="83"/>
        <v>-</v>
      </c>
      <c r="FR26" s="237" t="str">
        <f t="shared" si="84"/>
        <v>|</v>
      </c>
      <c r="FS26" s="236" t="str">
        <f t="shared" si="85"/>
        <v>-</v>
      </c>
      <c r="FT26" s="237" t="str">
        <f t="shared" si="86"/>
        <v>|</v>
      </c>
      <c r="FU26" s="236" t="str">
        <f t="shared" si="87"/>
        <v>|</v>
      </c>
      <c r="FV26" s="237" t="str">
        <f t="shared" si="88"/>
        <v>-</v>
      </c>
      <c r="FW26" s="236" t="str">
        <f t="shared" si="89"/>
        <v>|</v>
      </c>
      <c r="FX26" s="237" t="str">
        <f t="shared" si="90"/>
        <v>-</v>
      </c>
      <c r="FY26" s="236" t="str">
        <f t="shared" si="91"/>
        <v>|</v>
      </c>
      <c r="FZ26" s="237" t="str">
        <f t="shared" si="92"/>
        <v>-</v>
      </c>
      <c r="GA26" s="236" t="str">
        <f t="shared" si="93"/>
        <v>|</v>
      </c>
      <c r="GB26" s="238" t="str">
        <f t="shared" si="94"/>
        <v>|</v>
      </c>
      <c r="GC26" s="244" t="str">
        <f>IFERROR(__xludf.DUMMYFUNCTION("IF(REGEXMATCH(C26, ""S""), ""1"","""")"),"1")</f>
        <v>1</v>
      </c>
      <c r="GD26" s="245" t="str">
        <f>IFERROR(__xludf.DUMMYFUNCTION("IF(REGEXMATCH(C26, ""r""), ""b2"","""")"),"")</f>
        <v/>
      </c>
      <c r="GE26" s="246" t="str">
        <f>IFERROR(__xludf.DUMMYFUNCTION("IF(REGEXMATCH(C26, ""R""), ""2"","""")"),"2")</f>
        <v>2</v>
      </c>
      <c r="GF26" s="246" t="str">
        <f>IFERROR(__xludf.DUMMYFUNCTION("IF(REGEXMATCH(C26, ""g""), ""b3"","""")"),"")</f>
        <v/>
      </c>
      <c r="GG26" s="245" t="str">
        <f>IFERROR(__xludf.DUMMYFUNCTION("IF(REGEXMATCH(C26, ""G""), ""3"","""")"),"3")</f>
        <v>3</v>
      </c>
      <c r="GH26" s="245" t="str">
        <f>IFERROR(__xludf.DUMMYFUNCTION("IF(REGEXMATCH(C26, ""m""), ""4"","""")"),"4")</f>
        <v>4</v>
      </c>
      <c r="GI26" s="246" t="str">
        <f>IFERROR(__xludf.DUMMYFUNCTION("IF(REGEXMATCH(C26, ""M""), ""#4"","""")"),"")</f>
        <v/>
      </c>
      <c r="GJ26" s="245" t="str">
        <f>IFERROR(__xludf.DUMMYFUNCTION("IF(REGEXMATCH(C26, ""P""), ""5"","""")"),"5")</f>
        <v>5</v>
      </c>
      <c r="GK26" s="246" t="str">
        <f>IFERROR(__xludf.DUMMYFUNCTION("IF(REGEXMATCH(C26, ""d""), ""b6"","""")"),"")</f>
        <v/>
      </c>
      <c r="GL26" s="245" t="str">
        <f>IFERROR(__xludf.DUMMYFUNCTION("IF(REGEXMATCH(C26, ""D""), ""6"","""")"),"6")</f>
        <v>6</v>
      </c>
      <c r="GM26" s="245" t="str">
        <f>IFERROR(__xludf.DUMMYFUNCTION("IF(REGEXMATCH(C26, ""n""), ""b7"","""")"),"")</f>
        <v/>
      </c>
      <c r="GN26" s="246" t="str">
        <f>IFERROR(__xludf.DUMMYFUNCTION("IF(REGEXMATCH(C26, ""N""), ""7"","""")"),"7")</f>
        <v>7</v>
      </c>
      <c r="GO26" s="249" t="str">
        <f>IFERROR(__xludf.DUMMYFUNCTION("IF(REGEXMATCH(C26, ""S""), ""8"","""")"),"8")</f>
        <v>8</v>
      </c>
      <c r="GP26" s="244" t="str">
        <f>IFERROR(__xludf.DUMMYFUNCTION("IF(REGEXMATCH(C26, ""S""), ""S"","""")"),"S")</f>
        <v>S</v>
      </c>
      <c r="GQ26" s="294" t="str">
        <f>IFERROR(__xludf.DUMMYFUNCTION("IF(REGEXMATCH(C26, ""r""), ""R1"","""")"),"")</f>
        <v/>
      </c>
      <c r="GR26" s="295" t="str">
        <f>IFERROR(__xludf.DUMMYFUNCTION("IF(REGEXMATCH(C26, ""R""), ""R2"","""")"),"R2")</f>
        <v>R2</v>
      </c>
      <c r="GS26" s="295" t="str">
        <f>IFERROR(__xludf.DUMMYFUNCTION("IF(REGEXMATCH(C26, ""g""), ""G2"","""")"),"")</f>
        <v/>
      </c>
      <c r="GT26" s="294" t="str">
        <f>IFERROR(__xludf.DUMMYFUNCTION("IF(REGEXMATCH(C26, ""G""), ""G3"","""")"),"G3")</f>
        <v>G3</v>
      </c>
      <c r="GU26" s="294" t="str">
        <f>IFERROR(__xludf.DUMMYFUNCTION("IF(REGEXMATCH(C26, ""m""), ""M1"","""")"),"M1")</f>
        <v>M1</v>
      </c>
      <c r="GV26" s="295" t="str">
        <f>IFERROR(__xludf.DUMMYFUNCTION("IF(REGEXMATCH(C26, ""M""), ""M2"","""")"),"")</f>
        <v/>
      </c>
      <c r="GW26" s="294" t="str">
        <f>IFERROR(__xludf.DUMMYFUNCTION("IF(REGEXMATCH(C26, ""P""), ""P"","""")"),"P")</f>
        <v>P</v>
      </c>
      <c r="GX26" s="295" t="str">
        <f>IFERROR(__xludf.DUMMYFUNCTION("IF(REGEXMATCH(C26, ""d""), ""D1"","""")"),"")</f>
        <v/>
      </c>
      <c r="GY26" s="294" t="str">
        <f>IFERROR(__xludf.DUMMYFUNCTION("IF(REGEXMATCH(C26, ""D""), ""D2"","""")"),"D2")</f>
        <v>D2</v>
      </c>
      <c r="GZ26" s="294" t="str">
        <f>IFERROR(__xludf.DUMMYFUNCTION("IF(REGEXMATCH(C26, ""n""), ""N2"","""")"),"")</f>
        <v/>
      </c>
      <c r="HA26" s="295" t="str">
        <f>IFERROR(__xludf.DUMMYFUNCTION("IF(REGEXMATCH(C26, ""N""), ""N3"","""")"),"N3")</f>
        <v>N3</v>
      </c>
      <c r="HB26" s="249" t="str">
        <f>IFERROR(__xludf.DUMMYFUNCTION("IF(REGEXMATCH(C26, ""S""), ""S"","""")"),"S")</f>
        <v>S</v>
      </c>
      <c r="HC26" s="331" t="str">
        <f t="shared" si="95"/>
        <v>S</v>
      </c>
      <c r="HD26" s="332" t="str">
        <f t="shared" si="96"/>
        <v>r</v>
      </c>
      <c r="HE26" s="332" t="str">
        <f t="shared" si="97"/>
        <v/>
      </c>
      <c r="HF26" s="332" t="str">
        <f t="shared" si="98"/>
        <v>g</v>
      </c>
      <c r="HG26" s="332" t="str">
        <f t="shared" si="99"/>
        <v/>
      </c>
      <c r="HH26" s="332" t="str">
        <f t="shared" si="100"/>
        <v>m</v>
      </c>
      <c r="HI26" s="332" t="str">
        <f t="shared" si="101"/>
        <v/>
      </c>
      <c r="HJ26" s="332" t="str">
        <f t="shared" si="102"/>
        <v>P</v>
      </c>
      <c r="HK26" s="332" t="str">
        <f t="shared" si="103"/>
        <v>d</v>
      </c>
      <c r="HL26" s="332" t="str">
        <f t="shared" si="104"/>
        <v/>
      </c>
      <c r="HM26" s="332" t="str">
        <f t="shared" si="105"/>
        <v>n</v>
      </c>
      <c r="HN26" s="332" t="str">
        <f t="shared" si="106"/>
        <v/>
      </c>
      <c r="HO26" s="343" t="str">
        <f t="shared" si="107"/>
        <v>S</v>
      </c>
      <c r="HP26" s="331" t="str">
        <f t="shared" si="108"/>
        <v>o</v>
      </c>
      <c r="HQ26" s="332" t="str">
        <f t="shared" si="109"/>
        <v>•</v>
      </c>
      <c r="HR26" s="332" t="str">
        <f t="shared" si="110"/>
        <v>o</v>
      </c>
      <c r="HS26" s="332" t="str">
        <f t="shared" si="111"/>
        <v>•</v>
      </c>
      <c r="HT26" s="332" t="str">
        <f t="shared" si="112"/>
        <v>o</v>
      </c>
      <c r="HU26" s="332" t="str">
        <f t="shared" si="113"/>
        <v>o</v>
      </c>
      <c r="HV26" s="332" t="str">
        <f t="shared" si="114"/>
        <v>•</v>
      </c>
      <c r="HW26" s="332" t="str">
        <f t="shared" si="115"/>
        <v>o</v>
      </c>
      <c r="HX26" s="332" t="str">
        <f t="shared" si="116"/>
        <v>•</v>
      </c>
      <c r="HY26" s="332" t="str">
        <f t="shared" si="117"/>
        <v>o</v>
      </c>
      <c r="HZ26" s="332" t="str">
        <f t="shared" si="118"/>
        <v>•</v>
      </c>
      <c r="IA26" s="332" t="str">
        <f t="shared" si="119"/>
        <v>o</v>
      </c>
      <c r="IB26" s="338" t="str">
        <f t="shared" si="120"/>
        <v>o</v>
      </c>
      <c r="IC26" s="331" t="str">
        <f t="shared" si="121"/>
        <v>•</v>
      </c>
      <c r="ID26" s="332" t="str">
        <f t="shared" si="122"/>
        <v>o</v>
      </c>
      <c r="IE26" s="332" t="str">
        <f t="shared" si="123"/>
        <v>•</v>
      </c>
      <c r="IF26" s="332" t="str">
        <f t="shared" si="124"/>
        <v>o</v>
      </c>
      <c r="IG26" s="332" t="str">
        <f t="shared" si="125"/>
        <v>•</v>
      </c>
      <c r="IH26" s="332" t="str">
        <f t="shared" si="126"/>
        <v>•</v>
      </c>
      <c r="II26" s="332" t="str">
        <f t="shared" si="127"/>
        <v>o</v>
      </c>
      <c r="IJ26" s="332" t="str">
        <f t="shared" si="128"/>
        <v>•</v>
      </c>
      <c r="IK26" s="332" t="str">
        <f t="shared" si="129"/>
        <v>o</v>
      </c>
      <c r="IL26" s="332" t="str">
        <f t="shared" si="130"/>
        <v>•</v>
      </c>
      <c r="IM26" s="332" t="str">
        <f t="shared" si="131"/>
        <v>o</v>
      </c>
      <c r="IN26" s="332" t="str">
        <f t="shared" si="132"/>
        <v>•</v>
      </c>
      <c r="IO26" s="338" t="str">
        <f t="shared" si="133"/>
        <v>•</v>
      </c>
      <c r="IP26" s="346" t="b">
        <f t="shared" si="134"/>
        <v>0</v>
      </c>
      <c r="IQ26" s="347" t="b">
        <f t="shared" si="135"/>
        <v>0</v>
      </c>
      <c r="IR26" s="347" t="b">
        <f t="shared" si="136"/>
        <v>0</v>
      </c>
      <c r="IS26" s="347" t="b">
        <f t="shared" si="137"/>
        <v>0</v>
      </c>
      <c r="IT26" s="347" t="b">
        <f t="shared" si="138"/>
        <v>0</v>
      </c>
      <c r="IU26" s="347" t="b">
        <f t="shared" si="139"/>
        <v>0</v>
      </c>
      <c r="IV26" s="347" t="b">
        <f t="shared" si="140"/>
        <v>0</v>
      </c>
      <c r="IW26" s="347" t="b">
        <f t="shared" si="141"/>
        <v>0</v>
      </c>
      <c r="IX26" s="347" t="b">
        <f t="shared" si="142"/>
        <v>0</v>
      </c>
      <c r="IY26" s="347" t="b">
        <f t="shared" si="143"/>
        <v>0</v>
      </c>
      <c r="IZ26" s="347" t="b">
        <f t="shared" si="144"/>
        <v>0</v>
      </c>
      <c r="JA26" s="347" t="b">
        <f t="shared" si="145"/>
        <v>1</v>
      </c>
      <c r="JB26" s="353" t="b">
        <f t="shared" si="146"/>
        <v>0</v>
      </c>
      <c r="JC26" s="354" t="str">
        <f t="shared" si="147"/>
        <v/>
      </c>
      <c r="JD26" s="355" t="str">
        <f t="shared" si="148"/>
        <v/>
      </c>
      <c r="JE26" s="355" t="str">
        <f t="shared" si="149"/>
        <v/>
      </c>
      <c r="JF26" s="355" t="str">
        <f t="shared" si="150"/>
        <v/>
      </c>
      <c r="JG26" s="355" t="str">
        <f t="shared" si="151"/>
        <v/>
      </c>
      <c r="JH26" s="355" t="str">
        <f t="shared" si="152"/>
        <v/>
      </c>
      <c r="JI26" s="355" t="str">
        <f t="shared" si="153"/>
        <v/>
      </c>
      <c r="JJ26" s="355" t="str">
        <f t="shared" si="154"/>
        <v/>
      </c>
      <c r="JK26" s="355" t="str">
        <f t="shared" si="155"/>
        <v/>
      </c>
      <c r="JL26" s="355" t="str">
        <f t="shared" si="156"/>
        <v/>
      </c>
      <c r="JM26" s="355" t="str">
        <f t="shared" si="157"/>
        <v/>
      </c>
      <c r="JN26" s="355" t="str">
        <f t="shared" si="158"/>
        <v>Ni, </v>
      </c>
      <c r="JO26" s="359" t="str">
        <f t="shared" si="159"/>
        <v/>
      </c>
      <c r="JP26" s="346" t="b">
        <f t="shared" si="160"/>
        <v>0</v>
      </c>
      <c r="JQ26" s="347" t="b">
        <f t="shared" si="161"/>
        <v>0</v>
      </c>
      <c r="JR26" s="347" t="b">
        <f t="shared" si="162"/>
        <v>0</v>
      </c>
      <c r="JS26" s="347" t="b">
        <f t="shared" si="163"/>
        <v>0</v>
      </c>
      <c r="JT26" s="347" t="b">
        <f t="shared" si="164"/>
        <v>0</v>
      </c>
      <c r="JU26" s="347" t="b">
        <f t="shared" si="165"/>
        <v>0</v>
      </c>
      <c r="JV26" s="347" t="b">
        <f t="shared" si="166"/>
        <v>0</v>
      </c>
      <c r="JW26" s="347" t="b">
        <f t="shared" si="167"/>
        <v>0</v>
      </c>
      <c r="JX26" s="347" t="b">
        <f t="shared" si="168"/>
        <v>0</v>
      </c>
      <c r="JY26" s="347" t="b">
        <f t="shared" si="169"/>
        <v>0</v>
      </c>
      <c r="JZ26" s="347" t="b">
        <f t="shared" si="170"/>
        <v>0</v>
      </c>
      <c r="KA26" s="347" t="b">
        <f t="shared" si="171"/>
        <v>0</v>
      </c>
      <c r="KB26" s="365" t="b">
        <f t="shared" si="172"/>
        <v>0</v>
      </c>
      <c r="KC26" s="354" t="str">
        <f t="shared" si="173"/>
        <v/>
      </c>
      <c r="KD26" s="355" t="str">
        <f t="shared" si="174"/>
        <v/>
      </c>
      <c r="KE26" s="355" t="str">
        <f t="shared" si="175"/>
        <v/>
      </c>
      <c r="KF26" s="355" t="str">
        <f t="shared" si="176"/>
        <v/>
      </c>
      <c r="KG26" s="355" t="str">
        <f t="shared" si="177"/>
        <v/>
      </c>
      <c r="KH26" s="355" t="str">
        <f t="shared" si="178"/>
        <v/>
      </c>
      <c r="KI26" s="355" t="str">
        <f t="shared" si="179"/>
        <v/>
      </c>
      <c r="KJ26" s="355" t="str">
        <f t="shared" si="180"/>
        <v/>
      </c>
      <c r="KK26" s="355" t="str">
        <f t="shared" si="181"/>
        <v/>
      </c>
      <c r="KL26" s="355" t="str">
        <f t="shared" si="182"/>
        <v/>
      </c>
      <c r="KM26" s="355" t="str">
        <f t="shared" si="183"/>
        <v/>
      </c>
      <c r="KN26" s="355" t="str">
        <f t="shared" si="184"/>
        <v/>
      </c>
      <c r="KO26" s="359"/>
      <c r="KP26" s="378"/>
      <c r="KQ26" s="379" t="s">
        <v>9</v>
      </c>
      <c r="KR26" s="380" t="s">
        <v>9</v>
      </c>
      <c r="KS26" s="381" t="s">
        <v>9</v>
      </c>
      <c r="KT26" s="382">
        <f t="shared" si="186"/>
        <v>0</v>
      </c>
      <c r="KU26" s="383">
        <f t="shared" si="187"/>
        <v>0</v>
      </c>
      <c r="KV26" s="381" t="str">
        <f t="shared" si="205"/>
        <v>S</v>
      </c>
      <c r="KW26" s="382">
        <f t="shared" si="189"/>
        <v>0</v>
      </c>
      <c r="KX26" s="384">
        <f t="shared" si="190"/>
        <v>0</v>
      </c>
      <c r="KY26" s="382">
        <f t="shared" ref="KY26:KZ26" si="244">KW26-KT26</f>
        <v>0</v>
      </c>
      <c r="KZ26" s="369">
        <f t="shared" si="244"/>
        <v>0</v>
      </c>
      <c r="LA26" s="385" t="str">
        <f t="shared" si="192"/>
        <v>✔</v>
      </c>
      <c r="LB26" s="340" t="str">
        <f>IFERROR(__xludf.DUMMYFUNCTION("JOIN("""",ArrayFormula(MID(KS26,LEN(KS26)-SEQUENCE(1,LEN(KS26))+1,1)))"),"S")</f>
        <v>S</v>
      </c>
      <c r="LC26" s="373" t="str">
        <f>IFERROR(__xludf.DUMMYFUNCTION("JOIN("""",ArrayFormula(MID(KV26,LEN(KV26)-SEQUENCE(1,LEN(KV26))+1,1)))"),"S")</f>
        <v>S</v>
      </c>
      <c r="LD26" s="373" t="str">
        <f t="shared" si="193"/>
        <v>S</v>
      </c>
      <c r="LE26" s="339" t="str">
        <f t="shared" si="194"/>
        <v>S</v>
      </c>
      <c r="LF26" s="386" t="str">
        <f>IFERROR(__xludf.DUMMYFUNCTION("SUBSTITUTE(SUBSTITUTE(CONCATENATE(JOIN("""",LH26:LT26)),""1"",""""),""2"","""")"),"SS")</f>
        <v>SS</v>
      </c>
      <c r="LG26" s="369" t="str">
        <f t="shared" si="195"/>
        <v>-</v>
      </c>
      <c r="LH26" s="387" t="str">
        <f>IFERROR(__xludf.DUMMYFUNCTION("IF(REGEXMATCH(LD26, ""S""), ""S"",IF(REGEXMATCH(LE26, ""S""), ""S"",""""))"),"S")</f>
        <v>S</v>
      </c>
      <c r="LI26" s="299" t="str">
        <f>IFERROR(__xludf.DUMMYFUNCTION("IF(REGEXMATCH(LD26, ""r""), ""r1"",IF(REGEXMATCH(LE26, ""r""), ""r2"",""""))"),"")</f>
        <v/>
      </c>
      <c r="LJ26" s="299" t="str">
        <f>IFERROR(__xludf.DUMMYFUNCTION("IF(REGEXMATCH(LD26, ""R""), ""R1"",IF(REGEXMATCH(LE26, ""R""), ""R2"",""""))"),"")</f>
        <v/>
      </c>
      <c r="LK26" s="299" t="str">
        <f>IFERROR(__xludf.DUMMYFUNCTION("IF(REGEXMATCH(LD26, ""g""), ""g1"",IF(REGEXMATCH(LE26, ""g""), ""g2"",""""))"),"")</f>
        <v/>
      </c>
      <c r="LL26" s="299" t="str">
        <f>IFERROR(__xludf.DUMMYFUNCTION("IF(REGEXMATCH(LD26, ""G""), ""G1"",IF(REGEXMATCH(LE26, ""G""), ""G2"",""""))"),"")</f>
        <v/>
      </c>
      <c r="LM26" s="299" t="str">
        <f>IFERROR(__xludf.DUMMYFUNCTION("IF(REGEXMATCH(LD26, ""m""), ""m1"",IF(REGEXMATCH(LE26, ""m""), ""m2"",""""))"),"")</f>
        <v/>
      </c>
      <c r="LN26" s="299" t="str">
        <f>IFERROR(__xludf.DUMMYFUNCTION("IF(REGEXMATCH(LD26, ""M""), ""M1"",IF(REGEXMATCH(LE26, ""M""), ""M2"",""""))"),"")</f>
        <v/>
      </c>
      <c r="LO26" s="299" t="str">
        <f>IFERROR(__xludf.DUMMYFUNCTION("IF(REGEXMATCH(LD26, ""P""), ""P1"",IF(REGEXMATCH(LE26, ""P""), ""P2"",""""))"),"")</f>
        <v/>
      </c>
      <c r="LP26" s="299" t="str">
        <f>IFERROR(__xludf.DUMMYFUNCTION("IF(REGEXMATCH(LD26, ""d""), ""d1"",IF(REGEXMATCH(LE26, ""d""), ""d2"",""""))"),"")</f>
        <v/>
      </c>
      <c r="LQ26" s="299" t="str">
        <f>IFERROR(__xludf.DUMMYFUNCTION("IF(REGEXMATCH(LD26, ""D""), ""D1"",IF(REGEXMATCH(LE26, ""D""), ""D2"",""""))"),"")</f>
        <v/>
      </c>
      <c r="LR26" s="299" t="str">
        <f>IFERROR(__xludf.DUMMYFUNCTION("IF(REGEXMATCH(LD26, ""n""), ""n1"",IF(REGEXMATCH(LE26, ""n""), ""n2"",""""))"),"")</f>
        <v/>
      </c>
      <c r="LS26" s="299" t="str">
        <f>IFERROR(__xludf.DUMMYFUNCTION("IF(REGEXMATCH(LD26, ""N""), ""N1"",IF(REGEXMATCH(LE26, ""N""), ""N2"",""""))"),"")</f>
        <v/>
      </c>
      <c r="LT26" s="388" t="str">
        <f>IFERROR(__xludf.DUMMYFUNCTION("IF(REGEXMATCH(LD26, ""S""), ""S"",IF(REGEXMATCH(LE26, ""S""), ""S"",""""))"),"S")</f>
        <v>S</v>
      </c>
      <c r="LU26" s="389">
        <f t="shared" si="196"/>
        <v>1</v>
      </c>
      <c r="LV26" s="378"/>
      <c r="LW26" s="369"/>
      <c r="LX26" s="369"/>
    </row>
    <row r="27" ht="20.25" customHeight="1">
      <c r="A27" s="298" t="s">
        <v>557</v>
      </c>
      <c r="B27" s="222" t="s">
        <v>496</v>
      </c>
      <c r="C27" s="233" t="str">
        <f t="shared" si="7"/>
        <v>SrRGmPDNS</v>
      </c>
      <c r="D27" s="234" t="str">
        <f>IFERROR(__xludf.DUMMYFUNCTION("IF(REGEXMATCH(C27, ""S""), ""S"","""")"),"S")</f>
        <v>S</v>
      </c>
      <c r="E27" s="236" t="str">
        <f>IFERROR(__xludf.DUMMYFUNCTION("IF(REGEXMATCH(C27, ""r""), ""r"","""")"),"r")</f>
        <v>r</v>
      </c>
      <c r="F27" s="237" t="str">
        <f>IFERROR(__xludf.DUMMYFUNCTION("IF(REGEXMATCH(C27, ""R""), ""R"","""")"),"R")</f>
        <v>R</v>
      </c>
      <c r="G27" s="237" t="str">
        <f>IFERROR(__xludf.DUMMYFUNCTION("IF(REGEXMATCH(C27, ""g""), ""g"","""")"),"")</f>
        <v/>
      </c>
      <c r="H27" s="236" t="str">
        <f>IFERROR(__xludf.DUMMYFUNCTION("IF(REGEXMATCH(C27, ""G""), ""G"","""")"),"G")</f>
        <v>G</v>
      </c>
      <c r="I27" s="236" t="str">
        <f>IFERROR(__xludf.DUMMYFUNCTION("IF(REGEXMATCH(C27, ""m""), ""m"","""")"),"m")</f>
        <v>m</v>
      </c>
      <c r="J27" s="237" t="str">
        <f>IFERROR(__xludf.DUMMYFUNCTION("IF(REGEXMATCH(C27, ""M""), ""M"","""")"),"")</f>
        <v/>
      </c>
      <c r="K27" s="236" t="str">
        <f>IFERROR(__xludf.DUMMYFUNCTION("IF(REGEXMATCH(C27, ""P""), ""P"","""")"),"P")</f>
        <v>P</v>
      </c>
      <c r="L27" s="237" t="str">
        <f>IFERROR(__xludf.DUMMYFUNCTION("IF(REGEXMATCH(C27, ""d""), ""d"","""")"),"")</f>
        <v/>
      </c>
      <c r="M27" s="236" t="str">
        <f>IFERROR(__xludf.DUMMYFUNCTION("IF(REGEXMATCH(C27, ""D""), ""D"","""")"),"D")</f>
        <v>D</v>
      </c>
      <c r="N27" s="236" t="str">
        <f>IFERROR(__xludf.DUMMYFUNCTION("IF(REGEXMATCH(C27, ""n""), ""n"","""")"),"")</f>
        <v/>
      </c>
      <c r="O27" s="237" t="str">
        <f>IFERROR(__xludf.DUMMYFUNCTION("IF(REGEXMATCH(C27, ""N""), ""N"","""")"),"N")</f>
        <v>N</v>
      </c>
      <c r="P27" s="238" t="str">
        <f>IFERROR(__xludf.DUMMYFUNCTION("IF(REGEXMATCH(C27, ""S""), ""S"","""")"),"S")</f>
        <v>S</v>
      </c>
      <c r="Q27" s="239" t="str">
        <f>IFERROR(__xludf.DUMMYFUNCTION("SUBSTITUTE(CONCATENATE(JOIN(""-"",D27:J27)),""-"","""")"),"SrRGm")</f>
        <v>SrRGm</v>
      </c>
      <c r="R27" s="229" t="str">
        <f>IFERROR(__xludf.DUMMYFUNCTION("SUBSTITUTE(CONCATENATE(JOIN(""-"",K27:P27)),""-"","""")"),"PDNS")</f>
        <v>PDNS</v>
      </c>
      <c r="S27" s="282" t="str">
        <f t="shared" si="8"/>
        <v>S-R-G-M</v>
      </c>
      <c r="T27" s="282" t="str">
        <f t="shared" si="9"/>
        <v>P-D-N-S</v>
      </c>
      <c r="U27" s="237" t="str">
        <f>IFERROR(__xludf.DUMMYFUNCTION("SUBSTITUTE(JOIN(""-"",S27,T27),""--"",""-"")"),"S-R-G-M-P-D-N-S")</f>
        <v>S-R-G-M-P-D-N-S</v>
      </c>
      <c r="V27" s="309" t="str">
        <f t="shared" si="10"/>
        <v>rRGmDN</v>
      </c>
      <c r="W27" s="244" t="str">
        <f>IFERROR(__xludf.DUMMYFUNCTION("IF(REGEXMATCH(C27, ""S""), ""0"","""")"),"0")</f>
        <v>0</v>
      </c>
      <c r="X27" s="245" t="str">
        <f>IFERROR(__xludf.DUMMYFUNCTION("IF(REGEXMATCH(C27, ""r""), ""1"","""")"),"1")</f>
        <v>1</v>
      </c>
      <c r="Y27" s="246" t="str">
        <f>IFERROR(__xludf.DUMMYFUNCTION("IF(REGEXMATCH(C27, ""R""), ""2"","""")"),"2")</f>
        <v>2</v>
      </c>
      <c r="Z27" s="246" t="str">
        <f>IFERROR(__xludf.DUMMYFUNCTION("IF(REGEXMATCH(C27, ""g""), ""3"","""")"),"")</f>
        <v/>
      </c>
      <c r="AA27" s="245" t="str">
        <f>IFERROR(__xludf.DUMMYFUNCTION("IF(REGEXMATCH(C27, ""G""), ""4"","""")"),"4")</f>
        <v>4</v>
      </c>
      <c r="AB27" s="245" t="str">
        <f>IFERROR(__xludf.DUMMYFUNCTION("IF(REGEXMATCH(C27, ""m""), ""5"","""")"),"5")</f>
        <v>5</v>
      </c>
      <c r="AC27" s="246" t="str">
        <f>IFERROR(__xludf.DUMMYFUNCTION("IF(REGEXMATCH(C27, ""M""), ""6"","""")"),"")</f>
        <v/>
      </c>
      <c r="AD27" s="245" t="str">
        <f>IFERROR(__xludf.DUMMYFUNCTION("IF(REGEXMATCH(C27, ""P""), ""7"","""")"),"7")</f>
        <v>7</v>
      </c>
      <c r="AE27" s="246" t="str">
        <f>IFERROR(__xludf.DUMMYFUNCTION("IF(REGEXMATCH(C27, ""d""), ""8"","""")"),"")</f>
        <v/>
      </c>
      <c r="AF27" s="245" t="str">
        <f>IFERROR(__xludf.DUMMYFUNCTION("IF(REGEXMATCH(C27, ""D""), ""9"","""")"),"9")</f>
        <v>9</v>
      </c>
      <c r="AG27" s="245" t="str">
        <f>IFERROR(__xludf.DUMMYFUNCTION("IF(REGEXMATCH(C27, ""n""), ""10"","""")"),"")</f>
        <v/>
      </c>
      <c r="AH27" s="246" t="str">
        <f>IFERROR(__xludf.DUMMYFUNCTION("IF(REGEXMATCH(C27, ""N""), ""11"","""")"),"11")</f>
        <v>11</v>
      </c>
      <c r="AI27" s="249" t="str">
        <f>IFERROR(__xludf.DUMMYFUNCTION("IF(REGEXMATCH(C27, ""S""), ""0"","""")"),"0")</f>
        <v>0</v>
      </c>
      <c r="AJ27" s="313" t="str">
        <f t="shared" si="11"/>
        <v>-</v>
      </c>
      <c r="AK27" s="313" t="str">
        <f t="shared" si="12"/>
        <v>T</v>
      </c>
      <c r="AL27" s="313" t="str">
        <f t="shared" si="13"/>
        <v>-</v>
      </c>
      <c r="AM27" s="313" t="str">
        <f t="shared" si="14"/>
        <v>-</v>
      </c>
      <c r="AN27" s="313" t="str">
        <f t="shared" si="15"/>
        <v>-</v>
      </c>
      <c r="AO27" s="314" t="str">
        <f t="shared" si="16"/>
        <v>T</v>
      </c>
      <c r="AP27" s="316">
        <f t="shared" si="17"/>
        <v>2</v>
      </c>
      <c r="AQ27" s="319" t="str">
        <f t="shared" si="18"/>
        <v>#REF!</v>
      </c>
      <c r="AR27" s="320">
        <f t="shared" si="19"/>
        <v>0</v>
      </c>
      <c r="AS27" s="250" t="str">
        <f>IFERROR(__xludf.DUMMYFUNCTION("SUBSTITUTE(SUBSTITUTE(CONCATENATE(JOIN("""",FP27:GA27)),""|"",""x""),""-"",""o"")"),"xxxoxxoxoxox")</f>
        <v>xxxoxxoxoxox</v>
      </c>
      <c r="AT27" s="323" t="str">
        <f>IFERROR(__xludf.DUMMYFUNCTION("JOIN("""",AS27,AS27)"),"xxxoxxoxoxoxxxxoxxoxoxox")</f>
        <v>xxxoxxoxoxoxxxxoxxoxoxox</v>
      </c>
      <c r="AU27" s="256" t="str">
        <f>IFERROR(__xludf.DUMMYFUNCTION("JOIN("""",ArrayFormula(MID(AS27,LEN(AS27)-SEQUENCE(1,LEN(AS27))+1,1)))"),"xoxoxoxxoxxx")</f>
        <v>xoxoxoxxoxxx</v>
      </c>
      <c r="AV27" s="256" t="str">
        <f>IFERROR(__xludf.DUMMYFUNCTION("LEFT(CONCATENATE(""x"",JOIN("""",ArrayFormula(MID(AS27,LEN(AS27)-SEQUENCE(1,LEN(AS27))+1,1)))),12)"),"xxoxoxoxxoxx")</f>
        <v>xxoxoxoxxoxx</v>
      </c>
      <c r="AW27" s="327" t="str">
        <f>IFERROR(__xludf.DUMMYFUNCTION("JOIN("""",AU27,AU27)"),"xoxoxoxxoxxxxoxoxoxxoxxx")</f>
        <v>xoxoxoxxoxxxxoxoxoxxoxxx</v>
      </c>
      <c r="AX27" s="239" t="str">
        <f>IFERROR(__xludf.DUMMYFUNCTION("IF(REGEXMATCH(AW27,AS27),""✔"",""-"")"),"-")</f>
        <v>-</v>
      </c>
      <c r="AY27" s="330" t="str">
        <f t="shared" si="20"/>
        <v>-</v>
      </c>
      <c r="AZ27" s="260" t="str">
        <f t="shared" si="21"/>
        <v>#REF!</v>
      </c>
      <c r="BA27" s="333" t="str">
        <f t="shared" si="22"/>
        <v>xxxoxxo</v>
      </c>
      <c r="BB27" s="334" t="str">
        <f t="shared" si="23"/>
        <v>xoxoxx</v>
      </c>
      <c r="BC27" s="335" t="str">
        <f t="shared" si="236"/>
        <v>-</v>
      </c>
      <c r="BD27" s="336" t="str">
        <f t="shared" si="25"/>
        <v>Asa Bhairav: 'xxxoxxo' + 'xoxoxx'</v>
      </c>
      <c r="BE27" s="337">
        <f>IFERROR(__xludf.DUMMYFUNCTION("COUNTUNIQUE(FILTER(AT:AT,REGEXMATCH(AT:AT,AS27)))-1"),3.0)</f>
        <v>3</v>
      </c>
      <c r="BF27" s="261" t="str">
        <f>IFERROR(__xludf.DUMMYFUNCTION("IF(BI27=0,""(n/a)"",IF(BJ27=2,""(PAIR)"",IF(REGEXMATCH(AT27,""xoxoxxoxoxox""),""Bilawal"",IF(REGEXMATCH(AT27,""xoxoxooxoxoo""),""Bhupali"",IF(REGEXMATCH(AT27,""xoxoxxoxxoxo""),""Charukeshi"",IF(REGEXMATCH(AT27,""xoxoooxxoxxo""),""Kameshwari"",IF(REGEXMATC"&amp;"H(AT27,""xoxoxooxoxox""),""Shankara"",IF(REGEXMATCH(AT27,""xxooxoxxxoox""),""Basant"",IF(REGEXMATCH(AT27,""xoxoxxxxoxox""),""Bihag"",IF(REGEXMATCH(AT27,""xoxxxxoxoxxx""),""Pilu"",IF(REGEXMATCH(AT27,""xoxxoxoxxoox""),""Kirwani"",IF(REGEXMATCH(AT27,""xoxxox"&amp;"oxoxxx""),""Mk.Malhar"",IF(REGEXMATCH(AT27,""xxooxxoxxoox""),""Bhairav"",IF(REGEXMATCH(AT27,""xxoxooxxxoox""),""Todi"",IF(REGEXMATCH(AT27,""xxooxoxooxox""),""Marwa"",IF(REGEXMATCH(AT27,""xxoooxoxxooo""),""Gunkali"",IF(REGEXMATCH(AT27,""xoxoxxoxxoox""),""N"&amp;"at Bhairav"",IF(REGEXMATCH(AT27,""xoxxoooxoxoo""),""Shivranjani"",IF(REGEXMATCH(AT27,""xooxxxoxooxo""),""Jog"",IF(REGEXMATCH(AT27,""xxooxoxoxoox""),""Hemshri"",IF(REGEXMATCH(AT27,""xoooxooxoxxo""),""Kalavati"",IF(REGEXMATCH(AT27,""xxoxoxxoxoox""),""Kedar"&amp;""",IF(REGEXMATCH(AT27,""xoxxxxoxooxx""),""Gara"",IF(REGEXMATCH(AT27,""xooxoxooxoox""),""Chandrakauns"",IF(REGEXMATCH(AT27,""xoxxxxoxxxox""),""Mand"",IF(REGEXMATCH(AT27,""xoxxxxoxoxox""),""Hanskinkini"",IF(REGEXMATCH(AT27,""xxooxxoxooxo""),""Lilavati"",IF("&amp;"REGEXMATCH(AT27,""xooxoxoooxox""),""Rajeshwari"",IF(REGEXMATCH(AT27,""xoooxxoxoxxx""),""Khokar"",IF(REGEXMATCH(AT27,""xxooxoxxxxox""),""Maligoura"",""-""))))))))))))))))))))))))))))))"),"Mk.Malhar")</f>
        <v>Mk.Malhar</v>
      </c>
      <c r="BG27" s="239" t="str">
        <f t="shared" si="26"/>
        <v>#REF!</v>
      </c>
      <c r="BH27" s="239">
        <f>IFERROR(__xludf.DUMMYFUNCTION("COUNTUNIQUE(FE27:FO27)-1"),7.0)</f>
        <v>7</v>
      </c>
      <c r="BI27" s="239">
        <f>IFERROR(__xludf.DUMMYFUNCTION("COUNTUNIQUE(FILTER(AT:AT,REGEXMATCH(AT:AT,AS27)))-1"),3.0)</f>
        <v>3</v>
      </c>
      <c r="BJ27" s="239">
        <f>IFERROR(__xludf.DUMMYFUNCTION("COUNTA(FILTER(AT:AT,REGEXMATCH(AT:AT,AS27)))"),16.0)</f>
        <v>16</v>
      </c>
      <c r="BK27" s="341">
        <f>IFERROR(__xludf.DUMMYFUNCTION("COUNTA(FILTER(AT:AT,REGEXMATCH(AT:AT,AS27)))-AR27"),16.0)</f>
        <v>16</v>
      </c>
      <c r="BL27" s="276" t="str">
        <f>IFERROR(__xludf.DUMMYFUNCTION("IF(AS27=""oooooooooooo"",""-"",IF(REGEXMATCH(AT27,""xx""), ""Hemi."", ""Anhemi.""))"),"Hemi.")</f>
        <v>Hemi.</v>
      </c>
      <c r="BM27" s="282" t="str">
        <f>IFERROR(__xludf.DUMMYFUNCTION("IF(AS27=""oooooooooooo"",""-"",IF(REGEXMATCH(AT27,""xxx""), ""Cohem."", ""-""))"),"Cohem.")</f>
        <v>Cohem.</v>
      </c>
      <c r="BN27" s="282" t="str">
        <f>IFERROR(__xludf.DUMMYFUNCTION("IF(AS27=""oooooooooooo"",""-"",IF(REGEXMATCH(AT27,""xxxx""), ""Co-Co."", ""-""))"),"Co-Co.")</f>
        <v>Co-Co.</v>
      </c>
      <c r="BO27" s="342" t="str">
        <f>IFERROR(__xludf.DUMMYFUNCTION("IF(AS27=""oooooooooooo"",""-"",IF(REGEXMATCH(AT27,""xxxxx""), ""CCC."", ""-""))"),"-")</f>
        <v>-</v>
      </c>
      <c r="BP27" s="344" t="str">
        <f t="shared" si="27"/>
        <v>-</v>
      </c>
      <c r="BQ27" s="282" t="str">
        <f>IFERROR(__xludf.DUMMYFUNCTION("IF(REGEXMATCH(JOIN(""-"",EU27:FD27),""TRUE""),""✔"",""-"")"),"-")</f>
        <v>-</v>
      </c>
      <c r="BR27" s="225">
        <f t="shared" si="28"/>
        <v>0</v>
      </c>
      <c r="BS27" s="345" t="str">
        <f>IFERROR(__xludf.DUMMYFUNCTION("SUBSTITUTE(SUBSTITUTE(SUBSTITUTE(SUBSTITUTE(CONCATENATE(JOIN(""-"",GC27:GO27)),""--"",""-""),""--"",""-""),""--"",""-""),""--"",""-"")"),"1-b2-2-3-4-5-6-7-8")</f>
        <v>1-b2-2-3-4-5-6-7-8</v>
      </c>
      <c r="BT27" s="299" t="str">
        <f>IFERROR(__xludf.DUMMYFUNCTION("SUBSTITUTE(SUBSTITUTE(SUBSTITUTE(SUBSTITUTE(CONCATENATE(JOIN(""-"",GP27:HB27)),""--"",""-""),""--"",""-""),""--"",""-""),""--"",""-"")"),"S-R1-R2-G3-M1-P-D2-N3-S")</f>
        <v>S-R1-R2-G3-M1-P-D2-N3-S</v>
      </c>
      <c r="BU27" s="348" t="str">
        <f t="shared" si="29"/>
        <v>C-Db-D-E-F-G-A-B-C</v>
      </c>
      <c r="BV27" s="349" t="str">
        <f t="shared" si="30"/>
        <v>SgMdnS</v>
      </c>
      <c r="BW27" s="350">
        <f t="shared" si="31"/>
        <v>1</v>
      </c>
      <c r="BX27" s="351">
        <f t="shared" si="32"/>
        <v>2</v>
      </c>
      <c r="BY27" s="352" t="s">
        <v>275</v>
      </c>
      <c r="BZ27" s="309" t="str">
        <f>IFERROR(__xludf.DUMMYFUNCTION("IF(REGEXMATCH(C27, ""S""), ""x"",""x"")"),"x")</f>
        <v>x</v>
      </c>
      <c r="CA27" s="245" t="str">
        <f>IFERROR(__xludf.DUMMYFUNCTION("IF(REGEXMATCH(C27, ""r""), ""o"",""x"")"),"o")</f>
        <v>o</v>
      </c>
      <c r="CB27" s="246" t="str">
        <f>IFERROR(__xludf.DUMMYFUNCTION("IF(REGEXMATCH(C27, ""R""), ""o"",""x"")"),"o")</f>
        <v>o</v>
      </c>
      <c r="CC27" s="246" t="str">
        <f>IFERROR(__xludf.DUMMYFUNCTION("IF(REGEXMATCH(C27, ""g""), ""o"",""x"")"),"x")</f>
        <v>x</v>
      </c>
      <c r="CD27" s="245" t="str">
        <f>IFERROR(__xludf.DUMMYFUNCTION("IF(REGEXMATCH(C27, ""G""), ""o"",""x"")"),"o")</f>
        <v>o</v>
      </c>
      <c r="CE27" s="245" t="str">
        <f>IFERROR(__xludf.DUMMYFUNCTION("IF(REGEXMATCH(C27, ""m""), ""o"",""x"")"),"o")</f>
        <v>o</v>
      </c>
      <c r="CF27" s="246" t="str">
        <f>IFERROR(__xludf.DUMMYFUNCTION("IF(REGEXMATCH(C27, ""M""), ""o"",""x"")"),"x")</f>
        <v>x</v>
      </c>
      <c r="CG27" s="245" t="str">
        <f>IFERROR(__xludf.DUMMYFUNCTION("IF(REGEXMATCH(C27, ""P""), ""o"",""x"")"),"o")</f>
        <v>o</v>
      </c>
      <c r="CH27" s="246" t="str">
        <f>IFERROR(__xludf.DUMMYFUNCTION("IF(REGEXMATCH(C27, ""d""), ""o"",""x"")"),"x")</f>
        <v>x</v>
      </c>
      <c r="CI27" s="245" t="str">
        <f>IFERROR(__xludf.DUMMYFUNCTION("IF(REGEXMATCH(C27, ""D""), ""o"",""x"")"),"o")</f>
        <v>o</v>
      </c>
      <c r="CJ27" s="245" t="str">
        <f>IFERROR(__xludf.DUMMYFUNCTION("IF(REGEXMATCH(C27, ""n""), ""o"",""x"")"),"x")</f>
        <v>x</v>
      </c>
      <c r="CK27" s="245" t="str">
        <f>IFERROR(__xludf.DUMMYFUNCTION("IF(REGEXMATCH(C27, ""N""), ""o"",""x"")"),"o")</f>
        <v>o</v>
      </c>
      <c r="CL27" s="356" t="str">
        <f>IFERROR(__xludf.DUMMYFUNCTION("IF(REGEXMATCH(C27, ""S""), ""x"",""x"")"),"x")</f>
        <v>x</v>
      </c>
      <c r="CM27" s="357" t="str">
        <f t="shared" si="33"/>
        <v>xooxooxoxoxo</v>
      </c>
      <c r="CN27" s="358">
        <f t="shared" si="34"/>
        <v>1</v>
      </c>
      <c r="CO27" s="246" t="str">
        <f>IFERROR(__xludf.DUMMYFUNCTION("IF(REGEXMATCH($C27, ""S""), ""S"",""S"")"),"S")</f>
        <v>S</v>
      </c>
      <c r="CP27" s="246" t="str">
        <f>IFERROR(__xludf.DUMMYFUNCTION("IF(REGEXMATCH($C27, ""r""), """",""r"")"),"")</f>
        <v/>
      </c>
      <c r="CQ27" s="246" t="str">
        <f>IFERROR(__xludf.DUMMYFUNCTION("IF(REGEXMATCH($C27, ""R""), """",""R"")"),"")</f>
        <v/>
      </c>
      <c r="CR27" s="246" t="str">
        <f>IFERROR(__xludf.DUMMYFUNCTION("IF(REGEXMATCH($C27, ""g""), """",""g"")"),"g")</f>
        <v>g</v>
      </c>
      <c r="CS27" s="246" t="str">
        <f>IFERROR(__xludf.DUMMYFUNCTION("IF(REGEXMATCH($C27, ""G""), """",""G"")"),"")</f>
        <v/>
      </c>
      <c r="CT27" s="246" t="str">
        <f>IFERROR(__xludf.DUMMYFUNCTION("IF(REGEXMATCH($C27, ""m""), """",""m"")"),"")</f>
        <v/>
      </c>
      <c r="CU27" s="246" t="str">
        <f>IFERROR(__xludf.DUMMYFUNCTION("IF(REGEXMATCH($C27, ""M""), """",""M"")"),"M")</f>
        <v>M</v>
      </c>
      <c r="CV27" s="246" t="str">
        <f>IFERROR(__xludf.DUMMYFUNCTION("IF(REGEXMATCH($C27, ""P""), """",""P"")"),"")</f>
        <v/>
      </c>
      <c r="CW27" s="246" t="str">
        <f>IFERROR(__xludf.DUMMYFUNCTION("IF(REGEXMATCH($C27, ""d""), """",""d"")"),"d")</f>
        <v>d</v>
      </c>
      <c r="CX27" s="246" t="str">
        <f>IFERROR(__xludf.DUMMYFUNCTION("IF(REGEXMATCH($C27, ""D""), """",""D"")"),"")</f>
        <v/>
      </c>
      <c r="CY27" s="246" t="str">
        <f>IFERROR(__xludf.DUMMYFUNCTION("IF(REGEXMATCH($C27, ""n""), """",""n"")"),"n")</f>
        <v>n</v>
      </c>
      <c r="CZ27" s="246" t="str">
        <f>IFERROR(__xludf.DUMMYFUNCTION("IF(REGEXMATCH($C27, ""N""), """",""N"")"),"")</f>
        <v/>
      </c>
      <c r="DA27" s="246" t="str">
        <f>IFERROR(__xludf.DUMMYFUNCTION("IF(REGEXMATCH($C27, ""S""), ""S"",""S"")"),"S")</f>
        <v>S</v>
      </c>
      <c r="DB27" s="362" t="str">
        <f>IFERROR(__xludf.DUMMYFUNCTION("JOIN("""",CO27:DA27,"""","""")"),"SgMdnS")</f>
        <v>SgMdnS</v>
      </c>
      <c r="DC27" s="363"/>
      <c r="DD27" s="301" t="str">
        <f t="shared" si="35"/>
        <v>#REF!</v>
      </c>
      <c r="DE27" s="302" t="str">
        <f t="shared" si="36"/>
        <v>#REF!</v>
      </c>
      <c r="DF27" s="301" t="str">
        <f t="shared" ref="DF27:DG27" si="245">SUBSTITUTE(S27,"-","")</f>
        <v>SRGM</v>
      </c>
      <c r="DG27" s="301" t="str">
        <f t="shared" si="245"/>
        <v>PDNS</v>
      </c>
      <c r="DH27" s="302" t="str">
        <f t="shared" si="38"/>
        <v>Mk.Malhar</v>
      </c>
      <c r="DI27" s="301" t="str">
        <f t="shared" si="39"/>
        <v>Hemi.</v>
      </c>
      <c r="DJ27" s="364" t="str">
        <f t="shared" si="40"/>
        <v>Co-Co.</v>
      </c>
      <c r="DK27" s="306" t="str">
        <f t="shared" si="41"/>
        <v>-</v>
      </c>
      <c r="DL27" s="366" t="str">
        <f t="shared" si="42"/>
        <v>-</v>
      </c>
      <c r="DM27" s="308" t="str">
        <f t="shared" si="43"/>
        <v>✔</v>
      </c>
      <c r="DN27" s="306" t="str">
        <f t="shared" si="44"/>
        <v>-</v>
      </c>
      <c r="DO27" s="306" t="str">
        <f t="shared" si="45"/>
        <v>-</v>
      </c>
      <c r="DP27" s="367" t="str">
        <f t="shared" si="46"/>
        <v>-</v>
      </c>
      <c r="DQ27" s="310" t="str">
        <f t="shared" si="47"/>
        <v>✔</v>
      </c>
      <c r="DR27" s="310" t="str">
        <f t="shared" si="48"/>
        <v>-</v>
      </c>
      <c r="DS27" s="310" t="str">
        <f t="shared" si="49"/>
        <v>-</v>
      </c>
      <c r="DT27" s="310" t="str">
        <f t="shared" si="50"/>
        <v>-</v>
      </c>
      <c r="DU27" s="370" t="str">
        <f t="shared" si="51"/>
        <v>-</v>
      </c>
      <c r="DV27" s="306" t="str">
        <f t="shared" si="52"/>
        <v>-</v>
      </c>
      <c r="DW27" s="306" t="str">
        <f t="shared" si="53"/>
        <v>-</v>
      </c>
      <c r="DX27" s="306" t="str">
        <f t="shared" si="54"/>
        <v>-</v>
      </c>
      <c r="DY27" s="306" t="str">
        <f t="shared" si="55"/>
        <v>-</v>
      </c>
      <c r="DZ27" s="306" t="str">
        <f t="shared" si="56"/>
        <v>-</v>
      </c>
      <c r="EA27" s="367" t="str">
        <f t="shared" si="57"/>
        <v>-</v>
      </c>
      <c r="EB27" s="310" t="str">
        <f>IFERROR(__xludf.DUMMYFUNCTION("IF(REGEXMATCH(AW27,AS27),""✔"",""-"")"),"-")</f>
        <v>-</v>
      </c>
      <c r="EC27" s="310" t="str">
        <f t="shared" si="58"/>
        <v>#REF!</v>
      </c>
      <c r="ED27" s="370" t="str">
        <f t="shared" si="59"/>
        <v>-</v>
      </c>
      <c r="EE27" s="340" t="str">
        <f t="shared" si="60"/>
        <v>S-rR-G-m-P-D-N-S</v>
      </c>
      <c r="EF27" s="371" t="str">
        <f>IFERROR(__xludf.DUMMYFUNCTION("CONCATENATE(JOIN("""",HC27:HO27))"),"SrgmPdnNS")</f>
        <v>SrgmPdnNS</v>
      </c>
      <c r="EG27" s="372">
        <f t="shared" si="61"/>
        <v>2</v>
      </c>
      <c r="EH27" s="373" t="str">
        <f>IFERROR(__xludf.DUMMYFUNCTION("CONCATENATE(JOIN("""",JC27:JO27))"),"re, Ni, ")</f>
        <v>re, Ni, </v>
      </c>
      <c r="EI27" s="322">
        <f t="shared" si="62"/>
        <v>1</v>
      </c>
      <c r="EJ27" s="374" t="str">
        <f>IFERROR(__xludf.DUMMYFUNCTION("CONCATENATE(JOIN("""",KC27:KO27))"),"re, ")</f>
        <v>re, </v>
      </c>
      <c r="EK27" s="325" t="str">
        <f t="shared" si="63"/>
        <v>S-R1-R2-G3-M1-P-D2-N3-S</v>
      </c>
      <c r="EL27" s="326" t="str">
        <f t="shared" si="64"/>
        <v>1-b2-2-3-4-5-6-7-8</v>
      </c>
      <c r="EM27" s="318" t="str">
        <f t="shared" si="65"/>
        <v>#REF!</v>
      </c>
      <c r="EN27" s="328" t="str">
        <f>IFERROR(__xludf.DUMMYFUNCTION("SUBSTITUTE(SUBSTITUTE(SUBSTITUTE(SUBSTITUTE(CONCATENATE(JOIN("" "",HP27:IB27)),""  "","" ""),""  "","" ""),""  "","" ""),""  "","" "")"),"o o o • o o • o • o • o o")</f>
        <v>o o o • o o • o • o • o o</v>
      </c>
      <c r="EO27" s="368" t="str">
        <f t="shared" si="66"/>
        <v>-</v>
      </c>
      <c r="EP27" s="339" t="str">
        <f t="shared" si="67"/>
        <v>-</v>
      </c>
      <c r="EQ27" s="339" t="str">
        <f t="shared" si="68"/>
        <v>Sa-Pa</v>
      </c>
      <c r="ER27" s="339" t="str">
        <f t="shared" si="69"/>
        <v>-</v>
      </c>
      <c r="ES27" s="340" t="str">
        <f t="shared" si="70"/>
        <v>-</v>
      </c>
      <c r="ET27" s="363"/>
      <c r="EU27" s="376" t="b">
        <f>IFERROR(__xludf.DUMMYFUNCTION("arrayformula(sum(--REGEXMATCH(""SRGMPDNS"",split(REGEXREPLACE(C27,""(.)"",""$1~""),""~""))))=len(C27)
"),FALSE)</f>
        <v>0</v>
      </c>
      <c r="EV27" s="290" t="b">
        <f>IFERROR(__xludf.DUMMYFUNCTION("arrayformula(sum(--REGEXMATCH(""SRGmPDNS"",split(REGEXREPLACE(C27,""(.)"",""$1~""),""~""))))=len(C27)"),FALSE)</f>
        <v>0</v>
      </c>
      <c r="EW27" s="290" t="b">
        <f>IFERROR(__xludf.DUMMYFUNCTION("arrayformula(sum(--REGEXMATCH(""SRGmPDnS"",split(REGEXREPLACE(C27,""(.)"",""$1~""),""~""))))=len(C27)"),FALSE)</f>
        <v>0</v>
      </c>
      <c r="EX27" s="290" t="b">
        <f>IFERROR(__xludf.DUMMYFUNCTION("arrayformula(sum(--REGEXMATCH(""SRgmPDnS"",split(REGEXREPLACE(C27,""(.)"",""$1~""),""~""))))=len(C27)"),FALSE)</f>
        <v>0</v>
      </c>
      <c r="EY27" s="290" t="b">
        <f>IFERROR(__xludf.DUMMYFUNCTION("arrayformula(sum(--REGEXMATCH(""SRgmPdnS"",split(REGEXREPLACE(C27,""(.)"",""$1~""),""~""))))=len(C27)"),FALSE)</f>
        <v>0</v>
      </c>
      <c r="EZ27" s="290" t="b">
        <f>IFERROR(__xludf.DUMMYFUNCTION("arrayformula(sum(--REGEXMATCH(""SrgmPdnS"",split(REGEXREPLACE(C27,""(.)"",""$1~""),""~""))))=len(C27)"),FALSE)</f>
        <v>0</v>
      </c>
      <c r="FA27" s="290" t="b">
        <f>IFERROR(__xludf.DUMMYFUNCTION("arrayformula(sum(--REGEXMATCH(""SrGmPdNS"",split(REGEXREPLACE(C27,""(.)"",""$1~""),""~""))))=len(C27)"),FALSE)</f>
        <v>0</v>
      </c>
      <c r="FB27" s="290" t="b">
        <f>IFERROR(__xludf.DUMMYFUNCTION("arrayformula(sum(--REGEXMATCH(""SrGMPDNS"",split(REGEXREPLACE(C27,""(.)"",""$1~""),""~""))))=len(C27)"),FALSE)</f>
        <v>0</v>
      </c>
      <c r="FC27" s="290" t="b">
        <f>IFERROR(__xludf.DUMMYFUNCTION("arrayformula(sum(--REGEXMATCH(""SrGMPdNS"",split(REGEXREPLACE(C27,""(.)"",""$1~""),""~""))))=len(C27)"),FALSE)</f>
        <v>0</v>
      </c>
      <c r="FD27" s="377" t="b">
        <f>IFERROR(__xludf.DUMMYFUNCTION("arrayformula(sum(--REGEXMATCH(""SrgMPdNS"",split(REGEXREPLACE(C27,""(.)"",""$1~""),""~""))))=len(C27)"),FALSE)</f>
        <v>0</v>
      </c>
      <c r="FE27" s="269" t="str">
        <f t="shared" si="71"/>
        <v>xxoxxoxoxox</v>
      </c>
      <c r="FF27" s="269" t="str">
        <f t="shared" si="72"/>
        <v>xoxxoxoxoxx</v>
      </c>
      <c r="FG27" s="271" t="str">
        <f t="shared" si="73"/>
        <v>-</v>
      </c>
      <c r="FH27" s="269" t="str">
        <f t="shared" si="74"/>
        <v>xxoxoxoxxxx</v>
      </c>
      <c r="FI27" s="271" t="str">
        <f t="shared" si="75"/>
        <v>xoxoxoxxxxo</v>
      </c>
      <c r="FJ27" s="271" t="str">
        <f t="shared" si="76"/>
        <v>-</v>
      </c>
      <c r="FK27" s="271" t="str">
        <f t="shared" si="77"/>
        <v>xoxoxxxxoxx</v>
      </c>
      <c r="FL27" s="271" t="str">
        <f t="shared" si="78"/>
        <v>-</v>
      </c>
      <c r="FM27" s="271" t="str">
        <f t="shared" si="79"/>
        <v>xoxxxxoxxox</v>
      </c>
      <c r="FN27" s="271" t="str">
        <f t="shared" si="80"/>
        <v>-</v>
      </c>
      <c r="FO27" s="274" t="str">
        <f t="shared" si="81"/>
        <v>xxxxoxxoxox</v>
      </c>
      <c r="FP27" s="234" t="str">
        <f t="shared" si="82"/>
        <v>|</v>
      </c>
      <c r="FQ27" s="236" t="str">
        <f t="shared" si="83"/>
        <v>|</v>
      </c>
      <c r="FR27" s="237" t="str">
        <f t="shared" si="84"/>
        <v>|</v>
      </c>
      <c r="FS27" s="236" t="str">
        <f t="shared" si="85"/>
        <v>-</v>
      </c>
      <c r="FT27" s="237" t="str">
        <f t="shared" si="86"/>
        <v>|</v>
      </c>
      <c r="FU27" s="236" t="str">
        <f t="shared" si="87"/>
        <v>|</v>
      </c>
      <c r="FV27" s="237" t="str">
        <f t="shared" si="88"/>
        <v>-</v>
      </c>
      <c r="FW27" s="236" t="str">
        <f t="shared" si="89"/>
        <v>|</v>
      </c>
      <c r="FX27" s="237" t="str">
        <f t="shared" si="90"/>
        <v>-</v>
      </c>
      <c r="FY27" s="236" t="str">
        <f t="shared" si="91"/>
        <v>|</v>
      </c>
      <c r="FZ27" s="237" t="str">
        <f t="shared" si="92"/>
        <v>-</v>
      </c>
      <c r="GA27" s="236" t="str">
        <f t="shared" si="93"/>
        <v>|</v>
      </c>
      <c r="GB27" s="238" t="str">
        <f t="shared" si="94"/>
        <v>|</v>
      </c>
      <c r="GC27" s="244" t="str">
        <f>IFERROR(__xludf.DUMMYFUNCTION("IF(REGEXMATCH(C27, ""S""), ""1"","""")"),"1")</f>
        <v>1</v>
      </c>
      <c r="GD27" s="245" t="str">
        <f>IFERROR(__xludf.DUMMYFUNCTION("IF(REGEXMATCH(C27, ""r""), ""b2"","""")"),"b2")</f>
        <v>b2</v>
      </c>
      <c r="GE27" s="246" t="str">
        <f>IFERROR(__xludf.DUMMYFUNCTION("IF(REGEXMATCH(C27, ""R""), ""2"","""")"),"2")</f>
        <v>2</v>
      </c>
      <c r="GF27" s="246" t="str">
        <f>IFERROR(__xludf.DUMMYFUNCTION("IF(REGEXMATCH(C27, ""g""), ""b3"","""")"),"")</f>
        <v/>
      </c>
      <c r="GG27" s="245" t="str">
        <f>IFERROR(__xludf.DUMMYFUNCTION("IF(REGEXMATCH(C27, ""G""), ""3"","""")"),"3")</f>
        <v>3</v>
      </c>
      <c r="GH27" s="245" t="str">
        <f>IFERROR(__xludf.DUMMYFUNCTION("IF(REGEXMATCH(C27, ""m""), ""4"","""")"),"4")</f>
        <v>4</v>
      </c>
      <c r="GI27" s="246" t="str">
        <f>IFERROR(__xludf.DUMMYFUNCTION("IF(REGEXMATCH(C27, ""M""), ""#4"","""")"),"")</f>
        <v/>
      </c>
      <c r="GJ27" s="245" t="str">
        <f>IFERROR(__xludf.DUMMYFUNCTION("IF(REGEXMATCH(C27, ""P""), ""5"","""")"),"5")</f>
        <v>5</v>
      </c>
      <c r="GK27" s="246" t="str">
        <f>IFERROR(__xludf.DUMMYFUNCTION("IF(REGEXMATCH(C27, ""d""), ""b6"","""")"),"")</f>
        <v/>
      </c>
      <c r="GL27" s="245" t="str">
        <f>IFERROR(__xludf.DUMMYFUNCTION("IF(REGEXMATCH(C27, ""D""), ""6"","""")"),"6")</f>
        <v>6</v>
      </c>
      <c r="GM27" s="245" t="str">
        <f>IFERROR(__xludf.DUMMYFUNCTION("IF(REGEXMATCH(C27, ""n""), ""b7"","""")"),"")</f>
        <v/>
      </c>
      <c r="GN27" s="246" t="str">
        <f>IFERROR(__xludf.DUMMYFUNCTION("IF(REGEXMATCH(C27, ""N""), ""7"","""")"),"7")</f>
        <v>7</v>
      </c>
      <c r="GO27" s="249" t="str">
        <f>IFERROR(__xludf.DUMMYFUNCTION("IF(REGEXMATCH(C27, ""S""), ""8"","""")"),"8")</f>
        <v>8</v>
      </c>
      <c r="GP27" s="244" t="str">
        <f>IFERROR(__xludf.DUMMYFUNCTION("IF(REGEXMATCH(C27, ""S""), ""S"","""")"),"S")</f>
        <v>S</v>
      </c>
      <c r="GQ27" s="294" t="str">
        <f>IFERROR(__xludf.DUMMYFUNCTION("IF(REGEXMATCH(C27, ""r""), ""R1"","""")"),"R1")</f>
        <v>R1</v>
      </c>
      <c r="GR27" s="295" t="str">
        <f>IFERROR(__xludf.DUMMYFUNCTION("IF(REGEXMATCH(C27, ""R""), ""R2"","""")"),"R2")</f>
        <v>R2</v>
      </c>
      <c r="GS27" s="295" t="str">
        <f>IFERROR(__xludf.DUMMYFUNCTION("IF(REGEXMATCH(C27, ""g""), ""G2"","""")"),"")</f>
        <v/>
      </c>
      <c r="GT27" s="294" t="str">
        <f>IFERROR(__xludf.DUMMYFUNCTION("IF(REGEXMATCH(C27, ""G""), ""G3"","""")"),"G3")</f>
        <v>G3</v>
      </c>
      <c r="GU27" s="294" t="str">
        <f>IFERROR(__xludf.DUMMYFUNCTION("IF(REGEXMATCH(C27, ""m""), ""M1"","""")"),"M1")</f>
        <v>M1</v>
      </c>
      <c r="GV27" s="295" t="str">
        <f>IFERROR(__xludf.DUMMYFUNCTION("IF(REGEXMATCH(C27, ""M""), ""M2"","""")"),"")</f>
        <v/>
      </c>
      <c r="GW27" s="294" t="str">
        <f>IFERROR(__xludf.DUMMYFUNCTION("IF(REGEXMATCH(C27, ""P""), ""P"","""")"),"P")</f>
        <v>P</v>
      </c>
      <c r="GX27" s="295" t="str">
        <f>IFERROR(__xludf.DUMMYFUNCTION("IF(REGEXMATCH(C27, ""d""), ""D1"","""")"),"")</f>
        <v/>
      </c>
      <c r="GY27" s="294" t="str">
        <f>IFERROR(__xludf.DUMMYFUNCTION("IF(REGEXMATCH(C27, ""D""), ""D2"","""")"),"D2")</f>
        <v>D2</v>
      </c>
      <c r="GZ27" s="294" t="str">
        <f>IFERROR(__xludf.DUMMYFUNCTION("IF(REGEXMATCH(C27, ""n""), ""N2"","""")"),"")</f>
        <v/>
      </c>
      <c r="HA27" s="295" t="str">
        <f>IFERROR(__xludf.DUMMYFUNCTION("IF(REGEXMATCH(C27, ""N""), ""N3"","""")"),"N3")</f>
        <v>N3</v>
      </c>
      <c r="HB27" s="249" t="str">
        <f>IFERROR(__xludf.DUMMYFUNCTION("IF(REGEXMATCH(C27, ""S""), ""S"","""")"),"S")</f>
        <v>S</v>
      </c>
      <c r="HC27" s="331" t="str">
        <f t="shared" si="95"/>
        <v>S</v>
      </c>
      <c r="HD27" s="332" t="str">
        <f t="shared" si="96"/>
        <v>r</v>
      </c>
      <c r="HE27" s="332" t="str">
        <f t="shared" si="97"/>
        <v/>
      </c>
      <c r="HF27" s="332" t="str">
        <f t="shared" si="98"/>
        <v>g</v>
      </c>
      <c r="HG27" s="332" t="str">
        <f t="shared" si="99"/>
        <v/>
      </c>
      <c r="HH27" s="332" t="str">
        <f t="shared" si="100"/>
        <v>m</v>
      </c>
      <c r="HI27" s="332" t="str">
        <f t="shared" si="101"/>
        <v/>
      </c>
      <c r="HJ27" s="332" t="str">
        <f t="shared" si="102"/>
        <v>P</v>
      </c>
      <c r="HK27" s="332" t="str">
        <f t="shared" si="103"/>
        <v>d</v>
      </c>
      <c r="HL27" s="332" t="str">
        <f t="shared" si="104"/>
        <v/>
      </c>
      <c r="HM27" s="332" t="str">
        <f t="shared" si="105"/>
        <v>n</v>
      </c>
      <c r="HN27" s="332" t="str">
        <f t="shared" si="106"/>
        <v>N</v>
      </c>
      <c r="HO27" s="343" t="str">
        <f t="shared" si="107"/>
        <v>S</v>
      </c>
      <c r="HP27" s="331" t="str">
        <f t="shared" si="108"/>
        <v>o</v>
      </c>
      <c r="HQ27" s="332" t="str">
        <f t="shared" si="109"/>
        <v>o</v>
      </c>
      <c r="HR27" s="332" t="str">
        <f t="shared" si="110"/>
        <v>o</v>
      </c>
      <c r="HS27" s="332" t="str">
        <f t="shared" si="111"/>
        <v>•</v>
      </c>
      <c r="HT27" s="332" t="str">
        <f t="shared" si="112"/>
        <v>o</v>
      </c>
      <c r="HU27" s="332" t="str">
        <f t="shared" si="113"/>
        <v>o</v>
      </c>
      <c r="HV27" s="332" t="str">
        <f t="shared" si="114"/>
        <v>•</v>
      </c>
      <c r="HW27" s="332" t="str">
        <f t="shared" si="115"/>
        <v>o</v>
      </c>
      <c r="HX27" s="332" t="str">
        <f t="shared" si="116"/>
        <v>•</v>
      </c>
      <c r="HY27" s="332" t="str">
        <f t="shared" si="117"/>
        <v>o</v>
      </c>
      <c r="HZ27" s="332" t="str">
        <f t="shared" si="118"/>
        <v>•</v>
      </c>
      <c r="IA27" s="332" t="str">
        <f t="shared" si="119"/>
        <v>o</v>
      </c>
      <c r="IB27" s="338" t="str">
        <f t="shared" si="120"/>
        <v>o</v>
      </c>
      <c r="IC27" s="331" t="str">
        <f t="shared" si="121"/>
        <v>•</v>
      </c>
      <c r="ID27" s="332" t="str">
        <f t="shared" si="122"/>
        <v>•</v>
      </c>
      <c r="IE27" s="332" t="str">
        <f t="shared" si="123"/>
        <v>•</v>
      </c>
      <c r="IF27" s="332" t="str">
        <f t="shared" si="124"/>
        <v>o</v>
      </c>
      <c r="IG27" s="332" t="str">
        <f t="shared" si="125"/>
        <v>•</v>
      </c>
      <c r="IH27" s="332" t="str">
        <f t="shared" si="126"/>
        <v>•</v>
      </c>
      <c r="II27" s="332" t="str">
        <f t="shared" si="127"/>
        <v>o</v>
      </c>
      <c r="IJ27" s="332" t="str">
        <f t="shared" si="128"/>
        <v>•</v>
      </c>
      <c r="IK27" s="332" t="str">
        <f t="shared" si="129"/>
        <v>o</v>
      </c>
      <c r="IL27" s="332" t="str">
        <f t="shared" si="130"/>
        <v>•</v>
      </c>
      <c r="IM27" s="332" t="str">
        <f t="shared" si="131"/>
        <v>o</v>
      </c>
      <c r="IN27" s="332" t="str">
        <f t="shared" si="132"/>
        <v>•</v>
      </c>
      <c r="IO27" s="338" t="str">
        <f t="shared" si="133"/>
        <v>•</v>
      </c>
      <c r="IP27" s="346" t="b">
        <f t="shared" si="134"/>
        <v>0</v>
      </c>
      <c r="IQ27" s="347" t="b">
        <f t="shared" si="135"/>
        <v>1</v>
      </c>
      <c r="IR27" s="347" t="b">
        <f t="shared" si="136"/>
        <v>0</v>
      </c>
      <c r="IS27" s="347" t="b">
        <f t="shared" si="137"/>
        <v>0</v>
      </c>
      <c r="IT27" s="347" t="b">
        <f t="shared" si="138"/>
        <v>0</v>
      </c>
      <c r="IU27" s="347" t="b">
        <f t="shared" si="139"/>
        <v>0</v>
      </c>
      <c r="IV27" s="347" t="b">
        <f t="shared" si="140"/>
        <v>0</v>
      </c>
      <c r="IW27" s="347" t="b">
        <f t="shared" si="141"/>
        <v>0</v>
      </c>
      <c r="IX27" s="347" t="b">
        <f t="shared" si="142"/>
        <v>0</v>
      </c>
      <c r="IY27" s="347" t="b">
        <f t="shared" si="143"/>
        <v>0</v>
      </c>
      <c r="IZ27" s="347" t="b">
        <f t="shared" si="144"/>
        <v>0</v>
      </c>
      <c r="JA27" s="347" t="b">
        <f t="shared" si="145"/>
        <v>1</v>
      </c>
      <c r="JB27" s="353" t="b">
        <f t="shared" si="146"/>
        <v>0</v>
      </c>
      <c r="JC27" s="354" t="str">
        <f t="shared" si="147"/>
        <v/>
      </c>
      <c r="JD27" s="355" t="str">
        <f t="shared" si="148"/>
        <v>re, </v>
      </c>
      <c r="JE27" s="355" t="str">
        <f t="shared" si="149"/>
        <v/>
      </c>
      <c r="JF27" s="355" t="str">
        <f t="shared" si="150"/>
        <v/>
      </c>
      <c r="JG27" s="355" t="str">
        <f t="shared" si="151"/>
        <v/>
      </c>
      <c r="JH27" s="355" t="str">
        <f t="shared" si="152"/>
        <v/>
      </c>
      <c r="JI27" s="355" t="str">
        <f t="shared" si="153"/>
        <v/>
      </c>
      <c r="JJ27" s="355" t="str">
        <f t="shared" si="154"/>
        <v/>
      </c>
      <c r="JK27" s="355" t="str">
        <f t="shared" si="155"/>
        <v/>
      </c>
      <c r="JL27" s="355" t="str">
        <f t="shared" si="156"/>
        <v/>
      </c>
      <c r="JM27" s="355" t="str">
        <f t="shared" si="157"/>
        <v/>
      </c>
      <c r="JN27" s="355" t="str">
        <f t="shared" si="158"/>
        <v>Ni, </v>
      </c>
      <c r="JO27" s="359" t="str">
        <f t="shared" si="159"/>
        <v/>
      </c>
      <c r="JP27" s="346" t="b">
        <f t="shared" si="160"/>
        <v>0</v>
      </c>
      <c r="JQ27" s="347" t="b">
        <f t="shared" si="161"/>
        <v>1</v>
      </c>
      <c r="JR27" s="347" t="b">
        <f t="shared" si="162"/>
        <v>0</v>
      </c>
      <c r="JS27" s="347" t="b">
        <f t="shared" si="163"/>
        <v>0</v>
      </c>
      <c r="JT27" s="347" t="b">
        <f t="shared" si="164"/>
        <v>0</v>
      </c>
      <c r="JU27" s="347" t="b">
        <f t="shared" si="165"/>
        <v>0</v>
      </c>
      <c r="JV27" s="347" t="b">
        <f t="shared" si="166"/>
        <v>0</v>
      </c>
      <c r="JW27" s="347" t="b">
        <f t="shared" si="167"/>
        <v>0</v>
      </c>
      <c r="JX27" s="347" t="b">
        <f t="shared" si="168"/>
        <v>0</v>
      </c>
      <c r="JY27" s="347" t="b">
        <f t="shared" si="169"/>
        <v>0</v>
      </c>
      <c r="JZ27" s="347" t="b">
        <f t="shared" si="170"/>
        <v>0</v>
      </c>
      <c r="KA27" s="347" t="b">
        <f t="shared" si="171"/>
        <v>0</v>
      </c>
      <c r="KB27" s="365" t="b">
        <f t="shared" si="172"/>
        <v>0</v>
      </c>
      <c r="KC27" s="354" t="str">
        <f t="shared" si="173"/>
        <v/>
      </c>
      <c r="KD27" s="355" t="str">
        <f t="shared" si="174"/>
        <v>re, </v>
      </c>
      <c r="KE27" s="355" t="str">
        <f t="shared" si="175"/>
        <v/>
      </c>
      <c r="KF27" s="355" t="str">
        <f t="shared" si="176"/>
        <v/>
      </c>
      <c r="KG27" s="355" t="str">
        <f t="shared" si="177"/>
        <v/>
      </c>
      <c r="KH27" s="355" t="str">
        <f t="shared" si="178"/>
        <v/>
      </c>
      <c r="KI27" s="355" t="str">
        <f t="shared" si="179"/>
        <v/>
      </c>
      <c r="KJ27" s="355" t="str">
        <f t="shared" si="180"/>
        <v/>
      </c>
      <c r="KK27" s="355" t="str">
        <f t="shared" si="181"/>
        <v/>
      </c>
      <c r="KL27" s="355" t="str">
        <f t="shared" si="182"/>
        <v/>
      </c>
      <c r="KM27" s="355" t="str">
        <f t="shared" si="183"/>
        <v/>
      </c>
      <c r="KN27" s="355" t="str">
        <f t="shared" si="184"/>
        <v/>
      </c>
      <c r="KO27" s="359"/>
      <c r="KP27" s="378"/>
      <c r="KQ27" s="379" t="s">
        <v>1287</v>
      </c>
      <c r="KR27" s="380" t="s">
        <v>1288</v>
      </c>
      <c r="KS27" s="381" t="str">
        <f t="shared" ref="KS27:KS28" si="248">KQ27</f>
        <v>S-R-m-P-D-N-S</v>
      </c>
      <c r="KT27" s="382">
        <f t="shared" si="186"/>
        <v>6</v>
      </c>
      <c r="KU27" s="383">
        <f t="shared" si="187"/>
        <v>6</v>
      </c>
      <c r="KV27" s="381" t="str">
        <f t="shared" si="205"/>
        <v>S-N-D-P-m-G-r-S</v>
      </c>
      <c r="KW27" s="382">
        <f t="shared" si="189"/>
        <v>7</v>
      </c>
      <c r="KX27" s="384">
        <f t="shared" si="190"/>
        <v>7</v>
      </c>
      <c r="KY27" s="382">
        <f t="shared" ref="KY27:KZ27" si="246">KW27-KT27</f>
        <v>1</v>
      </c>
      <c r="KZ27" s="369">
        <f t="shared" si="246"/>
        <v>1</v>
      </c>
      <c r="LA27" s="385" t="str">
        <f t="shared" si="192"/>
        <v>-</v>
      </c>
      <c r="LB27" s="340" t="str">
        <f>IFERROR(__xludf.DUMMYFUNCTION("JOIN("""",ArrayFormula(MID(KS27,LEN(KS27)-SEQUENCE(1,LEN(KS27))+1,1)))"),"S-N-D-P-m-R-S")</f>
        <v>S-N-D-P-m-R-S</v>
      </c>
      <c r="LC27" s="373" t="str">
        <f>IFERROR(__xludf.DUMMYFUNCTION("JOIN("""",ArrayFormula(MID(KV27,LEN(KV27)-SEQUENCE(1,LEN(KV27))+1,1)))"),"S-r-G-m-P-D-N-S")</f>
        <v>S-r-G-m-P-D-N-S</v>
      </c>
      <c r="LD27" s="373" t="str">
        <f t="shared" si="193"/>
        <v>SRmPDNS</v>
      </c>
      <c r="LE27" s="339" t="str">
        <f t="shared" si="194"/>
        <v>SrGmPDNS</v>
      </c>
      <c r="LF27" s="386" t="str">
        <f>IFERROR(__xludf.DUMMYFUNCTION("SUBSTITUTE(SUBSTITUTE(CONCATENATE(JOIN("""",LH27:LT27)),""1"",""""),""2"","""")"),"SrRGmPDNS")</f>
        <v>SrRGmPDNS</v>
      </c>
      <c r="LG27" s="369" t="str">
        <f t="shared" si="195"/>
        <v>✔</v>
      </c>
      <c r="LH27" s="387" t="str">
        <f>IFERROR(__xludf.DUMMYFUNCTION("IF(REGEXMATCH(LD27, ""S""), ""S"",IF(REGEXMATCH(LE27, ""S""), ""S"",""""))"),"S")</f>
        <v>S</v>
      </c>
      <c r="LI27" s="299" t="str">
        <f>IFERROR(__xludf.DUMMYFUNCTION("IF(REGEXMATCH(LD27, ""r""), ""r1"",IF(REGEXMATCH(LE27, ""r""), ""r2"",""""))"),"r2")</f>
        <v>r2</v>
      </c>
      <c r="LJ27" s="299" t="str">
        <f>IFERROR(__xludf.DUMMYFUNCTION("IF(REGEXMATCH(LD27, ""R""), ""R1"",IF(REGEXMATCH(LE27, ""R""), ""R2"",""""))"),"R1")</f>
        <v>R1</v>
      </c>
      <c r="LK27" s="299" t="str">
        <f>IFERROR(__xludf.DUMMYFUNCTION("IF(REGEXMATCH(LD27, ""g""), ""g1"",IF(REGEXMATCH(LE27, ""g""), ""g2"",""""))"),"")</f>
        <v/>
      </c>
      <c r="LL27" s="299" t="str">
        <f>IFERROR(__xludf.DUMMYFUNCTION("IF(REGEXMATCH(LD27, ""G""), ""G1"",IF(REGEXMATCH(LE27, ""G""), ""G2"",""""))"),"G2")</f>
        <v>G2</v>
      </c>
      <c r="LM27" s="299" t="str">
        <f>IFERROR(__xludf.DUMMYFUNCTION("IF(REGEXMATCH(LD27, ""m""), ""m1"",IF(REGEXMATCH(LE27, ""m""), ""m2"",""""))"),"m1")</f>
        <v>m1</v>
      </c>
      <c r="LN27" s="299" t="str">
        <f>IFERROR(__xludf.DUMMYFUNCTION("IF(REGEXMATCH(LD27, ""M""), ""M1"",IF(REGEXMATCH(LE27, ""M""), ""M2"",""""))"),"")</f>
        <v/>
      </c>
      <c r="LO27" s="299" t="str">
        <f>IFERROR(__xludf.DUMMYFUNCTION("IF(REGEXMATCH(LD27, ""P""), ""P1"",IF(REGEXMATCH(LE27, ""P""), ""P2"",""""))"),"P1")</f>
        <v>P1</v>
      </c>
      <c r="LP27" s="299" t="str">
        <f>IFERROR(__xludf.DUMMYFUNCTION("IF(REGEXMATCH(LD27, ""d""), ""d1"",IF(REGEXMATCH(LE27, ""d""), ""d2"",""""))"),"")</f>
        <v/>
      </c>
      <c r="LQ27" s="299" t="str">
        <f>IFERROR(__xludf.DUMMYFUNCTION("IF(REGEXMATCH(LD27, ""D""), ""D1"",IF(REGEXMATCH(LE27, ""D""), ""D2"",""""))"),"D1")</f>
        <v>D1</v>
      </c>
      <c r="LR27" s="299" t="str">
        <f>IFERROR(__xludf.DUMMYFUNCTION("IF(REGEXMATCH(LD27, ""n""), ""n1"",IF(REGEXMATCH(LE27, ""n""), ""n2"",""""))"),"")</f>
        <v/>
      </c>
      <c r="LS27" s="299" t="str">
        <f>IFERROR(__xludf.DUMMYFUNCTION("IF(REGEXMATCH(LD27, ""N""), ""N1"",IF(REGEXMATCH(LE27, ""N""), ""N2"",""""))"),"N1")</f>
        <v>N1</v>
      </c>
      <c r="LT27" s="388" t="str">
        <f>IFERROR(__xludf.DUMMYFUNCTION("IF(REGEXMATCH(LD27, ""S""), ""S"",IF(REGEXMATCH(LE27, ""S""), ""S"",""""))"),"S")</f>
        <v>S</v>
      </c>
      <c r="LU27" s="389">
        <f t="shared" si="196"/>
        <v>-1</v>
      </c>
      <c r="LV27" s="378"/>
      <c r="LW27" s="369"/>
      <c r="LX27" s="369"/>
    </row>
    <row r="28" ht="20.25" customHeight="1">
      <c r="A28" s="298" t="s">
        <v>122</v>
      </c>
      <c r="B28" s="222" t="s">
        <v>559</v>
      </c>
      <c r="C28" s="233" t="str">
        <f t="shared" si="7"/>
        <v>SrRgmPdnS</v>
      </c>
      <c r="D28" s="234" t="str">
        <f>IFERROR(__xludf.DUMMYFUNCTION("IF(REGEXMATCH(C28, ""S""), ""S"","""")"),"S")</f>
        <v>S</v>
      </c>
      <c r="E28" s="236" t="str">
        <f>IFERROR(__xludf.DUMMYFUNCTION("IF(REGEXMATCH(C28, ""r""), ""r"","""")"),"r")</f>
        <v>r</v>
      </c>
      <c r="F28" s="237" t="str">
        <f>IFERROR(__xludf.DUMMYFUNCTION("IF(REGEXMATCH(C28, ""R""), ""R"","""")"),"R")</f>
        <v>R</v>
      </c>
      <c r="G28" s="237" t="str">
        <f>IFERROR(__xludf.DUMMYFUNCTION("IF(REGEXMATCH(C28, ""g""), ""g"","""")"),"g")</f>
        <v>g</v>
      </c>
      <c r="H28" s="236" t="str">
        <f>IFERROR(__xludf.DUMMYFUNCTION("IF(REGEXMATCH(C28, ""G""), ""G"","""")"),"")</f>
        <v/>
      </c>
      <c r="I28" s="236" t="str">
        <f>IFERROR(__xludf.DUMMYFUNCTION("IF(REGEXMATCH(C28, ""m""), ""m"","""")"),"m")</f>
        <v>m</v>
      </c>
      <c r="J28" s="237" t="str">
        <f>IFERROR(__xludf.DUMMYFUNCTION("IF(REGEXMATCH(C28, ""M""), ""M"","""")"),"")</f>
        <v/>
      </c>
      <c r="K28" s="236" t="str">
        <f>IFERROR(__xludf.DUMMYFUNCTION("IF(REGEXMATCH(C28, ""P""), ""P"","""")"),"P")</f>
        <v>P</v>
      </c>
      <c r="L28" s="237" t="str">
        <f>IFERROR(__xludf.DUMMYFUNCTION("IF(REGEXMATCH(C28, ""d""), ""d"","""")"),"d")</f>
        <v>d</v>
      </c>
      <c r="M28" s="236" t="str">
        <f>IFERROR(__xludf.DUMMYFUNCTION("IF(REGEXMATCH(C28, ""D""), ""D"","""")"),"")</f>
        <v/>
      </c>
      <c r="N28" s="236" t="str">
        <f>IFERROR(__xludf.DUMMYFUNCTION("IF(REGEXMATCH(C28, ""n""), ""n"","""")"),"n")</f>
        <v>n</v>
      </c>
      <c r="O28" s="237" t="str">
        <f>IFERROR(__xludf.DUMMYFUNCTION("IF(REGEXMATCH(C28, ""N""), ""N"","""")"),"")</f>
        <v/>
      </c>
      <c r="P28" s="238" t="str">
        <f>IFERROR(__xludf.DUMMYFUNCTION("IF(REGEXMATCH(C28, ""S""), ""S"","""")"),"S")</f>
        <v>S</v>
      </c>
      <c r="Q28" s="239" t="str">
        <f>IFERROR(__xludf.DUMMYFUNCTION("SUBSTITUTE(CONCATENATE(JOIN(""-"",D28:J28)),""-"","""")"),"SrRgm")</f>
        <v>SrRgm</v>
      </c>
      <c r="R28" s="229" t="str">
        <f>IFERROR(__xludf.DUMMYFUNCTION("SUBSTITUTE(CONCATENATE(JOIN(""-"",K28:P28)),""-"","""")"),"PdnS")</f>
        <v>PdnS</v>
      </c>
      <c r="S28" s="282" t="str">
        <f t="shared" si="8"/>
        <v>S-R-G-M</v>
      </c>
      <c r="T28" s="282" t="str">
        <f t="shared" si="9"/>
        <v>P-D-N-S</v>
      </c>
      <c r="U28" s="237" t="str">
        <f>IFERROR(__xludf.DUMMYFUNCTION("SUBSTITUTE(JOIN(""-"",S28,T28),""--"",""-"")"),"S-R-G-M-P-D-N-S")</f>
        <v>S-R-G-M-P-D-N-S</v>
      </c>
      <c r="V28" s="309" t="str">
        <f t="shared" si="10"/>
        <v>rRgmdn</v>
      </c>
      <c r="W28" s="244" t="str">
        <f>IFERROR(__xludf.DUMMYFUNCTION("IF(REGEXMATCH(C28, ""S""), ""0"","""")"),"0")</f>
        <v>0</v>
      </c>
      <c r="X28" s="245" t="str">
        <f>IFERROR(__xludf.DUMMYFUNCTION("IF(REGEXMATCH(C28, ""r""), ""1"","""")"),"1")</f>
        <v>1</v>
      </c>
      <c r="Y28" s="246" t="str">
        <f>IFERROR(__xludf.DUMMYFUNCTION("IF(REGEXMATCH(C28, ""R""), ""2"","""")"),"2")</f>
        <v>2</v>
      </c>
      <c r="Z28" s="246" t="str">
        <f>IFERROR(__xludf.DUMMYFUNCTION("IF(REGEXMATCH(C28, ""g""), ""3"","""")"),"3")</f>
        <v>3</v>
      </c>
      <c r="AA28" s="245" t="str">
        <f>IFERROR(__xludf.DUMMYFUNCTION("IF(REGEXMATCH(C28, ""G""), ""4"","""")"),"")</f>
        <v/>
      </c>
      <c r="AB28" s="245" t="str">
        <f>IFERROR(__xludf.DUMMYFUNCTION("IF(REGEXMATCH(C28, ""m""), ""5"","""")"),"5")</f>
        <v>5</v>
      </c>
      <c r="AC28" s="246" t="str">
        <f>IFERROR(__xludf.DUMMYFUNCTION("IF(REGEXMATCH(C28, ""M""), ""6"","""")"),"")</f>
        <v/>
      </c>
      <c r="AD28" s="245" t="str">
        <f>IFERROR(__xludf.DUMMYFUNCTION("IF(REGEXMATCH(C28, ""P""), ""7"","""")"),"7")</f>
        <v>7</v>
      </c>
      <c r="AE28" s="246" t="str">
        <f>IFERROR(__xludf.DUMMYFUNCTION("IF(REGEXMATCH(C28, ""d""), ""8"","""")"),"8")</f>
        <v>8</v>
      </c>
      <c r="AF28" s="245" t="str">
        <f>IFERROR(__xludf.DUMMYFUNCTION("IF(REGEXMATCH(C28, ""D""), ""9"","""")"),"")</f>
        <v/>
      </c>
      <c r="AG28" s="245" t="str">
        <f>IFERROR(__xludf.DUMMYFUNCTION("IF(REGEXMATCH(C28, ""n""), ""10"","""")"),"10")</f>
        <v>10</v>
      </c>
      <c r="AH28" s="246" t="str">
        <f>IFERROR(__xludf.DUMMYFUNCTION("IF(REGEXMATCH(C28, ""N""), ""11"","""")"),"")</f>
        <v/>
      </c>
      <c r="AI28" s="249" t="str">
        <f>IFERROR(__xludf.DUMMYFUNCTION("IF(REGEXMATCH(C28, ""S""), ""0"","""")"),"0")</f>
        <v>0</v>
      </c>
      <c r="AJ28" s="313" t="str">
        <f t="shared" si="11"/>
        <v>-</v>
      </c>
      <c r="AK28" s="313" t="str">
        <f t="shared" si="12"/>
        <v>T</v>
      </c>
      <c r="AL28" s="313" t="str">
        <f t="shared" si="13"/>
        <v>T</v>
      </c>
      <c r="AM28" s="313" t="str">
        <f t="shared" si="14"/>
        <v>-</v>
      </c>
      <c r="AN28" s="313" t="str">
        <f t="shared" si="15"/>
        <v>-</v>
      </c>
      <c r="AO28" s="314" t="str">
        <f t="shared" si="16"/>
        <v>-</v>
      </c>
      <c r="AP28" s="316">
        <f t="shared" si="17"/>
        <v>2</v>
      </c>
      <c r="AQ28" s="319" t="str">
        <f t="shared" si="18"/>
        <v>-</v>
      </c>
      <c r="AR28" s="320">
        <f t="shared" si="19"/>
        <v>0</v>
      </c>
      <c r="AS28" s="250" t="str">
        <f>IFERROR(__xludf.DUMMYFUNCTION("SUBSTITUTE(SUBSTITUTE(CONCATENATE(JOIN("""",FP28:GA28)),""|"",""x""),""-"",""o"")"),"xxxxoxoxxoxo")</f>
        <v>xxxxoxoxxoxo</v>
      </c>
      <c r="AT28" s="323" t="str">
        <f>IFERROR(__xludf.DUMMYFUNCTION("JOIN("""",AS28,AS28)"),"xxxxoxoxxoxoxxxxoxoxxoxo")</f>
        <v>xxxxoxoxxoxoxxxxoxoxxoxo</v>
      </c>
      <c r="AU28" s="256" t="str">
        <f>IFERROR(__xludf.DUMMYFUNCTION("JOIN("""",ArrayFormula(MID(AS28,LEN(AS28)-SEQUENCE(1,LEN(AS28))+1,1)))"),"oxoxxoxoxxxx")</f>
        <v>oxoxxoxoxxxx</v>
      </c>
      <c r="AV28" s="256" t="str">
        <f>IFERROR(__xludf.DUMMYFUNCTION("LEFT(CONCATENATE(""x"",JOIN("""",ArrayFormula(MID(AS28,LEN(AS28)-SEQUENCE(1,LEN(AS28))+1,1)))),12)"),"xoxoxxoxoxxx")</f>
        <v>xoxoxxoxoxxx</v>
      </c>
      <c r="AW28" s="327" t="str">
        <f>IFERROR(__xludf.DUMMYFUNCTION("JOIN("""",AU28,AU28)"),"oxoxxoxoxxxxoxoxxoxoxxxx")</f>
        <v>oxoxxoxoxxxxoxoxxoxoxxxx</v>
      </c>
      <c r="AX28" s="239" t="str">
        <f>IFERROR(__xludf.DUMMYFUNCTION("IF(REGEXMATCH(AW28,AS28),""✔"",""-"")"),"✔")</f>
        <v>✔</v>
      </c>
      <c r="AY28" s="330" t="str">
        <f t="shared" si="20"/>
        <v>-</v>
      </c>
      <c r="AZ28" s="260" t="str">
        <f t="shared" si="21"/>
        <v>#REF!</v>
      </c>
      <c r="BA28" s="333" t="str">
        <f t="shared" si="22"/>
        <v>xxxxoxo</v>
      </c>
      <c r="BB28" s="334" t="str">
        <f t="shared" si="23"/>
        <v>xxoxox</v>
      </c>
      <c r="BC28" s="335" t="str">
        <f t="shared" si="236"/>
        <v>-</v>
      </c>
      <c r="BD28" s="336" t="str">
        <f t="shared" si="25"/>
        <v>Asavari: 'xxxxoxo' + 'xxoxox'</v>
      </c>
      <c r="BE28" s="337">
        <f>IFERROR(__xludf.DUMMYFUNCTION("COUNTUNIQUE(FILTER(AT:AT,REGEXMATCH(AT:AT,AS28)))-1"),3.0)</f>
        <v>3</v>
      </c>
      <c r="BF28" s="261" t="str">
        <f>IFERROR(__xludf.DUMMYFUNCTION("IF(BI28=0,""(n/a)"",IF(BJ28=2,""(PAIR)"",IF(REGEXMATCH(AT28,""xoxoxxoxoxox""),""Bilawal"",IF(REGEXMATCH(AT28,""xoxoxooxoxoo""),""Bhupali"",IF(REGEXMATCH(AT28,""xoxoxxoxxoxo""),""Charukeshi"",IF(REGEXMATCH(AT28,""xoxoooxxoxxo""),""Kameshwari"",IF(REGEXMATC"&amp;"H(AT28,""xoxoxooxoxox""),""Shankara"",IF(REGEXMATCH(AT28,""xxooxoxxxoox""),""Basant"",IF(REGEXMATCH(AT28,""xoxoxxxxoxox""),""Bihag"",IF(REGEXMATCH(AT28,""xoxxxxoxoxxx""),""Pilu"",IF(REGEXMATCH(AT28,""xoxxoxoxxoox""),""Kirwani"",IF(REGEXMATCH(AT28,""xoxxox"&amp;"oxoxxx""),""Mk.Malhar"",IF(REGEXMATCH(AT28,""xxooxxoxxoox""),""Bhairav"",IF(REGEXMATCH(AT28,""xxoxooxxxoox""),""Todi"",IF(REGEXMATCH(AT28,""xxooxoxooxox""),""Marwa"",IF(REGEXMATCH(AT28,""xxoooxoxxooo""),""Gunkali"",IF(REGEXMATCH(AT28,""xoxoxxoxxoox""),""N"&amp;"at Bhairav"",IF(REGEXMATCH(AT28,""xoxxoooxoxoo""),""Shivranjani"",IF(REGEXMATCH(AT28,""xooxxxoxooxo""),""Jog"",IF(REGEXMATCH(AT28,""xxooxoxoxoox""),""Hemshri"",IF(REGEXMATCH(AT28,""xoooxooxoxxo""),""Kalavati"",IF(REGEXMATCH(AT28,""xxoxoxxoxoox""),""Kedar"&amp;""",IF(REGEXMATCH(AT28,""xoxxxxoxooxx""),""Gara"",IF(REGEXMATCH(AT28,""xooxoxooxoox""),""Chandrakauns"",IF(REGEXMATCH(AT28,""xoxxxxoxxxox""),""Mand"",IF(REGEXMATCH(AT28,""xoxxxxoxoxox""),""Hanskinkini"",IF(REGEXMATCH(AT28,""xxooxxoxooxo""),""Lilavati"",IF("&amp;"REGEXMATCH(AT28,""xooxoxoooxox""),""Rajeshwari"",IF(REGEXMATCH(AT28,""xoooxxoxoxxx""),""Khokar"",IF(REGEXMATCH(AT28,""xxooxoxxxxox""),""Maligoura"",""-""))))))))))))))))))))))))))))))"),"Bihag")</f>
        <v>Bihag</v>
      </c>
      <c r="BG28" s="239" t="str">
        <f t="shared" si="26"/>
        <v>#REF!</v>
      </c>
      <c r="BH28" s="239">
        <f>IFERROR(__xludf.DUMMYFUNCTION("COUNTUNIQUE(FE28:FO28)-1"),7.0)</f>
        <v>7</v>
      </c>
      <c r="BI28" s="239">
        <f>IFERROR(__xludf.DUMMYFUNCTION("COUNTUNIQUE(FILTER(AT:AT,REGEXMATCH(AT:AT,AS28)))-1"),3.0)</f>
        <v>3</v>
      </c>
      <c r="BJ28" s="239">
        <f>IFERROR(__xludf.DUMMYFUNCTION("COUNTA(FILTER(AT:AT,REGEXMATCH(AT:AT,AS28)))"),36.0)</f>
        <v>36</v>
      </c>
      <c r="BK28" s="341">
        <f>IFERROR(__xludf.DUMMYFUNCTION("COUNTA(FILTER(AT:AT,REGEXMATCH(AT:AT,AS28)))-AR28"),36.0)</f>
        <v>36</v>
      </c>
      <c r="BL28" s="276" t="str">
        <f>IFERROR(__xludf.DUMMYFUNCTION("IF(AS28=""oooooooooooo"",""-"",IF(REGEXMATCH(AT28,""xx""), ""Hemi."", ""Anhemi.""))"),"Hemi.")</f>
        <v>Hemi.</v>
      </c>
      <c r="BM28" s="282" t="str">
        <f>IFERROR(__xludf.DUMMYFUNCTION("IF(AS28=""oooooooooooo"",""-"",IF(REGEXMATCH(AT28,""xxx""), ""Cohem."", ""-""))"),"Cohem.")</f>
        <v>Cohem.</v>
      </c>
      <c r="BN28" s="282" t="str">
        <f>IFERROR(__xludf.DUMMYFUNCTION("IF(AS28=""oooooooooooo"",""-"",IF(REGEXMATCH(AT28,""xxxx""), ""Co-Co."", ""-""))"),"Co-Co.")</f>
        <v>Co-Co.</v>
      </c>
      <c r="BO28" s="342" t="str">
        <f>IFERROR(__xludf.DUMMYFUNCTION("IF(AS28=""oooooooooooo"",""-"",IF(REGEXMATCH(AT28,""xxxxx""), ""CCC."", ""-""))"),"-")</f>
        <v>-</v>
      </c>
      <c r="BP28" s="344" t="str">
        <f t="shared" si="27"/>
        <v>-</v>
      </c>
      <c r="BQ28" s="282" t="str">
        <f>IFERROR(__xludf.DUMMYFUNCTION("IF(REGEXMATCH(JOIN(""-"",EU28:FD28),""TRUE""),""✔"",""-"")"),"-")</f>
        <v>-</v>
      </c>
      <c r="BR28" s="225">
        <f t="shared" si="28"/>
        <v>0</v>
      </c>
      <c r="BS28" s="345" t="str">
        <f>IFERROR(__xludf.DUMMYFUNCTION("SUBSTITUTE(SUBSTITUTE(SUBSTITUTE(SUBSTITUTE(CONCATENATE(JOIN(""-"",GC28:GO28)),""--"",""-""),""--"",""-""),""--"",""-""),""--"",""-"")"),"1-b2-2-b3-4-5-b6-b7-8")</f>
        <v>1-b2-2-b3-4-5-b6-b7-8</v>
      </c>
      <c r="BT28" s="299" t="str">
        <f>IFERROR(__xludf.DUMMYFUNCTION("SUBSTITUTE(SUBSTITUTE(SUBSTITUTE(SUBSTITUTE(CONCATENATE(JOIN(""-"",GP28:HB28)),""--"",""-""),""--"",""-""),""--"",""-""),""--"",""-"")"),"S-R1-R2-G2-M1-P-D1-N2-S")</f>
        <v>S-R1-R2-G2-M1-P-D1-N2-S</v>
      </c>
      <c r="BU28" s="348" t="str">
        <f t="shared" si="29"/>
        <v>C-Db-D-Eb-F-G-Ab-Bb-C</v>
      </c>
      <c r="BV28" s="349" t="str">
        <f t="shared" si="30"/>
        <v>SGMDNS</v>
      </c>
      <c r="BW28" s="350">
        <f t="shared" si="31"/>
        <v>1</v>
      </c>
      <c r="BX28" s="351">
        <f t="shared" si="32"/>
        <v>3</v>
      </c>
      <c r="BY28" s="352" t="s">
        <v>275</v>
      </c>
      <c r="BZ28" s="309" t="str">
        <f>IFERROR(__xludf.DUMMYFUNCTION("IF(REGEXMATCH(C28, ""S""), ""x"",""x"")"),"x")</f>
        <v>x</v>
      </c>
      <c r="CA28" s="245" t="str">
        <f>IFERROR(__xludf.DUMMYFUNCTION("IF(REGEXMATCH(C28, ""r""), ""o"",""x"")"),"o")</f>
        <v>o</v>
      </c>
      <c r="CB28" s="246" t="str">
        <f>IFERROR(__xludf.DUMMYFUNCTION("IF(REGEXMATCH(C28, ""R""), ""o"",""x"")"),"o")</f>
        <v>o</v>
      </c>
      <c r="CC28" s="246" t="str">
        <f>IFERROR(__xludf.DUMMYFUNCTION("IF(REGEXMATCH(C28, ""g""), ""o"",""x"")"),"o")</f>
        <v>o</v>
      </c>
      <c r="CD28" s="245" t="str">
        <f>IFERROR(__xludf.DUMMYFUNCTION("IF(REGEXMATCH(C28, ""G""), ""o"",""x"")"),"x")</f>
        <v>x</v>
      </c>
      <c r="CE28" s="245" t="str">
        <f>IFERROR(__xludf.DUMMYFUNCTION("IF(REGEXMATCH(C28, ""m""), ""o"",""x"")"),"o")</f>
        <v>o</v>
      </c>
      <c r="CF28" s="246" t="str">
        <f>IFERROR(__xludf.DUMMYFUNCTION("IF(REGEXMATCH(C28, ""M""), ""o"",""x"")"),"x")</f>
        <v>x</v>
      </c>
      <c r="CG28" s="245" t="str">
        <f>IFERROR(__xludf.DUMMYFUNCTION("IF(REGEXMATCH(C28, ""P""), ""o"",""x"")"),"o")</f>
        <v>o</v>
      </c>
      <c r="CH28" s="246" t="str">
        <f>IFERROR(__xludf.DUMMYFUNCTION("IF(REGEXMATCH(C28, ""d""), ""o"",""x"")"),"o")</f>
        <v>o</v>
      </c>
      <c r="CI28" s="245" t="str">
        <f>IFERROR(__xludf.DUMMYFUNCTION("IF(REGEXMATCH(C28, ""D""), ""o"",""x"")"),"x")</f>
        <v>x</v>
      </c>
      <c r="CJ28" s="245" t="str">
        <f>IFERROR(__xludf.DUMMYFUNCTION("IF(REGEXMATCH(C28, ""n""), ""o"",""x"")"),"o")</f>
        <v>o</v>
      </c>
      <c r="CK28" s="245" t="str">
        <f>IFERROR(__xludf.DUMMYFUNCTION("IF(REGEXMATCH(C28, ""N""), ""o"",""x"")"),"x")</f>
        <v>x</v>
      </c>
      <c r="CL28" s="356" t="str">
        <f>IFERROR(__xludf.DUMMYFUNCTION("IF(REGEXMATCH(C28, ""S""), ""x"",""x"")"),"x")</f>
        <v>x</v>
      </c>
      <c r="CM28" s="357" t="str">
        <f t="shared" si="33"/>
        <v>xoooxoxooxox</v>
      </c>
      <c r="CN28" s="358">
        <f t="shared" si="34"/>
        <v>1</v>
      </c>
      <c r="CO28" s="246" t="str">
        <f>IFERROR(__xludf.DUMMYFUNCTION("IF(REGEXMATCH($C28, ""S""), ""S"",""S"")"),"S")</f>
        <v>S</v>
      </c>
      <c r="CP28" s="246" t="str">
        <f>IFERROR(__xludf.DUMMYFUNCTION("IF(REGEXMATCH($C28, ""r""), """",""r"")"),"")</f>
        <v/>
      </c>
      <c r="CQ28" s="246" t="str">
        <f>IFERROR(__xludf.DUMMYFUNCTION("IF(REGEXMATCH($C28, ""R""), """",""R"")"),"")</f>
        <v/>
      </c>
      <c r="CR28" s="246" t="str">
        <f>IFERROR(__xludf.DUMMYFUNCTION("IF(REGEXMATCH($C28, ""g""), """",""g"")"),"")</f>
        <v/>
      </c>
      <c r="CS28" s="246" t="str">
        <f>IFERROR(__xludf.DUMMYFUNCTION("IF(REGEXMATCH($C28, ""G""), """",""G"")"),"G")</f>
        <v>G</v>
      </c>
      <c r="CT28" s="246" t="str">
        <f>IFERROR(__xludf.DUMMYFUNCTION("IF(REGEXMATCH($C28, ""m""), """",""m"")"),"")</f>
        <v/>
      </c>
      <c r="CU28" s="246" t="str">
        <f>IFERROR(__xludf.DUMMYFUNCTION("IF(REGEXMATCH($C28, ""M""), """",""M"")"),"M")</f>
        <v>M</v>
      </c>
      <c r="CV28" s="246" t="str">
        <f>IFERROR(__xludf.DUMMYFUNCTION("IF(REGEXMATCH($C28, ""P""), """",""P"")"),"")</f>
        <v/>
      </c>
      <c r="CW28" s="246" t="str">
        <f>IFERROR(__xludf.DUMMYFUNCTION("IF(REGEXMATCH($C28, ""d""), """",""d"")"),"")</f>
        <v/>
      </c>
      <c r="CX28" s="246" t="str">
        <f>IFERROR(__xludf.DUMMYFUNCTION("IF(REGEXMATCH($C28, ""D""), """",""D"")"),"D")</f>
        <v>D</v>
      </c>
      <c r="CY28" s="246" t="str">
        <f>IFERROR(__xludf.DUMMYFUNCTION("IF(REGEXMATCH($C28, ""n""), """",""n"")"),"")</f>
        <v/>
      </c>
      <c r="CZ28" s="246" t="str">
        <f>IFERROR(__xludf.DUMMYFUNCTION("IF(REGEXMATCH($C28, ""N""), """",""N"")"),"N")</f>
        <v>N</v>
      </c>
      <c r="DA28" s="246" t="str">
        <f>IFERROR(__xludf.DUMMYFUNCTION("IF(REGEXMATCH($C28, ""S""), ""S"",""S"")"),"S")</f>
        <v>S</v>
      </c>
      <c r="DB28" s="362" t="str">
        <f>IFERROR(__xludf.DUMMYFUNCTION("JOIN("""",CO28:DA28,"""","""")"),"SGMDNS")</f>
        <v>SGMDNS</v>
      </c>
      <c r="DC28" s="363"/>
      <c r="DD28" s="301" t="str">
        <f t="shared" si="35"/>
        <v>#REF!</v>
      </c>
      <c r="DE28" s="302" t="str">
        <f t="shared" si="36"/>
        <v>#REF!</v>
      </c>
      <c r="DF28" s="301" t="str">
        <f t="shared" ref="DF28:DG28" si="247">SUBSTITUTE(S28,"-","")</f>
        <v>SRGM</v>
      </c>
      <c r="DG28" s="301" t="str">
        <f t="shared" si="247"/>
        <v>PDNS</v>
      </c>
      <c r="DH28" s="302" t="str">
        <f t="shared" si="38"/>
        <v>Bihag</v>
      </c>
      <c r="DI28" s="301" t="str">
        <f t="shared" si="39"/>
        <v>Hemi.</v>
      </c>
      <c r="DJ28" s="364" t="str">
        <f t="shared" si="40"/>
        <v>Co-Co.</v>
      </c>
      <c r="DK28" s="306" t="str">
        <f t="shared" si="41"/>
        <v>-</v>
      </c>
      <c r="DL28" s="366" t="str">
        <f t="shared" si="42"/>
        <v>-</v>
      </c>
      <c r="DM28" s="308" t="str">
        <f t="shared" si="43"/>
        <v>✔</v>
      </c>
      <c r="DN28" s="306" t="str">
        <f t="shared" si="44"/>
        <v>-</v>
      </c>
      <c r="DO28" s="306" t="str">
        <f t="shared" si="45"/>
        <v>-</v>
      </c>
      <c r="DP28" s="367" t="str">
        <f t="shared" si="46"/>
        <v>-</v>
      </c>
      <c r="DQ28" s="310" t="str">
        <f t="shared" si="47"/>
        <v>✔</v>
      </c>
      <c r="DR28" s="310" t="str">
        <f t="shared" si="48"/>
        <v>-</v>
      </c>
      <c r="DS28" s="310" t="str">
        <f t="shared" si="49"/>
        <v>-</v>
      </c>
      <c r="DT28" s="310" t="str">
        <f t="shared" si="50"/>
        <v>-</v>
      </c>
      <c r="DU28" s="370" t="str">
        <f t="shared" si="51"/>
        <v>-</v>
      </c>
      <c r="DV28" s="306" t="str">
        <f t="shared" si="52"/>
        <v>-</v>
      </c>
      <c r="DW28" s="306" t="str">
        <f t="shared" si="53"/>
        <v>-</v>
      </c>
      <c r="DX28" s="306" t="str">
        <f t="shared" si="54"/>
        <v>-</v>
      </c>
      <c r="DY28" s="306" t="str">
        <f t="shared" si="55"/>
        <v>-</v>
      </c>
      <c r="DZ28" s="306" t="str">
        <f t="shared" si="56"/>
        <v>-</v>
      </c>
      <c r="EA28" s="367" t="str">
        <f t="shared" si="57"/>
        <v>-</v>
      </c>
      <c r="EB28" s="310" t="str">
        <f>IFERROR(__xludf.DUMMYFUNCTION("IF(REGEXMATCH(AW28,AS28),""✔"",""-"")"),"✔")</f>
        <v>✔</v>
      </c>
      <c r="EC28" s="310" t="str">
        <f t="shared" si="58"/>
        <v>#REF!</v>
      </c>
      <c r="ED28" s="370" t="str">
        <f t="shared" si="59"/>
        <v>-</v>
      </c>
      <c r="EE28" s="340" t="str">
        <f t="shared" si="60"/>
        <v>S-rR-g-m-P-d-n-S</v>
      </c>
      <c r="EF28" s="371" t="str">
        <f>IFERROR(__xludf.DUMMYFUNCTION("CONCATENATE(JOIN("""",HC28:HO28))"),"SRGmPDnNS")</f>
        <v>SRGmPDnNS</v>
      </c>
      <c r="EG28" s="372">
        <f t="shared" si="61"/>
        <v>1</v>
      </c>
      <c r="EH28" s="373" t="str">
        <f>IFERROR(__xludf.DUMMYFUNCTION("CONCATENATE(JOIN("""",JC28:JO28))"),"Re, ")</f>
        <v>Re, </v>
      </c>
      <c r="EI28" s="322">
        <f t="shared" si="62"/>
        <v>0</v>
      </c>
      <c r="EJ28" s="374" t="str">
        <f>IFERROR(__xludf.DUMMYFUNCTION("CONCATENATE(JOIN("""",KC28:KO28))"),"")</f>
        <v/>
      </c>
      <c r="EK28" s="325" t="str">
        <f t="shared" si="63"/>
        <v>S-R1-R2-G2-M1-P-D1-N2-S</v>
      </c>
      <c r="EL28" s="326" t="str">
        <f t="shared" si="64"/>
        <v>1-b2-2-b3-4-5-b6-b7-8</v>
      </c>
      <c r="EM28" s="318" t="str">
        <f t="shared" si="65"/>
        <v>#REF!</v>
      </c>
      <c r="EN28" s="328" t="str">
        <f>IFERROR(__xludf.DUMMYFUNCTION("SUBSTITUTE(SUBSTITUTE(SUBSTITUTE(SUBSTITUTE(CONCATENATE(JOIN("" "",HP28:IB28)),""  "","" ""),""  "","" ""),""  "","" ""),""  "","" "")"),"o o o o • o • o o • o • o")</f>
        <v>o o o o • o • o o • o • o</v>
      </c>
      <c r="EO28" s="368" t="str">
        <f t="shared" si="66"/>
        <v>-</v>
      </c>
      <c r="EP28" s="339" t="str">
        <f t="shared" si="67"/>
        <v>-</v>
      </c>
      <c r="EQ28" s="339" t="str">
        <f t="shared" si="68"/>
        <v>Sa-Pa</v>
      </c>
      <c r="ER28" s="339" t="str">
        <f t="shared" si="69"/>
        <v>-</v>
      </c>
      <c r="ES28" s="340" t="str">
        <f t="shared" si="70"/>
        <v>-</v>
      </c>
      <c r="ET28" s="363"/>
      <c r="EU28" s="376" t="b">
        <f>IFERROR(__xludf.DUMMYFUNCTION("arrayformula(sum(--REGEXMATCH(""SRGMPDNS"",split(REGEXREPLACE(C28,""(.)"",""$1~""),""~""))))=len(C28)
"),FALSE)</f>
        <v>0</v>
      </c>
      <c r="EV28" s="290" t="b">
        <f>IFERROR(__xludf.DUMMYFUNCTION("arrayformula(sum(--REGEXMATCH(""SRGmPDNS"",split(REGEXREPLACE(C28,""(.)"",""$1~""),""~""))))=len(C28)"),FALSE)</f>
        <v>0</v>
      </c>
      <c r="EW28" s="290" t="b">
        <f>IFERROR(__xludf.DUMMYFUNCTION("arrayformula(sum(--REGEXMATCH(""SRGmPDnS"",split(REGEXREPLACE(C28,""(.)"",""$1~""),""~""))))=len(C28)"),FALSE)</f>
        <v>0</v>
      </c>
      <c r="EX28" s="290" t="b">
        <f>IFERROR(__xludf.DUMMYFUNCTION("arrayformula(sum(--REGEXMATCH(""SRgmPDnS"",split(REGEXREPLACE(C28,""(.)"",""$1~""),""~""))))=len(C28)"),FALSE)</f>
        <v>0</v>
      </c>
      <c r="EY28" s="290" t="b">
        <f>IFERROR(__xludf.DUMMYFUNCTION("arrayformula(sum(--REGEXMATCH(""SRgmPdnS"",split(REGEXREPLACE(C28,""(.)"",""$1~""),""~""))))=len(C28)"),FALSE)</f>
        <v>0</v>
      </c>
      <c r="EZ28" s="290" t="b">
        <f>IFERROR(__xludf.DUMMYFUNCTION("arrayformula(sum(--REGEXMATCH(""SrgmPdnS"",split(REGEXREPLACE(C28,""(.)"",""$1~""),""~""))))=len(C28)"),FALSE)</f>
        <v>0</v>
      </c>
      <c r="FA28" s="290" t="b">
        <f>IFERROR(__xludf.DUMMYFUNCTION("arrayformula(sum(--REGEXMATCH(""SrGmPdNS"",split(REGEXREPLACE(C28,""(.)"",""$1~""),""~""))))=len(C28)"),FALSE)</f>
        <v>0</v>
      </c>
      <c r="FB28" s="290" t="b">
        <f>IFERROR(__xludf.DUMMYFUNCTION("arrayformula(sum(--REGEXMATCH(""SrGMPDNS"",split(REGEXREPLACE(C28,""(.)"",""$1~""),""~""))))=len(C28)"),FALSE)</f>
        <v>0</v>
      </c>
      <c r="FC28" s="290" t="b">
        <f>IFERROR(__xludf.DUMMYFUNCTION("arrayformula(sum(--REGEXMATCH(""SrGMPdNS"",split(REGEXREPLACE(C28,""(.)"",""$1~""),""~""))))=len(C28)"),FALSE)</f>
        <v>0</v>
      </c>
      <c r="FD28" s="377" t="b">
        <f>IFERROR(__xludf.DUMMYFUNCTION("arrayformula(sum(--REGEXMATCH(""SrgMPdNS"",split(REGEXREPLACE(C28,""(.)"",""$1~""),""~""))))=len(C28)"),FALSE)</f>
        <v>0</v>
      </c>
      <c r="FE28" s="269" t="str">
        <f t="shared" si="71"/>
        <v>xxxoxoxxoxo</v>
      </c>
      <c r="FF28" s="269" t="str">
        <f t="shared" si="72"/>
        <v>xxoxoxxoxox</v>
      </c>
      <c r="FG28" s="271" t="str">
        <f t="shared" si="73"/>
        <v>xoxoxxoxoxx</v>
      </c>
      <c r="FH28" s="269" t="str">
        <f t="shared" si="74"/>
        <v>-</v>
      </c>
      <c r="FI28" s="271" t="str">
        <f t="shared" si="75"/>
        <v>xoxxoxoxxxx</v>
      </c>
      <c r="FJ28" s="271" t="str">
        <f t="shared" si="76"/>
        <v>-</v>
      </c>
      <c r="FK28" s="271" t="str">
        <f t="shared" si="77"/>
        <v>xxoxoxxxxox</v>
      </c>
      <c r="FL28" s="271" t="str">
        <f t="shared" si="78"/>
        <v>xoxoxxxxoxo</v>
      </c>
      <c r="FM28" s="271" t="str">
        <f t="shared" si="79"/>
        <v>-</v>
      </c>
      <c r="FN28" s="271" t="str">
        <f t="shared" si="80"/>
        <v>xoxxxxoxoxx</v>
      </c>
      <c r="FO28" s="274" t="str">
        <f t="shared" si="81"/>
        <v>-</v>
      </c>
      <c r="FP28" s="234" t="str">
        <f t="shared" si="82"/>
        <v>|</v>
      </c>
      <c r="FQ28" s="236" t="str">
        <f t="shared" si="83"/>
        <v>|</v>
      </c>
      <c r="FR28" s="237" t="str">
        <f t="shared" si="84"/>
        <v>|</v>
      </c>
      <c r="FS28" s="236" t="str">
        <f t="shared" si="85"/>
        <v>|</v>
      </c>
      <c r="FT28" s="237" t="str">
        <f t="shared" si="86"/>
        <v>-</v>
      </c>
      <c r="FU28" s="236" t="str">
        <f t="shared" si="87"/>
        <v>|</v>
      </c>
      <c r="FV28" s="237" t="str">
        <f t="shared" si="88"/>
        <v>-</v>
      </c>
      <c r="FW28" s="236" t="str">
        <f t="shared" si="89"/>
        <v>|</v>
      </c>
      <c r="FX28" s="237" t="str">
        <f t="shared" si="90"/>
        <v>|</v>
      </c>
      <c r="FY28" s="236" t="str">
        <f t="shared" si="91"/>
        <v>-</v>
      </c>
      <c r="FZ28" s="237" t="str">
        <f t="shared" si="92"/>
        <v>|</v>
      </c>
      <c r="GA28" s="236" t="str">
        <f t="shared" si="93"/>
        <v>-</v>
      </c>
      <c r="GB28" s="238" t="str">
        <f t="shared" si="94"/>
        <v>|</v>
      </c>
      <c r="GC28" s="244" t="str">
        <f>IFERROR(__xludf.DUMMYFUNCTION("IF(REGEXMATCH(C28, ""S""), ""1"","""")"),"1")</f>
        <v>1</v>
      </c>
      <c r="GD28" s="245" t="str">
        <f>IFERROR(__xludf.DUMMYFUNCTION("IF(REGEXMATCH(C28, ""r""), ""b2"","""")"),"b2")</f>
        <v>b2</v>
      </c>
      <c r="GE28" s="246" t="str">
        <f>IFERROR(__xludf.DUMMYFUNCTION("IF(REGEXMATCH(C28, ""R""), ""2"","""")"),"2")</f>
        <v>2</v>
      </c>
      <c r="GF28" s="246" t="str">
        <f>IFERROR(__xludf.DUMMYFUNCTION("IF(REGEXMATCH(C28, ""g""), ""b3"","""")"),"b3")</f>
        <v>b3</v>
      </c>
      <c r="GG28" s="245" t="str">
        <f>IFERROR(__xludf.DUMMYFUNCTION("IF(REGEXMATCH(C28, ""G""), ""3"","""")"),"")</f>
        <v/>
      </c>
      <c r="GH28" s="245" t="str">
        <f>IFERROR(__xludf.DUMMYFUNCTION("IF(REGEXMATCH(C28, ""m""), ""4"","""")"),"4")</f>
        <v>4</v>
      </c>
      <c r="GI28" s="246" t="str">
        <f>IFERROR(__xludf.DUMMYFUNCTION("IF(REGEXMATCH(C28, ""M""), ""#4"","""")"),"")</f>
        <v/>
      </c>
      <c r="GJ28" s="245" t="str">
        <f>IFERROR(__xludf.DUMMYFUNCTION("IF(REGEXMATCH(C28, ""P""), ""5"","""")"),"5")</f>
        <v>5</v>
      </c>
      <c r="GK28" s="246" t="str">
        <f>IFERROR(__xludf.DUMMYFUNCTION("IF(REGEXMATCH(C28, ""d""), ""b6"","""")"),"b6")</f>
        <v>b6</v>
      </c>
      <c r="GL28" s="245" t="str">
        <f>IFERROR(__xludf.DUMMYFUNCTION("IF(REGEXMATCH(C28, ""D""), ""6"","""")"),"")</f>
        <v/>
      </c>
      <c r="GM28" s="245" t="str">
        <f>IFERROR(__xludf.DUMMYFUNCTION("IF(REGEXMATCH(C28, ""n""), ""b7"","""")"),"b7")</f>
        <v>b7</v>
      </c>
      <c r="GN28" s="246" t="str">
        <f>IFERROR(__xludf.DUMMYFUNCTION("IF(REGEXMATCH(C28, ""N""), ""7"","""")"),"")</f>
        <v/>
      </c>
      <c r="GO28" s="249" t="str">
        <f>IFERROR(__xludf.DUMMYFUNCTION("IF(REGEXMATCH(C28, ""S""), ""8"","""")"),"8")</f>
        <v>8</v>
      </c>
      <c r="GP28" s="244" t="str">
        <f>IFERROR(__xludf.DUMMYFUNCTION("IF(REGEXMATCH(C28, ""S""), ""S"","""")"),"S")</f>
        <v>S</v>
      </c>
      <c r="GQ28" s="294" t="str">
        <f>IFERROR(__xludf.DUMMYFUNCTION("IF(REGEXMATCH(C28, ""r""), ""R1"","""")"),"R1")</f>
        <v>R1</v>
      </c>
      <c r="GR28" s="295" t="str">
        <f>IFERROR(__xludf.DUMMYFUNCTION("IF(REGEXMATCH(C28, ""R""), ""R2"","""")"),"R2")</f>
        <v>R2</v>
      </c>
      <c r="GS28" s="295" t="str">
        <f>IFERROR(__xludf.DUMMYFUNCTION("IF(REGEXMATCH(C28, ""g""), ""G2"","""")"),"G2")</f>
        <v>G2</v>
      </c>
      <c r="GT28" s="294" t="str">
        <f>IFERROR(__xludf.DUMMYFUNCTION("IF(REGEXMATCH(C28, ""G""), ""G3"","""")"),"")</f>
        <v/>
      </c>
      <c r="GU28" s="294" t="str">
        <f>IFERROR(__xludf.DUMMYFUNCTION("IF(REGEXMATCH(C28, ""m""), ""M1"","""")"),"M1")</f>
        <v>M1</v>
      </c>
      <c r="GV28" s="295" t="str">
        <f>IFERROR(__xludf.DUMMYFUNCTION("IF(REGEXMATCH(C28, ""M""), ""M2"","""")"),"")</f>
        <v/>
      </c>
      <c r="GW28" s="294" t="str">
        <f>IFERROR(__xludf.DUMMYFUNCTION("IF(REGEXMATCH(C28, ""P""), ""P"","""")"),"P")</f>
        <v>P</v>
      </c>
      <c r="GX28" s="295" t="str">
        <f>IFERROR(__xludf.DUMMYFUNCTION("IF(REGEXMATCH(C28, ""d""), ""D1"","""")"),"D1")</f>
        <v>D1</v>
      </c>
      <c r="GY28" s="294" t="str">
        <f>IFERROR(__xludf.DUMMYFUNCTION("IF(REGEXMATCH(C28, ""D""), ""D2"","""")"),"")</f>
        <v/>
      </c>
      <c r="GZ28" s="294" t="str">
        <f>IFERROR(__xludf.DUMMYFUNCTION("IF(REGEXMATCH(C28, ""n""), ""N2"","""")"),"N2")</f>
        <v>N2</v>
      </c>
      <c r="HA28" s="295" t="str">
        <f>IFERROR(__xludf.DUMMYFUNCTION("IF(REGEXMATCH(C28, ""N""), ""N3"","""")"),"")</f>
        <v/>
      </c>
      <c r="HB28" s="249" t="str">
        <f>IFERROR(__xludf.DUMMYFUNCTION("IF(REGEXMATCH(C28, ""S""), ""S"","""")"),"S")</f>
        <v>S</v>
      </c>
      <c r="HC28" s="331" t="str">
        <f t="shared" si="95"/>
        <v>S</v>
      </c>
      <c r="HD28" s="332" t="str">
        <f t="shared" si="96"/>
        <v/>
      </c>
      <c r="HE28" s="332" t="str">
        <f t="shared" si="97"/>
        <v>R</v>
      </c>
      <c r="HF28" s="332" t="str">
        <f t="shared" si="98"/>
        <v/>
      </c>
      <c r="HG28" s="332" t="str">
        <f t="shared" si="99"/>
        <v>G</v>
      </c>
      <c r="HH28" s="332" t="str">
        <f t="shared" si="100"/>
        <v>m</v>
      </c>
      <c r="HI28" s="332" t="str">
        <f t="shared" si="101"/>
        <v/>
      </c>
      <c r="HJ28" s="332" t="str">
        <f t="shared" si="102"/>
        <v>P</v>
      </c>
      <c r="HK28" s="332" t="str">
        <f t="shared" si="103"/>
        <v/>
      </c>
      <c r="HL28" s="332" t="str">
        <f t="shared" si="104"/>
        <v>D</v>
      </c>
      <c r="HM28" s="332" t="str">
        <f t="shared" si="105"/>
        <v>n</v>
      </c>
      <c r="HN28" s="332" t="str">
        <f t="shared" si="106"/>
        <v>N</v>
      </c>
      <c r="HO28" s="343" t="str">
        <f t="shared" si="107"/>
        <v>S</v>
      </c>
      <c r="HP28" s="331" t="str">
        <f t="shared" si="108"/>
        <v>o</v>
      </c>
      <c r="HQ28" s="332" t="str">
        <f t="shared" si="109"/>
        <v>o</v>
      </c>
      <c r="HR28" s="332" t="str">
        <f t="shared" si="110"/>
        <v>o</v>
      </c>
      <c r="HS28" s="332" t="str">
        <f t="shared" si="111"/>
        <v>o</v>
      </c>
      <c r="HT28" s="332" t="str">
        <f t="shared" si="112"/>
        <v>•</v>
      </c>
      <c r="HU28" s="332" t="str">
        <f t="shared" si="113"/>
        <v>o</v>
      </c>
      <c r="HV28" s="332" t="str">
        <f t="shared" si="114"/>
        <v>•</v>
      </c>
      <c r="HW28" s="332" t="str">
        <f t="shared" si="115"/>
        <v>o</v>
      </c>
      <c r="HX28" s="332" t="str">
        <f t="shared" si="116"/>
        <v>o</v>
      </c>
      <c r="HY28" s="332" t="str">
        <f t="shared" si="117"/>
        <v>•</v>
      </c>
      <c r="HZ28" s="332" t="str">
        <f t="shared" si="118"/>
        <v>o</v>
      </c>
      <c r="IA28" s="332" t="str">
        <f t="shared" si="119"/>
        <v>•</v>
      </c>
      <c r="IB28" s="338" t="str">
        <f t="shared" si="120"/>
        <v>o</v>
      </c>
      <c r="IC28" s="331" t="str">
        <f t="shared" si="121"/>
        <v>•</v>
      </c>
      <c r="ID28" s="332" t="str">
        <f t="shared" si="122"/>
        <v>•</v>
      </c>
      <c r="IE28" s="332" t="str">
        <f t="shared" si="123"/>
        <v>•</v>
      </c>
      <c r="IF28" s="332" t="str">
        <f t="shared" si="124"/>
        <v>•</v>
      </c>
      <c r="IG28" s="332" t="str">
        <f t="shared" si="125"/>
        <v>o</v>
      </c>
      <c r="IH28" s="332" t="str">
        <f t="shared" si="126"/>
        <v>•</v>
      </c>
      <c r="II28" s="332" t="str">
        <f t="shared" si="127"/>
        <v>o</v>
      </c>
      <c r="IJ28" s="332" t="str">
        <f t="shared" si="128"/>
        <v>•</v>
      </c>
      <c r="IK28" s="332" t="str">
        <f t="shared" si="129"/>
        <v>•</v>
      </c>
      <c r="IL28" s="332" t="str">
        <f t="shared" si="130"/>
        <v>o</v>
      </c>
      <c r="IM28" s="332" t="str">
        <f t="shared" si="131"/>
        <v>•</v>
      </c>
      <c r="IN28" s="332" t="str">
        <f t="shared" si="132"/>
        <v>o</v>
      </c>
      <c r="IO28" s="338" t="str">
        <f t="shared" si="133"/>
        <v>•</v>
      </c>
      <c r="IP28" s="346" t="b">
        <f t="shared" si="134"/>
        <v>0</v>
      </c>
      <c r="IQ28" s="347" t="b">
        <f t="shared" si="135"/>
        <v>0</v>
      </c>
      <c r="IR28" s="347" t="b">
        <f t="shared" si="136"/>
        <v>1</v>
      </c>
      <c r="IS28" s="347" t="b">
        <f t="shared" si="137"/>
        <v>0</v>
      </c>
      <c r="IT28" s="347" t="b">
        <f t="shared" si="138"/>
        <v>0</v>
      </c>
      <c r="IU28" s="347" t="b">
        <f t="shared" si="139"/>
        <v>0</v>
      </c>
      <c r="IV28" s="347" t="b">
        <f t="shared" si="140"/>
        <v>0</v>
      </c>
      <c r="IW28" s="347" t="b">
        <f t="shared" si="141"/>
        <v>0</v>
      </c>
      <c r="IX28" s="347" t="b">
        <f t="shared" si="142"/>
        <v>0</v>
      </c>
      <c r="IY28" s="347" t="b">
        <f t="shared" si="143"/>
        <v>0</v>
      </c>
      <c r="IZ28" s="347" t="b">
        <f t="shared" si="144"/>
        <v>0</v>
      </c>
      <c r="JA28" s="347" t="b">
        <f t="shared" si="145"/>
        <v>0</v>
      </c>
      <c r="JB28" s="353" t="b">
        <f t="shared" si="146"/>
        <v>0</v>
      </c>
      <c r="JC28" s="354" t="str">
        <f t="shared" si="147"/>
        <v/>
      </c>
      <c r="JD28" s="355" t="str">
        <f t="shared" si="148"/>
        <v/>
      </c>
      <c r="JE28" s="355" t="str">
        <f t="shared" si="149"/>
        <v>Re, </v>
      </c>
      <c r="JF28" s="355" t="str">
        <f t="shared" si="150"/>
        <v/>
      </c>
      <c r="JG28" s="355" t="str">
        <f t="shared" si="151"/>
        <v/>
      </c>
      <c r="JH28" s="355" t="str">
        <f t="shared" si="152"/>
        <v/>
      </c>
      <c r="JI28" s="355" t="str">
        <f t="shared" si="153"/>
        <v/>
      </c>
      <c r="JJ28" s="355" t="str">
        <f t="shared" si="154"/>
        <v/>
      </c>
      <c r="JK28" s="355" t="str">
        <f t="shared" si="155"/>
        <v/>
      </c>
      <c r="JL28" s="355" t="str">
        <f t="shared" si="156"/>
        <v/>
      </c>
      <c r="JM28" s="355" t="str">
        <f t="shared" si="157"/>
        <v/>
      </c>
      <c r="JN28" s="355" t="str">
        <f t="shared" si="158"/>
        <v/>
      </c>
      <c r="JO28" s="359" t="str">
        <f t="shared" si="159"/>
        <v/>
      </c>
      <c r="JP28" s="346" t="b">
        <f t="shared" si="160"/>
        <v>0</v>
      </c>
      <c r="JQ28" s="347" t="b">
        <f t="shared" si="161"/>
        <v>0</v>
      </c>
      <c r="JR28" s="347" t="b">
        <f t="shared" si="162"/>
        <v>0</v>
      </c>
      <c r="JS28" s="347" t="b">
        <f t="shared" si="163"/>
        <v>0</v>
      </c>
      <c r="JT28" s="347" t="b">
        <f t="shared" si="164"/>
        <v>0</v>
      </c>
      <c r="JU28" s="347" t="b">
        <f t="shared" si="165"/>
        <v>0</v>
      </c>
      <c r="JV28" s="347" t="b">
        <f t="shared" si="166"/>
        <v>0</v>
      </c>
      <c r="JW28" s="347" t="b">
        <f t="shared" si="167"/>
        <v>0</v>
      </c>
      <c r="JX28" s="347" t="b">
        <f t="shared" si="168"/>
        <v>0</v>
      </c>
      <c r="JY28" s="347" t="b">
        <f t="shared" si="169"/>
        <v>0</v>
      </c>
      <c r="JZ28" s="347" t="b">
        <f t="shared" si="170"/>
        <v>0</v>
      </c>
      <c r="KA28" s="347" t="b">
        <f t="shared" si="171"/>
        <v>0</v>
      </c>
      <c r="KB28" s="365" t="b">
        <f t="shared" si="172"/>
        <v>0</v>
      </c>
      <c r="KC28" s="354" t="str">
        <f t="shared" si="173"/>
        <v/>
      </c>
      <c r="KD28" s="355" t="str">
        <f t="shared" si="174"/>
        <v/>
      </c>
      <c r="KE28" s="355" t="str">
        <f t="shared" si="175"/>
        <v/>
      </c>
      <c r="KF28" s="355" t="str">
        <f t="shared" si="176"/>
        <v/>
      </c>
      <c r="KG28" s="355" t="str">
        <f t="shared" si="177"/>
        <v/>
      </c>
      <c r="KH28" s="355" t="str">
        <f t="shared" si="178"/>
        <v/>
      </c>
      <c r="KI28" s="355" t="str">
        <f t="shared" si="179"/>
        <v/>
      </c>
      <c r="KJ28" s="355" t="str">
        <f t="shared" si="180"/>
        <v/>
      </c>
      <c r="KK28" s="355" t="str">
        <f t="shared" si="181"/>
        <v/>
      </c>
      <c r="KL28" s="355" t="str">
        <f t="shared" si="182"/>
        <v/>
      </c>
      <c r="KM28" s="355" t="str">
        <f t="shared" si="183"/>
        <v/>
      </c>
      <c r="KN28" s="355" t="str">
        <f t="shared" si="184"/>
        <v/>
      </c>
      <c r="KO28" s="359"/>
      <c r="KP28" s="378"/>
      <c r="KQ28" s="379" t="s">
        <v>1160</v>
      </c>
      <c r="KR28" s="380" t="s">
        <v>1289</v>
      </c>
      <c r="KS28" s="381" t="str">
        <f t="shared" si="248"/>
        <v>S-R-m-P-d-S</v>
      </c>
      <c r="KT28" s="382">
        <f t="shared" si="186"/>
        <v>5</v>
      </c>
      <c r="KU28" s="383">
        <f t="shared" si="187"/>
        <v>5</v>
      </c>
      <c r="KV28" s="381" t="str">
        <f t="shared" si="205"/>
        <v>S-n-d-P-m-g-Rr-S</v>
      </c>
      <c r="KW28" s="382">
        <f t="shared" si="189"/>
        <v>7</v>
      </c>
      <c r="KX28" s="384">
        <f t="shared" si="190"/>
        <v>8</v>
      </c>
      <c r="KY28" s="382">
        <f t="shared" ref="KY28:KZ28" si="249">KW28-KT28</f>
        <v>2</v>
      </c>
      <c r="KZ28" s="369">
        <f t="shared" si="249"/>
        <v>3</v>
      </c>
      <c r="LA28" s="385" t="str">
        <f t="shared" si="192"/>
        <v>-</v>
      </c>
      <c r="LB28" s="340" t="str">
        <f>IFERROR(__xludf.DUMMYFUNCTION("JOIN("""",ArrayFormula(MID(KS28,LEN(KS28)-SEQUENCE(1,LEN(KS28))+1,1)))"),"S-d-P-m-R-S")</f>
        <v>S-d-P-m-R-S</v>
      </c>
      <c r="LC28" s="373" t="str">
        <f>IFERROR(__xludf.DUMMYFUNCTION("JOIN("""",ArrayFormula(MID(KV28,LEN(KV28)-SEQUENCE(1,LEN(KV28))+1,1)))"),"S-rR-g-m-P-d-n-S")</f>
        <v>S-rR-g-m-P-d-n-S</v>
      </c>
      <c r="LD28" s="373" t="str">
        <f t="shared" si="193"/>
        <v>SRmPdS</v>
      </c>
      <c r="LE28" s="339" t="str">
        <f t="shared" si="194"/>
        <v>SrRgmPdnS</v>
      </c>
      <c r="LF28" s="386" t="str">
        <f>IFERROR(__xludf.DUMMYFUNCTION("SUBSTITUTE(SUBSTITUTE(CONCATENATE(JOIN("""",LH28:LT28)),""1"",""""),""2"","""")"),"SrRgmPdnS")</f>
        <v>SrRgmPdnS</v>
      </c>
      <c r="LG28" s="369" t="str">
        <f t="shared" si="195"/>
        <v>✔</v>
      </c>
      <c r="LH28" s="387" t="str">
        <f>IFERROR(__xludf.DUMMYFUNCTION("IF(REGEXMATCH(LD28, ""S""), ""S"",IF(REGEXMATCH(LE28, ""S""), ""S"",""""))"),"S")</f>
        <v>S</v>
      </c>
      <c r="LI28" s="299" t="str">
        <f>IFERROR(__xludf.DUMMYFUNCTION("IF(REGEXMATCH(LD28, ""r""), ""r1"",IF(REGEXMATCH(LE28, ""r""), ""r2"",""""))"),"r2")</f>
        <v>r2</v>
      </c>
      <c r="LJ28" s="299" t="str">
        <f>IFERROR(__xludf.DUMMYFUNCTION("IF(REGEXMATCH(LD28, ""R""), ""R1"",IF(REGEXMATCH(LE28, ""R""), ""R2"",""""))"),"R1")</f>
        <v>R1</v>
      </c>
      <c r="LK28" s="299" t="str">
        <f>IFERROR(__xludf.DUMMYFUNCTION("IF(REGEXMATCH(LD28, ""g""), ""g1"",IF(REGEXMATCH(LE28, ""g""), ""g2"",""""))"),"g2")</f>
        <v>g2</v>
      </c>
      <c r="LL28" s="299" t="str">
        <f>IFERROR(__xludf.DUMMYFUNCTION("IF(REGEXMATCH(LD28, ""G""), ""G1"",IF(REGEXMATCH(LE28, ""G""), ""G2"",""""))"),"")</f>
        <v/>
      </c>
      <c r="LM28" s="299" t="str">
        <f>IFERROR(__xludf.DUMMYFUNCTION("IF(REGEXMATCH(LD28, ""m""), ""m1"",IF(REGEXMATCH(LE28, ""m""), ""m2"",""""))"),"m1")</f>
        <v>m1</v>
      </c>
      <c r="LN28" s="299" t="str">
        <f>IFERROR(__xludf.DUMMYFUNCTION("IF(REGEXMATCH(LD28, ""M""), ""M1"",IF(REGEXMATCH(LE28, ""M""), ""M2"",""""))"),"")</f>
        <v/>
      </c>
      <c r="LO28" s="299" t="str">
        <f>IFERROR(__xludf.DUMMYFUNCTION("IF(REGEXMATCH(LD28, ""P""), ""P1"",IF(REGEXMATCH(LE28, ""P""), ""P2"",""""))"),"P1")</f>
        <v>P1</v>
      </c>
      <c r="LP28" s="299" t="str">
        <f>IFERROR(__xludf.DUMMYFUNCTION("IF(REGEXMATCH(LD28, ""d""), ""d1"",IF(REGEXMATCH(LE28, ""d""), ""d2"",""""))"),"d1")</f>
        <v>d1</v>
      </c>
      <c r="LQ28" s="299" t="str">
        <f>IFERROR(__xludf.DUMMYFUNCTION("IF(REGEXMATCH(LD28, ""D""), ""D1"",IF(REGEXMATCH(LE28, ""D""), ""D2"",""""))"),"")</f>
        <v/>
      </c>
      <c r="LR28" s="299" t="str">
        <f>IFERROR(__xludf.DUMMYFUNCTION("IF(REGEXMATCH(LD28, ""n""), ""n1"",IF(REGEXMATCH(LE28, ""n""), ""n2"",""""))"),"n2")</f>
        <v>n2</v>
      </c>
      <c r="LS28" s="299" t="str">
        <f>IFERROR(__xludf.DUMMYFUNCTION("IF(REGEXMATCH(LD28, ""N""), ""N1"",IF(REGEXMATCH(LE28, ""N""), ""N2"",""""))"),"")</f>
        <v/>
      </c>
      <c r="LT28" s="388" t="str">
        <f>IFERROR(__xludf.DUMMYFUNCTION("IF(REGEXMATCH(LD28, ""S""), ""S"",IF(REGEXMATCH(LE28, ""S""), ""S"",""""))"),"S")</f>
        <v>S</v>
      </c>
      <c r="LU28" s="389">
        <f t="shared" si="196"/>
        <v>-4</v>
      </c>
      <c r="LV28" s="378"/>
      <c r="LW28" s="369"/>
      <c r="LX28" s="369"/>
    </row>
    <row r="29" ht="20.25" customHeight="1">
      <c r="A29" s="298" t="s">
        <v>1290</v>
      </c>
      <c r="B29" s="222" t="s">
        <v>1291</v>
      </c>
      <c r="C29" s="233" t="str">
        <f t="shared" si="7"/>
        <v>SgmMnS</v>
      </c>
      <c r="D29" s="234" t="str">
        <f>IFERROR(__xludf.DUMMYFUNCTION("IF(REGEXMATCH(C29, ""S""), ""S"","""")"),"S")</f>
        <v>S</v>
      </c>
      <c r="E29" s="236" t="str">
        <f>IFERROR(__xludf.DUMMYFUNCTION("IF(REGEXMATCH(C29, ""r""), ""r"","""")"),"")</f>
        <v/>
      </c>
      <c r="F29" s="237" t="str">
        <f>IFERROR(__xludf.DUMMYFUNCTION("IF(REGEXMATCH(C29, ""R""), ""R"","""")"),"")</f>
        <v/>
      </c>
      <c r="G29" s="237" t="str">
        <f>IFERROR(__xludf.DUMMYFUNCTION("IF(REGEXMATCH(C29, ""g""), ""g"","""")"),"g")</f>
        <v>g</v>
      </c>
      <c r="H29" s="236" t="str">
        <f>IFERROR(__xludf.DUMMYFUNCTION("IF(REGEXMATCH(C29, ""G""), ""G"","""")"),"")</f>
        <v/>
      </c>
      <c r="I29" s="236" t="str">
        <f>IFERROR(__xludf.DUMMYFUNCTION("IF(REGEXMATCH(C29, ""m""), ""m"","""")"),"m")</f>
        <v>m</v>
      </c>
      <c r="J29" s="237" t="str">
        <f>IFERROR(__xludf.DUMMYFUNCTION("IF(REGEXMATCH(C29, ""M""), ""M"","""")"),"M")</f>
        <v>M</v>
      </c>
      <c r="K29" s="236" t="str">
        <f>IFERROR(__xludf.DUMMYFUNCTION("IF(REGEXMATCH(C29, ""P""), ""P"","""")"),"")</f>
        <v/>
      </c>
      <c r="L29" s="237" t="str">
        <f>IFERROR(__xludf.DUMMYFUNCTION("IF(REGEXMATCH(C29, ""d""), ""d"","""")"),"")</f>
        <v/>
      </c>
      <c r="M29" s="236" t="str">
        <f>IFERROR(__xludf.DUMMYFUNCTION("IF(REGEXMATCH(C29, ""D""), ""D"","""")"),"")</f>
        <v/>
      </c>
      <c r="N29" s="236" t="str">
        <f>IFERROR(__xludf.DUMMYFUNCTION("IF(REGEXMATCH(C29, ""n""), ""n"","""")"),"n")</f>
        <v>n</v>
      </c>
      <c r="O29" s="237" t="str">
        <f>IFERROR(__xludf.DUMMYFUNCTION("IF(REGEXMATCH(C29, ""N""), ""N"","""")"),"")</f>
        <v/>
      </c>
      <c r="P29" s="238" t="str">
        <f>IFERROR(__xludf.DUMMYFUNCTION("IF(REGEXMATCH(C29, ""S""), ""S"","""")"),"S")</f>
        <v>S</v>
      </c>
      <c r="Q29" s="239" t="str">
        <f>IFERROR(__xludf.DUMMYFUNCTION("SUBSTITUTE(CONCATENATE(JOIN(""-"",D29:J29)),""-"","""")"),"SgmM")</f>
        <v>SgmM</v>
      </c>
      <c r="R29" s="229" t="str">
        <f>IFERROR(__xludf.DUMMYFUNCTION("SUBSTITUTE(CONCATENATE(JOIN(""-"",K29:P29)),""-"","""")"),"nS")</f>
        <v>nS</v>
      </c>
      <c r="S29" s="282" t="str">
        <f t="shared" si="8"/>
        <v>S-G-M</v>
      </c>
      <c r="T29" s="282" t="str">
        <f t="shared" si="9"/>
        <v>N-S</v>
      </c>
      <c r="U29" s="237" t="str">
        <f>IFERROR(__xludf.DUMMYFUNCTION("SUBSTITUTE(JOIN(""-"",S29,T29),""--"",""-"")"),"S-G-M-N-S")</f>
        <v>S-G-M-N-S</v>
      </c>
      <c r="V29" s="309" t="str">
        <f t="shared" si="10"/>
        <v>gmMn</v>
      </c>
      <c r="W29" s="244" t="str">
        <f>IFERROR(__xludf.DUMMYFUNCTION("IF(REGEXMATCH(C29, ""S""), ""0"","""")"),"0")</f>
        <v>0</v>
      </c>
      <c r="X29" s="245" t="str">
        <f>IFERROR(__xludf.DUMMYFUNCTION("IF(REGEXMATCH(C29, ""r""), ""1"","""")"),"")</f>
        <v/>
      </c>
      <c r="Y29" s="246" t="str">
        <f>IFERROR(__xludf.DUMMYFUNCTION("IF(REGEXMATCH(C29, ""R""), ""2"","""")"),"")</f>
        <v/>
      </c>
      <c r="Z29" s="246" t="str">
        <f>IFERROR(__xludf.DUMMYFUNCTION("IF(REGEXMATCH(C29, ""g""), ""3"","""")"),"3")</f>
        <v>3</v>
      </c>
      <c r="AA29" s="245" t="str">
        <f>IFERROR(__xludf.DUMMYFUNCTION("IF(REGEXMATCH(C29, ""G""), ""4"","""")"),"")</f>
        <v/>
      </c>
      <c r="AB29" s="245" t="str">
        <f>IFERROR(__xludf.DUMMYFUNCTION("IF(REGEXMATCH(C29, ""m""), ""5"","""")"),"5")</f>
        <v>5</v>
      </c>
      <c r="AC29" s="246" t="str">
        <f>IFERROR(__xludf.DUMMYFUNCTION("IF(REGEXMATCH(C29, ""M""), ""6"","""")"),"6")</f>
        <v>6</v>
      </c>
      <c r="AD29" s="245" t="str">
        <f>IFERROR(__xludf.DUMMYFUNCTION("IF(REGEXMATCH(C29, ""P""), ""7"","""")"),"")</f>
        <v/>
      </c>
      <c r="AE29" s="246" t="str">
        <f>IFERROR(__xludf.DUMMYFUNCTION("IF(REGEXMATCH(C29, ""d""), ""8"","""")"),"")</f>
        <v/>
      </c>
      <c r="AF29" s="245" t="str">
        <f>IFERROR(__xludf.DUMMYFUNCTION("IF(REGEXMATCH(C29, ""D""), ""9"","""")"),"")</f>
        <v/>
      </c>
      <c r="AG29" s="245" t="str">
        <f>IFERROR(__xludf.DUMMYFUNCTION("IF(REGEXMATCH(C29, ""n""), ""10"","""")"),"10")</f>
        <v>10</v>
      </c>
      <c r="AH29" s="246" t="str">
        <f>IFERROR(__xludf.DUMMYFUNCTION("IF(REGEXMATCH(C29, ""N""), ""11"","""")"),"")</f>
        <v/>
      </c>
      <c r="AI29" s="249" t="str">
        <f>IFERROR(__xludf.DUMMYFUNCTION("IF(REGEXMATCH(C29, ""S""), ""0"","""")"),"0")</f>
        <v>0</v>
      </c>
      <c r="AJ29" s="313" t="str">
        <f t="shared" si="11"/>
        <v>T</v>
      </c>
      <c r="AK29" s="313" t="str">
        <f t="shared" si="12"/>
        <v>-</v>
      </c>
      <c r="AL29" s="313" t="str">
        <f t="shared" si="13"/>
        <v>-</v>
      </c>
      <c r="AM29" s="313" t="str">
        <f t="shared" si="14"/>
        <v>-</v>
      </c>
      <c r="AN29" s="313" t="str">
        <f t="shared" si="15"/>
        <v>-</v>
      </c>
      <c r="AO29" s="314" t="str">
        <f t="shared" si="16"/>
        <v>-</v>
      </c>
      <c r="AP29" s="316">
        <f t="shared" si="17"/>
        <v>1</v>
      </c>
      <c r="AQ29" s="319" t="str">
        <f t="shared" si="18"/>
        <v>#REF!</v>
      </c>
      <c r="AR29" s="320">
        <f t="shared" si="19"/>
        <v>0</v>
      </c>
      <c r="AS29" s="250" t="str">
        <f>IFERROR(__xludf.DUMMYFUNCTION("SUBSTITUTE(SUBSTITUTE(CONCATENATE(JOIN("""",FP29:GA29)),""|"",""x""),""-"",""o"")"),"xooxoxxoooxo")</f>
        <v>xooxoxxoooxo</v>
      </c>
      <c r="AT29" s="323" t="str">
        <f>IFERROR(__xludf.DUMMYFUNCTION("JOIN("""",AS29,AS29)"),"xooxoxxoooxoxooxoxxoooxo")</f>
        <v>xooxoxxoooxoxooxoxxoooxo</v>
      </c>
      <c r="AU29" s="256" t="str">
        <f>IFERROR(__xludf.DUMMYFUNCTION("JOIN("""",ArrayFormula(MID(AS29,LEN(AS29)-SEQUENCE(1,LEN(AS29))+1,1)))"),"oxoooxxoxoox")</f>
        <v>oxoooxxoxoox</v>
      </c>
      <c r="AV29" s="256" t="str">
        <f>IFERROR(__xludf.DUMMYFUNCTION("LEFT(CONCATENATE(""x"",JOIN("""",ArrayFormula(MID(AS29,LEN(AS29)-SEQUENCE(1,LEN(AS29))+1,1)))),12)"),"xoxoooxxoxoo")</f>
        <v>xoxoooxxoxoo</v>
      </c>
      <c r="AW29" s="327" t="str">
        <f>IFERROR(__xludf.DUMMYFUNCTION("JOIN("""",AU29,AU29)"),"oxoooxxoxooxoxoooxxoxoox")</f>
        <v>oxoooxxoxooxoxoooxxoxoox</v>
      </c>
      <c r="AX29" s="239" t="str">
        <f>IFERROR(__xludf.DUMMYFUNCTION("IF(REGEXMATCH(AW29,AS29),""✔"",""-"")"),"-")</f>
        <v>-</v>
      </c>
      <c r="AY29" s="330" t="str">
        <f t="shared" si="20"/>
        <v>-</v>
      </c>
      <c r="AZ29" s="260" t="str">
        <f t="shared" si="21"/>
        <v>#REF!</v>
      </c>
      <c r="BA29" s="333" t="str">
        <f t="shared" si="22"/>
        <v>xooxoxx</v>
      </c>
      <c r="BB29" s="334" t="str">
        <f t="shared" si="23"/>
        <v>oooxox</v>
      </c>
      <c r="BC29" s="335" t="str">
        <f t="shared" si="236"/>
        <v>-</v>
      </c>
      <c r="BD29" s="336" t="str">
        <f t="shared" si="25"/>
        <v>Audav Meladalan: 'xooxoxx' + 'oooxox'</v>
      </c>
      <c r="BE29" s="337">
        <f>IFERROR(__xludf.DUMMYFUNCTION("COUNTUNIQUE(FILTER(AT:AT,REGEXMATCH(AT:AT,AS29)))-1"),4.0)</f>
        <v>4</v>
      </c>
      <c r="BF29" s="261" t="str">
        <f>IFERROR(__xludf.DUMMYFUNCTION("IF(BI29=0,""(n/a)"",IF(BJ29=2,""(PAIR)"",IF(REGEXMATCH(AT29,""xoxoxxoxoxox""),""Bilawal"",IF(REGEXMATCH(AT29,""xoxoxooxoxoo""),""Bhupali"",IF(REGEXMATCH(AT29,""xoxoxxoxxoxo""),""Charukeshi"",IF(REGEXMATCH(AT29,""xoxoooxxoxxo""),""Kameshwari"",IF(REGEXMATC"&amp;"H(AT29,""xoxoxooxoxox""),""Shankara"",IF(REGEXMATCH(AT29,""xxooxoxxxoox""),""Basant"",IF(REGEXMATCH(AT29,""xoxoxxxxoxox""),""Bihag"",IF(REGEXMATCH(AT29,""xoxxxxoxoxxx""),""Pilu"",IF(REGEXMATCH(AT29,""xoxxoxoxxoox""),""Kirwani"",IF(REGEXMATCH(AT29,""xoxxox"&amp;"oxoxxx""),""Mk.Malhar"",IF(REGEXMATCH(AT29,""xxooxxoxxoox""),""Bhairav"",IF(REGEXMATCH(AT29,""xxoxooxxxoox""),""Todi"",IF(REGEXMATCH(AT29,""xxooxoxooxox""),""Marwa"",IF(REGEXMATCH(AT29,""xxoooxoxxooo""),""Gunkali"",IF(REGEXMATCH(AT29,""xoxoxxoxxoox""),""N"&amp;"at Bhairav"",IF(REGEXMATCH(AT29,""xoxxoooxoxoo""),""Shivranjani"",IF(REGEXMATCH(AT29,""xooxxxoxooxo""),""Jog"",IF(REGEXMATCH(AT29,""xxooxoxoxoox""),""Hemshri"",IF(REGEXMATCH(AT29,""xoooxooxoxxo""),""Kalavati"",IF(REGEXMATCH(AT29,""xxoxoxxoxoox""),""Kedar"&amp;""",IF(REGEXMATCH(AT29,""xoxxxxoxooxx""),""Gara"",IF(REGEXMATCH(AT29,""xooxoxooxoox""),""Chandrakauns"",IF(REGEXMATCH(AT29,""xoxxxxoxxxox""),""Mand"",IF(REGEXMATCH(AT29,""xoxxxxoxoxox""),""Hanskinkini"",IF(REGEXMATCH(AT29,""xxooxxoxooxo""),""Lilavati"",IF("&amp;"REGEXMATCH(AT29,""xooxoxoooxox""),""Rajeshwari"",IF(REGEXMATCH(AT29,""xoooxxoxoxxx""),""Khokar"",IF(REGEXMATCH(AT29,""xxooxoxxxxox""),""Maligoura"",""-""))))))))))))))))))))))))))))))"),"Shivranjani")</f>
        <v>Shivranjani</v>
      </c>
      <c r="BG29" s="239" t="str">
        <f t="shared" si="26"/>
        <v>#REF!</v>
      </c>
      <c r="BH29" s="239">
        <f>IFERROR(__xludf.DUMMYFUNCTION("COUNTUNIQUE(FE29:FO29)-1"),4.0)</f>
        <v>4</v>
      </c>
      <c r="BI29" s="239">
        <f>IFERROR(__xludf.DUMMYFUNCTION("COUNTUNIQUE(FILTER(AT:AT,REGEXMATCH(AT:AT,AS29)))-1"),4.0)</f>
        <v>4</v>
      </c>
      <c r="BJ29" s="239">
        <f>IFERROR(__xludf.DUMMYFUNCTION("COUNTA(FILTER(AT:AT,REGEXMATCH(AT:AT,AS29)))"),5.0)</f>
        <v>5</v>
      </c>
      <c r="BK29" s="341">
        <f>IFERROR(__xludf.DUMMYFUNCTION("COUNTA(FILTER(AT:AT,REGEXMATCH(AT:AT,AS29)))-AR29"),5.0)</f>
        <v>5</v>
      </c>
      <c r="BL29" s="276" t="str">
        <f>IFERROR(__xludf.DUMMYFUNCTION("IF(AS29=""oooooooooooo"",""-"",IF(REGEXMATCH(AT29,""xx""), ""Hemi."", ""Anhemi.""))"),"Hemi.")</f>
        <v>Hemi.</v>
      </c>
      <c r="BM29" s="282" t="str">
        <f>IFERROR(__xludf.DUMMYFUNCTION("IF(AS29=""oooooooooooo"",""-"",IF(REGEXMATCH(AT29,""xxx""), ""Cohem."", ""-""))"),"-")</f>
        <v>-</v>
      </c>
      <c r="BN29" s="282" t="str">
        <f>IFERROR(__xludf.DUMMYFUNCTION("IF(AS29=""oooooooooooo"",""-"",IF(REGEXMATCH(AT29,""xxxx""), ""Co-Co."", ""-""))"),"-")</f>
        <v>-</v>
      </c>
      <c r="BO29" s="342" t="str">
        <f>IFERROR(__xludf.DUMMYFUNCTION("IF(AS29=""oooooooooooo"",""-"",IF(REGEXMATCH(AT29,""xxxxx""), ""CCC."", ""-""))"),"-")</f>
        <v>-</v>
      </c>
      <c r="BP29" s="344" t="str">
        <f t="shared" si="27"/>
        <v>-</v>
      </c>
      <c r="BQ29" s="282" t="str">
        <f>IFERROR(__xludf.DUMMYFUNCTION("IF(REGEXMATCH(JOIN(""-"",EU29:FD29),""TRUE""),""✔"",""-"")"),"-")</f>
        <v>-</v>
      </c>
      <c r="BR29" s="225">
        <f t="shared" si="28"/>
        <v>0</v>
      </c>
      <c r="BS29" s="345" t="str">
        <f>IFERROR(__xludf.DUMMYFUNCTION("SUBSTITUTE(SUBSTITUTE(SUBSTITUTE(SUBSTITUTE(CONCATENATE(JOIN(""-"",GC29:GO29)),""--"",""-""),""--"",""-""),""--"",""-""),""--"",""-"")"),"1-b3-4-#4-b7-8")</f>
        <v>1-b3-4-#4-b7-8</v>
      </c>
      <c r="BT29" s="299" t="str">
        <f>IFERROR(__xludf.DUMMYFUNCTION("SUBSTITUTE(SUBSTITUTE(SUBSTITUTE(SUBSTITUTE(CONCATENATE(JOIN(""-"",GP29:HB29)),""--"",""-""),""--"",""-""),""--"",""-""),""--"",""-"")"),"S-G2-M1-M2-N2-S")</f>
        <v>S-G2-M1-M2-N2-S</v>
      </c>
      <c r="BU29" s="348" t="str">
        <f t="shared" si="29"/>
        <v>C-Eb-F-F#-Bb-C</v>
      </c>
      <c r="BV29" s="349" t="str">
        <f t="shared" si="30"/>
        <v>SrRGPdDNS</v>
      </c>
      <c r="BW29" s="350">
        <f t="shared" si="31"/>
        <v>0</v>
      </c>
      <c r="BX29" s="351">
        <f t="shared" si="32"/>
        <v>1</v>
      </c>
      <c r="BY29" s="392"/>
      <c r="BZ29" s="309" t="str">
        <f>IFERROR(__xludf.DUMMYFUNCTION("IF(REGEXMATCH(C29, ""S""), ""x"",""x"")"),"x")</f>
        <v>x</v>
      </c>
      <c r="CA29" s="245" t="str">
        <f>IFERROR(__xludf.DUMMYFUNCTION("IF(REGEXMATCH(C29, ""r""), ""o"",""x"")"),"x")</f>
        <v>x</v>
      </c>
      <c r="CB29" s="246" t="str">
        <f>IFERROR(__xludf.DUMMYFUNCTION("IF(REGEXMATCH(C29, ""R""), ""o"",""x"")"),"x")</f>
        <v>x</v>
      </c>
      <c r="CC29" s="246" t="str">
        <f>IFERROR(__xludf.DUMMYFUNCTION("IF(REGEXMATCH(C29, ""g""), ""o"",""x"")"),"o")</f>
        <v>o</v>
      </c>
      <c r="CD29" s="245" t="str">
        <f>IFERROR(__xludf.DUMMYFUNCTION("IF(REGEXMATCH(C29, ""G""), ""o"",""x"")"),"x")</f>
        <v>x</v>
      </c>
      <c r="CE29" s="245" t="str">
        <f>IFERROR(__xludf.DUMMYFUNCTION("IF(REGEXMATCH(C29, ""m""), ""o"",""x"")"),"o")</f>
        <v>o</v>
      </c>
      <c r="CF29" s="246" t="str">
        <f>IFERROR(__xludf.DUMMYFUNCTION("IF(REGEXMATCH(C29, ""M""), ""o"",""x"")"),"o")</f>
        <v>o</v>
      </c>
      <c r="CG29" s="245" t="str">
        <f>IFERROR(__xludf.DUMMYFUNCTION("IF(REGEXMATCH(C29, ""P""), ""o"",""x"")"),"x")</f>
        <v>x</v>
      </c>
      <c r="CH29" s="246" t="str">
        <f>IFERROR(__xludf.DUMMYFUNCTION("IF(REGEXMATCH(C29, ""d""), ""o"",""x"")"),"x")</f>
        <v>x</v>
      </c>
      <c r="CI29" s="245" t="str">
        <f>IFERROR(__xludf.DUMMYFUNCTION("IF(REGEXMATCH(C29, ""D""), ""o"",""x"")"),"x")</f>
        <v>x</v>
      </c>
      <c r="CJ29" s="245" t="str">
        <f>IFERROR(__xludf.DUMMYFUNCTION("IF(REGEXMATCH(C29, ""n""), ""o"",""x"")"),"o")</f>
        <v>o</v>
      </c>
      <c r="CK29" s="245" t="str">
        <f>IFERROR(__xludf.DUMMYFUNCTION("IF(REGEXMATCH(C29, ""N""), ""o"",""x"")"),"x")</f>
        <v>x</v>
      </c>
      <c r="CL29" s="356" t="str">
        <f>IFERROR(__xludf.DUMMYFUNCTION("IF(REGEXMATCH(C29, ""S""), ""x"",""x"")"),"x")</f>
        <v>x</v>
      </c>
      <c r="CM29" s="357" t="str">
        <f t="shared" si="33"/>
        <v>xxxoxooxxxox</v>
      </c>
      <c r="CN29" s="358">
        <f t="shared" si="34"/>
        <v>0</v>
      </c>
      <c r="CO29" s="246" t="str">
        <f>IFERROR(__xludf.DUMMYFUNCTION("IF(REGEXMATCH($C29, ""S""), ""S"",""S"")"),"S")</f>
        <v>S</v>
      </c>
      <c r="CP29" s="246" t="str">
        <f>IFERROR(__xludf.DUMMYFUNCTION("IF(REGEXMATCH($C29, ""r""), """",""r"")"),"r")</f>
        <v>r</v>
      </c>
      <c r="CQ29" s="246" t="str">
        <f>IFERROR(__xludf.DUMMYFUNCTION("IF(REGEXMATCH($C29, ""R""), """",""R"")"),"R")</f>
        <v>R</v>
      </c>
      <c r="CR29" s="246" t="str">
        <f>IFERROR(__xludf.DUMMYFUNCTION("IF(REGEXMATCH($C29, ""g""), """",""g"")"),"")</f>
        <v/>
      </c>
      <c r="CS29" s="246" t="str">
        <f>IFERROR(__xludf.DUMMYFUNCTION("IF(REGEXMATCH($C29, ""G""), """",""G"")"),"G")</f>
        <v>G</v>
      </c>
      <c r="CT29" s="246" t="str">
        <f>IFERROR(__xludf.DUMMYFUNCTION("IF(REGEXMATCH($C29, ""m""), """",""m"")"),"")</f>
        <v/>
      </c>
      <c r="CU29" s="246" t="str">
        <f>IFERROR(__xludf.DUMMYFUNCTION("IF(REGEXMATCH($C29, ""M""), """",""M"")"),"")</f>
        <v/>
      </c>
      <c r="CV29" s="246" t="str">
        <f>IFERROR(__xludf.DUMMYFUNCTION("IF(REGEXMATCH($C29, ""P""), """",""P"")"),"P")</f>
        <v>P</v>
      </c>
      <c r="CW29" s="246" t="str">
        <f>IFERROR(__xludf.DUMMYFUNCTION("IF(REGEXMATCH($C29, ""d""), """",""d"")"),"d")</f>
        <v>d</v>
      </c>
      <c r="CX29" s="246" t="str">
        <f>IFERROR(__xludf.DUMMYFUNCTION("IF(REGEXMATCH($C29, ""D""), """",""D"")"),"D")</f>
        <v>D</v>
      </c>
      <c r="CY29" s="246" t="str">
        <f>IFERROR(__xludf.DUMMYFUNCTION("IF(REGEXMATCH($C29, ""n""), """",""n"")"),"")</f>
        <v/>
      </c>
      <c r="CZ29" s="246" t="str">
        <f>IFERROR(__xludf.DUMMYFUNCTION("IF(REGEXMATCH($C29, ""N""), """",""N"")"),"N")</f>
        <v>N</v>
      </c>
      <c r="DA29" s="246" t="str">
        <f>IFERROR(__xludf.DUMMYFUNCTION("IF(REGEXMATCH($C29, ""S""), ""S"",""S"")"),"S")</f>
        <v>S</v>
      </c>
      <c r="DB29" s="362" t="str">
        <f>IFERROR(__xludf.DUMMYFUNCTION("JOIN("""",CO29:DA29,"""","""")"),"SrRGPdDNS")</f>
        <v>SrRGPdDNS</v>
      </c>
      <c r="DC29" s="363"/>
      <c r="DD29" s="301" t="str">
        <f t="shared" si="35"/>
        <v>#REF!</v>
      </c>
      <c r="DE29" s="302" t="str">
        <f t="shared" si="36"/>
        <v>#REF!</v>
      </c>
      <c r="DF29" s="301" t="str">
        <f t="shared" ref="DF29:DG29" si="250">SUBSTITUTE(S29,"-","")</f>
        <v>SGM</v>
      </c>
      <c r="DG29" s="301" t="str">
        <f t="shared" si="250"/>
        <v>NS</v>
      </c>
      <c r="DH29" s="302" t="str">
        <f t="shared" si="38"/>
        <v>Shivranjani</v>
      </c>
      <c r="DI29" s="301" t="str">
        <f t="shared" si="39"/>
        <v>Hemi.</v>
      </c>
      <c r="DJ29" s="364" t="str">
        <f t="shared" si="40"/>
        <v>-</v>
      </c>
      <c r="DK29" s="306" t="str">
        <f t="shared" si="41"/>
        <v>-</v>
      </c>
      <c r="DL29" s="366" t="str">
        <f t="shared" si="42"/>
        <v>-</v>
      </c>
      <c r="DM29" s="308" t="str">
        <f t="shared" si="43"/>
        <v>✔</v>
      </c>
      <c r="DN29" s="306" t="str">
        <f t="shared" si="44"/>
        <v>-</v>
      </c>
      <c r="DO29" s="306" t="str">
        <f t="shared" si="45"/>
        <v>✔</v>
      </c>
      <c r="DP29" s="367" t="str">
        <f t="shared" si="46"/>
        <v>-</v>
      </c>
      <c r="DQ29" s="310" t="str">
        <f t="shared" si="47"/>
        <v>-</v>
      </c>
      <c r="DR29" s="310" t="str">
        <f t="shared" si="48"/>
        <v>-</v>
      </c>
      <c r="DS29" s="310" t="str">
        <f t="shared" si="49"/>
        <v>✔</v>
      </c>
      <c r="DT29" s="310" t="str">
        <f t="shared" si="50"/>
        <v>-</v>
      </c>
      <c r="DU29" s="370" t="str">
        <f t="shared" si="51"/>
        <v>-</v>
      </c>
      <c r="DV29" s="306" t="str">
        <f t="shared" si="52"/>
        <v>✔</v>
      </c>
      <c r="DW29" s="306" t="str">
        <f t="shared" si="53"/>
        <v>-</v>
      </c>
      <c r="DX29" s="306" t="str">
        <f t="shared" si="54"/>
        <v>-</v>
      </c>
      <c r="DY29" s="306" t="str">
        <f t="shared" si="55"/>
        <v>✔</v>
      </c>
      <c r="DZ29" s="306" t="str">
        <f t="shared" si="56"/>
        <v>✔</v>
      </c>
      <c r="EA29" s="367" t="str">
        <f t="shared" si="57"/>
        <v>-</v>
      </c>
      <c r="EB29" s="310" t="str">
        <f>IFERROR(__xludf.DUMMYFUNCTION("IF(REGEXMATCH(AW29,AS29),""✔"",""-"")"),"-")</f>
        <v>-</v>
      </c>
      <c r="EC29" s="310" t="str">
        <f t="shared" si="58"/>
        <v>#REF!</v>
      </c>
      <c r="ED29" s="370" t="str">
        <f t="shared" si="59"/>
        <v>-</v>
      </c>
      <c r="EE29" s="340" t="str">
        <f t="shared" si="60"/>
        <v>S-g-mM-n-S</v>
      </c>
      <c r="EF29" s="371" t="str">
        <f>IFERROR(__xludf.DUMMYFUNCTION("CONCATENATE(JOIN("""",HC29:HO29))"),"SRMPDS")</f>
        <v>SRMPDS</v>
      </c>
      <c r="EG29" s="372">
        <f t="shared" si="61"/>
        <v>2</v>
      </c>
      <c r="EH29" s="373" t="str">
        <f>IFERROR(__xludf.DUMMYFUNCTION("CONCATENATE(JOIN("""",JC29:JO29))"),"Sa, Ma, ")</f>
        <v>Sa, Ma, </v>
      </c>
      <c r="EI29" s="322">
        <f t="shared" si="62"/>
        <v>1</v>
      </c>
      <c r="EJ29" s="374" t="str">
        <f>IFERROR(__xludf.DUMMYFUNCTION("CONCATENATE(JOIN("""",KC29:KO29))"),"Ma, ")</f>
        <v>Ma, </v>
      </c>
      <c r="EK29" s="325" t="str">
        <f t="shared" si="63"/>
        <v>S-G2-M1-M2-N2-S</v>
      </c>
      <c r="EL29" s="326" t="str">
        <f t="shared" si="64"/>
        <v>1-b3-4-#4-b7-8</v>
      </c>
      <c r="EM29" s="318" t="str">
        <f t="shared" si="65"/>
        <v>#REF!</v>
      </c>
      <c r="EN29" s="328" t="str">
        <f>IFERROR(__xludf.DUMMYFUNCTION("SUBSTITUTE(SUBSTITUTE(SUBSTITUTE(SUBSTITUTE(CONCATENATE(JOIN("" "",HP29:IB29)),""  "","" ""),""  "","" ""),""  "","" ""),""  "","" "")"),"o • • o • o o • • • o • o")</f>
        <v>o • • o • o o • • • o • o</v>
      </c>
      <c r="EO29" s="368" t="str">
        <f t="shared" si="66"/>
        <v>-</v>
      </c>
      <c r="EP29" s="339" t="str">
        <f t="shared" si="67"/>
        <v>-</v>
      </c>
      <c r="EQ29" s="339" t="str">
        <f t="shared" si="68"/>
        <v>-</v>
      </c>
      <c r="ER29" s="339" t="str">
        <f t="shared" si="69"/>
        <v>-</v>
      </c>
      <c r="ES29" s="340" t="str">
        <f t="shared" si="70"/>
        <v>-</v>
      </c>
      <c r="ET29" s="363"/>
      <c r="EU29" s="376" t="b">
        <f>IFERROR(__xludf.DUMMYFUNCTION("arrayformula(sum(--REGEXMATCH(""SRGMPDNS"",split(REGEXREPLACE(C29,""(.)"",""$1~""),""~""))))=len(C29)
"),FALSE)</f>
        <v>0</v>
      </c>
      <c r="EV29" s="290" t="b">
        <f>IFERROR(__xludf.DUMMYFUNCTION("arrayformula(sum(--REGEXMATCH(""SRGmPDNS"",split(REGEXREPLACE(C29,""(.)"",""$1~""),""~""))))=len(C29)"),FALSE)</f>
        <v>0</v>
      </c>
      <c r="EW29" s="290" t="b">
        <f>IFERROR(__xludf.DUMMYFUNCTION("arrayformula(sum(--REGEXMATCH(""SRGmPDnS"",split(REGEXREPLACE(C29,""(.)"",""$1~""),""~""))))=len(C29)"),FALSE)</f>
        <v>0</v>
      </c>
      <c r="EX29" s="290" t="b">
        <f>IFERROR(__xludf.DUMMYFUNCTION("arrayformula(sum(--REGEXMATCH(""SRgmPDnS"",split(REGEXREPLACE(C29,""(.)"",""$1~""),""~""))))=len(C29)"),FALSE)</f>
        <v>0</v>
      </c>
      <c r="EY29" s="290" t="b">
        <f>IFERROR(__xludf.DUMMYFUNCTION("arrayformula(sum(--REGEXMATCH(""SRgmPdnS"",split(REGEXREPLACE(C29,""(.)"",""$1~""),""~""))))=len(C29)"),FALSE)</f>
        <v>0</v>
      </c>
      <c r="EZ29" s="290" t="b">
        <f>IFERROR(__xludf.DUMMYFUNCTION("arrayformula(sum(--REGEXMATCH(""SrgmPdnS"",split(REGEXREPLACE(C29,""(.)"",""$1~""),""~""))))=len(C29)"),FALSE)</f>
        <v>0</v>
      </c>
      <c r="FA29" s="290" t="b">
        <f>IFERROR(__xludf.DUMMYFUNCTION("arrayformula(sum(--REGEXMATCH(""SrGmPdNS"",split(REGEXREPLACE(C29,""(.)"",""$1~""),""~""))))=len(C29)"),FALSE)</f>
        <v>0</v>
      </c>
      <c r="FB29" s="290" t="b">
        <f>IFERROR(__xludf.DUMMYFUNCTION("arrayformula(sum(--REGEXMATCH(""SrGMPDNS"",split(REGEXREPLACE(C29,""(.)"",""$1~""),""~""))))=len(C29)"),FALSE)</f>
        <v>0</v>
      </c>
      <c r="FC29" s="290" t="b">
        <f>IFERROR(__xludf.DUMMYFUNCTION("arrayformula(sum(--REGEXMATCH(""SrGMPdNS"",split(REGEXREPLACE(C29,""(.)"",""$1~""),""~""))))=len(C29)"),FALSE)</f>
        <v>0</v>
      </c>
      <c r="FD29" s="377" t="b">
        <f>IFERROR(__xludf.DUMMYFUNCTION("arrayformula(sum(--REGEXMATCH(""SrgMPdNS"",split(REGEXREPLACE(C29,""(.)"",""$1~""),""~""))))=len(C29)"),FALSE)</f>
        <v>0</v>
      </c>
      <c r="FE29" s="269" t="str">
        <f t="shared" si="71"/>
        <v>-</v>
      </c>
      <c r="FF29" s="269" t="str">
        <f t="shared" si="72"/>
        <v>-</v>
      </c>
      <c r="FG29" s="271" t="str">
        <f t="shared" si="73"/>
        <v>xoxxoooxoxo</v>
      </c>
      <c r="FH29" s="269" t="str">
        <f t="shared" si="74"/>
        <v>-</v>
      </c>
      <c r="FI29" s="271" t="str">
        <f t="shared" si="75"/>
        <v>xxoooxoxoox</v>
      </c>
      <c r="FJ29" s="271" t="str">
        <f t="shared" si="76"/>
        <v>xoooxoxooxo</v>
      </c>
      <c r="FK29" s="271" t="str">
        <f t="shared" si="77"/>
        <v>-</v>
      </c>
      <c r="FL29" s="271" t="str">
        <f t="shared" si="78"/>
        <v>-</v>
      </c>
      <c r="FM29" s="271" t="str">
        <f t="shared" si="79"/>
        <v>-</v>
      </c>
      <c r="FN29" s="271" t="str">
        <f t="shared" si="80"/>
        <v>xoxooxoxxoo</v>
      </c>
      <c r="FO29" s="274" t="str">
        <f t="shared" si="81"/>
        <v>-</v>
      </c>
      <c r="FP29" s="234" t="str">
        <f t="shared" si="82"/>
        <v>|</v>
      </c>
      <c r="FQ29" s="236" t="str">
        <f t="shared" si="83"/>
        <v>-</v>
      </c>
      <c r="FR29" s="237" t="str">
        <f t="shared" si="84"/>
        <v>-</v>
      </c>
      <c r="FS29" s="236" t="str">
        <f t="shared" si="85"/>
        <v>|</v>
      </c>
      <c r="FT29" s="237" t="str">
        <f t="shared" si="86"/>
        <v>-</v>
      </c>
      <c r="FU29" s="236" t="str">
        <f t="shared" si="87"/>
        <v>|</v>
      </c>
      <c r="FV29" s="237" t="str">
        <f t="shared" si="88"/>
        <v>|</v>
      </c>
      <c r="FW29" s="236" t="str">
        <f t="shared" si="89"/>
        <v>-</v>
      </c>
      <c r="FX29" s="237" t="str">
        <f t="shared" si="90"/>
        <v>-</v>
      </c>
      <c r="FY29" s="236" t="str">
        <f t="shared" si="91"/>
        <v>-</v>
      </c>
      <c r="FZ29" s="237" t="str">
        <f t="shared" si="92"/>
        <v>|</v>
      </c>
      <c r="GA29" s="236" t="str">
        <f t="shared" si="93"/>
        <v>-</v>
      </c>
      <c r="GB29" s="238" t="str">
        <f t="shared" si="94"/>
        <v>|</v>
      </c>
      <c r="GC29" s="244" t="str">
        <f>IFERROR(__xludf.DUMMYFUNCTION("IF(REGEXMATCH(C29, ""S""), ""1"","""")"),"1")</f>
        <v>1</v>
      </c>
      <c r="GD29" s="245" t="str">
        <f>IFERROR(__xludf.DUMMYFUNCTION("IF(REGEXMATCH(C29, ""r""), ""b2"","""")"),"")</f>
        <v/>
      </c>
      <c r="GE29" s="246" t="str">
        <f>IFERROR(__xludf.DUMMYFUNCTION("IF(REGEXMATCH(C29, ""R""), ""2"","""")"),"")</f>
        <v/>
      </c>
      <c r="GF29" s="246" t="str">
        <f>IFERROR(__xludf.DUMMYFUNCTION("IF(REGEXMATCH(C29, ""g""), ""b3"","""")"),"b3")</f>
        <v>b3</v>
      </c>
      <c r="GG29" s="245" t="str">
        <f>IFERROR(__xludf.DUMMYFUNCTION("IF(REGEXMATCH(C29, ""G""), ""3"","""")"),"")</f>
        <v/>
      </c>
      <c r="GH29" s="245" t="str">
        <f>IFERROR(__xludf.DUMMYFUNCTION("IF(REGEXMATCH(C29, ""m""), ""4"","""")"),"4")</f>
        <v>4</v>
      </c>
      <c r="GI29" s="246" t="str">
        <f>IFERROR(__xludf.DUMMYFUNCTION("IF(REGEXMATCH(C29, ""M""), ""#4"","""")"),"#4")</f>
        <v>#4</v>
      </c>
      <c r="GJ29" s="245" t="str">
        <f>IFERROR(__xludf.DUMMYFUNCTION("IF(REGEXMATCH(C29, ""P""), ""5"","""")"),"")</f>
        <v/>
      </c>
      <c r="GK29" s="246" t="str">
        <f>IFERROR(__xludf.DUMMYFUNCTION("IF(REGEXMATCH(C29, ""d""), ""b6"","""")"),"")</f>
        <v/>
      </c>
      <c r="GL29" s="245" t="str">
        <f>IFERROR(__xludf.DUMMYFUNCTION("IF(REGEXMATCH(C29, ""D""), ""6"","""")"),"")</f>
        <v/>
      </c>
      <c r="GM29" s="245" t="str">
        <f>IFERROR(__xludf.DUMMYFUNCTION("IF(REGEXMATCH(C29, ""n""), ""b7"","""")"),"b7")</f>
        <v>b7</v>
      </c>
      <c r="GN29" s="246" t="str">
        <f>IFERROR(__xludf.DUMMYFUNCTION("IF(REGEXMATCH(C29, ""N""), ""7"","""")"),"")</f>
        <v/>
      </c>
      <c r="GO29" s="249" t="str">
        <f>IFERROR(__xludf.DUMMYFUNCTION("IF(REGEXMATCH(C29, ""S""), ""8"","""")"),"8")</f>
        <v>8</v>
      </c>
      <c r="GP29" s="244" t="str">
        <f>IFERROR(__xludf.DUMMYFUNCTION("IF(REGEXMATCH(C29, ""S""), ""S"","""")"),"S")</f>
        <v>S</v>
      </c>
      <c r="GQ29" s="294" t="str">
        <f>IFERROR(__xludf.DUMMYFUNCTION("IF(REGEXMATCH(C29, ""r""), ""R1"","""")"),"")</f>
        <v/>
      </c>
      <c r="GR29" s="295" t="str">
        <f>IFERROR(__xludf.DUMMYFUNCTION("IF(REGEXMATCH(C29, ""R""), ""R2"","""")"),"")</f>
        <v/>
      </c>
      <c r="GS29" s="295" t="str">
        <f>IFERROR(__xludf.DUMMYFUNCTION("IF(REGEXMATCH(C29, ""g""), ""G2"","""")"),"G2")</f>
        <v>G2</v>
      </c>
      <c r="GT29" s="294" t="str">
        <f>IFERROR(__xludf.DUMMYFUNCTION("IF(REGEXMATCH(C29, ""G""), ""G3"","""")"),"")</f>
        <v/>
      </c>
      <c r="GU29" s="294" t="str">
        <f>IFERROR(__xludf.DUMMYFUNCTION("IF(REGEXMATCH(C29, ""m""), ""M1"","""")"),"M1")</f>
        <v>M1</v>
      </c>
      <c r="GV29" s="295" t="str">
        <f>IFERROR(__xludf.DUMMYFUNCTION("IF(REGEXMATCH(C29, ""M""), ""M2"","""")"),"M2")</f>
        <v>M2</v>
      </c>
      <c r="GW29" s="294" t="str">
        <f>IFERROR(__xludf.DUMMYFUNCTION("IF(REGEXMATCH(C29, ""P""), ""P"","""")"),"")</f>
        <v/>
      </c>
      <c r="GX29" s="295" t="str">
        <f>IFERROR(__xludf.DUMMYFUNCTION("IF(REGEXMATCH(C29, ""d""), ""D1"","""")"),"")</f>
        <v/>
      </c>
      <c r="GY29" s="294" t="str">
        <f>IFERROR(__xludf.DUMMYFUNCTION("IF(REGEXMATCH(C29, ""D""), ""D2"","""")"),"")</f>
        <v/>
      </c>
      <c r="GZ29" s="294" t="str">
        <f>IFERROR(__xludf.DUMMYFUNCTION("IF(REGEXMATCH(C29, ""n""), ""N2"","""")"),"N2")</f>
        <v>N2</v>
      </c>
      <c r="HA29" s="295" t="str">
        <f>IFERROR(__xludf.DUMMYFUNCTION("IF(REGEXMATCH(C29, ""N""), ""N3"","""")"),"")</f>
        <v/>
      </c>
      <c r="HB29" s="249" t="str">
        <f>IFERROR(__xludf.DUMMYFUNCTION("IF(REGEXMATCH(C29, ""S""), ""S"","""")"),"S")</f>
        <v>S</v>
      </c>
      <c r="HC29" s="331" t="str">
        <f t="shared" si="95"/>
        <v>S</v>
      </c>
      <c r="HD29" s="332" t="str">
        <f t="shared" si="96"/>
        <v/>
      </c>
      <c r="HE29" s="332" t="str">
        <f t="shared" si="97"/>
        <v>R</v>
      </c>
      <c r="HF29" s="332" t="str">
        <f t="shared" si="98"/>
        <v/>
      </c>
      <c r="HG29" s="332" t="str">
        <f t="shared" si="99"/>
        <v/>
      </c>
      <c r="HH29" s="332" t="str">
        <f t="shared" si="100"/>
        <v/>
      </c>
      <c r="HI29" s="332" t="str">
        <f t="shared" si="101"/>
        <v>M</v>
      </c>
      <c r="HJ29" s="332" t="str">
        <f t="shared" si="102"/>
        <v>P</v>
      </c>
      <c r="HK29" s="332" t="str">
        <f t="shared" si="103"/>
        <v/>
      </c>
      <c r="HL29" s="332" t="str">
        <f t="shared" si="104"/>
        <v>D</v>
      </c>
      <c r="HM29" s="332" t="str">
        <f t="shared" si="105"/>
        <v/>
      </c>
      <c r="HN29" s="332" t="str">
        <f t="shared" si="106"/>
        <v/>
      </c>
      <c r="HO29" s="343" t="str">
        <f t="shared" si="107"/>
        <v>S</v>
      </c>
      <c r="HP29" s="331" t="str">
        <f t="shared" si="108"/>
        <v>o</v>
      </c>
      <c r="HQ29" s="332" t="str">
        <f t="shared" si="109"/>
        <v>•</v>
      </c>
      <c r="HR29" s="332" t="str">
        <f t="shared" si="110"/>
        <v>•</v>
      </c>
      <c r="HS29" s="332" t="str">
        <f t="shared" si="111"/>
        <v>o</v>
      </c>
      <c r="HT29" s="332" t="str">
        <f t="shared" si="112"/>
        <v>•</v>
      </c>
      <c r="HU29" s="332" t="str">
        <f t="shared" si="113"/>
        <v>o</v>
      </c>
      <c r="HV29" s="332" t="str">
        <f t="shared" si="114"/>
        <v>o</v>
      </c>
      <c r="HW29" s="332" t="str">
        <f t="shared" si="115"/>
        <v>•</v>
      </c>
      <c r="HX29" s="332" t="str">
        <f t="shared" si="116"/>
        <v>•</v>
      </c>
      <c r="HY29" s="332" t="str">
        <f t="shared" si="117"/>
        <v>•</v>
      </c>
      <c r="HZ29" s="332" t="str">
        <f t="shared" si="118"/>
        <v>o</v>
      </c>
      <c r="IA29" s="332" t="str">
        <f t="shared" si="119"/>
        <v>•</v>
      </c>
      <c r="IB29" s="338" t="str">
        <f t="shared" si="120"/>
        <v>o</v>
      </c>
      <c r="IC29" s="331" t="str">
        <f t="shared" si="121"/>
        <v>•</v>
      </c>
      <c r="ID29" s="332" t="str">
        <f t="shared" si="122"/>
        <v>o</v>
      </c>
      <c r="IE29" s="332" t="str">
        <f t="shared" si="123"/>
        <v>o</v>
      </c>
      <c r="IF29" s="332" t="str">
        <f t="shared" si="124"/>
        <v>•</v>
      </c>
      <c r="IG29" s="332" t="str">
        <f t="shared" si="125"/>
        <v>o</v>
      </c>
      <c r="IH29" s="332" t="str">
        <f t="shared" si="126"/>
        <v>•</v>
      </c>
      <c r="II29" s="332" t="str">
        <f t="shared" si="127"/>
        <v>•</v>
      </c>
      <c r="IJ29" s="332" t="str">
        <f t="shared" si="128"/>
        <v>o</v>
      </c>
      <c r="IK29" s="332" t="str">
        <f t="shared" si="129"/>
        <v>o</v>
      </c>
      <c r="IL29" s="332" t="str">
        <f t="shared" si="130"/>
        <v>o</v>
      </c>
      <c r="IM29" s="332" t="str">
        <f t="shared" si="131"/>
        <v>•</v>
      </c>
      <c r="IN29" s="332" t="str">
        <f t="shared" si="132"/>
        <v>o</v>
      </c>
      <c r="IO29" s="338" t="str">
        <f t="shared" si="133"/>
        <v>•</v>
      </c>
      <c r="IP29" s="346" t="b">
        <f t="shared" si="134"/>
        <v>1</v>
      </c>
      <c r="IQ29" s="347" t="b">
        <f t="shared" si="135"/>
        <v>0</v>
      </c>
      <c r="IR29" s="347" t="b">
        <f t="shared" si="136"/>
        <v>0</v>
      </c>
      <c r="IS29" s="347" t="b">
        <f t="shared" si="137"/>
        <v>0</v>
      </c>
      <c r="IT29" s="347" t="b">
        <f t="shared" si="138"/>
        <v>0</v>
      </c>
      <c r="IU29" s="347" t="b">
        <f t="shared" si="139"/>
        <v>0</v>
      </c>
      <c r="IV29" s="347" t="b">
        <f t="shared" si="140"/>
        <v>1</v>
      </c>
      <c r="IW29" s="347" t="b">
        <f t="shared" si="141"/>
        <v>0</v>
      </c>
      <c r="IX29" s="347" t="b">
        <f t="shared" si="142"/>
        <v>0</v>
      </c>
      <c r="IY29" s="347" t="b">
        <f t="shared" si="143"/>
        <v>0</v>
      </c>
      <c r="IZ29" s="347" t="b">
        <f t="shared" si="144"/>
        <v>0</v>
      </c>
      <c r="JA29" s="347" t="b">
        <f t="shared" si="145"/>
        <v>0</v>
      </c>
      <c r="JB29" s="353" t="b">
        <f t="shared" si="146"/>
        <v>1</v>
      </c>
      <c r="JC29" s="354" t="str">
        <f t="shared" si="147"/>
        <v>Sa, </v>
      </c>
      <c r="JD29" s="355" t="str">
        <f t="shared" si="148"/>
        <v/>
      </c>
      <c r="JE29" s="355" t="str">
        <f t="shared" si="149"/>
        <v/>
      </c>
      <c r="JF29" s="355" t="str">
        <f t="shared" si="150"/>
        <v/>
      </c>
      <c r="JG29" s="355" t="str">
        <f t="shared" si="151"/>
        <v/>
      </c>
      <c r="JH29" s="355" t="str">
        <f t="shared" si="152"/>
        <v/>
      </c>
      <c r="JI29" s="355" t="str">
        <f t="shared" si="153"/>
        <v>Ma, </v>
      </c>
      <c r="JJ29" s="355" t="str">
        <f t="shared" si="154"/>
        <v/>
      </c>
      <c r="JK29" s="355" t="str">
        <f t="shared" si="155"/>
        <v/>
      </c>
      <c r="JL29" s="355" t="str">
        <f t="shared" si="156"/>
        <v/>
      </c>
      <c r="JM29" s="355" t="str">
        <f t="shared" si="157"/>
        <v/>
      </c>
      <c r="JN29" s="355" t="str">
        <f t="shared" si="158"/>
        <v/>
      </c>
      <c r="JO29" s="359" t="str">
        <f t="shared" si="159"/>
        <v/>
      </c>
      <c r="JP29" s="346" t="b">
        <f t="shared" si="160"/>
        <v>0</v>
      </c>
      <c r="JQ29" s="347" t="b">
        <f t="shared" si="161"/>
        <v>0</v>
      </c>
      <c r="JR29" s="347" t="b">
        <f t="shared" si="162"/>
        <v>0</v>
      </c>
      <c r="JS29" s="347" t="b">
        <f t="shared" si="163"/>
        <v>0</v>
      </c>
      <c r="JT29" s="347" t="b">
        <f t="shared" si="164"/>
        <v>0</v>
      </c>
      <c r="JU29" s="347" t="b">
        <f t="shared" si="165"/>
        <v>0</v>
      </c>
      <c r="JV29" s="347" t="b">
        <f t="shared" si="166"/>
        <v>1</v>
      </c>
      <c r="JW29" s="347" t="b">
        <f t="shared" si="167"/>
        <v>0</v>
      </c>
      <c r="JX29" s="347" t="b">
        <f t="shared" si="168"/>
        <v>0</v>
      </c>
      <c r="JY29" s="347" t="b">
        <f t="shared" si="169"/>
        <v>0</v>
      </c>
      <c r="JZ29" s="347" t="b">
        <f t="shared" si="170"/>
        <v>0</v>
      </c>
      <c r="KA29" s="347" t="b">
        <f t="shared" si="171"/>
        <v>0</v>
      </c>
      <c r="KB29" s="365" t="b">
        <f t="shared" si="172"/>
        <v>0</v>
      </c>
      <c r="KC29" s="354" t="str">
        <f t="shared" si="173"/>
        <v/>
      </c>
      <c r="KD29" s="355" t="str">
        <f t="shared" si="174"/>
        <v/>
      </c>
      <c r="KE29" s="355" t="str">
        <f t="shared" si="175"/>
        <v/>
      </c>
      <c r="KF29" s="355" t="str">
        <f t="shared" si="176"/>
        <v/>
      </c>
      <c r="KG29" s="355" t="str">
        <f t="shared" si="177"/>
        <v/>
      </c>
      <c r="KH29" s="355" t="str">
        <f t="shared" si="178"/>
        <v/>
      </c>
      <c r="KI29" s="355" t="str">
        <f t="shared" si="179"/>
        <v>Ma, </v>
      </c>
      <c r="KJ29" s="355" t="str">
        <f t="shared" si="180"/>
        <v/>
      </c>
      <c r="KK29" s="355" t="str">
        <f t="shared" si="181"/>
        <v/>
      </c>
      <c r="KL29" s="355" t="str">
        <f t="shared" si="182"/>
        <v/>
      </c>
      <c r="KM29" s="355" t="str">
        <f t="shared" si="183"/>
        <v/>
      </c>
      <c r="KN29" s="355" t="str">
        <f t="shared" si="184"/>
        <v/>
      </c>
      <c r="KO29" s="359"/>
      <c r="KP29" s="378"/>
      <c r="KQ29" s="379" t="s">
        <v>9</v>
      </c>
      <c r="KR29" s="380" t="s">
        <v>9</v>
      </c>
      <c r="KS29" s="381" t="s">
        <v>9</v>
      </c>
      <c r="KT29" s="382">
        <f t="shared" si="186"/>
        <v>0</v>
      </c>
      <c r="KU29" s="383">
        <f t="shared" si="187"/>
        <v>0</v>
      </c>
      <c r="KV29" s="381" t="str">
        <f t="shared" si="205"/>
        <v>S</v>
      </c>
      <c r="KW29" s="382">
        <f t="shared" si="189"/>
        <v>0</v>
      </c>
      <c r="KX29" s="384">
        <f t="shared" si="190"/>
        <v>0</v>
      </c>
      <c r="KY29" s="382">
        <f t="shared" ref="KY29:KZ29" si="251">KW29-KT29</f>
        <v>0</v>
      </c>
      <c r="KZ29" s="369">
        <f t="shared" si="251"/>
        <v>0</v>
      </c>
      <c r="LA29" s="385" t="str">
        <f t="shared" si="192"/>
        <v>✔</v>
      </c>
      <c r="LB29" s="340" t="str">
        <f>IFERROR(__xludf.DUMMYFUNCTION("JOIN("""",ArrayFormula(MID(KS29,LEN(KS29)-SEQUENCE(1,LEN(KS29))+1,1)))"),"S")</f>
        <v>S</v>
      </c>
      <c r="LC29" s="373" t="str">
        <f>IFERROR(__xludf.DUMMYFUNCTION("JOIN("""",ArrayFormula(MID(KV29,LEN(KV29)-SEQUENCE(1,LEN(KV29))+1,1)))"),"S")</f>
        <v>S</v>
      </c>
      <c r="LD29" s="373" t="str">
        <f t="shared" si="193"/>
        <v>S</v>
      </c>
      <c r="LE29" s="339" t="str">
        <f t="shared" si="194"/>
        <v>S</v>
      </c>
      <c r="LF29" s="386" t="str">
        <f>IFERROR(__xludf.DUMMYFUNCTION("SUBSTITUTE(SUBSTITUTE(CONCATENATE(JOIN("""",LH29:LT29)),""1"",""""),""2"","""")"),"SS")</f>
        <v>SS</v>
      </c>
      <c r="LG29" s="369" t="str">
        <f t="shared" si="195"/>
        <v>-</v>
      </c>
      <c r="LH29" s="387" t="str">
        <f>IFERROR(__xludf.DUMMYFUNCTION("IF(REGEXMATCH(LD29, ""S""), ""S"",IF(REGEXMATCH(LE29, ""S""), ""S"",""""))"),"S")</f>
        <v>S</v>
      </c>
      <c r="LI29" s="299" t="str">
        <f>IFERROR(__xludf.DUMMYFUNCTION("IF(REGEXMATCH(LD29, ""r""), ""r1"",IF(REGEXMATCH(LE29, ""r""), ""r2"",""""))"),"")</f>
        <v/>
      </c>
      <c r="LJ29" s="299" t="str">
        <f>IFERROR(__xludf.DUMMYFUNCTION("IF(REGEXMATCH(LD29, ""R""), ""R1"",IF(REGEXMATCH(LE29, ""R""), ""R2"",""""))"),"")</f>
        <v/>
      </c>
      <c r="LK29" s="299" t="str">
        <f>IFERROR(__xludf.DUMMYFUNCTION("IF(REGEXMATCH(LD29, ""g""), ""g1"",IF(REGEXMATCH(LE29, ""g""), ""g2"",""""))"),"")</f>
        <v/>
      </c>
      <c r="LL29" s="299" t="str">
        <f>IFERROR(__xludf.DUMMYFUNCTION("IF(REGEXMATCH(LD29, ""G""), ""G1"",IF(REGEXMATCH(LE29, ""G""), ""G2"",""""))"),"")</f>
        <v/>
      </c>
      <c r="LM29" s="299" t="str">
        <f>IFERROR(__xludf.DUMMYFUNCTION("IF(REGEXMATCH(LD29, ""m""), ""m1"",IF(REGEXMATCH(LE29, ""m""), ""m2"",""""))"),"")</f>
        <v/>
      </c>
      <c r="LN29" s="299" t="str">
        <f>IFERROR(__xludf.DUMMYFUNCTION("IF(REGEXMATCH(LD29, ""M""), ""M1"",IF(REGEXMATCH(LE29, ""M""), ""M2"",""""))"),"")</f>
        <v/>
      </c>
      <c r="LO29" s="299" t="str">
        <f>IFERROR(__xludf.DUMMYFUNCTION("IF(REGEXMATCH(LD29, ""P""), ""P1"",IF(REGEXMATCH(LE29, ""P""), ""P2"",""""))"),"")</f>
        <v/>
      </c>
      <c r="LP29" s="299" t="str">
        <f>IFERROR(__xludf.DUMMYFUNCTION("IF(REGEXMATCH(LD29, ""d""), ""d1"",IF(REGEXMATCH(LE29, ""d""), ""d2"",""""))"),"")</f>
        <v/>
      </c>
      <c r="LQ29" s="299" t="str">
        <f>IFERROR(__xludf.DUMMYFUNCTION("IF(REGEXMATCH(LD29, ""D""), ""D1"",IF(REGEXMATCH(LE29, ""D""), ""D2"",""""))"),"")</f>
        <v/>
      </c>
      <c r="LR29" s="299" t="str">
        <f>IFERROR(__xludf.DUMMYFUNCTION("IF(REGEXMATCH(LD29, ""n""), ""n1"",IF(REGEXMATCH(LE29, ""n""), ""n2"",""""))"),"")</f>
        <v/>
      </c>
      <c r="LS29" s="299" t="str">
        <f>IFERROR(__xludf.DUMMYFUNCTION("IF(REGEXMATCH(LD29, ""N""), ""N1"",IF(REGEXMATCH(LE29, ""N""), ""N2"",""""))"),"")</f>
        <v/>
      </c>
      <c r="LT29" s="388" t="str">
        <f>IFERROR(__xludf.DUMMYFUNCTION("IF(REGEXMATCH(LD29, ""S""), ""S"",IF(REGEXMATCH(LE29, ""S""), ""S"",""""))"),"S")</f>
        <v>S</v>
      </c>
      <c r="LU29" s="389">
        <f t="shared" si="196"/>
        <v>1</v>
      </c>
      <c r="LV29" s="378"/>
      <c r="LW29" s="369"/>
      <c r="LX29" s="369"/>
    </row>
    <row r="30" ht="20.25" customHeight="1">
      <c r="A30" s="298" t="s">
        <v>1294</v>
      </c>
      <c r="B30" s="222" t="s">
        <v>997</v>
      </c>
      <c r="C30" s="233" t="str">
        <f t="shared" si="7"/>
        <v>SRmPDnNS</v>
      </c>
      <c r="D30" s="234" t="str">
        <f>IFERROR(__xludf.DUMMYFUNCTION("IF(REGEXMATCH(C30, ""S""), ""S"","""")"),"S")</f>
        <v>S</v>
      </c>
      <c r="E30" s="236" t="str">
        <f>IFERROR(__xludf.DUMMYFUNCTION("IF(REGEXMATCH(C30, ""r""), ""r"","""")"),"")</f>
        <v/>
      </c>
      <c r="F30" s="237" t="str">
        <f>IFERROR(__xludf.DUMMYFUNCTION("IF(REGEXMATCH(C30, ""R""), ""R"","""")"),"R")</f>
        <v>R</v>
      </c>
      <c r="G30" s="237" t="str">
        <f>IFERROR(__xludf.DUMMYFUNCTION("IF(REGEXMATCH(C30, ""g""), ""g"","""")"),"")</f>
        <v/>
      </c>
      <c r="H30" s="236" t="str">
        <f>IFERROR(__xludf.DUMMYFUNCTION("IF(REGEXMATCH(C30, ""G""), ""G"","""")"),"")</f>
        <v/>
      </c>
      <c r="I30" s="236" t="str">
        <f>IFERROR(__xludf.DUMMYFUNCTION("IF(REGEXMATCH(C30, ""m""), ""m"","""")"),"m")</f>
        <v>m</v>
      </c>
      <c r="J30" s="237" t="str">
        <f>IFERROR(__xludf.DUMMYFUNCTION("IF(REGEXMATCH(C30, ""M""), ""M"","""")"),"")</f>
        <v/>
      </c>
      <c r="K30" s="236" t="str">
        <f>IFERROR(__xludf.DUMMYFUNCTION("IF(REGEXMATCH(C30, ""P""), ""P"","""")"),"P")</f>
        <v>P</v>
      </c>
      <c r="L30" s="237" t="str">
        <f>IFERROR(__xludf.DUMMYFUNCTION("IF(REGEXMATCH(C30, ""d""), ""d"","""")"),"")</f>
        <v/>
      </c>
      <c r="M30" s="236" t="str">
        <f>IFERROR(__xludf.DUMMYFUNCTION("IF(REGEXMATCH(C30, ""D""), ""D"","""")"),"D")</f>
        <v>D</v>
      </c>
      <c r="N30" s="236" t="str">
        <f>IFERROR(__xludf.DUMMYFUNCTION("IF(REGEXMATCH(C30, ""n""), ""n"","""")"),"n")</f>
        <v>n</v>
      </c>
      <c r="O30" s="237" t="str">
        <f>IFERROR(__xludf.DUMMYFUNCTION("IF(REGEXMATCH(C30, ""N""), ""N"","""")"),"N")</f>
        <v>N</v>
      </c>
      <c r="P30" s="238" t="str">
        <f>IFERROR(__xludf.DUMMYFUNCTION("IF(REGEXMATCH(C30, ""S""), ""S"","""")"),"S")</f>
        <v>S</v>
      </c>
      <c r="Q30" s="239" t="str">
        <f>IFERROR(__xludf.DUMMYFUNCTION("SUBSTITUTE(CONCATENATE(JOIN(""-"",D30:J30)),""-"","""")"),"SRm")</f>
        <v>SRm</v>
      </c>
      <c r="R30" s="229" t="str">
        <f>IFERROR(__xludf.DUMMYFUNCTION("SUBSTITUTE(CONCATENATE(JOIN(""-"",K30:P30)),""-"","""")"),"PDnNS")</f>
        <v>PDnNS</v>
      </c>
      <c r="S30" s="282" t="str">
        <f t="shared" si="8"/>
        <v>S-R-M</v>
      </c>
      <c r="T30" s="282" t="str">
        <f t="shared" si="9"/>
        <v>P-D-N-S</v>
      </c>
      <c r="U30" s="237" t="str">
        <f>IFERROR(__xludf.DUMMYFUNCTION("SUBSTITUTE(JOIN(""-"",S30,T30),""--"",""-"")"),"S-R-M-P-D-N-S")</f>
        <v>S-R-M-P-D-N-S</v>
      </c>
      <c r="V30" s="309" t="str">
        <f t="shared" si="10"/>
        <v>RmDnN</v>
      </c>
      <c r="W30" s="244" t="str">
        <f>IFERROR(__xludf.DUMMYFUNCTION("IF(REGEXMATCH(C30, ""S""), ""0"","""")"),"0")</f>
        <v>0</v>
      </c>
      <c r="X30" s="245" t="str">
        <f>IFERROR(__xludf.DUMMYFUNCTION("IF(REGEXMATCH(C30, ""r""), ""1"","""")"),"")</f>
        <v/>
      </c>
      <c r="Y30" s="246" t="str">
        <f>IFERROR(__xludf.DUMMYFUNCTION("IF(REGEXMATCH(C30, ""R""), ""2"","""")"),"2")</f>
        <v>2</v>
      </c>
      <c r="Z30" s="246" t="str">
        <f>IFERROR(__xludf.DUMMYFUNCTION("IF(REGEXMATCH(C30, ""g""), ""3"","""")"),"")</f>
        <v/>
      </c>
      <c r="AA30" s="245" t="str">
        <f>IFERROR(__xludf.DUMMYFUNCTION("IF(REGEXMATCH(C30, ""G""), ""4"","""")"),"")</f>
        <v/>
      </c>
      <c r="AB30" s="245" t="str">
        <f>IFERROR(__xludf.DUMMYFUNCTION("IF(REGEXMATCH(C30, ""m""), ""5"","""")"),"5")</f>
        <v>5</v>
      </c>
      <c r="AC30" s="246" t="str">
        <f>IFERROR(__xludf.DUMMYFUNCTION("IF(REGEXMATCH(C30, ""M""), ""6"","""")"),"")</f>
        <v/>
      </c>
      <c r="AD30" s="245" t="str">
        <f>IFERROR(__xludf.DUMMYFUNCTION("IF(REGEXMATCH(C30, ""P""), ""7"","""")"),"7")</f>
        <v>7</v>
      </c>
      <c r="AE30" s="246" t="str">
        <f>IFERROR(__xludf.DUMMYFUNCTION("IF(REGEXMATCH(C30, ""d""), ""8"","""")"),"")</f>
        <v/>
      </c>
      <c r="AF30" s="245" t="str">
        <f>IFERROR(__xludf.DUMMYFUNCTION("IF(REGEXMATCH(C30, ""D""), ""9"","""")"),"9")</f>
        <v>9</v>
      </c>
      <c r="AG30" s="245" t="str">
        <f>IFERROR(__xludf.DUMMYFUNCTION("IF(REGEXMATCH(C30, ""n""), ""10"","""")"),"10")</f>
        <v>10</v>
      </c>
      <c r="AH30" s="246" t="str">
        <f>IFERROR(__xludf.DUMMYFUNCTION("IF(REGEXMATCH(C30, ""N""), ""11"","""")"),"11")</f>
        <v>11</v>
      </c>
      <c r="AI30" s="249" t="str">
        <f>IFERROR(__xludf.DUMMYFUNCTION("IF(REGEXMATCH(C30, ""S""), ""0"","""")"),"0")</f>
        <v>0</v>
      </c>
      <c r="AJ30" s="313" t="str">
        <f t="shared" si="11"/>
        <v>-</v>
      </c>
      <c r="AK30" s="313" t="str">
        <f t="shared" si="12"/>
        <v>-</v>
      </c>
      <c r="AL30" s="313" t="str">
        <f t="shared" si="13"/>
        <v>-</v>
      </c>
      <c r="AM30" s="313" t="str">
        <f t="shared" si="14"/>
        <v>-</v>
      </c>
      <c r="AN30" s="313" t="str">
        <f t="shared" si="15"/>
        <v>-</v>
      </c>
      <c r="AO30" s="314" t="str">
        <f t="shared" si="16"/>
        <v>T</v>
      </c>
      <c r="AP30" s="316">
        <f t="shared" si="17"/>
        <v>1</v>
      </c>
      <c r="AQ30" s="319" t="str">
        <f t="shared" si="18"/>
        <v>#REF!</v>
      </c>
      <c r="AR30" s="320">
        <f t="shared" si="19"/>
        <v>0</v>
      </c>
      <c r="AS30" s="250" t="str">
        <f>IFERROR(__xludf.DUMMYFUNCTION("SUBSTITUTE(SUBSTITUTE(CONCATENATE(JOIN("""",FP30:GA30)),""|"",""x""),""-"",""o"")"),"xoxooxoxoxxx")</f>
        <v>xoxooxoxoxxx</v>
      </c>
      <c r="AT30" s="323" t="str">
        <f>IFERROR(__xludf.DUMMYFUNCTION("JOIN("""",AS30,AS30)"),"xoxooxoxoxxxxoxooxoxoxxx")</f>
        <v>xoxooxoxoxxxxoxooxoxoxxx</v>
      </c>
      <c r="AU30" s="256" t="str">
        <f>IFERROR(__xludf.DUMMYFUNCTION("JOIN("""",ArrayFormula(MID(AS30,LEN(AS30)-SEQUENCE(1,LEN(AS30))+1,1)))"),"xxxoxoxooxox")</f>
        <v>xxxoxoxooxox</v>
      </c>
      <c r="AV30" s="256" t="str">
        <f>IFERROR(__xludf.DUMMYFUNCTION("LEFT(CONCATENATE(""x"",JOIN("""",ArrayFormula(MID(AS30,LEN(AS30)-SEQUENCE(1,LEN(AS30))+1,1)))),12)"),"xxxxoxoxooxo")</f>
        <v>xxxxoxoxooxo</v>
      </c>
      <c r="AW30" s="327" t="str">
        <f>IFERROR(__xludf.DUMMYFUNCTION("JOIN("""",AU30,AU30)"),"xxxoxoxooxoxxxxoxoxooxox")</f>
        <v>xxxoxoxooxoxxxxoxoxooxox</v>
      </c>
      <c r="AX30" s="239" t="str">
        <f>IFERROR(__xludf.DUMMYFUNCTION("IF(REGEXMATCH(AW30,AS30),""✔"",""-"")"),"-")</f>
        <v>-</v>
      </c>
      <c r="AY30" s="330" t="str">
        <f t="shared" si="20"/>
        <v>-</v>
      </c>
      <c r="AZ30" s="260" t="str">
        <f t="shared" si="21"/>
        <v>#REF!</v>
      </c>
      <c r="BA30" s="333" t="str">
        <f t="shared" si="22"/>
        <v>xoxooxo</v>
      </c>
      <c r="BB30" s="334" t="str">
        <f t="shared" si="23"/>
        <v>xoxxxx</v>
      </c>
      <c r="BC30" s="335" t="str">
        <f t="shared" si="236"/>
        <v>-</v>
      </c>
      <c r="BD30" s="336" t="str">
        <f t="shared" si="25"/>
        <v>Badhans Sarang: 'xoxooxo' + 'xoxxxx'</v>
      </c>
      <c r="BE30" s="337">
        <f>IFERROR(__xludf.DUMMYFUNCTION("COUNTUNIQUE(FILTER(AT:AT,REGEXMATCH(AT:AT,AS30)))-1"),1.0)</f>
        <v>1</v>
      </c>
      <c r="BF30" s="261" t="str">
        <f>IFERROR(__xludf.DUMMYFUNCTION("IF(BI30=0,""(n/a)"",IF(BJ30=2,""(PAIR)"",IF(REGEXMATCH(AT30,""xoxoxxoxoxox""),""Bilawal"",IF(REGEXMATCH(AT30,""xoxoxooxoxoo""),""Bhupali"",IF(REGEXMATCH(AT30,""xoxoxxoxxoxo""),""Charukeshi"",IF(REGEXMATCH(AT30,""xoxoooxxoxxo""),""Kameshwari"",IF(REGEXMATC"&amp;"H(AT30,""xoxoxooxoxox""),""Shankara"",IF(REGEXMATCH(AT30,""xxooxoxxxoox""),""Basant"",IF(REGEXMATCH(AT30,""xoxoxxxxoxox""),""Bihag"",IF(REGEXMATCH(AT30,""xoxxxxoxoxxx""),""Pilu"",IF(REGEXMATCH(AT30,""xoxxoxoxxoox""),""Kirwani"",IF(REGEXMATCH(AT30,""xoxxox"&amp;"oxoxxx""),""Mk.Malhar"",IF(REGEXMATCH(AT30,""xxooxxoxxoox""),""Bhairav"",IF(REGEXMATCH(AT30,""xxoxooxxxoox""),""Todi"",IF(REGEXMATCH(AT30,""xxooxoxooxox""),""Marwa"",IF(REGEXMATCH(AT30,""xxoooxoxxooo""),""Gunkali"",IF(REGEXMATCH(AT30,""xoxoxxoxxoox""),""N"&amp;"at Bhairav"",IF(REGEXMATCH(AT30,""xoxxoooxoxoo""),""Shivranjani"",IF(REGEXMATCH(AT30,""xooxxxoxooxo""),""Jog"",IF(REGEXMATCH(AT30,""xxooxoxoxoox""),""Hemshri"",IF(REGEXMATCH(AT30,""xoooxooxoxxo""),""Kalavati"",IF(REGEXMATCH(AT30,""xxoxoxxoxoox""),""Kedar"&amp;""",IF(REGEXMATCH(AT30,""xoxxxxoxooxx""),""Gara"",IF(REGEXMATCH(AT30,""xooxoxooxoox""),""Chandrakauns"",IF(REGEXMATCH(AT30,""xoxxxxoxxxox""),""Mand"",IF(REGEXMATCH(AT30,""xoxxxxoxoxox""),""Hanskinkini"",IF(REGEXMATCH(AT30,""xxooxxoxooxo""),""Lilavati"",IF("&amp;"REGEXMATCH(AT30,""xooxoxoooxox""),""Rajeshwari"",IF(REGEXMATCH(AT30,""xoooxxoxoxxx""),""Khokar"",IF(REGEXMATCH(AT30,""xxooxoxxxxox""),""Maligoura"",""-""))))))))))))))))))))))))))))))"),"-")</f>
        <v>-</v>
      </c>
      <c r="BG30" s="239" t="str">
        <f t="shared" si="26"/>
        <v>#REF!</v>
      </c>
      <c r="BH30" s="239">
        <f>IFERROR(__xludf.DUMMYFUNCTION("COUNTUNIQUE(FE30:FO30)-1"),6.0)</f>
        <v>6</v>
      </c>
      <c r="BI30" s="239">
        <f>IFERROR(__xludf.DUMMYFUNCTION("COUNTUNIQUE(FILTER(AT:AT,REGEXMATCH(AT:AT,AS30)))-1"),1.0)</f>
        <v>1</v>
      </c>
      <c r="BJ30" s="239">
        <f>IFERROR(__xludf.DUMMYFUNCTION("COUNTA(FILTER(AT:AT,REGEXMATCH(AT:AT,AS30)))"),5.0)</f>
        <v>5</v>
      </c>
      <c r="BK30" s="341">
        <f>IFERROR(__xludf.DUMMYFUNCTION("COUNTA(FILTER(AT:AT,REGEXMATCH(AT:AT,AS30)))-AR30"),5.0)</f>
        <v>5</v>
      </c>
      <c r="BL30" s="276" t="str">
        <f>IFERROR(__xludf.DUMMYFUNCTION("IF(AS30=""oooooooooooo"",""-"",IF(REGEXMATCH(AT30,""xx""), ""Hemi."", ""Anhemi.""))"),"Hemi.")</f>
        <v>Hemi.</v>
      </c>
      <c r="BM30" s="282" t="str">
        <f>IFERROR(__xludf.DUMMYFUNCTION("IF(AS30=""oooooooooooo"",""-"",IF(REGEXMATCH(AT30,""xxx""), ""Cohem."", ""-""))"),"Cohem.")</f>
        <v>Cohem.</v>
      </c>
      <c r="BN30" s="282" t="str">
        <f>IFERROR(__xludf.DUMMYFUNCTION("IF(AS30=""oooooooooooo"",""-"",IF(REGEXMATCH(AT30,""xxxx""), ""Co-Co."", ""-""))"),"Co-Co.")</f>
        <v>Co-Co.</v>
      </c>
      <c r="BO30" s="342" t="str">
        <f>IFERROR(__xludf.DUMMYFUNCTION("IF(AS30=""oooooooooooo"",""-"",IF(REGEXMATCH(AT30,""xxxxx""), ""CCC."", ""-""))"),"-")</f>
        <v>-</v>
      </c>
      <c r="BP30" s="344" t="str">
        <f t="shared" si="27"/>
        <v>-</v>
      </c>
      <c r="BQ30" s="282" t="str">
        <f>IFERROR(__xludf.DUMMYFUNCTION("IF(REGEXMATCH(JOIN(""-"",EU30:FD30),""TRUE""),""✔"",""-"")"),"-")</f>
        <v>-</v>
      </c>
      <c r="BR30" s="225">
        <f t="shared" si="28"/>
        <v>0</v>
      </c>
      <c r="BS30" s="345" t="str">
        <f>IFERROR(__xludf.DUMMYFUNCTION("SUBSTITUTE(SUBSTITUTE(SUBSTITUTE(SUBSTITUTE(CONCATENATE(JOIN(""-"",GC30:GO30)),""--"",""-""),""--"",""-""),""--"",""-""),""--"",""-"")"),"1-2-4-5-6-b7-7-8")</f>
        <v>1-2-4-5-6-b7-7-8</v>
      </c>
      <c r="BT30" s="299" t="str">
        <f>IFERROR(__xludf.DUMMYFUNCTION("SUBSTITUTE(SUBSTITUTE(SUBSTITUTE(SUBSTITUTE(CONCATENATE(JOIN(""-"",GP30:HB30)),""--"",""-""),""--"",""-""),""--"",""-""),""--"",""-"")"),"S-R2-M1-P-D2-N2-N3-S")</f>
        <v>S-R2-M1-P-D2-N2-N3-S</v>
      </c>
      <c r="BU30" s="348" t="str">
        <f t="shared" si="29"/>
        <v>C-D-F-G-A-Bb-B-C</v>
      </c>
      <c r="BV30" s="349" t="str">
        <f t="shared" si="30"/>
        <v>SrgGMdS</v>
      </c>
      <c r="BW30" s="350">
        <f t="shared" si="31"/>
        <v>0</v>
      </c>
      <c r="BX30" s="351">
        <f t="shared" si="32"/>
        <v>4</v>
      </c>
      <c r="BY30" s="392"/>
      <c r="BZ30" s="309" t="str">
        <f>IFERROR(__xludf.DUMMYFUNCTION("IF(REGEXMATCH(C30, ""S""), ""x"",""x"")"),"x")</f>
        <v>x</v>
      </c>
      <c r="CA30" s="245" t="str">
        <f>IFERROR(__xludf.DUMMYFUNCTION("IF(REGEXMATCH(C30, ""r""), ""o"",""x"")"),"x")</f>
        <v>x</v>
      </c>
      <c r="CB30" s="246" t="str">
        <f>IFERROR(__xludf.DUMMYFUNCTION("IF(REGEXMATCH(C30, ""R""), ""o"",""x"")"),"o")</f>
        <v>o</v>
      </c>
      <c r="CC30" s="246" t="str">
        <f>IFERROR(__xludf.DUMMYFUNCTION("IF(REGEXMATCH(C30, ""g""), ""o"",""x"")"),"x")</f>
        <v>x</v>
      </c>
      <c r="CD30" s="245" t="str">
        <f>IFERROR(__xludf.DUMMYFUNCTION("IF(REGEXMATCH(C30, ""G""), ""o"",""x"")"),"x")</f>
        <v>x</v>
      </c>
      <c r="CE30" s="245" t="str">
        <f>IFERROR(__xludf.DUMMYFUNCTION("IF(REGEXMATCH(C30, ""m""), ""o"",""x"")"),"o")</f>
        <v>o</v>
      </c>
      <c r="CF30" s="246" t="str">
        <f>IFERROR(__xludf.DUMMYFUNCTION("IF(REGEXMATCH(C30, ""M""), ""o"",""x"")"),"x")</f>
        <v>x</v>
      </c>
      <c r="CG30" s="245" t="str">
        <f>IFERROR(__xludf.DUMMYFUNCTION("IF(REGEXMATCH(C30, ""P""), ""o"",""x"")"),"o")</f>
        <v>o</v>
      </c>
      <c r="CH30" s="246" t="str">
        <f>IFERROR(__xludf.DUMMYFUNCTION("IF(REGEXMATCH(C30, ""d""), ""o"",""x"")"),"x")</f>
        <v>x</v>
      </c>
      <c r="CI30" s="245" t="str">
        <f>IFERROR(__xludf.DUMMYFUNCTION("IF(REGEXMATCH(C30, ""D""), ""o"",""x"")"),"o")</f>
        <v>o</v>
      </c>
      <c r="CJ30" s="245" t="str">
        <f>IFERROR(__xludf.DUMMYFUNCTION("IF(REGEXMATCH(C30, ""n""), ""o"",""x"")"),"o")</f>
        <v>o</v>
      </c>
      <c r="CK30" s="245" t="str">
        <f>IFERROR(__xludf.DUMMYFUNCTION("IF(REGEXMATCH(C30, ""N""), ""o"",""x"")"),"o")</f>
        <v>o</v>
      </c>
      <c r="CL30" s="356" t="str">
        <f>IFERROR(__xludf.DUMMYFUNCTION("IF(REGEXMATCH(C30, ""S""), ""x"",""x"")"),"x")</f>
        <v>x</v>
      </c>
      <c r="CM30" s="357" t="str">
        <f t="shared" si="33"/>
        <v>xxoxxoxoxooo</v>
      </c>
      <c r="CN30" s="358">
        <f t="shared" si="34"/>
        <v>0</v>
      </c>
      <c r="CO30" s="246" t="str">
        <f>IFERROR(__xludf.DUMMYFUNCTION("IF(REGEXMATCH($C30, ""S""), ""S"",""S"")"),"S")</f>
        <v>S</v>
      </c>
      <c r="CP30" s="246" t="str">
        <f>IFERROR(__xludf.DUMMYFUNCTION("IF(REGEXMATCH($C30, ""r""), """",""r"")"),"r")</f>
        <v>r</v>
      </c>
      <c r="CQ30" s="246" t="str">
        <f>IFERROR(__xludf.DUMMYFUNCTION("IF(REGEXMATCH($C30, ""R""), """",""R"")"),"")</f>
        <v/>
      </c>
      <c r="CR30" s="246" t="str">
        <f>IFERROR(__xludf.DUMMYFUNCTION("IF(REGEXMATCH($C30, ""g""), """",""g"")"),"g")</f>
        <v>g</v>
      </c>
      <c r="CS30" s="246" t="str">
        <f>IFERROR(__xludf.DUMMYFUNCTION("IF(REGEXMATCH($C30, ""G""), """",""G"")"),"G")</f>
        <v>G</v>
      </c>
      <c r="CT30" s="246" t="str">
        <f>IFERROR(__xludf.DUMMYFUNCTION("IF(REGEXMATCH($C30, ""m""), """",""m"")"),"")</f>
        <v/>
      </c>
      <c r="CU30" s="246" t="str">
        <f>IFERROR(__xludf.DUMMYFUNCTION("IF(REGEXMATCH($C30, ""M""), """",""M"")"),"M")</f>
        <v>M</v>
      </c>
      <c r="CV30" s="246" t="str">
        <f>IFERROR(__xludf.DUMMYFUNCTION("IF(REGEXMATCH($C30, ""P""), """",""P"")"),"")</f>
        <v/>
      </c>
      <c r="CW30" s="246" t="str">
        <f>IFERROR(__xludf.DUMMYFUNCTION("IF(REGEXMATCH($C30, ""d""), """",""d"")"),"d")</f>
        <v>d</v>
      </c>
      <c r="CX30" s="246" t="str">
        <f>IFERROR(__xludf.DUMMYFUNCTION("IF(REGEXMATCH($C30, ""D""), """",""D"")"),"")</f>
        <v/>
      </c>
      <c r="CY30" s="246" t="str">
        <f>IFERROR(__xludf.DUMMYFUNCTION("IF(REGEXMATCH($C30, ""n""), """",""n"")"),"")</f>
        <v/>
      </c>
      <c r="CZ30" s="246" t="str">
        <f>IFERROR(__xludf.DUMMYFUNCTION("IF(REGEXMATCH($C30, ""N""), """",""N"")"),"")</f>
        <v/>
      </c>
      <c r="DA30" s="246" t="str">
        <f>IFERROR(__xludf.DUMMYFUNCTION("IF(REGEXMATCH($C30, ""S""), ""S"",""S"")"),"S")</f>
        <v>S</v>
      </c>
      <c r="DB30" s="362" t="str">
        <f>IFERROR(__xludf.DUMMYFUNCTION("JOIN("""",CO30:DA30,"""","""")"),"SrgGMdS")</f>
        <v>SrgGMdS</v>
      </c>
      <c r="DC30" s="363"/>
      <c r="DD30" s="301" t="str">
        <f t="shared" si="35"/>
        <v>#REF!</v>
      </c>
      <c r="DE30" s="302" t="str">
        <f t="shared" si="36"/>
        <v>#REF!</v>
      </c>
      <c r="DF30" s="301" t="str">
        <f t="shared" ref="DF30:DG30" si="252">SUBSTITUTE(S30,"-","")</f>
        <v>SRM</v>
      </c>
      <c r="DG30" s="301" t="str">
        <f t="shared" si="252"/>
        <v>PDNS</v>
      </c>
      <c r="DH30" s="302" t="str">
        <f t="shared" si="38"/>
        <v>-</v>
      </c>
      <c r="DI30" s="301" t="str">
        <f t="shared" si="39"/>
        <v>Hemi.</v>
      </c>
      <c r="DJ30" s="364" t="str">
        <f t="shared" si="40"/>
        <v>Co-Co.</v>
      </c>
      <c r="DK30" s="306" t="str">
        <f t="shared" si="41"/>
        <v>-</v>
      </c>
      <c r="DL30" s="366" t="str">
        <f t="shared" si="42"/>
        <v>-</v>
      </c>
      <c r="DM30" s="308" t="str">
        <f t="shared" si="43"/>
        <v>✔</v>
      </c>
      <c r="DN30" s="306" t="str">
        <f t="shared" si="44"/>
        <v>-</v>
      </c>
      <c r="DO30" s="306" t="str">
        <f t="shared" si="45"/>
        <v>-</v>
      </c>
      <c r="DP30" s="367" t="str">
        <f t="shared" si="46"/>
        <v>-</v>
      </c>
      <c r="DQ30" s="310" t="str">
        <f t="shared" si="47"/>
        <v>-</v>
      </c>
      <c r="DR30" s="310" t="str">
        <f t="shared" si="48"/>
        <v>-</v>
      </c>
      <c r="DS30" s="310" t="str">
        <f t="shared" si="49"/>
        <v>-</v>
      </c>
      <c r="DT30" s="310" t="str">
        <f t="shared" si="50"/>
        <v>-</v>
      </c>
      <c r="DU30" s="370" t="str">
        <f t="shared" si="51"/>
        <v>✔</v>
      </c>
      <c r="DV30" s="306" t="str">
        <f t="shared" si="52"/>
        <v>-</v>
      </c>
      <c r="DW30" s="306" t="str">
        <f t="shared" si="53"/>
        <v>✔</v>
      </c>
      <c r="DX30" s="306" t="str">
        <f t="shared" si="54"/>
        <v>-</v>
      </c>
      <c r="DY30" s="306" t="str">
        <f t="shared" si="55"/>
        <v>-</v>
      </c>
      <c r="DZ30" s="306" t="str">
        <f t="shared" si="56"/>
        <v>-</v>
      </c>
      <c r="EA30" s="367" t="str">
        <f t="shared" si="57"/>
        <v>-</v>
      </c>
      <c r="EB30" s="310" t="str">
        <f>IFERROR(__xludf.DUMMYFUNCTION("IF(REGEXMATCH(AW30,AS30),""✔"",""-"")"),"-")</f>
        <v>-</v>
      </c>
      <c r="EC30" s="310" t="str">
        <f t="shared" si="58"/>
        <v>#REF!</v>
      </c>
      <c r="ED30" s="370" t="str">
        <f t="shared" si="59"/>
        <v>-</v>
      </c>
      <c r="EE30" s="340" t="str">
        <f t="shared" si="60"/>
        <v>S-R-m-P-D-nN-S</v>
      </c>
      <c r="EF30" s="371" t="str">
        <f>IFERROR(__xludf.DUMMYFUNCTION("CONCATENATE(JOIN("""",HC30:HO30))"),"SrRgmPnS")</f>
        <v>SrRgmPnS</v>
      </c>
      <c r="EG30" s="372">
        <f t="shared" si="61"/>
        <v>2</v>
      </c>
      <c r="EH30" s="373" t="str">
        <f>IFERROR(__xludf.DUMMYFUNCTION("CONCATENATE(JOIN("""",JC30:JO30))"),"Dha, Ni, ")</f>
        <v>Dha, Ni, </v>
      </c>
      <c r="EI30" s="322">
        <f t="shared" si="62"/>
        <v>1</v>
      </c>
      <c r="EJ30" s="374" t="str">
        <f>IFERROR(__xludf.DUMMYFUNCTION("CONCATENATE(JOIN("""",KC30:KO30))"),"Ni, ")</f>
        <v>Ni, </v>
      </c>
      <c r="EK30" s="325" t="str">
        <f t="shared" si="63"/>
        <v>S-R2-M1-P-D2-N2-N3-S</v>
      </c>
      <c r="EL30" s="326" t="str">
        <f t="shared" si="64"/>
        <v>1-2-4-5-6-b7-7-8</v>
      </c>
      <c r="EM30" s="318" t="str">
        <f t="shared" si="65"/>
        <v>#REF!</v>
      </c>
      <c r="EN30" s="328" t="str">
        <f>IFERROR(__xludf.DUMMYFUNCTION("SUBSTITUTE(SUBSTITUTE(SUBSTITUTE(SUBSTITUTE(CONCATENATE(JOIN("" "",HP30:IB30)),""  "","" ""),""  "","" ""),""  "","" ""),""  "","" "")"),"o • o • • o • o • o o o o")</f>
        <v>o • o • • o • o • o o o o</v>
      </c>
      <c r="EO30" s="368" t="str">
        <f t="shared" si="66"/>
        <v>-</v>
      </c>
      <c r="EP30" s="339" t="str">
        <f t="shared" si="67"/>
        <v>-</v>
      </c>
      <c r="EQ30" s="339" t="str">
        <f t="shared" si="68"/>
        <v>Sa-Pa</v>
      </c>
      <c r="ER30" s="339" t="str">
        <f t="shared" si="69"/>
        <v>-</v>
      </c>
      <c r="ES30" s="340" t="str">
        <f t="shared" si="70"/>
        <v>-</v>
      </c>
      <c r="ET30" s="363"/>
      <c r="EU30" s="376" t="b">
        <f>IFERROR(__xludf.DUMMYFUNCTION("arrayformula(sum(--REGEXMATCH(""SRGMPDNS"",split(REGEXREPLACE(C30,""(.)"",""$1~""),""~""))))=len(C30)
"),FALSE)</f>
        <v>0</v>
      </c>
      <c r="EV30" s="290" t="b">
        <f>IFERROR(__xludf.DUMMYFUNCTION("arrayformula(sum(--REGEXMATCH(""SRGmPDNS"",split(REGEXREPLACE(C30,""(.)"",""$1~""),""~""))))=len(C30)"),FALSE)</f>
        <v>0</v>
      </c>
      <c r="EW30" s="290" t="b">
        <f>IFERROR(__xludf.DUMMYFUNCTION("arrayformula(sum(--REGEXMATCH(""SRGmPDnS"",split(REGEXREPLACE(C30,""(.)"",""$1~""),""~""))))=len(C30)"),FALSE)</f>
        <v>0</v>
      </c>
      <c r="EX30" s="290" t="b">
        <f>IFERROR(__xludf.DUMMYFUNCTION("arrayformula(sum(--REGEXMATCH(""SRgmPDnS"",split(REGEXREPLACE(C30,""(.)"",""$1~""),""~""))))=len(C30)"),FALSE)</f>
        <v>0</v>
      </c>
      <c r="EY30" s="290" t="b">
        <f>IFERROR(__xludf.DUMMYFUNCTION("arrayformula(sum(--REGEXMATCH(""SRgmPdnS"",split(REGEXREPLACE(C30,""(.)"",""$1~""),""~""))))=len(C30)"),FALSE)</f>
        <v>0</v>
      </c>
      <c r="EZ30" s="290" t="b">
        <f>IFERROR(__xludf.DUMMYFUNCTION("arrayformula(sum(--REGEXMATCH(""SrgmPdnS"",split(REGEXREPLACE(C30,""(.)"",""$1~""),""~""))))=len(C30)"),FALSE)</f>
        <v>0</v>
      </c>
      <c r="FA30" s="290" t="b">
        <f>IFERROR(__xludf.DUMMYFUNCTION("arrayformula(sum(--REGEXMATCH(""SrGmPdNS"",split(REGEXREPLACE(C30,""(.)"",""$1~""),""~""))))=len(C30)"),FALSE)</f>
        <v>0</v>
      </c>
      <c r="FB30" s="290" t="b">
        <f>IFERROR(__xludf.DUMMYFUNCTION("arrayformula(sum(--REGEXMATCH(""SrGMPDNS"",split(REGEXREPLACE(C30,""(.)"",""$1~""),""~""))))=len(C30)"),FALSE)</f>
        <v>0</v>
      </c>
      <c r="FC30" s="290" t="b">
        <f>IFERROR(__xludf.DUMMYFUNCTION("arrayformula(sum(--REGEXMATCH(""SrGMPdNS"",split(REGEXREPLACE(C30,""(.)"",""$1~""),""~""))))=len(C30)"),FALSE)</f>
        <v>0</v>
      </c>
      <c r="FD30" s="377" t="b">
        <f>IFERROR(__xludf.DUMMYFUNCTION("arrayformula(sum(--REGEXMATCH(""SrgMPdNS"",split(REGEXREPLACE(C30,""(.)"",""$1~""),""~""))))=len(C30)"),FALSE)</f>
        <v>0</v>
      </c>
      <c r="FE30" s="269" t="str">
        <f t="shared" si="71"/>
        <v>-</v>
      </c>
      <c r="FF30" s="269" t="str">
        <f t="shared" si="72"/>
        <v>xooxoxoxxxx</v>
      </c>
      <c r="FG30" s="271" t="str">
        <f t="shared" si="73"/>
        <v>-</v>
      </c>
      <c r="FH30" s="269" t="str">
        <f t="shared" si="74"/>
        <v>-</v>
      </c>
      <c r="FI30" s="271" t="str">
        <f t="shared" si="75"/>
        <v>xoxoxxxxoxo</v>
      </c>
      <c r="FJ30" s="271" t="str">
        <f t="shared" si="76"/>
        <v>-</v>
      </c>
      <c r="FK30" s="271" t="str">
        <f t="shared" si="77"/>
        <v>xoxxxxoxoox</v>
      </c>
      <c r="FL30" s="271" t="str">
        <f t="shared" si="78"/>
        <v>-</v>
      </c>
      <c r="FM30" s="271" t="str">
        <f t="shared" si="79"/>
        <v>xxxxoxooxox</v>
      </c>
      <c r="FN30" s="271" t="str">
        <f t="shared" si="80"/>
        <v>xxxoxooxoxo</v>
      </c>
      <c r="FO30" s="274" t="str">
        <f t="shared" si="81"/>
        <v>xxoxooxoxox</v>
      </c>
      <c r="FP30" s="234" t="str">
        <f t="shared" si="82"/>
        <v>|</v>
      </c>
      <c r="FQ30" s="236" t="str">
        <f t="shared" si="83"/>
        <v>-</v>
      </c>
      <c r="FR30" s="237" t="str">
        <f t="shared" si="84"/>
        <v>|</v>
      </c>
      <c r="FS30" s="236" t="str">
        <f t="shared" si="85"/>
        <v>-</v>
      </c>
      <c r="FT30" s="237" t="str">
        <f t="shared" si="86"/>
        <v>-</v>
      </c>
      <c r="FU30" s="236" t="str">
        <f t="shared" si="87"/>
        <v>|</v>
      </c>
      <c r="FV30" s="237" t="str">
        <f t="shared" si="88"/>
        <v>-</v>
      </c>
      <c r="FW30" s="236" t="str">
        <f t="shared" si="89"/>
        <v>|</v>
      </c>
      <c r="FX30" s="237" t="str">
        <f t="shared" si="90"/>
        <v>-</v>
      </c>
      <c r="FY30" s="236" t="str">
        <f t="shared" si="91"/>
        <v>|</v>
      </c>
      <c r="FZ30" s="237" t="str">
        <f t="shared" si="92"/>
        <v>|</v>
      </c>
      <c r="GA30" s="236" t="str">
        <f t="shared" si="93"/>
        <v>|</v>
      </c>
      <c r="GB30" s="238" t="str">
        <f t="shared" si="94"/>
        <v>|</v>
      </c>
      <c r="GC30" s="244" t="str">
        <f>IFERROR(__xludf.DUMMYFUNCTION("IF(REGEXMATCH(C30, ""S""), ""1"","""")"),"1")</f>
        <v>1</v>
      </c>
      <c r="GD30" s="245" t="str">
        <f>IFERROR(__xludf.DUMMYFUNCTION("IF(REGEXMATCH(C30, ""r""), ""b2"","""")"),"")</f>
        <v/>
      </c>
      <c r="GE30" s="246" t="str">
        <f>IFERROR(__xludf.DUMMYFUNCTION("IF(REGEXMATCH(C30, ""R""), ""2"","""")"),"2")</f>
        <v>2</v>
      </c>
      <c r="GF30" s="246" t="str">
        <f>IFERROR(__xludf.DUMMYFUNCTION("IF(REGEXMATCH(C30, ""g""), ""b3"","""")"),"")</f>
        <v/>
      </c>
      <c r="GG30" s="245" t="str">
        <f>IFERROR(__xludf.DUMMYFUNCTION("IF(REGEXMATCH(C30, ""G""), ""3"","""")"),"")</f>
        <v/>
      </c>
      <c r="GH30" s="245" t="str">
        <f>IFERROR(__xludf.DUMMYFUNCTION("IF(REGEXMATCH(C30, ""m""), ""4"","""")"),"4")</f>
        <v>4</v>
      </c>
      <c r="GI30" s="246" t="str">
        <f>IFERROR(__xludf.DUMMYFUNCTION("IF(REGEXMATCH(C30, ""M""), ""#4"","""")"),"")</f>
        <v/>
      </c>
      <c r="GJ30" s="245" t="str">
        <f>IFERROR(__xludf.DUMMYFUNCTION("IF(REGEXMATCH(C30, ""P""), ""5"","""")"),"5")</f>
        <v>5</v>
      </c>
      <c r="GK30" s="246" t="str">
        <f>IFERROR(__xludf.DUMMYFUNCTION("IF(REGEXMATCH(C30, ""d""), ""b6"","""")"),"")</f>
        <v/>
      </c>
      <c r="GL30" s="245" t="str">
        <f>IFERROR(__xludf.DUMMYFUNCTION("IF(REGEXMATCH(C30, ""D""), ""6"","""")"),"6")</f>
        <v>6</v>
      </c>
      <c r="GM30" s="245" t="str">
        <f>IFERROR(__xludf.DUMMYFUNCTION("IF(REGEXMATCH(C30, ""n""), ""b7"","""")"),"b7")</f>
        <v>b7</v>
      </c>
      <c r="GN30" s="246" t="str">
        <f>IFERROR(__xludf.DUMMYFUNCTION("IF(REGEXMATCH(C30, ""N""), ""7"","""")"),"7")</f>
        <v>7</v>
      </c>
      <c r="GO30" s="249" t="str">
        <f>IFERROR(__xludf.DUMMYFUNCTION("IF(REGEXMATCH(C30, ""S""), ""8"","""")"),"8")</f>
        <v>8</v>
      </c>
      <c r="GP30" s="244" t="str">
        <f>IFERROR(__xludf.DUMMYFUNCTION("IF(REGEXMATCH(C30, ""S""), ""S"","""")"),"S")</f>
        <v>S</v>
      </c>
      <c r="GQ30" s="294" t="str">
        <f>IFERROR(__xludf.DUMMYFUNCTION("IF(REGEXMATCH(C30, ""r""), ""R1"","""")"),"")</f>
        <v/>
      </c>
      <c r="GR30" s="295" t="str">
        <f>IFERROR(__xludf.DUMMYFUNCTION("IF(REGEXMATCH(C30, ""R""), ""R2"","""")"),"R2")</f>
        <v>R2</v>
      </c>
      <c r="GS30" s="295" t="str">
        <f>IFERROR(__xludf.DUMMYFUNCTION("IF(REGEXMATCH(C30, ""g""), ""G2"","""")"),"")</f>
        <v/>
      </c>
      <c r="GT30" s="294" t="str">
        <f>IFERROR(__xludf.DUMMYFUNCTION("IF(REGEXMATCH(C30, ""G""), ""G3"","""")"),"")</f>
        <v/>
      </c>
      <c r="GU30" s="294" t="str">
        <f>IFERROR(__xludf.DUMMYFUNCTION("IF(REGEXMATCH(C30, ""m""), ""M1"","""")"),"M1")</f>
        <v>M1</v>
      </c>
      <c r="GV30" s="295" t="str">
        <f>IFERROR(__xludf.DUMMYFUNCTION("IF(REGEXMATCH(C30, ""M""), ""M2"","""")"),"")</f>
        <v/>
      </c>
      <c r="GW30" s="294" t="str">
        <f>IFERROR(__xludf.DUMMYFUNCTION("IF(REGEXMATCH(C30, ""P""), ""P"","""")"),"P")</f>
        <v>P</v>
      </c>
      <c r="GX30" s="295" t="str">
        <f>IFERROR(__xludf.DUMMYFUNCTION("IF(REGEXMATCH(C30, ""d""), ""D1"","""")"),"")</f>
        <v/>
      </c>
      <c r="GY30" s="294" t="str">
        <f>IFERROR(__xludf.DUMMYFUNCTION("IF(REGEXMATCH(C30, ""D""), ""D2"","""")"),"D2")</f>
        <v>D2</v>
      </c>
      <c r="GZ30" s="294" t="str">
        <f>IFERROR(__xludf.DUMMYFUNCTION("IF(REGEXMATCH(C30, ""n""), ""N2"","""")"),"N2")</f>
        <v>N2</v>
      </c>
      <c r="HA30" s="295" t="str">
        <f>IFERROR(__xludf.DUMMYFUNCTION("IF(REGEXMATCH(C30, ""N""), ""N3"","""")"),"N3")</f>
        <v>N3</v>
      </c>
      <c r="HB30" s="249" t="str">
        <f>IFERROR(__xludf.DUMMYFUNCTION("IF(REGEXMATCH(C30, ""S""), ""S"","""")"),"S")</f>
        <v>S</v>
      </c>
      <c r="HC30" s="331" t="str">
        <f t="shared" si="95"/>
        <v>S</v>
      </c>
      <c r="HD30" s="332" t="str">
        <f t="shared" si="96"/>
        <v>r</v>
      </c>
      <c r="HE30" s="332" t="str">
        <f t="shared" si="97"/>
        <v>R</v>
      </c>
      <c r="HF30" s="332" t="str">
        <f t="shared" si="98"/>
        <v>g</v>
      </c>
      <c r="HG30" s="332" t="str">
        <f t="shared" si="99"/>
        <v/>
      </c>
      <c r="HH30" s="332" t="str">
        <f t="shared" si="100"/>
        <v>m</v>
      </c>
      <c r="HI30" s="332" t="str">
        <f t="shared" si="101"/>
        <v/>
      </c>
      <c r="HJ30" s="332" t="str">
        <f t="shared" si="102"/>
        <v>P</v>
      </c>
      <c r="HK30" s="332" t="str">
        <f t="shared" si="103"/>
        <v/>
      </c>
      <c r="HL30" s="332" t="str">
        <f t="shared" si="104"/>
        <v/>
      </c>
      <c r="HM30" s="332" t="str">
        <f t="shared" si="105"/>
        <v>n</v>
      </c>
      <c r="HN30" s="332" t="str">
        <f t="shared" si="106"/>
        <v/>
      </c>
      <c r="HO30" s="343" t="str">
        <f t="shared" si="107"/>
        <v>S</v>
      </c>
      <c r="HP30" s="331" t="str">
        <f t="shared" si="108"/>
        <v>o</v>
      </c>
      <c r="HQ30" s="332" t="str">
        <f t="shared" si="109"/>
        <v>•</v>
      </c>
      <c r="HR30" s="332" t="str">
        <f t="shared" si="110"/>
        <v>o</v>
      </c>
      <c r="HS30" s="332" t="str">
        <f t="shared" si="111"/>
        <v>•</v>
      </c>
      <c r="HT30" s="332" t="str">
        <f t="shared" si="112"/>
        <v>•</v>
      </c>
      <c r="HU30" s="332" t="str">
        <f t="shared" si="113"/>
        <v>o</v>
      </c>
      <c r="HV30" s="332" t="str">
        <f t="shared" si="114"/>
        <v>•</v>
      </c>
      <c r="HW30" s="332" t="str">
        <f t="shared" si="115"/>
        <v>o</v>
      </c>
      <c r="HX30" s="332" t="str">
        <f t="shared" si="116"/>
        <v>•</v>
      </c>
      <c r="HY30" s="332" t="str">
        <f t="shared" si="117"/>
        <v>o</v>
      </c>
      <c r="HZ30" s="332" t="str">
        <f t="shared" si="118"/>
        <v>o</v>
      </c>
      <c r="IA30" s="332" t="str">
        <f t="shared" si="119"/>
        <v>o</v>
      </c>
      <c r="IB30" s="338" t="str">
        <f t="shared" si="120"/>
        <v>o</v>
      </c>
      <c r="IC30" s="331" t="str">
        <f t="shared" si="121"/>
        <v>•</v>
      </c>
      <c r="ID30" s="332" t="str">
        <f t="shared" si="122"/>
        <v>o</v>
      </c>
      <c r="IE30" s="332" t="str">
        <f t="shared" si="123"/>
        <v>•</v>
      </c>
      <c r="IF30" s="332" t="str">
        <f t="shared" si="124"/>
        <v>o</v>
      </c>
      <c r="IG30" s="332" t="str">
        <f t="shared" si="125"/>
        <v>o</v>
      </c>
      <c r="IH30" s="332" t="str">
        <f t="shared" si="126"/>
        <v>•</v>
      </c>
      <c r="II30" s="332" t="str">
        <f t="shared" si="127"/>
        <v>o</v>
      </c>
      <c r="IJ30" s="332" t="str">
        <f t="shared" si="128"/>
        <v>•</v>
      </c>
      <c r="IK30" s="332" t="str">
        <f t="shared" si="129"/>
        <v>o</v>
      </c>
      <c r="IL30" s="332" t="str">
        <f t="shared" si="130"/>
        <v>•</v>
      </c>
      <c r="IM30" s="332" t="str">
        <f t="shared" si="131"/>
        <v>•</v>
      </c>
      <c r="IN30" s="332" t="str">
        <f t="shared" si="132"/>
        <v>•</v>
      </c>
      <c r="IO30" s="338" t="str">
        <f t="shared" si="133"/>
        <v>•</v>
      </c>
      <c r="IP30" s="346" t="b">
        <f t="shared" si="134"/>
        <v>0</v>
      </c>
      <c r="IQ30" s="347" t="b">
        <f t="shared" si="135"/>
        <v>0</v>
      </c>
      <c r="IR30" s="347" t="b">
        <f t="shared" si="136"/>
        <v>0</v>
      </c>
      <c r="IS30" s="347" t="b">
        <f t="shared" si="137"/>
        <v>0</v>
      </c>
      <c r="IT30" s="347" t="b">
        <f t="shared" si="138"/>
        <v>0</v>
      </c>
      <c r="IU30" s="347" t="b">
        <f t="shared" si="139"/>
        <v>0</v>
      </c>
      <c r="IV30" s="347" t="b">
        <f t="shared" si="140"/>
        <v>0</v>
      </c>
      <c r="IW30" s="347" t="b">
        <f t="shared" si="141"/>
        <v>0</v>
      </c>
      <c r="IX30" s="347" t="b">
        <f t="shared" si="142"/>
        <v>0</v>
      </c>
      <c r="IY30" s="347" t="b">
        <f t="shared" si="143"/>
        <v>1</v>
      </c>
      <c r="IZ30" s="347" t="b">
        <f t="shared" si="144"/>
        <v>0</v>
      </c>
      <c r="JA30" s="347" t="b">
        <f t="shared" si="145"/>
        <v>1</v>
      </c>
      <c r="JB30" s="353" t="b">
        <f t="shared" si="146"/>
        <v>0</v>
      </c>
      <c r="JC30" s="354" t="str">
        <f t="shared" si="147"/>
        <v/>
      </c>
      <c r="JD30" s="355" t="str">
        <f t="shared" si="148"/>
        <v/>
      </c>
      <c r="JE30" s="355" t="str">
        <f t="shared" si="149"/>
        <v/>
      </c>
      <c r="JF30" s="355" t="str">
        <f t="shared" si="150"/>
        <v/>
      </c>
      <c r="JG30" s="355" t="str">
        <f t="shared" si="151"/>
        <v/>
      </c>
      <c r="JH30" s="355" t="str">
        <f t="shared" si="152"/>
        <v/>
      </c>
      <c r="JI30" s="355" t="str">
        <f t="shared" si="153"/>
        <v/>
      </c>
      <c r="JJ30" s="355" t="str">
        <f t="shared" si="154"/>
        <v/>
      </c>
      <c r="JK30" s="355" t="str">
        <f t="shared" si="155"/>
        <v/>
      </c>
      <c r="JL30" s="355" t="str">
        <f t="shared" si="156"/>
        <v>Dha, </v>
      </c>
      <c r="JM30" s="355" t="str">
        <f t="shared" si="157"/>
        <v/>
      </c>
      <c r="JN30" s="355" t="str">
        <f t="shared" si="158"/>
        <v>Ni, </v>
      </c>
      <c r="JO30" s="359" t="str">
        <f t="shared" si="159"/>
        <v/>
      </c>
      <c r="JP30" s="346" t="b">
        <f t="shared" si="160"/>
        <v>0</v>
      </c>
      <c r="JQ30" s="347" t="b">
        <f t="shared" si="161"/>
        <v>0</v>
      </c>
      <c r="JR30" s="347" t="b">
        <f t="shared" si="162"/>
        <v>0</v>
      </c>
      <c r="JS30" s="347" t="b">
        <f t="shared" si="163"/>
        <v>0</v>
      </c>
      <c r="JT30" s="347" t="b">
        <f t="shared" si="164"/>
        <v>0</v>
      </c>
      <c r="JU30" s="347" t="b">
        <f t="shared" si="165"/>
        <v>0</v>
      </c>
      <c r="JV30" s="347" t="b">
        <f t="shared" si="166"/>
        <v>0</v>
      </c>
      <c r="JW30" s="347" t="b">
        <f t="shared" si="167"/>
        <v>0</v>
      </c>
      <c r="JX30" s="347" t="b">
        <f t="shared" si="168"/>
        <v>0</v>
      </c>
      <c r="JY30" s="347" t="b">
        <f t="shared" si="169"/>
        <v>0</v>
      </c>
      <c r="JZ30" s="347" t="b">
        <f t="shared" si="170"/>
        <v>0</v>
      </c>
      <c r="KA30" s="347" t="b">
        <f t="shared" si="171"/>
        <v>1</v>
      </c>
      <c r="KB30" s="365" t="b">
        <f t="shared" si="172"/>
        <v>0</v>
      </c>
      <c r="KC30" s="354" t="str">
        <f t="shared" si="173"/>
        <v/>
      </c>
      <c r="KD30" s="355" t="str">
        <f t="shared" si="174"/>
        <v/>
      </c>
      <c r="KE30" s="355" t="str">
        <f t="shared" si="175"/>
        <v/>
      </c>
      <c r="KF30" s="355" t="str">
        <f t="shared" si="176"/>
        <v/>
      </c>
      <c r="KG30" s="355" t="str">
        <f t="shared" si="177"/>
        <v/>
      </c>
      <c r="KH30" s="355" t="str">
        <f t="shared" si="178"/>
        <v/>
      </c>
      <c r="KI30" s="355" t="str">
        <f t="shared" si="179"/>
        <v/>
      </c>
      <c r="KJ30" s="355" t="str">
        <f t="shared" si="180"/>
        <v/>
      </c>
      <c r="KK30" s="355" t="str">
        <f t="shared" si="181"/>
        <v/>
      </c>
      <c r="KL30" s="355" t="str">
        <f t="shared" si="182"/>
        <v/>
      </c>
      <c r="KM30" s="355" t="str">
        <f t="shared" si="183"/>
        <v/>
      </c>
      <c r="KN30" s="355" t="str">
        <f t="shared" si="184"/>
        <v>Ni, </v>
      </c>
      <c r="KO30" s="359"/>
      <c r="KP30" s="378"/>
      <c r="KQ30" s="379" t="s">
        <v>9</v>
      </c>
      <c r="KR30" s="380" t="s">
        <v>9</v>
      </c>
      <c r="KS30" s="381" t="s">
        <v>9</v>
      </c>
      <c r="KT30" s="382">
        <f t="shared" si="186"/>
        <v>0</v>
      </c>
      <c r="KU30" s="383">
        <f t="shared" si="187"/>
        <v>0</v>
      </c>
      <c r="KV30" s="381" t="str">
        <f t="shared" si="205"/>
        <v>S</v>
      </c>
      <c r="KW30" s="382">
        <f t="shared" si="189"/>
        <v>0</v>
      </c>
      <c r="KX30" s="384">
        <f t="shared" si="190"/>
        <v>0</v>
      </c>
      <c r="KY30" s="382">
        <f t="shared" ref="KY30:KZ30" si="253">KW30-KT30</f>
        <v>0</v>
      </c>
      <c r="KZ30" s="369">
        <f t="shared" si="253"/>
        <v>0</v>
      </c>
      <c r="LA30" s="385" t="str">
        <f t="shared" si="192"/>
        <v>✔</v>
      </c>
      <c r="LB30" s="340" t="str">
        <f>IFERROR(__xludf.DUMMYFUNCTION("JOIN("""",ArrayFormula(MID(KS30,LEN(KS30)-SEQUENCE(1,LEN(KS30))+1,1)))"),"S")</f>
        <v>S</v>
      </c>
      <c r="LC30" s="373" t="str">
        <f>IFERROR(__xludf.DUMMYFUNCTION("JOIN("""",ArrayFormula(MID(KV30,LEN(KV30)-SEQUENCE(1,LEN(KV30))+1,1)))"),"S")</f>
        <v>S</v>
      </c>
      <c r="LD30" s="373" t="str">
        <f t="shared" si="193"/>
        <v>S</v>
      </c>
      <c r="LE30" s="339" t="str">
        <f t="shared" si="194"/>
        <v>S</v>
      </c>
      <c r="LF30" s="386" t="str">
        <f>IFERROR(__xludf.DUMMYFUNCTION("SUBSTITUTE(SUBSTITUTE(CONCATENATE(JOIN("""",LH30:LT30)),""1"",""""),""2"","""")"),"SS")</f>
        <v>SS</v>
      </c>
      <c r="LG30" s="369" t="str">
        <f t="shared" si="195"/>
        <v>-</v>
      </c>
      <c r="LH30" s="387" t="str">
        <f>IFERROR(__xludf.DUMMYFUNCTION("IF(REGEXMATCH(LD30, ""S""), ""S"",IF(REGEXMATCH(LE30, ""S""), ""S"",""""))"),"S")</f>
        <v>S</v>
      </c>
      <c r="LI30" s="299" t="str">
        <f>IFERROR(__xludf.DUMMYFUNCTION("IF(REGEXMATCH(LD30, ""r""), ""r1"",IF(REGEXMATCH(LE30, ""r""), ""r2"",""""))"),"")</f>
        <v/>
      </c>
      <c r="LJ30" s="299" t="str">
        <f>IFERROR(__xludf.DUMMYFUNCTION("IF(REGEXMATCH(LD30, ""R""), ""R1"",IF(REGEXMATCH(LE30, ""R""), ""R2"",""""))"),"")</f>
        <v/>
      </c>
      <c r="LK30" s="299" t="str">
        <f>IFERROR(__xludf.DUMMYFUNCTION("IF(REGEXMATCH(LD30, ""g""), ""g1"",IF(REGEXMATCH(LE30, ""g""), ""g2"",""""))"),"")</f>
        <v/>
      </c>
      <c r="LL30" s="299" t="str">
        <f>IFERROR(__xludf.DUMMYFUNCTION("IF(REGEXMATCH(LD30, ""G""), ""G1"",IF(REGEXMATCH(LE30, ""G""), ""G2"",""""))"),"")</f>
        <v/>
      </c>
      <c r="LM30" s="299" t="str">
        <f>IFERROR(__xludf.DUMMYFUNCTION("IF(REGEXMATCH(LD30, ""m""), ""m1"",IF(REGEXMATCH(LE30, ""m""), ""m2"",""""))"),"")</f>
        <v/>
      </c>
      <c r="LN30" s="299" t="str">
        <f>IFERROR(__xludf.DUMMYFUNCTION("IF(REGEXMATCH(LD30, ""M""), ""M1"",IF(REGEXMATCH(LE30, ""M""), ""M2"",""""))"),"")</f>
        <v/>
      </c>
      <c r="LO30" s="299" t="str">
        <f>IFERROR(__xludf.DUMMYFUNCTION("IF(REGEXMATCH(LD30, ""P""), ""P1"",IF(REGEXMATCH(LE30, ""P""), ""P2"",""""))"),"")</f>
        <v/>
      </c>
      <c r="LP30" s="299" t="str">
        <f>IFERROR(__xludf.DUMMYFUNCTION("IF(REGEXMATCH(LD30, ""d""), ""d1"",IF(REGEXMATCH(LE30, ""d""), ""d2"",""""))"),"")</f>
        <v/>
      </c>
      <c r="LQ30" s="299" t="str">
        <f>IFERROR(__xludf.DUMMYFUNCTION("IF(REGEXMATCH(LD30, ""D""), ""D1"",IF(REGEXMATCH(LE30, ""D""), ""D2"",""""))"),"")</f>
        <v/>
      </c>
      <c r="LR30" s="299" t="str">
        <f>IFERROR(__xludf.DUMMYFUNCTION("IF(REGEXMATCH(LD30, ""n""), ""n1"",IF(REGEXMATCH(LE30, ""n""), ""n2"",""""))"),"")</f>
        <v/>
      </c>
      <c r="LS30" s="299" t="str">
        <f>IFERROR(__xludf.DUMMYFUNCTION("IF(REGEXMATCH(LD30, ""N""), ""N1"",IF(REGEXMATCH(LE30, ""N""), ""N2"",""""))"),"")</f>
        <v/>
      </c>
      <c r="LT30" s="388" t="str">
        <f>IFERROR(__xludf.DUMMYFUNCTION("IF(REGEXMATCH(LD30, ""S""), ""S"",IF(REGEXMATCH(LE30, ""S""), ""S"",""""))"),"S")</f>
        <v>S</v>
      </c>
      <c r="LU30" s="389">
        <f t="shared" si="196"/>
        <v>1</v>
      </c>
      <c r="LV30" s="378"/>
      <c r="LW30" s="369"/>
      <c r="LX30" s="369"/>
    </row>
    <row r="31" ht="20.25" customHeight="1">
      <c r="A31" s="298" t="s">
        <v>560</v>
      </c>
      <c r="B31" s="222" t="s">
        <v>561</v>
      </c>
      <c r="C31" s="233" t="str">
        <f t="shared" si="7"/>
        <v>SRgmPDnS</v>
      </c>
      <c r="D31" s="234" t="str">
        <f>IFERROR(__xludf.DUMMYFUNCTION("IF(REGEXMATCH(C31, ""S""), ""S"","""")"),"S")</f>
        <v>S</v>
      </c>
      <c r="E31" s="236" t="str">
        <f>IFERROR(__xludf.DUMMYFUNCTION("IF(REGEXMATCH(C31, ""r""), ""r"","""")"),"")</f>
        <v/>
      </c>
      <c r="F31" s="237" t="str">
        <f>IFERROR(__xludf.DUMMYFUNCTION("IF(REGEXMATCH(C31, ""R""), ""R"","""")"),"R")</f>
        <v>R</v>
      </c>
      <c r="G31" s="237" t="str">
        <f>IFERROR(__xludf.DUMMYFUNCTION("IF(REGEXMATCH(C31, ""g""), ""g"","""")"),"g")</f>
        <v>g</v>
      </c>
      <c r="H31" s="236" t="str">
        <f>IFERROR(__xludf.DUMMYFUNCTION("IF(REGEXMATCH(C31, ""G""), ""G"","""")"),"")</f>
        <v/>
      </c>
      <c r="I31" s="236" t="str">
        <f>IFERROR(__xludf.DUMMYFUNCTION("IF(REGEXMATCH(C31, ""m""), ""m"","""")"),"m")</f>
        <v>m</v>
      </c>
      <c r="J31" s="237" t="str">
        <f>IFERROR(__xludf.DUMMYFUNCTION("IF(REGEXMATCH(C31, ""M""), ""M"","""")"),"")</f>
        <v/>
      </c>
      <c r="K31" s="236" t="str">
        <f>IFERROR(__xludf.DUMMYFUNCTION("IF(REGEXMATCH(C31, ""P""), ""P"","""")"),"P")</f>
        <v>P</v>
      </c>
      <c r="L31" s="237" t="str">
        <f>IFERROR(__xludf.DUMMYFUNCTION("IF(REGEXMATCH(C31, ""d""), ""d"","""")"),"")</f>
        <v/>
      </c>
      <c r="M31" s="236" t="str">
        <f>IFERROR(__xludf.DUMMYFUNCTION("IF(REGEXMATCH(C31, ""D""), ""D"","""")"),"D")</f>
        <v>D</v>
      </c>
      <c r="N31" s="236" t="str">
        <f>IFERROR(__xludf.DUMMYFUNCTION("IF(REGEXMATCH(C31, ""n""), ""n"","""")"),"n")</f>
        <v>n</v>
      </c>
      <c r="O31" s="237" t="str">
        <f>IFERROR(__xludf.DUMMYFUNCTION("IF(REGEXMATCH(C31, ""N""), ""N"","""")"),"")</f>
        <v/>
      </c>
      <c r="P31" s="238" t="str">
        <f>IFERROR(__xludf.DUMMYFUNCTION("IF(REGEXMATCH(C31, ""S""), ""S"","""")"),"S")</f>
        <v>S</v>
      </c>
      <c r="Q31" s="239" t="str">
        <f>IFERROR(__xludf.DUMMYFUNCTION("SUBSTITUTE(CONCATENATE(JOIN(""-"",D31:J31)),""-"","""")"),"SRgm")</f>
        <v>SRgm</v>
      </c>
      <c r="R31" s="229" t="str">
        <f>IFERROR(__xludf.DUMMYFUNCTION("SUBSTITUTE(CONCATENATE(JOIN(""-"",K31:P31)),""-"","""")"),"PDnS")</f>
        <v>PDnS</v>
      </c>
      <c r="S31" s="282" t="str">
        <f t="shared" si="8"/>
        <v>S-R-G-M</v>
      </c>
      <c r="T31" s="282" t="str">
        <f t="shared" si="9"/>
        <v>P-D-N-S</v>
      </c>
      <c r="U31" s="237" t="str">
        <f>IFERROR(__xludf.DUMMYFUNCTION("SUBSTITUTE(JOIN(""-"",S31,T31),""--"",""-"")"),"S-R-G-M-P-D-N-S")</f>
        <v>S-R-G-M-P-D-N-S</v>
      </c>
      <c r="V31" s="309" t="str">
        <f t="shared" si="10"/>
        <v>RgmDn</v>
      </c>
      <c r="W31" s="244" t="str">
        <f>IFERROR(__xludf.DUMMYFUNCTION("IF(REGEXMATCH(C31, ""S""), ""0"","""")"),"0")</f>
        <v>0</v>
      </c>
      <c r="X31" s="245" t="str">
        <f>IFERROR(__xludf.DUMMYFUNCTION("IF(REGEXMATCH(C31, ""r""), ""1"","""")"),"")</f>
        <v/>
      </c>
      <c r="Y31" s="246" t="str">
        <f>IFERROR(__xludf.DUMMYFUNCTION("IF(REGEXMATCH(C31, ""R""), ""2"","""")"),"2")</f>
        <v>2</v>
      </c>
      <c r="Z31" s="246" t="str">
        <f>IFERROR(__xludf.DUMMYFUNCTION("IF(REGEXMATCH(C31, ""g""), ""3"","""")"),"3")</f>
        <v>3</v>
      </c>
      <c r="AA31" s="245" t="str">
        <f>IFERROR(__xludf.DUMMYFUNCTION("IF(REGEXMATCH(C31, ""G""), ""4"","""")"),"")</f>
        <v/>
      </c>
      <c r="AB31" s="245" t="str">
        <f>IFERROR(__xludf.DUMMYFUNCTION("IF(REGEXMATCH(C31, ""m""), ""5"","""")"),"5")</f>
        <v>5</v>
      </c>
      <c r="AC31" s="246" t="str">
        <f>IFERROR(__xludf.DUMMYFUNCTION("IF(REGEXMATCH(C31, ""M""), ""6"","""")"),"")</f>
        <v/>
      </c>
      <c r="AD31" s="245" t="str">
        <f>IFERROR(__xludf.DUMMYFUNCTION("IF(REGEXMATCH(C31, ""P""), ""7"","""")"),"7")</f>
        <v>7</v>
      </c>
      <c r="AE31" s="246" t="str">
        <f>IFERROR(__xludf.DUMMYFUNCTION("IF(REGEXMATCH(C31, ""d""), ""8"","""")"),"")</f>
        <v/>
      </c>
      <c r="AF31" s="245" t="str">
        <f>IFERROR(__xludf.DUMMYFUNCTION("IF(REGEXMATCH(C31, ""D""), ""9"","""")"),"9")</f>
        <v>9</v>
      </c>
      <c r="AG31" s="245" t="str">
        <f>IFERROR(__xludf.DUMMYFUNCTION("IF(REGEXMATCH(C31, ""n""), ""10"","""")"),"10")</f>
        <v>10</v>
      </c>
      <c r="AH31" s="246" t="str">
        <f>IFERROR(__xludf.DUMMYFUNCTION("IF(REGEXMATCH(C31, ""N""), ""11"","""")"),"")</f>
        <v/>
      </c>
      <c r="AI31" s="249" t="str">
        <f>IFERROR(__xludf.DUMMYFUNCTION("IF(REGEXMATCH(C31, ""S""), ""0"","""")"),"0")</f>
        <v>0</v>
      </c>
      <c r="AJ31" s="313" t="str">
        <f t="shared" si="11"/>
        <v>-</v>
      </c>
      <c r="AK31" s="313" t="str">
        <f t="shared" si="12"/>
        <v>-</v>
      </c>
      <c r="AL31" s="313" t="str">
        <f t="shared" si="13"/>
        <v>-</v>
      </c>
      <c r="AM31" s="313" t="str">
        <f t="shared" si="14"/>
        <v>T</v>
      </c>
      <c r="AN31" s="313" t="str">
        <f t="shared" si="15"/>
        <v>-</v>
      </c>
      <c r="AO31" s="314" t="str">
        <f t="shared" si="16"/>
        <v>-</v>
      </c>
      <c r="AP31" s="316">
        <f t="shared" si="17"/>
        <v>1</v>
      </c>
      <c r="AQ31" s="319" t="str">
        <f t="shared" si="18"/>
        <v>-</v>
      </c>
      <c r="AR31" s="320">
        <f t="shared" si="19"/>
        <v>0</v>
      </c>
      <c r="AS31" s="250" t="str">
        <f>IFERROR(__xludf.DUMMYFUNCTION("SUBSTITUTE(SUBSTITUTE(CONCATENATE(JOIN("""",FP31:GA31)),""|"",""x""),""-"",""o"")"),"xoxxoxoxoxxo")</f>
        <v>xoxxoxoxoxxo</v>
      </c>
      <c r="AT31" s="323" t="str">
        <f>IFERROR(__xludf.DUMMYFUNCTION("JOIN("""",AS31,AS31)"),"xoxxoxoxoxxoxoxxoxoxoxxo")</f>
        <v>xoxxoxoxoxxoxoxxoxoxoxxo</v>
      </c>
      <c r="AU31" s="256" t="str">
        <f>IFERROR(__xludf.DUMMYFUNCTION("JOIN("""",ArrayFormula(MID(AS31,LEN(AS31)-SEQUENCE(1,LEN(AS31))+1,1)))"),"oxxoxoxoxxox")</f>
        <v>oxxoxoxoxxox</v>
      </c>
      <c r="AV31" s="256" t="str">
        <f>IFERROR(__xludf.DUMMYFUNCTION("LEFT(CONCATENATE(""x"",JOIN("""",ArrayFormula(MID(AS31,LEN(AS31)-SEQUENCE(1,LEN(AS31))+1,1)))),12)"),"xoxxoxoxoxxo")</f>
        <v>xoxxoxoxoxxo</v>
      </c>
      <c r="AW31" s="327" t="str">
        <f>IFERROR(__xludf.DUMMYFUNCTION("JOIN("""",AU31,AU31)"),"oxxoxoxoxxoxoxxoxoxoxxox")</f>
        <v>oxxoxoxoxxoxoxxoxoxoxxox</v>
      </c>
      <c r="AX31" s="239" t="str">
        <f>IFERROR(__xludf.DUMMYFUNCTION("IF(REGEXMATCH(AW31,AS31),""✔"",""-"")"),"✔")</f>
        <v>✔</v>
      </c>
      <c r="AY31" s="330" t="str">
        <f t="shared" si="20"/>
        <v>✔</v>
      </c>
      <c r="AZ31" s="260" t="str">
        <f t="shared" si="21"/>
        <v>#REF!</v>
      </c>
      <c r="BA31" s="333" t="str">
        <f t="shared" si="22"/>
        <v>xoxxoxo</v>
      </c>
      <c r="BB31" s="334" t="str">
        <f t="shared" si="23"/>
        <v>xoxxox</v>
      </c>
      <c r="BC31" s="335" t="str">
        <f t="shared" si="236"/>
        <v>✔</v>
      </c>
      <c r="BD31" s="336" t="str">
        <f t="shared" si="25"/>
        <v>Bageshri: 'xoxxoxo' + 'xoxxox'</v>
      </c>
      <c r="BE31" s="337">
        <f>IFERROR(__xludf.DUMMYFUNCTION("COUNTUNIQUE(FILTER(AT:AT,REGEXMATCH(AT:AT,AS31)))-1"),6.0)</f>
        <v>6</v>
      </c>
      <c r="BF31" s="261" t="str">
        <f>IFERROR(__xludf.DUMMYFUNCTION("IF(BI31=0,""(n/a)"",IF(BJ31=2,""(PAIR)"",IF(REGEXMATCH(AT31,""xoxoxxoxoxox""),""Bilawal"",IF(REGEXMATCH(AT31,""xoxoxooxoxoo""),""Bhupali"",IF(REGEXMATCH(AT31,""xoxoxxoxxoxo""),""Charukeshi"",IF(REGEXMATCH(AT31,""xoxoooxxoxxo""),""Kameshwari"",IF(REGEXMATC"&amp;"H(AT31,""xoxoxooxoxox""),""Shankara"",IF(REGEXMATCH(AT31,""xxooxoxxxoox""),""Basant"",IF(REGEXMATCH(AT31,""xoxoxxxxoxox""),""Bihag"",IF(REGEXMATCH(AT31,""xoxxxxoxoxxx""),""Pilu"",IF(REGEXMATCH(AT31,""xoxxoxoxxoox""),""Kirwani"",IF(REGEXMATCH(AT31,""xoxxox"&amp;"oxoxxx""),""Mk.Malhar"",IF(REGEXMATCH(AT31,""xxooxxoxxoox""),""Bhairav"",IF(REGEXMATCH(AT31,""xxoxooxxxoox""),""Todi"",IF(REGEXMATCH(AT31,""xxooxoxooxox""),""Marwa"",IF(REGEXMATCH(AT31,""xxoooxoxxooo""),""Gunkali"",IF(REGEXMATCH(AT31,""xoxoxxoxxoox""),""N"&amp;"at Bhairav"",IF(REGEXMATCH(AT31,""xoxxoooxoxoo""),""Shivranjani"",IF(REGEXMATCH(AT31,""xooxxxoxooxo""),""Jog"",IF(REGEXMATCH(AT31,""xxooxoxoxoox""),""Hemshri"",IF(REGEXMATCH(AT31,""xoooxooxoxxo""),""Kalavati"",IF(REGEXMATCH(AT31,""xxoxoxxoxoox""),""Kedar"&amp;""",IF(REGEXMATCH(AT31,""xoxxxxoxooxx""),""Gara"",IF(REGEXMATCH(AT31,""xooxoxooxoox""),""Chandrakauns"",IF(REGEXMATCH(AT31,""xoxxxxoxxxox""),""Mand"",IF(REGEXMATCH(AT31,""xoxxxxoxoxox""),""Hanskinkini"",IF(REGEXMATCH(AT31,""xxooxxoxooxo""),""Lilavati"",IF("&amp;"REGEXMATCH(AT31,""xooxoxoooxox""),""Rajeshwari"",IF(REGEXMATCH(AT31,""xoooxxoxoxxx""),""Khokar"",IF(REGEXMATCH(AT31,""xxooxoxxxxox""),""Maligoura"",""-""))))))))))))))))))))))))))))))"),"Bilawal")</f>
        <v>Bilawal</v>
      </c>
      <c r="BG31" s="239" t="str">
        <f t="shared" si="26"/>
        <v>#REF!</v>
      </c>
      <c r="BH31" s="239">
        <f>IFERROR(__xludf.DUMMYFUNCTION("COUNTUNIQUE(FE31:FO31)-1"),6.0)</f>
        <v>6</v>
      </c>
      <c r="BI31" s="239">
        <f>IFERROR(__xludf.DUMMYFUNCTION("COUNTUNIQUE(FILTER(AT:AT,REGEXMATCH(AT:AT,AS31)))-1"),6.0)</f>
        <v>6</v>
      </c>
      <c r="BJ31" s="239">
        <f>IFERROR(__xludf.DUMMYFUNCTION("COUNTA(FILTER(AT:AT,REGEXMATCH(AT:AT,AS31)))"),48.0)</f>
        <v>48</v>
      </c>
      <c r="BK31" s="341">
        <f>IFERROR(__xludf.DUMMYFUNCTION("COUNTA(FILTER(AT:AT,REGEXMATCH(AT:AT,AS31)))-AR31"),48.0)</f>
        <v>48</v>
      </c>
      <c r="BL31" s="276" t="str">
        <f>IFERROR(__xludf.DUMMYFUNCTION("IF(AS31=""oooooooooooo"",""-"",IF(REGEXMATCH(AT31,""xx""), ""Hemi."", ""Anhemi.""))"),"Hemi.")</f>
        <v>Hemi.</v>
      </c>
      <c r="BM31" s="282" t="str">
        <f>IFERROR(__xludf.DUMMYFUNCTION("IF(AS31=""oooooooooooo"",""-"",IF(REGEXMATCH(AT31,""xxx""), ""Cohem."", ""-""))"),"-")</f>
        <v>-</v>
      </c>
      <c r="BN31" s="282" t="str">
        <f>IFERROR(__xludf.DUMMYFUNCTION("IF(AS31=""oooooooooooo"",""-"",IF(REGEXMATCH(AT31,""xxxx""), ""Co-Co."", ""-""))"),"-")</f>
        <v>-</v>
      </c>
      <c r="BO31" s="342" t="str">
        <f>IFERROR(__xludf.DUMMYFUNCTION("IF(AS31=""oooooooooooo"",""-"",IF(REGEXMATCH(AT31,""xxxxx""), ""CCC."", ""-""))"),"-")</f>
        <v>-</v>
      </c>
      <c r="BP31" s="344" t="str">
        <f t="shared" si="27"/>
        <v>Kafi</v>
      </c>
      <c r="BQ31" s="282" t="str">
        <f>IFERROR(__xludf.DUMMYFUNCTION("IF(REGEXMATCH(JOIN(""-"",EU31:FD31),""TRUE""),""✔"",""-"")"),"✔")</f>
        <v>✔</v>
      </c>
      <c r="BR31" s="225">
        <f t="shared" si="28"/>
        <v>1</v>
      </c>
      <c r="BS31" s="345" t="str">
        <f>IFERROR(__xludf.DUMMYFUNCTION("SUBSTITUTE(SUBSTITUTE(SUBSTITUTE(SUBSTITUTE(CONCATENATE(JOIN(""-"",GC31:GO31)),""--"",""-""),""--"",""-""),""--"",""-""),""--"",""-"")"),"1-2-b3-4-5-6-b7-8")</f>
        <v>1-2-b3-4-5-6-b7-8</v>
      </c>
      <c r="BT31" s="299" t="str">
        <f>IFERROR(__xludf.DUMMYFUNCTION("SUBSTITUTE(SUBSTITUTE(SUBSTITUTE(SUBSTITUTE(CONCATENATE(JOIN(""-"",GP31:HB31)),""--"",""-""),""--"",""-""),""--"",""-""),""--"",""-"")"),"S-R2-G2-M1-P-D2-N2-S")</f>
        <v>S-R2-G2-M1-P-D2-N2-S</v>
      </c>
      <c r="BU31" s="348" t="str">
        <f t="shared" si="29"/>
        <v>C-D-Eb-F-G-A-Bb-C</v>
      </c>
      <c r="BV31" s="349" t="str">
        <f t="shared" si="30"/>
        <v>SrGMdNS</v>
      </c>
      <c r="BW31" s="350">
        <f t="shared" si="31"/>
        <v>1</v>
      </c>
      <c r="BX31" s="351">
        <f t="shared" si="32"/>
        <v>9</v>
      </c>
      <c r="BY31" s="392"/>
      <c r="BZ31" s="309" t="str">
        <f>IFERROR(__xludf.DUMMYFUNCTION("IF(REGEXMATCH(C31, ""S""), ""x"",""x"")"),"x")</f>
        <v>x</v>
      </c>
      <c r="CA31" s="245" t="str">
        <f>IFERROR(__xludf.DUMMYFUNCTION("IF(REGEXMATCH(C31, ""r""), ""o"",""x"")"),"x")</f>
        <v>x</v>
      </c>
      <c r="CB31" s="246" t="str">
        <f>IFERROR(__xludf.DUMMYFUNCTION("IF(REGEXMATCH(C31, ""R""), ""o"",""x"")"),"o")</f>
        <v>o</v>
      </c>
      <c r="CC31" s="246" t="str">
        <f>IFERROR(__xludf.DUMMYFUNCTION("IF(REGEXMATCH(C31, ""g""), ""o"",""x"")"),"o")</f>
        <v>o</v>
      </c>
      <c r="CD31" s="245" t="str">
        <f>IFERROR(__xludf.DUMMYFUNCTION("IF(REGEXMATCH(C31, ""G""), ""o"",""x"")"),"x")</f>
        <v>x</v>
      </c>
      <c r="CE31" s="245" t="str">
        <f>IFERROR(__xludf.DUMMYFUNCTION("IF(REGEXMATCH(C31, ""m""), ""o"",""x"")"),"o")</f>
        <v>o</v>
      </c>
      <c r="CF31" s="246" t="str">
        <f>IFERROR(__xludf.DUMMYFUNCTION("IF(REGEXMATCH(C31, ""M""), ""o"",""x"")"),"x")</f>
        <v>x</v>
      </c>
      <c r="CG31" s="245" t="str">
        <f>IFERROR(__xludf.DUMMYFUNCTION("IF(REGEXMATCH(C31, ""P""), ""o"",""x"")"),"o")</f>
        <v>o</v>
      </c>
      <c r="CH31" s="246" t="str">
        <f>IFERROR(__xludf.DUMMYFUNCTION("IF(REGEXMATCH(C31, ""d""), ""o"",""x"")"),"x")</f>
        <v>x</v>
      </c>
      <c r="CI31" s="245" t="str">
        <f>IFERROR(__xludf.DUMMYFUNCTION("IF(REGEXMATCH(C31, ""D""), ""o"",""x"")"),"o")</f>
        <v>o</v>
      </c>
      <c r="CJ31" s="245" t="str">
        <f>IFERROR(__xludf.DUMMYFUNCTION("IF(REGEXMATCH(C31, ""n""), ""o"",""x"")"),"o")</f>
        <v>o</v>
      </c>
      <c r="CK31" s="245" t="str">
        <f>IFERROR(__xludf.DUMMYFUNCTION("IF(REGEXMATCH(C31, ""N""), ""o"",""x"")"),"x")</f>
        <v>x</v>
      </c>
      <c r="CL31" s="356" t="str">
        <f>IFERROR(__xludf.DUMMYFUNCTION("IF(REGEXMATCH(C31, ""S""), ""x"",""x"")"),"x")</f>
        <v>x</v>
      </c>
      <c r="CM31" s="357" t="str">
        <f t="shared" si="33"/>
        <v>xxooxoxoxoox</v>
      </c>
      <c r="CN31" s="358">
        <f t="shared" si="34"/>
        <v>1</v>
      </c>
      <c r="CO31" s="246" t="str">
        <f>IFERROR(__xludf.DUMMYFUNCTION("IF(REGEXMATCH($C31, ""S""), ""S"",""S"")"),"S")</f>
        <v>S</v>
      </c>
      <c r="CP31" s="246" t="str">
        <f>IFERROR(__xludf.DUMMYFUNCTION("IF(REGEXMATCH($C31, ""r""), """",""r"")"),"r")</f>
        <v>r</v>
      </c>
      <c r="CQ31" s="246" t="str">
        <f>IFERROR(__xludf.DUMMYFUNCTION("IF(REGEXMATCH($C31, ""R""), """",""R"")"),"")</f>
        <v/>
      </c>
      <c r="CR31" s="246" t="str">
        <f>IFERROR(__xludf.DUMMYFUNCTION("IF(REGEXMATCH($C31, ""g""), """",""g"")"),"")</f>
        <v/>
      </c>
      <c r="CS31" s="246" t="str">
        <f>IFERROR(__xludf.DUMMYFUNCTION("IF(REGEXMATCH($C31, ""G""), """",""G"")"),"G")</f>
        <v>G</v>
      </c>
      <c r="CT31" s="246" t="str">
        <f>IFERROR(__xludf.DUMMYFUNCTION("IF(REGEXMATCH($C31, ""m""), """",""m"")"),"")</f>
        <v/>
      </c>
      <c r="CU31" s="246" t="str">
        <f>IFERROR(__xludf.DUMMYFUNCTION("IF(REGEXMATCH($C31, ""M""), """",""M"")"),"M")</f>
        <v>M</v>
      </c>
      <c r="CV31" s="246" t="str">
        <f>IFERROR(__xludf.DUMMYFUNCTION("IF(REGEXMATCH($C31, ""P""), """",""P"")"),"")</f>
        <v/>
      </c>
      <c r="CW31" s="246" t="str">
        <f>IFERROR(__xludf.DUMMYFUNCTION("IF(REGEXMATCH($C31, ""d""), """",""d"")"),"d")</f>
        <v>d</v>
      </c>
      <c r="CX31" s="246" t="str">
        <f>IFERROR(__xludf.DUMMYFUNCTION("IF(REGEXMATCH($C31, ""D""), """",""D"")"),"")</f>
        <v/>
      </c>
      <c r="CY31" s="246" t="str">
        <f>IFERROR(__xludf.DUMMYFUNCTION("IF(REGEXMATCH($C31, ""n""), """",""n"")"),"")</f>
        <v/>
      </c>
      <c r="CZ31" s="246" t="str">
        <f>IFERROR(__xludf.DUMMYFUNCTION("IF(REGEXMATCH($C31, ""N""), """",""N"")"),"N")</f>
        <v>N</v>
      </c>
      <c r="DA31" s="246" t="str">
        <f>IFERROR(__xludf.DUMMYFUNCTION("IF(REGEXMATCH($C31, ""S""), ""S"",""S"")"),"S")</f>
        <v>S</v>
      </c>
      <c r="DB31" s="362" t="str">
        <f>IFERROR(__xludf.DUMMYFUNCTION("JOIN("""",CO31:DA31,"""","""")"),"SrGMdNS")</f>
        <v>SrGMdNS</v>
      </c>
      <c r="DC31" s="363"/>
      <c r="DD31" s="301" t="str">
        <f t="shared" si="35"/>
        <v>#REF!</v>
      </c>
      <c r="DE31" s="302" t="str">
        <f t="shared" si="36"/>
        <v>#REF!</v>
      </c>
      <c r="DF31" s="301" t="str">
        <f t="shared" ref="DF31:DG31" si="254">SUBSTITUTE(S31,"-","")</f>
        <v>SRGM</v>
      </c>
      <c r="DG31" s="301" t="str">
        <f t="shared" si="254"/>
        <v>PDNS</v>
      </c>
      <c r="DH31" s="302" t="str">
        <f t="shared" si="38"/>
        <v>Bilawal</v>
      </c>
      <c r="DI31" s="301" t="str">
        <f t="shared" si="39"/>
        <v>Hemi.</v>
      </c>
      <c r="DJ31" s="364" t="str">
        <f t="shared" si="40"/>
        <v>-</v>
      </c>
      <c r="DK31" s="306" t="str">
        <f t="shared" si="41"/>
        <v>Kafi</v>
      </c>
      <c r="DL31" s="366" t="str">
        <f t="shared" si="42"/>
        <v>-</v>
      </c>
      <c r="DM31" s="308" t="str">
        <f t="shared" si="43"/>
        <v>-</v>
      </c>
      <c r="DN31" s="306" t="str">
        <f t="shared" si="44"/>
        <v>-</v>
      </c>
      <c r="DO31" s="306" t="str">
        <f t="shared" si="45"/>
        <v>-</v>
      </c>
      <c r="DP31" s="367" t="str">
        <f t="shared" si="46"/>
        <v>-</v>
      </c>
      <c r="DQ31" s="310" t="str">
        <f t="shared" si="47"/>
        <v>-</v>
      </c>
      <c r="DR31" s="310" t="str">
        <f t="shared" si="48"/>
        <v>-</v>
      </c>
      <c r="DS31" s="310" t="str">
        <f t="shared" si="49"/>
        <v>-</v>
      </c>
      <c r="DT31" s="310" t="str">
        <f t="shared" si="50"/>
        <v>-</v>
      </c>
      <c r="DU31" s="370" t="str">
        <f t="shared" si="51"/>
        <v>-</v>
      </c>
      <c r="DV31" s="306" t="str">
        <f t="shared" si="52"/>
        <v>-</v>
      </c>
      <c r="DW31" s="306" t="str">
        <f t="shared" si="53"/>
        <v>-</v>
      </c>
      <c r="DX31" s="306" t="str">
        <f t="shared" si="54"/>
        <v>-</v>
      </c>
      <c r="DY31" s="306" t="str">
        <f t="shared" si="55"/>
        <v>-</v>
      </c>
      <c r="DZ31" s="306" t="str">
        <f t="shared" si="56"/>
        <v>-</v>
      </c>
      <c r="EA31" s="367" t="str">
        <f t="shared" si="57"/>
        <v>-</v>
      </c>
      <c r="EB31" s="310" t="str">
        <f>IFERROR(__xludf.DUMMYFUNCTION("IF(REGEXMATCH(AW31,AS31),""✔"",""-"")"),"✔")</f>
        <v>✔</v>
      </c>
      <c r="EC31" s="310" t="str">
        <f t="shared" si="58"/>
        <v>#REF!</v>
      </c>
      <c r="ED31" s="370" t="str">
        <f t="shared" si="59"/>
        <v>✔</v>
      </c>
      <c r="EE31" s="340" t="str">
        <f t="shared" si="60"/>
        <v>S-R-g-m-P-D-n-S</v>
      </c>
      <c r="EF31" s="371" t="str">
        <f>IFERROR(__xludf.DUMMYFUNCTION("CONCATENATE(JOIN("""",HC31:HO31))"),"SRgmPDnS")</f>
        <v>SRgmPDnS</v>
      </c>
      <c r="EG31" s="372">
        <f t="shared" si="61"/>
        <v>1</v>
      </c>
      <c r="EH31" s="373" t="str">
        <f>IFERROR(__xludf.DUMMYFUNCTION("CONCATENATE(JOIN("""",JC31:JO31))"),"Dha, ")</f>
        <v>Dha, </v>
      </c>
      <c r="EI31" s="322">
        <f t="shared" si="62"/>
        <v>0</v>
      </c>
      <c r="EJ31" s="374" t="str">
        <f>IFERROR(__xludf.DUMMYFUNCTION("CONCATENATE(JOIN("""",KC31:KO31))"),"")</f>
        <v/>
      </c>
      <c r="EK31" s="325" t="str">
        <f t="shared" si="63"/>
        <v>S-R2-G2-M1-P-D2-N2-S</v>
      </c>
      <c r="EL31" s="326" t="str">
        <f t="shared" si="64"/>
        <v>1-2-b3-4-5-6-b7-8</v>
      </c>
      <c r="EM31" s="318" t="str">
        <f t="shared" si="65"/>
        <v>#REF!</v>
      </c>
      <c r="EN31" s="328" t="str">
        <f>IFERROR(__xludf.DUMMYFUNCTION("SUBSTITUTE(SUBSTITUTE(SUBSTITUTE(SUBSTITUTE(CONCATENATE(JOIN("" "",HP31:IB31)),""  "","" ""),""  "","" ""),""  "","" ""),""  "","" "")"),"o • o o • o • o • o o • o")</f>
        <v>o • o o • o • o • o o • o</v>
      </c>
      <c r="EO31" s="368" t="str">
        <f t="shared" si="66"/>
        <v>-</v>
      </c>
      <c r="EP31" s="339" t="str">
        <f t="shared" si="67"/>
        <v>-</v>
      </c>
      <c r="EQ31" s="339" t="str">
        <f t="shared" si="68"/>
        <v>Sa-Pa</v>
      </c>
      <c r="ER31" s="339" t="str">
        <f t="shared" si="69"/>
        <v>-</v>
      </c>
      <c r="ES31" s="340" t="str">
        <f t="shared" si="70"/>
        <v>-</v>
      </c>
      <c r="ET31" s="363"/>
      <c r="EU31" s="376" t="b">
        <f>IFERROR(__xludf.DUMMYFUNCTION("arrayformula(sum(--REGEXMATCH(""SRGMPDNS"",split(REGEXREPLACE(C31,""(.)"",""$1~""),""~""))))=len(C31)
"),FALSE)</f>
        <v>0</v>
      </c>
      <c r="EV31" s="290" t="b">
        <f>IFERROR(__xludf.DUMMYFUNCTION("arrayformula(sum(--REGEXMATCH(""SRGmPDNS"",split(REGEXREPLACE(C31,""(.)"",""$1~""),""~""))))=len(C31)"),FALSE)</f>
        <v>0</v>
      </c>
      <c r="EW31" s="290" t="b">
        <f>IFERROR(__xludf.DUMMYFUNCTION("arrayformula(sum(--REGEXMATCH(""SRGmPDnS"",split(REGEXREPLACE(C31,""(.)"",""$1~""),""~""))))=len(C31)"),FALSE)</f>
        <v>0</v>
      </c>
      <c r="EX31" s="290" t="b">
        <f>IFERROR(__xludf.DUMMYFUNCTION("arrayformula(sum(--REGEXMATCH(""SRgmPDnS"",split(REGEXREPLACE(C31,""(.)"",""$1~""),""~""))))=len(C31)"),TRUE)</f>
        <v>1</v>
      </c>
      <c r="EY31" s="290" t="b">
        <f>IFERROR(__xludf.DUMMYFUNCTION("arrayformula(sum(--REGEXMATCH(""SRgmPdnS"",split(REGEXREPLACE(C31,""(.)"",""$1~""),""~""))))=len(C31)"),FALSE)</f>
        <v>0</v>
      </c>
      <c r="EZ31" s="290" t="b">
        <f>IFERROR(__xludf.DUMMYFUNCTION("arrayformula(sum(--REGEXMATCH(""SrgmPdnS"",split(REGEXREPLACE(C31,""(.)"",""$1~""),""~""))))=len(C31)"),FALSE)</f>
        <v>0</v>
      </c>
      <c r="FA31" s="290" t="b">
        <f>IFERROR(__xludf.DUMMYFUNCTION("arrayformula(sum(--REGEXMATCH(""SrGmPdNS"",split(REGEXREPLACE(C31,""(.)"",""$1~""),""~""))))=len(C31)"),FALSE)</f>
        <v>0</v>
      </c>
      <c r="FB31" s="290" t="b">
        <f>IFERROR(__xludf.DUMMYFUNCTION("arrayformula(sum(--REGEXMATCH(""SrGMPDNS"",split(REGEXREPLACE(C31,""(.)"",""$1~""),""~""))))=len(C31)"),FALSE)</f>
        <v>0</v>
      </c>
      <c r="FC31" s="290" t="b">
        <f>IFERROR(__xludf.DUMMYFUNCTION("arrayformula(sum(--REGEXMATCH(""SrGMPdNS"",split(REGEXREPLACE(C31,""(.)"",""$1~""),""~""))))=len(C31)"),FALSE)</f>
        <v>0</v>
      </c>
      <c r="FD31" s="377" t="b">
        <f>IFERROR(__xludf.DUMMYFUNCTION("arrayformula(sum(--REGEXMATCH(""SrgMPdNS"",split(REGEXREPLACE(C31,""(.)"",""$1~""),""~""))))=len(C31)"),FALSE)</f>
        <v>0</v>
      </c>
      <c r="FE31" s="269" t="str">
        <f t="shared" si="71"/>
        <v>-</v>
      </c>
      <c r="FF31" s="269" t="str">
        <f t="shared" si="72"/>
        <v>xxoxoxoxxox</v>
      </c>
      <c r="FG31" s="271" t="str">
        <f t="shared" si="73"/>
        <v>xoxoxoxxoxo</v>
      </c>
      <c r="FH31" s="269" t="str">
        <f t="shared" si="74"/>
        <v>-</v>
      </c>
      <c r="FI31" s="271" t="str">
        <f t="shared" si="75"/>
        <v>xoxoxxoxoxx</v>
      </c>
      <c r="FJ31" s="271" t="str">
        <f t="shared" si="76"/>
        <v>-</v>
      </c>
      <c r="FK31" s="271" t="str">
        <f t="shared" si="77"/>
        <v>xoxxoxoxxox</v>
      </c>
      <c r="FL31" s="271" t="str">
        <f t="shared" si="78"/>
        <v>-</v>
      </c>
      <c r="FM31" s="271" t="str">
        <f t="shared" si="79"/>
        <v>xxoxoxxoxox</v>
      </c>
      <c r="FN31" s="271" t="str">
        <f t="shared" si="80"/>
        <v>xoxoxxoxoxo</v>
      </c>
      <c r="FO31" s="274" t="str">
        <f t="shared" si="81"/>
        <v>-</v>
      </c>
      <c r="FP31" s="234" t="str">
        <f t="shared" si="82"/>
        <v>|</v>
      </c>
      <c r="FQ31" s="236" t="str">
        <f t="shared" si="83"/>
        <v>-</v>
      </c>
      <c r="FR31" s="237" t="str">
        <f t="shared" si="84"/>
        <v>|</v>
      </c>
      <c r="FS31" s="236" t="str">
        <f t="shared" si="85"/>
        <v>|</v>
      </c>
      <c r="FT31" s="237" t="str">
        <f t="shared" si="86"/>
        <v>-</v>
      </c>
      <c r="FU31" s="236" t="str">
        <f t="shared" si="87"/>
        <v>|</v>
      </c>
      <c r="FV31" s="237" t="str">
        <f t="shared" si="88"/>
        <v>-</v>
      </c>
      <c r="FW31" s="236" t="str">
        <f t="shared" si="89"/>
        <v>|</v>
      </c>
      <c r="FX31" s="237" t="str">
        <f t="shared" si="90"/>
        <v>-</v>
      </c>
      <c r="FY31" s="236" t="str">
        <f t="shared" si="91"/>
        <v>|</v>
      </c>
      <c r="FZ31" s="237" t="str">
        <f t="shared" si="92"/>
        <v>|</v>
      </c>
      <c r="GA31" s="236" t="str">
        <f t="shared" si="93"/>
        <v>-</v>
      </c>
      <c r="GB31" s="238" t="str">
        <f t="shared" si="94"/>
        <v>|</v>
      </c>
      <c r="GC31" s="244" t="str">
        <f>IFERROR(__xludf.DUMMYFUNCTION("IF(REGEXMATCH(C31, ""S""), ""1"","""")"),"1")</f>
        <v>1</v>
      </c>
      <c r="GD31" s="245" t="str">
        <f>IFERROR(__xludf.DUMMYFUNCTION("IF(REGEXMATCH(C31, ""r""), ""b2"","""")"),"")</f>
        <v/>
      </c>
      <c r="GE31" s="246" t="str">
        <f>IFERROR(__xludf.DUMMYFUNCTION("IF(REGEXMATCH(C31, ""R""), ""2"","""")"),"2")</f>
        <v>2</v>
      </c>
      <c r="GF31" s="246" t="str">
        <f>IFERROR(__xludf.DUMMYFUNCTION("IF(REGEXMATCH(C31, ""g""), ""b3"","""")"),"b3")</f>
        <v>b3</v>
      </c>
      <c r="GG31" s="245" t="str">
        <f>IFERROR(__xludf.DUMMYFUNCTION("IF(REGEXMATCH(C31, ""G""), ""3"","""")"),"")</f>
        <v/>
      </c>
      <c r="GH31" s="245" t="str">
        <f>IFERROR(__xludf.DUMMYFUNCTION("IF(REGEXMATCH(C31, ""m""), ""4"","""")"),"4")</f>
        <v>4</v>
      </c>
      <c r="GI31" s="246" t="str">
        <f>IFERROR(__xludf.DUMMYFUNCTION("IF(REGEXMATCH(C31, ""M""), ""#4"","""")"),"")</f>
        <v/>
      </c>
      <c r="GJ31" s="245" t="str">
        <f>IFERROR(__xludf.DUMMYFUNCTION("IF(REGEXMATCH(C31, ""P""), ""5"","""")"),"5")</f>
        <v>5</v>
      </c>
      <c r="GK31" s="246" t="str">
        <f>IFERROR(__xludf.DUMMYFUNCTION("IF(REGEXMATCH(C31, ""d""), ""b6"","""")"),"")</f>
        <v/>
      </c>
      <c r="GL31" s="245" t="str">
        <f>IFERROR(__xludf.DUMMYFUNCTION("IF(REGEXMATCH(C31, ""D""), ""6"","""")"),"6")</f>
        <v>6</v>
      </c>
      <c r="GM31" s="245" t="str">
        <f>IFERROR(__xludf.DUMMYFUNCTION("IF(REGEXMATCH(C31, ""n""), ""b7"","""")"),"b7")</f>
        <v>b7</v>
      </c>
      <c r="GN31" s="246" t="str">
        <f>IFERROR(__xludf.DUMMYFUNCTION("IF(REGEXMATCH(C31, ""N""), ""7"","""")"),"")</f>
        <v/>
      </c>
      <c r="GO31" s="249" t="str">
        <f>IFERROR(__xludf.DUMMYFUNCTION("IF(REGEXMATCH(C31, ""S""), ""8"","""")"),"8")</f>
        <v>8</v>
      </c>
      <c r="GP31" s="244" t="str">
        <f>IFERROR(__xludf.DUMMYFUNCTION("IF(REGEXMATCH(C31, ""S""), ""S"","""")"),"S")</f>
        <v>S</v>
      </c>
      <c r="GQ31" s="294" t="str">
        <f>IFERROR(__xludf.DUMMYFUNCTION("IF(REGEXMATCH(C31, ""r""), ""R1"","""")"),"")</f>
        <v/>
      </c>
      <c r="GR31" s="295" t="str">
        <f>IFERROR(__xludf.DUMMYFUNCTION("IF(REGEXMATCH(C31, ""R""), ""R2"","""")"),"R2")</f>
        <v>R2</v>
      </c>
      <c r="GS31" s="295" t="str">
        <f>IFERROR(__xludf.DUMMYFUNCTION("IF(REGEXMATCH(C31, ""g""), ""G2"","""")"),"G2")</f>
        <v>G2</v>
      </c>
      <c r="GT31" s="294" t="str">
        <f>IFERROR(__xludf.DUMMYFUNCTION("IF(REGEXMATCH(C31, ""G""), ""G3"","""")"),"")</f>
        <v/>
      </c>
      <c r="GU31" s="294" t="str">
        <f>IFERROR(__xludf.DUMMYFUNCTION("IF(REGEXMATCH(C31, ""m""), ""M1"","""")"),"M1")</f>
        <v>M1</v>
      </c>
      <c r="GV31" s="295" t="str">
        <f>IFERROR(__xludf.DUMMYFUNCTION("IF(REGEXMATCH(C31, ""M""), ""M2"","""")"),"")</f>
        <v/>
      </c>
      <c r="GW31" s="294" t="str">
        <f>IFERROR(__xludf.DUMMYFUNCTION("IF(REGEXMATCH(C31, ""P""), ""P"","""")"),"P")</f>
        <v>P</v>
      </c>
      <c r="GX31" s="295" t="str">
        <f>IFERROR(__xludf.DUMMYFUNCTION("IF(REGEXMATCH(C31, ""d""), ""D1"","""")"),"")</f>
        <v/>
      </c>
      <c r="GY31" s="294" t="str">
        <f>IFERROR(__xludf.DUMMYFUNCTION("IF(REGEXMATCH(C31, ""D""), ""D2"","""")"),"D2")</f>
        <v>D2</v>
      </c>
      <c r="GZ31" s="294" t="str">
        <f>IFERROR(__xludf.DUMMYFUNCTION("IF(REGEXMATCH(C31, ""n""), ""N2"","""")"),"N2")</f>
        <v>N2</v>
      </c>
      <c r="HA31" s="295" t="str">
        <f>IFERROR(__xludf.DUMMYFUNCTION("IF(REGEXMATCH(C31, ""N""), ""N3"","""")"),"")</f>
        <v/>
      </c>
      <c r="HB31" s="249" t="str">
        <f>IFERROR(__xludf.DUMMYFUNCTION("IF(REGEXMATCH(C31, ""S""), ""S"","""")"),"S")</f>
        <v>S</v>
      </c>
      <c r="HC31" s="331" t="str">
        <f t="shared" si="95"/>
        <v>S</v>
      </c>
      <c r="HD31" s="332" t="str">
        <f t="shared" si="96"/>
        <v/>
      </c>
      <c r="HE31" s="332" t="str">
        <f t="shared" si="97"/>
        <v>R</v>
      </c>
      <c r="HF31" s="332" t="str">
        <f t="shared" si="98"/>
        <v>g</v>
      </c>
      <c r="HG31" s="332" t="str">
        <f t="shared" si="99"/>
        <v/>
      </c>
      <c r="HH31" s="332" t="str">
        <f t="shared" si="100"/>
        <v>m</v>
      </c>
      <c r="HI31" s="332" t="str">
        <f t="shared" si="101"/>
        <v/>
      </c>
      <c r="HJ31" s="332" t="str">
        <f t="shared" si="102"/>
        <v>P</v>
      </c>
      <c r="HK31" s="332" t="str">
        <f t="shared" si="103"/>
        <v/>
      </c>
      <c r="HL31" s="332" t="str">
        <f t="shared" si="104"/>
        <v>D</v>
      </c>
      <c r="HM31" s="332" t="str">
        <f t="shared" si="105"/>
        <v>n</v>
      </c>
      <c r="HN31" s="332" t="str">
        <f t="shared" si="106"/>
        <v/>
      </c>
      <c r="HO31" s="343" t="str">
        <f t="shared" si="107"/>
        <v>S</v>
      </c>
      <c r="HP31" s="331" t="str">
        <f t="shared" si="108"/>
        <v>o</v>
      </c>
      <c r="HQ31" s="332" t="str">
        <f t="shared" si="109"/>
        <v>•</v>
      </c>
      <c r="HR31" s="332" t="str">
        <f t="shared" si="110"/>
        <v>o</v>
      </c>
      <c r="HS31" s="332" t="str">
        <f t="shared" si="111"/>
        <v>o</v>
      </c>
      <c r="HT31" s="332" t="str">
        <f t="shared" si="112"/>
        <v>•</v>
      </c>
      <c r="HU31" s="332" t="str">
        <f t="shared" si="113"/>
        <v>o</v>
      </c>
      <c r="HV31" s="332" t="str">
        <f t="shared" si="114"/>
        <v>•</v>
      </c>
      <c r="HW31" s="332" t="str">
        <f t="shared" si="115"/>
        <v>o</v>
      </c>
      <c r="HX31" s="332" t="str">
        <f t="shared" si="116"/>
        <v>•</v>
      </c>
      <c r="HY31" s="332" t="str">
        <f t="shared" si="117"/>
        <v>o</v>
      </c>
      <c r="HZ31" s="332" t="str">
        <f t="shared" si="118"/>
        <v>o</v>
      </c>
      <c r="IA31" s="332" t="str">
        <f t="shared" si="119"/>
        <v>•</v>
      </c>
      <c r="IB31" s="338" t="str">
        <f t="shared" si="120"/>
        <v>o</v>
      </c>
      <c r="IC31" s="331" t="str">
        <f t="shared" si="121"/>
        <v>•</v>
      </c>
      <c r="ID31" s="332" t="str">
        <f t="shared" si="122"/>
        <v>o</v>
      </c>
      <c r="IE31" s="332" t="str">
        <f t="shared" si="123"/>
        <v>•</v>
      </c>
      <c r="IF31" s="332" t="str">
        <f t="shared" si="124"/>
        <v>•</v>
      </c>
      <c r="IG31" s="332" t="str">
        <f t="shared" si="125"/>
        <v>o</v>
      </c>
      <c r="IH31" s="332" t="str">
        <f t="shared" si="126"/>
        <v>•</v>
      </c>
      <c r="II31" s="332" t="str">
        <f t="shared" si="127"/>
        <v>o</v>
      </c>
      <c r="IJ31" s="332" t="str">
        <f t="shared" si="128"/>
        <v>•</v>
      </c>
      <c r="IK31" s="332" t="str">
        <f t="shared" si="129"/>
        <v>o</v>
      </c>
      <c r="IL31" s="332" t="str">
        <f t="shared" si="130"/>
        <v>•</v>
      </c>
      <c r="IM31" s="332" t="str">
        <f t="shared" si="131"/>
        <v>•</v>
      </c>
      <c r="IN31" s="332" t="str">
        <f t="shared" si="132"/>
        <v>o</v>
      </c>
      <c r="IO31" s="338" t="str">
        <f t="shared" si="133"/>
        <v>•</v>
      </c>
      <c r="IP31" s="346" t="b">
        <f t="shared" si="134"/>
        <v>0</v>
      </c>
      <c r="IQ31" s="347" t="b">
        <f t="shared" si="135"/>
        <v>0</v>
      </c>
      <c r="IR31" s="347" t="b">
        <f t="shared" si="136"/>
        <v>0</v>
      </c>
      <c r="IS31" s="347" t="b">
        <f t="shared" si="137"/>
        <v>0</v>
      </c>
      <c r="IT31" s="347" t="b">
        <f t="shared" si="138"/>
        <v>0</v>
      </c>
      <c r="IU31" s="347" t="b">
        <f t="shared" si="139"/>
        <v>0</v>
      </c>
      <c r="IV31" s="347" t="b">
        <f t="shared" si="140"/>
        <v>0</v>
      </c>
      <c r="IW31" s="347" t="b">
        <f t="shared" si="141"/>
        <v>0</v>
      </c>
      <c r="IX31" s="347" t="b">
        <f t="shared" si="142"/>
        <v>0</v>
      </c>
      <c r="IY31" s="347" t="b">
        <f t="shared" si="143"/>
        <v>1</v>
      </c>
      <c r="IZ31" s="347" t="b">
        <f t="shared" si="144"/>
        <v>0</v>
      </c>
      <c r="JA31" s="347" t="b">
        <f t="shared" si="145"/>
        <v>0</v>
      </c>
      <c r="JB31" s="353" t="b">
        <f t="shared" si="146"/>
        <v>0</v>
      </c>
      <c r="JC31" s="354" t="str">
        <f t="shared" si="147"/>
        <v/>
      </c>
      <c r="JD31" s="355" t="str">
        <f t="shared" si="148"/>
        <v/>
      </c>
      <c r="JE31" s="355" t="str">
        <f t="shared" si="149"/>
        <v/>
      </c>
      <c r="JF31" s="355" t="str">
        <f t="shared" si="150"/>
        <v/>
      </c>
      <c r="JG31" s="355" t="str">
        <f t="shared" si="151"/>
        <v/>
      </c>
      <c r="JH31" s="355" t="str">
        <f t="shared" si="152"/>
        <v/>
      </c>
      <c r="JI31" s="355" t="str">
        <f t="shared" si="153"/>
        <v/>
      </c>
      <c r="JJ31" s="355" t="str">
        <f t="shared" si="154"/>
        <v/>
      </c>
      <c r="JK31" s="355" t="str">
        <f t="shared" si="155"/>
        <v/>
      </c>
      <c r="JL31" s="355" t="str">
        <f t="shared" si="156"/>
        <v>Dha, </v>
      </c>
      <c r="JM31" s="355" t="str">
        <f t="shared" si="157"/>
        <v/>
      </c>
      <c r="JN31" s="355" t="str">
        <f t="shared" si="158"/>
        <v/>
      </c>
      <c r="JO31" s="359" t="str">
        <f t="shared" si="159"/>
        <v/>
      </c>
      <c r="JP31" s="346" t="b">
        <f t="shared" si="160"/>
        <v>0</v>
      </c>
      <c r="JQ31" s="347" t="b">
        <f t="shared" si="161"/>
        <v>0</v>
      </c>
      <c r="JR31" s="347" t="b">
        <f t="shared" si="162"/>
        <v>0</v>
      </c>
      <c r="JS31" s="347" t="b">
        <f t="shared" si="163"/>
        <v>0</v>
      </c>
      <c r="JT31" s="347" t="b">
        <f t="shared" si="164"/>
        <v>0</v>
      </c>
      <c r="JU31" s="347" t="b">
        <f t="shared" si="165"/>
        <v>0</v>
      </c>
      <c r="JV31" s="347" t="b">
        <f t="shared" si="166"/>
        <v>0</v>
      </c>
      <c r="JW31" s="347" t="b">
        <f t="shared" si="167"/>
        <v>0</v>
      </c>
      <c r="JX31" s="347" t="b">
        <f t="shared" si="168"/>
        <v>0</v>
      </c>
      <c r="JY31" s="347" t="b">
        <f t="shared" si="169"/>
        <v>0</v>
      </c>
      <c r="JZ31" s="347" t="b">
        <f t="shared" si="170"/>
        <v>0</v>
      </c>
      <c r="KA31" s="347" t="b">
        <f t="shared" si="171"/>
        <v>0</v>
      </c>
      <c r="KB31" s="365" t="b">
        <f t="shared" si="172"/>
        <v>0</v>
      </c>
      <c r="KC31" s="354" t="str">
        <f t="shared" si="173"/>
        <v/>
      </c>
      <c r="KD31" s="355" t="str">
        <f t="shared" si="174"/>
        <v/>
      </c>
      <c r="KE31" s="355" t="str">
        <f t="shared" si="175"/>
        <v/>
      </c>
      <c r="KF31" s="355" t="str">
        <f t="shared" si="176"/>
        <v/>
      </c>
      <c r="KG31" s="355" t="str">
        <f t="shared" si="177"/>
        <v/>
      </c>
      <c r="KH31" s="355" t="str">
        <f t="shared" si="178"/>
        <v/>
      </c>
      <c r="KI31" s="355" t="str">
        <f t="shared" si="179"/>
        <v/>
      </c>
      <c r="KJ31" s="355" t="str">
        <f t="shared" si="180"/>
        <v/>
      </c>
      <c r="KK31" s="355" t="str">
        <f t="shared" si="181"/>
        <v/>
      </c>
      <c r="KL31" s="355" t="str">
        <f t="shared" si="182"/>
        <v/>
      </c>
      <c r="KM31" s="355" t="str">
        <f t="shared" si="183"/>
        <v/>
      </c>
      <c r="KN31" s="355" t="str">
        <f t="shared" si="184"/>
        <v/>
      </c>
      <c r="KO31" s="359"/>
      <c r="KP31" s="378"/>
      <c r="KQ31" s="379" t="s">
        <v>1296</v>
      </c>
      <c r="KR31" s="380" t="s">
        <v>1297</v>
      </c>
      <c r="KS31" s="381" t="str">
        <f>KQ31</f>
        <v>S-R-g-m-D-n-S</v>
      </c>
      <c r="KT31" s="382">
        <f t="shared" si="186"/>
        <v>6</v>
      </c>
      <c r="KU31" s="383">
        <f t="shared" si="187"/>
        <v>6</v>
      </c>
      <c r="KV31" s="381" t="str">
        <f t="shared" si="205"/>
        <v>S-n-D-P-m-g-R-S</v>
      </c>
      <c r="KW31" s="382">
        <f t="shared" si="189"/>
        <v>7</v>
      </c>
      <c r="KX31" s="384">
        <f t="shared" si="190"/>
        <v>7</v>
      </c>
      <c r="KY31" s="382">
        <f t="shared" ref="KY31:KZ31" si="255">KW31-KT31</f>
        <v>1</v>
      </c>
      <c r="KZ31" s="369">
        <f t="shared" si="255"/>
        <v>1</v>
      </c>
      <c r="LA31" s="385" t="str">
        <f t="shared" si="192"/>
        <v>-</v>
      </c>
      <c r="LB31" s="340" t="str">
        <f>IFERROR(__xludf.DUMMYFUNCTION("JOIN("""",ArrayFormula(MID(KS31,LEN(KS31)-SEQUENCE(1,LEN(KS31))+1,1)))"),"S-n-D-m-g-R-S")</f>
        <v>S-n-D-m-g-R-S</v>
      </c>
      <c r="LC31" s="373" t="str">
        <f>IFERROR(__xludf.DUMMYFUNCTION("JOIN("""",ArrayFormula(MID(KV31,LEN(KV31)-SEQUENCE(1,LEN(KV31))+1,1)))"),"S-R-g-m-P-D-n-S")</f>
        <v>S-R-g-m-P-D-n-S</v>
      </c>
      <c r="LD31" s="373" t="str">
        <f t="shared" si="193"/>
        <v>SRgmDnS</v>
      </c>
      <c r="LE31" s="339" t="str">
        <f t="shared" si="194"/>
        <v>SRgmPDnS</v>
      </c>
      <c r="LF31" s="386" t="str">
        <f>IFERROR(__xludf.DUMMYFUNCTION("SUBSTITUTE(SUBSTITUTE(CONCATENATE(JOIN("""",LH31:LT31)),""1"",""""),""2"","""")"),"SRgmPDnS")</f>
        <v>SRgmPDnS</v>
      </c>
      <c r="LG31" s="369" t="str">
        <f t="shared" si="195"/>
        <v>✔</v>
      </c>
      <c r="LH31" s="387" t="str">
        <f>IFERROR(__xludf.DUMMYFUNCTION("IF(REGEXMATCH(LD31, ""S""), ""S"",IF(REGEXMATCH(LE31, ""S""), ""S"",""""))"),"S")</f>
        <v>S</v>
      </c>
      <c r="LI31" s="299" t="str">
        <f>IFERROR(__xludf.DUMMYFUNCTION("IF(REGEXMATCH(LD31, ""r""), ""r1"",IF(REGEXMATCH(LE31, ""r""), ""r2"",""""))"),"")</f>
        <v/>
      </c>
      <c r="LJ31" s="299" t="str">
        <f>IFERROR(__xludf.DUMMYFUNCTION("IF(REGEXMATCH(LD31, ""R""), ""R1"",IF(REGEXMATCH(LE31, ""R""), ""R2"",""""))"),"R1")</f>
        <v>R1</v>
      </c>
      <c r="LK31" s="299" t="str">
        <f>IFERROR(__xludf.DUMMYFUNCTION("IF(REGEXMATCH(LD31, ""g""), ""g1"",IF(REGEXMATCH(LE31, ""g""), ""g2"",""""))"),"g1")</f>
        <v>g1</v>
      </c>
      <c r="LL31" s="299" t="str">
        <f>IFERROR(__xludf.DUMMYFUNCTION("IF(REGEXMATCH(LD31, ""G""), ""G1"",IF(REGEXMATCH(LE31, ""G""), ""G2"",""""))"),"")</f>
        <v/>
      </c>
      <c r="LM31" s="299" t="str">
        <f>IFERROR(__xludf.DUMMYFUNCTION("IF(REGEXMATCH(LD31, ""m""), ""m1"",IF(REGEXMATCH(LE31, ""m""), ""m2"",""""))"),"m1")</f>
        <v>m1</v>
      </c>
      <c r="LN31" s="299" t="str">
        <f>IFERROR(__xludf.DUMMYFUNCTION("IF(REGEXMATCH(LD31, ""M""), ""M1"",IF(REGEXMATCH(LE31, ""M""), ""M2"",""""))"),"")</f>
        <v/>
      </c>
      <c r="LO31" s="299" t="str">
        <f>IFERROR(__xludf.DUMMYFUNCTION("IF(REGEXMATCH(LD31, ""P""), ""P1"",IF(REGEXMATCH(LE31, ""P""), ""P2"",""""))"),"P2")</f>
        <v>P2</v>
      </c>
      <c r="LP31" s="299" t="str">
        <f>IFERROR(__xludf.DUMMYFUNCTION("IF(REGEXMATCH(LD31, ""d""), ""d1"",IF(REGEXMATCH(LE31, ""d""), ""d2"",""""))"),"")</f>
        <v/>
      </c>
      <c r="LQ31" s="299" t="str">
        <f>IFERROR(__xludf.DUMMYFUNCTION("IF(REGEXMATCH(LD31, ""D""), ""D1"",IF(REGEXMATCH(LE31, ""D""), ""D2"",""""))"),"D1")</f>
        <v>D1</v>
      </c>
      <c r="LR31" s="299" t="str">
        <f>IFERROR(__xludf.DUMMYFUNCTION("IF(REGEXMATCH(LD31, ""n""), ""n1"",IF(REGEXMATCH(LE31, ""n""), ""n2"",""""))"),"n1")</f>
        <v>n1</v>
      </c>
      <c r="LS31" s="299" t="str">
        <f>IFERROR(__xludf.DUMMYFUNCTION("IF(REGEXMATCH(LD31, ""N""), ""N1"",IF(REGEXMATCH(LE31, ""N""), ""N2"",""""))"),"")</f>
        <v/>
      </c>
      <c r="LT31" s="388" t="str">
        <f>IFERROR(__xludf.DUMMYFUNCTION("IF(REGEXMATCH(LD31, ""S""), ""S"",IF(REGEXMATCH(LE31, ""S""), ""S"",""""))"),"S")</f>
        <v>S</v>
      </c>
      <c r="LU31" s="389">
        <f t="shared" si="196"/>
        <v>-1</v>
      </c>
      <c r="LV31" s="378"/>
      <c r="LW31" s="369"/>
      <c r="LX31" s="369"/>
    </row>
    <row r="32" ht="20.25" customHeight="1">
      <c r="A32" s="298" t="s">
        <v>562</v>
      </c>
      <c r="B32" s="222" t="s">
        <v>527</v>
      </c>
      <c r="C32" s="233" t="str">
        <f t="shared" si="7"/>
        <v>SRgmPDnNS</v>
      </c>
      <c r="D32" s="234" t="str">
        <f>IFERROR(__xludf.DUMMYFUNCTION("IF(REGEXMATCH(C32, ""S""), ""S"","""")"),"S")</f>
        <v>S</v>
      </c>
      <c r="E32" s="236" t="str">
        <f>IFERROR(__xludf.DUMMYFUNCTION("IF(REGEXMATCH(C32, ""r""), ""r"","""")"),"")</f>
        <v/>
      </c>
      <c r="F32" s="237" t="str">
        <f>IFERROR(__xludf.DUMMYFUNCTION("IF(REGEXMATCH(C32, ""R""), ""R"","""")"),"R")</f>
        <v>R</v>
      </c>
      <c r="G32" s="237" t="str">
        <f>IFERROR(__xludf.DUMMYFUNCTION("IF(REGEXMATCH(C32, ""g""), ""g"","""")"),"g")</f>
        <v>g</v>
      </c>
      <c r="H32" s="236" t="str">
        <f>IFERROR(__xludf.DUMMYFUNCTION("IF(REGEXMATCH(C32, ""G""), ""G"","""")"),"")</f>
        <v/>
      </c>
      <c r="I32" s="236" t="str">
        <f>IFERROR(__xludf.DUMMYFUNCTION("IF(REGEXMATCH(C32, ""m""), ""m"","""")"),"m")</f>
        <v>m</v>
      </c>
      <c r="J32" s="237" t="str">
        <f>IFERROR(__xludf.DUMMYFUNCTION("IF(REGEXMATCH(C32, ""M""), ""M"","""")"),"")</f>
        <v/>
      </c>
      <c r="K32" s="236" t="str">
        <f>IFERROR(__xludf.DUMMYFUNCTION("IF(REGEXMATCH(C32, ""P""), ""P"","""")"),"P")</f>
        <v>P</v>
      </c>
      <c r="L32" s="237" t="str">
        <f>IFERROR(__xludf.DUMMYFUNCTION("IF(REGEXMATCH(C32, ""d""), ""d"","""")"),"")</f>
        <v/>
      </c>
      <c r="M32" s="236" t="str">
        <f>IFERROR(__xludf.DUMMYFUNCTION("IF(REGEXMATCH(C32, ""D""), ""D"","""")"),"D")</f>
        <v>D</v>
      </c>
      <c r="N32" s="236" t="str">
        <f>IFERROR(__xludf.DUMMYFUNCTION("IF(REGEXMATCH(C32, ""n""), ""n"","""")"),"n")</f>
        <v>n</v>
      </c>
      <c r="O32" s="237" t="str">
        <f>IFERROR(__xludf.DUMMYFUNCTION("IF(REGEXMATCH(C32, ""N""), ""N"","""")"),"N")</f>
        <v>N</v>
      </c>
      <c r="P32" s="238" t="str">
        <f>IFERROR(__xludf.DUMMYFUNCTION("IF(REGEXMATCH(C32, ""S""), ""S"","""")"),"S")</f>
        <v>S</v>
      </c>
      <c r="Q32" s="239" t="str">
        <f>IFERROR(__xludf.DUMMYFUNCTION("SUBSTITUTE(CONCATENATE(JOIN(""-"",D32:J32)),""-"","""")"),"SRgm")</f>
        <v>SRgm</v>
      </c>
      <c r="R32" s="229" t="str">
        <f>IFERROR(__xludf.DUMMYFUNCTION("SUBSTITUTE(CONCATENATE(JOIN(""-"",K32:P32)),""-"","""")"),"PDnNS")</f>
        <v>PDnNS</v>
      </c>
      <c r="S32" s="282" t="str">
        <f t="shared" si="8"/>
        <v>S-R-G-M</v>
      </c>
      <c r="T32" s="282" t="str">
        <f t="shared" si="9"/>
        <v>P-D-N-S</v>
      </c>
      <c r="U32" s="237" t="str">
        <f>IFERROR(__xludf.DUMMYFUNCTION("SUBSTITUTE(JOIN(""-"",S32,T32),""--"",""-"")"),"S-R-G-M-P-D-N-S")</f>
        <v>S-R-G-M-P-D-N-S</v>
      </c>
      <c r="V32" s="309" t="str">
        <f t="shared" si="10"/>
        <v>RgmDnN</v>
      </c>
      <c r="W32" s="244" t="str">
        <f>IFERROR(__xludf.DUMMYFUNCTION("IF(REGEXMATCH(C32, ""S""), ""0"","""")"),"0")</f>
        <v>0</v>
      </c>
      <c r="X32" s="245" t="str">
        <f>IFERROR(__xludf.DUMMYFUNCTION("IF(REGEXMATCH(C32, ""r""), ""1"","""")"),"")</f>
        <v/>
      </c>
      <c r="Y32" s="246" t="str">
        <f>IFERROR(__xludf.DUMMYFUNCTION("IF(REGEXMATCH(C32, ""R""), ""2"","""")"),"2")</f>
        <v>2</v>
      </c>
      <c r="Z32" s="246" t="str">
        <f>IFERROR(__xludf.DUMMYFUNCTION("IF(REGEXMATCH(C32, ""g""), ""3"","""")"),"3")</f>
        <v>3</v>
      </c>
      <c r="AA32" s="245" t="str">
        <f>IFERROR(__xludf.DUMMYFUNCTION("IF(REGEXMATCH(C32, ""G""), ""4"","""")"),"")</f>
        <v/>
      </c>
      <c r="AB32" s="245" t="str">
        <f>IFERROR(__xludf.DUMMYFUNCTION("IF(REGEXMATCH(C32, ""m""), ""5"","""")"),"5")</f>
        <v>5</v>
      </c>
      <c r="AC32" s="246" t="str">
        <f>IFERROR(__xludf.DUMMYFUNCTION("IF(REGEXMATCH(C32, ""M""), ""6"","""")"),"")</f>
        <v/>
      </c>
      <c r="AD32" s="245" t="str">
        <f>IFERROR(__xludf.DUMMYFUNCTION("IF(REGEXMATCH(C32, ""P""), ""7"","""")"),"7")</f>
        <v>7</v>
      </c>
      <c r="AE32" s="246" t="str">
        <f>IFERROR(__xludf.DUMMYFUNCTION("IF(REGEXMATCH(C32, ""d""), ""8"","""")"),"")</f>
        <v/>
      </c>
      <c r="AF32" s="245" t="str">
        <f>IFERROR(__xludf.DUMMYFUNCTION("IF(REGEXMATCH(C32, ""D""), ""9"","""")"),"9")</f>
        <v>9</v>
      </c>
      <c r="AG32" s="245" t="str">
        <f>IFERROR(__xludf.DUMMYFUNCTION("IF(REGEXMATCH(C32, ""n""), ""10"","""")"),"10")</f>
        <v>10</v>
      </c>
      <c r="AH32" s="246" t="str">
        <f>IFERROR(__xludf.DUMMYFUNCTION("IF(REGEXMATCH(C32, ""N""), ""11"","""")"),"11")</f>
        <v>11</v>
      </c>
      <c r="AI32" s="249" t="str">
        <f>IFERROR(__xludf.DUMMYFUNCTION("IF(REGEXMATCH(C32, ""S""), ""0"","""")"),"0")</f>
        <v>0</v>
      </c>
      <c r="AJ32" s="313" t="str">
        <f t="shared" si="11"/>
        <v>-</v>
      </c>
      <c r="AK32" s="313" t="str">
        <f t="shared" si="12"/>
        <v>-</v>
      </c>
      <c r="AL32" s="313" t="str">
        <f t="shared" si="13"/>
        <v>-</v>
      </c>
      <c r="AM32" s="313" t="str">
        <f t="shared" si="14"/>
        <v>T</v>
      </c>
      <c r="AN32" s="313" t="str">
        <f t="shared" si="15"/>
        <v>-</v>
      </c>
      <c r="AO32" s="314" t="str">
        <f t="shared" si="16"/>
        <v>T</v>
      </c>
      <c r="AP32" s="316">
        <f t="shared" si="17"/>
        <v>2</v>
      </c>
      <c r="AQ32" s="319" t="str">
        <f t="shared" si="18"/>
        <v>#REF!</v>
      </c>
      <c r="AR32" s="320">
        <f t="shared" si="19"/>
        <v>0</v>
      </c>
      <c r="AS32" s="250" t="str">
        <f>IFERROR(__xludf.DUMMYFUNCTION("SUBSTITUTE(SUBSTITUTE(CONCATENATE(JOIN("""",FP32:GA32)),""|"",""x""),""-"",""o"")"),"xoxxoxoxoxxx")</f>
        <v>xoxxoxoxoxxx</v>
      </c>
      <c r="AT32" s="323" t="str">
        <f>IFERROR(__xludf.DUMMYFUNCTION("JOIN("""",AS32,AS32)"),"xoxxoxoxoxxxxoxxoxoxoxxx")</f>
        <v>xoxxoxoxoxxxxoxxoxoxoxxx</v>
      </c>
      <c r="AU32" s="256" t="str">
        <f>IFERROR(__xludf.DUMMYFUNCTION("JOIN("""",ArrayFormula(MID(AS32,LEN(AS32)-SEQUENCE(1,LEN(AS32))+1,1)))"),"xxxoxoxoxxox")</f>
        <v>xxxoxoxoxxox</v>
      </c>
      <c r="AV32" s="256" t="str">
        <f>IFERROR(__xludf.DUMMYFUNCTION("LEFT(CONCATENATE(""x"",JOIN("""",ArrayFormula(MID(AS32,LEN(AS32)-SEQUENCE(1,LEN(AS32))+1,1)))),12)"),"xxxxoxoxoxxo")</f>
        <v>xxxxoxoxoxxo</v>
      </c>
      <c r="AW32" s="327" t="str">
        <f>IFERROR(__xludf.DUMMYFUNCTION("JOIN("""",AU32,AU32)"),"xxxoxoxoxxoxxxxoxoxoxxox")</f>
        <v>xxxoxoxoxxoxxxxoxoxoxxox</v>
      </c>
      <c r="AX32" s="239" t="str">
        <f>IFERROR(__xludf.DUMMYFUNCTION("IF(REGEXMATCH(AW32,AS32),""✔"",""-"")"),"-")</f>
        <v>-</v>
      </c>
      <c r="AY32" s="330" t="str">
        <f t="shared" si="20"/>
        <v>-</v>
      </c>
      <c r="AZ32" s="260" t="str">
        <f t="shared" si="21"/>
        <v>#REF!</v>
      </c>
      <c r="BA32" s="333" t="str">
        <f t="shared" si="22"/>
        <v>xoxxoxo</v>
      </c>
      <c r="BB32" s="334" t="str">
        <f t="shared" si="23"/>
        <v>xoxxxx</v>
      </c>
      <c r="BC32" s="335" t="str">
        <f t="shared" si="236"/>
        <v>-</v>
      </c>
      <c r="BD32" s="336" t="str">
        <f t="shared" si="25"/>
        <v>Bageshri Bahar: 'xoxxoxo' + 'xoxxxx'</v>
      </c>
      <c r="BE32" s="337">
        <f>IFERROR(__xludf.DUMMYFUNCTION("COUNTUNIQUE(FILTER(AT:AT,REGEXMATCH(AT:AT,AS32)))-1"),3.0)</f>
        <v>3</v>
      </c>
      <c r="BF32" s="261" t="str">
        <f>IFERROR(__xludf.DUMMYFUNCTION("IF(BI32=0,""(n/a)"",IF(BJ32=2,""(PAIR)"",IF(REGEXMATCH(AT32,""xoxoxxoxoxox""),""Bilawal"",IF(REGEXMATCH(AT32,""xoxoxooxoxoo""),""Bhupali"",IF(REGEXMATCH(AT32,""xoxoxxoxxoxo""),""Charukeshi"",IF(REGEXMATCH(AT32,""xoxoooxxoxxo""),""Kameshwari"",IF(REGEXMATC"&amp;"H(AT32,""xoxoxooxoxox""),""Shankara"",IF(REGEXMATCH(AT32,""xxooxoxxxoox""),""Basant"",IF(REGEXMATCH(AT32,""xoxoxxxxoxox""),""Bihag"",IF(REGEXMATCH(AT32,""xoxxxxoxoxxx""),""Pilu"",IF(REGEXMATCH(AT32,""xoxxoxoxxoox""),""Kirwani"",IF(REGEXMATCH(AT32,""xoxxox"&amp;"oxoxxx""),""Mk.Malhar"",IF(REGEXMATCH(AT32,""xxooxxoxxoox""),""Bhairav"",IF(REGEXMATCH(AT32,""xxoxooxxxoox""),""Todi"",IF(REGEXMATCH(AT32,""xxooxoxooxox""),""Marwa"",IF(REGEXMATCH(AT32,""xxoooxoxxooo""),""Gunkali"",IF(REGEXMATCH(AT32,""xoxoxxoxxoox""),""N"&amp;"at Bhairav"",IF(REGEXMATCH(AT32,""xoxxoooxoxoo""),""Shivranjani"",IF(REGEXMATCH(AT32,""xooxxxoxooxo""),""Jog"",IF(REGEXMATCH(AT32,""xxooxoxoxoox""),""Hemshri"",IF(REGEXMATCH(AT32,""xoooxooxoxxo""),""Kalavati"",IF(REGEXMATCH(AT32,""xxoxoxxoxoox""),""Kedar"&amp;""",IF(REGEXMATCH(AT32,""xoxxxxoxooxx""),""Gara"",IF(REGEXMATCH(AT32,""xooxoxooxoox""),""Chandrakauns"",IF(REGEXMATCH(AT32,""xoxxxxoxxxox""),""Mand"",IF(REGEXMATCH(AT32,""xoxxxxoxoxox""),""Hanskinkini"",IF(REGEXMATCH(AT32,""xxooxxoxooxo""),""Lilavati"",IF("&amp;"REGEXMATCH(AT32,""xooxoxoooxox""),""Rajeshwari"",IF(REGEXMATCH(AT32,""xoooxxoxoxxx""),""Khokar"",IF(REGEXMATCH(AT32,""xxooxoxxxxox""),""Maligoura"",""-""))))))))))))))))))))))))))))))"),"Mk.Malhar")</f>
        <v>Mk.Malhar</v>
      </c>
      <c r="BG32" s="239" t="str">
        <f t="shared" si="26"/>
        <v>#REF!</v>
      </c>
      <c r="BH32" s="239">
        <f>IFERROR(__xludf.DUMMYFUNCTION("COUNTUNIQUE(FE32:FO32)-1"),7.0)</f>
        <v>7</v>
      </c>
      <c r="BI32" s="239">
        <f>IFERROR(__xludf.DUMMYFUNCTION("COUNTUNIQUE(FILTER(AT:AT,REGEXMATCH(AT:AT,AS32)))-1"),3.0)</f>
        <v>3</v>
      </c>
      <c r="BJ32" s="239">
        <f>IFERROR(__xludf.DUMMYFUNCTION("COUNTA(FILTER(AT:AT,REGEXMATCH(AT:AT,AS32)))"),16.0)</f>
        <v>16</v>
      </c>
      <c r="BK32" s="341">
        <f>IFERROR(__xludf.DUMMYFUNCTION("COUNTA(FILTER(AT:AT,REGEXMATCH(AT:AT,AS32)))-AR32"),16.0)</f>
        <v>16</v>
      </c>
      <c r="BL32" s="276" t="str">
        <f>IFERROR(__xludf.DUMMYFUNCTION("IF(AS32=""oooooooooooo"",""-"",IF(REGEXMATCH(AT32,""xx""), ""Hemi."", ""Anhemi.""))"),"Hemi.")</f>
        <v>Hemi.</v>
      </c>
      <c r="BM32" s="282" t="str">
        <f>IFERROR(__xludf.DUMMYFUNCTION("IF(AS32=""oooooooooooo"",""-"",IF(REGEXMATCH(AT32,""xxx""), ""Cohem."", ""-""))"),"Cohem.")</f>
        <v>Cohem.</v>
      </c>
      <c r="BN32" s="282" t="str">
        <f>IFERROR(__xludf.DUMMYFUNCTION("IF(AS32=""oooooooooooo"",""-"",IF(REGEXMATCH(AT32,""xxxx""), ""Co-Co."", ""-""))"),"Co-Co.")</f>
        <v>Co-Co.</v>
      </c>
      <c r="BO32" s="342" t="str">
        <f>IFERROR(__xludf.DUMMYFUNCTION("IF(AS32=""oooooooooooo"",""-"",IF(REGEXMATCH(AT32,""xxxxx""), ""CCC."", ""-""))"),"-")</f>
        <v>-</v>
      </c>
      <c r="BP32" s="344" t="str">
        <f t="shared" si="27"/>
        <v>-</v>
      </c>
      <c r="BQ32" s="282" t="str">
        <f>IFERROR(__xludf.DUMMYFUNCTION("IF(REGEXMATCH(JOIN(""-"",EU32:FD32),""TRUE""),""✔"",""-"")"),"-")</f>
        <v>-</v>
      </c>
      <c r="BR32" s="225">
        <f t="shared" si="28"/>
        <v>0</v>
      </c>
      <c r="BS32" s="345" t="str">
        <f>IFERROR(__xludf.DUMMYFUNCTION("SUBSTITUTE(SUBSTITUTE(SUBSTITUTE(SUBSTITUTE(CONCATENATE(JOIN(""-"",GC32:GO32)),""--"",""-""),""--"",""-""),""--"",""-""),""--"",""-"")"),"1-2-b3-4-5-6-b7-7-8")</f>
        <v>1-2-b3-4-5-6-b7-7-8</v>
      </c>
      <c r="BT32" s="299" t="str">
        <f>IFERROR(__xludf.DUMMYFUNCTION("SUBSTITUTE(SUBSTITUTE(SUBSTITUTE(SUBSTITUTE(CONCATENATE(JOIN(""-"",GP32:HB32)),""--"",""-""),""--"",""-""),""--"",""-""),""--"",""-"")"),"S-R2-G2-M1-P-D2-N2-N3-S")</f>
        <v>S-R2-G2-M1-P-D2-N2-N3-S</v>
      </c>
      <c r="BU32" s="348" t="str">
        <f t="shared" si="29"/>
        <v>C-D-Eb-F-G-A-Bb-B-C</v>
      </c>
      <c r="BV32" s="349" t="str">
        <f t="shared" si="30"/>
        <v>SrGMdS</v>
      </c>
      <c r="BW32" s="350">
        <f t="shared" si="31"/>
        <v>0</v>
      </c>
      <c r="BX32" s="351">
        <f t="shared" si="32"/>
        <v>11</v>
      </c>
      <c r="BY32" s="392"/>
      <c r="BZ32" s="309" t="str">
        <f>IFERROR(__xludf.DUMMYFUNCTION("IF(REGEXMATCH(C32, ""S""), ""x"",""x"")"),"x")</f>
        <v>x</v>
      </c>
      <c r="CA32" s="245" t="str">
        <f>IFERROR(__xludf.DUMMYFUNCTION("IF(REGEXMATCH(C32, ""r""), ""o"",""x"")"),"x")</f>
        <v>x</v>
      </c>
      <c r="CB32" s="246" t="str">
        <f>IFERROR(__xludf.DUMMYFUNCTION("IF(REGEXMATCH(C32, ""R""), ""o"",""x"")"),"o")</f>
        <v>o</v>
      </c>
      <c r="CC32" s="246" t="str">
        <f>IFERROR(__xludf.DUMMYFUNCTION("IF(REGEXMATCH(C32, ""g""), ""o"",""x"")"),"o")</f>
        <v>o</v>
      </c>
      <c r="CD32" s="245" t="str">
        <f>IFERROR(__xludf.DUMMYFUNCTION("IF(REGEXMATCH(C32, ""G""), ""o"",""x"")"),"x")</f>
        <v>x</v>
      </c>
      <c r="CE32" s="245" t="str">
        <f>IFERROR(__xludf.DUMMYFUNCTION("IF(REGEXMATCH(C32, ""m""), ""o"",""x"")"),"o")</f>
        <v>o</v>
      </c>
      <c r="CF32" s="246" t="str">
        <f>IFERROR(__xludf.DUMMYFUNCTION("IF(REGEXMATCH(C32, ""M""), ""o"",""x"")"),"x")</f>
        <v>x</v>
      </c>
      <c r="CG32" s="245" t="str">
        <f>IFERROR(__xludf.DUMMYFUNCTION("IF(REGEXMATCH(C32, ""P""), ""o"",""x"")"),"o")</f>
        <v>o</v>
      </c>
      <c r="CH32" s="246" t="str">
        <f>IFERROR(__xludf.DUMMYFUNCTION("IF(REGEXMATCH(C32, ""d""), ""o"",""x"")"),"x")</f>
        <v>x</v>
      </c>
      <c r="CI32" s="245" t="str">
        <f>IFERROR(__xludf.DUMMYFUNCTION("IF(REGEXMATCH(C32, ""D""), ""o"",""x"")"),"o")</f>
        <v>o</v>
      </c>
      <c r="CJ32" s="245" t="str">
        <f>IFERROR(__xludf.DUMMYFUNCTION("IF(REGEXMATCH(C32, ""n""), ""o"",""x"")"),"o")</f>
        <v>o</v>
      </c>
      <c r="CK32" s="245" t="str">
        <f>IFERROR(__xludf.DUMMYFUNCTION("IF(REGEXMATCH(C32, ""N""), ""o"",""x"")"),"o")</f>
        <v>o</v>
      </c>
      <c r="CL32" s="356" t="str">
        <f>IFERROR(__xludf.DUMMYFUNCTION("IF(REGEXMATCH(C32, ""S""), ""x"",""x"")"),"x")</f>
        <v>x</v>
      </c>
      <c r="CM32" s="357" t="str">
        <f t="shared" si="33"/>
        <v>xxooxoxoxooo</v>
      </c>
      <c r="CN32" s="358">
        <f t="shared" si="34"/>
        <v>0</v>
      </c>
      <c r="CO32" s="246" t="str">
        <f>IFERROR(__xludf.DUMMYFUNCTION("IF(REGEXMATCH($C32, ""S""), ""S"",""S"")"),"S")</f>
        <v>S</v>
      </c>
      <c r="CP32" s="246" t="str">
        <f>IFERROR(__xludf.DUMMYFUNCTION("IF(REGEXMATCH($C32, ""r""), """",""r"")"),"r")</f>
        <v>r</v>
      </c>
      <c r="CQ32" s="246" t="str">
        <f>IFERROR(__xludf.DUMMYFUNCTION("IF(REGEXMATCH($C32, ""R""), """",""R"")"),"")</f>
        <v/>
      </c>
      <c r="CR32" s="246" t="str">
        <f>IFERROR(__xludf.DUMMYFUNCTION("IF(REGEXMATCH($C32, ""g""), """",""g"")"),"")</f>
        <v/>
      </c>
      <c r="CS32" s="246" t="str">
        <f>IFERROR(__xludf.DUMMYFUNCTION("IF(REGEXMATCH($C32, ""G""), """",""G"")"),"G")</f>
        <v>G</v>
      </c>
      <c r="CT32" s="246" t="str">
        <f>IFERROR(__xludf.DUMMYFUNCTION("IF(REGEXMATCH($C32, ""m""), """",""m"")"),"")</f>
        <v/>
      </c>
      <c r="CU32" s="246" t="str">
        <f>IFERROR(__xludf.DUMMYFUNCTION("IF(REGEXMATCH($C32, ""M""), """",""M"")"),"M")</f>
        <v>M</v>
      </c>
      <c r="CV32" s="246" t="str">
        <f>IFERROR(__xludf.DUMMYFUNCTION("IF(REGEXMATCH($C32, ""P""), """",""P"")"),"")</f>
        <v/>
      </c>
      <c r="CW32" s="246" t="str">
        <f>IFERROR(__xludf.DUMMYFUNCTION("IF(REGEXMATCH($C32, ""d""), """",""d"")"),"d")</f>
        <v>d</v>
      </c>
      <c r="CX32" s="246" t="str">
        <f>IFERROR(__xludf.DUMMYFUNCTION("IF(REGEXMATCH($C32, ""D""), """",""D"")"),"")</f>
        <v/>
      </c>
      <c r="CY32" s="246" t="str">
        <f>IFERROR(__xludf.DUMMYFUNCTION("IF(REGEXMATCH($C32, ""n""), """",""n"")"),"")</f>
        <v/>
      </c>
      <c r="CZ32" s="246" t="str">
        <f>IFERROR(__xludf.DUMMYFUNCTION("IF(REGEXMATCH($C32, ""N""), """",""N"")"),"")</f>
        <v/>
      </c>
      <c r="DA32" s="246" t="str">
        <f>IFERROR(__xludf.DUMMYFUNCTION("IF(REGEXMATCH($C32, ""S""), ""S"",""S"")"),"S")</f>
        <v>S</v>
      </c>
      <c r="DB32" s="362" t="str">
        <f>IFERROR(__xludf.DUMMYFUNCTION("JOIN("""",CO32:DA32,"""","""")"),"SrGMdS")</f>
        <v>SrGMdS</v>
      </c>
      <c r="DC32" s="363"/>
      <c r="DD32" s="301" t="str">
        <f t="shared" si="35"/>
        <v>#REF!</v>
      </c>
      <c r="DE32" s="302" t="str">
        <f t="shared" si="36"/>
        <v>#REF!</v>
      </c>
      <c r="DF32" s="301" t="str">
        <f t="shared" ref="DF32:DG32" si="256">SUBSTITUTE(S32,"-","")</f>
        <v>SRGM</v>
      </c>
      <c r="DG32" s="301" t="str">
        <f t="shared" si="256"/>
        <v>PDNS</v>
      </c>
      <c r="DH32" s="302" t="str">
        <f t="shared" si="38"/>
        <v>Mk.Malhar</v>
      </c>
      <c r="DI32" s="301" t="str">
        <f t="shared" si="39"/>
        <v>Hemi.</v>
      </c>
      <c r="DJ32" s="364" t="str">
        <f t="shared" si="40"/>
        <v>Co-Co.</v>
      </c>
      <c r="DK32" s="306" t="str">
        <f t="shared" si="41"/>
        <v>-</v>
      </c>
      <c r="DL32" s="366" t="str">
        <f t="shared" si="42"/>
        <v>-</v>
      </c>
      <c r="DM32" s="308" t="str">
        <f t="shared" si="43"/>
        <v>✔</v>
      </c>
      <c r="DN32" s="306" t="str">
        <f t="shared" si="44"/>
        <v>-</v>
      </c>
      <c r="DO32" s="306" t="str">
        <f t="shared" si="45"/>
        <v>-</v>
      </c>
      <c r="DP32" s="367" t="str">
        <f t="shared" si="46"/>
        <v>-</v>
      </c>
      <c r="DQ32" s="310" t="str">
        <f t="shared" si="47"/>
        <v>-</v>
      </c>
      <c r="DR32" s="310" t="str">
        <f t="shared" si="48"/>
        <v>-</v>
      </c>
      <c r="DS32" s="310" t="str">
        <f t="shared" si="49"/>
        <v>-</v>
      </c>
      <c r="DT32" s="310" t="str">
        <f t="shared" si="50"/>
        <v>-</v>
      </c>
      <c r="DU32" s="370" t="str">
        <f t="shared" si="51"/>
        <v>✔</v>
      </c>
      <c r="DV32" s="306" t="str">
        <f t="shared" si="52"/>
        <v>-</v>
      </c>
      <c r="DW32" s="306" t="str">
        <f t="shared" si="53"/>
        <v>-</v>
      </c>
      <c r="DX32" s="306" t="str">
        <f t="shared" si="54"/>
        <v>-</v>
      </c>
      <c r="DY32" s="306" t="str">
        <f t="shared" si="55"/>
        <v>-</v>
      </c>
      <c r="DZ32" s="306" t="str">
        <f t="shared" si="56"/>
        <v>-</v>
      </c>
      <c r="EA32" s="367" t="str">
        <f t="shared" si="57"/>
        <v>-</v>
      </c>
      <c r="EB32" s="310" t="str">
        <f>IFERROR(__xludf.DUMMYFUNCTION("IF(REGEXMATCH(AW32,AS32),""✔"",""-"")"),"-")</f>
        <v>-</v>
      </c>
      <c r="EC32" s="310" t="str">
        <f t="shared" si="58"/>
        <v>#REF!</v>
      </c>
      <c r="ED32" s="370" t="str">
        <f t="shared" si="59"/>
        <v>-</v>
      </c>
      <c r="EE32" s="340" t="str">
        <f t="shared" si="60"/>
        <v>S-R-g-m-P-D-nN-S</v>
      </c>
      <c r="EF32" s="371" t="str">
        <f>IFERROR(__xludf.DUMMYFUNCTION("CONCATENATE(JOIN("""",HC32:HO32))"),"SrRgmPDnS")</f>
        <v>SrRgmPDnS</v>
      </c>
      <c r="EG32" s="372">
        <f t="shared" si="61"/>
        <v>2</v>
      </c>
      <c r="EH32" s="373" t="str">
        <f>IFERROR(__xludf.DUMMYFUNCTION("CONCATENATE(JOIN("""",JC32:JO32))"),"Dha, Ni, ")</f>
        <v>Dha, Ni, </v>
      </c>
      <c r="EI32" s="322">
        <f t="shared" si="62"/>
        <v>1</v>
      </c>
      <c r="EJ32" s="374" t="str">
        <f>IFERROR(__xludf.DUMMYFUNCTION("CONCATENATE(JOIN("""",KC32:KO32))"),"Ni, ")</f>
        <v>Ni, </v>
      </c>
      <c r="EK32" s="325" t="str">
        <f t="shared" si="63"/>
        <v>S-R2-G2-M1-P-D2-N2-N3-S</v>
      </c>
      <c r="EL32" s="326" t="str">
        <f t="shared" si="64"/>
        <v>1-2-b3-4-5-6-b7-7-8</v>
      </c>
      <c r="EM32" s="318" t="str">
        <f t="shared" si="65"/>
        <v>#REF!</v>
      </c>
      <c r="EN32" s="328" t="str">
        <f>IFERROR(__xludf.DUMMYFUNCTION("SUBSTITUTE(SUBSTITUTE(SUBSTITUTE(SUBSTITUTE(CONCATENATE(JOIN("" "",HP32:IB32)),""  "","" ""),""  "","" ""),""  "","" ""),""  "","" "")"),"o • o o • o • o • o o o o")</f>
        <v>o • o o • o • o • o o o o</v>
      </c>
      <c r="EO32" s="368" t="str">
        <f t="shared" si="66"/>
        <v>-</v>
      </c>
      <c r="EP32" s="339" t="str">
        <f t="shared" si="67"/>
        <v>-</v>
      </c>
      <c r="EQ32" s="339" t="str">
        <f t="shared" si="68"/>
        <v>Sa-Pa</v>
      </c>
      <c r="ER32" s="339" t="str">
        <f t="shared" si="69"/>
        <v>-</v>
      </c>
      <c r="ES32" s="340" t="str">
        <f t="shared" si="70"/>
        <v>-</v>
      </c>
      <c r="ET32" s="363"/>
      <c r="EU32" s="376" t="b">
        <f>IFERROR(__xludf.DUMMYFUNCTION("arrayformula(sum(--REGEXMATCH(""SRGMPDNS"",split(REGEXREPLACE(C32,""(.)"",""$1~""),""~""))))=len(C32)
"),FALSE)</f>
        <v>0</v>
      </c>
      <c r="EV32" s="290" t="b">
        <f>IFERROR(__xludf.DUMMYFUNCTION("arrayformula(sum(--REGEXMATCH(""SRGmPDNS"",split(REGEXREPLACE(C32,""(.)"",""$1~""),""~""))))=len(C32)"),FALSE)</f>
        <v>0</v>
      </c>
      <c r="EW32" s="290" t="b">
        <f>IFERROR(__xludf.DUMMYFUNCTION("arrayformula(sum(--REGEXMATCH(""SRGmPDnS"",split(REGEXREPLACE(C32,""(.)"",""$1~""),""~""))))=len(C32)"),FALSE)</f>
        <v>0</v>
      </c>
      <c r="EX32" s="290" t="b">
        <f>IFERROR(__xludf.DUMMYFUNCTION("arrayformula(sum(--REGEXMATCH(""SRgmPDnS"",split(REGEXREPLACE(C32,""(.)"",""$1~""),""~""))))=len(C32)"),FALSE)</f>
        <v>0</v>
      </c>
      <c r="EY32" s="290" t="b">
        <f>IFERROR(__xludf.DUMMYFUNCTION("arrayformula(sum(--REGEXMATCH(""SRgmPdnS"",split(REGEXREPLACE(C32,""(.)"",""$1~""),""~""))))=len(C32)"),FALSE)</f>
        <v>0</v>
      </c>
      <c r="EZ32" s="290" t="b">
        <f>IFERROR(__xludf.DUMMYFUNCTION("arrayformula(sum(--REGEXMATCH(""SrgmPdnS"",split(REGEXREPLACE(C32,""(.)"",""$1~""),""~""))))=len(C32)"),FALSE)</f>
        <v>0</v>
      </c>
      <c r="FA32" s="290" t="b">
        <f>IFERROR(__xludf.DUMMYFUNCTION("arrayformula(sum(--REGEXMATCH(""SrGmPdNS"",split(REGEXREPLACE(C32,""(.)"",""$1~""),""~""))))=len(C32)"),FALSE)</f>
        <v>0</v>
      </c>
      <c r="FB32" s="290" t="b">
        <f>IFERROR(__xludf.DUMMYFUNCTION("arrayformula(sum(--REGEXMATCH(""SrGMPDNS"",split(REGEXREPLACE(C32,""(.)"",""$1~""),""~""))))=len(C32)"),FALSE)</f>
        <v>0</v>
      </c>
      <c r="FC32" s="290" t="b">
        <f>IFERROR(__xludf.DUMMYFUNCTION("arrayformula(sum(--REGEXMATCH(""SrGMPdNS"",split(REGEXREPLACE(C32,""(.)"",""$1~""),""~""))))=len(C32)"),FALSE)</f>
        <v>0</v>
      </c>
      <c r="FD32" s="377" t="b">
        <f>IFERROR(__xludf.DUMMYFUNCTION("arrayformula(sum(--REGEXMATCH(""SrgMPdNS"",split(REGEXREPLACE(C32,""(.)"",""$1~""),""~""))))=len(C32)"),FALSE)</f>
        <v>0</v>
      </c>
      <c r="FE32" s="269" t="str">
        <f t="shared" si="71"/>
        <v>-</v>
      </c>
      <c r="FF32" s="269" t="str">
        <f t="shared" si="72"/>
        <v>xxoxoxoxxxx</v>
      </c>
      <c r="FG32" s="271" t="str">
        <f t="shared" si="73"/>
        <v>xoxoxoxxxxo</v>
      </c>
      <c r="FH32" s="269" t="str">
        <f t="shared" si="74"/>
        <v>-</v>
      </c>
      <c r="FI32" s="271" t="str">
        <f t="shared" si="75"/>
        <v>xoxoxxxxoxx</v>
      </c>
      <c r="FJ32" s="271" t="str">
        <f t="shared" si="76"/>
        <v>-</v>
      </c>
      <c r="FK32" s="271" t="str">
        <f t="shared" si="77"/>
        <v>xoxxxxoxxox</v>
      </c>
      <c r="FL32" s="271" t="str">
        <f t="shared" si="78"/>
        <v>-</v>
      </c>
      <c r="FM32" s="271" t="str">
        <f t="shared" si="79"/>
        <v>xxxxoxxoxox</v>
      </c>
      <c r="FN32" s="271" t="str">
        <f t="shared" si="80"/>
        <v>xxxoxxoxoxo</v>
      </c>
      <c r="FO32" s="274" t="str">
        <f t="shared" si="81"/>
        <v>xxoxxoxoxox</v>
      </c>
      <c r="FP32" s="234" t="str">
        <f t="shared" si="82"/>
        <v>|</v>
      </c>
      <c r="FQ32" s="236" t="str">
        <f t="shared" si="83"/>
        <v>-</v>
      </c>
      <c r="FR32" s="237" t="str">
        <f t="shared" si="84"/>
        <v>|</v>
      </c>
      <c r="FS32" s="236" t="str">
        <f t="shared" si="85"/>
        <v>|</v>
      </c>
      <c r="FT32" s="237" t="str">
        <f t="shared" si="86"/>
        <v>-</v>
      </c>
      <c r="FU32" s="236" t="str">
        <f t="shared" si="87"/>
        <v>|</v>
      </c>
      <c r="FV32" s="237" t="str">
        <f t="shared" si="88"/>
        <v>-</v>
      </c>
      <c r="FW32" s="236" t="str">
        <f t="shared" si="89"/>
        <v>|</v>
      </c>
      <c r="FX32" s="237" t="str">
        <f t="shared" si="90"/>
        <v>-</v>
      </c>
      <c r="FY32" s="236" t="str">
        <f t="shared" si="91"/>
        <v>|</v>
      </c>
      <c r="FZ32" s="237" t="str">
        <f t="shared" si="92"/>
        <v>|</v>
      </c>
      <c r="GA32" s="236" t="str">
        <f t="shared" si="93"/>
        <v>|</v>
      </c>
      <c r="GB32" s="238" t="str">
        <f t="shared" si="94"/>
        <v>|</v>
      </c>
      <c r="GC32" s="244" t="str">
        <f>IFERROR(__xludf.DUMMYFUNCTION("IF(REGEXMATCH(C32, ""S""), ""1"","""")"),"1")</f>
        <v>1</v>
      </c>
      <c r="GD32" s="245" t="str">
        <f>IFERROR(__xludf.DUMMYFUNCTION("IF(REGEXMATCH(C32, ""r""), ""b2"","""")"),"")</f>
        <v/>
      </c>
      <c r="GE32" s="246" t="str">
        <f>IFERROR(__xludf.DUMMYFUNCTION("IF(REGEXMATCH(C32, ""R""), ""2"","""")"),"2")</f>
        <v>2</v>
      </c>
      <c r="GF32" s="246" t="str">
        <f>IFERROR(__xludf.DUMMYFUNCTION("IF(REGEXMATCH(C32, ""g""), ""b3"","""")"),"b3")</f>
        <v>b3</v>
      </c>
      <c r="GG32" s="245" t="str">
        <f>IFERROR(__xludf.DUMMYFUNCTION("IF(REGEXMATCH(C32, ""G""), ""3"","""")"),"")</f>
        <v/>
      </c>
      <c r="GH32" s="245" t="str">
        <f>IFERROR(__xludf.DUMMYFUNCTION("IF(REGEXMATCH(C32, ""m""), ""4"","""")"),"4")</f>
        <v>4</v>
      </c>
      <c r="GI32" s="246" t="str">
        <f>IFERROR(__xludf.DUMMYFUNCTION("IF(REGEXMATCH(C32, ""M""), ""#4"","""")"),"")</f>
        <v/>
      </c>
      <c r="GJ32" s="245" t="str">
        <f>IFERROR(__xludf.DUMMYFUNCTION("IF(REGEXMATCH(C32, ""P""), ""5"","""")"),"5")</f>
        <v>5</v>
      </c>
      <c r="GK32" s="246" t="str">
        <f>IFERROR(__xludf.DUMMYFUNCTION("IF(REGEXMATCH(C32, ""d""), ""b6"","""")"),"")</f>
        <v/>
      </c>
      <c r="GL32" s="245" t="str">
        <f>IFERROR(__xludf.DUMMYFUNCTION("IF(REGEXMATCH(C32, ""D""), ""6"","""")"),"6")</f>
        <v>6</v>
      </c>
      <c r="GM32" s="245" t="str">
        <f>IFERROR(__xludf.DUMMYFUNCTION("IF(REGEXMATCH(C32, ""n""), ""b7"","""")"),"b7")</f>
        <v>b7</v>
      </c>
      <c r="GN32" s="246" t="str">
        <f>IFERROR(__xludf.DUMMYFUNCTION("IF(REGEXMATCH(C32, ""N""), ""7"","""")"),"7")</f>
        <v>7</v>
      </c>
      <c r="GO32" s="249" t="str">
        <f>IFERROR(__xludf.DUMMYFUNCTION("IF(REGEXMATCH(C32, ""S""), ""8"","""")"),"8")</f>
        <v>8</v>
      </c>
      <c r="GP32" s="244" t="str">
        <f>IFERROR(__xludf.DUMMYFUNCTION("IF(REGEXMATCH(C32, ""S""), ""S"","""")"),"S")</f>
        <v>S</v>
      </c>
      <c r="GQ32" s="294" t="str">
        <f>IFERROR(__xludf.DUMMYFUNCTION("IF(REGEXMATCH(C32, ""r""), ""R1"","""")"),"")</f>
        <v/>
      </c>
      <c r="GR32" s="295" t="str">
        <f>IFERROR(__xludf.DUMMYFUNCTION("IF(REGEXMATCH(C32, ""R""), ""R2"","""")"),"R2")</f>
        <v>R2</v>
      </c>
      <c r="GS32" s="295" t="str">
        <f>IFERROR(__xludf.DUMMYFUNCTION("IF(REGEXMATCH(C32, ""g""), ""G2"","""")"),"G2")</f>
        <v>G2</v>
      </c>
      <c r="GT32" s="294" t="str">
        <f>IFERROR(__xludf.DUMMYFUNCTION("IF(REGEXMATCH(C32, ""G""), ""G3"","""")"),"")</f>
        <v/>
      </c>
      <c r="GU32" s="294" t="str">
        <f>IFERROR(__xludf.DUMMYFUNCTION("IF(REGEXMATCH(C32, ""m""), ""M1"","""")"),"M1")</f>
        <v>M1</v>
      </c>
      <c r="GV32" s="295" t="str">
        <f>IFERROR(__xludf.DUMMYFUNCTION("IF(REGEXMATCH(C32, ""M""), ""M2"","""")"),"")</f>
        <v/>
      </c>
      <c r="GW32" s="294" t="str">
        <f>IFERROR(__xludf.DUMMYFUNCTION("IF(REGEXMATCH(C32, ""P""), ""P"","""")"),"P")</f>
        <v>P</v>
      </c>
      <c r="GX32" s="295" t="str">
        <f>IFERROR(__xludf.DUMMYFUNCTION("IF(REGEXMATCH(C32, ""d""), ""D1"","""")"),"")</f>
        <v/>
      </c>
      <c r="GY32" s="294" t="str">
        <f>IFERROR(__xludf.DUMMYFUNCTION("IF(REGEXMATCH(C32, ""D""), ""D2"","""")"),"D2")</f>
        <v>D2</v>
      </c>
      <c r="GZ32" s="294" t="str">
        <f>IFERROR(__xludf.DUMMYFUNCTION("IF(REGEXMATCH(C32, ""n""), ""N2"","""")"),"N2")</f>
        <v>N2</v>
      </c>
      <c r="HA32" s="295" t="str">
        <f>IFERROR(__xludf.DUMMYFUNCTION("IF(REGEXMATCH(C32, ""N""), ""N3"","""")"),"N3")</f>
        <v>N3</v>
      </c>
      <c r="HB32" s="249" t="str">
        <f>IFERROR(__xludf.DUMMYFUNCTION("IF(REGEXMATCH(C32, ""S""), ""S"","""")"),"S")</f>
        <v>S</v>
      </c>
      <c r="HC32" s="331" t="str">
        <f t="shared" si="95"/>
        <v>S</v>
      </c>
      <c r="HD32" s="332" t="str">
        <f t="shared" si="96"/>
        <v>r</v>
      </c>
      <c r="HE32" s="332" t="str">
        <f t="shared" si="97"/>
        <v>R</v>
      </c>
      <c r="HF32" s="332" t="str">
        <f t="shared" si="98"/>
        <v>g</v>
      </c>
      <c r="HG32" s="332" t="str">
        <f t="shared" si="99"/>
        <v/>
      </c>
      <c r="HH32" s="332" t="str">
        <f t="shared" si="100"/>
        <v>m</v>
      </c>
      <c r="HI32" s="332" t="str">
        <f t="shared" si="101"/>
        <v/>
      </c>
      <c r="HJ32" s="332" t="str">
        <f t="shared" si="102"/>
        <v>P</v>
      </c>
      <c r="HK32" s="332" t="str">
        <f t="shared" si="103"/>
        <v/>
      </c>
      <c r="HL32" s="332" t="str">
        <f t="shared" si="104"/>
        <v>D</v>
      </c>
      <c r="HM32" s="332" t="str">
        <f t="shared" si="105"/>
        <v>n</v>
      </c>
      <c r="HN32" s="332" t="str">
        <f t="shared" si="106"/>
        <v/>
      </c>
      <c r="HO32" s="343" t="str">
        <f t="shared" si="107"/>
        <v>S</v>
      </c>
      <c r="HP32" s="331" t="str">
        <f t="shared" si="108"/>
        <v>o</v>
      </c>
      <c r="HQ32" s="332" t="str">
        <f t="shared" si="109"/>
        <v>•</v>
      </c>
      <c r="HR32" s="332" t="str">
        <f t="shared" si="110"/>
        <v>o</v>
      </c>
      <c r="HS32" s="332" t="str">
        <f t="shared" si="111"/>
        <v>o</v>
      </c>
      <c r="HT32" s="332" t="str">
        <f t="shared" si="112"/>
        <v>•</v>
      </c>
      <c r="HU32" s="332" t="str">
        <f t="shared" si="113"/>
        <v>o</v>
      </c>
      <c r="HV32" s="332" t="str">
        <f t="shared" si="114"/>
        <v>•</v>
      </c>
      <c r="HW32" s="332" t="str">
        <f t="shared" si="115"/>
        <v>o</v>
      </c>
      <c r="HX32" s="332" t="str">
        <f t="shared" si="116"/>
        <v>•</v>
      </c>
      <c r="HY32" s="332" t="str">
        <f t="shared" si="117"/>
        <v>o</v>
      </c>
      <c r="HZ32" s="332" t="str">
        <f t="shared" si="118"/>
        <v>o</v>
      </c>
      <c r="IA32" s="332" t="str">
        <f t="shared" si="119"/>
        <v>o</v>
      </c>
      <c r="IB32" s="338" t="str">
        <f t="shared" si="120"/>
        <v>o</v>
      </c>
      <c r="IC32" s="331" t="str">
        <f t="shared" si="121"/>
        <v>•</v>
      </c>
      <c r="ID32" s="332" t="str">
        <f t="shared" si="122"/>
        <v>o</v>
      </c>
      <c r="IE32" s="332" t="str">
        <f t="shared" si="123"/>
        <v>•</v>
      </c>
      <c r="IF32" s="332" t="str">
        <f t="shared" si="124"/>
        <v>•</v>
      </c>
      <c r="IG32" s="332" t="str">
        <f t="shared" si="125"/>
        <v>o</v>
      </c>
      <c r="IH32" s="332" t="str">
        <f t="shared" si="126"/>
        <v>•</v>
      </c>
      <c r="II32" s="332" t="str">
        <f t="shared" si="127"/>
        <v>o</v>
      </c>
      <c r="IJ32" s="332" t="str">
        <f t="shared" si="128"/>
        <v>•</v>
      </c>
      <c r="IK32" s="332" t="str">
        <f t="shared" si="129"/>
        <v>o</v>
      </c>
      <c r="IL32" s="332" t="str">
        <f t="shared" si="130"/>
        <v>•</v>
      </c>
      <c r="IM32" s="332" t="str">
        <f t="shared" si="131"/>
        <v>•</v>
      </c>
      <c r="IN32" s="332" t="str">
        <f t="shared" si="132"/>
        <v>•</v>
      </c>
      <c r="IO32" s="338" t="str">
        <f t="shared" si="133"/>
        <v>•</v>
      </c>
      <c r="IP32" s="346" t="b">
        <f t="shared" si="134"/>
        <v>0</v>
      </c>
      <c r="IQ32" s="347" t="b">
        <f t="shared" si="135"/>
        <v>0</v>
      </c>
      <c r="IR32" s="347" t="b">
        <f t="shared" si="136"/>
        <v>0</v>
      </c>
      <c r="IS32" s="347" t="b">
        <f t="shared" si="137"/>
        <v>0</v>
      </c>
      <c r="IT32" s="347" t="b">
        <f t="shared" si="138"/>
        <v>0</v>
      </c>
      <c r="IU32" s="347" t="b">
        <f t="shared" si="139"/>
        <v>0</v>
      </c>
      <c r="IV32" s="347" t="b">
        <f t="shared" si="140"/>
        <v>0</v>
      </c>
      <c r="IW32" s="347" t="b">
        <f t="shared" si="141"/>
        <v>0</v>
      </c>
      <c r="IX32" s="347" t="b">
        <f t="shared" si="142"/>
        <v>0</v>
      </c>
      <c r="IY32" s="347" t="b">
        <f t="shared" si="143"/>
        <v>1</v>
      </c>
      <c r="IZ32" s="347" t="b">
        <f t="shared" si="144"/>
        <v>0</v>
      </c>
      <c r="JA32" s="347" t="b">
        <f t="shared" si="145"/>
        <v>1</v>
      </c>
      <c r="JB32" s="353" t="b">
        <f t="shared" si="146"/>
        <v>0</v>
      </c>
      <c r="JC32" s="354" t="str">
        <f t="shared" si="147"/>
        <v/>
      </c>
      <c r="JD32" s="355" t="str">
        <f t="shared" si="148"/>
        <v/>
      </c>
      <c r="JE32" s="355" t="str">
        <f t="shared" si="149"/>
        <v/>
      </c>
      <c r="JF32" s="355" t="str">
        <f t="shared" si="150"/>
        <v/>
      </c>
      <c r="JG32" s="355" t="str">
        <f t="shared" si="151"/>
        <v/>
      </c>
      <c r="JH32" s="355" t="str">
        <f t="shared" si="152"/>
        <v/>
      </c>
      <c r="JI32" s="355" t="str">
        <f t="shared" si="153"/>
        <v/>
      </c>
      <c r="JJ32" s="355" t="str">
        <f t="shared" si="154"/>
        <v/>
      </c>
      <c r="JK32" s="355" t="str">
        <f t="shared" si="155"/>
        <v/>
      </c>
      <c r="JL32" s="355" t="str">
        <f t="shared" si="156"/>
        <v>Dha, </v>
      </c>
      <c r="JM32" s="355" t="str">
        <f t="shared" si="157"/>
        <v/>
      </c>
      <c r="JN32" s="355" t="str">
        <f t="shared" si="158"/>
        <v>Ni, </v>
      </c>
      <c r="JO32" s="359" t="str">
        <f t="shared" si="159"/>
        <v/>
      </c>
      <c r="JP32" s="346" t="b">
        <f t="shared" si="160"/>
        <v>0</v>
      </c>
      <c r="JQ32" s="347" t="b">
        <f t="shared" si="161"/>
        <v>0</v>
      </c>
      <c r="JR32" s="347" t="b">
        <f t="shared" si="162"/>
        <v>0</v>
      </c>
      <c r="JS32" s="347" t="b">
        <f t="shared" si="163"/>
        <v>0</v>
      </c>
      <c r="JT32" s="347" t="b">
        <f t="shared" si="164"/>
        <v>0</v>
      </c>
      <c r="JU32" s="347" t="b">
        <f t="shared" si="165"/>
        <v>0</v>
      </c>
      <c r="JV32" s="347" t="b">
        <f t="shared" si="166"/>
        <v>0</v>
      </c>
      <c r="JW32" s="347" t="b">
        <f t="shared" si="167"/>
        <v>0</v>
      </c>
      <c r="JX32" s="347" t="b">
        <f t="shared" si="168"/>
        <v>0</v>
      </c>
      <c r="JY32" s="347" t="b">
        <f t="shared" si="169"/>
        <v>0</v>
      </c>
      <c r="JZ32" s="347" t="b">
        <f t="shared" si="170"/>
        <v>0</v>
      </c>
      <c r="KA32" s="347" t="b">
        <f t="shared" si="171"/>
        <v>1</v>
      </c>
      <c r="KB32" s="365" t="b">
        <f t="shared" si="172"/>
        <v>0</v>
      </c>
      <c r="KC32" s="354" t="str">
        <f t="shared" si="173"/>
        <v/>
      </c>
      <c r="KD32" s="355" t="str">
        <f t="shared" si="174"/>
        <v/>
      </c>
      <c r="KE32" s="355" t="str">
        <f t="shared" si="175"/>
        <v/>
      </c>
      <c r="KF32" s="355" t="str">
        <f t="shared" si="176"/>
        <v/>
      </c>
      <c r="KG32" s="355" t="str">
        <f t="shared" si="177"/>
        <v/>
      </c>
      <c r="KH32" s="355" t="str">
        <f t="shared" si="178"/>
        <v/>
      </c>
      <c r="KI32" s="355" t="str">
        <f t="shared" si="179"/>
        <v/>
      </c>
      <c r="KJ32" s="355" t="str">
        <f t="shared" si="180"/>
        <v/>
      </c>
      <c r="KK32" s="355" t="str">
        <f t="shared" si="181"/>
        <v/>
      </c>
      <c r="KL32" s="355" t="str">
        <f t="shared" si="182"/>
        <v/>
      </c>
      <c r="KM32" s="355" t="str">
        <f t="shared" si="183"/>
        <v/>
      </c>
      <c r="KN32" s="355" t="str">
        <f t="shared" si="184"/>
        <v>Ni, </v>
      </c>
      <c r="KO32" s="359"/>
      <c r="KP32" s="378"/>
      <c r="KQ32" s="379" t="s">
        <v>9</v>
      </c>
      <c r="KR32" s="380" t="s">
        <v>9</v>
      </c>
      <c r="KS32" s="381" t="s">
        <v>9</v>
      </c>
      <c r="KT32" s="382">
        <f t="shared" si="186"/>
        <v>0</v>
      </c>
      <c r="KU32" s="383">
        <f t="shared" si="187"/>
        <v>0</v>
      </c>
      <c r="KV32" s="381" t="str">
        <f t="shared" si="205"/>
        <v>S</v>
      </c>
      <c r="KW32" s="382">
        <f t="shared" si="189"/>
        <v>0</v>
      </c>
      <c r="KX32" s="384">
        <f t="shared" si="190"/>
        <v>0</v>
      </c>
      <c r="KY32" s="382">
        <f t="shared" ref="KY32:KZ32" si="257">KW32-KT32</f>
        <v>0</v>
      </c>
      <c r="KZ32" s="369">
        <f t="shared" si="257"/>
        <v>0</v>
      </c>
      <c r="LA32" s="385" t="str">
        <f t="shared" si="192"/>
        <v>✔</v>
      </c>
      <c r="LB32" s="340" t="str">
        <f>IFERROR(__xludf.DUMMYFUNCTION("JOIN("""",ArrayFormula(MID(KS32,LEN(KS32)-SEQUENCE(1,LEN(KS32))+1,1)))"),"S")</f>
        <v>S</v>
      </c>
      <c r="LC32" s="373" t="str">
        <f>IFERROR(__xludf.DUMMYFUNCTION("JOIN("""",ArrayFormula(MID(KV32,LEN(KV32)-SEQUENCE(1,LEN(KV32))+1,1)))"),"S")</f>
        <v>S</v>
      </c>
      <c r="LD32" s="373" t="str">
        <f t="shared" si="193"/>
        <v>S</v>
      </c>
      <c r="LE32" s="339" t="str">
        <f t="shared" si="194"/>
        <v>S</v>
      </c>
      <c r="LF32" s="386" t="str">
        <f>IFERROR(__xludf.DUMMYFUNCTION("SUBSTITUTE(SUBSTITUTE(CONCATENATE(JOIN("""",LH32:LT32)),""1"",""""),""2"","""")"),"SS")</f>
        <v>SS</v>
      </c>
      <c r="LG32" s="369" t="str">
        <f t="shared" si="195"/>
        <v>-</v>
      </c>
      <c r="LH32" s="387" t="str">
        <f>IFERROR(__xludf.DUMMYFUNCTION("IF(REGEXMATCH(LD32, ""S""), ""S"",IF(REGEXMATCH(LE32, ""S""), ""S"",""""))"),"S")</f>
        <v>S</v>
      </c>
      <c r="LI32" s="299" t="str">
        <f>IFERROR(__xludf.DUMMYFUNCTION("IF(REGEXMATCH(LD32, ""r""), ""r1"",IF(REGEXMATCH(LE32, ""r""), ""r2"",""""))"),"")</f>
        <v/>
      </c>
      <c r="LJ32" s="299" t="str">
        <f>IFERROR(__xludf.DUMMYFUNCTION("IF(REGEXMATCH(LD32, ""R""), ""R1"",IF(REGEXMATCH(LE32, ""R""), ""R2"",""""))"),"")</f>
        <v/>
      </c>
      <c r="LK32" s="299" t="str">
        <f>IFERROR(__xludf.DUMMYFUNCTION("IF(REGEXMATCH(LD32, ""g""), ""g1"",IF(REGEXMATCH(LE32, ""g""), ""g2"",""""))"),"")</f>
        <v/>
      </c>
      <c r="LL32" s="299" t="str">
        <f>IFERROR(__xludf.DUMMYFUNCTION("IF(REGEXMATCH(LD32, ""G""), ""G1"",IF(REGEXMATCH(LE32, ""G""), ""G2"",""""))"),"")</f>
        <v/>
      </c>
      <c r="LM32" s="299" t="str">
        <f>IFERROR(__xludf.DUMMYFUNCTION("IF(REGEXMATCH(LD32, ""m""), ""m1"",IF(REGEXMATCH(LE32, ""m""), ""m2"",""""))"),"")</f>
        <v/>
      </c>
      <c r="LN32" s="299" t="str">
        <f>IFERROR(__xludf.DUMMYFUNCTION("IF(REGEXMATCH(LD32, ""M""), ""M1"",IF(REGEXMATCH(LE32, ""M""), ""M2"",""""))"),"")</f>
        <v/>
      </c>
      <c r="LO32" s="299" t="str">
        <f>IFERROR(__xludf.DUMMYFUNCTION("IF(REGEXMATCH(LD32, ""P""), ""P1"",IF(REGEXMATCH(LE32, ""P""), ""P2"",""""))"),"")</f>
        <v/>
      </c>
      <c r="LP32" s="299" t="str">
        <f>IFERROR(__xludf.DUMMYFUNCTION("IF(REGEXMATCH(LD32, ""d""), ""d1"",IF(REGEXMATCH(LE32, ""d""), ""d2"",""""))"),"")</f>
        <v/>
      </c>
      <c r="LQ32" s="299" t="str">
        <f>IFERROR(__xludf.DUMMYFUNCTION("IF(REGEXMATCH(LD32, ""D""), ""D1"",IF(REGEXMATCH(LE32, ""D""), ""D2"",""""))"),"")</f>
        <v/>
      </c>
      <c r="LR32" s="299" t="str">
        <f>IFERROR(__xludf.DUMMYFUNCTION("IF(REGEXMATCH(LD32, ""n""), ""n1"",IF(REGEXMATCH(LE32, ""n""), ""n2"",""""))"),"")</f>
        <v/>
      </c>
      <c r="LS32" s="299" t="str">
        <f>IFERROR(__xludf.DUMMYFUNCTION("IF(REGEXMATCH(LD32, ""N""), ""N1"",IF(REGEXMATCH(LE32, ""N""), ""N2"",""""))"),"")</f>
        <v/>
      </c>
      <c r="LT32" s="388" t="str">
        <f>IFERROR(__xludf.DUMMYFUNCTION("IF(REGEXMATCH(LD32, ""S""), ""S"",IF(REGEXMATCH(LE32, ""S""), ""S"",""""))"),"S")</f>
        <v>S</v>
      </c>
      <c r="LU32" s="389">
        <f t="shared" si="196"/>
        <v>1</v>
      </c>
      <c r="LV32" s="378"/>
      <c r="LW32" s="369"/>
      <c r="LX32" s="369"/>
    </row>
    <row r="33" ht="20.25" customHeight="1">
      <c r="A33" s="298" t="s">
        <v>564</v>
      </c>
      <c r="B33" s="222" t="s">
        <v>559</v>
      </c>
      <c r="C33" s="233" t="str">
        <f t="shared" si="7"/>
        <v>SrRgmPdnS</v>
      </c>
      <c r="D33" s="234" t="str">
        <f>IFERROR(__xludf.DUMMYFUNCTION("IF(REGEXMATCH(C33, ""S""), ""S"","""")"),"S")</f>
        <v>S</v>
      </c>
      <c r="E33" s="236" t="str">
        <f>IFERROR(__xludf.DUMMYFUNCTION("IF(REGEXMATCH(C33, ""r""), ""r"","""")"),"r")</f>
        <v>r</v>
      </c>
      <c r="F33" s="237" t="str">
        <f>IFERROR(__xludf.DUMMYFUNCTION("IF(REGEXMATCH(C33, ""R""), ""R"","""")"),"R")</f>
        <v>R</v>
      </c>
      <c r="G33" s="237" t="str">
        <f>IFERROR(__xludf.DUMMYFUNCTION("IF(REGEXMATCH(C33, ""g""), ""g"","""")"),"g")</f>
        <v>g</v>
      </c>
      <c r="H33" s="236" t="str">
        <f>IFERROR(__xludf.DUMMYFUNCTION("IF(REGEXMATCH(C33, ""G""), ""G"","""")"),"")</f>
        <v/>
      </c>
      <c r="I33" s="236" t="str">
        <f>IFERROR(__xludf.DUMMYFUNCTION("IF(REGEXMATCH(C33, ""m""), ""m"","""")"),"m")</f>
        <v>m</v>
      </c>
      <c r="J33" s="237" t="str">
        <f>IFERROR(__xludf.DUMMYFUNCTION("IF(REGEXMATCH(C33, ""M""), ""M"","""")"),"")</f>
        <v/>
      </c>
      <c r="K33" s="236" t="str">
        <f>IFERROR(__xludf.DUMMYFUNCTION("IF(REGEXMATCH(C33, ""P""), ""P"","""")"),"P")</f>
        <v>P</v>
      </c>
      <c r="L33" s="237" t="str">
        <f>IFERROR(__xludf.DUMMYFUNCTION("IF(REGEXMATCH(C33, ""d""), ""d"","""")"),"d")</f>
        <v>d</v>
      </c>
      <c r="M33" s="236" t="str">
        <f>IFERROR(__xludf.DUMMYFUNCTION("IF(REGEXMATCH(C33, ""D""), ""D"","""")"),"")</f>
        <v/>
      </c>
      <c r="N33" s="236" t="str">
        <f>IFERROR(__xludf.DUMMYFUNCTION("IF(REGEXMATCH(C33, ""n""), ""n"","""")"),"n")</f>
        <v>n</v>
      </c>
      <c r="O33" s="237" t="str">
        <f>IFERROR(__xludf.DUMMYFUNCTION("IF(REGEXMATCH(C33, ""N""), ""N"","""")"),"")</f>
        <v/>
      </c>
      <c r="P33" s="238" t="str">
        <f>IFERROR(__xludf.DUMMYFUNCTION("IF(REGEXMATCH(C33, ""S""), ""S"","""")"),"S")</f>
        <v>S</v>
      </c>
      <c r="Q33" s="239" t="str">
        <f>IFERROR(__xludf.DUMMYFUNCTION("SUBSTITUTE(CONCATENATE(JOIN(""-"",D33:J33)),""-"","""")"),"SrRgm")</f>
        <v>SrRgm</v>
      </c>
      <c r="R33" s="229" t="str">
        <f>IFERROR(__xludf.DUMMYFUNCTION("SUBSTITUTE(CONCATENATE(JOIN(""-"",K33:P33)),""-"","""")"),"PdnS")</f>
        <v>PdnS</v>
      </c>
      <c r="S33" s="282" t="str">
        <f t="shared" si="8"/>
        <v>S-R-G-M</v>
      </c>
      <c r="T33" s="282" t="str">
        <f t="shared" si="9"/>
        <v>P-D-N-S</v>
      </c>
      <c r="U33" s="237" t="str">
        <f>IFERROR(__xludf.DUMMYFUNCTION("SUBSTITUTE(JOIN(""-"",S33,T33),""--"",""-"")"),"S-R-G-M-P-D-N-S")</f>
        <v>S-R-G-M-P-D-N-S</v>
      </c>
      <c r="V33" s="309" t="str">
        <f t="shared" si="10"/>
        <v>rRgmdn</v>
      </c>
      <c r="W33" s="244" t="str">
        <f>IFERROR(__xludf.DUMMYFUNCTION("IF(REGEXMATCH(C33, ""S""), ""0"","""")"),"0")</f>
        <v>0</v>
      </c>
      <c r="X33" s="245" t="str">
        <f>IFERROR(__xludf.DUMMYFUNCTION("IF(REGEXMATCH(C33, ""r""), ""1"","""")"),"1")</f>
        <v>1</v>
      </c>
      <c r="Y33" s="246" t="str">
        <f>IFERROR(__xludf.DUMMYFUNCTION("IF(REGEXMATCH(C33, ""R""), ""2"","""")"),"2")</f>
        <v>2</v>
      </c>
      <c r="Z33" s="246" t="str">
        <f>IFERROR(__xludf.DUMMYFUNCTION("IF(REGEXMATCH(C33, ""g""), ""3"","""")"),"3")</f>
        <v>3</v>
      </c>
      <c r="AA33" s="245" t="str">
        <f>IFERROR(__xludf.DUMMYFUNCTION("IF(REGEXMATCH(C33, ""G""), ""4"","""")"),"")</f>
        <v/>
      </c>
      <c r="AB33" s="245" t="str">
        <f>IFERROR(__xludf.DUMMYFUNCTION("IF(REGEXMATCH(C33, ""m""), ""5"","""")"),"5")</f>
        <v>5</v>
      </c>
      <c r="AC33" s="246" t="str">
        <f>IFERROR(__xludf.DUMMYFUNCTION("IF(REGEXMATCH(C33, ""M""), ""6"","""")"),"")</f>
        <v/>
      </c>
      <c r="AD33" s="245" t="str">
        <f>IFERROR(__xludf.DUMMYFUNCTION("IF(REGEXMATCH(C33, ""P""), ""7"","""")"),"7")</f>
        <v>7</v>
      </c>
      <c r="AE33" s="246" t="str">
        <f>IFERROR(__xludf.DUMMYFUNCTION("IF(REGEXMATCH(C33, ""d""), ""8"","""")"),"8")</f>
        <v>8</v>
      </c>
      <c r="AF33" s="245" t="str">
        <f>IFERROR(__xludf.DUMMYFUNCTION("IF(REGEXMATCH(C33, ""D""), ""9"","""")"),"")</f>
        <v/>
      </c>
      <c r="AG33" s="245" t="str">
        <f>IFERROR(__xludf.DUMMYFUNCTION("IF(REGEXMATCH(C33, ""n""), ""10"","""")"),"10")</f>
        <v>10</v>
      </c>
      <c r="AH33" s="246" t="str">
        <f>IFERROR(__xludf.DUMMYFUNCTION("IF(REGEXMATCH(C33, ""N""), ""11"","""")"),"")</f>
        <v/>
      </c>
      <c r="AI33" s="249" t="str">
        <f>IFERROR(__xludf.DUMMYFUNCTION("IF(REGEXMATCH(C33, ""S""), ""0"","""")"),"0")</f>
        <v>0</v>
      </c>
      <c r="AJ33" s="313" t="str">
        <f t="shared" si="11"/>
        <v>-</v>
      </c>
      <c r="AK33" s="313" t="str">
        <f t="shared" si="12"/>
        <v>T</v>
      </c>
      <c r="AL33" s="313" t="str">
        <f t="shared" si="13"/>
        <v>T</v>
      </c>
      <c r="AM33" s="313" t="str">
        <f t="shared" si="14"/>
        <v>-</v>
      </c>
      <c r="AN33" s="313" t="str">
        <f t="shared" si="15"/>
        <v>-</v>
      </c>
      <c r="AO33" s="314" t="str">
        <f t="shared" si="16"/>
        <v>-</v>
      </c>
      <c r="AP33" s="316">
        <f t="shared" si="17"/>
        <v>2</v>
      </c>
      <c r="AQ33" s="319" t="str">
        <f t="shared" si="18"/>
        <v>-</v>
      </c>
      <c r="AR33" s="320">
        <f t="shared" si="19"/>
        <v>0</v>
      </c>
      <c r="AS33" s="250" t="str">
        <f>IFERROR(__xludf.DUMMYFUNCTION("SUBSTITUTE(SUBSTITUTE(CONCATENATE(JOIN("""",FP33:GA33)),""|"",""x""),""-"",""o"")"),"xxxxoxoxxoxo")</f>
        <v>xxxxoxoxxoxo</v>
      </c>
      <c r="AT33" s="323" t="str">
        <f>IFERROR(__xludf.DUMMYFUNCTION("JOIN("""",AS33,AS33)"),"xxxxoxoxxoxoxxxxoxoxxoxo")</f>
        <v>xxxxoxoxxoxoxxxxoxoxxoxo</v>
      </c>
      <c r="AU33" s="256" t="str">
        <f>IFERROR(__xludf.DUMMYFUNCTION("JOIN("""",ArrayFormula(MID(AS33,LEN(AS33)-SEQUENCE(1,LEN(AS33))+1,1)))"),"oxoxxoxoxxxx")</f>
        <v>oxoxxoxoxxxx</v>
      </c>
      <c r="AV33" s="256" t="str">
        <f>IFERROR(__xludf.DUMMYFUNCTION("LEFT(CONCATENATE(""x"",JOIN("""",ArrayFormula(MID(AS33,LEN(AS33)-SEQUENCE(1,LEN(AS33))+1,1)))),12)"),"xoxoxxoxoxxx")</f>
        <v>xoxoxxoxoxxx</v>
      </c>
      <c r="AW33" s="327" t="str">
        <f>IFERROR(__xludf.DUMMYFUNCTION("JOIN("""",AU33,AU33)"),"oxoxxoxoxxxxoxoxxoxoxxxx")</f>
        <v>oxoxxoxoxxxxoxoxxoxoxxxx</v>
      </c>
      <c r="AX33" s="239" t="str">
        <f>IFERROR(__xludf.DUMMYFUNCTION("IF(REGEXMATCH(AW33,AS33),""✔"",""-"")"),"✔")</f>
        <v>✔</v>
      </c>
      <c r="AY33" s="330" t="str">
        <f t="shared" si="20"/>
        <v>-</v>
      </c>
      <c r="AZ33" s="260" t="str">
        <f t="shared" si="21"/>
        <v>#REF!</v>
      </c>
      <c r="BA33" s="333" t="str">
        <f t="shared" si="22"/>
        <v>xxxxoxo</v>
      </c>
      <c r="BB33" s="334" t="str">
        <f t="shared" si="23"/>
        <v>xxoxox</v>
      </c>
      <c r="BC33" s="335" t="str">
        <f t="shared" si="236"/>
        <v>-</v>
      </c>
      <c r="BD33" s="336" t="str">
        <f t="shared" si="25"/>
        <v>Bahaduri Todi: 'xxxxoxo' + 'xxoxox'</v>
      </c>
      <c r="BE33" s="337">
        <f>IFERROR(__xludf.DUMMYFUNCTION("COUNTUNIQUE(FILTER(AT:AT,REGEXMATCH(AT:AT,AS33)))-1"),3.0)</f>
        <v>3</v>
      </c>
      <c r="BF33" s="261" t="str">
        <f>IFERROR(__xludf.DUMMYFUNCTION("IF(BI33=0,""(n/a)"",IF(BJ33=2,""(PAIR)"",IF(REGEXMATCH(AT33,""xoxoxxoxoxox""),""Bilawal"",IF(REGEXMATCH(AT33,""xoxoxooxoxoo""),""Bhupali"",IF(REGEXMATCH(AT33,""xoxoxxoxxoxo""),""Charukeshi"",IF(REGEXMATCH(AT33,""xoxoooxxoxxo""),""Kameshwari"",IF(REGEXMATC"&amp;"H(AT33,""xoxoxooxoxox""),""Shankara"",IF(REGEXMATCH(AT33,""xxooxoxxxoox""),""Basant"",IF(REGEXMATCH(AT33,""xoxoxxxxoxox""),""Bihag"",IF(REGEXMATCH(AT33,""xoxxxxoxoxxx""),""Pilu"",IF(REGEXMATCH(AT33,""xoxxoxoxxoox""),""Kirwani"",IF(REGEXMATCH(AT33,""xoxxox"&amp;"oxoxxx""),""Mk.Malhar"",IF(REGEXMATCH(AT33,""xxooxxoxxoox""),""Bhairav"",IF(REGEXMATCH(AT33,""xxoxooxxxoox""),""Todi"",IF(REGEXMATCH(AT33,""xxooxoxooxox""),""Marwa"",IF(REGEXMATCH(AT33,""xxoooxoxxooo""),""Gunkali"",IF(REGEXMATCH(AT33,""xoxoxxoxxoox""),""N"&amp;"at Bhairav"",IF(REGEXMATCH(AT33,""xoxxoooxoxoo""),""Shivranjani"",IF(REGEXMATCH(AT33,""xooxxxoxooxo""),""Jog"",IF(REGEXMATCH(AT33,""xxooxoxoxoox""),""Hemshri"",IF(REGEXMATCH(AT33,""xoooxooxoxxo""),""Kalavati"",IF(REGEXMATCH(AT33,""xxoxoxxoxoox""),""Kedar"&amp;""",IF(REGEXMATCH(AT33,""xoxxxxoxooxx""),""Gara"",IF(REGEXMATCH(AT33,""xooxoxooxoox""),""Chandrakauns"",IF(REGEXMATCH(AT33,""xoxxxxoxxxox""),""Mand"",IF(REGEXMATCH(AT33,""xoxxxxoxoxox""),""Hanskinkini"",IF(REGEXMATCH(AT33,""xxooxxoxooxo""),""Lilavati"",IF("&amp;"REGEXMATCH(AT33,""xooxoxoooxox""),""Rajeshwari"",IF(REGEXMATCH(AT33,""xoooxxoxoxxx""),""Khokar"",IF(REGEXMATCH(AT33,""xxooxoxxxxox""),""Maligoura"",""-""))))))))))))))))))))))))))))))"),"Bihag")</f>
        <v>Bihag</v>
      </c>
      <c r="BG33" s="239" t="str">
        <f t="shared" si="26"/>
        <v>#REF!</v>
      </c>
      <c r="BH33" s="239">
        <f>IFERROR(__xludf.DUMMYFUNCTION("COUNTUNIQUE(FE33:FO33)-1"),7.0)</f>
        <v>7</v>
      </c>
      <c r="BI33" s="239">
        <f>IFERROR(__xludf.DUMMYFUNCTION("COUNTUNIQUE(FILTER(AT:AT,REGEXMATCH(AT:AT,AS33)))-1"),3.0)</f>
        <v>3</v>
      </c>
      <c r="BJ33" s="239">
        <f>IFERROR(__xludf.DUMMYFUNCTION("COUNTA(FILTER(AT:AT,REGEXMATCH(AT:AT,AS33)))"),36.0)</f>
        <v>36</v>
      </c>
      <c r="BK33" s="341">
        <f>IFERROR(__xludf.DUMMYFUNCTION("COUNTA(FILTER(AT:AT,REGEXMATCH(AT:AT,AS33)))-AR33"),36.0)</f>
        <v>36</v>
      </c>
      <c r="BL33" s="276" t="str">
        <f>IFERROR(__xludf.DUMMYFUNCTION("IF(AS33=""oooooooooooo"",""-"",IF(REGEXMATCH(AT33,""xx""), ""Hemi."", ""Anhemi.""))"),"Hemi.")</f>
        <v>Hemi.</v>
      </c>
      <c r="BM33" s="282" t="str">
        <f>IFERROR(__xludf.DUMMYFUNCTION("IF(AS33=""oooooooooooo"",""-"",IF(REGEXMATCH(AT33,""xxx""), ""Cohem."", ""-""))"),"Cohem.")</f>
        <v>Cohem.</v>
      </c>
      <c r="BN33" s="282" t="str">
        <f>IFERROR(__xludf.DUMMYFUNCTION("IF(AS33=""oooooooooooo"",""-"",IF(REGEXMATCH(AT33,""xxxx""), ""Co-Co."", ""-""))"),"Co-Co.")</f>
        <v>Co-Co.</v>
      </c>
      <c r="BO33" s="342" t="str">
        <f>IFERROR(__xludf.DUMMYFUNCTION("IF(AS33=""oooooooooooo"",""-"",IF(REGEXMATCH(AT33,""xxxxx""), ""CCC."", ""-""))"),"-")</f>
        <v>-</v>
      </c>
      <c r="BP33" s="344" t="str">
        <f t="shared" si="27"/>
        <v>-</v>
      </c>
      <c r="BQ33" s="282" t="str">
        <f>IFERROR(__xludf.DUMMYFUNCTION("IF(REGEXMATCH(JOIN(""-"",EU33:FD33),""TRUE""),""✔"",""-"")"),"-")</f>
        <v>-</v>
      </c>
      <c r="BR33" s="225">
        <f t="shared" si="28"/>
        <v>0</v>
      </c>
      <c r="BS33" s="345" t="str">
        <f>IFERROR(__xludf.DUMMYFUNCTION("SUBSTITUTE(SUBSTITUTE(SUBSTITUTE(SUBSTITUTE(CONCATENATE(JOIN(""-"",GC33:GO33)),""--"",""-""),""--"",""-""),""--"",""-""),""--"",""-"")"),"1-b2-2-b3-4-5-b6-b7-8")</f>
        <v>1-b2-2-b3-4-5-b6-b7-8</v>
      </c>
      <c r="BT33" s="299" t="str">
        <f>IFERROR(__xludf.DUMMYFUNCTION("SUBSTITUTE(SUBSTITUTE(SUBSTITUTE(SUBSTITUTE(CONCATENATE(JOIN(""-"",GP33:HB33)),""--"",""-""),""--"",""-""),""--"",""-""),""--"",""-"")"),"S-R1-R2-G2-M1-P-D1-N2-S")</f>
        <v>S-R1-R2-G2-M1-P-D1-N2-S</v>
      </c>
      <c r="BU33" s="348" t="str">
        <f t="shared" si="29"/>
        <v>C-Db-D-Eb-F-G-Ab-Bb-C</v>
      </c>
      <c r="BV33" s="349" t="str">
        <f t="shared" si="30"/>
        <v>SGMDNS</v>
      </c>
      <c r="BW33" s="350">
        <f t="shared" si="31"/>
        <v>1</v>
      </c>
      <c r="BX33" s="351">
        <f t="shared" si="32"/>
        <v>3</v>
      </c>
      <c r="BY33" s="352" t="s">
        <v>275</v>
      </c>
      <c r="BZ33" s="309" t="str">
        <f>IFERROR(__xludf.DUMMYFUNCTION("IF(REGEXMATCH(C33, ""S""), ""x"",""x"")"),"x")</f>
        <v>x</v>
      </c>
      <c r="CA33" s="245" t="str">
        <f>IFERROR(__xludf.DUMMYFUNCTION("IF(REGEXMATCH(C33, ""r""), ""o"",""x"")"),"o")</f>
        <v>o</v>
      </c>
      <c r="CB33" s="246" t="str">
        <f>IFERROR(__xludf.DUMMYFUNCTION("IF(REGEXMATCH(C33, ""R""), ""o"",""x"")"),"o")</f>
        <v>o</v>
      </c>
      <c r="CC33" s="246" t="str">
        <f>IFERROR(__xludf.DUMMYFUNCTION("IF(REGEXMATCH(C33, ""g""), ""o"",""x"")"),"o")</f>
        <v>o</v>
      </c>
      <c r="CD33" s="245" t="str">
        <f>IFERROR(__xludf.DUMMYFUNCTION("IF(REGEXMATCH(C33, ""G""), ""o"",""x"")"),"x")</f>
        <v>x</v>
      </c>
      <c r="CE33" s="245" t="str">
        <f>IFERROR(__xludf.DUMMYFUNCTION("IF(REGEXMATCH(C33, ""m""), ""o"",""x"")"),"o")</f>
        <v>o</v>
      </c>
      <c r="CF33" s="246" t="str">
        <f>IFERROR(__xludf.DUMMYFUNCTION("IF(REGEXMATCH(C33, ""M""), ""o"",""x"")"),"x")</f>
        <v>x</v>
      </c>
      <c r="CG33" s="245" t="str">
        <f>IFERROR(__xludf.DUMMYFUNCTION("IF(REGEXMATCH(C33, ""P""), ""o"",""x"")"),"o")</f>
        <v>o</v>
      </c>
      <c r="CH33" s="246" t="str">
        <f>IFERROR(__xludf.DUMMYFUNCTION("IF(REGEXMATCH(C33, ""d""), ""o"",""x"")"),"o")</f>
        <v>o</v>
      </c>
      <c r="CI33" s="245" t="str">
        <f>IFERROR(__xludf.DUMMYFUNCTION("IF(REGEXMATCH(C33, ""D""), ""o"",""x"")"),"x")</f>
        <v>x</v>
      </c>
      <c r="CJ33" s="245" t="str">
        <f>IFERROR(__xludf.DUMMYFUNCTION("IF(REGEXMATCH(C33, ""n""), ""o"",""x"")"),"o")</f>
        <v>o</v>
      </c>
      <c r="CK33" s="245" t="str">
        <f>IFERROR(__xludf.DUMMYFUNCTION("IF(REGEXMATCH(C33, ""N""), ""o"",""x"")"),"x")</f>
        <v>x</v>
      </c>
      <c r="CL33" s="356" t="str">
        <f>IFERROR(__xludf.DUMMYFUNCTION("IF(REGEXMATCH(C33, ""S""), ""x"",""x"")"),"x")</f>
        <v>x</v>
      </c>
      <c r="CM33" s="357" t="str">
        <f t="shared" si="33"/>
        <v>xoooxoxooxox</v>
      </c>
      <c r="CN33" s="358">
        <f t="shared" si="34"/>
        <v>1</v>
      </c>
      <c r="CO33" s="246" t="str">
        <f>IFERROR(__xludf.DUMMYFUNCTION("IF(REGEXMATCH($C33, ""S""), ""S"",""S"")"),"S")</f>
        <v>S</v>
      </c>
      <c r="CP33" s="246" t="str">
        <f>IFERROR(__xludf.DUMMYFUNCTION("IF(REGEXMATCH($C33, ""r""), """",""r"")"),"")</f>
        <v/>
      </c>
      <c r="CQ33" s="246" t="str">
        <f>IFERROR(__xludf.DUMMYFUNCTION("IF(REGEXMATCH($C33, ""R""), """",""R"")"),"")</f>
        <v/>
      </c>
      <c r="CR33" s="246" t="str">
        <f>IFERROR(__xludf.DUMMYFUNCTION("IF(REGEXMATCH($C33, ""g""), """",""g"")"),"")</f>
        <v/>
      </c>
      <c r="CS33" s="246" t="str">
        <f>IFERROR(__xludf.DUMMYFUNCTION("IF(REGEXMATCH($C33, ""G""), """",""G"")"),"G")</f>
        <v>G</v>
      </c>
      <c r="CT33" s="246" t="str">
        <f>IFERROR(__xludf.DUMMYFUNCTION("IF(REGEXMATCH($C33, ""m""), """",""m"")"),"")</f>
        <v/>
      </c>
      <c r="CU33" s="246" t="str">
        <f>IFERROR(__xludf.DUMMYFUNCTION("IF(REGEXMATCH($C33, ""M""), """",""M"")"),"M")</f>
        <v>M</v>
      </c>
      <c r="CV33" s="246" t="str">
        <f>IFERROR(__xludf.DUMMYFUNCTION("IF(REGEXMATCH($C33, ""P""), """",""P"")"),"")</f>
        <v/>
      </c>
      <c r="CW33" s="246" t="str">
        <f>IFERROR(__xludf.DUMMYFUNCTION("IF(REGEXMATCH($C33, ""d""), """",""d"")"),"")</f>
        <v/>
      </c>
      <c r="CX33" s="246" t="str">
        <f>IFERROR(__xludf.DUMMYFUNCTION("IF(REGEXMATCH($C33, ""D""), """",""D"")"),"D")</f>
        <v>D</v>
      </c>
      <c r="CY33" s="246" t="str">
        <f>IFERROR(__xludf.DUMMYFUNCTION("IF(REGEXMATCH($C33, ""n""), """",""n"")"),"")</f>
        <v/>
      </c>
      <c r="CZ33" s="246" t="str">
        <f>IFERROR(__xludf.DUMMYFUNCTION("IF(REGEXMATCH($C33, ""N""), """",""N"")"),"N")</f>
        <v>N</v>
      </c>
      <c r="DA33" s="246" t="str">
        <f>IFERROR(__xludf.DUMMYFUNCTION("IF(REGEXMATCH($C33, ""S""), ""S"",""S"")"),"S")</f>
        <v>S</v>
      </c>
      <c r="DB33" s="362" t="str">
        <f>IFERROR(__xludf.DUMMYFUNCTION("JOIN("""",CO33:DA33,"""","""")"),"SGMDNS")</f>
        <v>SGMDNS</v>
      </c>
      <c r="DC33" s="363"/>
      <c r="DD33" s="301" t="str">
        <f t="shared" si="35"/>
        <v>#REF!</v>
      </c>
      <c r="DE33" s="302" t="str">
        <f t="shared" si="36"/>
        <v>#REF!</v>
      </c>
      <c r="DF33" s="301" t="str">
        <f t="shared" ref="DF33:DG33" si="258">SUBSTITUTE(S33,"-","")</f>
        <v>SRGM</v>
      </c>
      <c r="DG33" s="301" t="str">
        <f t="shared" si="258"/>
        <v>PDNS</v>
      </c>
      <c r="DH33" s="302" t="str">
        <f t="shared" si="38"/>
        <v>Bihag</v>
      </c>
      <c r="DI33" s="301" t="str">
        <f t="shared" si="39"/>
        <v>Hemi.</v>
      </c>
      <c r="DJ33" s="364" t="str">
        <f t="shared" si="40"/>
        <v>Co-Co.</v>
      </c>
      <c r="DK33" s="306" t="str">
        <f t="shared" si="41"/>
        <v>-</v>
      </c>
      <c r="DL33" s="366" t="str">
        <f t="shared" si="42"/>
        <v>-</v>
      </c>
      <c r="DM33" s="308" t="str">
        <f t="shared" si="43"/>
        <v>✔</v>
      </c>
      <c r="DN33" s="306" t="str">
        <f t="shared" si="44"/>
        <v>-</v>
      </c>
      <c r="DO33" s="306" t="str">
        <f t="shared" si="45"/>
        <v>-</v>
      </c>
      <c r="DP33" s="367" t="str">
        <f t="shared" si="46"/>
        <v>-</v>
      </c>
      <c r="DQ33" s="310" t="str">
        <f t="shared" si="47"/>
        <v>✔</v>
      </c>
      <c r="DR33" s="310" t="str">
        <f t="shared" si="48"/>
        <v>-</v>
      </c>
      <c r="DS33" s="310" t="str">
        <f t="shared" si="49"/>
        <v>-</v>
      </c>
      <c r="DT33" s="310" t="str">
        <f t="shared" si="50"/>
        <v>-</v>
      </c>
      <c r="DU33" s="370" t="str">
        <f t="shared" si="51"/>
        <v>-</v>
      </c>
      <c r="DV33" s="306" t="str">
        <f t="shared" si="52"/>
        <v>-</v>
      </c>
      <c r="DW33" s="306" t="str">
        <f t="shared" si="53"/>
        <v>-</v>
      </c>
      <c r="DX33" s="306" t="str">
        <f t="shared" si="54"/>
        <v>-</v>
      </c>
      <c r="DY33" s="306" t="str">
        <f t="shared" si="55"/>
        <v>-</v>
      </c>
      <c r="DZ33" s="306" t="str">
        <f t="shared" si="56"/>
        <v>-</v>
      </c>
      <c r="EA33" s="367" t="str">
        <f t="shared" si="57"/>
        <v>-</v>
      </c>
      <c r="EB33" s="310" t="str">
        <f>IFERROR(__xludf.DUMMYFUNCTION("IF(REGEXMATCH(AW33,AS33),""✔"",""-"")"),"✔")</f>
        <v>✔</v>
      </c>
      <c r="EC33" s="310" t="str">
        <f t="shared" si="58"/>
        <v>#REF!</v>
      </c>
      <c r="ED33" s="370" t="str">
        <f t="shared" si="59"/>
        <v>-</v>
      </c>
      <c r="EE33" s="340" t="str">
        <f t="shared" si="60"/>
        <v>S-rR-g-m-P-d-n-S</v>
      </c>
      <c r="EF33" s="371" t="str">
        <f>IFERROR(__xludf.DUMMYFUNCTION("CONCATENATE(JOIN("""",HC33:HO33))"),"SRGmPDnNS")</f>
        <v>SRGmPDnNS</v>
      </c>
      <c r="EG33" s="372">
        <f t="shared" si="61"/>
        <v>1</v>
      </c>
      <c r="EH33" s="373" t="str">
        <f>IFERROR(__xludf.DUMMYFUNCTION("CONCATENATE(JOIN("""",JC33:JO33))"),"Re, ")</f>
        <v>Re, </v>
      </c>
      <c r="EI33" s="322">
        <f t="shared" si="62"/>
        <v>0</v>
      </c>
      <c r="EJ33" s="374" t="str">
        <f>IFERROR(__xludf.DUMMYFUNCTION("CONCATENATE(JOIN("""",KC33:KO33))"),"")</f>
        <v/>
      </c>
      <c r="EK33" s="325" t="str">
        <f t="shared" si="63"/>
        <v>S-R1-R2-G2-M1-P-D1-N2-S</v>
      </c>
      <c r="EL33" s="326" t="str">
        <f t="shared" si="64"/>
        <v>1-b2-2-b3-4-5-b6-b7-8</v>
      </c>
      <c r="EM33" s="318" t="str">
        <f t="shared" si="65"/>
        <v>#REF!</v>
      </c>
      <c r="EN33" s="328" t="str">
        <f>IFERROR(__xludf.DUMMYFUNCTION("SUBSTITUTE(SUBSTITUTE(SUBSTITUTE(SUBSTITUTE(CONCATENATE(JOIN("" "",HP33:IB33)),""  "","" ""),""  "","" ""),""  "","" ""),""  "","" "")"),"o o o o • o • o o • o • o")</f>
        <v>o o o o • o • o o • o • o</v>
      </c>
      <c r="EO33" s="368" t="str">
        <f t="shared" si="66"/>
        <v>-</v>
      </c>
      <c r="EP33" s="339" t="str">
        <f t="shared" si="67"/>
        <v>-</v>
      </c>
      <c r="EQ33" s="339" t="str">
        <f t="shared" si="68"/>
        <v>Sa-Pa</v>
      </c>
      <c r="ER33" s="339" t="str">
        <f t="shared" si="69"/>
        <v>-</v>
      </c>
      <c r="ES33" s="340" t="str">
        <f t="shared" si="70"/>
        <v>-</v>
      </c>
      <c r="ET33" s="363"/>
      <c r="EU33" s="376" t="b">
        <f>IFERROR(__xludf.DUMMYFUNCTION("arrayformula(sum(--REGEXMATCH(""SRGMPDNS"",split(REGEXREPLACE(C33,""(.)"",""$1~""),""~""))))=len(C33)
"),FALSE)</f>
        <v>0</v>
      </c>
      <c r="EV33" s="290" t="b">
        <f>IFERROR(__xludf.DUMMYFUNCTION("arrayformula(sum(--REGEXMATCH(""SRGmPDNS"",split(REGEXREPLACE(C33,""(.)"",""$1~""),""~""))))=len(C33)"),FALSE)</f>
        <v>0</v>
      </c>
      <c r="EW33" s="290" t="b">
        <f>IFERROR(__xludf.DUMMYFUNCTION("arrayformula(sum(--REGEXMATCH(""SRGmPDnS"",split(REGEXREPLACE(C33,""(.)"",""$1~""),""~""))))=len(C33)"),FALSE)</f>
        <v>0</v>
      </c>
      <c r="EX33" s="290" t="b">
        <f>IFERROR(__xludf.DUMMYFUNCTION("arrayformula(sum(--REGEXMATCH(""SRgmPDnS"",split(REGEXREPLACE(C33,""(.)"",""$1~""),""~""))))=len(C33)"),FALSE)</f>
        <v>0</v>
      </c>
      <c r="EY33" s="290" t="b">
        <f>IFERROR(__xludf.DUMMYFUNCTION("arrayformula(sum(--REGEXMATCH(""SRgmPdnS"",split(REGEXREPLACE(C33,""(.)"",""$1~""),""~""))))=len(C33)"),FALSE)</f>
        <v>0</v>
      </c>
      <c r="EZ33" s="290" t="b">
        <f>IFERROR(__xludf.DUMMYFUNCTION("arrayformula(sum(--REGEXMATCH(""SrgmPdnS"",split(REGEXREPLACE(C33,""(.)"",""$1~""),""~""))))=len(C33)"),FALSE)</f>
        <v>0</v>
      </c>
      <c r="FA33" s="290" t="b">
        <f>IFERROR(__xludf.DUMMYFUNCTION("arrayformula(sum(--REGEXMATCH(""SrGmPdNS"",split(REGEXREPLACE(C33,""(.)"",""$1~""),""~""))))=len(C33)"),FALSE)</f>
        <v>0</v>
      </c>
      <c r="FB33" s="290" t="b">
        <f>IFERROR(__xludf.DUMMYFUNCTION("arrayformula(sum(--REGEXMATCH(""SrGMPDNS"",split(REGEXREPLACE(C33,""(.)"",""$1~""),""~""))))=len(C33)"),FALSE)</f>
        <v>0</v>
      </c>
      <c r="FC33" s="290" t="b">
        <f>IFERROR(__xludf.DUMMYFUNCTION("arrayformula(sum(--REGEXMATCH(""SrGMPdNS"",split(REGEXREPLACE(C33,""(.)"",""$1~""),""~""))))=len(C33)"),FALSE)</f>
        <v>0</v>
      </c>
      <c r="FD33" s="377" t="b">
        <f>IFERROR(__xludf.DUMMYFUNCTION("arrayformula(sum(--REGEXMATCH(""SrgMPdNS"",split(REGEXREPLACE(C33,""(.)"",""$1~""),""~""))))=len(C33)"),FALSE)</f>
        <v>0</v>
      </c>
      <c r="FE33" s="269" t="str">
        <f t="shared" si="71"/>
        <v>xxxoxoxxoxo</v>
      </c>
      <c r="FF33" s="269" t="str">
        <f t="shared" si="72"/>
        <v>xxoxoxxoxox</v>
      </c>
      <c r="FG33" s="271" t="str">
        <f t="shared" si="73"/>
        <v>xoxoxxoxoxx</v>
      </c>
      <c r="FH33" s="269" t="str">
        <f t="shared" si="74"/>
        <v>-</v>
      </c>
      <c r="FI33" s="271" t="str">
        <f t="shared" si="75"/>
        <v>xoxxoxoxxxx</v>
      </c>
      <c r="FJ33" s="271" t="str">
        <f t="shared" si="76"/>
        <v>-</v>
      </c>
      <c r="FK33" s="271" t="str">
        <f t="shared" si="77"/>
        <v>xxoxoxxxxox</v>
      </c>
      <c r="FL33" s="271" t="str">
        <f t="shared" si="78"/>
        <v>xoxoxxxxoxo</v>
      </c>
      <c r="FM33" s="271" t="str">
        <f t="shared" si="79"/>
        <v>-</v>
      </c>
      <c r="FN33" s="271" t="str">
        <f t="shared" si="80"/>
        <v>xoxxxxoxoxx</v>
      </c>
      <c r="FO33" s="274" t="str">
        <f t="shared" si="81"/>
        <v>-</v>
      </c>
      <c r="FP33" s="234" t="str">
        <f t="shared" si="82"/>
        <v>|</v>
      </c>
      <c r="FQ33" s="236" t="str">
        <f t="shared" si="83"/>
        <v>|</v>
      </c>
      <c r="FR33" s="237" t="str">
        <f t="shared" si="84"/>
        <v>|</v>
      </c>
      <c r="FS33" s="236" t="str">
        <f t="shared" si="85"/>
        <v>|</v>
      </c>
      <c r="FT33" s="237" t="str">
        <f t="shared" si="86"/>
        <v>-</v>
      </c>
      <c r="FU33" s="236" t="str">
        <f t="shared" si="87"/>
        <v>|</v>
      </c>
      <c r="FV33" s="237" t="str">
        <f t="shared" si="88"/>
        <v>-</v>
      </c>
      <c r="FW33" s="236" t="str">
        <f t="shared" si="89"/>
        <v>|</v>
      </c>
      <c r="FX33" s="237" t="str">
        <f t="shared" si="90"/>
        <v>|</v>
      </c>
      <c r="FY33" s="236" t="str">
        <f t="shared" si="91"/>
        <v>-</v>
      </c>
      <c r="FZ33" s="237" t="str">
        <f t="shared" si="92"/>
        <v>|</v>
      </c>
      <c r="GA33" s="236" t="str">
        <f t="shared" si="93"/>
        <v>-</v>
      </c>
      <c r="GB33" s="238" t="str">
        <f t="shared" si="94"/>
        <v>|</v>
      </c>
      <c r="GC33" s="244" t="str">
        <f>IFERROR(__xludf.DUMMYFUNCTION("IF(REGEXMATCH(C33, ""S""), ""1"","""")"),"1")</f>
        <v>1</v>
      </c>
      <c r="GD33" s="245" t="str">
        <f>IFERROR(__xludf.DUMMYFUNCTION("IF(REGEXMATCH(C33, ""r""), ""b2"","""")"),"b2")</f>
        <v>b2</v>
      </c>
      <c r="GE33" s="246" t="str">
        <f>IFERROR(__xludf.DUMMYFUNCTION("IF(REGEXMATCH(C33, ""R""), ""2"","""")"),"2")</f>
        <v>2</v>
      </c>
      <c r="GF33" s="246" t="str">
        <f>IFERROR(__xludf.DUMMYFUNCTION("IF(REGEXMATCH(C33, ""g""), ""b3"","""")"),"b3")</f>
        <v>b3</v>
      </c>
      <c r="GG33" s="245" t="str">
        <f>IFERROR(__xludf.DUMMYFUNCTION("IF(REGEXMATCH(C33, ""G""), ""3"","""")"),"")</f>
        <v/>
      </c>
      <c r="GH33" s="245" t="str">
        <f>IFERROR(__xludf.DUMMYFUNCTION("IF(REGEXMATCH(C33, ""m""), ""4"","""")"),"4")</f>
        <v>4</v>
      </c>
      <c r="GI33" s="246" t="str">
        <f>IFERROR(__xludf.DUMMYFUNCTION("IF(REGEXMATCH(C33, ""M""), ""#4"","""")"),"")</f>
        <v/>
      </c>
      <c r="GJ33" s="245" t="str">
        <f>IFERROR(__xludf.DUMMYFUNCTION("IF(REGEXMATCH(C33, ""P""), ""5"","""")"),"5")</f>
        <v>5</v>
      </c>
      <c r="GK33" s="246" t="str">
        <f>IFERROR(__xludf.DUMMYFUNCTION("IF(REGEXMATCH(C33, ""d""), ""b6"","""")"),"b6")</f>
        <v>b6</v>
      </c>
      <c r="GL33" s="245" t="str">
        <f>IFERROR(__xludf.DUMMYFUNCTION("IF(REGEXMATCH(C33, ""D""), ""6"","""")"),"")</f>
        <v/>
      </c>
      <c r="GM33" s="245" t="str">
        <f>IFERROR(__xludf.DUMMYFUNCTION("IF(REGEXMATCH(C33, ""n""), ""b7"","""")"),"b7")</f>
        <v>b7</v>
      </c>
      <c r="GN33" s="246" t="str">
        <f>IFERROR(__xludf.DUMMYFUNCTION("IF(REGEXMATCH(C33, ""N""), ""7"","""")"),"")</f>
        <v/>
      </c>
      <c r="GO33" s="249" t="str">
        <f>IFERROR(__xludf.DUMMYFUNCTION("IF(REGEXMATCH(C33, ""S""), ""8"","""")"),"8")</f>
        <v>8</v>
      </c>
      <c r="GP33" s="244" t="str">
        <f>IFERROR(__xludf.DUMMYFUNCTION("IF(REGEXMATCH(C33, ""S""), ""S"","""")"),"S")</f>
        <v>S</v>
      </c>
      <c r="GQ33" s="294" t="str">
        <f>IFERROR(__xludf.DUMMYFUNCTION("IF(REGEXMATCH(C33, ""r""), ""R1"","""")"),"R1")</f>
        <v>R1</v>
      </c>
      <c r="GR33" s="295" t="str">
        <f>IFERROR(__xludf.DUMMYFUNCTION("IF(REGEXMATCH(C33, ""R""), ""R2"","""")"),"R2")</f>
        <v>R2</v>
      </c>
      <c r="GS33" s="295" t="str">
        <f>IFERROR(__xludf.DUMMYFUNCTION("IF(REGEXMATCH(C33, ""g""), ""G2"","""")"),"G2")</f>
        <v>G2</v>
      </c>
      <c r="GT33" s="294" t="str">
        <f>IFERROR(__xludf.DUMMYFUNCTION("IF(REGEXMATCH(C33, ""G""), ""G3"","""")"),"")</f>
        <v/>
      </c>
      <c r="GU33" s="294" t="str">
        <f>IFERROR(__xludf.DUMMYFUNCTION("IF(REGEXMATCH(C33, ""m""), ""M1"","""")"),"M1")</f>
        <v>M1</v>
      </c>
      <c r="GV33" s="295" t="str">
        <f>IFERROR(__xludf.DUMMYFUNCTION("IF(REGEXMATCH(C33, ""M""), ""M2"","""")"),"")</f>
        <v/>
      </c>
      <c r="GW33" s="294" t="str">
        <f>IFERROR(__xludf.DUMMYFUNCTION("IF(REGEXMATCH(C33, ""P""), ""P"","""")"),"P")</f>
        <v>P</v>
      </c>
      <c r="GX33" s="295" t="str">
        <f>IFERROR(__xludf.DUMMYFUNCTION("IF(REGEXMATCH(C33, ""d""), ""D1"","""")"),"D1")</f>
        <v>D1</v>
      </c>
      <c r="GY33" s="294" t="str">
        <f>IFERROR(__xludf.DUMMYFUNCTION("IF(REGEXMATCH(C33, ""D""), ""D2"","""")"),"")</f>
        <v/>
      </c>
      <c r="GZ33" s="294" t="str">
        <f>IFERROR(__xludf.DUMMYFUNCTION("IF(REGEXMATCH(C33, ""n""), ""N2"","""")"),"N2")</f>
        <v>N2</v>
      </c>
      <c r="HA33" s="295" t="str">
        <f>IFERROR(__xludf.DUMMYFUNCTION("IF(REGEXMATCH(C33, ""N""), ""N3"","""")"),"")</f>
        <v/>
      </c>
      <c r="HB33" s="249" t="str">
        <f>IFERROR(__xludf.DUMMYFUNCTION("IF(REGEXMATCH(C33, ""S""), ""S"","""")"),"S")</f>
        <v>S</v>
      </c>
      <c r="HC33" s="331" t="str">
        <f t="shared" si="95"/>
        <v>S</v>
      </c>
      <c r="HD33" s="332" t="str">
        <f t="shared" si="96"/>
        <v/>
      </c>
      <c r="HE33" s="332" t="str">
        <f t="shared" si="97"/>
        <v>R</v>
      </c>
      <c r="HF33" s="332" t="str">
        <f t="shared" si="98"/>
        <v/>
      </c>
      <c r="HG33" s="332" t="str">
        <f t="shared" si="99"/>
        <v>G</v>
      </c>
      <c r="HH33" s="332" t="str">
        <f t="shared" si="100"/>
        <v>m</v>
      </c>
      <c r="HI33" s="332" t="str">
        <f t="shared" si="101"/>
        <v/>
      </c>
      <c r="HJ33" s="332" t="str">
        <f t="shared" si="102"/>
        <v>P</v>
      </c>
      <c r="HK33" s="332" t="str">
        <f t="shared" si="103"/>
        <v/>
      </c>
      <c r="HL33" s="332" t="str">
        <f t="shared" si="104"/>
        <v>D</v>
      </c>
      <c r="HM33" s="332" t="str">
        <f t="shared" si="105"/>
        <v>n</v>
      </c>
      <c r="HN33" s="332" t="str">
        <f t="shared" si="106"/>
        <v>N</v>
      </c>
      <c r="HO33" s="343" t="str">
        <f t="shared" si="107"/>
        <v>S</v>
      </c>
      <c r="HP33" s="331" t="str">
        <f t="shared" si="108"/>
        <v>o</v>
      </c>
      <c r="HQ33" s="332" t="str">
        <f t="shared" si="109"/>
        <v>o</v>
      </c>
      <c r="HR33" s="332" t="str">
        <f t="shared" si="110"/>
        <v>o</v>
      </c>
      <c r="HS33" s="332" t="str">
        <f t="shared" si="111"/>
        <v>o</v>
      </c>
      <c r="HT33" s="332" t="str">
        <f t="shared" si="112"/>
        <v>•</v>
      </c>
      <c r="HU33" s="332" t="str">
        <f t="shared" si="113"/>
        <v>o</v>
      </c>
      <c r="HV33" s="332" t="str">
        <f t="shared" si="114"/>
        <v>•</v>
      </c>
      <c r="HW33" s="332" t="str">
        <f t="shared" si="115"/>
        <v>o</v>
      </c>
      <c r="HX33" s="332" t="str">
        <f t="shared" si="116"/>
        <v>o</v>
      </c>
      <c r="HY33" s="332" t="str">
        <f t="shared" si="117"/>
        <v>•</v>
      </c>
      <c r="HZ33" s="332" t="str">
        <f t="shared" si="118"/>
        <v>o</v>
      </c>
      <c r="IA33" s="332" t="str">
        <f t="shared" si="119"/>
        <v>•</v>
      </c>
      <c r="IB33" s="338" t="str">
        <f t="shared" si="120"/>
        <v>o</v>
      </c>
      <c r="IC33" s="331" t="str">
        <f t="shared" si="121"/>
        <v>•</v>
      </c>
      <c r="ID33" s="332" t="str">
        <f t="shared" si="122"/>
        <v>•</v>
      </c>
      <c r="IE33" s="332" t="str">
        <f t="shared" si="123"/>
        <v>•</v>
      </c>
      <c r="IF33" s="332" t="str">
        <f t="shared" si="124"/>
        <v>•</v>
      </c>
      <c r="IG33" s="332" t="str">
        <f t="shared" si="125"/>
        <v>o</v>
      </c>
      <c r="IH33" s="332" t="str">
        <f t="shared" si="126"/>
        <v>•</v>
      </c>
      <c r="II33" s="332" t="str">
        <f t="shared" si="127"/>
        <v>o</v>
      </c>
      <c r="IJ33" s="332" t="str">
        <f t="shared" si="128"/>
        <v>•</v>
      </c>
      <c r="IK33" s="332" t="str">
        <f t="shared" si="129"/>
        <v>•</v>
      </c>
      <c r="IL33" s="332" t="str">
        <f t="shared" si="130"/>
        <v>o</v>
      </c>
      <c r="IM33" s="332" t="str">
        <f t="shared" si="131"/>
        <v>•</v>
      </c>
      <c r="IN33" s="332" t="str">
        <f t="shared" si="132"/>
        <v>o</v>
      </c>
      <c r="IO33" s="338" t="str">
        <f t="shared" si="133"/>
        <v>•</v>
      </c>
      <c r="IP33" s="346" t="b">
        <f t="shared" si="134"/>
        <v>0</v>
      </c>
      <c r="IQ33" s="347" t="b">
        <f t="shared" si="135"/>
        <v>0</v>
      </c>
      <c r="IR33" s="347" t="b">
        <f t="shared" si="136"/>
        <v>1</v>
      </c>
      <c r="IS33" s="347" t="b">
        <f t="shared" si="137"/>
        <v>0</v>
      </c>
      <c r="IT33" s="347" t="b">
        <f t="shared" si="138"/>
        <v>0</v>
      </c>
      <c r="IU33" s="347" t="b">
        <f t="shared" si="139"/>
        <v>0</v>
      </c>
      <c r="IV33" s="347" t="b">
        <f t="shared" si="140"/>
        <v>0</v>
      </c>
      <c r="IW33" s="347" t="b">
        <f t="shared" si="141"/>
        <v>0</v>
      </c>
      <c r="IX33" s="347" t="b">
        <f t="shared" si="142"/>
        <v>0</v>
      </c>
      <c r="IY33" s="347" t="b">
        <f t="shared" si="143"/>
        <v>0</v>
      </c>
      <c r="IZ33" s="347" t="b">
        <f t="shared" si="144"/>
        <v>0</v>
      </c>
      <c r="JA33" s="347" t="b">
        <f t="shared" si="145"/>
        <v>0</v>
      </c>
      <c r="JB33" s="353" t="b">
        <f t="shared" si="146"/>
        <v>0</v>
      </c>
      <c r="JC33" s="354" t="str">
        <f t="shared" si="147"/>
        <v/>
      </c>
      <c r="JD33" s="355" t="str">
        <f t="shared" si="148"/>
        <v/>
      </c>
      <c r="JE33" s="355" t="str">
        <f t="shared" si="149"/>
        <v>Re, </v>
      </c>
      <c r="JF33" s="355" t="str">
        <f t="shared" si="150"/>
        <v/>
      </c>
      <c r="JG33" s="355" t="str">
        <f t="shared" si="151"/>
        <v/>
      </c>
      <c r="JH33" s="355" t="str">
        <f t="shared" si="152"/>
        <v/>
      </c>
      <c r="JI33" s="355" t="str">
        <f t="shared" si="153"/>
        <v/>
      </c>
      <c r="JJ33" s="355" t="str">
        <f t="shared" si="154"/>
        <v/>
      </c>
      <c r="JK33" s="355" t="str">
        <f t="shared" si="155"/>
        <v/>
      </c>
      <c r="JL33" s="355" t="str">
        <f t="shared" si="156"/>
        <v/>
      </c>
      <c r="JM33" s="355" t="str">
        <f t="shared" si="157"/>
        <v/>
      </c>
      <c r="JN33" s="355" t="str">
        <f t="shared" si="158"/>
        <v/>
      </c>
      <c r="JO33" s="359" t="str">
        <f t="shared" si="159"/>
        <v/>
      </c>
      <c r="JP33" s="346" t="b">
        <f t="shared" si="160"/>
        <v>0</v>
      </c>
      <c r="JQ33" s="347" t="b">
        <f t="shared" si="161"/>
        <v>0</v>
      </c>
      <c r="JR33" s="347" t="b">
        <f t="shared" si="162"/>
        <v>0</v>
      </c>
      <c r="JS33" s="347" t="b">
        <f t="shared" si="163"/>
        <v>0</v>
      </c>
      <c r="JT33" s="347" t="b">
        <f t="shared" si="164"/>
        <v>0</v>
      </c>
      <c r="JU33" s="347" t="b">
        <f t="shared" si="165"/>
        <v>0</v>
      </c>
      <c r="JV33" s="347" t="b">
        <f t="shared" si="166"/>
        <v>0</v>
      </c>
      <c r="JW33" s="347" t="b">
        <f t="shared" si="167"/>
        <v>0</v>
      </c>
      <c r="JX33" s="347" t="b">
        <f t="shared" si="168"/>
        <v>0</v>
      </c>
      <c r="JY33" s="347" t="b">
        <f t="shared" si="169"/>
        <v>0</v>
      </c>
      <c r="JZ33" s="347" t="b">
        <f t="shared" si="170"/>
        <v>0</v>
      </c>
      <c r="KA33" s="347" t="b">
        <f t="shared" si="171"/>
        <v>0</v>
      </c>
      <c r="KB33" s="365" t="b">
        <f t="shared" si="172"/>
        <v>0</v>
      </c>
      <c r="KC33" s="354" t="str">
        <f t="shared" si="173"/>
        <v/>
      </c>
      <c r="KD33" s="355" t="str">
        <f t="shared" si="174"/>
        <v/>
      </c>
      <c r="KE33" s="355" t="str">
        <f t="shared" si="175"/>
        <v/>
      </c>
      <c r="KF33" s="355" t="str">
        <f t="shared" si="176"/>
        <v/>
      </c>
      <c r="KG33" s="355" t="str">
        <f t="shared" si="177"/>
        <v/>
      </c>
      <c r="KH33" s="355" t="str">
        <f t="shared" si="178"/>
        <v/>
      </c>
      <c r="KI33" s="355" t="str">
        <f t="shared" si="179"/>
        <v/>
      </c>
      <c r="KJ33" s="355" t="str">
        <f t="shared" si="180"/>
        <v/>
      </c>
      <c r="KK33" s="355" t="str">
        <f t="shared" si="181"/>
        <v/>
      </c>
      <c r="KL33" s="355" t="str">
        <f t="shared" si="182"/>
        <v/>
      </c>
      <c r="KM33" s="355" t="str">
        <f t="shared" si="183"/>
        <v/>
      </c>
      <c r="KN33" s="355" t="str">
        <f t="shared" si="184"/>
        <v/>
      </c>
      <c r="KO33" s="359"/>
      <c r="KP33" s="378"/>
      <c r="KQ33" s="379" t="s">
        <v>9</v>
      </c>
      <c r="KR33" s="380" t="s">
        <v>9</v>
      </c>
      <c r="KS33" s="381" t="s">
        <v>9</v>
      </c>
      <c r="KT33" s="382">
        <f t="shared" si="186"/>
        <v>0</v>
      </c>
      <c r="KU33" s="383">
        <f t="shared" si="187"/>
        <v>0</v>
      </c>
      <c r="KV33" s="381" t="str">
        <f t="shared" si="205"/>
        <v>S</v>
      </c>
      <c r="KW33" s="382">
        <f t="shared" si="189"/>
        <v>0</v>
      </c>
      <c r="KX33" s="384">
        <f t="shared" si="190"/>
        <v>0</v>
      </c>
      <c r="KY33" s="382">
        <f t="shared" ref="KY33:KZ33" si="259">KW33-KT33</f>
        <v>0</v>
      </c>
      <c r="KZ33" s="369">
        <f t="shared" si="259"/>
        <v>0</v>
      </c>
      <c r="LA33" s="385" t="str">
        <f t="shared" si="192"/>
        <v>✔</v>
      </c>
      <c r="LB33" s="340" t="str">
        <f>IFERROR(__xludf.DUMMYFUNCTION("JOIN("""",ArrayFormula(MID(KS33,LEN(KS33)-SEQUENCE(1,LEN(KS33))+1,1)))"),"S")</f>
        <v>S</v>
      </c>
      <c r="LC33" s="373" t="str">
        <f>IFERROR(__xludf.DUMMYFUNCTION("JOIN("""",ArrayFormula(MID(KV33,LEN(KV33)-SEQUENCE(1,LEN(KV33))+1,1)))"),"S")</f>
        <v>S</v>
      </c>
      <c r="LD33" s="373" t="str">
        <f t="shared" si="193"/>
        <v>S</v>
      </c>
      <c r="LE33" s="339" t="str">
        <f t="shared" si="194"/>
        <v>S</v>
      </c>
      <c r="LF33" s="386" t="str">
        <f>IFERROR(__xludf.DUMMYFUNCTION("SUBSTITUTE(SUBSTITUTE(CONCATENATE(JOIN("""",LH33:LT33)),""1"",""""),""2"","""")"),"SS")</f>
        <v>SS</v>
      </c>
      <c r="LG33" s="369" t="str">
        <f t="shared" si="195"/>
        <v>-</v>
      </c>
      <c r="LH33" s="387" t="str">
        <f>IFERROR(__xludf.DUMMYFUNCTION("IF(REGEXMATCH(LD33, ""S""), ""S"",IF(REGEXMATCH(LE33, ""S""), ""S"",""""))"),"S")</f>
        <v>S</v>
      </c>
      <c r="LI33" s="299" t="str">
        <f>IFERROR(__xludf.DUMMYFUNCTION("IF(REGEXMATCH(LD33, ""r""), ""r1"",IF(REGEXMATCH(LE33, ""r""), ""r2"",""""))"),"")</f>
        <v/>
      </c>
      <c r="LJ33" s="299" t="str">
        <f>IFERROR(__xludf.DUMMYFUNCTION("IF(REGEXMATCH(LD33, ""R""), ""R1"",IF(REGEXMATCH(LE33, ""R""), ""R2"",""""))"),"")</f>
        <v/>
      </c>
      <c r="LK33" s="299" t="str">
        <f>IFERROR(__xludf.DUMMYFUNCTION("IF(REGEXMATCH(LD33, ""g""), ""g1"",IF(REGEXMATCH(LE33, ""g""), ""g2"",""""))"),"")</f>
        <v/>
      </c>
      <c r="LL33" s="299" t="str">
        <f>IFERROR(__xludf.DUMMYFUNCTION("IF(REGEXMATCH(LD33, ""G""), ""G1"",IF(REGEXMATCH(LE33, ""G""), ""G2"",""""))"),"")</f>
        <v/>
      </c>
      <c r="LM33" s="299" t="str">
        <f>IFERROR(__xludf.DUMMYFUNCTION("IF(REGEXMATCH(LD33, ""m""), ""m1"",IF(REGEXMATCH(LE33, ""m""), ""m2"",""""))"),"")</f>
        <v/>
      </c>
      <c r="LN33" s="299" t="str">
        <f>IFERROR(__xludf.DUMMYFUNCTION("IF(REGEXMATCH(LD33, ""M""), ""M1"",IF(REGEXMATCH(LE33, ""M""), ""M2"",""""))"),"")</f>
        <v/>
      </c>
      <c r="LO33" s="299" t="str">
        <f>IFERROR(__xludf.DUMMYFUNCTION("IF(REGEXMATCH(LD33, ""P""), ""P1"",IF(REGEXMATCH(LE33, ""P""), ""P2"",""""))"),"")</f>
        <v/>
      </c>
      <c r="LP33" s="299" t="str">
        <f>IFERROR(__xludf.DUMMYFUNCTION("IF(REGEXMATCH(LD33, ""d""), ""d1"",IF(REGEXMATCH(LE33, ""d""), ""d2"",""""))"),"")</f>
        <v/>
      </c>
      <c r="LQ33" s="299" t="str">
        <f>IFERROR(__xludf.DUMMYFUNCTION("IF(REGEXMATCH(LD33, ""D""), ""D1"",IF(REGEXMATCH(LE33, ""D""), ""D2"",""""))"),"")</f>
        <v/>
      </c>
      <c r="LR33" s="299" t="str">
        <f>IFERROR(__xludf.DUMMYFUNCTION("IF(REGEXMATCH(LD33, ""n""), ""n1"",IF(REGEXMATCH(LE33, ""n""), ""n2"",""""))"),"")</f>
        <v/>
      </c>
      <c r="LS33" s="299" t="str">
        <f>IFERROR(__xludf.DUMMYFUNCTION("IF(REGEXMATCH(LD33, ""N""), ""N1"",IF(REGEXMATCH(LE33, ""N""), ""N2"",""""))"),"")</f>
        <v/>
      </c>
      <c r="LT33" s="388" t="str">
        <f>IFERROR(__xludf.DUMMYFUNCTION("IF(REGEXMATCH(LD33, ""S""), ""S"",IF(REGEXMATCH(LE33, ""S""), ""S"",""""))"),"S")</f>
        <v>S</v>
      </c>
      <c r="LU33" s="389">
        <f t="shared" si="196"/>
        <v>1</v>
      </c>
      <c r="LV33" s="378"/>
      <c r="LW33" s="369"/>
      <c r="LX33" s="369"/>
    </row>
    <row r="34" ht="20.25" customHeight="1">
      <c r="A34" s="298" t="s">
        <v>566</v>
      </c>
      <c r="B34" s="222" t="s">
        <v>527</v>
      </c>
      <c r="C34" s="233" t="str">
        <f t="shared" si="7"/>
        <v>SRgmPDnNS</v>
      </c>
      <c r="D34" s="234" t="str">
        <f>IFERROR(__xludf.DUMMYFUNCTION("IF(REGEXMATCH(C34, ""S""), ""S"","""")"),"S")</f>
        <v>S</v>
      </c>
      <c r="E34" s="236" t="str">
        <f>IFERROR(__xludf.DUMMYFUNCTION("IF(REGEXMATCH(C34, ""r""), ""r"","""")"),"")</f>
        <v/>
      </c>
      <c r="F34" s="237" t="str">
        <f>IFERROR(__xludf.DUMMYFUNCTION("IF(REGEXMATCH(C34, ""R""), ""R"","""")"),"R")</f>
        <v>R</v>
      </c>
      <c r="G34" s="237" t="str">
        <f>IFERROR(__xludf.DUMMYFUNCTION("IF(REGEXMATCH(C34, ""g""), ""g"","""")"),"g")</f>
        <v>g</v>
      </c>
      <c r="H34" s="236" t="str">
        <f>IFERROR(__xludf.DUMMYFUNCTION("IF(REGEXMATCH(C34, ""G""), ""G"","""")"),"")</f>
        <v/>
      </c>
      <c r="I34" s="236" t="str">
        <f>IFERROR(__xludf.DUMMYFUNCTION("IF(REGEXMATCH(C34, ""m""), ""m"","""")"),"m")</f>
        <v>m</v>
      </c>
      <c r="J34" s="237" t="str">
        <f>IFERROR(__xludf.DUMMYFUNCTION("IF(REGEXMATCH(C34, ""M""), ""M"","""")"),"")</f>
        <v/>
      </c>
      <c r="K34" s="236" t="str">
        <f>IFERROR(__xludf.DUMMYFUNCTION("IF(REGEXMATCH(C34, ""P""), ""P"","""")"),"P")</f>
        <v>P</v>
      </c>
      <c r="L34" s="237" t="str">
        <f>IFERROR(__xludf.DUMMYFUNCTION("IF(REGEXMATCH(C34, ""d""), ""d"","""")"),"")</f>
        <v/>
      </c>
      <c r="M34" s="236" t="str">
        <f>IFERROR(__xludf.DUMMYFUNCTION("IF(REGEXMATCH(C34, ""D""), ""D"","""")"),"D")</f>
        <v>D</v>
      </c>
      <c r="N34" s="236" t="str">
        <f>IFERROR(__xludf.DUMMYFUNCTION("IF(REGEXMATCH(C34, ""n""), ""n"","""")"),"n")</f>
        <v>n</v>
      </c>
      <c r="O34" s="237" t="str">
        <f>IFERROR(__xludf.DUMMYFUNCTION("IF(REGEXMATCH(C34, ""N""), ""N"","""")"),"N")</f>
        <v>N</v>
      </c>
      <c r="P34" s="238" t="str">
        <f>IFERROR(__xludf.DUMMYFUNCTION("IF(REGEXMATCH(C34, ""S""), ""S"","""")"),"S")</f>
        <v>S</v>
      </c>
      <c r="Q34" s="239" t="str">
        <f>IFERROR(__xludf.DUMMYFUNCTION("SUBSTITUTE(CONCATENATE(JOIN(""-"",D34:J34)),""-"","""")"),"SRgm")</f>
        <v>SRgm</v>
      </c>
      <c r="R34" s="229" t="str">
        <f>IFERROR(__xludf.DUMMYFUNCTION("SUBSTITUTE(CONCATENATE(JOIN(""-"",K34:P34)),""-"","""")"),"PDnNS")</f>
        <v>PDnNS</v>
      </c>
      <c r="S34" s="282" t="str">
        <f t="shared" si="8"/>
        <v>S-R-G-M</v>
      </c>
      <c r="T34" s="282" t="str">
        <f t="shared" si="9"/>
        <v>P-D-N-S</v>
      </c>
      <c r="U34" s="237" t="str">
        <f>IFERROR(__xludf.DUMMYFUNCTION("SUBSTITUTE(JOIN(""-"",S34,T34),""--"",""-"")"),"S-R-G-M-P-D-N-S")</f>
        <v>S-R-G-M-P-D-N-S</v>
      </c>
      <c r="V34" s="309" t="str">
        <f t="shared" si="10"/>
        <v>RgmDnN</v>
      </c>
      <c r="W34" s="244" t="str">
        <f>IFERROR(__xludf.DUMMYFUNCTION("IF(REGEXMATCH(C34, ""S""), ""0"","""")"),"0")</f>
        <v>0</v>
      </c>
      <c r="X34" s="245" t="str">
        <f>IFERROR(__xludf.DUMMYFUNCTION("IF(REGEXMATCH(C34, ""r""), ""1"","""")"),"")</f>
        <v/>
      </c>
      <c r="Y34" s="246" t="str">
        <f>IFERROR(__xludf.DUMMYFUNCTION("IF(REGEXMATCH(C34, ""R""), ""2"","""")"),"2")</f>
        <v>2</v>
      </c>
      <c r="Z34" s="246" t="str">
        <f>IFERROR(__xludf.DUMMYFUNCTION("IF(REGEXMATCH(C34, ""g""), ""3"","""")"),"3")</f>
        <v>3</v>
      </c>
      <c r="AA34" s="245" t="str">
        <f>IFERROR(__xludf.DUMMYFUNCTION("IF(REGEXMATCH(C34, ""G""), ""4"","""")"),"")</f>
        <v/>
      </c>
      <c r="AB34" s="245" t="str">
        <f>IFERROR(__xludf.DUMMYFUNCTION("IF(REGEXMATCH(C34, ""m""), ""5"","""")"),"5")</f>
        <v>5</v>
      </c>
      <c r="AC34" s="246" t="str">
        <f>IFERROR(__xludf.DUMMYFUNCTION("IF(REGEXMATCH(C34, ""M""), ""6"","""")"),"")</f>
        <v/>
      </c>
      <c r="AD34" s="245" t="str">
        <f>IFERROR(__xludf.DUMMYFUNCTION("IF(REGEXMATCH(C34, ""P""), ""7"","""")"),"7")</f>
        <v>7</v>
      </c>
      <c r="AE34" s="246" t="str">
        <f>IFERROR(__xludf.DUMMYFUNCTION("IF(REGEXMATCH(C34, ""d""), ""8"","""")"),"")</f>
        <v/>
      </c>
      <c r="AF34" s="245" t="str">
        <f>IFERROR(__xludf.DUMMYFUNCTION("IF(REGEXMATCH(C34, ""D""), ""9"","""")"),"9")</f>
        <v>9</v>
      </c>
      <c r="AG34" s="245" t="str">
        <f>IFERROR(__xludf.DUMMYFUNCTION("IF(REGEXMATCH(C34, ""n""), ""10"","""")"),"10")</f>
        <v>10</v>
      </c>
      <c r="AH34" s="246" t="str">
        <f>IFERROR(__xludf.DUMMYFUNCTION("IF(REGEXMATCH(C34, ""N""), ""11"","""")"),"11")</f>
        <v>11</v>
      </c>
      <c r="AI34" s="249" t="str">
        <f>IFERROR(__xludf.DUMMYFUNCTION("IF(REGEXMATCH(C34, ""S""), ""0"","""")"),"0")</f>
        <v>0</v>
      </c>
      <c r="AJ34" s="313" t="str">
        <f t="shared" si="11"/>
        <v>-</v>
      </c>
      <c r="AK34" s="313" t="str">
        <f t="shared" si="12"/>
        <v>-</v>
      </c>
      <c r="AL34" s="313" t="str">
        <f t="shared" si="13"/>
        <v>-</v>
      </c>
      <c r="AM34" s="313" t="str">
        <f t="shared" si="14"/>
        <v>T</v>
      </c>
      <c r="AN34" s="313" t="str">
        <f t="shared" si="15"/>
        <v>-</v>
      </c>
      <c r="AO34" s="314" t="str">
        <f t="shared" si="16"/>
        <v>T</v>
      </c>
      <c r="AP34" s="316">
        <f t="shared" si="17"/>
        <v>2</v>
      </c>
      <c r="AQ34" s="319" t="str">
        <f t="shared" si="18"/>
        <v>#REF!</v>
      </c>
      <c r="AR34" s="320">
        <f t="shared" si="19"/>
        <v>0</v>
      </c>
      <c r="AS34" s="250" t="str">
        <f>IFERROR(__xludf.DUMMYFUNCTION("SUBSTITUTE(SUBSTITUTE(CONCATENATE(JOIN("""",FP34:GA34)),""|"",""x""),""-"",""o"")"),"xoxxoxoxoxxx")</f>
        <v>xoxxoxoxoxxx</v>
      </c>
      <c r="AT34" s="323" t="str">
        <f>IFERROR(__xludf.DUMMYFUNCTION("JOIN("""",AS34,AS34)"),"xoxxoxoxoxxxxoxxoxoxoxxx")</f>
        <v>xoxxoxoxoxxxxoxxoxoxoxxx</v>
      </c>
      <c r="AU34" s="256" t="str">
        <f>IFERROR(__xludf.DUMMYFUNCTION("JOIN("""",ArrayFormula(MID(AS34,LEN(AS34)-SEQUENCE(1,LEN(AS34))+1,1)))"),"xxxoxoxoxxox")</f>
        <v>xxxoxoxoxxox</v>
      </c>
      <c r="AV34" s="256" t="str">
        <f>IFERROR(__xludf.DUMMYFUNCTION("LEFT(CONCATENATE(""x"",JOIN("""",ArrayFormula(MID(AS34,LEN(AS34)-SEQUENCE(1,LEN(AS34))+1,1)))),12)"),"xxxxoxoxoxxo")</f>
        <v>xxxxoxoxoxxo</v>
      </c>
      <c r="AW34" s="327" t="str">
        <f>IFERROR(__xludf.DUMMYFUNCTION("JOIN("""",AU34,AU34)"),"xxxoxoxoxxoxxxxoxoxoxxox")</f>
        <v>xxxoxoxoxxoxxxxoxoxoxxox</v>
      </c>
      <c r="AX34" s="239" t="str">
        <f>IFERROR(__xludf.DUMMYFUNCTION("IF(REGEXMATCH(AW34,AS34),""✔"",""-"")"),"-")</f>
        <v>-</v>
      </c>
      <c r="AY34" s="330" t="str">
        <f t="shared" si="20"/>
        <v>-</v>
      </c>
      <c r="AZ34" s="260" t="str">
        <f t="shared" si="21"/>
        <v>#REF!</v>
      </c>
      <c r="BA34" s="333" t="str">
        <f t="shared" si="22"/>
        <v>xoxxoxo</v>
      </c>
      <c r="BB34" s="334" t="str">
        <f t="shared" si="23"/>
        <v>xoxxxx</v>
      </c>
      <c r="BC34" s="335" t="str">
        <f t="shared" si="236"/>
        <v>-</v>
      </c>
      <c r="BD34" s="336" t="str">
        <f t="shared" si="25"/>
        <v>Bahar: 'xoxxoxo' + 'xoxxxx'</v>
      </c>
      <c r="BE34" s="337">
        <f>IFERROR(__xludf.DUMMYFUNCTION("COUNTUNIQUE(FILTER(AT:AT,REGEXMATCH(AT:AT,AS34)))-1"),3.0)</f>
        <v>3</v>
      </c>
      <c r="BF34" s="261" t="str">
        <f>IFERROR(__xludf.DUMMYFUNCTION("IF(BI34=0,""(n/a)"",IF(BJ34=2,""(PAIR)"",IF(REGEXMATCH(AT34,""xoxoxxoxoxox""),""Bilawal"",IF(REGEXMATCH(AT34,""xoxoxooxoxoo""),""Bhupali"",IF(REGEXMATCH(AT34,""xoxoxxoxxoxo""),""Charukeshi"",IF(REGEXMATCH(AT34,""xoxoooxxoxxo""),""Kameshwari"",IF(REGEXMATC"&amp;"H(AT34,""xoxoxooxoxox""),""Shankara"",IF(REGEXMATCH(AT34,""xxooxoxxxoox""),""Basant"",IF(REGEXMATCH(AT34,""xoxoxxxxoxox""),""Bihag"",IF(REGEXMATCH(AT34,""xoxxxxoxoxxx""),""Pilu"",IF(REGEXMATCH(AT34,""xoxxoxoxxoox""),""Kirwani"",IF(REGEXMATCH(AT34,""xoxxox"&amp;"oxoxxx""),""Mk.Malhar"",IF(REGEXMATCH(AT34,""xxooxxoxxoox""),""Bhairav"",IF(REGEXMATCH(AT34,""xxoxooxxxoox""),""Todi"",IF(REGEXMATCH(AT34,""xxooxoxooxox""),""Marwa"",IF(REGEXMATCH(AT34,""xxoooxoxxooo""),""Gunkali"",IF(REGEXMATCH(AT34,""xoxoxxoxxoox""),""N"&amp;"at Bhairav"",IF(REGEXMATCH(AT34,""xoxxoooxoxoo""),""Shivranjani"",IF(REGEXMATCH(AT34,""xooxxxoxooxo""),""Jog"",IF(REGEXMATCH(AT34,""xxooxoxoxoox""),""Hemshri"",IF(REGEXMATCH(AT34,""xoooxooxoxxo""),""Kalavati"",IF(REGEXMATCH(AT34,""xxoxoxxoxoox""),""Kedar"&amp;""",IF(REGEXMATCH(AT34,""xoxxxxoxooxx""),""Gara"",IF(REGEXMATCH(AT34,""xooxoxooxoox""),""Chandrakauns"",IF(REGEXMATCH(AT34,""xoxxxxoxxxox""),""Mand"",IF(REGEXMATCH(AT34,""xoxxxxoxoxox""),""Hanskinkini"",IF(REGEXMATCH(AT34,""xxooxxoxooxo""),""Lilavati"",IF("&amp;"REGEXMATCH(AT34,""xooxoxoooxox""),""Rajeshwari"",IF(REGEXMATCH(AT34,""xoooxxoxoxxx""),""Khokar"",IF(REGEXMATCH(AT34,""xxooxoxxxxox""),""Maligoura"",""-""))))))))))))))))))))))))))))))"),"Mk.Malhar")</f>
        <v>Mk.Malhar</v>
      </c>
      <c r="BG34" s="239" t="str">
        <f t="shared" si="26"/>
        <v>#REF!</v>
      </c>
      <c r="BH34" s="239">
        <f>IFERROR(__xludf.DUMMYFUNCTION("COUNTUNIQUE(FE34:FO34)-1"),7.0)</f>
        <v>7</v>
      </c>
      <c r="BI34" s="239">
        <f>IFERROR(__xludf.DUMMYFUNCTION("COUNTUNIQUE(FILTER(AT:AT,REGEXMATCH(AT:AT,AS34)))-1"),3.0)</f>
        <v>3</v>
      </c>
      <c r="BJ34" s="239">
        <f>IFERROR(__xludf.DUMMYFUNCTION("COUNTA(FILTER(AT:AT,REGEXMATCH(AT:AT,AS34)))"),16.0)</f>
        <v>16</v>
      </c>
      <c r="BK34" s="341">
        <f>IFERROR(__xludf.DUMMYFUNCTION("COUNTA(FILTER(AT:AT,REGEXMATCH(AT:AT,AS34)))-AR34"),16.0)</f>
        <v>16</v>
      </c>
      <c r="BL34" s="276" t="str">
        <f>IFERROR(__xludf.DUMMYFUNCTION("IF(AS34=""oooooooooooo"",""-"",IF(REGEXMATCH(AT34,""xx""), ""Hemi."", ""Anhemi.""))"),"Hemi.")</f>
        <v>Hemi.</v>
      </c>
      <c r="BM34" s="282" t="str">
        <f>IFERROR(__xludf.DUMMYFUNCTION("IF(AS34=""oooooooooooo"",""-"",IF(REGEXMATCH(AT34,""xxx""), ""Cohem."", ""-""))"),"Cohem.")</f>
        <v>Cohem.</v>
      </c>
      <c r="BN34" s="282" t="str">
        <f>IFERROR(__xludf.DUMMYFUNCTION("IF(AS34=""oooooooooooo"",""-"",IF(REGEXMATCH(AT34,""xxxx""), ""Co-Co."", ""-""))"),"Co-Co.")</f>
        <v>Co-Co.</v>
      </c>
      <c r="BO34" s="342" t="str">
        <f>IFERROR(__xludf.DUMMYFUNCTION("IF(AS34=""oooooooooooo"",""-"",IF(REGEXMATCH(AT34,""xxxxx""), ""CCC."", ""-""))"),"-")</f>
        <v>-</v>
      </c>
      <c r="BP34" s="344" t="str">
        <f t="shared" si="27"/>
        <v>-</v>
      </c>
      <c r="BQ34" s="282" t="str">
        <f>IFERROR(__xludf.DUMMYFUNCTION("IF(REGEXMATCH(JOIN(""-"",EU34:FD34),""TRUE""),""✔"",""-"")"),"-")</f>
        <v>-</v>
      </c>
      <c r="BR34" s="225">
        <f t="shared" si="28"/>
        <v>0</v>
      </c>
      <c r="BS34" s="345" t="str">
        <f>IFERROR(__xludf.DUMMYFUNCTION("SUBSTITUTE(SUBSTITUTE(SUBSTITUTE(SUBSTITUTE(CONCATENATE(JOIN(""-"",GC34:GO34)),""--"",""-""),""--"",""-""),""--"",""-""),""--"",""-"")"),"1-2-b3-4-5-6-b7-7-8")</f>
        <v>1-2-b3-4-5-6-b7-7-8</v>
      </c>
      <c r="BT34" s="299" t="str">
        <f>IFERROR(__xludf.DUMMYFUNCTION("SUBSTITUTE(SUBSTITUTE(SUBSTITUTE(SUBSTITUTE(CONCATENATE(JOIN(""-"",GP34:HB34)),""--"",""-""),""--"",""-""),""--"",""-""),""--"",""-"")"),"S-R2-G2-M1-P-D2-N2-N3-S")</f>
        <v>S-R2-G2-M1-P-D2-N2-N3-S</v>
      </c>
      <c r="BU34" s="348" t="str">
        <f t="shared" si="29"/>
        <v>C-D-Eb-F-G-A-Bb-B-C</v>
      </c>
      <c r="BV34" s="349" t="str">
        <f t="shared" si="30"/>
        <v>SrGMdS</v>
      </c>
      <c r="BW34" s="350">
        <f t="shared" si="31"/>
        <v>0</v>
      </c>
      <c r="BX34" s="351">
        <f t="shared" si="32"/>
        <v>11</v>
      </c>
      <c r="BY34" s="392"/>
      <c r="BZ34" s="309" t="str">
        <f>IFERROR(__xludf.DUMMYFUNCTION("IF(REGEXMATCH(C34, ""S""), ""x"",""x"")"),"x")</f>
        <v>x</v>
      </c>
      <c r="CA34" s="245" t="str">
        <f>IFERROR(__xludf.DUMMYFUNCTION("IF(REGEXMATCH(C34, ""r""), ""o"",""x"")"),"x")</f>
        <v>x</v>
      </c>
      <c r="CB34" s="246" t="str">
        <f>IFERROR(__xludf.DUMMYFUNCTION("IF(REGEXMATCH(C34, ""R""), ""o"",""x"")"),"o")</f>
        <v>o</v>
      </c>
      <c r="CC34" s="246" t="str">
        <f>IFERROR(__xludf.DUMMYFUNCTION("IF(REGEXMATCH(C34, ""g""), ""o"",""x"")"),"o")</f>
        <v>o</v>
      </c>
      <c r="CD34" s="245" t="str">
        <f>IFERROR(__xludf.DUMMYFUNCTION("IF(REGEXMATCH(C34, ""G""), ""o"",""x"")"),"x")</f>
        <v>x</v>
      </c>
      <c r="CE34" s="245" t="str">
        <f>IFERROR(__xludf.DUMMYFUNCTION("IF(REGEXMATCH(C34, ""m""), ""o"",""x"")"),"o")</f>
        <v>o</v>
      </c>
      <c r="CF34" s="246" t="str">
        <f>IFERROR(__xludf.DUMMYFUNCTION("IF(REGEXMATCH(C34, ""M""), ""o"",""x"")"),"x")</f>
        <v>x</v>
      </c>
      <c r="CG34" s="245" t="str">
        <f>IFERROR(__xludf.DUMMYFUNCTION("IF(REGEXMATCH(C34, ""P""), ""o"",""x"")"),"o")</f>
        <v>o</v>
      </c>
      <c r="CH34" s="246" t="str">
        <f>IFERROR(__xludf.DUMMYFUNCTION("IF(REGEXMATCH(C34, ""d""), ""o"",""x"")"),"x")</f>
        <v>x</v>
      </c>
      <c r="CI34" s="245" t="str">
        <f>IFERROR(__xludf.DUMMYFUNCTION("IF(REGEXMATCH(C34, ""D""), ""o"",""x"")"),"o")</f>
        <v>o</v>
      </c>
      <c r="CJ34" s="245" t="str">
        <f>IFERROR(__xludf.DUMMYFUNCTION("IF(REGEXMATCH(C34, ""n""), ""o"",""x"")"),"o")</f>
        <v>o</v>
      </c>
      <c r="CK34" s="245" t="str">
        <f>IFERROR(__xludf.DUMMYFUNCTION("IF(REGEXMATCH(C34, ""N""), ""o"",""x"")"),"o")</f>
        <v>o</v>
      </c>
      <c r="CL34" s="356" t="str">
        <f>IFERROR(__xludf.DUMMYFUNCTION("IF(REGEXMATCH(C34, ""S""), ""x"",""x"")"),"x")</f>
        <v>x</v>
      </c>
      <c r="CM34" s="357" t="str">
        <f t="shared" si="33"/>
        <v>xxooxoxoxooo</v>
      </c>
      <c r="CN34" s="358">
        <f t="shared" si="34"/>
        <v>0</v>
      </c>
      <c r="CO34" s="246" t="str">
        <f>IFERROR(__xludf.DUMMYFUNCTION("IF(REGEXMATCH($C34, ""S""), ""S"",""S"")"),"S")</f>
        <v>S</v>
      </c>
      <c r="CP34" s="246" t="str">
        <f>IFERROR(__xludf.DUMMYFUNCTION("IF(REGEXMATCH($C34, ""r""), """",""r"")"),"r")</f>
        <v>r</v>
      </c>
      <c r="CQ34" s="246" t="str">
        <f>IFERROR(__xludf.DUMMYFUNCTION("IF(REGEXMATCH($C34, ""R""), """",""R"")"),"")</f>
        <v/>
      </c>
      <c r="CR34" s="246" t="str">
        <f>IFERROR(__xludf.DUMMYFUNCTION("IF(REGEXMATCH($C34, ""g""), """",""g"")"),"")</f>
        <v/>
      </c>
      <c r="CS34" s="246" t="str">
        <f>IFERROR(__xludf.DUMMYFUNCTION("IF(REGEXMATCH($C34, ""G""), """",""G"")"),"G")</f>
        <v>G</v>
      </c>
      <c r="CT34" s="246" t="str">
        <f>IFERROR(__xludf.DUMMYFUNCTION("IF(REGEXMATCH($C34, ""m""), """",""m"")"),"")</f>
        <v/>
      </c>
      <c r="CU34" s="246" t="str">
        <f>IFERROR(__xludf.DUMMYFUNCTION("IF(REGEXMATCH($C34, ""M""), """",""M"")"),"M")</f>
        <v>M</v>
      </c>
      <c r="CV34" s="246" t="str">
        <f>IFERROR(__xludf.DUMMYFUNCTION("IF(REGEXMATCH($C34, ""P""), """",""P"")"),"")</f>
        <v/>
      </c>
      <c r="CW34" s="246" t="str">
        <f>IFERROR(__xludf.DUMMYFUNCTION("IF(REGEXMATCH($C34, ""d""), """",""d"")"),"d")</f>
        <v>d</v>
      </c>
      <c r="CX34" s="246" t="str">
        <f>IFERROR(__xludf.DUMMYFUNCTION("IF(REGEXMATCH($C34, ""D""), """",""D"")"),"")</f>
        <v/>
      </c>
      <c r="CY34" s="246" t="str">
        <f>IFERROR(__xludf.DUMMYFUNCTION("IF(REGEXMATCH($C34, ""n""), """",""n"")"),"")</f>
        <v/>
      </c>
      <c r="CZ34" s="246" t="str">
        <f>IFERROR(__xludf.DUMMYFUNCTION("IF(REGEXMATCH($C34, ""N""), """",""N"")"),"")</f>
        <v/>
      </c>
      <c r="DA34" s="246" t="str">
        <f>IFERROR(__xludf.DUMMYFUNCTION("IF(REGEXMATCH($C34, ""S""), ""S"",""S"")"),"S")</f>
        <v>S</v>
      </c>
      <c r="DB34" s="362" t="str">
        <f>IFERROR(__xludf.DUMMYFUNCTION("JOIN("""",CO34:DA34,"""","""")"),"SrGMdS")</f>
        <v>SrGMdS</v>
      </c>
      <c r="DC34" s="363"/>
      <c r="DD34" s="301" t="str">
        <f t="shared" si="35"/>
        <v>#REF!</v>
      </c>
      <c r="DE34" s="302" t="str">
        <f t="shared" si="36"/>
        <v>#REF!</v>
      </c>
      <c r="DF34" s="301" t="str">
        <f t="shared" ref="DF34:DG34" si="260">SUBSTITUTE(S34,"-","")</f>
        <v>SRGM</v>
      </c>
      <c r="DG34" s="301" t="str">
        <f t="shared" si="260"/>
        <v>PDNS</v>
      </c>
      <c r="DH34" s="302" t="str">
        <f t="shared" si="38"/>
        <v>Mk.Malhar</v>
      </c>
      <c r="DI34" s="301" t="str">
        <f t="shared" si="39"/>
        <v>Hemi.</v>
      </c>
      <c r="DJ34" s="364" t="str">
        <f t="shared" si="40"/>
        <v>Co-Co.</v>
      </c>
      <c r="DK34" s="306" t="str">
        <f t="shared" si="41"/>
        <v>-</v>
      </c>
      <c r="DL34" s="366" t="str">
        <f t="shared" si="42"/>
        <v>-</v>
      </c>
      <c r="DM34" s="308" t="str">
        <f t="shared" si="43"/>
        <v>✔</v>
      </c>
      <c r="DN34" s="306" t="str">
        <f t="shared" si="44"/>
        <v>-</v>
      </c>
      <c r="DO34" s="306" t="str">
        <f t="shared" si="45"/>
        <v>-</v>
      </c>
      <c r="DP34" s="367" t="str">
        <f t="shared" si="46"/>
        <v>-</v>
      </c>
      <c r="DQ34" s="310" t="str">
        <f t="shared" si="47"/>
        <v>-</v>
      </c>
      <c r="DR34" s="310" t="str">
        <f t="shared" si="48"/>
        <v>-</v>
      </c>
      <c r="DS34" s="310" t="str">
        <f t="shared" si="49"/>
        <v>-</v>
      </c>
      <c r="DT34" s="310" t="str">
        <f t="shared" si="50"/>
        <v>-</v>
      </c>
      <c r="DU34" s="370" t="str">
        <f t="shared" si="51"/>
        <v>✔</v>
      </c>
      <c r="DV34" s="306" t="str">
        <f t="shared" si="52"/>
        <v>-</v>
      </c>
      <c r="DW34" s="306" t="str">
        <f t="shared" si="53"/>
        <v>-</v>
      </c>
      <c r="DX34" s="306" t="str">
        <f t="shared" si="54"/>
        <v>-</v>
      </c>
      <c r="DY34" s="306" t="str">
        <f t="shared" si="55"/>
        <v>-</v>
      </c>
      <c r="DZ34" s="306" t="str">
        <f t="shared" si="56"/>
        <v>-</v>
      </c>
      <c r="EA34" s="367" t="str">
        <f t="shared" si="57"/>
        <v>-</v>
      </c>
      <c r="EB34" s="310" t="str">
        <f>IFERROR(__xludf.DUMMYFUNCTION("IF(REGEXMATCH(AW34,AS34),""✔"",""-"")"),"-")</f>
        <v>-</v>
      </c>
      <c r="EC34" s="310" t="str">
        <f t="shared" si="58"/>
        <v>#REF!</v>
      </c>
      <c r="ED34" s="370" t="str">
        <f t="shared" si="59"/>
        <v>-</v>
      </c>
      <c r="EE34" s="340" t="str">
        <f t="shared" si="60"/>
        <v>S-R-g-m-P-D-nN-S</v>
      </c>
      <c r="EF34" s="371" t="str">
        <f>IFERROR(__xludf.DUMMYFUNCTION("CONCATENATE(JOIN("""",HC34:HO34))"),"SrRgmPDnS")</f>
        <v>SrRgmPDnS</v>
      </c>
      <c r="EG34" s="372">
        <f t="shared" si="61"/>
        <v>2</v>
      </c>
      <c r="EH34" s="373" t="str">
        <f>IFERROR(__xludf.DUMMYFUNCTION("CONCATENATE(JOIN("""",JC34:JO34))"),"Dha, Ni, ")</f>
        <v>Dha, Ni, </v>
      </c>
      <c r="EI34" s="322">
        <f t="shared" si="62"/>
        <v>1</v>
      </c>
      <c r="EJ34" s="374" t="str">
        <f>IFERROR(__xludf.DUMMYFUNCTION("CONCATENATE(JOIN("""",KC34:KO34))"),"Ni, ")</f>
        <v>Ni, </v>
      </c>
      <c r="EK34" s="325" t="str">
        <f t="shared" si="63"/>
        <v>S-R2-G2-M1-P-D2-N2-N3-S</v>
      </c>
      <c r="EL34" s="326" t="str">
        <f t="shared" si="64"/>
        <v>1-2-b3-4-5-6-b7-7-8</v>
      </c>
      <c r="EM34" s="318" t="str">
        <f t="shared" si="65"/>
        <v>#REF!</v>
      </c>
      <c r="EN34" s="328" t="str">
        <f>IFERROR(__xludf.DUMMYFUNCTION("SUBSTITUTE(SUBSTITUTE(SUBSTITUTE(SUBSTITUTE(CONCATENATE(JOIN("" "",HP34:IB34)),""  "","" ""),""  "","" ""),""  "","" ""),""  "","" "")"),"o • o o • o • o • o o o o")</f>
        <v>o • o o • o • o • o o o o</v>
      </c>
      <c r="EO34" s="368" t="str">
        <f t="shared" si="66"/>
        <v>-</v>
      </c>
      <c r="EP34" s="339" t="str">
        <f t="shared" si="67"/>
        <v>-</v>
      </c>
      <c r="EQ34" s="339" t="str">
        <f t="shared" si="68"/>
        <v>Sa-Pa</v>
      </c>
      <c r="ER34" s="339" t="str">
        <f t="shared" si="69"/>
        <v>-</v>
      </c>
      <c r="ES34" s="340" t="str">
        <f t="shared" si="70"/>
        <v>-</v>
      </c>
      <c r="ET34" s="363"/>
      <c r="EU34" s="376" t="b">
        <f>IFERROR(__xludf.DUMMYFUNCTION("arrayformula(sum(--REGEXMATCH(""SRGMPDNS"",split(REGEXREPLACE(C34,""(.)"",""$1~""),""~""))))=len(C34)
"),FALSE)</f>
        <v>0</v>
      </c>
      <c r="EV34" s="290" t="b">
        <f>IFERROR(__xludf.DUMMYFUNCTION("arrayformula(sum(--REGEXMATCH(""SRGmPDNS"",split(REGEXREPLACE(C34,""(.)"",""$1~""),""~""))))=len(C34)"),FALSE)</f>
        <v>0</v>
      </c>
      <c r="EW34" s="290" t="b">
        <f>IFERROR(__xludf.DUMMYFUNCTION("arrayformula(sum(--REGEXMATCH(""SRGmPDnS"",split(REGEXREPLACE(C34,""(.)"",""$1~""),""~""))))=len(C34)"),FALSE)</f>
        <v>0</v>
      </c>
      <c r="EX34" s="290" t="b">
        <f>IFERROR(__xludf.DUMMYFUNCTION("arrayformula(sum(--REGEXMATCH(""SRgmPDnS"",split(REGEXREPLACE(C34,""(.)"",""$1~""),""~""))))=len(C34)"),FALSE)</f>
        <v>0</v>
      </c>
      <c r="EY34" s="290" t="b">
        <f>IFERROR(__xludf.DUMMYFUNCTION("arrayformula(sum(--REGEXMATCH(""SRgmPdnS"",split(REGEXREPLACE(C34,""(.)"",""$1~""),""~""))))=len(C34)"),FALSE)</f>
        <v>0</v>
      </c>
      <c r="EZ34" s="290" t="b">
        <f>IFERROR(__xludf.DUMMYFUNCTION("arrayformula(sum(--REGEXMATCH(""SrgmPdnS"",split(REGEXREPLACE(C34,""(.)"",""$1~""),""~""))))=len(C34)"),FALSE)</f>
        <v>0</v>
      </c>
      <c r="FA34" s="290" t="b">
        <f>IFERROR(__xludf.DUMMYFUNCTION("arrayformula(sum(--REGEXMATCH(""SrGmPdNS"",split(REGEXREPLACE(C34,""(.)"",""$1~""),""~""))))=len(C34)"),FALSE)</f>
        <v>0</v>
      </c>
      <c r="FB34" s="290" t="b">
        <f>IFERROR(__xludf.DUMMYFUNCTION("arrayformula(sum(--REGEXMATCH(""SrGMPDNS"",split(REGEXREPLACE(C34,""(.)"",""$1~""),""~""))))=len(C34)"),FALSE)</f>
        <v>0</v>
      </c>
      <c r="FC34" s="290" t="b">
        <f>IFERROR(__xludf.DUMMYFUNCTION("arrayformula(sum(--REGEXMATCH(""SrGMPdNS"",split(REGEXREPLACE(C34,""(.)"",""$1~""),""~""))))=len(C34)"),FALSE)</f>
        <v>0</v>
      </c>
      <c r="FD34" s="377" t="b">
        <f>IFERROR(__xludf.DUMMYFUNCTION("arrayformula(sum(--REGEXMATCH(""SrgMPdNS"",split(REGEXREPLACE(C34,""(.)"",""$1~""),""~""))))=len(C34)"),FALSE)</f>
        <v>0</v>
      </c>
      <c r="FE34" s="269" t="str">
        <f t="shared" si="71"/>
        <v>-</v>
      </c>
      <c r="FF34" s="269" t="str">
        <f t="shared" si="72"/>
        <v>xxoxoxoxxxx</v>
      </c>
      <c r="FG34" s="271" t="str">
        <f t="shared" si="73"/>
        <v>xoxoxoxxxxo</v>
      </c>
      <c r="FH34" s="269" t="str">
        <f t="shared" si="74"/>
        <v>-</v>
      </c>
      <c r="FI34" s="271" t="str">
        <f t="shared" si="75"/>
        <v>xoxoxxxxoxx</v>
      </c>
      <c r="FJ34" s="271" t="str">
        <f t="shared" si="76"/>
        <v>-</v>
      </c>
      <c r="FK34" s="271" t="str">
        <f t="shared" si="77"/>
        <v>xoxxxxoxxox</v>
      </c>
      <c r="FL34" s="271" t="str">
        <f t="shared" si="78"/>
        <v>-</v>
      </c>
      <c r="FM34" s="271" t="str">
        <f t="shared" si="79"/>
        <v>xxxxoxxoxox</v>
      </c>
      <c r="FN34" s="271" t="str">
        <f t="shared" si="80"/>
        <v>xxxoxxoxoxo</v>
      </c>
      <c r="FO34" s="274" t="str">
        <f t="shared" si="81"/>
        <v>xxoxxoxoxox</v>
      </c>
      <c r="FP34" s="234" t="str">
        <f t="shared" si="82"/>
        <v>|</v>
      </c>
      <c r="FQ34" s="236" t="str">
        <f t="shared" si="83"/>
        <v>-</v>
      </c>
      <c r="FR34" s="237" t="str">
        <f t="shared" si="84"/>
        <v>|</v>
      </c>
      <c r="FS34" s="236" t="str">
        <f t="shared" si="85"/>
        <v>|</v>
      </c>
      <c r="FT34" s="237" t="str">
        <f t="shared" si="86"/>
        <v>-</v>
      </c>
      <c r="FU34" s="236" t="str">
        <f t="shared" si="87"/>
        <v>|</v>
      </c>
      <c r="FV34" s="237" t="str">
        <f t="shared" si="88"/>
        <v>-</v>
      </c>
      <c r="FW34" s="236" t="str">
        <f t="shared" si="89"/>
        <v>|</v>
      </c>
      <c r="FX34" s="237" t="str">
        <f t="shared" si="90"/>
        <v>-</v>
      </c>
      <c r="FY34" s="236" t="str">
        <f t="shared" si="91"/>
        <v>|</v>
      </c>
      <c r="FZ34" s="237" t="str">
        <f t="shared" si="92"/>
        <v>|</v>
      </c>
      <c r="GA34" s="236" t="str">
        <f t="shared" si="93"/>
        <v>|</v>
      </c>
      <c r="GB34" s="238" t="str">
        <f t="shared" si="94"/>
        <v>|</v>
      </c>
      <c r="GC34" s="244" t="str">
        <f>IFERROR(__xludf.DUMMYFUNCTION("IF(REGEXMATCH(C34, ""S""), ""1"","""")"),"1")</f>
        <v>1</v>
      </c>
      <c r="GD34" s="245" t="str">
        <f>IFERROR(__xludf.DUMMYFUNCTION("IF(REGEXMATCH(C34, ""r""), ""b2"","""")"),"")</f>
        <v/>
      </c>
      <c r="GE34" s="246" t="str">
        <f>IFERROR(__xludf.DUMMYFUNCTION("IF(REGEXMATCH(C34, ""R""), ""2"","""")"),"2")</f>
        <v>2</v>
      </c>
      <c r="GF34" s="246" t="str">
        <f>IFERROR(__xludf.DUMMYFUNCTION("IF(REGEXMATCH(C34, ""g""), ""b3"","""")"),"b3")</f>
        <v>b3</v>
      </c>
      <c r="GG34" s="245" t="str">
        <f>IFERROR(__xludf.DUMMYFUNCTION("IF(REGEXMATCH(C34, ""G""), ""3"","""")"),"")</f>
        <v/>
      </c>
      <c r="GH34" s="245" t="str">
        <f>IFERROR(__xludf.DUMMYFUNCTION("IF(REGEXMATCH(C34, ""m""), ""4"","""")"),"4")</f>
        <v>4</v>
      </c>
      <c r="GI34" s="246" t="str">
        <f>IFERROR(__xludf.DUMMYFUNCTION("IF(REGEXMATCH(C34, ""M""), ""#4"","""")"),"")</f>
        <v/>
      </c>
      <c r="GJ34" s="245" t="str">
        <f>IFERROR(__xludf.DUMMYFUNCTION("IF(REGEXMATCH(C34, ""P""), ""5"","""")"),"5")</f>
        <v>5</v>
      </c>
      <c r="GK34" s="246" t="str">
        <f>IFERROR(__xludf.DUMMYFUNCTION("IF(REGEXMATCH(C34, ""d""), ""b6"","""")"),"")</f>
        <v/>
      </c>
      <c r="GL34" s="245" t="str">
        <f>IFERROR(__xludf.DUMMYFUNCTION("IF(REGEXMATCH(C34, ""D""), ""6"","""")"),"6")</f>
        <v>6</v>
      </c>
      <c r="GM34" s="245" t="str">
        <f>IFERROR(__xludf.DUMMYFUNCTION("IF(REGEXMATCH(C34, ""n""), ""b7"","""")"),"b7")</f>
        <v>b7</v>
      </c>
      <c r="GN34" s="246" t="str">
        <f>IFERROR(__xludf.DUMMYFUNCTION("IF(REGEXMATCH(C34, ""N""), ""7"","""")"),"7")</f>
        <v>7</v>
      </c>
      <c r="GO34" s="249" t="str">
        <f>IFERROR(__xludf.DUMMYFUNCTION("IF(REGEXMATCH(C34, ""S""), ""8"","""")"),"8")</f>
        <v>8</v>
      </c>
      <c r="GP34" s="244" t="str">
        <f>IFERROR(__xludf.DUMMYFUNCTION("IF(REGEXMATCH(C34, ""S""), ""S"","""")"),"S")</f>
        <v>S</v>
      </c>
      <c r="GQ34" s="294" t="str">
        <f>IFERROR(__xludf.DUMMYFUNCTION("IF(REGEXMATCH(C34, ""r""), ""R1"","""")"),"")</f>
        <v/>
      </c>
      <c r="GR34" s="295" t="str">
        <f>IFERROR(__xludf.DUMMYFUNCTION("IF(REGEXMATCH(C34, ""R""), ""R2"","""")"),"R2")</f>
        <v>R2</v>
      </c>
      <c r="GS34" s="295" t="str">
        <f>IFERROR(__xludf.DUMMYFUNCTION("IF(REGEXMATCH(C34, ""g""), ""G2"","""")"),"G2")</f>
        <v>G2</v>
      </c>
      <c r="GT34" s="294" t="str">
        <f>IFERROR(__xludf.DUMMYFUNCTION("IF(REGEXMATCH(C34, ""G""), ""G3"","""")"),"")</f>
        <v/>
      </c>
      <c r="GU34" s="294" t="str">
        <f>IFERROR(__xludf.DUMMYFUNCTION("IF(REGEXMATCH(C34, ""m""), ""M1"","""")"),"M1")</f>
        <v>M1</v>
      </c>
      <c r="GV34" s="295" t="str">
        <f>IFERROR(__xludf.DUMMYFUNCTION("IF(REGEXMATCH(C34, ""M""), ""M2"","""")"),"")</f>
        <v/>
      </c>
      <c r="GW34" s="294" t="str">
        <f>IFERROR(__xludf.DUMMYFUNCTION("IF(REGEXMATCH(C34, ""P""), ""P"","""")"),"P")</f>
        <v>P</v>
      </c>
      <c r="GX34" s="295" t="str">
        <f>IFERROR(__xludf.DUMMYFUNCTION("IF(REGEXMATCH(C34, ""d""), ""D1"","""")"),"")</f>
        <v/>
      </c>
      <c r="GY34" s="294" t="str">
        <f>IFERROR(__xludf.DUMMYFUNCTION("IF(REGEXMATCH(C34, ""D""), ""D2"","""")"),"D2")</f>
        <v>D2</v>
      </c>
      <c r="GZ34" s="294" t="str">
        <f>IFERROR(__xludf.DUMMYFUNCTION("IF(REGEXMATCH(C34, ""n""), ""N2"","""")"),"N2")</f>
        <v>N2</v>
      </c>
      <c r="HA34" s="295" t="str">
        <f>IFERROR(__xludf.DUMMYFUNCTION("IF(REGEXMATCH(C34, ""N""), ""N3"","""")"),"N3")</f>
        <v>N3</v>
      </c>
      <c r="HB34" s="249" t="str">
        <f>IFERROR(__xludf.DUMMYFUNCTION("IF(REGEXMATCH(C34, ""S""), ""S"","""")"),"S")</f>
        <v>S</v>
      </c>
      <c r="HC34" s="331" t="str">
        <f t="shared" si="95"/>
        <v>S</v>
      </c>
      <c r="HD34" s="332" t="str">
        <f t="shared" si="96"/>
        <v>r</v>
      </c>
      <c r="HE34" s="332" t="str">
        <f t="shared" si="97"/>
        <v>R</v>
      </c>
      <c r="HF34" s="332" t="str">
        <f t="shared" si="98"/>
        <v>g</v>
      </c>
      <c r="HG34" s="332" t="str">
        <f t="shared" si="99"/>
        <v/>
      </c>
      <c r="HH34" s="332" t="str">
        <f t="shared" si="100"/>
        <v>m</v>
      </c>
      <c r="HI34" s="332" t="str">
        <f t="shared" si="101"/>
        <v/>
      </c>
      <c r="HJ34" s="332" t="str">
        <f t="shared" si="102"/>
        <v>P</v>
      </c>
      <c r="HK34" s="332" t="str">
        <f t="shared" si="103"/>
        <v/>
      </c>
      <c r="HL34" s="332" t="str">
        <f t="shared" si="104"/>
        <v>D</v>
      </c>
      <c r="HM34" s="332" t="str">
        <f t="shared" si="105"/>
        <v>n</v>
      </c>
      <c r="HN34" s="332" t="str">
        <f t="shared" si="106"/>
        <v/>
      </c>
      <c r="HO34" s="343" t="str">
        <f t="shared" si="107"/>
        <v>S</v>
      </c>
      <c r="HP34" s="331" t="str">
        <f t="shared" si="108"/>
        <v>o</v>
      </c>
      <c r="HQ34" s="332" t="str">
        <f t="shared" si="109"/>
        <v>•</v>
      </c>
      <c r="HR34" s="332" t="str">
        <f t="shared" si="110"/>
        <v>o</v>
      </c>
      <c r="HS34" s="332" t="str">
        <f t="shared" si="111"/>
        <v>o</v>
      </c>
      <c r="HT34" s="332" t="str">
        <f t="shared" si="112"/>
        <v>•</v>
      </c>
      <c r="HU34" s="332" t="str">
        <f t="shared" si="113"/>
        <v>o</v>
      </c>
      <c r="HV34" s="332" t="str">
        <f t="shared" si="114"/>
        <v>•</v>
      </c>
      <c r="HW34" s="332" t="str">
        <f t="shared" si="115"/>
        <v>o</v>
      </c>
      <c r="HX34" s="332" t="str">
        <f t="shared" si="116"/>
        <v>•</v>
      </c>
      <c r="HY34" s="332" t="str">
        <f t="shared" si="117"/>
        <v>o</v>
      </c>
      <c r="HZ34" s="332" t="str">
        <f t="shared" si="118"/>
        <v>o</v>
      </c>
      <c r="IA34" s="332" t="str">
        <f t="shared" si="119"/>
        <v>o</v>
      </c>
      <c r="IB34" s="338" t="str">
        <f t="shared" si="120"/>
        <v>o</v>
      </c>
      <c r="IC34" s="331" t="str">
        <f t="shared" si="121"/>
        <v>•</v>
      </c>
      <c r="ID34" s="332" t="str">
        <f t="shared" si="122"/>
        <v>o</v>
      </c>
      <c r="IE34" s="332" t="str">
        <f t="shared" si="123"/>
        <v>•</v>
      </c>
      <c r="IF34" s="332" t="str">
        <f t="shared" si="124"/>
        <v>•</v>
      </c>
      <c r="IG34" s="332" t="str">
        <f t="shared" si="125"/>
        <v>o</v>
      </c>
      <c r="IH34" s="332" t="str">
        <f t="shared" si="126"/>
        <v>•</v>
      </c>
      <c r="II34" s="332" t="str">
        <f t="shared" si="127"/>
        <v>o</v>
      </c>
      <c r="IJ34" s="332" t="str">
        <f t="shared" si="128"/>
        <v>•</v>
      </c>
      <c r="IK34" s="332" t="str">
        <f t="shared" si="129"/>
        <v>o</v>
      </c>
      <c r="IL34" s="332" t="str">
        <f t="shared" si="130"/>
        <v>•</v>
      </c>
      <c r="IM34" s="332" t="str">
        <f t="shared" si="131"/>
        <v>•</v>
      </c>
      <c r="IN34" s="332" t="str">
        <f t="shared" si="132"/>
        <v>•</v>
      </c>
      <c r="IO34" s="338" t="str">
        <f t="shared" si="133"/>
        <v>•</v>
      </c>
      <c r="IP34" s="346" t="b">
        <f t="shared" si="134"/>
        <v>0</v>
      </c>
      <c r="IQ34" s="347" t="b">
        <f t="shared" si="135"/>
        <v>0</v>
      </c>
      <c r="IR34" s="347" t="b">
        <f t="shared" si="136"/>
        <v>0</v>
      </c>
      <c r="IS34" s="347" t="b">
        <f t="shared" si="137"/>
        <v>0</v>
      </c>
      <c r="IT34" s="347" t="b">
        <f t="shared" si="138"/>
        <v>0</v>
      </c>
      <c r="IU34" s="347" t="b">
        <f t="shared" si="139"/>
        <v>0</v>
      </c>
      <c r="IV34" s="347" t="b">
        <f t="shared" si="140"/>
        <v>0</v>
      </c>
      <c r="IW34" s="347" t="b">
        <f t="shared" si="141"/>
        <v>0</v>
      </c>
      <c r="IX34" s="347" t="b">
        <f t="shared" si="142"/>
        <v>0</v>
      </c>
      <c r="IY34" s="347" t="b">
        <f t="shared" si="143"/>
        <v>1</v>
      </c>
      <c r="IZ34" s="347" t="b">
        <f t="shared" si="144"/>
        <v>0</v>
      </c>
      <c r="JA34" s="347" t="b">
        <f t="shared" si="145"/>
        <v>1</v>
      </c>
      <c r="JB34" s="353" t="b">
        <f t="shared" si="146"/>
        <v>0</v>
      </c>
      <c r="JC34" s="354" t="str">
        <f t="shared" si="147"/>
        <v/>
      </c>
      <c r="JD34" s="355" t="str">
        <f t="shared" si="148"/>
        <v/>
      </c>
      <c r="JE34" s="355" t="str">
        <f t="shared" si="149"/>
        <v/>
      </c>
      <c r="JF34" s="355" t="str">
        <f t="shared" si="150"/>
        <v/>
      </c>
      <c r="JG34" s="355" t="str">
        <f t="shared" si="151"/>
        <v/>
      </c>
      <c r="JH34" s="355" t="str">
        <f t="shared" si="152"/>
        <v/>
      </c>
      <c r="JI34" s="355" t="str">
        <f t="shared" si="153"/>
        <v/>
      </c>
      <c r="JJ34" s="355" t="str">
        <f t="shared" si="154"/>
        <v/>
      </c>
      <c r="JK34" s="355" t="str">
        <f t="shared" si="155"/>
        <v/>
      </c>
      <c r="JL34" s="355" t="str">
        <f t="shared" si="156"/>
        <v>Dha, </v>
      </c>
      <c r="JM34" s="355" t="str">
        <f t="shared" si="157"/>
        <v/>
      </c>
      <c r="JN34" s="355" t="str">
        <f t="shared" si="158"/>
        <v>Ni, </v>
      </c>
      <c r="JO34" s="359" t="str">
        <f t="shared" si="159"/>
        <v/>
      </c>
      <c r="JP34" s="346" t="b">
        <f t="shared" si="160"/>
        <v>0</v>
      </c>
      <c r="JQ34" s="347" t="b">
        <f t="shared" si="161"/>
        <v>0</v>
      </c>
      <c r="JR34" s="347" t="b">
        <f t="shared" si="162"/>
        <v>0</v>
      </c>
      <c r="JS34" s="347" t="b">
        <f t="shared" si="163"/>
        <v>0</v>
      </c>
      <c r="JT34" s="347" t="b">
        <f t="shared" si="164"/>
        <v>0</v>
      </c>
      <c r="JU34" s="347" t="b">
        <f t="shared" si="165"/>
        <v>0</v>
      </c>
      <c r="JV34" s="347" t="b">
        <f t="shared" si="166"/>
        <v>0</v>
      </c>
      <c r="JW34" s="347" t="b">
        <f t="shared" si="167"/>
        <v>0</v>
      </c>
      <c r="JX34" s="347" t="b">
        <f t="shared" si="168"/>
        <v>0</v>
      </c>
      <c r="JY34" s="347" t="b">
        <f t="shared" si="169"/>
        <v>0</v>
      </c>
      <c r="JZ34" s="347" t="b">
        <f t="shared" si="170"/>
        <v>0</v>
      </c>
      <c r="KA34" s="347" t="b">
        <f t="shared" si="171"/>
        <v>1</v>
      </c>
      <c r="KB34" s="365" t="b">
        <f t="shared" si="172"/>
        <v>0</v>
      </c>
      <c r="KC34" s="354" t="str">
        <f t="shared" si="173"/>
        <v/>
      </c>
      <c r="KD34" s="355" t="str">
        <f t="shared" si="174"/>
        <v/>
      </c>
      <c r="KE34" s="355" t="str">
        <f t="shared" si="175"/>
        <v/>
      </c>
      <c r="KF34" s="355" t="str">
        <f t="shared" si="176"/>
        <v/>
      </c>
      <c r="KG34" s="355" t="str">
        <f t="shared" si="177"/>
        <v/>
      </c>
      <c r="KH34" s="355" t="str">
        <f t="shared" si="178"/>
        <v/>
      </c>
      <c r="KI34" s="355" t="str">
        <f t="shared" si="179"/>
        <v/>
      </c>
      <c r="KJ34" s="355" t="str">
        <f t="shared" si="180"/>
        <v/>
      </c>
      <c r="KK34" s="355" t="str">
        <f t="shared" si="181"/>
        <v/>
      </c>
      <c r="KL34" s="355" t="str">
        <f t="shared" si="182"/>
        <v/>
      </c>
      <c r="KM34" s="355" t="str">
        <f t="shared" si="183"/>
        <v/>
      </c>
      <c r="KN34" s="355" t="str">
        <f t="shared" si="184"/>
        <v>Ni, </v>
      </c>
      <c r="KO34" s="359"/>
      <c r="KP34" s="378"/>
      <c r="KQ34" s="379" t="s">
        <v>836</v>
      </c>
      <c r="KR34" s="380" t="s">
        <v>1303</v>
      </c>
      <c r="KS34" s="381" t="str">
        <f t="shared" ref="KS34:KS37" si="263">KQ34</f>
        <v>S-R-g-m-P-D-N-S</v>
      </c>
      <c r="KT34" s="382">
        <f t="shared" si="186"/>
        <v>7</v>
      </c>
      <c r="KU34" s="383">
        <f t="shared" si="187"/>
        <v>7</v>
      </c>
      <c r="KV34" s="381" t="str">
        <f t="shared" si="205"/>
        <v>S-n-P-m-g-R-S</v>
      </c>
      <c r="KW34" s="382">
        <f t="shared" si="189"/>
        <v>6</v>
      </c>
      <c r="KX34" s="384">
        <f t="shared" si="190"/>
        <v>6</v>
      </c>
      <c r="KY34" s="382">
        <f t="shared" ref="KY34:KZ34" si="261">KW34-KT34</f>
        <v>-1</v>
      </c>
      <c r="KZ34" s="369">
        <f t="shared" si="261"/>
        <v>-1</v>
      </c>
      <c r="LA34" s="385" t="str">
        <f t="shared" si="192"/>
        <v>-</v>
      </c>
      <c r="LB34" s="340" t="str">
        <f>IFERROR(__xludf.DUMMYFUNCTION("JOIN("""",ArrayFormula(MID(KS34,LEN(KS34)-SEQUENCE(1,LEN(KS34))+1,1)))"),"S-N-D-P-m-g-R-S")</f>
        <v>S-N-D-P-m-g-R-S</v>
      </c>
      <c r="LC34" s="373" t="str">
        <f>IFERROR(__xludf.DUMMYFUNCTION("JOIN("""",ArrayFormula(MID(KV34,LEN(KV34)-SEQUENCE(1,LEN(KV34))+1,1)))"),"S-R-g-m-P-n-S")</f>
        <v>S-R-g-m-P-n-S</v>
      </c>
      <c r="LD34" s="373" t="str">
        <f t="shared" si="193"/>
        <v>SRgmPDNS</v>
      </c>
      <c r="LE34" s="339" t="str">
        <f t="shared" si="194"/>
        <v>SRgmPnS</v>
      </c>
      <c r="LF34" s="386" t="str">
        <f>IFERROR(__xludf.DUMMYFUNCTION("SUBSTITUTE(SUBSTITUTE(CONCATENATE(JOIN("""",LH34:LT34)),""1"",""""),""2"","""")"),"SRgmPDnNS")</f>
        <v>SRgmPDnNS</v>
      </c>
      <c r="LG34" s="369" t="str">
        <f t="shared" si="195"/>
        <v>✔</v>
      </c>
      <c r="LH34" s="387" t="str">
        <f>IFERROR(__xludf.DUMMYFUNCTION("IF(REGEXMATCH(LD34, ""S""), ""S"",IF(REGEXMATCH(LE34, ""S""), ""S"",""""))"),"S")</f>
        <v>S</v>
      </c>
      <c r="LI34" s="299" t="str">
        <f>IFERROR(__xludf.DUMMYFUNCTION("IF(REGEXMATCH(LD34, ""r""), ""r1"",IF(REGEXMATCH(LE34, ""r""), ""r2"",""""))"),"")</f>
        <v/>
      </c>
      <c r="LJ34" s="299" t="str">
        <f>IFERROR(__xludf.DUMMYFUNCTION("IF(REGEXMATCH(LD34, ""R""), ""R1"",IF(REGEXMATCH(LE34, ""R""), ""R2"",""""))"),"R1")</f>
        <v>R1</v>
      </c>
      <c r="LK34" s="299" t="str">
        <f>IFERROR(__xludf.DUMMYFUNCTION("IF(REGEXMATCH(LD34, ""g""), ""g1"",IF(REGEXMATCH(LE34, ""g""), ""g2"",""""))"),"g1")</f>
        <v>g1</v>
      </c>
      <c r="LL34" s="299" t="str">
        <f>IFERROR(__xludf.DUMMYFUNCTION("IF(REGEXMATCH(LD34, ""G""), ""G1"",IF(REGEXMATCH(LE34, ""G""), ""G2"",""""))"),"")</f>
        <v/>
      </c>
      <c r="LM34" s="299" t="str">
        <f>IFERROR(__xludf.DUMMYFUNCTION("IF(REGEXMATCH(LD34, ""m""), ""m1"",IF(REGEXMATCH(LE34, ""m""), ""m2"",""""))"),"m1")</f>
        <v>m1</v>
      </c>
      <c r="LN34" s="299" t="str">
        <f>IFERROR(__xludf.DUMMYFUNCTION("IF(REGEXMATCH(LD34, ""M""), ""M1"",IF(REGEXMATCH(LE34, ""M""), ""M2"",""""))"),"")</f>
        <v/>
      </c>
      <c r="LO34" s="299" t="str">
        <f>IFERROR(__xludf.DUMMYFUNCTION("IF(REGEXMATCH(LD34, ""P""), ""P1"",IF(REGEXMATCH(LE34, ""P""), ""P2"",""""))"),"P1")</f>
        <v>P1</v>
      </c>
      <c r="LP34" s="299" t="str">
        <f>IFERROR(__xludf.DUMMYFUNCTION("IF(REGEXMATCH(LD34, ""d""), ""d1"",IF(REGEXMATCH(LE34, ""d""), ""d2"",""""))"),"")</f>
        <v/>
      </c>
      <c r="LQ34" s="299" t="str">
        <f>IFERROR(__xludf.DUMMYFUNCTION("IF(REGEXMATCH(LD34, ""D""), ""D1"",IF(REGEXMATCH(LE34, ""D""), ""D2"",""""))"),"D1")</f>
        <v>D1</v>
      </c>
      <c r="LR34" s="299" t="str">
        <f>IFERROR(__xludf.DUMMYFUNCTION("IF(REGEXMATCH(LD34, ""n""), ""n1"",IF(REGEXMATCH(LE34, ""n""), ""n2"",""""))"),"n2")</f>
        <v>n2</v>
      </c>
      <c r="LS34" s="299" t="str">
        <f>IFERROR(__xludf.DUMMYFUNCTION("IF(REGEXMATCH(LD34, ""N""), ""N1"",IF(REGEXMATCH(LE34, ""N""), ""N2"",""""))"),"N1")</f>
        <v>N1</v>
      </c>
      <c r="LT34" s="388" t="str">
        <f>IFERROR(__xludf.DUMMYFUNCTION("IF(REGEXMATCH(LD34, ""S""), ""S"",IF(REGEXMATCH(LE34, ""S""), ""S"",""""))"),"S")</f>
        <v>S</v>
      </c>
      <c r="LU34" s="389">
        <f t="shared" si="196"/>
        <v>3</v>
      </c>
      <c r="LV34" s="378"/>
      <c r="LW34" s="369"/>
      <c r="LX34" s="369"/>
    </row>
    <row r="35" ht="20.25" customHeight="1">
      <c r="A35" s="298" t="s">
        <v>568</v>
      </c>
      <c r="B35" s="222" t="s">
        <v>569</v>
      </c>
      <c r="C35" s="233" t="str">
        <f t="shared" si="7"/>
        <v>SrmPnS</v>
      </c>
      <c r="D35" s="234" t="str">
        <f>IFERROR(__xludf.DUMMYFUNCTION("IF(REGEXMATCH(C35, ""S""), ""S"","""")"),"S")</f>
        <v>S</v>
      </c>
      <c r="E35" s="236" t="str">
        <f>IFERROR(__xludf.DUMMYFUNCTION("IF(REGEXMATCH(C35, ""r""), ""r"","""")"),"r")</f>
        <v>r</v>
      </c>
      <c r="F35" s="237" t="str">
        <f>IFERROR(__xludf.DUMMYFUNCTION("IF(REGEXMATCH(C35, ""R""), ""R"","""")"),"")</f>
        <v/>
      </c>
      <c r="G35" s="237" t="str">
        <f>IFERROR(__xludf.DUMMYFUNCTION("IF(REGEXMATCH(C35, ""g""), ""g"","""")"),"")</f>
        <v/>
      </c>
      <c r="H35" s="236" t="str">
        <f>IFERROR(__xludf.DUMMYFUNCTION("IF(REGEXMATCH(C35, ""G""), ""G"","""")"),"")</f>
        <v/>
      </c>
      <c r="I35" s="236" t="str">
        <f>IFERROR(__xludf.DUMMYFUNCTION("IF(REGEXMATCH(C35, ""m""), ""m"","""")"),"m")</f>
        <v>m</v>
      </c>
      <c r="J35" s="237" t="str">
        <f>IFERROR(__xludf.DUMMYFUNCTION("IF(REGEXMATCH(C35, ""M""), ""M"","""")"),"")</f>
        <v/>
      </c>
      <c r="K35" s="236" t="str">
        <f>IFERROR(__xludf.DUMMYFUNCTION("IF(REGEXMATCH(C35, ""P""), ""P"","""")"),"P")</f>
        <v>P</v>
      </c>
      <c r="L35" s="237" t="str">
        <f>IFERROR(__xludf.DUMMYFUNCTION("IF(REGEXMATCH(C35, ""d""), ""d"","""")"),"")</f>
        <v/>
      </c>
      <c r="M35" s="236" t="str">
        <f>IFERROR(__xludf.DUMMYFUNCTION("IF(REGEXMATCH(C35, ""D""), ""D"","""")"),"")</f>
        <v/>
      </c>
      <c r="N35" s="236" t="str">
        <f>IFERROR(__xludf.DUMMYFUNCTION("IF(REGEXMATCH(C35, ""n""), ""n"","""")"),"n")</f>
        <v>n</v>
      </c>
      <c r="O35" s="237" t="str">
        <f>IFERROR(__xludf.DUMMYFUNCTION("IF(REGEXMATCH(C35, ""N""), ""N"","""")"),"")</f>
        <v/>
      </c>
      <c r="P35" s="238" t="str">
        <f>IFERROR(__xludf.DUMMYFUNCTION("IF(REGEXMATCH(C35, ""S""), ""S"","""")"),"S")</f>
        <v>S</v>
      </c>
      <c r="Q35" s="239" t="str">
        <f>IFERROR(__xludf.DUMMYFUNCTION("SUBSTITUTE(CONCATENATE(JOIN(""-"",D35:J35)),""-"","""")"),"Srm")</f>
        <v>Srm</v>
      </c>
      <c r="R35" s="229" t="str">
        <f>IFERROR(__xludf.DUMMYFUNCTION("SUBSTITUTE(CONCATENATE(JOIN(""-"",K35:P35)),""-"","""")"),"PnS")</f>
        <v>PnS</v>
      </c>
      <c r="S35" s="282" t="str">
        <f t="shared" si="8"/>
        <v>S-R-M</v>
      </c>
      <c r="T35" s="282" t="str">
        <f t="shared" si="9"/>
        <v>P-N-S</v>
      </c>
      <c r="U35" s="237" t="str">
        <f>IFERROR(__xludf.DUMMYFUNCTION("SUBSTITUTE(JOIN(""-"",S35,T35),""--"",""-"")"),"S-R-M-P-N-S")</f>
        <v>S-R-M-P-N-S</v>
      </c>
      <c r="V35" s="309" t="str">
        <f t="shared" si="10"/>
        <v>rmn</v>
      </c>
      <c r="W35" s="244" t="str">
        <f>IFERROR(__xludf.DUMMYFUNCTION("IF(REGEXMATCH(C35, ""S""), ""0"","""")"),"0")</f>
        <v>0</v>
      </c>
      <c r="X35" s="245" t="str">
        <f>IFERROR(__xludf.DUMMYFUNCTION("IF(REGEXMATCH(C35, ""r""), ""1"","""")"),"1")</f>
        <v>1</v>
      </c>
      <c r="Y35" s="246" t="str">
        <f>IFERROR(__xludf.DUMMYFUNCTION("IF(REGEXMATCH(C35, ""R""), ""2"","""")"),"")</f>
        <v/>
      </c>
      <c r="Z35" s="246" t="str">
        <f>IFERROR(__xludf.DUMMYFUNCTION("IF(REGEXMATCH(C35, ""g""), ""3"","""")"),"")</f>
        <v/>
      </c>
      <c r="AA35" s="245" t="str">
        <f>IFERROR(__xludf.DUMMYFUNCTION("IF(REGEXMATCH(C35, ""G""), ""4"","""")"),"")</f>
        <v/>
      </c>
      <c r="AB35" s="245" t="str">
        <f>IFERROR(__xludf.DUMMYFUNCTION("IF(REGEXMATCH(C35, ""m""), ""5"","""")"),"5")</f>
        <v>5</v>
      </c>
      <c r="AC35" s="246" t="str">
        <f>IFERROR(__xludf.DUMMYFUNCTION("IF(REGEXMATCH(C35, ""M""), ""6"","""")"),"")</f>
        <v/>
      </c>
      <c r="AD35" s="245" t="str">
        <f>IFERROR(__xludf.DUMMYFUNCTION("IF(REGEXMATCH(C35, ""P""), ""7"","""")"),"7")</f>
        <v>7</v>
      </c>
      <c r="AE35" s="246" t="str">
        <f>IFERROR(__xludf.DUMMYFUNCTION("IF(REGEXMATCH(C35, ""d""), ""8"","""")"),"")</f>
        <v/>
      </c>
      <c r="AF35" s="245" t="str">
        <f>IFERROR(__xludf.DUMMYFUNCTION("IF(REGEXMATCH(C35, ""D""), ""9"","""")"),"")</f>
        <v/>
      </c>
      <c r="AG35" s="245" t="str">
        <f>IFERROR(__xludf.DUMMYFUNCTION("IF(REGEXMATCH(C35, ""n""), ""10"","""")"),"10")</f>
        <v>10</v>
      </c>
      <c r="AH35" s="246" t="str">
        <f>IFERROR(__xludf.DUMMYFUNCTION("IF(REGEXMATCH(C35, ""N""), ""11"","""")"),"")</f>
        <v/>
      </c>
      <c r="AI35" s="249" t="str">
        <f>IFERROR(__xludf.DUMMYFUNCTION("IF(REGEXMATCH(C35, ""S""), ""0"","""")"),"0")</f>
        <v>0</v>
      </c>
      <c r="AJ35" s="313" t="str">
        <f t="shared" si="11"/>
        <v>-</v>
      </c>
      <c r="AK35" s="313" t="str">
        <f t="shared" si="12"/>
        <v>T</v>
      </c>
      <c r="AL35" s="313" t="str">
        <f t="shared" si="13"/>
        <v>-</v>
      </c>
      <c r="AM35" s="313" t="str">
        <f t="shared" si="14"/>
        <v>-</v>
      </c>
      <c r="AN35" s="313" t="str">
        <f t="shared" si="15"/>
        <v>-</v>
      </c>
      <c r="AO35" s="314" t="str">
        <f t="shared" si="16"/>
        <v>-</v>
      </c>
      <c r="AP35" s="316">
        <f t="shared" si="17"/>
        <v>1</v>
      </c>
      <c r="AQ35" s="319" t="str">
        <f t="shared" si="18"/>
        <v>#REF!</v>
      </c>
      <c r="AR35" s="320">
        <f t="shared" si="19"/>
        <v>0</v>
      </c>
      <c r="AS35" s="250" t="str">
        <f>IFERROR(__xludf.DUMMYFUNCTION("SUBSTITUTE(SUBSTITUTE(CONCATENATE(JOIN("""",FP35:GA35)),""|"",""x""),""-"",""o"")"),"xxoooxoxooxo")</f>
        <v>xxoooxoxooxo</v>
      </c>
      <c r="AT35" s="323" t="str">
        <f>IFERROR(__xludf.DUMMYFUNCTION("JOIN("""",AS35,AS35)"),"xxoooxoxooxoxxoooxoxooxo")</f>
        <v>xxoooxoxooxoxxoooxoxooxo</v>
      </c>
      <c r="AU35" s="256" t="str">
        <f>IFERROR(__xludf.DUMMYFUNCTION("JOIN("""",ArrayFormula(MID(AS35,LEN(AS35)-SEQUENCE(1,LEN(AS35))+1,1)))"),"oxooxoxoooxx")</f>
        <v>oxooxoxoooxx</v>
      </c>
      <c r="AV35" s="256" t="str">
        <f>IFERROR(__xludf.DUMMYFUNCTION("LEFT(CONCATENATE(""x"",JOIN("""",ArrayFormula(MID(AS35,LEN(AS35)-SEQUENCE(1,LEN(AS35))+1,1)))),12)"),"xoxooxoxooox")</f>
        <v>xoxooxoxooox</v>
      </c>
      <c r="AW35" s="327" t="str">
        <f>IFERROR(__xludf.DUMMYFUNCTION("JOIN("""",AU35,AU35)"),"oxooxoxoooxxoxooxoxoooxx")</f>
        <v>oxooxoxoooxxoxooxoxoooxx</v>
      </c>
      <c r="AX35" s="239" t="str">
        <f>IFERROR(__xludf.DUMMYFUNCTION("IF(REGEXMATCH(AW35,AS35),""✔"",""-"")"),"-")</f>
        <v>-</v>
      </c>
      <c r="AY35" s="330" t="str">
        <f t="shared" si="20"/>
        <v>-</v>
      </c>
      <c r="AZ35" s="260" t="str">
        <f t="shared" si="21"/>
        <v>#REF!</v>
      </c>
      <c r="BA35" s="333" t="str">
        <f t="shared" si="22"/>
        <v>xxoooxo</v>
      </c>
      <c r="BB35" s="334" t="str">
        <f t="shared" si="23"/>
        <v>xooxox</v>
      </c>
      <c r="BC35" s="335" t="str">
        <f t="shared" si="236"/>
        <v>-</v>
      </c>
      <c r="BD35" s="336" t="str">
        <f t="shared" si="25"/>
        <v>Bairagi: 'xxoooxo' + 'xooxox'</v>
      </c>
      <c r="BE35" s="337">
        <f>IFERROR(__xludf.DUMMYFUNCTION("COUNTUNIQUE(FILTER(AT:AT,REGEXMATCH(AT:AT,AS35)))-1"),4.0)</f>
        <v>4</v>
      </c>
      <c r="BF35" s="261" t="str">
        <f>IFERROR(__xludf.DUMMYFUNCTION("IF(BI35=0,""(n/a)"",IF(BJ35=2,""(PAIR)"",IF(REGEXMATCH(AT35,""xoxoxxoxoxox""),""Bilawal"",IF(REGEXMATCH(AT35,""xoxoxooxoxoo""),""Bhupali"",IF(REGEXMATCH(AT35,""xoxoxxoxxoxo""),""Charukeshi"",IF(REGEXMATCH(AT35,""xoxoooxxoxxo""),""Kameshwari"",IF(REGEXMATC"&amp;"H(AT35,""xoxoxooxoxox""),""Shankara"",IF(REGEXMATCH(AT35,""xxooxoxxxoox""),""Basant"",IF(REGEXMATCH(AT35,""xoxoxxxxoxox""),""Bihag"",IF(REGEXMATCH(AT35,""xoxxxxoxoxxx""),""Pilu"",IF(REGEXMATCH(AT35,""xoxxoxoxxoox""),""Kirwani"",IF(REGEXMATCH(AT35,""xoxxox"&amp;"oxoxxx""),""Mk.Malhar"",IF(REGEXMATCH(AT35,""xxooxxoxxoox""),""Bhairav"",IF(REGEXMATCH(AT35,""xxoxooxxxoox""),""Todi"",IF(REGEXMATCH(AT35,""xxooxoxooxox""),""Marwa"",IF(REGEXMATCH(AT35,""xxoooxoxxooo""),""Gunkali"",IF(REGEXMATCH(AT35,""xoxoxxoxxoox""),""N"&amp;"at Bhairav"",IF(REGEXMATCH(AT35,""xoxxoooxoxoo""),""Shivranjani"",IF(REGEXMATCH(AT35,""xooxxxoxooxo""),""Jog"",IF(REGEXMATCH(AT35,""xxooxoxoxoox""),""Hemshri"",IF(REGEXMATCH(AT35,""xoooxooxoxxo""),""Kalavati"",IF(REGEXMATCH(AT35,""xxoxoxxoxoox""),""Kedar"&amp;""",IF(REGEXMATCH(AT35,""xoxxxxoxooxx""),""Gara"",IF(REGEXMATCH(AT35,""xooxoxooxoox""),""Chandrakauns"",IF(REGEXMATCH(AT35,""xoxxxxoxxxox""),""Mand"",IF(REGEXMATCH(AT35,""xoxxxxoxoxox""),""Hanskinkini"",IF(REGEXMATCH(AT35,""xxooxxoxooxo""),""Lilavati"",IF("&amp;"REGEXMATCH(AT35,""xooxoxoooxox""),""Rajeshwari"",IF(REGEXMATCH(AT35,""xoooxxoxoxxx""),""Khokar"",IF(REGEXMATCH(AT35,""xxooxoxxxxox""),""Maligoura"",""-""))))))))))))))))))))))))))))))"),"Shivranjani")</f>
        <v>Shivranjani</v>
      </c>
      <c r="BG35" s="239" t="str">
        <f t="shared" si="26"/>
        <v>#REF!</v>
      </c>
      <c r="BH35" s="239">
        <f>IFERROR(__xludf.DUMMYFUNCTION("COUNTUNIQUE(FE35:FO35)-1"),4.0)</f>
        <v>4</v>
      </c>
      <c r="BI35" s="239">
        <f>IFERROR(__xludf.DUMMYFUNCTION("COUNTUNIQUE(FILTER(AT:AT,REGEXMATCH(AT:AT,AS35)))-1"),4.0)</f>
        <v>4</v>
      </c>
      <c r="BJ35" s="239">
        <f>IFERROR(__xludf.DUMMYFUNCTION("COUNTA(FILTER(AT:AT,REGEXMATCH(AT:AT,AS35)))"),5.0)</f>
        <v>5</v>
      </c>
      <c r="BK35" s="341">
        <f>IFERROR(__xludf.DUMMYFUNCTION("COUNTA(FILTER(AT:AT,REGEXMATCH(AT:AT,AS35)))-AR35"),5.0)</f>
        <v>5</v>
      </c>
      <c r="BL35" s="276" t="str">
        <f>IFERROR(__xludf.DUMMYFUNCTION("IF(AS35=""oooooooooooo"",""-"",IF(REGEXMATCH(AT35,""xx""), ""Hemi."", ""Anhemi.""))"),"Hemi.")</f>
        <v>Hemi.</v>
      </c>
      <c r="BM35" s="282" t="str">
        <f>IFERROR(__xludf.DUMMYFUNCTION("IF(AS35=""oooooooooooo"",""-"",IF(REGEXMATCH(AT35,""xxx""), ""Cohem."", ""-""))"),"-")</f>
        <v>-</v>
      </c>
      <c r="BN35" s="282" t="str">
        <f>IFERROR(__xludf.DUMMYFUNCTION("IF(AS35=""oooooooooooo"",""-"",IF(REGEXMATCH(AT35,""xxxx""), ""Co-Co."", ""-""))"),"-")</f>
        <v>-</v>
      </c>
      <c r="BO35" s="342" t="str">
        <f>IFERROR(__xludf.DUMMYFUNCTION("IF(AS35=""oooooooooooo"",""-"",IF(REGEXMATCH(AT35,""xxxxx""), ""CCC."", ""-""))"),"-")</f>
        <v>-</v>
      </c>
      <c r="BP35" s="344" t="str">
        <f t="shared" si="27"/>
        <v>-</v>
      </c>
      <c r="BQ35" s="282" t="str">
        <f>IFERROR(__xludf.DUMMYFUNCTION("IF(REGEXMATCH(JOIN(""-"",EU35:FD35),""TRUE""),""✔"",""-"")"),"✔")</f>
        <v>✔</v>
      </c>
      <c r="BR35" s="225">
        <f t="shared" si="28"/>
        <v>1</v>
      </c>
      <c r="BS35" s="345" t="str">
        <f>IFERROR(__xludf.DUMMYFUNCTION("SUBSTITUTE(SUBSTITUTE(SUBSTITUTE(SUBSTITUTE(CONCATENATE(JOIN(""-"",GC35:GO35)),""--"",""-""),""--"",""-""),""--"",""-""),""--"",""-"")"),"1-b2-4-5-b7-8")</f>
        <v>1-b2-4-5-b7-8</v>
      </c>
      <c r="BT35" s="299" t="str">
        <f>IFERROR(__xludf.DUMMYFUNCTION("SUBSTITUTE(SUBSTITUTE(SUBSTITUTE(SUBSTITUTE(CONCATENATE(JOIN(""-"",GP35:HB35)),""--"",""-""),""--"",""-""),""--"",""-""),""--"",""-"")"),"S-R1-M1-P-N2-S")</f>
        <v>S-R1-M1-P-N2-S</v>
      </c>
      <c r="BU35" s="348" t="str">
        <f t="shared" si="29"/>
        <v>C-Db-F-G-Bb-C</v>
      </c>
      <c r="BV35" s="349" t="str">
        <f t="shared" si="30"/>
        <v>SRgGMdDNS</v>
      </c>
      <c r="BW35" s="350">
        <f t="shared" si="31"/>
        <v>0</v>
      </c>
      <c r="BX35" s="351">
        <f t="shared" si="32"/>
        <v>1</v>
      </c>
      <c r="BY35" s="392"/>
      <c r="BZ35" s="309" t="str">
        <f>IFERROR(__xludf.DUMMYFUNCTION("IF(REGEXMATCH(C35, ""S""), ""x"",""x"")"),"x")</f>
        <v>x</v>
      </c>
      <c r="CA35" s="245" t="str">
        <f>IFERROR(__xludf.DUMMYFUNCTION("IF(REGEXMATCH(C35, ""r""), ""o"",""x"")"),"o")</f>
        <v>o</v>
      </c>
      <c r="CB35" s="246" t="str">
        <f>IFERROR(__xludf.DUMMYFUNCTION("IF(REGEXMATCH(C35, ""R""), ""o"",""x"")"),"x")</f>
        <v>x</v>
      </c>
      <c r="CC35" s="246" t="str">
        <f>IFERROR(__xludf.DUMMYFUNCTION("IF(REGEXMATCH(C35, ""g""), ""o"",""x"")"),"x")</f>
        <v>x</v>
      </c>
      <c r="CD35" s="245" t="str">
        <f>IFERROR(__xludf.DUMMYFUNCTION("IF(REGEXMATCH(C35, ""G""), ""o"",""x"")"),"x")</f>
        <v>x</v>
      </c>
      <c r="CE35" s="245" t="str">
        <f>IFERROR(__xludf.DUMMYFUNCTION("IF(REGEXMATCH(C35, ""m""), ""o"",""x"")"),"o")</f>
        <v>o</v>
      </c>
      <c r="CF35" s="246" t="str">
        <f>IFERROR(__xludf.DUMMYFUNCTION("IF(REGEXMATCH(C35, ""M""), ""o"",""x"")"),"x")</f>
        <v>x</v>
      </c>
      <c r="CG35" s="245" t="str">
        <f>IFERROR(__xludf.DUMMYFUNCTION("IF(REGEXMATCH(C35, ""P""), ""o"",""x"")"),"o")</f>
        <v>o</v>
      </c>
      <c r="CH35" s="246" t="str">
        <f>IFERROR(__xludf.DUMMYFUNCTION("IF(REGEXMATCH(C35, ""d""), ""o"",""x"")"),"x")</f>
        <v>x</v>
      </c>
      <c r="CI35" s="245" t="str">
        <f>IFERROR(__xludf.DUMMYFUNCTION("IF(REGEXMATCH(C35, ""D""), ""o"",""x"")"),"x")</f>
        <v>x</v>
      </c>
      <c r="CJ35" s="245" t="str">
        <f>IFERROR(__xludf.DUMMYFUNCTION("IF(REGEXMATCH(C35, ""n""), ""o"",""x"")"),"o")</f>
        <v>o</v>
      </c>
      <c r="CK35" s="245" t="str">
        <f>IFERROR(__xludf.DUMMYFUNCTION("IF(REGEXMATCH(C35, ""N""), ""o"",""x"")"),"x")</f>
        <v>x</v>
      </c>
      <c r="CL35" s="356" t="str">
        <f>IFERROR(__xludf.DUMMYFUNCTION("IF(REGEXMATCH(C35, ""S""), ""x"",""x"")"),"x")</f>
        <v>x</v>
      </c>
      <c r="CM35" s="357" t="str">
        <f t="shared" si="33"/>
        <v>xoxxxoxoxxox</v>
      </c>
      <c r="CN35" s="358">
        <f t="shared" si="34"/>
        <v>0</v>
      </c>
      <c r="CO35" s="246" t="str">
        <f>IFERROR(__xludf.DUMMYFUNCTION("IF(REGEXMATCH($C35, ""S""), ""S"",""S"")"),"S")</f>
        <v>S</v>
      </c>
      <c r="CP35" s="246" t="str">
        <f>IFERROR(__xludf.DUMMYFUNCTION("IF(REGEXMATCH($C35, ""r""), """",""r"")"),"")</f>
        <v/>
      </c>
      <c r="CQ35" s="246" t="str">
        <f>IFERROR(__xludf.DUMMYFUNCTION("IF(REGEXMATCH($C35, ""R""), """",""R"")"),"R")</f>
        <v>R</v>
      </c>
      <c r="CR35" s="246" t="str">
        <f>IFERROR(__xludf.DUMMYFUNCTION("IF(REGEXMATCH($C35, ""g""), """",""g"")"),"g")</f>
        <v>g</v>
      </c>
      <c r="CS35" s="246" t="str">
        <f>IFERROR(__xludf.DUMMYFUNCTION("IF(REGEXMATCH($C35, ""G""), """",""G"")"),"G")</f>
        <v>G</v>
      </c>
      <c r="CT35" s="246" t="str">
        <f>IFERROR(__xludf.DUMMYFUNCTION("IF(REGEXMATCH($C35, ""m""), """",""m"")"),"")</f>
        <v/>
      </c>
      <c r="CU35" s="246" t="str">
        <f>IFERROR(__xludf.DUMMYFUNCTION("IF(REGEXMATCH($C35, ""M""), """",""M"")"),"M")</f>
        <v>M</v>
      </c>
      <c r="CV35" s="246" t="str">
        <f>IFERROR(__xludf.DUMMYFUNCTION("IF(REGEXMATCH($C35, ""P""), """",""P"")"),"")</f>
        <v/>
      </c>
      <c r="CW35" s="246" t="str">
        <f>IFERROR(__xludf.DUMMYFUNCTION("IF(REGEXMATCH($C35, ""d""), """",""d"")"),"d")</f>
        <v>d</v>
      </c>
      <c r="CX35" s="246" t="str">
        <f>IFERROR(__xludf.DUMMYFUNCTION("IF(REGEXMATCH($C35, ""D""), """",""D"")"),"D")</f>
        <v>D</v>
      </c>
      <c r="CY35" s="246" t="str">
        <f>IFERROR(__xludf.DUMMYFUNCTION("IF(REGEXMATCH($C35, ""n""), """",""n"")"),"")</f>
        <v/>
      </c>
      <c r="CZ35" s="246" t="str">
        <f>IFERROR(__xludf.DUMMYFUNCTION("IF(REGEXMATCH($C35, ""N""), """",""N"")"),"N")</f>
        <v>N</v>
      </c>
      <c r="DA35" s="246" t="str">
        <f>IFERROR(__xludf.DUMMYFUNCTION("IF(REGEXMATCH($C35, ""S""), ""S"",""S"")"),"S")</f>
        <v>S</v>
      </c>
      <c r="DB35" s="362" t="str">
        <f>IFERROR(__xludf.DUMMYFUNCTION("JOIN("""",CO35:DA35,"""","""")"),"SRgGMdDNS")</f>
        <v>SRgGMdDNS</v>
      </c>
      <c r="DC35" s="363"/>
      <c r="DD35" s="301" t="str">
        <f t="shared" si="35"/>
        <v>#REF!</v>
      </c>
      <c r="DE35" s="302" t="str">
        <f t="shared" si="36"/>
        <v>#REF!</v>
      </c>
      <c r="DF35" s="301" t="str">
        <f t="shared" ref="DF35:DG35" si="262">SUBSTITUTE(S35,"-","")</f>
        <v>SRM</v>
      </c>
      <c r="DG35" s="301" t="str">
        <f t="shared" si="262"/>
        <v>PNS</v>
      </c>
      <c r="DH35" s="302" t="str">
        <f t="shared" si="38"/>
        <v>Shivranjani</v>
      </c>
      <c r="DI35" s="301" t="str">
        <f t="shared" si="39"/>
        <v>Hemi.</v>
      </c>
      <c r="DJ35" s="364" t="str">
        <f t="shared" si="40"/>
        <v>-</v>
      </c>
      <c r="DK35" s="306" t="str">
        <f t="shared" si="41"/>
        <v>-</v>
      </c>
      <c r="DL35" s="366" t="str">
        <f t="shared" si="42"/>
        <v>✔</v>
      </c>
      <c r="DM35" s="308" t="str">
        <f t="shared" si="43"/>
        <v>-</v>
      </c>
      <c r="DN35" s="306" t="str">
        <f t="shared" si="44"/>
        <v>-</v>
      </c>
      <c r="DO35" s="306" t="str">
        <f t="shared" si="45"/>
        <v>✔</v>
      </c>
      <c r="DP35" s="367" t="str">
        <f t="shared" si="46"/>
        <v>-</v>
      </c>
      <c r="DQ35" s="310" t="str">
        <f t="shared" si="47"/>
        <v>-</v>
      </c>
      <c r="DR35" s="310" t="str">
        <f t="shared" si="48"/>
        <v>-</v>
      </c>
      <c r="DS35" s="310" t="str">
        <f t="shared" si="49"/>
        <v>-</v>
      </c>
      <c r="DT35" s="310" t="str">
        <f t="shared" si="50"/>
        <v>-</v>
      </c>
      <c r="DU35" s="370" t="str">
        <f t="shared" si="51"/>
        <v>-</v>
      </c>
      <c r="DV35" s="306" t="str">
        <f t="shared" si="52"/>
        <v>-</v>
      </c>
      <c r="DW35" s="306" t="str">
        <f t="shared" si="53"/>
        <v>✔</v>
      </c>
      <c r="DX35" s="306" t="str">
        <f t="shared" si="54"/>
        <v>-</v>
      </c>
      <c r="DY35" s="306" t="str">
        <f t="shared" si="55"/>
        <v>-</v>
      </c>
      <c r="DZ35" s="306" t="str">
        <f t="shared" si="56"/>
        <v>✔</v>
      </c>
      <c r="EA35" s="367" t="str">
        <f t="shared" si="57"/>
        <v>-</v>
      </c>
      <c r="EB35" s="310" t="str">
        <f>IFERROR(__xludf.DUMMYFUNCTION("IF(REGEXMATCH(AW35,AS35),""✔"",""-"")"),"-")</f>
        <v>-</v>
      </c>
      <c r="EC35" s="310" t="str">
        <f t="shared" si="58"/>
        <v>#REF!</v>
      </c>
      <c r="ED35" s="370" t="str">
        <f t="shared" si="59"/>
        <v>-</v>
      </c>
      <c r="EE35" s="340" t="str">
        <f t="shared" si="60"/>
        <v>S-r-m-P-n-S</v>
      </c>
      <c r="EF35" s="371" t="str">
        <f>IFERROR(__xludf.DUMMYFUNCTION("CONCATENATE(JOIN("""",HC35:HO35))"),"SRmPNS")</f>
        <v>SRmPNS</v>
      </c>
      <c r="EG35" s="372">
        <f t="shared" si="61"/>
        <v>2</v>
      </c>
      <c r="EH35" s="373" t="str">
        <f>IFERROR(__xludf.DUMMYFUNCTION("CONCATENATE(JOIN("""",JC35:JO35))"),"re, Pa, ")</f>
        <v>re, Pa, </v>
      </c>
      <c r="EI35" s="322">
        <f t="shared" si="62"/>
        <v>1</v>
      </c>
      <c r="EJ35" s="374" t="str">
        <f>IFERROR(__xludf.DUMMYFUNCTION("CONCATENATE(JOIN("""",KC35:KO35))"),"re, ")</f>
        <v>re, </v>
      </c>
      <c r="EK35" s="325" t="str">
        <f t="shared" si="63"/>
        <v>S-R1-M1-P-N2-S</v>
      </c>
      <c r="EL35" s="326" t="str">
        <f t="shared" si="64"/>
        <v>1-b2-4-5-b7-8</v>
      </c>
      <c r="EM35" s="318" t="str">
        <f t="shared" si="65"/>
        <v>#REF!</v>
      </c>
      <c r="EN35" s="328" t="str">
        <f>IFERROR(__xludf.DUMMYFUNCTION("SUBSTITUTE(SUBSTITUTE(SUBSTITUTE(SUBSTITUTE(CONCATENATE(JOIN("" "",HP35:IB35)),""  "","" ""),""  "","" ""),""  "","" ""),""  "","" "")"),"o o • • • o • o • • o • o")</f>
        <v>o o • • • o • o • • o • o</v>
      </c>
      <c r="EO35" s="368" t="str">
        <f t="shared" si="66"/>
        <v>-</v>
      </c>
      <c r="EP35" s="339" t="str">
        <f t="shared" si="67"/>
        <v>-</v>
      </c>
      <c r="EQ35" s="339" t="str">
        <f t="shared" si="68"/>
        <v>Sa-Pa</v>
      </c>
      <c r="ER35" s="339" t="str">
        <f t="shared" si="69"/>
        <v>-</v>
      </c>
      <c r="ES35" s="340" t="str">
        <f t="shared" si="70"/>
        <v>-</v>
      </c>
      <c r="ET35" s="363"/>
      <c r="EU35" s="376" t="b">
        <f>IFERROR(__xludf.DUMMYFUNCTION("arrayformula(sum(--REGEXMATCH(""SRGMPDNS"",split(REGEXREPLACE(C35,""(.)"",""$1~""),""~""))))=len(C35)
"),FALSE)</f>
        <v>0</v>
      </c>
      <c r="EV35" s="290" t="b">
        <f>IFERROR(__xludf.DUMMYFUNCTION("arrayformula(sum(--REGEXMATCH(""SRGmPDNS"",split(REGEXREPLACE(C35,""(.)"",""$1~""),""~""))))=len(C35)"),FALSE)</f>
        <v>0</v>
      </c>
      <c r="EW35" s="290" t="b">
        <f>IFERROR(__xludf.DUMMYFUNCTION("arrayformula(sum(--REGEXMATCH(""SRGmPDnS"",split(REGEXREPLACE(C35,""(.)"",""$1~""),""~""))))=len(C35)"),FALSE)</f>
        <v>0</v>
      </c>
      <c r="EX35" s="290" t="b">
        <f>IFERROR(__xludf.DUMMYFUNCTION("arrayformula(sum(--REGEXMATCH(""SRgmPDnS"",split(REGEXREPLACE(C35,""(.)"",""$1~""),""~""))))=len(C35)"),FALSE)</f>
        <v>0</v>
      </c>
      <c r="EY35" s="290" t="b">
        <f>IFERROR(__xludf.DUMMYFUNCTION("arrayformula(sum(--REGEXMATCH(""SRgmPdnS"",split(REGEXREPLACE(C35,""(.)"",""$1~""),""~""))))=len(C35)"),FALSE)</f>
        <v>0</v>
      </c>
      <c r="EZ35" s="290" t="b">
        <f>IFERROR(__xludf.DUMMYFUNCTION("arrayformula(sum(--REGEXMATCH(""SrgmPdnS"",split(REGEXREPLACE(C35,""(.)"",""$1~""),""~""))))=len(C35)"),TRUE)</f>
        <v>1</v>
      </c>
      <c r="FA35" s="290" t="b">
        <f>IFERROR(__xludf.DUMMYFUNCTION("arrayformula(sum(--REGEXMATCH(""SrGmPdNS"",split(REGEXREPLACE(C35,""(.)"",""$1~""),""~""))))=len(C35)"),FALSE)</f>
        <v>0</v>
      </c>
      <c r="FB35" s="290" t="b">
        <f>IFERROR(__xludf.DUMMYFUNCTION("arrayformula(sum(--REGEXMATCH(""SrGMPDNS"",split(REGEXREPLACE(C35,""(.)"",""$1~""),""~""))))=len(C35)"),FALSE)</f>
        <v>0</v>
      </c>
      <c r="FC35" s="290" t="b">
        <f>IFERROR(__xludf.DUMMYFUNCTION("arrayformula(sum(--REGEXMATCH(""SrGMPdNS"",split(REGEXREPLACE(C35,""(.)"",""$1~""),""~""))))=len(C35)"),FALSE)</f>
        <v>0</v>
      </c>
      <c r="FD35" s="377" t="b">
        <f>IFERROR(__xludf.DUMMYFUNCTION("arrayformula(sum(--REGEXMATCH(""SrgMPdNS"",split(REGEXREPLACE(C35,""(.)"",""$1~""),""~""))))=len(C35)"),FALSE)</f>
        <v>0</v>
      </c>
      <c r="FE35" s="269" t="str">
        <f t="shared" si="71"/>
        <v>xoooxoxooxo</v>
      </c>
      <c r="FF35" s="269" t="str">
        <f t="shared" si="72"/>
        <v>-</v>
      </c>
      <c r="FG35" s="271" t="str">
        <f t="shared" si="73"/>
        <v>-</v>
      </c>
      <c r="FH35" s="269" t="str">
        <f t="shared" si="74"/>
        <v>-</v>
      </c>
      <c r="FI35" s="271" t="str">
        <f t="shared" si="75"/>
        <v>xoxooxoxxoo</v>
      </c>
      <c r="FJ35" s="271" t="str">
        <f t="shared" si="76"/>
        <v>-</v>
      </c>
      <c r="FK35" s="271" t="str">
        <f t="shared" si="77"/>
        <v>xooxoxxooox</v>
      </c>
      <c r="FL35" s="271" t="str">
        <f t="shared" si="78"/>
        <v>-</v>
      </c>
      <c r="FM35" s="271" t="str">
        <f t="shared" si="79"/>
        <v>-</v>
      </c>
      <c r="FN35" s="271" t="str">
        <f t="shared" si="80"/>
        <v>xoxxoooxoxo</v>
      </c>
      <c r="FO35" s="274" t="str">
        <f t="shared" si="81"/>
        <v>-</v>
      </c>
      <c r="FP35" s="234" t="str">
        <f t="shared" si="82"/>
        <v>|</v>
      </c>
      <c r="FQ35" s="236" t="str">
        <f t="shared" si="83"/>
        <v>|</v>
      </c>
      <c r="FR35" s="237" t="str">
        <f t="shared" si="84"/>
        <v>-</v>
      </c>
      <c r="FS35" s="236" t="str">
        <f t="shared" si="85"/>
        <v>-</v>
      </c>
      <c r="FT35" s="237" t="str">
        <f t="shared" si="86"/>
        <v>-</v>
      </c>
      <c r="FU35" s="236" t="str">
        <f t="shared" si="87"/>
        <v>|</v>
      </c>
      <c r="FV35" s="237" t="str">
        <f t="shared" si="88"/>
        <v>-</v>
      </c>
      <c r="FW35" s="236" t="str">
        <f t="shared" si="89"/>
        <v>|</v>
      </c>
      <c r="FX35" s="237" t="str">
        <f t="shared" si="90"/>
        <v>-</v>
      </c>
      <c r="FY35" s="236" t="str">
        <f t="shared" si="91"/>
        <v>-</v>
      </c>
      <c r="FZ35" s="237" t="str">
        <f t="shared" si="92"/>
        <v>|</v>
      </c>
      <c r="GA35" s="236" t="str">
        <f t="shared" si="93"/>
        <v>-</v>
      </c>
      <c r="GB35" s="238" t="str">
        <f t="shared" si="94"/>
        <v>|</v>
      </c>
      <c r="GC35" s="244" t="str">
        <f>IFERROR(__xludf.DUMMYFUNCTION("IF(REGEXMATCH(C35, ""S""), ""1"","""")"),"1")</f>
        <v>1</v>
      </c>
      <c r="GD35" s="245" t="str">
        <f>IFERROR(__xludf.DUMMYFUNCTION("IF(REGEXMATCH(C35, ""r""), ""b2"","""")"),"b2")</f>
        <v>b2</v>
      </c>
      <c r="GE35" s="246" t="str">
        <f>IFERROR(__xludf.DUMMYFUNCTION("IF(REGEXMATCH(C35, ""R""), ""2"","""")"),"")</f>
        <v/>
      </c>
      <c r="GF35" s="246" t="str">
        <f>IFERROR(__xludf.DUMMYFUNCTION("IF(REGEXMATCH(C35, ""g""), ""b3"","""")"),"")</f>
        <v/>
      </c>
      <c r="GG35" s="245" t="str">
        <f>IFERROR(__xludf.DUMMYFUNCTION("IF(REGEXMATCH(C35, ""G""), ""3"","""")"),"")</f>
        <v/>
      </c>
      <c r="GH35" s="245" t="str">
        <f>IFERROR(__xludf.DUMMYFUNCTION("IF(REGEXMATCH(C35, ""m""), ""4"","""")"),"4")</f>
        <v>4</v>
      </c>
      <c r="GI35" s="246" t="str">
        <f>IFERROR(__xludf.DUMMYFUNCTION("IF(REGEXMATCH(C35, ""M""), ""#4"","""")"),"")</f>
        <v/>
      </c>
      <c r="GJ35" s="245" t="str">
        <f>IFERROR(__xludf.DUMMYFUNCTION("IF(REGEXMATCH(C35, ""P""), ""5"","""")"),"5")</f>
        <v>5</v>
      </c>
      <c r="GK35" s="246" t="str">
        <f>IFERROR(__xludf.DUMMYFUNCTION("IF(REGEXMATCH(C35, ""d""), ""b6"","""")"),"")</f>
        <v/>
      </c>
      <c r="GL35" s="245" t="str">
        <f>IFERROR(__xludf.DUMMYFUNCTION("IF(REGEXMATCH(C35, ""D""), ""6"","""")"),"")</f>
        <v/>
      </c>
      <c r="GM35" s="245" t="str">
        <f>IFERROR(__xludf.DUMMYFUNCTION("IF(REGEXMATCH(C35, ""n""), ""b7"","""")"),"b7")</f>
        <v>b7</v>
      </c>
      <c r="GN35" s="246" t="str">
        <f>IFERROR(__xludf.DUMMYFUNCTION("IF(REGEXMATCH(C35, ""N""), ""7"","""")"),"")</f>
        <v/>
      </c>
      <c r="GO35" s="249" t="str">
        <f>IFERROR(__xludf.DUMMYFUNCTION("IF(REGEXMATCH(C35, ""S""), ""8"","""")"),"8")</f>
        <v>8</v>
      </c>
      <c r="GP35" s="244" t="str">
        <f>IFERROR(__xludf.DUMMYFUNCTION("IF(REGEXMATCH(C35, ""S""), ""S"","""")"),"S")</f>
        <v>S</v>
      </c>
      <c r="GQ35" s="294" t="str">
        <f>IFERROR(__xludf.DUMMYFUNCTION("IF(REGEXMATCH(C35, ""r""), ""R1"","""")"),"R1")</f>
        <v>R1</v>
      </c>
      <c r="GR35" s="295" t="str">
        <f>IFERROR(__xludf.DUMMYFUNCTION("IF(REGEXMATCH(C35, ""R""), ""R2"","""")"),"")</f>
        <v/>
      </c>
      <c r="GS35" s="295" t="str">
        <f>IFERROR(__xludf.DUMMYFUNCTION("IF(REGEXMATCH(C35, ""g""), ""G2"","""")"),"")</f>
        <v/>
      </c>
      <c r="GT35" s="294" t="str">
        <f>IFERROR(__xludf.DUMMYFUNCTION("IF(REGEXMATCH(C35, ""G""), ""G3"","""")"),"")</f>
        <v/>
      </c>
      <c r="GU35" s="294" t="str">
        <f>IFERROR(__xludf.DUMMYFUNCTION("IF(REGEXMATCH(C35, ""m""), ""M1"","""")"),"M1")</f>
        <v>M1</v>
      </c>
      <c r="GV35" s="295" t="str">
        <f>IFERROR(__xludf.DUMMYFUNCTION("IF(REGEXMATCH(C35, ""M""), ""M2"","""")"),"")</f>
        <v/>
      </c>
      <c r="GW35" s="294" t="str">
        <f>IFERROR(__xludf.DUMMYFUNCTION("IF(REGEXMATCH(C35, ""P""), ""P"","""")"),"P")</f>
        <v>P</v>
      </c>
      <c r="GX35" s="295" t="str">
        <f>IFERROR(__xludf.DUMMYFUNCTION("IF(REGEXMATCH(C35, ""d""), ""D1"","""")"),"")</f>
        <v/>
      </c>
      <c r="GY35" s="294" t="str">
        <f>IFERROR(__xludf.DUMMYFUNCTION("IF(REGEXMATCH(C35, ""D""), ""D2"","""")"),"")</f>
        <v/>
      </c>
      <c r="GZ35" s="294" t="str">
        <f>IFERROR(__xludf.DUMMYFUNCTION("IF(REGEXMATCH(C35, ""n""), ""N2"","""")"),"N2")</f>
        <v>N2</v>
      </c>
      <c r="HA35" s="295" t="str">
        <f>IFERROR(__xludf.DUMMYFUNCTION("IF(REGEXMATCH(C35, ""N""), ""N3"","""")"),"")</f>
        <v/>
      </c>
      <c r="HB35" s="249" t="str">
        <f>IFERROR(__xludf.DUMMYFUNCTION("IF(REGEXMATCH(C35, ""S""), ""S"","""")"),"S")</f>
        <v>S</v>
      </c>
      <c r="HC35" s="331" t="str">
        <f t="shared" si="95"/>
        <v>S</v>
      </c>
      <c r="HD35" s="332" t="str">
        <f t="shared" si="96"/>
        <v/>
      </c>
      <c r="HE35" s="332" t="str">
        <f t="shared" si="97"/>
        <v>R</v>
      </c>
      <c r="HF35" s="332" t="str">
        <f t="shared" si="98"/>
        <v/>
      </c>
      <c r="HG35" s="332" t="str">
        <f t="shared" si="99"/>
        <v/>
      </c>
      <c r="HH35" s="332" t="str">
        <f t="shared" si="100"/>
        <v>m</v>
      </c>
      <c r="HI35" s="332" t="str">
        <f t="shared" si="101"/>
        <v/>
      </c>
      <c r="HJ35" s="332" t="str">
        <f t="shared" si="102"/>
        <v>P</v>
      </c>
      <c r="HK35" s="332" t="str">
        <f t="shared" si="103"/>
        <v/>
      </c>
      <c r="HL35" s="332" t="str">
        <f t="shared" si="104"/>
        <v/>
      </c>
      <c r="HM35" s="332" t="str">
        <f t="shared" si="105"/>
        <v/>
      </c>
      <c r="HN35" s="332" t="str">
        <f t="shared" si="106"/>
        <v>N</v>
      </c>
      <c r="HO35" s="343" t="str">
        <f t="shared" si="107"/>
        <v>S</v>
      </c>
      <c r="HP35" s="331" t="str">
        <f t="shared" si="108"/>
        <v>o</v>
      </c>
      <c r="HQ35" s="332" t="str">
        <f t="shared" si="109"/>
        <v>o</v>
      </c>
      <c r="HR35" s="332" t="str">
        <f t="shared" si="110"/>
        <v>•</v>
      </c>
      <c r="HS35" s="332" t="str">
        <f t="shared" si="111"/>
        <v>•</v>
      </c>
      <c r="HT35" s="332" t="str">
        <f t="shared" si="112"/>
        <v>•</v>
      </c>
      <c r="HU35" s="332" t="str">
        <f t="shared" si="113"/>
        <v>o</v>
      </c>
      <c r="HV35" s="332" t="str">
        <f t="shared" si="114"/>
        <v>•</v>
      </c>
      <c r="HW35" s="332" t="str">
        <f t="shared" si="115"/>
        <v>o</v>
      </c>
      <c r="HX35" s="332" t="str">
        <f t="shared" si="116"/>
        <v>•</v>
      </c>
      <c r="HY35" s="332" t="str">
        <f t="shared" si="117"/>
        <v>•</v>
      </c>
      <c r="HZ35" s="332" t="str">
        <f t="shared" si="118"/>
        <v>o</v>
      </c>
      <c r="IA35" s="332" t="str">
        <f t="shared" si="119"/>
        <v>•</v>
      </c>
      <c r="IB35" s="338" t="str">
        <f t="shared" si="120"/>
        <v>o</v>
      </c>
      <c r="IC35" s="331" t="str">
        <f t="shared" si="121"/>
        <v>•</v>
      </c>
      <c r="ID35" s="332" t="str">
        <f t="shared" si="122"/>
        <v>•</v>
      </c>
      <c r="IE35" s="332" t="str">
        <f t="shared" si="123"/>
        <v>o</v>
      </c>
      <c r="IF35" s="332" t="str">
        <f t="shared" si="124"/>
        <v>o</v>
      </c>
      <c r="IG35" s="332" t="str">
        <f t="shared" si="125"/>
        <v>o</v>
      </c>
      <c r="IH35" s="332" t="str">
        <f t="shared" si="126"/>
        <v>•</v>
      </c>
      <c r="II35" s="332" t="str">
        <f t="shared" si="127"/>
        <v>o</v>
      </c>
      <c r="IJ35" s="332" t="str">
        <f t="shared" si="128"/>
        <v>•</v>
      </c>
      <c r="IK35" s="332" t="str">
        <f t="shared" si="129"/>
        <v>o</v>
      </c>
      <c r="IL35" s="332" t="str">
        <f t="shared" si="130"/>
        <v>o</v>
      </c>
      <c r="IM35" s="332" t="str">
        <f t="shared" si="131"/>
        <v>•</v>
      </c>
      <c r="IN35" s="332" t="str">
        <f t="shared" si="132"/>
        <v>o</v>
      </c>
      <c r="IO35" s="338" t="str">
        <f t="shared" si="133"/>
        <v>•</v>
      </c>
      <c r="IP35" s="346" t="b">
        <f t="shared" si="134"/>
        <v>0</v>
      </c>
      <c r="IQ35" s="347" t="b">
        <f t="shared" si="135"/>
        <v>1</v>
      </c>
      <c r="IR35" s="347" t="b">
        <f t="shared" si="136"/>
        <v>0</v>
      </c>
      <c r="IS35" s="347" t="b">
        <f t="shared" si="137"/>
        <v>0</v>
      </c>
      <c r="IT35" s="347" t="b">
        <f t="shared" si="138"/>
        <v>0</v>
      </c>
      <c r="IU35" s="347" t="b">
        <f t="shared" si="139"/>
        <v>0</v>
      </c>
      <c r="IV35" s="347" t="b">
        <f t="shared" si="140"/>
        <v>0</v>
      </c>
      <c r="IW35" s="347" t="b">
        <f t="shared" si="141"/>
        <v>1</v>
      </c>
      <c r="IX35" s="347" t="b">
        <f t="shared" si="142"/>
        <v>0</v>
      </c>
      <c r="IY35" s="347" t="b">
        <f t="shared" si="143"/>
        <v>0</v>
      </c>
      <c r="IZ35" s="347" t="b">
        <f t="shared" si="144"/>
        <v>0</v>
      </c>
      <c r="JA35" s="347" t="b">
        <f t="shared" si="145"/>
        <v>0</v>
      </c>
      <c r="JB35" s="353" t="b">
        <f t="shared" si="146"/>
        <v>0</v>
      </c>
      <c r="JC35" s="354" t="str">
        <f t="shared" si="147"/>
        <v/>
      </c>
      <c r="JD35" s="355" t="str">
        <f t="shared" si="148"/>
        <v>re, </v>
      </c>
      <c r="JE35" s="355" t="str">
        <f t="shared" si="149"/>
        <v/>
      </c>
      <c r="JF35" s="355" t="str">
        <f t="shared" si="150"/>
        <v/>
      </c>
      <c r="JG35" s="355" t="str">
        <f t="shared" si="151"/>
        <v/>
      </c>
      <c r="JH35" s="355" t="str">
        <f t="shared" si="152"/>
        <v/>
      </c>
      <c r="JI35" s="355" t="str">
        <f t="shared" si="153"/>
        <v/>
      </c>
      <c r="JJ35" s="355" t="str">
        <f t="shared" si="154"/>
        <v>Pa, </v>
      </c>
      <c r="JK35" s="355" t="str">
        <f t="shared" si="155"/>
        <v/>
      </c>
      <c r="JL35" s="355" t="str">
        <f t="shared" si="156"/>
        <v/>
      </c>
      <c r="JM35" s="355" t="str">
        <f t="shared" si="157"/>
        <v/>
      </c>
      <c r="JN35" s="355" t="str">
        <f t="shared" si="158"/>
        <v/>
      </c>
      <c r="JO35" s="359" t="str">
        <f t="shared" si="159"/>
        <v/>
      </c>
      <c r="JP35" s="346" t="b">
        <f t="shared" si="160"/>
        <v>0</v>
      </c>
      <c r="JQ35" s="347" t="b">
        <f t="shared" si="161"/>
        <v>1</v>
      </c>
      <c r="JR35" s="347" t="b">
        <f t="shared" si="162"/>
        <v>0</v>
      </c>
      <c r="JS35" s="347" t="b">
        <f t="shared" si="163"/>
        <v>0</v>
      </c>
      <c r="JT35" s="347" t="b">
        <f t="shared" si="164"/>
        <v>0</v>
      </c>
      <c r="JU35" s="347" t="b">
        <f t="shared" si="165"/>
        <v>0</v>
      </c>
      <c r="JV35" s="347" t="b">
        <f t="shared" si="166"/>
        <v>0</v>
      </c>
      <c r="JW35" s="347" t="b">
        <f t="shared" si="167"/>
        <v>0</v>
      </c>
      <c r="JX35" s="347" t="b">
        <f t="shared" si="168"/>
        <v>0</v>
      </c>
      <c r="JY35" s="347" t="b">
        <f t="shared" si="169"/>
        <v>0</v>
      </c>
      <c r="JZ35" s="347" t="b">
        <f t="shared" si="170"/>
        <v>0</v>
      </c>
      <c r="KA35" s="347" t="b">
        <f t="shared" si="171"/>
        <v>0</v>
      </c>
      <c r="KB35" s="365" t="b">
        <f t="shared" si="172"/>
        <v>0</v>
      </c>
      <c r="KC35" s="354" t="str">
        <f t="shared" si="173"/>
        <v/>
      </c>
      <c r="KD35" s="355" t="str">
        <f t="shared" si="174"/>
        <v>re, </v>
      </c>
      <c r="KE35" s="355" t="str">
        <f t="shared" si="175"/>
        <v/>
      </c>
      <c r="KF35" s="355" t="str">
        <f t="shared" si="176"/>
        <v/>
      </c>
      <c r="KG35" s="355" t="str">
        <f t="shared" si="177"/>
        <v/>
      </c>
      <c r="KH35" s="355" t="str">
        <f t="shared" si="178"/>
        <v/>
      </c>
      <c r="KI35" s="355" t="str">
        <f t="shared" si="179"/>
        <v/>
      </c>
      <c r="KJ35" s="355" t="str">
        <f t="shared" si="180"/>
        <v/>
      </c>
      <c r="KK35" s="355" t="str">
        <f t="shared" si="181"/>
        <v/>
      </c>
      <c r="KL35" s="355" t="str">
        <f t="shared" si="182"/>
        <v/>
      </c>
      <c r="KM35" s="355" t="str">
        <f t="shared" si="183"/>
        <v/>
      </c>
      <c r="KN35" s="355" t="str">
        <f t="shared" si="184"/>
        <v/>
      </c>
      <c r="KO35" s="359"/>
      <c r="KP35" s="378"/>
      <c r="KQ35" s="379" t="s">
        <v>569</v>
      </c>
      <c r="KR35" s="380" t="s">
        <v>1305</v>
      </c>
      <c r="KS35" s="381" t="str">
        <f t="shared" si="263"/>
        <v>S-r-m-P-n-S</v>
      </c>
      <c r="KT35" s="382">
        <f t="shared" si="186"/>
        <v>5</v>
      </c>
      <c r="KU35" s="383">
        <f t="shared" si="187"/>
        <v>5</v>
      </c>
      <c r="KV35" s="381" t="str">
        <f t="shared" si="205"/>
        <v>S-n-P-m-r-S</v>
      </c>
      <c r="KW35" s="382">
        <f t="shared" si="189"/>
        <v>5</v>
      </c>
      <c r="KX35" s="384">
        <f t="shared" si="190"/>
        <v>5</v>
      </c>
      <c r="KY35" s="382">
        <f t="shared" ref="KY35:KZ35" si="264">KW35-KT35</f>
        <v>0</v>
      </c>
      <c r="KZ35" s="369">
        <f t="shared" si="264"/>
        <v>0</v>
      </c>
      <c r="LA35" s="385" t="str">
        <f t="shared" si="192"/>
        <v>✔</v>
      </c>
      <c r="LB35" s="340" t="str">
        <f>IFERROR(__xludf.DUMMYFUNCTION("JOIN("""",ArrayFormula(MID(KS35,LEN(KS35)-SEQUENCE(1,LEN(KS35))+1,1)))"),"S-n-P-m-r-S")</f>
        <v>S-n-P-m-r-S</v>
      </c>
      <c r="LC35" s="373" t="str">
        <f>IFERROR(__xludf.DUMMYFUNCTION("JOIN("""",ArrayFormula(MID(KV35,LEN(KV35)-SEQUENCE(1,LEN(KV35))+1,1)))"),"S-r-m-P-n-S")</f>
        <v>S-r-m-P-n-S</v>
      </c>
      <c r="LD35" s="373" t="str">
        <f t="shared" si="193"/>
        <v>SrmPnS</v>
      </c>
      <c r="LE35" s="339" t="str">
        <f t="shared" si="194"/>
        <v>SrmPnS</v>
      </c>
      <c r="LF35" s="386" t="str">
        <f>IFERROR(__xludf.DUMMYFUNCTION("SUBSTITUTE(SUBSTITUTE(CONCATENATE(JOIN("""",LH35:LT35)),""1"",""""),""2"","""")"),"SrmPnS")</f>
        <v>SrmPnS</v>
      </c>
      <c r="LG35" s="369" t="str">
        <f t="shared" si="195"/>
        <v>✔</v>
      </c>
      <c r="LH35" s="387" t="str">
        <f>IFERROR(__xludf.DUMMYFUNCTION("IF(REGEXMATCH(LD35, ""S""), ""S"",IF(REGEXMATCH(LE35, ""S""), ""S"",""""))"),"S")</f>
        <v>S</v>
      </c>
      <c r="LI35" s="299" t="str">
        <f>IFERROR(__xludf.DUMMYFUNCTION("IF(REGEXMATCH(LD35, ""r""), ""r1"",IF(REGEXMATCH(LE35, ""r""), ""r2"",""""))"),"r1")</f>
        <v>r1</v>
      </c>
      <c r="LJ35" s="299" t="str">
        <f>IFERROR(__xludf.DUMMYFUNCTION("IF(REGEXMATCH(LD35, ""R""), ""R1"",IF(REGEXMATCH(LE35, ""R""), ""R2"",""""))"),"")</f>
        <v/>
      </c>
      <c r="LK35" s="299" t="str">
        <f>IFERROR(__xludf.DUMMYFUNCTION("IF(REGEXMATCH(LD35, ""g""), ""g1"",IF(REGEXMATCH(LE35, ""g""), ""g2"",""""))"),"")</f>
        <v/>
      </c>
      <c r="LL35" s="299" t="str">
        <f>IFERROR(__xludf.DUMMYFUNCTION("IF(REGEXMATCH(LD35, ""G""), ""G1"",IF(REGEXMATCH(LE35, ""G""), ""G2"",""""))"),"")</f>
        <v/>
      </c>
      <c r="LM35" s="299" t="str">
        <f>IFERROR(__xludf.DUMMYFUNCTION("IF(REGEXMATCH(LD35, ""m""), ""m1"",IF(REGEXMATCH(LE35, ""m""), ""m2"",""""))"),"m1")</f>
        <v>m1</v>
      </c>
      <c r="LN35" s="299" t="str">
        <f>IFERROR(__xludf.DUMMYFUNCTION("IF(REGEXMATCH(LD35, ""M""), ""M1"",IF(REGEXMATCH(LE35, ""M""), ""M2"",""""))"),"")</f>
        <v/>
      </c>
      <c r="LO35" s="299" t="str">
        <f>IFERROR(__xludf.DUMMYFUNCTION("IF(REGEXMATCH(LD35, ""P""), ""P1"",IF(REGEXMATCH(LE35, ""P""), ""P2"",""""))"),"P1")</f>
        <v>P1</v>
      </c>
      <c r="LP35" s="299" t="str">
        <f>IFERROR(__xludf.DUMMYFUNCTION("IF(REGEXMATCH(LD35, ""d""), ""d1"",IF(REGEXMATCH(LE35, ""d""), ""d2"",""""))"),"")</f>
        <v/>
      </c>
      <c r="LQ35" s="299" t="str">
        <f>IFERROR(__xludf.DUMMYFUNCTION("IF(REGEXMATCH(LD35, ""D""), ""D1"",IF(REGEXMATCH(LE35, ""D""), ""D2"",""""))"),"")</f>
        <v/>
      </c>
      <c r="LR35" s="299" t="str">
        <f>IFERROR(__xludf.DUMMYFUNCTION("IF(REGEXMATCH(LD35, ""n""), ""n1"",IF(REGEXMATCH(LE35, ""n""), ""n2"",""""))"),"n1")</f>
        <v>n1</v>
      </c>
      <c r="LS35" s="299" t="str">
        <f>IFERROR(__xludf.DUMMYFUNCTION("IF(REGEXMATCH(LD35, ""N""), ""N1"",IF(REGEXMATCH(LE35, ""N""), ""N2"",""""))"),"")</f>
        <v/>
      </c>
      <c r="LT35" s="388" t="str">
        <f>IFERROR(__xludf.DUMMYFUNCTION("IF(REGEXMATCH(LD35, ""S""), ""S"",IF(REGEXMATCH(LE35, ""S""), ""S"",""""))"),"S")</f>
        <v>S</v>
      </c>
      <c r="LU35" s="389">
        <f t="shared" si="196"/>
        <v>1</v>
      </c>
      <c r="LV35" s="378"/>
      <c r="LW35" s="369"/>
      <c r="LX35" s="369"/>
    </row>
    <row r="36" ht="20.25" customHeight="1">
      <c r="A36" s="298" t="s">
        <v>572</v>
      </c>
      <c r="B36" s="222" t="s">
        <v>573</v>
      </c>
      <c r="C36" s="233" t="str">
        <f t="shared" si="7"/>
        <v>SrgPnS</v>
      </c>
      <c r="D36" s="234" t="str">
        <f>IFERROR(__xludf.DUMMYFUNCTION("IF(REGEXMATCH(C36, ""S""), ""S"","""")"),"S")</f>
        <v>S</v>
      </c>
      <c r="E36" s="236" t="str">
        <f>IFERROR(__xludf.DUMMYFUNCTION("IF(REGEXMATCH(C36, ""r""), ""r"","""")"),"r")</f>
        <v>r</v>
      </c>
      <c r="F36" s="237" t="str">
        <f>IFERROR(__xludf.DUMMYFUNCTION("IF(REGEXMATCH(C36, ""R""), ""R"","""")"),"")</f>
        <v/>
      </c>
      <c r="G36" s="237" t="str">
        <f>IFERROR(__xludf.DUMMYFUNCTION("IF(REGEXMATCH(C36, ""g""), ""g"","""")"),"g")</f>
        <v>g</v>
      </c>
      <c r="H36" s="236" t="str">
        <f>IFERROR(__xludf.DUMMYFUNCTION("IF(REGEXMATCH(C36, ""G""), ""G"","""")"),"")</f>
        <v/>
      </c>
      <c r="I36" s="236" t="str">
        <f>IFERROR(__xludf.DUMMYFUNCTION("IF(REGEXMATCH(C36, ""m""), ""m"","""")"),"")</f>
        <v/>
      </c>
      <c r="J36" s="237" t="str">
        <f>IFERROR(__xludf.DUMMYFUNCTION("IF(REGEXMATCH(C36, ""M""), ""M"","""")"),"")</f>
        <v/>
      </c>
      <c r="K36" s="236" t="str">
        <f>IFERROR(__xludf.DUMMYFUNCTION("IF(REGEXMATCH(C36, ""P""), ""P"","""")"),"P")</f>
        <v>P</v>
      </c>
      <c r="L36" s="237" t="str">
        <f>IFERROR(__xludf.DUMMYFUNCTION("IF(REGEXMATCH(C36, ""d""), ""d"","""")"),"")</f>
        <v/>
      </c>
      <c r="M36" s="236" t="str">
        <f>IFERROR(__xludf.DUMMYFUNCTION("IF(REGEXMATCH(C36, ""D""), ""D"","""")"),"")</f>
        <v/>
      </c>
      <c r="N36" s="236" t="str">
        <f>IFERROR(__xludf.DUMMYFUNCTION("IF(REGEXMATCH(C36, ""n""), ""n"","""")"),"n")</f>
        <v>n</v>
      </c>
      <c r="O36" s="237" t="str">
        <f>IFERROR(__xludf.DUMMYFUNCTION("IF(REGEXMATCH(C36, ""N""), ""N"","""")"),"")</f>
        <v/>
      </c>
      <c r="P36" s="238" t="str">
        <f>IFERROR(__xludf.DUMMYFUNCTION("IF(REGEXMATCH(C36, ""S""), ""S"","""")"),"S")</f>
        <v>S</v>
      </c>
      <c r="Q36" s="239" t="str">
        <f>IFERROR(__xludf.DUMMYFUNCTION("SUBSTITUTE(CONCATENATE(JOIN(""-"",D36:J36)),""-"","""")"),"Srg")</f>
        <v>Srg</v>
      </c>
      <c r="R36" s="229" t="str">
        <f>IFERROR(__xludf.DUMMYFUNCTION("SUBSTITUTE(CONCATENATE(JOIN(""-"",K36:P36)),""-"","""")"),"PnS")</f>
        <v>PnS</v>
      </c>
      <c r="S36" s="282" t="str">
        <f t="shared" si="8"/>
        <v>S-R-G-</v>
      </c>
      <c r="T36" s="282" t="str">
        <f t="shared" si="9"/>
        <v>P-N-S</v>
      </c>
      <c r="U36" s="237" t="str">
        <f>IFERROR(__xludf.DUMMYFUNCTION("SUBSTITUTE(JOIN(""-"",S36,T36),""--"",""-"")"),"S-R-G-P-N-S")</f>
        <v>S-R-G-P-N-S</v>
      </c>
      <c r="V36" s="309" t="str">
        <f t="shared" si="10"/>
        <v>rgn</v>
      </c>
      <c r="W36" s="244" t="str">
        <f>IFERROR(__xludf.DUMMYFUNCTION("IF(REGEXMATCH(C36, ""S""), ""0"","""")"),"0")</f>
        <v>0</v>
      </c>
      <c r="X36" s="245" t="str">
        <f>IFERROR(__xludf.DUMMYFUNCTION("IF(REGEXMATCH(C36, ""r""), ""1"","""")"),"1")</f>
        <v>1</v>
      </c>
      <c r="Y36" s="246" t="str">
        <f>IFERROR(__xludf.DUMMYFUNCTION("IF(REGEXMATCH(C36, ""R""), ""2"","""")"),"")</f>
        <v/>
      </c>
      <c r="Z36" s="246" t="str">
        <f>IFERROR(__xludf.DUMMYFUNCTION("IF(REGEXMATCH(C36, ""g""), ""3"","""")"),"3")</f>
        <v>3</v>
      </c>
      <c r="AA36" s="245" t="str">
        <f>IFERROR(__xludf.DUMMYFUNCTION("IF(REGEXMATCH(C36, ""G""), ""4"","""")"),"")</f>
        <v/>
      </c>
      <c r="AB36" s="245" t="str">
        <f>IFERROR(__xludf.DUMMYFUNCTION("IF(REGEXMATCH(C36, ""m""), ""5"","""")"),"")</f>
        <v/>
      </c>
      <c r="AC36" s="246" t="str">
        <f>IFERROR(__xludf.DUMMYFUNCTION("IF(REGEXMATCH(C36, ""M""), ""6"","""")"),"")</f>
        <v/>
      </c>
      <c r="AD36" s="245" t="str">
        <f>IFERROR(__xludf.DUMMYFUNCTION("IF(REGEXMATCH(C36, ""P""), ""7"","""")"),"7")</f>
        <v>7</v>
      </c>
      <c r="AE36" s="246" t="str">
        <f>IFERROR(__xludf.DUMMYFUNCTION("IF(REGEXMATCH(C36, ""d""), ""8"","""")"),"")</f>
        <v/>
      </c>
      <c r="AF36" s="245" t="str">
        <f>IFERROR(__xludf.DUMMYFUNCTION("IF(REGEXMATCH(C36, ""D""), ""9"","""")"),"")</f>
        <v/>
      </c>
      <c r="AG36" s="245" t="str">
        <f>IFERROR(__xludf.DUMMYFUNCTION("IF(REGEXMATCH(C36, ""n""), ""10"","""")"),"10")</f>
        <v>10</v>
      </c>
      <c r="AH36" s="246" t="str">
        <f>IFERROR(__xludf.DUMMYFUNCTION("IF(REGEXMATCH(C36, ""N""), ""11"","""")"),"")</f>
        <v/>
      </c>
      <c r="AI36" s="249" t="str">
        <f>IFERROR(__xludf.DUMMYFUNCTION("IF(REGEXMATCH(C36, ""S""), ""0"","""")"),"0")</f>
        <v>0</v>
      </c>
      <c r="AJ36" s="313" t="str">
        <f t="shared" si="11"/>
        <v>-</v>
      </c>
      <c r="AK36" s="313" t="str">
        <f t="shared" si="12"/>
        <v>T</v>
      </c>
      <c r="AL36" s="313" t="str">
        <f t="shared" si="13"/>
        <v>-</v>
      </c>
      <c r="AM36" s="313" t="str">
        <f t="shared" si="14"/>
        <v>-</v>
      </c>
      <c r="AN36" s="313" t="str">
        <f t="shared" si="15"/>
        <v>-</v>
      </c>
      <c r="AO36" s="314" t="str">
        <f t="shared" si="16"/>
        <v>-</v>
      </c>
      <c r="AP36" s="316">
        <f t="shared" si="17"/>
        <v>1</v>
      </c>
      <c r="AQ36" s="319" t="str">
        <f t="shared" si="18"/>
        <v>#REF!</v>
      </c>
      <c r="AR36" s="320">
        <f t="shared" si="19"/>
        <v>0</v>
      </c>
      <c r="AS36" s="250" t="str">
        <f>IFERROR(__xludf.DUMMYFUNCTION("SUBSTITUTE(SUBSTITUTE(CONCATENATE(JOIN("""",FP36:GA36)),""|"",""x""),""-"",""o"")"),"xxoxoooxooxo")</f>
        <v>xxoxoooxooxo</v>
      </c>
      <c r="AT36" s="323" t="str">
        <f>IFERROR(__xludf.DUMMYFUNCTION("JOIN("""",AS36,AS36)"),"xxoxoooxooxoxxoxoooxooxo")</f>
        <v>xxoxoooxooxoxxoxoooxooxo</v>
      </c>
      <c r="AU36" s="256" t="str">
        <f>IFERROR(__xludf.DUMMYFUNCTION("JOIN("""",ArrayFormula(MID(AS36,LEN(AS36)-SEQUENCE(1,LEN(AS36))+1,1)))"),"oxooxoooxoxx")</f>
        <v>oxooxoooxoxx</v>
      </c>
      <c r="AV36" s="256" t="str">
        <f>IFERROR(__xludf.DUMMYFUNCTION("LEFT(CONCATENATE(""x"",JOIN("""",ArrayFormula(MID(AS36,LEN(AS36)-SEQUENCE(1,LEN(AS36))+1,1)))),12)"),"xoxooxoooxox")</f>
        <v>xoxooxoooxox</v>
      </c>
      <c r="AW36" s="327" t="str">
        <f>IFERROR(__xludf.DUMMYFUNCTION("JOIN("""",AU36,AU36)"),"oxooxoooxoxxoxooxoooxoxx")</f>
        <v>oxooxoooxoxxoxooxoooxoxx</v>
      </c>
      <c r="AX36" s="239" t="str">
        <f>IFERROR(__xludf.DUMMYFUNCTION("IF(REGEXMATCH(AW36,AS36),""✔"",""-"")"),"-")</f>
        <v>-</v>
      </c>
      <c r="AY36" s="330" t="str">
        <f t="shared" si="20"/>
        <v>-</v>
      </c>
      <c r="AZ36" s="260" t="str">
        <f t="shared" si="21"/>
        <v>#REF!</v>
      </c>
      <c r="BA36" s="333" t="str">
        <f t="shared" si="22"/>
        <v>xxoxooo</v>
      </c>
      <c r="BB36" s="334" t="str">
        <f t="shared" si="23"/>
        <v>xooxox</v>
      </c>
      <c r="BC36" s="335" t="str">
        <f t="shared" si="236"/>
        <v>-</v>
      </c>
      <c r="BD36" s="336" t="str">
        <f t="shared" si="25"/>
        <v>Bairagi Todi: 'xxoxooo' + 'xooxox'</v>
      </c>
      <c r="BE36" s="337">
        <f>IFERROR(__xludf.DUMMYFUNCTION("COUNTUNIQUE(FILTER(AT:AT,REGEXMATCH(AT:AT,AS36)))-1"),2.0)</f>
        <v>2</v>
      </c>
      <c r="BF36" s="261" t="str">
        <f>IFERROR(__xludf.DUMMYFUNCTION("IF(BI36=0,""(n/a)"",IF(BJ36=2,""(PAIR)"",IF(REGEXMATCH(AT36,""xoxoxxoxoxox""),""Bilawal"",IF(REGEXMATCH(AT36,""xoxoxooxoxoo""),""Bhupali"",IF(REGEXMATCH(AT36,""xoxoxxoxxoxo""),""Charukeshi"",IF(REGEXMATCH(AT36,""xoxoooxxoxxo""),""Kameshwari"",IF(REGEXMATC"&amp;"H(AT36,""xoxoxooxoxox""),""Shankara"",IF(REGEXMATCH(AT36,""xxooxoxxxoox""),""Basant"",IF(REGEXMATCH(AT36,""xoxoxxxxoxox""),""Bihag"",IF(REGEXMATCH(AT36,""xoxxxxoxoxxx""),""Pilu"",IF(REGEXMATCH(AT36,""xoxxoxoxxoox""),""Kirwani"",IF(REGEXMATCH(AT36,""xoxxox"&amp;"oxoxxx""),""Mk.Malhar"",IF(REGEXMATCH(AT36,""xxooxxoxxoox""),""Bhairav"",IF(REGEXMATCH(AT36,""xxoxooxxxoox""),""Todi"",IF(REGEXMATCH(AT36,""xxooxoxooxox""),""Marwa"",IF(REGEXMATCH(AT36,""xxoooxoxxooo""),""Gunkali"",IF(REGEXMATCH(AT36,""xoxoxxoxxoox""),""N"&amp;"at Bhairav"",IF(REGEXMATCH(AT36,""xoxxoooxoxoo""),""Shivranjani"",IF(REGEXMATCH(AT36,""xooxxxoxooxo""),""Jog"",IF(REGEXMATCH(AT36,""xxooxoxoxoox""),""Hemshri"",IF(REGEXMATCH(AT36,""xoooxooxoxxo""),""Kalavati"",IF(REGEXMATCH(AT36,""xxoxoxxoxoox""),""Kedar"&amp;""",IF(REGEXMATCH(AT36,""xoxxxxoxooxx""),""Gara"",IF(REGEXMATCH(AT36,""xooxoxooxoox""),""Chandrakauns"",IF(REGEXMATCH(AT36,""xoxxxxoxxxox""),""Mand"",IF(REGEXMATCH(AT36,""xoxxxxoxoxox""),""Hanskinkini"",IF(REGEXMATCH(AT36,""xxooxxoxooxo""),""Lilavati"",IF("&amp;"REGEXMATCH(AT36,""xooxoxoooxox""),""Rajeshwari"",IF(REGEXMATCH(AT36,""xoooxxoxoxxx""),""Khokar"",IF(REGEXMATCH(AT36,""xxooxoxxxxox""),""Maligoura"",""-""))))))))))))))))))))))))))))))"),"Kalavati")</f>
        <v>Kalavati</v>
      </c>
      <c r="BG36" s="239" t="str">
        <f t="shared" si="26"/>
        <v>#REF!</v>
      </c>
      <c r="BH36" s="239">
        <f>IFERROR(__xludf.DUMMYFUNCTION("COUNTUNIQUE(FE36:FO36)-1"),4.0)</f>
        <v>4</v>
      </c>
      <c r="BI36" s="239">
        <f>IFERROR(__xludf.DUMMYFUNCTION("COUNTUNIQUE(FILTER(AT:AT,REGEXMATCH(AT:AT,AS36)))-1"),2.0)</f>
        <v>2</v>
      </c>
      <c r="BJ36" s="239">
        <f>IFERROR(__xludf.DUMMYFUNCTION("COUNTA(FILTER(AT:AT,REGEXMATCH(AT:AT,AS36)))"),3.0)</f>
        <v>3</v>
      </c>
      <c r="BK36" s="341">
        <f>IFERROR(__xludf.DUMMYFUNCTION("COUNTA(FILTER(AT:AT,REGEXMATCH(AT:AT,AS36)))-AR36"),3.0)</f>
        <v>3</v>
      </c>
      <c r="BL36" s="276" t="str">
        <f>IFERROR(__xludf.DUMMYFUNCTION("IF(AS36=""oooooooooooo"",""-"",IF(REGEXMATCH(AT36,""xx""), ""Hemi."", ""Anhemi.""))"),"Hemi.")</f>
        <v>Hemi.</v>
      </c>
      <c r="BM36" s="282" t="str">
        <f>IFERROR(__xludf.DUMMYFUNCTION("IF(AS36=""oooooooooooo"",""-"",IF(REGEXMATCH(AT36,""xxx""), ""Cohem."", ""-""))"),"-")</f>
        <v>-</v>
      </c>
      <c r="BN36" s="282" t="str">
        <f>IFERROR(__xludf.DUMMYFUNCTION("IF(AS36=""oooooooooooo"",""-"",IF(REGEXMATCH(AT36,""xxxx""), ""Co-Co."", ""-""))"),"-")</f>
        <v>-</v>
      </c>
      <c r="BO36" s="342" t="str">
        <f>IFERROR(__xludf.DUMMYFUNCTION("IF(AS36=""oooooooooooo"",""-"",IF(REGEXMATCH(AT36,""xxxxx""), ""CCC."", ""-""))"),"-")</f>
        <v>-</v>
      </c>
      <c r="BP36" s="344" t="str">
        <f t="shared" si="27"/>
        <v>-</v>
      </c>
      <c r="BQ36" s="282" t="str">
        <f>IFERROR(__xludf.DUMMYFUNCTION("IF(REGEXMATCH(JOIN(""-"",EU36:FD36),""TRUE""),""✔"",""-"")"),"✔")</f>
        <v>✔</v>
      </c>
      <c r="BR36" s="225">
        <f t="shared" si="28"/>
        <v>1</v>
      </c>
      <c r="BS36" s="345" t="str">
        <f>IFERROR(__xludf.DUMMYFUNCTION("SUBSTITUTE(SUBSTITUTE(SUBSTITUTE(SUBSTITUTE(CONCATENATE(JOIN(""-"",GC36:GO36)),""--"",""-""),""--"",""-""),""--"",""-""),""--"",""-"")"),"1-b2-b3-5-b7-8")</f>
        <v>1-b2-b3-5-b7-8</v>
      </c>
      <c r="BT36" s="299" t="str">
        <f>IFERROR(__xludf.DUMMYFUNCTION("SUBSTITUTE(SUBSTITUTE(SUBSTITUTE(SUBSTITUTE(CONCATENATE(JOIN(""-"",GP36:HB36)),""--"",""-""),""--"",""-""),""--"",""-""),""--"",""-"")"),"S-R1-G2-P-N2-S")</f>
        <v>S-R1-G2-P-N2-S</v>
      </c>
      <c r="BU36" s="348" t="str">
        <f t="shared" si="29"/>
        <v>C-Db-Eb-G-Bb-C</v>
      </c>
      <c r="BV36" s="349" t="str">
        <f t="shared" si="30"/>
        <v>SRGmMdDNS</v>
      </c>
      <c r="BW36" s="350">
        <f t="shared" si="31"/>
        <v>0</v>
      </c>
      <c r="BX36" s="351">
        <f t="shared" si="32"/>
        <v>1</v>
      </c>
      <c r="BY36" s="352" t="s">
        <v>275</v>
      </c>
      <c r="BZ36" s="309" t="str">
        <f>IFERROR(__xludf.DUMMYFUNCTION("IF(REGEXMATCH(C36, ""S""), ""x"",""x"")"),"x")</f>
        <v>x</v>
      </c>
      <c r="CA36" s="245" t="str">
        <f>IFERROR(__xludf.DUMMYFUNCTION("IF(REGEXMATCH(C36, ""r""), ""o"",""x"")"),"o")</f>
        <v>o</v>
      </c>
      <c r="CB36" s="246" t="str">
        <f>IFERROR(__xludf.DUMMYFUNCTION("IF(REGEXMATCH(C36, ""R""), ""o"",""x"")"),"x")</f>
        <v>x</v>
      </c>
      <c r="CC36" s="246" t="str">
        <f>IFERROR(__xludf.DUMMYFUNCTION("IF(REGEXMATCH(C36, ""g""), ""o"",""x"")"),"o")</f>
        <v>o</v>
      </c>
      <c r="CD36" s="245" t="str">
        <f>IFERROR(__xludf.DUMMYFUNCTION("IF(REGEXMATCH(C36, ""G""), ""o"",""x"")"),"x")</f>
        <v>x</v>
      </c>
      <c r="CE36" s="245" t="str">
        <f>IFERROR(__xludf.DUMMYFUNCTION("IF(REGEXMATCH(C36, ""m""), ""o"",""x"")"),"x")</f>
        <v>x</v>
      </c>
      <c r="CF36" s="246" t="str">
        <f>IFERROR(__xludf.DUMMYFUNCTION("IF(REGEXMATCH(C36, ""M""), ""o"",""x"")"),"x")</f>
        <v>x</v>
      </c>
      <c r="CG36" s="245" t="str">
        <f>IFERROR(__xludf.DUMMYFUNCTION("IF(REGEXMATCH(C36, ""P""), ""o"",""x"")"),"o")</f>
        <v>o</v>
      </c>
      <c r="CH36" s="246" t="str">
        <f>IFERROR(__xludf.DUMMYFUNCTION("IF(REGEXMATCH(C36, ""d""), ""o"",""x"")"),"x")</f>
        <v>x</v>
      </c>
      <c r="CI36" s="245" t="str">
        <f>IFERROR(__xludf.DUMMYFUNCTION("IF(REGEXMATCH(C36, ""D""), ""o"",""x"")"),"x")</f>
        <v>x</v>
      </c>
      <c r="CJ36" s="245" t="str">
        <f>IFERROR(__xludf.DUMMYFUNCTION("IF(REGEXMATCH(C36, ""n""), ""o"",""x"")"),"o")</f>
        <v>o</v>
      </c>
      <c r="CK36" s="245" t="str">
        <f>IFERROR(__xludf.DUMMYFUNCTION("IF(REGEXMATCH(C36, ""N""), ""o"",""x"")"),"x")</f>
        <v>x</v>
      </c>
      <c r="CL36" s="356" t="str">
        <f>IFERROR(__xludf.DUMMYFUNCTION("IF(REGEXMATCH(C36, ""S""), ""x"",""x"")"),"x")</f>
        <v>x</v>
      </c>
      <c r="CM36" s="357" t="str">
        <f t="shared" si="33"/>
        <v>xoxoxxxoxxox</v>
      </c>
      <c r="CN36" s="358">
        <f t="shared" si="34"/>
        <v>0</v>
      </c>
      <c r="CO36" s="246" t="str">
        <f>IFERROR(__xludf.DUMMYFUNCTION("IF(REGEXMATCH($C36, ""S""), ""S"",""S"")"),"S")</f>
        <v>S</v>
      </c>
      <c r="CP36" s="246" t="str">
        <f>IFERROR(__xludf.DUMMYFUNCTION("IF(REGEXMATCH($C36, ""r""), """",""r"")"),"")</f>
        <v/>
      </c>
      <c r="CQ36" s="246" t="str">
        <f>IFERROR(__xludf.DUMMYFUNCTION("IF(REGEXMATCH($C36, ""R""), """",""R"")"),"R")</f>
        <v>R</v>
      </c>
      <c r="CR36" s="246" t="str">
        <f>IFERROR(__xludf.DUMMYFUNCTION("IF(REGEXMATCH($C36, ""g""), """",""g"")"),"")</f>
        <v/>
      </c>
      <c r="CS36" s="246" t="str">
        <f>IFERROR(__xludf.DUMMYFUNCTION("IF(REGEXMATCH($C36, ""G""), """",""G"")"),"G")</f>
        <v>G</v>
      </c>
      <c r="CT36" s="246" t="str">
        <f>IFERROR(__xludf.DUMMYFUNCTION("IF(REGEXMATCH($C36, ""m""), """",""m"")"),"m")</f>
        <v>m</v>
      </c>
      <c r="CU36" s="246" t="str">
        <f>IFERROR(__xludf.DUMMYFUNCTION("IF(REGEXMATCH($C36, ""M""), """",""M"")"),"M")</f>
        <v>M</v>
      </c>
      <c r="CV36" s="246" t="str">
        <f>IFERROR(__xludf.DUMMYFUNCTION("IF(REGEXMATCH($C36, ""P""), """",""P"")"),"")</f>
        <v/>
      </c>
      <c r="CW36" s="246" t="str">
        <f>IFERROR(__xludf.DUMMYFUNCTION("IF(REGEXMATCH($C36, ""d""), """",""d"")"),"d")</f>
        <v>d</v>
      </c>
      <c r="CX36" s="246" t="str">
        <f>IFERROR(__xludf.DUMMYFUNCTION("IF(REGEXMATCH($C36, ""D""), """",""D"")"),"D")</f>
        <v>D</v>
      </c>
      <c r="CY36" s="246" t="str">
        <f>IFERROR(__xludf.DUMMYFUNCTION("IF(REGEXMATCH($C36, ""n""), """",""n"")"),"")</f>
        <v/>
      </c>
      <c r="CZ36" s="246" t="str">
        <f>IFERROR(__xludf.DUMMYFUNCTION("IF(REGEXMATCH($C36, ""N""), """",""N"")"),"N")</f>
        <v>N</v>
      </c>
      <c r="DA36" s="246" t="str">
        <f>IFERROR(__xludf.DUMMYFUNCTION("IF(REGEXMATCH($C36, ""S""), ""S"",""S"")"),"S")</f>
        <v>S</v>
      </c>
      <c r="DB36" s="362" t="str">
        <f>IFERROR(__xludf.DUMMYFUNCTION("JOIN("""",CO36:DA36,"""","""")"),"SRGmMdDNS")</f>
        <v>SRGmMdDNS</v>
      </c>
      <c r="DC36" s="363"/>
      <c r="DD36" s="301" t="str">
        <f t="shared" si="35"/>
        <v>#REF!</v>
      </c>
      <c r="DE36" s="302" t="str">
        <f t="shared" si="36"/>
        <v>#REF!</v>
      </c>
      <c r="DF36" s="301" t="str">
        <f t="shared" ref="DF36:DG36" si="265">SUBSTITUTE(S36,"-","")</f>
        <v>SRG</v>
      </c>
      <c r="DG36" s="301" t="str">
        <f t="shared" si="265"/>
        <v>PNS</v>
      </c>
      <c r="DH36" s="302" t="str">
        <f t="shared" si="38"/>
        <v>Kalavati</v>
      </c>
      <c r="DI36" s="301" t="str">
        <f t="shared" si="39"/>
        <v>Hemi.</v>
      </c>
      <c r="DJ36" s="364" t="str">
        <f t="shared" si="40"/>
        <v>-</v>
      </c>
      <c r="DK36" s="306" t="str">
        <f t="shared" si="41"/>
        <v>-</v>
      </c>
      <c r="DL36" s="366" t="str">
        <f t="shared" si="42"/>
        <v>✔</v>
      </c>
      <c r="DM36" s="308" t="str">
        <f t="shared" si="43"/>
        <v>-</v>
      </c>
      <c r="DN36" s="306" t="str">
        <f t="shared" si="44"/>
        <v>-</v>
      </c>
      <c r="DO36" s="306" t="str">
        <f t="shared" si="45"/>
        <v>✔</v>
      </c>
      <c r="DP36" s="367" t="str">
        <f t="shared" si="46"/>
        <v>-</v>
      </c>
      <c r="DQ36" s="310" t="str">
        <f t="shared" si="47"/>
        <v>-</v>
      </c>
      <c r="DR36" s="310" t="str">
        <f t="shared" si="48"/>
        <v>-</v>
      </c>
      <c r="DS36" s="310" t="str">
        <f t="shared" si="49"/>
        <v>-</v>
      </c>
      <c r="DT36" s="310" t="str">
        <f t="shared" si="50"/>
        <v>-</v>
      </c>
      <c r="DU36" s="370" t="str">
        <f t="shared" si="51"/>
        <v>-</v>
      </c>
      <c r="DV36" s="306" t="str">
        <f t="shared" si="52"/>
        <v>-</v>
      </c>
      <c r="DW36" s="306" t="str">
        <f t="shared" si="53"/>
        <v>-</v>
      </c>
      <c r="DX36" s="306" t="str">
        <f t="shared" si="54"/>
        <v>✔</v>
      </c>
      <c r="DY36" s="306" t="str">
        <f t="shared" si="55"/>
        <v>-</v>
      </c>
      <c r="DZ36" s="306" t="str">
        <f t="shared" si="56"/>
        <v>✔</v>
      </c>
      <c r="EA36" s="367" t="str">
        <f t="shared" si="57"/>
        <v>-</v>
      </c>
      <c r="EB36" s="310" t="str">
        <f>IFERROR(__xludf.DUMMYFUNCTION("IF(REGEXMATCH(AW36,AS36),""✔"",""-"")"),"-")</f>
        <v>-</v>
      </c>
      <c r="EC36" s="310" t="str">
        <f t="shared" si="58"/>
        <v>#REF!</v>
      </c>
      <c r="ED36" s="370" t="str">
        <f t="shared" si="59"/>
        <v>-</v>
      </c>
      <c r="EE36" s="340" t="str">
        <f t="shared" si="60"/>
        <v>S-r-g-P-n-S</v>
      </c>
      <c r="EF36" s="371" t="str">
        <f>IFERROR(__xludf.DUMMYFUNCTION("CONCATENATE(JOIN("""",HC36:HO36))"),"SRmDNS")</f>
        <v>SRmDNS</v>
      </c>
      <c r="EG36" s="372">
        <f t="shared" si="61"/>
        <v>3</v>
      </c>
      <c r="EH36" s="373" t="str">
        <f>IFERROR(__xludf.DUMMYFUNCTION("CONCATENATE(JOIN("""",JC36:JO36))"),"re, Pa, ni, ")</f>
        <v>re, Pa, ni, </v>
      </c>
      <c r="EI36" s="322">
        <f t="shared" si="62"/>
        <v>1</v>
      </c>
      <c r="EJ36" s="374" t="str">
        <f>IFERROR(__xludf.DUMMYFUNCTION("CONCATENATE(JOIN("""",KC36:KO36))"),"re, ")</f>
        <v>re, </v>
      </c>
      <c r="EK36" s="325" t="str">
        <f t="shared" si="63"/>
        <v>S-R1-G2-P-N2-S</v>
      </c>
      <c r="EL36" s="326" t="str">
        <f t="shared" si="64"/>
        <v>1-b2-b3-5-b7-8</v>
      </c>
      <c r="EM36" s="318" t="str">
        <f t="shared" si="65"/>
        <v>#REF!</v>
      </c>
      <c r="EN36" s="328" t="str">
        <f>IFERROR(__xludf.DUMMYFUNCTION("SUBSTITUTE(SUBSTITUTE(SUBSTITUTE(SUBSTITUTE(CONCATENATE(JOIN("" "",HP36:IB36)),""  "","" ""),""  "","" ""),""  "","" ""),""  "","" "")"),"o o • o • • • o • • o • o")</f>
        <v>o o • o • • • o • • o • o</v>
      </c>
      <c r="EO36" s="368" t="str">
        <f t="shared" si="66"/>
        <v>Sa-Pa</v>
      </c>
      <c r="EP36" s="339" t="str">
        <f t="shared" si="67"/>
        <v>-</v>
      </c>
      <c r="EQ36" s="339" t="str">
        <f t="shared" si="68"/>
        <v>Sa-Pa</v>
      </c>
      <c r="ER36" s="339" t="str">
        <f t="shared" si="69"/>
        <v>Sa-Pa</v>
      </c>
      <c r="ES36" s="340" t="str">
        <f t="shared" si="70"/>
        <v>-</v>
      </c>
      <c r="ET36" s="363"/>
      <c r="EU36" s="376" t="b">
        <f>IFERROR(__xludf.DUMMYFUNCTION("arrayformula(sum(--REGEXMATCH(""SRGMPDNS"",split(REGEXREPLACE(C36,""(.)"",""$1~""),""~""))))=len(C36)
"),FALSE)</f>
        <v>0</v>
      </c>
      <c r="EV36" s="290" t="b">
        <f>IFERROR(__xludf.DUMMYFUNCTION("arrayformula(sum(--REGEXMATCH(""SRGmPDNS"",split(REGEXREPLACE(C36,""(.)"",""$1~""),""~""))))=len(C36)"),FALSE)</f>
        <v>0</v>
      </c>
      <c r="EW36" s="290" t="b">
        <f>IFERROR(__xludf.DUMMYFUNCTION("arrayformula(sum(--REGEXMATCH(""SRGmPDnS"",split(REGEXREPLACE(C36,""(.)"",""$1~""),""~""))))=len(C36)"),FALSE)</f>
        <v>0</v>
      </c>
      <c r="EX36" s="290" t="b">
        <f>IFERROR(__xludf.DUMMYFUNCTION("arrayformula(sum(--REGEXMATCH(""SRgmPDnS"",split(REGEXREPLACE(C36,""(.)"",""$1~""),""~""))))=len(C36)"),FALSE)</f>
        <v>0</v>
      </c>
      <c r="EY36" s="290" t="b">
        <f>IFERROR(__xludf.DUMMYFUNCTION("arrayformula(sum(--REGEXMATCH(""SRgmPdnS"",split(REGEXREPLACE(C36,""(.)"",""$1~""),""~""))))=len(C36)"),FALSE)</f>
        <v>0</v>
      </c>
      <c r="EZ36" s="290" t="b">
        <f>IFERROR(__xludf.DUMMYFUNCTION("arrayformula(sum(--REGEXMATCH(""SrgmPdnS"",split(REGEXREPLACE(C36,""(.)"",""$1~""),""~""))))=len(C36)"),TRUE)</f>
        <v>1</v>
      </c>
      <c r="FA36" s="290" t="b">
        <f>IFERROR(__xludf.DUMMYFUNCTION("arrayformula(sum(--REGEXMATCH(""SrGmPdNS"",split(REGEXREPLACE(C36,""(.)"",""$1~""),""~""))))=len(C36)"),FALSE)</f>
        <v>0</v>
      </c>
      <c r="FB36" s="290" t="b">
        <f>IFERROR(__xludf.DUMMYFUNCTION("arrayformula(sum(--REGEXMATCH(""SrGMPDNS"",split(REGEXREPLACE(C36,""(.)"",""$1~""),""~""))))=len(C36)"),FALSE)</f>
        <v>0</v>
      </c>
      <c r="FC36" s="290" t="b">
        <f>IFERROR(__xludf.DUMMYFUNCTION("arrayformula(sum(--REGEXMATCH(""SrGMPdNS"",split(REGEXREPLACE(C36,""(.)"",""$1~""),""~""))))=len(C36)"),FALSE)</f>
        <v>0</v>
      </c>
      <c r="FD36" s="377" t="b">
        <f>IFERROR(__xludf.DUMMYFUNCTION("arrayformula(sum(--REGEXMATCH(""SrgMPdNS"",split(REGEXREPLACE(C36,""(.)"",""$1~""),""~""))))=len(C36)"),FALSE)</f>
        <v>0</v>
      </c>
      <c r="FE36" s="269" t="str">
        <f t="shared" si="71"/>
        <v>xoxoooxooxo</v>
      </c>
      <c r="FF36" s="269" t="str">
        <f t="shared" si="72"/>
        <v>-</v>
      </c>
      <c r="FG36" s="271" t="str">
        <f t="shared" si="73"/>
        <v>xoooxooxoxx</v>
      </c>
      <c r="FH36" s="269" t="str">
        <f t="shared" si="74"/>
        <v>-</v>
      </c>
      <c r="FI36" s="271" t="str">
        <f t="shared" si="75"/>
        <v>-</v>
      </c>
      <c r="FJ36" s="271" t="str">
        <f t="shared" si="76"/>
        <v>-</v>
      </c>
      <c r="FK36" s="271" t="str">
        <f t="shared" si="77"/>
        <v>xooxoxxoxoo</v>
      </c>
      <c r="FL36" s="271" t="str">
        <f t="shared" si="78"/>
        <v>-</v>
      </c>
      <c r="FM36" s="271" t="str">
        <f t="shared" si="79"/>
        <v>-</v>
      </c>
      <c r="FN36" s="271" t="str">
        <f t="shared" si="80"/>
        <v>xoxxoxoooxo</v>
      </c>
      <c r="FO36" s="274" t="str">
        <f t="shared" si="81"/>
        <v>-</v>
      </c>
      <c r="FP36" s="234" t="str">
        <f t="shared" si="82"/>
        <v>|</v>
      </c>
      <c r="FQ36" s="236" t="str">
        <f t="shared" si="83"/>
        <v>|</v>
      </c>
      <c r="FR36" s="237" t="str">
        <f t="shared" si="84"/>
        <v>-</v>
      </c>
      <c r="FS36" s="236" t="str">
        <f t="shared" si="85"/>
        <v>|</v>
      </c>
      <c r="FT36" s="237" t="str">
        <f t="shared" si="86"/>
        <v>-</v>
      </c>
      <c r="FU36" s="236" t="str">
        <f t="shared" si="87"/>
        <v>-</v>
      </c>
      <c r="FV36" s="237" t="str">
        <f t="shared" si="88"/>
        <v>-</v>
      </c>
      <c r="FW36" s="236" t="str">
        <f t="shared" si="89"/>
        <v>|</v>
      </c>
      <c r="FX36" s="237" t="str">
        <f t="shared" si="90"/>
        <v>-</v>
      </c>
      <c r="FY36" s="236" t="str">
        <f t="shared" si="91"/>
        <v>-</v>
      </c>
      <c r="FZ36" s="237" t="str">
        <f t="shared" si="92"/>
        <v>|</v>
      </c>
      <c r="GA36" s="236" t="str">
        <f t="shared" si="93"/>
        <v>-</v>
      </c>
      <c r="GB36" s="238" t="str">
        <f t="shared" si="94"/>
        <v>|</v>
      </c>
      <c r="GC36" s="244" t="str">
        <f>IFERROR(__xludf.DUMMYFUNCTION("IF(REGEXMATCH(C36, ""S""), ""1"","""")"),"1")</f>
        <v>1</v>
      </c>
      <c r="GD36" s="245" t="str">
        <f>IFERROR(__xludf.DUMMYFUNCTION("IF(REGEXMATCH(C36, ""r""), ""b2"","""")"),"b2")</f>
        <v>b2</v>
      </c>
      <c r="GE36" s="246" t="str">
        <f>IFERROR(__xludf.DUMMYFUNCTION("IF(REGEXMATCH(C36, ""R""), ""2"","""")"),"")</f>
        <v/>
      </c>
      <c r="GF36" s="246" t="str">
        <f>IFERROR(__xludf.DUMMYFUNCTION("IF(REGEXMATCH(C36, ""g""), ""b3"","""")"),"b3")</f>
        <v>b3</v>
      </c>
      <c r="GG36" s="245" t="str">
        <f>IFERROR(__xludf.DUMMYFUNCTION("IF(REGEXMATCH(C36, ""G""), ""3"","""")"),"")</f>
        <v/>
      </c>
      <c r="GH36" s="245" t="str">
        <f>IFERROR(__xludf.DUMMYFUNCTION("IF(REGEXMATCH(C36, ""m""), ""4"","""")"),"")</f>
        <v/>
      </c>
      <c r="GI36" s="246" t="str">
        <f>IFERROR(__xludf.DUMMYFUNCTION("IF(REGEXMATCH(C36, ""M""), ""#4"","""")"),"")</f>
        <v/>
      </c>
      <c r="GJ36" s="245" t="str">
        <f>IFERROR(__xludf.DUMMYFUNCTION("IF(REGEXMATCH(C36, ""P""), ""5"","""")"),"5")</f>
        <v>5</v>
      </c>
      <c r="GK36" s="246" t="str">
        <f>IFERROR(__xludf.DUMMYFUNCTION("IF(REGEXMATCH(C36, ""d""), ""b6"","""")"),"")</f>
        <v/>
      </c>
      <c r="GL36" s="245" t="str">
        <f>IFERROR(__xludf.DUMMYFUNCTION("IF(REGEXMATCH(C36, ""D""), ""6"","""")"),"")</f>
        <v/>
      </c>
      <c r="GM36" s="245" t="str">
        <f>IFERROR(__xludf.DUMMYFUNCTION("IF(REGEXMATCH(C36, ""n""), ""b7"","""")"),"b7")</f>
        <v>b7</v>
      </c>
      <c r="GN36" s="246" t="str">
        <f>IFERROR(__xludf.DUMMYFUNCTION("IF(REGEXMATCH(C36, ""N""), ""7"","""")"),"")</f>
        <v/>
      </c>
      <c r="GO36" s="249" t="str">
        <f>IFERROR(__xludf.DUMMYFUNCTION("IF(REGEXMATCH(C36, ""S""), ""8"","""")"),"8")</f>
        <v>8</v>
      </c>
      <c r="GP36" s="244" t="str">
        <f>IFERROR(__xludf.DUMMYFUNCTION("IF(REGEXMATCH(C36, ""S""), ""S"","""")"),"S")</f>
        <v>S</v>
      </c>
      <c r="GQ36" s="294" t="str">
        <f>IFERROR(__xludf.DUMMYFUNCTION("IF(REGEXMATCH(C36, ""r""), ""R1"","""")"),"R1")</f>
        <v>R1</v>
      </c>
      <c r="GR36" s="295" t="str">
        <f>IFERROR(__xludf.DUMMYFUNCTION("IF(REGEXMATCH(C36, ""R""), ""R2"","""")"),"")</f>
        <v/>
      </c>
      <c r="GS36" s="295" t="str">
        <f>IFERROR(__xludf.DUMMYFUNCTION("IF(REGEXMATCH(C36, ""g""), ""G2"","""")"),"G2")</f>
        <v>G2</v>
      </c>
      <c r="GT36" s="294" t="str">
        <f>IFERROR(__xludf.DUMMYFUNCTION("IF(REGEXMATCH(C36, ""G""), ""G3"","""")"),"")</f>
        <v/>
      </c>
      <c r="GU36" s="294" t="str">
        <f>IFERROR(__xludf.DUMMYFUNCTION("IF(REGEXMATCH(C36, ""m""), ""M1"","""")"),"")</f>
        <v/>
      </c>
      <c r="GV36" s="295" t="str">
        <f>IFERROR(__xludf.DUMMYFUNCTION("IF(REGEXMATCH(C36, ""M""), ""M2"","""")"),"")</f>
        <v/>
      </c>
      <c r="GW36" s="294" t="str">
        <f>IFERROR(__xludf.DUMMYFUNCTION("IF(REGEXMATCH(C36, ""P""), ""P"","""")"),"P")</f>
        <v>P</v>
      </c>
      <c r="GX36" s="295" t="str">
        <f>IFERROR(__xludf.DUMMYFUNCTION("IF(REGEXMATCH(C36, ""d""), ""D1"","""")"),"")</f>
        <v/>
      </c>
      <c r="GY36" s="294" t="str">
        <f>IFERROR(__xludf.DUMMYFUNCTION("IF(REGEXMATCH(C36, ""D""), ""D2"","""")"),"")</f>
        <v/>
      </c>
      <c r="GZ36" s="294" t="str">
        <f>IFERROR(__xludf.DUMMYFUNCTION("IF(REGEXMATCH(C36, ""n""), ""N2"","""")"),"N2")</f>
        <v>N2</v>
      </c>
      <c r="HA36" s="295" t="str">
        <f>IFERROR(__xludf.DUMMYFUNCTION("IF(REGEXMATCH(C36, ""N""), ""N3"","""")"),"")</f>
        <v/>
      </c>
      <c r="HB36" s="249" t="str">
        <f>IFERROR(__xludf.DUMMYFUNCTION("IF(REGEXMATCH(C36, ""S""), ""S"","""")"),"S")</f>
        <v>S</v>
      </c>
      <c r="HC36" s="331" t="str">
        <f t="shared" si="95"/>
        <v>S</v>
      </c>
      <c r="HD36" s="332" t="str">
        <f t="shared" si="96"/>
        <v/>
      </c>
      <c r="HE36" s="332" t="str">
        <f t="shared" si="97"/>
        <v>R</v>
      </c>
      <c r="HF36" s="332" t="str">
        <f t="shared" si="98"/>
        <v/>
      </c>
      <c r="HG36" s="332" t="str">
        <f t="shared" si="99"/>
        <v/>
      </c>
      <c r="HH36" s="332" t="str">
        <f t="shared" si="100"/>
        <v>m</v>
      </c>
      <c r="HI36" s="332" t="str">
        <f t="shared" si="101"/>
        <v/>
      </c>
      <c r="HJ36" s="332" t="str">
        <f t="shared" si="102"/>
        <v/>
      </c>
      <c r="HK36" s="332" t="str">
        <f t="shared" si="103"/>
        <v/>
      </c>
      <c r="HL36" s="332" t="str">
        <f t="shared" si="104"/>
        <v>D</v>
      </c>
      <c r="HM36" s="332" t="str">
        <f t="shared" si="105"/>
        <v/>
      </c>
      <c r="HN36" s="332" t="str">
        <f t="shared" si="106"/>
        <v>N</v>
      </c>
      <c r="HO36" s="343" t="str">
        <f t="shared" si="107"/>
        <v>S</v>
      </c>
      <c r="HP36" s="331" t="str">
        <f t="shared" si="108"/>
        <v>o</v>
      </c>
      <c r="HQ36" s="332" t="str">
        <f t="shared" si="109"/>
        <v>o</v>
      </c>
      <c r="HR36" s="332" t="str">
        <f t="shared" si="110"/>
        <v>•</v>
      </c>
      <c r="HS36" s="332" t="str">
        <f t="shared" si="111"/>
        <v>o</v>
      </c>
      <c r="HT36" s="332" t="str">
        <f t="shared" si="112"/>
        <v>•</v>
      </c>
      <c r="HU36" s="332" t="str">
        <f t="shared" si="113"/>
        <v>•</v>
      </c>
      <c r="HV36" s="332" t="str">
        <f t="shared" si="114"/>
        <v>•</v>
      </c>
      <c r="HW36" s="332" t="str">
        <f t="shared" si="115"/>
        <v>o</v>
      </c>
      <c r="HX36" s="332" t="str">
        <f t="shared" si="116"/>
        <v>•</v>
      </c>
      <c r="HY36" s="332" t="str">
        <f t="shared" si="117"/>
        <v>•</v>
      </c>
      <c r="HZ36" s="332" t="str">
        <f t="shared" si="118"/>
        <v>o</v>
      </c>
      <c r="IA36" s="332" t="str">
        <f t="shared" si="119"/>
        <v>•</v>
      </c>
      <c r="IB36" s="338" t="str">
        <f t="shared" si="120"/>
        <v>o</v>
      </c>
      <c r="IC36" s="331" t="str">
        <f t="shared" si="121"/>
        <v>•</v>
      </c>
      <c r="ID36" s="332" t="str">
        <f t="shared" si="122"/>
        <v>•</v>
      </c>
      <c r="IE36" s="332" t="str">
        <f t="shared" si="123"/>
        <v>o</v>
      </c>
      <c r="IF36" s="332" t="str">
        <f t="shared" si="124"/>
        <v>•</v>
      </c>
      <c r="IG36" s="332" t="str">
        <f t="shared" si="125"/>
        <v>o</v>
      </c>
      <c r="IH36" s="332" t="str">
        <f t="shared" si="126"/>
        <v>o</v>
      </c>
      <c r="II36" s="332" t="str">
        <f t="shared" si="127"/>
        <v>o</v>
      </c>
      <c r="IJ36" s="332" t="str">
        <f t="shared" si="128"/>
        <v>•</v>
      </c>
      <c r="IK36" s="332" t="str">
        <f t="shared" si="129"/>
        <v>o</v>
      </c>
      <c r="IL36" s="332" t="str">
        <f t="shared" si="130"/>
        <v>o</v>
      </c>
      <c r="IM36" s="332" t="str">
        <f t="shared" si="131"/>
        <v>•</v>
      </c>
      <c r="IN36" s="332" t="str">
        <f t="shared" si="132"/>
        <v>o</v>
      </c>
      <c r="IO36" s="338" t="str">
        <f t="shared" si="133"/>
        <v>•</v>
      </c>
      <c r="IP36" s="346" t="b">
        <f t="shared" si="134"/>
        <v>0</v>
      </c>
      <c r="IQ36" s="347" t="b">
        <f t="shared" si="135"/>
        <v>1</v>
      </c>
      <c r="IR36" s="347" t="b">
        <f t="shared" si="136"/>
        <v>0</v>
      </c>
      <c r="IS36" s="347" t="b">
        <f t="shared" si="137"/>
        <v>0</v>
      </c>
      <c r="IT36" s="347" t="b">
        <f t="shared" si="138"/>
        <v>0</v>
      </c>
      <c r="IU36" s="347" t="b">
        <f t="shared" si="139"/>
        <v>0</v>
      </c>
      <c r="IV36" s="347" t="b">
        <f t="shared" si="140"/>
        <v>0</v>
      </c>
      <c r="IW36" s="347" t="b">
        <f t="shared" si="141"/>
        <v>1</v>
      </c>
      <c r="IX36" s="347" t="b">
        <f t="shared" si="142"/>
        <v>0</v>
      </c>
      <c r="IY36" s="347" t="b">
        <f t="shared" si="143"/>
        <v>0</v>
      </c>
      <c r="IZ36" s="347" t="b">
        <f t="shared" si="144"/>
        <v>1</v>
      </c>
      <c r="JA36" s="347" t="b">
        <f t="shared" si="145"/>
        <v>0</v>
      </c>
      <c r="JB36" s="353" t="b">
        <f t="shared" si="146"/>
        <v>0</v>
      </c>
      <c r="JC36" s="354" t="str">
        <f t="shared" si="147"/>
        <v/>
      </c>
      <c r="JD36" s="355" t="str">
        <f t="shared" si="148"/>
        <v>re, </v>
      </c>
      <c r="JE36" s="355" t="str">
        <f t="shared" si="149"/>
        <v/>
      </c>
      <c r="JF36" s="355" t="str">
        <f t="shared" si="150"/>
        <v/>
      </c>
      <c r="JG36" s="355" t="str">
        <f t="shared" si="151"/>
        <v/>
      </c>
      <c r="JH36" s="355" t="str">
        <f t="shared" si="152"/>
        <v/>
      </c>
      <c r="JI36" s="355" t="str">
        <f t="shared" si="153"/>
        <v/>
      </c>
      <c r="JJ36" s="355" t="str">
        <f t="shared" si="154"/>
        <v>Pa, </v>
      </c>
      <c r="JK36" s="355" t="str">
        <f t="shared" si="155"/>
        <v/>
      </c>
      <c r="JL36" s="355" t="str">
        <f t="shared" si="156"/>
        <v/>
      </c>
      <c r="JM36" s="355" t="str">
        <f t="shared" si="157"/>
        <v>ni, </v>
      </c>
      <c r="JN36" s="355" t="str">
        <f t="shared" si="158"/>
        <v/>
      </c>
      <c r="JO36" s="359" t="str">
        <f t="shared" si="159"/>
        <v/>
      </c>
      <c r="JP36" s="346" t="b">
        <f t="shared" si="160"/>
        <v>0</v>
      </c>
      <c r="JQ36" s="347" t="b">
        <f t="shared" si="161"/>
        <v>1</v>
      </c>
      <c r="JR36" s="347" t="b">
        <f t="shared" si="162"/>
        <v>0</v>
      </c>
      <c r="JS36" s="347" t="b">
        <f t="shared" si="163"/>
        <v>0</v>
      </c>
      <c r="JT36" s="347" t="b">
        <f t="shared" si="164"/>
        <v>0</v>
      </c>
      <c r="JU36" s="347" t="b">
        <f t="shared" si="165"/>
        <v>0</v>
      </c>
      <c r="JV36" s="347" t="b">
        <f t="shared" si="166"/>
        <v>0</v>
      </c>
      <c r="JW36" s="347" t="b">
        <f t="shared" si="167"/>
        <v>0</v>
      </c>
      <c r="JX36" s="347" t="b">
        <f t="shared" si="168"/>
        <v>0</v>
      </c>
      <c r="JY36" s="347" t="b">
        <f t="shared" si="169"/>
        <v>0</v>
      </c>
      <c r="JZ36" s="347" t="b">
        <f t="shared" si="170"/>
        <v>0</v>
      </c>
      <c r="KA36" s="347" t="b">
        <f t="shared" si="171"/>
        <v>0</v>
      </c>
      <c r="KB36" s="365" t="b">
        <f t="shared" si="172"/>
        <v>0</v>
      </c>
      <c r="KC36" s="354" t="str">
        <f t="shared" si="173"/>
        <v/>
      </c>
      <c r="KD36" s="355" t="str">
        <f t="shared" si="174"/>
        <v>re, </v>
      </c>
      <c r="KE36" s="355" t="str">
        <f t="shared" si="175"/>
        <v/>
      </c>
      <c r="KF36" s="355" t="str">
        <f t="shared" si="176"/>
        <v/>
      </c>
      <c r="KG36" s="355" t="str">
        <f t="shared" si="177"/>
        <v/>
      </c>
      <c r="KH36" s="355" t="str">
        <f t="shared" si="178"/>
        <v/>
      </c>
      <c r="KI36" s="355" t="str">
        <f t="shared" si="179"/>
        <v/>
      </c>
      <c r="KJ36" s="355" t="str">
        <f t="shared" si="180"/>
        <v/>
      </c>
      <c r="KK36" s="355" t="str">
        <f t="shared" si="181"/>
        <v/>
      </c>
      <c r="KL36" s="355" t="str">
        <f t="shared" si="182"/>
        <v/>
      </c>
      <c r="KM36" s="355" t="str">
        <f t="shared" si="183"/>
        <v/>
      </c>
      <c r="KN36" s="355" t="str">
        <f t="shared" si="184"/>
        <v/>
      </c>
      <c r="KO36" s="359"/>
      <c r="KP36" s="378"/>
      <c r="KQ36" s="379" t="s">
        <v>573</v>
      </c>
      <c r="KR36" s="380" t="s">
        <v>1307</v>
      </c>
      <c r="KS36" s="381" t="str">
        <f t="shared" si="263"/>
        <v>S-r-g-P-n-S</v>
      </c>
      <c r="KT36" s="382">
        <f t="shared" si="186"/>
        <v>5</v>
      </c>
      <c r="KU36" s="383">
        <f t="shared" si="187"/>
        <v>5</v>
      </c>
      <c r="KV36" s="381" t="str">
        <f t="shared" si="205"/>
        <v>S-n-P-g-r-S</v>
      </c>
      <c r="KW36" s="382">
        <f t="shared" si="189"/>
        <v>5</v>
      </c>
      <c r="KX36" s="384">
        <f t="shared" si="190"/>
        <v>5</v>
      </c>
      <c r="KY36" s="382">
        <f t="shared" ref="KY36:KZ36" si="266">KW36-KT36</f>
        <v>0</v>
      </c>
      <c r="KZ36" s="369">
        <f t="shared" si="266"/>
        <v>0</v>
      </c>
      <c r="LA36" s="385" t="str">
        <f t="shared" si="192"/>
        <v>✔</v>
      </c>
      <c r="LB36" s="340" t="str">
        <f>IFERROR(__xludf.DUMMYFUNCTION("JOIN("""",ArrayFormula(MID(KS36,LEN(KS36)-SEQUENCE(1,LEN(KS36))+1,1)))"),"S-n-P-g-r-S")</f>
        <v>S-n-P-g-r-S</v>
      </c>
      <c r="LC36" s="373" t="str">
        <f>IFERROR(__xludf.DUMMYFUNCTION("JOIN("""",ArrayFormula(MID(KV36,LEN(KV36)-SEQUENCE(1,LEN(KV36))+1,1)))"),"S-r-g-P-n-S")</f>
        <v>S-r-g-P-n-S</v>
      </c>
      <c r="LD36" s="373" t="str">
        <f t="shared" si="193"/>
        <v>SrgPnS</v>
      </c>
      <c r="LE36" s="339" t="str">
        <f t="shared" si="194"/>
        <v>SrgPnS</v>
      </c>
      <c r="LF36" s="386" t="str">
        <f>IFERROR(__xludf.DUMMYFUNCTION("SUBSTITUTE(SUBSTITUTE(CONCATENATE(JOIN("""",LH36:LT36)),""1"",""""),""2"","""")"),"SrgPnS")</f>
        <v>SrgPnS</v>
      </c>
      <c r="LG36" s="369" t="str">
        <f t="shared" si="195"/>
        <v>✔</v>
      </c>
      <c r="LH36" s="387" t="str">
        <f>IFERROR(__xludf.DUMMYFUNCTION("IF(REGEXMATCH(LD36, ""S""), ""S"",IF(REGEXMATCH(LE36, ""S""), ""S"",""""))"),"S")</f>
        <v>S</v>
      </c>
      <c r="LI36" s="299" t="str">
        <f>IFERROR(__xludf.DUMMYFUNCTION("IF(REGEXMATCH(LD36, ""r""), ""r1"",IF(REGEXMATCH(LE36, ""r""), ""r2"",""""))"),"r1")</f>
        <v>r1</v>
      </c>
      <c r="LJ36" s="299" t="str">
        <f>IFERROR(__xludf.DUMMYFUNCTION("IF(REGEXMATCH(LD36, ""R""), ""R1"",IF(REGEXMATCH(LE36, ""R""), ""R2"",""""))"),"")</f>
        <v/>
      </c>
      <c r="LK36" s="299" t="str">
        <f>IFERROR(__xludf.DUMMYFUNCTION("IF(REGEXMATCH(LD36, ""g""), ""g1"",IF(REGEXMATCH(LE36, ""g""), ""g2"",""""))"),"g1")</f>
        <v>g1</v>
      </c>
      <c r="LL36" s="299" t="str">
        <f>IFERROR(__xludf.DUMMYFUNCTION("IF(REGEXMATCH(LD36, ""G""), ""G1"",IF(REGEXMATCH(LE36, ""G""), ""G2"",""""))"),"")</f>
        <v/>
      </c>
      <c r="LM36" s="299" t="str">
        <f>IFERROR(__xludf.DUMMYFUNCTION("IF(REGEXMATCH(LD36, ""m""), ""m1"",IF(REGEXMATCH(LE36, ""m""), ""m2"",""""))"),"")</f>
        <v/>
      </c>
      <c r="LN36" s="299" t="str">
        <f>IFERROR(__xludf.DUMMYFUNCTION("IF(REGEXMATCH(LD36, ""M""), ""M1"",IF(REGEXMATCH(LE36, ""M""), ""M2"",""""))"),"")</f>
        <v/>
      </c>
      <c r="LO36" s="299" t="str">
        <f>IFERROR(__xludf.DUMMYFUNCTION("IF(REGEXMATCH(LD36, ""P""), ""P1"",IF(REGEXMATCH(LE36, ""P""), ""P2"",""""))"),"P1")</f>
        <v>P1</v>
      </c>
      <c r="LP36" s="299" t="str">
        <f>IFERROR(__xludf.DUMMYFUNCTION("IF(REGEXMATCH(LD36, ""d""), ""d1"",IF(REGEXMATCH(LE36, ""d""), ""d2"",""""))"),"")</f>
        <v/>
      </c>
      <c r="LQ36" s="299" t="str">
        <f>IFERROR(__xludf.DUMMYFUNCTION("IF(REGEXMATCH(LD36, ""D""), ""D1"",IF(REGEXMATCH(LE36, ""D""), ""D2"",""""))"),"")</f>
        <v/>
      </c>
      <c r="LR36" s="299" t="str">
        <f>IFERROR(__xludf.DUMMYFUNCTION("IF(REGEXMATCH(LD36, ""n""), ""n1"",IF(REGEXMATCH(LE36, ""n""), ""n2"",""""))"),"n1")</f>
        <v>n1</v>
      </c>
      <c r="LS36" s="299" t="str">
        <f>IFERROR(__xludf.DUMMYFUNCTION("IF(REGEXMATCH(LD36, ""N""), ""N1"",IF(REGEXMATCH(LE36, ""N""), ""N2"",""""))"),"")</f>
        <v/>
      </c>
      <c r="LT36" s="388" t="str">
        <f>IFERROR(__xludf.DUMMYFUNCTION("IF(REGEXMATCH(LD36, ""S""), ""S"",IF(REGEXMATCH(LE36, ""S""), ""S"",""""))"),"S")</f>
        <v>S</v>
      </c>
      <c r="LU36" s="389">
        <f t="shared" si="196"/>
        <v>1</v>
      </c>
      <c r="LV36" s="378"/>
      <c r="LW36" s="369"/>
      <c r="LX36" s="369"/>
    </row>
    <row r="37" ht="20.25" customHeight="1">
      <c r="A37" s="298" t="s">
        <v>575</v>
      </c>
      <c r="B37" s="222" t="s">
        <v>576</v>
      </c>
      <c r="C37" s="233" t="str">
        <f t="shared" si="7"/>
        <v>SrGmPdS</v>
      </c>
      <c r="D37" s="234" t="str">
        <f>IFERROR(__xludf.DUMMYFUNCTION("IF(REGEXMATCH(C37, ""S""), ""S"","""")"),"S")</f>
        <v>S</v>
      </c>
      <c r="E37" s="236" t="str">
        <f>IFERROR(__xludf.DUMMYFUNCTION("IF(REGEXMATCH(C37, ""r""), ""r"","""")"),"r")</f>
        <v>r</v>
      </c>
      <c r="F37" s="237" t="str">
        <f>IFERROR(__xludf.DUMMYFUNCTION("IF(REGEXMATCH(C37, ""R""), ""R"","""")"),"")</f>
        <v/>
      </c>
      <c r="G37" s="237" t="str">
        <f>IFERROR(__xludf.DUMMYFUNCTION("IF(REGEXMATCH(C37, ""g""), ""g"","""")"),"")</f>
        <v/>
      </c>
      <c r="H37" s="236" t="str">
        <f>IFERROR(__xludf.DUMMYFUNCTION("IF(REGEXMATCH(C37, ""G""), ""G"","""")"),"G")</f>
        <v>G</v>
      </c>
      <c r="I37" s="236" t="str">
        <f>IFERROR(__xludf.DUMMYFUNCTION("IF(REGEXMATCH(C37, ""m""), ""m"","""")"),"m")</f>
        <v>m</v>
      </c>
      <c r="J37" s="237" t="str">
        <f>IFERROR(__xludf.DUMMYFUNCTION("IF(REGEXMATCH(C37, ""M""), ""M"","""")"),"")</f>
        <v/>
      </c>
      <c r="K37" s="236" t="str">
        <f>IFERROR(__xludf.DUMMYFUNCTION("IF(REGEXMATCH(C37, ""P""), ""P"","""")"),"P")</f>
        <v>P</v>
      </c>
      <c r="L37" s="237" t="str">
        <f>IFERROR(__xludf.DUMMYFUNCTION("IF(REGEXMATCH(C37, ""d""), ""d"","""")"),"d")</f>
        <v>d</v>
      </c>
      <c r="M37" s="236" t="str">
        <f>IFERROR(__xludf.DUMMYFUNCTION("IF(REGEXMATCH(C37, ""D""), ""D"","""")"),"")</f>
        <v/>
      </c>
      <c r="N37" s="236" t="str">
        <f>IFERROR(__xludf.DUMMYFUNCTION("IF(REGEXMATCH(C37, ""n""), ""n"","""")"),"")</f>
        <v/>
      </c>
      <c r="O37" s="237" t="str">
        <f>IFERROR(__xludf.DUMMYFUNCTION("IF(REGEXMATCH(C37, ""N""), ""N"","""")"),"")</f>
        <v/>
      </c>
      <c r="P37" s="238" t="str">
        <f>IFERROR(__xludf.DUMMYFUNCTION("IF(REGEXMATCH(C37, ""S""), ""S"","""")"),"S")</f>
        <v>S</v>
      </c>
      <c r="Q37" s="239" t="str">
        <f>IFERROR(__xludf.DUMMYFUNCTION("SUBSTITUTE(CONCATENATE(JOIN(""-"",D37:J37)),""-"","""")"),"SrGm")</f>
        <v>SrGm</v>
      </c>
      <c r="R37" s="229" t="str">
        <f>IFERROR(__xludf.DUMMYFUNCTION("SUBSTITUTE(CONCATENATE(JOIN(""-"",K37:P37)),""-"","""")"),"PdS")</f>
        <v>PdS</v>
      </c>
      <c r="S37" s="282" t="str">
        <f t="shared" si="8"/>
        <v>S-R-G-M</v>
      </c>
      <c r="T37" s="282" t="str">
        <f t="shared" si="9"/>
        <v>P-D-S</v>
      </c>
      <c r="U37" s="237" t="str">
        <f>IFERROR(__xludf.DUMMYFUNCTION("SUBSTITUTE(JOIN(""-"",S37,T37),""--"",""-"")"),"S-R-G-M-P-D-S")</f>
        <v>S-R-G-M-P-D-S</v>
      </c>
      <c r="V37" s="309" t="str">
        <f t="shared" si="10"/>
        <v>rGmd</v>
      </c>
      <c r="W37" s="244" t="str">
        <f>IFERROR(__xludf.DUMMYFUNCTION("IF(REGEXMATCH(C37, ""S""), ""0"","""")"),"0")</f>
        <v>0</v>
      </c>
      <c r="X37" s="245" t="str">
        <f>IFERROR(__xludf.DUMMYFUNCTION("IF(REGEXMATCH(C37, ""r""), ""1"","""")"),"1")</f>
        <v>1</v>
      </c>
      <c r="Y37" s="246" t="str">
        <f>IFERROR(__xludf.DUMMYFUNCTION("IF(REGEXMATCH(C37, ""R""), ""2"","""")"),"")</f>
        <v/>
      </c>
      <c r="Z37" s="246" t="str">
        <f>IFERROR(__xludf.DUMMYFUNCTION("IF(REGEXMATCH(C37, ""g""), ""3"","""")"),"")</f>
        <v/>
      </c>
      <c r="AA37" s="245" t="str">
        <f>IFERROR(__xludf.DUMMYFUNCTION("IF(REGEXMATCH(C37, ""G""), ""4"","""")"),"4")</f>
        <v>4</v>
      </c>
      <c r="AB37" s="245" t="str">
        <f>IFERROR(__xludf.DUMMYFUNCTION("IF(REGEXMATCH(C37, ""m""), ""5"","""")"),"5")</f>
        <v>5</v>
      </c>
      <c r="AC37" s="246" t="str">
        <f>IFERROR(__xludf.DUMMYFUNCTION("IF(REGEXMATCH(C37, ""M""), ""6"","""")"),"")</f>
        <v/>
      </c>
      <c r="AD37" s="245" t="str">
        <f>IFERROR(__xludf.DUMMYFUNCTION("IF(REGEXMATCH(C37, ""P""), ""7"","""")"),"7")</f>
        <v>7</v>
      </c>
      <c r="AE37" s="246" t="str">
        <f>IFERROR(__xludf.DUMMYFUNCTION("IF(REGEXMATCH(C37, ""d""), ""8"","""")"),"8")</f>
        <v>8</v>
      </c>
      <c r="AF37" s="245" t="str">
        <f>IFERROR(__xludf.DUMMYFUNCTION("IF(REGEXMATCH(C37, ""D""), ""9"","""")"),"")</f>
        <v/>
      </c>
      <c r="AG37" s="245" t="str">
        <f>IFERROR(__xludf.DUMMYFUNCTION("IF(REGEXMATCH(C37, ""n""), ""10"","""")"),"")</f>
        <v/>
      </c>
      <c r="AH37" s="246" t="str">
        <f>IFERROR(__xludf.DUMMYFUNCTION("IF(REGEXMATCH(C37, ""N""), ""11"","""")"),"")</f>
        <v/>
      </c>
      <c r="AI37" s="249" t="str">
        <f>IFERROR(__xludf.DUMMYFUNCTION("IF(REGEXMATCH(C37, ""S""), ""0"","""")"),"0")</f>
        <v>0</v>
      </c>
      <c r="AJ37" s="313" t="str">
        <f t="shared" si="11"/>
        <v>-</v>
      </c>
      <c r="AK37" s="313" t="str">
        <f t="shared" si="12"/>
        <v>T</v>
      </c>
      <c r="AL37" s="313" t="str">
        <f t="shared" si="13"/>
        <v>-</v>
      </c>
      <c r="AM37" s="313" t="str">
        <f t="shared" si="14"/>
        <v>-</v>
      </c>
      <c r="AN37" s="313" t="str">
        <f t="shared" si="15"/>
        <v>-</v>
      </c>
      <c r="AO37" s="314" t="str">
        <f t="shared" si="16"/>
        <v>-</v>
      </c>
      <c r="AP37" s="316">
        <f t="shared" si="17"/>
        <v>1</v>
      </c>
      <c r="AQ37" s="319" t="str">
        <f t="shared" si="18"/>
        <v>#REF!</v>
      </c>
      <c r="AR37" s="320">
        <f t="shared" si="19"/>
        <v>0</v>
      </c>
      <c r="AS37" s="250" t="str">
        <f>IFERROR(__xludf.DUMMYFUNCTION("SUBSTITUTE(SUBSTITUTE(CONCATENATE(JOIN("""",FP37:GA37)),""|"",""x""),""-"",""o"")"),"xxooxxoxxooo")</f>
        <v>xxooxxoxxooo</v>
      </c>
      <c r="AT37" s="323" t="str">
        <f>IFERROR(__xludf.DUMMYFUNCTION("JOIN("""",AS37,AS37)"),"xxooxxoxxoooxxooxxoxxooo")</f>
        <v>xxooxxoxxoooxxooxxoxxooo</v>
      </c>
      <c r="AU37" s="256" t="str">
        <f>IFERROR(__xludf.DUMMYFUNCTION("JOIN("""",ArrayFormula(MID(AS37,LEN(AS37)-SEQUENCE(1,LEN(AS37))+1,1)))"),"oooxxoxxooxx")</f>
        <v>oooxxoxxooxx</v>
      </c>
      <c r="AV37" s="256" t="str">
        <f>IFERROR(__xludf.DUMMYFUNCTION("LEFT(CONCATENATE(""x"",JOIN("""",ArrayFormula(MID(AS37,LEN(AS37)-SEQUENCE(1,LEN(AS37))+1,1)))),12)"),"xoooxxoxxoox")</f>
        <v>xoooxxoxxoox</v>
      </c>
      <c r="AW37" s="327" t="str">
        <f>IFERROR(__xludf.DUMMYFUNCTION("JOIN("""",AU37,AU37)"),"oooxxoxxooxxoooxxoxxooxx")</f>
        <v>oooxxoxxooxxoooxxoxxooxx</v>
      </c>
      <c r="AX37" s="239" t="str">
        <f>IFERROR(__xludf.DUMMYFUNCTION("IF(REGEXMATCH(AW37,AS37),""✔"",""-"")"),"-")</f>
        <v>-</v>
      </c>
      <c r="AY37" s="330" t="str">
        <f t="shared" si="20"/>
        <v>-</v>
      </c>
      <c r="AZ37" s="260" t="str">
        <f t="shared" si="21"/>
        <v>#REF!</v>
      </c>
      <c r="BA37" s="333" t="str">
        <f t="shared" si="22"/>
        <v>xxooxxo</v>
      </c>
      <c r="BB37" s="334" t="str">
        <f t="shared" si="23"/>
        <v>xxooox</v>
      </c>
      <c r="BC37" s="335" t="str">
        <f t="shared" si="236"/>
        <v>-</v>
      </c>
      <c r="BD37" s="336" t="str">
        <f t="shared" si="25"/>
        <v>Bangal Bhairav: 'xxooxxo' + 'xxooox'</v>
      </c>
      <c r="BE37" s="337">
        <f>IFERROR(__xludf.DUMMYFUNCTION("COUNTUNIQUE(FILTER(AT:AT,REGEXMATCH(AT:AT,AS37)))-1"),0.0)</f>
        <v>0</v>
      </c>
      <c r="BF37" s="261" t="str">
        <f>IFERROR(__xludf.DUMMYFUNCTION("IF(BI37=0,""(n/a)"",IF(BJ37=2,""(PAIR)"",IF(REGEXMATCH(AT37,""xoxoxxoxoxox""),""Bilawal"",IF(REGEXMATCH(AT37,""xoxoxooxoxoo""),""Bhupali"",IF(REGEXMATCH(AT37,""xoxoxxoxxoxo""),""Charukeshi"",IF(REGEXMATCH(AT37,""xoxoooxxoxxo""),""Kameshwari"",IF(REGEXMATC"&amp;"H(AT37,""xoxoxooxoxox""),""Shankara"",IF(REGEXMATCH(AT37,""xxooxoxxxoox""),""Basant"",IF(REGEXMATCH(AT37,""xoxoxxxxoxox""),""Bihag"",IF(REGEXMATCH(AT37,""xoxxxxoxoxxx""),""Pilu"",IF(REGEXMATCH(AT37,""xoxxoxoxxoox""),""Kirwani"",IF(REGEXMATCH(AT37,""xoxxox"&amp;"oxoxxx""),""Mk.Malhar"",IF(REGEXMATCH(AT37,""xxooxxoxxoox""),""Bhairav"",IF(REGEXMATCH(AT37,""xxoxooxxxoox""),""Todi"",IF(REGEXMATCH(AT37,""xxooxoxooxox""),""Marwa"",IF(REGEXMATCH(AT37,""xxoooxoxxooo""),""Gunkali"",IF(REGEXMATCH(AT37,""xoxoxxoxxoox""),""N"&amp;"at Bhairav"",IF(REGEXMATCH(AT37,""xoxxoooxoxoo""),""Shivranjani"",IF(REGEXMATCH(AT37,""xooxxxoxooxo""),""Jog"",IF(REGEXMATCH(AT37,""xxooxoxoxoox""),""Hemshri"",IF(REGEXMATCH(AT37,""xoooxooxoxxo""),""Kalavati"",IF(REGEXMATCH(AT37,""xxoxoxxoxoox""),""Kedar"&amp;""",IF(REGEXMATCH(AT37,""xoxxxxoxooxx""),""Gara"",IF(REGEXMATCH(AT37,""xooxoxooxoox""),""Chandrakauns"",IF(REGEXMATCH(AT37,""xoxxxxoxxxox""),""Mand"",IF(REGEXMATCH(AT37,""xoxxxxoxoxox""),""Hanskinkini"",IF(REGEXMATCH(AT37,""xxooxxoxooxo""),""Lilavati"",IF("&amp;"REGEXMATCH(AT37,""xooxoxoooxox""),""Rajeshwari"",IF(REGEXMATCH(AT37,""xoooxxoxoxxx""),""Khokar"",IF(REGEXMATCH(AT37,""xxooxoxxxxox""),""Maligoura"",""-""))))))))))))))))))))))))))))))"),"(n/a)")</f>
        <v>(n/a)</v>
      </c>
      <c r="BG37" s="239" t="str">
        <f t="shared" si="26"/>
        <v>#REF!</v>
      </c>
      <c r="BH37" s="239">
        <f>IFERROR(__xludf.DUMMYFUNCTION("COUNTUNIQUE(FE37:FO37)-1"),5.0)</f>
        <v>5</v>
      </c>
      <c r="BI37" s="239">
        <f>IFERROR(__xludf.DUMMYFUNCTION("COUNTUNIQUE(FILTER(AT:AT,REGEXMATCH(AT:AT,AS37)))-1"),0.0)</f>
        <v>0</v>
      </c>
      <c r="BJ37" s="239">
        <f>IFERROR(__xludf.DUMMYFUNCTION("COUNTA(FILTER(AT:AT,REGEXMATCH(AT:AT,AS37)))"),1.0)</f>
        <v>1</v>
      </c>
      <c r="BK37" s="341">
        <f>IFERROR(__xludf.DUMMYFUNCTION("COUNTA(FILTER(AT:AT,REGEXMATCH(AT:AT,AS37)))-AR37"),1.0)</f>
        <v>1</v>
      </c>
      <c r="BL37" s="276" t="str">
        <f>IFERROR(__xludf.DUMMYFUNCTION("IF(AS37=""oooooooooooo"",""-"",IF(REGEXMATCH(AT37,""xx""), ""Hemi."", ""Anhemi.""))"),"Hemi.")</f>
        <v>Hemi.</v>
      </c>
      <c r="BM37" s="282" t="str">
        <f>IFERROR(__xludf.DUMMYFUNCTION("IF(AS37=""oooooooooooo"",""-"",IF(REGEXMATCH(AT37,""xxx""), ""Cohem."", ""-""))"),"-")</f>
        <v>-</v>
      </c>
      <c r="BN37" s="282" t="str">
        <f>IFERROR(__xludf.DUMMYFUNCTION("IF(AS37=""oooooooooooo"",""-"",IF(REGEXMATCH(AT37,""xxxx""), ""Co-Co."", ""-""))"),"-")</f>
        <v>-</v>
      </c>
      <c r="BO37" s="342" t="str">
        <f>IFERROR(__xludf.DUMMYFUNCTION("IF(AS37=""oooooooooooo"",""-"",IF(REGEXMATCH(AT37,""xxxxx""), ""CCC."", ""-""))"),"-")</f>
        <v>-</v>
      </c>
      <c r="BP37" s="344" t="str">
        <f t="shared" si="27"/>
        <v>-</v>
      </c>
      <c r="BQ37" s="282" t="str">
        <f>IFERROR(__xludf.DUMMYFUNCTION("IF(REGEXMATCH(JOIN(""-"",EU37:FD37),""TRUE""),""✔"",""-"")"),"✔")</f>
        <v>✔</v>
      </c>
      <c r="BR37" s="225">
        <f t="shared" si="28"/>
        <v>1</v>
      </c>
      <c r="BS37" s="345" t="str">
        <f>IFERROR(__xludf.DUMMYFUNCTION("SUBSTITUTE(SUBSTITUTE(SUBSTITUTE(SUBSTITUTE(CONCATENATE(JOIN(""-"",GC37:GO37)),""--"",""-""),""--"",""-""),""--"",""-""),""--"",""-"")"),"1-b2-3-4-5-b6-8")</f>
        <v>1-b2-3-4-5-b6-8</v>
      </c>
      <c r="BT37" s="299" t="str">
        <f>IFERROR(__xludf.DUMMYFUNCTION("SUBSTITUTE(SUBSTITUTE(SUBSTITUTE(SUBSTITUTE(CONCATENATE(JOIN(""-"",GP37:HB37)),""--"",""-""),""--"",""-""),""--"",""-""),""--"",""-"")"),"S-R1-G3-M1-P-D1-S")</f>
        <v>S-R1-G3-M1-P-D1-S</v>
      </c>
      <c r="BU37" s="348" t="str">
        <f t="shared" si="29"/>
        <v>C-Db-E-F-G-Ab-C</v>
      </c>
      <c r="BV37" s="349" t="str">
        <f t="shared" si="30"/>
        <v>SRgMDnNS</v>
      </c>
      <c r="BW37" s="350">
        <f t="shared" si="31"/>
        <v>0</v>
      </c>
      <c r="BX37" s="351">
        <f t="shared" si="32"/>
        <v>1</v>
      </c>
      <c r="BY37" s="392"/>
      <c r="BZ37" s="309" t="str">
        <f>IFERROR(__xludf.DUMMYFUNCTION("IF(REGEXMATCH(C37, ""S""), ""x"",""x"")"),"x")</f>
        <v>x</v>
      </c>
      <c r="CA37" s="245" t="str">
        <f>IFERROR(__xludf.DUMMYFUNCTION("IF(REGEXMATCH(C37, ""r""), ""o"",""x"")"),"o")</f>
        <v>o</v>
      </c>
      <c r="CB37" s="246" t="str">
        <f>IFERROR(__xludf.DUMMYFUNCTION("IF(REGEXMATCH(C37, ""R""), ""o"",""x"")"),"x")</f>
        <v>x</v>
      </c>
      <c r="CC37" s="246" t="str">
        <f>IFERROR(__xludf.DUMMYFUNCTION("IF(REGEXMATCH(C37, ""g""), ""o"",""x"")"),"x")</f>
        <v>x</v>
      </c>
      <c r="CD37" s="245" t="str">
        <f>IFERROR(__xludf.DUMMYFUNCTION("IF(REGEXMATCH(C37, ""G""), ""o"",""x"")"),"o")</f>
        <v>o</v>
      </c>
      <c r="CE37" s="245" t="str">
        <f>IFERROR(__xludf.DUMMYFUNCTION("IF(REGEXMATCH(C37, ""m""), ""o"",""x"")"),"o")</f>
        <v>o</v>
      </c>
      <c r="CF37" s="246" t="str">
        <f>IFERROR(__xludf.DUMMYFUNCTION("IF(REGEXMATCH(C37, ""M""), ""o"",""x"")"),"x")</f>
        <v>x</v>
      </c>
      <c r="CG37" s="245" t="str">
        <f>IFERROR(__xludf.DUMMYFUNCTION("IF(REGEXMATCH(C37, ""P""), ""o"",""x"")"),"o")</f>
        <v>o</v>
      </c>
      <c r="CH37" s="246" t="str">
        <f>IFERROR(__xludf.DUMMYFUNCTION("IF(REGEXMATCH(C37, ""d""), ""o"",""x"")"),"o")</f>
        <v>o</v>
      </c>
      <c r="CI37" s="245" t="str">
        <f>IFERROR(__xludf.DUMMYFUNCTION("IF(REGEXMATCH(C37, ""D""), ""o"",""x"")"),"x")</f>
        <v>x</v>
      </c>
      <c r="CJ37" s="245" t="str">
        <f>IFERROR(__xludf.DUMMYFUNCTION("IF(REGEXMATCH(C37, ""n""), ""o"",""x"")"),"x")</f>
        <v>x</v>
      </c>
      <c r="CK37" s="245" t="str">
        <f>IFERROR(__xludf.DUMMYFUNCTION("IF(REGEXMATCH(C37, ""N""), ""o"",""x"")"),"x")</f>
        <v>x</v>
      </c>
      <c r="CL37" s="356" t="str">
        <f>IFERROR(__xludf.DUMMYFUNCTION("IF(REGEXMATCH(C37, ""S""), ""x"",""x"")"),"x")</f>
        <v>x</v>
      </c>
      <c r="CM37" s="357" t="str">
        <f t="shared" si="33"/>
        <v>xoxxooxooxxx</v>
      </c>
      <c r="CN37" s="358">
        <f t="shared" si="34"/>
        <v>0</v>
      </c>
      <c r="CO37" s="246" t="str">
        <f>IFERROR(__xludf.DUMMYFUNCTION("IF(REGEXMATCH($C37, ""S""), ""S"",""S"")"),"S")</f>
        <v>S</v>
      </c>
      <c r="CP37" s="246" t="str">
        <f>IFERROR(__xludf.DUMMYFUNCTION("IF(REGEXMATCH($C37, ""r""), """",""r"")"),"")</f>
        <v/>
      </c>
      <c r="CQ37" s="246" t="str">
        <f>IFERROR(__xludf.DUMMYFUNCTION("IF(REGEXMATCH($C37, ""R""), """",""R"")"),"R")</f>
        <v>R</v>
      </c>
      <c r="CR37" s="246" t="str">
        <f>IFERROR(__xludf.DUMMYFUNCTION("IF(REGEXMATCH($C37, ""g""), """",""g"")"),"g")</f>
        <v>g</v>
      </c>
      <c r="CS37" s="246" t="str">
        <f>IFERROR(__xludf.DUMMYFUNCTION("IF(REGEXMATCH($C37, ""G""), """",""G"")"),"")</f>
        <v/>
      </c>
      <c r="CT37" s="246" t="str">
        <f>IFERROR(__xludf.DUMMYFUNCTION("IF(REGEXMATCH($C37, ""m""), """",""m"")"),"")</f>
        <v/>
      </c>
      <c r="CU37" s="246" t="str">
        <f>IFERROR(__xludf.DUMMYFUNCTION("IF(REGEXMATCH($C37, ""M""), """",""M"")"),"M")</f>
        <v>M</v>
      </c>
      <c r="CV37" s="246" t="str">
        <f>IFERROR(__xludf.DUMMYFUNCTION("IF(REGEXMATCH($C37, ""P""), """",""P"")"),"")</f>
        <v/>
      </c>
      <c r="CW37" s="246" t="str">
        <f>IFERROR(__xludf.DUMMYFUNCTION("IF(REGEXMATCH($C37, ""d""), """",""d"")"),"")</f>
        <v/>
      </c>
      <c r="CX37" s="246" t="str">
        <f>IFERROR(__xludf.DUMMYFUNCTION("IF(REGEXMATCH($C37, ""D""), """",""D"")"),"D")</f>
        <v>D</v>
      </c>
      <c r="CY37" s="246" t="str">
        <f>IFERROR(__xludf.DUMMYFUNCTION("IF(REGEXMATCH($C37, ""n""), """",""n"")"),"n")</f>
        <v>n</v>
      </c>
      <c r="CZ37" s="246" t="str">
        <f>IFERROR(__xludf.DUMMYFUNCTION("IF(REGEXMATCH($C37, ""N""), """",""N"")"),"N")</f>
        <v>N</v>
      </c>
      <c r="DA37" s="246" t="str">
        <f>IFERROR(__xludf.DUMMYFUNCTION("IF(REGEXMATCH($C37, ""S""), ""S"",""S"")"),"S")</f>
        <v>S</v>
      </c>
      <c r="DB37" s="362" t="str">
        <f>IFERROR(__xludf.DUMMYFUNCTION("JOIN("""",CO37:DA37,"""","""")"),"SRgMDnNS")</f>
        <v>SRgMDnNS</v>
      </c>
      <c r="DC37" s="363"/>
      <c r="DD37" s="301" t="str">
        <f t="shared" si="35"/>
        <v>#REF!</v>
      </c>
      <c r="DE37" s="302" t="str">
        <f t="shared" si="36"/>
        <v>#REF!</v>
      </c>
      <c r="DF37" s="301" t="str">
        <f t="shared" ref="DF37:DG37" si="267">SUBSTITUTE(S37,"-","")</f>
        <v>SRGM</v>
      </c>
      <c r="DG37" s="301" t="str">
        <f t="shared" si="267"/>
        <v>PDS</v>
      </c>
      <c r="DH37" s="302" t="str">
        <f t="shared" si="38"/>
        <v>(n/a)</v>
      </c>
      <c r="DI37" s="301" t="str">
        <f t="shared" si="39"/>
        <v>Hemi.</v>
      </c>
      <c r="DJ37" s="364" t="str">
        <f t="shared" si="40"/>
        <v>-</v>
      </c>
      <c r="DK37" s="306" t="str">
        <f t="shared" si="41"/>
        <v>-</v>
      </c>
      <c r="DL37" s="366" t="str">
        <f t="shared" si="42"/>
        <v>✔</v>
      </c>
      <c r="DM37" s="308" t="str">
        <f t="shared" si="43"/>
        <v>-</v>
      </c>
      <c r="DN37" s="306" t="str">
        <f t="shared" si="44"/>
        <v>-</v>
      </c>
      <c r="DO37" s="306" t="str">
        <f t="shared" si="45"/>
        <v>-</v>
      </c>
      <c r="DP37" s="367" t="str">
        <f t="shared" si="46"/>
        <v>-</v>
      </c>
      <c r="DQ37" s="310" t="str">
        <f t="shared" si="47"/>
        <v>-</v>
      </c>
      <c r="DR37" s="310" t="str">
        <f t="shared" si="48"/>
        <v>-</v>
      </c>
      <c r="DS37" s="310" t="str">
        <f t="shared" si="49"/>
        <v>-</v>
      </c>
      <c r="DT37" s="310" t="str">
        <f t="shared" si="50"/>
        <v>-</v>
      </c>
      <c r="DU37" s="370" t="str">
        <f t="shared" si="51"/>
        <v>-</v>
      </c>
      <c r="DV37" s="306" t="str">
        <f t="shared" si="52"/>
        <v>-</v>
      </c>
      <c r="DW37" s="306" t="str">
        <f t="shared" si="53"/>
        <v>-</v>
      </c>
      <c r="DX37" s="306" t="str">
        <f t="shared" si="54"/>
        <v>-</v>
      </c>
      <c r="DY37" s="306" t="str">
        <f t="shared" si="55"/>
        <v>-</v>
      </c>
      <c r="DZ37" s="306" t="str">
        <f t="shared" si="56"/>
        <v>-</v>
      </c>
      <c r="EA37" s="367" t="str">
        <f t="shared" si="57"/>
        <v>✔</v>
      </c>
      <c r="EB37" s="310" t="str">
        <f>IFERROR(__xludf.DUMMYFUNCTION("IF(REGEXMATCH(AW37,AS37),""✔"",""-"")"),"-")</f>
        <v>-</v>
      </c>
      <c r="EC37" s="310" t="str">
        <f t="shared" si="58"/>
        <v>#REF!</v>
      </c>
      <c r="ED37" s="370" t="str">
        <f t="shared" si="59"/>
        <v>-</v>
      </c>
      <c r="EE37" s="340" t="str">
        <f t="shared" si="60"/>
        <v>S-r-G-m-P-d-S</v>
      </c>
      <c r="EF37" s="371" t="str">
        <f>IFERROR(__xludf.DUMMYFUNCTION("CONCATENATE(JOIN("""",HC37:HO37))"),"SGmPdNS")</f>
        <v>SGmPdNS</v>
      </c>
      <c r="EG37" s="372">
        <f t="shared" si="61"/>
        <v>3</v>
      </c>
      <c r="EH37" s="373" t="str">
        <f>IFERROR(__xludf.DUMMYFUNCTION("CONCATENATE(JOIN("""",JC37:JO37))"),"Ga, Pa, dha, ")</f>
        <v>Ga, Pa, dha, </v>
      </c>
      <c r="EI37" s="322">
        <f t="shared" si="62"/>
        <v>1</v>
      </c>
      <c r="EJ37" s="374" t="str">
        <f>IFERROR(__xludf.DUMMYFUNCTION("CONCATENATE(JOIN("""",KC37:KO37))"),"Ga, ")</f>
        <v>Ga, </v>
      </c>
      <c r="EK37" s="325" t="str">
        <f t="shared" si="63"/>
        <v>S-R1-G3-M1-P-D1-S</v>
      </c>
      <c r="EL37" s="326" t="str">
        <f t="shared" si="64"/>
        <v>1-b2-3-4-5-b6-8</v>
      </c>
      <c r="EM37" s="318" t="str">
        <f t="shared" si="65"/>
        <v>#REF!</v>
      </c>
      <c r="EN37" s="328" t="str">
        <f>IFERROR(__xludf.DUMMYFUNCTION("SUBSTITUTE(SUBSTITUTE(SUBSTITUTE(SUBSTITUTE(CONCATENATE(JOIN("" "",HP37:IB37)),""  "","" ""),""  "","" ""),""  "","" ""),""  "","" "")"),"o o • • o o • o o • • • o")</f>
        <v>o o • • o o • o o • • • o</v>
      </c>
      <c r="EO37" s="368" t="str">
        <f t="shared" si="66"/>
        <v>-</v>
      </c>
      <c r="EP37" s="339" t="str">
        <f t="shared" si="67"/>
        <v>-</v>
      </c>
      <c r="EQ37" s="339" t="str">
        <f t="shared" si="68"/>
        <v>Sa-Pa</v>
      </c>
      <c r="ER37" s="339" t="str">
        <f t="shared" si="69"/>
        <v>-</v>
      </c>
      <c r="ES37" s="340" t="str">
        <f t="shared" si="70"/>
        <v>-</v>
      </c>
      <c r="ET37" s="363"/>
      <c r="EU37" s="376" t="b">
        <f>IFERROR(__xludf.DUMMYFUNCTION("arrayformula(sum(--REGEXMATCH(""SRGMPDNS"",split(REGEXREPLACE(C37,""(.)"",""$1~""),""~""))))=len(C37)
"),FALSE)</f>
        <v>0</v>
      </c>
      <c r="EV37" s="290" t="b">
        <f>IFERROR(__xludf.DUMMYFUNCTION("arrayformula(sum(--REGEXMATCH(""SRGmPDNS"",split(REGEXREPLACE(C37,""(.)"",""$1~""),""~""))))=len(C37)"),FALSE)</f>
        <v>0</v>
      </c>
      <c r="EW37" s="290" t="b">
        <f>IFERROR(__xludf.DUMMYFUNCTION("arrayformula(sum(--REGEXMATCH(""SRGmPDnS"",split(REGEXREPLACE(C37,""(.)"",""$1~""),""~""))))=len(C37)"),FALSE)</f>
        <v>0</v>
      </c>
      <c r="EX37" s="290" t="b">
        <f>IFERROR(__xludf.DUMMYFUNCTION("arrayformula(sum(--REGEXMATCH(""SRgmPDnS"",split(REGEXREPLACE(C37,""(.)"",""$1~""),""~""))))=len(C37)"),FALSE)</f>
        <v>0</v>
      </c>
      <c r="EY37" s="290" t="b">
        <f>IFERROR(__xludf.DUMMYFUNCTION("arrayformula(sum(--REGEXMATCH(""SRgmPdnS"",split(REGEXREPLACE(C37,""(.)"",""$1~""),""~""))))=len(C37)"),FALSE)</f>
        <v>0</v>
      </c>
      <c r="EZ37" s="290" t="b">
        <f>IFERROR(__xludf.DUMMYFUNCTION("arrayformula(sum(--REGEXMATCH(""SrgmPdnS"",split(REGEXREPLACE(C37,""(.)"",""$1~""),""~""))))=len(C37)"),FALSE)</f>
        <v>0</v>
      </c>
      <c r="FA37" s="290" t="b">
        <f>IFERROR(__xludf.DUMMYFUNCTION("arrayformula(sum(--REGEXMATCH(""SrGmPdNS"",split(REGEXREPLACE(C37,""(.)"",""$1~""),""~""))))=len(C37)"),TRUE)</f>
        <v>1</v>
      </c>
      <c r="FB37" s="290" t="b">
        <f>IFERROR(__xludf.DUMMYFUNCTION("arrayformula(sum(--REGEXMATCH(""SrGMPDNS"",split(REGEXREPLACE(C37,""(.)"",""$1~""),""~""))))=len(C37)"),FALSE)</f>
        <v>0</v>
      </c>
      <c r="FC37" s="290" t="b">
        <f>IFERROR(__xludf.DUMMYFUNCTION("arrayformula(sum(--REGEXMATCH(""SrGMPdNS"",split(REGEXREPLACE(C37,""(.)"",""$1~""),""~""))))=len(C37)"),FALSE)</f>
        <v>0</v>
      </c>
      <c r="FD37" s="377" t="b">
        <f>IFERROR(__xludf.DUMMYFUNCTION("arrayformula(sum(--REGEXMATCH(""SrgMPdNS"",split(REGEXREPLACE(C37,""(.)"",""$1~""),""~""))))=len(C37)"),FALSE)</f>
        <v>0</v>
      </c>
      <c r="FE37" s="269" t="str">
        <f t="shared" si="71"/>
        <v>xooxxoxxooo</v>
      </c>
      <c r="FF37" s="269" t="str">
        <f t="shared" si="72"/>
        <v>-</v>
      </c>
      <c r="FG37" s="271" t="str">
        <f t="shared" si="73"/>
        <v>-</v>
      </c>
      <c r="FH37" s="269" t="str">
        <f t="shared" si="74"/>
        <v>xxoxxoooxxo</v>
      </c>
      <c r="FI37" s="271" t="str">
        <f t="shared" si="75"/>
        <v>xoxxoooxxoo</v>
      </c>
      <c r="FJ37" s="271" t="str">
        <f t="shared" si="76"/>
        <v>-</v>
      </c>
      <c r="FK37" s="271" t="str">
        <f t="shared" si="77"/>
        <v>xxoooxxooxx</v>
      </c>
      <c r="FL37" s="271" t="str">
        <f t="shared" si="78"/>
        <v>xoooxxooxxo</v>
      </c>
      <c r="FM37" s="271" t="str">
        <f t="shared" si="79"/>
        <v>-</v>
      </c>
      <c r="FN37" s="271" t="str">
        <f t="shared" si="80"/>
        <v>-</v>
      </c>
      <c r="FO37" s="274" t="str">
        <f t="shared" si="81"/>
        <v>-</v>
      </c>
      <c r="FP37" s="234" t="str">
        <f t="shared" si="82"/>
        <v>|</v>
      </c>
      <c r="FQ37" s="236" t="str">
        <f t="shared" si="83"/>
        <v>|</v>
      </c>
      <c r="FR37" s="237" t="str">
        <f t="shared" si="84"/>
        <v>-</v>
      </c>
      <c r="FS37" s="236" t="str">
        <f t="shared" si="85"/>
        <v>-</v>
      </c>
      <c r="FT37" s="237" t="str">
        <f t="shared" si="86"/>
        <v>|</v>
      </c>
      <c r="FU37" s="236" t="str">
        <f t="shared" si="87"/>
        <v>|</v>
      </c>
      <c r="FV37" s="237" t="str">
        <f t="shared" si="88"/>
        <v>-</v>
      </c>
      <c r="FW37" s="236" t="str">
        <f t="shared" si="89"/>
        <v>|</v>
      </c>
      <c r="FX37" s="237" t="str">
        <f t="shared" si="90"/>
        <v>|</v>
      </c>
      <c r="FY37" s="236" t="str">
        <f t="shared" si="91"/>
        <v>-</v>
      </c>
      <c r="FZ37" s="237" t="str">
        <f t="shared" si="92"/>
        <v>-</v>
      </c>
      <c r="GA37" s="236" t="str">
        <f t="shared" si="93"/>
        <v>-</v>
      </c>
      <c r="GB37" s="238" t="str">
        <f t="shared" si="94"/>
        <v>|</v>
      </c>
      <c r="GC37" s="244" t="str">
        <f>IFERROR(__xludf.DUMMYFUNCTION("IF(REGEXMATCH(C37, ""S""), ""1"","""")"),"1")</f>
        <v>1</v>
      </c>
      <c r="GD37" s="245" t="str">
        <f>IFERROR(__xludf.DUMMYFUNCTION("IF(REGEXMATCH(C37, ""r""), ""b2"","""")"),"b2")</f>
        <v>b2</v>
      </c>
      <c r="GE37" s="246" t="str">
        <f>IFERROR(__xludf.DUMMYFUNCTION("IF(REGEXMATCH(C37, ""R""), ""2"","""")"),"")</f>
        <v/>
      </c>
      <c r="GF37" s="246" t="str">
        <f>IFERROR(__xludf.DUMMYFUNCTION("IF(REGEXMATCH(C37, ""g""), ""b3"","""")"),"")</f>
        <v/>
      </c>
      <c r="GG37" s="245" t="str">
        <f>IFERROR(__xludf.DUMMYFUNCTION("IF(REGEXMATCH(C37, ""G""), ""3"","""")"),"3")</f>
        <v>3</v>
      </c>
      <c r="GH37" s="245" t="str">
        <f>IFERROR(__xludf.DUMMYFUNCTION("IF(REGEXMATCH(C37, ""m""), ""4"","""")"),"4")</f>
        <v>4</v>
      </c>
      <c r="GI37" s="246" t="str">
        <f>IFERROR(__xludf.DUMMYFUNCTION("IF(REGEXMATCH(C37, ""M""), ""#4"","""")"),"")</f>
        <v/>
      </c>
      <c r="GJ37" s="245" t="str">
        <f>IFERROR(__xludf.DUMMYFUNCTION("IF(REGEXMATCH(C37, ""P""), ""5"","""")"),"5")</f>
        <v>5</v>
      </c>
      <c r="GK37" s="246" t="str">
        <f>IFERROR(__xludf.DUMMYFUNCTION("IF(REGEXMATCH(C37, ""d""), ""b6"","""")"),"b6")</f>
        <v>b6</v>
      </c>
      <c r="GL37" s="245" t="str">
        <f>IFERROR(__xludf.DUMMYFUNCTION("IF(REGEXMATCH(C37, ""D""), ""6"","""")"),"")</f>
        <v/>
      </c>
      <c r="GM37" s="245" t="str">
        <f>IFERROR(__xludf.DUMMYFUNCTION("IF(REGEXMATCH(C37, ""n""), ""b7"","""")"),"")</f>
        <v/>
      </c>
      <c r="GN37" s="246" t="str">
        <f>IFERROR(__xludf.DUMMYFUNCTION("IF(REGEXMATCH(C37, ""N""), ""7"","""")"),"")</f>
        <v/>
      </c>
      <c r="GO37" s="249" t="str">
        <f>IFERROR(__xludf.DUMMYFUNCTION("IF(REGEXMATCH(C37, ""S""), ""8"","""")"),"8")</f>
        <v>8</v>
      </c>
      <c r="GP37" s="244" t="str">
        <f>IFERROR(__xludf.DUMMYFUNCTION("IF(REGEXMATCH(C37, ""S""), ""S"","""")"),"S")</f>
        <v>S</v>
      </c>
      <c r="GQ37" s="294" t="str">
        <f>IFERROR(__xludf.DUMMYFUNCTION("IF(REGEXMATCH(C37, ""r""), ""R1"","""")"),"R1")</f>
        <v>R1</v>
      </c>
      <c r="GR37" s="295" t="str">
        <f>IFERROR(__xludf.DUMMYFUNCTION("IF(REGEXMATCH(C37, ""R""), ""R2"","""")"),"")</f>
        <v/>
      </c>
      <c r="GS37" s="295" t="str">
        <f>IFERROR(__xludf.DUMMYFUNCTION("IF(REGEXMATCH(C37, ""g""), ""G2"","""")"),"")</f>
        <v/>
      </c>
      <c r="GT37" s="294" t="str">
        <f>IFERROR(__xludf.DUMMYFUNCTION("IF(REGEXMATCH(C37, ""G""), ""G3"","""")"),"G3")</f>
        <v>G3</v>
      </c>
      <c r="GU37" s="294" t="str">
        <f>IFERROR(__xludf.DUMMYFUNCTION("IF(REGEXMATCH(C37, ""m""), ""M1"","""")"),"M1")</f>
        <v>M1</v>
      </c>
      <c r="GV37" s="295" t="str">
        <f>IFERROR(__xludf.DUMMYFUNCTION("IF(REGEXMATCH(C37, ""M""), ""M2"","""")"),"")</f>
        <v/>
      </c>
      <c r="GW37" s="294" t="str">
        <f>IFERROR(__xludf.DUMMYFUNCTION("IF(REGEXMATCH(C37, ""P""), ""P"","""")"),"P")</f>
        <v>P</v>
      </c>
      <c r="GX37" s="295" t="str">
        <f>IFERROR(__xludf.DUMMYFUNCTION("IF(REGEXMATCH(C37, ""d""), ""D1"","""")"),"D1")</f>
        <v>D1</v>
      </c>
      <c r="GY37" s="294" t="str">
        <f>IFERROR(__xludf.DUMMYFUNCTION("IF(REGEXMATCH(C37, ""D""), ""D2"","""")"),"")</f>
        <v/>
      </c>
      <c r="GZ37" s="294" t="str">
        <f>IFERROR(__xludf.DUMMYFUNCTION("IF(REGEXMATCH(C37, ""n""), ""N2"","""")"),"")</f>
        <v/>
      </c>
      <c r="HA37" s="295" t="str">
        <f>IFERROR(__xludf.DUMMYFUNCTION("IF(REGEXMATCH(C37, ""N""), ""N3"","""")"),"")</f>
        <v/>
      </c>
      <c r="HB37" s="249" t="str">
        <f>IFERROR(__xludf.DUMMYFUNCTION("IF(REGEXMATCH(C37, ""S""), ""S"","""")"),"S")</f>
        <v>S</v>
      </c>
      <c r="HC37" s="331" t="str">
        <f t="shared" si="95"/>
        <v>S</v>
      </c>
      <c r="HD37" s="332" t="str">
        <f t="shared" si="96"/>
        <v/>
      </c>
      <c r="HE37" s="332" t="str">
        <f t="shared" si="97"/>
        <v/>
      </c>
      <c r="HF37" s="332" t="str">
        <f t="shared" si="98"/>
        <v/>
      </c>
      <c r="HG37" s="332" t="str">
        <f t="shared" si="99"/>
        <v>G</v>
      </c>
      <c r="HH37" s="332" t="str">
        <f t="shared" si="100"/>
        <v>m</v>
      </c>
      <c r="HI37" s="332" t="str">
        <f t="shared" si="101"/>
        <v/>
      </c>
      <c r="HJ37" s="332" t="str">
        <f t="shared" si="102"/>
        <v>P</v>
      </c>
      <c r="HK37" s="332" t="str">
        <f t="shared" si="103"/>
        <v>d</v>
      </c>
      <c r="HL37" s="332" t="str">
        <f t="shared" si="104"/>
        <v/>
      </c>
      <c r="HM37" s="332" t="str">
        <f t="shared" si="105"/>
        <v/>
      </c>
      <c r="HN37" s="332" t="str">
        <f t="shared" si="106"/>
        <v>N</v>
      </c>
      <c r="HO37" s="343" t="str">
        <f t="shared" si="107"/>
        <v>S</v>
      </c>
      <c r="HP37" s="331" t="str">
        <f t="shared" si="108"/>
        <v>o</v>
      </c>
      <c r="HQ37" s="332" t="str">
        <f t="shared" si="109"/>
        <v>o</v>
      </c>
      <c r="HR37" s="332" t="str">
        <f t="shared" si="110"/>
        <v>•</v>
      </c>
      <c r="HS37" s="332" t="str">
        <f t="shared" si="111"/>
        <v>•</v>
      </c>
      <c r="HT37" s="332" t="str">
        <f t="shared" si="112"/>
        <v>o</v>
      </c>
      <c r="HU37" s="332" t="str">
        <f t="shared" si="113"/>
        <v>o</v>
      </c>
      <c r="HV37" s="332" t="str">
        <f t="shared" si="114"/>
        <v>•</v>
      </c>
      <c r="HW37" s="332" t="str">
        <f t="shared" si="115"/>
        <v>o</v>
      </c>
      <c r="HX37" s="332" t="str">
        <f t="shared" si="116"/>
        <v>o</v>
      </c>
      <c r="HY37" s="332" t="str">
        <f t="shared" si="117"/>
        <v>•</v>
      </c>
      <c r="HZ37" s="332" t="str">
        <f t="shared" si="118"/>
        <v>•</v>
      </c>
      <c r="IA37" s="332" t="str">
        <f t="shared" si="119"/>
        <v>•</v>
      </c>
      <c r="IB37" s="338" t="str">
        <f t="shared" si="120"/>
        <v>o</v>
      </c>
      <c r="IC37" s="331" t="str">
        <f t="shared" si="121"/>
        <v>•</v>
      </c>
      <c r="ID37" s="332" t="str">
        <f t="shared" si="122"/>
        <v>•</v>
      </c>
      <c r="IE37" s="332" t="str">
        <f t="shared" si="123"/>
        <v>o</v>
      </c>
      <c r="IF37" s="332" t="str">
        <f t="shared" si="124"/>
        <v>o</v>
      </c>
      <c r="IG37" s="332" t="str">
        <f t="shared" si="125"/>
        <v>•</v>
      </c>
      <c r="IH37" s="332" t="str">
        <f t="shared" si="126"/>
        <v>•</v>
      </c>
      <c r="II37" s="332" t="str">
        <f t="shared" si="127"/>
        <v>o</v>
      </c>
      <c r="IJ37" s="332" t="str">
        <f t="shared" si="128"/>
        <v>•</v>
      </c>
      <c r="IK37" s="332" t="str">
        <f t="shared" si="129"/>
        <v>•</v>
      </c>
      <c r="IL37" s="332" t="str">
        <f t="shared" si="130"/>
        <v>o</v>
      </c>
      <c r="IM37" s="332" t="str">
        <f t="shared" si="131"/>
        <v>o</v>
      </c>
      <c r="IN37" s="332" t="str">
        <f t="shared" si="132"/>
        <v>o</v>
      </c>
      <c r="IO37" s="338" t="str">
        <f t="shared" si="133"/>
        <v>•</v>
      </c>
      <c r="IP37" s="346" t="b">
        <f t="shared" si="134"/>
        <v>0</v>
      </c>
      <c r="IQ37" s="347" t="b">
        <f t="shared" si="135"/>
        <v>0</v>
      </c>
      <c r="IR37" s="347" t="b">
        <f t="shared" si="136"/>
        <v>0</v>
      </c>
      <c r="IS37" s="347" t="b">
        <f t="shared" si="137"/>
        <v>0</v>
      </c>
      <c r="IT37" s="347" t="b">
        <f t="shared" si="138"/>
        <v>1</v>
      </c>
      <c r="IU37" s="347" t="b">
        <f t="shared" si="139"/>
        <v>0</v>
      </c>
      <c r="IV37" s="347" t="b">
        <f t="shared" si="140"/>
        <v>0</v>
      </c>
      <c r="IW37" s="347" t="b">
        <f t="shared" si="141"/>
        <v>1</v>
      </c>
      <c r="IX37" s="347" t="b">
        <f t="shared" si="142"/>
        <v>1</v>
      </c>
      <c r="IY37" s="347" t="b">
        <f t="shared" si="143"/>
        <v>0</v>
      </c>
      <c r="IZ37" s="347" t="b">
        <f t="shared" si="144"/>
        <v>0</v>
      </c>
      <c r="JA37" s="347" t="b">
        <f t="shared" si="145"/>
        <v>0</v>
      </c>
      <c r="JB37" s="353" t="b">
        <f t="shared" si="146"/>
        <v>0</v>
      </c>
      <c r="JC37" s="354" t="str">
        <f t="shared" si="147"/>
        <v/>
      </c>
      <c r="JD37" s="355" t="str">
        <f t="shared" si="148"/>
        <v/>
      </c>
      <c r="JE37" s="355" t="str">
        <f t="shared" si="149"/>
        <v/>
      </c>
      <c r="JF37" s="355" t="str">
        <f t="shared" si="150"/>
        <v/>
      </c>
      <c r="JG37" s="355" t="str">
        <f t="shared" si="151"/>
        <v>Ga, </v>
      </c>
      <c r="JH37" s="355" t="str">
        <f t="shared" si="152"/>
        <v/>
      </c>
      <c r="JI37" s="355" t="str">
        <f t="shared" si="153"/>
        <v/>
      </c>
      <c r="JJ37" s="355" t="str">
        <f t="shared" si="154"/>
        <v>Pa, </v>
      </c>
      <c r="JK37" s="355" t="str">
        <f t="shared" si="155"/>
        <v>dha, </v>
      </c>
      <c r="JL37" s="355" t="str">
        <f t="shared" si="156"/>
        <v/>
      </c>
      <c r="JM37" s="355" t="str">
        <f t="shared" si="157"/>
        <v/>
      </c>
      <c r="JN37" s="355" t="str">
        <f t="shared" si="158"/>
        <v/>
      </c>
      <c r="JO37" s="359" t="str">
        <f t="shared" si="159"/>
        <v/>
      </c>
      <c r="JP37" s="346" t="b">
        <f t="shared" si="160"/>
        <v>0</v>
      </c>
      <c r="JQ37" s="347" t="b">
        <f t="shared" si="161"/>
        <v>0</v>
      </c>
      <c r="JR37" s="347" t="b">
        <f t="shared" si="162"/>
        <v>0</v>
      </c>
      <c r="JS37" s="347" t="b">
        <f t="shared" si="163"/>
        <v>0</v>
      </c>
      <c r="JT37" s="347" t="b">
        <f t="shared" si="164"/>
        <v>1</v>
      </c>
      <c r="JU37" s="347" t="b">
        <f t="shared" si="165"/>
        <v>0</v>
      </c>
      <c r="JV37" s="347" t="b">
        <f t="shared" si="166"/>
        <v>0</v>
      </c>
      <c r="JW37" s="347" t="b">
        <f t="shared" si="167"/>
        <v>0</v>
      </c>
      <c r="JX37" s="347" t="b">
        <f t="shared" si="168"/>
        <v>0</v>
      </c>
      <c r="JY37" s="347" t="b">
        <f t="shared" si="169"/>
        <v>0</v>
      </c>
      <c r="JZ37" s="347" t="b">
        <f t="shared" si="170"/>
        <v>0</v>
      </c>
      <c r="KA37" s="347" t="b">
        <f t="shared" si="171"/>
        <v>0</v>
      </c>
      <c r="KB37" s="365" t="b">
        <f t="shared" si="172"/>
        <v>0</v>
      </c>
      <c r="KC37" s="354" t="str">
        <f t="shared" si="173"/>
        <v/>
      </c>
      <c r="KD37" s="355" t="str">
        <f t="shared" si="174"/>
        <v/>
      </c>
      <c r="KE37" s="355" t="str">
        <f t="shared" si="175"/>
        <v/>
      </c>
      <c r="KF37" s="355" t="str">
        <f t="shared" si="176"/>
        <v/>
      </c>
      <c r="KG37" s="355" t="str">
        <f t="shared" si="177"/>
        <v>Ga, </v>
      </c>
      <c r="KH37" s="355" t="str">
        <f t="shared" si="178"/>
        <v/>
      </c>
      <c r="KI37" s="355" t="str">
        <f t="shared" si="179"/>
        <v/>
      </c>
      <c r="KJ37" s="355" t="str">
        <f t="shared" si="180"/>
        <v/>
      </c>
      <c r="KK37" s="355" t="str">
        <f t="shared" si="181"/>
        <v/>
      </c>
      <c r="KL37" s="355" t="str">
        <f t="shared" si="182"/>
        <v/>
      </c>
      <c r="KM37" s="355" t="str">
        <f t="shared" si="183"/>
        <v/>
      </c>
      <c r="KN37" s="355" t="str">
        <f t="shared" si="184"/>
        <v/>
      </c>
      <c r="KO37" s="359"/>
      <c r="KP37" s="378"/>
      <c r="KQ37" s="379" t="s">
        <v>576</v>
      </c>
      <c r="KR37" s="380" t="s">
        <v>1308</v>
      </c>
      <c r="KS37" s="381" t="str">
        <f t="shared" si="263"/>
        <v>S-r-G-m-P-d-S</v>
      </c>
      <c r="KT37" s="382">
        <f t="shared" si="186"/>
        <v>6</v>
      </c>
      <c r="KU37" s="383">
        <f t="shared" si="187"/>
        <v>6</v>
      </c>
      <c r="KV37" s="381" t="str">
        <f t="shared" si="205"/>
        <v>S-d-P-m-G-r-S</v>
      </c>
      <c r="KW37" s="382">
        <f t="shared" si="189"/>
        <v>6</v>
      </c>
      <c r="KX37" s="384">
        <f t="shared" si="190"/>
        <v>6</v>
      </c>
      <c r="KY37" s="382">
        <f t="shared" ref="KY37:KZ37" si="268">KW37-KT37</f>
        <v>0</v>
      </c>
      <c r="KZ37" s="369">
        <f t="shared" si="268"/>
        <v>0</v>
      </c>
      <c r="LA37" s="385" t="str">
        <f t="shared" si="192"/>
        <v>✔</v>
      </c>
      <c r="LB37" s="340" t="str">
        <f>IFERROR(__xludf.DUMMYFUNCTION("JOIN("""",ArrayFormula(MID(KS37,LEN(KS37)-SEQUENCE(1,LEN(KS37))+1,1)))"),"S-d-P-m-G-r-S")</f>
        <v>S-d-P-m-G-r-S</v>
      </c>
      <c r="LC37" s="373" t="str">
        <f>IFERROR(__xludf.DUMMYFUNCTION("JOIN("""",ArrayFormula(MID(KV37,LEN(KV37)-SEQUENCE(1,LEN(KV37))+1,1)))"),"S-r-G-m-P-d-S")</f>
        <v>S-r-G-m-P-d-S</v>
      </c>
      <c r="LD37" s="373" t="str">
        <f t="shared" si="193"/>
        <v>SrGmPdS</v>
      </c>
      <c r="LE37" s="339" t="str">
        <f t="shared" si="194"/>
        <v>SrGmPdS</v>
      </c>
      <c r="LF37" s="386" t="str">
        <f>IFERROR(__xludf.DUMMYFUNCTION("SUBSTITUTE(SUBSTITUTE(CONCATENATE(JOIN("""",LH37:LT37)),""1"",""""),""2"","""")"),"SrGmPdS")</f>
        <v>SrGmPdS</v>
      </c>
      <c r="LG37" s="369" t="str">
        <f t="shared" si="195"/>
        <v>✔</v>
      </c>
      <c r="LH37" s="387" t="str">
        <f>IFERROR(__xludf.DUMMYFUNCTION("IF(REGEXMATCH(LD37, ""S""), ""S"",IF(REGEXMATCH(LE37, ""S""), ""S"",""""))"),"S")</f>
        <v>S</v>
      </c>
      <c r="LI37" s="299" t="str">
        <f>IFERROR(__xludf.DUMMYFUNCTION("IF(REGEXMATCH(LD37, ""r""), ""r1"",IF(REGEXMATCH(LE37, ""r""), ""r2"",""""))"),"r1")</f>
        <v>r1</v>
      </c>
      <c r="LJ37" s="299" t="str">
        <f>IFERROR(__xludf.DUMMYFUNCTION("IF(REGEXMATCH(LD37, ""R""), ""R1"",IF(REGEXMATCH(LE37, ""R""), ""R2"",""""))"),"")</f>
        <v/>
      </c>
      <c r="LK37" s="299" t="str">
        <f>IFERROR(__xludf.DUMMYFUNCTION("IF(REGEXMATCH(LD37, ""g""), ""g1"",IF(REGEXMATCH(LE37, ""g""), ""g2"",""""))"),"")</f>
        <v/>
      </c>
      <c r="LL37" s="299" t="str">
        <f>IFERROR(__xludf.DUMMYFUNCTION("IF(REGEXMATCH(LD37, ""G""), ""G1"",IF(REGEXMATCH(LE37, ""G""), ""G2"",""""))"),"G1")</f>
        <v>G1</v>
      </c>
      <c r="LM37" s="299" t="str">
        <f>IFERROR(__xludf.DUMMYFUNCTION("IF(REGEXMATCH(LD37, ""m""), ""m1"",IF(REGEXMATCH(LE37, ""m""), ""m2"",""""))"),"m1")</f>
        <v>m1</v>
      </c>
      <c r="LN37" s="299" t="str">
        <f>IFERROR(__xludf.DUMMYFUNCTION("IF(REGEXMATCH(LD37, ""M""), ""M1"",IF(REGEXMATCH(LE37, ""M""), ""M2"",""""))"),"")</f>
        <v/>
      </c>
      <c r="LO37" s="299" t="str">
        <f>IFERROR(__xludf.DUMMYFUNCTION("IF(REGEXMATCH(LD37, ""P""), ""P1"",IF(REGEXMATCH(LE37, ""P""), ""P2"",""""))"),"P1")</f>
        <v>P1</v>
      </c>
      <c r="LP37" s="299" t="str">
        <f>IFERROR(__xludf.DUMMYFUNCTION("IF(REGEXMATCH(LD37, ""d""), ""d1"",IF(REGEXMATCH(LE37, ""d""), ""d2"",""""))"),"d1")</f>
        <v>d1</v>
      </c>
      <c r="LQ37" s="299" t="str">
        <f>IFERROR(__xludf.DUMMYFUNCTION("IF(REGEXMATCH(LD37, ""D""), ""D1"",IF(REGEXMATCH(LE37, ""D""), ""D2"",""""))"),"")</f>
        <v/>
      </c>
      <c r="LR37" s="299" t="str">
        <f>IFERROR(__xludf.DUMMYFUNCTION("IF(REGEXMATCH(LD37, ""n""), ""n1"",IF(REGEXMATCH(LE37, ""n""), ""n2"",""""))"),"")</f>
        <v/>
      </c>
      <c r="LS37" s="299" t="str">
        <f>IFERROR(__xludf.DUMMYFUNCTION("IF(REGEXMATCH(LD37, ""N""), ""N1"",IF(REGEXMATCH(LE37, ""N""), ""N2"",""""))"),"")</f>
        <v/>
      </c>
      <c r="LT37" s="388" t="str">
        <f>IFERROR(__xludf.DUMMYFUNCTION("IF(REGEXMATCH(LD37, ""S""), ""S"",IF(REGEXMATCH(LE37, ""S""), ""S"",""""))"),"S")</f>
        <v>S</v>
      </c>
      <c r="LU37" s="389">
        <f t="shared" si="196"/>
        <v>1</v>
      </c>
      <c r="LV37" s="378"/>
      <c r="LW37" s="369"/>
      <c r="LX37" s="369"/>
    </row>
    <row r="38" ht="20.25" customHeight="1">
      <c r="A38" s="298" t="s">
        <v>579</v>
      </c>
      <c r="B38" s="222" t="s">
        <v>288</v>
      </c>
      <c r="C38" s="233" t="str">
        <f t="shared" si="7"/>
        <v>SrGMPDNS</v>
      </c>
      <c r="D38" s="234" t="str">
        <f>IFERROR(__xludf.DUMMYFUNCTION("IF(REGEXMATCH(C38, ""S""), ""S"","""")"),"S")</f>
        <v>S</v>
      </c>
      <c r="E38" s="236" t="str">
        <f>IFERROR(__xludf.DUMMYFUNCTION("IF(REGEXMATCH(C38, ""r""), ""r"","""")"),"r")</f>
        <v>r</v>
      </c>
      <c r="F38" s="237" t="str">
        <f>IFERROR(__xludf.DUMMYFUNCTION("IF(REGEXMATCH(C38, ""R""), ""R"","""")"),"")</f>
        <v/>
      </c>
      <c r="G38" s="237" t="str">
        <f>IFERROR(__xludf.DUMMYFUNCTION("IF(REGEXMATCH(C38, ""g""), ""g"","""")"),"")</f>
        <v/>
      </c>
      <c r="H38" s="236" t="str">
        <f>IFERROR(__xludf.DUMMYFUNCTION("IF(REGEXMATCH(C38, ""G""), ""G"","""")"),"G")</f>
        <v>G</v>
      </c>
      <c r="I38" s="236" t="str">
        <f>IFERROR(__xludf.DUMMYFUNCTION("IF(REGEXMATCH(C38, ""m""), ""m"","""")"),"")</f>
        <v/>
      </c>
      <c r="J38" s="237" t="str">
        <f>IFERROR(__xludf.DUMMYFUNCTION("IF(REGEXMATCH(C38, ""M""), ""M"","""")"),"M")</f>
        <v>M</v>
      </c>
      <c r="K38" s="236" t="str">
        <f>IFERROR(__xludf.DUMMYFUNCTION("IF(REGEXMATCH(C38, ""P""), ""P"","""")"),"P")</f>
        <v>P</v>
      </c>
      <c r="L38" s="237" t="str">
        <f>IFERROR(__xludf.DUMMYFUNCTION("IF(REGEXMATCH(C38, ""d""), ""d"","""")"),"")</f>
        <v/>
      </c>
      <c r="M38" s="236" t="str">
        <f>IFERROR(__xludf.DUMMYFUNCTION("IF(REGEXMATCH(C38, ""D""), ""D"","""")"),"D")</f>
        <v>D</v>
      </c>
      <c r="N38" s="236" t="str">
        <f>IFERROR(__xludf.DUMMYFUNCTION("IF(REGEXMATCH(C38, ""n""), ""n"","""")"),"")</f>
        <v/>
      </c>
      <c r="O38" s="237" t="str">
        <f>IFERROR(__xludf.DUMMYFUNCTION("IF(REGEXMATCH(C38, ""N""), ""N"","""")"),"N")</f>
        <v>N</v>
      </c>
      <c r="P38" s="238" t="str">
        <f>IFERROR(__xludf.DUMMYFUNCTION("IF(REGEXMATCH(C38, ""S""), ""S"","""")"),"S")</f>
        <v>S</v>
      </c>
      <c r="Q38" s="239" t="str">
        <f>IFERROR(__xludf.DUMMYFUNCTION("SUBSTITUTE(CONCATENATE(JOIN(""-"",D38:J38)),""-"","""")"),"SrGM")</f>
        <v>SrGM</v>
      </c>
      <c r="R38" s="229" t="str">
        <f>IFERROR(__xludf.DUMMYFUNCTION("SUBSTITUTE(CONCATENATE(JOIN(""-"",K38:P38)),""-"","""")"),"PDNS")</f>
        <v>PDNS</v>
      </c>
      <c r="S38" s="282" t="str">
        <f t="shared" si="8"/>
        <v>S-R-G-M</v>
      </c>
      <c r="T38" s="282" t="str">
        <f t="shared" si="9"/>
        <v>P-D-N-S</v>
      </c>
      <c r="U38" s="237" t="str">
        <f>IFERROR(__xludf.DUMMYFUNCTION("SUBSTITUTE(JOIN(""-"",S38,T38),""--"",""-"")"),"S-R-G-M-P-D-N-S")</f>
        <v>S-R-G-M-P-D-N-S</v>
      </c>
      <c r="V38" s="309" t="str">
        <f t="shared" si="10"/>
        <v>rGMDN</v>
      </c>
      <c r="W38" s="244" t="str">
        <f>IFERROR(__xludf.DUMMYFUNCTION("IF(REGEXMATCH(C38, ""S""), ""0"","""")"),"0")</f>
        <v>0</v>
      </c>
      <c r="X38" s="245" t="str">
        <f>IFERROR(__xludf.DUMMYFUNCTION("IF(REGEXMATCH(C38, ""r""), ""1"","""")"),"1")</f>
        <v>1</v>
      </c>
      <c r="Y38" s="246" t="str">
        <f>IFERROR(__xludf.DUMMYFUNCTION("IF(REGEXMATCH(C38, ""R""), ""2"","""")"),"")</f>
        <v/>
      </c>
      <c r="Z38" s="246" t="str">
        <f>IFERROR(__xludf.DUMMYFUNCTION("IF(REGEXMATCH(C38, ""g""), ""3"","""")"),"")</f>
        <v/>
      </c>
      <c r="AA38" s="245" t="str">
        <f>IFERROR(__xludf.DUMMYFUNCTION("IF(REGEXMATCH(C38, ""G""), ""4"","""")"),"4")</f>
        <v>4</v>
      </c>
      <c r="AB38" s="245" t="str">
        <f>IFERROR(__xludf.DUMMYFUNCTION("IF(REGEXMATCH(C38, ""m""), ""5"","""")"),"")</f>
        <v/>
      </c>
      <c r="AC38" s="246" t="str">
        <f>IFERROR(__xludf.DUMMYFUNCTION("IF(REGEXMATCH(C38, ""M""), ""6"","""")"),"6")</f>
        <v>6</v>
      </c>
      <c r="AD38" s="245" t="str">
        <f>IFERROR(__xludf.DUMMYFUNCTION("IF(REGEXMATCH(C38, ""P""), ""7"","""")"),"7")</f>
        <v>7</v>
      </c>
      <c r="AE38" s="246" t="str">
        <f>IFERROR(__xludf.DUMMYFUNCTION("IF(REGEXMATCH(C38, ""d""), ""8"","""")"),"")</f>
        <v/>
      </c>
      <c r="AF38" s="245" t="str">
        <f>IFERROR(__xludf.DUMMYFUNCTION("IF(REGEXMATCH(C38, ""D""), ""9"","""")"),"9")</f>
        <v>9</v>
      </c>
      <c r="AG38" s="245" t="str">
        <f>IFERROR(__xludf.DUMMYFUNCTION("IF(REGEXMATCH(C38, ""n""), ""10"","""")"),"")</f>
        <v/>
      </c>
      <c r="AH38" s="246" t="str">
        <f>IFERROR(__xludf.DUMMYFUNCTION("IF(REGEXMATCH(C38, ""N""), ""11"","""")"),"11")</f>
        <v>11</v>
      </c>
      <c r="AI38" s="249" t="str">
        <f>IFERROR(__xludf.DUMMYFUNCTION("IF(REGEXMATCH(C38, ""S""), ""0"","""")"),"0")</f>
        <v>0</v>
      </c>
      <c r="AJ38" s="313" t="str">
        <f t="shared" si="11"/>
        <v>T</v>
      </c>
      <c r="AK38" s="313" t="str">
        <f t="shared" si="12"/>
        <v>T</v>
      </c>
      <c r="AL38" s="313" t="str">
        <f t="shared" si="13"/>
        <v>-</v>
      </c>
      <c r="AM38" s="313" t="str">
        <f t="shared" si="14"/>
        <v>-</v>
      </c>
      <c r="AN38" s="313" t="str">
        <f t="shared" si="15"/>
        <v>-</v>
      </c>
      <c r="AO38" s="314" t="str">
        <f t="shared" si="16"/>
        <v>-</v>
      </c>
      <c r="AP38" s="316">
        <f t="shared" si="17"/>
        <v>2</v>
      </c>
      <c r="AQ38" s="319" t="str">
        <f t="shared" si="18"/>
        <v>-</v>
      </c>
      <c r="AR38" s="320">
        <f t="shared" si="19"/>
        <v>0</v>
      </c>
      <c r="AS38" s="250" t="str">
        <f>IFERROR(__xludf.DUMMYFUNCTION("SUBSTITUTE(SUBSTITUTE(CONCATENATE(JOIN("""",FP38:GA38)),""|"",""x""),""-"",""o"")"),"xxooxoxxoxox")</f>
        <v>xxooxoxxoxox</v>
      </c>
      <c r="AT38" s="323" t="str">
        <f>IFERROR(__xludf.DUMMYFUNCTION("JOIN("""",AS38,AS38)"),"xxooxoxxoxoxxxooxoxxoxox")</f>
        <v>xxooxoxxoxoxxxooxoxxoxox</v>
      </c>
      <c r="AU38" s="256" t="str">
        <f>IFERROR(__xludf.DUMMYFUNCTION("JOIN("""",ArrayFormula(MID(AS38,LEN(AS38)-SEQUENCE(1,LEN(AS38))+1,1)))"),"xoxoxxoxooxx")</f>
        <v>xoxoxxoxooxx</v>
      </c>
      <c r="AV38" s="256" t="str">
        <f>IFERROR(__xludf.DUMMYFUNCTION("LEFT(CONCATENATE(""x"",JOIN("""",ArrayFormula(MID(AS38,LEN(AS38)-SEQUENCE(1,LEN(AS38))+1,1)))),12)"),"xxoxoxxoxoox")</f>
        <v>xxoxoxxoxoox</v>
      </c>
      <c r="AW38" s="327" t="str">
        <f>IFERROR(__xludf.DUMMYFUNCTION("JOIN("""",AU38,AU38)"),"xoxoxxoxooxxxoxoxxoxooxx")</f>
        <v>xoxoxxoxooxxxoxoxxoxooxx</v>
      </c>
      <c r="AX38" s="239" t="str">
        <f>IFERROR(__xludf.DUMMYFUNCTION("IF(REGEXMATCH(AW38,AS38),""✔"",""-"")"),"-")</f>
        <v>-</v>
      </c>
      <c r="AY38" s="330" t="str">
        <f t="shared" si="20"/>
        <v>-</v>
      </c>
      <c r="AZ38" s="260" t="str">
        <f t="shared" si="21"/>
        <v>#REF!</v>
      </c>
      <c r="BA38" s="333" t="str">
        <f t="shared" si="22"/>
        <v>xxooxox</v>
      </c>
      <c r="BB38" s="334" t="str">
        <f t="shared" si="23"/>
        <v>xoxoxx</v>
      </c>
      <c r="BC38" s="335" t="str">
        <f t="shared" si="236"/>
        <v>-</v>
      </c>
      <c r="BD38" s="336" t="str">
        <f t="shared" si="25"/>
        <v>Baradi: 'xxooxox' + 'xoxoxx'</v>
      </c>
      <c r="BE38" s="337">
        <f>IFERROR(__xludf.DUMMYFUNCTION("COUNTUNIQUE(FILTER(AT:AT,REGEXMATCH(AT:AT,AS38)))-1"),1.0)</f>
        <v>1</v>
      </c>
      <c r="BF38" s="261" t="str">
        <f>IFERROR(__xludf.DUMMYFUNCTION("IF(BI38=0,""(n/a)"",IF(BJ38=2,""(PAIR)"",IF(REGEXMATCH(AT38,""xoxoxxoxoxox""),""Bilawal"",IF(REGEXMATCH(AT38,""xoxoxooxoxoo""),""Bhupali"",IF(REGEXMATCH(AT38,""xoxoxxoxxoxo""),""Charukeshi"",IF(REGEXMATCH(AT38,""xoxoooxxoxxo""),""Kameshwari"",IF(REGEXMATC"&amp;"H(AT38,""xoxoxooxoxox""),""Shankara"",IF(REGEXMATCH(AT38,""xxooxoxxxoox""),""Basant"",IF(REGEXMATCH(AT38,""xoxoxxxxoxox""),""Bihag"",IF(REGEXMATCH(AT38,""xoxxxxoxoxxx""),""Pilu"",IF(REGEXMATCH(AT38,""xoxxoxoxxoox""),""Kirwani"",IF(REGEXMATCH(AT38,""xoxxox"&amp;"oxoxxx""),""Mk.Malhar"",IF(REGEXMATCH(AT38,""xxooxxoxxoox""),""Bhairav"",IF(REGEXMATCH(AT38,""xxoxooxxxoox""),""Todi"",IF(REGEXMATCH(AT38,""xxooxoxooxox""),""Marwa"",IF(REGEXMATCH(AT38,""xxoooxoxxooo""),""Gunkali"",IF(REGEXMATCH(AT38,""xoxoxxoxxoox""),""N"&amp;"at Bhairav"",IF(REGEXMATCH(AT38,""xoxxoooxoxoo""),""Shivranjani"",IF(REGEXMATCH(AT38,""xooxxxoxooxo""),""Jog"",IF(REGEXMATCH(AT38,""xxooxoxoxoox""),""Hemshri"",IF(REGEXMATCH(AT38,""xoooxooxoxxo""),""Kalavati"",IF(REGEXMATCH(AT38,""xxoxoxxoxoox""),""Kedar"&amp;""",IF(REGEXMATCH(AT38,""xoxxxxoxooxx""),""Gara"",IF(REGEXMATCH(AT38,""xooxoxooxoox""),""Chandrakauns"",IF(REGEXMATCH(AT38,""xoxxxxoxxxox""),""Mand"",IF(REGEXMATCH(AT38,""xoxxxxoxoxox""),""Hanskinkini"",IF(REGEXMATCH(AT38,""xxooxxoxooxo""),""Lilavati"",IF("&amp;"REGEXMATCH(AT38,""xooxoxoooxox""),""Rajeshwari"",IF(REGEXMATCH(AT38,""xoooxxoxoxxx""),""Khokar"",IF(REGEXMATCH(AT38,""xxooxoxxxxox""),""Maligoura"",""-""))))))))))))))))))))))))))))))"),"-")</f>
        <v>-</v>
      </c>
      <c r="BG38" s="239" t="str">
        <f t="shared" si="26"/>
        <v>#REF!</v>
      </c>
      <c r="BH38" s="239">
        <f>IFERROR(__xludf.DUMMYFUNCTION("COUNTUNIQUE(FE38:FO38)-1"),6.0)</f>
        <v>6</v>
      </c>
      <c r="BI38" s="239">
        <f>IFERROR(__xludf.DUMMYFUNCTION("COUNTUNIQUE(FILTER(AT:AT,REGEXMATCH(AT:AT,AS38)))-1"),1.0)</f>
        <v>1</v>
      </c>
      <c r="BJ38" s="239">
        <f>IFERROR(__xludf.DUMMYFUNCTION("COUNTA(FILTER(AT:AT,REGEXMATCH(AT:AT,AS38)))"),5.0)</f>
        <v>5</v>
      </c>
      <c r="BK38" s="341">
        <f>IFERROR(__xludf.DUMMYFUNCTION("COUNTA(FILTER(AT:AT,REGEXMATCH(AT:AT,AS38)))-AR38"),5.0)</f>
        <v>5</v>
      </c>
      <c r="BL38" s="276" t="str">
        <f>IFERROR(__xludf.DUMMYFUNCTION("IF(AS38=""oooooooooooo"",""-"",IF(REGEXMATCH(AT38,""xx""), ""Hemi."", ""Anhemi.""))"),"Hemi.")</f>
        <v>Hemi.</v>
      </c>
      <c r="BM38" s="282" t="str">
        <f>IFERROR(__xludf.DUMMYFUNCTION("IF(AS38=""oooooooooooo"",""-"",IF(REGEXMATCH(AT38,""xxx""), ""Cohem."", ""-""))"),"Cohem.")</f>
        <v>Cohem.</v>
      </c>
      <c r="BN38" s="282" t="str">
        <f>IFERROR(__xludf.DUMMYFUNCTION("IF(AS38=""oooooooooooo"",""-"",IF(REGEXMATCH(AT38,""xxxx""), ""Co-Co."", ""-""))"),"-")</f>
        <v>-</v>
      </c>
      <c r="BO38" s="342" t="str">
        <f>IFERROR(__xludf.DUMMYFUNCTION("IF(AS38=""oooooooooooo"",""-"",IF(REGEXMATCH(AT38,""xxxxx""), ""CCC."", ""-""))"),"-")</f>
        <v>-</v>
      </c>
      <c r="BP38" s="344" t="str">
        <f t="shared" si="27"/>
        <v>Marwa</v>
      </c>
      <c r="BQ38" s="282" t="str">
        <f>IFERROR(__xludf.DUMMYFUNCTION("IF(REGEXMATCH(JOIN(""-"",EU38:FD38),""TRUE""),""✔"",""-"")"),"✔")</f>
        <v>✔</v>
      </c>
      <c r="BR38" s="225">
        <f t="shared" si="28"/>
        <v>1</v>
      </c>
      <c r="BS38" s="345" t="str">
        <f>IFERROR(__xludf.DUMMYFUNCTION("SUBSTITUTE(SUBSTITUTE(SUBSTITUTE(SUBSTITUTE(CONCATENATE(JOIN(""-"",GC38:GO38)),""--"",""-""),""--"",""-""),""--"",""-""),""--"",""-"")"),"1-b2-3-#4-5-6-7-8")</f>
        <v>1-b2-3-#4-5-6-7-8</v>
      </c>
      <c r="BT38" s="299" t="str">
        <f>IFERROR(__xludf.DUMMYFUNCTION("SUBSTITUTE(SUBSTITUTE(SUBSTITUTE(SUBSTITUTE(CONCATENATE(JOIN(""-"",GP38:HB38)),""--"",""-""),""--"",""-""),""--"",""-""),""--"",""-"")"),"S-R1-G3-M2-P-D2-N3-S")</f>
        <v>S-R1-G3-M2-P-D2-N3-S</v>
      </c>
      <c r="BU38" s="348" t="str">
        <f t="shared" si="29"/>
        <v>C-Db-E-F#-G-A-B-C</v>
      </c>
      <c r="BV38" s="349" t="str">
        <f t="shared" si="30"/>
        <v>SRgmdnS</v>
      </c>
      <c r="BW38" s="350">
        <f t="shared" si="31"/>
        <v>0</v>
      </c>
      <c r="BX38" s="351">
        <f t="shared" si="32"/>
        <v>4</v>
      </c>
      <c r="BY38" s="392"/>
      <c r="BZ38" s="309" t="str">
        <f>IFERROR(__xludf.DUMMYFUNCTION("IF(REGEXMATCH(C38, ""S""), ""x"",""x"")"),"x")</f>
        <v>x</v>
      </c>
      <c r="CA38" s="245" t="str">
        <f>IFERROR(__xludf.DUMMYFUNCTION("IF(REGEXMATCH(C38, ""r""), ""o"",""x"")"),"o")</f>
        <v>o</v>
      </c>
      <c r="CB38" s="246" t="str">
        <f>IFERROR(__xludf.DUMMYFUNCTION("IF(REGEXMATCH(C38, ""R""), ""o"",""x"")"),"x")</f>
        <v>x</v>
      </c>
      <c r="CC38" s="246" t="str">
        <f>IFERROR(__xludf.DUMMYFUNCTION("IF(REGEXMATCH(C38, ""g""), ""o"",""x"")"),"x")</f>
        <v>x</v>
      </c>
      <c r="CD38" s="245" t="str">
        <f>IFERROR(__xludf.DUMMYFUNCTION("IF(REGEXMATCH(C38, ""G""), ""o"",""x"")"),"o")</f>
        <v>o</v>
      </c>
      <c r="CE38" s="245" t="str">
        <f>IFERROR(__xludf.DUMMYFUNCTION("IF(REGEXMATCH(C38, ""m""), ""o"",""x"")"),"x")</f>
        <v>x</v>
      </c>
      <c r="CF38" s="246" t="str">
        <f>IFERROR(__xludf.DUMMYFUNCTION("IF(REGEXMATCH(C38, ""M""), ""o"",""x"")"),"o")</f>
        <v>o</v>
      </c>
      <c r="CG38" s="245" t="str">
        <f>IFERROR(__xludf.DUMMYFUNCTION("IF(REGEXMATCH(C38, ""P""), ""o"",""x"")"),"o")</f>
        <v>o</v>
      </c>
      <c r="CH38" s="246" t="str">
        <f>IFERROR(__xludf.DUMMYFUNCTION("IF(REGEXMATCH(C38, ""d""), ""o"",""x"")"),"x")</f>
        <v>x</v>
      </c>
      <c r="CI38" s="245" t="str">
        <f>IFERROR(__xludf.DUMMYFUNCTION("IF(REGEXMATCH(C38, ""D""), ""o"",""x"")"),"o")</f>
        <v>o</v>
      </c>
      <c r="CJ38" s="245" t="str">
        <f>IFERROR(__xludf.DUMMYFUNCTION("IF(REGEXMATCH(C38, ""n""), ""o"",""x"")"),"x")</f>
        <v>x</v>
      </c>
      <c r="CK38" s="245" t="str">
        <f>IFERROR(__xludf.DUMMYFUNCTION("IF(REGEXMATCH(C38, ""N""), ""o"",""x"")"),"o")</f>
        <v>o</v>
      </c>
      <c r="CL38" s="356" t="str">
        <f>IFERROR(__xludf.DUMMYFUNCTION("IF(REGEXMATCH(C38, ""S""), ""x"",""x"")"),"x")</f>
        <v>x</v>
      </c>
      <c r="CM38" s="357" t="str">
        <f t="shared" si="33"/>
        <v>xoxxoxooxoxo</v>
      </c>
      <c r="CN38" s="358">
        <f t="shared" si="34"/>
        <v>0</v>
      </c>
      <c r="CO38" s="246" t="str">
        <f>IFERROR(__xludf.DUMMYFUNCTION("IF(REGEXMATCH($C38, ""S""), ""S"",""S"")"),"S")</f>
        <v>S</v>
      </c>
      <c r="CP38" s="246" t="str">
        <f>IFERROR(__xludf.DUMMYFUNCTION("IF(REGEXMATCH($C38, ""r""), """",""r"")"),"")</f>
        <v/>
      </c>
      <c r="CQ38" s="246" t="str">
        <f>IFERROR(__xludf.DUMMYFUNCTION("IF(REGEXMATCH($C38, ""R""), """",""R"")"),"R")</f>
        <v>R</v>
      </c>
      <c r="CR38" s="246" t="str">
        <f>IFERROR(__xludf.DUMMYFUNCTION("IF(REGEXMATCH($C38, ""g""), """",""g"")"),"g")</f>
        <v>g</v>
      </c>
      <c r="CS38" s="246" t="str">
        <f>IFERROR(__xludf.DUMMYFUNCTION("IF(REGEXMATCH($C38, ""G""), """",""G"")"),"")</f>
        <v/>
      </c>
      <c r="CT38" s="246" t="str">
        <f>IFERROR(__xludf.DUMMYFUNCTION("IF(REGEXMATCH($C38, ""m""), """",""m"")"),"m")</f>
        <v>m</v>
      </c>
      <c r="CU38" s="246" t="str">
        <f>IFERROR(__xludf.DUMMYFUNCTION("IF(REGEXMATCH($C38, ""M""), """",""M"")"),"")</f>
        <v/>
      </c>
      <c r="CV38" s="246" t="str">
        <f>IFERROR(__xludf.DUMMYFUNCTION("IF(REGEXMATCH($C38, ""P""), """",""P"")"),"")</f>
        <v/>
      </c>
      <c r="CW38" s="246" t="str">
        <f>IFERROR(__xludf.DUMMYFUNCTION("IF(REGEXMATCH($C38, ""d""), """",""d"")"),"d")</f>
        <v>d</v>
      </c>
      <c r="CX38" s="246" t="str">
        <f>IFERROR(__xludf.DUMMYFUNCTION("IF(REGEXMATCH($C38, ""D""), """",""D"")"),"")</f>
        <v/>
      </c>
      <c r="CY38" s="246" t="str">
        <f>IFERROR(__xludf.DUMMYFUNCTION("IF(REGEXMATCH($C38, ""n""), """",""n"")"),"n")</f>
        <v>n</v>
      </c>
      <c r="CZ38" s="246" t="str">
        <f>IFERROR(__xludf.DUMMYFUNCTION("IF(REGEXMATCH($C38, ""N""), """",""N"")"),"")</f>
        <v/>
      </c>
      <c r="DA38" s="246" t="str">
        <f>IFERROR(__xludf.DUMMYFUNCTION("IF(REGEXMATCH($C38, ""S""), ""S"",""S"")"),"S")</f>
        <v>S</v>
      </c>
      <c r="DB38" s="362" t="str">
        <f>IFERROR(__xludf.DUMMYFUNCTION("JOIN("""",CO38:DA38,"""","""")"),"SRgmdnS")</f>
        <v>SRgmdnS</v>
      </c>
      <c r="DC38" s="363"/>
      <c r="DD38" s="301" t="str">
        <f t="shared" si="35"/>
        <v>#REF!</v>
      </c>
      <c r="DE38" s="302" t="str">
        <f t="shared" si="36"/>
        <v>#REF!</v>
      </c>
      <c r="DF38" s="301" t="str">
        <f t="shared" ref="DF38:DG38" si="269">SUBSTITUTE(S38,"-","")</f>
        <v>SRGM</v>
      </c>
      <c r="DG38" s="301" t="str">
        <f t="shared" si="269"/>
        <v>PDNS</v>
      </c>
      <c r="DH38" s="302" t="str">
        <f t="shared" si="38"/>
        <v>-</v>
      </c>
      <c r="DI38" s="301" t="str">
        <f t="shared" si="39"/>
        <v>Hemi.</v>
      </c>
      <c r="DJ38" s="364" t="str">
        <f t="shared" si="40"/>
        <v>Cohem.</v>
      </c>
      <c r="DK38" s="306" t="str">
        <f t="shared" si="41"/>
        <v>Marwa</v>
      </c>
      <c r="DL38" s="366" t="str">
        <f t="shared" si="42"/>
        <v>-</v>
      </c>
      <c r="DM38" s="308" t="str">
        <f t="shared" si="43"/>
        <v>-</v>
      </c>
      <c r="DN38" s="306" t="str">
        <f t="shared" si="44"/>
        <v>-</v>
      </c>
      <c r="DO38" s="306" t="str">
        <f t="shared" si="45"/>
        <v>-</v>
      </c>
      <c r="DP38" s="367" t="str">
        <f t="shared" si="46"/>
        <v>✔</v>
      </c>
      <c r="DQ38" s="310" t="str">
        <f t="shared" si="47"/>
        <v>-</v>
      </c>
      <c r="DR38" s="310" t="str">
        <f t="shared" si="48"/>
        <v>-</v>
      </c>
      <c r="DS38" s="310" t="str">
        <f t="shared" si="49"/>
        <v>-</v>
      </c>
      <c r="DT38" s="310" t="str">
        <f t="shared" si="50"/>
        <v>-</v>
      </c>
      <c r="DU38" s="370" t="str">
        <f t="shared" si="51"/>
        <v>-</v>
      </c>
      <c r="DV38" s="306" t="str">
        <f t="shared" si="52"/>
        <v>-</v>
      </c>
      <c r="DW38" s="306" t="str">
        <f t="shared" si="53"/>
        <v>-</v>
      </c>
      <c r="DX38" s="306" t="str">
        <f t="shared" si="54"/>
        <v>-</v>
      </c>
      <c r="DY38" s="306" t="str">
        <f t="shared" si="55"/>
        <v>-</v>
      </c>
      <c r="DZ38" s="306" t="str">
        <f t="shared" si="56"/>
        <v>-</v>
      </c>
      <c r="EA38" s="367" t="str">
        <f t="shared" si="57"/>
        <v>-</v>
      </c>
      <c r="EB38" s="310" t="str">
        <f>IFERROR(__xludf.DUMMYFUNCTION("IF(REGEXMATCH(AW38,AS38),""✔"",""-"")"),"-")</f>
        <v>-</v>
      </c>
      <c r="EC38" s="310" t="str">
        <f t="shared" si="58"/>
        <v>#REF!</v>
      </c>
      <c r="ED38" s="370" t="str">
        <f t="shared" si="59"/>
        <v>-</v>
      </c>
      <c r="EE38" s="340" t="str">
        <f t="shared" si="60"/>
        <v>S-r-G-M-P-D-N-S</v>
      </c>
      <c r="EF38" s="371" t="str">
        <f>IFERROR(__xludf.DUMMYFUNCTION("CONCATENATE(JOIN("""",HC38:HO38))"),"SrgmMdNS")</f>
        <v>SrgmMdNS</v>
      </c>
      <c r="EG38" s="372">
        <f t="shared" si="61"/>
        <v>2</v>
      </c>
      <c r="EH38" s="373" t="str">
        <f>IFERROR(__xludf.DUMMYFUNCTION("CONCATENATE(JOIN("""",JC38:JO38))"),"re, Pa, ")</f>
        <v>re, Pa, </v>
      </c>
      <c r="EI38" s="322">
        <f t="shared" si="62"/>
        <v>0</v>
      </c>
      <c r="EJ38" s="374" t="str">
        <f>IFERROR(__xludf.DUMMYFUNCTION("CONCATENATE(JOIN("""",KC38:KO38))"),"")</f>
        <v/>
      </c>
      <c r="EK38" s="325" t="str">
        <f t="shared" si="63"/>
        <v>S-R1-G3-M2-P-D2-N3-S</v>
      </c>
      <c r="EL38" s="326" t="str">
        <f t="shared" si="64"/>
        <v>1-b2-3-#4-5-6-7-8</v>
      </c>
      <c r="EM38" s="318" t="str">
        <f t="shared" si="65"/>
        <v>#REF!</v>
      </c>
      <c r="EN38" s="328" t="str">
        <f>IFERROR(__xludf.DUMMYFUNCTION("SUBSTITUTE(SUBSTITUTE(SUBSTITUTE(SUBSTITUTE(CONCATENATE(JOIN("" "",HP38:IB38)),""  "","" ""),""  "","" ""),""  "","" ""),""  "","" "")"),"o o • • o • o o • o • o o")</f>
        <v>o o • • o • o o • o • o o</v>
      </c>
      <c r="EO38" s="368" t="str">
        <f t="shared" si="66"/>
        <v>Sa-Pa</v>
      </c>
      <c r="EP38" s="339" t="str">
        <f t="shared" si="67"/>
        <v>Sa-Pa</v>
      </c>
      <c r="EQ38" s="339" t="str">
        <f t="shared" si="68"/>
        <v>Sa-Pa</v>
      </c>
      <c r="ER38" s="339" t="str">
        <f t="shared" si="69"/>
        <v>-</v>
      </c>
      <c r="ES38" s="340" t="str">
        <f t="shared" si="70"/>
        <v>-</v>
      </c>
      <c r="ET38" s="363"/>
      <c r="EU38" s="376" t="b">
        <f>IFERROR(__xludf.DUMMYFUNCTION("arrayformula(sum(--REGEXMATCH(""SRGMPDNS"",split(REGEXREPLACE(C38,""(.)"",""$1~""),""~""))))=len(C38)
"),FALSE)</f>
        <v>0</v>
      </c>
      <c r="EV38" s="290" t="b">
        <f>IFERROR(__xludf.DUMMYFUNCTION("arrayformula(sum(--REGEXMATCH(""SRGmPDNS"",split(REGEXREPLACE(C38,""(.)"",""$1~""),""~""))))=len(C38)"),FALSE)</f>
        <v>0</v>
      </c>
      <c r="EW38" s="290" t="b">
        <f>IFERROR(__xludf.DUMMYFUNCTION("arrayformula(sum(--REGEXMATCH(""SRGmPDnS"",split(REGEXREPLACE(C38,""(.)"",""$1~""),""~""))))=len(C38)"),FALSE)</f>
        <v>0</v>
      </c>
      <c r="EX38" s="290" t="b">
        <f>IFERROR(__xludf.DUMMYFUNCTION("arrayformula(sum(--REGEXMATCH(""SRgmPDnS"",split(REGEXREPLACE(C38,""(.)"",""$1~""),""~""))))=len(C38)"),FALSE)</f>
        <v>0</v>
      </c>
      <c r="EY38" s="290" t="b">
        <f>IFERROR(__xludf.DUMMYFUNCTION("arrayformula(sum(--REGEXMATCH(""SRgmPdnS"",split(REGEXREPLACE(C38,""(.)"",""$1~""),""~""))))=len(C38)"),FALSE)</f>
        <v>0</v>
      </c>
      <c r="EZ38" s="290" t="b">
        <f>IFERROR(__xludf.DUMMYFUNCTION("arrayformula(sum(--REGEXMATCH(""SrgmPdnS"",split(REGEXREPLACE(C38,""(.)"",""$1~""),""~""))))=len(C38)"),FALSE)</f>
        <v>0</v>
      </c>
      <c r="FA38" s="290" t="b">
        <f>IFERROR(__xludf.DUMMYFUNCTION("arrayformula(sum(--REGEXMATCH(""SrGmPdNS"",split(REGEXREPLACE(C38,""(.)"",""$1~""),""~""))))=len(C38)"),FALSE)</f>
        <v>0</v>
      </c>
      <c r="FB38" s="290" t="b">
        <f>IFERROR(__xludf.DUMMYFUNCTION("arrayformula(sum(--REGEXMATCH(""SrGMPDNS"",split(REGEXREPLACE(C38,""(.)"",""$1~""),""~""))))=len(C38)"),TRUE)</f>
        <v>1</v>
      </c>
      <c r="FC38" s="290" t="b">
        <f>IFERROR(__xludf.DUMMYFUNCTION("arrayformula(sum(--REGEXMATCH(""SrGMPdNS"",split(REGEXREPLACE(C38,""(.)"",""$1~""),""~""))))=len(C38)"),FALSE)</f>
        <v>0</v>
      </c>
      <c r="FD38" s="377" t="b">
        <f>IFERROR(__xludf.DUMMYFUNCTION("arrayformula(sum(--REGEXMATCH(""SrgMPdNS"",split(REGEXREPLACE(C38,""(.)"",""$1~""),""~""))))=len(C38)"),FALSE)</f>
        <v>0</v>
      </c>
      <c r="FE38" s="269" t="str">
        <f t="shared" si="71"/>
        <v>xooxoxxoxox</v>
      </c>
      <c r="FF38" s="269" t="str">
        <f t="shared" si="72"/>
        <v>-</v>
      </c>
      <c r="FG38" s="271" t="str">
        <f t="shared" si="73"/>
        <v>-</v>
      </c>
      <c r="FH38" s="269" t="str">
        <f t="shared" si="74"/>
        <v>xoxxoxoxxxo</v>
      </c>
      <c r="FI38" s="271" t="str">
        <f t="shared" si="75"/>
        <v>-</v>
      </c>
      <c r="FJ38" s="271" t="str">
        <f t="shared" si="76"/>
        <v>xxoxoxxxoox</v>
      </c>
      <c r="FK38" s="271" t="str">
        <f t="shared" si="77"/>
        <v>xoxoxxxooxo</v>
      </c>
      <c r="FL38" s="271" t="str">
        <f t="shared" si="78"/>
        <v>-</v>
      </c>
      <c r="FM38" s="271" t="str">
        <f t="shared" si="79"/>
        <v>xoxxxooxoxx</v>
      </c>
      <c r="FN38" s="271" t="str">
        <f t="shared" si="80"/>
        <v>-</v>
      </c>
      <c r="FO38" s="274" t="str">
        <f t="shared" si="81"/>
        <v>xxxooxoxxox</v>
      </c>
      <c r="FP38" s="234" t="str">
        <f t="shared" si="82"/>
        <v>|</v>
      </c>
      <c r="FQ38" s="236" t="str">
        <f t="shared" si="83"/>
        <v>|</v>
      </c>
      <c r="FR38" s="237" t="str">
        <f t="shared" si="84"/>
        <v>-</v>
      </c>
      <c r="FS38" s="236" t="str">
        <f t="shared" si="85"/>
        <v>-</v>
      </c>
      <c r="FT38" s="237" t="str">
        <f t="shared" si="86"/>
        <v>|</v>
      </c>
      <c r="FU38" s="236" t="str">
        <f t="shared" si="87"/>
        <v>-</v>
      </c>
      <c r="FV38" s="237" t="str">
        <f t="shared" si="88"/>
        <v>|</v>
      </c>
      <c r="FW38" s="236" t="str">
        <f t="shared" si="89"/>
        <v>|</v>
      </c>
      <c r="FX38" s="237" t="str">
        <f t="shared" si="90"/>
        <v>-</v>
      </c>
      <c r="FY38" s="236" t="str">
        <f t="shared" si="91"/>
        <v>|</v>
      </c>
      <c r="FZ38" s="237" t="str">
        <f t="shared" si="92"/>
        <v>-</v>
      </c>
      <c r="GA38" s="236" t="str">
        <f t="shared" si="93"/>
        <v>|</v>
      </c>
      <c r="GB38" s="238" t="str">
        <f t="shared" si="94"/>
        <v>|</v>
      </c>
      <c r="GC38" s="244" t="str">
        <f>IFERROR(__xludf.DUMMYFUNCTION("IF(REGEXMATCH(C38, ""S""), ""1"","""")"),"1")</f>
        <v>1</v>
      </c>
      <c r="GD38" s="245" t="str">
        <f>IFERROR(__xludf.DUMMYFUNCTION("IF(REGEXMATCH(C38, ""r""), ""b2"","""")"),"b2")</f>
        <v>b2</v>
      </c>
      <c r="GE38" s="246" t="str">
        <f>IFERROR(__xludf.DUMMYFUNCTION("IF(REGEXMATCH(C38, ""R""), ""2"","""")"),"")</f>
        <v/>
      </c>
      <c r="GF38" s="246" t="str">
        <f>IFERROR(__xludf.DUMMYFUNCTION("IF(REGEXMATCH(C38, ""g""), ""b3"","""")"),"")</f>
        <v/>
      </c>
      <c r="GG38" s="245" t="str">
        <f>IFERROR(__xludf.DUMMYFUNCTION("IF(REGEXMATCH(C38, ""G""), ""3"","""")"),"3")</f>
        <v>3</v>
      </c>
      <c r="GH38" s="245" t="str">
        <f>IFERROR(__xludf.DUMMYFUNCTION("IF(REGEXMATCH(C38, ""m""), ""4"","""")"),"")</f>
        <v/>
      </c>
      <c r="GI38" s="246" t="str">
        <f>IFERROR(__xludf.DUMMYFUNCTION("IF(REGEXMATCH(C38, ""M""), ""#4"","""")"),"#4")</f>
        <v>#4</v>
      </c>
      <c r="GJ38" s="245" t="str">
        <f>IFERROR(__xludf.DUMMYFUNCTION("IF(REGEXMATCH(C38, ""P""), ""5"","""")"),"5")</f>
        <v>5</v>
      </c>
      <c r="GK38" s="246" t="str">
        <f>IFERROR(__xludf.DUMMYFUNCTION("IF(REGEXMATCH(C38, ""d""), ""b6"","""")"),"")</f>
        <v/>
      </c>
      <c r="GL38" s="245" t="str">
        <f>IFERROR(__xludf.DUMMYFUNCTION("IF(REGEXMATCH(C38, ""D""), ""6"","""")"),"6")</f>
        <v>6</v>
      </c>
      <c r="GM38" s="245" t="str">
        <f>IFERROR(__xludf.DUMMYFUNCTION("IF(REGEXMATCH(C38, ""n""), ""b7"","""")"),"")</f>
        <v/>
      </c>
      <c r="GN38" s="246" t="str">
        <f>IFERROR(__xludf.DUMMYFUNCTION("IF(REGEXMATCH(C38, ""N""), ""7"","""")"),"7")</f>
        <v>7</v>
      </c>
      <c r="GO38" s="249" t="str">
        <f>IFERROR(__xludf.DUMMYFUNCTION("IF(REGEXMATCH(C38, ""S""), ""8"","""")"),"8")</f>
        <v>8</v>
      </c>
      <c r="GP38" s="244" t="str">
        <f>IFERROR(__xludf.DUMMYFUNCTION("IF(REGEXMATCH(C38, ""S""), ""S"","""")"),"S")</f>
        <v>S</v>
      </c>
      <c r="GQ38" s="294" t="str">
        <f>IFERROR(__xludf.DUMMYFUNCTION("IF(REGEXMATCH(C38, ""r""), ""R1"","""")"),"R1")</f>
        <v>R1</v>
      </c>
      <c r="GR38" s="295" t="str">
        <f>IFERROR(__xludf.DUMMYFUNCTION("IF(REGEXMATCH(C38, ""R""), ""R2"","""")"),"")</f>
        <v/>
      </c>
      <c r="GS38" s="295" t="str">
        <f>IFERROR(__xludf.DUMMYFUNCTION("IF(REGEXMATCH(C38, ""g""), ""G2"","""")"),"")</f>
        <v/>
      </c>
      <c r="GT38" s="294" t="str">
        <f>IFERROR(__xludf.DUMMYFUNCTION("IF(REGEXMATCH(C38, ""G""), ""G3"","""")"),"G3")</f>
        <v>G3</v>
      </c>
      <c r="GU38" s="294" t="str">
        <f>IFERROR(__xludf.DUMMYFUNCTION("IF(REGEXMATCH(C38, ""m""), ""M1"","""")"),"")</f>
        <v/>
      </c>
      <c r="GV38" s="295" t="str">
        <f>IFERROR(__xludf.DUMMYFUNCTION("IF(REGEXMATCH(C38, ""M""), ""M2"","""")"),"M2")</f>
        <v>M2</v>
      </c>
      <c r="GW38" s="294" t="str">
        <f>IFERROR(__xludf.DUMMYFUNCTION("IF(REGEXMATCH(C38, ""P""), ""P"","""")"),"P")</f>
        <v>P</v>
      </c>
      <c r="GX38" s="295" t="str">
        <f>IFERROR(__xludf.DUMMYFUNCTION("IF(REGEXMATCH(C38, ""d""), ""D1"","""")"),"")</f>
        <v/>
      </c>
      <c r="GY38" s="294" t="str">
        <f>IFERROR(__xludf.DUMMYFUNCTION("IF(REGEXMATCH(C38, ""D""), ""D2"","""")"),"D2")</f>
        <v>D2</v>
      </c>
      <c r="GZ38" s="294" t="str">
        <f>IFERROR(__xludf.DUMMYFUNCTION("IF(REGEXMATCH(C38, ""n""), ""N2"","""")"),"")</f>
        <v/>
      </c>
      <c r="HA38" s="295" t="str">
        <f>IFERROR(__xludf.DUMMYFUNCTION("IF(REGEXMATCH(C38, ""N""), ""N3"","""")"),"N3")</f>
        <v>N3</v>
      </c>
      <c r="HB38" s="249" t="str">
        <f>IFERROR(__xludf.DUMMYFUNCTION("IF(REGEXMATCH(C38, ""S""), ""S"","""")"),"S")</f>
        <v>S</v>
      </c>
      <c r="HC38" s="331" t="str">
        <f t="shared" si="95"/>
        <v>S</v>
      </c>
      <c r="HD38" s="332" t="str">
        <f t="shared" si="96"/>
        <v>r</v>
      </c>
      <c r="HE38" s="332" t="str">
        <f t="shared" si="97"/>
        <v/>
      </c>
      <c r="HF38" s="332" t="str">
        <f t="shared" si="98"/>
        <v>g</v>
      </c>
      <c r="HG38" s="332" t="str">
        <f t="shared" si="99"/>
        <v/>
      </c>
      <c r="HH38" s="332" t="str">
        <f t="shared" si="100"/>
        <v>m</v>
      </c>
      <c r="HI38" s="332" t="str">
        <f t="shared" si="101"/>
        <v>M</v>
      </c>
      <c r="HJ38" s="332" t="str">
        <f t="shared" si="102"/>
        <v/>
      </c>
      <c r="HK38" s="332" t="str">
        <f t="shared" si="103"/>
        <v>d</v>
      </c>
      <c r="HL38" s="332" t="str">
        <f t="shared" si="104"/>
        <v/>
      </c>
      <c r="HM38" s="332" t="str">
        <f t="shared" si="105"/>
        <v/>
      </c>
      <c r="HN38" s="332" t="str">
        <f t="shared" si="106"/>
        <v>N</v>
      </c>
      <c r="HO38" s="343" t="str">
        <f t="shared" si="107"/>
        <v>S</v>
      </c>
      <c r="HP38" s="331" t="str">
        <f t="shared" si="108"/>
        <v>o</v>
      </c>
      <c r="HQ38" s="332" t="str">
        <f t="shared" si="109"/>
        <v>o</v>
      </c>
      <c r="HR38" s="332" t="str">
        <f t="shared" si="110"/>
        <v>•</v>
      </c>
      <c r="HS38" s="332" t="str">
        <f t="shared" si="111"/>
        <v>•</v>
      </c>
      <c r="HT38" s="332" t="str">
        <f t="shared" si="112"/>
        <v>o</v>
      </c>
      <c r="HU38" s="332" t="str">
        <f t="shared" si="113"/>
        <v>•</v>
      </c>
      <c r="HV38" s="332" t="str">
        <f t="shared" si="114"/>
        <v>o</v>
      </c>
      <c r="HW38" s="332" t="str">
        <f t="shared" si="115"/>
        <v>o</v>
      </c>
      <c r="HX38" s="332" t="str">
        <f t="shared" si="116"/>
        <v>•</v>
      </c>
      <c r="HY38" s="332" t="str">
        <f t="shared" si="117"/>
        <v>o</v>
      </c>
      <c r="HZ38" s="332" t="str">
        <f t="shared" si="118"/>
        <v>•</v>
      </c>
      <c r="IA38" s="332" t="str">
        <f t="shared" si="119"/>
        <v>o</v>
      </c>
      <c r="IB38" s="338" t="str">
        <f t="shared" si="120"/>
        <v>o</v>
      </c>
      <c r="IC38" s="331" t="str">
        <f t="shared" si="121"/>
        <v>•</v>
      </c>
      <c r="ID38" s="332" t="str">
        <f t="shared" si="122"/>
        <v>•</v>
      </c>
      <c r="IE38" s="332" t="str">
        <f t="shared" si="123"/>
        <v>o</v>
      </c>
      <c r="IF38" s="332" t="str">
        <f t="shared" si="124"/>
        <v>o</v>
      </c>
      <c r="IG38" s="332" t="str">
        <f t="shared" si="125"/>
        <v>•</v>
      </c>
      <c r="IH38" s="332" t="str">
        <f t="shared" si="126"/>
        <v>o</v>
      </c>
      <c r="II38" s="332" t="str">
        <f t="shared" si="127"/>
        <v>•</v>
      </c>
      <c r="IJ38" s="332" t="str">
        <f t="shared" si="128"/>
        <v>•</v>
      </c>
      <c r="IK38" s="332" t="str">
        <f t="shared" si="129"/>
        <v>o</v>
      </c>
      <c r="IL38" s="332" t="str">
        <f t="shared" si="130"/>
        <v>•</v>
      </c>
      <c r="IM38" s="332" t="str">
        <f t="shared" si="131"/>
        <v>o</v>
      </c>
      <c r="IN38" s="332" t="str">
        <f t="shared" si="132"/>
        <v>•</v>
      </c>
      <c r="IO38" s="338" t="str">
        <f t="shared" si="133"/>
        <v>•</v>
      </c>
      <c r="IP38" s="346" t="b">
        <f t="shared" si="134"/>
        <v>0</v>
      </c>
      <c r="IQ38" s="347" t="b">
        <f t="shared" si="135"/>
        <v>1</v>
      </c>
      <c r="IR38" s="347" t="b">
        <f t="shared" si="136"/>
        <v>0</v>
      </c>
      <c r="IS38" s="347" t="b">
        <f t="shared" si="137"/>
        <v>0</v>
      </c>
      <c r="IT38" s="347" t="b">
        <f t="shared" si="138"/>
        <v>0</v>
      </c>
      <c r="IU38" s="347" t="b">
        <f t="shared" si="139"/>
        <v>0</v>
      </c>
      <c r="IV38" s="347" t="b">
        <f t="shared" si="140"/>
        <v>0</v>
      </c>
      <c r="IW38" s="347" t="b">
        <f t="shared" si="141"/>
        <v>1</v>
      </c>
      <c r="IX38" s="347" t="b">
        <f t="shared" si="142"/>
        <v>0</v>
      </c>
      <c r="IY38" s="347" t="b">
        <f t="shared" si="143"/>
        <v>0</v>
      </c>
      <c r="IZ38" s="347" t="b">
        <f t="shared" si="144"/>
        <v>0</v>
      </c>
      <c r="JA38" s="347" t="b">
        <f t="shared" si="145"/>
        <v>0</v>
      </c>
      <c r="JB38" s="353" t="b">
        <f t="shared" si="146"/>
        <v>0</v>
      </c>
      <c r="JC38" s="354" t="str">
        <f t="shared" si="147"/>
        <v/>
      </c>
      <c r="JD38" s="355" t="str">
        <f t="shared" si="148"/>
        <v>re, </v>
      </c>
      <c r="JE38" s="355" t="str">
        <f t="shared" si="149"/>
        <v/>
      </c>
      <c r="JF38" s="355" t="str">
        <f t="shared" si="150"/>
        <v/>
      </c>
      <c r="JG38" s="355" t="str">
        <f t="shared" si="151"/>
        <v/>
      </c>
      <c r="JH38" s="355" t="str">
        <f t="shared" si="152"/>
        <v/>
      </c>
      <c r="JI38" s="355" t="str">
        <f t="shared" si="153"/>
        <v/>
      </c>
      <c r="JJ38" s="355" t="str">
        <f t="shared" si="154"/>
        <v>Pa, </v>
      </c>
      <c r="JK38" s="355" t="str">
        <f t="shared" si="155"/>
        <v/>
      </c>
      <c r="JL38" s="355" t="str">
        <f t="shared" si="156"/>
        <v/>
      </c>
      <c r="JM38" s="355" t="str">
        <f t="shared" si="157"/>
        <v/>
      </c>
      <c r="JN38" s="355" t="str">
        <f t="shared" si="158"/>
        <v/>
      </c>
      <c r="JO38" s="359" t="str">
        <f t="shared" si="159"/>
        <v/>
      </c>
      <c r="JP38" s="346" t="b">
        <f t="shared" si="160"/>
        <v>0</v>
      </c>
      <c r="JQ38" s="347" t="b">
        <f t="shared" si="161"/>
        <v>0</v>
      </c>
      <c r="JR38" s="347" t="b">
        <f t="shared" si="162"/>
        <v>0</v>
      </c>
      <c r="JS38" s="347" t="b">
        <f t="shared" si="163"/>
        <v>0</v>
      </c>
      <c r="JT38" s="347" t="b">
        <f t="shared" si="164"/>
        <v>0</v>
      </c>
      <c r="JU38" s="347" t="b">
        <f t="shared" si="165"/>
        <v>0</v>
      </c>
      <c r="JV38" s="347" t="b">
        <f t="shared" si="166"/>
        <v>0</v>
      </c>
      <c r="JW38" s="347" t="b">
        <f t="shared" si="167"/>
        <v>0</v>
      </c>
      <c r="JX38" s="347" t="b">
        <f t="shared" si="168"/>
        <v>0</v>
      </c>
      <c r="JY38" s="347" t="b">
        <f t="shared" si="169"/>
        <v>0</v>
      </c>
      <c r="JZ38" s="347" t="b">
        <f t="shared" si="170"/>
        <v>0</v>
      </c>
      <c r="KA38" s="347" t="b">
        <f t="shared" si="171"/>
        <v>0</v>
      </c>
      <c r="KB38" s="365" t="b">
        <f t="shared" si="172"/>
        <v>0</v>
      </c>
      <c r="KC38" s="354" t="str">
        <f t="shared" si="173"/>
        <v/>
      </c>
      <c r="KD38" s="355" t="str">
        <f t="shared" si="174"/>
        <v/>
      </c>
      <c r="KE38" s="355" t="str">
        <f t="shared" si="175"/>
        <v/>
      </c>
      <c r="KF38" s="355" t="str">
        <f t="shared" si="176"/>
        <v/>
      </c>
      <c r="KG38" s="355" t="str">
        <f t="shared" si="177"/>
        <v/>
      </c>
      <c r="KH38" s="355" t="str">
        <f t="shared" si="178"/>
        <v/>
      </c>
      <c r="KI38" s="355" t="str">
        <f t="shared" si="179"/>
        <v/>
      </c>
      <c r="KJ38" s="355" t="str">
        <f t="shared" si="180"/>
        <v/>
      </c>
      <c r="KK38" s="355" t="str">
        <f t="shared" si="181"/>
        <v/>
      </c>
      <c r="KL38" s="355" t="str">
        <f t="shared" si="182"/>
        <v/>
      </c>
      <c r="KM38" s="355" t="str">
        <f t="shared" si="183"/>
        <v/>
      </c>
      <c r="KN38" s="355" t="str">
        <f t="shared" si="184"/>
        <v/>
      </c>
      <c r="KO38" s="359"/>
      <c r="KP38" s="378"/>
      <c r="KQ38" s="379" t="s">
        <v>9</v>
      </c>
      <c r="KR38" s="380" t="s">
        <v>1311</v>
      </c>
      <c r="KS38" s="381" t="s">
        <v>9</v>
      </c>
      <c r="KT38" s="382">
        <f t="shared" si="186"/>
        <v>0</v>
      </c>
      <c r="KU38" s="383">
        <f t="shared" si="187"/>
        <v>0</v>
      </c>
      <c r="KV38" s="381" t="str">
        <f t="shared" si="205"/>
        <v>S-N-D-P-M-G-r-S</v>
      </c>
      <c r="KW38" s="382">
        <f t="shared" si="189"/>
        <v>7</v>
      </c>
      <c r="KX38" s="384">
        <f t="shared" si="190"/>
        <v>7</v>
      </c>
      <c r="KY38" s="382">
        <f t="shared" ref="KY38:KZ38" si="270">KW38-KT38</f>
        <v>7</v>
      </c>
      <c r="KZ38" s="369">
        <f t="shared" si="270"/>
        <v>7</v>
      </c>
      <c r="LA38" s="385" t="str">
        <f t="shared" si="192"/>
        <v>-</v>
      </c>
      <c r="LB38" s="340" t="str">
        <f>IFERROR(__xludf.DUMMYFUNCTION("JOIN("""",ArrayFormula(MID(KS38,LEN(KS38)-SEQUENCE(1,LEN(KS38))+1,1)))"),"S")</f>
        <v>S</v>
      </c>
      <c r="LC38" s="373" t="str">
        <f>IFERROR(__xludf.DUMMYFUNCTION("JOIN("""",ArrayFormula(MID(KV38,LEN(KV38)-SEQUENCE(1,LEN(KV38))+1,1)))"),"S-r-G-M-P-D-N-S")</f>
        <v>S-r-G-M-P-D-N-S</v>
      </c>
      <c r="LD38" s="373" t="str">
        <f t="shared" si="193"/>
        <v>S</v>
      </c>
      <c r="LE38" s="339" t="str">
        <f t="shared" si="194"/>
        <v>SrGMPDNS</v>
      </c>
      <c r="LF38" s="386" t="str">
        <f>IFERROR(__xludf.DUMMYFUNCTION("SUBSTITUTE(SUBSTITUTE(CONCATENATE(JOIN("""",LH38:LT38)),""1"",""""),""2"","""")"),"SrGMPDNS")</f>
        <v>SrGMPDNS</v>
      </c>
      <c r="LG38" s="369" t="str">
        <f t="shared" si="195"/>
        <v>✔</v>
      </c>
      <c r="LH38" s="387" t="str">
        <f>IFERROR(__xludf.DUMMYFUNCTION("IF(REGEXMATCH(LD38, ""S""), ""S"",IF(REGEXMATCH(LE38, ""S""), ""S"",""""))"),"S")</f>
        <v>S</v>
      </c>
      <c r="LI38" s="299" t="str">
        <f>IFERROR(__xludf.DUMMYFUNCTION("IF(REGEXMATCH(LD38, ""r""), ""r1"",IF(REGEXMATCH(LE38, ""r""), ""r2"",""""))"),"r2")</f>
        <v>r2</v>
      </c>
      <c r="LJ38" s="299" t="str">
        <f>IFERROR(__xludf.DUMMYFUNCTION("IF(REGEXMATCH(LD38, ""R""), ""R1"",IF(REGEXMATCH(LE38, ""R""), ""R2"",""""))"),"")</f>
        <v/>
      </c>
      <c r="LK38" s="299" t="str">
        <f>IFERROR(__xludf.DUMMYFUNCTION("IF(REGEXMATCH(LD38, ""g""), ""g1"",IF(REGEXMATCH(LE38, ""g""), ""g2"",""""))"),"")</f>
        <v/>
      </c>
      <c r="LL38" s="299" t="str">
        <f>IFERROR(__xludf.DUMMYFUNCTION("IF(REGEXMATCH(LD38, ""G""), ""G1"",IF(REGEXMATCH(LE38, ""G""), ""G2"",""""))"),"G2")</f>
        <v>G2</v>
      </c>
      <c r="LM38" s="299" t="str">
        <f>IFERROR(__xludf.DUMMYFUNCTION("IF(REGEXMATCH(LD38, ""m""), ""m1"",IF(REGEXMATCH(LE38, ""m""), ""m2"",""""))"),"")</f>
        <v/>
      </c>
      <c r="LN38" s="299" t="str">
        <f>IFERROR(__xludf.DUMMYFUNCTION("IF(REGEXMATCH(LD38, ""M""), ""M1"",IF(REGEXMATCH(LE38, ""M""), ""M2"",""""))"),"M2")</f>
        <v>M2</v>
      </c>
      <c r="LO38" s="299" t="str">
        <f>IFERROR(__xludf.DUMMYFUNCTION("IF(REGEXMATCH(LD38, ""P""), ""P1"",IF(REGEXMATCH(LE38, ""P""), ""P2"",""""))"),"P2")</f>
        <v>P2</v>
      </c>
      <c r="LP38" s="299" t="str">
        <f>IFERROR(__xludf.DUMMYFUNCTION("IF(REGEXMATCH(LD38, ""d""), ""d1"",IF(REGEXMATCH(LE38, ""d""), ""d2"",""""))"),"")</f>
        <v/>
      </c>
      <c r="LQ38" s="299" t="str">
        <f>IFERROR(__xludf.DUMMYFUNCTION("IF(REGEXMATCH(LD38, ""D""), ""D1"",IF(REGEXMATCH(LE38, ""D""), ""D2"",""""))"),"D2")</f>
        <v>D2</v>
      </c>
      <c r="LR38" s="299" t="str">
        <f>IFERROR(__xludf.DUMMYFUNCTION("IF(REGEXMATCH(LD38, ""n""), ""n1"",IF(REGEXMATCH(LE38, ""n""), ""n2"",""""))"),"")</f>
        <v/>
      </c>
      <c r="LS38" s="299" t="str">
        <f>IFERROR(__xludf.DUMMYFUNCTION("IF(REGEXMATCH(LD38, ""N""), ""N1"",IF(REGEXMATCH(LE38, ""N""), ""N2"",""""))"),"N2")</f>
        <v>N2</v>
      </c>
      <c r="LT38" s="388" t="str">
        <f>IFERROR(__xludf.DUMMYFUNCTION("IF(REGEXMATCH(LD38, ""S""), ""S"",IF(REGEXMATCH(LE38, ""S""), ""S"",""""))"),"S")</f>
        <v>S</v>
      </c>
      <c r="LU38" s="389">
        <f t="shared" si="196"/>
        <v>-13</v>
      </c>
      <c r="LV38" s="378"/>
      <c r="LW38" s="369"/>
      <c r="LX38" s="369"/>
    </row>
    <row r="39" ht="20.25" customHeight="1">
      <c r="A39" s="298" t="s">
        <v>581</v>
      </c>
      <c r="B39" s="222" t="s">
        <v>527</v>
      </c>
      <c r="C39" s="233" t="str">
        <f t="shared" si="7"/>
        <v>SRgmPDnNS</v>
      </c>
      <c r="D39" s="234" t="str">
        <f>IFERROR(__xludf.DUMMYFUNCTION("IF(REGEXMATCH(C39, ""S""), ""S"","""")"),"S")</f>
        <v>S</v>
      </c>
      <c r="E39" s="236" t="str">
        <f>IFERROR(__xludf.DUMMYFUNCTION("IF(REGEXMATCH(C39, ""r""), ""r"","""")"),"")</f>
        <v/>
      </c>
      <c r="F39" s="237" t="str">
        <f>IFERROR(__xludf.DUMMYFUNCTION("IF(REGEXMATCH(C39, ""R""), ""R"","""")"),"R")</f>
        <v>R</v>
      </c>
      <c r="G39" s="237" t="str">
        <f>IFERROR(__xludf.DUMMYFUNCTION("IF(REGEXMATCH(C39, ""g""), ""g"","""")"),"g")</f>
        <v>g</v>
      </c>
      <c r="H39" s="236" t="str">
        <f>IFERROR(__xludf.DUMMYFUNCTION("IF(REGEXMATCH(C39, ""G""), ""G"","""")"),"")</f>
        <v/>
      </c>
      <c r="I39" s="236" t="str">
        <f>IFERROR(__xludf.DUMMYFUNCTION("IF(REGEXMATCH(C39, ""m""), ""m"","""")"),"m")</f>
        <v>m</v>
      </c>
      <c r="J39" s="237" t="str">
        <f>IFERROR(__xludf.DUMMYFUNCTION("IF(REGEXMATCH(C39, ""M""), ""M"","""")"),"")</f>
        <v/>
      </c>
      <c r="K39" s="236" t="str">
        <f>IFERROR(__xludf.DUMMYFUNCTION("IF(REGEXMATCH(C39, ""P""), ""P"","""")"),"P")</f>
        <v>P</v>
      </c>
      <c r="L39" s="237" t="str">
        <f>IFERROR(__xludf.DUMMYFUNCTION("IF(REGEXMATCH(C39, ""d""), ""d"","""")"),"")</f>
        <v/>
      </c>
      <c r="M39" s="236" t="str">
        <f>IFERROR(__xludf.DUMMYFUNCTION("IF(REGEXMATCH(C39, ""D""), ""D"","""")"),"D")</f>
        <v>D</v>
      </c>
      <c r="N39" s="236" t="str">
        <f>IFERROR(__xludf.DUMMYFUNCTION("IF(REGEXMATCH(C39, ""n""), ""n"","""")"),"n")</f>
        <v>n</v>
      </c>
      <c r="O39" s="237" t="str">
        <f>IFERROR(__xludf.DUMMYFUNCTION("IF(REGEXMATCH(C39, ""N""), ""N"","""")"),"N")</f>
        <v>N</v>
      </c>
      <c r="P39" s="238" t="str">
        <f>IFERROR(__xludf.DUMMYFUNCTION("IF(REGEXMATCH(C39, ""S""), ""S"","""")"),"S")</f>
        <v>S</v>
      </c>
      <c r="Q39" s="239" t="str">
        <f>IFERROR(__xludf.DUMMYFUNCTION("SUBSTITUTE(CONCATENATE(JOIN(""-"",D39:J39)),""-"","""")"),"SRgm")</f>
        <v>SRgm</v>
      </c>
      <c r="R39" s="229" t="str">
        <f>IFERROR(__xludf.DUMMYFUNCTION("SUBSTITUTE(CONCATENATE(JOIN(""-"",K39:P39)),""-"","""")"),"PDnNS")</f>
        <v>PDnNS</v>
      </c>
      <c r="S39" s="282" t="str">
        <f t="shared" si="8"/>
        <v>S-R-G-M</v>
      </c>
      <c r="T39" s="282" t="str">
        <f t="shared" si="9"/>
        <v>P-D-N-S</v>
      </c>
      <c r="U39" s="237" t="str">
        <f>IFERROR(__xludf.DUMMYFUNCTION("SUBSTITUTE(JOIN(""-"",S39,T39),""--"",""-"")"),"S-R-G-M-P-D-N-S")</f>
        <v>S-R-G-M-P-D-N-S</v>
      </c>
      <c r="V39" s="309" t="str">
        <f t="shared" si="10"/>
        <v>RgmDnN</v>
      </c>
      <c r="W39" s="244" t="str">
        <f>IFERROR(__xludf.DUMMYFUNCTION("IF(REGEXMATCH(C39, ""S""), ""0"","""")"),"0")</f>
        <v>0</v>
      </c>
      <c r="X39" s="245" t="str">
        <f>IFERROR(__xludf.DUMMYFUNCTION("IF(REGEXMATCH(C39, ""r""), ""1"","""")"),"")</f>
        <v/>
      </c>
      <c r="Y39" s="246" t="str">
        <f>IFERROR(__xludf.DUMMYFUNCTION("IF(REGEXMATCH(C39, ""R""), ""2"","""")"),"2")</f>
        <v>2</v>
      </c>
      <c r="Z39" s="246" t="str">
        <f>IFERROR(__xludf.DUMMYFUNCTION("IF(REGEXMATCH(C39, ""g""), ""3"","""")"),"3")</f>
        <v>3</v>
      </c>
      <c r="AA39" s="245" t="str">
        <f>IFERROR(__xludf.DUMMYFUNCTION("IF(REGEXMATCH(C39, ""G""), ""4"","""")"),"")</f>
        <v/>
      </c>
      <c r="AB39" s="245" t="str">
        <f>IFERROR(__xludf.DUMMYFUNCTION("IF(REGEXMATCH(C39, ""m""), ""5"","""")"),"5")</f>
        <v>5</v>
      </c>
      <c r="AC39" s="246" t="str">
        <f>IFERROR(__xludf.DUMMYFUNCTION("IF(REGEXMATCH(C39, ""M""), ""6"","""")"),"")</f>
        <v/>
      </c>
      <c r="AD39" s="245" t="str">
        <f>IFERROR(__xludf.DUMMYFUNCTION("IF(REGEXMATCH(C39, ""P""), ""7"","""")"),"7")</f>
        <v>7</v>
      </c>
      <c r="AE39" s="246" t="str">
        <f>IFERROR(__xludf.DUMMYFUNCTION("IF(REGEXMATCH(C39, ""d""), ""8"","""")"),"")</f>
        <v/>
      </c>
      <c r="AF39" s="245" t="str">
        <f>IFERROR(__xludf.DUMMYFUNCTION("IF(REGEXMATCH(C39, ""D""), ""9"","""")"),"9")</f>
        <v>9</v>
      </c>
      <c r="AG39" s="245" t="str">
        <f>IFERROR(__xludf.DUMMYFUNCTION("IF(REGEXMATCH(C39, ""n""), ""10"","""")"),"10")</f>
        <v>10</v>
      </c>
      <c r="AH39" s="246" t="str">
        <f>IFERROR(__xludf.DUMMYFUNCTION("IF(REGEXMATCH(C39, ""N""), ""11"","""")"),"11")</f>
        <v>11</v>
      </c>
      <c r="AI39" s="249" t="str">
        <f>IFERROR(__xludf.DUMMYFUNCTION("IF(REGEXMATCH(C39, ""S""), ""0"","""")"),"0")</f>
        <v>0</v>
      </c>
      <c r="AJ39" s="313" t="str">
        <f t="shared" si="11"/>
        <v>-</v>
      </c>
      <c r="AK39" s="313" t="str">
        <f t="shared" si="12"/>
        <v>-</v>
      </c>
      <c r="AL39" s="313" t="str">
        <f t="shared" si="13"/>
        <v>-</v>
      </c>
      <c r="AM39" s="313" t="str">
        <f t="shared" si="14"/>
        <v>T</v>
      </c>
      <c r="AN39" s="313" t="str">
        <f t="shared" si="15"/>
        <v>-</v>
      </c>
      <c r="AO39" s="314" t="str">
        <f t="shared" si="16"/>
        <v>T</v>
      </c>
      <c r="AP39" s="316">
        <f t="shared" si="17"/>
        <v>2</v>
      </c>
      <c r="AQ39" s="319" t="str">
        <f t="shared" si="18"/>
        <v>#REF!</v>
      </c>
      <c r="AR39" s="320">
        <f t="shared" si="19"/>
        <v>0</v>
      </c>
      <c r="AS39" s="250" t="str">
        <f>IFERROR(__xludf.DUMMYFUNCTION("SUBSTITUTE(SUBSTITUTE(CONCATENATE(JOIN("""",FP39:GA39)),""|"",""x""),""-"",""o"")"),"xoxxoxoxoxxx")</f>
        <v>xoxxoxoxoxxx</v>
      </c>
      <c r="AT39" s="323" t="str">
        <f>IFERROR(__xludf.DUMMYFUNCTION("JOIN("""",AS39,AS39)"),"xoxxoxoxoxxxxoxxoxoxoxxx")</f>
        <v>xoxxoxoxoxxxxoxxoxoxoxxx</v>
      </c>
      <c r="AU39" s="256" t="str">
        <f>IFERROR(__xludf.DUMMYFUNCTION("JOIN("""",ArrayFormula(MID(AS39,LEN(AS39)-SEQUENCE(1,LEN(AS39))+1,1)))"),"xxxoxoxoxxox")</f>
        <v>xxxoxoxoxxox</v>
      </c>
      <c r="AV39" s="256" t="str">
        <f>IFERROR(__xludf.DUMMYFUNCTION("LEFT(CONCATENATE(""x"",JOIN("""",ArrayFormula(MID(AS39,LEN(AS39)-SEQUENCE(1,LEN(AS39))+1,1)))),12)"),"xxxxoxoxoxxo")</f>
        <v>xxxxoxoxoxxo</v>
      </c>
      <c r="AW39" s="327" t="str">
        <f>IFERROR(__xludf.DUMMYFUNCTION("JOIN("""",AU39,AU39)"),"xxxoxoxoxxoxxxxoxoxoxxox")</f>
        <v>xxxoxoxoxxoxxxxoxoxoxxox</v>
      </c>
      <c r="AX39" s="239" t="str">
        <f>IFERROR(__xludf.DUMMYFUNCTION("IF(REGEXMATCH(AW39,AS39),""✔"",""-"")"),"-")</f>
        <v>-</v>
      </c>
      <c r="AY39" s="330" t="str">
        <f t="shared" si="20"/>
        <v>-</v>
      </c>
      <c r="AZ39" s="260" t="str">
        <f t="shared" si="21"/>
        <v>#REF!</v>
      </c>
      <c r="BA39" s="333" t="str">
        <f t="shared" si="22"/>
        <v>xoxxoxo</v>
      </c>
      <c r="BB39" s="334" t="str">
        <f t="shared" si="23"/>
        <v>xoxxxx</v>
      </c>
      <c r="BC39" s="335" t="str">
        <f t="shared" si="236"/>
        <v>-</v>
      </c>
      <c r="BD39" s="336" t="str">
        <f t="shared" si="25"/>
        <v>Barwa: 'xoxxoxo' + 'xoxxxx'</v>
      </c>
      <c r="BE39" s="337">
        <f>IFERROR(__xludf.DUMMYFUNCTION("COUNTUNIQUE(FILTER(AT:AT,REGEXMATCH(AT:AT,AS39)))-1"),3.0)</f>
        <v>3</v>
      </c>
      <c r="BF39" s="261" t="str">
        <f>IFERROR(__xludf.DUMMYFUNCTION("IF(BI39=0,""(n/a)"",IF(BJ39=2,""(PAIR)"",IF(REGEXMATCH(AT39,""xoxoxxoxoxox""),""Bilawal"",IF(REGEXMATCH(AT39,""xoxoxooxoxoo""),""Bhupali"",IF(REGEXMATCH(AT39,""xoxoxxoxxoxo""),""Charukeshi"",IF(REGEXMATCH(AT39,""xoxoooxxoxxo""),""Kameshwari"",IF(REGEXMATC"&amp;"H(AT39,""xoxoxooxoxox""),""Shankara"",IF(REGEXMATCH(AT39,""xxooxoxxxoox""),""Basant"",IF(REGEXMATCH(AT39,""xoxoxxxxoxox""),""Bihag"",IF(REGEXMATCH(AT39,""xoxxxxoxoxxx""),""Pilu"",IF(REGEXMATCH(AT39,""xoxxoxoxxoox""),""Kirwani"",IF(REGEXMATCH(AT39,""xoxxox"&amp;"oxoxxx""),""Mk.Malhar"",IF(REGEXMATCH(AT39,""xxooxxoxxoox""),""Bhairav"",IF(REGEXMATCH(AT39,""xxoxooxxxoox""),""Todi"",IF(REGEXMATCH(AT39,""xxooxoxooxox""),""Marwa"",IF(REGEXMATCH(AT39,""xxoooxoxxooo""),""Gunkali"",IF(REGEXMATCH(AT39,""xoxoxxoxxoox""),""N"&amp;"at Bhairav"",IF(REGEXMATCH(AT39,""xoxxoooxoxoo""),""Shivranjani"",IF(REGEXMATCH(AT39,""xooxxxoxooxo""),""Jog"",IF(REGEXMATCH(AT39,""xxooxoxoxoox""),""Hemshri"",IF(REGEXMATCH(AT39,""xoooxooxoxxo""),""Kalavati"",IF(REGEXMATCH(AT39,""xxoxoxxoxoox""),""Kedar"&amp;""",IF(REGEXMATCH(AT39,""xoxxxxoxooxx""),""Gara"",IF(REGEXMATCH(AT39,""xooxoxooxoox""),""Chandrakauns"",IF(REGEXMATCH(AT39,""xoxxxxoxxxox""),""Mand"",IF(REGEXMATCH(AT39,""xoxxxxoxoxox""),""Hanskinkini"",IF(REGEXMATCH(AT39,""xxooxxoxooxo""),""Lilavati"",IF("&amp;"REGEXMATCH(AT39,""xooxoxoooxox""),""Rajeshwari"",IF(REGEXMATCH(AT39,""xoooxxoxoxxx""),""Khokar"",IF(REGEXMATCH(AT39,""xxooxoxxxxox""),""Maligoura"",""-""))))))))))))))))))))))))))))))"),"Mk.Malhar")</f>
        <v>Mk.Malhar</v>
      </c>
      <c r="BG39" s="239" t="str">
        <f t="shared" si="26"/>
        <v>#REF!</v>
      </c>
      <c r="BH39" s="239">
        <f>IFERROR(__xludf.DUMMYFUNCTION("COUNTUNIQUE(FE39:FO39)-1"),7.0)</f>
        <v>7</v>
      </c>
      <c r="BI39" s="239">
        <f>IFERROR(__xludf.DUMMYFUNCTION("COUNTUNIQUE(FILTER(AT:AT,REGEXMATCH(AT:AT,AS39)))-1"),3.0)</f>
        <v>3</v>
      </c>
      <c r="BJ39" s="239">
        <f>IFERROR(__xludf.DUMMYFUNCTION("COUNTA(FILTER(AT:AT,REGEXMATCH(AT:AT,AS39)))"),16.0)</f>
        <v>16</v>
      </c>
      <c r="BK39" s="341">
        <f>IFERROR(__xludf.DUMMYFUNCTION("COUNTA(FILTER(AT:AT,REGEXMATCH(AT:AT,AS39)))-AR39"),16.0)</f>
        <v>16</v>
      </c>
      <c r="BL39" s="276" t="str">
        <f>IFERROR(__xludf.DUMMYFUNCTION("IF(AS39=""oooooooooooo"",""-"",IF(REGEXMATCH(AT39,""xx""), ""Hemi."", ""Anhemi.""))"),"Hemi.")</f>
        <v>Hemi.</v>
      </c>
      <c r="BM39" s="282" t="str">
        <f>IFERROR(__xludf.DUMMYFUNCTION("IF(AS39=""oooooooooooo"",""-"",IF(REGEXMATCH(AT39,""xxx""), ""Cohem."", ""-""))"),"Cohem.")</f>
        <v>Cohem.</v>
      </c>
      <c r="BN39" s="282" t="str">
        <f>IFERROR(__xludf.DUMMYFUNCTION("IF(AS39=""oooooooooooo"",""-"",IF(REGEXMATCH(AT39,""xxxx""), ""Co-Co."", ""-""))"),"Co-Co.")</f>
        <v>Co-Co.</v>
      </c>
      <c r="BO39" s="342" t="str">
        <f>IFERROR(__xludf.DUMMYFUNCTION("IF(AS39=""oooooooooooo"",""-"",IF(REGEXMATCH(AT39,""xxxxx""), ""CCC."", ""-""))"),"-")</f>
        <v>-</v>
      </c>
      <c r="BP39" s="344" t="str">
        <f t="shared" si="27"/>
        <v>-</v>
      </c>
      <c r="BQ39" s="282" t="str">
        <f>IFERROR(__xludf.DUMMYFUNCTION("IF(REGEXMATCH(JOIN(""-"",EU39:FD39),""TRUE""),""✔"",""-"")"),"-")</f>
        <v>-</v>
      </c>
      <c r="BR39" s="225">
        <f t="shared" si="28"/>
        <v>0</v>
      </c>
      <c r="BS39" s="345" t="str">
        <f>IFERROR(__xludf.DUMMYFUNCTION("SUBSTITUTE(SUBSTITUTE(SUBSTITUTE(SUBSTITUTE(CONCATENATE(JOIN(""-"",GC39:GO39)),""--"",""-""),""--"",""-""),""--"",""-""),""--"",""-"")"),"1-2-b3-4-5-6-b7-7-8")</f>
        <v>1-2-b3-4-5-6-b7-7-8</v>
      </c>
      <c r="BT39" s="299" t="str">
        <f>IFERROR(__xludf.DUMMYFUNCTION("SUBSTITUTE(SUBSTITUTE(SUBSTITUTE(SUBSTITUTE(CONCATENATE(JOIN(""-"",GP39:HB39)),""--"",""-""),""--"",""-""),""--"",""-""),""--"",""-"")"),"S-R2-G2-M1-P-D2-N2-N3-S")</f>
        <v>S-R2-G2-M1-P-D2-N2-N3-S</v>
      </c>
      <c r="BU39" s="348" t="str">
        <f t="shared" si="29"/>
        <v>C-D-Eb-F-G-A-Bb-B-C</v>
      </c>
      <c r="BV39" s="349" t="str">
        <f t="shared" si="30"/>
        <v>SrGMdS</v>
      </c>
      <c r="BW39" s="350">
        <f t="shared" si="31"/>
        <v>0</v>
      </c>
      <c r="BX39" s="351">
        <f t="shared" si="32"/>
        <v>11</v>
      </c>
      <c r="BY39" s="392"/>
      <c r="BZ39" s="309" t="str">
        <f>IFERROR(__xludf.DUMMYFUNCTION("IF(REGEXMATCH(C39, ""S""), ""x"",""x"")"),"x")</f>
        <v>x</v>
      </c>
      <c r="CA39" s="245" t="str">
        <f>IFERROR(__xludf.DUMMYFUNCTION("IF(REGEXMATCH(C39, ""r""), ""o"",""x"")"),"x")</f>
        <v>x</v>
      </c>
      <c r="CB39" s="246" t="str">
        <f>IFERROR(__xludf.DUMMYFUNCTION("IF(REGEXMATCH(C39, ""R""), ""o"",""x"")"),"o")</f>
        <v>o</v>
      </c>
      <c r="CC39" s="246" t="str">
        <f>IFERROR(__xludf.DUMMYFUNCTION("IF(REGEXMATCH(C39, ""g""), ""o"",""x"")"),"o")</f>
        <v>o</v>
      </c>
      <c r="CD39" s="245" t="str">
        <f>IFERROR(__xludf.DUMMYFUNCTION("IF(REGEXMATCH(C39, ""G""), ""o"",""x"")"),"x")</f>
        <v>x</v>
      </c>
      <c r="CE39" s="245" t="str">
        <f>IFERROR(__xludf.DUMMYFUNCTION("IF(REGEXMATCH(C39, ""m""), ""o"",""x"")"),"o")</f>
        <v>o</v>
      </c>
      <c r="CF39" s="246" t="str">
        <f>IFERROR(__xludf.DUMMYFUNCTION("IF(REGEXMATCH(C39, ""M""), ""o"",""x"")"),"x")</f>
        <v>x</v>
      </c>
      <c r="CG39" s="245" t="str">
        <f>IFERROR(__xludf.DUMMYFUNCTION("IF(REGEXMATCH(C39, ""P""), ""o"",""x"")"),"o")</f>
        <v>o</v>
      </c>
      <c r="CH39" s="246" t="str">
        <f>IFERROR(__xludf.DUMMYFUNCTION("IF(REGEXMATCH(C39, ""d""), ""o"",""x"")"),"x")</f>
        <v>x</v>
      </c>
      <c r="CI39" s="245" t="str">
        <f>IFERROR(__xludf.DUMMYFUNCTION("IF(REGEXMATCH(C39, ""D""), ""o"",""x"")"),"o")</f>
        <v>o</v>
      </c>
      <c r="CJ39" s="245" t="str">
        <f>IFERROR(__xludf.DUMMYFUNCTION("IF(REGEXMATCH(C39, ""n""), ""o"",""x"")"),"o")</f>
        <v>o</v>
      </c>
      <c r="CK39" s="245" t="str">
        <f>IFERROR(__xludf.DUMMYFUNCTION("IF(REGEXMATCH(C39, ""N""), ""o"",""x"")"),"o")</f>
        <v>o</v>
      </c>
      <c r="CL39" s="356" t="str">
        <f>IFERROR(__xludf.DUMMYFUNCTION("IF(REGEXMATCH(C39, ""S""), ""x"",""x"")"),"x")</f>
        <v>x</v>
      </c>
      <c r="CM39" s="357" t="str">
        <f t="shared" si="33"/>
        <v>xxooxoxoxooo</v>
      </c>
      <c r="CN39" s="358">
        <f t="shared" si="34"/>
        <v>0</v>
      </c>
      <c r="CO39" s="246" t="str">
        <f>IFERROR(__xludf.DUMMYFUNCTION("IF(REGEXMATCH($C39, ""S""), ""S"",""S"")"),"S")</f>
        <v>S</v>
      </c>
      <c r="CP39" s="246" t="str">
        <f>IFERROR(__xludf.DUMMYFUNCTION("IF(REGEXMATCH($C39, ""r""), """",""r"")"),"r")</f>
        <v>r</v>
      </c>
      <c r="CQ39" s="246" t="str">
        <f>IFERROR(__xludf.DUMMYFUNCTION("IF(REGEXMATCH($C39, ""R""), """",""R"")"),"")</f>
        <v/>
      </c>
      <c r="CR39" s="246" t="str">
        <f>IFERROR(__xludf.DUMMYFUNCTION("IF(REGEXMATCH($C39, ""g""), """",""g"")"),"")</f>
        <v/>
      </c>
      <c r="CS39" s="246" t="str">
        <f>IFERROR(__xludf.DUMMYFUNCTION("IF(REGEXMATCH($C39, ""G""), """",""G"")"),"G")</f>
        <v>G</v>
      </c>
      <c r="CT39" s="246" t="str">
        <f>IFERROR(__xludf.DUMMYFUNCTION("IF(REGEXMATCH($C39, ""m""), """",""m"")"),"")</f>
        <v/>
      </c>
      <c r="CU39" s="246" t="str">
        <f>IFERROR(__xludf.DUMMYFUNCTION("IF(REGEXMATCH($C39, ""M""), """",""M"")"),"M")</f>
        <v>M</v>
      </c>
      <c r="CV39" s="246" t="str">
        <f>IFERROR(__xludf.DUMMYFUNCTION("IF(REGEXMATCH($C39, ""P""), """",""P"")"),"")</f>
        <v/>
      </c>
      <c r="CW39" s="246" t="str">
        <f>IFERROR(__xludf.DUMMYFUNCTION("IF(REGEXMATCH($C39, ""d""), """",""d"")"),"d")</f>
        <v>d</v>
      </c>
      <c r="CX39" s="246" t="str">
        <f>IFERROR(__xludf.DUMMYFUNCTION("IF(REGEXMATCH($C39, ""D""), """",""D"")"),"")</f>
        <v/>
      </c>
      <c r="CY39" s="246" t="str">
        <f>IFERROR(__xludf.DUMMYFUNCTION("IF(REGEXMATCH($C39, ""n""), """",""n"")"),"")</f>
        <v/>
      </c>
      <c r="CZ39" s="246" t="str">
        <f>IFERROR(__xludf.DUMMYFUNCTION("IF(REGEXMATCH($C39, ""N""), """",""N"")"),"")</f>
        <v/>
      </c>
      <c r="DA39" s="246" t="str">
        <f>IFERROR(__xludf.DUMMYFUNCTION("IF(REGEXMATCH($C39, ""S""), ""S"",""S"")"),"S")</f>
        <v>S</v>
      </c>
      <c r="DB39" s="362" t="str">
        <f>IFERROR(__xludf.DUMMYFUNCTION("JOIN("""",CO39:DA39,"""","""")"),"SrGMdS")</f>
        <v>SrGMdS</v>
      </c>
      <c r="DC39" s="363"/>
      <c r="DD39" s="301" t="str">
        <f t="shared" si="35"/>
        <v>#REF!</v>
      </c>
      <c r="DE39" s="302" t="str">
        <f t="shared" si="36"/>
        <v>#REF!</v>
      </c>
      <c r="DF39" s="301" t="str">
        <f t="shared" ref="DF39:DG39" si="271">SUBSTITUTE(S39,"-","")</f>
        <v>SRGM</v>
      </c>
      <c r="DG39" s="301" t="str">
        <f t="shared" si="271"/>
        <v>PDNS</v>
      </c>
      <c r="DH39" s="302" t="str">
        <f t="shared" si="38"/>
        <v>Mk.Malhar</v>
      </c>
      <c r="DI39" s="301" t="str">
        <f t="shared" si="39"/>
        <v>Hemi.</v>
      </c>
      <c r="DJ39" s="364" t="str">
        <f t="shared" si="40"/>
        <v>Co-Co.</v>
      </c>
      <c r="DK39" s="306" t="str">
        <f t="shared" si="41"/>
        <v>-</v>
      </c>
      <c r="DL39" s="366" t="str">
        <f t="shared" si="42"/>
        <v>-</v>
      </c>
      <c r="DM39" s="308" t="str">
        <f t="shared" si="43"/>
        <v>✔</v>
      </c>
      <c r="DN39" s="306" t="str">
        <f t="shared" si="44"/>
        <v>-</v>
      </c>
      <c r="DO39" s="306" t="str">
        <f t="shared" si="45"/>
        <v>-</v>
      </c>
      <c r="DP39" s="367" t="str">
        <f t="shared" si="46"/>
        <v>-</v>
      </c>
      <c r="DQ39" s="310" t="str">
        <f t="shared" si="47"/>
        <v>-</v>
      </c>
      <c r="DR39" s="310" t="str">
        <f t="shared" si="48"/>
        <v>-</v>
      </c>
      <c r="DS39" s="310" t="str">
        <f t="shared" si="49"/>
        <v>-</v>
      </c>
      <c r="DT39" s="310" t="str">
        <f t="shared" si="50"/>
        <v>-</v>
      </c>
      <c r="DU39" s="370" t="str">
        <f t="shared" si="51"/>
        <v>✔</v>
      </c>
      <c r="DV39" s="306" t="str">
        <f t="shared" si="52"/>
        <v>-</v>
      </c>
      <c r="DW39" s="306" t="str">
        <f t="shared" si="53"/>
        <v>-</v>
      </c>
      <c r="DX39" s="306" t="str">
        <f t="shared" si="54"/>
        <v>-</v>
      </c>
      <c r="DY39" s="306" t="str">
        <f t="shared" si="55"/>
        <v>-</v>
      </c>
      <c r="DZ39" s="306" t="str">
        <f t="shared" si="56"/>
        <v>-</v>
      </c>
      <c r="EA39" s="367" t="str">
        <f t="shared" si="57"/>
        <v>-</v>
      </c>
      <c r="EB39" s="310" t="str">
        <f>IFERROR(__xludf.DUMMYFUNCTION("IF(REGEXMATCH(AW39,AS39),""✔"",""-"")"),"-")</f>
        <v>-</v>
      </c>
      <c r="EC39" s="310" t="str">
        <f t="shared" si="58"/>
        <v>#REF!</v>
      </c>
      <c r="ED39" s="370" t="str">
        <f t="shared" si="59"/>
        <v>-</v>
      </c>
      <c r="EE39" s="340" t="str">
        <f t="shared" si="60"/>
        <v>S-R-g-m-P-D-nN-S</v>
      </c>
      <c r="EF39" s="371" t="str">
        <f>IFERROR(__xludf.DUMMYFUNCTION("CONCATENATE(JOIN("""",HC39:HO39))"),"SrRgmPDnS")</f>
        <v>SrRgmPDnS</v>
      </c>
      <c r="EG39" s="372">
        <f t="shared" si="61"/>
        <v>2</v>
      </c>
      <c r="EH39" s="373" t="str">
        <f>IFERROR(__xludf.DUMMYFUNCTION("CONCATENATE(JOIN("""",JC39:JO39))"),"Dha, Ni, ")</f>
        <v>Dha, Ni, </v>
      </c>
      <c r="EI39" s="322">
        <f t="shared" si="62"/>
        <v>1</v>
      </c>
      <c r="EJ39" s="374" t="str">
        <f>IFERROR(__xludf.DUMMYFUNCTION("CONCATENATE(JOIN("""",KC39:KO39))"),"Ni, ")</f>
        <v>Ni, </v>
      </c>
      <c r="EK39" s="325" t="str">
        <f t="shared" si="63"/>
        <v>S-R2-G2-M1-P-D2-N2-N3-S</v>
      </c>
      <c r="EL39" s="326" t="str">
        <f t="shared" si="64"/>
        <v>1-2-b3-4-5-6-b7-7-8</v>
      </c>
      <c r="EM39" s="318" t="str">
        <f t="shared" si="65"/>
        <v>#REF!</v>
      </c>
      <c r="EN39" s="328" t="str">
        <f>IFERROR(__xludf.DUMMYFUNCTION("SUBSTITUTE(SUBSTITUTE(SUBSTITUTE(SUBSTITUTE(CONCATENATE(JOIN("" "",HP39:IB39)),""  "","" ""),""  "","" ""),""  "","" ""),""  "","" "")"),"o • o o • o • o • o o o o")</f>
        <v>o • o o • o • o • o o o o</v>
      </c>
      <c r="EO39" s="368" t="str">
        <f t="shared" si="66"/>
        <v>-</v>
      </c>
      <c r="EP39" s="339" t="str">
        <f t="shared" si="67"/>
        <v>-</v>
      </c>
      <c r="EQ39" s="339" t="str">
        <f t="shared" si="68"/>
        <v>Sa-Pa</v>
      </c>
      <c r="ER39" s="339" t="str">
        <f t="shared" si="69"/>
        <v>-</v>
      </c>
      <c r="ES39" s="340" t="str">
        <f t="shared" si="70"/>
        <v>-</v>
      </c>
      <c r="ET39" s="363"/>
      <c r="EU39" s="376" t="b">
        <f>IFERROR(__xludf.DUMMYFUNCTION("arrayformula(sum(--REGEXMATCH(""SRGMPDNS"",split(REGEXREPLACE(C39,""(.)"",""$1~""),""~""))))=len(C39)
"),FALSE)</f>
        <v>0</v>
      </c>
      <c r="EV39" s="290" t="b">
        <f>IFERROR(__xludf.DUMMYFUNCTION("arrayformula(sum(--REGEXMATCH(""SRGmPDNS"",split(REGEXREPLACE(C39,""(.)"",""$1~""),""~""))))=len(C39)"),FALSE)</f>
        <v>0</v>
      </c>
      <c r="EW39" s="290" t="b">
        <f>IFERROR(__xludf.DUMMYFUNCTION("arrayformula(sum(--REGEXMATCH(""SRGmPDnS"",split(REGEXREPLACE(C39,""(.)"",""$1~""),""~""))))=len(C39)"),FALSE)</f>
        <v>0</v>
      </c>
      <c r="EX39" s="290" t="b">
        <f>IFERROR(__xludf.DUMMYFUNCTION("arrayformula(sum(--REGEXMATCH(""SRgmPDnS"",split(REGEXREPLACE(C39,""(.)"",""$1~""),""~""))))=len(C39)"),FALSE)</f>
        <v>0</v>
      </c>
      <c r="EY39" s="290" t="b">
        <f>IFERROR(__xludf.DUMMYFUNCTION("arrayformula(sum(--REGEXMATCH(""SRgmPdnS"",split(REGEXREPLACE(C39,""(.)"",""$1~""),""~""))))=len(C39)"),FALSE)</f>
        <v>0</v>
      </c>
      <c r="EZ39" s="290" t="b">
        <f>IFERROR(__xludf.DUMMYFUNCTION("arrayformula(sum(--REGEXMATCH(""SrgmPdnS"",split(REGEXREPLACE(C39,""(.)"",""$1~""),""~""))))=len(C39)"),FALSE)</f>
        <v>0</v>
      </c>
      <c r="FA39" s="290" t="b">
        <f>IFERROR(__xludf.DUMMYFUNCTION("arrayformula(sum(--REGEXMATCH(""SrGmPdNS"",split(REGEXREPLACE(C39,""(.)"",""$1~""),""~""))))=len(C39)"),FALSE)</f>
        <v>0</v>
      </c>
      <c r="FB39" s="290" t="b">
        <f>IFERROR(__xludf.DUMMYFUNCTION("arrayformula(sum(--REGEXMATCH(""SrGMPDNS"",split(REGEXREPLACE(C39,""(.)"",""$1~""),""~""))))=len(C39)"),FALSE)</f>
        <v>0</v>
      </c>
      <c r="FC39" s="290" t="b">
        <f>IFERROR(__xludf.DUMMYFUNCTION("arrayformula(sum(--REGEXMATCH(""SrGMPdNS"",split(REGEXREPLACE(C39,""(.)"",""$1~""),""~""))))=len(C39)"),FALSE)</f>
        <v>0</v>
      </c>
      <c r="FD39" s="377" t="b">
        <f>IFERROR(__xludf.DUMMYFUNCTION("arrayformula(sum(--REGEXMATCH(""SrgMPdNS"",split(REGEXREPLACE(C39,""(.)"",""$1~""),""~""))))=len(C39)"),FALSE)</f>
        <v>0</v>
      </c>
      <c r="FE39" s="269" t="str">
        <f t="shared" si="71"/>
        <v>-</v>
      </c>
      <c r="FF39" s="269" t="str">
        <f t="shared" si="72"/>
        <v>xxoxoxoxxxx</v>
      </c>
      <c r="FG39" s="271" t="str">
        <f t="shared" si="73"/>
        <v>xoxoxoxxxxo</v>
      </c>
      <c r="FH39" s="269" t="str">
        <f t="shared" si="74"/>
        <v>-</v>
      </c>
      <c r="FI39" s="271" t="str">
        <f t="shared" si="75"/>
        <v>xoxoxxxxoxx</v>
      </c>
      <c r="FJ39" s="271" t="str">
        <f t="shared" si="76"/>
        <v>-</v>
      </c>
      <c r="FK39" s="271" t="str">
        <f t="shared" si="77"/>
        <v>xoxxxxoxxox</v>
      </c>
      <c r="FL39" s="271" t="str">
        <f t="shared" si="78"/>
        <v>-</v>
      </c>
      <c r="FM39" s="271" t="str">
        <f t="shared" si="79"/>
        <v>xxxxoxxoxox</v>
      </c>
      <c r="FN39" s="271" t="str">
        <f t="shared" si="80"/>
        <v>xxxoxxoxoxo</v>
      </c>
      <c r="FO39" s="274" t="str">
        <f t="shared" si="81"/>
        <v>xxoxxoxoxox</v>
      </c>
      <c r="FP39" s="234" t="str">
        <f t="shared" si="82"/>
        <v>|</v>
      </c>
      <c r="FQ39" s="236" t="str">
        <f t="shared" si="83"/>
        <v>-</v>
      </c>
      <c r="FR39" s="237" t="str">
        <f t="shared" si="84"/>
        <v>|</v>
      </c>
      <c r="FS39" s="236" t="str">
        <f t="shared" si="85"/>
        <v>|</v>
      </c>
      <c r="FT39" s="237" t="str">
        <f t="shared" si="86"/>
        <v>-</v>
      </c>
      <c r="FU39" s="236" t="str">
        <f t="shared" si="87"/>
        <v>|</v>
      </c>
      <c r="FV39" s="237" t="str">
        <f t="shared" si="88"/>
        <v>-</v>
      </c>
      <c r="FW39" s="236" t="str">
        <f t="shared" si="89"/>
        <v>|</v>
      </c>
      <c r="FX39" s="237" t="str">
        <f t="shared" si="90"/>
        <v>-</v>
      </c>
      <c r="FY39" s="236" t="str">
        <f t="shared" si="91"/>
        <v>|</v>
      </c>
      <c r="FZ39" s="237" t="str">
        <f t="shared" si="92"/>
        <v>|</v>
      </c>
      <c r="GA39" s="236" t="str">
        <f t="shared" si="93"/>
        <v>|</v>
      </c>
      <c r="GB39" s="238" t="str">
        <f t="shared" si="94"/>
        <v>|</v>
      </c>
      <c r="GC39" s="244" t="str">
        <f>IFERROR(__xludf.DUMMYFUNCTION("IF(REGEXMATCH(C39, ""S""), ""1"","""")"),"1")</f>
        <v>1</v>
      </c>
      <c r="GD39" s="245" t="str">
        <f>IFERROR(__xludf.DUMMYFUNCTION("IF(REGEXMATCH(C39, ""r""), ""b2"","""")"),"")</f>
        <v/>
      </c>
      <c r="GE39" s="246" t="str">
        <f>IFERROR(__xludf.DUMMYFUNCTION("IF(REGEXMATCH(C39, ""R""), ""2"","""")"),"2")</f>
        <v>2</v>
      </c>
      <c r="GF39" s="246" t="str">
        <f>IFERROR(__xludf.DUMMYFUNCTION("IF(REGEXMATCH(C39, ""g""), ""b3"","""")"),"b3")</f>
        <v>b3</v>
      </c>
      <c r="GG39" s="245" t="str">
        <f>IFERROR(__xludf.DUMMYFUNCTION("IF(REGEXMATCH(C39, ""G""), ""3"","""")"),"")</f>
        <v/>
      </c>
      <c r="GH39" s="245" t="str">
        <f>IFERROR(__xludf.DUMMYFUNCTION("IF(REGEXMATCH(C39, ""m""), ""4"","""")"),"4")</f>
        <v>4</v>
      </c>
      <c r="GI39" s="246" t="str">
        <f>IFERROR(__xludf.DUMMYFUNCTION("IF(REGEXMATCH(C39, ""M""), ""#4"","""")"),"")</f>
        <v/>
      </c>
      <c r="GJ39" s="245" t="str">
        <f>IFERROR(__xludf.DUMMYFUNCTION("IF(REGEXMATCH(C39, ""P""), ""5"","""")"),"5")</f>
        <v>5</v>
      </c>
      <c r="GK39" s="246" t="str">
        <f>IFERROR(__xludf.DUMMYFUNCTION("IF(REGEXMATCH(C39, ""d""), ""b6"","""")"),"")</f>
        <v/>
      </c>
      <c r="GL39" s="245" t="str">
        <f>IFERROR(__xludf.DUMMYFUNCTION("IF(REGEXMATCH(C39, ""D""), ""6"","""")"),"6")</f>
        <v>6</v>
      </c>
      <c r="GM39" s="245" t="str">
        <f>IFERROR(__xludf.DUMMYFUNCTION("IF(REGEXMATCH(C39, ""n""), ""b7"","""")"),"b7")</f>
        <v>b7</v>
      </c>
      <c r="GN39" s="246" t="str">
        <f>IFERROR(__xludf.DUMMYFUNCTION("IF(REGEXMATCH(C39, ""N""), ""7"","""")"),"7")</f>
        <v>7</v>
      </c>
      <c r="GO39" s="249" t="str">
        <f>IFERROR(__xludf.DUMMYFUNCTION("IF(REGEXMATCH(C39, ""S""), ""8"","""")"),"8")</f>
        <v>8</v>
      </c>
      <c r="GP39" s="244" t="str">
        <f>IFERROR(__xludf.DUMMYFUNCTION("IF(REGEXMATCH(C39, ""S""), ""S"","""")"),"S")</f>
        <v>S</v>
      </c>
      <c r="GQ39" s="294" t="str">
        <f>IFERROR(__xludf.DUMMYFUNCTION("IF(REGEXMATCH(C39, ""r""), ""R1"","""")"),"")</f>
        <v/>
      </c>
      <c r="GR39" s="295" t="str">
        <f>IFERROR(__xludf.DUMMYFUNCTION("IF(REGEXMATCH(C39, ""R""), ""R2"","""")"),"R2")</f>
        <v>R2</v>
      </c>
      <c r="GS39" s="295" t="str">
        <f>IFERROR(__xludf.DUMMYFUNCTION("IF(REGEXMATCH(C39, ""g""), ""G2"","""")"),"G2")</f>
        <v>G2</v>
      </c>
      <c r="GT39" s="294" t="str">
        <f>IFERROR(__xludf.DUMMYFUNCTION("IF(REGEXMATCH(C39, ""G""), ""G3"","""")"),"")</f>
        <v/>
      </c>
      <c r="GU39" s="294" t="str">
        <f>IFERROR(__xludf.DUMMYFUNCTION("IF(REGEXMATCH(C39, ""m""), ""M1"","""")"),"M1")</f>
        <v>M1</v>
      </c>
      <c r="GV39" s="295" t="str">
        <f>IFERROR(__xludf.DUMMYFUNCTION("IF(REGEXMATCH(C39, ""M""), ""M2"","""")"),"")</f>
        <v/>
      </c>
      <c r="GW39" s="294" t="str">
        <f>IFERROR(__xludf.DUMMYFUNCTION("IF(REGEXMATCH(C39, ""P""), ""P"","""")"),"P")</f>
        <v>P</v>
      </c>
      <c r="GX39" s="295" t="str">
        <f>IFERROR(__xludf.DUMMYFUNCTION("IF(REGEXMATCH(C39, ""d""), ""D1"","""")"),"")</f>
        <v/>
      </c>
      <c r="GY39" s="294" t="str">
        <f>IFERROR(__xludf.DUMMYFUNCTION("IF(REGEXMATCH(C39, ""D""), ""D2"","""")"),"D2")</f>
        <v>D2</v>
      </c>
      <c r="GZ39" s="294" t="str">
        <f>IFERROR(__xludf.DUMMYFUNCTION("IF(REGEXMATCH(C39, ""n""), ""N2"","""")"),"N2")</f>
        <v>N2</v>
      </c>
      <c r="HA39" s="295" t="str">
        <f>IFERROR(__xludf.DUMMYFUNCTION("IF(REGEXMATCH(C39, ""N""), ""N3"","""")"),"N3")</f>
        <v>N3</v>
      </c>
      <c r="HB39" s="249" t="str">
        <f>IFERROR(__xludf.DUMMYFUNCTION("IF(REGEXMATCH(C39, ""S""), ""S"","""")"),"S")</f>
        <v>S</v>
      </c>
      <c r="HC39" s="331" t="str">
        <f t="shared" si="95"/>
        <v>S</v>
      </c>
      <c r="HD39" s="332" t="str">
        <f t="shared" si="96"/>
        <v>r</v>
      </c>
      <c r="HE39" s="332" t="str">
        <f t="shared" si="97"/>
        <v>R</v>
      </c>
      <c r="HF39" s="332" t="str">
        <f t="shared" si="98"/>
        <v>g</v>
      </c>
      <c r="HG39" s="332" t="str">
        <f t="shared" si="99"/>
        <v/>
      </c>
      <c r="HH39" s="332" t="str">
        <f t="shared" si="100"/>
        <v>m</v>
      </c>
      <c r="HI39" s="332" t="str">
        <f t="shared" si="101"/>
        <v/>
      </c>
      <c r="HJ39" s="332" t="str">
        <f t="shared" si="102"/>
        <v>P</v>
      </c>
      <c r="HK39" s="332" t="str">
        <f t="shared" si="103"/>
        <v/>
      </c>
      <c r="HL39" s="332" t="str">
        <f t="shared" si="104"/>
        <v>D</v>
      </c>
      <c r="HM39" s="332" t="str">
        <f t="shared" si="105"/>
        <v>n</v>
      </c>
      <c r="HN39" s="332" t="str">
        <f t="shared" si="106"/>
        <v/>
      </c>
      <c r="HO39" s="343" t="str">
        <f t="shared" si="107"/>
        <v>S</v>
      </c>
      <c r="HP39" s="331" t="str">
        <f t="shared" si="108"/>
        <v>o</v>
      </c>
      <c r="HQ39" s="332" t="str">
        <f t="shared" si="109"/>
        <v>•</v>
      </c>
      <c r="HR39" s="332" t="str">
        <f t="shared" si="110"/>
        <v>o</v>
      </c>
      <c r="HS39" s="332" t="str">
        <f t="shared" si="111"/>
        <v>o</v>
      </c>
      <c r="HT39" s="332" t="str">
        <f t="shared" si="112"/>
        <v>•</v>
      </c>
      <c r="HU39" s="332" t="str">
        <f t="shared" si="113"/>
        <v>o</v>
      </c>
      <c r="HV39" s="332" t="str">
        <f t="shared" si="114"/>
        <v>•</v>
      </c>
      <c r="HW39" s="332" t="str">
        <f t="shared" si="115"/>
        <v>o</v>
      </c>
      <c r="HX39" s="332" t="str">
        <f t="shared" si="116"/>
        <v>•</v>
      </c>
      <c r="HY39" s="332" t="str">
        <f t="shared" si="117"/>
        <v>o</v>
      </c>
      <c r="HZ39" s="332" t="str">
        <f t="shared" si="118"/>
        <v>o</v>
      </c>
      <c r="IA39" s="332" t="str">
        <f t="shared" si="119"/>
        <v>o</v>
      </c>
      <c r="IB39" s="338" t="str">
        <f t="shared" si="120"/>
        <v>o</v>
      </c>
      <c r="IC39" s="331" t="str">
        <f t="shared" si="121"/>
        <v>•</v>
      </c>
      <c r="ID39" s="332" t="str">
        <f t="shared" si="122"/>
        <v>o</v>
      </c>
      <c r="IE39" s="332" t="str">
        <f t="shared" si="123"/>
        <v>•</v>
      </c>
      <c r="IF39" s="332" t="str">
        <f t="shared" si="124"/>
        <v>•</v>
      </c>
      <c r="IG39" s="332" t="str">
        <f t="shared" si="125"/>
        <v>o</v>
      </c>
      <c r="IH39" s="332" t="str">
        <f t="shared" si="126"/>
        <v>•</v>
      </c>
      <c r="II39" s="332" t="str">
        <f t="shared" si="127"/>
        <v>o</v>
      </c>
      <c r="IJ39" s="332" t="str">
        <f t="shared" si="128"/>
        <v>•</v>
      </c>
      <c r="IK39" s="332" t="str">
        <f t="shared" si="129"/>
        <v>o</v>
      </c>
      <c r="IL39" s="332" t="str">
        <f t="shared" si="130"/>
        <v>•</v>
      </c>
      <c r="IM39" s="332" t="str">
        <f t="shared" si="131"/>
        <v>•</v>
      </c>
      <c r="IN39" s="332" t="str">
        <f t="shared" si="132"/>
        <v>•</v>
      </c>
      <c r="IO39" s="338" t="str">
        <f t="shared" si="133"/>
        <v>•</v>
      </c>
      <c r="IP39" s="346" t="b">
        <f t="shared" si="134"/>
        <v>0</v>
      </c>
      <c r="IQ39" s="347" t="b">
        <f t="shared" si="135"/>
        <v>0</v>
      </c>
      <c r="IR39" s="347" t="b">
        <f t="shared" si="136"/>
        <v>0</v>
      </c>
      <c r="IS39" s="347" t="b">
        <f t="shared" si="137"/>
        <v>0</v>
      </c>
      <c r="IT39" s="347" t="b">
        <f t="shared" si="138"/>
        <v>0</v>
      </c>
      <c r="IU39" s="347" t="b">
        <f t="shared" si="139"/>
        <v>0</v>
      </c>
      <c r="IV39" s="347" t="b">
        <f t="shared" si="140"/>
        <v>0</v>
      </c>
      <c r="IW39" s="347" t="b">
        <f t="shared" si="141"/>
        <v>0</v>
      </c>
      <c r="IX39" s="347" t="b">
        <f t="shared" si="142"/>
        <v>0</v>
      </c>
      <c r="IY39" s="347" t="b">
        <f t="shared" si="143"/>
        <v>1</v>
      </c>
      <c r="IZ39" s="347" t="b">
        <f t="shared" si="144"/>
        <v>0</v>
      </c>
      <c r="JA39" s="347" t="b">
        <f t="shared" si="145"/>
        <v>1</v>
      </c>
      <c r="JB39" s="353" t="b">
        <f t="shared" si="146"/>
        <v>0</v>
      </c>
      <c r="JC39" s="354" t="str">
        <f t="shared" si="147"/>
        <v/>
      </c>
      <c r="JD39" s="355" t="str">
        <f t="shared" si="148"/>
        <v/>
      </c>
      <c r="JE39" s="355" t="str">
        <f t="shared" si="149"/>
        <v/>
      </c>
      <c r="JF39" s="355" t="str">
        <f t="shared" si="150"/>
        <v/>
      </c>
      <c r="JG39" s="355" t="str">
        <f t="shared" si="151"/>
        <v/>
      </c>
      <c r="JH39" s="355" t="str">
        <f t="shared" si="152"/>
        <v/>
      </c>
      <c r="JI39" s="355" t="str">
        <f t="shared" si="153"/>
        <v/>
      </c>
      <c r="JJ39" s="355" t="str">
        <f t="shared" si="154"/>
        <v/>
      </c>
      <c r="JK39" s="355" t="str">
        <f t="shared" si="155"/>
        <v/>
      </c>
      <c r="JL39" s="355" t="str">
        <f t="shared" si="156"/>
        <v>Dha, </v>
      </c>
      <c r="JM39" s="355" t="str">
        <f t="shared" si="157"/>
        <v/>
      </c>
      <c r="JN39" s="355" t="str">
        <f t="shared" si="158"/>
        <v>Ni, </v>
      </c>
      <c r="JO39" s="359" t="str">
        <f t="shared" si="159"/>
        <v/>
      </c>
      <c r="JP39" s="346" t="b">
        <f t="shared" si="160"/>
        <v>0</v>
      </c>
      <c r="JQ39" s="347" t="b">
        <f t="shared" si="161"/>
        <v>0</v>
      </c>
      <c r="JR39" s="347" t="b">
        <f t="shared" si="162"/>
        <v>0</v>
      </c>
      <c r="JS39" s="347" t="b">
        <f t="shared" si="163"/>
        <v>0</v>
      </c>
      <c r="JT39" s="347" t="b">
        <f t="shared" si="164"/>
        <v>0</v>
      </c>
      <c r="JU39" s="347" t="b">
        <f t="shared" si="165"/>
        <v>0</v>
      </c>
      <c r="JV39" s="347" t="b">
        <f t="shared" si="166"/>
        <v>0</v>
      </c>
      <c r="JW39" s="347" t="b">
        <f t="shared" si="167"/>
        <v>0</v>
      </c>
      <c r="JX39" s="347" t="b">
        <f t="shared" si="168"/>
        <v>0</v>
      </c>
      <c r="JY39" s="347" t="b">
        <f t="shared" si="169"/>
        <v>0</v>
      </c>
      <c r="JZ39" s="347" t="b">
        <f t="shared" si="170"/>
        <v>0</v>
      </c>
      <c r="KA39" s="347" t="b">
        <f t="shared" si="171"/>
        <v>1</v>
      </c>
      <c r="KB39" s="365" t="b">
        <f t="shared" si="172"/>
        <v>0</v>
      </c>
      <c r="KC39" s="354" t="str">
        <f t="shared" si="173"/>
        <v/>
      </c>
      <c r="KD39" s="355" t="str">
        <f t="shared" si="174"/>
        <v/>
      </c>
      <c r="KE39" s="355" t="str">
        <f t="shared" si="175"/>
        <v/>
      </c>
      <c r="KF39" s="355" t="str">
        <f t="shared" si="176"/>
        <v/>
      </c>
      <c r="KG39" s="355" t="str">
        <f t="shared" si="177"/>
        <v/>
      </c>
      <c r="KH39" s="355" t="str">
        <f t="shared" si="178"/>
        <v/>
      </c>
      <c r="KI39" s="355" t="str">
        <f t="shared" si="179"/>
        <v/>
      </c>
      <c r="KJ39" s="355" t="str">
        <f t="shared" si="180"/>
        <v/>
      </c>
      <c r="KK39" s="355" t="str">
        <f t="shared" si="181"/>
        <v/>
      </c>
      <c r="KL39" s="355" t="str">
        <f t="shared" si="182"/>
        <v/>
      </c>
      <c r="KM39" s="355" t="str">
        <f t="shared" si="183"/>
        <v/>
      </c>
      <c r="KN39" s="355" t="str">
        <f t="shared" si="184"/>
        <v>Ni, </v>
      </c>
      <c r="KO39" s="359"/>
      <c r="KP39" s="378"/>
      <c r="KQ39" s="379" t="s">
        <v>9</v>
      </c>
      <c r="KR39" s="380" t="s">
        <v>9</v>
      </c>
      <c r="KS39" s="381" t="s">
        <v>9</v>
      </c>
      <c r="KT39" s="382">
        <f t="shared" si="186"/>
        <v>0</v>
      </c>
      <c r="KU39" s="383">
        <f t="shared" si="187"/>
        <v>0</v>
      </c>
      <c r="KV39" s="381" t="str">
        <f t="shared" si="205"/>
        <v>S</v>
      </c>
      <c r="KW39" s="382">
        <f t="shared" si="189"/>
        <v>0</v>
      </c>
      <c r="KX39" s="384">
        <f t="shared" si="190"/>
        <v>0</v>
      </c>
      <c r="KY39" s="382">
        <f t="shared" ref="KY39:KZ39" si="272">KW39-KT39</f>
        <v>0</v>
      </c>
      <c r="KZ39" s="369">
        <f t="shared" si="272"/>
        <v>0</v>
      </c>
      <c r="LA39" s="385" t="str">
        <f t="shared" si="192"/>
        <v>✔</v>
      </c>
      <c r="LB39" s="340" t="str">
        <f>IFERROR(__xludf.DUMMYFUNCTION("JOIN("""",ArrayFormula(MID(KS39,LEN(KS39)-SEQUENCE(1,LEN(KS39))+1,1)))"),"S")</f>
        <v>S</v>
      </c>
      <c r="LC39" s="373" t="str">
        <f>IFERROR(__xludf.DUMMYFUNCTION("JOIN("""",ArrayFormula(MID(KV39,LEN(KV39)-SEQUENCE(1,LEN(KV39))+1,1)))"),"S")</f>
        <v>S</v>
      </c>
      <c r="LD39" s="373" t="str">
        <f t="shared" si="193"/>
        <v>S</v>
      </c>
      <c r="LE39" s="339" t="str">
        <f t="shared" si="194"/>
        <v>S</v>
      </c>
      <c r="LF39" s="386" t="str">
        <f>IFERROR(__xludf.DUMMYFUNCTION("SUBSTITUTE(SUBSTITUTE(CONCATENATE(JOIN("""",LH39:LT39)),""1"",""""),""2"","""")"),"SS")</f>
        <v>SS</v>
      </c>
      <c r="LG39" s="369" t="str">
        <f t="shared" si="195"/>
        <v>-</v>
      </c>
      <c r="LH39" s="387" t="str">
        <f>IFERROR(__xludf.DUMMYFUNCTION("IF(REGEXMATCH(LD39, ""S""), ""S"",IF(REGEXMATCH(LE39, ""S""), ""S"",""""))"),"S")</f>
        <v>S</v>
      </c>
      <c r="LI39" s="299" t="str">
        <f>IFERROR(__xludf.DUMMYFUNCTION("IF(REGEXMATCH(LD39, ""r""), ""r1"",IF(REGEXMATCH(LE39, ""r""), ""r2"",""""))"),"")</f>
        <v/>
      </c>
      <c r="LJ39" s="299" t="str">
        <f>IFERROR(__xludf.DUMMYFUNCTION("IF(REGEXMATCH(LD39, ""R""), ""R1"",IF(REGEXMATCH(LE39, ""R""), ""R2"",""""))"),"")</f>
        <v/>
      </c>
      <c r="LK39" s="299" t="str">
        <f>IFERROR(__xludf.DUMMYFUNCTION("IF(REGEXMATCH(LD39, ""g""), ""g1"",IF(REGEXMATCH(LE39, ""g""), ""g2"",""""))"),"")</f>
        <v/>
      </c>
      <c r="LL39" s="299" t="str">
        <f>IFERROR(__xludf.DUMMYFUNCTION("IF(REGEXMATCH(LD39, ""G""), ""G1"",IF(REGEXMATCH(LE39, ""G""), ""G2"",""""))"),"")</f>
        <v/>
      </c>
      <c r="LM39" s="299" t="str">
        <f>IFERROR(__xludf.DUMMYFUNCTION("IF(REGEXMATCH(LD39, ""m""), ""m1"",IF(REGEXMATCH(LE39, ""m""), ""m2"",""""))"),"")</f>
        <v/>
      </c>
      <c r="LN39" s="299" t="str">
        <f>IFERROR(__xludf.DUMMYFUNCTION("IF(REGEXMATCH(LD39, ""M""), ""M1"",IF(REGEXMATCH(LE39, ""M""), ""M2"",""""))"),"")</f>
        <v/>
      </c>
      <c r="LO39" s="299" t="str">
        <f>IFERROR(__xludf.DUMMYFUNCTION("IF(REGEXMATCH(LD39, ""P""), ""P1"",IF(REGEXMATCH(LE39, ""P""), ""P2"",""""))"),"")</f>
        <v/>
      </c>
      <c r="LP39" s="299" t="str">
        <f>IFERROR(__xludf.DUMMYFUNCTION("IF(REGEXMATCH(LD39, ""d""), ""d1"",IF(REGEXMATCH(LE39, ""d""), ""d2"",""""))"),"")</f>
        <v/>
      </c>
      <c r="LQ39" s="299" t="str">
        <f>IFERROR(__xludf.DUMMYFUNCTION("IF(REGEXMATCH(LD39, ""D""), ""D1"",IF(REGEXMATCH(LE39, ""D""), ""D2"",""""))"),"")</f>
        <v/>
      </c>
      <c r="LR39" s="299" t="str">
        <f>IFERROR(__xludf.DUMMYFUNCTION("IF(REGEXMATCH(LD39, ""n""), ""n1"",IF(REGEXMATCH(LE39, ""n""), ""n2"",""""))"),"")</f>
        <v/>
      </c>
      <c r="LS39" s="299" t="str">
        <f>IFERROR(__xludf.DUMMYFUNCTION("IF(REGEXMATCH(LD39, ""N""), ""N1"",IF(REGEXMATCH(LE39, ""N""), ""N2"",""""))"),"")</f>
        <v/>
      </c>
      <c r="LT39" s="388" t="str">
        <f>IFERROR(__xludf.DUMMYFUNCTION("IF(REGEXMATCH(LD39, ""S""), ""S"",IF(REGEXMATCH(LE39, ""S""), ""S"",""""))"),"S")</f>
        <v>S</v>
      </c>
      <c r="LU39" s="389">
        <f t="shared" si="196"/>
        <v>1</v>
      </c>
      <c r="LV39" s="378"/>
      <c r="LW39" s="369"/>
      <c r="LX39" s="369"/>
    </row>
    <row r="40" ht="20.25" customHeight="1">
      <c r="A40" s="298" t="s">
        <v>583</v>
      </c>
      <c r="B40" s="222" t="s">
        <v>339</v>
      </c>
      <c r="C40" s="233" t="str">
        <f t="shared" si="7"/>
        <v>SrGMPdNS</v>
      </c>
      <c r="D40" s="234" t="str">
        <f>IFERROR(__xludf.DUMMYFUNCTION("IF(REGEXMATCH(C40, ""S""), ""S"","""")"),"S")</f>
        <v>S</v>
      </c>
      <c r="E40" s="236" t="str">
        <f>IFERROR(__xludf.DUMMYFUNCTION("IF(REGEXMATCH(C40, ""r""), ""r"","""")"),"r")</f>
        <v>r</v>
      </c>
      <c r="F40" s="237" t="str">
        <f>IFERROR(__xludf.DUMMYFUNCTION("IF(REGEXMATCH(C40, ""R""), ""R"","""")"),"")</f>
        <v/>
      </c>
      <c r="G40" s="237" t="str">
        <f>IFERROR(__xludf.DUMMYFUNCTION("IF(REGEXMATCH(C40, ""g""), ""g"","""")"),"")</f>
        <v/>
      </c>
      <c r="H40" s="236" t="str">
        <f>IFERROR(__xludf.DUMMYFUNCTION("IF(REGEXMATCH(C40, ""G""), ""G"","""")"),"G")</f>
        <v>G</v>
      </c>
      <c r="I40" s="236" t="str">
        <f>IFERROR(__xludf.DUMMYFUNCTION("IF(REGEXMATCH(C40, ""m""), ""m"","""")"),"")</f>
        <v/>
      </c>
      <c r="J40" s="237" t="str">
        <f>IFERROR(__xludf.DUMMYFUNCTION("IF(REGEXMATCH(C40, ""M""), ""M"","""")"),"M")</f>
        <v>M</v>
      </c>
      <c r="K40" s="236" t="str">
        <f>IFERROR(__xludf.DUMMYFUNCTION("IF(REGEXMATCH(C40, ""P""), ""P"","""")"),"P")</f>
        <v>P</v>
      </c>
      <c r="L40" s="237" t="str">
        <f>IFERROR(__xludf.DUMMYFUNCTION("IF(REGEXMATCH(C40, ""d""), ""d"","""")"),"d")</f>
        <v>d</v>
      </c>
      <c r="M40" s="236" t="str">
        <f>IFERROR(__xludf.DUMMYFUNCTION("IF(REGEXMATCH(C40, ""D""), ""D"","""")"),"")</f>
        <v/>
      </c>
      <c r="N40" s="236" t="str">
        <f>IFERROR(__xludf.DUMMYFUNCTION("IF(REGEXMATCH(C40, ""n""), ""n"","""")"),"")</f>
        <v/>
      </c>
      <c r="O40" s="237" t="str">
        <f>IFERROR(__xludf.DUMMYFUNCTION("IF(REGEXMATCH(C40, ""N""), ""N"","""")"),"N")</f>
        <v>N</v>
      </c>
      <c r="P40" s="238" t="str">
        <f>IFERROR(__xludf.DUMMYFUNCTION("IF(REGEXMATCH(C40, ""S""), ""S"","""")"),"S")</f>
        <v>S</v>
      </c>
      <c r="Q40" s="239" t="str">
        <f>IFERROR(__xludf.DUMMYFUNCTION("SUBSTITUTE(CONCATENATE(JOIN(""-"",D40:J40)),""-"","""")"),"SrGM")</f>
        <v>SrGM</v>
      </c>
      <c r="R40" s="229" t="str">
        <f>IFERROR(__xludf.DUMMYFUNCTION("SUBSTITUTE(CONCATENATE(JOIN(""-"",K40:P40)),""-"","""")"),"PdNS")</f>
        <v>PdNS</v>
      </c>
      <c r="S40" s="282" t="str">
        <f t="shared" si="8"/>
        <v>S-R-G-M</v>
      </c>
      <c r="T40" s="282" t="str">
        <f t="shared" si="9"/>
        <v>P-D-N-S</v>
      </c>
      <c r="U40" s="237" t="str">
        <f>IFERROR(__xludf.DUMMYFUNCTION("SUBSTITUTE(JOIN(""-"",S40,T40),""--"",""-"")"),"S-R-G-M-P-D-N-S")</f>
        <v>S-R-G-M-P-D-N-S</v>
      </c>
      <c r="V40" s="309" t="str">
        <f t="shared" si="10"/>
        <v>rGMdN</v>
      </c>
      <c r="W40" s="244" t="str">
        <f>IFERROR(__xludf.DUMMYFUNCTION("IF(REGEXMATCH(C40, ""S""), ""0"","""")"),"0")</f>
        <v>0</v>
      </c>
      <c r="X40" s="245" t="str">
        <f>IFERROR(__xludf.DUMMYFUNCTION("IF(REGEXMATCH(C40, ""r""), ""1"","""")"),"1")</f>
        <v>1</v>
      </c>
      <c r="Y40" s="246" t="str">
        <f>IFERROR(__xludf.DUMMYFUNCTION("IF(REGEXMATCH(C40, ""R""), ""2"","""")"),"")</f>
        <v/>
      </c>
      <c r="Z40" s="246" t="str">
        <f>IFERROR(__xludf.DUMMYFUNCTION("IF(REGEXMATCH(C40, ""g""), ""3"","""")"),"")</f>
        <v/>
      </c>
      <c r="AA40" s="245" t="str">
        <f>IFERROR(__xludf.DUMMYFUNCTION("IF(REGEXMATCH(C40, ""G""), ""4"","""")"),"4")</f>
        <v>4</v>
      </c>
      <c r="AB40" s="245" t="str">
        <f>IFERROR(__xludf.DUMMYFUNCTION("IF(REGEXMATCH(C40, ""m""), ""5"","""")"),"")</f>
        <v/>
      </c>
      <c r="AC40" s="246" t="str">
        <f>IFERROR(__xludf.DUMMYFUNCTION("IF(REGEXMATCH(C40, ""M""), ""6"","""")"),"6")</f>
        <v>6</v>
      </c>
      <c r="AD40" s="245" t="str">
        <f>IFERROR(__xludf.DUMMYFUNCTION("IF(REGEXMATCH(C40, ""P""), ""7"","""")"),"7")</f>
        <v>7</v>
      </c>
      <c r="AE40" s="246" t="str">
        <f>IFERROR(__xludf.DUMMYFUNCTION("IF(REGEXMATCH(C40, ""d""), ""8"","""")"),"8")</f>
        <v>8</v>
      </c>
      <c r="AF40" s="245" t="str">
        <f>IFERROR(__xludf.DUMMYFUNCTION("IF(REGEXMATCH(C40, ""D""), ""9"","""")"),"")</f>
        <v/>
      </c>
      <c r="AG40" s="245" t="str">
        <f>IFERROR(__xludf.DUMMYFUNCTION("IF(REGEXMATCH(C40, ""n""), ""10"","""")"),"")</f>
        <v/>
      </c>
      <c r="AH40" s="246" t="str">
        <f>IFERROR(__xludf.DUMMYFUNCTION("IF(REGEXMATCH(C40, ""N""), ""11"","""")"),"11")</f>
        <v>11</v>
      </c>
      <c r="AI40" s="249" t="str">
        <f>IFERROR(__xludf.DUMMYFUNCTION("IF(REGEXMATCH(C40, ""S""), ""0"","""")"),"0")</f>
        <v>0</v>
      </c>
      <c r="AJ40" s="313" t="str">
        <f t="shared" si="11"/>
        <v>T</v>
      </c>
      <c r="AK40" s="313" t="str">
        <f t="shared" si="12"/>
        <v>T</v>
      </c>
      <c r="AL40" s="313" t="str">
        <f t="shared" si="13"/>
        <v>-</v>
      </c>
      <c r="AM40" s="313" t="str">
        <f t="shared" si="14"/>
        <v>-</v>
      </c>
      <c r="AN40" s="313" t="str">
        <f t="shared" si="15"/>
        <v>-</v>
      </c>
      <c r="AO40" s="314" t="str">
        <f t="shared" si="16"/>
        <v>-</v>
      </c>
      <c r="AP40" s="316">
        <f t="shared" si="17"/>
        <v>2</v>
      </c>
      <c r="AQ40" s="319" t="str">
        <f t="shared" si="18"/>
        <v>-</v>
      </c>
      <c r="AR40" s="320">
        <f t="shared" si="19"/>
        <v>0</v>
      </c>
      <c r="AS40" s="250" t="str">
        <f>IFERROR(__xludf.DUMMYFUNCTION("SUBSTITUTE(SUBSTITUTE(CONCATENATE(JOIN("""",FP40:GA40)),""|"",""x""),""-"",""o"")"),"xxooxoxxxoox")</f>
        <v>xxooxoxxxoox</v>
      </c>
      <c r="AT40" s="323" t="str">
        <f>IFERROR(__xludf.DUMMYFUNCTION("JOIN("""",AS40,AS40)"),"xxooxoxxxooxxxooxoxxxoox")</f>
        <v>xxooxoxxxooxxxooxoxxxoox</v>
      </c>
      <c r="AU40" s="256" t="str">
        <f>IFERROR(__xludf.DUMMYFUNCTION("JOIN("""",ArrayFormula(MID(AS40,LEN(AS40)-SEQUENCE(1,LEN(AS40))+1,1)))"),"xooxxxoxooxx")</f>
        <v>xooxxxoxooxx</v>
      </c>
      <c r="AV40" s="256" t="str">
        <f>IFERROR(__xludf.DUMMYFUNCTION("LEFT(CONCATENATE(""x"",JOIN("""",ArrayFormula(MID(AS40,LEN(AS40)-SEQUENCE(1,LEN(AS40))+1,1)))),12)"),"xxooxxxoxoox")</f>
        <v>xxooxxxoxoox</v>
      </c>
      <c r="AW40" s="327" t="str">
        <f>IFERROR(__xludf.DUMMYFUNCTION("JOIN("""",AU40,AU40)"),"xooxxxoxooxxxooxxxoxooxx")</f>
        <v>xooxxxoxooxxxooxxxoxooxx</v>
      </c>
      <c r="AX40" s="239" t="str">
        <f>IFERROR(__xludf.DUMMYFUNCTION("IF(REGEXMATCH(AW40,AS40),""✔"",""-"")"),"-")</f>
        <v>-</v>
      </c>
      <c r="AY40" s="330" t="str">
        <f t="shared" si="20"/>
        <v>-</v>
      </c>
      <c r="AZ40" s="260" t="str">
        <f t="shared" si="21"/>
        <v>#REF!</v>
      </c>
      <c r="BA40" s="333" t="str">
        <f t="shared" si="22"/>
        <v>xxooxox</v>
      </c>
      <c r="BB40" s="334" t="str">
        <f t="shared" si="23"/>
        <v>xxooxx</v>
      </c>
      <c r="BC40" s="335" t="str">
        <f t="shared" si="236"/>
        <v>-</v>
      </c>
      <c r="BD40" s="336" t="str">
        <f t="shared" si="25"/>
        <v>Basant: 'xxooxox' + 'xxooxx'</v>
      </c>
      <c r="BE40" s="337">
        <f>IFERROR(__xludf.DUMMYFUNCTION("COUNTUNIQUE(FILTER(AT:AT,REGEXMATCH(AT:AT,AS40)))-1"),5.0)</f>
        <v>5</v>
      </c>
      <c r="BF40" s="261" t="str">
        <f>IFERROR(__xludf.DUMMYFUNCTION("IF(BI40=0,""(n/a)"",IF(BJ40=2,""(PAIR)"",IF(REGEXMATCH(AT40,""xoxoxxoxoxox""),""Bilawal"",IF(REGEXMATCH(AT40,""xoxoxooxoxoo""),""Bhupali"",IF(REGEXMATCH(AT40,""xoxoxxoxxoxo""),""Charukeshi"",IF(REGEXMATCH(AT40,""xoxoooxxoxxo""),""Kameshwari"",IF(REGEXMATC"&amp;"H(AT40,""xoxoxooxoxox""),""Shankara"",IF(REGEXMATCH(AT40,""xxooxoxxxoox""),""Basant"",IF(REGEXMATCH(AT40,""xoxoxxxxoxox""),""Bihag"",IF(REGEXMATCH(AT40,""xoxxxxoxoxxx""),""Pilu"",IF(REGEXMATCH(AT40,""xoxxoxoxxoox""),""Kirwani"",IF(REGEXMATCH(AT40,""xoxxox"&amp;"oxoxxx""),""Mk.Malhar"",IF(REGEXMATCH(AT40,""xxooxxoxxoox""),""Bhairav"",IF(REGEXMATCH(AT40,""xxoxooxxxoox""),""Todi"",IF(REGEXMATCH(AT40,""xxooxoxooxox""),""Marwa"",IF(REGEXMATCH(AT40,""xxoooxoxxooo""),""Gunkali"",IF(REGEXMATCH(AT40,""xoxoxxoxxoox""),""N"&amp;"at Bhairav"",IF(REGEXMATCH(AT40,""xoxxoooxoxoo""),""Shivranjani"",IF(REGEXMATCH(AT40,""xooxxxoxooxo""),""Jog"",IF(REGEXMATCH(AT40,""xxooxoxoxoox""),""Hemshri"",IF(REGEXMATCH(AT40,""xoooxooxoxxo""),""Kalavati"",IF(REGEXMATCH(AT40,""xxoxoxxoxoox""),""Kedar"&amp;""",IF(REGEXMATCH(AT40,""xoxxxxoxooxx""),""Gara"",IF(REGEXMATCH(AT40,""xooxoxooxoox""),""Chandrakauns"",IF(REGEXMATCH(AT40,""xoxxxxoxxxox""),""Mand"",IF(REGEXMATCH(AT40,""xoxxxxoxoxox""),""Hanskinkini"",IF(REGEXMATCH(AT40,""xxooxxoxooxo""),""Lilavati"",IF("&amp;"REGEXMATCH(AT40,""xooxoxoooxox""),""Rajeshwari"",IF(REGEXMATCH(AT40,""xoooxxoxoxxx""),""Khokar"",IF(REGEXMATCH(AT40,""xxooxoxxxxox""),""Maligoura"",""-""))))))))))))))))))))))))))))))"),"Basant")</f>
        <v>Basant</v>
      </c>
      <c r="BG40" s="239" t="str">
        <f t="shared" si="26"/>
        <v>#REF!</v>
      </c>
      <c r="BH40" s="239">
        <f>IFERROR(__xludf.DUMMYFUNCTION("COUNTUNIQUE(FE40:FO40)-1"),6.0)</f>
        <v>6</v>
      </c>
      <c r="BI40" s="239">
        <f>IFERROR(__xludf.DUMMYFUNCTION("COUNTUNIQUE(FILTER(AT:AT,REGEXMATCH(AT:AT,AS40)))-1"),5.0)</f>
        <v>5</v>
      </c>
      <c r="BJ40" s="239">
        <f>IFERROR(__xludf.DUMMYFUNCTION("COUNTA(FILTER(AT:AT,REGEXMATCH(AT:AT,AS40)))"),12.0)</f>
        <v>12</v>
      </c>
      <c r="BK40" s="341">
        <f>IFERROR(__xludf.DUMMYFUNCTION("COUNTA(FILTER(AT:AT,REGEXMATCH(AT:AT,AS40)))-AR40"),12.0)</f>
        <v>12</v>
      </c>
      <c r="BL40" s="276" t="str">
        <f>IFERROR(__xludf.DUMMYFUNCTION("IF(AS40=""oooooooooooo"",""-"",IF(REGEXMATCH(AT40,""xx""), ""Hemi."", ""Anhemi.""))"),"Hemi.")</f>
        <v>Hemi.</v>
      </c>
      <c r="BM40" s="282" t="str">
        <f>IFERROR(__xludf.DUMMYFUNCTION("IF(AS40=""oooooooooooo"",""-"",IF(REGEXMATCH(AT40,""xxx""), ""Cohem."", ""-""))"),"Cohem.")</f>
        <v>Cohem.</v>
      </c>
      <c r="BN40" s="282" t="str">
        <f>IFERROR(__xludf.DUMMYFUNCTION("IF(AS40=""oooooooooooo"",""-"",IF(REGEXMATCH(AT40,""xxxx""), ""Co-Co."", ""-""))"),"-")</f>
        <v>-</v>
      </c>
      <c r="BO40" s="342" t="str">
        <f>IFERROR(__xludf.DUMMYFUNCTION("IF(AS40=""oooooooooooo"",""-"",IF(REGEXMATCH(AT40,""xxxxx""), ""CCC."", ""-""))"),"-")</f>
        <v>-</v>
      </c>
      <c r="BP40" s="344" t="str">
        <f t="shared" si="27"/>
        <v>Poorvi</v>
      </c>
      <c r="BQ40" s="282" t="str">
        <f>IFERROR(__xludf.DUMMYFUNCTION("IF(REGEXMATCH(JOIN(""-"",EU40:FD40),""TRUE""),""✔"",""-"")"),"✔")</f>
        <v>✔</v>
      </c>
      <c r="BR40" s="225">
        <f t="shared" si="28"/>
        <v>1</v>
      </c>
      <c r="BS40" s="345" t="str">
        <f>IFERROR(__xludf.DUMMYFUNCTION("SUBSTITUTE(SUBSTITUTE(SUBSTITUTE(SUBSTITUTE(CONCATENATE(JOIN(""-"",GC40:GO40)),""--"",""-""),""--"",""-""),""--"",""-""),""--"",""-"")"),"1-b2-3-#4-5-b6-7-8")</f>
        <v>1-b2-3-#4-5-b6-7-8</v>
      </c>
      <c r="BT40" s="299" t="str">
        <f>IFERROR(__xludf.DUMMYFUNCTION("SUBSTITUTE(SUBSTITUTE(SUBSTITUTE(SUBSTITUTE(CONCATENATE(JOIN(""-"",GP40:HB40)),""--"",""-""),""--"",""-""),""--"",""-""),""--"",""-"")"),"S-R1-G3-M2-P-D1-N3-S")</f>
        <v>S-R1-G3-M2-P-D1-N3-S</v>
      </c>
      <c r="BU40" s="348" t="str">
        <f t="shared" si="29"/>
        <v>C-Db-E-F#-G-Ab-B-C</v>
      </c>
      <c r="BV40" s="349" t="str">
        <f t="shared" si="30"/>
        <v>SRgmDnS</v>
      </c>
      <c r="BW40" s="350">
        <f t="shared" si="31"/>
        <v>0</v>
      </c>
      <c r="BX40" s="351">
        <f t="shared" si="32"/>
        <v>6</v>
      </c>
      <c r="BY40" s="392"/>
      <c r="BZ40" s="309" t="str">
        <f>IFERROR(__xludf.DUMMYFUNCTION("IF(REGEXMATCH(C40, ""S""), ""x"",""x"")"),"x")</f>
        <v>x</v>
      </c>
      <c r="CA40" s="245" t="str">
        <f>IFERROR(__xludf.DUMMYFUNCTION("IF(REGEXMATCH(C40, ""r""), ""o"",""x"")"),"o")</f>
        <v>o</v>
      </c>
      <c r="CB40" s="246" t="str">
        <f>IFERROR(__xludf.DUMMYFUNCTION("IF(REGEXMATCH(C40, ""R""), ""o"",""x"")"),"x")</f>
        <v>x</v>
      </c>
      <c r="CC40" s="246" t="str">
        <f>IFERROR(__xludf.DUMMYFUNCTION("IF(REGEXMATCH(C40, ""g""), ""o"",""x"")"),"x")</f>
        <v>x</v>
      </c>
      <c r="CD40" s="245" t="str">
        <f>IFERROR(__xludf.DUMMYFUNCTION("IF(REGEXMATCH(C40, ""G""), ""o"",""x"")"),"o")</f>
        <v>o</v>
      </c>
      <c r="CE40" s="245" t="str">
        <f>IFERROR(__xludf.DUMMYFUNCTION("IF(REGEXMATCH(C40, ""m""), ""o"",""x"")"),"x")</f>
        <v>x</v>
      </c>
      <c r="CF40" s="246" t="str">
        <f>IFERROR(__xludf.DUMMYFUNCTION("IF(REGEXMATCH(C40, ""M""), ""o"",""x"")"),"o")</f>
        <v>o</v>
      </c>
      <c r="CG40" s="245" t="str">
        <f>IFERROR(__xludf.DUMMYFUNCTION("IF(REGEXMATCH(C40, ""P""), ""o"",""x"")"),"o")</f>
        <v>o</v>
      </c>
      <c r="CH40" s="246" t="str">
        <f>IFERROR(__xludf.DUMMYFUNCTION("IF(REGEXMATCH(C40, ""d""), ""o"",""x"")"),"o")</f>
        <v>o</v>
      </c>
      <c r="CI40" s="245" t="str">
        <f>IFERROR(__xludf.DUMMYFUNCTION("IF(REGEXMATCH(C40, ""D""), ""o"",""x"")"),"x")</f>
        <v>x</v>
      </c>
      <c r="CJ40" s="245" t="str">
        <f>IFERROR(__xludf.DUMMYFUNCTION("IF(REGEXMATCH(C40, ""n""), ""o"",""x"")"),"x")</f>
        <v>x</v>
      </c>
      <c r="CK40" s="245" t="str">
        <f>IFERROR(__xludf.DUMMYFUNCTION("IF(REGEXMATCH(C40, ""N""), ""o"",""x"")"),"o")</f>
        <v>o</v>
      </c>
      <c r="CL40" s="356" t="str">
        <f>IFERROR(__xludf.DUMMYFUNCTION("IF(REGEXMATCH(C40, ""S""), ""x"",""x"")"),"x")</f>
        <v>x</v>
      </c>
      <c r="CM40" s="357" t="str">
        <f t="shared" si="33"/>
        <v>xoxxoxoooxxo</v>
      </c>
      <c r="CN40" s="358">
        <f t="shared" si="34"/>
        <v>0</v>
      </c>
      <c r="CO40" s="246" t="str">
        <f>IFERROR(__xludf.DUMMYFUNCTION("IF(REGEXMATCH($C40, ""S""), ""S"",""S"")"),"S")</f>
        <v>S</v>
      </c>
      <c r="CP40" s="246" t="str">
        <f>IFERROR(__xludf.DUMMYFUNCTION("IF(REGEXMATCH($C40, ""r""), """",""r"")"),"")</f>
        <v/>
      </c>
      <c r="CQ40" s="246" t="str">
        <f>IFERROR(__xludf.DUMMYFUNCTION("IF(REGEXMATCH($C40, ""R""), """",""R"")"),"R")</f>
        <v>R</v>
      </c>
      <c r="CR40" s="246" t="str">
        <f>IFERROR(__xludf.DUMMYFUNCTION("IF(REGEXMATCH($C40, ""g""), """",""g"")"),"g")</f>
        <v>g</v>
      </c>
      <c r="CS40" s="246" t="str">
        <f>IFERROR(__xludf.DUMMYFUNCTION("IF(REGEXMATCH($C40, ""G""), """",""G"")"),"")</f>
        <v/>
      </c>
      <c r="CT40" s="246" t="str">
        <f>IFERROR(__xludf.DUMMYFUNCTION("IF(REGEXMATCH($C40, ""m""), """",""m"")"),"m")</f>
        <v>m</v>
      </c>
      <c r="CU40" s="246" t="str">
        <f>IFERROR(__xludf.DUMMYFUNCTION("IF(REGEXMATCH($C40, ""M""), """",""M"")"),"")</f>
        <v/>
      </c>
      <c r="CV40" s="246" t="str">
        <f>IFERROR(__xludf.DUMMYFUNCTION("IF(REGEXMATCH($C40, ""P""), """",""P"")"),"")</f>
        <v/>
      </c>
      <c r="CW40" s="246" t="str">
        <f>IFERROR(__xludf.DUMMYFUNCTION("IF(REGEXMATCH($C40, ""d""), """",""d"")"),"")</f>
        <v/>
      </c>
      <c r="CX40" s="246" t="str">
        <f>IFERROR(__xludf.DUMMYFUNCTION("IF(REGEXMATCH($C40, ""D""), """",""D"")"),"D")</f>
        <v>D</v>
      </c>
      <c r="CY40" s="246" t="str">
        <f>IFERROR(__xludf.DUMMYFUNCTION("IF(REGEXMATCH($C40, ""n""), """",""n"")"),"n")</f>
        <v>n</v>
      </c>
      <c r="CZ40" s="246" t="str">
        <f>IFERROR(__xludf.DUMMYFUNCTION("IF(REGEXMATCH($C40, ""N""), """",""N"")"),"")</f>
        <v/>
      </c>
      <c r="DA40" s="246" t="str">
        <f>IFERROR(__xludf.DUMMYFUNCTION("IF(REGEXMATCH($C40, ""S""), ""S"",""S"")"),"S")</f>
        <v>S</v>
      </c>
      <c r="DB40" s="362" t="str">
        <f>IFERROR(__xludf.DUMMYFUNCTION("JOIN("""",CO40:DA40,"""","""")"),"SRgmDnS")</f>
        <v>SRgmDnS</v>
      </c>
      <c r="DC40" s="363"/>
      <c r="DD40" s="301" t="str">
        <f t="shared" si="35"/>
        <v>#REF!</v>
      </c>
      <c r="DE40" s="302" t="str">
        <f t="shared" si="36"/>
        <v>#REF!</v>
      </c>
      <c r="DF40" s="301" t="str">
        <f t="shared" ref="DF40:DG40" si="273">SUBSTITUTE(S40,"-","")</f>
        <v>SRGM</v>
      </c>
      <c r="DG40" s="301" t="str">
        <f t="shared" si="273"/>
        <v>PDNS</v>
      </c>
      <c r="DH40" s="302" t="str">
        <f t="shared" si="38"/>
        <v>Basant</v>
      </c>
      <c r="DI40" s="301" t="str">
        <f t="shared" si="39"/>
        <v>Hemi.</v>
      </c>
      <c r="DJ40" s="364" t="str">
        <f t="shared" si="40"/>
        <v>Cohem.</v>
      </c>
      <c r="DK40" s="306" t="str">
        <f t="shared" si="41"/>
        <v>Poorvi</v>
      </c>
      <c r="DL40" s="366" t="str">
        <f t="shared" si="42"/>
        <v>-</v>
      </c>
      <c r="DM40" s="308" t="str">
        <f t="shared" si="43"/>
        <v>-</v>
      </c>
      <c r="DN40" s="306" t="str">
        <f t="shared" si="44"/>
        <v>-</v>
      </c>
      <c r="DO40" s="306" t="str">
        <f t="shared" si="45"/>
        <v>-</v>
      </c>
      <c r="DP40" s="367" t="str">
        <f t="shared" si="46"/>
        <v>✔</v>
      </c>
      <c r="DQ40" s="310" t="str">
        <f t="shared" si="47"/>
        <v>-</v>
      </c>
      <c r="DR40" s="310" t="str">
        <f t="shared" si="48"/>
        <v>-</v>
      </c>
      <c r="DS40" s="310" t="str">
        <f t="shared" si="49"/>
        <v>-</v>
      </c>
      <c r="DT40" s="310" t="str">
        <f t="shared" si="50"/>
        <v>-</v>
      </c>
      <c r="DU40" s="370" t="str">
        <f t="shared" si="51"/>
        <v>-</v>
      </c>
      <c r="DV40" s="306" t="str">
        <f t="shared" si="52"/>
        <v>-</v>
      </c>
      <c r="DW40" s="306" t="str">
        <f t="shared" si="53"/>
        <v>-</v>
      </c>
      <c r="DX40" s="306" t="str">
        <f t="shared" si="54"/>
        <v>-</v>
      </c>
      <c r="DY40" s="306" t="str">
        <f t="shared" si="55"/>
        <v>-</v>
      </c>
      <c r="DZ40" s="306" t="str">
        <f t="shared" si="56"/>
        <v>-</v>
      </c>
      <c r="EA40" s="367" t="str">
        <f t="shared" si="57"/>
        <v>-</v>
      </c>
      <c r="EB40" s="310" t="str">
        <f>IFERROR(__xludf.DUMMYFUNCTION("IF(REGEXMATCH(AW40,AS40),""✔"",""-"")"),"-")</f>
        <v>-</v>
      </c>
      <c r="EC40" s="310" t="str">
        <f t="shared" si="58"/>
        <v>#REF!</v>
      </c>
      <c r="ED40" s="370" t="str">
        <f t="shared" si="59"/>
        <v>-</v>
      </c>
      <c r="EE40" s="340" t="str">
        <f t="shared" si="60"/>
        <v>S-r-G-M-P-d-N-S</v>
      </c>
      <c r="EF40" s="371" t="str">
        <f>IFERROR(__xludf.DUMMYFUNCTION("CONCATENATE(JOIN("""",HC40:HO40))"),"SrGmMdNS")</f>
        <v>SrGmMdNS</v>
      </c>
      <c r="EG40" s="372">
        <f t="shared" si="61"/>
        <v>2</v>
      </c>
      <c r="EH40" s="373" t="str">
        <f>IFERROR(__xludf.DUMMYFUNCTION("CONCATENATE(JOIN("""",JC40:JO40))"),"Pa, dha, ")</f>
        <v>Pa, dha, </v>
      </c>
      <c r="EI40" s="322">
        <f t="shared" si="62"/>
        <v>0</v>
      </c>
      <c r="EJ40" s="374" t="str">
        <f>IFERROR(__xludf.DUMMYFUNCTION("CONCATENATE(JOIN("""",KC40:KO40))"),"")</f>
        <v/>
      </c>
      <c r="EK40" s="325" t="str">
        <f t="shared" si="63"/>
        <v>S-R1-G3-M2-P-D1-N3-S</v>
      </c>
      <c r="EL40" s="326" t="str">
        <f t="shared" si="64"/>
        <v>1-b2-3-#4-5-b6-7-8</v>
      </c>
      <c r="EM40" s="318" t="str">
        <f t="shared" si="65"/>
        <v>#REF!</v>
      </c>
      <c r="EN40" s="328" t="str">
        <f>IFERROR(__xludf.DUMMYFUNCTION("SUBSTITUTE(SUBSTITUTE(SUBSTITUTE(SUBSTITUTE(CONCATENATE(JOIN("" "",HP40:IB40)),""  "","" ""),""  "","" ""),""  "","" ""),""  "","" "")"),"o o • • o • o o o • • o o")</f>
        <v>o o • • o • o o o • • o o</v>
      </c>
      <c r="EO40" s="368" t="str">
        <f t="shared" si="66"/>
        <v>Sa-Pa</v>
      </c>
      <c r="EP40" s="339" t="str">
        <f t="shared" si="67"/>
        <v>Sa-Pa</v>
      </c>
      <c r="EQ40" s="339" t="str">
        <f t="shared" si="68"/>
        <v>Sa-Pa</v>
      </c>
      <c r="ER40" s="339" t="str">
        <f t="shared" si="69"/>
        <v>-</v>
      </c>
      <c r="ES40" s="340" t="str">
        <f t="shared" si="70"/>
        <v>-</v>
      </c>
      <c r="ET40" s="363"/>
      <c r="EU40" s="376" t="b">
        <f>IFERROR(__xludf.DUMMYFUNCTION("arrayformula(sum(--REGEXMATCH(""SRGMPDNS"",split(REGEXREPLACE(C40,""(.)"",""$1~""),""~""))))=len(C40)
"),FALSE)</f>
        <v>0</v>
      </c>
      <c r="EV40" s="290" t="b">
        <f>IFERROR(__xludf.DUMMYFUNCTION("arrayformula(sum(--REGEXMATCH(""SRGmPDNS"",split(REGEXREPLACE(C40,""(.)"",""$1~""),""~""))))=len(C40)"),FALSE)</f>
        <v>0</v>
      </c>
      <c r="EW40" s="290" t="b">
        <f>IFERROR(__xludf.DUMMYFUNCTION("arrayformula(sum(--REGEXMATCH(""SRGmPDnS"",split(REGEXREPLACE(C40,""(.)"",""$1~""),""~""))))=len(C40)"),FALSE)</f>
        <v>0</v>
      </c>
      <c r="EX40" s="290" t="b">
        <f>IFERROR(__xludf.DUMMYFUNCTION("arrayformula(sum(--REGEXMATCH(""SRgmPDnS"",split(REGEXREPLACE(C40,""(.)"",""$1~""),""~""))))=len(C40)"),FALSE)</f>
        <v>0</v>
      </c>
      <c r="EY40" s="290" t="b">
        <f>IFERROR(__xludf.DUMMYFUNCTION("arrayformula(sum(--REGEXMATCH(""SRgmPdnS"",split(REGEXREPLACE(C40,""(.)"",""$1~""),""~""))))=len(C40)"),FALSE)</f>
        <v>0</v>
      </c>
      <c r="EZ40" s="290" t="b">
        <f>IFERROR(__xludf.DUMMYFUNCTION("arrayformula(sum(--REGEXMATCH(""SrgmPdnS"",split(REGEXREPLACE(C40,""(.)"",""$1~""),""~""))))=len(C40)"),FALSE)</f>
        <v>0</v>
      </c>
      <c r="FA40" s="290" t="b">
        <f>IFERROR(__xludf.DUMMYFUNCTION("arrayformula(sum(--REGEXMATCH(""SrGmPdNS"",split(REGEXREPLACE(C40,""(.)"",""$1~""),""~""))))=len(C40)"),FALSE)</f>
        <v>0</v>
      </c>
      <c r="FB40" s="290" t="b">
        <f>IFERROR(__xludf.DUMMYFUNCTION("arrayformula(sum(--REGEXMATCH(""SrGMPDNS"",split(REGEXREPLACE(C40,""(.)"",""$1~""),""~""))))=len(C40)"),FALSE)</f>
        <v>0</v>
      </c>
      <c r="FC40" s="290" t="b">
        <f>IFERROR(__xludf.DUMMYFUNCTION("arrayformula(sum(--REGEXMATCH(""SrGMPdNS"",split(REGEXREPLACE(C40,""(.)"",""$1~""),""~""))))=len(C40)"),TRUE)</f>
        <v>1</v>
      </c>
      <c r="FD40" s="377" t="b">
        <f>IFERROR(__xludf.DUMMYFUNCTION("arrayformula(sum(--REGEXMATCH(""SrgMPdNS"",split(REGEXREPLACE(C40,""(.)"",""$1~""),""~""))))=len(C40)"),FALSE)</f>
        <v>0</v>
      </c>
      <c r="FE40" s="269" t="str">
        <f t="shared" si="71"/>
        <v>xooxoxxxoox</v>
      </c>
      <c r="FF40" s="269" t="str">
        <f t="shared" si="72"/>
        <v>-</v>
      </c>
      <c r="FG40" s="271" t="str">
        <f t="shared" si="73"/>
        <v>-</v>
      </c>
      <c r="FH40" s="269" t="str">
        <f t="shared" si="74"/>
        <v>xoxxxooxxxo</v>
      </c>
      <c r="FI40" s="271" t="str">
        <f t="shared" si="75"/>
        <v>-</v>
      </c>
      <c r="FJ40" s="271" t="str">
        <f t="shared" si="76"/>
        <v>xxxooxxxoox</v>
      </c>
      <c r="FK40" s="271" t="str">
        <f t="shared" si="77"/>
        <v>xxooxxxooxo</v>
      </c>
      <c r="FL40" s="271" t="str">
        <f t="shared" si="78"/>
        <v>xooxxxooxox</v>
      </c>
      <c r="FM40" s="271" t="str">
        <f t="shared" si="79"/>
        <v>-</v>
      </c>
      <c r="FN40" s="271" t="str">
        <f t="shared" si="80"/>
        <v>-</v>
      </c>
      <c r="FO40" s="274" t="str">
        <f t="shared" si="81"/>
        <v>xxxooxoxxxo</v>
      </c>
      <c r="FP40" s="234" t="str">
        <f t="shared" si="82"/>
        <v>|</v>
      </c>
      <c r="FQ40" s="236" t="str">
        <f t="shared" si="83"/>
        <v>|</v>
      </c>
      <c r="FR40" s="237" t="str">
        <f t="shared" si="84"/>
        <v>-</v>
      </c>
      <c r="FS40" s="236" t="str">
        <f t="shared" si="85"/>
        <v>-</v>
      </c>
      <c r="FT40" s="237" t="str">
        <f t="shared" si="86"/>
        <v>|</v>
      </c>
      <c r="FU40" s="236" t="str">
        <f t="shared" si="87"/>
        <v>-</v>
      </c>
      <c r="FV40" s="237" t="str">
        <f t="shared" si="88"/>
        <v>|</v>
      </c>
      <c r="FW40" s="236" t="str">
        <f t="shared" si="89"/>
        <v>|</v>
      </c>
      <c r="FX40" s="237" t="str">
        <f t="shared" si="90"/>
        <v>|</v>
      </c>
      <c r="FY40" s="236" t="str">
        <f t="shared" si="91"/>
        <v>-</v>
      </c>
      <c r="FZ40" s="237" t="str">
        <f t="shared" si="92"/>
        <v>-</v>
      </c>
      <c r="GA40" s="236" t="str">
        <f t="shared" si="93"/>
        <v>|</v>
      </c>
      <c r="GB40" s="238" t="str">
        <f t="shared" si="94"/>
        <v>|</v>
      </c>
      <c r="GC40" s="244" t="str">
        <f>IFERROR(__xludf.DUMMYFUNCTION("IF(REGEXMATCH(C40, ""S""), ""1"","""")"),"1")</f>
        <v>1</v>
      </c>
      <c r="GD40" s="245" t="str">
        <f>IFERROR(__xludf.DUMMYFUNCTION("IF(REGEXMATCH(C40, ""r""), ""b2"","""")"),"b2")</f>
        <v>b2</v>
      </c>
      <c r="GE40" s="246" t="str">
        <f>IFERROR(__xludf.DUMMYFUNCTION("IF(REGEXMATCH(C40, ""R""), ""2"","""")"),"")</f>
        <v/>
      </c>
      <c r="GF40" s="246" t="str">
        <f>IFERROR(__xludf.DUMMYFUNCTION("IF(REGEXMATCH(C40, ""g""), ""b3"","""")"),"")</f>
        <v/>
      </c>
      <c r="GG40" s="245" t="str">
        <f>IFERROR(__xludf.DUMMYFUNCTION("IF(REGEXMATCH(C40, ""G""), ""3"","""")"),"3")</f>
        <v>3</v>
      </c>
      <c r="GH40" s="245" t="str">
        <f>IFERROR(__xludf.DUMMYFUNCTION("IF(REGEXMATCH(C40, ""m""), ""4"","""")"),"")</f>
        <v/>
      </c>
      <c r="GI40" s="246" t="str">
        <f>IFERROR(__xludf.DUMMYFUNCTION("IF(REGEXMATCH(C40, ""M""), ""#4"","""")"),"#4")</f>
        <v>#4</v>
      </c>
      <c r="GJ40" s="245" t="str">
        <f>IFERROR(__xludf.DUMMYFUNCTION("IF(REGEXMATCH(C40, ""P""), ""5"","""")"),"5")</f>
        <v>5</v>
      </c>
      <c r="GK40" s="246" t="str">
        <f>IFERROR(__xludf.DUMMYFUNCTION("IF(REGEXMATCH(C40, ""d""), ""b6"","""")"),"b6")</f>
        <v>b6</v>
      </c>
      <c r="GL40" s="245" t="str">
        <f>IFERROR(__xludf.DUMMYFUNCTION("IF(REGEXMATCH(C40, ""D""), ""6"","""")"),"")</f>
        <v/>
      </c>
      <c r="GM40" s="245" t="str">
        <f>IFERROR(__xludf.DUMMYFUNCTION("IF(REGEXMATCH(C40, ""n""), ""b7"","""")"),"")</f>
        <v/>
      </c>
      <c r="GN40" s="246" t="str">
        <f>IFERROR(__xludf.DUMMYFUNCTION("IF(REGEXMATCH(C40, ""N""), ""7"","""")"),"7")</f>
        <v>7</v>
      </c>
      <c r="GO40" s="249" t="str">
        <f>IFERROR(__xludf.DUMMYFUNCTION("IF(REGEXMATCH(C40, ""S""), ""8"","""")"),"8")</f>
        <v>8</v>
      </c>
      <c r="GP40" s="244" t="str">
        <f>IFERROR(__xludf.DUMMYFUNCTION("IF(REGEXMATCH(C40, ""S""), ""S"","""")"),"S")</f>
        <v>S</v>
      </c>
      <c r="GQ40" s="294" t="str">
        <f>IFERROR(__xludf.DUMMYFUNCTION("IF(REGEXMATCH(C40, ""r""), ""R1"","""")"),"R1")</f>
        <v>R1</v>
      </c>
      <c r="GR40" s="295" t="str">
        <f>IFERROR(__xludf.DUMMYFUNCTION("IF(REGEXMATCH(C40, ""R""), ""R2"","""")"),"")</f>
        <v/>
      </c>
      <c r="GS40" s="295" t="str">
        <f>IFERROR(__xludf.DUMMYFUNCTION("IF(REGEXMATCH(C40, ""g""), ""G2"","""")"),"")</f>
        <v/>
      </c>
      <c r="GT40" s="294" t="str">
        <f>IFERROR(__xludf.DUMMYFUNCTION("IF(REGEXMATCH(C40, ""G""), ""G3"","""")"),"G3")</f>
        <v>G3</v>
      </c>
      <c r="GU40" s="294" t="str">
        <f>IFERROR(__xludf.DUMMYFUNCTION("IF(REGEXMATCH(C40, ""m""), ""M1"","""")"),"")</f>
        <v/>
      </c>
      <c r="GV40" s="295" t="str">
        <f>IFERROR(__xludf.DUMMYFUNCTION("IF(REGEXMATCH(C40, ""M""), ""M2"","""")"),"M2")</f>
        <v>M2</v>
      </c>
      <c r="GW40" s="294" t="str">
        <f>IFERROR(__xludf.DUMMYFUNCTION("IF(REGEXMATCH(C40, ""P""), ""P"","""")"),"P")</f>
        <v>P</v>
      </c>
      <c r="GX40" s="295" t="str">
        <f>IFERROR(__xludf.DUMMYFUNCTION("IF(REGEXMATCH(C40, ""d""), ""D1"","""")"),"D1")</f>
        <v>D1</v>
      </c>
      <c r="GY40" s="294" t="str">
        <f>IFERROR(__xludf.DUMMYFUNCTION("IF(REGEXMATCH(C40, ""D""), ""D2"","""")"),"")</f>
        <v/>
      </c>
      <c r="GZ40" s="294" t="str">
        <f>IFERROR(__xludf.DUMMYFUNCTION("IF(REGEXMATCH(C40, ""n""), ""N2"","""")"),"")</f>
        <v/>
      </c>
      <c r="HA40" s="295" t="str">
        <f>IFERROR(__xludf.DUMMYFUNCTION("IF(REGEXMATCH(C40, ""N""), ""N3"","""")"),"N3")</f>
        <v>N3</v>
      </c>
      <c r="HB40" s="249" t="str">
        <f>IFERROR(__xludf.DUMMYFUNCTION("IF(REGEXMATCH(C40, ""S""), ""S"","""")"),"S")</f>
        <v>S</v>
      </c>
      <c r="HC40" s="331" t="str">
        <f t="shared" si="95"/>
        <v>S</v>
      </c>
      <c r="HD40" s="332" t="str">
        <f t="shared" si="96"/>
        <v>r</v>
      </c>
      <c r="HE40" s="332" t="str">
        <f t="shared" si="97"/>
        <v/>
      </c>
      <c r="HF40" s="332" t="str">
        <f t="shared" si="98"/>
        <v/>
      </c>
      <c r="HG40" s="332" t="str">
        <f t="shared" si="99"/>
        <v>G</v>
      </c>
      <c r="HH40" s="332" t="str">
        <f t="shared" si="100"/>
        <v>m</v>
      </c>
      <c r="HI40" s="332" t="str">
        <f t="shared" si="101"/>
        <v>M</v>
      </c>
      <c r="HJ40" s="332" t="str">
        <f t="shared" si="102"/>
        <v/>
      </c>
      <c r="HK40" s="332" t="str">
        <f t="shared" si="103"/>
        <v>d</v>
      </c>
      <c r="HL40" s="332" t="str">
        <f t="shared" si="104"/>
        <v/>
      </c>
      <c r="HM40" s="332" t="str">
        <f t="shared" si="105"/>
        <v/>
      </c>
      <c r="HN40" s="332" t="str">
        <f t="shared" si="106"/>
        <v>N</v>
      </c>
      <c r="HO40" s="343" t="str">
        <f t="shared" si="107"/>
        <v>S</v>
      </c>
      <c r="HP40" s="331" t="str">
        <f t="shared" si="108"/>
        <v>o</v>
      </c>
      <c r="HQ40" s="332" t="str">
        <f t="shared" si="109"/>
        <v>o</v>
      </c>
      <c r="HR40" s="332" t="str">
        <f t="shared" si="110"/>
        <v>•</v>
      </c>
      <c r="HS40" s="332" t="str">
        <f t="shared" si="111"/>
        <v>•</v>
      </c>
      <c r="HT40" s="332" t="str">
        <f t="shared" si="112"/>
        <v>o</v>
      </c>
      <c r="HU40" s="332" t="str">
        <f t="shared" si="113"/>
        <v>•</v>
      </c>
      <c r="HV40" s="332" t="str">
        <f t="shared" si="114"/>
        <v>o</v>
      </c>
      <c r="HW40" s="332" t="str">
        <f t="shared" si="115"/>
        <v>o</v>
      </c>
      <c r="HX40" s="332" t="str">
        <f t="shared" si="116"/>
        <v>o</v>
      </c>
      <c r="HY40" s="332" t="str">
        <f t="shared" si="117"/>
        <v>•</v>
      </c>
      <c r="HZ40" s="332" t="str">
        <f t="shared" si="118"/>
        <v>•</v>
      </c>
      <c r="IA40" s="332" t="str">
        <f t="shared" si="119"/>
        <v>o</v>
      </c>
      <c r="IB40" s="338" t="str">
        <f t="shared" si="120"/>
        <v>o</v>
      </c>
      <c r="IC40" s="331" t="str">
        <f t="shared" si="121"/>
        <v>•</v>
      </c>
      <c r="ID40" s="332" t="str">
        <f t="shared" si="122"/>
        <v>•</v>
      </c>
      <c r="IE40" s="332" t="str">
        <f t="shared" si="123"/>
        <v>o</v>
      </c>
      <c r="IF40" s="332" t="str">
        <f t="shared" si="124"/>
        <v>o</v>
      </c>
      <c r="IG40" s="332" t="str">
        <f t="shared" si="125"/>
        <v>•</v>
      </c>
      <c r="IH40" s="332" t="str">
        <f t="shared" si="126"/>
        <v>o</v>
      </c>
      <c r="II40" s="332" t="str">
        <f t="shared" si="127"/>
        <v>•</v>
      </c>
      <c r="IJ40" s="332" t="str">
        <f t="shared" si="128"/>
        <v>•</v>
      </c>
      <c r="IK40" s="332" t="str">
        <f t="shared" si="129"/>
        <v>•</v>
      </c>
      <c r="IL40" s="332" t="str">
        <f t="shared" si="130"/>
        <v>o</v>
      </c>
      <c r="IM40" s="332" t="str">
        <f t="shared" si="131"/>
        <v>o</v>
      </c>
      <c r="IN40" s="332" t="str">
        <f t="shared" si="132"/>
        <v>•</v>
      </c>
      <c r="IO40" s="338" t="str">
        <f t="shared" si="133"/>
        <v>•</v>
      </c>
      <c r="IP40" s="346" t="b">
        <f t="shared" si="134"/>
        <v>0</v>
      </c>
      <c r="IQ40" s="347" t="b">
        <f t="shared" si="135"/>
        <v>0</v>
      </c>
      <c r="IR40" s="347" t="b">
        <f t="shared" si="136"/>
        <v>0</v>
      </c>
      <c r="IS40" s="347" t="b">
        <f t="shared" si="137"/>
        <v>0</v>
      </c>
      <c r="IT40" s="347" t="b">
        <f t="shared" si="138"/>
        <v>0</v>
      </c>
      <c r="IU40" s="347" t="b">
        <f t="shared" si="139"/>
        <v>0</v>
      </c>
      <c r="IV40" s="347" t="b">
        <f t="shared" si="140"/>
        <v>0</v>
      </c>
      <c r="IW40" s="347" t="b">
        <f t="shared" si="141"/>
        <v>1</v>
      </c>
      <c r="IX40" s="347" t="b">
        <f t="shared" si="142"/>
        <v>1</v>
      </c>
      <c r="IY40" s="347" t="b">
        <f t="shared" si="143"/>
        <v>0</v>
      </c>
      <c r="IZ40" s="347" t="b">
        <f t="shared" si="144"/>
        <v>0</v>
      </c>
      <c r="JA40" s="347" t="b">
        <f t="shared" si="145"/>
        <v>0</v>
      </c>
      <c r="JB40" s="353" t="b">
        <f t="shared" si="146"/>
        <v>0</v>
      </c>
      <c r="JC40" s="354" t="str">
        <f t="shared" si="147"/>
        <v/>
      </c>
      <c r="JD40" s="355" t="str">
        <f t="shared" si="148"/>
        <v/>
      </c>
      <c r="JE40" s="355" t="str">
        <f t="shared" si="149"/>
        <v/>
      </c>
      <c r="JF40" s="355" t="str">
        <f t="shared" si="150"/>
        <v/>
      </c>
      <c r="JG40" s="355" t="str">
        <f t="shared" si="151"/>
        <v/>
      </c>
      <c r="JH40" s="355" t="str">
        <f t="shared" si="152"/>
        <v/>
      </c>
      <c r="JI40" s="355" t="str">
        <f t="shared" si="153"/>
        <v/>
      </c>
      <c r="JJ40" s="355" t="str">
        <f t="shared" si="154"/>
        <v>Pa, </v>
      </c>
      <c r="JK40" s="355" t="str">
        <f t="shared" si="155"/>
        <v>dha, </v>
      </c>
      <c r="JL40" s="355" t="str">
        <f t="shared" si="156"/>
        <v/>
      </c>
      <c r="JM40" s="355" t="str">
        <f t="shared" si="157"/>
        <v/>
      </c>
      <c r="JN40" s="355" t="str">
        <f t="shared" si="158"/>
        <v/>
      </c>
      <c r="JO40" s="359" t="str">
        <f t="shared" si="159"/>
        <v/>
      </c>
      <c r="JP40" s="346" t="b">
        <f t="shared" si="160"/>
        <v>0</v>
      </c>
      <c r="JQ40" s="347" t="b">
        <f t="shared" si="161"/>
        <v>0</v>
      </c>
      <c r="JR40" s="347" t="b">
        <f t="shared" si="162"/>
        <v>0</v>
      </c>
      <c r="JS40" s="347" t="b">
        <f t="shared" si="163"/>
        <v>0</v>
      </c>
      <c r="JT40" s="347" t="b">
        <f t="shared" si="164"/>
        <v>0</v>
      </c>
      <c r="JU40" s="347" t="b">
        <f t="shared" si="165"/>
        <v>0</v>
      </c>
      <c r="JV40" s="347" t="b">
        <f t="shared" si="166"/>
        <v>0</v>
      </c>
      <c r="JW40" s="347" t="b">
        <f t="shared" si="167"/>
        <v>0</v>
      </c>
      <c r="JX40" s="347" t="b">
        <f t="shared" si="168"/>
        <v>0</v>
      </c>
      <c r="JY40" s="347" t="b">
        <f t="shared" si="169"/>
        <v>0</v>
      </c>
      <c r="JZ40" s="347" t="b">
        <f t="shared" si="170"/>
        <v>0</v>
      </c>
      <c r="KA40" s="347" t="b">
        <f t="shared" si="171"/>
        <v>0</v>
      </c>
      <c r="KB40" s="365" t="b">
        <f t="shared" si="172"/>
        <v>0</v>
      </c>
      <c r="KC40" s="354" t="str">
        <f t="shared" si="173"/>
        <v/>
      </c>
      <c r="KD40" s="355" t="str">
        <f t="shared" si="174"/>
        <v/>
      </c>
      <c r="KE40" s="355" t="str">
        <f t="shared" si="175"/>
        <v/>
      </c>
      <c r="KF40" s="355" t="str">
        <f t="shared" si="176"/>
        <v/>
      </c>
      <c r="KG40" s="355" t="str">
        <f t="shared" si="177"/>
        <v/>
      </c>
      <c r="KH40" s="355" t="str">
        <f t="shared" si="178"/>
        <v/>
      </c>
      <c r="KI40" s="355" t="str">
        <f t="shared" si="179"/>
        <v/>
      </c>
      <c r="KJ40" s="355" t="str">
        <f t="shared" si="180"/>
        <v/>
      </c>
      <c r="KK40" s="355" t="str">
        <f t="shared" si="181"/>
        <v/>
      </c>
      <c r="KL40" s="355" t="str">
        <f t="shared" si="182"/>
        <v/>
      </c>
      <c r="KM40" s="355" t="str">
        <f t="shared" si="183"/>
        <v/>
      </c>
      <c r="KN40" s="355" t="str">
        <f t="shared" si="184"/>
        <v/>
      </c>
      <c r="KO40" s="359"/>
      <c r="KP40" s="378"/>
      <c r="KQ40" s="379" t="s">
        <v>1314</v>
      </c>
      <c r="KR40" s="380" t="s">
        <v>1315</v>
      </c>
      <c r="KS40" s="381" t="str">
        <f>KQ40</f>
        <v>S-G-M-d-N-S</v>
      </c>
      <c r="KT40" s="382">
        <f t="shared" si="186"/>
        <v>5</v>
      </c>
      <c r="KU40" s="383">
        <f t="shared" si="187"/>
        <v>5</v>
      </c>
      <c r="KV40" s="381" t="str">
        <f t="shared" si="205"/>
        <v>S-N-d-P-M-G-r-S</v>
      </c>
      <c r="KW40" s="382">
        <f t="shared" si="189"/>
        <v>7</v>
      </c>
      <c r="KX40" s="384">
        <f t="shared" si="190"/>
        <v>7</v>
      </c>
      <c r="KY40" s="382">
        <f t="shared" ref="KY40:KZ40" si="274">KW40-KT40</f>
        <v>2</v>
      </c>
      <c r="KZ40" s="369">
        <f t="shared" si="274"/>
        <v>2</v>
      </c>
      <c r="LA40" s="385" t="str">
        <f t="shared" si="192"/>
        <v>-</v>
      </c>
      <c r="LB40" s="340" t="str">
        <f>IFERROR(__xludf.DUMMYFUNCTION("JOIN("""",ArrayFormula(MID(KS40,LEN(KS40)-SEQUENCE(1,LEN(KS40))+1,1)))"),"S-N-d-M-G-S")</f>
        <v>S-N-d-M-G-S</v>
      </c>
      <c r="LC40" s="373" t="str">
        <f>IFERROR(__xludf.DUMMYFUNCTION("JOIN("""",ArrayFormula(MID(KV40,LEN(KV40)-SEQUENCE(1,LEN(KV40))+1,1)))"),"S-r-G-M-P-d-N-S")</f>
        <v>S-r-G-M-P-d-N-S</v>
      </c>
      <c r="LD40" s="373" t="str">
        <f t="shared" si="193"/>
        <v>SGMdNS</v>
      </c>
      <c r="LE40" s="339" t="str">
        <f t="shared" si="194"/>
        <v>SrGMPdNS</v>
      </c>
      <c r="LF40" s="386" t="str">
        <f>IFERROR(__xludf.DUMMYFUNCTION("SUBSTITUTE(SUBSTITUTE(CONCATENATE(JOIN("""",LH40:LT40)),""1"",""""),""2"","""")"),"SrGMPdNS")</f>
        <v>SrGMPdNS</v>
      </c>
      <c r="LG40" s="369" t="str">
        <f t="shared" si="195"/>
        <v>✔</v>
      </c>
      <c r="LH40" s="387" t="str">
        <f>IFERROR(__xludf.DUMMYFUNCTION("IF(REGEXMATCH(LD40, ""S""), ""S"",IF(REGEXMATCH(LE40, ""S""), ""S"",""""))"),"S")</f>
        <v>S</v>
      </c>
      <c r="LI40" s="299" t="str">
        <f>IFERROR(__xludf.DUMMYFUNCTION("IF(REGEXMATCH(LD40, ""r""), ""r1"",IF(REGEXMATCH(LE40, ""r""), ""r2"",""""))"),"r2")</f>
        <v>r2</v>
      </c>
      <c r="LJ40" s="299" t="str">
        <f>IFERROR(__xludf.DUMMYFUNCTION("IF(REGEXMATCH(LD40, ""R""), ""R1"",IF(REGEXMATCH(LE40, ""R""), ""R2"",""""))"),"")</f>
        <v/>
      </c>
      <c r="LK40" s="299" t="str">
        <f>IFERROR(__xludf.DUMMYFUNCTION("IF(REGEXMATCH(LD40, ""g""), ""g1"",IF(REGEXMATCH(LE40, ""g""), ""g2"",""""))"),"")</f>
        <v/>
      </c>
      <c r="LL40" s="299" t="str">
        <f>IFERROR(__xludf.DUMMYFUNCTION("IF(REGEXMATCH(LD40, ""G""), ""G1"",IF(REGEXMATCH(LE40, ""G""), ""G2"",""""))"),"G1")</f>
        <v>G1</v>
      </c>
      <c r="LM40" s="299" t="str">
        <f>IFERROR(__xludf.DUMMYFUNCTION("IF(REGEXMATCH(LD40, ""m""), ""m1"",IF(REGEXMATCH(LE40, ""m""), ""m2"",""""))"),"")</f>
        <v/>
      </c>
      <c r="LN40" s="299" t="str">
        <f>IFERROR(__xludf.DUMMYFUNCTION("IF(REGEXMATCH(LD40, ""M""), ""M1"",IF(REGEXMATCH(LE40, ""M""), ""M2"",""""))"),"M1")</f>
        <v>M1</v>
      </c>
      <c r="LO40" s="299" t="str">
        <f>IFERROR(__xludf.DUMMYFUNCTION("IF(REGEXMATCH(LD40, ""P""), ""P1"",IF(REGEXMATCH(LE40, ""P""), ""P2"",""""))"),"P2")</f>
        <v>P2</v>
      </c>
      <c r="LP40" s="299" t="str">
        <f>IFERROR(__xludf.DUMMYFUNCTION("IF(REGEXMATCH(LD40, ""d""), ""d1"",IF(REGEXMATCH(LE40, ""d""), ""d2"",""""))"),"d1")</f>
        <v>d1</v>
      </c>
      <c r="LQ40" s="299" t="str">
        <f>IFERROR(__xludf.DUMMYFUNCTION("IF(REGEXMATCH(LD40, ""D""), ""D1"",IF(REGEXMATCH(LE40, ""D""), ""D2"",""""))"),"")</f>
        <v/>
      </c>
      <c r="LR40" s="299" t="str">
        <f>IFERROR(__xludf.DUMMYFUNCTION("IF(REGEXMATCH(LD40, ""n""), ""n1"",IF(REGEXMATCH(LE40, ""n""), ""n2"",""""))"),"")</f>
        <v/>
      </c>
      <c r="LS40" s="299" t="str">
        <f>IFERROR(__xludf.DUMMYFUNCTION("IF(REGEXMATCH(LD40, ""N""), ""N1"",IF(REGEXMATCH(LE40, ""N""), ""N2"",""""))"),"N1")</f>
        <v>N1</v>
      </c>
      <c r="LT40" s="388" t="str">
        <f>IFERROR(__xludf.DUMMYFUNCTION("IF(REGEXMATCH(LD40, ""S""), ""S"",IF(REGEXMATCH(LE40, ""S""), ""S"",""""))"),"S")</f>
        <v>S</v>
      </c>
      <c r="LU40" s="389">
        <f t="shared" si="196"/>
        <v>-3</v>
      </c>
      <c r="LV40" s="378"/>
      <c r="LW40" s="369"/>
      <c r="LX40" s="369"/>
    </row>
    <row r="41" ht="20.25" customHeight="1">
      <c r="A41" s="298" t="s">
        <v>1316</v>
      </c>
      <c r="B41" s="222" t="s">
        <v>665</v>
      </c>
      <c r="C41" s="233" t="str">
        <f t="shared" si="7"/>
        <v>SrRgGmMPdDnNS</v>
      </c>
      <c r="D41" s="234" t="str">
        <f>IFERROR(__xludf.DUMMYFUNCTION("IF(REGEXMATCH(C41, ""S""), ""S"","""")"),"S")</f>
        <v>S</v>
      </c>
      <c r="E41" s="236" t="str">
        <f>IFERROR(__xludf.DUMMYFUNCTION("IF(REGEXMATCH(C41, ""r""), ""r"","""")"),"r")</f>
        <v>r</v>
      </c>
      <c r="F41" s="237" t="str">
        <f>IFERROR(__xludf.DUMMYFUNCTION("IF(REGEXMATCH(C41, ""R""), ""R"","""")"),"R")</f>
        <v>R</v>
      </c>
      <c r="G41" s="237" t="str">
        <f>IFERROR(__xludf.DUMMYFUNCTION("IF(REGEXMATCH(C41, ""g""), ""g"","""")"),"g")</f>
        <v>g</v>
      </c>
      <c r="H41" s="236" t="str">
        <f>IFERROR(__xludf.DUMMYFUNCTION("IF(REGEXMATCH(C41, ""G""), ""G"","""")"),"G")</f>
        <v>G</v>
      </c>
      <c r="I41" s="236" t="str">
        <f>IFERROR(__xludf.DUMMYFUNCTION("IF(REGEXMATCH(C41, ""m""), ""m"","""")"),"m")</f>
        <v>m</v>
      </c>
      <c r="J41" s="237" t="str">
        <f>IFERROR(__xludf.DUMMYFUNCTION("IF(REGEXMATCH(C41, ""M""), ""M"","""")"),"M")</f>
        <v>M</v>
      </c>
      <c r="K41" s="236" t="str">
        <f>IFERROR(__xludf.DUMMYFUNCTION("IF(REGEXMATCH(C41, ""P""), ""P"","""")"),"P")</f>
        <v>P</v>
      </c>
      <c r="L41" s="237" t="str">
        <f>IFERROR(__xludf.DUMMYFUNCTION("IF(REGEXMATCH(C41, ""d""), ""d"","""")"),"d")</f>
        <v>d</v>
      </c>
      <c r="M41" s="236" t="str">
        <f>IFERROR(__xludf.DUMMYFUNCTION("IF(REGEXMATCH(C41, ""D""), ""D"","""")"),"D")</f>
        <v>D</v>
      </c>
      <c r="N41" s="236" t="str">
        <f>IFERROR(__xludf.DUMMYFUNCTION("IF(REGEXMATCH(C41, ""n""), ""n"","""")"),"n")</f>
        <v>n</v>
      </c>
      <c r="O41" s="237" t="str">
        <f>IFERROR(__xludf.DUMMYFUNCTION("IF(REGEXMATCH(C41, ""N""), ""N"","""")"),"N")</f>
        <v>N</v>
      </c>
      <c r="P41" s="238" t="str">
        <f>IFERROR(__xludf.DUMMYFUNCTION("IF(REGEXMATCH(C41, ""S""), ""S"","""")"),"S")</f>
        <v>S</v>
      </c>
      <c r="Q41" s="239" t="str">
        <f>IFERROR(__xludf.DUMMYFUNCTION("SUBSTITUTE(CONCATENATE(JOIN(""-"",D41:J41)),""-"","""")"),"SrRgGmM")</f>
        <v>SrRgGmM</v>
      </c>
      <c r="R41" s="229" t="str">
        <f>IFERROR(__xludf.DUMMYFUNCTION("SUBSTITUTE(CONCATENATE(JOIN(""-"",K41:P41)),""-"","""")"),"PdDnNS")</f>
        <v>PdDnNS</v>
      </c>
      <c r="S41" s="282" t="str">
        <f t="shared" si="8"/>
        <v>S-R-G-M</v>
      </c>
      <c r="T41" s="282" t="str">
        <f t="shared" si="9"/>
        <v>P-D-N-S</v>
      </c>
      <c r="U41" s="237" t="str">
        <f>IFERROR(__xludf.DUMMYFUNCTION("SUBSTITUTE(JOIN(""-"",S41,T41),""--"",""-"")"),"S-R-G-M-P-D-N-S")</f>
        <v>S-R-G-M-P-D-N-S</v>
      </c>
      <c r="V41" s="309" t="str">
        <f t="shared" si="10"/>
        <v>rRgGmMdDnN</v>
      </c>
      <c r="W41" s="244" t="str">
        <f>IFERROR(__xludf.DUMMYFUNCTION("IF(REGEXMATCH(C41, ""S""), ""0"","""")"),"0")</f>
        <v>0</v>
      </c>
      <c r="X41" s="245" t="str">
        <f>IFERROR(__xludf.DUMMYFUNCTION("IF(REGEXMATCH(C41, ""r""), ""1"","""")"),"1")</f>
        <v>1</v>
      </c>
      <c r="Y41" s="246" t="str">
        <f>IFERROR(__xludf.DUMMYFUNCTION("IF(REGEXMATCH(C41, ""R""), ""2"","""")"),"2")</f>
        <v>2</v>
      </c>
      <c r="Z41" s="246" t="str">
        <f>IFERROR(__xludf.DUMMYFUNCTION("IF(REGEXMATCH(C41, ""g""), ""3"","""")"),"3")</f>
        <v>3</v>
      </c>
      <c r="AA41" s="245" t="str">
        <f>IFERROR(__xludf.DUMMYFUNCTION("IF(REGEXMATCH(C41, ""G""), ""4"","""")"),"4")</f>
        <v>4</v>
      </c>
      <c r="AB41" s="245" t="str">
        <f>IFERROR(__xludf.DUMMYFUNCTION("IF(REGEXMATCH(C41, ""m""), ""5"","""")"),"5")</f>
        <v>5</v>
      </c>
      <c r="AC41" s="246" t="str">
        <f>IFERROR(__xludf.DUMMYFUNCTION("IF(REGEXMATCH(C41, ""M""), ""6"","""")"),"6")</f>
        <v>6</v>
      </c>
      <c r="AD41" s="245" t="str">
        <f>IFERROR(__xludf.DUMMYFUNCTION("IF(REGEXMATCH(C41, ""P""), ""7"","""")"),"7")</f>
        <v>7</v>
      </c>
      <c r="AE41" s="246" t="str">
        <f>IFERROR(__xludf.DUMMYFUNCTION("IF(REGEXMATCH(C41, ""d""), ""8"","""")"),"8")</f>
        <v>8</v>
      </c>
      <c r="AF41" s="245" t="str">
        <f>IFERROR(__xludf.DUMMYFUNCTION("IF(REGEXMATCH(C41, ""D""), ""9"","""")"),"9")</f>
        <v>9</v>
      </c>
      <c r="AG41" s="245" t="str">
        <f>IFERROR(__xludf.DUMMYFUNCTION("IF(REGEXMATCH(C41, ""n""), ""10"","""")"),"10")</f>
        <v>10</v>
      </c>
      <c r="AH41" s="246" t="str">
        <f>IFERROR(__xludf.DUMMYFUNCTION("IF(REGEXMATCH(C41, ""N""), ""11"","""")"),"11")</f>
        <v>11</v>
      </c>
      <c r="AI41" s="249" t="str">
        <f>IFERROR(__xludf.DUMMYFUNCTION("IF(REGEXMATCH(C41, ""S""), ""0"","""")"),"0")</f>
        <v>0</v>
      </c>
      <c r="AJ41" s="313" t="str">
        <f t="shared" si="11"/>
        <v>T</v>
      </c>
      <c r="AK41" s="313" t="str">
        <f t="shared" si="12"/>
        <v>T</v>
      </c>
      <c r="AL41" s="313" t="str">
        <f t="shared" si="13"/>
        <v>T</v>
      </c>
      <c r="AM41" s="313" t="str">
        <f t="shared" si="14"/>
        <v>T</v>
      </c>
      <c r="AN41" s="313" t="str">
        <f t="shared" si="15"/>
        <v>T</v>
      </c>
      <c r="AO41" s="314" t="str">
        <f t="shared" si="16"/>
        <v>T</v>
      </c>
      <c r="AP41" s="316">
        <f t="shared" si="17"/>
        <v>6</v>
      </c>
      <c r="AQ41" s="319" t="str">
        <f t="shared" si="18"/>
        <v>-</v>
      </c>
      <c r="AR41" s="320">
        <f t="shared" si="19"/>
        <v>0</v>
      </c>
      <c r="AS41" s="250" t="str">
        <f>IFERROR(__xludf.DUMMYFUNCTION("SUBSTITUTE(SUBSTITUTE(CONCATENATE(JOIN("""",FP41:GA41)),""|"",""x""),""-"",""o"")"),"xxxxxxxxxxxx")</f>
        <v>xxxxxxxxxxxx</v>
      </c>
      <c r="AT41" s="323" t="str">
        <f>IFERROR(__xludf.DUMMYFUNCTION("JOIN("""",AS41,AS41)"),"xxxxxxxxxxxxxxxxxxxxxxxx")</f>
        <v>xxxxxxxxxxxxxxxxxxxxxxxx</v>
      </c>
      <c r="AU41" s="256" t="str">
        <f>IFERROR(__xludf.DUMMYFUNCTION("JOIN("""",ArrayFormula(MID(AS41,LEN(AS41)-SEQUENCE(1,LEN(AS41))+1,1)))"),"xxxxxxxxxxxx")</f>
        <v>xxxxxxxxxxxx</v>
      </c>
      <c r="AV41" s="256" t="str">
        <f>IFERROR(__xludf.DUMMYFUNCTION("LEFT(CONCATENATE(""x"",JOIN("""",ArrayFormula(MID(AS41,LEN(AS41)-SEQUENCE(1,LEN(AS41))+1,1)))),12)"),"xxxxxxxxxxxx")</f>
        <v>xxxxxxxxxxxx</v>
      </c>
      <c r="AW41" s="327" t="str">
        <f>IFERROR(__xludf.DUMMYFUNCTION("JOIN("""",AU41,AU41)"),"xxxxxxxxxxxxxxxxxxxxxxxx")</f>
        <v>xxxxxxxxxxxxxxxxxxxxxxxx</v>
      </c>
      <c r="AX41" s="239" t="str">
        <f>IFERROR(__xludf.DUMMYFUNCTION("IF(REGEXMATCH(AW41,AS41),""✔"",""-"")"),"✔")</f>
        <v>✔</v>
      </c>
      <c r="AY41" s="330" t="str">
        <f t="shared" si="20"/>
        <v>✔</v>
      </c>
      <c r="AZ41" s="260" t="str">
        <f t="shared" si="21"/>
        <v>#REF!</v>
      </c>
      <c r="BA41" s="333" t="str">
        <f t="shared" si="22"/>
        <v>xxxxxxx</v>
      </c>
      <c r="BB41" s="334" t="str">
        <f t="shared" si="23"/>
        <v>xxxxxx</v>
      </c>
      <c r="BC41" s="335" t="str">
        <f t="shared" si="236"/>
        <v>✔</v>
      </c>
      <c r="BD41" s="336" t="str">
        <f t="shared" si="25"/>
        <v>Basant Bahar: 'xxxxxxx' + 'xxxxxx'</v>
      </c>
      <c r="BE41" s="337">
        <f>IFERROR(__xludf.DUMMYFUNCTION("COUNTUNIQUE(FILTER(AT:AT,REGEXMATCH(AT:AT,AS41)))-1"),0.0)</f>
        <v>0</v>
      </c>
      <c r="BF41" s="261" t="str">
        <f>IFERROR(__xludf.DUMMYFUNCTION("IF(BI41=0,""(n/a)"",IF(BJ41=2,""(PAIR)"",IF(REGEXMATCH(AT41,""xoxoxxoxoxox""),""Bilawal"",IF(REGEXMATCH(AT41,""xoxoxooxoxoo""),""Bhupali"",IF(REGEXMATCH(AT41,""xoxoxxoxxoxo""),""Charukeshi"",IF(REGEXMATCH(AT41,""xoxoooxxoxxo""),""Kameshwari"",IF(REGEXMATC"&amp;"H(AT41,""xoxoxooxoxox""),""Shankara"",IF(REGEXMATCH(AT41,""xxooxoxxxoox""),""Basant"",IF(REGEXMATCH(AT41,""xoxoxxxxoxox""),""Bihag"",IF(REGEXMATCH(AT41,""xoxxxxoxoxxx""),""Pilu"",IF(REGEXMATCH(AT41,""xoxxoxoxxoox""),""Kirwani"",IF(REGEXMATCH(AT41,""xoxxox"&amp;"oxoxxx""),""Mk.Malhar"",IF(REGEXMATCH(AT41,""xxooxxoxxoox""),""Bhairav"",IF(REGEXMATCH(AT41,""xxoxooxxxoox""),""Todi"",IF(REGEXMATCH(AT41,""xxooxoxooxox""),""Marwa"",IF(REGEXMATCH(AT41,""xxoooxoxxooo""),""Gunkali"",IF(REGEXMATCH(AT41,""xoxoxxoxxoox""),""N"&amp;"at Bhairav"",IF(REGEXMATCH(AT41,""xoxxoooxoxoo""),""Shivranjani"",IF(REGEXMATCH(AT41,""xooxxxoxooxo""),""Jog"",IF(REGEXMATCH(AT41,""xxooxoxoxoox""),""Hemshri"",IF(REGEXMATCH(AT41,""xoooxooxoxxo""),""Kalavati"",IF(REGEXMATCH(AT41,""xxoxoxxoxoox""),""Kedar"&amp;""",IF(REGEXMATCH(AT41,""xoxxxxoxooxx""),""Gara"",IF(REGEXMATCH(AT41,""xooxoxooxoox""),""Chandrakauns"",IF(REGEXMATCH(AT41,""xoxxxxoxxxox""),""Mand"",IF(REGEXMATCH(AT41,""xoxxxxoxoxox""),""Hanskinkini"",IF(REGEXMATCH(AT41,""xxooxxoxooxo""),""Lilavati"",IF("&amp;"REGEXMATCH(AT41,""xooxoxoooxox""),""Rajeshwari"",IF(REGEXMATCH(AT41,""xoooxxoxoxxx""),""Khokar"",IF(REGEXMATCH(AT41,""xxooxoxxxxox""),""Maligoura"",""-""))))))))))))))))))))))))))))))"),"(n/a)")</f>
        <v>(n/a)</v>
      </c>
      <c r="BG41" s="239" t="str">
        <f t="shared" si="26"/>
        <v>#REF!</v>
      </c>
      <c r="BH41" s="239">
        <f>IFERROR(__xludf.DUMMYFUNCTION("COUNTUNIQUE(FE41:FO41)-1"),0.0)</f>
        <v>0</v>
      </c>
      <c r="BI41" s="239">
        <f>IFERROR(__xludf.DUMMYFUNCTION("COUNTUNIQUE(FILTER(AT:AT,REGEXMATCH(AT:AT,AS41)))-1"),0.0)</f>
        <v>0</v>
      </c>
      <c r="BJ41" s="239">
        <f>IFERROR(__xludf.DUMMYFUNCTION("COUNTA(FILTER(AT:AT,REGEXMATCH(AT:AT,AS41)))"),2.0)</f>
        <v>2</v>
      </c>
      <c r="BK41" s="341">
        <f>IFERROR(__xludf.DUMMYFUNCTION("COUNTA(FILTER(AT:AT,REGEXMATCH(AT:AT,AS41)))-AR41"),2.0)</f>
        <v>2</v>
      </c>
      <c r="BL41" s="276" t="str">
        <f>IFERROR(__xludf.DUMMYFUNCTION("IF(AS41=""oooooooooooo"",""-"",IF(REGEXMATCH(AT41,""xx""), ""Hemi."", ""Anhemi.""))"),"Hemi.")</f>
        <v>Hemi.</v>
      </c>
      <c r="BM41" s="282" t="str">
        <f>IFERROR(__xludf.DUMMYFUNCTION("IF(AS41=""oooooooooooo"",""-"",IF(REGEXMATCH(AT41,""xxx""), ""Cohem."", ""-""))"),"Cohem.")</f>
        <v>Cohem.</v>
      </c>
      <c r="BN41" s="282" t="str">
        <f>IFERROR(__xludf.DUMMYFUNCTION("IF(AS41=""oooooooooooo"",""-"",IF(REGEXMATCH(AT41,""xxxx""), ""Co-Co."", ""-""))"),"Co-Co.")</f>
        <v>Co-Co.</v>
      </c>
      <c r="BO41" s="342" t="str">
        <f>IFERROR(__xludf.DUMMYFUNCTION("IF(AS41=""oooooooooooo"",""-"",IF(REGEXMATCH(AT41,""xxxxx""), ""CCC."", ""-""))"),"CCC.")</f>
        <v>CCC.</v>
      </c>
      <c r="BP41" s="344" t="str">
        <f t="shared" si="27"/>
        <v>-</v>
      </c>
      <c r="BQ41" s="282" t="str">
        <f>IFERROR(__xludf.DUMMYFUNCTION("IF(REGEXMATCH(JOIN(""-"",EU41:FD41),""TRUE""),""✔"",""-"")"),"-")</f>
        <v>-</v>
      </c>
      <c r="BR41" s="225">
        <f t="shared" si="28"/>
        <v>0</v>
      </c>
      <c r="BS41" s="345" t="str">
        <f>IFERROR(__xludf.DUMMYFUNCTION("SUBSTITUTE(SUBSTITUTE(SUBSTITUTE(SUBSTITUTE(CONCATENATE(JOIN(""-"",GC41:GO41)),""--"",""-""),""--"",""-""),""--"",""-""),""--"",""-"")"),"1-b2-2-b3-3-4-#4-5-b6-6-b7-7-8")</f>
        <v>1-b2-2-b3-3-4-#4-5-b6-6-b7-7-8</v>
      </c>
      <c r="BT41" s="299" t="str">
        <f>IFERROR(__xludf.DUMMYFUNCTION("SUBSTITUTE(SUBSTITUTE(SUBSTITUTE(SUBSTITUTE(CONCATENATE(JOIN(""-"",GP41:HB41)),""--"",""-""),""--"",""-""),""--"",""-""),""--"",""-"")"),"S-R1-R2-G2-G3-M1-M2-P-D1-D2-N2-N3-S")</f>
        <v>S-R1-R2-G2-G3-M1-M2-P-D1-D2-N2-N3-S</v>
      </c>
      <c r="BU41" s="348" t="str">
        <f t="shared" si="29"/>
        <v>C-Db-D-Eb-E-F-F#-G-Ab-A-Bb-B-C</v>
      </c>
      <c r="BV41" s="349" t="str">
        <f t="shared" si="30"/>
        <v>SS</v>
      </c>
      <c r="BW41" s="350">
        <f t="shared" si="31"/>
        <v>0</v>
      </c>
      <c r="BX41" s="351">
        <f t="shared" si="32"/>
        <v>2</v>
      </c>
      <c r="BY41" s="352" t="s">
        <v>275</v>
      </c>
      <c r="BZ41" s="309" t="str">
        <f>IFERROR(__xludf.DUMMYFUNCTION("IF(REGEXMATCH(C41, ""S""), ""x"",""x"")"),"x")</f>
        <v>x</v>
      </c>
      <c r="CA41" s="245" t="str">
        <f>IFERROR(__xludf.DUMMYFUNCTION("IF(REGEXMATCH(C41, ""r""), ""o"",""x"")"),"o")</f>
        <v>o</v>
      </c>
      <c r="CB41" s="246" t="str">
        <f>IFERROR(__xludf.DUMMYFUNCTION("IF(REGEXMATCH(C41, ""R""), ""o"",""x"")"),"o")</f>
        <v>o</v>
      </c>
      <c r="CC41" s="246" t="str">
        <f>IFERROR(__xludf.DUMMYFUNCTION("IF(REGEXMATCH(C41, ""g""), ""o"",""x"")"),"o")</f>
        <v>o</v>
      </c>
      <c r="CD41" s="245" t="str">
        <f>IFERROR(__xludf.DUMMYFUNCTION("IF(REGEXMATCH(C41, ""G""), ""o"",""x"")"),"o")</f>
        <v>o</v>
      </c>
      <c r="CE41" s="245" t="str">
        <f>IFERROR(__xludf.DUMMYFUNCTION("IF(REGEXMATCH(C41, ""m""), ""o"",""x"")"),"o")</f>
        <v>o</v>
      </c>
      <c r="CF41" s="246" t="str">
        <f>IFERROR(__xludf.DUMMYFUNCTION("IF(REGEXMATCH(C41, ""M""), ""o"",""x"")"),"o")</f>
        <v>o</v>
      </c>
      <c r="CG41" s="245" t="str">
        <f>IFERROR(__xludf.DUMMYFUNCTION("IF(REGEXMATCH(C41, ""P""), ""o"",""x"")"),"o")</f>
        <v>o</v>
      </c>
      <c r="CH41" s="246" t="str">
        <f>IFERROR(__xludf.DUMMYFUNCTION("IF(REGEXMATCH(C41, ""d""), ""o"",""x"")"),"o")</f>
        <v>o</v>
      </c>
      <c r="CI41" s="245" t="str">
        <f>IFERROR(__xludf.DUMMYFUNCTION("IF(REGEXMATCH(C41, ""D""), ""o"",""x"")"),"o")</f>
        <v>o</v>
      </c>
      <c r="CJ41" s="245" t="str">
        <f>IFERROR(__xludf.DUMMYFUNCTION("IF(REGEXMATCH(C41, ""n""), ""o"",""x"")"),"o")</f>
        <v>o</v>
      </c>
      <c r="CK41" s="245" t="str">
        <f>IFERROR(__xludf.DUMMYFUNCTION("IF(REGEXMATCH(C41, ""N""), ""o"",""x"")"),"o")</f>
        <v>o</v>
      </c>
      <c r="CL41" s="356" t="str">
        <f>IFERROR(__xludf.DUMMYFUNCTION("IF(REGEXMATCH(C41, ""S""), ""x"",""x"")"),"x")</f>
        <v>x</v>
      </c>
      <c r="CM41" s="357" t="str">
        <f t="shared" si="33"/>
        <v>xooooooooooo</v>
      </c>
      <c r="CN41" s="358">
        <f t="shared" si="34"/>
        <v>0</v>
      </c>
      <c r="CO41" s="246" t="str">
        <f>IFERROR(__xludf.DUMMYFUNCTION("IF(REGEXMATCH($C41, ""S""), ""S"",""S"")"),"S")</f>
        <v>S</v>
      </c>
      <c r="CP41" s="246" t="str">
        <f>IFERROR(__xludf.DUMMYFUNCTION("IF(REGEXMATCH($C41, ""r""), """",""r"")"),"")</f>
        <v/>
      </c>
      <c r="CQ41" s="246" t="str">
        <f>IFERROR(__xludf.DUMMYFUNCTION("IF(REGEXMATCH($C41, ""R""), """",""R"")"),"")</f>
        <v/>
      </c>
      <c r="CR41" s="246" t="str">
        <f>IFERROR(__xludf.DUMMYFUNCTION("IF(REGEXMATCH($C41, ""g""), """",""g"")"),"")</f>
        <v/>
      </c>
      <c r="CS41" s="246" t="str">
        <f>IFERROR(__xludf.DUMMYFUNCTION("IF(REGEXMATCH($C41, ""G""), """",""G"")"),"")</f>
        <v/>
      </c>
      <c r="CT41" s="246" t="str">
        <f>IFERROR(__xludf.DUMMYFUNCTION("IF(REGEXMATCH($C41, ""m""), """",""m"")"),"")</f>
        <v/>
      </c>
      <c r="CU41" s="246" t="str">
        <f>IFERROR(__xludf.DUMMYFUNCTION("IF(REGEXMATCH($C41, ""M""), """",""M"")"),"")</f>
        <v/>
      </c>
      <c r="CV41" s="246" t="str">
        <f>IFERROR(__xludf.DUMMYFUNCTION("IF(REGEXMATCH($C41, ""P""), """",""P"")"),"")</f>
        <v/>
      </c>
      <c r="CW41" s="246" t="str">
        <f>IFERROR(__xludf.DUMMYFUNCTION("IF(REGEXMATCH($C41, ""d""), """",""d"")"),"")</f>
        <v/>
      </c>
      <c r="CX41" s="246" t="str">
        <f>IFERROR(__xludf.DUMMYFUNCTION("IF(REGEXMATCH($C41, ""D""), """",""D"")"),"")</f>
        <v/>
      </c>
      <c r="CY41" s="246" t="str">
        <f>IFERROR(__xludf.DUMMYFUNCTION("IF(REGEXMATCH($C41, ""n""), """",""n"")"),"")</f>
        <v/>
      </c>
      <c r="CZ41" s="246" t="str">
        <f>IFERROR(__xludf.DUMMYFUNCTION("IF(REGEXMATCH($C41, ""N""), """",""N"")"),"")</f>
        <v/>
      </c>
      <c r="DA41" s="246" t="str">
        <f>IFERROR(__xludf.DUMMYFUNCTION("IF(REGEXMATCH($C41, ""S""), ""S"",""S"")"),"S")</f>
        <v>S</v>
      </c>
      <c r="DB41" s="362" t="str">
        <f>IFERROR(__xludf.DUMMYFUNCTION("JOIN("""",CO41:DA41,"""","""")"),"SS")</f>
        <v>SS</v>
      </c>
      <c r="DC41" s="363"/>
      <c r="DD41" s="301" t="str">
        <f t="shared" si="35"/>
        <v>#REF!</v>
      </c>
      <c r="DE41" s="302" t="str">
        <f t="shared" si="36"/>
        <v>#REF!</v>
      </c>
      <c r="DF41" s="301" t="str">
        <f t="shared" ref="DF41:DG41" si="275">SUBSTITUTE(S41,"-","")</f>
        <v>SRGM</v>
      </c>
      <c r="DG41" s="301" t="str">
        <f t="shared" si="275"/>
        <v>PDNS</v>
      </c>
      <c r="DH41" s="302" t="str">
        <f t="shared" si="38"/>
        <v>(n/a)</v>
      </c>
      <c r="DI41" s="301" t="str">
        <f t="shared" si="39"/>
        <v>Hemi.</v>
      </c>
      <c r="DJ41" s="364" t="str">
        <f t="shared" si="40"/>
        <v>CCC.</v>
      </c>
      <c r="DK41" s="306" t="str">
        <f t="shared" si="41"/>
        <v>-</v>
      </c>
      <c r="DL41" s="366" t="str">
        <f t="shared" si="42"/>
        <v>-</v>
      </c>
      <c r="DM41" s="308" t="str">
        <f t="shared" si="43"/>
        <v>✔</v>
      </c>
      <c r="DN41" s="306" t="str">
        <f t="shared" si="44"/>
        <v>-</v>
      </c>
      <c r="DO41" s="306" t="str">
        <f t="shared" si="45"/>
        <v>-</v>
      </c>
      <c r="DP41" s="367" t="str">
        <f t="shared" si="46"/>
        <v>-</v>
      </c>
      <c r="DQ41" s="310" t="str">
        <f t="shared" si="47"/>
        <v>✔</v>
      </c>
      <c r="DR41" s="310" t="str">
        <f t="shared" si="48"/>
        <v>✔</v>
      </c>
      <c r="DS41" s="310" t="str">
        <f t="shared" si="49"/>
        <v>✔</v>
      </c>
      <c r="DT41" s="310" t="str">
        <f t="shared" si="50"/>
        <v>✔</v>
      </c>
      <c r="DU41" s="370" t="str">
        <f t="shared" si="51"/>
        <v>✔</v>
      </c>
      <c r="DV41" s="306" t="str">
        <f t="shared" si="52"/>
        <v>-</v>
      </c>
      <c r="DW41" s="306" t="str">
        <f t="shared" si="53"/>
        <v>-</v>
      </c>
      <c r="DX41" s="306" t="str">
        <f t="shared" si="54"/>
        <v>-</v>
      </c>
      <c r="DY41" s="306" t="str">
        <f t="shared" si="55"/>
        <v>-</v>
      </c>
      <c r="DZ41" s="306" t="str">
        <f t="shared" si="56"/>
        <v>-</v>
      </c>
      <c r="EA41" s="367" t="str">
        <f t="shared" si="57"/>
        <v>-</v>
      </c>
      <c r="EB41" s="310" t="str">
        <f>IFERROR(__xludf.DUMMYFUNCTION("IF(REGEXMATCH(AW41,AS41),""✔"",""-"")"),"✔")</f>
        <v>✔</v>
      </c>
      <c r="EC41" s="310" t="str">
        <f t="shared" si="58"/>
        <v>#REF!</v>
      </c>
      <c r="ED41" s="370" t="str">
        <f t="shared" si="59"/>
        <v>✔</v>
      </c>
      <c r="EE41" s="340" t="str">
        <f t="shared" si="60"/>
        <v>S-rR-gG-mM-P-dD-nN-S</v>
      </c>
      <c r="EF41" s="371" t="str">
        <f>IFERROR(__xludf.DUMMYFUNCTION("CONCATENATE(JOIN("""",HC41:HO41))"),"SrRgGmMPdDnNS")</f>
        <v>SrRgGmMPdDnNS</v>
      </c>
      <c r="EG41" s="372">
        <f t="shared" si="61"/>
        <v>0</v>
      </c>
      <c r="EH41" s="373" t="str">
        <f>IFERROR(__xludf.DUMMYFUNCTION("CONCATENATE(JOIN("""",JC41:JO41))"),"")</f>
        <v/>
      </c>
      <c r="EI41" s="322">
        <f t="shared" si="62"/>
        <v>0</v>
      </c>
      <c r="EJ41" s="374" t="str">
        <f>IFERROR(__xludf.DUMMYFUNCTION("CONCATENATE(JOIN("""",KC41:KO41))"),"")</f>
        <v/>
      </c>
      <c r="EK41" s="325" t="str">
        <f t="shared" si="63"/>
        <v>S-R1-R2-G2-G3-M1-M2-P-D1-D2-N2-N3-S</v>
      </c>
      <c r="EL41" s="326" t="str">
        <f t="shared" si="64"/>
        <v>1-b2-2-b3-3-4-#4-5-b6-6-b7-7-8</v>
      </c>
      <c r="EM41" s="318" t="str">
        <f t="shared" si="65"/>
        <v>#REF!</v>
      </c>
      <c r="EN41" s="328" t="str">
        <f>IFERROR(__xludf.DUMMYFUNCTION("SUBSTITUTE(SUBSTITUTE(SUBSTITUTE(SUBSTITUTE(CONCATENATE(JOIN("" "",HP41:IB41)),""  "","" ""),""  "","" ""),""  "","" ""),""  "","" "")"),"o o o o o o o o o o o o o")</f>
        <v>o o o o o o o o o o o o o</v>
      </c>
      <c r="EO41" s="368" t="str">
        <f t="shared" si="66"/>
        <v>-</v>
      </c>
      <c r="EP41" s="339" t="str">
        <f t="shared" si="67"/>
        <v>-</v>
      </c>
      <c r="EQ41" s="339" t="str">
        <f t="shared" si="68"/>
        <v>Sa-Pa</v>
      </c>
      <c r="ER41" s="339" t="str">
        <f t="shared" si="69"/>
        <v>-</v>
      </c>
      <c r="ES41" s="340" t="str">
        <f t="shared" si="70"/>
        <v>-</v>
      </c>
      <c r="ET41" s="363"/>
      <c r="EU41" s="376" t="b">
        <f>IFERROR(__xludf.DUMMYFUNCTION("arrayformula(sum(--REGEXMATCH(""SRGMPDNS"",split(REGEXREPLACE(C41,""(.)"",""$1~""),""~""))))=len(C41)
"),FALSE)</f>
        <v>0</v>
      </c>
      <c r="EV41" s="290" t="b">
        <f>IFERROR(__xludf.DUMMYFUNCTION("arrayformula(sum(--REGEXMATCH(""SRGmPDNS"",split(REGEXREPLACE(C41,""(.)"",""$1~""),""~""))))=len(C41)"),FALSE)</f>
        <v>0</v>
      </c>
      <c r="EW41" s="290" t="b">
        <f>IFERROR(__xludf.DUMMYFUNCTION("arrayformula(sum(--REGEXMATCH(""SRGmPDnS"",split(REGEXREPLACE(C41,""(.)"",""$1~""),""~""))))=len(C41)"),FALSE)</f>
        <v>0</v>
      </c>
      <c r="EX41" s="290" t="b">
        <f>IFERROR(__xludf.DUMMYFUNCTION("arrayformula(sum(--REGEXMATCH(""SRgmPDnS"",split(REGEXREPLACE(C41,""(.)"",""$1~""),""~""))))=len(C41)"),FALSE)</f>
        <v>0</v>
      </c>
      <c r="EY41" s="290" t="b">
        <f>IFERROR(__xludf.DUMMYFUNCTION("arrayformula(sum(--REGEXMATCH(""SRgmPdnS"",split(REGEXREPLACE(C41,""(.)"",""$1~""),""~""))))=len(C41)"),FALSE)</f>
        <v>0</v>
      </c>
      <c r="EZ41" s="290" t="b">
        <f>IFERROR(__xludf.DUMMYFUNCTION("arrayformula(sum(--REGEXMATCH(""SrgmPdnS"",split(REGEXREPLACE(C41,""(.)"",""$1~""),""~""))))=len(C41)"),FALSE)</f>
        <v>0</v>
      </c>
      <c r="FA41" s="290" t="b">
        <f>IFERROR(__xludf.DUMMYFUNCTION("arrayformula(sum(--REGEXMATCH(""SrGmPdNS"",split(REGEXREPLACE(C41,""(.)"",""$1~""),""~""))))=len(C41)"),FALSE)</f>
        <v>0</v>
      </c>
      <c r="FB41" s="290" t="b">
        <f>IFERROR(__xludf.DUMMYFUNCTION("arrayformula(sum(--REGEXMATCH(""SrGMPDNS"",split(REGEXREPLACE(C41,""(.)"",""$1~""),""~""))))=len(C41)"),FALSE)</f>
        <v>0</v>
      </c>
      <c r="FC41" s="290" t="b">
        <f>IFERROR(__xludf.DUMMYFUNCTION("arrayformula(sum(--REGEXMATCH(""SrGMPdNS"",split(REGEXREPLACE(C41,""(.)"",""$1~""),""~""))))=len(C41)"),FALSE)</f>
        <v>0</v>
      </c>
      <c r="FD41" s="377" t="b">
        <f>IFERROR(__xludf.DUMMYFUNCTION("arrayformula(sum(--REGEXMATCH(""SrgMPdNS"",split(REGEXREPLACE(C41,""(.)"",""$1~""),""~""))))=len(C41)"),FALSE)</f>
        <v>0</v>
      </c>
      <c r="FE41" s="269" t="str">
        <f t="shared" si="71"/>
        <v>xxxxxxxxxxx</v>
      </c>
      <c r="FF41" s="269" t="str">
        <f t="shared" si="72"/>
        <v>xxxxxxxxxxx</v>
      </c>
      <c r="FG41" s="271" t="str">
        <f t="shared" si="73"/>
        <v>xxxxxxxxxxx</v>
      </c>
      <c r="FH41" s="269" t="str">
        <f t="shared" si="74"/>
        <v>xxxxxxxxxxx</v>
      </c>
      <c r="FI41" s="271" t="str">
        <f t="shared" si="75"/>
        <v>xxxxxxxxxxx</v>
      </c>
      <c r="FJ41" s="271" t="str">
        <f t="shared" si="76"/>
        <v>xxxxxxxxxxx</v>
      </c>
      <c r="FK41" s="271" t="str">
        <f t="shared" si="77"/>
        <v>xxxxxxxxxxx</v>
      </c>
      <c r="FL41" s="271" t="str">
        <f t="shared" si="78"/>
        <v>xxxxxxxxxxx</v>
      </c>
      <c r="FM41" s="271" t="str">
        <f t="shared" si="79"/>
        <v>xxxxxxxxxxx</v>
      </c>
      <c r="FN41" s="271" t="str">
        <f t="shared" si="80"/>
        <v>xxxxxxxxxxx</v>
      </c>
      <c r="FO41" s="274" t="str">
        <f t="shared" si="81"/>
        <v>xxxxxxxxxxx</v>
      </c>
      <c r="FP41" s="234" t="str">
        <f t="shared" si="82"/>
        <v>|</v>
      </c>
      <c r="FQ41" s="236" t="str">
        <f t="shared" si="83"/>
        <v>|</v>
      </c>
      <c r="FR41" s="237" t="str">
        <f t="shared" si="84"/>
        <v>|</v>
      </c>
      <c r="FS41" s="236" t="str">
        <f t="shared" si="85"/>
        <v>|</v>
      </c>
      <c r="FT41" s="237" t="str">
        <f t="shared" si="86"/>
        <v>|</v>
      </c>
      <c r="FU41" s="236" t="str">
        <f t="shared" si="87"/>
        <v>|</v>
      </c>
      <c r="FV41" s="237" t="str">
        <f t="shared" si="88"/>
        <v>|</v>
      </c>
      <c r="FW41" s="236" t="str">
        <f t="shared" si="89"/>
        <v>|</v>
      </c>
      <c r="FX41" s="237" t="str">
        <f t="shared" si="90"/>
        <v>|</v>
      </c>
      <c r="FY41" s="236" t="str">
        <f t="shared" si="91"/>
        <v>|</v>
      </c>
      <c r="FZ41" s="237" t="str">
        <f t="shared" si="92"/>
        <v>|</v>
      </c>
      <c r="GA41" s="236" t="str">
        <f t="shared" si="93"/>
        <v>|</v>
      </c>
      <c r="GB41" s="238" t="str">
        <f t="shared" si="94"/>
        <v>|</v>
      </c>
      <c r="GC41" s="244" t="str">
        <f>IFERROR(__xludf.DUMMYFUNCTION("IF(REGEXMATCH(C41, ""S""), ""1"","""")"),"1")</f>
        <v>1</v>
      </c>
      <c r="GD41" s="245" t="str">
        <f>IFERROR(__xludf.DUMMYFUNCTION("IF(REGEXMATCH(C41, ""r""), ""b2"","""")"),"b2")</f>
        <v>b2</v>
      </c>
      <c r="GE41" s="246" t="str">
        <f>IFERROR(__xludf.DUMMYFUNCTION("IF(REGEXMATCH(C41, ""R""), ""2"","""")"),"2")</f>
        <v>2</v>
      </c>
      <c r="GF41" s="246" t="str">
        <f>IFERROR(__xludf.DUMMYFUNCTION("IF(REGEXMATCH(C41, ""g""), ""b3"","""")"),"b3")</f>
        <v>b3</v>
      </c>
      <c r="GG41" s="245" t="str">
        <f>IFERROR(__xludf.DUMMYFUNCTION("IF(REGEXMATCH(C41, ""G""), ""3"","""")"),"3")</f>
        <v>3</v>
      </c>
      <c r="GH41" s="245" t="str">
        <f>IFERROR(__xludf.DUMMYFUNCTION("IF(REGEXMATCH(C41, ""m""), ""4"","""")"),"4")</f>
        <v>4</v>
      </c>
      <c r="GI41" s="246" t="str">
        <f>IFERROR(__xludf.DUMMYFUNCTION("IF(REGEXMATCH(C41, ""M""), ""#4"","""")"),"#4")</f>
        <v>#4</v>
      </c>
      <c r="GJ41" s="245" t="str">
        <f>IFERROR(__xludf.DUMMYFUNCTION("IF(REGEXMATCH(C41, ""P""), ""5"","""")"),"5")</f>
        <v>5</v>
      </c>
      <c r="GK41" s="246" t="str">
        <f>IFERROR(__xludf.DUMMYFUNCTION("IF(REGEXMATCH(C41, ""d""), ""b6"","""")"),"b6")</f>
        <v>b6</v>
      </c>
      <c r="GL41" s="245" t="str">
        <f>IFERROR(__xludf.DUMMYFUNCTION("IF(REGEXMATCH(C41, ""D""), ""6"","""")"),"6")</f>
        <v>6</v>
      </c>
      <c r="GM41" s="245" t="str">
        <f>IFERROR(__xludf.DUMMYFUNCTION("IF(REGEXMATCH(C41, ""n""), ""b7"","""")"),"b7")</f>
        <v>b7</v>
      </c>
      <c r="GN41" s="246" t="str">
        <f>IFERROR(__xludf.DUMMYFUNCTION("IF(REGEXMATCH(C41, ""N""), ""7"","""")"),"7")</f>
        <v>7</v>
      </c>
      <c r="GO41" s="249" t="str">
        <f>IFERROR(__xludf.DUMMYFUNCTION("IF(REGEXMATCH(C41, ""S""), ""8"","""")"),"8")</f>
        <v>8</v>
      </c>
      <c r="GP41" s="244" t="str">
        <f>IFERROR(__xludf.DUMMYFUNCTION("IF(REGEXMATCH(C41, ""S""), ""S"","""")"),"S")</f>
        <v>S</v>
      </c>
      <c r="GQ41" s="294" t="str">
        <f>IFERROR(__xludf.DUMMYFUNCTION("IF(REGEXMATCH(C41, ""r""), ""R1"","""")"),"R1")</f>
        <v>R1</v>
      </c>
      <c r="GR41" s="295" t="str">
        <f>IFERROR(__xludf.DUMMYFUNCTION("IF(REGEXMATCH(C41, ""R""), ""R2"","""")"),"R2")</f>
        <v>R2</v>
      </c>
      <c r="GS41" s="295" t="str">
        <f>IFERROR(__xludf.DUMMYFUNCTION("IF(REGEXMATCH(C41, ""g""), ""G2"","""")"),"G2")</f>
        <v>G2</v>
      </c>
      <c r="GT41" s="294" t="str">
        <f>IFERROR(__xludf.DUMMYFUNCTION("IF(REGEXMATCH(C41, ""G""), ""G3"","""")"),"G3")</f>
        <v>G3</v>
      </c>
      <c r="GU41" s="294" t="str">
        <f>IFERROR(__xludf.DUMMYFUNCTION("IF(REGEXMATCH(C41, ""m""), ""M1"","""")"),"M1")</f>
        <v>M1</v>
      </c>
      <c r="GV41" s="295" t="str">
        <f>IFERROR(__xludf.DUMMYFUNCTION("IF(REGEXMATCH(C41, ""M""), ""M2"","""")"),"M2")</f>
        <v>M2</v>
      </c>
      <c r="GW41" s="294" t="str">
        <f>IFERROR(__xludf.DUMMYFUNCTION("IF(REGEXMATCH(C41, ""P""), ""P"","""")"),"P")</f>
        <v>P</v>
      </c>
      <c r="GX41" s="295" t="str">
        <f>IFERROR(__xludf.DUMMYFUNCTION("IF(REGEXMATCH(C41, ""d""), ""D1"","""")"),"D1")</f>
        <v>D1</v>
      </c>
      <c r="GY41" s="294" t="str">
        <f>IFERROR(__xludf.DUMMYFUNCTION("IF(REGEXMATCH(C41, ""D""), ""D2"","""")"),"D2")</f>
        <v>D2</v>
      </c>
      <c r="GZ41" s="294" t="str">
        <f>IFERROR(__xludf.DUMMYFUNCTION("IF(REGEXMATCH(C41, ""n""), ""N2"","""")"),"N2")</f>
        <v>N2</v>
      </c>
      <c r="HA41" s="295" t="str">
        <f>IFERROR(__xludf.DUMMYFUNCTION("IF(REGEXMATCH(C41, ""N""), ""N3"","""")"),"N3")</f>
        <v>N3</v>
      </c>
      <c r="HB41" s="249" t="str">
        <f>IFERROR(__xludf.DUMMYFUNCTION("IF(REGEXMATCH(C41, ""S""), ""S"","""")"),"S")</f>
        <v>S</v>
      </c>
      <c r="HC41" s="331" t="str">
        <f t="shared" si="95"/>
        <v>S</v>
      </c>
      <c r="HD41" s="332" t="str">
        <f t="shared" si="96"/>
        <v>r</v>
      </c>
      <c r="HE41" s="332" t="str">
        <f t="shared" si="97"/>
        <v>R</v>
      </c>
      <c r="HF41" s="332" t="str">
        <f t="shared" si="98"/>
        <v>g</v>
      </c>
      <c r="HG41" s="332" t="str">
        <f t="shared" si="99"/>
        <v>G</v>
      </c>
      <c r="HH41" s="332" t="str">
        <f t="shared" si="100"/>
        <v>m</v>
      </c>
      <c r="HI41" s="332" t="str">
        <f t="shared" si="101"/>
        <v>M</v>
      </c>
      <c r="HJ41" s="332" t="str">
        <f t="shared" si="102"/>
        <v>P</v>
      </c>
      <c r="HK41" s="332" t="str">
        <f t="shared" si="103"/>
        <v>d</v>
      </c>
      <c r="HL41" s="332" t="str">
        <f t="shared" si="104"/>
        <v>D</v>
      </c>
      <c r="HM41" s="332" t="str">
        <f t="shared" si="105"/>
        <v>n</v>
      </c>
      <c r="HN41" s="332" t="str">
        <f t="shared" si="106"/>
        <v>N</v>
      </c>
      <c r="HO41" s="343" t="str">
        <f t="shared" si="107"/>
        <v>S</v>
      </c>
      <c r="HP41" s="331" t="str">
        <f t="shared" si="108"/>
        <v>o</v>
      </c>
      <c r="HQ41" s="332" t="str">
        <f t="shared" si="109"/>
        <v>o</v>
      </c>
      <c r="HR41" s="332" t="str">
        <f t="shared" si="110"/>
        <v>o</v>
      </c>
      <c r="HS41" s="332" t="str">
        <f t="shared" si="111"/>
        <v>o</v>
      </c>
      <c r="HT41" s="332" t="str">
        <f t="shared" si="112"/>
        <v>o</v>
      </c>
      <c r="HU41" s="332" t="str">
        <f t="shared" si="113"/>
        <v>o</v>
      </c>
      <c r="HV41" s="332" t="str">
        <f t="shared" si="114"/>
        <v>o</v>
      </c>
      <c r="HW41" s="332" t="str">
        <f t="shared" si="115"/>
        <v>o</v>
      </c>
      <c r="HX41" s="332" t="str">
        <f t="shared" si="116"/>
        <v>o</v>
      </c>
      <c r="HY41" s="332" t="str">
        <f t="shared" si="117"/>
        <v>o</v>
      </c>
      <c r="HZ41" s="332" t="str">
        <f t="shared" si="118"/>
        <v>o</v>
      </c>
      <c r="IA41" s="332" t="str">
        <f t="shared" si="119"/>
        <v>o</v>
      </c>
      <c r="IB41" s="338" t="str">
        <f t="shared" si="120"/>
        <v>o</v>
      </c>
      <c r="IC41" s="331" t="str">
        <f t="shared" si="121"/>
        <v>•</v>
      </c>
      <c r="ID41" s="332" t="str">
        <f t="shared" si="122"/>
        <v>•</v>
      </c>
      <c r="IE41" s="332" t="str">
        <f t="shared" si="123"/>
        <v>•</v>
      </c>
      <c r="IF41" s="332" t="str">
        <f t="shared" si="124"/>
        <v>•</v>
      </c>
      <c r="IG41" s="332" t="str">
        <f t="shared" si="125"/>
        <v>•</v>
      </c>
      <c r="IH41" s="332" t="str">
        <f t="shared" si="126"/>
        <v>•</v>
      </c>
      <c r="II41" s="332" t="str">
        <f t="shared" si="127"/>
        <v>•</v>
      </c>
      <c r="IJ41" s="332" t="str">
        <f t="shared" si="128"/>
        <v>•</v>
      </c>
      <c r="IK41" s="332" t="str">
        <f t="shared" si="129"/>
        <v>•</v>
      </c>
      <c r="IL41" s="332" t="str">
        <f t="shared" si="130"/>
        <v>•</v>
      </c>
      <c r="IM41" s="332" t="str">
        <f t="shared" si="131"/>
        <v>•</v>
      </c>
      <c r="IN41" s="332" t="str">
        <f t="shared" si="132"/>
        <v>•</v>
      </c>
      <c r="IO41" s="338" t="str">
        <f t="shared" si="133"/>
        <v>•</v>
      </c>
      <c r="IP41" s="346" t="b">
        <f t="shared" si="134"/>
        <v>0</v>
      </c>
      <c r="IQ41" s="347" t="b">
        <f t="shared" si="135"/>
        <v>0</v>
      </c>
      <c r="IR41" s="347" t="b">
        <f t="shared" si="136"/>
        <v>0</v>
      </c>
      <c r="IS41" s="347" t="b">
        <f t="shared" si="137"/>
        <v>0</v>
      </c>
      <c r="IT41" s="347" t="b">
        <f t="shared" si="138"/>
        <v>0</v>
      </c>
      <c r="IU41" s="347" t="b">
        <f t="shared" si="139"/>
        <v>0</v>
      </c>
      <c r="IV41" s="347" t="b">
        <f t="shared" si="140"/>
        <v>0</v>
      </c>
      <c r="IW41" s="347" t="b">
        <f t="shared" si="141"/>
        <v>0</v>
      </c>
      <c r="IX41" s="347" t="b">
        <f t="shared" si="142"/>
        <v>0</v>
      </c>
      <c r="IY41" s="347" t="b">
        <f t="shared" si="143"/>
        <v>0</v>
      </c>
      <c r="IZ41" s="347" t="b">
        <f t="shared" si="144"/>
        <v>0</v>
      </c>
      <c r="JA41" s="347" t="b">
        <f t="shared" si="145"/>
        <v>0</v>
      </c>
      <c r="JB41" s="353" t="b">
        <f t="shared" si="146"/>
        <v>0</v>
      </c>
      <c r="JC41" s="354" t="str">
        <f t="shared" si="147"/>
        <v/>
      </c>
      <c r="JD41" s="355" t="str">
        <f t="shared" si="148"/>
        <v/>
      </c>
      <c r="JE41" s="355" t="str">
        <f t="shared" si="149"/>
        <v/>
      </c>
      <c r="JF41" s="355" t="str">
        <f t="shared" si="150"/>
        <v/>
      </c>
      <c r="JG41" s="355" t="str">
        <f t="shared" si="151"/>
        <v/>
      </c>
      <c r="JH41" s="355" t="str">
        <f t="shared" si="152"/>
        <v/>
      </c>
      <c r="JI41" s="355" t="str">
        <f t="shared" si="153"/>
        <v/>
      </c>
      <c r="JJ41" s="355" t="str">
        <f t="shared" si="154"/>
        <v/>
      </c>
      <c r="JK41" s="355" t="str">
        <f t="shared" si="155"/>
        <v/>
      </c>
      <c r="JL41" s="355" t="str">
        <f t="shared" si="156"/>
        <v/>
      </c>
      <c r="JM41" s="355" t="str">
        <f t="shared" si="157"/>
        <v/>
      </c>
      <c r="JN41" s="355" t="str">
        <f t="shared" si="158"/>
        <v/>
      </c>
      <c r="JO41" s="359" t="str">
        <f t="shared" si="159"/>
        <v/>
      </c>
      <c r="JP41" s="346" t="b">
        <f t="shared" si="160"/>
        <v>0</v>
      </c>
      <c r="JQ41" s="347" t="b">
        <f t="shared" si="161"/>
        <v>0</v>
      </c>
      <c r="JR41" s="347" t="b">
        <f t="shared" si="162"/>
        <v>0</v>
      </c>
      <c r="JS41" s="347" t="b">
        <f t="shared" si="163"/>
        <v>0</v>
      </c>
      <c r="JT41" s="347" t="b">
        <f t="shared" si="164"/>
        <v>0</v>
      </c>
      <c r="JU41" s="347" t="b">
        <f t="shared" si="165"/>
        <v>0</v>
      </c>
      <c r="JV41" s="347" t="b">
        <f t="shared" si="166"/>
        <v>0</v>
      </c>
      <c r="JW41" s="347" t="b">
        <f t="shared" si="167"/>
        <v>0</v>
      </c>
      <c r="JX41" s="347" t="b">
        <f t="shared" si="168"/>
        <v>0</v>
      </c>
      <c r="JY41" s="347" t="b">
        <f t="shared" si="169"/>
        <v>0</v>
      </c>
      <c r="JZ41" s="347" t="b">
        <f t="shared" si="170"/>
        <v>0</v>
      </c>
      <c r="KA41" s="347" t="b">
        <f t="shared" si="171"/>
        <v>0</v>
      </c>
      <c r="KB41" s="365" t="b">
        <f t="shared" si="172"/>
        <v>0</v>
      </c>
      <c r="KC41" s="354" t="str">
        <f t="shared" si="173"/>
        <v/>
      </c>
      <c r="KD41" s="355" t="str">
        <f t="shared" si="174"/>
        <v/>
      </c>
      <c r="KE41" s="355" t="str">
        <f t="shared" si="175"/>
        <v/>
      </c>
      <c r="KF41" s="355" t="str">
        <f t="shared" si="176"/>
        <v/>
      </c>
      <c r="KG41" s="355" t="str">
        <f t="shared" si="177"/>
        <v/>
      </c>
      <c r="KH41" s="355" t="str">
        <f t="shared" si="178"/>
        <v/>
      </c>
      <c r="KI41" s="355" t="str">
        <f t="shared" si="179"/>
        <v/>
      </c>
      <c r="KJ41" s="355" t="str">
        <f t="shared" si="180"/>
        <v/>
      </c>
      <c r="KK41" s="355" t="str">
        <f t="shared" si="181"/>
        <v/>
      </c>
      <c r="KL41" s="355" t="str">
        <f t="shared" si="182"/>
        <v/>
      </c>
      <c r="KM41" s="355" t="str">
        <f t="shared" si="183"/>
        <v/>
      </c>
      <c r="KN41" s="355" t="str">
        <f t="shared" si="184"/>
        <v/>
      </c>
      <c r="KO41" s="359"/>
      <c r="KP41" s="378"/>
      <c r="KQ41" s="379" t="s">
        <v>9</v>
      </c>
      <c r="KR41" s="380" t="s">
        <v>9</v>
      </c>
      <c r="KS41" s="381" t="s">
        <v>9</v>
      </c>
      <c r="KT41" s="382">
        <f t="shared" si="186"/>
        <v>0</v>
      </c>
      <c r="KU41" s="383">
        <f t="shared" si="187"/>
        <v>0</v>
      </c>
      <c r="KV41" s="381" t="str">
        <f t="shared" si="205"/>
        <v>S</v>
      </c>
      <c r="KW41" s="382">
        <f t="shared" si="189"/>
        <v>0</v>
      </c>
      <c r="KX41" s="384">
        <f t="shared" si="190"/>
        <v>0</v>
      </c>
      <c r="KY41" s="382">
        <f t="shared" ref="KY41:KZ41" si="276">KW41-KT41</f>
        <v>0</v>
      </c>
      <c r="KZ41" s="369">
        <f t="shared" si="276"/>
        <v>0</v>
      </c>
      <c r="LA41" s="385" t="str">
        <f t="shared" si="192"/>
        <v>✔</v>
      </c>
      <c r="LB41" s="340" t="str">
        <f>IFERROR(__xludf.DUMMYFUNCTION("JOIN("""",ArrayFormula(MID(KS41,LEN(KS41)-SEQUENCE(1,LEN(KS41))+1,1)))"),"S")</f>
        <v>S</v>
      </c>
      <c r="LC41" s="373" t="str">
        <f>IFERROR(__xludf.DUMMYFUNCTION("JOIN("""",ArrayFormula(MID(KV41,LEN(KV41)-SEQUENCE(1,LEN(KV41))+1,1)))"),"S")</f>
        <v>S</v>
      </c>
      <c r="LD41" s="373" t="str">
        <f t="shared" si="193"/>
        <v>S</v>
      </c>
      <c r="LE41" s="339" t="str">
        <f t="shared" si="194"/>
        <v>S</v>
      </c>
      <c r="LF41" s="386" t="str">
        <f>IFERROR(__xludf.DUMMYFUNCTION("SUBSTITUTE(SUBSTITUTE(CONCATENATE(JOIN("""",LH41:LT41)),""1"",""""),""2"","""")"),"SS")</f>
        <v>SS</v>
      </c>
      <c r="LG41" s="369" t="str">
        <f t="shared" si="195"/>
        <v>-</v>
      </c>
      <c r="LH41" s="387" t="str">
        <f>IFERROR(__xludf.DUMMYFUNCTION("IF(REGEXMATCH(LD41, ""S""), ""S"",IF(REGEXMATCH(LE41, ""S""), ""S"",""""))"),"S")</f>
        <v>S</v>
      </c>
      <c r="LI41" s="299" t="str">
        <f>IFERROR(__xludf.DUMMYFUNCTION("IF(REGEXMATCH(LD41, ""r""), ""r1"",IF(REGEXMATCH(LE41, ""r""), ""r2"",""""))"),"")</f>
        <v/>
      </c>
      <c r="LJ41" s="299" t="str">
        <f>IFERROR(__xludf.DUMMYFUNCTION("IF(REGEXMATCH(LD41, ""R""), ""R1"",IF(REGEXMATCH(LE41, ""R""), ""R2"",""""))"),"")</f>
        <v/>
      </c>
      <c r="LK41" s="299" t="str">
        <f>IFERROR(__xludf.DUMMYFUNCTION("IF(REGEXMATCH(LD41, ""g""), ""g1"",IF(REGEXMATCH(LE41, ""g""), ""g2"",""""))"),"")</f>
        <v/>
      </c>
      <c r="LL41" s="299" t="str">
        <f>IFERROR(__xludf.DUMMYFUNCTION("IF(REGEXMATCH(LD41, ""G""), ""G1"",IF(REGEXMATCH(LE41, ""G""), ""G2"",""""))"),"")</f>
        <v/>
      </c>
      <c r="LM41" s="299" t="str">
        <f>IFERROR(__xludf.DUMMYFUNCTION("IF(REGEXMATCH(LD41, ""m""), ""m1"",IF(REGEXMATCH(LE41, ""m""), ""m2"",""""))"),"")</f>
        <v/>
      </c>
      <c r="LN41" s="299" t="str">
        <f>IFERROR(__xludf.DUMMYFUNCTION("IF(REGEXMATCH(LD41, ""M""), ""M1"",IF(REGEXMATCH(LE41, ""M""), ""M2"",""""))"),"")</f>
        <v/>
      </c>
      <c r="LO41" s="299" t="str">
        <f>IFERROR(__xludf.DUMMYFUNCTION("IF(REGEXMATCH(LD41, ""P""), ""P1"",IF(REGEXMATCH(LE41, ""P""), ""P2"",""""))"),"")</f>
        <v/>
      </c>
      <c r="LP41" s="299" t="str">
        <f>IFERROR(__xludf.DUMMYFUNCTION("IF(REGEXMATCH(LD41, ""d""), ""d1"",IF(REGEXMATCH(LE41, ""d""), ""d2"",""""))"),"")</f>
        <v/>
      </c>
      <c r="LQ41" s="299" t="str">
        <f>IFERROR(__xludf.DUMMYFUNCTION("IF(REGEXMATCH(LD41, ""D""), ""D1"",IF(REGEXMATCH(LE41, ""D""), ""D2"",""""))"),"")</f>
        <v/>
      </c>
      <c r="LR41" s="299" t="str">
        <f>IFERROR(__xludf.DUMMYFUNCTION("IF(REGEXMATCH(LD41, ""n""), ""n1"",IF(REGEXMATCH(LE41, ""n""), ""n2"",""""))"),"")</f>
        <v/>
      </c>
      <c r="LS41" s="299" t="str">
        <f>IFERROR(__xludf.DUMMYFUNCTION("IF(REGEXMATCH(LD41, ""N""), ""N1"",IF(REGEXMATCH(LE41, ""N""), ""N2"",""""))"),"")</f>
        <v/>
      </c>
      <c r="LT41" s="388" t="str">
        <f>IFERROR(__xludf.DUMMYFUNCTION("IF(REGEXMATCH(LD41, ""S""), ""S"",IF(REGEXMATCH(LE41, ""S""), ""S"",""""))"),"S")</f>
        <v>S</v>
      </c>
      <c r="LU41" s="389">
        <f t="shared" si="196"/>
        <v>1</v>
      </c>
      <c r="LV41" s="378"/>
      <c r="LW41" s="369"/>
      <c r="LX41" s="369"/>
    </row>
    <row r="42" ht="20.25" customHeight="1">
      <c r="A42" s="298" t="s">
        <v>585</v>
      </c>
      <c r="B42" s="222" t="s">
        <v>586</v>
      </c>
      <c r="C42" s="233" t="str">
        <f t="shared" si="7"/>
        <v>SrGmPdnS</v>
      </c>
      <c r="D42" s="234" t="str">
        <f>IFERROR(__xludf.DUMMYFUNCTION("IF(REGEXMATCH(C42, ""S""), ""S"","""")"),"S")</f>
        <v>S</v>
      </c>
      <c r="E42" s="236" t="str">
        <f>IFERROR(__xludf.DUMMYFUNCTION("IF(REGEXMATCH(C42, ""r""), ""r"","""")"),"r")</f>
        <v>r</v>
      </c>
      <c r="F42" s="237" t="str">
        <f>IFERROR(__xludf.DUMMYFUNCTION("IF(REGEXMATCH(C42, ""R""), ""R"","""")"),"")</f>
        <v/>
      </c>
      <c r="G42" s="237" t="str">
        <f>IFERROR(__xludf.DUMMYFUNCTION("IF(REGEXMATCH(C42, ""g""), ""g"","""")"),"")</f>
        <v/>
      </c>
      <c r="H42" s="236" t="str">
        <f>IFERROR(__xludf.DUMMYFUNCTION("IF(REGEXMATCH(C42, ""G""), ""G"","""")"),"G")</f>
        <v>G</v>
      </c>
      <c r="I42" s="236" t="str">
        <f>IFERROR(__xludf.DUMMYFUNCTION("IF(REGEXMATCH(C42, ""m""), ""m"","""")"),"m")</f>
        <v>m</v>
      </c>
      <c r="J42" s="237" t="str">
        <f>IFERROR(__xludf.DUMMYFUNCTION("IF(REGEXMATCH(C42, ""M""), ""M"","""")"),"")</f>
        <v/>
      </c>
      <c r="K42" s="236" t="str">
        <f>IFERROR(__xludf.DUMMYFUNCTION("IF(REGEXMATCH(C42, ""P""), ""P"","""")"),"P")</f>
        <v>P</v>
      </c>
      <c r="L42" s="237" t="str">
        <f>IFERROR(__xludf.DUMMYFUNCTION("IF(REGEXMATCH(C42, ""d""), ""d"","""")"),"d")</f>
        <v>d</v>
      </c>
      <c r="M42" s="236" t="str">
        <f>IFERROR(__xludf.DUMMYFUNCTION("IF(REGEXMATCH(C42, ""D""), ""D"","""")"),"")</f>
        <v/>
      </c>
      <c r="N42" s="236" t="str">
        <f>IFERROR(__xludf.DUMMYFUNCTION("IF(REGEXMATCH(C42, ""n""), ""n"","""")"),"n")</f>
        <v>n</v>
      </c>
      <c r="O42" s="237" t="str">
        <f>IFERROR(__xludf.DUMMYFUNCTION("IF(REGEXMATCH(C42, ""N""), ""N"","""")"),"")</f>
        <v/>
      </c>
      <c r="P42" s="238" t="str">
        <f>IFERROR(__xludf.DUMMYFUNCTION("IF(REGEXMATCH(C42, ""S""), ""S"","""")"),"S")</f>
        <v>S</v>
      </c>
      <c r="Q42" s="239" t="str">
        <f>IFERROR(__xludf.DUMMYFUNCTION("SUBSTITUTE(CONCATENATE(JOIN(""-"",D42:J42)),""-"","""")"),"SrGm")</f>
        <v>SrGm</v>
      </c>
      <c r="R42" s="229" t="str">
        <f>IFERROR(__xludf.DUMMYFUNCTION("SUBSTITUTE(CONCATENATE(JOIN(""-"",K42:P42)),""-"","""")"),"PdnS")</f>
        <v>PdnS</v>
      </c>
      <c r="S42" s="282" t="str">
        <f t="shared" si="8"/>
        <v>S-R-G-M</v>
      </c>
      <c r="T42" s="282" t="str">
        <f t="shared" si="9"/>
        <v>P-D-N-S</v>
      </c>
      <c r="U42" s="237" t="str">
        <f>IFERROR(__xludf.DUMMYFUNCTION("SUBSTITUTE(JOIN(""-"",S42,T42),""--"",""-"")"),"S-R-G-M-P-D-N-S")</f>
        <v>S-R-G-M-P-D-N-S</v>
      </c>
      <c r="V42" s="309" t="str">
        <f t="shared" si="10"/>
        <v>rGmdn</v>
      </c>
      <c r="W42" s="244" t="str">
        <f>IFERROR(__xludf.DUMMYFUNCTION("IF(REGEXMATCH(C42, ""S""), ""0"","""")"),"0")</f>
        <v>0</v>
      </c>
      <c r="X42" s="245" t="str">
        <f>IFERROR(__xludf.DUMMYFUNCTION("IF(REGEXMATCH(C42, ""r""), ""1"","""")"),"1")</f>
        <v>1</v>
      </c>
      <c r="Y42" s="246" t="str">
        <f>IFERROR(__xludf.DUMMYFUNCTION("IF(REGEXMATCH(C42, ""R""), ""2"","""")"),"")</f>
        <v/>
      </c>
      <c r="Z42" s="246" t="str">
        <f>IFERROR(__xludf.DUMMYFUNCTION("IF(REGEXMATCH(C42, ""g""), ""3"","""")"),"")</f>
        <v/>
      </c>
      <c r="AA42" s="245" t="str">
        <f>IFERROR(__xludf.DUMMYFUNCTION("IF(REGEXMATCH(C42, ""G""), ""4"","""")"),"4")</f>
        <v>4</v>
      </c>
      <c r="AB42" s="245" t="str">
        <f>IFERROR(__xludf.DUMMYFUNCTION("IF(REGEXMATCH(C42, ""m""), ""5"","""")"),"5")</f>
        <v>5</v>
      </c>
      <c r="AC42" s="246" t="str">
        <f>IFERROR(__xludf.DUMMYFUNCTION("IF(REGEXMATCH(C42, ""M""), ""6"","""")"),"")</f>
        <v/>
      </c>
      <c r="AD42" s="245" t="str">
        <f>IFERROR(__xludf.DUMMYFUNCTION("IF(REGEXMATCH(C42, ""P""), ""7"","""")"),"7")</f>
        <v>7</v>
      </c>
      <c r="AE42" s="246" t="str">
        <f>IFERROR(__xludf.DUMMYFUNCTION("IF(REGEXMATCH(C42, ""d""), ""8"","""")"),"8")</f>
        <v>8</v>
      </c>
      <c r="AF42" s="245" t="str">
        <f>IFERROR(__xludf.DUMMYFUNCTION("IF(REGEXMATCH(C42, ""D""), ""9"","""")"),"")</f>
        <v/>
      </c>
      <c r="AG42" s="245" t="str">
        <f>IFERROR(__xludf.DUMMYFUNCTION("IF(REGEXMATCH(C42, ""n""), ""10"","""")"),"10")</f>
        <v>10</v>
      </c>
      <c r="AH42" s="246" t="str">
        <f>IFERROR(__xludf.DUMMYFUNCTION("IF(REGEXMATCH(C42, ""N""), ""11"","""")"),"")</f>
        <v/>
      </c>
      <c r="AI42" s="249" t="str">
        <f>IFERROR(__xludf.DUMMYFUNCTION("IF(REGEXMATCH(C42, ""S""), ""0"","""")"),"0")</f>
        <v>0</v>
      </c>
      <c r="AJ42" s="313" t="str">
        <f t="shared" si="11"/>
        <v>-</v>
      </c>
      <c r="AK42" s="313" t="str">
        <f t="shared" si="12"/>
        <v>T</v>
      </c>
      <c r="AL42" s="313" t="str">
        <f t="shared" si="13"/>
        <v>-</v>
      </c>
      <c r="AM42" s="313" t="str">
        <f t="shared" si="14"/>
        <v>-</v>
      </c>
      <c r="AN42" s="313" t="str">
        <f t="shared" si="15"/>
        <v>T</v>
      </c>
      <c r="AO42" s="314" t="str">
        <f t="shared" si="16"/>
        <v>-</v>
      </c>
      <c r="AP42" s="316">
        <f t="shared" si="17"/>
        <v>2</v>
      </c>
      <c r="AQ42" s="319" t="str">
        <f t="shared" si="18"/>
        <v>#REF!</v>
      </c>
      <c r="AR42" s="320">
        <f t="shared" si="19"/>
        <v>0</v>
      </c>
      <c r="AS42" s="250" t="str">
        <f>IFERROR(__xludf.DUMMYFUNCTION("SUBSTITUTE(SUBSTITUTE(CONCATENATE(JOIN("""",FP42:GA42)),""|"",""x""),""-"",""o"")"),"xxooxxoxxoxo")</f>
        <v>xxooxxoxxoxo</v>
      </c>
      <c r="AT42" s="323" t="str">
        <f>IFERROR(__xludf.DUMMYFUNCTION("JOIN("""",AS42,AS42)"),"xxooxxoxxoxoxxooxxoxxoxo")</f>
        <v>xxooxxoxxoxoxxooxxoxxoxo</v>
      </c>
      <c r="AU42" s="256" t="str">
        <f>IFERROR(__xludf.DUMMYFUNCTION("JOIN("""",ArrayFormula(MID(AS42,LEN(AS42)-SEQUENCE(1,LEN(AS42))+1,1)))"),"oxoxxoxxooxx")</f>
        <v>oxoxxoxxooxx</v>
      </c>
      <c r="AV42" s="256" t="str">
        <f>IFERROR(__xludf.DUMMYFUNCTION("LEFT(CONCATENATE(""x"",JOIN("""",ArrayFormula(MID(AS42,LEN(AS42)-SEQUENCE(1,LEN(AS42))+1,1)))),12)"),"xoxoxxoxxoox")</f>
        <v>xoxoxxoxxoox</v>
      </c>
      <c r="AW42" s="327" t="str">
        <f>IFERROR(__xludf.DUMMYFUNCTION("JOIN("""",AU42,AU42)"),"oxoxxoxxooxxoxoxxoxxooxx")</f>
        <v>oxoxxoxxooxxoxoxxoxxooxx</v>
      </c>
      <c r="AX42" s="239" t="str">
        <f>IFERROR(__xludf.DUMMYFUNCTION("IF(REGEXMATCH(AW42,AS42),""✔"",""-"")"),"-")</f>
        <v>-</v>
      </c>
      <c r="AY42" s="330" t="str">
        <f t="shared" si="20"/>
        <v>-</v>
      </c>
      <c r="AZ42" s="260" t="str">
        <f t="shared" si="21"/>
        <v>#REF!</v>
      </c>
      <c r="BA42" s="333" t="str">
        <f t="shared" si="22"/>
        <v>xxooxxo</v>
      </c>
      <c r="BB42" s="334" t="str">
        <f t="shared" si="23"/>
        <v>xxoxox</v>
      </c>
      <c r="BC42" s="335" t="str">
        <f t="shared" si="236"/>
        <v>-</v>
      </c>
      <c r="BD42" s="336" t="str">
        <f t="shared" si="25"/>
        <v>Basant Mukhari: 'xxooxxo' + 'xxoxox'</v>
      </c>
      <c r="BE42" s="337">
        <f>IFERROR(__xludf.DUMMYFUNCTION("COUNTUNIQUE(FILTER(AT:AT,REGEXMATCH(AT:AT,AS42)))-1"),3.0)</f>
        <v>3</v>
      </c>
      <c r="BF42" s="261" t="str">
        <f>IFERROR(__xludf.DUMMYFUNCTION("IF(BI42=0,""(n/a)"",IF(BJ42=2,""(PAIR)"",IF(REGEXMATCH(AT42,""xoxoxxoxoxox""),""Bilawal"",IF(REGEXMATCH(AT42,""xoxoxooxoxoo""),""Bhupali"",IF(REGEXMATCH(AT42,""xoxoxxoxxoxo""),""Charukeshi"",IF(REGEXMATCH(AT42,""xoxoooxxoxxo""),""Kameshwari"",IF(REGEXMATC"&amp;"H(AT42,""xoxoxooxoxox""),""Shankara"",IF(REGEXMATCH(AT42,""xxooxoxxxoox""),""Basant"",IF(REGEXMATCH(AT42,""xoxoxxxxoxox""),""Bihag"",IF(REGEXMATCH(AT42,""xoxxxxoxoxxx""),""Pilu"",IF(REGEXMATCH(AT42,""xoxxoxoxxoox""),""Kirwani"",IF(REGEXMATCH(AT42,""xoxxox"&amp;"oxoxxx""),""Mk.Malhar"",IF(REGEXMATCH(AT42,""xxooxxoxxoox""),""Bhairav"",IF(REGEXMATCH(AT42,""xxoxooxxxoox""),""Todi"",IF(REGEXMATCH(AT42,""xxooxoxooxox""),""Marwa"",IF(REGEXMATCH(AT42,""xxoooxoxxooo""),""Gunkali"",IF(REGEXMATCH(AT42,""xoxoxxoxxoox""),""N"&amp;"at Bhairav"",IF(REGEXMATCH(AT42,""xoxxoooxoxoo""),""Shivranjani"",IF(REGEXMATCH(AT42,""xooxxxoxooxo""),""Jog"",IF(REGEXMATCH(AT42,""xxooxoxoxoox""),""Hemshri"",IF(REGEXMATCH(AT42,""xoooxooxoxxo""),""Kalavati"",IF(REGEXMATCH(AT42,""xxoxoxxoxoox""),""Kedar"&amp;""",IF(REGEXMATCH(AT42,""xoxxxxoxooxx""),""Gara"",IF(REGEXMATCH(AT42,""xooxoxooxoox""),""Chandrakauns"",IF(REGEXMATCH(AT42,""xoxxxxoxxxox""),""Mand"",IF(REGEXMATCH(AT42,""xoxxxxoxoxox""),""Hanskinkini"",IF(REGEXMATCH(AT42,""xxooxxoxooxo""),""Lilavati"",IF("&amp;"REGEXMATCH(AT42,""xooxoxoooxox""),""Rajeshwari"",IF(REGEXMATCH(AT42,""xoooxxoxoxxx""),""Khokar"",IF(REGEXMATCH(AT42,""xxooxoxxxxox""),""Maligoura"",""-""))))))))))))))))))))))))))))))"),"Kirwani")</f>
        <v>Kirwani</v>
      </c>
      <c r="BG42" s="239" t="str">
        <f t="shared" si="26"/>
        <v>#REF!</v>
      </c>
      <c r="BH42" s="239">
        <f>IFERROR(__xludf.DUMMYFUNCTION("COUNTUNIQUE(FE42:FO42)-1"),6.0)</f>
        <v>6</v>
      </c>
      <c r="BI42" s="239">
        <f>IFERROR(__xludf.DUMMYFUNCTION("COUNTUNIQUE(FILTER(AT:AT,REGEXMATCH(AT:AT,AS42)))-1"),3.0)</f>
        <v>3</v>
      </c>
      <c r="BJ42" s="239">
        <f>IFERROR(__xludf.DUMMYFUNCTION("COUNTA(FILTER(AT:AT,REGEXMATCH(AT:AT,AS42)))"),6.0)</f>
        <v>6</v>
      </c>
      <c r="BK42" s="341">
        <f>IFERROR(__xludf.DUMMYFUNCTION("COUNTA(FILTER(AT:AT,REGEXMATCH(AT:AT,AS42)))-AR42"),6.0)</f>
        <v>6</v>
      </c>
      <c r="BL42" s="276" t="str">
        <f>IFERROR(__xludf.DUMMYFUNCTION("IF(AS42=""oooooooooooo"",""-"",IF(REGEXMATCH(AT42,""xx""), ""Hemi."", ""Anhemi.""))"),"Hemi.")</f>
        <v>Hemi.</v>
      </c>
      <c r="BM42" s="282" t="str">
        <f>IFERROR(__xludf.DUMMYFUNCTION("IF(AS42=""oooooooooooo"",""-"",IF(REGEXMATCH(AT42,""xxx""), ""Cohem."", ""-""))"),"-")</f>
        <v>-</v>
      </c>
      <c r="BN42" s="282" t="str">
        <f>IFERROR(__xludf.DUMMYFUNCTION("IF(AS42=""oooooooooooo"",""-"",IF(REGEXMATCH(AT42,""xxxx""), ""Co-Co."", ""-""))"),"-")</f>
        <v>-</v>
      </c>
      <c r="BO42" s="342" t="str">
        <f>IFERROR(__xludf.DUMMYFUNCTION("IF(AS42=""oooooooooooo"",""-"",IF(REGEXMATCH(AT42,""xxxxx""), ""CCC."", ""-""))"),"-")</f>
        <v>-</v>
      </c>
      <c r="BP42" s="344" t="str">
        <f t="shared" si="27"/>
        <v>-</v>
      </c>
      <c r="BQ42" s="282" t="str">
        <f>IFERROR(__xludf.DUMMYFUNCTION("IF(REGEXMATCH(JOIN(""-"",EU42:FD42),""TRUE""),""✔"",""-"")"),"-")</f>
        <v>-</v>
      </c>
      <c r="BR42" s="225">
        <f t="shared" si="28"/>
        <v>0</v>
      </c>
      <c r="BS42" s="345" t="str">
        <f>IFERROR(__xludf.DUMMYFUNCTION("SUBSTITUTE(SUBSTITUTE(SUBSTITUTE(SUBSTITUTE(CONCATENATE(JOIN(""-"",GC42:GO42)),""--"",""-""),""--"",""-""),""--"",""-""),""--"",""-"")"),"1-b2-3-4-5-b6-b7-8")</f>
        <v>1-b2-3-4-5-b6-b7-8</v>
      </c>
      <c r="BT42" s="299" t="str">
        <f>IFERROR(__xludf.DUMMYFUNCTION("SUBSTITUTE(SUBSTITUTE(SUBSTITUTE(SUBSTITUTE(CONCATENATE(JOIN(""-"",GP42:HB42)),""--"",""-""),""--"",""-""),""--"",""-""),""--"",""-"")"),"S-R1-G3-M1-P-D1-N2-S")</f>
        <v>S-R1-G3-M1-P-D1-N2-S</v>
      </c>
      <c r="BU42" s="348" t="str">
        <f t="shared" si="29"/>
        <v>C-Db-E-F-G-Ab-Bb-C</v>
      </c>
      <c r="BV42" s="349" t="str">
        <f t="shared" si="30"/>
        <v>SRgMDNS</v>
      </c>
      <c r="BW42" s="350">
        <f t="shared" si="31"/>
        <v>0</v>
      </c>
      <c r="BX42" s="351">
        <f t="shared" si="32"/>
        <v>2</v>
      </c>
      <c r="BY42" s="392"/>
      <c r="BZ42" s="309" t="str">
        <f>IFERROR(__xludf.DUMMYFUNCTION("IF(REGEXMATCH(C42, ""S""), ""x"",""x"")"),"x")</f>
        <v>x</v>
      </c>
      <c r="CA42" s="245" t="str">
        <f>IFERROR(__xludf.DUMMYFUNCTION("IF(REGEXMATCH(C42, ""r""), ""o"",""x"")"),"o")</f>
        <v>o</v>
      </c>
      <c r="CB42" s="246" t="str">
        <f>IFERROR(__xludf.DUMMYFUNCTION("IF(REGEXMATCH(C42, ""R""), ""o"",""x"")"),"x")</f>
        <v>x</v>
      </c>
      <c r="CC42" s="246" t="str">
        <f>IFERROR(__xludf.DUMMYFUNCTION("IF(REGEXMATCH(C42, ""g""), ""o"",""x"")"),"x")</f>
        <v>x</v>
      </c>
      <c r="CD42" s="245" t="str">
        <f>IFERROR(__xludf.DUMMYFUNCTION("IF(REGEXMATCH(C42, ""G""), ""o"",""x"")"),"o")</f>
        <v>o</v>
      </c>
      <c r="CE42" s="245" t="str">
        <f>IFERROR(__xludf.DUMMYFUNCTION("IF(REGEXMATCH(C42, ""m""), ""o"",""x"")"),"o")</f>
        <v>o</v>
      </c>
      <c r="CF42" s="246" t="str">
        <f>IFERROR(__xludf.DUMMYFUNCTION("IF(REGEXMATCH(C42, ""M""), ""o"",""x"")"),"x")</f>
        <v>x</v>
      </c>
      <c r="CG42" s="245" t="str">
        <f>IFERROR(__xludf.DUMMYFUNCTION("IF(REGEXMATCH(C42, ""P""), ""o"",""x"")"),"o")</f>
        <v>o</v>
      </c>
      <c r="CH42" s="246" t="str">
        <f>IFERROR(__xludf.DUMMYFUNCTION("IF(REGEXMATCH(C42, ""d""), ""o"",""x"")"),"o")</f>
        <v>o</v>
      </c>
      <c r="CI42" s="245" t="str">
        <f>IFERROR(__xludf.DUMMYFUNCTION("IF(REGEXMATCH(C42, ""D""), ""o"",""x"")"),"x")</f>
        <v>x</v>
      </c>
      <c r="CJ42" s="245" t="str">
        <f>IFERROR(__xludf.DUMMYFUNCTION("IF(REGEXMATCH(C42, ""n""), ""o"",""x"")"),"o")</f>
        <v>o</v>
      </c>
      <c r="CK42" s="245" t="str">
        <f>IFERROR(__xludf.DUMMYFUNCTION("IF(REGEXMATCH(C42, ""N""), ""o"",""x"")"),"x")</f>
        <v>x</v>
      </c>
      <c r="CL42" s="356" t="str">
        <f>IFERROR(__xludf.DUMMYFUNCTION("IF(REGEXMATCH(C42, ""S""), ""x"",""x"")"),"x")</f>
        <v>x</v>
      </c>
      <c r="CM42" s="357" t="str">
        <f t="shared" si="33"/>
        <v>xoxxooxooxox</v>
      </c>
      <c r="CN42" s="358">
        <f t="shared" si="34"/>
        <v>0</v>
      </c>
      <c r="CO42" s="246" t="str">
        <f>IFERROR(__xludf.DUMMYFUNCTION("IF(REGEXMATCH($C42, ""S""), ""S"",""S"")"),"S")</f>
        <v>S</v>
      </c>
      <c r="CP42" s="246" t="str">
        <f>IFERROR(__xludf.DUMMYFUNCTION("IF(REGEXMATCH($C42, ""r""), """",""r"")"),"")</f>
        <v/>
      </c>
      <c r="CQ42" s="246" t="str">
        <f>IFERROR(__xludf.DUMMYFUNCTION("IF(REGEXMATCH($C42, ""R""), """",""R"")"),"R")</f>
        <v>R</v>
      </c>
      <c r="CR42" s="246" t="str">
        <f>IFERROR(__xludf.DUMMYFUNCTION("IF(REGEXMATCH($C42, ""g""), """",""g"")"),"g")</f>
        <v>g</v>
      </c>
      <c r="CS42" s="246" t="str">
        <f>IFERROR(__xludf.DUMMYFUNCTION("IF(REGEXMATCH($C42, ""G""), """",""G"")"),"")</f>
        <v/>
      </c>
      <c r="CT42" s="246" t="str">
        <f>IFERROR(__xludf.DUMMYFUNCTION("IF(REGEXMATCH($C42, ""m""), """",""m"")"),"")</f>
        <v/>
      </c>
      <c r="CU42" s="246" t="str">
        <f>IFERROR(__xludf.DUMMYFUNCTION("IF(REGEXMATCH($C42, ""M""), """",""M"")"),"M")</f>
        <v>M</v>
      </c>
      <c r="CV42" s="246" t="str">
        <f>IFERROR(__xludf.DUMMYFUNCTION("IF(REGEXMATCH($C42, ""P""), """",""P"")"),"")</f>
        <v/>
      </c>
      <c r="CW42" s="246" t="str">
        <f>IFERROR(__xludf.DUMMYFUNCTION("IF(REGEXMATCH($C42, ""d""), """",""d"")"),"")</f>
        <v/>
      </c>
      <c r="CX42" s="246" t="str">
        <f>IFERROR(__xludf.DUMMYFUNCTION("IF(REGEXMATCH($C42, ""D""), """",""D"")"),"D")</f>
        <v>D</v>
      </c>
      <c r="CY42" s="246" t="str">
        <f>IFERROR(__xludf.DUMMYFUNCTION("IF(REGEXMATCH($C42, ""n""), """",""n"")"),"")</f>
        <v/>
      </c>
      <c r="CZ42" s="246" t="str">
        <f>IFERROR(__xludf.DUMMYFUNCTION("IF(REGEXMATCH($C42, ""N""), """",""N"")"),"N")</f>
        <v>N</v>
      </c>
      <c r="DA42" s="246" t="str">
        <f>IFERROR(__xludf.DUMMYFUNCTION("IF(REGEXMATCH($C42, ""S""), ""S"",""S"")"),"S")</f>
        <v>S</v>
      </c>
      <c r="DB42" s="362" t="str">
        <f>IFERROR(__xludf.DUMMYFUNCTION("JOIN("""",CO42:DA42,"""","""")"),"SRgMDNS")</f>
        <v>SRgMDNS</v>
      </c>
      <c r="DC42" s="363"/>
      <c r="DD42" s="301" t="str">
        <f t="shared" si="35"/>
        <v>#REF!</v>
      </c>
      <c r="DE42" s="302" t="str">
        <f t="shared" si="36"/>
        <v>#REF!</v>
      </c>
      <c r="DF42" s="301" t="str">
        <f t="shared" ref="DF42:DG42" si="277">SUBSTITUTE(S42,"-","")</f>
        <v>SRGM</v>
      </c>
      <c r="DG42" s="301" t="str">
        <f t="shared" si="277"/>
        <v>PDNS</v>
      </c>
      <c r="DH42" s="302" t="str">
        <f t="shared" si="38"/>
        <v>Kirwani</v>
      </c>
      <c r="DI42" s="301" t="str">
        <f t="shared" si="39"/>
        <v>Hemi.</v>
      </c>
      <c r="DJ42" s="364" t="str">
        <f t="shared" si="40"/>
        <v>-</v>
      </c>
      <c r="DK42" s="306" t="str">
        <f t="shared" si="41"/>
        <v>-</v>
      </c>
      <c r="DL42" s="366" t="str">
        <f t="shared" si="42"/>
        <v>-</v>
      </c>
      <c r="DM42" s="308" t="str">
        <f t="shared" si="43"/>
        <v>✔</v>
      </c>
      <c r="DN42" s="306" t="str">
        <f t="shared" si="44"/>
        <v>-</v>
      </c>
      <c r="DO42" s="306" t="str">
        <f t="shared" si="45"/>
        <v>-</v>
      </c>
      <c r="DP42" s="367" t="str">
        <f t="shared" si="46"/>
        <v>-</v>
      </c>
      <c r="DQ42" s="310" t="str">
        <f t="shared" si="47"/>
        <v>-</v>
      </c>
      <c r="DR42" s="310" t="str">
        <f t="shared" si="48"/>
        <v>-</v>
      </c>
      <c r="DS42" s="310" t="str">
        <f t="shared" si="49"/>
        <v>-</v>
      </c>
      <c r="DT42" s="310" t="str">
        <f t="shared" si="50"/>
        <v>-</v>
      </c>
      <c r="DU42" s="370" t="str">
        <f t="shared" si="51"/>
        <v>-</v>
      </c>
      <c r="DV42" s="306" t="str">
        <f t="shared" si="52"/>
        <v>-</v>
      </c>
      <c r="DW42" s="306" t="str">
        <f t="shared" si="53"/>
        <v>-</v>
      </c>
      <c r="DX42" s="306" t="str">
        <f t="shared" si="54"/>
        <v>-</v>
      </c>
      <c r="DY42" s="306" t="str">
        <f t="shared" si="55"/>
        <v>-</v>
      </c>
      <c r="DZ42" s="306" t="str">
        <f t="shared" si="56"/>
        <v>-</v>
      </c>
      <c r="EA42" s="367" t="str">
        <f t="shared" si="57"/>
        <v>-</v>
      </c>
      <c r="EB42" s="310" t="str">
        <f>IFERROR(__xludf.DUMMYFUNCTION("IF(REGEXMATCH(AW42,AS42),""✔"",""-"")"),"-")</f>
        <v>-</v>
      </c>
      <c r="EC42" s="310" t="str">
        <f t="shared" si="58"/>
        <v>#REF!</v>
      </c>
      <c r="ED42" s="370" t="str">
        <f t="shared" si="59"/>
        <v>-</v>
      </c>
      <c r="EE42" s="340" t="str">
        <f t="shared" si="60"/>
        <v>S-r-G-m-P-d-n-S</v>
      </c>
      <c r="EF42" s="371" t="str">
        <f>IFERROR(__xludf.DUMMYFUNCTION("CONCATENATE(JOIN("""",HC42:HO42))"),"SRGmPdNS")</f>
        <v>SRGmPdNS</v>
      </c>
      <c r="EG42" s="372">
        <f t="shared" si="61"/>
        <v>3</v>
      </c>
      <c r="EH42" s="373" t="str">
        <f>IFERROR(__xludf.DUMMYFUNCTION("CONCATENATE(JOIN("""",JC42:JO42))"),"Ga, Pa, dha, ")</f>
        <v>Ga, Pa, dha, </v>
      </c>
      <c r="EI42" s="322">
        <f t="shared" si="62"/>
        <v>1</v>
      </c>
      <c r="EJ42" s="374" t="str">
        <f>IFERROR(__xludf.DUMMYFUNCTION("CONCATENATE(JOIN("""",KC42:KO42))"),"Ga, ")</f>
        <v>Ga, </v>
      </c>
      <c r="EK42" s="325" t="str">
        <f t="shared" si="63"/>
        <v>S-R1-G3-M1-P-D1-N2-S</v>
      </c>
      <c r="EL42" s="326" t="str">
        <f t="shared" si="64"/>
        <v>1-b2-3-4-5-b6-b7-8</v>
      </c>
      <c r="EM42" s="318" t="str">
        <f t="shared" si="65"/>
        <v>#REF!</v>
      </c>
      <c r="EN42" s="328" t="str">
        <f>IFERROR(__xludf.DUMMYFUNCTION("SUBSTITUTE(SUBSTITUTE(SUBSTITUTE(SUBSTITUTE(CONCATENATE(JOIN("" "",HP42:IB42)),""  "","" ""),""  "","" ""),""  "","" ""),""  "","" "")"),"o o • • o o • o o • o • o")</f>
        <v>o o • • o o • o o • o • o</v>
      </c>
      <c r="EO42" s="368" t="str">
        <f t="shared" si="66"/>
        <v>-</v>
      </c>
      <c r="EP42" s="339" t="str">
        <f t="shared" si="67"/>
        <v>-</v>
      </c>
      <c r="EQ42" s="339" t="str">
        <f t="shared" si="68"/>
        <v>Sa-Pa</v>
      </c>
      <c r="ER42" s="339" t="str">
        <f t="shared" si="69"/>
        <v>-</v>
      </c>
      <c r="ES42" s="340" t="str">
        <f t="shared" si="70"/>
        <v>-</v>
      </c>
      <c r="ET42" s="363"/>
      <c r="EU42" s="376" t="b">
        <f>IFERROR(__xludf.DUMMYFUNCTION("arrayformula(sum(--REGEXMATCH(""SRGMPDNS"",split(REGEXREPLACE(C42,""(.)"",""$1~""),""~""))))=len(C42)
"),FALSE)</f>
        <v>0</v>
      </c>
      <c r="EV42" s="290" t="b">
        <f>IFERROR(__xludf.DUMMYFUNCTION("arrayformula(sum(--REGEXMATCH(""SRGmPDNS"",split(REGEXREPLACE(C42,""(.)"",""$1~""),""~""))))=len(C42)"),FALSE)</f>
        <v>0</v>
      </c>
      <c r="EW42" s="290" t="b">
        <f>IFERROR(__xludf.DUMMYFUNCTION("arrayformula(sum(--REGEXMATCH(""SRGmPDnS"",split(REGEXREPLACE(C42,""(.)"",""$1~""),""~""))))=len(C42)"),FALSE)</f>
        <v>0</v>
      </c>
      <c r="EX42" s="290" t="b">
        <f>IFERROR(__xludf.DUMMYFUNCTION("arrayformula(sum(--REGEXMATCH(""SRgmPDnS"",split(REGEXREPLACE(C42,""(.)"",""$1~""),""~""))))=len(C42)"),FALSE)</f>
        <v>0</v>
      </c>
      <c r="EY42" s="290" t="b">
        <f>IFERROR(__xludf.DUMMYFUNCTION("arrayformula(sum(--REGEXMATCH(""SRgmPdnS"",split(REGEXREPLACE(C42,""(.)"",""$1~""),""~""))))=len(C42)"),FALSE)</f>
        <v>0</v>
      </c>
      <c r="EZ42" s="290" t="b">
        <f>IFERROR(__xludf.DUMMYFUNCTION("arrayformula(sum(--REGEXMATCH(""SrgmPdnS"",split(REGEXREPLACE(C42,""(.)"",""$1~""),""~""))))=len(C42)"),FALSE)</f>
        <v>0</v>
      </c>
      <c r="FA42" s="290" t="b">
        <f>IFERROR(__xludf.DUMMYFUNCTION("arrayformula(sum(--REGEXMATCH(""SrGmPdNS"",split(REGEXREPLACE(C42,""(.)"",""$1~""),""~""))))=len(C42)"),FALSE)</f>
        <v>0</v>
      </c>
      <c r="FB42" s="290" t="b">
        <f>IFERROR(__xludf.DUMMYFUNCTION("arrayformula(sum(--REGEXMATCH(""SrGMPDNS"",split(REGEXREPLACE(C42,""(.)"",""$1~""),""~""))))=len(C42)"),FALSE)</f>
        <v>0</v>
      </c>
      <c r="FC42" s="290" t="b">
        <f>IFERROR(__xludf.DUMMYFUNCTION("arrayformula(sum(--REGEXMATCH(""SrGMPdNS"",split(REGEXREPLACE(C42,""(.)"",""$1~""),""~""))))=len(C42)"),FALSE)</f>
        <v>0</v>
      </c>
      <c r="FD42" s="377" t="b">
        <f>IFERROR(__xludf.DUMMYFUNCTION("arrayformula(sum(--REGEXMATCH(""SrgMPdNS"",split(REGEXREPLACE(C42,""(.)"",""$1~""),""~""))))=len(C42)"),FALSE)</f>
        <v>0</v>
      </c>
      <c r="FE42" s="269" t="str">
        <f t="shared" si="71"/>
        <v>xooxxoxxoxo</v>
      </c>
      <c r="FF42" s="269" t="str">
        <f t="shared" si="72"/>
        <v>-</v>
      </c>
      <c r="FG42" s="271" t="str">
        <f t="shared" si="73"/>
        <v>-</v>
      </c>
      <c r="FH42" s="269" t="str">
        <f t="shared" si="74"/>
        <v>xxoxxoxoxxo</v>
      </c>
      <c r="FI42" s="271" t="str">
        <f t="shared" si="75"/>
        <v>xoxxoxoxxoo</v>
      </c>
      <c r="FJ42" s="271" t="str">
        <f t="shared" si="76"/>
        <v>-</v>
      </c>
      <c r="FK42" s="271" t="str">
        <f t="shared" si="77"/>
        <v>xxoxoxxooxx</v>
      </c>
      <c r="FL42" s="271" t="str">
        <f t="shared" si="78"/>
        <v>xoxoxxooxxo</v>
      </c>
      <c r="FM42" s="271" t="str">
        <f t="shared" si="79"/>
        <v>-</v>
      </c>
      <c r="FN42" s="271" t="str">
        <f t="shared" si="80"/>
        <v>xoxxooxxoxx</v>
      </c>
      <c r="FO42" s="274" t="str">
        <f t="shared" si="81"/>
        <v>-</v>
      </c>
      <c r="FP42" s="234" t="str">
        <f t="shared" si="82"/>
        <v>|</v>
      </c>
      <c r="FQ42" s="236" t="str">
        <f t="shared" si="83"/>
        <v>|</v>
      </c>
      <c r="FR42" s="237" t="str">
        <f t="shared" si="84"/>
        <v>-</v>
      </c>
      <c r="FS42" s="236" t="str">
        <f t="shared" si="85"/>
        <v>-</v>
      </c>
      <c r="FT42" s="237" t="str">
        <f t="shared" si="86"/>
        <v>|</v>
      </c>
      <c r="FU42" s="236" t="str">
        <f t="shared" si="87"/>
        <v>|</v>
      </c>
      <c r="FV42" s="237" t="str">
        <f t="shared" si="88"/>
        <v>-</v>
      </c>
      <c r="FW42" s="236" t="str">
        <f t="shared" si="89"/>
        <v>|</v>
      </c>
      <c r="FX42" s="237" t="str">
        <f t="shared" si="90"/>
        <v>|</v>
      </c>
      <c r="FY42" s="236" t="str">
        <f t="shared" si="91"/>
        <v>-</v>
      </c>
      <c r="FZ42" s="237" t="str">
        <f t="shared" si="92"/>
        <v>|</v>
      </c>
      <c r="GA42" s="236" t="str">
        <f t="shared" si="93"/>
        <v>-</v>
      </c>
      <c r="GB42" s="238" t="str">
        <f t="shared" si="94"/>
        <v>|</v>
      </c>
      <c r="GC42" s="244" t="str">
        <f>IFERROR(__xludf.DUMMYFUNCTION("IF(REGEXMATCH(C42, ""S""), ""1"","""")"),"1")</f>
        <v>1</v>
      </c>
      <c r="GD42" s="245" t="str">
        <f>IFERROR(__xludf.DUMMYFUNCTION("IF(REGEXMATCH(C42, ""r""), ""b2"","""")"),"b2")</f>
        <v>b2</v>
      </c>
      <c r="GE42" s="246" t="str">
        <f>IFERROR(__xludf.DUMMYFUNCTION("IF(REGEXMATCH(C42, ""R""), ""2"","""")"),"")</f>
        <v/>
      </c>
      <c r="GF42" s="246" t="str">
        <f>IFERROR(__xludf.DUMMYFUNCTION("IF(REGEXMATCH(C42, ""g""), ""b3"","""")"),"")</f>
        <v/>
      </c>
      <c r="GG42" s="245" t="str">
        <f>IFERROR(__xludf.DUMMYFUNCTION("IF(REGEXMATCH(C42, ""G""), ""3"","""")"),"3")</f>
        <v>3</v>
      </c>
      <c r="GH42" s="245" t="str">
        <f>IFERROR(__xludf.DUMMYFUNCTION("IF(REGEXMATCH(C42, ""m""), ""4"","""")"),"4")</f>
        <v>4</v>
      </c>
      <c r="GI42" s="246" t="str">
        <f>IFERROR(__xludf.DUMMYFUNCTION("IF(REGEXMATCH(C42, ""M""), ""#4"","""")"),"")</f>
        <v/>
      </c>
      <c r="GJ42" s="245" t="str">
        <f>IFERROR(__xludf.DUMMYFUNCTION("IF(REGEXMATCH(C42, ""P""), ""5"","""")"),"5")</f>
        <v>5</v>
      </c>
      <c r="GK42" s="246" t="str">
        <f>IFERROR(__xludf.DUMMYFUNCTION("IF(REGEXMATCH(C42, ""d""), ""b6"","""")"),"b6")</f>
        <v>b6</v>
      </c>
      <c r="GL42" s="245" t="str">
        <f>IFERROR(__xludf.DUMMYFUNCTION("IF(REGEXMATCH(C42, ""D""), ""6"","""")"),"")</f>
        <v/>
      </c>
      <c r="GM42" s="245" t="str">
        <f>IFERROR(__xludf.DUMMYFUNCTION("IF(REGEXMATCH(C42, ""n""), ""b7"","""")"),"b7")</f>
        <v>b7</v>
      </c>
      <c r="GN42" s="246" t="str">
        <f>IFERROR(__xludf.DUMMYFUNCTION("IF(REGEXMATCH(C42, ""N""), ""7"","""")"),"")</f>
        <v/>
      </c>
      <c r="GO42" s="249" t="str">
        <f>IFERROR(__xludf.DUMMYFUNCTION("IF(REGEXMATCH(C42, ""S""), ""8"","""")"),"8")</f>
        <v>8</v>
      </c>
      <c r="GP42" s="244" t="str">
        <f>IFERROR(__xludf.DUMMYFUNCTION("IF(REGEXMATCH(C42, ""S""), ""S"","""")"),"S")</f>
        <v>S</v>
      </c>
      <c r="GQ42" s="294" t="str">
        <f>IFERROR(__xludf.DUMMYFUNCTION("IF(REGEXMATCH(C42, ""r""), ""R1"","""")"),"R1")</f>
        <v>R1</v>
      </c>
      <c r="GR42" s="295" t="str">
        <f>IFERROR(__xludf.DUMMYFUNCTION("IF(REGEXMATCH(C42, ""R""), ""R2"","""")"),"")</f>
        <v/>
      </c>
      <c r="GS42" s="295" t="str">
        <f>IFERROR(__xludf.DUMMYFUNCTION("IF(REGEXMATCH(C42, ""g""), ""G2"","""")"),"")</f>
        <v/>
      </c>
      <c r="GT42" s="294" t="str">
        <f>IFERROR(__xludf.DUMMYFUNCTION("IF(REGEXMATCH(C42, ""G""), ""G3"","""")"),"G3")</f>
        <v>G3</v>
      </c>
      <c r="GU42" s="294" t="str">
        <f>IFERROR(__xludf.DUMMYFUNCTION("IF(REGEXMATCH(C42, ""m""), ""M1"","""")"),"M1")</f>
        <v>M1</v>
      </c>
      <c r="GV42" s="295" t="str">
        <f>IFERROR(__xludf.DUMMYFUNCTION("IF(REGEXMATCH(C42, ""M""), ""M2"","""")"),"")</f>
        <v/>
      </c>
      <c r="GW42" s="294" t="str">
        <f>IFERROR(__xludf.DUMMYFUNCTION("IF(REGEXMATCH(C42, ""P""), ""P"","""")"),"P")</f>
        <v>P</v>
      </c>
      <c r="GX42" s="295" t="str">
        <f>IFERROR(__xludf.DUMMYFUNCTION("IF(REGEXMATCH(C42, ""d""), ""D1"","""")"),"D1")</f>
        <v>D1</v>
      </c>
      <c r="GY42" s="294" t="str">
        <f>IFERROR(__xludf.DUMMYFUNCTION("IF(REGEXMATCH(C42, ""D""), ""D2"","""")"),"")</f>
        <v/>
      </c>
      <c r="GZ42" s="294" t="str">
        <f>IFERROR(__xludf.DUMMYFUNCTION("IF(REGEXMATCH(C42, ""n""), ""N2"","""")"),"N2")</f>
        <v>N2</v>
      </c>
      <c r="HA42" s="295" t="str">
        <f>IFERROR(__xludf.DUMMYFUNCTION("IF(REGEXMATCH(C42, ""N""), ""N3"","""")"),"")</f>
        <v/>
      </c>
      <c r="HB42" s="249" t="str">
        <f>IFERROR(__xludf.DUMMYFUNCTION("IF(REGEXMATCH(C42, ""S""), ""S"","""")"),"S")</f>
        <v>S</v>
      </c>
      <c r="HC42" s="331" t="str">
        <f t="shared" si="95"/>
        <v>S</v>
      </c>
      <c r="HD42" s="332" t="str">
        <f t="shared" si="96"/>
        <v/>
      </c>
      <c r="HE42" s="332" t="str">
        <f t="shared" si="97"/>
        <v>R</v>
      </c>
      <c r="HF42" s="332" t="str">
        <f t="shared" si="98"/>
        <v/>
      </c>
      <c r="HG42" s="332" t="str">
        <f t="shared" si="99"/>
        <v>G</v>
      </c>
      <c r="HH42" s="332" t="str">
        <f t="shared" si="100"/>
        <v>m</v>
      </c>
      <c r="HI42" s="332" t="str">
        <f t="shared" si="101"/>
        <v/>
      </c>
      <c r="HJ42" s="332" t="str">
        <f t="shared" si="102"/>
        <v>P</v>
      </c>
      <c r="HK42" s="332" t="str">
        <f t="shared" si="103"/>
        <v>d</v>
      </c>
      <c r="HL42" s="332" t="str">
        <f t="shared" si="104"/>
        <v/>
      </c>
      <c r="HM42" s="332" t="str">
        <f t="shared" si="105"/>
        <v/>
      </c>
      <c r="HN42" s="332" t="str">
        <f t="shared" si="106"/>
        <v>N</v>
      </c>
      <c r="HO42" s="343" t="str">
        <f t="shared" si="107"/>
        <v>S</v>
      </c>
      <c r="HP42" s="331" t="str">
        <f t="shared" si="108"/>
        <v>o</v>
      </c>
      <c r="HQ42" s="332" t="str">
        <f t="shared" si="109"/>
        <v>o</v>
      </c>
      <c r="HR42" s="332" t="str">
        <f t="shared" si="110"/>
        <v>•</v>
      </c>
      <c r="HS42" s="332" t="str">
        <f t="shared" si="111"/>
        <v>•</v>
      </c>
      <c r="HT42" s="332" t="str">
        <f t="shared" si="112"/>
        <v>o</v>
      </c>
      <c r="HU42" s="332" t="str">
        <f t="shared" si="113"/>
        <v>o</v>
      </c>
      <c r="HV42" s="332" t="str">
        <f t="shared" si="114"/>
        <v>•</v>
      </c>
      <c r="HW42" s="332" t="str">
        <f t="shared" si="115"/>
        <v>o</v>
      </c>
      <c r="HX42" s="332" t="str">
        <f t="shared" si="116"/>
        <v>o</v>
      </c>
      <c r="HY42" s="332" t="str">
        <f t="shared" si="117"/>
        <v>•</v>
      </c>
      <c r="HZ42" s="332" t="str">
        <f t="shared" si="118"/>
        <v>o</v>
      </c>
      <c r="IA42" s="332" t="str">
        <f t="shared" si="119"/>
        <v>•</v>
      </c>
      <c r="IB42" s="338" t="str">
        <f t="shared" si="120"/>
        <v>o</v>
      </c>
      <c r="IC42" s="331" t="str">
        <f t="shared" si="121"/>
        <v>•</v>
      </c>
      <c r="ID42" s="332" t="str">
        <f t="shared" si="122"/>
        <v>•</v>
      </c>
      <c r="IE42" s="332" t="str">
        <f t="shared" si="123"/>
        <v>o</v>
      </c>
      <c r="IF42" s="332" t="str">
        <f t="shared" si="124"/>
        <v>o</v>
      </c>
      <c r="IG42" s="332" t="str">
        <f t="shared" si="125"/>
        <v>•</v>
      </c>
      <c r="IH42" s="332" t="str">
        <f t="shared" si="126"/>
        <v>•</v>
      </c>
      <c r="II42" s="332" t="str">
        <f t="shared" si="127"/>
        <v>o</v>
      </c>
      <c r="IJ42" s="332" t="str">
        <f t="shared" si="128"/>
        <v>•</v>
      </c>
      <c r="IK42" s="332" t="str">
        <f t="shared" si="129"/>
        <v>•</v>
      </c>
      <c r="IL42" s="332" t="str">
        <f t="shared" si="130"/>
        <v>o</v>
      </c>
      <c r="IM42" s="332" t="str">
        <f t="shared" si="131"/>
        <v>•</v>
      </c>
      <c r="IN42" s="332" t="str">
        <f t="shared" si="132"/>
        <v>o</v>
      </c>
      <c r="IO42" s="338" t="str">
        <f t="shared" si="133"/>
        <v>•</v>
      </c>
      <c r="IP42" s="346" t="b">
        <f t="shared" si="134"/>
        <v>0</v>
      </c>
      <c r="IQ42" s="347" t="b">
        <f t="shared" si="135"/>
        <v>0</v>
      </c>
      <c r="IR42" s="347" t="b">
        <f t="shared" si="136"/>
        <v>0</v>
      </c>
      <c r="IS42" s="347" t="b">
        <f t="shared" si="137"/>
        <v>0</v>
      </c>
      <c r="IT42" s="347" t="b">
        <f t="shared" si="138"/>
        <v>1</v>
      </c>
      <c r="IU42" s="347" t="b">
        <f t="shared" si="139"/>
        <v>0</v>
      </c>
      <c r="IV42" s="347" t="b">
        <f t="shared" si="140"/>
        <v>0</v>
      </c>
      <c r="IW42" s="347" t="b">
        <f t="shared" si="141"/>
        <v>1</v>
      </c>
      <c r="IX42" s="347" t="b">
        <f t="shared" si="142"/>
        <v>1</v>
      </c>
      <c r="IY42" s="347" t="b">
        <f t="shared" si="143"/>
        <v>0</v>
      </c>
      <c r="IZ42" s="347" t="b">
        <f t="shared" si="144"/>
        <v>0</v>
      </c>
      <c r="JA42" s="347" t="b">
        <f t="shared" si="145"/>
        <v>0</v>
      </c>
      <c r="JB42" s="353" t="b">
        <f t="shared" si="146"/>
        <v>0</v>
      </c>
      <c r="JC42" s="354" t="str">
        <f t="shared" si="147"/>
        <v/>
      </c>
      <c r="JD42" s="355" t="str">
        <f t="shared" si="148"/>
        <v/>
      </c>
      <c r="JE42" s="355" t="str">
        <f t="shared" si="149"/>
        <v/>
      </c>
      <c r="JF42" s="355" t="str">
        <f t="shared" si="150"/>
        <v/>
      </c>
      <c r="JG42" s="355" t="str">
        <f t="shared" si="151"/>
        <v>Ga, </v>
      </c>
      <c r="JH42" s="355" t="str">
        <f t="shared" si="152"/>
        <v/>
      </c>
      <c r="JI42" s="355" t="str">
        <f t="shared" si="153"/>
        <v/>
      </c>
      <c r="JJ42" s="355" t="str">
        <f t="shared" si="154"/>
        <v>Pa, </v>
      </c>
      <c r="JK42" s="355" t="str">
        <f t="shared" si="155"/>
        <v>dha, </v>
      </c>
      <c r="JL42" s="355" t="str">
        <f t="shared" si="156"/>
        <v/>
      </c>
      <c r="JM42" s="355" t="str">
        <f t="shared" si="157"/>
        <v/>
      </c>
      <c r="JN42" s="355" t="str">
        <f t="shared" si="158"/>
        <v/>
      </c>
      <c r="JO42" s="359" t="str">
        <f t="shared" si="159"/>
        <v/>
      </c>
      <c r="JP42" s="346" t="b">
        <f t="shared" si="160"/>
        <v>0</v>
      </c>
      <c r="JQ42" s="347" t="b">
        <f t="shared" si="161"/>
        <v>0</v>
      </c>
      <c r="JR42" s="347" t="b">
        <f t="shared" si="162"/>
        <v>0</v>
      </c>
      <c r="JS42" s="347" t="b">
        <f t="shared" si="163"/>
        <v>0</v>
      </c>
      <c r="JT42" s="347" t="b">
        <f t="shared" si="164"/>
        <v>1</v>
      </c>
      <c r="JU42" s="347" t="b">
        <f t="shared" si="165"/>
        <v>0</v>
      </c>
      <c r="JV42" s="347" t="b">
        <f t="shared" si="166"/>
        <v>0</v>
      </c>
      <c r="JW42" s="347" t="b">
        <f t="shared" si="167"/>
        <v>0</v>
      </c>
      <c r="JX42" s="347" t="b">
        <f t="shared" si="168"/>
        <v>0</v>
      </c>
      <c r="JY42" s="347" t="b">
        <f t="shared" si="169"/>
        <v>0</v>
      </c>
      <c r="JZ42" s="347" t="b">
        <f t="shared" si="170"/>
        <v>0</v>
      </c>
      <c r="KA42" s="347" t="b">
        <f t="shared" si="171"/>
        <v>0</v>
      </c>
      <c r="KB42" s="365" t="b">
        <f t="shared" si="172"/>
        <v>0</v>
      </c>
      <c r="KC42" s="354" t="str">
        <f t="shared" si="173"/>
        <v/>
      </c>
      <c r="KD42" s="355" t="str">
        <f t="shared" si="174"/>
        <v/>
      </c>
      <c r="KE42" s="355" t="str">
        <f t="shared" si="175"/>
        <v/>
      </c>
      <c r="KF42" s="355" t="str">
        <f t="shared" si="176"/>
        <v/>
      </c>
      <c r="KG42" s="355" t="str">
        <f t="shared" si="177"/>
        <v>Ga, </v>
      </c>
      <c r="KH42" s="355" t="str">
        <f t="shared" si="178"/>
        <v/>
      </c>
      <c r="KI42" s="355" t="str">
        <f t="shared" si="179"/>
        <v/>
      </c>
      <c r="KJ42" s="355" t="str">
        <f t="shared" si="180"/>
        <v/>
      </c>
      <c r="KK42" s="355" t="str">
        <f t="shared" si="181"/>
        <v/>
      </c>
      <c r="KL42" s="355" t="str">
        <f t="shared" si="182"/>
        <v/>
      </c>
      <c r="KM42" s="355" t="str">
        <f t="shared" si="183"/>
        <v/>
      </c>
      <c r="KN42" s="355" t="str">
        <f t="shared" si="184"/>
        <v/>
      </c>
      <c r="KO42" s="359"/>
      <c r="KP42" s="378"/>
      <c r="KQ42" s="379" t="s">
        <v>586</v>
      </c>
      <c r="KR42" s="380" t="s">
        <v>1317</v>
      </c>
      <c r="KS42" s="381" t="str">
        <f>KQ42</f>
        <v>S-r-G-m-P-d-n-S</v>
      </c>
      <c r="KT42" s="382">
        <f t="shared" si="186"/>
        <v>7</v>
      </c>
      <c r="KU42" s="383">
        <f t="shared" si="187"/>
        <v>7</v>
      </c>
      <c r="KV42" s="381" t="str">
        <f t="shared" si="205"/>
        <v>S-n-d-P-m-G-r-S</v>
      </c>
      <c r="KW42" s="382">
        <f t="shared" si="189"/>
        <v>7</v>
      </c>
      <c r="KX42" s="384">
        <f t="shared" si="190"/>
        <v>7</v>
      </c>
      <c r="KY42" s="382">
        <f t="shared" ref="KY42:KZ42" si="278">KW42-KT42</f>
        <v>0</v>
      </c>
      <c r="KZ42" s="369">
        <f t="shared" si="278"/>
        <v>0</v>
      </c>
      <c r="LA42" s="385" t="str">
        <f t="shared" si="192"/>
        <v>✔</v>
      </c>
      <c r="LB42" s="340" t="str">
        <f>IFERROR(__xludf.DUMMYFUNCTION("JOIN("""",ArrayFormula(MID(KS42,LEN(KS42)-SEQUENCE(1,LEN(KS42))+1,1)))"),"S-n-d-P-m-G-r-S")</f>
        <v>S-n-d-P-m-G-r-S</v>
      </c>
      <c r="LC42" s="373" t="str">
        <f>IFERROR(__xludf.DUMMYFUNCTION("JOIN("""",ArrayFormula(MID(KV42,LEN(KV42)-SEQUENCE(1,LEN(KV42))+1,1)))"),"S-r-G-m-P-d-n-S")</f>
        <v>S-r-G-m-P-d-n-S</v>
      </c>
      <c r="LD42" s="373" t="str">
        <f t="shared" si="193"/>
        <v>SrGmPdnS</v>
      </c>
      <c r="LE42" s="339" t="str">
        <f t="shared" si="194"/>
        <v>SrGmPdnS</v>
      </c>
      <c r="LF42" s="386" t="str">
        <f>IFERROR(__xludf.DUMMYFUNCTION("SUBSTITUTE(SUBSTITUTE(CONCATENATE(JOIN("""",LH42:LT42)),""1"",""""),""2"","""")"),"SrGmPdnS")</f>
        <v>SrGmPdnS</v>
      </c>
      <c r="LG42" s="369" t="str">
        <f t="shared" si="195"/>
        <v>✔</v>
      </c>
      <c r="LH42" s="387" t="str">
        <f>IFERROR(__xludf.DUMMYFUNCTION("IF(REGEXMATCH(LD42, ""S""), ""S"",IF(REGEXMATCH(LE42, ""S""), ""S"",""""))"),"S")</f>
        <v>S</v>
      </c>
      <c r="LI42" s="299" t="str">
        <f>IFERROR(__xludf.DUMMYFUNCTION("IF(REGEXMATCH(LD42, ""r""), ""r1"",IF(REGEXMATCH(LE42, ""r""), ""r2"",""""))"),"r1")</f>
        <v>r1</v>
      </c>
      <c r="LJ42" s="299" t="str">
        <f>IFERROR(__xludf.DUMMYFUNCTION("IF(REGEXMATCH(LD42, ""R""), ""R1"",IF(REGEXMATCH(LE42, ""R""), ""R2"",""""))"),"")</f>
        <v/>
      </c>
      <c r="LK42" s="299" t="str">
        <f>IFERROR(__xludf.DUMMYFUNCTION("IF(REGEXMATCH(LD42, ""g""), ""g1"",IF(REGEXMATCH(LE42, ""g""), ""g2"",""""))"),"")</f>
        <v/>
      </c>
      <c r="LL42" s="299" t="str">
        <f>IFERROR(__xludf.DUMMYFUNCTION("IF(REGEXMATCH(LD42, ""G""), ""G1"",IF(REGEXMATCH(LE42, ""G""), ""G2"",""""))"),"G1")</f>
        <v>G1</v>
      </c>
      <c r="LM42" s="299" t="str">
        <f>IFERROR(__xludf.DUMMYFUNCTION("IF(REGEXMATCH(LD42, ""m""), ""m1"",IF(REGEXMATCH(LE42, ""m""), ""m2"",""""))"),"m1")</f>
        <v>m1</v>
      </c>
      <c r="LN42" s="299" t="str">
        <f>IFERROR(__xludf.DUMMYFUNCTION("IF(REGEXMATCH(LD42, ""M""), ""M1"",IF(REGEXMATCH(LE42, ""M""), ""M2"",""""))"),"")</f>
        <v/>
      </c>
      <c r="LO42" s="299" t="str">
        <f>IFERROR(__xludf.DUMMYFUNCTION("IF(REGEXMATCH(LD42, ""P""), ""P1"",IF(REGEXMATCH(LE42, ""P""), ""P2"",""""))"),"P1")</f>
        <v>P1</v>
      </c>
      <c r="LP42" s="299" t="str">
        <f>IFERROR(__xludf.DUMMYFUNCTION("IF(REGEXMATCH(LD42, ""d""), ""d1"",IF(REGEXMATCH(LE42, ""d""), ""d2"",""""))"),"d1")</f>
        <v>d1</v>
      </c>
      <c r="LQ42" s="299" t="str">
        <f>IFERROR(__xludf.DUMMYFUNCTION("IF(REGEXMATCH(LD42, ""D""), ""D1"",IF(REGEXMATCH(LE42, ""D""), ""D2"",""""))"),"")</f>
        <v/>
      </c>
      <c r="LR42" s="299" t="str">
        <f>IFERROR(__xludf.DUMMYFUNCTION("IF(REGEXMATCH(LD42, ""n""), ""n1"",IF(REGEXMATCH(LE42, ""n""), ""n2"",""""))"),"n1")</f>
        <v>n1</v>
      </c>
      <c r="LS42" s="299" t="str">
        <f>IFERROR(__xludf.DUMMYFUNCTION("IF(REGEXMATCH(LD42, ""N""), ""N1"",IF(REGEXMATCH(LE42, ""N""), ""N2"",""""))"),"")</f>
        <v/>
      </c>
      <c r="LT42" s="388" t="str">
        <f>IFERROR(__xludf.DUMMYFUNCTION("IF(REGEXMATCH(LD42, ""S""), ""S"",IF(REGEXMATCH(LE42, ""S""), ""S"",""""))"),"S")</f>
        <v>S</v>
      </c>
      <c r="LU42" s="389">
        <f t="shared" si="196"/>
        <v>1</v>
      </c>
      <c r="LV42" s="378"/>
      <c r="LW42" s="369"/>
      <c r="LX42" s="369"/>
    </row>
    <row r="43" ht="20.25" customHeight="1">
      <c r="A43" s="298" t="s">
        <v>587</v>
      </c>
      <c r="B43" s="222" t="s">
        <v>588</v>
      </c>
      <c r="C43" s="233" t="str">
        <f t="shared" si="7"/>
        <v>SrGmMPDnNS</v>
      </c>
      <c r="D43" s="234" t="str">
        <f>IFERROR(__xludf.DUMMYFUNCTION("IF(REGEXMATCH(C43, ""S""), ""S"","""")"),"S")</f>
        <v>S</v>
      </c>
      <c r="E43" s="236" t="str">
        <f>IFERROR(__xludf.DUMMYFUNCTION("IF(REGEXMATCH(C43, ""r""), ""r"","""")"),"r")</f>
        <v>r</v>
      </c>
      <c r="F43" s="237" t="str">
        <f>IFERROR(__xludf.DUMMYFUNCTION("IF(REGEXMATCH(C43, ""R""), ""R"","""")"),"")</f>
        <v/>
      </c>
      <c r="G43" s="237" t="str">
        <f>IFERROR(__xludf.DUMMYFUNCTION("IF(REGEXMATCH(C43, ""g""), ""g"","""")"),"")</f>
        <v/>
      </c>
      <c r="H43" s="236" t="str">
        <f>IFERROR(__xludf.DUMMYFUNCTION("IF(REGEXMATCH(C43, ""G""), ""G"","""")"),"G")</f>
        <v>G</v>
      </c>
      <c r="I43" s="236" t="str">
        <f>IFERROR(__xludf.DUMMYFUNCTION("IF(REGEXMATCH(C43, ""m""), ""m"","""")"),"m")</f>
        <v>m</v>
      </c>
      <c r="J43" s="237" t="str">
        <f>IFERROR(__xludf.DUMMYFUNCTION("IF(REGEXMATCH(C43, ""M""), ""M"","""")"),"M")</f>
        <v>M</v>
      </c>
      <c r="K43" s="236" t="str">
        <f>IFERROR(__xludf.DUMMYFUNCTION("IF(REGEXMATCH(C43, ""P""), ""P"","""")"),"P")</f>
        <v>P</v>
      </c>
      <c r="L43" s="237" t="str">
        <f>IFERROR(__xludf.DUMMYFUNCTION("IF(REGEXMATCH(C43, ""d""), ""d"","""")"),"")</f>
        <v/>
      </c>
      <c r="M43" s="236" t="str">
        <f>IFERROR(__xludf.DUMMYFUNCTION("IF(REGEXMATCH(C43, ""D""), ""D"","""")"),"D")</f>
        <v>D</v>
      </c>
      <c r="N43" s="236" t="str">
        <f>IFERROR(__xludf.DUMMYFUNCTION("IF(REGEXMATCH(C43, ""n""), ""n"","""")"),"n")</f>
        <v>n</v>
      </c>
      <c r="O43" s="237" t="str">
        <f>IFERROR(__xludf.DUMMYFUNCTION("IF(REGEXMATCH(C43, ""N""), ""N"","""")"),"N")</f>
        <v>N</v>
      </c>
      <c r="P43" s="238" t="str">
        <f>IFERROR(__xludf.DUMMYFUNCTION("IF(REGEXMATCH(C43, ""S""), ""S"","""")"),"S")</f>
        <v>S</v>
      </c>
      <c r="Q43" s="239" t="str">
        <f>IFERROR(__xludf.DUMMYFUNCTION("SUBSTITUTE(CONCATENATE(JOIN(""-"",D43:J43)),""-"","""")"),"SrGmM")</f>
        <v>SrGmM</v>
      </c>
      <c r="R43" s="229" t="str">
        <f>IFERROR(__xludf.DUMMYFUNCTION("SUBSTITUTE(CONCATENATE(JOIN(""-"",K43:P43)),""-"","""")"),"PDnNS")</f>
        <v>PDnNS</v>
      </c>
      <c r="S43" s="282" t="str">
        <f t="shared" si="8"/>
        <v>S-R-G-M</v>
      </c>
      <c r="T43" s="282" t="str">
        <f t="shared" si="9"/>
        <v>P-D-N-S</v>
      </c>
      <c r="U43" s="237" t="str">
        <f>IFERROR(__xludf.DUMMYFUNCTION("SUBSTITUTE(JOIN(""-"",S43,T43),""--"",""-"")"),"S-R-G-M-P-D-N-S")</f>
        <v>S-R-G-M-P-D-N-S</v>
      </c>
      <c r="V43" s="309" t="str">
        <f t="shared" si="10"/>
        <v>rGmMDnN</v>
      </c>
      <c r="W43" s="244" t="str">
        <f>IFERROR(__xludf.DUMMYFUNCTION("IF(REGEXMATCH(C43, ""S""), ""0"","""")"),"0")</f>
        <v>0</v>
      </c>
      <c r="X43" s="245" t="str">
        <f>IFERROR(__xludf.DUMMYFUNCTION("IF(REGEXMATCH(C43, ""r""), ""1"","""")"),"1")</f>
        <v>1</v>
      </c>
      <c r="Y43" s="246" t="str">
        <f>IFERROR(__xludf.DUMMYFUNCTION("IF(REGEXMATCH(C43, ""R""), ""2"","""")"),"")</f>
        <v/>
      </c>
      <c r="Z43" s="246" t="str">
        <f>IFERROR(__xludf.DUMMYFUNCTION("IF(REGEXMATCH(C43, ""g""), ""3"","""")"),"")</f>
        <v/>
      </c>
      <c r="AA43" s="245" t="str">
        <f>IFERROR(__xludf.DUMMYFUNCTION("IF(REGEXMATCH(C43, ""G""), ""4"","""")"),"4")</f>
        <v>4</v>
      </c>
      <c r="AB43" s="245" t="str">
        <f>IFERROR(__xludf.DUMMYFUNCTION("IF(REGEXMATCH(C43, ""m""), ""5"","""")"),"5")</f>
        <v>5</v>
      </c>
      <c r="AC43" s="246" t="str">
        <f>IFERROR(__xludf.DUMMYFUNCTION("IF(REGEXMATCH(C43, ""M""), ""6"","""")"),"6")</f>
        <v>6</v>
      </c>
      <c r="AD43" s="245" t="str">
        <f>IFERROR(__xludf.DUMMYFUNCTION("IF(REGEXMATCH(C43, ""P""), ""7"","""")"),"7")</f>
        <v>7</v>
      </c>
      <c r="AE43" s="246" t="str">
        <f>IFERROR(__xludf.DUMMYFUNCTION("IF(REGEXMATCH(C43, ""d""), ""8"","""")"),"")</f>
        <v/>
      </c>
      <c r="AF43" s="245" t="str">
        <f>IFERROR(__xludf.DUMMYFUNCTION("IF(REGEXMATCH(C43, ""D""), ""9"","""")"),"9")</f>
        <v>9</v>
      </c>
      <c r="AG43" s="245" t="str">
        <f>IFERROR(__xludf.DUMMYFUNCTION("IF(REGEXMATCH(C43, ""n""), ""10"","""")"),"10")</f>
        <v>10</v>
      </c>
      <c r="AH43" s="246" t="str">
        <f>IFERROR(__xludf.DUMMYFUNCTION("IF(REGEXMATCH(C43, ""N""), ""11"","""")"),"11")</f>
        <v>11</v>
      </c>
      <c r="AI43" s="249" t="str">
        <f>IFERROR(__xludf.DUMMYFUNCTION("IF(REGEXMATCH(C43, ""S""), ""0"","""")"),"0")</f>
        <v>0</v>
      </c>
      <c r="AJ43" s="313" t="str">
        <f t="shared" si="11"/>
        <v>T</v>
      </c>
      <c r="AK43" s="313" t="str">
        <f t="shared" si="12"/>
        <v>T</v>
      </c>
      <c r="AL43" s="313" t="str">
        <f t="shared" si="13"/>
        <v>-</v>
      </c>
      <c r="AM43" s="313" t="str">
        <f t="shared" si="14"/>
        <v>-</v>
      </c>
      <c r="AN43" s="313" t="str">
        <f t="shared" si="15"/>
        <v>T</v>
      </c>
      <c r="AO43" s="314" t="str">
        <f t="shared" si="16"/>
        <v>T</v>
      </c>
      <c r="AP43" s="316">
        <f t="shared" si="17"/>
        <v>4</v>
      </c>
      <c r="AQ43" s="319" t="str">
        <f t="shared" si="18"/>
        <v>-</v>
      </c>
      <c r="AR43" s="320">
        <f t="shared" si="19"/>
        <v>0</v>
      </c>
      <c r="AS43" s="250" t="str">
        <f>IFERROR(__xludf.DUMMYFUNCTION("SUBSTITUTE(SUBSTITUTE(CONCATENATE(JOIN("""",FP43:GA43)),""|"",""x""),""-"",""o"")"),"xxooxxxxoxxx")</f>
        <v>xxooxxxxoxxx</v>
      </c>
      <c r="AT43" s="323" t="str">
        <f>IFERROR(__xludf.DUMMYFUNCTION("JOIN("""",AS43,AS43)"),"xxooxxxxoxxxxxooxxxxoxxx")</f>
        <v>xxooxxxxoxxxxxooxxxxoxxx</v>
      </c>
      <c r="AU43" s="256" t="str">
        <f>IFERROR(__xludf.DUMMYFUNCTION("JOIN("""",ArrayFormula(MID(AS43,LEN(AS43)-SEQUENCE(1,LEN(AS43))+1,1)))"),"xxxoxxxxooxx")</f>
        <v>xxxoxxxxooxx</v>
      </c>
      <c r="AV43" s="256" t="str">
        <f>IFERROR(__xludf.DUMMYFUNCTION("LEFT(CONCATENATE(""x"",JOIN("""",ArrayFormula(MID(AS43,LEN(AS43)-SEQUENCE(1,LEN(AS43))+1,1)))),12)"),"xxxxoxxxxoox")</f>
        <v>xxxxoxxxxoox</v>
      </c>
      <c r="AW43" s="327" t="str">
        <f>IFERROR(__xludf.DUMMYFUNCTION("JOIN("""",AU43,AU43)"),"xxxoxxxxooxxxxxoxxxxooxx")</f>
        <v>xxxoxxxxooxxxxxoxxxxooxx</v>
      </c>
      <c r="AX43" s="239" t="str">
        <f>IFERROR(__xludf.DUMMYFUNCTION("IF(REGEXMATCH(AW43,AS43),""✔"",""-"")"),"-")</f>
        <v>-</v>
      </c>
      <c r="AY43" s="330" t="str">
        <f t="shared" si="20"/>
        <v>-</v>
      </c>
      <c r="AZ43" s="260" t="str">
        <f t="shared" si="21"/>
        <v>#REF!</v>
      </c>
      <c r="BA43" s="333" t="str">
        <f t="shared" si="22"/>
        <v>xxooxxx</v>
      </c>
      <c r="BB43" s="334" t="str">
        <f t="shared" si="23"/>
        <v>xoxxxx</v>
      </c>
      <c r="BC43" s="335" t="str">
        <f t="shared" si="236"/>
        <v>-</v>
      </c>
      <c r="BD43" s="336" t="str">
        <f t="shared" si="25"/>
        <v>Basanti Kanada: 'xxooxxx' + 'xoxxxx'</v>
      </c>
      <c r="BE43" s="337">
        <f>IFERROR(__xludf.DUMMYFUNCTION("COUNTUNIQUE(FILTER(AT:AT,REGEXMATCH(AT:AT,AS43)))-1"),1.0)</f>
        <v>1</v>
      </c>
      <c r="BF43" s="261" t="str">
        <f>IFERROR(__xludf.DUMMYFUNCTION("IF(BI43=0,""(n/a)"",IF(BJ43=2,""(PAIR)"",IF(REGEXMATCH(AT43,""xoxoxxoxoxox""),""Bilawal"",IF(REGEXMATCH(AT43,""xoxoxooxoxoo""),""Bhupali"",IF(REGEXMATCH(AT43,""xoxoxxoxxoxo""),""Charukeshi"",IF(REGEXMATCH(AT43,""xoxoooxxoxxo""),""Kameshwari"",IF(REGEXMATC"&amp;"H(AT43,""xoxoxooxoxox""),""Shankara"",IF(REGEXMATCH(AT43,""xxooxoxxxoox""),""Basant"",IF(REGEXMATCH(AT43,""xoxoxxxxoxox""),""Bihag"",IF(REGEXMATCH(AT43,""xoxxxxoxoxxx""),""Pilu"",IF(REGEXMATCH(AT43,""xoxxoxoxxoox""),""Kirwani"",IF(REGEXMATCH(AT43,""xoxxox"&amp;"oxoxxx""),""Mk.Malhar"",IF(REGEXMATCH(AT43,""xxooxxoxxoox""),""Bhairav"",IF(REGEXMATCH(AT43,""xxoxooxxxoox""),""Todi"",IF(REGEXMATCH(AT43,""xxooxoxooxox""),""Marwa"",IF(REGEXMATCH(AT43,""xxoooxoxxooo""),""Gunkali"",IF(REGEXMATCH(AT43,""xoxoxxoxxoox""),""N"&amp;"at Bhairav"",IF(REGEXMATCH(AT43,""xoxxoooxoxoo""),""Shivranjani"",IF(REGEXMATCH(AT43,""xooxxxoxooxo""),""Jog"",IF(REGEXMATCH(AT43,""xxooxoxoxoox""),""Hemshri"",IF(REGEXMATCH(AT43,""xoooxooxoxxo""),""Kalavati"",IF(REGEXMATCH(AT43,""xxoxoxxoxoox""),""Kedar"&amp;""",IF(REGEXMATCH(AT43,""xoxxxxoxooxx""),""Gara"",IF(REGEXMATCH(AT43,""xooxoxooxoox""),""Chandrakauns"",IF(REGEXMATCH(AT43,""xoxxxxoxxxox""),""Mand"",IF(REGEXMATCH(AT43,""xoxxxxoxoxox""),""Hanskinkini"",IF(REGEXMATCH(AT43,""xxooxxoxooxo""),""Lilavati"",IF("&amp;"REGEXMATCH(AT43,""xooxoxoooxox""),""Rajeshwari"",IF(REGEXMATCH(AT43,""xoooxxoxoxxx""),""Khokar"",IF(REGEXMATCH(AT43,""xxooxoxxxxox""),""Maligoura"",""-""))))))))))))))))))))))))))))))"),"(PAIR)")</f>
        <v>(PAIR)</v>
      </c>
      <c r="BG43" s="239" t="str">
        <f t="shared" si="26"/>
        <v>#REF!</v>
      </c>
      <c r="BH43" s="239">
        <f>IFERROR(__xludf.DUMMYFUNCTION("COUNTUNIQUE(FE43:FO43)-1"),8.0)</f>
        <v>8</v>
      </c>
      <c r="BI43" s="239">
        <f>IFERROR(__xludf.DUMMYFUNCTION("COUNTUNIQUE(FILTER(AT:AT,REGEXMATCH(AT:AT,AS43)))-1"),1.0)</f>
        <v>1</v>
      </c>
      <c r="BJ43" s="239">
        <f>IFERROR(__xludf.DUMMYFUNCTION("COUNTA(FILTER(AT:AT,REGEXMATCH(AT:AT,AS43)))"),2.0)</f>
        <v>2</v>
      </c>
      <c r="BK43" s="341">
        <f>IFERROR(__xludf.DUMMYFUNCTION("COUNTA(FILTER(AT:AT,REGEXMATCH(AT:AT,AS43)))-AR43"),2.0)</f>
        <v>2</v>
      </c>
      <c r="BL43" s="276" t="str">
        <f>IFERROR(__xludf.DUMMYFUNCTION("IF(AS43=""oooooooooooo"",""-"",IF(REGEXMATCH(AT43,""xx""), ""Hemi."", ""Anhemi.""))"),"Hemi.")</f>
        <v>Hemi.</v>
      </c>
      <c r="BM43" s="282" t="str">
        <f>IFERROR(__xludf.DUMMYFUNCTION("IF(AS43=""oooooooooooo"",""-"",IF(REGEXMATCH(AT43,""xxx""), ""Cohem."", ""-""))"),"Cohem.")</f>
        <v>Cohem.</v>
      </c>
      <c r="BN43" s="282" t="str">
        <f>IFERROR(__xludf.DUMMYFUNCTION("IF(AS43=""oooooooooooo"",""-"",IF(REGEXMATCH(AT43,""xxxx""), ""Co-Co."", ""-""))"),"Co-Co.")</f>
        <v>Co-Co.</v>
      </c>
      <c r="BO43" s="342" t="str">
        <f>IFERROR(__xludf.DUMMYFUNCTION("IF(AS43=""oooooooooooo"",""-"",IF(REGEXMATCH(AT43,""xxxxx""), ""CCC."", ""-""))"),"CCC.")</f>
        <v>CCC.</v>
      </c>
      <c r="BP43" s="344" t="str">
        <f t="shared" si="27"/>
        <v>-</v>
      </c>
      <c r="BQ43" s="282" t="str">
        <f>IFERROR(__xludf.DUMMYFUNCTION("IF(REGEXMATCH(JOIN(""-"",EU43:FD43),""TRUE""),""✔"",""-"")"),"-")</f>
        <v>-</v>
      </c>
      <c r="BR43" s="225">
        <f t="shared" si="28"/>
        <v>0</v>
      </c>
      <c r="BS43" s="345" t="str">
        <f>IFERROR(__xludf.DUMMYFUNCTION("SUBSTITUTE(SUBSTITUTE(SUBSTITUTE(SUBSTITUTE(CONCATENATE(JOIN(""-"",GC43:GO43)),""--"",""-""),""--"",""-""),""--"",""-""),""--"",""-"")"),"1-b2-3-4-#4-5-6-b7-7-8")</f>
        <v>1-b2-3-4-#4-5-6-b7-7-8</v>
      </c>
      <c r="BT43" s="299" t="str">
        <f>IFERROR(__xludf.DUMMYFUNCTION("SUBSTITUTE(SUBSTITUTE(SUBSTITUTE(SUBSTITUTE(CONCATENATE(JOIN(""-"",GP43:HB43)),""--"",""-""),""--"",""-""),""--"",""-""),""--"",""-"")"),"S-R1-G3-M1-M2-P-D2-N2-N3-S")</f>
        <v>S-R1-G3-M1-M2-P-D2-N2-N3-S</v>
      </c>
      <c r="BU43" s="348" t="str">
        <f t="shared" si="29"/>
        <v>C-Db-E-F-F#-G-A-Bb-B-C</v>
      </c>
      <c r="BV43" s="349" t="str">
        <f t="shared" si="30"/>
        <v>SRgdS</v>
      </c>
      <c r="BW43" s="350">
        <f t="shared" si="31"/>
        <v>0</v>
      </c>
      <c r="BX43" s="351">
        <f t="shared" si="32"/>
        <v>1</v>
      </c>
      <c r="BY43" s="352" t="s">
        <v>275</v>
      </c>
      <c r="BZ43" s="309" t="str">
        <f>IFERROR(__xludf.DUMMYFUNCTION("IF(REGEXMATCH(C43, ""S""), ""x"",""x"")"),"x")</f>
        <v>x</v>
      </c>
      <c r="CA43" s="245" t="str">
        <f>IFERROR(__xludf.DUMMYFUNCTION("IF(REGEXMATCH(C43, ""r""), ""o"",""x"")"),"o")</f>
        <v>o</v>
      </c>
      <c r="CB43" s="246" t="str">
        <f>IFERROR(__xludf.DUMMYFUNCTION("IF(REGEXMATCH(C43, ""R""), ""o"",""x"")"),"x")</f>
        <v>x</v>
      </c>
      <c r="CC43" s="246" t="str">
        <f>IFERROR(__xludf.DUMMYFUNCTION("IF(REGEXMATCH(C43, ""g""), ""o"",""x"")"),"x")</f>
        <v>x</v>
      </c>
      <c r="CD43" s="245" t="str">
        <f>IFERROR(__xludf.DUMMYFUNCTION("IF(REGEXMATCH(C43, ""G""), ""o"",""x"")"),"o")</f>
        <v>o</v>
      </c>
      <c r="CE43" s="245" t="str">
        <f>IFERROR(__xludf.DUMMYFUNCTION("IF(REGEXMATCH(C43, ""m""), ""o"",""x"")"),"o")</f>
        <v>o</v>
      </c>
      <c r="CF43" s="246" t="str">
        <f>IFERROR(__xludf.DUMMYFUNCTION("IF(REGEXMATCH(C43, ""M""), ""o"",""x"")"),"o")</f>
        <v>o</v>
      </c>
      <c r="CG43" s="245" t="str">
        <f>IFERROR(__xludf.DUMMYFUNCTION("IF(REGEXMATCH(C43, ""P""), ""o"",""x"")"),"o")</f>
        <v>o</v>
      </c>
      <c r="CH43" s="246" t="str">
        <f>IFERROR(__xludf.DUMMYFUNCTION("IF(REGEXMATCH(C43, ""d""), ""o"",""x"")"),"x")</f>
        <v>x</v>
      </c>
      <c r="CI43" s="245" t="str">
        <f>IFERROR(__xludf.DUMMYFUNCTION("IF(REGEXMATCH(C43, ""D""), ""o"",""x"")"),"o")</f>
        <v>o</v>
      </c>
      <c r="CJ43" s="245" t="str">
        <f>IFERROR(__xludf.DUMMYFUNCTION("IF(REGEXMATCH(C43, ""n""), ""o"",""x"")"),"o")</f>
        <v>o</v>
      </c>
      <c r="CK43" s="245" t="str">
        <f>IFERROR(__xludf.DUMMYFUNCTION("IF(REGEXMATCH(C43, ""N""), ""o"",""x"")"),"o")</f>
        <v>o</v>
      </c>
      <c r="CL43" s="356" t="str">
        <f>IFERROR(__xludf.DUMMYFUNCTION("IF(REGEXMATCH(C43, ""S""), ""x"",""x"")"),"x")</f>
        <v>x</v>
      </c>
      <c r="CM43" s="357" t="str">
        <f t="shared" si="33"/>
        <v>xoxxooooxooo</v>
      </c>
      <c r="CN43" s="358">
        <f t="shared" si="34"/>
        <v>0</v>
      </c>
      <c r="CO43" s="246" t="str">
        <f>IFERROR(__xludf.DUMMYFUNCTION("IF(REGEXMATCH($C43, ""S""), ""S"",""S"")"),"S")</f>
        <v>S</v>
      </c>
      <c r="CP43" s="246" t="str">
        <f>IFERROR(__xludf.DUMMYFUNCTION("IF(REGEXMATCH($C43, ""r""), """",""r"")"),"")</f>
        <v/>
      </c>
      <c r="CQ43" s="246" t="str">
        <f>IFERROR(__xludf.DUMMYFUNCTION("IF(REGEXMATCH($C43, ""R""), """",""R"")"),"R")</f>
        <v>R</v>
      </c>
      <c r="CR43" s="246" t="str">
        <f>IFERROR(__xludf.DUMMYFUNCTION("IF(REGEXMATCH($C43, ""g""), """",""g"")"),"g")</f>
        <v>g</v>
      </c>
      <c r="CS43" s="246" t="str">
        <f>IFERROR(__xludf.DUMMYFUNCTION("IF(REGEXMATCH($C43, ""G""), """",""G"")"),"")</f>
        <v/>
      </c>
      <c r="CT43" s="246" t="str">
        <f>IFERROR(__xludf.DUMMYFUNCTION("IF(REGEXMATCH($C43, ""m""), """",""m"")"),"")</f>
        <v/>
      </c>
      <c r="CU43" s="246" t="str">
        <f>IFERROR(__xludf.DUMMYFUNCTION("IF(REGEXMATCH($C43, ""M""), """",""M"")"),"")</f>
        <v/>
      </c>
      <c r="CV43" s="246" t="str">
        <f>IFERROR(__xludf.DUMMYFUNCTION("IF(REGEXMATCH($C43, ""P""), """",""P"")"),"")</f>
        <v/>
      </c>
      <c r="CW43" s="246" t="str">
        <f>IFERROR(__xludf.DUMMYFUNCTION("IF(REGEXMATCH($C43, ""d""), """",""d"")"),"d")</f>
        <v>d</v>
      </c>
      <c r="CX43" s="246" t="str">
        <f>IFERROR(__xludf.DUMMYFUNCTION("IF(REGEXMATCH($C43, ""D""), """",""D"")"),"")</f>
        <v/>
      </c>
      <c r="CY43" s="246" t="str">
        <f>IFERROR(__xludf.DUMMYFUNCTION("IF(REGEXMATCH($C43, ""n""), """",""n"")"),"")</f>
        <v/>
      </c>
      <c r="CZ43" s="246" t="str">
        <f>IFERROR(__xludf.DUMMYFUNCTION("IF(REGEXMATCH($C43, ""N""), """",""N"")"),"")</f>
        <v/>
      </c>
      <c r="DA43" s="246" t="str">
        <f>IFERROR(__xludf.DUMMYFUNCTION("IF(REGEXMATCH($C43, ""S""), ""S"",""S"")"),"S")</f>
        <v>S</v>
      </c>
      <c r="DB43" s="362" t="str">
        <f>IFERROR(__xludf.DUMMYFUNCTION("JOIN("""",CO43:DA43,"""","""")"),"SRgdS")</f>
        <v>SRgdS</v>
      </c>
      <c r="DC43" s="363"/>
      <c r="DD43" s="301" t="str">
        <f t="shared" si="35"/>
        <v>#REF!</v>
      </c>
      <c r="DE43" s="302" t="str">
        <f t="shared" si="36"/>
        <v>#REF!</v>
      </c>
      <c r="DF43" s="301" t="str">
        <f t="shared" ref="DF43:DG43" si="279">SUBSTITUTE(S43,"-","")</f>
        <v>SRGM</v>
      </c>
      <c r="DG43" s="301" t="str">
        <f t="shared" si="279"/>
        <v>PDNS</v>
      </c>
      <c r="DH43" s="302" t="str">
        <f t="shared" si="38"/>
        <v>(PAIR)</v>
      </c>
      <c r="DI43" s="301" t="str">
        <f t="shared" si="39"/>
        <v>Hemi.</v>
      </c>
      <c r="DJ43" s="364" t="str">
        <f t="shared" si="40"/>
        <v>CCC.</v>
      </c>
      <c r="DK43" s="306" t="str">
        <f t="shared" si="41"/>
        <v>-</v>
      </c>
      <c r="DL43" s="366" t="str">
        <f t="shared" si="42"/>
        <v>-</v>
      </c>
      <c r="DM43" s="308" t="str">
        <f t="shared" si="43"/>
        <v>✔</v>
      </c>
      <c r="DN43" s="306" t="str">
        <f t="shared" si="44"/>
        <v>-</v>
      </c>
      <c r="DO43" s="306" t="str">
        <f t="shared" si="45"/>
        <v>-</v>
      </c>
      <c r="DP43" s="367" t="str">
        <f t="shared" si="46"/>
        <v>-</v>
      </c>
      <c r="DQ43" s="310" t="str">
        <f t="shared" si="47"/>
        <v>-</v>
      </c>
      <c r="DR43" s="310" t="str">
        <f t="shared" si="48"/>
        <v>-</v>
      </c>
      <c r="DS43" s="310" t="str">
        <f t="shared" si="49"/>
        <v>✔</v>
      </c>
      <c r="DT43" s="310" t="str">
        <f t="shared" si="50"/>
        <v>-</v>
      </c>
      <c r="DU43" s="370" t="str">
        <f t="shared" si="51"/>
        <v>✔</v>
      </c>
      <c r="DV43" s="306" t="str">
        <f t="shared" si="52"/>
        <v>-</v>
      </c>
      <c r="DW43" s="306" t="str">
        <f t="shared" si="53"/>
        <v>-</v>
      </c>
      <c r="DX43" s="306" t="str">
        <f t="shared" si="54"/>
        <v>-</v>
      </c>
      <c r="DY43" s="306" t="str">
        <f t="shared" si="55"/>
        <v>-</v>
      </c>
      <c r="DZ43" s="306" t="str">
        <f t="shared" si="56"/>
        <v>-</v>
      </c>
      <c r="EA43" s="367" t="str">
        <f t="shared" si="57"/>
        <v>-</v>
      </c>
      <c r="EB43" s="310" t="str">
        <f>IFERROR(__xludf.DUMMYFUNCTION("IF(REGEXMATCH(AW43,AS43),""✔"",""-"")"),"-")</f>
        <v>-</v>
      </c>
      <c r="EC43" s="310" t="str">
        <f t="shared" si="58"/>
        <v>#REF!</v>
      </c>
      <c r="ED43" s="370" t="str">
        <f t="shared" si="59"/>
        <v>-</v>
      </c>
      <c r="EE43" s="340" t="str">
        <f t="shared" si="60"/>
        <v>S-r-G-mM-P-D-nN-S</v>
      </c>
      <c r="EF43" s="371" t="str">
        <f>IFERROR(__xludf.DUMMYFUNCTION("CONCATENATE(JOIN("""",HC43:HO43))"),"SrRgmMPdNS")</f>
        <v>SrRgmMPdNS</v>
      </c>
      <c r="EG43" s="372">
        <f t="shared" si="61"/>
        <v>2</v>
      </c>
      <c r="EH43" s="373" t="str">
        <f>IFERROR(__xludf.DUMMYFUNCTION("CONCATENATE(JOIN("""",JC43:JO43))"),"re, Pa, ")</f>
        <v>re, Pa, </v>
      </c>
      <c r="EI43" s="322">
        <f t="shared" si="62"/>
        <v>0</v>
      </c>
      <c r="EJ43" s="374" t="str">
        <f>IFERROR(__xludf.DUMMYFUNCTION("CONCATENATE(JOIN("""",KC43:KO43))"),"")</f>
        <v/>
      </c>
      <c r="EK43" s="325" t="str">
        <f t="shared" si="63"/>
        <v>S-R1-G3-M1-M2-P-D2-N2-N3-S</v>
      </c>
      <c r="EL43" s="326" t="str">
        <f t="shared" si="64"/>
        <v>1-b2-3-4-#4-5-6-b7-7-8</v>
      </c>
      <c r="EM43" s="318" t="str">
        <f t="shared" si="65"/>
        <v>#REF!</v>
      </c>
      <c r="EN43" s="328" t="str">
        <f>IFERROR(__xludf.DUMMYFUNCTION("SUBSTITUTE(SUBSTITUTE(SUBSTITUTE(SUBSTITUTE(CONCATENATE(JOIN("" "",HP43:IB43)),""  "","" ""),""  "","" ""),""  "","" ""),""  "","" "")"),"o o • • o o o o • o o o o")</f>
        <v>o o • • o o o o • o o o o</v>
      </c>
      <c r="EO43" s="368" t="str">
        <f t="shared" si="66"/>
        <v>-</v>
      </c>
      <c r="EP43" s="339" t="str">
        <f t="shared" si="67"/>
        <v>-</v>
      </c>
      <c r="EQ43" s="339" t="str">
        <f t="shared" si="68"/>
        <v>Sa-Pa</v>
      </c>
      <c r="ER43" s="339" t="str">
        <f t="shared" si="69"/>
        <v>-</v>
      </c>
      <c r="ES43" s="340" t="str">
        <f t="shared" si="70"/>
        <v>-</v>
      </c>
      <c r="ET43" s="363"/>
      <c r="EU43" s="376" t="b">
        <f>IFERROR(__xludf.DUMMYFUNCTION("arrayformula(sum(--REGEXMATCH(""SRGMPDNS"",split(REGEXREPLACE(C43,""(.)"",""$1~""),""~""))))=len(C43)
"),FALSE)</f>
        <v>0</v>
      </c>
      <c r="EV43" s="290" t="b">
        <f>IFERROR(__xludf.DUMMYFUNCTION("arrayformula(sum(--REGEXMATCH(""SRGmPDNS"",split(REGEXREPLACE(C43,""(.)"",""$1~""),""~""))))=len(C43)"),FALSE)</f>
        <v>0</v>
      </c>
      <c r="EW43" s="290" t="b">
        <f>IFERROR(__xludf.DUMMYFUNCTION("arrayformula(sum(--REGEXMATCH(""SRGmPDnS"",split(REGEXREPLACE(C43,""(.)"",""$1~""),""~""))))=len(C43)"),FALSE)</f>
        <v>0</v>
      </c>
      <c r="EX43" s="290" t="b">
        <f>IFERROR(__xludf.DUMMYFUNCTION("arrayformula(sum(--REGEXMATCH(""SRgmPDnS"",split(REGEXREPLACE(C43,""(.)"",""$1~""),""~""))))=len(C43)"),FALSE)</f>
        <v>0</v>
      </c>
      <c r="EY43" s="290" t="b">
        <f>IFERROR(__xludf.DUMMYFUNCTION("arrayformula(sum(--REGEXMATCH(""SRgmPdnS"",split(REGEXREPLACE(C43,""(.)"",""$1~""),""~""))))=len(C43)"),FALSE)</f>
        <v>0</v>
      </c>
      <c r="EZ43" s="290" t="b">
        <f>IFERROR(__xludf.DUMMYFUNCTION("arrayformula(sum(--REGEXMATCH(""SrgmPdnS"",split(REGEXREPLACE(C43,""(.)"",""$1~""),""~""))))=len(C43)"),FALSE)</f>
        <v>0</v>
      </c>
      <c r="FA43" s="290" t="b">
        <f>IFERROR(__xludf.DUMMYFUNCTION("arrayformula(sum(--REGEXMATCH(""SrGmPdNS"",split(REGEXREPLACE(C43,""(.)"",""$1~""),""~""))))=len(C43)"),FALSE)</f>
        <v>0</v>
      </c>
      <c r="FB43" s="290" t="b">
        <f>IFERROR(__xludf.DUMMYFUNCTION("arrayformula(sum(--REGEXMATCH(""SrGMPDNS"",split(REGEXREPLACE(C43,""(.)"",""$1~""),""~""))))=len(C43)"),FALSE)</f>
        <v>0</v>
      </c>
      <c r="FC43" s="290" t="b">
        <f>IFERROR(__xludf.DUMMYFUNCTION("arrayformula(sum(--REGEXMATCH(""SrGMPdNS"",split(REGEXREPLACE(C43,""(.)"",""$1~""),""~""))))=len(C43)"),FALSE)</f>
        <v>0</v>
      </c>
      <c r="FD43" s="377" t="b">
        <f>IFERROR(__xludf.DUMMYFUNCTION("arrayformula(sum(--REGEXMATCH(""SrgMPdNS"",split(REGEXREPLACE(C43,""(.)"",""$1~""),""~""))))=len(C43)"),FALSE)</f>
        <v>0</v>
      </c>
      <c r="FE43" s="269" t="str">
        <f t="shared" si="71"/>
        <v>xooxxxxoxxx</v>
      </c>
      <c r="FF43" s="269" t="str">
        <f t="shared" si="72"/>
        <v>-</v>
      </c>
      <c r="FG43" s="271" t="str">
        <f t="shared" si="73"/>
        <v>-</v>
      </c>
      <c r="FH43" s="269" t="str">
        <f t="shared" si="74"/>
        <v>xxxxoxxxxxo</v>
      </c>
      <c r="FI43" s="271" t="str">
        <f t="shared" si="75"/>
        <v>xxxoxxxxxoo</v>
      </c>
      <c r="FJ43" s="271" t="str">
        <f t="shared" si="76"/>
        <v>xxoxxxxxoox</v>
      </c>
      <c r="FK43" s="271" t="str">
        <f t="shared" si="77"/>
        <v>xoxxxxxooxx</v>
      </c>
      <c r="FL43" s="271" t="str">
        <f t="shared" si="78"/>
        <v>-</v>
      </c>
      <c r="FM43" s="271" t="str">
        <f t="shared" si="79"/>
        <v>xxxxxooxxxx</v>
      </c>
      <c r="FN43" s="271" t="str">
        <f t="shared" si="80"/>
        <v>xxxxooxxxxo</v>
      </c>
      <c r="FO43" s="274" t="str">
        <f t="shared" si="81"/>
        <v>xxxooxxxxox</v>
      </c>
      <c r="FP43" s="234" t="str">
        <f t="shared" si="82"/>
        <v>|</v>
      </c>
      <c r="FQ43" s="236" t="str">
        <f t="shared" si="83"/>
        <v>|</v>
      </c>
      <c r="FR43" s="237" t="str">
        <f t="shared" si="84"/>
        <v>-</v>
      </c>
      <c r="FS43" s="236" t="str">
        <f t="shared" si="85"/>
        <v>-</v>
      </c>
      <c r="FT43" s="237" t="str">
        <f t="shared" si="86"/>
        <v>|</v>
      </c>
      <c r="FU43" s="236" t="str">
        <f t="shared" si="87"/>
        <v>|</v>
      </c>
      <c r="FV43" s="237" t="str">
        <f t="shared" si="88"/>
        <v>|</v>
      </c>
      <c r="FW43" s="236" t="str">
        <f t="shared" si="89"/>
        <v>|</v>
      </c>
      <c r="FX43" s="237" t="str">
        <f t="shared" si="90"/>
        <v>-</v>
      </c>
      <c r="FY43" s="236" t="str">
        <f t="shared" si="91"/>
        <v>|</v>
      </c>
      <c r="FZ43" s="237" t="str">
        <f t="shared" si="92"/>
        <v>|</v>
      </c>
      <c r="GA43" s="236" t="str">
        <f t="shared" si="93"/>
        <v>|</v>
      </c>
      <c r="GB43" s="238" t="str">
        <f t="shared" si="94"/>
        <v>|</v>
      </c>
      <c r="GC43" s="244" t="str">
        <f>IFERROR(__xludf.DUMMYFUNCTION("IF(REGEXMATCH(C43, ""S""), ""1"","""")"),"1")</f>
        <v>1</v>
      </c>
      <c r="GD43" s="245" t="str">
        <f>IFERROR(__xludf.DUMMYFUNCTION("IF(REGEXMATCH(C43, ""r""), ""b2"","""")"),"b2")</f>
        <v>b2</v>
      </c>
      <c r="GE43" s="246" t="str">
        <f>IFERROR(__xludf.DUMMYFUNCTION("IF(REGEXMATCH(C43, ""R""), ""2"","""")"),"")</f>
        <v/>
      </c>
      <c r="GF43" s="246" t="str">
        <f>IFERROR(__xludf.DUMMYFUNCTION("IF(REGEXMATCH(C43, ""g""), ""b3"","""")"),"")</f>
        <v/>
      </c>
      <c r="GG43" s="245" t="str">
        <f>IFERROR(__xludf.DUMMYFUNCTION("IF(REGEXMATCH(C43, ""G""), ""3"","""")"),"3")</f>
        <v>3</v>
      </c>
      <c r="GH43" s="245" t="str">
        <f>IFERROR(__xludf.DUMMYFUNCTION("IF(REGEXMATCH(C43, ""m""), ""4"","""")"),"4")</f>
        <v>4</v>
      </c>
      <c r="GI43" s="246" t="str">
        <f>IFERROR(__xludf.DUMMYFUNCTION("IF(REGEXMATCH(C43, ""M""), ""#4"","""")"),"#4")</f>
        <v>#4</v>
      </c>
      <c r="GJ43" s="245" t="str">
        <f>IFERROR(__xludf.DUMMYFUNCTION("IF(REGEXMATCH(C43, ""P""), ""5"","""")"),"5")</f>
        <v>5</v>
      </c>
      <c r="GK43" s="246" t="str">
        <f>IFERROR(__xludf.DUMMYFUNCTION("IF(REGEXMATCH(C43, ""d""), ""b6"","""")"),"")</f>
        <v/>
      </c>
      <c r="GL43" s="245" t="str">
        <f>IFERROR(__xludf.DUMMYFUNCTION("IF(REGEXMATCH(C43, ""D""), ""6"","""")"),"6")</f>
        <v>6</v>
      </c>
      <c r="GM43" s="245" t="str">
        <f>IFERROR(__xludf.DUMMYFUNCTION("IF(REGEXMATCH(C43, ""n""), ""b7"","""")"),"b7")</f>
        <v>b7</v>
      </c>
      <c r="GN43" s="246" t="str">
        <f>IFERROR(__xludf.DUMMYFUNCTION("IF(REGEXMATCH(C43, ""N""), ""7"","""")"),"7")</f>
        <v>7</v>
      </c>
      <c r="GO43" s="249" t="str">
        <f>IFERROR(__xludf.DUMMYFUNCTION("IF(REGEXMATCH(C43, ""S""), ""8"","""")"),"8")</f>
        <v>8</v>
      </c>
      <c r="GP43" s="244" t="str">
        <f>IFERROR(__xludf.DUMMYFUNCTION("IF(REGEXMATCH(C43, ""S""), ""S"","""")"),"S")</f>
        <v>S</v>
      </c>
      <c r="GQ43" s="294" t="str">
        <f>IFERROR(__xludf.DUMMYFUNCTION("IF(REGEXMATCH(C43, ""r""), ""R1"","""")"),"R1")</f>
        <v>R1</v>
      </c>
      <c r="GR43" s="295" t="str">
        <f>IFERROR(__xludf.DUMMYFUNCTION("IF(REGEXMATCH(C43, ""R""), ""R2"","""")"),"")</f>
        <v/>
      </c>
      <c r="GS43" s="295" t="str">
        <f>IFERROR(__xludf.DUMMYFUNCTION("IF(REGEXMATCH(C43, ""g""), ""G2"","""")"),"")</f>
        <v/>
      </c>
      <c r="GT43" s="294" t="str">
        <f>IFERROR(__xludf.DUMMYFUNCTION("IF(REGEXMATCH(C43, ""G""), ""G3"","""")"),"G3")</f>
        <v>G3</v>
      </c>
      <c r="GU43" s="294" t="str">
        <f>IFERROR(__xludf.DUMMYFUNCTION("IF(REGEXMATCH(C43, ""m""), ""M1"","""")"),"M1")</f>
        <v>M1</v>
      </c>
      <c r="GV43" s="295" t="str">
        <f>IFERROR(__xludf.DUMMYFUNCTION("IF(REGEXMATCH(C43, ""M""), ""M2"","""")"),"M2")</f>
        <v>M2</v>
      </c>
      <c r="GW43" s="294" t="str">
        <f>IFERROR(__xludf.DUMMYFUNCTION("IF(REGEXMATCH(C43, ""P""), ""P"","""")"),"P")</f>
        <v>P</v>
      </c>
      <c r="GX43" s="295" t="str">
        <f>IFERROR(__xludf.DUMMYFUNCTION("IF(REGEXMATCH(C43, ""d""), ""D1"","""")"),"")</f>
        <v/>
      </c>
      <c r="GY43" s="294" t="str">
        <f>IFERROR(__xludf.DUMMYFUNCTION("IF(REGEXMATCH(C43, ""D""), ""D2"","""")"),"D2")</f>
        <v>D2</v>
      </c>
      <c r="GZ43" s="294" t="str">
        <f>IFERROR(__xludf.DUMMYFUNCTION("IF(REGEXMATCH(C43, ""n""), ""N2"","""")"),"N2")</f>
        <v>N2</v>
      </c>
      <c r="HA43" s="295" t="str">
        <f>IFERROR(__xludf.DUMMYFUNCTION("IF(REGEXMATCH(C43, ""N""), ""N3"","""")"),"N3")</f>
        <v>N3</v>
      </c>
      <c r="HB43" s="249" t="str">
        <f>IFERROR(__xludf.DUMMYFUNCTION("IF(REGEXMATCH(C43, ""S""), ""S"","""")"),"S")</f>
        <v>S</v>
      </c>
      <c r="HC43" s="331" t="str">
        <f t="shared" si="95"/>
        <v>S</v>
      </c>
      <c r="HD43" s="332" t="str">
        <f t="shared" si="96"/>
        <v>r</v>
      </c>
      <c r="HE43" s="332" t="str">
        <f t="shared" si="97"/>
        <v>R</v>
      </c>
      <c r="HF43" s="332" t="str">
        <f t="shared" si="98"/>
        <v>g</v>
      </c>
      <c r="HG43" s="332" t="str">
        <f t="shared" si="99"/>
        <v/>
      </c>
      <c r="HH43" s="332" t="str">
        <f t="shared" si="100"/>
        <v>m</v>
      </c>
      <c r="HI43" s="332" t="str">
        <f t="shared" si="101"/>
        <v>M</v>
      </c>
      <c r="HJ43" s="332" t="str">
        <f t="shared" si="102"/>
        <v>P</v>
      </c>
      <c r="HK43" s="332" t="str">
        <f t="shared" si="103"/>
        <v>d</v>
      </c>
      <c r="HL43" s="332" t="str">
        <f t="shared" si="104"/>
        <v/>
      </c>
      <c r="HM43" s="332" t="str">
        <f t="shared" si="105"/>
        <v/>
      </c>
      <c r="HN43" s="332" t="str">
        <f t="shared" si="106"/>
        <v>N</v>
      </c>
      <c r="HO43" s="343" t="str">
        <f t="shared" si="107"/>
        <v>S</v>
      </c>
      <c r="HP43" s="331" t="str">
        <f t="shared" si="108"/>
        <v>o</v>
      </c>
      <c r="HQ43" s="332" t="str">
        <f t="shared" si="109"/>
        <v>o</v>
      </c>
      <c r="HR43" s="332" t="str">
        <f t="shared" si="110"/>
        <v>•</v>
      </c>
      <c r="HS43" s="332" t="str">
        <f t="shared" si="111"/>
        <v>•</v>
      </c>
      <c r="HT43" s="332" t="str">
        <f t="shared" si="112"/>
        <v>o</v>
      </c>
      <c r="HU43" s="332" t="str">
        <f t="shared" si="113"/>
        <v>o</v>
      </c>
      <c r="HV43" s="332" t="str">
        <f t="shared" si="114"/>
        <v>o</v>
      </c>
      <c r="HW43" s="332" t="str">
        <f t="shared" si="115"/>
        <v>o</v>
      </c>
      <c r="HX43" s="332" t="str">
        <f t="shared" si="116"/>
        <v>•</v>
      </c>
      <c r="HY43" s="332" t="str">
        <f t="shared" si="117"/>
        <v>o</v>
      </c>
      <c r="HZ43" s="332" t="str">
        <f t="shared" si="118"/>
        <v>o</v>
      </c>
      <c r="IA43" s="332" t="str">
        <f t="shared" si="119"/>
        <v>o</v>
      </c>
      <c r="IB43" s="338" t="str">
        <f t="shared" si="120"/>
        <v>o</v>
      </c>
      <c r="IC43" s="331" t="str">
        <f t="shared" si="121"/>
        <v>•</v>
      </c>
      <c r="ID43" s="332" t="str">
        <f t="shared" si="122"/>
        <v>•</v>
      </c>
      <c r="IE43" s="332" t="str">
        <f t="shared" si="123"/>
        <v>o</v>
      </c>
      <c r="IF43" s="332" t="str">
        <f t="shared" si="124"/>
        <v>o</v>
      </c>
      <c r="IG43" s="332" t="str">
        <f t="shared" si="125"/>
        <v>•</v>
      </c>
      <c r="IH43" s="332" t="str">
        <f t="shared" si="126"/>
        <v>•</v>
      </c>
      <c r="II43" s="332" t="str">
        <f t="shared" si="127"/>
        <v>•</v>
      </c>
      <c r="IJ43" s="332" t="str">
        <f t="shared" si="128"/>
        <v>•</v>
      </c>
      <c r="IK43" s="332" t="str">
        <f t="shared" si="129"/>
        <v>o</v>
      </c>
      <c r="IL43" s="332" t="str">
        <f t="shared" si="130"/>
        <v>•</v>
      </c>
      <c r="IM43" s="332" t="str">
        <f t="shared" si="131"/>
        <v>•</v>
      </c>
      <c r="IN43" s="332" t="str">
        <f t="shared" si="132"/>
        <v>•</v>
      </c>
      <c r="IO43" s="338" t="str">
        <f t="shared" si="133"/>
        <v>•</v>
      </c>
      <c r="IP43" s="346" t="b">
        <f t="shared" si="134"/>
        <v>0</v>
      </c>
      <c r="IQ43" s="347" t="b">
        <f t="shared" si="135"/>
        <v>1</v>
      </c>
      <c r="IR43" s="347" t="b">
        <f t="shared" si="136"/>
        <v>0</v>
      </c>
      <c r="IS43" s="347" t="b">
        <f t="shared" si="137"/>
        <v>0</v>
      </c>
      <c r="IT43" s="347" t="b">
        <f t="shared" si="138"/>
        <v>0</v>
      </c>
      <c r="IU43" s="347" t="b">
        <f t="shared" si="139"/>
        <v>0</v>
      </c>
      <c r="IV43" s="347" t="b">
        <f t="shared" si="140"/>
        <v>0</v>
      </c>
      <c r="IW43" s="347" t="b">
        <f t="shared" si="141"/>
        <v>1</v>
      </c>
      <c r="IX43" s="347" t="b">
        <f t="shared" si="142"/>
        <v>0</v>
      </c>
      <c r="IY43" s="347" t="b">
        <f t="shared" si="143"/>
        <v>0</v>
      </c>
      <c r="IZ43" s="347" t="b">
        <f t="shared" si="144"/>
        <v>0</v>
      </c>
      <c r="JA43" s="347" t="b">
        <f t="shared" si="145"/>
        <v>0</v>
      </c>
      <c r="JB43" s="353" t="b">
        <f t="shared" si="146"/>
        <v>0</v>
      </c>
      <c r="JC43" s="354" t="str">
        <f t="shared" si="147"/>
        <v/>
      </c>
      <c r="JD43" s="355" t="str">
        <f t="shared" si="148"/>
        <v>re, </v>
      </c>
      <c r="JE43" s="355" t="str">
        <f t="shared" si="149"/>
        <v/>
      </c>
      <c r="JF43" s="355" t="str">
        <f t="shared" si="150"/>
        <v/>
      </c>
      <c r="JG43" s="355" t="str">
        <f t="shared" si="151"/>
        <v/>
      </c>
      <c r="JH43" s="355" t="str">
        <f t="shared" si="152"/>
        <v/>
      </c>
      <c r="JI43" s="355" t="str">
        <f t="shared" si="153"/>
        <v/>
      </c>
      <c r="JJ43" s="355" t="str">
        <f t="shared" si="154"/>
        <v>Pa, </v>
      </c>
      <c r="JK43" s="355" t="str">
        <f t="shared" si="155"/>
        <v/>
      </c>
      <c r="JL43" s="355" t="str">
        <f t="shared" si="156"/>
        <v/>
      </c>
      <c r="JM43" s="355" t="str">
        <f t="shared" si="157"/>
        <v/>
      </c>
      <c r="JN43" s="355" t="str">
        <f t="shared" si="158"/>
        <v/>
      </c>
      <c r="JO43" s="359" t="str">
        <f t="shared" si="159"/>
        <v/>
      </c>
      <c r="JP43" s="346" t="b">
        <f t="shared" si="160"/>
        <v>0</v>
      </c>
      <c r="JQ43" s="347" t="b">
        <f t="shared" si="161"/>
        <v>0</v>
      </c>
      <c r="JR43" s="347" t="b">
        <f t="shared" si="162"/>
        <v>0</v>
      </c>
      <c r="JS43" s="347" t="b">
        <f t="shared" si="163"/>
        <v>0</v>
      </c>
      <c r="JT43" s="347" t="b">
        <f t="shared" si="164"/>
        <v>0</v>
      </c>
      <c r="JU43" s="347" t="b">
        <f t="shared" si="165"/>
        <v>0</v>
      </c>
      <c r="JV43" s="347" t="b">
        <f t="shared" si="166"/>
        <v>0</v>
      </c>
      <c r="JW43" s="347" t="b">
        <f t="shared" si="167"/>
        <v>0</v>
      </c>
      <c r="JX43" s="347" t="b">
        <f t="shared" si="168"/>
        <v>0</v>
      </c>
      <c r="JY43" s="347" t="b">
        <f t="shared" si="169"/>
        <v>0</v>
      </c>
      <c r="JZ43" s="347" t="b">
        <f t="shared" si="170"/>
        <v>0</v>
      </c>
      <c r="KA43" s="347" t="b">
        <f t="shared" si="171"/>
        <v>0</v>
      </c>
      <c r="KB43" s="365" t="b">
        <f t="shared" si="172"/>
        <v>0</v>
      </c>
      <c r="KC43" s="354" t="str">
        <f t="shared" si="173"/>
        <v/>
      </c>
      <c r="KD43" s="355" t="str">
        <f t="shared" si="174"/>
        <v/>
      </c>
      <c r="KE43" s="355" t="str">
        <f t="shared" si="175"/>
        <v/>
      </c>
      <c r="KF43" s="355" t="str">
        <f t="shared" si="176"/>
        <v/>
      </c>
      <c r="KG43" s="355" t="str">
        <f t="shared" si="177"/>
        <v/>
      </c>
      <c r="KH43" s="355" t="str">
        <f t="shared" si="178"/>
        <v/>
      </c>
      <c r="KI43" s="355" t="str">
        <f t="shared" si="179"/>
        <v/>
      </c>
      <c r="KJ43" s="355" t="str">
        <f t="shared" si="180"/>
        <v/>
      </c>
      <c r="KK43" s="355" t="str">
        <f t="shared" si="181"/>
        <v/>
      </c>
      <c r="KL43" s="355" t="str">
        <f t="shared" si="182"/>
        <v/>
      </c>
      <c r="KM43" s="355" t="str">
        <f t="shared" si="183"/>
        <v/>
      </c>
      <c r="KN43" s="355" t="str">
        <f t="shared" si="184"/>
        <v/>
      </c>
      <c r="KO43" s="359"/>
      <c r="KP43" s="378"/>
      <c r="KQ43" s="379" t="s">
        <v>9</v>
      </c>
      <c r="KR43" s="380" t="s">
        <v>9</v>
      </c>
      <c r="KS43" s="381" t="s">
        <v>9</v>
      </c>
      <c r="KT43" s="382">
        <f t="shared" si="186"/>
        <v>0</v>
      </c>
      <c r="KU43" s="383">
        <f t="shared" si="187"/>
        <v>0</v>
      </c>
      <c r="KV43" s="381" t="str">
        <f t="shared" si="205"/>
        <v>S</v>
      </c>
      <c r="KW43" s="382">
        <f t="shared" si="189"/>
        <v>0</v>
      </c>
      <c r="KX43" s="384">
        <f t="shared" si="190"/>
        <v>0</v>
      </c>
      <c r="KY43" s="382">
        <f t="shared" ref="KY43:KZ43" si="280">KW43-KT43</f>
        <v>0</v>
      </c>
      <c r="KZ43" s="369">
        <f t="shared" si="280"/>
        <v>0</v>
      </c>
      <c r="LA43" s="385" t="str">
        <f t="shared" si="192"/>
        <v>✔</v>
      </c>
      <c r="LB43" s="340" t="str">
        <f>IFERROR(__xludf.DUMMYFUNCTION("JOIN("""",ArrayFormula(MID(KS43,LEN(KS43)-SEQUENCE(1,LEN(KS43))+1,1)))"),"S")</f>
        <v>S</v>
      </c>
      <c r="LC43" s="373" t="str">
        <f>IFERROR(__xludf.DUMMYFUNCTION("JOIN("""",ArrayFormula(MID(KV43,LEN(KV43)-SEQUENCE(1,LEN(KV43))+1,1)))"),"S")</f>
        <v>S</v>
      </c>
      <c r="LD43" s="373" t="str">
        <f t="shared" si="193"/>
        <v>S</v>
      </c>
      <c r="LE43" s="339" t="str">
        <f t="shared" si="194"/>
        <v>S</v>
      </c>
      <c r="LF43" s="386" t="str">
        <f>IFERROR(__xludf.DUMMYFUNCTION("SUBSTITUTE(SUBSTITUTE(CONCATENATE(JOIN("""",LH43:LT43)),""1"",""""),""2"","""")"),"SS")</f>
        <v>SS</v>
      </c>
      <c r="LG43" s="369" t="str">
        <f t="shared" si="195"/>
        <v>-</v>
      </c>
      <c r="LH43" s="387" t="str">
        <f>IFERROR(__xludf.DUMMYFUNCTION("IF(REGEXMATCH(LD43, ""S""), ""S"",IF(REGEXMATCH(LE43, ""S""), ""S"",""""))"),"S")</f>
        <v>S</v>
      </c>
      <c r="LI43" s="299" t="str">
        <f>IFERROR(__xludf.DUMMYFUNCTION("IF(REGEXMATCH(LD43, ""r""), ""r1"",IF(REGEXMATCH(LE43, ""r""), ""r2"",""""))"),"")</f>
        <v/>
      </c>
      <c r="LJ43" s="299" t="str">
        <f>IFERROR(__xludf.DUMMYFUNCTION("IF(REGEXMATCH(LD43, ""R""), ""R1"",IF(REGEXMATCH(LE43, ""R""), ""R2"",""""))"),"")</f>
        <v/>
      </c>
      <c r="LK43" s="299" t="str">
        <f>IFERROR(__xludf.DUMMYFUNCTION("IF(REGEXMATCH(LD43, ""g""), ""g1"",IF(REGEXMATCH(LE43, ""g""), ""g2"",""""))"),"")</f>
        <v/>
      </c>
      <c r="LL43" s="299" t="str">
        <f>IFERROR(__xludf.DUMMYFUNCTION("IF(REGEXMATCH(LD43, ""G""), ""G1"",IF(REGEXMATCH(LE43, ""G""), ""G2"",""""))"),"")</f>
        <v/>
      </c>
      <c r="LM43" s="299" t="str">
        <f>IFERROR(__xludf.DUMMYFUNCTION("IF(REGEXMATCH(LD43, ""m""), ""m1"",IF(REGEXMATCH(LE43, ""m""), ""m2"",""""))"),"")</f>
        <v/>
      </c>
      <c r="LN43" s="299" t="str">
        <f>IFERROR(__xludf.DUMMYFUNCTION("IF(REGEXMATCH(LD43, ""M""), ""M1"",IF(REGEXMATCH(LE43, ""M""), ""M2"",""""))"),"")</f>
        <v/>
      </c>
      <c r="LO43" s="299" t="str">
        <f>IFERROR(__xludf.DUMMYFUNCTION("IF(REGEXMATCH(LD43, ""P""), ""P1"",IF(REGEXMATCH(LE43, ""P""), ""P2"",""""))"),"")</f>
        <v/>
      </c>
      <c r="LP43" s="299" t="str">
        <f>IFERROR(__xludf.DUMMYFUNCTION("IF(REGEXMATCH(LD43, ""d""), ""d1"",IF(REGEXMATCH(LE43, ""d""), ""d2"",""""))"),"")</f>
        <v/>
      </c>
      <c r="LQ43" s="299" t="str">
        <f>IFERROR(__xludf.DUMMYFUNCTION("IF(REGEXMATCH(LD43, ""D""), ""D1"",IF(REGEXMATCH(LE43, ""D""), ""D2"",""""))"),"")</f>
        <v/>
      </c>
      <c r="LR43" s="299" t="str">
        <f>IFERROR(__xludf.DUMMYFUNCTION("IF(REGEXMATCH(LD43, ""n""), ""n1"",IF(REGEXMATCH(LE43, ""n""), ""n2"",""""))"),"")</f>
        <v/>
      </c>
      <c r="LS43" s="299" t="str">
        <f>IFERROR(__xludf.DUMMYFUNCTION("IF(REGEXMATCH(LD43, ""N""), ""N1"",IF(REGEXMATCH(LE43, ""N""), ""N2"",""""))"),"")</f>
        <v/>
      </c>
      <c r="LT43" s="388" t="str">
        <f>IFERROR(__xludf.DUMMYFUNCTION("IF(REGEXMATCH(LD43, ""S""), ""S"",IF(REGEXMATCH(LE43, ""S""), ""S"",""""))"),"S")</f>
        <v>S</v>
      </c>
      <c r="LU43" s="389">
        <f t="shared" si="196"/>
        <v>1</v>
      </c>
      <c r="LV43" s="378"/>
      <c r="LW43" s="369"/>
      <c r="LX43" s="369"/>
    </row>
    <row r="44" ht="20.25" customHeight="1">
      <c r="A44" s="298" t="s">
        <v>1319</v>
      </c>
      <c r="B44" s="222" t="s">
        <v>595</v>
      </c>
      <c r="C44" s="233" t="str">
        <f t="shared" si="7"/>
        <v>SrgmPdnS</v>
      </c>
      <c r="D44" s="234" t="str">
        <f>IFERROR(__xludf.DUMMYFUNCTION("IF(REGEXMATCH(C44, ""S""), ""S"","""")"),"S")</f>
        <v>S</v>
      </c>
      <c r="E44" s="236" t="str">
        <f>IFERROR(__xludf.DUMMYFUNCTION("IF(REGEXMATCH(C44, ""r""), ""r"","""")"),"r")</f>
        <v>r</v>
      </c>
      <c r="F44" s="237" t="str">
        <f>IFERROR(__xludf.DUMMYFUNCTION("IF(REGEXMATCH(C44, ""R""), ""R"","""")"),"")</f>
        <v/>
      </c>
      <c r="G44" s="237" t="str">
        <f>IFERROR(__xludf.DUMMYFUNCTION("IF(REGEXMATCH(C44, ""g""), ""g"","""")"),"g")</f>
        <v>g</v>
      </c>
      <c r="H44" s="236" t="str">
        <f>IFERROR(__xludf.DUMMYFUNCTION("IF(REGEXMATCH(C44, ""G""), ""G"","""")"),"")</f>
        <v/>
      </c>
      <c r="I44" s="236" t="str">
        <f>IFERROR(__xludf.DUMMYFUNCTION("IF(REGEXMATCH(C44, ""m""), ""m"","""")"),"m")</f>
        <v>m</v>
      </c>
      <c r="J44" s="237" t="str">
        <f>IFERROR(__xludf.DUMMYFUNCTION("IF(REGEXMATCH(C44, ""M""), ""M"","""")"),"")</f>
        <v/>
      </c>
      <c r="K44" s="236" t="str">
        <f>IFERROR(__xludf.DUMMYFUNCTION("IF(REGEXMATCH(C44, ""P""), ""P"","""")"),"P")</f>
        <v>P</v>
      </c>
      <c r="L44" s="237" t="str">
        <f>IFERROR(__xludf.DUMMYFUNCTION("IF(REGEXMATCH(C44, ""d""), ""d"","""")"),"d")</f>
        <v>d</v>
      </c>
      <c r="M44" s="236" t="str">
        <f>IFERROR(__xludf.DUMMYFUNCTION("IF(REGEXMATCH(C44, ""D""), ""D"","""")"),"")</f>
        <v/>
      </c>
      <c r="N44" s="236" t="str">
        <f>IFERROR(__xludf.DUMMYFUNCTION("IF(REGEXMATCH(C44, ""n""), ""n"","""")"),"n")</f>
        <v>n</v>
      </c>
      <c r="O44" s="237" t="str">
        <f>IFERROR(__xludf.DUMMYFUNCTION("IF(REGEXMATCH(C44, ""N""), ""N"","""")"),"")</f>
        <v/>
      </c>
      <c r="P44" s="238" t="str">
        <f>IFERROR(__xludf.DUMMYFUNCTION("IF(REGEXMATCH(C44, ""S""), ""S"","""")"),"S")</f>
        <v>S</v>
      </c>
      <c r="Q44" s="239" t="str">
        <f>IFERROR(__xludf.DUMMYFUNCTION("SUBSTITUTE(CONCATENATE(JOIN(""-"",D44:J44)),""-"","""")"),"Srgm")</f>
        <v>Srgm</v>
      </c>
      <c r="R44" s="229" t="str">
        <f>IFERROR(__xludf.DUMMYFUNCTION("SUBSTITUTE(CONCATENATE(JOIN(""-"",K44:P44)),""-"","""")"),"PdnS")</f>
        <v>PdnS</v>
      </c>
      <c r="S44" s="282" t="str">
        <f t="shared" si="8"/>
        <v>S-R-G-M</v>
      </c>
      <c r="T44" s="282" t="str">
        <f t="shared" si="9"/>
        <v>P-D-N-S</v>
      </c>
      <c r="U44" s="237" t="str">
        <f>IFERROR(__xludf.DUMMYFUNCTION("SUBSTITUTE(JOIN(""-"",S44,T44),""--"",""-"")"),"S-R-G-M-P-D-N-S")</f>
        <v>S-R-G-M-P-D-N-S</v>
      </c>
      <c r="V44" s="309" t="str">
        <f t="shared" si="10"/>
        <v>rgmdn</v>
      </c>
      <c r="W44" s="244" t="str">
        <f>IFERROR(__xludf.DUMMYFUNCTION("IF(REGEXMATCH(C44, ""S""), ""0"","""")"),"0")</f>
        <v>0</v>
      </c>
      <c r="X44" s="245" t="str">
        <f>IFERROR(__xludf.DUMMYFUNCTION("IF(REGEXMATCH(C44, ""r""), ""1"","""")"),"1")</f>
        <v>1</v>
      </c>
      <c r="Y44" s="246" t="str">
        <f>IFERROR(__xludf.DUMMYFUNCTION("IF(REGEXMATCH(C44, ""R""), ""2"","""")"),"")</f>
        <v/>
      </c>
      <c r="Z44" s="246" t="str">
        <f>IFERROR(__xludf.DUMMYFUNCTION("IF(REGEXMATCH(C44, ""g""), ""3"","""")"),"3")</f>
        <v>3</v>
      </c>
      <c r="AA44" s="245" t="str">
        <f>IFERROR(__xludf.DUMMYFUNCTION("IF(REGEXMATCH(C44, ""G""), ""4"","""")"),"")</f>
        <v/>
      </c>
      <c r="AB44" s="245" t="str">
        <f>IFERROR(__xludf.DUMMYFUNCTION("IF(REGEXMATCH(C44, ""m""), ""5"","""")"),"5")</f>
        <v>5</v>
      </c>
      <c r="AC44" s="246" t="str">
        <f>IFERROR(__xludf.DUMMYFUNCTION("IF(REGEXMATCH(C44, ""M""), ""6"","""")"),"")</f>
        <v/>
      </c>
      <c r="AD44" s="245" t="str">
        <f>IFERROR(__xludf.DUMMYFUNCTION("IF(REGEXMATCH(C44, ""P""), ""7"","""")"),"7")</f>
        <v>7</v>
      </c>
      <c r="AE44" s="246" t="str">
        <f>IFERROR(__xludf.DUMMYFUNCTION("IF(REGEXMATCH(C44, ""d""), ""8"","""")"),"8")</f>
        <v>8</v>
      </c>
      <c r="AF44" s="245" t="str">
        <f>IFERROR(__xludf.DUMMYFUNCTION("IF(REGEXMATCH(C44, ""D""), ""9"","""")"),"")</f>
        <v/>
      </c>
      <c r="AG44" s="245" t="str">
        <f>IFERROR(__xludf.DUMMYFUNCTION("IF(REGEXMATCH(C44, ""n""), ""10"","""")"),"10")</f>
        <v>10</v>
      </c>
      <c r="AH44" s="246" t="str">
        <f>IFERROR(__xludf.DUMMYFUNCTION("IF(REGEXMATCH(C44, ""N""), ""11"","""")"),"")</f>
        <v/>
      </c>
      <c r="AI44" s="249" t="str">
        <f>IFERROR(__xludf.DUMMYFUNCTION("IF(REGEXMATCH(C44, ""S""), ""0"","""")"),"0")</f>
        <v>0</v>
      </c>
      <c r="AJ44" s="313" t="str">
        <f t="shared" si="11"/>
        <v>-</v>
      </c>
      <c r="AK44" s="313" t="str">
        <f t="shared" si="12"/>
        <v>T</v>
      </c>
      <c r="AL44" s="313" t="str">
        <f t="shared" si="13"/>
        <v>-</v>
      </c>
      <c r="AM44" s="313" t="str">
        <f t="shared" si="14"/>
        <v>-</v>
      </c>
      <c r="AN44" s="313" t="str">
        <f t="shared" si="15"/>
        <v>-</v>
      </c>
      <c r="AO44" s="314" t="str">
        <f t="shared" si="16"/>
        <v>-</v>
      </c>
      <c r="AP44" s="316">
        <f t="shared" si="17"/>
        <v>1</v>
      </c>
      <c r="AQ44" s="319" t="str">
        <f t="shared" si="18"/>
        <v>-</v>
      </c>
      <c r="AR44" s="320">
        <f t="shared" si="19"/>
        <v>0</v>
      </c>
      <c r="AS44" s="250" t="str">
        <f>IFERROR(__xludf.DUMMYFUNCTION("SUBSTITUTE(SUBSTITUTE(CONCATENATE(JOIN("""",FP44:GA44)),""|"",""x""),""-"",""o"")"),"xxoxoxoxxoxo")</f>
        <v>xxoxoxoxxoxo</v>
      </c>
      <c r="AT44" s="323" t="str">
        <f>IFERROR(__xludf.DUMMYFUNCTION("JOIN("""",AS44,AS44)"),"xxoxoxoxxoxoxxoxoxoxxoxo")</f>
        <v>xxoxoxoxxoxoxxoxoxoxxoxo</v>
      </c>
      <c r="AU44" s="256" t="str">
        <f>IFERROR(__xludf.DUMMYFUNCTION("JOIN("""",ArrayFormula(MID(AS44,LEN(AS44)-SEQUENCE(1,LEN(AS44))+1,1)))"),"oxoxxoxoxoxx")</f>
        <v>oxoxxoxoxoxx</v>
      </c>
      <c r="AV44" s="256" t="str">
        <f>IFERROR(__xludf.DUMMYFUNCTION("LEFT(CONCATENATE(""x"",JOIN("""",ArrayFormula(MID(AS44,LEN(AS44)-SEQUENCE(1,LEN(AS44))+1,1)))),12)"),"xoxoxxoxoxox")</f>
        <v>xoxoxxoxoxox</v>
      </c>
      <c r="AW44" s="327" t="str">
        <f>IFERROR(__xludf.DUMMYFUNCTION("JOIN("""",AU44,AU44)"),"oxoxxoxoxoxxoxoxxoxoxoxx")</f>
        <v>oxoxxoxoxoxxoxoxxoxoxoxx</v>
      </c>
      <c r="AX44" s="239" t="str">
        <f>IFERROR(__xludf.DUMMYFUNCTION("IF(REGEXMATCH(AW44,AS44),""✔"",""-"")"),"✔")</f>
        <v>✔</v>
      </c>
      <c r="AY44" s="330" t="str">
        <f t="shared" si="20"/>
        <v>-</v>
      </c>
      <c r="AZ44" s="260" t="str">
        <f t="shared" si="21"/>
        <v>#REF!</v>
      </c>
      <c r="BA44" s="333" t="str">
        <f t="shared" si="22"/>
        <v>xxoxoxo</v>
      </c>
      <c r="BB44" s="334" t="str">
        <f t="shared" si="23"/>
        <v>xxoxox</v>
      </c>
      <c r="BC44" s="335" t="str">
        <f t="shared" si="236"/>
        <v>✔</v>
      </c>
      <c r="BD44" s="336" t="str">
        <f t="shared" si="25"/>
        <v>Bayati: 'xxoxoxo' + 'xxoxox'</v>
      </c>
      <c r="BE44" s="337">
        <f>IFERROR(__xludf.DUMMYFUNCTION("COUNTUNIQUE(FILTER(AT:AT,REGEXMATCH(AT:AT,AS44)))-1"),6.0)</f>
        <v>6</v>
      </c>
      <c r="BF44" s="261" t="str">
        <f>IFERROR(__xludf.DUMMYFUNCTION("IF(BI44=0,""(n/a)"",IF(BJ44=2,""(PAIR)"",IF(REGEXMATCH(AT44,""xoxoxxoxoxox""),""Bilawal"",IF(REGEXMATCH(AT44,""xoxoxooxoxoo""),""Bhupali"",IF(REGEXMATCH(AT44,""xoxoxxoxxoxo""),""Charukeshi"",IF(REGEXMATCH(AT44,""xoxoooxxoxxo""),""Kameshwari"",IF(REGEXMATC"&amp;"H(AT44,""xoxoxooxoxox""),""Shankara"",IF(REGEXMATCH(AT44,""xxooxoxxxoox""),""Basant"",IF(REGEXMATCH(AT44,""xoxoxxxxoxox""),""Bihag"",IF(REGEXMATCH(AT44,""xoxxxxoxoxxx""),""Pilu"",IF(REGEXMATCH(AT44,""xoxxoxoxxoox""),""Kirwani"",IF(REGEXMATCH(AT44,""xoxxox"&amp;"oxoxxx""),""Mk.Malhar"",IF(REGEXMATCH(AT44,""xxooxxoxxoox""),""Bhairav"",IF(REGEXMATCH(AT44,""xxoxooxxxoox""),""Todi"",IF(REGEXMATCH(AT44,""xxooxoxooxox""),""Marwa"",IF(REGEXMATCH(AT44,""xxoooxoxxooo""),""Gunkali"",IF(REGEXMATCH(AT44,""xoxoxxoxxoox""),""N"&amp;"at Bhairav"",IF(REGEXMATCH(AT44,""xoxxoooxoxoo""),""Shivranjani"",IF(REGEXMATCH(AT44,""xooxxxoxooxo""),""Jog"",IF(REGEXMATCH(AT44,""xxooxoxoxoox""),""Hemshri"",IF(REGEXMATCH(AT44,""xoooxooxoxxo""),""Kalavati"",IF(REGEXMATCH(AT44,""xxoxoxxoxoox""),""Kedar"&amp;""",IF(REGEXMATCH(AT44,""xoxxxxoxooxx""),""Gara"",IF(REGEXMATCH(AT44,""xooxoxooxoox""),""Chandrakauns"",IF(REGEXMATCH(AT44,""xoxxxxoxxxox""),""Mand"",IF(REGEXMATCH(AT44,""xoxxxxoxoxox""),""Hanskinkini"",IF(REGEXMATCH(AT44,""xxooxxoxooxo""),""Lilavati"",IF("&amp;"REGEXMATCH(AT44,""xooxoxoooxox""),""Rajeshwari"",IF(REGEXMATCH(AT44,""xoooxxoxoxxx""),""Khokar"",IF(REGEXMATCH(AT44,""xxooxoxxxxox""),""Maligoura"",""-""))))))))))))))))))))))))))))))"),"Bilawal")</f>
        <v>Bilawal</v>
      </c>
      <c r="BG44" s="239" t="str">
        <f t="shared" si="26"/>
        <v>#REF!</v>
      </c>
      <c r="BH44" s="239">
        <f>IFERROR(__xludf.DUMMYFUNCTION("COUNTUNIQUE(FE44:FO44)-1"),6.0)</f>
        <v>6</v>
      </c>
      <c r="BI44" s="239">
        <f>IFERROR(__xludf.DUMMYFUNCTION("COUNTUNIQUE(FILTER(AT:AT,REGEXMATCH(AT:AT,AS44)))-1"),6.0)</f>
        <v>6</v>
      </c>
      <c r="BJ44" s="239">
        <f>IFERROR(__xludf.DUMMYFUNCTION("COUNTA(FILTER(AT:AT,REGEXMATCH(AT:AT,AS44)))"),48.0)</f>
        <v>48</v>
      </c>
      <c r="BK44" s="341">
        <f>IFERROR(__xludf.DUMMYFUNCTION("COUNTA(FILTER(AT:AT,REGEXMATCH(AT:AT,AS44)))-AR44"),48.0)</f>
        <v>48</v>
      </c>
      <c r="BL44" s="276" t="str">
        <f>IFERROR(__xludf.DUMMYFUNCTION("IF(AS44=""oooooooooooo"",""-"",IF(REGEXMATCH(AT44,""xx""), ""Hemi."", ""Anhemi.""))"),"Hemi.")</f>
        <v>Hemi.</v>
      </c>
      <c r="BM44" s="282" t="str">
        <f>IFERROR(__xludf.DUMMYFUNCTION("IF(AS44=""oooooooooooo"",""-"",IF(REGEXMATCH(AT44,""xxx""), ""Cohem."", ""-""))"),"-")</f>
        <v>-</v>
      </c>
      <c r="BN44" s="282" t="str">
        <f>IFERROR(__xludf.DUMMYFUNCTION("IF(AS44=""oooooooooooo"",""-"",IF(REGEXMATCH(AT44,""xxxx""), ""Co-Co."", ""-""))"),"-")</f>
        <v>-</v>
      </c>
      <c r="BO44" s="342" t="str">
        <f>IFERROR(__xludf.DUMMYFUNCTION("IF(AS44=""oooooooooooo"",""-"",IF(REGEXMATCH(AT44,""xxxxx""), ""CCC."", ""-""))"),"-")</f>
        <v>-</v>
      </c>
      <c r="BP44" s="344" t="str">
        <f t="shared" si="27"/>
        <v>Bhairavi</v>
      </c>
      <c r="BQ44" s="282" t="str">
        <f>IFERROR(__xludf.DUMMYFUNCTION("IF(REGEXMATCH(JOIN(""-"",EU44:FD44),""TRUE""),""✔"",""-"")"),"✔")</f>
        <v>✔</v>
      </c>
      <c r="BR44" s="225">
        <f t="shared" si="28"/>
        <v>1</v>
      </c>
      <c r="BS44" s="345" t="str">
        <f>IFERROR(__xludf.DUMMYFUNCTION("SUBSTITUTE(SUBSTITUTE(SUBSTITUTE(SUBSTITUTE(CONCATENATE(JOIN(""-"",GC44:GO44)),""--"",""-""),""--"",""-""),""--"",""-""),""--"",""-"")"),"1-b2-b3-4-5-b6-b7-8")</f>
        <v>1-b2-b3-4-5-b6-b7-8</v>
      </c>
      <c r="BT44" s="299" t="str">
        <f>IFERROR(__xludf.DUMMYFUNCTION("SUBSTITUTE(SUBSTITUTE(SUBSTITUTE(SUBSTITUTE(CONCATENATE(JOIN(""-"",GP44:HB44)),""--"",""-""),""--"",""-""),""--"",""-""),""--"",""-"")"),"S-R1-G2-M1-P-D1-N2-S")</f>
        <v>S-R1-G2-M1-P-D1-N2-S</v>
      </c>
      <c r="BU44" s="348" t="str">
        <f t="shared" si="29"/>
        <v>C-Db-Eb-F-G-Ab-Bb-C</v>
      </c>
      <c r="BV44" s="349" t="str">
        <f t="shared" si="30"/>
        <v>SRGMDNS</v>
      </c>
      <c r="BW44" s="350">
        <f t="shared" si="31"/>
        <v>2</v>
      </c>
      <c r="BX44" s="351">
        <f t="shared" si="32"/>
        <v>4</v>
      </c>
      <c r="BY44" s="352" t="s">
        <v>275</v>
      </c>
      <c r="BZ44" s="309" t="str">
        <f>IFERROR(__xludf.DUMMYFUNCTION("IF(REGEXMATCH(C44, ""S""), ""x"",""x"")"),"x")</f>
        <v>x</v>
      </c>
      <c r="CA44" s="245" t="str">
        <f>IFERROR(__xludf.DUMMYFUNCTION("IF(REGEXMATCH(C44, ""r""), ""o"",""x"")"),"o")</f>
        <v>o</v>
      </c>
      <c r="CB44" s="246" t="str">
        <f>IFERROR(__xludf.DUMMYFUNCTION("IF(REGEXMATCH(C44, ""R""), ""o"",""x"")"),"x")</f>
        <v>x</v>
      </c>
      <c r="CC44" s="246" t="str">
        <f>IFERROR(__xludf.DUMMYFUNCTION("IF(REGEXMATCH(C44, ""g""), ""o"",""x"")"),"o")</f>
        <v>o</v>
      </c>
      <c r="CD44" s="245" t="str">
        <f>IFERROR(__xludf.DUMMYFUNCTION("IF(REGEXMATCH(C44, ""G""), ""o"",""x"")"),"x")</f>
        <v>x</v>
      </c>
      <c r="CE44" s="245" t="str">
        <f>IFERROR(__xludf.DUMMYFUNCTION("IF(REGEXMATCH(C44, ""m""), ""o"",""x"")"),"o")</f>
        <v>o</v>
      </c>
      <c r="CF44" s="246" t="str">
        <f>IFERROR(__xludf.DUMMYFUNCTION("IF(REGEXMATCH(C44, ""M""), ""o"",""x"")"),"x")</f>
        <v>x</v>
      </c>
      <c r="CG44" s="245" t="str">
        <f>IFERROR(__xludf.DUMMYFUNCTION("IF(REGEXMATCH(C44, ""P""), ""o"",""x"")"),"o")</f>
        <v>o</v>
      </c>
      <c r="CH44" s="246" t="str">
        <f>IFERROR(__xludf.DUMMYFUNCTION("IF(REGEXMATCH(C44, ""d""), ""o"",""x"")"),"o")</f>
        <v>o</v>
      </c>
      <c r="CI44" s="245" t="str">
        <f>IFERROR(__xludf.DUMMYFUNCTION("IF(REGEXMATCH(C44, ""D""), ""o"",""x"")"),"x")</f>
        <v>x</v>
      </c>
      <c r="CJ44" s="245" t="str">
        <f>IFERROR(__xludf.DUMMYFUNCTION("IF(REGEXMATCH(C44, ""n""), ""o"",""x"")"),"o")</f>
        <v>o</v>
      </c>
      <c r="CK44" s="245" t="str">
        <f>IFERROR(__xludf.DUMMYFUNCTION("IF(REGEXMATCH(C44, ""N""), ""o"",""x"")"),"x")</f>
        <v>x</v>
      </c>
      <c r="CL44" s="356" t="str">
        <f>IFERROR(__xludf.DUMMYFUNCTION("IF(REGEXMATCH(C44, ""S""), ""x"",""x"")"),"x")</f>
        <v>x</v>
      </c>
      <c r="CM44" s="357" t="str">
        <f t="shared" si="33"/>
        <v>xoxoxoxooxox</v>
      </c>
      <c r="CN44" s="358">
        <f t="shared" si="34"/>
        <v>2</v>
      </c>
      <c r="CO44" s="246" t="str">
        <f>IFERROR(__xludf.DUMMYFUNCTION("IF(REGEXMATCH($C44, ""S""), ""S"",""S"")"),"S")</f>
        <v>S</v>
      </c>
      <c r="CP44" s="246" t="str">
        <f>IFERROR(__xludf.DUMMYFUNCTION("IF(REGEXMATCH($C44, ""r""), """",""r"")"),"")</f>
        <v/>
      </c>
      <c r="CQ44" s="246" t="str">
        <f>IFERROR(__xludf.DUMMYFUNCTION("IF(REGEXMATCH($C44, ""R""), """",""R"")"),"R")</f>
        <v>R</v>
      </c>
      <c r="CR44" s="246" t="str">
        <f>IFERROR(__xludf.DUMMYFUNCTION("IF(REGEXMATCH($C44, ""g""), """",""g"")"),"")</f>
        <v/>
      </c>
      <c r="CS44" s="246" t="str">
        <f>IFERROR(__xludf.DUMMYFUNCTION("IF(REGEXMATCH($C44, ""G""), """",""G"")"),"G")</f>
        <v>G</v>
      </c>
      <c r="CT44" s="246" t="str">
        <f>IFERROR(__xludf.DUMMYFUNCTION("IF(REGEXMATCH($C44, ""m""), """",""m"")"),"")</f>
        <v/>
      </c>
      <c r="CU44" s="246" t="str">
        <f>IFERROR(__xludf.DUMMYFUNCTION("IF(REGEXMATCH($C44, ""M""), """",""M"")"),"M")</f>
        <v>M</v>
      </c>
      <c r="CV44" s="246" t="str">
        <f>IFERROR(__xludf.DUMMYFUNCTION("IF(REGEXMATCH($C44, ""P""), """",""P"")"),"")</f>
        <v/>
      </c>
      <c r="CW44" s="246" t="str">
        <f>IFERROR(__xludf.DUMMYFUNCTION("IF(REGEXMATCH($C44, ""d""), """",""d"")"),"")</f>
        <v/>
      </c>
      <c r="CX44" s="246" t="str">
        <f>IFERROR(__xludf.DUMMYFUNCTION("IF(REGEXMATCH($C44, ""D""), """",""D"")"),"D")</f>
        <v>D</v>
      </c>
      <c r="CY44" s="246" t="str">
        <f>IFERROR(__xludf.DUMMYFUNCTION("IF(REGEXMATCH($C44, ""n""), """",""n"")"),"")</f>
        <v/>
      </c>
      <c r="CZ44" s="246" t="str">
        <f>IFERROR(__xludf.DUMMYFUNCTION("IF(REGEXMATCH($C44, ""N""), """",""N"")"),"N")</f>
        <v>N</v>
      </c>
      <c r="DA44" s="246" t="str">
        <f>IFERROR(__xludf.DUMMYFUNCTION("IF(REGEXMATCH($C44, ""S""), ""S"",""S"")"),"S")</f>
        <v>S</v>
      </c>
      <c r="DB44" s="362" t="str">
        <f>IFERROR(__xludf.DUMMYFUNCTION("JOIN("""",CO44:DA44,"""","""")"),"SRGMDNS")</f>
        <v>SRGMDNS</v>
      </c>
      <c r="DC44" s="363"/>
      <c r="DD44" s="301" t="str">
        <f t="shared" si="35"/>
        <v>#REF!</v>
      </c>
      <c r="DE44" s="302" t="str">
        <f t="shared" si="36"/>
        <v>#REF!</v>
      </c>
      <c r="DF44" s="301" t="str">
        <f t="shared" ref="DF44:DG44" si="281">SUBSTITUTE(S44,"-","")</f>
        <v>SRGM</v>
      </c>
      <c r="DG44" s="301" t="str">
        <f t="shared" si="281"/>
        <v>PDNS</v>
      </c>
      <c r="DH44" s="302" t="str">
        <f t="shared" si="38"/>
        <v>Bilawal</v>
      </c>
      <c r="DI44" s="301" t="str">
        <f t="shared" si="39"/>
        <v>Hemi.</v>
      </c>
      <c r="DJ44" s="364" t="str">
        <f t="shared" si="40"/>
        <v>-</v>
      </c>
      <c r="DK44" s="306" t="str">
        <f t="shared" si="41"/>
        <v>Bhairavi</v>
      </c>
      <c r="DL44" s="366" t="str">
        <f t="shared" si="42"/>
        <v>-</v>
      </c>
      <c r="DM44" s="308" t="str">
        <f t="shared" si="43"/>
        <v>-</v>
      </c>
      <c r="DN44" s="306" t="str">
        <f t="shared" si="44"/>
        <v>-</v>
      </c>
      <c r="DO44" s="306" t="str">
        <f t="shared" si="45"/>
        <v>✔</v>
      </c>
      <c r="DP44" s="367" t="str">
        <f t="shared" si="46"/>
        <v>-</v>
      </c>
      <c r="DQ44" s="310" t="str">
        <f t="shared" si="47"/>
        <v>-</v>
      </c>
      <c r="DR44" s="310" t="str">
        <f t="shared" si="48"/>
        <v>-</v>
      </c>
      <c r="DS44" s="310" t="str">
        <f t="shared" si="49"/>
        <v>-</v>
      </c>
      <c r="DT44" s="310" t="str">
        <f t="shared" si="50"/>
        <v>-</v>
      </c>
      <c r="DU44" s="370" t="str">
        <f t="shared" si="51"/>
        <v>-</v>
      </c>
      <c r="DV44" s="306" t="str">
        <f t="shared" si="52"/>
        <v>-</v>
      </c>
      <c r="DW44" s="306" t="str">
        <f t="shared" si="53"/>
        <v>-</v>
      </c>
      <c r="DX44" s="306" t="str">
        <f t="shared" si="54"/>
        <v>-</v>
      </c>
      <c r="DY44" s="306" t="str">
        <f t="shared" si="55"/>
        <v>-</v>
      </c>
      <c r="DZ44" s="306" t="str">
        <f t="shared" si="56"/>
        <v>-</v>
      </c>
      <c r="EA44" s="367" t="str">
        <f t="shared" si="57"/>
        <v>-</v>
      </c>
      <c r="EB44" s="310" t="str">
        <f>IFERROR(__xludf.DUMMYFUNCTION("IF(REGEXMATCH(AW44,AS44),""✔"",""-"")"),"✔")</f>
        <v>✔</v>
      </c>
      <c r="EC44" s="310" t="str">
        <f t="shared" si="58"/>
        <v>#REF!</v>
      </c>
      <c r="ED44" s="370" t="str">
        <f t="shared" si="59"/>
        <v>-</v>
      </c>
      <c r="EE44" s="340" t="str">
        <f t="shared" si="60"/>
        <v>S-r-g-m-P-d-n-S</v>
      </c>
      <c r="EF44" s="371" t="str">
        <f>IFERROR(__xludf.DUMMYFUNCTION("CONCATENATE(JOIN("""",HC44:HO44))"),"SRGmPDNS")</f>
        <v>SRGmPDNS</v>
      </c>
      <c r="EG44" s="372">
        <f t="shared" si="61"/>
        <v>1</v>
      </c>
      <c r="EH44" s="373" t="str">
        <f>IFERROR(__xludf.DUMMYFUNCTION("CONCATENATE(JOIN("""",JC44:JO44))"),"Pa, ")</f>
        <v>Pa, </v>
      </c>
      <c r="EI44" s="322">
        <f t="shared" si="62"/>
        <v>0</v>
      </c>
      <c r="EJ44" s="374" t="str">
        <f>IFERROR(__xludf.DUMMYFUNCTION("CONCATENATE(JOIN("""",KC44:KO44))"),"")</f>
        <v/>
      </c>
      <c r="EK44" s="325" t="str">
        <f t="shared" si="63"/>
        <v>S-R1-G2-M1-P-D1-N2-S</v>
      </c>
      <c r="EL44" s="326" t="str">
        <f t="shared" si="64"/>
        <v>1-b2-b3-4-5-b6-b7-8</v>
      </c>
      <c r="EM44" s="318" t="str">
        <f t="shared" si="65"/>
        <v>#REF!</v>
      </c>
      <c r="EN44" s="328" t="str">
        <f>IFERROR(__xludf.DUMMYFUNCTION("SUBSTITUTE(SUBSTITUTE(SUBSTITUTE(SUBSTITUTE(CONCATENATE(JOIN("" "",HP44:IB44)),""  "","" ""),""  "","" ""),""  "","" ""),""  "","" "")"),"o o • o • o • o o • o • o")</f>
        <v>o o • o • o • o o • o • o</v>
      </c>
      <c r="EO44" s="368" t="str">
        <f t="shared" si="66"/>
        <v>-</v>
      </c>
      <c r="EP44" s="339" t="str">
        <f t="shared" si="67"/>
        <v>-</v>
      </c>
      <c r="EQ44" s="339" t="str">
        <f t="shared" si="68"/>
        <v>Sa-Pa</v>
      </c>
      <c r="ER44" s="339" t="str">
        <f t="shared" si="69"/>
        <v>-</v>
      </c>
      <c r="ES44" s="340" t="str">
        <f t="shared" si="70"/>
        <v>-</v>
      </c>
      <c r="ET44" s="363"/>
      <c r="EU44" s="376" t="b">
        <f>IFERROR(__xludf.DUMMYFUNCTION("arrayformula(sum(--REGEXMATCH(""SRGMPDNS"",split(REGEXREPLACE(C44,""(.)"",""$1~""),""~""))))=len(C44)
"),FALSE)</f>
        <v>0</v>
      </c>
      <c r="EV44" s="290" t="b">
        <f>IFERROR(__xludf.DUMMYFUNCTION("arrayformula(sum(--REGEXMATCH(""SRGmPDNS"",split(REGEXREPLACE(C44,""(.)"",""$1~""),""~""))))=len(C44)"),FALSE)</f>
        <v>0</v>
      </c>
      <c r="EW44" s="290" t="b">
        <f>IFERROR(__xludf.DUMMYFUNCTION("arrayformula(sum(--REGEXMATCH(""SRGmPDnS"",split(REGEXREPLACE(C44,""(.)"",""$1~""),""~""))))=len(C44)"),FALSE)</f>
        <v>0</v>
      </c>
      <c r="EX44" s="290" t="b">
        <f>IFERROR(__xludf.DUMMYFUNCTION("arrayformula(sum(--REGEXMATCH(""SRgmPDnS"",split(REGEXREPLACE(C44,""(.)"",""$1~""),""~""))))=len(C44)"),FALSE)</f>
        <v>0</v>
      </c>
      <c r="EY44" s="290" t="b">
        <f>IFERROR(__xludf.DUMMYFUNCTION("arrayformula(sum(--REGEXMATCH(""SRgmPdnS"",split(REGEXREPLACE(C44,""(.)"",""$1~""),""~""))))=len(C44)"),FALSE)</f>
        <v>0</v>
      </c>
      <c r="EZ44" s="290" t="b">
        <f>IFERROR(__xludf.DUMMYFUNCTION("arrayformula(sum(--REGEXMATCH(""SrgmPdnS"",split(REGEXREPLACE(C44,""(.)"",""$1~""),""~""))))=len(C44)"),TRUE)</f>
        <v>1</v>
      </c>
      <c r="FA44" s="290" t="b">
        <f>IFERROR(__xludf.DUMMYFUNCTION("arrayformula(sum(--REGEXMATCH(""SrGmPdNS"",split(REGEXREPLACE(C44,""(.)"",""$1~""),""~""))))=len(C44)"),FALSE)</f>
        <v>0</v>
      </c>
      <c r="FB44" s="290" t="b">
        <f>IFERROR(__xludf.DUMMYFUNCTION("arrayformula(sum(--REGEXMATCH(""SrGMPDNS"",split(REGEXREPLACE(C44,""(.)"",""$1~""),""~""))))=len(C44)"),FALSE)</f>
        <v>0</v>
      </c>
      <c r="FC44" s="290" t="b">
        <f>IFERROR(__xludf.DUMMYFUNCTION("arrayformula(sum(--REGEXMATCH(""SrGMPdNS"",split(REGEXREPLACE(C44,""(.)"",""$1~""),""~""))))=len(C44)"),FALSE)</f>
        <v>0</v>
      </c>
      <c r="FD44" s="377" t="b">
        <f>IFERROR(__xludf.DUMMYFUNCTION("arrayformula(sum(--REGEXMATCH(""SrgMPdNS"",split(REGEXREPLACE(C44,""(.)"",""$1~""),""~""))))=len(C44)"),FALSE)</f>
        <v>0</v>
      </c>
      <c r="FE44" s="269" t="str">
        <f t="shared" si="71"/>
        <v>xoxoxoxxoxo</v>
      </c>
      <c r="FF44" s="269" t="str">
        <f t="shared" si="72"/>
        <v>-</v>
      </c>
      <c r="FG44" s="271" t="str">
        <f t="shared" si="73"/>
        <v>xoxoxxoxoxx</v>
      </c>
      <c r="FH44" s="269" t="str">
        <f t="shared" si="74"/>
        <v>-</v>
      </c>
      <c r="FI44" s="271" t="str">
        <f t="shared" si="75"/>
        <v>xoxxoxoxxox</v>
      </c>
      <c r="FJ44" s="271" t="str">
        <f t="shared" si="76"/>
        <v>-</v>
      </c>
      <c r="FK44" s="271" t="str">
        <f t="shared" si="77"/>
        <v>xxoxoxxoxox</v>
      </c>
      <c r="FL44" s="271" t="str">
        <f t="shared" si="78"/>
        <v>xoxoxxoxoxo</v>
      </c>
      <c r="FM44" s="271" t="str">
        <f t="shared" si="79"/>
        <v>-</v>
      </c>
      <c r="FN44" s="271" t="str">
        <f t="shared" si="80"/>
        <v>xoxxoxoxoxx</v>
      </c>
      <c r="FO44" s="274" t="str">
        <f t="shared" si="81"/>
        <v>-</v>
      </c>
      <c r="FP44" s="234" t="str">
        <f t="shared" si="82"/>
        <v>|</v>
      </c>
      <c r="FQ44" s="236" t="str">
        <f t="shared" si="83"/>
        <v>|</v>
      </c>
      <c r="FR44" s="237" t="str">
        <f t="shared" si="84"/>
        <v>-</v>
      </c>
      <c r="FS44" s="236" t="str">
        <f t="shared" si="85"/>
        <v>|</v>
      </c>
      <c r="FT44" s="237" t="str">
        <f t="shared" si="86"/>
        <v>-</v>
      </c>
      <c r="FU44" s="236" t="str">
        <f t="shared" si="87"/>
        <v>|</v>
      </c>
      <c r="FV44" s="237" t="str">
        <f t="shared" si="88"/>
        <v>-</v>
      </c>
      <c r="FW44" s="236" t="str">
        <f t="shared" si="89"/>
        <v>|</v>
      </c>
      <c r="FX44" s="237" t="str">
        <f t="shared" si="90"/>
        <v>|</v>
      </c>
      <c r="FY44" s="236" t="str">
        <f t="shared" si="91"/>
        <v>-</v>
      </c>
      <c r="FZ44" s="237" t="str">
        <f t="shared" si="92"/>
        <v>|</v>
      </c>
      <c r="GA44" s="236" t="str">
        <f t="shared" si="93"/>
        <v>-</v>
      </c>
      <c r="GB44" s="238" t="str">
        <f t="shared" si="94"/>
        <v>|</v>
      </c>
      <c r="GC44" s="244" t="str">
        <f>IFERROR(__xludf.DUMMYFUNCTION("IF(REGEXMATCH(C44, ""S""), ""1"","""")"),"1")</f>
        <v>1</v>
      </c>
      <c r="GD44" s="245" t="str">
        <f>IFERROR(__xludf.DUMMYFUNCTION("IF(REGEXMATCH(C44, ""r""), ""b2"","""")"),"b2")</f>
        <v>b2</v>
      </c>
      <c r="GE44" s="246" t="str">
        <f>IFERROR(__xludf.DUMMYFUNCTION("IF(REGEXMATCH(C44, ""R""), ""2"","""")"),"")</f>
        <v/>
      </c>
      <c r="GF44" s="246" t="str">
        <f>IFERROR(__xludf.DUMMYFUNCTION("IF(REGEXMATCH(C44, ""g""), ""b3"","""")"),"b3")</f>
        <v>b3</v>
      </c>
      <c r="GG44" s="245" t="str">
        <f>IFERROR(__xludf.DUMMYFUNCTION("IF(REGEXMATCH(C44, ""G""), ""3"","""")"),"")</f>
        <v/>
      </c>
      <c r="GH44" s="245" t="str">
        <f>IFERROR(__xludf.DUMMYFUNCTION("IF(REGEXMATCH(C44, ""m""), ""4"","""")"),"4")</f>
        <v>4</v>
      </c>
      <c r="GI44" s="246" t="str">
        <f>IFERROR(__xludf.DUMMYFUNCTION("IF(REGEXMATCH(C44, ""M""), ""#4"","""")"),"")</f>
        <v/>
      </c>
      <c r="GJ44" s="245" t="str">
        <f>IFERROR(__xludf.DUMMYFUNCTION("IF(REGEXMATCH(C44, ""P""), ""5"","""")"),"5")</f>
        <v>5</v>
      </c>
      <c r="GK44" s="246" t="str">
        <f>IFERROR(__xludf.DUMMYFUNCTION("IF(REGEXMATCH(C44, ""d""), ""b6"","""")"),"b6")</f>
        <v>b6</v>
      </c>
      <c r="GL44" s="245" t="str">
        <f>IFERROR(__xludf.DUMMYFUNCTION("IF(REGEXMATCH(C44, ""D""), ""6"","""")"),"")</f>
        <v/>
      </c>
      <c r="GM44" s="245" t="str">
        <f>IFERROR(__xludf.DUMMYFUNCTION("IF(REGEXMATCH(C44, ""n""), ""b7"","""")"),"b7")</f>
        <v>b7</v>
      </c>
      <c r="GN44" s="246" t="str">
        <f>IFERROR(__xludf.DUMMYFUNCTION("IF(REGEXMATCH(C44, ""N""), ""7"","""")"),"")</f>
        <v/>
      </c>
      <c r="GO44" s="249" t="str">
        <f>IFERROR(__xludf.DUMMYFUNCTION("IF(REGEXMATCH(C44, ""S""), ""8"","""")"),"8")</f>
        <v>8</v>
      </c>
      <c r="GP44" s="244" t="str">
        <f>IFERROR(__xludf.DUMMYFUNCTION("IF(REGEXMATCH(C44, ""S""), ""S"","""")"),"S")</f>
        <v>S</v>
      </c>
      <c r="GQ44" s="294" t="str">
        <f>IFERROR(__xludf.DUMMYFUNCTION("IF(REGEXMATCH(C44, ""r""), ""R1"","""")"),"R1")</f>
        <v>R1</v>
      </c>
      <c r="GR44" s="295" t="str">
        <f>IFERROR(__xludf.DUMMYFUNCTION("IF(REGEXMATCH(C44, ""R""), ""R2"","""")"),"")</f>
        <v/>
      </c>
      <c r="GS44" s="295" t="str">
        <f>IFERROR(__xludf.DUMMYFUNCTION("IF(REGEXMATCH(C44, ""g""), ""G2"","""")"),"G2")</f>
        <v>G2</v>
      </c>
      <c r="GT44" s="294" t="str">
        <f>IFERROR(__xludf.DUMMYFUNCTION("IF(REGEXMATCH(C44, ""G""), ""G3"","""")"),"")</f>
        <v/>
      </c>
      <c r="GU44" s="294" t="str">
        <f>IFERROR(__xludf.DUMMYFUNCTION("IF(REGEXMATCH(C44, ""m""), ""M1"","""")"),"M1")</f>
        <v>M1</v>
      </c>
      <c r="GV44" s="295" t="str">
        <f>IFERROR(__xludf.DUMMYFUNCTION("IF(REGEXMATCH(C44, ""M""), ""M2"","""")"),"")</f>
        <v/>
      </c>
      <c r="GW44" s="294" t="str">
        <f>IFERROR(__xludf.DUMMYFUNCTION("IF(REGEXMATCH(C44, ""P""), ""P"","""")"),"P")</f>
        <v>P</v>
      </c>
      <c r="GX44" s="295" t="str">
        <f>IFERROR(__xludf.DUMMYFUNCTION("IF(REGEXMATCH(C44, ""d""), ""D1"","""")"),"D1")</f>
        <v>D1</v>
      </c>
      <c r="GY44" s="294" t="str">
        <f>IFERROR(__xludf.DUMMYFUNCTION("IF(REGEXMATCH(C44, ""D""), ""D2"","""")"),"")</f>
        <v/>
      </c>
      <c r="GZ44" s="294" t="str">
        <f>IFERROR(__xludf.DUMMYFUNCTION("IF(REGEXMATCH(C44, ""n""), ""N2"","""")"),"N2")</f>
        <v>N2</v>
      </c>
      <c r="HA44" s="295" t="str">
        <f>IFERROR(__xludf.DUMMYFUNCTION("IF(REGEXMATCH(C44, ""N""), ""N3"","""")"),"")</f>
        <v/>
      </c>
      <c r="HB44" s="249" t="str">
        <f>IFERROR(__xludf.DUMMYFUNCTION("IF(REGEXMATCH(C44, ""S""), ""S"","""")"),"S")</f>
        <v>S</v>
      </c>
      <c r="HC44" s="331" t="str">
        <f t="shared" si="95"/>
        <v>S</v>
      </c>
      <c r="HD44" s="332" t="str">
        <f t="shared" si="96"/>
        <v/>
      </c>
      <c r="HE44" s="332" t="str">
        <f t="shared" si="97"/>
        <v>R</v>
      </c>
      <c r="HF44" s="332" t="str">
        <f t="shared" si="98"/>
        <v/>
      </c>
      <c r="HG44" s="332" t="str">
        <f t="shared" si="99"/>
        <v>G</v>
      </c>
      <c r="HH44" s="332" t="str">
        <f t="shared" si="100"/>
        <v>m</v>
      </c>
      <c r="HI44" s="332" t="str">
        <f t="shared" si="101"/>
        <v/>
      </c>
      <c r="HJ44" s="332" t="str">
        <f t="shared" si="102"/>
        <v>P</v>
      </c>
      <c r="HK44" s="332" t="str">
        <f t="shared" si="103"/>
        <v/>
      </c>
      <c r="HL44" s="332" t="str">
        <f t="shared" si="104"/>
        <v>D</v>
      </c>
      <c r="HM44" s="332" t="str">
        <f t="shared" si="105"/>
        <v/>
      </c>
      <c r="HN44" s="332" t="str">
        <f t="shared" si="106"/>
        <v>N</v>
      </c>
      <c r="HO44" s="343" t="str">
        <f t="shared" si="107"/>
        <v>S</v>
      </c>
      <c r="HP44" s="331" t="str">
        <f t="shared" si="108"/>
        <v>o</v>
      </c>
      <c r="HQ44" s="332" t="str">
        <f t="shared" si="109"/>
        <v>o</v>
      </c>
      <c r="HR44" s="332" t="str">
        <f t="shared" si="110"/>
        <v>•</v>
      </c>
      <c r="HS44" s="332" t="str">
        <f t="shared" si="111"/>
        <v>o</v>
      </c>
      <c r="HT44" s="332" t="str">
        <f t="shared" si="112"/>
        <v>•</v>
      </c>
      <c r="HU44" s="332" t="str">
        <f t="shared" si="113"/>
        <v>o</v>
      </c>
      <c r="HV44" s="332" t="str">
        <f t="shared" si="114"/>
        <v>•</v>
      </c>
      <c r="HW44" s="332" t="str">
        <f t="shared" si="115"/>
        <v>o</v>
      </c>
      <c r="HX44" s="332" t="str">
        <f t="shared" si="116"/>
        <v>o</v>
      </c>
      <c r="HY44" s="332" t="str">
        <f t="shared" si="117"/>
        <v>•</v>
      </c>
      <c r="HZ44" s="332" t="str">
        <f t="shared" si="118"/>
        <v>o</v>
      </c>
      <c r="IA44" s="332" t="str">
        <f t="shared" si="119"/>
        <v>•</v>
      </c>
      <c r="IB44" s="338" t="str">
        <f t="shared" si="120"/>
        <v>o</v>
      </c>
      <c r="IC44" s="331" t="str">
        <f t="shared" si="121"/>
        <v>•</v>
      </c>
      <c r="ID44" s="332" t="str">
        <f t="shared" si="122"/>
        <v>•</v>
      </c>
      <c r="IE44" s="332" t="str">
        <f t="shared" si="123"/>
        <v>o</v>
      </c>
      <c r="IF44" s="332" t="str">
        <f t="shared" si="124"/>
        <v>•</v>
      </c>
      <c r="IG44" s="332" t="str">
        <f t="shared" si="125"/>
        <v>o</v>
      </c>
      <c r="IH44" s="332" t="str">
        <f t="shared" si="126"/>
        <v>•</v>
      </c>
      <c r="II44" s="332" t="str">
        <f t="shared" si="127"/>
        <v>o</v>
      </c>
      <c r="IJ44" s="332" t="str">
        <f t="shared" si="128"/>
        <v>•</v>
      </c>
      <c r="IK44" s="332" t="str">
        <f t="shared" si="129"/>
        <v>•</v>
      </c>
      <c r="IL44" s="332" t="str">
        <f t="shared" si="130"/>
        <v>o</v>
      </c>
      <c r="IM44" s="332" t="str">
        <f t="shared" si="131"/>
        <v>•</v>
      </c>
      <c r="IN44" s="332" t="str">
        <f t="shared" si="132"/>
        <v>o</v>
      </c>
      <c r="IO44" s="338" t="str">
        <f t="shared" si="133"/>
        <v>•</v>
      </c>
      <c r="IP44" s="346" t="b">
        <f t="shared" si="134"/>
        <v>0</v>
      </c>
      <c r="IQ44" s="347" t="b">
        <f t="shared" si="135"/>
        <v>0</v>
      </c>
      <c r="IR44" s="347" t="b">
        <f t="shared" si="136"/>
        <v>0</v>
      </c>
      <c r="IS44" s="347" t="b">
        <f t="shared" si="137"/>
        <v>0</v>
      </c>
      <c r="IT44" s="347" t="b">
        <f t="shared" si="138"/>
        <v>0</v>
      </c>
      <c r="IU44" s="347" t="b">
        <f t="shared" si="139"/>
        <v>0</v>
      </c>
      <c r="IV44" s="347" t="b">
        <f t="shared" si="140"/>
        <v>0</v>
      </c>
      <c r="IW44" s="347" t="b">
        <f t="shared" si="141"/>
        <v>1</v>
      </c>
      <c r="IX44" s="347" t="b">
        <f t="shared" si="142"/>
        <v>0</v>
      </c>
      <c r="IY44" s="347" t="b">
        <f t="shared" si="143"/>
        <v>0</v>
      </c>
      <c r="IZ44" s="347" t="b">
        <f t="shared" si="144"/>
        <v>0</v>
      </c>
      <c r="JA44" s="347" t="b">
        <f t="shared" si="145"/>
        <v>0</v>
      </c>
      <c r="JB44" s="353" t="b">
        <f t="shared" si="146"/>
        <v>0</v>
      </c>
      <c r="JC44" s="354" t="str">
        <f t="shared" si="147"/>
        <v/>
      </c>
      <c r="JD44" s="355" t="str">
        <f t="shared" si="148"/>
        <v/>
      </c>
      <c r="JE44" s="355" t="str">
        <f t="shared" si="149"/>
        <v/>
      </c>
      <c r="JF44" s="355" t="str">
        <f t="shared" si="150"/>
        <v/>
      </c>
      <c r="JG44" s="355" t="str">
        <f t="shared" si="151"/>
        <v/>
      </c>
      <c r="JH44" s="355" t="str">
        <f t="shared" si="152"/>
        <v/>
      </c>
      <c r="JI44" s="355" t="str">
        <f t="shared" si="153"/>
        <v/>
      </c>
      <c r="JJ44" s="355" t="str">
        <f t="shared" si="154"/>
        <v>Pa, </v>
      </c>
      <c r="JK44" s="355" t="str">
        <f t="shared" si="155"/>
        <v/>
      </c>
      <c r="JL44" s="355" t="str">
        <f t="shared" si="156"/>
        <v/>
      </c>
      <c r="JM44" s="355" t="str">
        <f t="shared" si="157"/>
        <v/>
      </c>
      <c r="JN44" s="355" t="str">
        <f t="shared" si="158"/>
        <v/>
      </c>
      <c r="JO44" s="359" t="str">
        <f t="shared" si="159"/>
        <v/>
      </c>
      <c r="JP44" s="346" t="b">
        <f t="shared" si="160"/>
        <v>0</v>
      </c>
      <c r="JQ44" s="347" t="b">
        <f t="shared" si="161"/>
        <v>0</v>
      </c>
      <c r="JR44" s="347" t="b">
        <f t="shared" si="162"/>
        <v>0</v>
      </c>
      <c r="JS44" s="347" t="b">
        <f t="shared" si="163"/>
        <v>0</v>
      </c>
      <c r="JT44" s="347" t="b">
        <f t="shared" si="164"/>
        <v>0</v>
      </c>
      <c r="JU44" s="347" t="b">
        <f t="shared" si="165"/>
        <v>0</v>
      </c>
      <c r="JV44" s="347" t="b">
        <f t="shared" si="166"/>
        <v>0</v>
      </c>
      <c r="JW44" s="347" t="b">
        <f t="shared" si="167"/>
        <v>0</v>
      </c>
      <c r="JX44" s="347" t="b">
        <f t="shared" si="168"/>
        <v>0</v>
      </c>
      <c r="JY44" s="347" t="b">
        <f t="shared" si="169"/>
        <v>0</v>
      </c>
      <c r="JZ44" s="347" t="b">
        <f t="shared" si="170"/>
        <v>0</v>
      </c>
      <c r="KA44" s="347" t="b">
        <f t="shared" si="171"/>
        <v>0</v>
      </c>
      <c r="KB44" s="365" t="b">
        <f t="shared" si="172"/>
        <v>0</v>
      </c>
      <c r="KC44" s="354" t="str">
        <f t="shared" si="173"/>
        <v/>
      </c>
      <c r="KD44" s="355" t="str">
        <f t="shared" si="174"/>
        <v/>
      </c>
      <c r="KE44" s="355" t="str">
        <f t="shared" si="175"/>
        <v/>
      </c>
      <c r="KF44" s="355" t="str">
        <f t="shared" si="176"/>
        <v/>
      </c>
      <c r="KG44" s="355" t="str">
        <f t="shared" si="177"/>
        <v/>
      </c>
      <c r="KH44" s="355" t="str">
        <f t="shared" si="178"/>
        <v/>
      </c>
      <c r="KI44" s="355" t="str">
        <f t="shared" si="179"/>
        <v/>
      </c>
      <c r="KJ44" s="355" t="str">
        <f t="shared" si="180"/>
        <v/>
      </c>
      <c r="KK44" s="355" t="str">
        <f t="shared" si="181"/>
        <v/>
      </c>
      <c r="KL44" s="355" t="str">
        <f t="shared" si="182"/>
        <v/>
      </c>
      <c r="KM44" s="355" t="str">
        <f t="shared" si="183"/>
        <v/>
      </c>
      <c r="KN44" s="355" t="str">
        <f t="shared" si="184"/>
        <v/>
      </c>
      <c r="KO44" s="359"/>
      <c r="KP44" s="378"/>
      <c r="KQ44" s="379" t="s">
        <v>9</v>
      </c>
      <c r="KR44" s="380" t="s">
        <v>9</v>
      </c>
      <c r="KS44" s="381" t="s">
        <v>9</v>
      </c>
      <c r="KT44" s="382">
        <f t="shared" si="186"/>
        <v>0</v>
      </c>
      <c r="KU44" s="383">
        <f t="shared" si="187"/>
        <v>0</v>
      </c>
      <c r="KV44" s="381" t="str">
        <f t="shared" si="205"/>
        <v>S</v>
      </c>
      <c r="KW44" s="382">
        <f t="shared" si="189"/>
        <v>0</v>
      </c>
      <c r="KX44" s="384">
        <f t="shared" si="190"/>
        <v>0</v>
      </c>
      <c r="KY44" s="382">
        <f t="shared" ref="KY44:KZ44" si="282">KW44-KT44</f>
        <v>0</v>
      </c>
      <c r="KZ44" s="369">
        <f t="shared" si="282"/>
        <v>0</v>
      </c>
      <c r="LA44" s="385" t="str">
        <f t="shared" si="192"/>
        <v>✔</v>
      </c>
      <c r="LB44" s="340" t="str">
        <f>IFERROR(__xludf.DUMMYFUNCTION("JOIN("""",ArrayFormula(MID(KS44,LEN(KS44)-SEQUENCE(1,LEN(KS44))+1,1)))"),"S")</f>
        <v>S</v>
      </c>
      <c r="LC44" s="373" t="str">
        <f>IFERROR(__xludf.DUMMYFUNCTION("JOIN("""",ArrayFormula(MID(KV44,LEN(KV44)-SEQUENCE(1,LEN(KV44))+1,1)))"),"S")</f>
        <v>S</v>
      </c>
      <c r="LD44" s="373" t="str">
        <f t="shared" si="193"/>
        <v>S</v>
      </c>
      <c r="LE44" s="339" t="str">
        <f t="shared" si="194"/>
        <v>S</v>
      </c>
      <c r="LF44" s="386" t="str">
        <f>IFERROR(__xludf.DUMMYFUNCTION("SUBSTITUTE(SUBSTITUTE(CONCATENATE(JOIN("""",LH44:LT44)),""1"",""""),""2"","""")"),"SS")</f>
        <v>SS</v>
      </c>
      <c r="LG44" s="369" t="str">
        <f t="shared" si="195"/>
        <v>-</v>
      </c>
      <c r="LH44" s="387" t="str">
        <f>IFERROR(__xludf.DUMMYFUNCTION("IF(REGEXMATCH(LD44, ""S""), ""S"",IF(REGEXMATCH(LE44, ""S""), ""S"",""""))"),"S")</f>
        <v>S</v>
      </c>
      <c r="LI44" s="299" t="str">
        <f>IFERROR(__xludf.DUMMYFUNCTION("IF(REGEXMATCH(LD44, ""r""), ""r1"",IF(REGEXMATCH(LE44, ""r""), ""r2"",""""))"),"")</f>
        <v/>
      </c>
      <c r="LJ44" s="299" t="str">
        <f>IFERROR(__xludf.DUMMYFUNCTION("IF(REGEXMATCH(LD44, ""R""), ""R1"",IF(REGEXMATCH(LE44, ""R""), ""R2"",""""))"),"")</f>
        <v/>
      </c>
      <c r="LK44" s="299" t="str">
        <f>IFERROR(__xludf.DUMMYFUNCTION("IF(REGEXMATCH(LD44, ""g""), ""g1"",IF(REGEXMATCH(LE44, ""g""), ""g2"",""""))"),"")</f>
        <v/>
      </c>
      <c r="LL44" s="299" t="str">
        <f>IFERROR(__xludf.DUMMYFUNCTION("IF(REGEXMATCH(LD44, ""G""), ""G1"",IF(REGEXMATCH(LE44, ""G""), ""G2"",""""))"),"")</f>
        <v/>
      </c>
      <c r="LM44" s="299" t="str">
        <f>IFERROR(__xludf.DUMMYFUNCTION("IF(REGEXMATCH(LD44, ""m""), ""m1"",IF(REGEXMATCH(LE44, ""m""), ""m2"",""""))"),"")</f>
        <v/>
      </c>
      <c r="LN44" s="299" t="str">
        <f>IFERROR(__xludf.DUMMYFUNCTION("IF(REGEXMATCH(LD44, ""M""), ""M1"",IF(REGEXMATCH(LE44, ""M""), ""M2"",""""))"),"")</f>
        <v/>
      </c>
      <c r="LO44" s="299" t="str">
        <f>IFERROR(__xludf.DUMMYFUNCTION("IF(REGEXMATCH(LD44, ""P""), ""P1"",IF(REGEXMATCH(LE44, ""P""), ""P2"",""""))"),"")</f>
        <v/>
      </c>
      <c r="LP44" s="299" t="str">
        <f>IFERROR(__xludf.DUMMYFUNCTION("IF(REGEXMATCH(LD44, ""d""), ""d1"",IF(REGEXMATCH(LE44, ""d""), ""d2"",""""))"),"")</f>
        <v/>
      </c>
      <c r="LQ44" s="299" t="str">
        <f>IFERROR(__xludf.DUMMYFUNCTION("IF(REGEXMATCH(LD44, ""D""), ""D1"",IF(REGEXMATCH(LE44, ""D""), ""D2"",""""))"),"")</f>
        <v/>
      </c>
      <c r="LR44" s="299" t="str">
        <f>IFERROR(__xludf.DUMMYFUNCTION("IF(REGEXMATCH(LD44, ""n""), ""n1"",IF(REGEXMATCH(LE44, ""n""), ""n2"",""""))"),"")</f>
        <v/>
      </c>
      <c r="LS44" s="299" t="str">
        <f>IFERROR(__xludf.DUMMYFUNCTION("IF(REGEXMATCH(LD44, ""N""), ""N1"",IF(REGEXMATCH(LE44, ""N""), ""N2"",""""))"),"")</f>
        <v/>
      </c>
      <c r="LT44" s="388" t="str">
        <f>IFERROR(__xludf.DUMMYFUNCTION("IF(REGEXMATCH(LD44, ""S""), ""S"",IF(REGEXMATCH(LE44, ""S""), ""S"",""""))"),"S")</f>
        <v>S</v>
      </c>
      <c r="LU44" s="389">
        <f t="shared" si="196"/>
        <v>1</v>
      </c>
      <c r="LV44" s="378"/>
      <c r="LW44" s="369"/>
      <c r="LX44" s="369"/>
    </row>
    <row r="45" ht="18.0" customHeight="1">
      <c r="A45" s="298" t="s">
        <v>124</v>
      </c>
      <c r="B45" s="222" t="s">
        <v>591</v>
      </c>
      <c r="C45" s="233" t="str">
        <f t="shared" si="7"/>
        <v>SrGmPdNS</v>
      </c>
      <c r="D45" s="234" t="str">
        <f>IFERROR(__xludf.DUMMYFUNCTION("IF(REGEXMATCH(C45, ""S""), ""S"","""")"),"S")</f>
        <v>S</v>
      </c>
      <c r="E45" s="236" t="str">
        <f>IFERROR(__xludf.DUMMYFUNCTION("IF(REGEXMATCH(C45, ""r""), ""r"","""")"),"r")</f>
        <v>r</v>
      </c>
      <c r="F45" s="237" t="str">
        <f>IFERROR(__xludf.DUMMYFUNCTION("IF(REGEXMATCH(C45, ""R""), ""R"","""")"),"")</f>
        <v/>
      </c>
      <c r="G45" s="237" t="str">
        <f>IFERROR(__xludf.DUMMYFUNCTION("IF(REGEXMATCH(C45, ""g""), ""g"","""")"),"")</f>
        <v/>
      </c>
      <c r="H45" s="236" t="str">
        <f>IFERROR(__xludf.DUMMYFUNCTION("IF(REGEXMATCH(C45, ""G""), ""G"","""")"),"G")</f>
        <v>G</v>
      </c>
      <c r="I45" s="236" t="str">
        <f>IFERROR(__xludf.DUMMYFUNCTION("IF(REGEXMATCH(C45, ""m""), ""m"","""")"),"m")</f>
        <v>m</v>
      </c>
      <c r="J45" s="237" t="str">
        <f>IFERROR(__xludf.DUMMYFUNCTION("IF(REGEXMATCH(C45, ""M""), ""M"","""")"),"")</f>
        <v/>
      </c>
      <c r="K45" s="236" t="str">
        <f>IFERROR(__xludf.DUMMYFUNCTION("IF(REGEXMATCH(C45, ""P""), ""P"","""")"),"P")</f>
        <v>P</v>
      </c>
      <c r="L45" s="237" t="str">
        <f>IFERROR(__xludf.DUMMYFUNCTION("IF(REGEXMATCH(C45, ""d""), ""d"","""")"),"d")</f>
        <v>d</v>
      </c>
      <c r="M45" s="236" t="str">
        <f>IFERROR(__xludf.DUMMYFUNCTION("IF(REGEXMATCH(C45, ""D""), ""D"","""")"),"")</f>
        <v/>
      </c>
      <c r="N45" s="236" t="str">
        <f>IFERROR(__xludf.DUMMYFUNCTION("IF(REGEXMATCH(C45, ""n""), ""n"","""")"),"")</f>
        <v/>
      </c>
      <c r="O45" s="237" t="str">
        <f>IFERROR(__xludf.DUMMYFUNCTION("IF(REGEXMATCH(C45, ""N""), ""N"","""")"),"N")</f>
        <v>N</v>
      </c>
      <c r="P45" s="238" t="str">
        <f>IFERROR(__xludf.DUMMYFUNCTION("IF(REGEXMATCH(C45, ""S""), ""S"","""")"),"S")</f>
        <v>S</v>
      </c>
      <c r="Q45" s="239" t="str">
        <f>IFERROR(__xludf.DUMMYFUNCTION("SUBSTITUTE(CONCATENATE(JOIN(""-"",D45:J45)),""-"","""")"),"SrGm")</f>
        <v>SrGm</v>
      </c>
      <c r="R45" s="229" t="str">
        <f>IFERROR(__xludf.DUMMYFUNCTION("SUBSTITUTE(CONCATENATE(JOIN(""-"",K45:P45)),""-"","""")"),"PdNS")</f>
        <v>PdNS</v>
      </c>
      <c r="S45" s="282" t="str">
        <f t="shared" si="8"/>
        <v>S-R-G-M</v>
      </c>
      <c r="T45" s="282" t="str">
        <f t="shared" si="9"/>
        <v>P-D-N-S</v>
      </c>
      <c r="U45" s="237" t="str">
        <f>IFERROR(__xludf.DUMMYFUNCTION("SUBSTITUTE(JOIN(""-"",S45,T45),""--"",""-"")"),"S-R-G-M-P-D-N-S")</f>
        <v>S-R-G-M-P-D-N-S</v>
      </c>
      <c r="V45" s="309" t="str">
        <f t="shared" si="10"/>
        <v>rGmdN</v>
      </c>
      <c r="W45" s="244" t="str">
        <f>IFERROR(__xludf.DUMMYFUNCTION("IF(REGEXMATCH(C45, ""S""), ""0"","""")"),"0")</f>
        <v>0</v>
      </c>
      <c r="X45" s="245" t="str">
        <f>IFERROR(__xludf.DUMMYFUNCTION("IF(REGEXMATCH(C45, ""r""), ""1"","""")"),"1")</f>
        <v>1</v>
      </c>
      <c r="Y45" s="246" t="str">
        <f>IFERROR(__xludf.DUMMYFUNCTION("IF(REGEXMATCH(C45, ""R""), ""2"","""")"),"")</f>
        <v/>
      </c>
      <c r="Z45" s="246" t="str">
        <f>IFERROR(__xludf.DUMMYFUNCTION("IF(REGEXMATCH(C45, ""g""), ""3"","""")"),"")</f>
        <v/>
      </c>
      <c r="AA45" s="245" t="str">
        <f>IFERROR(__xludf.DUMMYFUNCTION("IF(REGEXMATCH(C45, ""G""), ""4"","""")"),"4")</f>
        <v>4</v>
      </c>
      <c r="AB45" s="245" t="str">
        <f>IFERROR(__xludf.DUMMYFUNCTION("IF(REGEXMATCH(C45, ""m""), ""5"","""")"),"5")</f>
        <v>5</v>
      </c>
      <c r="AC45" s="246" t="str">
        <f>IFERROR(__xludf.DUMMYFUNCTION("IF(REGEXMATCH(C45, ""M""), ""6"","""")"),"")</f>
        <v/>
      </c>
      <c r="AD45" s="245" t="str">
        <f>IFERROR(__xludf.DUMMYFUNCTION("IF(REGEXMATCH(C45, ""P""), ""7"","""")"),"7")</f>
        <v>7</v>
      </c>
      <c r="AE45" s="246" t="str">
        <f>IFERROR(__xludf.DUMMYFUNCTION("IF(REGEXMATCH(C45, ""d""), ""8"","""")"),"8")</f>
        <v>8</v>
      </c>
      <c r="AF45" s="245" t="str">
        <f>IFERROR(__xludf.DUMMYFUNCTION("IF(REGEXMATCH(C45, ""D""), ""9"","""")"),"")</f>
        <v/>
      </c>
      <c r="AG45" s="245" t="str">
        <f>IFERROR(__xludf.DUMMYFUNCTION("IF(REGEXMATCH(C45, ""n""), ""10"","""")"),"")</f>
        <v/>
      </c>
      <c r="AH45" s="246" t="str">
        <f>IFERROR(__xludf.DUMMYFUNCTION("IF(REGEXMATCH(C45, ""N""), ""11"","""")"),"11")</f>
        <v>11</v>
      </c>
      <c r="AI45" s="249" t="str">
        <f>IFERROR(__xludf.DUMMYFUNCTION("IF(REGEXMATCH(C45, ""S""), ""0"","""")"),"0")</f>
        <v>0</v>
      </c>
      <c r="AJ45" s="313" t="str">
        <f t="shared" si="11"/>
        <v>-</v>
      </c>
      <c r="AK45" s="313" t="str">
        <f t="shared" si="12"/>
        <v>T</v>
      </c>
      <c r="AL45" s="313" t="str">
        <f t="shared" si="13"/>
        <v>-</v>
      </c>
      <c r="AM45" s="313" t="str">
        <f t="shared" si="14"/>
        <v>-</v>
      </c>
      <c r="AN45" s="313" t="str">
        <f t="shared" si="15"/>
        <v>-</v>
      </c>
      <c r="AO45" s="314" t="str">
        <f t="shared" si="16"/>
        <v>T</v>
      </c>
      <c r="AP45" s="316">
        <f t="shared" si="17"/>
        <v>2</v>
      </c>
      <c r="AQ45" s="319" t="str">
        <f t="shared" si="18"/>
        <v>-</v>
      </c>
      <c r="AR45" s="320">
        <f t="shared" si="19"/>
        <v>0</v>
      </c>
      <c r="AS45" s="250" t="str">
        <f>IFERROR(__xludf.DUMMYFUNCTION("SUBSTITUTE(SUBSTITUTE(CONCATENATE(JOIN("""",FP45:GA45)),""|"",""x""),""-"",""o"")"),"xxooxxoxxoox")</f>
        <v>xxooxxoxxoox</v>
      </c>
      <c r="AT45" s="323" t="str">
        <f>IFERROR(__xludf.DUMMYFUNCTION("JOIN("""",AS45,AS45)"),"xxooxxoxxooxxxooxxoxxoox")</f>
        <v>xxooxxoxxooxxxooxxoxxoox</v>
      </c>
      <c r="AU45" s="256" t="str">
        <f>IFERROR(__xludf.DUMMYFUNCTION("JOIN("""",ArrayFormula(MID(AS45,LEN(AS45)-SEQUENCE(1,LEN(AS45))+1,1)))"),"xooxxoxxooxx")</f>
        <v>xooxxoxxooxx</v>
      </c>
      <c r="AV45" s="256" t="str">
        <f>IFERROR(__xludf.DUMMYFUNCTION("LEFT(CONCATENATE(""x"",JOIN("""",ArrayFormula(MID(AS45,LEN(AS45)-SEQUENCE(1,LEN(AS45))+1,1)))),12)"),"xxooxxoxxoox")</f>
        <v>xxooxxoxxoox</v>
      </c>
      <c r="AW45" s="327" t="str">
        <f>IFERROR(__xludf.DUMMYFUNCTION("JOIN("""",AU45,AU45)"),"xooxxoxxooxxxooxxoxxooxx")</f>
        <v>xooxxoxxooxxxooxxoxxooxx</v>
      </c>
      <c r="AX45" s="239" t="str">
        <f>IFERROR(__xludf.DUMMYFUNCTION("IF(REGEXMATCH(AW45,AS45),""✔"",""-"")"),"✔")</f>
        <v>✔</v>
      </c>
      <c r="AY45" s="330" t="str">
        <f t="shared" si="20"/>
        <v>✔</v>
      </c>
      <c r="AZ45" s="260" t="str">
        <f t="shared" si="21"/>
        <v>#REF!</v>
      </c>
      <c r="BA45" s="333" t="str">
        <f t="shared" si="22"/>
        <v>xxooxxo</v>
      </c>
      <c r="BB45" s="334" t="str">
        <f t="shared" si="23"/>
        <v>xxooxx</v>
      </c>
      <c r="BC45" s="335" t="str">
        <f t="shared" si="236"/>
        <v>✔</v>
      </c>
      <c r="BD45" s="336" t="str">
        <f t="shared" si="25"/>
        <v>Bhairav: 'xxooxxo' + 'xxooxx'</v>
      </c>
      <c r="BE45" s="337">
        <f>IFERROR(__xludf.DUMMYFUNCTION("COUNTUNIQUE(FILTER(AT:AT,REGEXMATCH(AT:AT,AS45)))-1"),3.0)</f>
        <v>3</v>
      </c>
      <c r="BF45" s="261" t="str">
        <f>IFERROR(__xludf.DUMMYFUNCTION("IF(BI45=0,""(n/a)"",IF(BJ45=2,""(PAIR)"",IF(REGEXMATCH(AT45,""xoxoxxoxoxox""),""Bilawal"",IF(REGEXMATCH(AT45,""xoxoxooxoxoo""),""Bhupali"",IF(REGEXMATCH(AT45,""xoxoxxoxxoxo""),""Charukeshi"",IF(REGEXMATCH(AT45,""xoxoooxxoxxo""),""Kameshwari"",IF(REGEXMATC"&amp;"H(AT45,""xoxoxooxoxox""),""Shankara"",IF(REGEXMATCH(AT45,""xxooxoxxxoox""),""Basant"",IF(REGEXMATCH(AT45,""xoxoxxxxoxox""),""Bihag"",IF(REGEXMATCH(AT45,""xoxxxxoxoxxx""),""Pilu"",IF(REGEXMATCH(AT45,""xoxxoxoxxoox""),""Kirwani"",IF(REGEXMATCH(AT45,""xoxxox"&amp;"oxoxxx""),""Mk.Malhar"",IF(REGEXMATCH(AT45,""xxooxxoxxoox""),""Bhairav"",IF(REGEXMATCH(AT45,""xxoxooxxxoox""),""Todi"",IF(REGEXMATCH(AT45,""xxooxoxooxox""),""Marwa"",IF(REGEXMATCH(AT45,""xxoooxoxxooo""),""Gunkali"",IF(REGEXMATCH(AT45,""xoxoxxoxxoox""),""N"&amp;"at Bhairav"",IF(REGEXMATCH(AT45,""xoxxoooxoxoo""),""Shivranjani"",IF(REGEXMATCH(AT45,""xooxxxoxooxo""),""Jog"",IF(REGEXMATCH(AT45,""xxooxoxoxoox""),""Hemshri"",IF(REGEXMATCH(AT45,""xoooxooxoxxo""),""Kalavati"",IF(REGEXMATCH(AT45,""xxoxoxxoxoox""),""Kedar"&amp;""",IF(REGEXMATCH(AT45,""xoxxxxoxooxx""),""Gara"",IF(REGEXMATCH(AT45,""xooxoxooxoox""),""Chandrakauns"",IF(REGEXMATCH(AT45,""xoxxxxoxxxox""),""Mand"",IF(REGEXMATCH(AT45,""xoxxxxoxoxox""),""Hanskinkini"",IF(REGEXMATCH(AT45,""xxooxxoxooxo""),""Lilavati"",IF("&amp;"REGEXMATCH(AT45,""xooxoxoooxox""),""Rajeshwari"",IF(REGEXMATCH(AT45,""xoooxxoxoxxx""),""Khokar"",IF(REGEXMATCH(AT45,""xxooxoxxxxox""),""Maligoura"",""-""))))))))))))))))))))))))))))))"),"Bhairav")</f>
        <v>Bhairav</v>
      </c>
      <c r="BG45" s="239" t="str">
        <f t="shared" si="26"/>
        <v>#REF!</v>
      </c>
      <c r="BH45" s="239">
        <f>IFERROR(__xludf.DUMMYFUNCTION("COUNTUNIQUE(FE45:FO45)-1"),6.0)</f>
        <v>6</v>
      </c>
      <c r="BI45" s="239">
        <f>IFERROR(__xludf.DUMMYFUNCTION("COUNTUNIQUE(FILTER(AT:AT,REGEXMATCH(AT:AT,AS45)))-1"),3.0)</f>
        <v>3</v>
      </c>
      <c r="BJ45" s="239">
        <f>IFERROR(__xludf.DUMMYFUNCTION("COUNTA(FILTER(AT:AT,REGEXMATCH(AT:AT,AS45)))"),6.0)</f>
        <v>6</v>
      </c>
      <c r="BK45" s="341">
        <f>IFERROR(__xludf.DUMMYFUNCTION("COUNTA(FILTER(AT:AT,REGEXMATCH(AT:AT,AS45)))-AR45"),6.0)</f>
        <v>6</v>
      </c>
      <c r="BL45" s="276" t="str">
        <f>IFERROR(__xludf.DUMMYFUNCTION("IF(AS45=""oooooooooooo"",""-"",IF(REGEXMATCH(AT45,""xx""), ""Hemi."", ""Anhemi.""))"),"Hemi.")</f>
        <v>Hemi.</v>
      </c>
      <c r="BM45" s="282" t="str">
        <f>IFERROR(__xludf.DUMMYFUNCTION("IF(AS45=""oooooooooooo"",""-"",IF(REGEXMATCH(AT45,""xxx""), ""Cohem."", ""-""))"),"Cohem.")</f>
        <v>Cohem.</v>
      </c>
      <c r="BN45" s="282" t="str">
        <f>IFERROR(__xludf.DUMMYFUNCTION("IF(AS45=""oooooooooooo"",""-"",IF(REGEXMATCH(AT45,""xxxx""), ""Co-Co."", ""-""))"),"-")</f>
        <v>-</v>
      </c>
      <c r="BO45" s="342" t="str">
        <f>IFERROR(__xludf.DUMMYFUNCTION("IF(AS45=""oooooooooooo"",""-"",IF(REGEXMATCH(AT45,""xxxxx""), ""CCC."", ""-""))"),"-")</f>
        <v>-</v>
      </c>
      <c r="BP45" s="344" t="str">
        <f t="shared" si="27"/>
        <v>Bhairav</v>
      </c>
      <c r="BQ45" s="282" t="str">
        <f>IFERROR(__xludf.DUMMYFUNCTION("IF(REGEXMATCH(JOIN(""-"",EU45:FD45),""TRUE""),""✔"",""-"")"),"✔")</f>
        <v>✔</v>
      </c>
      <c r="BR45" s="225">
        <f t="shared" si="28"/>
        <v>1</v>
      </c>
      <c r="BS45" s="345" t="str">
        <f>IFERROR(__xludf.DUMMYFUNCTION("SUBSTITUTE(SUBSTITUTE(SUBSTITUTE(SUBSTITUTE(CONCATENATE(JOIN(""-"",GC45:GO45)),""--"",""-""),""--"",""-""),""--"",""-""),""--"",""-"")"),"1-b2-3-4-5-b6-7-8")</f>
        <v>1-b2-3-4-5-b6-7-8</v>
      </c>
      <c r="BT45" s="299" t="str">
        <f>IFERROR(__xludf.DUMMYFUNCTION("SUBSTITUTE(SUBSTITUTE(SUBSTITUTE(SUBSTITUTE(CONCATENATE(JOIN(""-"",GP45:HB45)),""--"",""-""),""--"",""-""),""--"",""-""),""--"",""-"")"),"S-R1-G3-M1-P-D1-N3-S")</f>
        <v>S-R1-G3-M1-P-D1-N3-S</v>
      </c>
      <c r="BU45" s="348" t="str">
        <f t="shared" si="29"/>
        <v>C-Db-E-F-G-Ab-B-C</v>
      </c>
      <c r="BV45" s="349" t="str">
        <f t="shared" si="30"/>
        <v>SRgMDnS</v>
      </c>
      <c r="BW45" s="350">
        <f t="shared" si="31"/>
        <v>0</v>
      </c>
      <c r="BX45" s="351">
        <f t="shared" si="32"/>
        <v>3</v>
      </c>
      <c r="BY45" s="392"/>
      <c r="BZ45" s="309" t="str">
        <f>IFERROR(__xludf.DUMMYFUNCTION("IF(REGEXMATCH(C45, ""S""), ""x"",""x"")"),"x")</f>
        <v>x</v>
      </c>
      <c r="CA45" s="245" t="str">
        <f>IFERROR(__xludf.DUMMYFUNCTION("IF(REGEXMATCH(C45, ""r""), ""o"",""x"")"),"o")</f>
        <v>o</v>
      </c>
      <c r="CB45" s="246" t="str">
        <f>IFERROR(__xludf.DUMMYFUNCTION("IF(REGEXMATCH(C45, ""R""), ""o"",""x"")"),"x")</f>
        <v>x</v>
      </c>
      <c r="CC45" s="246" t="str">
        <f>IFERROR(__xludf.DUMMYFUNCTION("IF(REGEXMATCH(C45, ""g""), ""o"",""x"")"),"x")</f>
        <v>x</v>
      </c>
      <c r="CD45" s="245" t="str">
        <f>IFERROR(__xludf.DUMMYFUNCTION("IF(REGEXMATCH(C45, ""G""), ""o"",""x"")"),"o")</f>
        <v>o</v>
      </c>
      <c r="CE45" s="245" t="str">
        <f>IFERROR(__xludf.DUMMYFUNCTION("IF(REGEXMATCH(C45, ""m""), ""o"",""x"")"),"o")</f>
        <v>o</v>
      </c>
      <c r="CF45" s="246" t="str">
        <f>IFERROR(__xludf.DUMMYFUNCTION("IF(REGEXMATCH(C45, ""M""), ""o"",""x"")"),"x")</f>
        <v>x</v>
      </c>
      <c r="CG45" s="245" t="str">
        <f>IFERROR(__xludf.DUMMYFUNCTION("IF(REGEXMATCH(C45, ""P""), ""o"",""x"")"),"o")</f>
        <v>o</v>
      </c>
      <c r="CH45" s="246" t="str">
        <f>IFERROR(__xludf.DUMMYFUNCTION("IF(REGEXMATCH(C45, ""d""), ""o"",""x"")"),"o")</f>
        <v>o</v>
      </c>
      <c r="CI45" s="245" t="str">
        <f>IFERROR(__xludf.DUMMYFUNCTION("IF(REGEXMATCH(C45, ""D""), ""o"",""x"")"),"x")</f>
        <v>x</v>
      </c>
      <c r="CJ45" s="245" t="str">
        <f>IFERROR(__xludf.DUMMYFUNCTION("IF(REGEXMATCH(C45, ""n""), ""o"",""x"")"),"x")</f>
        <v>x</v>
      </c>
      <c r="CK45" s="245" t="str">
        <f>IFERROR(__xludf.DUMMYFUNCTION("IF(REGEXMATCH(C45, ""N""), ""o"",""x"")"),"o")</f>
        <v>o</v>
      </c>
      <c r="CL45" s="356" t="str">
        <f>IFERROR(__xludf.DUMMYFUNCTION("IF(REGEXMATCH(C45, ""S""), ""x"",""x"")"),"x")</f>
        <v>x</v>
      </c>
      <c r="CM45" s="357" t="str">
        <f t="shared" si="33"/>
        <v>xoxxooxooxxo</v>
      </c>
      <c r="CN45" s="358">
        <f t="shared" si="34"/>
        <v>0</v>
      </c>
      <c r="CO45" s="246" t="str">
        <f>IFERROR(__xludf.DUMMYFUNCTION("IF(REGEXMATCH($C45, ""S""), ""S"",""S"")"),"S")</f>
        <v>S</v>
      </c>
      <c r="CP45" s="246" t="str">
        <f>IFERROR(__xludf.DUMMYFUNCTION("IF(REGEXMATCH($C45, ""r""), """",""r"")"),"")</f>
        <v/>
      </c>
      <c r="CQ45" s="246" t="str">
        <f>IFERROR(__xludf.DUMMYFUNCTION("IF(REGEXMATCH($C45, ""R""), """",""R"")"),"R")</f>
        <v>R</v>
      </c>
      <c r="CR45" s="246" t="str">
        <f>IFERROR(__xludf.DUMMYFUNCTION("IF(REGEXMATCH($C45, ""g""), """",""g"")"),"g")</f>
        <v>g</v>
      </c>
      <c r="CS45" s="246" t="str">
        <f>IFERROR(__xludf.DUMMYFUNCTION("IF(REGEXMATCH($C45, ""G""), """",""G"")"),"")</f>
        <v/>
      </c>
      <c r="CT45" s="246" t="str">
        <f>IFERROR(__xludf.DUMMYFUNCTION("IF(REGEXMATCH($C45, ""m""), """",""m"")"),"")</f>
        <v/>
      </c>
      <c r="CU45" s="246" t="str">
        <f>IFERROR(__xludf.DUMMYFUNCTION("IF(REGEXMATCH($C45, ""M""), """",""M"")"),"M")</f>
        <v>M</v>
      </c>
      <c r="CV45" s="246" t="str">
        <f>IFERROR(__xludf.DUMMYFUNCTION("IF(REGEXMATCH($C45, ""P""), """",""P"")"),"")</f>
        <v/>
      </c>
      <c r="CW45" s="246" t="str">
        <f>IFERROR(__xludf.DUMMYFUNCTION("IF(REGEXMATCH($C45, ""d""), """",""d"")"),"")</f>
        <v/>
      </c>
      <c r="CX45" s="246" t="str">
        <f>IFERROR(__xludf.DUMMYFUNCTION("IF(REGEXMATCH($C45, ""D""), """",""D"")"),"D")</f>
        <v>D</v>
      </c>
      <c r="CY45" s="246" t="str">
        <f>IFERROR(__xludf.DUMMYFUNCTION("IF(REGEXMATCH($C45, ""n""), """",""n"")"),"n")</f>
        <v>n</v>
      </c>
      <c r="CZ45" s="246" t="str">
        <f>IFERROR(__xludf.DUMMYFUNCTION("IF(REGEXMATCH($C45, ""N""), """",""N"")"),"")</f>
        <v/>
      </c>
      <c r="DA45" s="246" t="str">
        <f>IFERROR(__xludf.DUMMYFUNCTION("IF(REGEXMATCH($C45, ""S""), ""S"",""S"")"),"S")</f>
        <v>S</v>
      </c>
      <c r="DB45" s="362" t="str">
        <f>IFERROR(__xludf.DUMMYFUNCTION("JOIN("""",CO45:DA45,"""","""")"),"SRgMDnS")</f>
        <v>SRgMDnS</v>
      </c>
      <c r="DC45" s="363"/>
      <c r="DD45" s="301" t="str">
        <f t="shared" si="35"/>
        <v>#REF!</v>
      </c>
      <c r="DE45" s="302" t="str">
        <f t="shared" si="36"/>
        <v>#REF!</v>
      </c>
      <c r="DF45" s="301" t="str">
        <f t="shared" ref="DF45:DG45" si="283">SUBSTITUTE(S45,"-","")</f>
        <v>SRGM</v>
      </c>
      <c r="DG45" s="301" t="str">
        <f t="shared" si="283"/>
        <v>PDNS</v>
      </c>
      <c r="DH45" s="302" t="str">
        <f t="shared" si="38"/>
        <v>Bhairav</v>
      </c>
      <c r="DI45" s="301" t="str">
        <f t="shared" si="39"/>
        <v>Hemi.</v>
      </c>
      <c r="DJ45" s="364" t="str">
        <f t="shared" si="40"/>
        <v>Cohem.</v>
      </c>
      <c r="DK45" s="306" t="str">
        <f t="shared" si="41"/>
        <v>Bhairav</v>
      </c>
      <c r="DL45" s="366" t="str">
        <f t="shared" si="42"/>
        <v>-</v>
      </c>
      <c r="DM45" s="308" t="str">
        <f t="shared" si="43"/>
        <v>-</v>
      </c>
      <c r="DN45" s="306" t="str">
        <f t="shared" si="44"/>
        <v>-</v>
      </c>
      <c r="DO45" s="306" t="str">
        <f t="shared" si="45"/>
        <v>-</v>
      </c>
      <c r="DP45" s="367" t="str">
        <f t="shared" si="46"/>
        <v>-</v>
      </c>
      <c r="DQ45" s="310" t="str">
        <f t="shared" si="47"/>
        <v>-</v>
      </c>
      <c r="DR45" s="310" t="str">
        <f t="shared" si="48"/>
        <v>-</v>
      </c>
      <c r="DS45" s="310" t="str">
        <f t="shared" si="49"/>
        <v>-</v>
      </c>
      <c r="DT45" s="310" t="str">
        <f t="shared" si="50"/>
        <v>-</v>
      </c>
      <c r="DU45" s="370" t="str">
        <f t="shared" si="51"/>
        <v>-</v>
      </c>
      <c r="DV45" s="306" t="str">
        <f t="shared" si="52"/>
        <v>-</v>
      </c>
      <c r="DW45" s="306" t="str">
        <f t="shared" si="53"/>
        <v>-</v>
      </c>
      <c r="DX45" s="306" t="str">
        <f t="shared" si="54"/>
        <v>-</v>
      </c>
      <c r="DY45" s="306" t="str">
        <f t="shared" si="55"/>
        <v>-</v>
      </c>
      <c r="DZ45" s="306" t="str">
        <f t="shared" si="56"/>
        <v>-</v>
      </c>
      <c r="EA45" s="367" t="str">
        <f t="shared" si="57"/>
        <v>-</v>
      </c>
      <c r="EB45" s="310" t="str">
        <f>IFERROR(__xludf.DUMMYFUNCTION("IF(REGEXMATCH(AW45,AS45),""✔"",""-"")"),"✔")</f>
        <v>✔</v>
      </c>
      <c r="EC45" s="310" t="str">
        <f t="shared" si="58"/>
        <v>#REF!</v>
      </c>
      <c r="ED45" s="370" t="str">
        <f t="shared" si="59"/>
        <v>✔</v>
      </c>
      <c r="EE45" s="340" t="str">
        <f t="shared" si="60"/>
        <v>S-r-G-m-P-d-N-S</v>
      </c>
      <c r="EF45" s="371" t="str">
        <f>IFERROR(__xludf.DUMMYFUNCTION("CONCATENATE(JOIN("""",HC45:HO45))"),"SrGmPdNS")</f>
        <v>SrGmPdNS</v>
      </c>
      <c r="EG45" s="372">
        <f t="shared" si="61"/>
        <v>3</v>
      </c>
      <c r="EH45" s="373" t="str">
        <f>IFERROR(__xludf.DUMMYFUNCTION("CONCATENATE(JOIN("""",JC45:JO45))"),"Pa, dha, Ni, ")</f>
        <v>Pa, dha, Ni, </v>
      </c>
      <c r="EI45" s="322">
        <f t="shared" si="62"/>
        <v>0</v>
      </c>
      <c r="EJ45" s="374" t="str">
        <f>IFERROR(__xludf.DUMMYFUNCTION("CONCATENATE(JOIN("""",KC45:KO45))"),"")</f>
        <v/>
      </c>
      <c r="EK45" s="325" t="str">
        <f t="shared" si="63"/>
        <v>S-R1-G3-M1-P-D1-N3-S</v>
      </c>
      <c r="EL45" s="326" t="str">
        <f t="shared" si="64"/>
        <v>1-b2-3-4-5-b6-7-8</v>
      </c>
      <c r="EM45" s="318" t="str">
        <f t="shared" si="65"/>
        <v>#REF!</v>
      </c>
      <c r="EN45" s="328" t="str">
        <f>IFERROR(__xludf.DUMMYFUNCTION("SUBSTITUTE(SUBSTITUTE(SUBSTITUTE(SUBSTITUTE(CONCATENATE(JOIN("" "",HP45:IB45)),""  "","" ""),""  "","" ""),""  "","" ""),""  "","" "")"),"o o • • o o • o o • • o o")</f>
        <v>o o • • o o • o o • • o o</v>
      </c>
      <c r="EO45" s="368" t="str">
        <f t="shared" si="66"/>
        <v>-</v>
      </c>
      <c r="EP45" s="339" t="str">
        <f t="shared" si="67"/>
        <v>-</v>
      </c>
      <c r="EQ45" s="339" t="str">
        <f t="shared" si="68"/>
        <v>Sa-Pa</v>
      </c>
      <c r="ER45" s="339" t="str">
        <f t="shared" si="69"/>
        <v>-</v>
      </c>
      <c r="ES45" s="340" t="str">
        <f t="shared" si="70"/>
        <v>-</v>
      </c>
      <c r="ET45" s="363"/>
      <c r="EU45" s="376" t="b">
        <f>IFERROR(__xludf.DUMMYFUNCTION("arrayformula(sum(--REGEXMATCH(""SRGMPDNS"",split(REGEXREPLACE(C45,""(.)"",""$1~""),""~""))))=len(C45)
"),FALSE)</f>
        <v>0</v>
      </c>
      <c r="EV45" s="290" t="b">
        <f>IFERROR(__xludf.DUMMYFUNCTION("arrayformula(sum(--REGEXMATCH(""SRGmPDNS"",split(REGEXREPLACE(C45,""(.)"",""$1~""),""~""))))=len(C45)"),FALSE)</f>
        <v>0</v>
      </c>
      <c r="EW45" s="290" t="b">
        <f>IFERROR(__xludf.DUMMYFUNCTION("arrayformula(sum(--REGEXMATCH(""SRGmPDnS"",split(REGEXREPLACE(C45,""(.)"",""$1~""),""~""))))=len(C45)"),FALSE)</f>
        <v>0</v>
      </c>
      <c r="EX45" s="290" t="b">
        <f>IFERROR(__xludf.DUMMYFUNCTION("arrayformula(sum(--REGEXMATCH(""SRgmPDnS"",split(REGEXREPLACE(C45,""(.)"",""$1~""),""~""))))=len(C45)"),FALSE)</f>
        <v>0</v>
      </c>
      <c r="EY45" s="290" t="b">
        <f>IFERROR(__xludf.DUMMYFUNCTION("arrayformula(sum(--REGEXMATCH(""SRgmPdnS"",split(REGEXREPLACE(C45,""(.)"",""$1~""),""~""))))=len(C45)"),FALSE)</f>
        <v>0</v>
      </c>
      <c r="EZ45" s="290" t="b">
        <f>IFERROR(__xludf.DUMMYFUNCTION("arrayformula(sum(--REGEXMATCH(""SrgmPdnS"",split(REGEXREPLACE(C45,""(.)"",""$1~""),""~""))))=len(C45)"),FALSE)</f>
        <v>0</v>
      </c>
      <c r="FA45" s="290" t="b">
        <f>IFERROR(__xludf.DUMMYFUNCTION("arrayformula(sum(--REGEXMATCH(""SrGmPdNS"",split(REGEXREPLACE(C45,""(.)"",""$1~""),""~""))))=len(C45)"),TRUE)</f>
        <v>1</v>
      </c>
      <c r="FB45" s="290" t="b">
        <f>IFERROR(__xludf.DUMMYFUNCTION("arrayformula(sum(--REGEXMATCH(""SrGMPDNS"",split(REGEXREPLACE(C45,""(.)"",""$1~""),""~""))))=len(C45)"),FALSE)</f>
        <v>0</v>
      </c>
      <c r="FC45" s="290" t="b">
        <f>IFERROR(__xludf.DUMMYFUNCTION("arrayformula(sum(--REGEXMATCH(""SrGMPdNS"",split(REGEXREPLACE(C45,""(.)"",""$1~""),""~""))))=len(C45)"),FALSE)</f>
        <v>0</v>
      </c>
      <c r="FD45" s="377" t="b">
        <f>IFERROR(__xludf.DUMMYFUNCTION("arrayformula(sum(--REGEXMATCH(""SrgMPdNS"",split(REGEXREPLACE(C45,""(.)"",""$1~""),""~""))))=len(C45)"),FALSE)</f>
        <v>0</v>
      </c>
      <c r="FE45" s="269" t="str">
        <f t="shared" si="71"/>
        <v>xooxxoxxoox</v>
      </c>
      <c r="FF45" s="269" t="str">
        <f t="shared" si="72"/>
        <v>-</v>
      </c>
      <c r="FG45" s="271" t="str">
        <f t="shared" si="73"/>
        <v>-</v>
      </c>
      <c r="FH45" s="269" t="str">
        <f t="shared" si="74"/>
        <v>xxoxxooxxxo</v>
      </c>
      <c r="FI45" s="271" t="str">
        <f t="shared" si="75"/>
        <v>xoxxooxxxoo</v>
      </c>
      <c r="FJ45" s="271" t="str">
        <f t="shared" si="76"/>
        <v>-</v>
      </c>
      <c r="FK45" s="271" t="str">
        <f t="shared" si="77"/>
        <v>xxooxxxooxx</v>
      </c>
      <c r="FL45" s="271" t="str">
        <f t="shared" si="78"/>
        <v>xooxxxooxxo</v>
      </c>
      <c r="FM45" s="271" t="str">
        <f t="shared" si="79"/>
        <v>-</v>
      </c>
      <c r="FN45" s="271" t="str">
        <f t="shared" si="80"/>
        <v>-</v>
      </c>
      <c r="FO45" s="274" t="str">
        <f t="shared" si="81"/>
        <v>xxxooxxoxxo</v>
      </c>
      <c r="FP45" s="234" t="str">
        <f t="shared" si="82"/>
        <v>|</v>
      </c>
      <c r="FQ45" s="236" t="str">
        <f t="shared" si="83"/>
        <v>|</v>
      </c>
      <c r="FR45" s="237" t="str">
        <f t="shared" si="84"/>
        <v>-</v>
      </c>
      <c r="FS45" s="236" t="str">
        <f t="shared" si="85"/>
        <v>-</v>
      </c>
      <c r="FT45" s="237" t="str">
        <f t="shared" si="86"/>
        <v>|</v>
      </c>
      <c r="FU45" s="236" t="str">
        <f t="shared" si="87"/>
        <v>|</v>
      </c>
      <c r="FV45" s="237" t="str">
        <f t="shared" si="88"/>
        <v>-</v>
      </c>
      <c r="FW45" s="236" t="str">
        <f t="shared" si="89"/>
        <v>|</v>
      </c>
      <c r="FX45" s="237" t="str">
        <f t="shared" si="90"/>
        <v>|</v>
      </c>
      <c r="FY45" s="236" t="str">
        <f t="shared" si="91"/>
        <v>-</v>
      </c>
      <c r="FZ45" s="237" t="str">
        <f t="shared" si="92"/>
        <v>-</v>
      </c>
      <c r="GA45" s="236" t="str">
        <f t="shared" si="93"/>
        <v>|</v>
      </c>
      <c r="GB45" s="238" t="str">
        <f t="shared" si="94"/>
        <v>|</v>
      </c>
      <c r="GC45" s="244" t="str">
        <f>IFERROR(__xludf.DUMMYFUNCTION("IF(REGEXMATCH(C45, ""S""), ""1"","""")"),"1")</f>
        <v>1</v>
      </c>
      <c r="GD45" s="245" t="str">
        <f>IFERROR(__xludf.DUMMYFUNCTION("IF(REGEXMATCH(C45, ""r""), ""b2"","""")"),"b2")</f>
        <v>b2</v>
      </c>
      <c r="GE45" s="246" t="str">
        <f>IFERROR(__xludf.DUMMYFUNCTION("IF(REGEXMATCH(C45, ""R""), ""2"","""")"),"")</f>
        <v/>
      </c>
      <c r="GF45" s="246" t="str">
        <f>IFERROR(__xludf.DUMMYFUNCTION("IF(REGEXMATCH(C45, ""g""), ""b3"","""")"),"")</f>
        <v/>
      </c>
      <c r="GG45" s="245" t="str">
        <f>IFERROR(__xludf.DUMMYFUNCTION("IF(REGEXMATCH(C45, ""G""), ""3"","""")"),"3")</f>
        <v>3</v>
      </c>
      <c r="GH45" s="245" t="str">
        <f>IFERROR(__xludf.DUMMYFUNCTION("IF(REGEXMATCH(C45, ""m""), ""4"","""")"),"4")</f>
        <v>4</v>
      </c>
      <c r="GI45" s="246" t="str">
        <f>IFERROR(__xludf.DUMMYFUNCTION("IF(REGEXMATCH(C45, ""M""), ""#4"","""")"),"")</f>
        <v/>
      </c>
      <c r="GJ45" s="245" t="str">
        <f>IFERROR(__xludf.DUMMYFUNCTION("IF(REGEXMATCH(C45, ""P""), ""5"","""")"),"5")</f>
        <v>5</v>
      </c>
      <c r="GK45" s="246" t="str">
        <f>IFERROR(__xludf.DUMMYFUNCTION("IF(REGEXMATCH(C45, ""d""), ""b6"","""")"),"b6")</f>
        <v>b6</v>
      </c>
      <c r="GL45" s="245" t="str">
        <f>IFERROR(__xludf.DUMMYFUNCTION("IF(REGEXMATCH(C45, ""D""), ""6"","""")"),"")</f>
        <v/>
      </c>
      <c r="GM45" s="245" t="str">
        <f>IFERROR(__xludf.DUMMYFUNCTION("IF(REGEXMATCH(C45, ""n""), ""b7"","""")"),"")</f>
        <v/>
      </c>
      <c r="GN45" s="246" t="str">
        <f>IFERROR(__xludf.DUMMYFUNCTION("IF(REGEXMATCH(C45, ""N""), ""7"","""")"),"7")</f>
        <v>7</v>
      </c>
      <c r="GO45" s="249" t="str">
        <f>IFERROR(__xludf.DUMMYFUNCTION("IF(REGEXMATCH(C45, ""S""), ""8"","""")"),"8")</f>
        <v>8</v>
      </c>
      <c r="GP45" s="244" t="str">
        <f>IFERROR(__xludf.DUMMYFUNCTION("IF(REGEXMATCH(C45, ""S""), ""S"","""")"),"S")</f>
        <v>S</v>
      </c>
      <c r="GQ45" s="294" t="str">
        <f>IFERROR(__xludf.DUMMYFUNCTION("IF(REGEXMATCH(C45, ""r""), ""R1"","""")"),"R1")</f>
        <v>R1</v>
      </c>
      <c r="GR45" s="295" t="str">
        <f>IFERROR(__xludf.DUMMYFUNCTION("IF(REGEXMATCH(C45, ""R""), ""R2"","""")"),"")</f>
        <v/>
      </c>
      <c r="GS45" s="295" t="str">
        <f>IFERROR(__xludf.DUMMYFUNCTION("IF(REGEXMATCH(C45, ""g""), ""G2"","""")"),"")</f>
        <v/>
      </c>
      <c r="GT45" s="294" t="str">
        <f>IFERROR(__xludf.DUMMYFUNCTION("IF(REGEXMATCH(C45, ""G""), ""G3"","""")"),"G3")</f>
        <v>G3</v>
      </c>
      <c r="GU45" s="294" t="str">
        <f>IFERROR(__xludf.DUMMYFUNCTION("IF(REGEXMATCH(C45, ""m""), ""M1"","""")"),"M1")</f>
        <v>M1</v>
      </c>
      <c r="GV45" s="295" t="str">
        <f>IFERROR(__xludf.DUMMYFUNCTION("IF(REGEXMATCH(C45, ""M""), ""M2"","""")"),"")</f>
        <v/>
      </c>
      <c r="GW45" s="294" t="str">
        <f>IFERROR(__xludf.DUMMYFUNCTION("IF(REGEXMATCH(C45, ""P""), ""P"","""")"),"P")</f>
        <v>P</v>
      </c>
      <c r="GX45" s="295" t="str">
        <f>IFERROR(__xludf.DUMMYFUNCTION("IF(REGEXMATCH(C45, ""d""), ""D1"","""")"),"D1")</f>
        <v>D1</v>
      </c>
      <c r="GY45" s="294" t="str">
        <f>IFERROR(__xludf.DUMMYFUNCTION("IF(REGEXMATCH(C45, ""D""), ""D2"","""")"),"")</f>
        <v/>
      </c>
      <c r="GZ45" s="294" t="str">
        <f>IFERROR(__xludf.DUMMYFUNCTION("IF(REGEXMATCH(C45, ""n""), ""N2"","""")"),"")</f>
        <v/>
      </c>
      <c r="HA45" s="295" t="str">
        <f>IFERROR(__xludf.DUMMYFUNCTION("IF(REGEXMATCH(C45, ""N""), ""N3"","""")"),"N3")</f>
        <v>N3</v>
      </c>
      <c r="HB45" s="249" t="str">
        <f>IFERROR(__xludf.DUMMYFUNCTION("IF(REGEXMATCH(C45, ""S""), ""S"","""")"),"S")</f>
        <v>S</v>
      </c>
      <c r="HC45" s="331" t="str">
        <f t="shared" si="95"/>
        <v>S</v>
      </c>
      <c r="HD45" s="332" t="str">
        <f t="shared" si="96"/>
        <v>r</v>
      </c>
      <c r="HE45" s="332" t="str">
        <f t="shared" si="97"/>
        <v/>
      </c>
      <c r="HF45" s="332" t="str">
        <f t="shared" si="98"/>
        <v/>
      </c>
      <c r="HG45" s="332" t="str">
        <f t="shared" si="99"/>
        <v>G</v>
      </c>
      <c r="HH45" s="332" t="str">
        <f t="shared" si="100"/>
        <v>m</v>
      </c>
      <c r="HI45" s="332" t="str">
        <f t="shared" si="101"/>
        <v/>
      </c>
      <c r="HJ45" s="332" t="str">
        <f t="shared" si="102"/>
        <v>P</v>
      </c>
      <c r="HK45" s="332" t="str">
        <f t="shared" si="103"/>
        <v>d</v>
      </c>
      <c r="HL45" s="332" t="str">
        <f t="shared" si="104"/>
        <v/>
      </c>
      <c r="HM45" s="332" t="str">
        <f t="shared" si="105"/>
        <v/>
      </c>
      <c r="HN45" s="332" t="str">
        <f t="shared" si="106"/>
        <v>N</v>
      </c>
      <c r="HO45" s="343" t="str">
        <f t="shared" si="107"/>
        <v>S</v>
      </c>
      <c r="HP45" s="331" t="str">
        <f t="shared" si="108"/>
        <v>o</v>
      </c>
      <c r="HQ45" s="332" t="str">
        <f t="shared" si="109"/>
        <v>o</v>
      </c>
      <c r="HR45" s="332" t="str">
        <f t="shared" si="110"/>
        <v>•</v>
      </c>
      <c r="HS45" s="332" t="str">
        <f t="shared" si="111"/>
        <v>•</v>
      </c>
      <c r="HT45" s="332" t="str">
        <f t="shared" si="112"/>
        <v>o</v>
      </c>
      <c r="HU45" s="332" t="str">
        <f t="shared" si="113"/>
        <v>o</v>
      </c>
      <c r="HV45" s="332" t="str">
        <f t="shared" si="114"/>
        <v>•</v>
      </c>
      <c r="HW45" s="332" t="str">
        <f t="shared" si="115"/>
        <v>o</v>
      </c>
      <c r="HX45" s="332" t="str">
        <f t="shared" si="116"/>
        <v>o</v>
      </c>
      <c r="HY45" s="332" t="str">
        <f t="shared" si="117"/>
        <v>•</v>
      </c>
      <c r="HZ45" s="332" t="str">
        <f t="shared" si="118"/>
        <v>•</v>
      </c>
      <c r="IA45" s="332" t="str">
        <f t="shared" si="119"/>
        <v>o</v>
      </c>
      <c r="IB45" s="338" t="str">
        <f t="shared" si="120"/>
        <v>o</v>
      </c>
      <c r="IC45" s="331" t="str">
        <f t="shared" si="121"/>
        <v>•</v>
      </c>
      <c r="ID45" s="332" t="str">
        <f t="shared" si="122"/>
        <v>•</v>
      </c>
      <c r="IE45" s="332" t="str">
        <f t="shared" si="123"/>
        <v>o</v>
      </c>
      <c r="IF45" s="332" t="str">
        <f t="shared" si="124"/>
        <v>o</v>
      </c>
      <c r="IG45" s="332" t="str">
        <f t="shared" si="125"/>
        <v>•</v>
      </c>
      <c r="IH45" s="332" t="str">
        <f t="shared" si="126"/>
        <v>•</v>
      </c>
      <c r="II45" s="332" t="str">
        <f t="shared" si="127"/>
        <v>o</v>
      </c>
      <c r="IJ45" s="332" t="str">
        <f t="shared" si="128"/>
        <v>•</v>
      </c>
      <c r="IK45" s="332" t="str">
        <f t="shared" si="129"/>
        <v>•</v>
      </c>
      <c r="IL45" s="332" t="str">
        <f t="shared" si="130"/>
        <v>o</v>
      </c>
      <c r="IM45" s="332" t="str">
        <f t="shared" si="131"/>
        <v>o</v>
      </c>
      <c r="IN45" s="332" t="str">
        <f t="shared" si="132"/>
        <v>•</v>
      </c>
      <c r="IO45" s="338" t="str">
        <f t="shared" si="133"/>
        <v>•</v>
      </c>
      <c r="IP45" s="346" t="b">
        <f t="shared" si="134"/>
        <v>0</v>
      </c>
      <c r="IQ45" s="347" t="b">
        <f t="shared" si="135"/>
        <v>0</v>
      </c>
      <c r="IR45" s="347" t="b">
        <f t="shared" si="136"/>
        <v>0</v>
      </c>
      <c r="IS45" s="347" t="b">
        <f t="shared" si="137"/>
        <v>0</v>
      </c>
      <c r="IT45" s="347" t="b">
        <f t="shared" si="138"/>
        <v>0</v>
      </c>
      <c r="IU45" s="347" t="b">
        <f t="shared" si="139"/>
        <v>0</v>
      </c>
      <c r="IV45" s="347" t="b">
        <f t="shared" si="140"/>
        <v>0</v>
      </c>
      <c r="IW45" s="347" t="b">
        <f t="shared" si="141"/>
        <v>1</v>
      </c>
      <c r="IX45" s="347" t="b">
        <f t="shared" si="142"/>
        <v>1</v>
      </c>
      <c r="IY45" s="347" t="b">
        <f t="shared" si="143"/>
        <v>0</v>
      </c>
      <c r="IZ45" s="347" t="b">
        <f t="shared" si="144"/>
        <v>0</v>
      </c>
      <c r="JA45" s="347" t="b">
        <f t="shared" si="145"/>
        <v>1</v>
      </c>
      <c r="JB45" s="353" t="b">
        <f t="shared" si="146"/>
        <v>0</v>
      </c>
      <c r="JC45" s="354" t="str">
        <f t="shared" si="147"/>
        <v/>
      </c>
      <c r="JD45" s="355" t="str">
        <f t="shared" si="148"/>
        <v/>
      </c>
      <c r="JE45" s="355" t="str">
        <f t="shared" si="149"/>
        <v/>
      </c>
      <c r="JF45" s="355" t="str">
        <f t="shared" si="150"/>
        <v/>
      </c>
      <c r="JG45" s="355" t="str">
        <f t="shared" si="151"/>
        <v/>
      </c>
      <c r="JH45" s="355" t="str">
        <f t="shared" si="152"/>
        <v/>
      </c>
      <c r="JI45" s="355" t="str">
        <f t="shared" si="153"/>
        <v/>
      </c>
      <c r="JJ45" s="355" t="str">
        <f t="shared" si="154"/>
        <v>Pa, </v>
      </c>
      <c r="JK45" s="355" t="str">
        <f t="shared" si="155"/>
        <v>dha, </v>
      </c>
      <c r="JL45" s="355" t="str">
        <f t="shared" si="156"/>
        <v/>
      </c>
      <c r="JM45" s="355" t="str">
        <f t="shared" si="157"/>
        <v/>
      </c>
      <c r="JN45" s="355" t="str">
        <f t="shared" si="158"/>
        <v>Ni, </v>
      </c>
      <c r="JO45" s="359" t="str">
        <f t="shared" si="159"/>
        <v/>
      </c>
      <c r="JP45" s="346" t="b">
        <f t="shared" si="160"/>
        <v>0</v>
      </c>
      <c r="JQ45" s="347" t="b">
        <f t="shared" si="161"/>
        <v>0</v>
      </c>
      <c r="JR45" s="347" t="b">
        <f t="shared" si="162"/>
        <v>0</v>
      </c>
      <c r="JS45" s="347" t="b">
        <f t="shared" si="163"/>
        <v>0</v>
      </c>
      <c r="JT45" s="347" t="b">
        <f t="shared" si="164"/>
        <v>0</v>
      </c>
      <c r="JU45" s="347" t="b">
        <f t="shared" si="165"/>
        <v>0</v>
      </c>
      <c r="JV45" s="347" t="b">
        <f t="shared" si="166"/>
        <v>0</v>
      </c>
      <c r="JW45" s="347" t="b">
        <f t="shared" si="167"/>
        <v>0</v>
      </c>
      <c r="JX45" s="347" t="b">
        <f t="shared" si="168"/>
        <v>0</v>
      </c>
      <c r="JY45" s="347" t="b">
        <f t="shared" si="169"/>
        <v>0</v>
      </c>
      <c r="JZ45" s="347" t="b">
        <f t="shared" si="170"/>
        <v>0</v>
      </c>
      <c r="KA45" s="347" t="b">
        <f t="shared" si="171"/>
        <v>0</v>
      </c>
      <c r="KB45" s="365" t="b">
        <f t="shared" si="172"/>
        <v>0</v>
      </c>
      <c r="KC45" s="354" t="str">
        <f t="shared" si="173"/>
        <v/>
      </c>
      <c r="KD45" s="355" t="str">
        <f t="shared" si="174"/>
        <v/>
      </c>
      <c r="KE45" s="355" t="str">
        <f t="shared" si="175"/>
        <v/>
      </c>
      <c r="KF45" s="355" t="str">
        <f t="shared" si="176"/>
        <v/>
      </c>
      <c r="KG45" s="355" t="str">
        <f t="shared" si="177"/>
        <v/>
      </c>
      <c r="KH45" s="355" t="str">
        <f t="shared" si="178"/>
        <v/>
      </c>
      <c r="KI45" s="355" t="str">
        <f t="shared" si="179"/>
        <v/>
      </c>
      <c r="KJ45" s="355" t="str">
        <f t="shared" si="180"/>
        <v/>
      </c>
      <c r="KK45" s="355" t="str">
        <f t="shared" si="181"/>
        <v/>
      </c>
      <c r="KL45" s="355" t="str">
        <f t="shared" si="182"/>
        <v/>
      </c>
      <c r="KM45" s="355" t="str">
        <f t="shared" si="183"/>
        <v/>
      </c>
      <c r="KN45" s="355" t="str">
        <f t="shared" si="184"/>
        <v/>
      </c>
      <c r="KO45" s="359"/>
      <c r="KP45" s="378"/>
      <c r="KQ45" s="379" t="s">
        <v>591</v>
      </c>
      <c r="KR45" s="380" t="s">
        <v>1322</v>
      </c>
      <c r="KS45" s="381" t="str">
        <f t="shared" ref="KS45:KS47" si="286">KQ45</f>
        <v>S-r-G-m-P-d-N-S</v>
      </c>
      <c r="KT45" s="382">
        <f t="shared" si="186"/>
        <v>7</v>
      </c>
      <c r="KU45" s="383">
        <f t="shared" si="187"/>
        <v>7</v>
      </c>
      <c r="KV45" s="381" t="str">
        <f t="shared" si="205"/>
        <v>S-N-d-P-m-G-r-S</v>
      </c>
      <c r="KW45" s="382">
        <f t="shared" si="189"/>
        <v>7</v>
      </c>
      <c r="KX45" s="384">
        <f t="shared" si="190"/>
        <v>7</v>
      </c>
      <c r="KY45" s="382">
        <f t="shared" ref="KY45:KZ45" si="284">KW45-KT45</f>
        <v>0</v>
      </c>
      <c r="KZ45" s="369">
        <f t="shared" si="284"/>
        <v>0</v>
      </c>
      <c r="LA45" s="385" t="str">
        <f t="shared" si="192"/>
        <v>✔</v>
      </c>
      <c r="LB45" s="340" t="str">
        <f>IFERROR(__xludf.DUMMYFUNCTION("JOIN("""",ArrayFormula(MID(KS45,LEN(KS45)-SEQUENCE(1,LEN(KS45))+1,1)))"),"S-N-d-P-m-G-r-S")</f>
        <v>S-N-d-P-m-G-r-S</v>
      </c>
      <c r="LC45" s="373" t="str">
        <f>IFERROR(__xludf.DUMMYFUNCTION("JOIN("""",ArrayFormula(MID(KV45,LEN(KV45)-SEQUENCE(1,LEN(KV45))+1,1)))"),"S-r-G-m-P-d-N-S")</f>
        <v>S-r-G-m-P-d-N-S</v>
      </c>
      <c r="LD45" s="373" t="str">
        <f t="shared" si="193"/>
        <v>SrGmPdNS</v>
      </c>
      <c r="LE45" s="339" t="str">
        <f t="shared" si="194"/>
        <v>SrGmPdNS</v>
      </c>
      <c r="LF45" s="386" t="str">
        <f>IFERROR(__xludf.DUMMYFUNCTION("SUBSTITUTE(SUBSTITUTE(CONCATENATE(JOIN("""",LH45:LT45)),""1"",""""),""2"","""")"),"SrGmPdNS")</f>
        <v>SrGmPdNS</v>
      </c>
      <c r="LG45" s="369" t="str">
        <f t="shared" si="195"/>
        <v>✔</v>
      </c>
      <c r="LH45" s="387" t="str">
        <f>IFERROR(__xludf.DUMMYFUNCTION("IF(REGEXMATCH(LD45, ""S""), ""S"",IF(REGEXMATCH(LE45, ""S""), ""S"",""""))"),"S")</f>
        <v>S</v>
      </c>
      <c r="LI45" s="299" t="str">
        <f>IFERROR(__xludf.DUMMYFUNCTION("IF(REGEXMATCH(LD45, ""r""), ""r1"",IF(REGEXMATCH(LE45, ""r""), ""r2"",""""))"),"r1")</f>
        <v>r1</v>
      </c>
      <c r="LJ45" s="299" t="str">
        <f>IFERROR(__xludf.DUMMYFUNCTION("IF(REGEXMATCH(LD45, ""R""), ""R1"",IF(REGEXMATCH(LE45, ""R""), ""R2"",""""))"),"")</f>
        <v/>
      </c>
      <c r="LK45" s="299" t="str">
        <f>IFERROR(__xludf.DUMMYFUNCTION("IF(REGEXMATCH(LD45, ""g""), ""g1"",IF(REGEXMATCH(LE45, ""g""), ""g2"",""""))"),"")</f>
        <v/>
      </c>
      <c r="LL45" s="299" t="str">
        <f>IFERROR(__xludf.DUMMYFUNCTION("IF(REGEXMATCH(LD45, ""G""), ""G1"",IF(REGEXMATCH(LE45, ""G""), ""G2"",""""))"),"G1")</f>
        <v>G1</v>
      </c>
      <c r="LM45" s="299" t="str">
        <f>IFERROR(__xludf.DUMMYFUNCTION("IF(REGEXMATCH(LD45, ""m""), ""m1"",IF(REGEXMATCH(LE45, ""m""), ""m2"",""""))"),"m1")</f>
        <v>m1</v>
      </c>
      <c r="LN45" s="299" t="str">
        <f>IFERROR(__xludf.DUMMYFUNCTION("IF(REGEXMATCH(LD45, ""M""), ""M1"",IF(REGEXMATCH(LE45, ""M""), ""M2"",""""))"),"")</f>
        <v/>
      </c>
      <c r="LO45" s="299" t="str">
        <f>IFERROR(__xludf.DUMMYFUNCTION("IF(REGEXMATCH(LD45, ""P""), ""P1"",IF(REGEXMATCH(LE45, ""P""), ""P2"",""""))"),"P1")</f>
        <v>P1</v>
      </c>
      <c r="LP45" s="299" t="str">
        <f>IFERROR(__xludf.DUMMYFUNCTION("IF(REGEXMATCH(LD45, ""d""), ""d1"",IF(REGEXMATCH(LE45, ""d""), ""d2"",""""))"),"d1")</f>
        <v>d1</v>
      </c>
      <c r="LQ45" s="299" t="str">
        <f>IFERROR(__xludf.DUMMYFUNCTION("IF(REGEXMATCH(LD45, ""D""), ""D1"",IF(REGEXMATCH(LE45, ""D""), ""D2"",""""))"),"")</f>
        <v/>
      </c>
      <c r="LR45" s="299" t="str">
        <f>IFERROR(__xludf.DUMMYFUNCTION("IF(REGEXMATCH(LD45, ""n""), ""n1"",IF(REGEXMATCH(LE45, ""n""), ""n2"",""""))"),"")</f>
        <v/>
      </c>
      <c r="LS45" s="299" t="str">
        <f>IFERROR(__xludf.DUMMYFUNCTION("IF(REGEXMATCH(LD45, ""N""), ""N1"",IF(REGEXMATCH(LE45, ""N""), ""N2"",""""))"),"N1")</f>
        <v>N1</v>
      </c>
      <c r="LT45" s="388" t="str">
        <f>IFERROR(__xludf.DUMMYFUNCTION("IF(REGEXMATCH(LD45, ""S""), ""S"",IF(REGEXMATCH(LE45, ""S""), ""S"",""""))"),"S")</f>
        <v>S</v>
      </c>
      <c r="LU45" s="389">
        <f t="shared" si="196"/>
        <v>1</v>
      </c>
      <c r="LV45" s="378"/>
      <c r="LW45" s="369"/>
      <c r="LX45" s="369"/>
    </row>
    <row r="46" ht="18.0" customHeight="1">
      <c r="A46" s="298" t="s">
        <v>592</v>
      </c>
      <c r="B46" s="222" t="s">
        <v>593</v>
      </c>
      <c r="C46" s="233" t="str">
        <f t="shared" si="7"/>
        <v>SrRgGmPDnNS</v>
      </c>
      <c r="D46" s="234" t="str">
        <f>IFERROR(__xludf.DUMMYFUNCTION("IF(REGEXMATCH(C46, ""S""), ""S"","""")"),"S")</f>
        <v>S</v>
      </c>
      <c r="E46" s="236" t="str">
        <f>IFERROR(__xludf.DUMMYFUNCTION("IF(REGEXMATCH(C46, ""r""), ""r"","""")"),"r")</f>
        <v>r</v>
      </c>
      <c r="F46" s="237" t="str">
        <f>IFERROR(__xludf.DUMMYFUNCTION("IF(REGEXMATCH(C46, ""R""), ""R"","""")"),"R")</f>
        <v>R</v>
      </c>
      <c r="G46" s="237" t="str">
        <f>IFERROR(__xludf.DUMMYFUNCTION("IF(REGEXMATCH(C46, ""g""), ""g"","""")"),"g")</f>
        <v>g</v>
      </c>
      <c r="H46" s="236" t="str">
        <f>IFERROR(__xludf.DUMMYFUNCTION("IF(REGEXMATCH(C46, ""G""), ""G"","""")"),"G")</f>
        <v>G</v>
      </c>
      <c r="I46" s="236" t="str">
        <f>IFERROR(__xludf.DUMMYFUNCTION("IF(REGEXMATCH(C46, ""m""), ""m"","""")"),"m")</f>
        <v>m</v>
      </c>
      <c r="J46" s="237" t="str">
        <f>IFERROR(__xludf.DUMMYFUNCTION("IF(REGEXMATCH(C46, ""M""), ""M"","""")"),"")</f>
        <v/>
      </c>
      <c r="K46" s="236" t="str">
        <f>IFERROR(__xludf.DUMMYFUNCTION("IF(REGEXMATCH(C46, ""P""), ""P"","""")"),"P")</f>
        <v>P</v>
      </c>
      <c r="L46" s="237" t="str">
        <f>IFERROR(__xludf.DUMMYFUNCTION("IF(REGEXMATCH(C46, ""d""), ""d"","""")"),"")</f>
        <v/>
      </c>
      <c r="M46" s="236" t="str">
        <f>IFERROR(__xludf.DUMMYFUNCTION("IF(REGEXMATCH(C46, ""D""), ""D"","""")"),"D")</f>
        <v>D</v>
      </c>
      <c r="N46" s="236" t="str">
        <f>IFERROR(__xludf.DUMMYFUNCTION("IF(REGEXMATCH(C46, ""n""), ""n"","""")"),"n")</f>
        <v>n</v>
      </c>
      <c r="O46" s="237" t="str">
        <f>IFERROR(__xludf.DUMMYFUNCTION("IF(REGEXMATCH(C46, ""N""), ""N"","""")"),"N")</f>
        <v>N</v>
      </c>
      <c r="P46" s="238" t="str">
        <f>IFERROR(__xludf.DUMMYFUNCTION("IF(REGEXMATCH(C46, ""S""), ""S"","""")"),"S")</f>
        <v>S</v>
      </c>
      <c r="Q46" s="239" t="str">
        <f>IFERROR(__xludf.DUMMYFUNCTION("SUBSTITUTE(CONCATENATE(JOIN(""-"",D46:J46)),""-"","""")"),"SrRgGm")</f>
        <v>SrRgGm</v>
      </c>
      <c r="R46" s="229" t="str">
        <f>IFERROR(__xludf.DUMMYFUNCTION("SUBSTITUTE(CONCATENATE(JOIN(""-"",K46:P46)),""-"","""")"),"PDnNS")</f>
        <v>PDnNS</v>
      </c>
      <c r="S46" s="282" t="str">
        <f t="shared" si="8"/>
        <v>S-R-G-M</v>
      </c>
      <c r="T46" s="282" t="str">
        <f t="shared" si="9"/>
        <v>P-D-N-S</v>
      </c>
      <c r="U46" s="237" t="str">
        <f>IFERROR(__xludf.DUMMYFUNCTION("SUBSTITUTE(JOIN(""-"",S46,T46),""--"",""-"")"),"S-R-G-M-P-D-N-S")</f>
        <v>S-R-G-M-P-D-N-S</v>
      </c>
      <c r="V46" s="309" t="str">
        <f t="shared" si="10"/>
        <v>rRgGmDnN</v>
      </c>
      <c r="W46" s="244" t="str">
        <f>IFERROR(__xludf.DUMMYFUNCTION("IF(REGEXMATCH(C46, ""S""), ""0"","""")"),"0")</f>
        <v>0</v>
      </c>
      <c r="X46" s="245" t="str">
        <f>IFERROR(__xludf.DUMMYFUNCTION("IF(REGEXMATCH(C46, ""r""), ""1"","""")"),"1")</f>
        <v>1</v>
      </c>
      <c r="Y46" s="246" t="str">
        <f>IFERROR(__xludf.DUMMYFUNCTION("IF(REGEXMATCH(C46, ""R""), ""2"","""")"),"2")</f>
        <v>2</v>
      </c>
      <c r="Z46" s="246" t="str">
        <f>IFERROR(__xludf.DUMMYFUNCTION("IF(REGEXMATCH(C46, ""g""), ""3"","""")"),"3")</f>
        <v>3</v>
      </c>
      <c r="AA46" s="245" t="str">
        <f>IFERROR(__xludf.DUMMYFUNCTION("IF(REGEXMATCH(C46, ""G""), ""4"","""")"),"4")</f>
        <v>4</v>
      </c>
      <c r="AB46" s="245" t="str">
        <f>IFERROR(__xludf.DUMMYFUNCTION("IF(REGEXMATCH(C46, ""m""), ""5"","""")"),"5")</f>
        <v>5</v>
      </c>
      <c r="AC46" s="246" t="str">
        <f>IFERROR(__xludf.DUMMYFUNCTION("IF(REGEXMATCH(C46, ""M""), ""6"","""")"),"")</f>
        <v/>
      </c>
      <c r="AD46" s="245" t="str">
        <f>IFERROR(__xludf.DUMMYFUNCTION("IF(REGEXMATCH(C46, ""P""), ""7"","""")"),"7")</f>
        <v>7</v>
      </c>
      <c r="AE46" s="246" t="str">
        <f>IFERROR(__xludf.DUMMYFUNCTION("IF(REGEXMATCH(C46, ""d""), ""8"","""")"),"")</f>
        <v/>
      </c>
      <c r="AF46" s="245" t="str">
        <f>IFERROR(__xludf.DUMMYFUNCTION("IF(REGEXMATCH(C46, ""D""), ""9"","""")"),"9")</f>
        <v>9</v>
      </c>
      <c r="AG46" s="245" t="str">
        <f>IFERROR(__xludf.DUMMYFUNCTION("IF(REGEXMATCH(C46, ""n""), ""10"","""")"),"10")</f>
        <v>10</v>
      </c>
      <c r="AH46" s="246" t="str">
        <f>IFERROR(__xludf.DUMMYFUNCTION("IF(REGEXMATCH(C46, ""N""), ""11"","""")"),"11")</f>
        <v>11</v>
      </c>
      <c r="AI46" s="249" t="str">
        <f>IFERROR(__xludf.DUMMYFUNCTION("IF(REGEXMATCH(C46, ""S""), ""0"","""")"),"0")</f>
        <v>0</v>
      </c>
      <c r="AJ46" s="313" t="str">
        <f t="shared" si="11"/>
        <v>-</v>
      </c>
      <c r="AK46" s="313" t="str">
        <f t="shared" si="12"/>
        <v>T</v>
      </c>
      <c r="AL46" s="313" t="str">
        <f t="shared" si="13"/>
        <v>-</v>
      </c>
      <c r="AM46" s="313" t="str">
        <f t="shared" si="14"/>
        <v>T</v>
      </c>
      <c r="AN46" s="313" t="str">
        <f t="shared" si="15"/>
        <v>T</v>
      </c>
      <c r="AO46" s="314" t="str">
        <f t="shared" si="16"/>
        <v>T</v>
      </c>
      <c r="AP46" s="316">
        <f t="shared" si="17"/>
        <v>4</v>
      </c>
      <c r="AQ46" s="319" t="str">
        <f t="shared" si="18"/>
        <v>#REF!</v>
      </c>
      <c r="AR46" s="320">
        <f t="shared" si="19"/>
        <v>0</v>
      </c>
      <c r="AS46" s="250" t="str">
        <f>IFERROR(__xludf.DUMMYFUNCTION("SUBSTITUTE(SUBSTITUTE(CONCATENATE(JOIN("""",FP46:GA46)),""|"",""x""),""-"",""o"")"),"xxxxxxoxoxxx")</f>
        <v>xxxxxxoxoxxx</v>
      </c>
      <c r="AT46" s="323" t="str">
        <f>IFERROR(__xludf.DUMMYFUNCTION("JOIN("""",AS46,AS46)"),"xxxxxxoxoxxxxxxxxxoxoxxx")</f>
        <v>xxxxxxoxoxxxxxxxxxoxoxxx</v>
      </c>
      <c r="AU46" s="256" t="str">
        <f>IFERROR(__xludf.DUMMYFUNCTION("JOIN("""",ArrayFormula(MID(AS46,LEN(AS46)-SEQUENCE(1,LEN(AS46))+1,1)))"),"xxxoxoxxxxxx")</f>
        <v>xxxoxoxxxxxx</v>
      </c>
      <c r="AV46" s="256" t="str">
        <f>IFERROR(__xludf.DUMMYFUNCTION("LEFT(CONCATENATE(""x"",JOIN("""",ArrayFormula(MID(AS46,LEN(AS46)-SEQUENCE(1,LEN(AS46))+1,1)))),12)"),"xxxxoxoxxxxx")</f>
        <v>xxxxoxoxxxxx</v>
      </c>
      <c r="AW46" s="327" t="str">
        <f>IFERROR(__xludf.DUMMYFUNCTION("JOIN("""",AU46,AU46)"),"xxxoxoxxxxxxxxxoxoxxxxxx")</f>
        <v>xxxoxoxxxxxxxxxoxoxxxxxx</v>
      </c>
      <c r="AX46" s="239" t="str">
        <f>IFERROR(__xludf.DUMMYFUNCTION("IF(REGEXMATCH(AW46,AS46),""✔"",""-"")"),"✔")</f>
        <v>✔</v>
      </c>
      <c r="AY46" s="330" t="str">
        <f t="shared" si="20"/>
        <v>-</v>
      </c>
      <c r="AZ46" s="260" t="str">
        <f t="shared" si="21"/>
        <v>#REF!</v>
      </c>
      <c r="BA46" s="333" t="str">
        <f t="shared" si="22"/>
        <v>xxxxxxo</v>
      </c>
      <c r="BB46" s="334" t="str">
        <f t="shared" si="23"/>
        <v>xoxxxx</v>
      </c>
      <c r="BC46" s="335" t="str">
        <f t="shared" si="236"/>
        <v>-</v>
      </c>
      <c r="BD46" s="336" t="str">
        <f t="shared" si="25"/>
        <v>Bhairav Bahar: 'xxxxxxo' + 'xoxxxx'</v>
      </c>
      <c r="BE46" s="337">
        <f>IFERROR(__xludf.DUMMYFUNCTION("COUNTUNIQUE(FILTER(AT:AT,REGEXMATCH(AT:AT,AS46)))-1"),0.0)</f>
        <v>0</v>
      </c>
      <c r="BF46" s="261" t="str">
        <f>IFERROR(__xludf.DUMMYFUNCTION("IF(BI46=0,""(n/a)"",IF(BJ46=2,""(PAIR)"",IF(REGEXMATCH(AT46,""xoxoxxoxoxox""),""Bilawal"",IF(REGEXMATCH(AT46,""xoxoxooxoxoo""),""Bhupali"",IF(REGEXMATCH(AT46,""xoxoxxoxxoxo""),""Charukeshi"",IF(REGEXMATCH(AT46,""xoxoooxxoxxo""),""Kameshwari"",IF(REGEXMATC"&amp;"H(AT46,""xoxoxooxoxox""),""Shankara"",IF(REGEXMATCH(AT46,""xxooxoxxxoox""),""Basant"",IF(REGEXMATCH(AT46,""xoxoxxxxoxox""),""Bihag"",IF(REGEXMATCH(AT46,""xoxxxxoxoxxx""),""Pilu"",IF(REGEXMATCH(AT46,""xoxxoxoxxoox""),""Kirwani"",IF(REGEXMATCH(AT46,""xoxxox"&amp;"oxoxxx""),""Mk.Malhar"",IF(REGEXMATCH(AT46,""xxooxxoxxoox""),""Bhairav"",IF(REGEXMATCH(AT46,""xxoxooxxxoox""),""Todi"",IF(REGEXMATCH(AT46,""xxooxoxooxox""),""Marwa"",IF(REGEXMATCH(AT46,""xxoooxoxxooo""),""Gunkali"",IF(REGEXMATCH(AT46,""xoxoxxoxxoox""),""N"&amp;"at Bhairav"",IF(REGEXMATCH(AT46,""xoxxoooxoxoo""),""Shivranjani"",IF(REGEXMATCH(AT46,""xooxxxoxooxo""),""Jog"",IF(REGEXMATCH(AT46,""xxooxoxoxoox""),""Hemshri"",IF(REGEXMATCH(AT46,""xoooxooxoxxo""),""Kalavati"",IF(REGEXMATCH(AT46,""xxoxoxxoxoox""),""Kedar"&amp;""",IF(REGEXMATCH(AT46,""xoxxxxoxooxx""),""Gara"",IF(REGEXMATCH(AT46,""xooxoxooxoox""),""Chandrakauns"",IF(REGEXMATCH(AT46,""xoxxxxoxxxox""),""Mand"",IF(REGEXMATCH(AT46,""xoxxxxoxoxox""),""Hanskinkini"",IF(REGEXMATCH(AT46,""xxooxxoxooxo""),""Lilavati"",IF("&amp;"REGEXMATCH(AT46,""xooxoxoooxox""),""Rajeshwari"",IF(REGEXMATCH(AT46,""xoooxxoxoxxx""),""Khokar"",IF(REGEXMATCH(AT46,""xxooxoxxxxox""),""Maligoura"",""-""))))))))))))))))))))))))))))))"),"(n/a)")</f>
        <v>(n/a)</v>
      </c>
      <c r="BG46" s="239" t="str">
        <f t="shared" si="26"/>
        <v>#REF!</v>
      </c>
      <c r="BH46" s="239">
        <f>IFERROR(__xludf.DUMMYFUNCTION("COUNTUNIQUE(FE46:FO46)-1"),9.0)</f>
        <v>9</v>
      </c>
      <c r="BI46" s="239">
        <f>IFERROR(__xludf.DUMMYFUNCTION("COUNTUNIQUE(FILTER(AT:AT,REGEXMATCH(AT:AT,AS46)))-1"),0.0)</f>
        <v>0</v>
      </c>
      <c r="BJ46" s="239">
        <f>IFERROR(__xludf.DUMMYFUNCTION("COUNTA(FILTER(AT:AT,REGEXMATCH(AT:AT,AS46)))"),1.0)</f>
        <v>1</v>
      </c>
      <c r="BK46" s="341">
        <f>IFERROR(__xludf.DUMMYFUNCTION("COUNTA(FILTER(AT:AT,REGEXMATCH(AT:AT,AS46)))-AR46"),1.0)</f>
        <v>1</v>
      </c>
      <c r="BL46" s="276" t="str">
        <f>IFERROR(__xludf.DUMMYFUNCTION("IF(AS46=""oooooooooooo"",""-"",IF(REGEXMATCH(AT46,""xx""), ""Hemi."", ""Anhemi.""))"),"Hemi.")</f>
        <v>Hemi.</v>
      </c>
      <c r="BM46" s="282" t="str">
        <f>IFERROR(__xludf.DUMMYFUNCTION("IF(AS46=""oooooooooooo"",""-"",IF(REGEXMATCH(AT46,""xxx""), ""Cohem."", ""-""))"),"Cohem.")</f>
        <v>Cohem.</v>
      </c>
      <c r="BN46" s="282" t="str">
        <f>IFERROR(__xludf.DUMMYFUNCTION("IF(AS46=""oooooooooooo"",""-"",IF(REGEXMATCH(AT46,""xxxx""), ""Co-Co."", ""-""))"),"Co-Co.")</f>
        <v>Co-Co.</v>
      </c>
      <c r="BO46" s="342" t="str">
        <f>IFERROR(__xludf.DUMMYFUNCTION("IF(AS46=""oooooooooooo"",""-"",IF(REGEXMATCH(AT46,""xxxxx""), ""CCC."", ""-""))"),"CCC.")</f>
        <v>CCC.</v>
      </c>
      <c r="BP46" s="344" t="str">
        <f t="shared" si="27"/>
        <v>-</v>
      </c>
      <c r="BQ46" s="282" t="str">
        <f>IFERROR(__xludf.DUMMYFUNCTION("IF(REGEXMATCH(JOIN(""-"",EU46:FD46),""TRUE""),""✔"",""-"")"),"-")</f>
        <v>-</v>
      </c>
      <c r="BR46" s="225">
        <f t="shared" si="28"/>
        <v>0</v>
      </c>
      <c r="BS46" s="345" t="str">
        <f>IFERROR(__xludf.DUMMYFUNCTION("SUBSTITUTE(SUBSTITUTE(SUBSTITUTE(SUBSTITUTE(CONCATENATE(JOIN(""-"",GC46:GO46)),""--"",""-""),""--"",""-""),""--"",""-""),""--"",""-"")"),"1-b2-2-b3-3-4-5-6-b7-7-8")</f>
        <v>1-b2-2-b3-3-4-5-6-b7-7-8</v>
      </c>
      <c r="BT46" s="299" t="str">
        <f>IFERROR(__xludf.DUMMYFUNCTION("SUBSTITUTE(SUBSTITUTE(SUBSTITUTE(SUBSTITUTE(CONCATENATE(JOIN(""-"",GP46:HB46)),""--"",""-""),""--"",""-""),""--"",""-""),""--"",""-"")"),"S-R1-R2-G2-G3-M1-P-D2-N2-N3-S")</f>
        <v>S-R1-R2-G2-G3-M1-P-D2-N2-N3-S</v>
      </c>
      <c r="BU46" s="348" t="str">
        <f t="shared" si="29"/>
        <v>C-Db-D-Eb-E-F-G-A-Bb-B-C</v>
      </c>
      <c r="BV46" s="349" t="str">
        <f t="shared" si="30"/>
        <v>SMdS</v>
      </c>
      <c r="BW46" s="350">
        <f t="shared" si="31"/>
        <v>0</v>
      </c>
      <c r="BX46" s="351">
        <f t="shared" si="32"/>
        <v>1</v>
      </c>
      <c r="BY46" s="352" t="s">
        <v>275</v>
      </c>
      <c r="BZ46" s="309" t="str">
        <f>IFERROR(__xludf.DUMMYFUNCTION("IF(REGEXMATCH(C46, ""S""), ""x"",""x"")"),"x")</f>
        <v>x</v>
      </c>
      <c r="CA46" s="245" t="str">
        <f>IFERROR(__xludf.DUMMYFUNCTION("IF(REGEXMATCH(C46, ""r""), ""o"",""x"")"),"o")</f>
        <v>o</v>
      </c>
      <c r="CB46" s="246" t="str">
        <f>IFERROR(__xludf.DUMMYFUNCTION("IF(REGEXMATCH(C46, ""R""), ""o"",""x"")"),"o")</f>
        <v>o</v>
      </c>
      <c r="CC46" s="246" t="str">
        <f>IFERROR(__xludf.DUMMYFUNCTION("IF(REGEXMATCH(C46, ""g""), ""o"",""x"")"),"o")</f>
        <v>o</v>
      </c>
      <c r="CD46" s="245" t="str">
        <f>IFERROR(__xludf.DUMMYFUNCTION("IF(REGEXMATCH(C46, ""G""), ""o"",""x"")"),"o")</f>
        <v>o</v>
      </c>
      <c r="CE46" s="245" t="str">
        <f>IFERROR(__xludf.DUMMYFUNCTION("IF(REGEXMATCH(C46, ""m""), ""o"",""x"")"),"o")</f>
        <v>o</v>
      </c>
      <c r="CF46" s="246" t="str">
        <f>IFERROR(__xludf.DUMMYFUNCTION("IF(REGEXMATCH(C46, ""M""), ""o"",""x"")"),"x")</f>
        <v>x</v>
      </c>
      <c r="CG46" s="245" t="str">
        <f>IFERROR(__xludf.DUMMYFUNCTION("IF(REGEXMATCH(C46, ""P""), ""o"",""x"")"),"o")</f>
        <v>o</v>
      </c>
      <c r="CH46" s="246" t="str">
        <f>IFERROR(__xludf.DUMMYFUNCTION("IF(REGEXMATCH(C46, ""d""), ""o"",""x"")"),"x")</f>
        <v>x</v>
      </c>
      <c r="CI46" s="245" t="str">
        <f>IFERROR(__xludf.DUMMYFUNCTION("IF(REGEXMATCH(C46, ""D""), ""o"",""x"")"),"o")</f>
        <v>o</v>
      </c>
      <c r="CJ46" s="245" t="str">
        <f>IFERROR(__xludf.DUMMYFUNCTION("IF(REGEXMATCH(C46, ""n""), ""o"",""x"")"),"o")</f>
        <v>o</v>
      </c>
      <c r="CK46" s="245" t="str">
        <f>IFERROR(__xludf.DUMMYFUNCTION("IF(REGEXMATCH(C46, ""N""), ""o"",""x"")"),"o")</f>
        <v>o</v>
      </c>
      <c r="CL46" s="356" t="str">
        <f>IFERROR(__xludf.DUMMYFUNCTION("IF(REGEXMATCH(C46, ""S""), ""x"",""x"")"),"x")</f>
        <v>x</v>
      </c>
      <c r="CM46" s="357" t="str">
        <f t="shared" si="33"/>
        <v>xoooooxoxooo</v>
      </c>
      <c r="CN46" s="358">
        <f t="shared" si="34"/>
        <v>0</v>
      </c>
      <c r="CO46" s="246" t="str">
        <f>IFERROR(__xludf.DUMMYFUNCTION("IF(REGEXMATCH($C46, ""S""), ""S"",""S"")"),"S")</f>
        <v>S</v>
      </c>
      <c r="CP46" s="246" t="str">
        <f>IFERROR(__xludf.DUMMYFUNCTION("IF(REGEXMATCH($C46, ""r""), """",""r"")"),"")</f>
        <v/>
      </c>
      <c r="CQ46" s="246" t="str">
        <f>IFERROR(__xludf.DUMMYFUNCTION("IF(REGEXMATCH($C46, ""R""), """",""R"")"),"")</f>
        <v/>
      </c>
      <c r="CR46" s="246" t="str">
        <f>IFERROR(__xludf.DUMMYFUNCTION("IF(REGEXMATCH($C46, ""g""), """",""g"")"),"")</f>
        <v/>
      </c>
      <c r="CS46" s="246" t="str">
        <f>IFERROR(__xludf.DUMMYFUNCTION("IF(REGEXMATCH($C46, ""G""), """",""G"")"),"")</f>
        <v/>
      </c>
      <c r="CT46" s="246" t="str">
        <f>IFERROR(__xludf.DUMMYFUNCTION("IF(REGEXMATCH($C46, ""m""), """",""m"")"),"")</f>
        <v/>
      </c>
      <c r="CU46" s="246" t="str">
        <f>IFERROR(__xludf.DUMMYFUNCTION("IF(REGEXMATCH($C46, ""M""), """",""M"")"),"M")</f>
        <v>M</v>
      </c>
      <c r="CV46" s="246" t="str">
        <f>IFERROR(__xludf.DUMMYFUNCTION("IF(REGEXMATCH($C46, ""P""), """",""P"")"),"")</f>
        <v/>
      </c>
      <c r="CW46" s="246" t="str">
        <f>IFERROR(__xludf.DUMMYFUNCTION("IF(REGEXMATCH($C46, ""d""), """",""d"")"),"d")</f>
        <v>d</v>
      </c>
      <c r="CX46" s="246" t="str">
        <f>IFERROR(__xludf.DUMMYFUNCTION("IF(REGEXMATCH($C46, ""D""), """",""D"")"),"")</f>
        <v/>
      </c>
      <c r="CY46" s="246" t="str">
        <f>IFERROR(__xludf.DUMMYFUNCTION("IF(REGEXMATCH($C46, ""n""), """",""n"")"),"")</f>
        <v/>
      </c>
      <c r="CZ46" s="246" t="str">
        <f>IFERROR(__xludf.DUMMYFUNCTION("IF(REGEXMATCH($C46, ""N""), """",""N"")"),"")</f>
        <v/>
      </c>
      <c r="DA46" s="246" t="str">
        <f>IFERROR(__xludf.DUMMYFUNCTION("IF(REGEXMATCH($C46, ""S""), ""S"",""S"")"),"S")</f>
        <v>S</v>
      </c>
      <c r="DB46" s="362" t="str">
        <f>IFERROR(__xludf.DUMMYFUNCTION("JOIN("""",CO46:DA46,"""","""")"),"SMdS")</f>
        <v>SMdS</v>
      </c>
      <c r="DC46" s="363"/>
      <c r="DD46" s="301" t="str">
        <f t="shared" si="35"/>
        <v>#REF!</v>
      </c>
      <c r="DE46" s="302" t="str">
        <f t="shared" si="36"/>
        <v>#REF!</v>
      </c>
      <c r="DF46" s="301" t="str">
        <f t="shared" ref="DF46:DG46" si="285">SUBSTITUTE(S46,"-","")</f>
        <v>SRGM</v>
      </c>
      <c r="DG46" s="301" t="str">
        <f t="shared" si="285"/>
        <v>PDNS</v>
      </c>
      <c r="DH46" s="302" t="str">
        <f t="shared" si="38"/>
        <v>(n/a)</v>
      </c>
      <c r="DI46" s="301" t="str">
        <f t="shared" si="39"/>
        <v>Hemi.</v>
      </c>
      <c r="DJ46" s="364" t="str">
        <f t="shared" si="40"/>
        <v>CCC.</v>
      </c>
      <c r="DK46" s="306" t="str">
        <f t="shared" si="41"/>
        <v>-</v>
      </c>
      <c r="DL46" s="366" t="str">
        <f t="shared" si="42"/>
        <v>-</v>
      </c>
      <c r="DM46" s="308" t="str">
        <f t="shared" si="43"/>
        <v>✔</v>
      </c>
      <c r="DN46" s="306" t="str">
        <f t="shared" si="44"/>
        <v>-</v>
      </c>
      <c r="DO46" s="306" t="str">
        <f t="shared" si="45"/>
        <v>-</v>
      </c>
      <c r="DP46" s="367" t="str">
        <f t="shared" si="46"/>
        <v>-</v>
      </c>
      <c r="DQ46" s="310" t="str">
        <f t="shared" si="47"/>
        <v>✔</v>
      </c>
      <c r="DR46" s="310" t="str">
        <f t="shared" si="48"/>
        <v>✔</v>
      </c>
      <c r="DS46" s="310" t="str">
        <f t="shared" si="49"/>
        <v>-</v>
      </c>
      <c r="DT46" s="310" t="str">
        <f t="shared" si="50"/>
        <v>-</v>
      </c>
      <c r="DU46" s="370" t="str">
        <f t="shared" si="51"/>
        <v>✔</v>
      </c>
      <c r="DV46" s="306" t="str">
        <f t="shared" si="52"/>
        <v>-</v>
      </c>
      <c r="DW46" s="306" t="str">
        <f t="shared" si="53"/>
        <v>-</v>
      </c>
      <c r="DX46" s="306" t="str">
        <f t="shared" si="54"/>
        <v>-</v>
      </c>
      <c r="DY46" s="306" t="str">
        <f t="shared" si="55"/>
        <v>-</v>
      </c>
      <c r="DZ46" s="306" t="str">
        <f t="shared" si="56"/>
        <v>-</v>
      </c>
      <c r="EA46" s="367" t="str">
        <f t="shared" si="57"/>
        <v>-</v>
      </c>
      <c r="EB46" s="310" t="str">
        <f>IFERROR(__xludf.DUMMYFUNCTION("IF(REGEXMATCH(AW46,AS46),""✔"",""-"")"),"✔")</f>
        <v>✔</v>
      </c>
      <c r="EC46" s="310" t="str">
        <f t="shared" si="58"/>
        <v>#REF!</v>
      </c>
      <c r="ED46" s="370" t="str">
        <f t="shared" si="59"/>
        <v>-</v>
      </c>
      <c r="EE46" s="340" t="str">
        <f t="shared" si="60"/>
        <v>S-rR-gG-m-P-D-nN-S</v>
      </c>
      <c r="EF46" s="371" t="str">
        <f>IFERROR(__xludf.DUMMYFUNCTION("CONCATENATE(JOIN("""",HC46:HO46))"),"SrRgmPdDnNS")</f>
        <v>SrRgmPdDnNS</v>
      </c>
      <c r="EG46" s="372">
        <f t="shared" si="61"/>
        <v>2</v>
      </c>
      <c r="EH46" s="373" t="str">
        <f>IFERROR(__xludf.DUMMYFUNCTION("CONCATENATE(JOIN("""",JC46:JO46))"),"re, Ni, ")</f>
        <v>re, Ni, </v>
      </c>
      <c r="EI46" s="322">
        <f t="shared" si="62"/>
        <v>1</v>
      </c>
      <c r="EJ46" s="374" t="str">
        <f>IFERROR(__xludf.DUMMYFUNCTION("CONCATENATE(JOIN("""",KC46:KO46))"),"re, ")</f>
        <v>re, </v>
      </c>
      <c r="EK46" s="325" t="str">
        <f t="shared" si="63"/>
        <v>S-R1-R2-G2-G3-M1-P-D2-N2-N3-S</v>
      </c>
      <c r="EL46" s="326" t="str">
        <f t="shared" si="64"/>
        <v>1-b2-2-b3-3-4-5-6-b7-7-8</v>
      </c>
      <c r="EM46" s="318" t="str">
        <f t="shared" si="65"/>
        <v>#REF!</v>
      </c>
      <c r="EN46" s="328" t="str">
        <f>IFERROR(__xludf.DUMMYFUNCTION("SUBSTITUTE(SUBSTITUTE(SUBSTITUTE(SUBSTITUTE(CONCATENATE(JOIN("" "",HP46:IB46)),""  "","" ""),""  "","" ""),""  "","" ""),""  "","" "")"),"o o o o o o • o • o o o o")</f>
        <v>o o o o o o • o • o o o o</v>
      </c>
      <c r="EO46" s="368" t="str">
        <f t="shared" si="66"/>
        <v>-</v>
      </c>
      <c r="EP46" s="339" t="str">
        <f t="shared" si="67"/>
        <v>-</v>
      </c>
      <c r="EQ46" s="339" t="str">
        <f t="shared" si="68"/>
        <v>Sa-Pa</v>
      </c>
      <c r="ER46" s="339" t="str">
        <f t="shared" si="69"/>
        <v>-</v>
      </c>
      <c r="ES46" s="340" t="str">
        <f t="shared" si="70"/>
        <v>-</v>
      </c>
      <c r="ET46" s="363"/>
      <c r="EU46" s="376" t="b">
        <f>IFERROR(__xludf.DUMMYFUNCTION("arrayformula(sum(--REGEXMATCH(""SRGMPDNS"",split(REGEXREPLACE(C46,""(.)"",""$1~""),""~""))))=len(C46)
"),FALSE)</f>
        <v>0</v>
      </c>
      <c r="EV46" s="290" t="b">
        <f>IFERROR(__xludf.DUMMYFUNCTION("arrayformula(sum(--REGEXMATCH(""SRGmPDNS"",split(REGEXREPLACE(C46,""(.)"",""$1~""),""~""))))=len(C46)"),FALSE)</f>
        <v>0</v>
      </c>
      <c r="EW46" s="290" t="b">
        <f>IFERROR(__xludf.DUMMYFUNCTION("arrayformula(sum(--REGEXMATCH(""SRGmPDnS"",split(REGEXREPLACE(C46,""(.)"",""$1~""),""~""))))=len(C46)"),FALSE)</f>
        <v>0</v>
      </c>
      <c r="EX46" s="290" t="b">
        <f>IFERROR(__xludf.DUMMYFUNCTION("arrayformula(sum(--REGEXMATCH(""SRgmPDnS"",split(REGEXREPLACE(C46,""(.)"",""$1~""),""~""))))=len(C46)"),FALSE)</f>
        <v>0</v>
      </c>
      <c r="EY46" s="290" t="b">
        <f>IFERROR(__xludf.DUMMYFUNCTION("arrayformula(sum(--REGEXMATCH(""SRgmPdnS"",split(REGEXREPLACE(C46,""(.)"",""$1~""),""~""))))=len(C46)"),FALSE)</f>
        <v>0</v>
      </c>
      <c r="EZ46" s="290" t="b">
        <f>IFERROR(__xludf.DUMMYFUNCTION("arrayformula(sum(--REGEXMATCH(""SrgmPdnS"",split(REGEXREPLACE(C46,""(.)"",""$1~""),""~""))))=len(C46)"),FALSE)</f>
        <v>0</v>
      </c>
      <c r="FA46" s="290" t="b">
        <f>IFERROR(__xludf.DUMMYFUNCTION("arrayformula(sum(--REGEXMATCH(""SrGmPdNS"",split(REGEXREPLACE(C46,""(.)"",""$1~""),""~""))))=len(C46)"),FALSE)</f>
        <v>0</v>
      </c>
      <c r="FB46" s="290" t="b">
        <f>IFERROR(__xludf.DUMMYFUNCTION("arrayformula(sum(--REGEXMATCH(""SrGMPDNS"",split(REGEXREPLACE(C46,""(.)"",""$1~""),""~""))))=len(C46)"),FALSE)</f>
        <v>0</v>
      </c>
      <c r="FC46" s="290" t="b">
        <f>IFERROR(__xludf.DUMMYFUNCTION("arrayformula(sum(--REGEXMATCH(""SrGMPdNS"",split(REGEXREPLACE(C46,""(.)"",""$1~""),""~""))))=len(C46)"),FALSE)</f>
        <v>0</v>
      </c>
      <c r="FD46" s="377" t="b">
        <f>IFERROR(__xludf.DUMMYFUNCTION("arrayformula(sum(--REGEXMATCH(""SrgMPdNS"",split(REGEXREPLACE(C46,""(.)"",""$1~""),""~""))))=len(C46)"),FALSE)</f>
        <v>0</v>
      </c>
      <c r="FE46" s="269" t="str">
        <f t="shared" si="71"/>
        <v>xxxxxoxoxxx</v>
      </c>
      <c r="FF46" s="269" t="str">
        <f t="shared" si="72"/>
        <v>xxxxoxoxxxx</v>
      </c>
      <c r="FG46" s="271" t="str">
        <f t="shared" si="73"/>
        <v>xxxoxoxxxxx</v>
      </c>
      <c r="FH46" s="269" t="str">
        <f t="shared" si="74"/>
        <v>xxoxoxxxxxx</v>
      </c>
      <c r="FI46" s="271" t="str">
        <f t="shared" si="75"/>
        <v>xoxoxxxxxxx</v>
      </c>
      <c r="FJ46" s="271" t="str">
        <f t="shared" si="76"/>
        <v>-</v>
      </c>
      <c r="FK46" s="271" t="str">
        <f t="shared" si="77"/>
        <v>xoxxxxxxxxx</v>
      </c>
      <c r="FL46" s="271" t="str">
        <f t="shared" si="78"/>
        <v>-</v>
      </c>
      <c r="FM46" s="271" t="str">
        <f t="shared" si="79"/>
        <v>xxxxxxxxxox</v>
      </c>
      <c r="FN46" s="271" t="str">
        <f t="shared" si="80"/>
        <v>xxxxxxxxoxo</v>
      </c>
      <c r="FO46" s="274" t="str">
        <f t="shared" si="81"/>
        <v>xxxxxxxoxox</v>
      </c>
      <c r="FP46" s="234" t="str">
        <f t="shared" si="82"/>
        <v>|</v>
      </c>
      <c r="FQ46" s="236" t="str">
        <f t="shared" si="83"/>
        <v>|</v>
      </c>
      <c r="FR46" s="237" t="str">
        <f t="shared" si="84"/>
        <v>|</v>
      </c>
      <c r="FS46" s="236" t="str">
        <f t="shared" si="85"/>
        <v>|</v>
      </c>
      <c r="FT46" s="237" t="str">
        <f t="shared" si="86"/>
        <v>|</v>
      </c>
      <c r="FU46" s="236" t="str">
        <f t="shared" si="87"/>
        <v>|</v>
      </c>
      <c r="FV46" s="237" t="str">
        <f t="shared" si="88"/>
        <v>-</v>
      </c>
      <c r="FW46" s="236" t="str">
        <f t="shared" si="89"/>
        <v>|</v>
      </c>
      <c r="FX46" s="237" t="str">
        <f t="shared" si="90"/>
        <v>-</v>
      </c>
      <c r="FY46" s="236" t="str">
        <f t="shared" si="91"/>
        <v>|</v>
      </c>
      <c r="FZ46" s="237" t="str">
        <f t="shared" si="92"/>
        <v>|</v>
      </c>
      <c r="GA46" s="236" t="str">
        <f t="shared" si="93"/>
        <v>|</v>
      </c>
      <c r="GB46" s="238" t="str">
        <f t="shared" si="94"/>
        <v>|</v>
      </c>
      <c r="GC46" s="244" t="str">
        <f>IFERROR(__xludf.DUMMYFUNCTION("IF(REGEXMATCH(C46, ""S""), ""1"","""")"),"1")</f>
        <v>1</v>
      </c>
      <c r="GD46" s="245" t="str">
        <f>IFERROR(__xludf.DUMMYFUNCTION("IF(REGEXMATCH(C46, ""r""), ""b2"","""")"),"b2")</f>
        <v>b2</v>
      </c>
      <c r="GE46" s="246" t="str">
        <f>IFERROR(__xludf.DUMMYFUNCTION("IF(REGEXMATCH(C46, ""R""), ""2"","""")"),"2")</f>
        <v>2</v>
      </c>
      <c r="GF46" s="246" t="str">
        <f>IFERROR(__xludf.DUMMYFUNCTION("IF(REGEXMATCH(C46, ""g""), ""b3"","""")"),"b3")</f>
        <v>b3</v>
      </c>
      <c r="GG46" s="245" t="str">
        <f>IFERROR(__xludf.DUMMYFUNCTION("IF(REGEXMATCH(C46, ""G""), ""3"","""")"),"3")</f>
        <v>3</v>
      </c>
      <c r="GH46" s="245" t="str">
        <f>IFERROR(__xludf.DUMMYFUNCTION("IF(REGEXMATCH(C46, ""m""), ""4"","""")"),"4")</f>
        <v>4</v>
      </c>
      <c r="GI46" s="246" t="str">
        <f>IFERROR(__xludf.DUMMYFUNCTION("IF(REGEXMATCH(C46, ""M""), ""#4"","""")"),"")</f>
        <v/>
      </c>
      <c r="GJ46" s="245" t="str">
        <f>IFERROR(__xludf.DUMMYFUNCTION("IF(REGEXMATCH(C46, ""P""), ""5"","""")"),"5")</f>
        <v>5</v>
      </c>
      <c r="GK46" s="246" t="str">
        <f>IFERROR(__xludf.DUMMYFUNCTION("IF(REGEXMATCH(C46, ""d""), ""b6"","""")"),"")</f>
        <v/>
      </c>
      <c r="GL46" s="245" t="str">
        <f>IFERROR(__xludf.DUMMYFUNCTION("IF(REGEXMATCH(C46, ""D""), ""6"","""")"),"6")</f>
        <v>6</v>
      </c>
      <c r="GM46" s="245" t="str">
        <f>IFERROR(__xludf.DUMMYFUNCTION("IF(REGEXMATCH(C46, ""n""), ""b7"","""")"),"b7")</f>
        <v>b7</v>
      </c>
      <c r="GN46" s="246" t="str">
        <f>IFERROR(__xludf.DUMMYFUNCTION("IF(REGEXMATCH(C46, ""N""), ""7"","""")"),"7")</f>
        <v>7</v>
      </c>
      <c r="GO46" s="249" t="str">
        <f>IFERROR(__xludf.DUMMYFUNCTION("IF(REGEXMATCH(C46, ""S""), ""8"","""")"),"8")</f>
        <v>8</v>
      </c>
      <c r="GP46" s="244" t="str">
        <f>IFERROR(__xludf.DUMMYFUNCTION("IF(REGEXMATCH(C46, ""S""), ""S"","""")"),"S")</f>
        <v>S</v>
      </c>
      <c r="GQ46" s="294" t="str">
        <f>IFERROR(__xludf.DUMMYFUNCTION("IF(REGEXMATCH(C46, ""r""), ""R1"","""")"),"R1")</f>
        <v>R1</v>
      </c>
      <c r="GR46" s="295" t="str">
        <f>IFERROR(__xludf.DUMMYFUNCTION("IF(REGEXMATCH(C46, ""R""), ""R2"","""")"),"R2")</f>
        <v>R2</v>
      </c>
      <c r="GS46" s="295" t="str">
        <f>IFERROR(__xludf.DUMMYFUNCTION("IF(REGEXMATCH(C46, ""g""), ""G2"","""")"),"G2")</f>
        <v>G2</v>
      </c>
      <c r="GT46" s="294" t="str">
        <f>IFERROR(__xludf.DUMMYFUNCTION("IF(REGEXMATCH(C46, ""G""), ""G3"","""")"),"G3")</f>
        <v>G3</v>
      </c>
      <c r="GU46" s="294" t="str">
        <f>IFERROR(__xludf.DUMMYFUNCTION("IF(REGEXMATCH(C46, ""m""), ""M1"","""")"),"M1")</f>
        <v>M1</v>
      </c>
      <c r="GV46" s="295" t="str">
        <f>IFERROR(__xludf.DUMMYFUNCTION("IF(REGEXMATCH(C46, ""M""), ""M2"","""")"),"")</f>
        <v/>
      </c>
      <c r="GW46" s="294" t="str">
        <f>IFERROR(__xludf.DUMMYFUNCTION("IF(REGEXMATCH(C46, ""P""), ""P"","""")"),"P")</f>
        <v>P</v>
      </c>
      <c r="GX46" s="295" t="str">
        <f>IFERROR(__xludf.DUMMYFUNCTION("IF(REGEXMATCH(C46, ""d""), ""D1"","""")"),"")</f>
        <v/>
      </c>
      <c r="GY46" s="294" t="str">
        <f>IFERROR(__xludf.DUMMYFUNCTION("IF(REGEXMATCH(C46, ""D""), ""D2"","""")"),"D2")</f>
        <v>D2</v>
      </c>
      <c r="GZ46" s="294" t="str">
        <f>IFERROR(__xludf.DUMMYFUNCTION("IF(REGEXMATCH(C46, ""n""), ""N2"","""")"),"N2")</f>
        <v>N2</v>
      </c>
      <c r="HA46" s="295" t="str">
        <f>IFERROR(__xludf.DUMMYFUNCTION("IF(REGEXMATCH(C46, ""N""), ""N3"","""")"),"N3")</f>
        <v>N3</v>
      </c>
      <c r="HB46" s="249" t="str">
        <f>IFERROR(__xludf.DUMMYFUNCTION("IF(REGEXMATCH(C46, ""S""), ""S"","""")"),"S")</f>
        <v>S</v>
      </c>
      <c r="HC46" s="331" t="str">
        <f t="shared" si="95"/>
        <v>S</v>
      </c>
      <c r="HD46" s="332" t="str">
        <f t="shared" si="96"/>
        <v>r</v>
      </c>
      <c r="HE46" s="332" t="str">
        <f t="shared" si="97"/>
        <v>R</v>
      </c>
      <c r="HF46" s="332" t="str">
        <f t="shared" si="98"/>
        <v>g</v>
      </c>
      <c r="HG46" s="332" t="str">
        <f t="shared" si="99"/>
        <v/>
      </c>
      <c r="HH46" s="332" t="str">
        <f t="shared" si="100"/>
        <v>m</v>
      </c>
      <c r="HI46" s="332" t="str">
        <f t="shared" si="101"/>
        <v/>
      </c>
      <c r="HJ46" s="332" t="str">
        <f t="shared" si="102"/>
        <v>P</v>
      </c>
      <c r="HK46" s="332" t="str">
        <f t="shared" si="103"/>
        <v>d</v>
      </c>
      <c r="HL46" s="332" t="str">
        <f t="shared" si="104"/>
        <v>D</v>
      </c>
      <c r="HM46" s="332" t="str">
        <f t="shared" si="105"/>
        <v>n</v>
      </c>
      <c r="HN46" s="332" t="str">
        <f t="shared" si="106"/>
        <v>N</v>
      </c>
      <c r="HO46" s="343" t="str">
        <f t="shared" si="107"/>
        <v>S</v>
      </c>
      <c r="HP46" s="331" t="str">
        <f t="shared" si="108"/>
        <v>o</v>
      </c>
      <c r="HQ46" s="332" t="str">
        <f t="shared" si="109"/>
        <v>o</v>
      </c>
      <c r="HR46" s="332" t="str">
        <f t="shared" si="110"/>
        <v>o</v>
      </c>
      <c r="HS46" s="332" t="str">
        <f t="shared" si="111"/>
        <v>o</v>
      </c>
      <c r="HT46" s="332" t="str">
        <f t="shared" si="112"/>
        <v>o</v>
      </c>
      <c r="HU46" s="332" t="str">
        <f t="shared" si="113"/>
        <v>o</v>
      </c>
      <c r="HV46" s="332" t="str">
        <f t="shared" si="114"/>
        <v>•</v>
      </c>
      <c r="HW46" s="332" t="str">
        <f t="shared" si="115"/>
        <v>o</v>
      </c>
      <c r="HX46" s="332" t="str">
        <f t="shared" si="116"/>
        <v>•</v>
      </c>
      <c r="HY46" s="332" t="str">
        <f t="shared" si="117"/>
        <v>o</v>
      </c>
      <c r="HZ46" s="332" t="str">
        <f t="shared" si="118"/>
        <v>o</v>
      </c>
      <c r="IA46" s="332" t="str">
        <f t="shared" si="119"/>
        <v>o</v>
      </c>
      <c r="IB46" s="338" t="str">
        <f t="shared" si="120"/>
        <v>o</v>
      </c>
      <c r="IC46" s="331" t="str">
        <f t="shared" si="121"/>
        <v>•</v>
      </c>
      <c r="ID46" s="332" t="str">
        <f t="shared" si="122"/>
        <v>•</v>
      </c>
      <c r="IE46" s="332" t="str">
        <f t="shared" si="123"/>
        <v>•</v>
      </c>
      <c r="IF46" s="332" t="str">
        <f t="shared" si="124"/>
        <v>•</v>
      </c>
      <c r="IG46" s="332" t="str">
        <f t="shared" si="125"/>
        <v>•</v>
      </c>
      <c r="IH46" s="332" t="str">
        <f t="shared" si="126"/>
        <v>•</v>
      </c>
      <c r="II46" s="332" t="str">
        <f t="shared" si="127"/>
        <v>o</v>
      </c>
      <c r="IJ46" s="332" t="str">
        <f t="shared" si="128"/>
        <v>•</v>
      </c>
      <c r="IK46" s="332" t="str">
        <f t="shared" si="129"/>
        <v>o</v>
      </c>
      <c r="IL46" s="332" t="str">
        <f t="shared" si="130"/>
        <v>•</v>
      </c>
      <c r="IM46" s="332" t="str">
        <f t="shared" si="131"/>
        <v>•</v>
      </c>
      <c r="IN46" s="332" t="str">
        <f t="shared" si="132"/>
        <v>•</v>
      </c>
      <c r="IO46" s="338" t="str">
        <f t="shared" si="133"/>
        <v>•</v>
      </c>
      <c r="IP46" s="346" t="b">
        <f t="shared" si="134"/>
        <v>0</v>
      </c>
      <c r="IQ46" s="347" t="b">
        <f t="shared" si="135"/>
        <v>1</v>
      </c>
      <c r="IR46" s="347" t="b">
        <f t="shared" si="136"/>
        <v>0</v>
      </c>
      <c r="IS46" s="347" t="b">
        <f t="shared" si="137"/>
        <v>0</v>
      </c>
      <c r="IT46" s="347" t="b">
        <f t="shared" si="138"/>
        <v>0</v>
      </c>
      <c r="IU46" s="347" t="b">
        <f t="shared" si="139"/>
        <v>0</v>
      </c>
      <c r="IV46" s="347" t="b">
        <f t="shared" si="140"/>
        <v>0</v>
      </c>
      <c r="IW46" s="347" t="b">
        <f t="shared" si="141"/>
        <v>0</v>
      </c>
      <c r="IX46" s="347" t="b">
        <f t="shared" si="142"/>
        <v>0</v>
      </c>
      <c r="IY46" s="347" t="b">
        <f t="shared" si="143"/>
        <v>0</v>
      </c>
      <c r="IZ46" s="347" t="b">
        <f t="shared" si="144"/>
        <v>0</v>
      </c>
      <c r="JA46" s="347" t="b">
        <f t="shared" si="145"/>
        <v>1</v>
      </c>
      <c r="JB46" s="353" t="b">
        <f t="shared" si="146"/>
        <v>0</v>
      </c>
      <c r="JC46" s="354" t="str">
        <f t="shared" si="147"/>
        <v/>
      </c>
      <c r="JD46" s="355" t="str">
        <f t="shared" si="148"/>
        <v>re, </v>
      </c>
      <c r="JE46" s="355" t="str">
        <f t="shared" si="149"/>
        <v/>
      </c>
      <c r="JF46" s="355" t="str">
        <f t="shared" si="150"/>
        <v/>
      </c>
      <c r="JG46" s="355" t="str">
        <f t="shared" si="151"/>
        <v/>
      </c>
      <c r="JH46" s="355" t="str">
        <f t="shared" si="152"/>
        <v/>
      </c>
      <c r="JI46" s="355" t="str">
        <f t="shared" si="153"/>
        <v/>
      </c>
      <c r="JJ46" s="355" t="str">
        <f t="shared" si="154"/>
        <v/>
      </c>
      <c r="JK46" s="355" t="str">
        <f t="shared" si="155"/>
        <v/>
      </c>
      <c r="JL46" s="355" t="str">
        <f t="shared" si="156"/>
        <v/>
      </c>
      <c r="JM46" s="355" t="str">
        <f t="shared" si="157"/>
        <v/>
      </c>
      <c r="JN46" s="355" t="str">
        <f t="shared" si="158"/>
        <v>Ni, </v>
      </c>
      <c r="JO46" s="359" t="str">
        <f t="shared" si="159"/>
        <v/>
      </c>
      <c r="JP46" s="346" t="b">
        <f t="shared" si="160"/>
        <v>0</v>
      </c>
      <c r="JQ46" s="347" t="b">
        <f t="shared" si="161"/>
        <v>1</v>
      </c>
      <c r="JR46" s="347" t="b">
        <f t="shared" si="162"/>
        <v>0</v>
      </c>
      <c r="JS46" s="347" t="b">
        <f t="shared" si="163"/>
        <v>0</v>
      </c>
      <c r="JT46" s="347" t="b">
        <f t="shared" si="164"/>
        <v>0</v>
      </c>
      <c r="JU46" s="347" t="b">
        <f t="shared" si="165"/>
        <v>0</v>
      </c>
      <c r="JV46" s="347" t="b">
        <f t="shared" si="166"/>
        <v>0</v>
      </c>
      <c r="JW46" s="347" t="b">
        <f t="shared" si="167"/>
        <v>0</v>
      </c>
      <c r="JX46" s="347" t="b">
        <f t="shared" si="168"/>
        <v>0</v>
      </c>
      <c r="JY46" s="347" t="b">
        <f t="shared" si="169"/>
        <v>0</v>
      </c>
      <c r="JZ46" s="347" t="b">
        <f t="shared" si="170"/>
        <v>0</v>
      </c>
      <c r="KA46" s="347" t="b">
        <f t="shared" si="171"/>
        <v>0</v>
      </c>
      <c r="KB46" s="365" t="b">
        <f t="shared" si="172"/>
        <v>0</v>
      </c>
      <c r="KC46" s="354" t="str">
        <f t="shared" si="173"/>
        <v/>
      </c>
      <c r="KD46" s="355" t="str">
        <f t="shared" si="174"/>
        <v>re, </v>
      </c>
      <c r="KE46" s="355" t="str">
        <f t="shared" si="175"/>
        <v/>
      </c>
      <c r="KF46" s="355" t="str">
        <f t="shared" si="176"/>
        <v/>
      </c>
      <c r="KG46" s="355" t="str">
        <f t="shared" si="177"/>
        <v/>
      </c>
      <c r="KH46" s="355" t="str">
        <f t="shared" si="178"/>
        <v/>
      </c>
      <c r="KI46" s="355" t="str">
        <f t="shared" si="179"/>
        <v/>
      </c>
      <c r="KJ46" s="355" t="str">
        <f t="shared" si="180"/>
        <v/>
      </c>
      <c r="KK46" s="355" t="str">
        <f t="shared" si="181"/>
        <v/>
      </c>
      <c r="KL46" s="355" t="str">
        <f t="shared" si="182"/>
        <v/>
      </c>
      <c r="KM46" s="355" t="str">
        <f t="shared" si="183"/>
        <v/>
      </c>
      <c r="KN46" s="355" t="str">
        <f t="shared" si="184"/>
        <v/>
      </c>
      <c r="KO46" s="359"/>
      <c r="KP46" s="378"/>
      <c r="KQ46" s="379" t="s">
        <v>545</v>
      </c>
      <c r="KR46" s="380" t="s">
        <v>800</v>
      </c>
      <c r="KS46" s="381" t="str">
        <f t="shared" si="286"/>
        <v>S-r-G-m-P-D-nN-S</v>
      </c>
      <c r="KT46" s="382">
        <f t="shared" si="186"/>
        <v>7</v>
      </c>
      <c r="KU46" s="383">
        <f t="shared" si="187"/>
        <v>8</v>
      </c>
      <c r="KV46" s="381" t="str">
        <f t="shared" si="205"/>
        <v>S-n-D-P-m-G-r-S</v>
      </c>
      <c r="KW46" s="382">
        <f t="shared" si="189"/>
        <v>7</v>
      </c>
      <c r="KX46" s="384">
        <f t="shared" si="190"/>
        <v>7</v>
      </c>
      <c r="KY46" s="382">
        <f t="shared" ref="KY46:KZ46" si="287">KW46-KT46</f>
        <v>0</v>
      </c>
      <c r="KZ46" s="369">
        <f t="shared" si="287"/>
        <v>-1</v>
      </c>
      <c r="LA46" s="385" t="str">
        <f t="shared" si="192"/>
        <v>-</v>
      </c>
      <c r="LB46" s="340" t="str">
        <f>IFERROR(__xludf.DUMMYFUNCTION("JOIN("""",ArrayFormula(MID(KS46,LEN(KS46)-SEQUENCE(1,LEN(KS46))+1,1)))"),"S-Nn-D-P-m-G-r-S")</f>
        <v>S-Nn-D-P-m-G-r-S</v>
      </c>
      <c r="LC46" s="373" t="str">
        <f>IFERROR(__xludf.DUMMYFUNCTION("JOIN("""",ArrayFormula(MID(KV46,LEN(KV46)-SEQUENCE(1,LEN(KV46))+1,1)))"),"S-r-G-m-P-D-n-S")</f>
        <v>S-r-G-m-P-D-n-S</v>
      </c>
      <c r="LD46" s="373" t="str">
        <f t="shared" si="193"/>
        <v>SrGmPDnNS</v>
      </c>
      <c r="LE46" s="339" t="str">
        <f t="shared" si="194"/>
        <v>SrGmPDnS</v>
      </c>
      <c r="LF46" s="386" t="str">
        <f>IFERROR(__xludf.DUMMYFUNCTION("SUBSTITUTE(SUBSTITUTE(CONCATENATE(JOIN("""",LH46:LT46)),""1"",""""),""2"","""")"),"SrGmPDnNS")</f>
        <v>SrGmPDnNS</v>
      </c>
      <c r="LG46" s="369" t="str">
        <f t="shared" si="195"/>
        <v>-</v>
      </c>
      <c r="LH46" s="387" t="str">
        <f>IFERROR(__xludf.DUMMYFUNCTION("IF(REGEXMATCH(LD46, ""S""), ""S"",IF(REGEXMATCH(LE46, ""S""), ""S"",""""))"),"S")</f>
        <v>S</v>
      </c>
      <c r="LI46" s="299" t="str">
        <f>IFERROR(__xludf.DUMMYFUNCTION("IF(REGEXMATCH(LD46, ""r""), ""r1"",IF(REGEXMATCH(LE46, ""r""), ""r2"",""""))"),"r1")</f>
        <v>r1</v>
      </c>
      <c r="LJ46" s="299" t="str">
        <f>IFERROR(__xludf.DUMMYFUNCTION("IF(REGEXMATCH(LD46, ""R""), ""R1"",IF(REGEXMATCH(LE46, ""R""), ""R2"",""""))"),"")</f>
        <v/>
      </c>
      <c r="LK46" s="299" t="str">
        <f>IFERROR(__xludf.DUMMYFUNCTION("IF(REGEXMATCH(LD46, ""g""), ""g1"",IF(REGEXMATCH(LE46, ""g""), ""g2"",""""))"),"")</f>
        <v/>
      </c>
      <c r="LL46" s="299" t="str">
        <f>IFERROR(__xludf.DUMMYFUNCTION("IF(REGEXMATCH(LD46, ""G""), ""G1"",IF(REGEXMATCH(LE46, ""G""), ""G2"",""""))"),"G1")</f>
        <v>G1</v>
      </c>
      <c r="LM46" s="299" t="str">
        <f>IFERROR(__xludf.DUMMYFUNCTION("IF(REGEXMATCH(LD46, ""m""), ""m1"",IF(REGEXMATCH(LE46, ""m""), ""m2"",""""))"),"m1")</f>
        <v>m1</v>
      </c>
      <c r="LN46" s="299" t="str">
        <f>IFERROR(__xludf.DUMMYFUNCTION("IF(REGEXMATCH(LD46, ""M""), ""M1"",IF(REGEXMATCH(LE46, ""M""), ""M2"",""""))"),"")</f>
        <v/>
      </c>
      <c r="LO46" s="299" t="str">
        <f>IFERROR(__xludf.DUMMYFUNCTION("IF(REGEXMATCH(LD46, ""P""), ""P1"",IF(REGEXMATCH(LE46, ""P""), ""P2"",""""))"),"P1")</f>
        <v>P1</v>
      </c>
      <c r="LP46" s="299" t="str">
        <f>IFERROR(__xludf.DUMMYFUNCTION("IF(REGEXMATCH(LD46, ""d""), ""d1"",IF(REGEXMATCH(LE46, ""d""), ""d2"",""""))"),"")</f>
        <v/>
      </c>
      <c r="LQ46" s="299" t="str">
        <f>IFERROR(__xludf.DUMMYFUNCTION("IF(REGEXMATCH(LD46, ""D""), ""D1"",IF(REGEXMATCH(LE46, ""D""), ""D2"",""""))"),"D1")</f>
        <v>D1</v>
      </c>
      <c r="LR46" s="299" t="str">
        <f>IFERROR(__xludf.DUMMYFUNCTION("IF(REGEXMATCH(LD46, ""n""), ""n1"",IF(REGEXMATCH(LE46, ""n""), ""n2"",""""))"),"n1")</f>
        <v>n1</v>
      </c>
      <c r="LS46" s="299" t="str">
        <f>IFERROR(__xludf.DUMMYFUNCTION("IF(REGEXMATCH(LD46, ""N""), ""N1"",IF(REGEXMATCH(LE46, ""N""), ""N2"",""""))"),"N1")</f>
        <v>N1</v>
      </c>
      <c r="LT46" s="388" t="str">
        <f>IFERROR(__xludf.DUMMYFUNCTION("IF(REGEXMATCH(LD46, ""S""), ""S"",IF(REGEXMATCH(LE46, ""S""), ""S"",""""))"),"S")</f>
        <v>S</v>
      </c>
      <c r="LU46" s="389">
        <f t="shared" si="196"/>
        <v>2</v>
      </c>
      <c r="LV46" s="378"/>
      <c r="LW46" s="369"/>
      <c r="LX46" s="369"/>
    </row>
    <row r="47" ht="18.0" customHeight="1">
      <c r="A47" s="298" t="s">
        <v>123</v>
      </c>
      <c r="B47" s="222" t="s">
        <v>595</v>
      </c>
      <c r="C47" s="233" t="str">
        <f t="shared" si="7"/>
        <v>SrgmPdnS</v>
      </c>
      <c r="D47" s="234" t="str">
        <f>IFERROR(__xludf.DUMMYFUNCTION("IF(REGEXMATCH(C47, ""S""), ""S"","""")"),"S")</f>
        <v>S</v>
      </c>
      <c r="E47" s="236" t="str">
        <f>IFERROR(__xludf.DUMMYFUNCTION("IF(REGEXMATCH(C47, ""r""), ""r"","""")"),"r")</f>
        <v>r</v>
      </c>
      <c r="F47" s="237" t="str">
        <f>IFERROR(__xludf.DUMMYFUNCTION("IF(REGEXMATCH(C47, ""R""), ""R"","""")"),"")</f>
        <v/>
      </c>
      <c r="G47" s="237" t="str">
        <f>IFERROR(__xludf.DUMMYFUNCTION("IF(REGEXMATCH(C47, ""g""), ""g"","""")"),"g")</f>
        <v>g</v>
      </c>
      <c r="H47" s="236" t="str">
        <f>IFERROR(__xludf.DUMMYFUNCTION("IF(REGEXMATCH(C47, ""G""), ""G"","""")"),"")</f>
        <v/>
      </c>
      <c r="I47" s="236" t="str">
        <f>IFERROR(__xludf.DUMMYFUNCTION("IF(REGEXMATCH(C47, ""m""), ""m"","""")"),"m")</f>
        <v>m</v>
      </c>
      <c r="J47" s="237" t="str">
        <f>IFERROR(__xludf.DUMMYFUNCTION("IF(REGEXMATCH(C47, ""M""), ""M"","""")"),"")</f>
        <v/>
      </c>
      <c r="K47" s="236" t="str">
        <f>IFERROR(__xludf.DUMMYFUNCTION("IF(REGEXMATCH(C47, ""P""), ""P"","""")"),"P")</f>
        <v>P</v>
      </c>
      <c r="L47" s="237" t="str">
        <f>IFERROR(__xludf.DUMMYFUNCTION("IF(REGEXMATCH(C47, ""d""), ""d"","""")"),"d")</f>
        <v>d</v>
      </c>
      <c r="M47" s="236" t="str">
        <f>IFERROR(__xludf.DUMMYFUNCTION("IF(REGEXMATCH(C47, ""D""), ""D"","""")"),"")</f>
        <v/>
      </c>
      <c r="N47" s="236" t="str">
        <f>IFERROR(__xludf.DUMMYFUNCTION("IF(REGEXMATCH(C47, ""n""), ""n"","""")"),"n")</f>
        <v>n</v>
      </c>
      <c r="O47" s="237" t="str">
        <f>IFERROR(__xludf.DUMMYFUNCTION("IF(REGEXMATCH(C47, ""N""), ""N"","""")"),"")</f>
        <v/>
      </c>
      <c r="P47" s="238" t="str">
        <f>IFERROR(__xludf.DUMMYFUNCTION("IF(REGEXMATCH(C47, ""S""), ""S"","""")"),"S")</f>
        <v>S</v>
      </c>
      <c r="Q47" s="239" t="str">
        <f>IFERROR(__xludf.DUMMYFUNCTION("SUBSTITUTE(CONCATENATE(JOIN(""-"",D47:J47)),""-"","""")"),"Srgm")</f>
        <v>Srgm</v>
      </c>
      <c r="R47" s="229" t="str">
        <f>IFERROR(__xludf.DUMMYFUNCTION("SUBSTITUTE(CONCATENATE(JOIN(""-"",K47:P47)),""-"","""")"),"PdnS")</f>
        <v>PdnS</v>
      </c>
      <c r="S47" s="282" t="str">
        <f t="shared" si="8"/>
        <v>S-R-G-M</v>
      </c>
      <c r="T47" s="282" t="str">
        <f t="shared" si="9"/>
        <v>P-D-N-S</v>
      </c>
      <c r="U47" s="237" t="str">
        <f>IFERROR(__xludf.DUMMYFUNCTION("SUBSTITUTE(JOIN(""-"",S47,T47),""--"",""-"")"),"S-R-G-M-P-D-N-S")</f>
        <v>S-R-G-M-P-D-N-S</v>
      </c>
      <c r="V47" s="309" t="str">
        <f t="shared" si="10"/>
        <v>rgmdn</v>
      </c>
      <c r="W47" s="244" t="str">
        <f>IFERROR(__xludf.DUMMYFUNCTION("IF(REGEXMATCH(C47, ""S""), ""0"","""")"),"0")</f>
        <v>0</v>
      </c>
      <c r="X47" s="245" t="str">
        <f>IFERROR(__xludf.DUMMYFUNCTION("IF(REGEXMATCH(C47, ""r""), ""1"","""")"),"1")</f>
        <v>1</v>
      </c>
      <c r="Y47" s="246" t="str">
        <f>IFERROR(__xludf.DUMMYFUNCTION("IF(REGEXMATCH(C47, ""R""), ""2"","""")"),"")</f>
        <v/>
      </c>
      <c r="Z47" s="246" t="str">
        <f>IFERROR(__xludf.DUMMYFUNCTION("IF(REGEXMATCH(C47, ""g""), ""3"","""")"),"3")</f>
        <v>3</v>
      </c>
      <c r="AA47" s="245" t="str">
        <f>IFERROR(__xludf.DUMMYFUNCTION("IF(REGEXMATCH(C47, ""G""), ""4"","""")"),"")</f>
        <v/>
      </c>
      <c r="AB47" s="245" t="str">
        <f>IFERROR(__xludf.DUMMYFUNCTION("IF(REGEXMATCH(C47, ""m""), ""5"","""")"),"5")</f>
        <v>5</v>
      </c>
      <c r="AC47" s="246" t="str">
        <f>IFERROR(__xludf.DUMMYFUNCTION("IF(REGEXMATCH(C47, ""M""), ""6"","""")"),"")</f>
        <v/>
      </c>
      <c r="AD47" s="245" t="str">
        <f>IFERROR(__xludf.DUMMYFUNCTION("IF(REGEXMATCH(C47, ""P""), ""7"","""")"),"7")</f>
        <v>7</v>
      </c>
      <c r="AE47" s="246" t="str">
        <f>IFERROR(__xludf.DUMMYFUNCTION("IF(REGEXMATCH(C47, ""d""), ""8"","""")"),"8")</f>
        <v>8</v>
      </c>
      <c r="AF47" s="245" t="str">
        <f>IFERROR(__xludf.DUMMYFUNCTION("IF(REGEXMATCH(C47, ""D""), ""9"","""")"),"")</f>
        <v/>
      </c>
      <c r="AG47" s="245" t="str">
        <f>IFERROR(__xludf.DUMMYFUNCTION("IF(REGEXMATCH(C47, ""n""), ""10"","""")"),"10")</f>
        <v>10</v>
      </c>
      <c r="AH47" s="246" t="str">
        <f>IFERROR(__xludf.DUMMYFUNCTION("IF(REGEXMATCH(C47, ""N""), ""11"","""")"),"")</f>
        <v/>
      </c>
      <c r="AI47" s="249" t="str">
        <f>IFERROR(__xludf.DUMMYFUNCTION("IF(REGEXMATCH(C47, ""S""), ""0"","""")"),"0")</f>
        <v>0</v>
      </c>
      <c r="AJ47" s="313" t="str">
        <f t="shared" si="11"/>
        <v>-</v>
      </c>
      <c r="AK47" s="313" t="str">
        <f t="shared" si="12"/>
        <v>T</v>
      </c>
      <c r="AL47" s="313" t="str">
        <f t="shared" si="13"/>
        <v>-</v>
      </c>
      <c r="AM47" s="313" t="str">
        <f t="shared" si="14"/>
        <v>-</v>
      </c>
      <c r="AN47" s="313" t="str">
        <f t="shared" si="15"/>
        <v>-</v>
      </c>
      <c r="AO47" s="314" t="str">
        <f t="shared" si="16"/>
        <v>-</v>
      </c>
      <c r="AP47" s="316">
        <f t="shared" si="17"/>
        <v>1</v>
      </c>
      <c r="AQ47" s="319" t="str">
        <f t="shared" si="18"/>
        <v>-</v>
      </c>
      <c r="AR47" s="320">
        <f t="shared" si="19"/>
        <v>0</v>
      </c>
      <c r="AS47" s="250" t="str">
        <f>IFERROR(__xludf.DUMMYFUNCTION("SUBSTITUTE(SUBSTITUTE(CONCATENATE(JOIN("""",FP47:GA47)),""|"",""x""),""-"",""o"")"),"xxoxoxoxxoxo")</f>
        <v>xxoxoxoxxoxo</v>
      </c>
      <c r="AT47" s="323" t="str">
        <f>IFERROR(__xludf.DUMMYFUNCTION("JOIN("""",AS47,AS47)"),"xxoxoxoxxoxoxxoxoxoxxoxo")</f>
        <v>xxoxoxoxxoxoxxoxoxoxxoxo</v>
      </c>
      <c r="AU47" s="256" t="str">
        <f>IFERROR(__xludf.DUMMYFUNCTION("JOIN("""",ArrayFormula(MID(AS47,LEN(AS47)-SEQUENCE(1,LEN(AS47))+1,1)))"),"oxoxxoxoxoxx")</f>
        <v>oxoxxoxoxoxx</v>
      </c>
      <c r="AV47" s="256" t="str">
        <f>IFERROR(__xludf.DUMMYFUNCTION("LEFT(CONCATENATE(""x"",JOIN("""",ArrayFormula(MID(AS47,LEN(AS47)-SEQUENCE(1,LEN(AS47))+1,1)))),12)"),"xoxoxxoxoxox")</f>
        <v>xoxoxxoxoxox</v>
      </c>
      <c r="AW47" s="327" t="str">
        <f>IFERROR(__xludf.DUMMYFUNCTION("JOIN("""",AU47,AU47)"),"oxoxxoxoxoxxoxoxxoxoxoxx")</f>
        <v>oxoxxoxoxoxxoxoxxoxoxoxx</v>
      </c>
      <c r="AX47" s="239" t="str">
        <f>IFERROR(__xludf.DUMMYFUNCTION("IF(REGEXMATCH(AW47,AS47),""✔"",""-"")"),"✔")</f>
        <v>✔</v>
      </c>
      <c r="AY47" s="330" t="str">
        <f t="shared" si="20"/>
        <v>-</v>
      </c>
      <c r="AZ47" s="260" t="str">
        <f t="shared" si="21"/>
        <v>#REF!</v>
      </c>
      <c r="BA47" s="333" t="str">
        <f t="shared" si="22"/>
        <v>xxoxoxo</v>
      </c>
      <c r="BB47" s="334" t="str">
        <f t="shared" si="23"/>
        <v>xxoxox</v>
      </c>
      <c r="BC47" s="335" t="str">
        <f t="shared" si="236"/>
        <v>✔</v>
      </c>
      <c r="BD47" s="336" t="str">
        <f t="shared" si="25"/>
        <v>Bhairavi: 'xxoxoxo' + 'xxoxox'</v>
      </c>
      <c r="BE47" s="337">
        <f>IFERROR(__xludf.DUMMYFUNCTION("COUNTUNIQUE(FILTER(AT:AT,REGEXMATCH(AT:AT,AS47)))-1"),6.0)</f>
        <v>6</v>
      </c>
      <c r="BF47" s="261" t="str">
        <f>IFERROR(__xludf.DUMMYFUNCTION("IF(BI47=0,""(n/a)"",IF(BJ47=2,""(PAIR)"",IF(REGEXMATCH(AT47,""xoxoxxoxoxox""),""Bilawal"",IF(REGEXMATCH(AT47,""xoxoxooxoxoo""),""Bhupali"",IF(REGEXMATCH(AT47,""xoxoxxoxxoxo""),""Charukeshi"",IF(REGEXMATCH(AT47,""xoxoooxxoxxo""),""Kameshwari"",IF(REGEXMATC"&amp;"H(AT47,""xoxoxooxoxox""),""Shankara"",IF(REGEXMATCH(AT47,""xxooxoxxxoox""),""Basant"",IF(REGEXMATCH(AT47,""xoxoxxxxoxox""),""Bihag"",IF(REGEXMATCH(AT47,""xoxxxxoxoxxx""),""Pilu"",IF(REGEXMATCH(AT47,""xoxxoxoxxoox""),""Kirwani"",IF(REGEXMATCH(AT47,""xoxxox"&amp;"oxoxxx""),""Mk.Malhar"",IF(REGEXMATCH(AT47,""xxooxxoxxoox""),""Bhairav"",IF(REGEXMATCH(AT47,""xxoxooxxxoox""),""Todi"",IF(REGEXMATCH(AT47,""xxooxoxooxox""),""Marwa"",IF(REGEXMATCH(AT47,""xxoooxoxxooo""),""Gunkali"",IF(REGEXMATCH(AT47,""xoxoxxoxxoox""),""N"&amp;"at Bhairav"",IF(REGEXMATCH(AT47,""xoxxoooxoxoo""),""Shivranjani"",IF(REGEXMATCH(AT47,""xooxxxoxooxo""),""Jog"",IF(REGEXMATCH(AT47,""xxooxoxoxoox""),""Hemshri"",IF(REGEXMATCH(AT47,""xoooxooxoxxo""),""Kalavati"",IF(REGEXMATCH(AT47,""xxoxoxxoxoox""),""Kedar"&amp;""",IF(REGEXMATCH(AT47,""xoxxxxoxooxx""),""Gara"",IF(REGEXMATCH(AT47,""xooxoxooxoox""),""Chandrakauns"",IF(REGEXMATCH(AT47,""xoxxxxoxxxox""),""Mand"",IF(REGEXMATCH(AT47,""xoxxxxoxoxox""),""Hanskinkini"",IF(REGEXMATCH(AT47,""xxooxxoxooxo""),""Lilavati"",IF("&amp;"REGEXMATCH(AT47,""xooxoxoooxox""),""Rajeshwari"",IF(REGEXMATCH(AT47,""xoooxxoxoxxx""),""Khokar"",IF(REGEXMATCH(AT47,""xxooxoxxxxox""),""Maligoura"",""-""))))))))))))))))))))))))))))))"),"Bilawal")</f>
        <v>Bilawal</v>
      </c>
      <c r="BG47" s="239" t="str">
        <f t="shared" si="26"/>
        <v>#REF!</v>
      </c>
      <c r="BH47" s="239">
        <f>IFERROR(__xludf.DUMMYFUNCTION("COUNTUNIQUE(FE47:FO47)-1"),6.0)</f>
        <v>6</v>
      </c>
      <c r="BI47" s="239">
        <f>IFERROR(__xludf.DUMMYFUNCTION("COUNTUNIQUE(FILTER(AT:AT,REGEXMATCH(AT:AT,AS47)))-1"),6.0)</f>
        <v>6</v>
      </c>
      <c r="BJ47" s="239">
        <f>IFERROR(__xludf.DUMMYFUNCTION("COUNTA(FILTER(AT:AT,REGEXMATCH(AT:AT,AS47)))"),48.0)</f>
        <v>48</v>
      </c>
      <c r="BK47" s="341">
        <f>IFERROR(__xludf.DUMMYFUNCTION("COUNTA(FILTER(AT:AT,REGEXMATCH(AT:AT,AS47)))-AR47"),48.0)</f>
        <v>48</v>
      </c>
      <c r="BL47" s="276" t="str">
        <f>IFERROR(__xludf.DUMMYFUNCTION("IF(AS47=""oooooooooooo"",""-"",IF(REGEXMATCH(AT47,""xx""), ""Hemi."", ""Anhemi.""))"),"Hemi.")</f>
        <v>Hemi.</v>
      </c>
      <c r="BM47" s="282" t="str">
        <f>IFERROR(__xludf.DUMMYFUNCTION("IF(AS47=""oooooooooooo"",""-"",IF(REGEXMATCH(AT47,""xxx""), ""Cohem."", ""-""))"),"-")</f>
        <v>-</v>
      </c>
      <c r="BN47" s="282" t="str">
        <f>IFERROR(__xludf.DUMMYFUNCTION("IF(AS47=""oooooooooooo"",""-"",IF(REGEXMATCH(AT47,""xxxx""), ""Co-Co."", ""-""))"),"-")</f>
        <v>-</v>
      </c>
      <c r="BO47" s="342" t="str">
        <f>IFERROR(__xludf.DUMMYFUNCTION("IF(AS47=""oooooooooooo"",""-"",IF(REGEXMATCH(AT47,""xxxxx""), ""CCC."", ""-""))"),"-")</f>
        <v>-</v>
      </c>
      <c r="BP47" s="344" t="str">
        <f t="shared" si="27"/>
        <v>Bhairavi</v>
      </c>
      <c r="BQ47" s="282" t="str">
        <f>IFERROR(__xludf.DUMMYFUNCTION("IF(REGEXMATCH(JOIN(""-"",EU47:FD47),""TRUE""),""✔"",""-"")"),"✔")</f>
        <v>✔</v>
      </c>
      <c r="BR47" s="225">
        <f t="shared" si="28"/>
        <v>1</v>
      </c>
      <c r="BS47" s="345" t="str">
        <f>IFERROR(__xludf.DUMMYFUNCTION("SUBSTITUTE(SUBSTITUTE(SUBSTITUTE(SUBSTITUTE(CONCATENATE(JOIN(""-"",GC47:GO47)),""--"",""-""),""--"",""-""),""--"",""-""),""--"",""-"")"),"1-b2-b3-4-5-b6-b7-8")</f>
        <v>1-b2-b3-4-5-b6-b7-8</v>
      </c>
      <c r="BT47" s="299" t="str">
        <f>IFERROR(__xludf.DUMMYFUNCTION("SUBSTITUTE(SUBSTITUTE(SUBSTITUTE(SUBSTITUTE(CONCATENATE(JOIN(""-"",GP47:HB47)),""--"",""-""),""--"",""-""),""--"",""-""),""--"",""-"")"),"S-R1-G2-M1-P-D1-N2-S")</f>
        <v>S-R1-G2-M1-P-D1-N2-S</v>
      </c>
      <c r="BU47" s="348" t="str">
        <f t="shared" si="29"/>
        <v>C-Db-Eb-F-G-Ab-Bb-C</v>
      </c>
      <c r="BV47" s="349" t="str">
        <f t="shared" si="30"/>
        <v>SRGMDNS</v>
      </c>
      <c r="BW47" s="350">
        <f t="shared" si="31"/>
        <v>2</v>
      </c>
      <c r="BX47" s="351">
        <f t="shared" si="32"/>
        <v>4</v>
      </c>
      <c r="BY47" s="352" t="s">
        <v>275</v>
      </c>
      <c r="BZ47" s="309" t="str">
        <f>IFERROR(__xludf.DUMMYFUNCTION("IF(REGEXMATCH(C47, ""S""), ""x"",""x"")"),"x")</f>
        <v>x</v>
      </c>
      <c r="CA47" s="245" t="str">
        <f>IFERROR(__xludf.DUMMYFUNCTION("IF(REGEXMATCH(C47, ""r""), ""o"",""x"")"),"o")</f>
        <v>o</v>
      </c>
      <c r="CB47" s="246" t="str">
        <f>IFERROR(__xludf.DUMMYFUNCTION("IF(REGEXMATCH(C47, ""R""), ""o"",""x"")"),"x")</f>
        <v>x</v>
      </c>
      <c r="CC47" s="246" t="str">
        <f>IFERROR(__xludf.DUMMYFUNCTION("IF(REGEXMATCH(C47, ""g""), ""o"",""x"")"),"o")</f>
        <v>o</v>
      </c>
      <c r="CD47" s="245" t="str">
        <f>IFERROR(__xludf.DUMMYFUNCTION("IF(REGEXMATCH(C47, ""G""), ""o"",""x"")"),"x")</f>
        <v>x</v>
      </c>
      <c r="CE47" s="245" t="str">
        <f>IFERROR(__xludf.DUMMYFUNCTION("IF(REGEXMATCH(C47, ""m""), ""o"",""x"")"),"o")</f>
        <v>o</v>
      </c>
      <c r="CF47" s="246" t="str">
        <f>IFERROR(__xludf.DUMMYFUNCTION("IF(REGEXMATCH(C47, ""M""), ""o"",""x"")"),"x")</f>
        <v>x</v>
      </c>
      <c r="CG47" s="245" t="str">
        <f>IFERROR(__xludf.DUMMYFUNCTION("IF(REGEXMATCH(C47, ""P""), ""o"",""x"")"),"o")</f>
        <v>o</v>
      </c>
      <c r="CH47" s="246" t="str">
        <f>IFERROR(__xludf.DUMMYFUNCTION("IF(REGEXMATCH(C47, ""d""), ""o"",""x"")"),"o")</f>
        <v>o</v>
      </c>
      <c r="CI47" s="245" t="str">
        <f>IFERROR(__xludf.DUMMYFUNCTION("IF(REGEXMATCH(C47, ""D""), ""o"",""x"")"),"x")</f>
        <v>x</v>
      </c>
      <c r="CJ47" s="245" t="str">
        <f>IFERROR(__xludf.DUMMYFUNCTION("IF(REGEXMATCH(C47, ""n""), ""o"",""x"")"),"o")</f>
        <v>o</v>
      </c>
      <c r="CK47" s="245" t="str">
        <f>IFERROR(__xludf.DUMMYFUNCTION("IF(REGEXMATCH(C47, ""N""), ""o"",""x"")"),"x")</f>
        <v>x</v>
      </c>
      <c r="CL47" s="356" t="str">
        <f>IFERROR(__xludf.DUMMYFUNCTION("IF(REGEXMATCH(C47, ""S""), ""x"",""x"")"),"x")</f>
        <v>x</v>
      </c>
      <c r="CM47" s="357" t="str">
        <f t="shared" si="33"/>
        <v>xoxoxoxooxox</v>
      </c>
      <c r="CN47" s="358">
        <f t="shared" si="34"/>
        <v>2</v>
      </c>
      <c r="CO47" s="246" t="str">
        <f>IFERROR(__xludf.DUMMYFUNCTION("IF(REGEXMATCH($C47, ""S""), ""S"",""S"")"),"S")</f>
        <v>S</v>
      </c>
      <c r="CP47" s="246" t="str">
        <f>IFERROR(__xludf.DUMMYFUNCTION("IF(REGEXMATCH($C47, ""r""), """",""r"")"),"")</f>
        <v/>
      </c>
      <c r="CQ47" s="246" t="str">
        <f>IFERROR(__xludf.DUMMYFUNCTION("IF(REGEXMATCH($C47, ""R""), """",""R"")"),"R")</f>
        <v>R</v>
      </c>
      <c r="CR47" s="246" t="str">
        <f>IFERROR(__xludf.DUMMYFUNCTION("IF(REGEXMATCH($C47, ""g""), """",""g"")"),"")</f>
        <v/>
      </c>
      <c r="CS47" s="246" t="str">
        <f>IFERROR(__xludf.DUMMYFUNCTION("IF(REGEXMATCH($C47, ""G""), """",""G"")"),"G")</f>
        <v>G</v>
      </c>
      <c r="CT47" s="246" t="str">
        <f>IFERROR(__xludf.DUMMYFUNCTION("IF(REGEXMATCH($C47, ""m""), """",""m"")"),"")</f>
        <v/>
      </c>
      <c r="CU47" s="246" t="str">
        <f>IFERROR(__xludf.DUMMYFUNCTION("IF(REGEXMATCH($C47, ""M""), """",""M"")"),"M")</f>
        <v>M</v>
      </c>
      <c r="CV47" s="246" t="str">
        <f>IFERROR(__xludf.DUMMYFUNCTION("IF(REGEXMATCH($C47, ""P""), """",""P"")"),"")</f>
        <v/>
      </c>
      <c r="CW47" s="246" t="str">
        <f>IFERROR(__xludf.DUMMYFUNCTION("IF(REGEXMATCH($C47, ""d""), """",""d"")"),"")</f>
        <v/>
      </c>
      <c r="CX47" s="246" t="str">
        <f>IFERROR(__xludf.DUMMYFUNCTION("IF(REGEXMATCH($C47, ""D""), """",""D"")"),"D")</f>
        <v>D</v>
      </c>
      <c r="CY47" s="246" t="str">
        <f>IFERROR(__xludf.DUMMYFUNCTION("IF(REGEXMATCH($C47, ""n""), """",""n"")"),"")</f>
        <v/>
      </c>
      <c r="CZ47" s="246" t="str">
        <f>IFERROR(__xludf.DUMMYFUNCTION("IF(REGEXMATCH($C47, ""N""), """",""N"")"),"N")</f>
        <v>N</v>
      </c>
      <c r="DA47" s="246" t="str">
        <f>IFERROR(__xludf.DUMMYFUNCTION("IF(REGEXMATCH($C47, ""S""), ""S"",""S"")"),"S")</f>
        <v>S</v>
      </c>
      <c r="DB47" s="362" t="str">
        <f>IFERROR(__xludf.DUMMYFUNCTION("JOIN("""",CO47:DA47,"""","""")"),"SRGMDNS")</f>
        <v>SRGMDNS</v>
      </c>
      <c r="DC47" s="363"/>
      <c r="DD47" s="301" t="str">
        <f t="shared" si="35"/>
        <v>#REF!</v>
      </c>
      <c r="DE47" s="302" t="str">
        <f t="shared" si="36"/>
        <v>#REF!</v>
      </c>
      <c r="DF47" s="301" t="str">
        <f t="shared" ref="DF47:DG47" si="288">SUBSTITUTE(S47,"-","")</f>
        <v>SRGM</v>
      </c>
      <c r="DG47" s="301" t="str">
        <f t="shared" si="288"/>
        <v>PDNS</v>
      </c>
      <c r="DH47" s="302" t="str">
        <f t="shared" si="38"/>
        <v>Bilawal</v>
      </c>
      <c r="DI47" s="301" t="str">
        <f t="shared" si="39"/>
        <v>Hemi.</v>
      </c>
      <c r="DJ47" s="364" t="str">
        <f t="shared" si="40"/>
        <v>-</v>
      </c>
      <c r="DK47" s="306" t="str">
        <f t="shared" si="41"/>
        <v>Bhairavi</v>
      </c>
      <c r="DL47" s="366" t="str">
        <f t="shared" si="42"/>
        <v>-</v>
      </c>
      <c r="DM47" s="308" t="str">
        <f t="shared" si="43"/>
        <v>-</v>
      </c>
      <c r="DN47" s="306" t="str">
        <f t="shared" si="44"/>
        <v>-</v>
      </c>
      <c r="DO47" s="306" t="str">
        <f t="shared" si="45"/>
        <v>✔</v>
      </c>
      <c r="DP47" s="367" t="str">
        <f t="shared" si="46"/>
        <v>-</v>
      </c>
      <c r="DQ47" s="310" t="str">
        <f t="shared" si="47"/>
        <v>-</v>
      </c>
      <c r="DR47" s="310" t="str">
        <f t="shared" si="48"/>
        <v>-</v>
      </c>
      <c r="DS47" s="310" t="str">
        <f t="shared" si="49"/>
        <v>-</v>
      </c>
      <c r="DT47" s="310" t="str">
        <f t="shared" si="50"/>
        <v>-</v>
      </c>
      <c r="DU47" s="370" t="str">
        <f t="shared" si="51"/>
        <v>-</v>
      </c>
      <c r="DV47" s="306" t="str">
        <f t="shared" si="52"/>
        <v>-</v>
      </c>
      <c r="DW47" s="306" t="str">
        <f t="shared" si="53"/>
        <v>-</v>
      </c>
      <c r="DX47" s="306" t="str">
        <f t="shared" si="54"/>
        <v>-</v>
      </c>
      <c r="DY47" s="306" t="str">
        <f t="shared" si="55"/>
        <v>-</v>
      </c>
      <c r="DZ47" s="306" t="str">
        <f t="shared" si="56"/>
        <v>-</v>
      </c>
      <c r="EA47" s="367" t="str">
        <f t="shared" si="57"/>
        <v>-</v>
      </c>
      <c r="EB47" s="310" t="str">
        <f>IFERROR(__xludf.DUMMYFUNCTION("IF(REGEXMATCH(AW47,AS47),""✔"",""-"")"),"✔")</f>
        <v>✔</v>
      </c>
      <c r="EC47" s="310" t="str">
        <f t="shared" si="58"/>
        <v>#REF!</v>
      </c>
      <c r="ED47" s="370" t="str">
        <f t="shared" si="59"/>
        <v>-</v>
      </c>
      <c r="EE47" s="340" t="str">
        <f t="shared" si="60"/>
        <v>S-r-g-m-P-d-n-S</v>
      </c>
      <c r="EF47" s="371" t="str">
        <f>IFERROR(__xludf.DUMMYFUNCTION("CONCATENATE(JOIN("""",HC47:HO47))"),"SRGmPDNS")</f>
        <v>SRGmPDNS</v>
      </c>
      <c r="EG47" s="372">
        <f t="shared" si="61"/>
        <v>1</v>
      </c>
      <c r="EH47" s="373" t="str">
        <f>IFERROR(__xludf.DUMMYFUNCTION("CONCATENATE(JOIN("""",JC47:JO47))"),"Pa, ")</f>
        <v>Pa, </v>
      </c>
      <c r="EI47" s="322">
        <f t="shared" si="62"/>
        <v>0</v>
      </c>
      <c r="EJ47" s="374" t="str">
        <f>IFERROR(__xludf.DUMMYFUNCTION("CONCATENATE(JOIN("""",KC47:KO47))"),"")</f>
        <v/>
      </c>
      <c r="EK47" s="325" t="str">
        <f t="shared" si="63"/>
        <v>S-R1-G2-M1-P-D1-N2-S</v>
      </c>
      <c r="EL47" s="326" t="str">
        <f t="shared" si="64"/>
        <v>1-b2-b3-4-5-b6-b7-8</v>
      </c>
      <c r="EM47" s="318" t="str">
        <f t="shared" si="65"/>
        <v>#REF!</v>
      </c>
      <c r="EN47" s="328" t="str">
        <f>IFERROR(__xludf.DUMMYFUNCTION("SUBSTITUTE(SUBSTITUTE(SUBSTITUTE(SUBSTITUTE(CONCATENATE(JOIN("" "",HP47:IB47)),""  "","" ""),""  "","" ""),""  "","" ""),""  "","" "")"),"o o • o • o • o o • o • o")</f>
        <v>o o • o • o • o o • o • o</v>
      </c>
      <c r="EO47" s="368" t="str">
        <f t="shared" si="66"/>
        <v>-</v>
      </c>
      <c r="EP47" s="339" t="str">
        <f t="shared" si="67"/>
        <v>-</v>
      </c>
      <c r="EQ47" s="339" t="str">
        <f t="shared" si="68"/>
        <v>Sa-Pa</v>
      </c>
      <c r="ER47" s="339" t="str">
        <f t="shared" si="69"/>
        <v>-</v>
      </c>
      <c r="ES47" s="340" t="str">
        <f t="shared" si="70"/>
        <v>-</v>
      </c>
      <c r="ET47" s="363"/>
      <c r="EU47" s="376" t="b">
        <f>IFERROR(__xludf.DUMMYFUNCTION("arrayformula(sum(--REGEXMATCH(""SRGMPDNS"",split(REGEXREPLACE(C47,""(.)"",""$1~""),""~""))))=len(C47)
"),FALSE)</f>
        <v>0</v>
      </c>
      <c r="EV47" s="290" t="b">
        <f>IFERROR(__xludf.DUMMYFUNCTION("arrayformula(sum(--REGEXMATCH(""SRGmPDNS"",split(REGEXREPLACE(C47,""(.)"",""$1~""),""~""))))=len(C47)"),FALSE)</f>
        <v>0</v>
      </c>
      <c r="EW47" s="290" t="b">
        <f>IFERROR(__xludf.DUMMYFUNCTION("arrayformula(sum(--REGEXMATCH(""SRGmPDnS"",split(REGEXREPLACE(C47,""(.)"",""$1~""),""~""))))=len(C47)"),FALSE)</f>
        <v>0</v>
      </c>
      <c r="EX47" s="290" t="b">
        <f>IFERROR(__xludf.DUMMYFUNCTION("arrayformula(sum(--REGEXMATCH(""SRgmPDnS"",split(REGEXREPLACE(C47,""(.)"",""$1~""),""~""))))=len(C47)"),FALSE)</f>
        <v>0</v>
      </c>
      <c r="EY47" s="290" t="b">
        <f>IFERROR(__xludf.DUMMYFUNCTION("arrayformula(sum(--REGEXMATCH(""SRgmPdnS"",split(REGEXREPLACE(C47,""(.)"",""$1~""),""~""))))=len(C47)"),FALSE)</f>
        <v>0</v>
      </c>
      <c r="EZ47" s="290" t="b">
        <f>IFERROR(__xludf.DUMMYFUNCTION("arrayformula(sum(--REGEXMATCH(""SrgmPdnS"",split(REGEXREPLACE(C47,""(.)"",""$1~""),""~""))))=len(C47)"),TRUE)</f>
        <v>1</v>
      </c>
      <c r="FA47" s="290" t="b">
        <f>IFERROR(__xludf.DUMMYFUNCTION("arrayformula(sum(--REGEXMATCH(""SrGmPdNS"",split(REGEXREPLACE(C47,""(.)"",""$1~""),""~""))))=len(C47)"),FALSE)</f>
        <v>0</v>
      </c>
      <c r="FB47" s="290" t="b">
        <f>IFERROR(__xludf.DUMMYFUNCTION("arrayformula(sum(--REGEXMATCH(""SrGMPDNS"",split(REGEXREPLACE(C47,""(.)"",""$1~""),""~""))))=len(C47)"),FALSE)</f>
        <v>0</v>
      </c>
      <c r="FC47" s="290" t="b">
        <f>IFERROR(__xludf.DUMMYFUNCTION("arrayformula(sum(--REGEXMATCH(""SrGMPdNS"",split(REGEXREPLACE(C47,""(.)"",""$1~""),""~""))))=len(C47)"),FALSE)</f>
        <v>0</v>
      </c>
      <c r="FD47" s="377" t="b">
        <f>IFERROR(__xludf.DUMMYFUNCTION("arrayformula(sum(--REGEXMATCH(""SrgMPdNS"",split(REGEXREPLACE(C47,""(.)"",""$1~""),""~""))))=len(C47)"),FALSE)</f>
        <v>0</v>
      </c>
      <c r="FE47" s="269" t="str">
        <f t="shared" si="71"/>
        <v>xoxoxoxxoxo</v>
      </c>
      <c r="FF47" s="269" t="str">
        <f t="shared" si="72"/>
        <v>-</v>
      </c>
      <c r="FG47" s="271" t="str">
        <f t="shared" si="73"/>
        <v>xoxoxxoxoxx</v>
      </c>
      <c r="FH47" s="269" t="str">
        <f t="shared" si="74"/>
        <v>-</v>
      </c>
      <c r="FI47" s="271" t="str">
        <f t="shared" si="75"/>
        <v>xoxxoxoxxox</v>
      </c>
      <c r="FJ47" s="271" t="str">
        <f t="shared" si="76"/>
        <v>-</v>
      </c>
      <c r="FK47" s="271" t="str">
        <f t="shared" si="77"/>
        <v>xxoxoxxoxox</v>
      </c>
      <c r="FL47" s="271" t="str">
        <f t="shared" si="78"/>
        <v>xoxoxxoxoxo</v>
      </c>
      <c r="FM47" s="271" t="str">
        <f t="shared" si="79"/>
        <v>-</v>
      </c>
      <c r="FN47" s="271" t="str">
        <f t="shared" si="80"/>
        <v>xoxxoxoxoxx</v>
      </c>
      <c r="FO47" s="274" t="str">
        <f t="shared" si="81"/>
        <v>-</v>
      </c>
      <c r="FP47" s="234" t="str">
        <f t="shared" si="82"/>
        <v>|</v>
      </c>
      <c r="FQ47" s="236" t="str">
        <f t="shared" si="83"/>
        <v>|</v>
      </c>
      <c r="FR47" s="237" t="str">
        <f t="shared" si="84"/>
        <v>-</v>
      </c>
      <c r="FS47" s="236" t="str">
        <f t="shared" si="85"/>
        <v>|</v>
      </c>
      <c r="FT47" s="237" t="str">
        <f t="shared" si="86"/>
        <v>-</v>
      </c>
      <c r="FU47" s="236" t="str">
        <f t="shared" si="87"/>
        <v>|</v>
      </c>
      <c r="FV47" s="237" t="str">
        <f t="shared" si="88"/>
        <v>-</v>
      </c>
      <c r="FW47" s="236" t="str">
        <f t="shared" si="89"/>
        <v>|</v>
      </c>
      <c r="FX47" s="237" t="str">
        <f t="shared" si="90"/>
        <v>|</v>
      </c>
      <c r="FY47" s="236" t="str">
        <f t="shared" si="91"/>
        <v>-</v>
      </c>
      <c r="FZ47" s="237" t="str">
        <f t="shared" si="92"/>
        <v>|</v>
      </c>
      <c r="GA47" s="236" t="str">
        <f t="shared" si="93"/>
        <v>-</v>
      </c>
      <c r="GB47" s="238" t="str">
        <f t="shared" si="94"/>
        <v>|</v>
      </c>
      <c r="GC47" s="244" t="str">
        <f>IFERROR(__xludf.DUMMYFUNCTION("IF(REGEXMATCH(C47, ""S""), ""1"","""")"),"1")</f>
        <v>1</v>
      </c>
      <c r="GD47" s="245" t="str">
        <f>IFERROR(__xludf.DUMMYFUNCTION("IF(REGEXMATCH(C47, ""r""), ""b2"","""")"),"b2")</f>
        <v>b2</v>
      </c>
      <c r="GE47" s="246" t="str">
        <f>IFERROR(__xludf.DUMMYFUNCTION("IF(REGEXMATCH(C47, ""R""), ""2"","""")"),"")</f>
        <v/>
      </c>
      <c r="GF47" s="246" t="str">
        <f>IFERROR(__xludf.DUMMYFUNCTION("IF(REGEXMATCH(C47, ""g""), ""b3"","""")"),"b3")</f>
        <v>b3</v>
      </c>
      <c r="GG47" s="245" t="str">
        <f>IFERROR(__xludf.DUMMYFUNCTION("IF(REGEXMATCH(C47, ""G""), ""3"","""")"),"")</f>
        <v/>
      </c>
      <c r="GH47" s="245" t="str">
        <f>IFERROR(__xludf.DUMMYFUNCTION("IF(REGEXMATCH(C47, ""m""), ""4"","""")"),"4")</f>
        <v>4</v>
      </c>
      <c r="GI47" s="246" t="str">
        <f>IFERROR(__xludf.DUMMYFUNCTION("IF(REGEXMATCH(C47, ""M""), ""#4"","""")"),"")</f>
        <v/>
      </c>
      <c r="GJ47" s="245" t="str">
        <f>IFERROR(__xludf.DUMMYFUNCTION("IF(REGEXMATCH(C47, ""P""), ""5"","""")"),"5")</f>
        <v>5</v>
      </c>
      <c r="GK47" s="246" t="str">
        <f>IFERROR(__xludf.DUMMYFUNCTION("IF(REGEXMATCH(C47, ""d""), ""b6"","""")"),"b6")</f>
        <v>b6</v>
      </c>
      <c r="GL47" s="245" t="str">
        <f>IFERROR(__xludf.DUMMYFUNCTION("IF(REGEXMATCH(C47, ""D""), ""6"","""")"),"")</f>
        <v/>
      </c>
      <c r="GM47" s="245" t="str">
        <f>IFERROR(__xludf.DUMMYFUNCTION("IF(REGEXMATCH(C47, ""n""), ""b7"","""")"),"b7")</f>
        <v>b7</v>
      </c>
      <c r="GN47" s="246" t="str">
        <f>IFERROR(__xludf.DUMMYFUNCTION("IF(REGEXMATCH(C47, ""N""), ""7"","""")"),"")</f>
        <v/>
      </c>
      <c r="GO47" s="249" t="str">
        <f>IFERROR(__xludf.DUMMYFUNCTION("IF(REGEXMATCH(C47, ""S""), ""8"","""")"),"8")</f>
        <v>8</v>
      </c>
      <c r="GP47" s="244" t="str">
        <f>IFERROR(__xludf.DUMMYFUNCTION("IF(REGEXMATCH(C47, ""S""), ""S"","""")"),"S")</f>
        <v>S</v>
      </c>
      <c r="GQ47" s="294" t="str">
        <f>IFERROR(__xludf.DUMMYFUNCTION("IF(REGEXMATCH(C47, ""r""), ""R1"","""")"),"R1")</f>
        <v>R1</v>
      </c>
      <c r="GR47" s="295" t="str">
        <f>IFERROR(__xludf.DUMMYFUNCTION("IF(REGEXMATCH(C47, ""R""), ""R2"","""")"),"")</f>
        <v/>
      </c>
      <c r="GS47" s="295" t="str">
        <f>IFERROR(__xludf.DUMMYFUNCTION("IF(REGEXMATCH(C47, ""g""), ""G2"","""")"),"G2")</f>
        <v>G2</v>
      </c>
      <c r="GT47" s="294" t="str">
        <f>IFERROR(__xludf.DUMMYFUNCTION("IF(REGEXMATCH(C47, ""G""), ""G3"","""")"),"")</f>
        <v/>
      </c>
      <c r="GU47" s="294" t="str">
        <f>IFERROR(__xludf.DUMMYFUNCTION("IF(REGEXMATCH(C47, ""m""), ""M1"","""")"),"M1")</f>
        <v>M1</v>
      </c>
      <c r="GV47" s="295" t="str">
        <f>IFERROR(__xludf.DUMMYFUNCTION("IF(REGEXMATCH(C47, ""M""), ""M2"","""")"),"")</f>
        <v/>
      </c>
      <c r="GW47" s="294" t="str">
        <f>IFERROR(__xludf.DUMMYFUNCTION("IF(REGEXMATCH(C47, ""P""), ""P"","""")"),"P")</f>
        <v>P</v>
      </c>
      <c r="GX47" s="295" t="str">
        <f>IFERROR(__xludf.DUMMYFUNCTION("IF(REGEXMATCH(C47, ""d""), ""D1"","""")"),"D1")</f>
        <v>D1</v>
      </c>
      <c r="GY47" s="294" t="str">
        <f>IFERROR(__xludf.DUMMYFUNCTION("IF(REGEXMATCH(C47, ""D""), ""D2"","""")"),"")</f>
        <v/>
      </c>
      <c r="GZ47" s="294" t="str">
        <f>IFERROR(__xludf.DUMMYFUNCTION("IF(REGEXMATCH(C47, ""n""), ""N2"","""")"),"N2")</f>
        <v>N2</v>
      </c>
      <c r="HA47" s="295" t="str">
        <f>IFERROR(__xludf.DUMMYFUNCTION("IF(REGEXMATCH(C47, ""N""), ""N3"","""")"),"")</f>
        <v/>
      </c>
      <c r="HB47" s="249" t="str">
        <f>IFERROR(__xludf.DUMMYFUNCTION("IF(REGEXMATCH(C47, ""S""), ""S"","""")"),"S")</f>
        <v>S</v>
      </c>
      <c r="HC47" s="331" t="str">
        <f t="shared" si="95"/>
        <v>S</v>
      </c>
      <c r="HD47" s="332" t="str">
        <f t="shared" si="96"/>
        <v/>
      </c>
      <c r="HE47" s="332" t="str">
        <f t="shared" si="97"/>
        <v>R</v>
      </c>
      <c r="HF47" s="332" t="str">
        <f t="shared" si="98"/>
        <v/>
      </c>
      <c r="HG47" s="332" t="str">
        <f t="shared" si="99"/>
        <v>G</v>
      </c>
      <c r="HH47" s="332" t="str">
        <f t="shared" si="100"/>
        <v>m</v>
      </c>
      <c r="HI47" s="332" t="str">
        <f t="shared" si="101"/>
        <v/>
      </c>
      <c r="HJ47" s="332" t="str">
        <f t="shared" si="102"/>
        <v>P</v>
      </c>
      <c r="HK47" s="332" t="str">
        <f t="shared" si="103"/>
        <v/>
      </c>
      <c r="HL47" s="332" t="str">
        <f t="shared" si="104"/>
        <v>D</v>
      </c>
      <c r="HM47" s="332" t="str">
        <f t="shared" si="105"/>
        <v/>
      </c>
      <c r="HN47" s="332" t="str">
        <f t="shared" si="106"/>
        <v>N</v>
      </c>
      <c r="HO47" s="343" t="str">
        <f t="shared" si="107"/>
        <v>S</v>
      </c>
      <c r="HP47" s="331" t="str">
        <f t="shared" si="108"/>
        <v>o</v>
      </c>
      <c r="HQ47" s="332" t="str">
        <f t="shared" si="109"/>
        <v>o</v>
      </c>
      <c r="HR47" s="332" t="str">
        <f t="shared" si="110"/>
        <v>•</v>
      </c>
      <c r="HS47" s="332" t="str">
        <f t="shared" si="111"/>
        <v>o</v>
      </c>
      <c r="HT47" s="332" t="str">
        <f t="shared" si="112"/>
        <v>•</v>
      </c>
      <c r="HU47" s="332" t="str">
        <f t="shared" si="113"/>
        <v>o</v>
      </c>
      <c r="HV47" s="332" t="str">
        <f t="shared" si="114"/>
        <v>•</v>
      </c>
      <c r="HW47" s="332" t="str">
        <f t="shared" si="115"/>
        <v>o</v>
      </c>
      <c r="HX47" s="332" t="str">
        <f t="shared" si="116"/>
        <v>o</v>
      </c>
      <c r="HY47" s="332" t="str">
        <f t="shared" si="117"/>
        <v>•</v>
      </c>
      <c r="HZ47" s="332" t="str">
        <f t="shared" si="118"/>
        <v>o</v>
      </c>
      <c r="IA47" s="332" t="str">
        <f t="shared" si="119"/>
        <v>•</v>
      </c>
      <c r="IB47" s="338" t="str">
        <f t="shared" si="120"/>
        <v>o</v>
      </c>
      <c r="IC47" s="331" t="str">
        <f t="shared" si="121"/>
        <v>•</v>
      </c>
      <c r="ID47" s="332" t="str">
        <f t="shared" si="122"/>
        <v>•</v>
      </c>
      <c r="IE47" s="332" t="str">
        <f t="shared" si="123"/>
        <v>o</v>
      </c>
      <c r="IF47" s="332" t="str">
        <f t="shared" si="124"/>
        <v>•</v>
      </c>
      <c r="IG47" s="332" t="str">
        <f t="shared" si="125"/>
        <v>o</v>
      </c>
      <c r="IH47" s="332" t="str">
        <f t="shared" si="126"/>
        <v>•</v>
      </c>
      <c r="II47" s="332" t="str">
        <f t="shared" si="127"/>
        <v>o</v>
      </c>
      <c r="IJ47" s="332" t="str">
        <f t="shared" si="128"/>
        <v>•</v>
      </c>
      <c r="IK47" s="332" t="str">
        <f t="shared" si="129"/>
        <v>•</v>
      </c>
      <c r="IL47" s="332" t="str">
        <f t="shared" si="130"/>
        <v>o</v>
      </c>
      <c r="IM47" s="332" t="str">
        <f t="shared" si="131"/>
        <v>•</v>
      </c>
      <c r="IN47" s="332" t="str">
        <f t="shared" si="132"/>
        <v>o</v>
      </c>
      <c r="IO47" s="338" t="str">
        <f t="shared" si="133"/>
        <v>•</v>
      </c>
      <c r="IP47" s="346" t="b">
        <f t="shared" si="134"/>
        <v>0</v>
      </c>
      <c r="IQ47" s="347" t="b">
        <f t="shared" si="135"/>
        <v>0</v>
      </c>
      <c r="IR47" s="347" t="b">
        <f t="shared" si="136"/>
        <v>0</v>
      </c>
      <c r="IS47" s="347" t="b">
        <f t="shared" si="137"/>
        <v>0</v>
      </c>
      <c r="IT47" s="347" t="b">
        <f t="shared" si="138"/>
        <v>0</v>
      </c>
      <c r="IU47" s="347" t="b">
        <f t="shared" si="139"/>
        <v>0</v>
      </c>
      <c r="IV47" s="347" t="b">
        <f t="shared" si="140"/>
        <v>0</v>
      </c>
      <c r="IW47" s="347" t="b">
        <f t="shared" si="141"/>
        <v>1</v>
      </c>
      <c r="IX47" s="347" t="b">
        <f t="shared" si="142"/>
        <v>0</v>
      </c>
      <c r="IY47" s="347" t="b">
        <f t="shared" si="143"/>
        <v>0</v>
      </c>
      <c r="IZ47" s="347" t="b">
        <f t="shared" si="144"/>
        <v>0</v>
      </c>
      <c r="JA47" s="347" t="b">
        <f t="shared" si="145"/>
        <v>0</v>
      </c>
      <c r="JB47" s="353" t="b">
        <f t="shared" si="146"/>
        <v>0</v>
      </c>
      <c r="JC47" s="354" t="str">
        <f t="shared" si="147"/>
        <v/>
      </c>
      <c r="JD47" s="355" t="str">
        <f t="shared" si="148"/>
        <v/>
      </c>
      <c r="JE47" s="355" t="str">
        <f t="shared" si="149"/>
        <v/>
      </c>
      <c r="JF47" s="355" t="str">
        <f t="shared" si="150"/>
        <v/>
      </c>
      <c r="JG47" s="355" t="str">
        <f t="shared" si="151"/>
        <v/>
      </c>
      <c r="JH47" s="355" t="str">
        <f t="shared" si="152"/>
        <v/>
      </c>
      <c r="JI47" s="355" t="str">
        <f t="shared" si="153"/>
        <v/>
      </c>
      <c r="JJ47" s="355" t="str">
        <f t="shared" si="154"/>
        <v>Pa, </v>
      </c>
      <c r="JK47" s="355" t="str">
        <f t="shared" si="155"/>
        <v/>
      </c>
      <c r="JL47" s="355" t="str">
        <f t="shared" si="156"/>
        <v/>
      </c>
      <c r="JM47" s="355" t="str">
        <f t="shared" si="157"/>
        <v/>
      </c>
      <c r="JN47" s="355" t="str">
        <f t="shared" si="158"/>
        <v/>
      </c>
      <c r="JO47" s="359" t="str">
        <f t="shared" si="159"/>
        <v/>
      </c>
      <c r="JP47" s="346" t="b">
        <f t="shared" si="160"/>
        <v>0</v>
      </c>
      <c r="JQ47" s="347" t="b">
        <f t="shared" si="161"/>
        <v>0</v>
      </c>
      <c r="JR47" s="347" t="b">
        <f t="shared" si="162"/>
        <v>0</v>
      </c>
      <c r="JS47" s="347" t="b">
        <f t="shared" si="163"/>
        <v>0</v>
      </c>
      <c r="JT47" s="347" t="b">
        <f t="shared" si="164"/>
        <v>0</v>
      </c>
      <c r="JU47" s="347" t="b">
        <f t="shared" si="165"/>
        <v>0</v>
      </c>
      <c r="JV47" s="347" t="b">
        <f t="shared" si="166"/>
        <v>0</v>
      </c>
      <c r="JW47" s="347" t="b">
        <f t="shared" si="167"/>
        <v>0</v>
      </c>
      <c r="JX47" s="347" t="b">
        <f t="shared" si="168"/>
        <v>0</v>
      </c>
      <c r="JY47" s="347" t="b">
        <f t="shared" si="169"/>
        <v>0</v>
      </c>
      <c r="JZ47" s="347" t="b">
        <f t="shared" si="170"/>
        <v>0</v>
      </c>
      <c r="KA47" s="347" t="b">
        <f t="shared" si="171"/>
        <v>0</v>
      </c>
      <c r="KB47" s="365" t="b">
        <f t="shared" si="172"/>
        <v>0</v>
      </c>
      <c r="KC47" s="354" t="str">
        <f t="shared" si="173"/>
        <v/>
      </c>
      <c r="KD47" s="355" t="str">
        <f t="shared" si="174"/>
        <v/>
      </c>
      <c r="KE47" s="355" t="str">
        <f t="shared" si="175"/>
        <v/>
      </c>
      <c r="KF47" s="355" t="str">
        <f t="shared" si="176"/>
        <v/>
      </c>
      <c r="KG47" s="355" t="str">
        <f t="shared" si="177"/>
        <v/>
      </c>
      <c r="KH47" s="355" t="str">
        <f t="shared" si="178"/>
        <v/>
      </c>
      <c r="KI47" s="355" t="str">
        <f t="shared" si="179"/>
        <v/>
      </c>
      <c r="KJ47" s="355" t="str">
        <f t="shared" si="180"/>
        <v/>
      </c>
      <c r="KK47" s="355" t="str">
        <f t="shared" si="181"/>
        <v/>
      </c>
      <c r="KL47" s="355" t="str">
        <f t="shared" si="182"/>
        <v/>
      </c>
      <c r="KM47" s="355" t="str">
        <f t="shared" si="183"/>
        <v/>
      </c>
      <c r="KN47" s="355" t="str">
        <f t="shared" si="184"/>
        <v/>
      </c>
      <c r="KO47" s="359"/>
      <c r="KP47" s="378"/>
      <c r="KQ47" s="379" t="s">
        <v>595</v>
      </c>
      <c r="KR47" s="380" t="s">
        <v>1325</v>
      </c>
      <c r="KS47" s="381" t="str">
        <f t="shared" si="286"/>
        <v>S-r-g-m-P-d-n-S</v>
      </c>
      <c r="KT47" s="382">
        <f t="shared" si="186"/>
        <v>7</v>
      </c>
      <c r="KU47" s="383">
        <f t="shared" si="187"/>
        <v>7</v>
      </c>
      <c r="KV47" s="381" t="str">
        <f t="shared" si="205"/>
        <v>S-n-d-P-m-g-r-S</v>
      </c>
      <c r="KW47" s="382">
        <f t="shared" si="189"/>
        <v>7</v>
      </c>
      <c r="KX47" s="384">
        <f t="shared" si="190"/>
        <v>7</v>
      </c>
      <c r="KY47" s="382">
        <f t="shared" ref="KY47:KZ47" si="289">KW47-KT47</f>
        <v>0</v>
      </c>
      <c r="KZ47" s="369">
        <f t="shared" si="289"/>
        <v>0</v>
      </c>
      <c r="LA47" s="385" t="str">
        <f t="shared" si="192"/>
        <v>✔</v>
      </c>
      <c r="LB47" s="340" t="str">
        <f>IFERROR(__xludf.DUMMYFUNCTION("JOIN("""",ArrayFormula(MID(KS47,LEN(KS47)-SEQUENCE(1,LEN(KS47))+1,1)))"),"S-n-d-P-m-g-r-S")</f>
        <v>S-n-d-P-m-g-r-S</v>
      </c>
      <c r="LC47" s="373" t="str">
        <f>IFERROR(__xludf.DUMMYFUNCTION("JOIN("""",ArrayFormula(MID(KV47,LEN(KV47)-SEQUENCE(1,LEN(KV47))+1,1)))"),"S-r-g-m-P-d-n-S")</f>
        <v>S-r-g-m-P-d-n-S</v>
      </c>
      <c r="LD47" s="373" t="str">
        <f t="shared" si="193"/>
        <v>SrgmPdnS</v>
      </c>
      <c r="LE47" s="339" t="str">
        <f t="shared" si="194"/>
        <v>SrgmPdnS</v>
      </c>
      <c r="LF47" s="386" t="str">
        <f>IFERROR(__xludf.DUMMYFUNCTION("SUBSTITUTE(SUBSTITUTE(CONCATENATE(JOIN("""",LH47:LT47)),""1"",""""),""2"","""")"),"SrgmPdnS")</f>
        <v>SrgmPdnS</v>
      </c>
      <c r="LG47" s="369" t="str">
        <f t="shared" si="195"/>
        <v>✔</v>
      </c>
      <c r="LH47" s="387" t="str">
        <f>IFERROR(__xludf.DUMMYFUNCTION("IF(REGEXMATCH(LD47, ""S""), ""S"",IF(REGEXMATCH(LE47, ""S""), ""S"",""""))"),"S")</f>
        <v>S</v>
      </c>
      <c r="LI47" s="299" t="str">
        <f>IFERROR(__xludf.DUMMYFUNCTION("IF(REGEXMATCH(LD47, ""r""), ""r1"",IF(REGEXMATCH(LE47, ""r""), ""r2"",""""))"),"r1")</f>
        <v>r1</v>
      </c>
      <c r="LJ47" s="299" t="str">
        <f>IFERROR(__xludf.DUMMYFUNCTION("IF(REGEXMATCH(LD47, ""R""), ""R1"",IF(REGEXMATCH(LE47, ""R""), ""R2"",""""))"),"")</f>
        <v/>
      </c>
      <c r="LK47" s="299" t="str">
        <f>IFERROR(__xludf.DUMMYFUNCTION("IF(REGEXMATCH(LD47, ""g""), ""g1"",IF(REGEXMATCH(LE47, ""g""), ""g2"",""""))"),"g1")</f>
        <v>g1</v>
      </c>
      <c r="LL47" s="299" t="str">
        <f>IFERROR(__xludf.DUMMYFUNCTION("IF(REGEXMATCH(LD47, ""G""), ""G1"",IF(REGEXMATCH(LE47, ""G""), ""G2"",""""))"),"")</f>
        <v/>
      </c>
      <c r="LM47" s="299" t="str">
        <f>IFERROR(__xludf.DUMMYFUNCTION("IF(REGEXMATCH(LD47, ""m""), ""m1"",IF(REGEXMATCH(LE47, ""m""), ""m2"",""""))"),"m1")</f>
        <v>m1</v>
      </c>
      <c r="LN47" s="299" t="str">
        <f>IFERROR(__xludf.DUMMYFUNCTION("IF(REGEXMATCH(LD47, ""M""), ""M1"",IF(REGEXMATCH(LE47, ""M""), ""M2"",""""))"),"")</f>
        <v/>
      </c>
      <c r="LO47" s="299" t="str">
        <f>IFERROR(__xludf.DUMMYFUNCTION("IF(REGEXMATCH(LD47, ""P""), ""P1"",IF(REGEXMATCH(LE47, ""P""), ""P2"",""""))"),"P1")</f>
        <v>P1</v>
      </c>
      <c r="LP47" s="299" t="str">
        <f>IFERROR(__xludf.DUMMYFUNCTION("IF(REGEXMATCH(LD47, ""d""), ""d1"",IF(REGEXMATCH(LE47, ""d""), ""d2"",""""))"),"d1")</f>
        <v>d1</v>
      </c>
      <c r="LQ47" s="299" t="str">
        <f>IFERROR(__xludf.DUMMYFUNCTION("IF(REGEXMATCH(LD47, ""D""), ""D1"",IF(REGEXMATCH(LE47, ""D""), ""D2"",""""))"),"")</f>
        <v/>
      </c>
      <c r="LR47" s="299" t="str">
        <f>IFERROR(__xludf.DUMMYFUNCTION("IF(REGEXMATCH(LD47, ""n""), ""n1"",IF(REGEXMATCH(LE47, ""n""), ""n2"",""""))"),"n1")</f>
        <v>n1</v>
      </c>
      <c r="LS47" s="299" t="str">
        <f>IFERROR(__xludf.DUMMYFUNCTION("IF(REGEXMATCH(LD47, ""N""), ""N1"",IF(REGEXMATCH(LE47, ""N""), ""N2"",""""))"),"")</f>
        <v/>
      </c>
      <c r="LT47" s="388" t="str">
        <f>IFERROR(__xludf.DUMMYFUNCTION("IF(REGEXMATCH(LD47, ""S""), ""S"",IF(REGEXMATCH(LE47, ""S""), ""S"",""""))"),"S")</f>
        <v>S</v>
      </c>
      <c r="LU47" s="389">
        <f t="shared" si="196"/>
        <v>1</v>
      </c>
      <c r="LV47" s="378"/>
      <c r="LW47" s="369"/>
      <c r="LX47" s="369"/>
    </row>
    <row r="48" ht="18.0" customHeight="1">
      <c r="A48" s="298" t="s">
        <v>1326</v>
      </c>
      <c r="B48" s="222" t="s">
        <v>912</v>
      </c>
      <c r="C48" s="233" t="str">
        <f t="shared" si="7"/>
        <v>SrGmMPdDNS</v>
      </c>
      <c r="D48" s="234" t="str">
        <f>IFERROR(__xludf.DUMMYFUNCTION("IF(REGEXMATCH(C48, ""S""), ""S"","""")"),"S")</f>
        <v>S</v>
      </c>
      <c r="E48" s="236" t="str">
        <f>IFERROR(__xludf.DUMMYFUNCTION("IF(REGEXMATCH(C48, ""r""), ""r"","""")"),"r")</f>
        <v>r</v>
      </c>
      <c r="F48" s="237" t="str">
        <f>IFERROR(__xludf.DUMMYFUNCTION("IF(REGEXMATCH(C48, ""R""), ""R"","""")"),"")</f>
        <v/>
      </c>
      <c r="G48" s="237" t="str">
        <f>IFERROR(__xludf.DUMMYFUNCTION("IF(REGEXMATCH(C48, ""g""), ""g"","""")"),"")</f>
        <v/>
      </c>
      <c r="H48" s="236" t="str">
        <f>IFERROR(__xludf.DUMMYFUNCTION("IF(REGEXMATCH(C48, ""G""), ""G"","""")"),"G")</f>
        <v>G</v>
      </c>
      <c r="I48" s="236" t="str">
        <f>IFERROR(__xludf.DUMMYFUNCTION("IF(REGEXMATCH(C48, ""m""), ""m"","""")"),"m")</f>
        <v>m</v>
      </c>
      <c r="J48" s="237" t="str">
        <f>IFERROR(__xludf.DUMMYFUNCTION("IF(REGEXMATCH(C48, ""M""), ""M"","""")"),"M")</f>
        <v>M</v>
      </c>
      <c r="K48" s="236" t="str">
        <f>IFERROR(__xludf.DUMMYFUNCTION("IF(REGEXMATCH(C48, ""P""), ""P"","""")"),"P")</f>
        <v>P</v>
      </c>
      <c r="L48" s="237" t="str">
        <f>IFERROR(__xludf.DUMMYFUNCTION("IF(REGEXMATCH(C48, ""d""), ""d"","""")"),"d")</f>
        <v>d</v>
      </c>
      <c r="M48" s="236" t="str">
        <f>IFERROR(__xludf.DUMMYFUNCTION("IF(REGEXMATCH(C48, ""D""), ""D"","""")"),"D")</f>
        <v>D</v>
      </c>
      <c r="N48" s="236" t="str">
        <f>IFERROR(__xludf.DUMMYFUNCTION("IF(REGEXMATCH(C48, ""n""), ""n"","""")"),"")</f>
        <v/>
      </c>
      <c r="O48" s="237" t="str">
        <f>IFERROR(__xludf.DUMMYFUNCTION("IF(REGEXMATCH(C48, ""N""), ""N"","""")"),"N")</f>
        <v>N</v>
      </c>
      <c r="P48" s="238" t="str">
        <f>IFERROR(__xludf.DUMMYFUNCTION("IF(REGEXMATCH(C48, ""S""), ""S"","""")"),"S")</f>
        <v>S</v>
      </c>
      <c r="Q48" s="239" t="str">
        <f>IFERROR(__xludf.DUMMYFUNCTION("SUBSTITUTE(CONCATENATE(JOIN(""-"",D48:J48)),""-"","""")"),"SrGmM")</f>
        <v>SrGmM</v>
      </c>
      <c r="R48" s="229" t="str">
        <f>IFERROR(__xludf.DUMMYFUNCTION("SUBSTITUTE(CONCATENATE(JOIN(""-"",K48:P48)),""-"","""")"),"PdDNS")</f>
        <v>PdDNS</v>
      </c>
      <c r="S48" s="282" t="str">
        <f t="shared" si="8"/>
        <v>S-R-G-M</v>
      </c>
      <c r="T48" s="282" t="str">
        <f t="shared" si="9"/>
        <v>P-D-N-S</v>
      </c>
      <c r="U48" s="237" t="str">
        <f>IFERROR(__xludf.DUMMYFUNCTION("SUBSTITUTE(JOIN(""-"",S48,T48),""--"",""-"")"),"S-R-G-M-P-D-N-S")</f>
        <v>S-R-G-M-P-D-N-S</v>
      </c>
      <c r="V48" s="309" t="str">
        <f t="shared" si="10"/>
        <v>rGmMdDN</v>
      </c>
      <c r="W48" s="244" t="str">
        <f>IFERROR(__xludf.DUMMYFUNCTION("IF(REGEXMATCH(C48, ""S""), ""0"","""")"),"0")</f>
        <v>0</v>
      </c>
      <c r="X48" s="245" t="str">
        <f>IFERROR(__xludf.DUMMYFUNCTION("IF(REGEXMATCH(C48, ""r""), ""1"","""")"),"1")</f>
        <v>1</v>
      </c>
      <c r="Y48" s="246" t="str">
        <f>IFERROR(__xludf.DUMMYFUNCTION("IF(REGEXMATCH(C48, ""R""), ""2"","""")"),"")</f>
        <v/>
      </c>
      <c r="Z48" s="246" t="str">
        <f>IFERROR(__xludf.DUMMYFUNCTION("IF(REGEXMATCH(C48, ""g""), ""3"","""")"),"")</f>
        <v/>
      </c>
      <c r="AA48" s="245" t="str">
        <f>IFERROR(__xludf.DUMMYFUNCTION("IF(REGEXMATCH(C48, ""G""), ""4"","""")"),"4")</f>
        <v>4</v>
      </c>
      <c r="AB48" s="245" t="str">
        <f>IFERROR(__xludf.DUMMYFUNCTION("IF(REGEXMATCH(C48, ""m""), ""5"","""")"),"5")</f>
        <v>5</v>
      </c>
      <c r="AC48" s="246" t="str">
        <f>IFERROR(__xludf.DUMMYFUNCTION("IF(REGEXMATCH(C48, ""M""), ""6"","""")"),"6")</f>
        <v>6</v>
      </c>
      <c r="AD48" s="245" t="str">
        <f>IFERROR(__xludf.DUMMYFUNCTION("IF(REGEXMATCH(C48, ""P""), ""7"","""")"),"7")</f>
        <v>7</v>
      </c>
      <c r="AE48" s="246" t="str">
        <f>IFERROR(__xludf.DUMMYFUNCTION("IF(REGEXMATCH(C48, ""d""), ""8"","""")"),"8")</f>
        <v>8</v>
      </c>
      <c r="AF48" s="245" t="str">
        <f>IFERROR(__xludf.DUMMYFUNCTION("IF(REGEXMATCH(C48, ""D""), ""9"","""")"),"9")</f>
        <v>9</v>
      </c>
      <c r="AG48" s="245" t="str">
        <f>IFERROR(__xludf.DUMMYFUNCTION("IF(REGEXMATCH(C48, ""n""), ""10"","""")"),"")</f>
        <v/>
      </c>
      <c r="AH48" s="246" t="str">
        <f>IFERROR(__xludf.DUMMYFUNCTION("IF(REGEXMATCH(C48, ""N""), ""11"","""")"),"11")</f>
        <v>11</v>
      </c>
      <c r="AI48" s="249" t="str">
        <f>IFERROR(__xludf.DUMMYFUNCTION("IF(REGEXMATCH(C48, ""S""), ""0"","""")"),"0")</f>
        <v>0</v>
      </c>
      <c r="AJ48" s="313" t="str">
        <f t="shared" si="11"/>
        <v>T</v>
      </c>
      <c r="AK48" s="313" t="str">
        <f t="shared" si="12"/>
        <v>T</v>
      </c>
      <c r="AL48" s="313" t="str">
        <f t="shared" si="13"/>
        <v>-</v>
      </c>
      <c r="AM48" s="313" t="str">
        <f t="shared" si="14"/>
        <v>-</v>
      </c>
      <c r="AN48" s="313" t="str">
        <f t="shared" si="15"/>
        <v>-</v>
      </c>
      <c r="AO48" s="314" t="str">
        <f t="shared" si="16"/>
        <v>T</v>
      </c>
      <c r="AP48" s="316">
        <f t="shared" si="17"/>
        <v>3</v>
      </c>
      <c r="AQ48" s="319" t="str">
        <f t="shared" si="18"/>
        <v>-</v>
      </c>
      <c r="AR48" s="320">
        <f t="shared" si="19"/>
        <v>0</v>
      </c>
      <c r="AS48" s="250" t="str">
        <f>IFERROR(__xludf.DUMMYFUNCTION("SUBSTITUTE(SUBSTITUTE(CONCATENATE(JOIN("""",FP48:GA48)),""|"",""x""),""-"",""o"")"),"xxooxxxxxxox")</f>
        <v>xxooxxxxxxox</v>
      </c>
      <c r="AT48" s="323" t="str">
        <f>IFERROR(__xludf.DUMMYFUNCTION("JOIN("""",AS48,AS48)"),"xxooxxxxxxoxxxooxxxxxxox")</f>
        <v>xxooxxxxxxoxxxooxxxxxxox</v>
      </c>
      <c r="AU48" s="256" t="str">
        <f>IFERROR(__xludf.DUMMYFUNCTION("JOIN("""",ArrayFormula(MID(AS48,LEN(AS48)-SEQUENCE(1,LEN(AS48))+1,1)))"),"xoxxxxxxooxx")</f>
        <v>xoxxxxxxooxx</v>
      </c>
      <c r="AV48" s="256" t="str">
        <f>IFERROR(__xludf.DUMMYFUNCTION("LEFT(CONCATENATE(""x"",JOIN("""",ArrayFormula(MID(AS48,LEN(AS48)-SEQUENCE(1,LEN(AS48))+1,1)))),12)"),"xxoxxxxxxoox")</f>
        <v>xxoxxxxxxoox</v>
      </c>
      <c r="AW48" s="327" t="str">
        <f>IFERROR(__xludf.DUMMYFUNCTION("JOIN("""",AU48,AU48)"),"xoxxxxxxooxxxoxxxxxxooxx")</f>
        <v>xoxxxxxxooxxxoxxxxxxooxx</v>
      </c>
      <c r="AX48" s="239" t="str">
        <f>IFERROR(__xludf.DUMMYFUNCTION("IF(REGEXMATCH(AW48,AS48),""✔"",""-"")"),"-")</f>
        <v>-</v>
      </c>
      <c r="AY48" s="330" t="str">
        <f t="shared" si="20"/>
        <v>-</v>
      </c>
      <c r="AZ48" s="260" t="str">
        <f t="shared" si="21"/>
        <v>#REF!</v>
      </c>
      <c r="BA48" s="333" t="str">
        <f t="shared" si="22"/>
        <v>xxooxxx</v>
      </c>
      <c r="BB48" s="334" t="str">
        <f t="shared" si="23"/>
        <v>xxxoxx</v>
      </c>
      <c r="BC48" s="335" t="str">
        <f t="shared" si="236"/>
        <v>-</v>
      </c>
      <c r="BD48" s="336" t="str">
        <f t="shared" si="25"/>
        <v>Bhankar: 'xxooxxx' + 'xxxoxx'</v>
      </c>
      <c r="BE48" s="337">
        <f>IFERROR(__xludf.DUMMYFUNCTION("COUNTUNIQUE(FILTER(AT:AT,REGEXMATCH(AT:AT,AS48)))-1"),0.0)</f>
        <v>0</v>
      </c>
      <c r="BF48" s="261" t="str">
        <f>IFERROR(__xludf.DUMMYFUNCTION("IF(BI48=0,""(n/a)"",IF(BJ48=2,""(PAIR)"",IF(REGEXMATCH(AT48,""xoxoxxoxoxox""),""Bilawal"",IF(REGEXMATCH(AT48,""xoxoxooxoxoo""),""Bhupali"",IF(REGEXMATCH(AT48,""xoxoxxoxxoxo""),""Charukeshi"",IF(REGEXMATCH(AT48,""xoxoooxxoxxo""),""Kameshwari"",IF(REGEXMATC"&amp;"H(AT48,""xoxoxooxoxox""),""Shankara"",IF(REGEXMATCH(AT48,""xxooxoxxxoox""),""Basant"",IF(REGEXMATCH(AT48,""xoxoxxxxoxox""),""Bihag"",IF(REGEXMATCH(AT48,""xoxxxxoxoxxx""),""Pilu"",IF(REGEXMATCH(AT48,""xoxxoxoxxoox""),""Kirwani"",IF(REGEXMATCH(AT48,""xoxxox"&amp;"oxoxxx""),""Mk.Malhar"",IF(REGEXMATCH(AT48,""xxooxxoxxoox""),""Bhairav"",IF(REGEXMATCH(AT48,""xxoxooxxxoox""),""Todi"",IF(REGEXMATCH(AT48,""xxooxoxooxox""),""Marwa"",IF(REGEXMATCH(AT48,""xxoooxoxxooo""),""Gunkali"",IF(REGEXMATCH(AT48,""xoxoxxoxxoox""),""N"&amp;"at Bhairav"",IF(REGEXMATCH(AT48,""xoxxoooxoxoo""),""Shivranjani"",IF(REGEXMATCH(AT48,""xooxxxoxooxo""),""Jog"",IF(REGEXMATCH(AT48,""xxooxoxoxoox""),""Hemshri"",IF(REGEXMATCH(AT48,""xoooxooxoxxo""),""Kalavati"",IF(REGEXMATCH(AT48,""xxoxoxxoxoox""),""Kedar"&amp;""",IF(REGEXMATCH(AT48,""xoxxxxoxooxx""),""Gara"",IF(REGEXMATCH(AT48,""xooxoxooxoox""),""Chandrakauns"",IF(REGEXMATCH(AT48,""xoxxxxoxxxox""),""Mand"",IF(REGEXMATCH(AT48,""xoxxxxoxoxox""),""Hanskinkini"",IF(REGEXMATCH(AT48,""xxooxxoxooxo""),""Lilavati"",IF("&amp;"REGEXMATCH(AT48,""xooxoxoooxox""),""Rajeshwari"",IF(REGEXMATCH(AT48,""xoooxxoxoxxx""),""Khokar"",IF(REGEXMATCH(AT48,""xxooxoxxxxox""),""Maligoura"",""-""))))))))))))))))))))))))))))))"),"(n/a)")</f>
        <v>(n/a)</v>
      </c>
      <c r="BG48" s="239" t="str">
        <f t="shared" si="26"/>
        <v>#REF!</v>
      </c>
      <c r="BH48" s="239">
        <f>IFERROR(__xludf.DUMMYFUNCTION("COUNTUNIQUE(FE48:FO48)-1"),8.0)</f>
        <v>8</v>
      </c>
      <c r="BI48" s="239">
        <f>IFERROR(__xludf.DUMMYFUNCTION("COUNTUNIQUE(FILTER(AT:AT,REGEXMATCH(AT:AT,AS48)))-1"),0.0)</f>
        <v>0</v>
      </c>
      <c r="BJ48" s="239">
        <f>IFERROR(__xludf.DUMMYFUNCTION("COUNTA(FILTER(AT:AT,REGEXMATCH(AT:AT,AS48)))"),5.0)</f>
        <v>5</v>
      </c>
      <c r="BK48" s="341">
        <f>IFERROR(__xludf.DUMMYFUNCTION("COUNTA(FILTER(AT:AT,REGEXMATCH(AT:AT,AS48)))-AR48"),5.0)</f>
        <v>5</v>
      </c>
      <c r="BL48" s="276" t="str">
        <f>IFERROR(__xludf.DUMMYFUNCTION("IF(AS48=""oooooooooooo"",""-"",IF(REGEXMATCH(AT48,""xx""), ""Hemi."", ""Anhemi.""))"),"Hemi.")</f>
        <v>Hemi.</v>
      </c>
      <c r="BM48" s="282" t="str">
        <f>IFERROR(__xludf.DUMMYFUNCTION("IF(AS48=""oooooooooooo"",""-"",IF(REGEXMATCH(AT48,""xxx""), ""Cohem."", ""-""))"),"Cohem.")</f>
        <v>Cohem.</v>
      </c>
      <c r="BN48" s="282" t="str">
        <f>IFERROR(__xludf.DUMMYFUNCTION("IF(AS48=""oooooooooooo"",""-"",IF(REGEXMATCH(AT48,""xxxx""), ""Co-Co."", ""-""))"),"Co-Co.")</f>
        <v>Co-Co.</v>
      </c>
      <c r="BO48" s="342" t="str">
        <f>IFERROR(__xludf.DUMMYFUNCTION("IF(AS48=""oooooooooooo"",""-"",IF(REGEXMATCH(AT48,""xxxxx""), ""CCC."", ""-""))"),"CCC.")</f>
        <v>CCC.</v>
      </c>
      <c r="BP48" s="344" t="str">
        <f t="shared" si="27"/>
        <v>-</v>
      </c>
      <c r="BQ48" s="282" t="str">
        <f>IFERROR(__xludf.DUMMYFUNCTION("IF(REGEXMATCH(JOIN(""-"",EU48:FD48),""TRUE""),""✔"",""-"")"),"-")</f>
        <v>-</v>
      </c>
      <c r="BR48" s="225">
        <f t="shared" si="28"/>
        <v>0</v>
      </c>
      <c r="BS48" s="345" t="str">
        <f>IFERROR(__xludf.DUMMYFUNCTION("SUBSTITUTE(SUBSTITUTE(SUBSTITUTE(SUBSTITUTE(CONCATENATE(JOIN(""-"",GC48:GO48)),""--"",""-""),""--"",""-""),""--"",""-""),""--"",""-"")"),"1-b2-3-4-#4-5-b6-6-7-8")</f>
        <v>1-b2-3-4-#4-5-b6-6-7-8</v>
      </c>
      <c r="BT48" s="299" t="str">
        <f>IFERROR(__xludf.DUMMYFUNCTION("SUBSTITUTE(SUBSTITUTE(SUBSTITUTE(SUBSTITUTE(CONCATENATE(JOIN(""-"",GP48:HB48)),""--"",""-""),""--"",""-""),""--"",""-""),""--"",""-"")"),"S-R1-G3-M1-M2-P-D1-D2-N3-S")</f>
        <v>S-R1-G3-M1-M2-P-D1-D2-N3-S</v>
      </c>
      <c r="BU48" s="348" t="str">
        <f t="shared" si="29"/>
        <v>C-Db-E-F-F#-G-Ab-A-B-C</v>
      </c>
      <c r="BV48" s="349" t="str">
        <f t="shared" si="30"/>
        <v>SRgnS</v>
      </c>
      <c r="BW48" s="350">
        <f t="shared" si="31"/>
        <v>0</v>
      </c>
      <c r="BX48" s="351">
        <f t="shared" si="32"/>
        <v>5</v>
      </c>
      <c r="BY48" s="352" t="s">
        <v>275</v>
      </c>
      <c r="BZ48" s="309" t="str">
        <f>IFERROR(__xludf.DUMMYFUNCTION("IF(REGEXMATCH(C48, ""S""), ""x"",""x"")"),"x")</f>
        <v>x</v>
      </c>
      <c r="CA48" s="245" t="str">
        <f>IFERROR(__xludf.DUMMYFUNCTION("IF(REGEXMATCH(C48, ""r""), ""o"",""x"")"),"o")</f>
        <v>o</v>
      </c>
      <c r="CB48" s="246" t="str">
        <f>IFERROR(__xludf.DUMMYFUNCTION("IF(REGEXMATCH(C48, ""R""), ""o"",""x"")"),"x")</f>
        <v>x</v>
      </c>
      <c r="CC48" s="246" t="str">
        <f>IFERROR(__xludf.DUMMYFUNCTION("IF(REGEXMATCH(C48, ""g""), ""o"",""x"")"),"x")</f>
        <v>x</v>
      </c>
      <c r="CD48" s="245" t="str">
        <f>IFERROR(__xludf.DUMMYFUNCTION("IF(REGEXMATCH(C48, ""G""), ""o"",""x"")"),"o")</f>
        <v>o</v>
      </c>
      <c r="CE48" s="245" t="str">
        <f>IFERROR(__xludf.DUMMYFUNCTION("IF(REGEXMATCH(C48, ""m""), ""o"",""x"")"),"o")</f>
        <v>o</v>
      </c>
      <c r="CF48" s="246" t="str">
        <f>IFERROR(__xludf.DUMMYFUNCTION("IF(REGEXMATCH(C48, ""M""), ""o"",""x"")"),"o")</f>
        <v>o</v>
      </c>
      <c r="CG48" s="245" t="str">
        <f>IFERROR(__xludf.DUMMYFUNCTION("IF(REGEXMATCH(C48, ""P""), ""o"",""x"")"),"o")</f>
        <v>o</v>
      </c>
      <c r="CH48" s="246" t="str">
        <f>IFERROR(__xludf.DUMMYFUNCTION("IF(REGEXMATCH(C48, ""d""), ""o"",""x"")"),"o")</f>
        <v>o</v>
      </c>
      <c r="CI48" s="245" t="str">
        <f>IFERROR(__xludf.DUMMYFUNCTION("IF(REGEXMATCH(C48, ""D""), ""o"",""x"")"),"o")</f>
        <v>o</v>
      </c>
      <c r="CJ48" s="245" t="str">
        <f>IFERROR(__xludf.DUMMYFUNCTION("IF(REGEXMATCH(C48, ""n""), ""o"",""x"")"),"x")</f>
        <v>x</v>
      </c>
      <c r="CK48" s="245" t="str">
        <f>IFERROR(__xludf.DUMMYFUNCTION("IF(REGEXMATCH(C48, ""N""), ""o"",""x"")"),"o")</f>
        <v>o</v>
      </c>
      <c r="CL48" s="356" t="str">
        <f>IFERROR(__xludf.DUMMYFUNCTION("IF(REGEXMATCH(C48, ""S""), ""x"",""x"")"),"x")</f>
        <v>x</v>
      </c>
      <c r="CM48" s="357" t="str">
        <f t="shared" si="33"/>
        <v>xoxxooooooxo</v>
      </c>
      <c r="CN48" s="358">
        <f t="shared" si="34"/>
        <v>0</v>
      </c>
      <c r="CO48" s="246" t="str">
        <f>IFERROR(__xludf.DUMMYFUNCTION("IF(REGEXMATCH($C48, ""S""), ""S"",""S"")"),"S")</f>
        <v>S</v>
      </c>
      <c r="CP48" s="246" t="str">
        <f>IFERROR(__xludf.DUMMYFUNCTION("IF(REGEXMATCH($C48, ""r""), """",""r"")"),"")</f>
        <v/>
      </c>
      <c r="CQ48" s="246" t="str">
        <f>IFERROR(__xludf.DUMMYFUNCTION("IF(REGEXMATCH($C48, ""R""), """",""R"")"),"R")</f>
        <v>R</v>
      </c>
      <c r="CR48" s="246" t="str">
        <f>IFERROR(__xludf.DUMMYFUNCTION("IF(REGEXMATCH($C48, ""g""), """",""g"")"),"g")</f>
        <v>g</v>
      </c>
      <c r="CS48" s="246" t="str">
        <f>IFERROR(__xludf.DUMMYFUNCTION("IF(REGEXMATCH($C48, ""G""), """",""G"")"),"")</f>
        <v/>
      </c>
      <c r="CT48" s="246" t="str">
        <f>IFERROR(__xludf.DUMMYFUNCTION("IF(REGEXMATCH($C48, ""m""), """",""m"")"),"")</f>
        <v/>
      </c>
      <c r="CU48" s="246" t="str">
        <f>IFERROR(__xludf.DUMMYFUNCTION("IF(REGEXMATCH($C48, ""M""), """",""M"")"),"")</f>
        <v/>
      </c>
      <c r="CV48" s="246" t="str">
        <f>IFERROR(__xludf.DUMMYFUNCTION("IF(REGEXMATCH($C48, ""P""), """",""P"")"),"")</f>
        <v/>
      </c>
      <c r="CW48" s="246" t="str">
        <f>IFERROR(__xludf.DUMMYFUNCTION("IF(REGEXMATCH($C48, ""d""), """",""d"")"),"")</f>
        <v/>
      </c>
      <c r="CX48" s="246" t="str">
        <f>IFERROR(__xludf.DUMMYFUNCTION("IF(REGEXMATCH($C48, ""D""), """",""D"")"),"")</f>
        <v/>
      </c>
      <c r="CY48" s="246" t="str">
        <f>IFERROR(__xludf.DUMMYFUNCTION("IF(REGEXMATCH($C48, ""n""), """",""n"")"),"n")</f>
        <v>n</v>
      </c>
      <c r="CZ48" s="246" t="str">
        <f>IFERROR(__xludf.DUMMYFUNCTION("IF(REGEXMATCH($C48, ""N""), """",""N"")"),"")</f>
        <v/>
      </c>
      <c r="DA48" s="246" t="str">
        <f>IFERROR(__xludf.DUMMYFUNCTION("IF(REGEXMATCH($C48, ""S""), ""S"",""S"")"),"S")</f>
        <v>S</v>
      </c>
      <c r="DB48" s="362" t="str">
        <f>IFERROR(__xludf.DUMMYFUNCTION("JOIN("""",CO48:DA48,"""","""")"),"SRgnS")</f>
        <v>SRgnS</v>
      </c>
      <c r="DC48" s="363"/>
      <c r="DD48" s="301" t="str">
        <f t="shared" si="35"/>
        <v>#REF!</v>
      </c>
      <c r="DE48" s="302" t="str">
        <f t="shared" si="36"/>
        <v>#REF!</v>
      </c>
      <c r="DF48" s="301" t="str">
        <f t="shared" ref="DF48:DG48" si="290">SUBSTITUTE(S48,"-","")</f>
        <v>SRGM</v>
      </c>
      <c r="DG48" s="301" t="str">
        <f t="shared" si="290"/>
        <v>PDNS</v>
      </c>
      <c r="DH48" s="302" t="str">
        <f t="shared" si="38"/>
        <v>(n/a)</v>
      </c>
      <c r="DI48" s="301" t="str">
        <f t="shared" si="39"/>
        <v>Hemi.</v>
      </c>
      <c r="DJ48" s="364" t="str">
        <f t="shared" si="40"/>
        <v>CCC.</v>
      </c>
      <c r="DK48" s="306" t="str">
        <f t="shared" si="41"/>
        <v>-</v>
      </c>
      <c r="DL48" s="366" t="str">
        <f t="shared" si="42"/>
        <v>-</v>
      </c>
      <c r="DM48" s="308" t="str">
        <f t="shared" si="43"/>
        <v>✔</v>
      </c>
      <c r="DN48" s="306" t="str">
        <f t="shared" si="44"/>
        <v>-</v>
      </c>
      <c r="DO48" s="306" t="str">
        <f t="shared" si="45"/>
        <v>-</v>
      </c>
      <c r="DP48" s="367" t="str">
        <f t="shared" si="46"/>
        <v>-</v>
      </c>
      <c r="DQ48" s="310" t="str">
        <f t="shared" si="47"/>
        <v>-</v>
      </c>
      <c r="DR48" s="310" t="str">
        <f t="shared" si="48"/>
        <v>-</v>
      </c>
      <c r="DS48" s="310" t="str">
        <f t="shared" si="49"/>
        <v>✔</v>
      </c>
      <c r="DT48" s="310" t="str">
        <f t="shared" si="50"/>
        <v>✔</v>
      </c>
      <c r="DU48" s="370" t="str">
        <f t="shared" si="51"/>
        <v>-</v>
      </c>
      <c r="DV48" s="306" t="str">
        <f t="shared" si="52"/>
        <v>-</v>
      </c>
      <c r="DW48" s="306" t="str">
        <f t="shared" si="53"/>
        <v>-</v>
      </c>
      <c r="DX48" s="306" t="str">
        <f t="shared" si="54"/>
        <v>-</v>
      </c>
      <c r="DY48" s="306" t="str">
        <f t="shared" si="55"/>
        <v>-</v>
      </c>
      <c r="DZ48" s="306" t="str">
        <f t="shared" si="56"/>
        <v>-</v>
      </c>
      <c r="EA48" s="367" t="str">
        <f t="shared" si="57"/>
        <v>-</v>
      </c>
      <c r="EB48" s="310" t="str">
        <f>IFERROR(__xludf.DUMMYFUNCTION("IF(REGEXMATCH(AW48,AS48),""✔"",""-"")"),"-")</f>
        <v>-</v>
      </c>
      <c r="EC48" s="310" t="str">
        <f t="shared" si="58"/>
        <v>#REF!</v>
      </c>
      <c r="ED48" s="370" t="str">
        <f t="shared" si="59"/>
        <v>-</v>
      </c>
      <c r="EE48" s="340" t="str">
        <f t="shared" si="60"/>
        <v>S-r-G-mM-P-dD-N-S</v>
      </c>
      <c r="EF48" s="371" t="str">
        <f>IFERROR(__xludf.DUMMYFUNCTION("CONCATENATE(JOIN("""",HC48:HO48))"),"SrgGmMPdNS")</f>
        <v>SrgGmMPdNS</v>
      </c>
      <c r="EG48" s="372">
        <f t="shared" si="61"/>
        <v>2</v>
      </c>
      <c r="EH48" s="373" t="str">
        <f>IFERROR(__xludf.DUMMYFUNCTION("CONCATENATE(JOIN("""",JC48:JO48))"),"Pa, dha, ")</f>
        <v>Pa, dha, </v>
      </c>
      <c r="EI48" s="322">
        <f t="shared" si="62"/>
        <v>0</v>
      </c>
      <c r="EJ48" s="374" t="str">
        <f>IFERROR(__xludf.DUMMYFUNCTION("CONCATENATE(JOIN("""",KC48:KO48))"),"")</f>
        <v/>
      </c>
      <c r="EK48" s="325" t="str">
        <f t="shared" si="63"/>
        <v>S-R1-G3-M1-M2-P-D1-D2-N3-S</v>
      </c>
      <c r="EL48" s="326" t="str">
        <f t="shared" si="64"/>
        <v>1-b2-3-4-#4-5-b6-6-7-8</v>
      </c>
      <c r="EM48" s="318" t="str">
        <f t="shared" si="65"/>
        <v>#REF!</v>
      </c>
      <c r="EN48" s="328" t="str">
        <f>IFERROR(__xludf.DUMMYFUNCTION("SUBSTITUTE(SUBSTITUTE(SUBSTITUTE(SUBSTITUTE(CONCATENATE(JOIN("" "",HP48:IB48)),""  "","" ""),""  "","" ""),""  "","" ""),""  "","" "")"),"o o • • o o o o o o • o o")</f>
        <v>o o • • o o o o o o • o o</v>
      </c>
      <c r="EO48" s="368" t="str">
        <f t="shared" si="66"/>
        <v>-</v>
      </c>
      <c r="EP48" s="339" t="str">
        <f t="shared" si="67"/>
        <v>-</v>
      </c>
      <c r="EQ48" s="339" t="str">
        <f t="shared" si="68"/>
        <v>Sa-Pa</v>
      </c>
      <c r="ER48" s="339" t="str">
        <f t="shared" si="69"/>
        <v>-</v>
      </c>
      <c r="ES48" s="340" t="str">
        <f t="shared" si="70"/>
        <v>-</v>
      </c>
      <c r="ET48" s="363"/>
      <c r="EU48" s="376" t="b">
        <f>IFERROR(__xludf.DUMMYFUNCTION("arrayformula(sum(--REGEXMATCH(""SRGMPDNS"",split(REGEXREPLACE(C48,""(.)"",""$1~""),""~""))))=len(C48)
"),FALSE)</f>
        <v>0</v>
      </c>
      <c r="EV48" s="290" t="b">
        <f>IFERROR(__xludf.DUMMYFUNCTION("arrayformula(sum(--REGEXMATCH(""SRGmPDNS"",split(REGEXREPLACE(C48,""(.)"",""$1~""),""~""))))=len(C48)"),FALSE)</f>
        <v>0</v>
      </c>
      <c r="EW48" s="290" t="b">
        <f>IFERROR(__xludf.DUMMYFUNCTION("arrayformula(sum(--REGEXMATCH(""SRGmPDnS"",split(REGEXREPLACE(C48,""(.)"",""$1~""),""~""))))=len(C48)"),FALSE)</f>
        <v>0</v>
      </c>
      <c r="EX48" s="290" t="b">
        <f>IFERROR(__xludf.DUMMYFUNCTION("arrayformula(sum(--REGEXMATCH(""SRgmPDnS"",split(REGEXREPLACE(C48,""(.)"",""$1~""),""~""))))=len(C48)"),FALSE)</f>
        <v>0</v>
      </c>
      <c r="EY48" s="290" t="b">
        <f>IFERROR(__xludf.DUMMYFUNCTION("arrayformula(sum(--REGEXMATCH(""SRgmPdnS"",split(REGEXREPLACE(C48,""(.)"",""$1~""),""~""))))=len(C48)"),FALSE)</f>
        <v>0</v>
      </c>
      <c r="EZ48" s="290" t="b">
        <f>IFERROR(__xludf.DUMMYFUNCTION("arrayformula(sum(--REGEXMATCH(""SrgmPdnS"",split(REGEXREPLACE(C48,""(.)"",""$1~""),""~""))))=len(C48)"),FALSE)</f>
        <v>0</v>
      </c>
      <c r="FA48" s="290" t="b">
        <f>IFERROR(__xludf.DUMMYFUNCTION("arrayformula(sum(--REGEXMATCH(""SrGmPdNS"",split(REGEXREPLACE(C48,""(.)"",""$1~""),""~""))))=len(C48)"),FALSE)</f>
        <v>0</v>
      </c>
      <c r="FB48" s="290" t="b">
        <f>IFERROR(__xludf.DUMMYFUNCTION("arrayformula(sum(--REGEXMATCH(""SrGMPDNS"",split(REGEXREPLACE(C48,""(.)"",""$1~""),""~""))))=len(C48)"),FALSE)</f>
        <v>0</v>
      </c>
      <c r="FC48" s="290" t="b">
        <f>IFERROR(__xludf.DUMMYFUNCTION("arrayformula(sum(--REGEXMATCH(""SrGMPdNS"",split(REGEXREPLACE(C48,""(.)"",""$1~""),""~""))))=len(C48)"),FALSE)</f>
        <v>0</v>
      </c>
      <c r="FD48" s="377" t="b">
        <f>IFERROR(__xludf.DUMMYFUNCTION("arrayformula(sum(--REGEXMATCH(""SrgMPdNS"",split(REGEXREPLACE(C48,""(.)"",""$1~""),""~""))))=len(C48)"),FALSE)</f>
        <v>0</v>
      </c>
      <c r="FE48" s="269" t="str">
        <f t="shared" si="71"/>
        <v>xooxxxxxxox</v>
      </c>
      <c r="FF48" s="269" t="str">
        <f t="shared" si="72"/>
        <v>-</v>
      </c>
      <c r="FG48" s="271" t="str">
        <f t="shared" si="73"/>
        <v>-</v>
      </c>
      <c r="FH48" s="269" t="str">
        <f t="shared" si="74"/>
        <v>xxxxxxoxxxo</v>
      </c>
      <c r="FI48" s="271" t="str">
        <f t="shared" si="75"/>
        <v>xxxxxoxxxoo</v>
      </c>
      <c r="FJ48" s="271" t="str">
        <f t="shared" si="76"/>
        <v>xxxxoxxxoox</v>
      </c>
      <c r="FK48" s="271" t="str">
        <f t="shared" si="77"/>
        <v>xxxoxxxooxx</v>
      </c>
      <c r="FL48" s="271" t="str">
        <f t="shared" si="78"/>
        <v>xxoxxxooxxx</v>
      </c>
      <c r="FM48" s="271" t="str">
        <f t="shared" si="79"/>
        <v>xoxxxooxxxx</v>
      </c>
      <c r="FN48" s="271" t="str">
        <f t="shared" si="80"/>
        <v>-</v>
      </c>
      <c r="FO48" s="274" t="str">
        <f t="shared" si="81"/>
        <v>xxxooxxxxxx</v>
      </c>
      <c r="FP48" s="234" t="str">
        <f t="shared" si="82"/>
        <v>|</v>
      </c>
      <c r="FQ48" s="236" t="str">
        <f t="shared" si="83"/>
        <v>|</v>
      </c>
      <c r="FR48" s="237" t="str">
        <f t="shared" si="84"/>
        <v>-</v>
      </c>
      <c r="FS48" s="236" t="str">
        <f t="shared" si="85"/>
        <v>-</v>
      </c>
      <c r="FT48" s="237" t="str">
        <f t="shared" si="86"/>
        <v>|</v>
      </c>
      <c r="FU48" s="236" t="str">
        <f t="shared" si="87"/>
        <v>|</v>
      </c>
      <c r="FV48" s="237" t="str">
        <f t="shared" si="88"/>
        <v>|</v>
      </c>
      <c r="FW48" s="236" t="str">
        <f t="shared" si="89"/>
        <v>|</v>
      </c>
      <c r="FX48" s="237" t="str">
        <f t="shared" si="90"/>
        <v>|</v>
      </c>
      <c r="FY48" s="236" t="str">
        <f t="shared" si="91"/>
        <v>|</v>
      </c>
      <c r="FZ48" s="237" t="str">
        <f t="shared" si="92"/>
        <v>-</v>
      </c>
      <c r="GA48" s="236" t="str">
        <f t="shared" si="93"/>
        <v>|</v>
      </c>
      <c r="GB48" s="238" t="str">
        <f t="shared" si="94"/>
        <v>|</v>
      </c>
      <c r="GC48" s="244" t="str">
        <f>IFERROR(__xludf.DUMMYFUNCTION("IF(REGEXMATCH(C48, ""S""), ""1"","""")"),"1")</f>
        <v>1</v>
      </c>
      <c r="GD48" s="245" t="str">
        <f>IFERROR(__xludf.DUMMYFUNCTION("IF(REGEXMATCH(C48, ""r""), ""b2"","""")"),"b2")</f>
        <v>b2</v>
      </c>
      <c r="GE48" s="246" t="str">
        <f>IFERROR(__xludf.DUMMYFUNCTION("IF(REGEXMATCH(C48, ""R""), ""2"","""")"),"")</f>
        <v/>
      </c>
      <c r="GF48" s="246" t="str">
        <f>IFERROR(__xludf.DUMMYFUNCTION("IF(REGEXMATCH(C48, ""g""), ""b3"","""")"),"")</f>
        <v/>
      </c>
      <c r="GG48" s="245" t="str">
        <f>IFERROR(__xludf.DUMMYFUNCTION("IF(REGEXMATCH(C48, ""G""), ""3"","""")"),"3")</f>
        <v>3</v>
      </c>
      <c r="GH48" s="245" t="str">
        <f>IFERROR(__xludf.DUMMYFUNCTION("IF(REGEXMATCH(C48, ""m""), ""4"","""")"),"4")</f>
        <v>4</v>
      </c>
      <c r="GI48" s="246" t="str">
        <f>IFERROR(__xludf.DUMMYFUNCTION("IF(REGEXMATCH(C48, ""M""), ""#4"","""")"),"#4")</f>
        <v>#4</v>
      </c>
      <c r="GJ48" s="245" t="str">
        <f>IFERROR(__xludf.DUMMYFUNCTION("IF(REGEXMATCH(C48, ""P""), ""5"","""")"),"5")</f>
        <v>5</v>
      </c>
      <c r="GK48" s="246" t="str">
        <f>IFERROR(__xludf.DUMMYFUNCTION("IF(REGEXMATCH(C48, ""d""), ""b6"","""")"),"b6")</f>
        <v>b6</v>
      </c>
      <c r="GL48" s="245" t="str">
        <f>IFERROR(__xludf.DUMMYFUNCTION("IF(REGEXMATCH(C48, ""D""), ""6"","""")"),"6")</f>
        <v>6</v>
      </c>
      <c r="GM48" s="245" t="str">
        <f>IFERROR(__xludf.DUMMYFUNCTION("IF(REGEXMATCH(C48, ""n""), ""b7"","""")"),"")</f>
        <v/>
      </c>
      <c r="GN48" s="246" t="str">
        <f>IFERROR(__xludf.DUMMYFUNCTION("IF(REGEXMATCH(C48, ""N""), ""7"","""")"),"7")</f>
        <v>7</v>
      </c>
      <c r="GO48" s="249" t="str">
        <f>IFERROR(__xludf.DUMMYFUNCTION("IF(REGEXMATCH(C48, ""S""), ""8"","""")"),"8")</f>
        <v>8</v>
      </c>
      <c r="GP48" s="244" t="str">
        <f>IFERROR(__xludf.DUMMYFUNCTION("IF(REGEXMATCH(C48, ""S""), ""S"","""")"),"S")</f>
        <v>S</v>
      </c>
      <c r="GQ48" s="294" t="str">
        <f>IFERROR(__xludf.DUMMYFUNCTION("IF(REGEXMATCH(C48, ""r""), ""R1"","""")"),"R1")</f>
        <v>R1</v>
      </c>
      <c r="GR48" s="295" t="str">
        <f>IFERROR(__xludf.DUMMYFUNCTION("IF(REGEXMATCH(C48, ""R""), ""R2"","""")"),"")</f>
        <v/>
      </c>
      <c r="GS48" s="295" t="str">
        <f>IFERROR(__xludf.DUMMYFUNCTION("IF(REGEXMATCH(C48, ""g""), ""G2"","""")"),"")</f>
        <v/>
      </c>
      <c r="GT48" s="294" t="str">
        <f>IFERROR(__xludf.DUMMYFUNCTION("IF(REGEXMATCH(C48, ""G""), ""G3"","""")"),"G3")</f>
        <v>G3</v>
      </c>
      <c r="GU48" s="294" t="str">
        <f>IFERROR(__xludf.DUMMYFUNCTION("IF(REGEXMATCH(C48, ""m""), ""M1"","""")"),"M1")</f>
        <v>M1</v>
      </c>
      <c r="GV48" s="295" t="str">
        <f>IFERROR(__xludf.DUMMYFUNCTION("IF(REGEXMATCH(C48, ""M""), ""M2"","""")"),"M2")</f>
        <v>M2</v>
      </c>
      <c r="GW48" s="294" t="str">
        <f>IFERROR(__xludf.DUMMYFUNCTION("IF(REGEXMATCH(C48, ""P""), ""P"","""")"),"P")</f>
        <v>P</v>
      </c>
      <c r="GX48" s="295" t="str">
        <f>IFERROR(__xludf.DUMMYFUNCTION("IF(REGEXMATCH(C48, ""d""), ""D1"","""")"),"D1")</f>
        <v>D1</v>
      </c>
      <c r="GY48" s="294" t="str">
        <f>IFERROR(__xludf.DUMMYFUNCTION("IF(REGEXMATCH(C48, ""D""), ""D2"","""")"),"D2")</f>
        <v>D2</v>
      </c>
      <c r="GZ48" s="294" t="str">
        <f>IFERROR(__xludf.DUMMYFUNCTION("IF(REGEXMATCH(C48, ""n""), ""N2"","""")"),"")</f>
        <v/>
      </c>
      <c r="HA48" s="295" t="str">
        <f>IFERROR(__xludf.DUMMYFUNCTION("IF(REGEXMATCH(C48, ""N""), ""N3"","""")"),"N3")</f>
        <v>N3</v>
      </c>
      <c r="HB48" s="249" t="str">
        <f>IFERROR(__xludf.DUMMYFUNCTION("IF(REGEXMATCH(C48, ""S""), ""S"","""")"),"S")</f>
        <v>S</v>
      </c>
      <c r="HC48" s="331" t="str">
        <f t="shared" si="95"/>
        <v>S</v>
      </c>
      <c r="HD48" s="332" t="str">
        <f t="shared" si="96"/>
        <v>r</v>
      </c>
      <c r="HE48" s="332" t="str">
        <f t="shared" si="97"/>
        <v/>
      </c>
      <c r="HF48" s="332" t="str">
        <f t="shared" si="98"/>
        <v>g</v>
      </c>
      <c r="HG48" s="332" t="str">
        <f t="shared" si="99"/>
        <v>G</v>
      </c>
      <c r="HH48" s="332" t="str">
        <f t="shared" si="100"/>
        <v>m</v>
      </c>
      <c r="HI48" s="332" t="str">
        <f t="shared" si="101"/>
        <v>M</v>
      </c>
      <c r="HJ48" s="332" t="str">
        <f t="shared" si="102"/>
        <v>P</v>
      </c>
      <c r="HK48" s="332" t="str">
        <f t="shared" si="103"/>
        <v>d</v>
      </c>
      <c r="HL48" s="332" t="str">
        <f t="shared" si="104"/>
        <v/>
      </c>
      <c r="HM48" s="332" t="str">
        <f t="shared" si="105"/>
        <v/>
      </c>
      <c r="HN48" s="332" t="str">
        <f t="shared" si="106"/>
        <v>N</v>
      </c>
      <c r="HO48" s="343" t="str">
        <f t="shared" si="107"/>
        <v>S</v>
      </c>
      <c r="HP48" s="331" t="str">
        <f t="shared" si="108"/>
        <v>o</v>
      </c>
      <c r="HQ48" s="332" t="str">
        <f t="shared" si="109"/>
        <v>o</v>
      </c>
      <c r="HR48" s="332" t="str">
        <f t="shared" si="110"/>
        <v>•</v>
      </c>
      <c r="HS48" s="332" t="str">
        <f t="shared" si="111"/>
        <v>•</v>
      </c>
      <c r="HT48" s="332" t="str">
        <f t="shared" si="112"/>
        <v>o</v>
      </c>
      <c r="HU48" s="332" t="str">
        <f t="shared" si="113"/>
        <v>o</v>
      </c>
      <c r="HV48" s="332" t="str">
        <f t="shared" si="114"/>
        <v>o</v>
      </c>
      <c r="HW48" s="332" t="str">
        <f t="shared" si="115"/>
        <v>o</v>
      </c>
      <c r="HX48" s="332" t="str">
        <f t="shared" si="116"/>
        <v>o</v>
      </c>
      <c r="HY48" s="332" t="str">
        <f t="shared" si="117"/>
        <v>o</v>
      </c>
      <c r="HZ48" s="332" t="str">
        <f t="shared" si="118"/>
        <v>•</v>
      </c>
      <c r="IA48" s="332" t="str">
        <f t="shared" si="119"/>
        <v>o</v>
      </c>
      <c r="IB48" s="338" t="str">
        <f t="shared" si="120"/>
        <v>o</v>
      </c>
      <c r="IC48" s="331" t="str">
        <f t="shared" si="121"/>
        <v>•</v>
      </c>
      <c r="ID48" s="332" t="str">
        <f t="shared" si="122"/>
        <v>•</v>
      </c>
      <c r="IE48" s="332" t="str">
        <f t="shared" si="123"/>
        <v>o</v>
      </c>
      <c r="IF48" s="332" t="str">
        <f t="shared" si="124"/>
        <v>o</v>
      </c>
      <c r="IG48" s="332" t="str">
        <f t="shared" si="125"/>
        <v>•</v>
      </c>
      <c r="IH48" s="332" t="str">
        <f t="shared" si="126"/>
        <v>•</v>
      </c>
      <c r="II48" s="332" t="str">
        <f t="shared" si="127"/>
        <v>•</v>
      </c>
      <c r="IJ48" s="332" t="str">
        <f t="shared" si="128"/>
        <v>•</v>
      </c>
      <c r="IK48" s="332" t="str">
        <f t="shared" si="129"/>
        <v>•</v>
      </c>
      <c r="IL48" s="332" t="str">
        <f t="shared" si="130"/>
        <v>•</v>
      </c>
      <c r="IM48" s="332" t="str">
        <f t="shared" si="131"/>
        <v>o</v>
      </c>
      <c r="IN48" s="332" t="str">
        <f t="shared" si="132"/>
        <v>•</v>
      </c>
      <c r="IO48" s="338" t="str">
        <f t="shared" si="133"/>
        <v>•</v>
      </c>
      <c r="IP48" s="346" t="b">
        <f t="shared" si="134"/>
        <v>0</v>
      </c>
      <c r="IQ48" s="347" t="b">
        <f t="shared" si="135"/>
        <v>0</v>
      </c>
      <c r="IR48" s="347" t="b">
        <f t="shared" si="136"/>
        <v>0</v>
      </c>
      <c r="IS48" s="347" t="b">
        <f t="shared" si="137"/>
        <v>0</v>
      </c>
      <c r="IT48" s="347" t="b">
        <f t="shared" si="138"/>
        <v>0</v>
      </c>
      <c r="IU48" s="347" t="b">
        <f t="shared" si="139"/>
        <v>0</v>
      </c>
      <c r="IV48" s="347" t="b">
        <f t="shared" si="140"/>
        <v>0</v>
      </c>
      <c r="IW48" s="347" t="b">
        <f t="shared" si="141"/>
        <v>1</v>
      </c>
      <c r="IX48" s="347" t="b">
        <f t="shared" si="142"/>
        <v>1</v>
      </c>
      <c r="IY48" s="347" t="b">
        <f t="shared" si="143"/>
        <v>0</v>
      </c>
      <c r="IZ48" s="347" t="b">
        <f t="shared" si="144"/>
        <v>0</v>
      </c>
      <c r="JA48" s="347" t="b">
        <f t="shared" si="145"/>
        <v>0</v>
      </c>
      <c r="JB48" s="353" t="b">
        <f t="shared" si="146"/>
        <v>0</v>
      </c>
      <c r="JC48" s="354" t="str">
        <f t="shared" si="147"/>
        <v/>
      </c>
      <c r="JD48" s="355" t="str">
        <f t="shared" si="148"/>
        <v/>
      </c>
      <c r="JE48" s="355" t="str">
        <f t="shared" si="149"/>
        <v/>
      </c>
      <c r="JF48" s="355" t="str">
        <f t="shared" si="150"/>
        <v/>
      </c>
      <c r="JG48" s="355" t="str">
        <f t="shared" si="151"/>
        <v/>
      </c>
      <c r="JH48" s="355" t="str">
        <f t="shared" si="152"/>
        <v/>
      </c>
      <c r="JI48" s="355" t="str">
        <f t="shared" si="153"/>
        <v/>
      </c>
      <c r="JJ48" s="355" t="str">
        <f t="shared" si="154"/>
        <v>Pa, </v>
      </c>
      <c r="JK48" s="355" t="str">
        <f t="shared" si="155"/>
        <v>dha, </v>
      </c>
      <c r="JL48" s="355" t="str">
        <f t="shared" si="156"/>
        <v/>
      </c>
      <c r="JM48" s="355" t="str">
        <f t="shared" si="157"/>
        <v/>
      </c>
      <c r="JN48" s="355" t="str">
        <f t="shared" si="158"/>
        <v/>
      </c>
      <c r="JO48" s="359" t="str">
        <f t="shared" si="159"/>
        <v/>
      </c>
      <c r="JP48" s="346" t="b">
        <f t="shared" si="160"/>
        <v>0</v>
      </c>
      <c r="JQ48" s="347" t="b">
        <f t="shared" si="161"/>
        <v>0</v>
      </c>
      <c r="JR48" s="347" t="b">
        <f t="shared" si="162"/>
        <v>0</v>
      </c>
      <c r="JS48" s="347" t="b">
        <f t="shared" si="163"/>
        <v>0</v>
      </c>
      <c r="JT48" s="347" t="b">
        <f t="shared" si="164"/>
        <v>0</v>
      </c>
      <c r="JU48" s="347" t="b">
        <f t="shared" si="165"/>
        <v>0</v>
      </c>
      <c r="JV48" s="347" t="b">
        <f t="shared" si="166"/>
        <v>0</v>
      </c>
      <c r="JW48" s="347" t="b">
        <f t="shared" si="167"/>
        <v>0</v>
      </c>
      <c r="JX48" s="347" t="b">
        <f t="shared" si="168"/>
        <v>0</v>
      </c>
      <c r="JY48" s="347" t="b">
        <f t="shared" si="169"/>
        <v>0</v>
      </c>
      <c r="JZ48" s="347" t="b">
        <f t="shared" si="170"/>
        <v>0</v>
      </c>
      <c r="KA48" s="347" t="b">
        <f t="shared" si="171"/>
        <v>0</v>
      </c>
      <c r="KB48" s="365" t="b">
        <f t="shared" si="172"/>
        <v>0</v>
      </c>
      <c r="KC48" s="354" t="str">
        <f t="shared" si="173"/>
        <v/>
      </c>
      <c r="KD48" s="355" t="str">
        <f t="shared" si="174"/>
        <v/>
      </c>
      <c r="KE48" s="355" t="str">
        <f t="shared" si="175"/>
        <v/>
      </c>
      <c r="KF48" s="355" t="str">
        <f t="shared" si="176"/>
        <v/>
      </c>
      <c r="KG48" s="355" t="str">
        <f t="shared" si="177"/>
        <v/>
      </c>
      <c r="KH48" s="355" t="str">
        <f t="shared" si="178"/>
        <v/>
      </c>
      <c r="KI48" s="355" t="str">
        <f t="shared" si="179"/>
        <v/>
      </c>
      <c r="KJ48" s="355" t="str">
        <f t="shared" si="180"/>
        <v/>
      </c>
      <c r="KK48" s="355" t="str">
        <f t="shared" si="181"/>
        <v/>
      </c>
      <c r="KL48" s="355" t="str">
        <f t="shared" si="182"/>
        <v/>
      </c>
      <c r="KM48" s="355" t="str">
        <f t="shared" si="183"/>
        <v/>
      </c>
      <c r="KN48" s="355" t="str">
        <f t="shared" si="184"/>
        <v/>
      </c>
      <c r="KO48" s="359"/>
      <c r="KP48" s="378"/>
      <c r="KQ48" s="379" t="s">
        <v>9</v>
      </c>
      <c r="KR48" s="380" t="s">
        <v>9</v>
      </c>
      <c r="KS48" s="381" t="s">
        <v>9</v>
      </c>
      <c r="KT48" s="382">
        <f t="shared" si="186"/>
        <v>0</v>
      </c>
      <c r="KU48" s="383">
        <f t="shared" si="187"/>
        <v>0</v>
      </c>
      <c r="KV48" s="381" t="str">
        <f t="shared" si="205"/>
        <v>S</v>
      </c>
      <c r="KW48" s="382">
        <f t="shared" si="189"/>
        <v>0</v>
      </c>
      <c r="KX48" s="384">
        <f t="shared" si="190"/>
        <v>0</v>
      </c>
      <c r="KY48" s="382">
        <f t="shared" ref="KY48:KZ48" si="291">KW48-KT48</f>
        <v>0</v>
      </c>
      <c r="KZ48" s="369">
        <f t="shared" si="291"/>
        <v>0</v>
      </c>
      <c r="LA48" s="385" t="str">
        <f t="shared" si="192"/>
        <v>✔</v>
      </c>
      <c r="LB48" s="340" t="str">
        <f>IFERROR(__xludf.DUMMYFUNCTION("JOIN("""",ArrayFormula(MID(KS48,LEN(KS48)-SEQUENCE(1,LEN(KS48))+1,1)))"),"S")</f>
        <v>S</v>
      </c>
      <c r="LC48" s="373" t="str">
        <f>IFERROR(__xludf.DUMMYFUNCTION("JOIN("""",ArrayFormula(MID(KV48,LEN(KV48)-SEQUENCE(1,LEN(KV48))+1,1)))"),"S")</f>
        <v>S</v>
      </c>
      <c r="LD48" s="373" t="str">
        <f t="shared" si="193"/>
        <v>S</v>
      </c>
      <c r="LE48" s="339" t="str">
        <f t="shared" si="194"/>
        <v>S</v>
      </c>
      <c r="LF48" s="386" t="str">
        <f>IFERROR(__xludf.DUMMYFUNCTION("SUBSTITUTE(SUBSTITUTE(CONCATENATE(JOIN("""",LH48:LT48)),""1"",""""),""2"","""")"),"SS")</f>
        <v>SS</v>
      </c>
      <c r="LG48" s="369" t="str">
        <f t="shared" si="195"/>
        <v>-</v>
      </c>
      <c r="LH48" s="387" t="str">
        <f>IFERROR(__xludf.DUMMYFUNCTION("IF(REGEXMATCH(LD48, ""S""), ""S"",IF(REGEXMATCH(LE48, ""S""), ""S"",""""))"),"S")</f>
        <v>S</v>
      </c>
      <c r="LI48" s="299" t="str">
        <f>IFERROR(__xludf.DUMMYFUNCTION("IF(REGEXMATCH(LD48, ""r""), ""r1"",IF(REGEXMATCH(LE48, ""r""), ""r2"",""""))"),"")</f>
        <v/>
      </c>
      <c r="LJ48" s="299" t="str">
        <f>IFERROR(__xludf.DUMMYFUNCTION("IF(REGEXMATCH(LD48, ""R""), ""R1"",IF(REGEXMATCH(LE48, ""R""), ""R2"",""""))"),"")</f>
        <v/>
      </c>
      <c r="LK48" s="299" t="str">
        <f>IFERROR(__xludf.DUMMYFUNCTION("IF(REGEXMATCH(LD48, ""g""), ""g1"",IF(REGEXMATCH(LE48, ""g""), ""g2"",""""))"),"")</f>
        <v/>
      </c>
      <c r="LL48" s="299" t="str">
        <f>IFERROR(__xludf.DUMMYFUNCTION("IF(REGEXMATCH(LD48, ""G""), ""G1"",IF(REGEXMATCH(LE48, ""G""), ""G2"",""""))"),"")</f>
        <v/>
      </c>
      <c r="LM48" s="299" t="str">
        <f>IFERROR(__xludf.DUMMYFUNCTION("IF(REGEXMATCH(LD48, ""m""), ""m1"",IF(REGEXMATCH(LE48, ""m""), ""m2"",""""))"),"")</f>
        <v/>
      </c>
      <c r="LN48" s="299" t="str">
        <f>IFERROR(__xludf.DUMMYFUNCTION("IF(REGEXMATCH(LD48, ""M""), ""M1"",IF(REGEXMATCH(LE48, ""M""), ""M2"",""""))"),"")</f>
        <v/>
      </c>
      <c r="LO48" s="299" t="str">
        <f>IFERROR(__xludf.DUMMYFUNCTION("IF(REGEXMATCH(LD48, ""P""), ""P1"",IF(REGEXMATCH(LE48, ""P""), ""P2"",""""))"),"")</f>
        <v/>
      </c>
      <c r="LP48" s="299" t="str">
        <f>IFERROR(__xludf.DUMMYFUNCTION("IF(REGEXMATCH(LD48, ""d""), ""d1"",IF(REGEXMATCH(LE48, ""d""), ""d2"",""""))"),"")</f>
        <v/>
      </c>
      <c r="LQ48" s="299" t="str">
        <f>IFERROR(__xludf.DUMMYFUNCTION("IF(REGEXMATCH(LD48, ""D""), ""D1"",IF(REGEXMATCH(LE48, ""D""), ""D2"",""""))"),"")</f>
        <v/>
      </c>
      <c r="LR48" s="299" t="str">
        <f>IFERROR(__xludf.DUMMYFUNCTION("IF(REGEXMATCH(LD48, ""n""), ""n1"",IF(REGEXMATCH(LE48, ""n""), ""n2"",""""))"),"")</f>
        <v/>
      </c>
      <c r="LS48" s="299" t="str">
        <f>IFERROR(__xludf.DUMMYFUNCTION("IF(REGEXMATCH(LD48, ""N""), ""N1"",IF(REGEXMATCH(LE48, ""N""), ""N2"",""""))"),"")</f>
        <v/>
      </c>
      <c r="LT48" s="388" t="str">
        <f>IFERROR(__xludf.DUMMYFUNCTION("IF(REGEXMATCH(LD48, ""S""), ""S"",IF(REGEXMATCH(LE48, ""S""), ""S"",""""))"),"S")</f>
        <v>S</v>
      </c>
      <c r="LU48" s="389">
        <f t="shared" si="196"/>
        <v>1</v>
      </c>
      <c r="LV48" s="378"/>
      <c r="LW48" s="369"/>
      <c r="LX48" s="369"/>
    </row>
    <row r="49" ht="18.0" customHeight="1">
      <c r="A49" s="298" t="s">
        <v>596</v>
      </c>
      <c r="B49" s="222" t="s">
        <v>597</v>
      </c>
      <c r="C49" s="233" t="str">
        <f t="shared" si="7"/>
        <v>SrGmMPDNS</v>
      </c>
      <c r="D49" s="234" t="str">
        <f>IFERROR(__xludf.DUMMYFUNCTION("IF(REGEXMATCH(C49, ""S""), ""S"","""")"),"S")</f>
        <v>S</v>
      </c>
      <c r="E49" s="236" t="str">
        <f>IFERROR(__xludf.DUMMYFUNCTION("IF(REGEXMATCH(C49, ""r""), ""r"","""")"),"r")</f>
        <v>r</v>
      </c>
      <c r="F49" s="237" t="str">
        <f>IFERROR(__xludf.DUMMYFUNCTION("IF(REGEXMATCH(C49, ""R""), ""R"","""")"),"")</f>
        <v/>
      </c>
      <c r="G49" s="237" t="str">
        <f>IFERROR(__xludf.DUMMYFUNCTION("IF(REGEXMATCH(C49, ""g""), ""g"","""")"),"")</f>
        <v/>
      </c>
      <c r="H49" s="236" t="str">
        <f>IFERROR(__xludf.DUMMYFUNCTION("IF(REGEXMATCH(C49, ""G""), ""G"","""")"),"G")</f>
        <v>G</v>
      </c>
      <c r="I49" s="236" t="str">
        <f>IFERROR(__xludf.DUMMYFUNCTION("IF(REGEXMATCH(C49, ""m""), ""m"","""")"),"m")</f>
        <v>m</v>
      </c>
      <c r="J49" s="237" t="str">
        <f>IFERROR(__xludf.DUMMYFUNCTION("IF(REGEXMATCH(C49, ""M""), ""M"","""")"),"M")</f>
        <v>M</v>
      </c>
      <c r="K49" s="236" t="str">
        <f>IFERROR(__xludf.DUMMYFUNCTION("IF(REGEXMATCH(C49, ""P""), ""P"","""")"),"P")</f>
        <v>P</v>
      </c>
      <c r="L49" s="237" t="str">
        <f>IFERROR(__xludf.DUMMYFUNCTION("IF(REGEXMATCH(C49, ""d""), ""d"","""")"),"")</f>
        <v/>
      </c>
      <c r="M49" s="236" t="str">
        <f>IFERROR(__xludf.DUMMYFUNCTION("IF(REGEXMATCH(C49, ""D""), ""D"","""")"),"D")</f>
        <v>D</v>
      </c>
      <c r="N49" s="236" t="str">
        <f>IFERROR(__xludf.DUMMYFUNCTION("IF(REGEXMATCH(C49, ""n""), ""n"","""")"),"")</f>
        <v/>
      </c>
      <c r="O49" s="237" t="str">
        <f>IFERROR(__xludf.DUMMYFUNCTION("IF(REGEXMATCH(C49, ""N""), ""N"","""")"),"N")</f>
        <v>N</v>
      </c>
      <c r="P49" s="238" t="str">
        <f>IFERROR(__xludf.DUMMYFUNCTION("IF(REGEXMATCH(C49, ""S""), ""S"","""")"),"S")</f>
        <v>S</v>
      </c>
      <c r="Q49" s="239" t="str">
        <f>IFERROR(__xludf.DUMMYFUNCTION("SUBSTITUTE(CONCATENATE(JOIN(""-"",D49:J49)),""-"","""")"),"SrGmM")</f>
        <v>SrGmM</v>
      </c>
      <c r="R49" s="229" t="str">
        <f>IFERROR(__xludf.DUMMYFUNCTION("SUBSTITUTE(CONCATENATE(JOIN(""-"",K49:P49)),""-"","""")"),"PDNS")</f>
        <v>PDNS</v>
      </c>
      <c r="S49" s="282" t="str">
        <f t="shared" si="8"/>
        <v>S-R-G-M</v>
      </c>
      <c r="T49" s="282" t="str">
        <f t="shared" si="9"/>
        <v>P-D-N-S</v>
      </c>
      <c r="U49" s="237" t="str">
        <f>IFERROR(__xludf.DUMMYFUNCTION("SUBSTITUTE(JOIN(""-"",S49,T49),""--"",""-"")"),"S-R-G-M-P-D-N-S")</f>
        <v>S-R-G-M-P-D-N-S</v>
      </c>
      <c r="V49" s="309" t="str">
        <f t="shared" si="10"/>
        <v>rGmMDN</v>
      </c>
      <c r="W49" s="244" t="str">
        <f>IFERROR(__xludf.DUMMYFUNCTION("IF(REGEXMATCH(C49, ""S""), ""0"","""")"),"0")</f>
        <v>0</v>
      </c>
      <c r="X49" s="245" t="str">
        <f>IFERROR(__xludf.DUMMYFUNCTION("IF(REGEXMATCH(C49, ""r""), ""1"","""")"),"1")</f>
        <v>1</v>
      </c>
      <c r="Y49" s="246" t="str">
        <f>IFERROR(__xludf.DUMMYFUNCTION("IF(REGEXMATCH(C49, ""R""), ""2"","""")"),"")</f>
        <v/>
      </c>
      <c r="Z49" s="246" t="str">
        <f>IFERROR(__xludf.DUMMYFUNCTION("IF(REGEXMATCH(C49, ""g""), ""3"","""")"),"")</f>
        <v/>
      </c>
      <c r="AA49" s="245" t="str">
        <f>IFERROR(__xludf.DUMMYFUNCTION("IF(REGEXMATCH(C49, ""G""), ""4"","""")"),"4")</f>
        <v>4</v>
      </c>
      <c r="AB49" s="245" t="str">
        <f>IFERROR(__xludf.DUMMYFUNCTION("IF(REGEXMATCH(C49, ""m""), ""5"","""")"),"5")</f>
        <v>5</v>
      </c>
      <c r="AC49" s="246" t="str">
        <f>IFERROR(__xludf.DUMMYFUNCTION("IF(REGEXMATCH(C49, ""M""), ""6"","""")"),"6")</f>
        <v>6</v>
      </c>
      <c r="AD49" s="245" t="str">
        <f>IFERROR(__xludf.DUMMYFUNCTION("IF(REGEXMATCH(C49, ""P""), ""7"","""")"),"7")</f>
        <v>7</v>
      </c>
      <c r="AE49" s="246" t="str">
        <f>IFERROR(__xludf.DUMMYFUNCTION("IF(REGEXMATCH(C49, ""d""), ""8"","""")"),"")</f>
        <v/>
      </c>
      <c r="AF49" s="245" t="str">
        <f>IFERROR(__xludf.DUMMYFUNCTION("IF(REGEXMATCH(C49, ""D""), ""9"","""")"),"9")</f>
        <v>9</v>
      </c>
      <c r="AG49" s="245" t="str">
        <f>IFERROR(__xludf.DUMMYFUNCTION("IF(REGEXMATCH(C49, ""n""), ""10"","""")"),"")</f>
        <v/>
      </c>
      <c r="AH49" s="246" t="str">
        <f>IFERROR(__xludf.DUMMYFUNCTION("IF(REGEXMATCH(C49, ""N""), ""11"","""")"),"11")</f>
        <v>11</v>
      </c>
      <c r="AI49" s="249" t="str">
        <f>IFERROR(__xludf.DUMMYFUNCTION("IF(REGEXMATCH(C49, ""S""), ""0"","""")"),"0")</f>
        <v>0</v>
      </c>
      <c r="AJ49" s="313" t="str">
        <f t="shared" si="11"/>
        <v>T</v>
      </c>
      <c r="AK49" s="313" t="str">
        <f t="shared" si="12"/>
        <v>T</v>
      </c>
      <c r="AL49" s="313" t="str">
        <f t="shared" si="13"/>
        <v>-</v>
      </c>
      <c r="AM49" s="313" t="str">
        <f t="shared" si="14"/>
        <v>-</v>
      </c>
      <c r="AN49" s="313" t="str">
        <f t="shared" si="15"/>
        <v>-</v>
      </c>
      <c r="AO49" s="314" t="str">
        <f t="shared" si="16"/>
        <v>T</v>
      </c>
      <c r="AP49" s="316">
        <f t="shared" si="17"/>
        <v>3</v>
      </c>
      <c r="AQ49" s="319" t="str">
        <f t="shared" si="18"/>
        <v>-</v>
      </c>
      <c r="AR49" s="320">
        <f t="shared" si="19"/>
        <v>0</v>
      </c>
      <c r="AS49" s="250" t="str">
        <f>IFERROR(__xludf.DUMMYFUNCTION("SUBSTITUTE(SUBSTITUTE(CONCATENATE(JOIN("""",FP49:GA49)),""|"",""x""),""-"",""o"")"),"xxooxxxxoxox")</f>
        <v>xxooxxxxoxox</v>
      </c>
      <c r="AT49" s="323" t="str">
        <f>IFERROR(__xludf.DUMMYFUNCTION("JOIN("""",AS49,AS49)"),"xxooxxxxoxoxxxooxxxxoxox")</f>
        <v>xxooxxxxoxoxxxooxxxxoxox</v>
      </c>
      <c r="AU49" s="256" t="str">
        <f>IFERROR(__xludf.DUMMYFUNCTION("JOIN("""",ArrayFormula(MID(AS49,LEN(AS49)-SEQUENCE(1,LEN(AS49))+1,1)))"),"xoxoxxxxooxx")</f>
        <v>xoxoxxxxooxx</v>
      </c>
      <c r="AV49" s="256" t="str">
        <f>IFERROR(__xludf.DUMMYFUNCTION("LEFT(CONCATENATE(""x"",JOIN("""",ArrayFormula(MID(AS49,LEN(AS49)-SEQUENCE(1,LEN(AS49))+1,1)))),12)"),"xxoxoxxxxoox")</f>
        <v>xxoxoxxxxoox</v>
      </c>
      <c r="AW49" s="327" t="str">
        <f>IFERROR(__xludf.DUMMYFUNCTION("JOIN("""",AU49,AU49)"),"xoxoxxxxooxxxoxoxxxxooxx")</f>
        <v>xoxoxxxxooxxxoxoxxxxooxx</v>
      </c>
      <c r="AX49" s="239" t="str">
        <f>IFERROR(__xludf.DUMMYFUNCTION("IF(REGEXMATCH(AW49,AS49),""✔"",""-"")"),"-")</f>
        <v>-</v>
      </c>
      <c r="AY49" s="330" t="str">
        <f t="shared" si="20"/>
        <v>-</v>
      </c>
      <c r="AZ49" s="260" t="str">
        <f t="shared" si="21"/>
        <v>#REF!</v>
      </c>
      <c r="BA49" s="333" t="str">
        <f t="shared" si="22"/>
        <v>xxooxxx</v>
      </c>
      <c r="BB49" s="334" t="str">
        <f t="shared" si="23"/>
        <v>xoxoxx</v>
      </c>
      <c r="BC49" s="335" t="str">
        <f t="shared" si="236"/>
        <v>-</v>
      </c>
      <c r="BD49" s="336" t="str">
        <f t="shared" si="25"/>
        <v>Bhankari: 'xxooxxx' + 'xoxoxx'</v>
      </c>
      <c r="BE49" s="337">
        <f>IFERROR(__xludf.DUMMYFUNCTION("COUNTUNIQUE(FILTER(AT:AT,REGEXMATCH(AT:AT,AS49)))-1"),0.0)</f>
        <v>0</v>
      </c>
      <c r="BF49" s="261" t="str">
        <f>IFERROR(__xludf.DUMMYFUNCTION("IF(BI49=0,""(n/a)"",IF(BJ49=2,""(PAIR)"",IF(REGEXMATCH(AT49,""xoxoxxoxoxox""),""Bilawal"",IF(REGEXMATCH(AT49,""xoxoxooxoxoo""),""Bhupali"",IF(REGEXMATCH(AT49,""xoxoxxoxxoxo""),""Charukeshi"",IF(REGEXMATCH(AT49,""xoxoooxxoxxo""),""Kameshwari"",IF(REGEXMATC"&amp;"H(AT49,""xoxoxooxoxox""),""Shankara"",IF(REGEXMATCH(AT49,""xxooxoxxxoox""),""Basant"",IF(REGEXMATCH(AT49,""xoxoxxxxoxox""),""Bihag"",IF(REGEXMATCH(AT49,""xoxxxxoxoxxx""),""Pilu"",IF(REGEXMATCH(AT49,""xoxxoxoxxoox""),""Kirwani"",IF(REGEXMATCH(AT49,""xoxxox"&amp;"oxoxxx""),""Mk.Malhar"",IF(REGEXMATCH(AT49,""xxooxxoxxoox""),""Bhairav"",IF(REGEXMATCH(AT49,""xxoxooxxxoox""),""Todi"",IF(REGEXMATCH(AT49,""xxooxoxooxox""),""Marwa"",IF(REGEXMATCH(AT49,""xxoooxoxxooo""),""Gunkali"",IF(REGEXMATCH(AT49,""xoxoxxoxxoox""),""N"&amp;"at Bhairav"",IF(REGEXMATCH(AT49,""xoxxoooxoxoo""),""Shivranjani"",IF(REGEXMATCH(AT49,""xooxxxoxooxo""),""Jog"",IF(REGEXMATCH(AT49,""xxooxoxoxoox""),""Hemshri"",IF(REGEXMATCH(AT49,""xoooxooxoxxo""),""Kalavati"",IF(REGEXMATCH(AT49,""xxoxoxxoxoox""),""Kedar"&amp;""",IF(REGEXMATCH(AT49,""xoxxxxoxooxx""),""Gara"",IF(REGEXMATCH(AT49,""xooxoxooxoox""),""Chandrakauns"",IF(REGEXMATCH(AT49,""xoxxxxoxxxox""),""Mand"",IF(REGEXMATCH(AT49,""xoxxxxoxoxox""),""Hanskinkini"",IF(REGEXMATCH(AT49,""xxooxxoxooxo""),""Lilavati"",IF("&amp;"REGEXMATCH(AT49,""xooxoxoooxox""),""Rajeshwari"",IF(REGEXMATCH(AT49,""xoooxxoxoxxx""),""Khokar"",IF(REGEXMATCH(AT49,""xxooxoxxxxox""),""Maligoura"",""-""))))))))))))))))))))))))))))))"),"(n/a)")</f>
        <v>(n/a)</v>
      </c>
      <c r="BG49" s="239" t="str">
        <f t="shared" si="26"/>
        <v>#REF!</v>
      </c>
      <c r="BH49" s="239">
        <f>IFERROR(__xludf.DUMMYFUNCTION("COUNTUNIQUE(FE49:FO49)-1"),7.0)</f>
        <v>7</v>
      </c>
      <c r="BI49" s="239">
        <f>IFERROR(__xludf.DUMMYFUNCTION("COUNTUNIQUE(FILTER(AT:AT,REGEXMATCH(AT:AT,AS49)))-1"),0.0)</f>
        <v>0</v>
      </c>
      <c r="BJ49" s="239">
        <f>IFERROR(__xludf.DUMMYFUNCTION("COUNTA(FILTER(AT:AT,REGEXMATCH(AT:AT,AS49)))"),7.0)</f>
        <v>7</v>
      </c>
      <c r="BK49" s="341">
        <f>IFERROR(__xludf.DUMMYFUNCTION("COUNTA(FILTER(AT:AT,REGEXMATCH(AT:AT,AS49)))-AR49"),7.0)</f>
        <v>7</v>
      </c>
      <c r="BL49" s="276" t="str">
        <f>IFERROR(__xludf.DUMMYFUNCTION("IF(AS49=""oooooooooooo"",""-"",IF(REGEXMATCH(AT49,""xx""), ""Hemi."", ""Anhemi.""))"),"Hemi.")</f>
        <v>Hemi.</v>
      </c>
      <c r="BM49" s="282" t="str">
        <f>IFERROR(__xludf.DUMMYFUNCTION("IF(AS49=""oooooooooooo"",""-"",IF(REGEXMATCH(AT49,""xxx""), ""Cohem."", ""-""))"),"Cohem.")</f>
        <v>Cohem.</v>
      </c>
      <c r="BN49" s="282" t="str">
        <f>IFERROR(__xludf.DUMMYFUNCTION("IF(AS49=""oooooooooooo"",""-"",IF(REGEXMATCH(AT49,""xxxx""), ""Co-Co."", ""-""))"),"Co-Co.")</f>
        <v>Co-Co.</v>
      </c>
      <c r="BO49" s="342" t="str">
        <f>IFERROR(__xludf.DUMMYFUNCTION("IF(AS49=""oooooooooooo"",""-"",IF(REGEXMATCH(AT49,""xxxxx""), ""CCC."", ""-""))"),"-")</f>
        <v>-</v>
      </c>
      <c r="BP49" s="344" t="str">
        <f t="shared" si="27"/>
        <v>-</v>
      </c>
      <c r="BQ49" s="282" t="str">
        <f>IFERROR(__xludf.DUMMYFUNCTION("IF(REGEXMATCH(JOIN(""-"",EU49:FD49),""TRUE""),""✔"",""-"")"),"-")</f>
        <v>-</v>
      </c>
      <c r="BR49" s="225">
        <f t="shared" si="28"/>
        <v>0</v>
      </c>
      <c r="BS49" s="345" t="str">
        <f>IFERROR(__xludf.DUMMYFUNCTION("SUBSTITUTE(SUBSTITUTE(SUBSTITUTE(SUBSTITUTE(CONCATENATE(JOIN(""-"",GC49:GO49)),""--"",""-""),""--"",""-""),""--"",""-""),""--"",""-"")"),"1-b2-3-4-#4-5-6-7-8")</f>
        <v>1-b2-3-4-#4-5-6-7-8</v>
      </c>
      <c r="BT49" s="299" t="str">
        <f>IFERROR(__xludf.DUMMYFUNCTION("SUBSTITUTE(SUBSTITUTE(SUBSTITUTE(SUBSTITUTE(CONCATENATE(JOIN(""-"",GP49:HB49)),""--"",""-""),""--"",""-""),""--"",""-""),""--"",""-"")"),"S-R1-G3-M1-M2-P-D2-N3-S")</f>
        <v>S-R1-G3-M1-M2-P-D2-N3-S</v>
      </c>
      <c r="BU49" s="348" t="str">
        <f t="shared" si="29"/>
        <v>C-Db-E-F-F#-G-A-B-C</v>
      </c>
      <c r="BV49" s="349" t="str">
        <f t="shared" si="30"/>
        <v>SRgdnS</v>
      </c>
      <c r="BW49" s="350">
        <f t="shared" si="31"/>
        <v>0</v>
      </c>
      <c r="BX49" s="351">
        <f t="shared" si="32"/>
        <v>7</v>
      </c>
      <c r="BY49" s="352" t="s">
        <v>275</v>
      </c>
      <c r="BZ49" s="309" t="str">
        <f>IFERROR(__xludf.DUMMYFUNCTION("IF(REGEXMATCH(C49, ""S""), ""x"",""x"")"),"x")</f>
        <v>x</v>
      </c>
      <c r="CA49" s="245" t="str">
        <f>IFERROR(__xludf.DUMMYFUNCTION("IF(REGEXMATCH(C49, ""r""), ""o"",""x"")"),"o")</f>
        <v>o</v>
      </c>
      <c r="CB49" s="246" t="str">
        <f>IFERROR(__xludf.DUMMYFUNCTION("IF(REGEXMATCH(C49, ""R""), ""o"",""x"")"),"x")</f>
        <v>x</v>
      </c>
      <c r="CC49" s="246" t="str">
        <f>IFERROR(__xludf.DUMMYFUNCTION("IF(REGEXMATCH(C49, ""g""), ""o"",""x"")"),"x")</f>
        <v>x</v>
      </c>
      <c r="CD49" s="245" t="str">
        <f>IFERROR(__xludf.DUMMYFUNCTION("IF(REGEXMATCH(C49, ""G""), ""o"",""x"")"),"o")</f>
        <v>o</v>
      </c>
      <c r="CE49" s="245" t="str">
        <f>IFERROR(__xludf.DUMMYFUNCTION("IF(REGEXMATCH(C49, ""m""), ""o"",""x"")"),"o")</f>
        <v>o</v>
      </c>
      <c r="CF49" s="246" t="str">
        <f>IFERROR(__xludf.DUMMYFUNCTION("IF(REGEXMATCH(C49, ""M""), ""o"",""x"")"),"o")</f>
        <v>o</v>
      </c>
      <c r="CG49" s="245" t="str">
        <f>IFERROR(__xludf.DUMMYFUNCTION("IF(REGEXMATCH(C49, ""P""), ""o"",""x"")"),"o")</f>
        <v>o</v>
      </c>
      <c r="CH49" s="246" t="str">
        <f>IFERROR(__xludf.DUMMYFUNCTION("IF(REGEXMATCH(C49, ""d""), ""o"",""x"")"),"x")</f>
        <v>x</v>
      </c>
      <c r="CI49" s="245" t="str">
        <f>IFERROR(__xludf.DUMMYFUNCTION("IF(REGEXMATCH(C49, ""D""), ""o"",""x"")"),"o")</f>
        <v>o</v>
      </c>
      <c r="CJ49" s="245" t="str">
        <f>IFERROR(__xludf.DUMMYFUNCTION("IF(REGEXMATCH(C49, ""n""), ""o"",""x"")"),"x")</f>
        <v>x</v>
      </c>
      <c r="CK49" s="245" t="str">
        <f>IFERROR(__xludf.DUMMYFUNCTION("IF(REGEXMATCH(C49, ""N""), ""o"",""x"")"),"o")</f>
        <v>o</v>
      </c>
      <c r="CL49" s="356" t="str">
        <f>IFERROR(__xludf.DUMMYFUNCTION("IF(REGEXMATCH(C49, ""S""), ""x"",""x"")"),"x")</f>
        <v>x</v>
      </c>
      <c r="CM49" s="357" t="str">
        <f t="shared" si="33"/>
        <v>xoxxooooxoxo</v>
      </c>
      <c r="CN49" s="358">
        <f t="shared" si="34"/>
        <v>0</v>
      </c>
      <c r="CO49" s="246" t="str">
        <f>IFERROR(__xludf.DUMMYFUNCTION("IF(REGEXMATCH($C49, ""S""), ""S"",""S"")"),"S")</f>
        <v>S</v>
      </c>
      <c r="CP49" s="246" t="str">
        <f>IFERROR(__xludf.DUMMYFUNCTION("IF(REGEXMATCH($C49, ""r""), """",""r"")"),"")</f>
        <v/>
      </c>
      <c r="CQ49" s="246" t="str">
        <f>IFERROR(__xludf.DUMMYFUNCTION("IF(REGEXMATCH($C49, ""R""), """",""R"")"),"R")</f>
        <v>R</v>
      </c>
      <c r="CR49" s="246" t="str">
        <f>IFERROR(__xludf.DUMMYFUNCTION("IF(REGEXMATCH($C49, ""g""), """",""g"")"),"g")</f>
        <v>g</v>
      </c>
      <c r="CS49" s="246" t="str">
        <f>IFERROR(__xludf.DUMMYFUNCTION("IF(REGEXMATCH($C49, ""G""), """",""G"")"),"")</f>
        <v/>
      </c>
      <c r="CT49" s="246" t="str">
        <f>IFERROR(__xludf.DUMMYFUNCTION("IF(REGEXMATCH($C49, ""m""), """",""m"")"),"")</f>
        <v/>
      </c>
      <c r="CU49" s="246" t="str">
        <f>IFERROR(__xludf.DUMMYFUNCTION("IF(REGEXMATCH($C49, ""M""), """",""M"")"),"")</f>
        <v/>
      </c>
      <c r="CV49" s="246" t="str">
        <f>IFERROR(__xludf.DUMMYFUNCTION("IF(REGEXMATCH($C49, ""P""), """",""P"")"),"")</f>
        <v/>
      </c>
      <c r="CW49" s="246" t="str">
        <f>IFERROR(__xludf.DUMMYFUNCTION("IF(REGEXMATCH($C49, ""d""), """",""d"")"),"d")</f>
        <v>d</v>
      </c>
      <c r="CX49" s="246" t="str">
        <f>IFERROR(__xludf.DUMMYFUNCTION("IF(REGEXMATCH($C49, ""D""), """",""D"")"),"")</f>
        <v/>
      </c>
      <c r="CY49" s="246" t="str">
        <f>IFERROR(__xludf.DUMMYFUNCTION("IF(REGEXMATCH($C49, ""n""), """",""n"")"),"n")</f>
        <v>n</v>
      </c>
      <c r="CZ49" s="246" t="str">
        <f>IFERROR(__xludf.DUMMYFUNCTION("IF(REGEXMATCH($C49, ""N""), """",""N"")"),"")</f>
        <v/>
      </c>
      <c r="DA49" s="246" t="str">
        <f>IFERROR(__xludf.DUMMYFUNCTION("IF(REGEXMATCH($C49, ""S""), ""S"",""S"")"),"S")</f>
        <v>S</v>
      </c>
      <c r="DB49" s="362" t="str">
        <f>IFERROR(__xludf.DUMMYFUNCTION("JOIN("""",CO49:DA49,"""","""")"),"SRgdnS")</f>
        <v>SRgdnS</v>
      </c>
      <c r="DC49" s="363"/>
      <c r="DD49" s="301" t="str">
        <f t="shared" si="35"/>
        <v>#REF!</v>
      </c>
      <c r="DE49" s="302" t="str">
        <f t="shared" si="36"/>
        <v>#REF!</v>
      </c>
      <c r="DF49" s="301" t="str">
        <f t="shared" ref="DF49:DG49" si="292">SUBSTITUTE(S49,"-","")</f>
        <v>SRGM</v>
      </c>
      <c r="DG49" s="301" t="str">
        <f t="shared" si="292"/>
        <v>PDNS</v>
      </c>
      <c r="DH49" s="302" t="str">
        <f t="shared" si="38"/>
        <v>(n/a)</v>
      </c>
      <c r="DI49" s="301" t="str">
        <f t="shared" si="39"/>
        <v>Hemi.</v>
      </c>
      <c r="DJ49" s="364" t="str">
        <f t="shared" si="40"/>
        <v>Co-Co.</v>
      </c>
      <c r="DK49" s="306" t="str">
        <f t="shared" si="41"/>
        <v>-</v>
      </c>
      <c r="DL49" s="366" t="str">
        <f t="shared" si="42"/>
        <v>-</v>
      </c>
      <c r="DM49" s="308" t="str">
        <f t="shared" si="43"/>
        <v>✔</v>
      </c>
      <c r="DN49" s="306" t="str">
        <f t="shared" si="44"/>
        <v>-</v>
      </c>
      <c r="DO49" s="306" t="str">
        <f t="shared" si="45"/>
        <v>-</v>
      </c>
      <c r="DP49" s="367" t="str">
        <f t="shared" si="46"/>
        <v>-</v>
      </c>
      <c r="DQ49" s="310" t="str">
        <f t="shared" si="47"/>
        <v>-</v>
      </c>
      <c r="DR49" s="310" t="str">
        <f t="shared" si="48"/>
        <v>-</v>
      </c>
      <c r="DS49" s="310" t="str">
        <f t="shared" si="49"/>
        <v>✔</v>
      </c>
      <c r="DT49" s="310" t="str">
        <f t="shared" si="50"/>
        <v>-</v>
      </c>
      <c r="DU49" s="370" t="str">
        <f t="shared" si="51"/>
        <v>-</v>
      </c>
      <c r="DV49" s="306" t="str">
        <f t="shared" si="52"/>
        <v>-</v>
      </c>
      <c r="DW49" s="306" t="str">
        <f t="shared" si="53"/>
        <v>-</v>
      </c>
      <c r="DX49" s="306" t="str">
        <f t="shared" si="54"/>
        <v>-</v>
      </c>
      <c r="DY49" s="306" t="str">
        <f t="shared" si="55"/>
        <v>-</v>
      </c>
      <c r="DZ49" s="306" t="str">
        <f t="shared" si="56"/>
        <v>-</v>
      </c>
      <c r="EA49" s="367" t="str">
        <f t="shared" si="57"/>
        <v>-</v>
      </c>
      <c r="EB49" s="310" t="str">
        <f>IFERROR(__xludf.DUMMYFUNCTION("IF(REGEXMATCH(AW49,AS49),""✔"",""-"")"),"-")</f>
        <v>-</v>
      </c>
      <c r="EC49" s="310" t="str">
        <f t="shared" si="58"/>
        <v>#REF!</v>
      </c>
      <c r="ED49" s="370" t="str">
        <f t="shared" si="59"/>
        <v>-</v>
      </c>
      <c r="EE49" s="340" t="str">
        <f t="shared" si="60"/>
        <v>S-r-G-mM-P-D-N-S</v>
      </c>
      <c r="EF49" s="371" t="str">
        <f>IFERROR(__xludf.DUMMYFUNCTION("CONCATENATE(JOIN("""",HC49:HO49))"),"SrgmMPdNS")</f>
        <v>SrgmMPdNS</v>
      </c>
      <c r="EG49" s="372">
        <f t="shared" si="61"/>
        <v>2</v>
      </c>
      <c r="EH49" s="373" t="str">
        <f>IFERROR(__xludf.DUMMYFUNCTION("CONCATENATE(JOIN("""",JC49:JO49))"),"re, Pa, ")</f>
        <v>re, Pa, </v>
      </c>
      <c r="EI49" s="322">
        <f t="shared" si="62"/>
        <v>0</v>
      </c>
      <c r="EJ49" s="374" t="str">
        <f>IFERROR(__xludf.DUMMYFUNCTION("CONCATENATE(JOIN("""",KC49:KO49))"),"")</f>
        <v/>
      </c>
      <c r="EK49" s="325" t="str">
        <f t="shared" si="63"/>
        <v>S-R1-G3-M1-M2-P-D2-N3-S</v>
      </c>
      <c r="EL49" s="326" t="str">
        <f t="shared" si="64"/>
        <v>1-b2-3-4-#4-5-6-7-8</v>
      </c>
      <c r="EM49" s="318" t="str">
        <f t="shared" si="65"/>
        <v>#REF!</v>
      </c>
      <c r="EN49" s="328" t="str">
        <f>IFERROR(__xludf.DUMMYFUNCTION("SUBSTITUTE(SUBSTITUTE(SUBSTITUTE(SUBSTITUTE(CONCATENATE(JOIN("" "",HP49:IB49)),""  "","" ""),""  "","" ""),""  "","" ""),""  "","" "")"),"o o • • o o o o • o • o o")</f>
        <v>o o • • o o o o • o • o o</v>
      </c>
      <c r="EO49" s="368" t="str">
        <f t="shared" si="66"/>
        <v>-</v>
      </c>
      <c r="EP49" s="339" t="str">
        <f t="shared" si="67"/>
        <v>-</v>
      </c>
      <c r="EQ49" s="339" t="str">
        <f t="shared" si="68"/>
        <v>Sa-Pa</v>
      </c>
      <c r="ER49" s="339" t="str">
        <f t="shared" si="69"/>
        <v>-</v>
      </c>
      <c r="ES49" s="340" t="str">
        <f t="shared" si="70"/>
        <v>-</v>
      </c>
      <c r="ET49" s="363"/>
      <c r="EU49" s="376" t="b">
        <f>IFERROR(__xludf.DUMMYFUNCTION("arrayformula(sum(--REGEXMATCH(""SRGMPDNS"",split(REGEXREPLACE(C49,""(.)"",""$1~""),""~""))))=len(C49)
"),FALSE)</f>
        <v>0</v>
      </c>
      <c r="EV49" s="290" t="b">
        <f>IFERROR(__xludf.DUMMYFUNCTION("arrayformula(sum(--REGEXMATCH(""SRGmPDNS"",split(REGEXREPLACE(C49,""(.)"",""$1~""),""~""))))=len(C49)"),FALSE)</f>
        <v>0</v>
      </c>
      <c r="EW49" s="290" t="b">
        <f>IFERROR(__xludf.DUMMYFUNCTION("arrayformula(sum(--REGEXMATCH(""SRGmPDnS"",split(REGEXREPLACE(C49,""(.)"",""$1~""),""~""))))=len(C49)"),FALSE)</f>
        <v>0</v>
      </c>
      <c r="EX49" s="290" t="b">
        <f>IFERROR(__xludf.DUMMYFUNCTION("arrayformula(sum(--REGEXMATCH(""SRgmPDnS"",split(REGEXREPLACE(C49,""(.)"",""$1~""),""~""))))=len(C49)"),FALSE)</f>
        <v>0</v>
      </c>
      <c r="EY49" s="290" t="b">
        <f>IFERROR(__xludf.DUMMYFUNCTION("arrayformula(sum(--REGEXMATCH(""SRgmPdnS"",split(REGEXREPLACE(C49,""(.)"",""$1~""),""~""))))=len(C49)"),FALSE)</f>
        <v>0</v>
      </c>
      <c r="EZ49" s="290" t="b">
        <f>IFERROR(__xludf.DUMMYFUNCTION("arrayformula(sum(--REGEXMATCH(""SrgmPdnS"",split(REGEXREPLACE(C49,""(.)"",""$1~""),""~""))))=len(C49)"),FALSE)</f>
        <v>0</v>
      </c>
      <c r="FA49" s="290" t="b">
        <f>IFERROR(__xludf.DUMMYFUNCTION("arrayformula(sum(--REGEXMATCH(""SrGmPdNS"",split(REGEXREPLACE(C49,""(.)"",""$1~""),""~""))))=len(C49)"),FALSE)</f>
        <v>0</v>
      </c>
      <c r="FB49" s="290" t="b">
        <f>IFERROR(__xludf.DUMMYFUNCTION("arrayformula(sum(--REGEXMATCH(""SrGMPDNS"",split(REGEXREPLACE(C49,""(.)"",""$1~""),""~""))))=len(C49)"),FALSE)</f>
        <v>0</v>
      </c>
      <c r="FC49" s="290" t="b">
        <f>IFERROR(__xludf.DUMMYFUNCTION("arrayformula(sum(--REGEXMATCH(""SrGMPdNS"",split(REGEXREPLACE(C49,""(.)"",""$1~""),""~""))))=len(C49)"),FALSE)</f>
        <v>0</v>
      </c>
      <c r="FD49" s="377" t="b">
        <f>IFERROR(__xludf.DUMMYFUNCTION("arrayformula(sum(--REGEXMATCH(""SrgMPdNS"",split(REGEXREPLACE(C49,""(.)"",""$1~""),""~""))))=len(C49)"),FALSE)</f>
        <v>0</v>
      </c>
      <c r="FE49" s="269" t="str">
        <f t="shared" si="71"/>
        <v>xooxxxxoxox</v>
      </c>
      <c r="FF49" s="269" t="str">
        <f t="shared" si="72"/>
        <v>-</v>
      </c>
      <c r="FG49" s="271" t="str">
        <f t="shared" si="73"/>
        <v>-</v>
      </c>
      <c r="FH49" s="269" t="str">
        <f t="shared" si="74"/>
        <v>xxxxoxoxxxo</v>
      </c>
      <c r="FI49" s="271" t="str">
        <f t="shared" si="75"/>
        <v>xxxoxoxxxoo</v>
      </c>
      <c r="FJ49" s="271" t="str">
        <f t="shared" si="76"/>
        <v>xxoxoxxxoox</v>
      </c>
      <c r="FK49" s="271" t="str">
        <f t="shared" si="77"/>
        <v>xoxoxxxooxx</v>
      </c>
      <c r="FL49" s="271" t="str">
        <f t="shared" si="78"/>
        <v>-</v>
      </c>
      <c r="FM49" s="271" t="str">
        <f t="shared" si="79"/>
        <v>xoxxxooxxxx</v>
      </c>
      <c r="FN49" s="271" t="str">
        <f t="shared" si="80"/>
        <v>-</v>
      </c>
      <c r="FO49" s="274" t="str">
        <f t="shared" si="81"/>
        <v>xxxooxxxxox</v>
      </c>
      <c r="FP49" s="234" t="str">
        <f t="shared" si="82"/>
        <v>|</v>
      </c>
      <c r="FQ49" s="236" t="str">
        <f t="shared" si="83"/>
        <v>|</v>
      </c>
      <c r="FR49" s="237" t="str">
        <f t="shared" si="84"/>
        <v>-</v>
      </c>
      <c r="FS49" s="236" t="str">
        <f t="shared" si="85"/>
        <v>-</v>
      </c>
      <c r="FT49" s="237" t="str">
        <f t="shared" si="86"/>
        <v>|</v>
      </c>
      <c r="FU49" s="236" t="str">
        <f t="shared" si="87"/>
        <v>|</v>
      </c>
      <c r="FV49" s="237" t="str">
        <f t="shared" si="88"/>
        <v>|</v>
      </c>
      <c r="FW49" s="236" t="str">
        <f t="shared" si="89"/>
        <v>|</v>
      </c>
      <c r="FX49" s="237" t="str">
        <f t="shared" si="90"/>
        <v>-</v>
      </c>
      <c r="FY49" s="236" t="str">
        <f t="shared" si="91"/>
        <v>|</v>
      </c>
      <c r="FZ49" s="237" t="str">
        <f t="shared" si="92"/>
        <v>-</v>
      </c>
      <c r="GA49" s="236" t="str">
        <f t="shared" si="93"/>
        <v>|</v>
      </c>
      <c r="GB49" s="238" t="str">
        <f t="shared" si="94"/>
        <v>|</v>
      </c>
      <c r="GC49" s="244" t="str">
        <f>IFERROR(__xludf.DUMMYFUNCTION("IF(REGEXMATCH(C49, ""S""), ""1"","""")"),"1")</f>
        <v>1</v>
      </c>
      <c r="GD49" s="245" t="str">
        <f>IFERROR(__xludf.DUMMYFUNCTION("IF(REGEXMATCH(C49, ""r""), ""b2"","""")"),"b2")</f>
        <v>b2</v>
      </c>
      <c r="GE49" s="246" t="str">
        <f>IFERROR(__xludf.DUMMYFUNCTION("IF(REGEXMATCH(C49, ""R""), ""2"","""")"),"")</f>
        <v/>
      </c>
      <c r="GF49" s="246" t="str">
        <f>IFERROR(__xludf.DUMMYFUNCTION("IF(REGEXMATCH(C49, ""g""), ""b3"","""")"),"")</f>
        <v/>
      </c>
      <c r="GG49" s="245" t="str">
        <f>IFERROR(__xludf.DUMMYFUNCTION("IF(REGEXMATCH(C49, ""G""), ""3"","""")"),"3")</f>
        <v>3</v>
      </c>
      <c r="GH49" s="245" t="str">
        <f>IFERROR(__xludf.DUMMYFUNCTION("IF(REGEXMATCH(C49, ""m""), ""4"","""")"),"4")</f>
        <v>4</v>
      </c>
      <c r="GI49" s="246" t="str">
        <f>IFERROR(__xludf.DUMMYFUNCTION("IF(REGEXMATCH(C49, ""M""), ""#4"","""")"),"#4")</f>
        <v>#4</v>
      </c>
      <c r="GJ49" s="245" t="str">
        <f>IFERROR(__xludf.DUMMYFUNCTION("IF(REGEXMATCH(C49, ""P""), ""5"","""")"),"5")</f>
        <v>5</v>
      </c>
      <c r="GK49" s="246" t="str">
        <f>IFERROR(__xludf.DUMMYFUNCTION("IF(REGEXMATCH(C49, ""d""), ""b6"","""")"),"")</f>
        <v/>
      </c>
      <c r="GL49" s="245" t="str">
        <f>IFERROR(__xludf.DUMMYFUNCTION("IF(REGEXMATCH(C49, ""D""), ""6"","""")"),"6")</f>
        <v>6</v>
      </c>
      <c r="GM49" s="245" t="str">
        <f>IFERROR(__xludf.DUMMYFUNCTION("IF(REGEXMATCH(C49, ""n""), ""b7"","""")"),"")</f>
        <v/>
      </c>
      <c r="GN49" s="246" t="str">
        <f>IFERROR(__xludf.DUMMYFUNCTION("IF(REGEXMATCH(C49, ""N""), ""7"","""")"),"7")</f>
        <v>7</v>
      </c>
      <c r="GO49" s="249" t="str">
        <f>IFERROR(__xludf.DUMMYFUNCTION("IF(REGEXMATCH(C49, ""S""), ""8"","""")"),"8")</f>
        <v>8</v>
      </c>
      <c r="GP49" s="244" t="str">
        <f>IFERROR(__xludf.DUMMYFUNCTION("IF(REGEXMATCH(C49, ""S""), ""S"","""")"),"S")</f>
        <v>S</v>
      </c>
      <c r="GQ49" s="294" t="str">
        <f>IFERROR(__xludf.DUMMYFUNCTION("IF(REGEXMATCH(C49, ""r""), ""R1"","""")"),"R1")</f>
        <v>R1</v>
      </c>
      <c r="GR49" s="295" t="str">
        <f>IFERROR(__xludf.DUMMYFUNCTION("IF(REGEXMATCH(C49, ""R""), ""R2"","""")"),"")</f>
        <v/>
      </c>
      <c r="GS49" s="295" t="str">
        <f>IFERROR(__xludf.DUMMYFUNCTION("IF(REGEXMATCH(C49, ""g""), ""G2"","""")"),"")</f>
        <v/>
      </c>
      <c r="GT49" s="294" t="str">
        <f>IFERROR(__xludf.DUMMYFUNCTION("IF(REGEXMATCH(C49, ""G""), ""G3"","""")"),"G3")</f>
        <v>G3</v>
      </c>
      <c r="GU49" s="294" t="str">
        <f>IFERROR(__xludf.DUMMYFUNCTION("IF(REGEXMATCH(C49, ""m""), ""M1"","""")"),"M1")</f>
        <v>M1</v>
      </c>
      <c r="GV49" s="295" t="str">
        <f>IFERROR(__xludf.DUMMYFUNCTION("IF(REGEXMATCH(C49, ""M""), ""M2"","""")"),"M2")</f>
        <v>M2</v>
      </c>
      <c r="GW49" s="294" t="str">
        <f>IFERROR(__xludf.DUMMYFUNCTION("IF(REGEXMATCH(C49, ""P""), ""P"","""")"),"P")</f>
        <v>P</v>
      </c>
      <c r="GX49" s="295" t="str">
        <f>IFERROR(__xludf.DUMMYFUNCTION("IF(REGEXMATCH(C49, ""d""), ""D1"","""")"),"")</f>
        <v/>
      </c>
      <c r="GY49" s="294" t="str">
        <f>IFERROR(__xludf.DUMMYFUNCTION("IF(REGEXMATCH(C49, ""D""), ""D2"","""")"),"D2")</f>
        <v>D2</v>
      </c>
      <c r="GZ49" s="294" t="str">
        <f>IFERROR(__xludf.DUMMYFUNCTION("IF(REGEXMATCH(C49, ""n""), ""N2"","""")"),"")</f>
        <v/>
      </c>
      <c r="HA49" s="295" t="str">
        <f>IFERROR(__xludf.DUMMYFUNCTION("IF(REGEXMATCH(C49, ""N""), ""N3"","""")"),"N3")</f>
        <v>N3</v>
      </c>
      <c r="HB49" s="249" t="str">
        <f>IFERROR(__xludf.DUMMYFUNCTION("IF(REGEXMATCH(C49, ""S""), ""S"","""")"),"S")</f>
        <v>S</v>
      </c>
      <c r="HC49" s="331" t="str">
        <f t="shared" si="95"/>
        <v>S</v>
      </c>
      <c r="HD49" s="332" t="str">
        <f t="shared" si="96"/>
        <v>r</v>
      </c>
      <c r="HE49" s="332" t="str">
        <f t="shared" si="97"/>
        <v/>
      </c>
      <c r="HF49" s="332" t="str">
        <f t="shared" si="98"/>
        <v>g</v>
      </c>
      <c r="HG49" s="332" t="str">
        <f t="shared" si="99"/>
        <v/>
      </c>
      <c r="HH49" s="332" t="str">
        <f t="shared" si="100"/>
        <v>m</v>
      </c>
      <c r="HI49" s="332" t="str">
        <f t="shared" si="101"/>
        <v>M</v>
      </c>
      <c r="HJ49" s="332" t="str">
        <f t="shared" si="102"/>
        <v>P</v>
      </c>
      <c r="HK49" s="332" t="str">
        <f t="shared" si="103"/>
        <v>d</v>
      </c>
      <c r="HL49" s="332" t="str">
        <f t="shared" si="104"/>
        <v/>
      </c>
      <c r="HM49" s="332" t="str">
        <f t="shared" si="105"/>
        <v/>
      </c>
      <c r="HN49" s="332" t="str">
        <f t="shared" si="106"/>
        <v>N</v>
      </c>
      <c r="HO49" s="343" t="str">
        <f t="shared" si="107"/>
        <v>S</v>
      </c>
      <c r="HP49" s="331" t="str">
        <f t="shared" si="108"/>
        <v>o</v>
      </c>
      <c r="HQ49" s="332" t="str">
        <f t="shared" si="109"/>
        <v>o</v>
      </c>
      <c r="HR49" s="332" t="str">
        <f t="shared" si="110"/>
        <v>•</v>
      </c>
      <c r="HS49" s="332" t="str">
        <f t="shared" si="111"/>
        <v>•</v>
      </c>
      <c r="HT49" s="332" t="str">
        <f t="shared" si="112"/>
        <v>o</v>
      </c>
      <c r="HU49" s="332" t="str">
        <f t="shared" si="113"/>
        <v>o</v>
      </c>
      <c r="HV49" s="332" t="str">
        <f t="shared" si="114"/>
        <v>o</v>
      </c>
      <c r="HW49" s="332" t="str">
        <f t="shared" si="115"/>
        <v>o</v>
      </c>
      <c r="HX49" s="332" t="str">
        <f t="shared" si="116"/>
        <v>•</v>
      </c>
      <c r="HY49" s="332" t="str">
        <f t="shared" si="117"/>
        <v>o</v>
      </c>
      <c r="HZ49" s="332" t="str">
        <f t="shared" si="118"/>
        <v>•</v>
      </c>
      <c r="IA49" s="332" t="str">
        <f t="shared" si="119"/>
        <v>o</v>
      </c>
      <c r="IB49" s="338" t="str">
        <f t="shared" si="120"/>
        <v>o</v>
      </c>
      <c r="IC49" s="331" t="str">
        <f t="shared" si="121"/>
        <v>•</v>
      </c>
      <c r="ID49" s="332" t="str">
        <f t="shared" si="122"/>
        <v>•</v>
      </c>
      <c r="IE49" s="332" t="str">
        <f t="shared" si="123"/>
        <v>o</v>
      </c>
      <c r="IF49" s="332" t="str">
        <f t="shared" si="124"/>
        <v>o</v>
      </c>
      <c r="IG49" s="332" t="str">
        <f t="shared" si="125"/>
        <v>•</v>
      </c>
      <c r="IH49" s="332" t="str">
        <f t="shared" si="126"/>
        <v>•</v>
      </c>
      <c r="II49" s="332" t="str">
        <f t="shared" si="127"/>
        <v>•</v>
      </c>
      <c r="IJ49" s="332" t="str">
        <f t="shared" si="128"/>
        <v>•</v>
      </c>
      <c r="IK49" s="332" t="str">
        <f t="shared" si="129"/>
        <v>o</v>
      </c>
      <c r="IL49" s="332" t="str">
        <f t="shared" si="130"/>
        <v>•</v>
      </c>
      <c r="IM49" s="332" t="str">
        <f t="shared" si="131"/>
        <v>o</v>
      </c>
      <c r="IN49" s="332" t="str">
        <f t="shared" si="132"/>
        <v>•</v>
      </c>
      <c r="IO49" s="338" t="str">
        <f t="shared" si="133"/>
        <v>•</v>
      </c>
      <c r="IP49" s="346" t="b">
        <f t="shared" si="134"/>
        <v>0</v>
      </c>
      <c r="IQ49" s="347" t="b">
        <f t="shared" si="135"/>
        <v>1</v>
      </c>
      <c r="IR49" s="347" t="b">
        <f t="shared" si="136"/>
        <v>0</v>
      </c>
      <c r="IS49" s="347" t="b">
        <f t="shared" si="137"/>
        <v>0</v>
      </c>
      <c r="IT49" s="347" t="b">
        <f t="shared" si="138"/>
        <v>0</v>
      </c>
      <c r="IU49" s="347" t="b">
        <f t="shared" si="139"/>
        <v>0</v>
      </c>
      <c r="IV49" s="347" t="b">
        <f t="shared" si="140"/>
        <v>0</v>
      </c>
      <c r="IW49" s="347" t="b">
        <f t="shared" si="141"/>
        <v>1</v>
      </c>
      <c r="IX49" s="347" t="b">
        <f t="shared" si="142"/>
        <v>0</v>
      </c>
      <c r="IY49" s="347" t="b">
        <f t="shared" si="143"/>
        <v>0</v>
      </c>
      <c r="IZ49" s="347" t="b">
        <f t="shared" si="144"/>
        <v>0</v>
      </c>
      <c r="JA49" s="347" t="b">
        <f t="shared" si="145"/>
        <v>0</v>
      </c>
      <c r="JB49" s="353" t="b">
        <f t="shared" si="146"/>
        <v>0</v>
      </c>
      <c r="JC49" s="354" t="str">
        <f t="shared" si="147"/>
        <v/>
      </c>
      <c r="JD49" s="355" t="str">
        <f t="shared" si="148"/>
        <v>re, </v>
      </c>
      <c r="JE49" s="355" t="str">
        <f t="shared" si="149"/>
        <v/>
      </c>
      <c r="JF49" s="355" t="str">
        <f t="shared" si="150"/>
        <v/>
      </c>
      <c r="JG49" s="355" t="str">
        <f t="shared" si="151"/>
        <v/>
      </c>
      <c r="JH49" s="355" t="str">
        <f t="shared" si="152"/>
        <v/>
      </c>
      <c r="JI49" s="355" t="str">
        <f t="shared" si="153"/>
        <v/>
      </c>
      <c r="JJ49" s="355" t="str">
        <f t="shared" si="154"/>
        <v>Pa, </v>
      </c>
      <c r="JK49" s="355" t="str">
        <f t="shared" si="155"/>
        <v/>
      </c>
      <c r="JL49" s="355" t="str">
        <f t="shared" si="156"/>
        <v/>
      </c>
      <c r="JM49" s="355" t="str">
        <f t="shared" si="157"/>
        <v/>
      </c>
      <c r="JN49" s="355" t="str">
        <f t="shared" si="158"/>
        <v/>
      </c>
      <c r="JO49" s="359" t="str">
        <f t="shared" si="159"/>
        <v/>
      </c>
      <c r="JP49" s="346" t="b">
        <f t="shared" si="160"/>
        <v>0</v>
      </c>
      <c r="JQ49" s="347" t="b">
        <f t="shared" si="161"/>
        <v>0</v>
      </c>
      <c r="JR49" s="347" t="b">
        <f t="shared" si="162"/>
        <v>0</v>
      </c>
      <c r="JS49" s="347" t="b">
        <f t="shared" si="163"/>
        <v>0</v>
      </c>
      <c r="JT49" s="347" t="b">
        <f t="shared" si="164"/>
        <v>0</v>
      </c>
      <c r="JU49" s="347" t="b">
        <f t="shared" si="165"/>
        <v>0</v>
      </c>
      <c r="JV49" s="347" t="b">
        <f t="shared" si="166"/>
        <v>0</v>
      </c>
      <c r="JW49" s="347" t="b">
        <f t="shared" si="167"/>
        <v>0</v>
      </c>
      <c r="JX49" s="347" t="b">
        <f t="shared" si="168"/>
        <v>0</v>
      </c>
      <c r="JY49" s="347" t="b">
        <f t="shared" si="169"/>
        <v>0</v>
      </c>
      <c r="JZ49" s="347" t="b">
        <f t="shared" si="170"/>
        <v>0</v>
      </c>
      <c r="KA49" s="347" t="b">
        <f t="shared" si="171"/>
        <v>0</v>
      </c>
      <c r="KB49" s="365" t="b">
        <f t="shared" si="172"/>
        <v>0</v>
      </c>
      <c r="KC49" s="354" t="str">
        <f t="shared" si="173"/>
        <v/>
      </c>
      <c r="KD49" s="355" t="str">
        <f t="shared" si="174"/>
        <v/>
      </c>
      <c r="KE49" s="355" t="str">
        <f t="shared" si="175"/>
        <v/>
      </c>
      <c r="KF49" s="355" t="str">
        <f t="shared" si="176"/>
        <v/>
      </c>
      <c r="KG49" s="355" t="str">
        <f t="shared" si="177"/>
        <v/>
      </c>
      <c r="KH49" s="355" t="str">
        <f t="shared" si="178"/>
        <v/>
      </c>
      <c r="KI49" s="355" t="str">
        <f t="shared" si="179"/>
        <v/>
      </c>
      <c r="KJ49" s="355" t="str">
        <f t="shared" si="180"/>
        <v/>
      </c>
      <c r="KK49" s="355" t="str">
        <f t="shared" si="181"/>
        <v/>
      </c>
      <c r="KL49" s="355" t="str">
        <f t="shared" si="182"/>
        <v/>
      </c>
      <c r="KM49" s="355" t="str">
        <f t="shared" si="183"/>
        <v/>
      </c>
      <c r="KN49" s="355" t="str">
        <f t="shared" si="184"/>
        <v/>
      </c>
      <c r="KO49" s="359"/>
      <c r="KP49" s="378"/>
      <c r="KQ49" s="379" t="s">
        <v>9</v>
      </c>
      <c r="KR49" s="380" t="s">
        <v>9</v>
      </c>
      <c r="KS49" s="381" t="s">
        <v>9</v>
      </c>
      <c r="KT49" s="382">
        <f t="shared" si="186"/>
        <v>0</v>
      </c>
      <c r="KU49" s="383">
        <f t="shared" si="187"/>
        <v>0</v>
      </c>
      <c r="KV49" s="381" t="str">
        <f t="shared" si="205"/>
        <v>S</v>
      </c>
      <c r="KW49" s="382">
        <f t="shared" si="189"/>
        <v>0</v>
      </c>
      <c r="KX49" s="384">
        <f t="shared" si="190"/>
        <v>0</v>
      </c>
      <c r="KY49" s="382">
        <f t="shared" ref="KY49:KZ49" si="293">KW49-KT49</f>
        <v>0</v>
      </c>
      <c r="KZ49" s="369">
        <f t="shared" si="293"/>
        <v>0</v>
      </c>
      <c r="LA49" s="385" t="str">
        <f t="shared" si="192"/>
        <v>✔</v>
      </c>
      <c r="LB49" s="340" t="str">
        <f>IFERROR(__xludf.DUMMYFUNCTION("JOIN("""",ArrayFormula(MID(KS49,LEN(KS49)-SEQUENCE(1,LEN(KS49))+1,1)))"),"S")</f>
        <v>S</v>
      </c>
      <c r="LC49" s="373" t="str">
        <f>IFERROR(__xludf.DUMMYFUNCTION("JOIN("""",ArrayFormula(MID(KV49,LEN(KV49)-SEQUENCE(1,LEN(KV49))+1,1)))"),"S")</f>
        <v>S</v>
      </c>
      <c r="LD49" s="373" t="str">
        <f t="shared" si="193"/>
        <v>S</v>
      </c>
      <c r="LE49" s="339" t="str">
        <f t="shared" si="194"/>
        <v>S</v>
      </c>
      <c r="LF49" s="386" t="str">
        <f>IFERROR(__xludf.DUMMYFUNCTION("SUBSTITUTE(SUBSTITUTE(CONCATENATE(JOIN("""",LH49:LT49)),""1"",""""),""2"","""")"),"SS")</f>
        <v>SS</v>
      </c>
      <c r="LG49" s="369" t="str">
        <f t="shared" si="195"/>
        <v>-</v>
      </c>
      <c r="LH49" s="387" t="str">
        <f>IFERROR(__xludf.DUMMYFUNCTION("IF(REGEXMATCH(LD49, ""S""), ""S"",IF(REGEXMATCH(LE49, ""S""), ""S"",""""))"),"S")</f>
        <v>S</v>
      </c>
      <c r="LI49" s="299" t="str">
        <f>IFERROR(__xludf.DUMMYFUNCTION("IF(REGEXMATCH(LD49, ""r""), ""r1"",IF(REGEXMATCH(LE49, ""r""), ""r2"",""""))"),"")</f>
        <v/>
      </c>
      <c r="LJ49" s="299" t="str">
        <f>IFERROR(__xludf.DUMMYFUNCTION("IF(REGEXMATCH(LD49, ""R""), ""R1"",IF(REGEXMATCH(LE49, ""R""), ""R2"",""""))"),"")</f>
        <v/>
      </c>
      <c r="LK49" s="299" t="str">
        <f>IFERROR(__xludf.DUMMYFUNCTION("IF(REGEXMATCH(LD49, ""g""), ""g1"",IF(REGEXMATCH(LE49, ""g""), ""g2"",""""))"),"")</f>
        <v/>
      </c>
      <c r="LL49" s="299" t="str">
        <f>IFERROR(__xludf.DUMMYFUNCTION("IF(REGEXMATCH(LD49, ""G""), ""G1"",IF(REGEXMATCH(LE49, ""G""), ""G2"",""""))"),"")</f>
        <v/>
      </c>
      <c r="LM49" s="299" t="str">
        <f>IFERROR(__xludf.DUMMYFUNCTION("IF(REGEXMATCH(LD49, ""m""), ""m1"",IF(REGEXMATCH(LE49, ""m""), ""m2"",""""))"),"")</f>
        <v/>
      </c>
      <c r="LN49" s="299" t="str">
        <f>IFERROR(__xludf.DUMMYFUNCTION("IF(REGEXMATCH(LD49, ""M""), ""M1"",IF(REGEXMATCH(LE49, ""M""), ""M2"",""""))"),"")</f>
        <v/>
      </c>
      <c r="LO49" s="299" t="str">
        <f>IFERROR(__xludf.DUMMYFUNCTION("IF(REGEXMATCH(LD49, ""P""), ""P1"",IF(REGEXMATCH(LE49, ""P""), ""P2"",""""))"),"")</f>
        <v/>
      </c>
      <c r="LP49" s="299" t="str">
        <f>IFERROR(__xludf.DUMMYFUNCTION("IF(REGEXMATCH(LD49, ""d""), ""d1"",IF(REGEXMATCH(LE49, ""d""), ""d2"",""""))"),"")</f>
        <v/>
      </c>
      <c r="LQ49" s="299" t="str">
        <f>IFERROR(__xludf.DUMMYFUNCTION("IF(REGEXMATCH(LD49, ""D""), ""D1"",IF(REGEXMATCH(LE49, ""D""), ""D2"",""""))"),"")</f>
        <v/>
      </c>
      <c r="LR49" s="299" t="str">
        <f>IFERROR(__xludf.DUMMYFUNCTION("IF(REGEXMATCH(LD49, ""n""), ""n1"",IF(REGEXMATCH(LE49, ""n""), ""n2"",""""))"),"")</f>
        <v/>
      </c>
      <c r="LS49" s="299" t="str">
        <f>IFERROR(__xludf.DUMMYFUNCTION("IF(REGEXMATCH(LD49, ""N""), ""N1"",IF(REGEXMATCH(LE49, ""N""), ""N2"",""""))"),"")</f>
        <v/>
      </c>
      <c r="LT49" s="388" t="str">
        <f>IFERROR(__xludf.DUMMYFUNCTION("IF(REGEXMATCH(LD49, ""S""), ""S"",IF(REGEXMATCH(LE49, ""S""), ""S"",""""))"),"S")</f>
        <v>S</v>
      </c>
      <c r="LU49" s="389">
        <f t="shared" si="196"/>
        <v>1</v>
      </c>
      <c r="LV49" s="378"/>
      <c r="LW49" s="369"/>
      <c r="LX49" s="369"/>
    </row>
    <row r="50" ht="18.0" customHeight="1">
      <c r="A50" s="298" t="s">
        <v>599</v>
      </c>
      <c r="B50" s="222" t="s">
        <v>597</v>
      </c>
      <c r="C50" s="233" t="str">
        <f t="shared" si="7"/>
        <v>SrGmMPDNS</v>
      </c>
      <c r="D50" s="234" t="str">
        <f>IFERROR(__xludf.DUMMYFUNCTION("IF(REGEXMATCH(C50, ""S""), ""S"","""")"),"S")</f>
        <v>S</v>
      </c>
      <c r="E50" s="236" t="str">
        <f>IFERROR(__xludf.DUMMYFUNCTION("IF(REGEXMATCH(C50, ""r""), ""r"","""")"),"r")</f>
        <v>r</v>
      </c>
      <c r="F50" s="237" t="str">
        <f>IFERROR(__xludf.DUMMYFUNCTION("IF(REGEXMATCH(C50, ""R""), ""R"","""")"),"")</f>
        <v/>
      </c>
      <c r="G50" s="237" t="str">
        <f>IFERROR(__xludf.DUMMYFUNCTION("IF(REGEXMATCH(C50, ""g""), ""g"","""")"),"")</f>
        <v/>
      </c>
      <c r="H50" s="236" t="str">
        <f>IFERROR(__xludf.DUMMYFUNCTION("IF(REGEXMATCH(C50, ""G""), ""G"","""")"),"G")</f>
        <v>G</v>
      </c>
      <c r="I50" s="236" t="str">
        <f>IFERROR(__xludf.DUMMYFUNCTION("IF(REGEXMATCH(C50, ""m""), ""m"","""")"),"m")</f>
        <v>m</v>
      </c>
      <c r="J50" s="237" t="str">
        <f>IFERROR(__xludf.DUMMYFUNCTION("IF(REGEXMATCH(C50, ""M""), ""M"","""")"),"M")</f>
        <v>M</v>
      </c>
      <c r="K50" s="236" t="str">
        <f>IFERROR(__xludf.DUMMYFUNCTION("IF(REGEXMATCH(C50, ""P""), ""P"","""")"),"P")</f>
        <v>P</v>
      </c>
      <c r="L50" s="237" t="str">
        <f>IFERROR(__xludf.DUMMYFUNCTION("IF(REGEXMATCH(C50, ""d""), ""d"","""")"),"")</f>
        <v/>
      </c>
      <c r="M50" s="236" t="str">
        <f>IFERROR(__xludf.DUMMYFUNCTION("IF(REGEXMATCH(C50, ""D""), ""D"","""")"),"D")</f>
        <v>D</v>
      </c>
      <c r="N50" s="236" t="str">
        <f>IFERROR(__xludf.DUMMYFUNCTION("IF(REGEXMATCH(C50, ""n""), ""n"","""")"),"")</f>
        <v/>
      </c>
      <c r="O50" s="237" t="str">
        <f>IFERROR(__xludf.DUMMYFUNCTION("IF(REGEXMATCH(C50, ""N""), ""N"","""")"),"N")</f>
        <v>N</v>
      </c>
      <c r="P50" s="238" t="str">
        <f>IFERROR(__xludf.DUMMYFUNCTION("IF(REGEXMATCH(C50, ""S""), ""S"","""")"),"S")</f>
        <v>S</v>
      </c>
      <c r="Q50" s="239" t="str">
        <f>IFERROR(__xludf.DUMMYFUNCTION("SUBSTITUTE(CONCATENATE(JOIN(""-"",D50:J50)),""-"","""")"),"SrGmM")</f>
        <v>SrGmM</v>
      </c>
      <c r="R50" s="229" t="str">
        <f>IFERROR(__xludf.DUMMYFUNCTION("SUBSTITUTE(CONCATENATE(JOIN(""-"",K50:P50)),""-"","""")"),"PDNS")</f>
        <v>PDNS</v>
      </c>
      <c r="S50" s="282" t="str">
        <f t="shared" si="8"/>
        <v>S-R-G-M</v>
      </c>
      <c r="T50" s="282" t="str">
        <f t="shared" si="9"/>
        <v>P-D-N-S</v>
      </c>
      <c r="U50" s="237" t="str">
        <f>IFERROR(__xludf.DUMMYFUNCTION("SUBSTITUTE(JOIN(""-"",S50,T50),""--"",""-"")"),"S-R-G-M-P-D-N-S")</f>
        <v>S-R-G-M-P-D-N-S</v>
      </c>
      <c r="V50" s="309" t="str">
        <f t="shared" si="10"/>
        <v>rGmMDN</v>
      </c>
      <c r="W50" s="244" t="str">
        <f>IFERROR(__xludf.DUMMYFUNCTION("IF(REGEXMATCH(C50, ""S""), ""0"","""")"),"0")</f>
        <v>0</v>
      </c>
      <c r="X50" s="245" t="str">
        <f>IFERROR(__xludf.DUMMYFUNCTION("IF(REGEXMATCH(C50, ""r""), ""1"","""")"),"1")</f>
        <v>1</v>
      </c>
      <c r="Y50" s="246" t="str">
        <f>IFERROR(__xludf.DUMMYFUNCTION("IF(REGEXMATCH(C50, ""R""), ""2"","""")"),"")</f>
        <v/>
      </c>
      <c r="Z50" s="246" t="str">
        <f>IFERROR(__xludf.DUMMYFUNCTION("IF(REGEXMATCH(C50, ""g""), ""3"","""")"),"")</f>
        <v/>
      </c>
      <c r="AA50" s="245" t="str">
        <f>IFERROR(__xludf.DUMMYFUNCTION("IF(REGEXMATCH(C50, ""G""), ""4"","""")"),"4")</f>
        <v>4</v>
      </c>
      <c r="AB50" s="245" t="str">
        <f>IFERROR(__xludf.DUMMYFUNCTION("IF(REGEXMATCH(C50, ""m""), ""5"","""")"),"5")</f>
        <v>5</v>
      </c>
      <c r="AC50" s="246" t="str">
        <f>IFERROR(__xludf.DUMMYFUNCTION("IF(REGEXMATCH(C50, ""M""), ""6"","""")"),"6")</f>
        <v>6</v>
      </c>
      <c r="AD50" s="245" t="str">
        <f>IFERROR(__xludf.DUMMYFUNCTION("IF(REGEXMATCH(C50, ""P""), ""7"","""")"),"7")</f>
        <v>7</v>
      </c>
      <c r="AE50" s="246" t="str">
        <f>IFERROR(__xludf.DUMMYFUNCTION("IF(REGEXMATCH(C50, ""d""), ""8"","""")"),"")</f>
        <v/>
      </c>
      <c r="AF50" s="245" t="str">
        <f>IFERROR(__xludf.DUMMYFUNCTION("IF(REGEXMATCH(C50, ""D""), ""9"","""")"),"9")</f>
        <v>9</v>
      </c>
      <c r="AG50" s="245" t="str">
        <f>IFERROR(__xludf.DUMMYFUNCTION("IF(REGEXMATCH(C50, ""n""), ""10"","""")"),"")</f>
        <v/>
      </c>
      <c r="AH50" s="246" t="str">
        <f>IFERROR(__xludf.DUMMYFUNCTION("IF(REGEXMATCH(C50, ""N""), ""11"","""")"),"11")</f>
        <v>11</v>
      </c>
      <c r="AI50" s="249" t="str">
        <f>IFERROR(__xludf.DUMMYFUNCTION("IF(REGEXMATCH(C50, ""S""), ""0"","""")"),"0")</f>
        <v>0</v>
      </c>
      <c r="AJ50" s="313" t="str">
        <f t="shared" si="11"/>
        <v>T</v>
      </c>
      <c r="AK50" s="313" t="str">
        <f t="shared" si="12"/>
        <v>T</v>
      </c>
      <c r="AL50" s="313" t="str">
        <f t="shared" si="13"/>
        <v>-</v>
      </c>
      <c r="AM50" s="313" t="str">
        <f t="shared" si="14"/>
        <v>-</v>
      </c>
      <c r="AN50" s="313" t="str">
        <f t="shared" si="15"/>
        <v>-</v>
      </c>
      <c r="AO50" s="314" t="str">
        <f t="shared" si="16"/>
        <v>T</v>
      </c>
      <c r="AP50" s="316">
        <f t="shared" si="17"/>
        <v>3</v>
      </c>
      <c r="AQ50" s="319" t="str">
        <f t="shared" si="18"/>
        <v>-</v>
      </c>
      <c r="AR50" s="320">
        <f t="shared" si="19"/>
        <v>0</v>
      </c>
      <c r="AS50" s="250" t="str">
        <f>IFERROR(__xludf.DUMMYFUNCTION("SUBSTITUTE(SUBSTITUTE(CONCATENATE(JOIN("""",FP50:GA50)),""|"",""x""),""-"",""o"")"),"xxooxxxxoxox")</f>
        <v>xxooxxxxoxox</v>
      </c>
      <c r="AT50" s="323" t="str">
        <f>IFERROR(__xludf.DUMMYFUNCTION("JOIN("""",AS50,AS50)"),"xxooxxxxoxoxxxooxxxxoxox")</f>
        <v>xxooxxxxoxoxxxooxxxxoxox</v>
      </c>
      <c r="AU50" s="256" t="str">
        <f>IFERROR(__xludf.DUMMYFUNCTION("JOIN("""",ArrayFormula(MID(AS50,LEN(AS50)-SEQUENCE(1,LEN(AS50))+1,1)))"),"xoxoxxxxooxx")</f>
        <v>xoxoxxxxooxx</v>
      </c>
      <c r="AV50" s="256" t="str">
        <f>IFERROR(__xludf.DUMMYFUNCTION("LEFT(CONCATENATE(""x"",JOIN("""",ArrayFormula(MID(AS50,LEN(AS50)-SEQUENCE(1,LEN(AS50))+1,1)))),12)"),"xxoxoxxxxoox")</f>
        <v>xxoxoxxxxoox</v>
      </c>
      <c r="AW50" s="327" t="str">
        <f>IFERROR(__xludf.DUMMYFUNCTION("JOIN("""",AU50,AU50)"),"xoxoxxxxooxxxoxoxxxxooxx")</f>
        <v>xoxoxxxxooxxxoxoxxxxooxx</v>
      </c>
      <c r="AX50" s="239" t="str">
        <f>IFERROR(__xludf.DUMMYFUNCTION("IF(REGEXMATCH(AW50,AS50),""✔"",""-"")"),"-")</f>
        <v>-</v>
      </c>
      <c r="AY50" s="330" t="str">
        <f t="shared" si="20"/>
        <v>-</v>
      </c>
      <c r="AZ50" s="260" t="str">
        <f t="shared" si="21"/>
        <v>#REF!</v>
      </c>
      <c r="BA50" s="333" t="str">
        <f t="shared" si="22"/>
        <v>xxooxxx</v>
      </c>
      <c r="BB50" s="334" t="str">
        <f t="shared" si="23"/>
        <v>xoxoxx</v>
      </c>
      <c r="BC50" s="335" t="str">
        <f t="shared" si="236"/>
        <v>-</v>
      </c>
      <c r="BD50" s="336" t="str">
        <f t="shared" si="25"/>
        <v>Bhatiyar: 'xxooxxx' + 'xoxoxx'</v>
      </c>
      <c r="BE50" s="337">
        <f>IFERROR(__xludf.DUMMYFUNCTION("COUNTUNIQUE(FILTER(AT:AT,REGEXMATCH(AT:AT,AS50)))-1"),0.0)</f>
        <v>0</v>
      </c>
      <c r="BF50" s="261" t="str">
        <f>IFERROR(__xludf.DUMMYFUNCTION("IF(BI50=0,""(n/a)"",IF(BJ50=2,""(PAIR)"",IF(REGEXMATCH(AT50,""xoxoxxoxoxox""),""Bilawal"",IF(REGEXMATCH(AT50,""xoxoxooxoxoo""),""Bhupali"",IF(REGEXMATCH(AT50,""xoxoxxoxxoxo""),""Charukeshi"",IF(REGEXMATCH(AT50,""xoxoooxxoxxo""),""Kameshwari"",IF(REGEXMATC"&amp;"H(AT50,""xoxoxooxoxox""),""Shankara"",IF(REGEXMATCH(AT50,""xxooxoxxxoox""),""Basant"",IF(REGEXMATCH(AT50,""xoxoxxxxoxox""),""Bihag"",IF(REGEXMATCH(AT50,""xoxxxxoxoxxx""),""Pilu"",IF(REGEXMATCH(AT50,""xoxxoxoxxoox""),""Kirwani"",IF(REGEXMATCH(AT50,""xoxxox"&amp;"oxoxxx""),""Mk.Malhar"",IF(REGEXMATCH(AT50,""xxooxxoxxoox""),""Bhairav"",IF(REGEXMATCH(AT50,""xxoxooxxxoox""),""Todi"",IF(REGEXMATCH(AT50,""xxooxoxooxox""),""Marwa"",IF(REGEXMATCH(AT50,""xxoooxoxxooo""),""Gunkali"",IF(REGEXMATCH(AT50,""xoxoxxoxxoox""),""N"&amp;"at Bhairav"",IF(REGEXMATCH(AT50,""xoxxoooxoxoo""),""Shivranjani"",IF(REGEXMATCH(AT50,""xooxxxoxooxo""),""Jog"",IF(REGEXMATCH(AT50,""xxooxoxoxoox""),""Hemshri"",IF(REGEXMATCH(AT50,""xoooxooxoxxo""),""Kalavati"",IF(REGEXMATCH(AT50,""xxoxoxxoxoox""),""Kedar"&amp;""",IF(REGEXMATCH(AT50,""xoxxxxoxooxx""),""Gara"",IF(REGEXMATCH(AT50,""xooxoxooxoox""),""Chandrakauns"",IF(REGEXMATCH(AT50,""xoxxxxoxxxox""),""Mand"",IF(REGEXMATCH(AT50,""xoxxxxoxoxox""),""Hanskinkini"",IF(REGEXMATCH(AT50,""xxooxxoxooxo""),""Lilavati"",IF("&amp;"REGEXMATCH(AT50,""xooxoxoooxox""),""Rajeshwari"",IF(REGEXMATCH(AT50,""xoooxxoxoxxx""),""Khokar"",IF(REGEXMATCH(AT50,""xxooxoxxxxox""),""Maligoura"",""-""))))))))))))))))))))))))))))))"),"(n/a)")</f>
        <v>(n/a)</v>
      </c>
      <c r="BG50" s="239" t="str">
        <f t="shared" si="26"/>
        <v>#REF!</v>
      </c>
      <c r="BH50" s="239">
        <f>IFERROR(__xludf.DUMMYFUNCTION("COUNTUNIQUE(FE50:FO50)-1"),7.0)</f>
        <v>7</v>
      </c>
      <c r="BI50" s="239">
        <f>IFERROR(__xludf.DUMMYFUNCTION("COUNTUNIQUE(FILTER(AT:AT,REGEXMATCH(AT:AT,AS50)))-1"),0.0)</f>
        <v>0</v>
      </c>
      <c r="BJ50" s="239">
        <f>IFERROR(__xludf.DUMMYFUNCTION("COUNTA(FILTER(AT:AT,REGEXMATCH(AT:AT,AS50)))"),7.0)</f>
        <v>7</v>
      </c>
      <c r="BK50" s="341">
        <f>IFERROR(__xludf.DUMMYFUNCTION("COUNTA(FILTER(AT:AT,REGEXMATCH(AT:AT,AS50)))-AR50"),7.0)</f>
        <v>7</v>
      </c>
      <c r="BL50" s="276" t="str">
        <f>IFERROR(__xludf.DUMMYFUNCTION("IF(AS50=""oooooooooooo"",""-"",IF(REGEXMATCH(AT50,""xx""), ""Hemi."", ""Anhemi.""))"),"Hemi.")</f>
        <v>Hemi.</v>
      </c>
      <c r="BM50" s="282" t="str">
        <f>IFERROR(__xludf.DUMMYFUNCTION("IF(AS50=""oooooooooooo"",""-"",IF(REGEXMATCH(AT50,""xxx""), ""Cohem."", ""-""))"),"Cohem.")</f>
        <v>Cohem.</v>
      </c>
      <c r="BN50" s="282" t="str">
        <f>IFERROR(__xludf.DUMMYFUNCTION("IF(AS50=""oooooooooooo"",""-"",IF(REGEXMATCH(AT50,""xxxx""), ""Co-Co."", ""-""))"),"Co-Co.")</f>
        <v>Co-Co.</v>
      </c>
      <c r="BO50" s="342" t="str">
        <f>IFERROR(__xludf.DUMMYFUNCTION("IF(AS50=""oooooooooooo"",""-"",IF(REGEXMATCH(AT50,""xxxxx""), ""CCC."", ""-""))"),"-")</f>
        <v>-</v>
      </c>
      <c r="BP50" s="344" t="str">
        <f t="shared" si="27"/>
        <v>-</v>
      </c>
      <c r="BQ50" s="282" t="str">
        <f>IFERROR(__xludf.DUMMYFUNCTION("IF(REGEXMATCH(JOIN(""-"",EU50:FD50),""TRUE""),""✔"",""-"")"),"-")</f>
        <v>-</v>
      </c>
      <c r="BR50" s="225">
        <f t="shared" si="28"/>
        <v>0</v>
      </c>
      <c r="BS50" s="345" t="str">
        <f>IFERROR(__xludf.DUMMYFUNCTION("SUBSTITUTE(SUBSTITUTE(SUBSTITUTE(SUBSTITUTE(CONCATENATE(JOIN(""-"",GC50:GO50)),""--"",""-""),""--"",""-""),""--"",""-""),""--"",""-"")"),"1-b2-3-4-#4-5-6-7-8")</f>
        <v>1-b2-3-4-#4-5-6-7-8</v>
      </c>
      <c r="BT50" s="299" t="str">
        <f>IFERROR(__xludf.DUMMYFUNCTION("SUBSTITUTE(SUBSTITUTE(SUBSTITUTE(SUBSTITUTE(CONCATENATE(JOIN(""-"",GP50:HB50)),""--"",""-""),""--"",""-""),""--"",""-""),""--"",""-"")"),"S-R1-G3-M1-M2-P-D2-N3-S")</f>
        <v>S-R1-G3-M1-M2-P-D2-N3-S</v>
      </c>
      <c r="BU50" s="348" t="str">
        <f t="shared" si="29"/>
        <v>C-Db-E-F-F#-G-A-B-C</v>
      </c>
      <c r="BV50" s="349" t="str">
        <f t="shared" si="30"/>
        <v>SRgdnS</v>
      </c>
      <c r="BW50" s="350">
        <f t="shared" si="31"/>
        <v>0</v>
      </c>
      <c r="BX50" s="351">
        <f t="shared" si="32"/>
        <v>7</v>
      </c>
      <c r="BY50" s="352" t="s">
        <v>275</v>
      </c>
      <c r="BZ50" s="309" t="str">
        <f>IFERROR(__xludf.DUMMYFUNCTION("IF(REGEXMATCH(C50, ""S""), ""x"",""x"")"),"x")</f>
        <v>x</v>
      </c>
      <c r="CA50" s="245" t="str">
        <f>IFERROR(__xludf.DUMMYFUNCTION("IF(REGEXMATCH(C50, ""r""), ""o"",""x"")"),"o")</f>
        <v>o</v>
      </c>
      <c r="CB50" s="246" t="str">
        <f>IFERROR(__xludf.DUMMYFUNCTION("IF(REGEXMATCH(C50, ""R""), ""o"",""x"")"),"x")</f>
        <v>x</v>
      </c>
      <c r="CC50" s="246" t="str">
        <f>IFERROR(__xludf.DUMMYFUNCTION("IF(REGEXMATCH(C50, ""g""), ""o"",""x"")"),"x")</f>
        <v>x</v>
      </c>
      <c r="CD50" s="245" t="str">
        <f>IFERROR(__xludf.DUMMYFUNCTION("IF(REGEXMATCH(C50, ""G""), ""o"",""x"")"),"o")</f>
        <v>o</v>
      </c>
      <c r="CE50" s="245" t="str">
        <f>IFERROR(__xludf.DUMMYFUNCTION("IF(REGEXMATCH(C50, ""m""), ""o"",""x"")"),"o")</f>
        <v>o</v>
      </c>
      <c r="CF50" s="246" t="str">
        <f>IFERROR(__xludf.DUMMYFUNCTION("IF(REGEXMATCH(C50, ""M""), ""o"",""x"")"),"o")</f>
        <v>o</v>
      </c>
      <c r="CG50" s="245" t="str">
        <f>IFERROR(__xludf.DUMMYFUNCTION("IF(REGEXMATCH(C50, ""P""), ""o"",""x"")"),"o")</f>
        <v>o</v>
      </c>
      <c r="CH50" s="246" t="str">
        <f>IFERROR(__xludf.DUMMYFUNCTION("IF(REGEXMATCH(C50, ""d""), ""o"",""x"")"),"x")</f>
        <v>x</v>
      </c>
      <c r="CI50" s="245" t="str">
        <f>IFERROR(__xludf.DUMMYFUNCTION("IF(REGEXMATCH(C50, ""D""), ""o"",""x"")"),"o")</f>
        <v>o</v>
      </c>
      <c r="CJ50" s="245" t="str">
        <f>IFERROR(__xludf.DUMMYFUNCTION("IF(REGEXMATCH(C50, ""n""), ""o"",""x"")"),"x")</f>
        <v>x</v>
      </c>
      <c r="CK50" s="245" t="str">
        <f>IFERROR(__xludf.DUMMYFUNCTION("IF(REGEXMATCH(C50, ""N""), ""o"",""x"")"),"o")</f>
        <v>o</v>
      </c>
      <c r="CL50" s="356" t="str">
        <f>IFERROR(__xludf.DUMMYFUNCTION("IF(REGEXMATCH(C50, ""S""), ""x"",""x"")"),"x")</f>
        <v>x</v>
      </c>
      <c r="CM50" s="357" t="str">
        <f t="shared" si="33"/>
        <v>xoxxooooxoxo</v>
      </c>
      <c r="CN50" s="358">
        <f t="shared" si="34"/>
        <v>0</v>
      </c>
      <c r="CO50" s="246" t="str">
        <f>IFERROR(__xludf.DUMMYFUNCTION("IF(REGEXMATCH($C50, ""S""), ""S"",""S"")"),"S")</f>
        <v>S</v>
      </c>
      <c r="CP50" s="246" t="str">
        <f>IFERROR(__xludf.DUMMYFUNCTION("IF(REGEXMATCH($C50, ""r""), """",""r"")"),"")</f>
        <v/>
      </c>
      <c r="CQ50" s="246" t="str">
        <f>IFERROR(__xludf.DUMMYFUNCTION("IF(REGEXMATCH($C50, ""R""), """",""R"")"),"R")</f>
        <v>R</v>
      </c>
      <c r="CR50" s="246" t="str">
        <f>IFERROR(__xludf.DUMMYFUNCTION("IF(REGEXMATCH($C50, ""g""), """",""g"")"),"g")</f>
        <v>g</v>
      </c>
      <c r="CS50" s="246" t="str">
        <f>IFERROR(__xludf.DUMMYFUNCTION("IF(REGEXMATCH($C50, ""G""), """",""G"")"),"")</f>
        <v/>
      </c>
      <c r="CT50" s="246" t="str">
        <f>IFERROR(__xludf.DUMMYFUNCTION("IF(REGEXMATCH($C50, ""m""), """",""m"")"),"")</f>
        <v/>
      </c>
      <c r="CU50" s="246" t="str">
        <f>IFERROR(__xludf.DUMMYFUNCTION("IF(REGEXMATCH($C50, ""M""), """",""M"")"),"")</f>
        <v/>
      </c>
      <c r="CV50" s="246" t="str">
        <f>IFERROR(__xludf.DUMMYFUNCTION("IF(REGEXMATCH($C50, ""P""), """",""P"")"),"")</f>
        <v/>
      </c>
      <c r="CW50" s="246" t="str">
        <f>IFERROR(__xludf.DUMMYFUNCTION("IF(REGEXMATCH($C50, ""d""), """",""d"")"),"d")</f>
        <v>d</v>
      </c>
      <c r="CX50" s="246" t="str">
        <f>IFERROR(__xludf.DUMMYFUNCTION("IF(REGEXMATCH($C50, ""D""), """",""D"")"),"")</f>
        <v/>
      </c>
      <c r="CY50" s="246" t="str">
        <f>IFERROR(__xludf.DUMMYFUNCTION("IF(REGEXMATCH($C50, ""n""), """",""n"")"),"n")</f>
        <v>n</v>
      </c>
      <c r="CZ50" s="246" t="str">
        <f>IFERROR(__xludf.DUMMYFUNCTION("IF(REGEXMATCH($C50, ""N""), """",""N"")"),"")</f>
        <v/>
      </c>
      <c r="DA50" s="246" t="str">
        <f>IFERROR(__xludf.DUMMYFUNCTION("IF(REGEXMATCH($C50, ""S""), ""S"",""S"")"),"S")</f>
        <v>S</v>
      </c>
      <c r="DB50" s="362" t="str">
        <f>IFERROR(__xludf.DUMMYFUNCTION("JOIN("""",CO50:DA50,"""","""")"),"SRgdnS")</f>
        <v>SRgdnS</v>
      </c>
      <c r="DC50" s="363"/>
      <c r="DD50" s="301" t="str">
        <f t="shared" si="35"/>
        <v>#REF!</v>
      </c>
      <c r="DE50" s="302" t="str">
        <f t="shared" si="36"/>
        <v>#REF!</v>
      </c>
      <c r="DF50" s="301" t="str">
        <f t="shared" ref="DF50:DG50" si="294">SUBSTITUTE(S50,"-","")</f>
        <v>SRGM</v>
      </c>
      <c r="DG50" s="301" t="str">
        <f t="shared" si="294"/>
        <v>PDNS</v>
      </c>
      <c r="DH50" s="302" t="str">
        <f t="shared" si="38"/>
        <v>(n/a)</v>
      </c>
      <c r="DI50" s="301" t="str">
        <f t="shared" si="39"/>
        <v>Hemi.</v>
      </c>
      <c r="DJ50" s="364" t="str">
        <f t="shared" si="40"/>
        <v>Co-Co.</v>
      </c>
      <c r="DK50" s="306" t="str">
        <f t="shared" si="41"/>
        <v>-</v>
      </c>
      <c r="DL50" s="366" t="str">
        <f t="shared" si="42"/>
        <v>-</v>
      </c>
      <c r="DM50" s="308" t="str">
        <f t="shared" si="43"/>
        <v>✔</v>
      </c>
      <c r="DN50" s="306" t="str">
        <f t="shared" si="44"/>
        <v>-</v>
      </c>
      <c r="DO50" s="306" t="str">
        <f t="shared" si="45"/>
        <v>-</v>
      </c>
      <c r="DP50" s="367" t="str">
        <f t="shared" si="46"/>
        <v>-</v>
      </c>
      <c r="DQ50" s="310" t="str">
        <f t="shared" si="47"/>
        <v>-</v>
      </c>
      <c r="DR50" s="310" t="str">
        <f t="shared" si="48"/>
        <v>-</v>
      </c>
      <c r="DS50" s="310" t="str">
        <f t="shared" si="49"/>
        <v>✔</v>
      </c>
      <c r="DT50" s="310" t="str">
        <f t="shared" si="50"/>
        <v>-</v>
      </c>
      <c r="DU50" s="370" t="str">
        <f t="shared" si="51"/>
        <v>-</v>
      </c>
      <c r="DV50" s="306" t="str">
        <f t="shared" si="52"/>
        <v>-</v>
      </c>
      <c r="DW50" s="306" t="str">
        <f t="shared" si="53"/>
        <v>-</v>
      </c>
      <c r="DX50" s="306" t="str">
        <f t="shared" si="54"/>
        <v>-</v>
      </c>
      <c r="DY50" s="306" t="str">
        <f t="shared" si="55"/>
        <v>-</v>
      </c>
      <c r="DZ50" s="306" t="str">
        <f t="shared" si="56"/>
        <v>-</v>
      </c>
      <c r="EA50" s="367" t="str">
        <f t="shared" si="57"/>
        <v>-</v>
      </c>
      <c r="EB50" s="310" t="str">
        <f>IFERROR(__xludf.DUMMYFUNCTION("IF(REGEXMATCH(AW50,AS50),""✔"",""-"")"),"-")</f>
        <v>-</v>
      </c>
      <c r="EC50" s="310" t="str">
        <f t="shared" si="58"/>
        <v>#REF!</v>
      </c>
      <c r="ED50" s="370" t="str">
        <f t="shared" si="59"/>
        <v>-</v>
      </c>
      <c r="EE50" s="340" t="str">
        <f t="shared" si="60"/>
        <v>S-r-G-mM-P-D-N-S</v>
      </c>
      <c r="EF50" s="371" t="str">
        <f>IFERROR(__xludf.DUMMYFUNCTION("CONCATENATE(JOIN("""",HC50:HO50))"),"SrgmMPdNS")</f>
        <v>SrgmMPdNS</v>
      </c>
      <c r="EG50" s="372">
        <f t="shared" si="61"/>
        <v>2</v>
      </c>
      <c r="EH50" s="373" t="str">
        <f>IFERROR(__xludf.DUMMYFUNCTION("CONCATENATE(JOIN("""",JC50:JO50))"),"re, Pa, ")</f>
        <v>re, Pa, </v>
      </c>
      <c r="EI50" s="322">
        <f t="shared" si="62"/>
        <v>0</v>
      </c>
      <c r="EJ50" s="374" t="str">
        <f>IFERROR(__xludf.DUMMYFUNCTION("CONCATENATE(JOIN("""",KC50:KO50))"),"")</f>
        <v/>
      </c>
      <c r="EK50" s="325" t="str">
        <f t="shared" si="63"/>
        <v>S-R1-G3-M1-M2-P-D2-N3-S</v>
      </c>
      <c r="EL50" s="326" t="str">
        <f t="shared" si="64"/>
        <v>1-b2-3-4-#4-5-6-7-8</v>
      </c>
      <c r="EM50" s="318" t="str">
        <f t="shared" si="65"/>
        <v>#REF!</v>
      </c>
      <c r="EN50" s="328" t="str">
        <f>IFERROR(__xludf.DUMMYFUNCTION("SUBSTITUTE(SUBSTITUTE(SUBSTITUTE(SUBSTITUTE(CONCATENATE(JOIN("" "",HP50:IB50)),""  "","" ""),""  "","" ""),""  "","" ""),""  "","" "")"),"o o • • o o o o • o • o o")</f>
        <v>o o • • o o o o • o • o o</v>
      </c>
      <c r="EO50" s="368" t="str">
        <f t="shared" si="66"/>
        <v>-</v>
      </c>
      <c r="EP50" s="339" t="str">
        <f t="shared" si="67"/>
        <v>-</v>
      </c>
      <c r="EQ50" s="339" t="str">
        <f t="shared" si="68"/>
        <v>Sa-Pa</v>
      </c>
      <c r="ER50" s="339" t="str">
        <f t="shared" si="69"/>
        <v>-</v>
      </c>
      <c r="ES50" s="340" t="str">
        <f t="shared" si="70"/>
        <v>-</v>
      </c>
      <c r="ET50" s="363"/>
      <c r="EU50" s="376" t="b">
        <f>IFERROR(__xludf.DUMMYFUNCTION("arrayformula(sum(--REGEXMATCH(""SRGMPDNS"",split(REGEXREPLACE(C50,""(.)"",""$1~""),""~""))))=len(C50)
"),FALSE)</f>
        <v>0</v>
      </c>
      <c r="EV50" s="290" t="b">
        <f>IFERROR(__xludf.DUMMYFUNCTION("arrayformula(sum(--REGEXMATCH(""SRGmPDNS"",split(REGEXREPLACE(C50,""(.)"",""$1~""),""~""))))=len(C50)"),FALSE)</f>
        <v>0</v>
      </c>
      <c r="EW50" s="290" t="b">
        <f>IFERROR(__xludf.DUMMYFUNCTION("arrayformula(sum(--REGEXMATCH(""SRGmPDnS"",split(REGEXREPLACE(C50,""(.)"",""$1~""),""~""))))=len(C50)"),FALSE)</f>
        <v>0</v>
      </c>
      <c r="EX50" s="290" t="b">
        <f>IFERROR(__xludf.DUMMYFUNCTION("arrayformula(sum(--REGEXMATCH(""SRgmPDnS"",split(REGEXREPLACE(C50,""(.)"",""$1~""),""~""))))=len(C50)"),FALSE)</f>
        <v>0</v>
      </c>
      <c r="EY50" s="290" t="b">
        <f>IFERROR(__xludf.DUMMYFUNCTION("arrayformula(sum(--REGEXMATCH(""SRgmPdnS"",split(REGEXREPLACE(C50,""(.)"",""$1~""),""~""))))=len(C50)"),FALSE)</f>
        <v>0</v>
      </c>
      <c r="EZ50" s="290" t="b">
        <f>IFERROR(__xludf.DUMMYFUNCTION("arrayformula(sum(--REGEXMATCH(""SrgmPdnS"",split(REGEXREPLACE(C50,""(.)"",""$1~""),""~""))))=len(C50)"),FALSE)</f>
        <v>0</v>
      </c>
      <c r="FA50" s="290" t="b">
        <f>IFERROR(__xludf.DUMMYFUNCTION("arrayformula(sum(--REGEXMATCH(""SrGmPdNS"",split(REGEXREPLACE(C50,""(.)"",""$1~""),""~""))))=len(C50)"),FALSE)</f>
        <v>0</v>
      </c>
      <c r="FB50" s="290" t="b">
        <f>IFERROR(__xludf.DUMMYFUNCTION("arrayformula(sum(--REGEXMATCH(""SrGMPDNS"",split(REGEXREPLACE(C50,""(.)"",""$1~""),""~""))))=len(C50)"),FALSE)</f>
        <v>0</v>
      </c>
      <c r="FC50" s="290" t="b">
        <f>IFERROR(__xludf.DUMMYFUNCTION("arrayformula(sum(--REGEXMATCH(""SrGMPdNS"",split(REGEXREPLACE(C50,""(.)"",""$1~""),""~""))))=len(C50)"),FALSE)</f>
        <v>0</v>
      </c>
      <c r="FD50" s="377" t="b">
        <f>IFERROR(__xludf.DUMMYFUNCTION("arrayformula(sum(--REGEXMATCH(""SrgMPdNS"",split(REGEXREPLACE(C50,""(.)"",""$1~""),""~""))))=len(C50)"),FALSE)</f>
        <v>0</v>
      </c>
      <c r="FE50" s="269" t="str">
        <f t="shared" si="71"/>
        <v>xooxxxxoxox</v>
      </c>
      <c r="FF50" s="269" t="str">
        <f t="shared" si="72"/>
        <v>-</v>
      </c>
      <c r="FG50" s="271" t="str">
        <f t="shared" si="73"/>
        <v>-</v>
      </c>
      <c r="FH50" s="269" t="str">
        <f t="shared" si="74"/>
        <v>xxxxoxoxxxo</v>
      </c>
      <c r="FI50" s="271" t="str">
        <f t="shared" si="75"/>
        <v>xxxoxoxxxoo</v>
      </c>
      <c r="FJ50" s="271" t="str">
        <f t="shared" si="76"/>
        <v>xxoxoxxxoox</v>
      </c>
      <c r="FK50" s="271" t="str">
        <f t="shared" si="77"/>
        <v>xoxoxxxooxx</v>
      </c>
      <c r="FL50" s="271" t="str">
        <f t="shared" si="78"/>
        <v>-</v>
      </c>
      <c r="FM50" s="271" t="str">
        <f t="shared" si="79"/>
        <v>xoxxxooxxxx</v>
      </c>
      <c r="FN50" s="271" t="str">
        <f t="shared" si="80"/>
        <v>-</v>
      </c>
      <c r="FO50" s="274" t="str">
        <f t="shared" si="81"/>
        <v>xxxooxxxxox</v>
      </c>
      <c r="FP50" s="234" t="str">
        <f t="shared" si="82"/>
        <v>|</v>
      </c>
      <c r="FQ50" s="236" t="str">
        <f t="shared" si="83"/>
        <v>|</v>
      </c>
      <c r="FR50" s="237" t="str">
        <f t="shared" si="84"/>
        <v>-</v>
      </c>
      <c r="FS50" s="236" t="str">
        <f t="shared" si="85"/>
        <v>-</v>
      </c>
      <c r="FT50" s="237" t="str">
        <f t="shared" si="86"/>
        <v>|</v>
      </c>
      <c r="FU50" s="236" t="str">
        <f t="shared" si="87"/>
        <v>|</v>
      </c>
      <c r="FV50" s="237" t="str">
        <f t="shared" si="88"/>
        <v>|</v>
      </c>
      <c r="FW50" s="236" t="str">
        <f t="shared" si="89"/>
        <v>|</v>
      </c>
      <c r="FX50" s="237" t="str">
        <f t="shared" si="90"/>
        <v>-</v>
      </c>
      <c r="FY50" s="236" t="str">
        <f t="shared" si="91"/>
        <v>|</v>
      </c>
      <c r="FZ50" s="237" t="str">
        <f t="shared" si="92"/>
        <v>-</v>
      </c>
      <c r="GA50" s="236" t="str">
        <f t="shared" si="93"/>
        <v>|</v>
      </c>
      <c r="GB50" s="238" t="str">
        <f t="shared" si="94"/>
        <v>|</v>
      </c>
      <c r="GC50" s="244" t="str">
        <f>IFERROR(__xludf.DUMMYFUNCTION("IF(REGEXMATCH(C50, ""S""), ""1"","""")"),"1")</f>
        <v>1</v>
      </c>
      <c r="GD50" s="245" t="str">
        <f>IFERROR(__xludf.DUMMYFUNCTION("IF(REGEXMATCH(C50, ""r""), ""b2"","""")"),"b2")</f>
        <v>b2</v>
      </c>
      <c r="GE50" s="246" t="str">
        <f>IFERROR(__xludf.DUMMYFUNCTION("IF(REGEXMATCH(C50, ""R""), ""2"","""")"),"")</f>
        <v/>
      </c>
      <c r="GF50" s="246" t="str">
        <f>IFERROR(__xludf.DUMMYFUNCTION("IF(REGEXMATCH(C50, ""g""), ""b3"","""")"),"")</f>
        <v/>
      </c>
      <c r="GG50" s="245" t="str">
        <f>IFERROR(__xludf.DUMMYFUNCTION("IF(REGEXMATCH(C50, ""G""), ""3"","""")"),"3")</f>
        <v>3</v>
      </c>
      <c r="GH50" s="245" t="str">
        <f>IFERROR(__xludf.DUMMYFUNCTION("IF(REGEXMATCH(C50, ""m""), ""4"","""")"),"4")</f>
        <v>4</v>
      </c>
      <c r="GI50" s="246" t="str">
        <f>IFERROR(__xludf.DUMMYFUNCTION("IF(REGEXMATCH(C50, ""M""), ""#4"","""")"),"#4")</f>
        <v>#4</v>
      </c>
      <c r="GJ50" s="245" t="str">
        <f>IFERROR(__xludf.DUMMYFUNCTION("IF(REGEXMATCH(C50, ""P""), ""5"","""")"),"5")</f>
        <v>5</v>
      </c>
      <c r="GK50" s="246" t="str">
        <f>IFERROR(__xludf.DUMMYFUNCTION("IF(REGEXMATCH(C50, ""d""), ""b6"","""")"),"")</f>
        <v/>
      </c>
      <c r="GL50" s="245" t="str">
        <f>IFERROR(__xludf.DUMMYFUNCTION("IF(REGEXMATCH(C50, ""D""), ""6"","""")"),"6")</f>
        <v>6</v>
      </c>
      <c r="GM50" s="245" t="str">
        <f>IFERROR(__xludf.DUMMYFUNCTION("IF(REGEXMATCH(C50, ""n""), ""b7"","""")"),"")</f>
        <v/>
      </c>
      <c r="GN50" s="246" t="str">
        <f>IFERROR(__xludf.DUMMYFUNCTION("IF(REGEXMATCH(C50, ""N""), ""7"","""")"),"7")</f>
        <v>7</v>
      </c>
      <c r="GO50" s="249" t="str">
        <f>IFERROR(__xludf.DUMMYFUNCTION("IF(REGEXMATCH(C50, ""S""), ""8"","""")"),"8")</f>
        <v>8</v>
      </c>
      <c r="GP50" s="244" t="str">
        <f>IFERROR(__xludf.DUMMYFUNCTION("IF(REGEXMATCH(C50, ""S""), ""S"","""")"),"S")</f>
        <v>S</v>
      </c>
      <c r="GQ50" s="294" t="str">
        <f>IFERROR(__xludf.DUMMYFUNCTION("IF(REGEXMATCH(C50, ""r""), ""R1"","""")"),"R1")</f>
        <v>R1</v>
      </c>
      <c r="GR50" s="295" t="str">
        <f>IFERROR(__xludf.DUMMYFUNCTION("IF(REGEXMATCH(C50, ""R""), ""R2"","""")"),"")</f>
        <v/>
      </c>
      <c r="GS50" s="295" t="str">
        <f>IFERROR(__xludf.DUMMYFUNCTION("IF(REGEXMATCH(C50, ""g""), ""G2"","""")"),"")</f>
        <v/>
      </c>
      <c r="GT50" s="294" t="str">
        <f>IFERROR(__xludf.DUMMYFUNCTION("IF(REGEXMATCH(C50, ""G""), ""G3"","""")"),"G3")</f>
        <v>G3</v>
      </c>
      <c r="GU50" s="294" t="str">
        <f>IFERROR(__xludf.DUMMYFUNCTION("IF(REGEXMATCH(C50, ""m""), ""M1"","""")"),"M1")</f>
        <v>M1</v>
      </c>
      <c r="GV50" s="295" t="str">
        <f>IFERROR(__xludf.DUMMYFUNCTION("IF(REGEXMATCH(C50, ""M""), ""M2"","""")"),"M2")</f>
        <v>M2</v>
      </c>
      <c r="GW50" s="294" t="str">
        <f>IFERROR(__xludf.DUMMYFUNCTION("IF(REGEXMATCH(C50, ""P""), ""P"","""")"),"P")</f>
        <v>P</v>
      </c>
      <c r="GX50" s="295" t="str">
        <f>IFERROR(__xludf.DUMMYFUNCTION("IF(REGEXMATCH(C50, ""d""), ""D1"","""")"),"")</f>
        <v/>
      </c>
      <c r="GY50" s="294" t="str">
        <f>IFERROR(__xludf.DUMMYFUNCTION("IF(REGEXMATCH(C50, ""D""), ""D2"","""")"),"D2")</f>
        <v>D2</v>
      </c>
      <c r="GZ50" s="294" t="str">
        <f>IFERROR(__xludf.DUMMYFUNCTION("IF(REGEXMATCH(C50, ""n""), ""N2"","""")"),"")</f>
        <v/>
      </c>
      <c r="HA50" s="295" t="str">
        <f>IFERROR(__xludf.DUMMYFUNCTION("IF(REGEXMATCH(C50, ""N""), ""N3"","""")"),"N3")</f>
        <v>N3</v>
      </c>
      <c r="HB50" s="249" t="str">
        <f>IFERROR(__xludf.DUMMYFUNCTION("IF(REGEXMATCH(C50, ""S""), ""S"","""")"),"S")</f>
        <v>S</v>
      </c>
      <c r="HC50" s="331" t="str">
        <f t="shared" si="95"/>
        <v>S</v>
      </c>
      <c r="HD50" s="332" t="str">
        <f t="shared" si="96"/>
        <v>r</v>
      </c>
      <c r="HE50" s="332" t="str">
        <f t="shared" si="97"/>
        <v/>
      </c>
      <c r="HF50" s="332" t="str">
        <f t="shared" si="98"/>
        <v>g</v>
      </c>
      <c r="HG50" s="332" t="str">
        <f t="shared" si="99"/>
        <v/>
      </c>
      <c r="HH50" s="332" t="str">
        <f t="shared" si="100"/>
        <v>m</v>
      </c>
      <c r="HI50" s="332" t="str">
        <f t="shared" si="101"/>
        <v>M</v>
      </c>
      <c r="HJ50" s="332" t="str">
        <f t="shared" si="102"/>
        <v>P</v>
      </c>
      <c r="HK50" s="332" t="str">
        <f t="shared" si="103"/>
        <v>d</v>
      </c>
      <c r="HL50" s="332" t="str">
        <f t="shared" si="104"/>
        <v/>
      </c>
      <c r="HM50" s="332" t="str">
        <f t="shared" si="105"/>
        <v/>
      </c>
      <c r="HN50" s="332" t="str">
        <f t="shared" si="106"/>
        <v>N</v>
      </c>
      <c r="HO50" s="343" t="str">
        <f t="shared" si="107"/>
        <v>S</v>
      </c>
      <c r="HP50" s="331" t="str">
        <f t="shared" si="108"/>
        <v>o</v>
      </c>
      <c r="HQ50" s="332" t="str">
        <f t="shared" si="109"/>
        <v>o</v>
      </c>
      <c r="HR50" s="332" t="str">
        <f t="shared" si="110"/>
        <v>•</v>
      </c>
      <c r="HS50" s="332" t="str">
        <f t="shared" si="111"/>
        <v>•</v>
      </c>
      <c r="HT50" s="332" t="str">
        <f t="shared" si="112"/>
        <v>o</v>
      </c>
      <c r="HU50" s="332" t="str">
        <f t="shared" si="113"/>
        <v>o</v>
      </c>
      <c r="HV50" s="332" t="str">
        <f t="shared" si="114"/>
        <v>o</v>
      </c>
      <c r="HW50" s="332" t="str">
        <f t="shared" si="115"/>
        <v>o</v>
      </c>
      <c r="HX50" s="332" t="str">
        <f t="shared" si="116"/>
        <v>•</v>
      </c>
      <c r="HY50" s="332" t="str">
        <f t="shared" si="117"/>
        <v>o</v>
      </c>
      <c r="HZ50" s="332" t="str">
        <f t="shared" si="118"/>
        <v>•</v>
      </c>
      <c r="IA50" s="332" t="str">
        <f t="shared" si="119"/>
        <v>o</v>
      </c>
      <c r="IB50" s="338" t="str">
        <f t="shared" si="120"/>
        <v>o</v>
      </c>
      <c r="IC50" s="331" t="str">
        <f t="shared" si="121"/>
        <v>•</v>
      </c>
      <c r="ID50" s="332" t="str">
        <f t="shared" si="122"/>
        <v>•</v>
      </c>
      <c r="IE50" s="332" t="str">
        <f t="shared" si="123"/>
        <v>o</v>
      </c>
      <c r="IF50" s="332" t="str">
        <f t="shared" si="124"/>
        <v>o</v>
      </c>
      <c r="IG50" s="332" t="str">
        <f t="shared" si="125"/>
        <v>•</v>
      </c>
      <c r="IH50" s="332" t="str">
        <f t="shared" si="126"/>
        <v>•</v>
      </c>
      <c r="II50" s="332" t="str">
        <f t="shared" si="127"/>
        <v>•</v>
      </c>
      <c r="IJ50" s="332" t="str">
        <f t="shared" si="128"/>
        <v>•</v>
      </c>
      <c r="IK50" s="332" t="str">
        <f t="shared" si="129"/>
        <v>o</v>
      </c>
      <c r="IL50" s="332" t="str">
        <f t="shared" si="130"/>
        <v>•</v>
      </c>
      <c r="IM50" s="332" t="str">
        <f t="shared" si="131"/>
        <v>o</v>
      </c>
      <c r="IN50" s="332" t="str">
        <f t="shared" si="132"/>
        <v>•</v>
      </c>
      <c r="IO50" s="338" t="str">
        <f t="shared" si="133"/>
        <v>•</v>
      </c>
      <c r="IP50" s="346" t="b">
        <f t="shared" si="134"/>
        <v>0</v>
      </c>
      <c r="IQ50" s="347" t="b">
        <f t="shared" si="135"/>
        <v>1</v>
      </c>
      <c r="IR50" s="347" t="b">
        <f t="shared" si="136"/>
        <v>0</v>
      </c>
      <c r="IS50" s="347" t="b">
        <f t="shared" si="137"/>
        <v>0</v>
      </c>
      <c r="IT50" s="347" t="b">
        <f t="shared" si="138"/>
        <v>0</v>
      </c>
      <c r="IU50" s="347" t="b">
        <f t="shared" si="139"/>
        <v>0</v>
      </c>
      <c r="IV50" s="347" t="b">
        <f t="shared" si="140"/>
        <v>0</v>
      </c>
      <c r="IW50" s="347" t="b">
        <f t="shared" si="141"/>
        <v>1</v>
      </c>
      <c r="IX50" s="347" t="b">
        <f t="shared" si="142"/>
        <v>0</v>
      </c>
      <c r="IY50" s="347" t="b">
        <f t="shared" si="143"/>
        <v>0</v>
      </c>
      <c r="IZ50" s="347" t="b">
        <f t="shared" si="144"/>
        <v>0</v>
      </c>
      <c r="JA50" s="347" t="b">
        <f t="shared" si="145"/>
        <v>0</v>
      </c>
      <c r="JB50" s="353" t="b">
        <f t="shared" si="146"/>
        <v>0</v>
      </c>
      <c r="JC50" s="354" t="str">
        <f t="shared" si="147"/>
        <v/>
      </c>
      <c r="JD50" s="355" t="str">
        <f t="shared" si="148"/>
        <v>re, </v>
      </c>
      <c r="JE50" s="355" t="str">
        <f t="shared" si="149"/>
        <v/>
      </c>
      <c r="JF50" s="355" t="str">
        <f t="shared" si="150"/>
        <v/>
      </c>
      <c r="JG50" s="355" t="str">
        <f t="shared" si="151"/>
        <v/>
      </c>
      <c r="JH50" s="355" t="str">
        <f t="shared" si="152"/>
        <v/>
      </c>
      <c r="JI50" s="355" t="str">
        <f t="shared" si="153"/>
        <v/>
      </c>
      <c r="JJ50" s="355" t="str">
        <f t="shared" si="154"/>
        <v>Pa, </v>
      </c>
      <c r="JK50" s="355" t="str">
        <f t="shared" si="155"/>
        <v/>
      </c>
      <c r="JL50" s="355" t="str">
        <f t="shared" si="156"/>
        <v/>
      </c>
      <c r="JM50" s="355" t="str">
        <f t="shared" si="157"/>
        <v/>
      </c>
      <c r="JN50" s="355" t="str">
        <f t="shared" si="158"/>
        <v/>
      </c>
      <c r="JO50" s="359" t="str">
        <f t="shared" si="159"/>
        <v/>
      </c>
      <c r="JP50" s="346" t="b">
        <f t="shared" si="160"/>
        <v>0</v>
      </c>
      <c r="JQ50" s="347" t="b">
        <f t="shared" si="161"/>
        <v>0</v>
      </c>
      <c r="JR50" s="347" t="b">
        <f t="shared" si="162"/>
        <v>0</v>
      </c>
      <c r="JS50" s="347" t="b">
        <f t="shared" si="163"/>
        <v>0</v>
      </c>
      <c r="JT50" s="347" t="b">
        <f t="shared" si="164"/>
        <v>0</v>
      </c>
      <c r="JU50" s="347" t="b">
        <f t="shared" si="165"/>
        <v>0</v>
      </c>
      <c r="JV50" s="347" t="b">
        <f t="shared" si="166"/>
        <v>0</v>
      </c>
      <c r="JW50" s="347" t="b">
        <f t="shared" si="167"/>
        <v>0</v>
      </c>
      <c r="JX50" s="347" t="b">
        <f t="shared" si="168"/>
        <v>0</v>
      </c>
      <c r="JY50" s="347" t="b">
        <f t="shared" si="169"/>
        <v>0</v>
      </c>
      <c r="JZ50" s="347" t="b">
        <f t="shared" si="170"/>
        <v>0</v>
      </c>
      <c r="KA50" s="347" t="b">
        <f t="shared" si="171"/>
        <v>0</v>
      </c>
      <c r="KB50" s="365" t="b">
        <f t="shared" si="172"/>
        <v>0</v>
      </c>
      <c r="KC50" s="354" t="str">
        <f t="shared" si="173"/>
        <v/>
      </c>
      <c r="KD50" s="355" t="str">
        <f t="shared" si="174"/>
        <v/>
      </c>
      <c r="KE50" s="355" t="str">
        <f t="shared" si="175"/>
        <v/>
      </c>
      <c r="KF50" s="355" t="str">
        <f t="shared" si="176"/>
        <v/>
      </c>
      <c r="KG50" s="355" t="str">
        <f t="shared" si="177"/>
        <v/>
      </c>
      <c r="KH50" s="355" t="str">
        <f t="shared" si="178"/>
        <v/>
      </c>
      <c r="KI50" s="355" t="str">
        <f t="shared" si="179"/>
        <v/>
      </c>
      <c r="KJ50" s="355" t="str">
        <f t="shared" si="180"/>
        <v/>
      </c>
      <c r="KK50" s="355" t="str">
        <f t="shared" si="181"/>
        <v/>
      </c>
      <c r="KL50" s="355" t="str">
        <f t="shared" si="182"/>
        <v/>
      </c>
      <c r="KM50" s="355" t="str">
        <f t="shared" si="183"/>
        <v/>
      </c>
      <c r="KN50" s="355" t="str">
        <f t="shared" si="184"/>
        <v/>
      </c>
      <c r="KO50" s="359"/>
      <c r="KP50" s="378"/>
      <c r="KQ50" s="379" t="s">
        <v>1330</v>
      </c>
      <c r="KR50" s="380" t="s">
        <v>1311</v>
      </c>
      <c r="KS50" s="381" t="str">
        <f>KQ50</f>
        <v>S-G-M-P-D-S</v>
      </c>
      <c r="KT50" s="382">
        <f t="shared" si="186"/>
        <v>5</v>
      </c>
      <c r="KU50" s="383">
        <f t="shared" si="187"/>
        <v>5</v>
      </c>
      <c r="KV50" s="381" t="str">
        <f t="shared" si="205"/>
        <v>S-N-D-P-M-G-r-S</v>
      </c>
      <c r="KW50" s="382">
        <f t="shared" si="189"/>
        <v>7</v>
      </c>
      <c r="KX50" s="384">
        <f t="shared" si="190"/>
        <v>7</v>
      </c>
      <c r="KY50" s="382">
        <f t="shared" ref="KY50:KZ50" si="295">KW50-KT50</f>
        <v>2</v>
      </c>
      <c r="KZ50" s="369">
        <f t="shared" si="295"/>
        <v>2</v>
      </c>
      <c r="LA50" s="385" t="str">
        <f t="shared" si="192"/>
        <v>-</v>
      </c>
      <c r="LB50" s="340" t="str">
        <f>IFERROR(__xludf.DUMMYFUNCTION("JOIN("""",ArrayFormula(MID(KS50,LEN(KS50)-SEQUENCE(1,LEN(KS50))+1,1)))"),"S-D-P-M-G-S")</f>
        <v>S-D-P-M-G-S</v>
      </c>
      <c r="LC50" s="373" t="str">
        <f>IFERROR(__xludf.DUMMYFUNCTION("JOIN("""",ArrayFormula(MID(KV50,LEN(KV50)-SEQUENCE(1,LEN(KV50))+1,1)))"),"S-r-G-M-P-D-N-S")</f>
        <v>S-r-G-M-P-D-N-S</v>
      </c>
      <c r="LD50" s="373" t="str">
        <f t="shared" si="193"/>
        <v>SGMPDS</v>
      </c>
      <c r="LE50" s="339" t="str">
        <f t="shared" si="194"/>
        <v>SrGMPDNS</v>
      </c>
      <c r="LF50" s="386" t="str">
        <f>IFERROR(__xludf.DUMMYFUNCTION("SUBSTITUTE(SUBSTITUTE(CONCATENATE(JOIN("""",LH50:LT50)),""1"",""""),""2"","""")"),"SrGMPDNS")</f>
        <v>SrGMPDNS</v>
      </c>
      <c r="LG50" s="369" t="str">
        <f t="shared" si="195"/>
        <v>-</v>
      </c>
      <c r="LH50" s="387" t="str">
        <f>IFERROR(__xludf.DUMMYFUNCTION("IF(REGEXMATCH(LD50, ""S""), ""S"",IF(REGEXMATCH(LE50, ""S""), ""S"",""""))"),"S")</f>
        <v>S</v>
      </c>
      <c r="LI50" s="299" t="str">
        <f>IFERROR(__xludf.DUMMYFUNCTION("IF(REGEXMATCH(LD50, ""r""), ""r1"",IF(REGEXMATCH(LE50, ""r""), ""r2"",""""))"),"r2")</f>
        <v>r2</v>
      </c>
      <c r="LJ50" s="299" t="str">
        <f>IFERROR(__xludf.DUMMYFUNCTION("IF(REGEXMATCH(LD50, ""R""), ""R1"",IF(REGEXMATCH(LE50, ""R""), ""R2"",""""))"),"")</f>
        <v/>
      </c>
      <c r="LK50" s="299" t="str">
        <f>IFERROR(__xludf.DUMMYFUNCTION("IF(REGEXMATCH(LD50, ""g""), ""g1"",IF(REGEXMATCH(LE50, ""g""), ""g2"",""""))"),"")</f>
        <v/>
      </c>
      <c r="LL50" s="299" t="str">
        <f>IFERROR(__xludf.DUMMYFUNCTION("IF(REGEXMATCH(LD50, ""G""), ""G1"",IF(REGEXMATCH(LE50, ""G""), ""G2"",""""))"),"G1")</f>
        <v>G1</v>
      </c>
      <c r="LM50" s="299" t="str">
        <f>IFERROR(__xludf.DUMMYFUNCTION("IF(REGEXMATCH(LD50, ""m""), ""m1"",IF(REGEXMATCH(LE50, ""m""), ""m2"",""""))"),"")</f>
        <v/>
      </c>
      <c r="LN50" s="299" t="str">
        <f>IFERROR(__xludf.DUMMYFUNCTION("IF(REGEXMATCH(LD50, ""M""), ""M1"",IF(REGEXMATCH(LE50, ""M""), ""M2"",""""))"),"M1")</f>
        <v>M1</v>
      </c>
      <c r="LO50" s="299" t="str">
        <f>IFERROR(__xludf.DUMMYFUNCTION("IF(REGEXMATCH(LD50, ""P""), ""P1"",IF(REGEXMATCH(LE50, ""P""), ""P2"",""""))"),"P1")</f>
        <v>P1</v>
      </c>
      <c r="LP50" s="299" t="str">
        <f>IFERROR(__xludf.DUMMYFUNCTION("IF(REGEXMATCH(LD50, ""d""), ""d1"",IF(REGEXMATCH(LE50, ""d""), ""d2"",""""))"),"")</f>
        <v/>
      </c>
      <c r="LQ50" s="299" t="str">
        <f>IFERROR(__xludf.DUMMYFUNCTION("IF(REGEXMATCH(LD50, ""D""), ""D1"",IF(REGEXMATCH(LE50, ""D""), ""D2"",""""))"),"D1")</f>
        <v>D1</v>
      </c>
      <c r="LR50" s="299" t="str">
        <f>IFERROR(__xludf.DUMMYFUNCTION("IF(REGEXMATCH(LD50, ""n""), ""n1"",IF(REGEXMATCH(LE50, ""n""), ""n2"",""""))"),"")</f>
        <v/>
      </c>
      <c r="LS50" s="299" t="str">
        <f>IFERROR(__xludf.DUMMYFUNCTION("IF(REGEXMATCH(LD50, ""N""), ""N1"",IF(REGEXMATCH(LE50, ""N""), ""N2"",""""))"),"N2")</f>
        <v>N2</v>
      </c>
      <c r="LT50" s="388" t="str">
        <f>IFERROR(__xludf.DUMMYFUNCTION("IF(REGEXMATCH(LD50, ""S""), ""S"",IF(REGEXMATCH(LE50, ""S""), ""S"",""""))"),"S")</f>
        <v>S</v>
      </c>
      <c r="LU50" s="389">
        <f t="shared" si="196"/>
        <v>-3</v>
      </c>
      <c r="LV50" s="378"/>
      <c r="LW50" s="369"/>
      <c r="LX50" s="369"/>
    </row>
    <row r="51" ht="18.0" customHeight="1">
      <c r="A51" s="298" t="s">
        <v>602</v>
      </c>
      <c r="B51" s="222" t="s">
        <v>603</v>
      </c>
      <c r="C51" s="233" t="str">
        <f t="shared" si="7"/>
        <v>SrGmPDNS</v>
      </c>
      <c r="D51" s="234" t="str">
        <f>IFERROR(__xludf.DUMMYFUNCTION("IF(REGEXMATCH(C51, ""S""), ""S"","""")"),"S")</f>
        <v>S</v>
      </c>
      <c r="E51" s="236" t="str">
        <f>IFERROR(__xludf.DUMMYFUNCTION("IF(REGEXMATCH(C51, ""r""), ""r"","""")"),"r")</f>
        <v>r</v>
      </c>
      <c r="F51" s="237" t="str">
        <f>IFERROR(__xludf.DUMMYFUNCTION("IF(REGEXMATCH(C51, ""R""), ""R"","""")"),"")</f>
        <v/>
      </c>
      <c r="G51" s="237" t="str">
        <f>IFERROR(__xludf.DUMMYFUNCTION("IF(REGEXMATCH(C51, ""g""), ""g"","""")"),"")</f>
        <v/>
      </c>
      <c r="H51" s="236" t="str">
        <f>IFERROR(__xludf.DUMMYFUNCTION("IF(REGEXMATCH(C51, ""G""), ""G"","""")"),"G")</f>
        <v>G</v>
      </c>
      <c r="I51" s="236" t="str">
        <f>IFERROR(__xludf.DUMMYFUNCTION("IF(REGEXMATCH(C51, ""m""), ""m"","""")"),"m")</f>
        <v>m</v>
      </c>
      <c r="J51" s="237" t="str">
        <f>IFERROR(__xludf.DUMMYFUNCTION("IF(REGEXMATCH(C51, ""M""), ""M"","""")"),"")</f>
        <v/>
      </c>
      <c r="K51" s="236" t="str">
        <f>IFERROR(__xludf.DUMMYFUNCTION("IF(REGEXMATCH(C51, ""P""), ""P"","""")"),"P")</f>
        <v>P</v>
      </c>
      <c r="L51" s="237" t="str">
        <f>IFERROR(__xludf.DUMMYFUNCTION("IF(REGEXMATCH(C51, ""d""), ""d"","""")"),"")</f>
        <v/>
      </c>
      <c r="M51" s="236" t="str">
        <f>IFERROR(__xludf.DUMMYFUNCTION("IF(REGEXMATCH(C51, ""D""), ""D"","""")"),"D")</f>
        <v>D</v>
      </c>
      <c r="N51" s="236" t="str">
        <f>IFERROR(__xludf.DUMMYFUNCTION("IF(REGEXMATCH(C51, ""n""), ""n"","""")"),"")</f>
        <v/>
      </c>
      <c r="O51" s="237" t="str">
        <f>IFERROR(__xludf.DUMMYFUNCTION("IF(REGEXMATCH(C51, ""N""), ""N"","""")"),"N")</f>
        <v>N</v>
      </c>
      <c r="P51" s="238" t="str">
        <f>IFERROR(__xludf.DUMMYFUNCTION("IF(REGEXMATCH(C51, ""S""), ""S"","""")"),"S")</f>
        <v>S</v>
      </c>
      <c r="Q51" s="239" t="str">
        <f>IFERROR(__xludf.DUMMYFUNCTION("SUBSTITUTE(CONCATENATE(JOIN(""-"",D51:J51)),""-"","""")"),"SrGm")</f>
        <v>SrGm</v>
      </c>
      <c r="R51" s="229" t="str">
        <f>IFERROR(__xludf.DUMMYFUNCTION("SUBSTITUTE(CONCATENATE(JOIN(""-"",K51:P51)),""-"","""")"),"PDNS")</f>
        <v>PDNS</v>
      </c>
      <c r="S51" s="282" t="str">
        <f t="shared" si="8"/>
        <v>S-R-G-M</v>
      </c>
      <c r="T51" s="282" t="str">
        <f t="shared" si="9"/>
        <v>P-D-N-S</v>
      </c>
      <c r="U51" s="237" t="str">
        <f>IFERROR(__xludf.DUMMYFUNCTION("SUBSTITUTE(JOIN(""-"",S51,T51),""--"",""-"")"),"S-R-G-M-P-D-N-S")</f>
        <v>S-R-G-M-P-D-N-S</v>
      </c>
      <c r="V51" s="309" t="str">
        <f t="shared" si="10"/>
        <v>rGmDN</v>
      </c>
      <c r="W51" s="244" t="str">
        <f>IFERROR(__xludf.DUMMYFUNCTION("IF(REGEXMATCH(C51, ""S""), ""0"","""")"),"0")</f>
        <v>0</v>
      </c>
      <c r="X51" s="245" t="str">
        <f>IFERROR(__xludf.DUMMYFUNCTION("IF(REGEXMATCH(C51, ""r""), ""1"","""")"),"1")</f>
        <v>1</v>
      </c>
      <c r="Y51" s="246" t="str">
        <f>IFERROR(__xludf.DUMMYFUNCTION("IF(REGEXMATCH(C51, ""R""), ""2"","""")"),"")</f>
        <v/>
      </c>
      <c r="Z51" s="246" t="str">
        <f>IFERROR(__xludf.DUMMYFUNCTION("IF(REGEXMATCH(C51, ""g""), ""3"","""")"),"")</f>
        <v/>
      </c>
      <c r="AA51" s="245" t="str">
        <f>IFERROR(__xludf.DUMMYFUNCTION("IF(REGEXMATCH(C51, ""G""), ""4"","""")"),"4")</f>
        <v>4</v>
      </c>
      <c r="AB51" s="245" t="str">
        <f>IFERROR(__xludf.DUMMYFUNCTION("IF(REGEXMATCH(C51, ""m""), ""5"","""")"),"5")</f>
        <v>5</v>
      </c>
      <c r="AC51" s="246" t="str">
        <f>IFERROR(__xludf.DUMMYFUNCTION("IF(REGEXMATCH(C51, ""M""), ""6"","""")"),"")</f>
        <v/>
      </c>
      <c r="AD51" s="245" t="str">
        <f>IFERROR(__xludf.DUMMYFUNCTION("IF(REGEXMATCH(C51, ""P""), ""7"","""")"),"7")</f>
        <v>7</v>
      </c>
      <c r="AE51" s="246" t="str">
        <f>IFERROR(__xludf.DUMMYFUNCTION("IF(REGEXMATCH(C51, ""d""), ""8"","""")"),"")</f>
        <v/>
      </c>
      <c r="AF51" s="245" t="str">
        <f>IFERROR(__xludf.DUMMYFUNCTION("IF(REGEXMATCH(C51, ""D""), ""9"","""")"),"9")</f>
        <v>9</v>
      </c>
      <c r="AG51" s="245" t="str">
        <f>IFERROR(__xludf.DUMMYFUNCTION("IF(REGEXMATCH(C51, ""n""), ""10"","""")"),"")</f>
        <v/>
      </c>
      <c r="AH51" s="246" t="str">
        <f>IFERROR(__xludf.DUMMYFUNCTION("IF(REGEXMATCH(C51, ""N""), ""11"","""")"),"11")</f>
        <v>11</v>
      </c>
      <c r="AI51" s="249" t="str">
        <f>IFERROR(__xludf.DUMMYFUNCTION("IF(REGEXMATCH(C51, ""S""), ""0"","""")"),"0")</f>
        <v>0</v>
      </c>
      <c r="AJ51" s="313" t="str">
        <f t="shared" si="11"/>
        <v>-</v>
      </c>
      <c r="AK51" s="313" t="str">
        <f t="shared" si="12"/>
        <v>T</v>
      </c>
      <c r="AL51" s="313" t="str">
        <f t="shared" si="13"/>
        <v>-</v>
      </c>
      <c r="AM51" s="313" t="str">
        <f t="shared" si="14"/>
        <v>-</v>
      </c>
      <c r="AN51" s="313" t="str">
        <f t="shared" si="15"/>
        <v>-</v>
      </c>
      <c r="AO51" s="314" t="str">
        <f t="shared" si="16"/>
        <v>T</v>
      </c>
      <c r="AP51" s="316">
        <f t="shared" si="17"/>
        <v>2</v>
      </c>
      <c r="AQ51" s="319" t="str">
        <f t="shared" si="18"/>
        <v>#REF!</v>
      </c>
      <c r="AR51" s="320">
        <f t="shared" si="19"/>
        <v>0</v>
      </c>
      <c r="AS51" s="250" t="str">
        <f>IFERROR(__xludf.DUMMYFUNCTION("SUBSTITUTE(SUBSTITUTE(CONCATENATE(JOIN("""",FP51:GA51)),""|"",""x""),""-"",""o"")"),"xxooxxoxoxox")</f>
        <v>xxooxxoxoxox</v>
      </c>
      <c r="AT51" s="323" t="str">
        <f>IFERROR(__xludf.DUMMYFUNCTION("JOIN("""",AS51,AS51)"),"xxooxxoxoxoxxxooxxoxoxox")</f>
        <v>xxooxxoxoxoxxxooxxoxoxox</v>
      </c>
      <c r="AU51" s="256" t="str">
        <f>IFERROR(__xludf.DUMMYFUNCTION("JOIN("""",ArrayFormula(MID(AS51,LEN(AS51)-SEQUENCE(1,LEN(AS51))+1,1)))"),"xoxoxoxxooxx")</f>
        <v>xoxoxoxxooxx</v>
      </c>
      <c r="AV51" s="256" t="str">
        <f>IFERROR(__xludf.DUMMYFUNCTION("LEFT(CONCATENATE(""x"",JOIN("""",ArrayFormula(MID(AS51,LEN(AS51)-SEQUENCE(1,LEN(AS51))+1,1)))),12)"),"xxoxoxoxxoox")</f>
        <v>xxoxoxoxxoox</v>
      </c>
      <c r="AW51" s="327" t="str">
        <f>IFERROR(__xludf.DUMMYFUNCTION("JOIN("""",AU51,AU51)"),"xoxoxoxxooxxxoxoxoxxooxx")</f>
        <v>xoxoxoxxooxxxoxoxoxxooxx</v>
      </c>
      <c r="AX51" s="239" t="str">
        <f>IFERROR(__xludf.DUMMYFUNCTION("IF(REGEXMATCH(AW51,AS51),""✔"",""-"")"),"-")</f>
        <v>-</v>
      </c>
      <c r="AY51" s="330" t="str">
        <f t="shared" si="20"/>
        <v>-</v>
      </c>
      <c r="AZ51" s="260" t="str">
        <f t="shared" si="21"/>
        <v>#REF!</v>
      </c>
      <c r="BA51" s="333" t="str">
        <f t="shared" si="22"/>
        <v>xxooxxo</v>
      </c>
      <c r="BB51" s="334" t="str">
        <f t="shared" si="23"/>
        <v>xoxoxx</v>
      </c>
      <c r="BC51" s="335" t="str">
        <f t="shared" si="236"/>
        <v>-</v>
      </c>
      <c r="BD51" s="336" t="str">
        <f t="shared" si="25"/>
        <v>Bhatiyari Bhairav: 'xxooxxo' + 'xoxoxx'</v>
      </c>
      <c r="BE51" s="337">
        <f>IFERROR(__xludf.DUMMYFUNCTION("COUNTUNIQUE(FILTER(AT:AT,REGEXMATCH(AT:AT,AS51)))-1"),1.0)</f>
        <v>1</v>
      </c>
      <c r="BF51" s="261" t="str">
        <f>IFERROR(__xludf.DUMMYFUNCTION("IF(BI51=0,""(n/a)"",IF(BJ51=2,""(PAIR)"",IF(REGEXMATCH(AT51,""xoxoxxoxoxox""),""Bilawal"",IF(REGEXMATCH(AT51,""xoxoxooxoxoo""),""Bhupali"",IF(REGEXMATCH(AT51,""xoxoxxoxxoxo""),""Charukeshi"",IF(REGEXMATCH(AT51,""xoxoooxxoxxo""),""Kameshwari"",IF(REGEXMATC"&amp;"H(AT51,""xoxoxooxoxox""),""Shankara"",IF(REGEXMATCH(AT51,""xxooxoxxxoox""),""Basant"",IF(REGEXMATCH(AT51,""xoxoxxxxoxox""),""Bihag"",IF(REGEXMATCH(AT51,""xoxxxxoxoxxx""),""Pilu"",IF(REGEXMATCH(AT51,""xoxxoxoxxoox""),""Kirwani"",IF(REGEXMATCH(AT51,""xoxxox"&amp;"oxoxxx""),""Mk.Malhar"",IF(REGEXMATCH(AT51,""xxooxxoxxoox""),""Bhairav"",IF(REGEXMATCH(AT51,""xxoxooxxxoox""),""Todi"",IF(REGEXMATCH(AT51,""xxooxoxooxox""),""Marwa"",IF(REGEXMATCH(AT51,""xxoooxoxxooo""),""Gunkali"",IF(REGEXMATCH(AT51,""xoxoxxoxxoox""),""N"&amp;"at Bhairav"",IF(REGEXMATCH(AT51,""xoxxoooxoxoo""),""Shivranjani"",IF(REGEXMATCH(AT51,""xooxxxoxooxo""),""Jog"",IF(REGEXMATCH(AT51,""xxooxoxoxoox""),""Hemshri"",IF(REGEXMATCH(AT51,""xoooxooxoxxo""),""Kalavati"",IF(REGEXMATCH(AT51,""xxoxoxxoxoox""),""Kedar"&amp;""",IF(REGEXMATCH(AT51,""xoxxxxoxooxx""),""Gara"",IF(REGEXMATCH(AT51,""xooxoxooxoox""),""Chandrakauns"",IF(REGEXMATCH(AT51,""xoxxxxoxxxox""),""Mand"",IF(REGEXMATCH(AT51,""xoxxxxoxoxox""),""Hanskinkini"",IF(REGEXMATCH(AT51,""xxooxxoxooxo""),""Lilavati"",IF("&amp;"REGEXMATCH(AT51,""xooxoxoooxox""),""Rajeshwari"",IF(REGEXMATCH(AT51,""xoooxxoxoxxx""),""Khokar"",IF(REGEXMATCH(AT51,""xxooxoxxxxox""),""Maligoura"",""-""))))))))))))))))))))))))))))))"),"-")</f>
        <v>-</v>
      </c>
      <c r="BG51" s="239" t="str">
        <f t="shared" si="26"/>
        <v>#REF!</v>
      </c>
      <c r="BH51" s="239">
        <f>IFERROR(__xludf.DUMMYFUNCTION("COUNTUNIQUE(FE51:FO51)-1"),6.0)</f>
        <v>6</v>
      </c>
      <c r="BI51" s="239">
        <f>IFERROR(__xludf.DUMMYFUNCTION("COUNTUNIQUE(FILTER(AT:AT,REGEXMATCH(AT:AT,AS51)))-1"),1.0)</f>
        <v>1</v>
      </c>
      <c r="BJ51" s="239">
        <f>IFERROR(__xludf.DUMMYFUNCTION("COUNTA(FILTER(AT:AT,REGEXMATCH(AT:AT,AS51)))"),4.0)</f>
        <v>4</v>
      </c>
      <c r="BK51" s="341">
        <f>IFERROR(__xludf.DUMMYFUNCTION("COUNTA(FILTER(AT:AT,REGEXMATCH(AT:AT,AS51)))-AR51"),4.0)</f>
        <v>4</v>
      </c>
      <c r="BL51" s="276" t="str">
        <f>IFERROR(__xludf.DUMMYFUNCTION("IF(AS51=""oooooooooooo"",""-"",IF(REGEXMATCH(AT51,""xx""), ""Hemi."", ""Anhemi.""))"),"Hemi.")</f>
        <v>Hemi.</v>
      </c>
      <c r="BM51" s="282" t="str">
        <f>IFERROR(__xludf.DUMMYFUNCTION("IF(AS51=""oooooooooooo"",""-"",IF(REGEXMATCH(AT51,""xxx""), ""Cohem."", ""-""))"),"Cohem.")</f>
        <v>Cohem.</v>
      </c>
      <c r="BN51" s="282" t="str">
        <f>IFERROR(__xludf.DUMMYFUNCTION("IF(AS51=""oooooooooooo"",""-"",IF(REGEXMATCH(AT51,""xxxx""), ""Co-Co."", ""-""))"),"-")</f>
        <v>-</v>
      </c>
      <c r="BO51" s="342" t="str">
        <f>IFERROR(__xludf.DUMMYFUNCTION("IF(AS51=""oooooooooooo"",""-"",IF(REGEXMATCH(AT51,""xxxxx""), ""CCC."", ""-""))"),"-")</f>
        <v>-</v>
      </c>
      <c r="BP51" s="344" t="str">
        <f t="shared" si="27"/>
        <v>-</v>
      </c>
      <c r="BQ51" s="282" t="str">
        <f>IFERROR(__xludf.DUMMYFUNCTION("IF(REGEXMATCH(JOIN(""-"",EU51:FD51),""TRUE""),""✔"",""-"")"),"-")</f>
        <v>-</v>
      </c>
      <c r="BR51" s="225">
        <f t="shared" si="28"/>
        <v>0</v>
      </c>
      <c r="BS51" s="345" t="str">
        <f>IFERROR(__xludf.DUMMYFUNCTION("SUBSTITUTE(SUBSTITUTE(SUBSTITUTE(SUBSTITUTE(CONCATENATE(JOIN(""-"",GC51:GO51)),""--"",""-""),""--"",""-""),""--"",""-""),""--"",""-"")"),"1-b2-3-4-5-6-7-8")</f>
        <v>1-b2-3-4-5-6-7-8</v>
      </c>
      <c r="BT51" s="299" t="str">
        <f>IFERROR(__xludf.DUMMYFUNCTION("SUBSTITUTE(SUBSTITUTE(SUBSTITUTE(SUBSTITUTE(CONCATENATE(JOIN(""-"",GP51:HB51)),""--"",""-""),""--"",""-""),""--"",""-""),""--"",""-"")"),"S-R1-G3-M1-P-D2-N3-S")</f>
        <v>S-R1-G3-M1-P-D2-N3-S</v>
      </c>
      <c r="BU51" s="348" t="str">
        <f t="shared" si="29"/>
        <v>C-Db-E-F-G-A-B-C</v>
      </c>
      <c r="BV51" s="349" t="str">
        <f t="shared" si="30"/>
        <v>SRgMdnS</v>
      </c>
      <c r="BW51" s="350">
        <f t="shared" si="31"/>
        <v>0</v>
      </c>
      <c r="BX51" s="351">
        <f t="shared" si="32"/>
        <v>3</v>
      </c>
      <c r="BY51" s="392"/>
      <c r="BZ51" s="309" t="str">
        <f>IFERROR(__xludf.DUMMYFUNCTION("IF(REGEXMATCH(C51, ""S""), ""x"",""x"")"),"x")</f>
        <v>x</v>
      </c>
      <c r="CA51" s="245" t="str">
        <f>IFERROR(__xludf.DUMMYFUNCTION("IF(REGEXMATCH(C51, ""r""), ""o"",""x"")"),"o")</f>
        <v>o</v>
      </c>
      <c r="CB51" s="246" t="str">
        <f>IFERROR(__xludf.DUMMYFUNCTION("IF(REGEXMATCH(C51, ""R""), ""o"",""x"")"),"x")</f>
        <v>x</v>
      </c>
      <c r="CC51" s="246" t="str">
        <f>IFERROR(__xludf.DUMMYFUNCTION("IF(REGEXMATCH(C51, ""g""), ""o"",""x"")"),"x")</f>
        <v>x</v>
      </c>
      <c r="CD51" s="245" t="str">
        <f>IFERROR(__xludf.DUMMYFUNCTION("IF(REGEXMATCH(C51, ""G""), ""o"",""x"")"),"o")</f>
        <v>o</v>
      </c>
      <c r="CE51" s="245" t="str">
        <f>IFERROR(__xludf.DUMMYFUNCTION("IF(REGEXMATCH(C51, ""m""), ""o"",""x"")"),"o")</f>
        <v>o</v>
      </c>
      <c r="CF51" s="246" t="str">
        <f>IFERROR(__xludf.DUMMYFUNCTION("IF(REGEXMATCH(C51, ""M""), ""o"",""x"")"),"x")</f>
        <v>x</v>
      </c>
      <c r="CG51" s="245" t="str">
        <f>IFERROR(__xludf.DUMMYFUNCTION("IF(REGEXMATCH(C51, ""P""), ""o"",""x"")"),"o")</f>
        <v>o</v>
      </c>
      <c r="CH51" s="246" t="str">
        <f>IFERROR(__xludf.DUMMYFUNCTION("IF(REGEXMATCH(C51, ""d""), ""o"",""x"")"),"x")</f>
        <v>x</v>
      </c>
      <c r="CI51" s="245" t="str">
        <f>IFERROR(__xludf.DUMMYFUNCTION("IF(REGEXMATCH(C51, ""D""), ""o"",""x"")"),"o")</f>
        <v>o</v>
      </c>
      <c r="CJ51" s="245" t="str">
        <f>IFERROR(__xludf.DUMMYFUNCTION("IF(REGEXMATCH(C51, ""n""), ""o"",""x"")"),"x")</f>
        <v>x</v>
      </c>
      <c r="CK51" s="245" t="str">
        <f>IFERROR(__xludf.DUMMYFUNCTION("IF(REGEXMATCH(C51, ""N""), ""o"",""x"")"),"o")</f>
        <v>o</v>
      </c>
      <c r="CL51" s="356" t="str">
        <f>IFERROR(__xludf.DUMMYFUNCTION("IF(REGEXMATCH(C51, ""S""), ""x"",""x"")"),"x")</f>
        <v>x</v>
      </c>
      <c r="CM51" s="357" t="str">
        <f t="shared" si="33"/>
        <v>xoxxooxoxoxo</v>
      </c>
      <c r="CN51" s="358">
        <f t="shared" si="34"/>
        <v>0</v>
      </c>
      <c r="CO51" s="246" t="str">
        <f>IFERROR(__xludf.DUMMYFUNCTION("IF(REGEXMATCH($C51, ""S""), ""S"",""S"")"),"S")</f>
        <v>S</v>
      </c>
      <c r="CP51" s="246" t="str">
        <f>IFERROR(__xludf.DUMMYFUNCTION("IF(REGEXMATCH($C51, ""r""), """",""r"")"),"")</f>
        <v/>
      </c>
      <c r="CQ51" s="246" t="str">
        <f>IFERROR(__xludf.DUMMYFUNCTION("IF(REGEXMATCH($C51, ""R""), """",""R"")"),"R")</f>
        <v>R</v>
      </c>
      <c r="CR51" s="246" t="str">
        <f>IFERROR(__xludf.DUMMYFUNCTION("IF(REGEXMATCH($C51, ""g""), """",""g"")"),"g")</f>
        <v>g</v>
      </c>
      <c r="CS51" s="246" t="str">
        <f>IFERROR(__xludf.DUMMYFUNCTION("IF(REGEXMATCH($C51, ""G""), """",""G"")"),"")</f>
        <v/>
      </c>
      <c r="CT51" s="246" t="str">
        <f>IFERROR(__xludf.DUMMYFUNCTION("IF(REGEXMATCH($C51, ""m""), """",""m"")"),"")</f>
        <v/>
      </c>
      <c r="CU51" s="246" t="str">
        <f>IFERROR(__xludf.DUMMYFUNCTION("IF(REGEXMATCH($C51, ""M""), """",""M"")"),"M")</f>
        <v>M</v>
      </c>
      <c r="CV51" s="246" t="str">
        <f>IFERROR(__xludf.DUMMYFUNCTION("IF(REGEXMATCH($C51, ""P""), """",""P"")"),"")</f>
        <v/>
      </c>
      <c r="CW51" s="246" t="str">
        <f>IFERROR(__xludf.DUMMYFUNCTION("IF(REGEXMATCH($C51, ""d""), """",""d"")"),"d")</f>
        <v>d</v>
      </c>
      <c r="CX51" s="246" t="str">
        <f>IFERROR(__xludf.DUMMYFUNCTION("IF(REGEXMATCH($C51, ""D""), """",""D"")"),"")</f>
        <v/>
      </c>
      <c r="CY51" s="246" t="str">
        <f>IFERROR(__xludf.DUMMYFUNCTION("IF(REGEXMATCH($C51, ""n""), """",""n"")"),"n")</f>
        <v>n</v>
      </c>
      <c r="CZ51" s="246" t="str">
        <f>IFERROR(__xludf.DUMMYFUNCTION("IF(REGEXMATCH($C51, ""N""), """",""N"")"),"")</f>
        <v/>
      </c>
      <c r="DA51" s="246" t="str">
        <f>IFERROR(__xludf.DUMMYFUNCTION("IF(REGEXMATCH($C51, ""S""), ""S"",""S"")"),"S")</f>
        <v>S</v>
      </c>
      <c r="DB51" s="362" t="str">
        <f>IFERROR(__xludf.DUMMYFUNCTION("JOIN("""",CO51:DA51,"""","""")"),"SRgMdnS")</f>
        <v>SRgMdnS</v>
      </c>
      <c r="DC51" s="363"/>
      <c r="DD51" s="301" t="str">
        <f t="shared" si="35"/>
        <v>#REF!</v>
      </c>
      <c r="DE51" s="302" t="str">
        <f t="shared" si="36"/>
        <v>#REF!</v>
      </c>
      <c r="DF51" s="301" t="str">
        <f t="shared" ref="DF51:DG51" si="296">SUBSTITUTE(S51,"-","")</f>
        <v>SRGM</v>
      </c>
      <c r="DG51" s="301" t="str">
        <f t="shared" si="296"/>
        <v>PDNS</v>
      </c>
      <c r="DH51" s="302" t="str">
        <f t="shared" si="38"/>
        <v>-</v>
      </c>
      <c r="DI51" s="301" t="str">
        <f t="shared" si="39"/>
        <v>Hemi.</v>
      </c>
      <c r="DJ51" s="364" t="str">
        <f t="shared" si="40"/>
        <v>Cohem.</v>
      </c>
      <c r="DK51" s="306" t="str">
        <f t="shared" si="41"/>
        <v>-</v>
      </c>
      <c r="DL51" s="366" t="str">
        <f t="shared" si="42"/>
        <v>-</v>
      </c>
      <c r="DM51" s="308" t="str">
        <f t="shared" si="43"/>
        <v>✔</v>
      </c>
      <c r="DN51" s="306" t="str">
        <f t="shared" si="44"/>
        <v>-</v>
      </c>
      <c r="DO51" s="306" t="str">
        <f t="shared" si="45"/>
        <v>-</v>
      </c>
      <c r="DP51" s="367" t="str">
        <f t="shared" si="46"/>
        <v>-</v>
      </c>
      <c r="DQ51" s="310" t="str">
        <f t="shared" si="47"/>
        <v>-</v>
      </c>
      <c r="DR51" s="310" t="str">
        <f t="shared" si="48"/>
        <v>-</v>
      </c>
      <c r="DS51" s="310" t="str">
        <f t="shared" si="49"/>
        <v>-</v>
      </c>
      <c r="DT51" s="310" t="str">
        <f t="shared" si="50"/>
        <v>-</v>
      </c>
      <c r="DU51" s="370" t="str">
        <f t="shared" si="51"/>
        <v>-</v>
      </c>
      <c r="DV51" s="306" t="str">
        <f t="shared" si="52"/>
        <v>-</v>
      </c>
      <c r="DW51" s="306" t="str">
        <f t="shared" si="53"/>
        <v>-</v>
      </c>
      <c r="DX51" s="306" t="str">
        <f t="shared" si="54"/>
        <v>-</v>
      </c>
      <c r="DY51" s="306" t="str">
        <f t="shared" si="55"/>
        <v>-</v>
      </c>
      <c r="DZ51" s="306" t="str">
        <f t="shared" si="56"/>
        <v>-</v>
      </c>
      <c r="EA51" s="367" t="str">
        <f t="shared" si="57"/>
        <v>-</v>
      </c>
      <c r="EB51" s="310" t="str">
        <f>IFERROR(__xludf.DUMMYFUNCTION("IF(REGEXMATCH(AW51,AS51),""✔"",""-"")"),"-")</f>
        <v>-</v>
      </c>
      <c r="EC51" s="310" t="str">
        <f t="shared" si="58"/>
        <v>#REF!</v>
      </c>
      <c r="ED51" s="370" t="str">
        <f t="shared" si="59"/>
        <v>-</v>
      </c>
      <c r="EE51" s="340" t="str">
        <f t="shared" si="60"/>
        <v>S-r-G-m-P-D-N-S</v>
      </c>
      <c r="EF51" s="371" t="str">
        <f>IFERROR(__xludf.DUMMYFUNCTION("CONCATENATE(JOIN("""",HC51:HO51))"),"SrgmPdNS")</f>
        <v>SrgmPdNS</v>
      </c>
      <c r="EG51" s="372">
        <f t="shared" si="61"/>
        <v>3</v>
      </c>
      <c r="EH51" s="373" t="str">
        <f>IFERROR(__xludf.DUMMYFUNCTION("CONCATENATE(JOIN("""",JC51:JO51))"),"re, Pa, Ni, ")</f>
        <v>re, Pa, Ni, </v>
      </c>
      <c r="EI51" s="322">
        <f t="shared" si="62"/>
        <v>1</v>
      </c>
      <c r="EJ51" s="374" t="str">
        <f>IFERROR(__xludf.DUMMYFUNCTION("CONCATENATE(JOIN("""",KC51:KO51))"),"re, ")</f>
        <v>re, </v>
      </c>
      <c r="EK51" s="325" t="str">
        <f t="shared" si="63"/>
        <v>S-R1-G3-M1-P-D2-N3-S</v>
      </c>
      <c r="EL51" s="326" t="str">
        <f t="shared" si="64"/>
        <v>1-b2-3-4-5-6-7-8</v>
      </c>
      <c r="EM51" s="318" t="str">
        <f t="shared" si="65"/>
        <v>#REF!</v>
      </c>
      <c r="EN51" s="328" t="str">
        <f>IFERROR(__xludf.DUMMYFUNCTION("SUBSTITUTE(SUBSTITUTE(SUBSTITUTE(SUBSTITUTE(CONCATENATE(JOIN("" "",HP51:IB51)),""  "","" ""),""  "","" ""),""  "","" ""),""  "","" "")"),"o o • • o o • o • o • o o")</f>
        <v>o o • • o o • o • o • o o</v>
      </c>
      <c r="EO51" s="368" t="str">
        <f t="shared" si="66"/>
        <v>-</v>
      </c>
      <c r="EP51" s="339" t="str">
        <f t="shared" si="67"/>
        <v>-</v>
      </c>
      <c r="EQ51" s="339" t="str">
        <f t="shared" si="68"/>
        <v>Sa-Pa</v>
      </c>
      <c r="ER51" s="339" t="str">
        <f t="shared" si="69"/>
        <v>-</v>
      </c>
      <c r="ES51" s="340" t="str">
        <f t="shared" si="70"/>
        <v>-</v>
      </c>
      <c r="ET51" s="363"/>
      <c r="EU51" s="376" t="b">
        <f>IFERROR(__xludf.DUMMYFUNCTION("arrayformula(sum(--REGEXMATCH(""SRGMPDNS"",split(REGEXREPLACE(C51,""(.)"",""$1~""),""~""))))=len(C51)
"),FALSE)</f>
        <v>0</v>
      </c>
      <c r="EV51" s="290" t="b">
        <f>IFERROR(__xludf.DUMMYFUNCTION("arrayformula(sum(--REGEXMATCH(""SRGmPDNS"",split(REGEXREPLACE(C51,""(.)"",""$1~""),""~""))))=len(C51)"),FALSE)</f>
        <v>0</v>
      </c>
      <c r="EW51" s="290" t="b">
        <f>IFERROR(__xludf.DUMMYFUNCTION("arrayformula(sum(--REGEXMATCH(""SRGmPDnS"",split(REGEXREPLACE(C51,""(.)"",""$1~""),""~""))))=len(C51)"),FALSE)</f>
        <v>0</v>
      </c>
      <c r="EX51" s="290" t="b">
        <f>IFERROR(__xludf.DUMMYFUNCTION("arrayformula(sum(--REGEXMATCH(""SRgmPDnS"",split(REGEXREPLACE(C51,""(.)"",""$1~""),""~""))))=len(C51)"),FALSE)</f>
        <v>0</v>
      </c>
      <c r="EY51" s="290" t="b">
        <f>IFERROR(__xludf.DUMMYFUNCTION("arrayformula(sum(--REGEXMATCH(""SRgmPdnS"",split(REGEXREPLACE(C51,""(.)"",""$1~""),""~""))))=len(C51)"),FALSE)</f>
        <v>0</v>
      </c>
      <c r="EZ51" s="290" t="b">
        <f>IFERROR(__xludf.DUMMYFUNCTION("arrayformula(sum(--REGEXMATCH(""SrgmPdnS"",split(REGEXREPLACE(C51,""(.)"",""$1~""),""~""))))=len(C51)"),FALSE)</f>
        <v>0</v>
      </c>
      <c r="FA51" s="290" t="b">
        <f>IFERROR(__xludf.DUMMYFUNCTION("arrayformula(sum(--REGEXMATCH(""SrGmPdNS"",split(REGEXREPLACE(C51,""(.)"",""$1~""),""~""))))=len(C51)"),FALSE)</f>
        <v>0</v>
      </c>
      <c r="FB51" s="290" t="b">
        <f>IFERROR(__xludf.DUMMYFUNCTION("arrayformula(sum(--REGEXMATCH(""SrGMPDNS"",split(REGEXREPLACE(C51,""(.)"",""$1~""),""~""))))=len(C51)"),FALSE)</f>
        <v>0</v>
      </c>
      <c r="FC51" s="290" t="b">
        <f>IFERROR(__xludf.DUMMYFUNCTION("arrayformula(sum(--REGEXMATCH(""SrGMPdNS"",split(REGEXREPLACE(C51,""(.)"",""$1~""),""~""))))=len(C51)"),FALSE)</f>
        <v>0</v>
      </c>
      <c r="FD51" s="377" t="b">
        <f>IFERROR(__xludf.DUMMYFUNCTION("arrayformula(sum(--REGEXMATCH(""SrgMPdNS"",split(REGEXREPLACE(C51,""(.)"",""$1~""),""~""))))=len(C51)"),FALSE)</f>
        <v>0</v>
      </c>
      <c r="FE51" s="269" t="str">
        <f t="shared" si="71"/>
        <v>xooxxoxoxox</v>
      </c>
      <c r="FF51" s="269" t="str">
        <f t="shared" si="72"/>
        <v>-</v>
      </c>
      <c r="FG51" s="271" t="str">
        <f t="shared" si="73"/>
        <v>-</v>
      </c>
      <c r="FH51" s="269" t="str">
        <f t="shared" si="74"/>
        <v>xxoxoxoxxxo</v>
      </c>
      <c r="FI51" s="271" t="str">
        <f t="shared" si="75"/>
        <v>xoxoxoxxxoo</v>
      </c>
      <c r="FJ51" s="271" t="str">
        <f t="shared" si="76"/>
        <v>-</v>
      </c>
      <c r="FK51" s="271" t="str">
        <f t="shared" si="77"/>
        <v>xoxoxxxooxx</v>
      </c>
      <c r="FL51" s="271" t="str">
        <f t="shared" si="78"/>
        <v>-</v>
      </c>
      <c r="FM51" s="271" t="str">
        <f t="shared" si="79"/>
        <v>xoxxxooxxox</v>
      </c>
      <c r="FN51" s="271" t="str">
        <f t="shared" si="80"/>
        <v>-</v>
      </c>
      <c r="FO51" s="274" t="str">
        <f t="shared" si="81"/>
        <v>xxxooxxoxox</v>
      </c>
      <c r="FP51" s="234" t="str">
        <f t="shared" si="82"/>
        <v>|</v>
      </c>
      <c r="FQ51" s="236" t="str">
        <f t="shared" si="83"/>
        <v>|</v>
      </c>
      <c r="FR51" s="237" t="str">
        <f t="shared" si="84"/>
        <v>-</v>
      </c>
      <c r="FS51" s="236" t="str">
        <f t="shared" si="85"/>
        <v>-</v>
      </c>
      <c r="FT51" s="237" t="str">
        <f t="shared" si="86"/>
        <v>|</v>
      </c>
      <c r="FU51" s="236" t="str">
        <f t="shared" si="87"/>
        <v>|</v>
      </c>
      <c r="FV51" s="237" t="str">
        <f t="shared" si="88"/>
        <v>-</v>
      </c>
      <c r="FW51" s="236" t="str">
        <f t="shared" si="89"/>
        <v>|</v>
      </c>
      <c r="FX51" s="237" t="str">
        <f t="shared" si="90"/>
        <v>-</v>
      </c>
      <c r="FY51" s="236" t="str">
        <f t="shared" si="91"/>
        <v>|</v>
      </c>
      <c r="FZ51" s="237" t="str">
        <f t="shared" si="92"/>
        <v>-</v>
      </c>
      <c r="GA51" s="236" t="str">
        <f t="shared" si="93"/>
        <v>|</v>
      </c>
      <c r="GB51" s="238" t="str">
        <f t="shared" si="94"/>
        <v>|</v>
      </c>
      <c r="GC51" s="244" t="str">
        <f>IFERROR(__xludf.DUMMYFUNCTION("IF(REGEXMATCH(C51, ""S""), ""1"","""")"),"1")</f>
        <v>1</v>
      </c>
      <c r="GD51" s="245" t="str">
        <f>IFERROR(__xludf.DUMMYFUNCTION("IF(REGEXMATCH(C51, ""r""), ""b2"","""")"),"b2")</f>
        <v>b2</v>
      </c>
      <c r="GE51" s="246" t="str">
        <f>IFERROR(__xludf.DUMMYFUNCTION("IF(REGEXMATCH(C51, ""R""), ""2"","""")"),"")</f>
        <v/>
      </c>
      <c r="GF51" s="246" t="str">
        <f>IFERROR(__xludf.DUMMYFUNCTION("IF(REGEXMATCH(C51, ""g""), ""b3"","""")"),"")</f>
        <v/>
      </c>
      <c r="GG51" s="245" t="str">
        <f>IFERROR(__xludf.DUMMYFUNCTION("IF(REGEXMATCH(C51, ""G""), ""3"","""")"),"3")</f>
        <v>3</v>
      </c>
      <c r="GH51" s="245" t="str">
        <f>IFERROR(__xludf.DUMMYFUNCTION("IF(REGEXMATCH(C51, ""m""), ""4"","""")"),"4")</f>
        <v>4</v>
      </c>
      <c r="GI51" s="246" t="str">
        <f>IFERROR(__xludf.DUMMYFUNCTION("IF(REGEXMATCH(C51, ""M""), ""#4"","""")"),"")</f>
        <v/>
      </c>
      <c r="GJ51" s="245" t="str">
        <f>IFERROR(__xludf.DUMMYFUNCTION("IF(REGEXMATCH(C51, ""P""), ""5"","""")"),"5")</f>
        <v>5</v>
      </c>
      <c r="GK51" s="246" t="str">
        <f>IFERROR(__xludf.DUMMYFUNCTION("IF(REGEXMATCH(C51, ""d""), ""b6"","""")"),"")</f>
        <v/>
      </c>
      <c r="GL51" s="245" t="str">
        <f>IFERROR(__xludf.DUMMYFUNCTION("IF(REGEXMATCH(C51, ""D""), ""6"","""")"),"6")</f>
        <v>6</v>
      </c>
      <c r="GM51" s="245" t="str">
        <f>IFERROR(__xludf.DUMMYFUNCTION("IF(REGEXMATCH(C51, ""n""), ""b7"","""")"),"")</f>
        <v/>
      </c>
      <c r="GN51" s="246" t="str">
        <f>IFERROR(__xludf.DUMMYFUNCTION("IF(REGEXMATCH(C51, ""N""), ""7"","""")"),"7")</f>
        <v>7</v>
      </c>
      <c r="GO51" s="249" t="str">
        <f>IFERROR(__xludf.DUMMYFUNCTION("IF(REGEXMATCH(C51, ""S""), ""8"","""")"),"8")</f>
        <v>8</v>
      </c>
      <c r="GP51" s="244" t="str">
        <f>IFERROR(__xludf.DUMMYFUNCTION("IF(REGEXMATCH(C51, ""S""), ""S"","""")"),"S")</f>
        <v>S</v>
      </c>
      <c r="GQ51" s="294" t="str">
        <f>IFERROR(__xludf.DUMMYFUNCTION("IF(REGEXMATCH(C51, ""r""), ""R1"","""")"),"R1")</f>
        <v>R1</v>
      </c>
      <c r="GR51" s="295" t="str">
        <f>IFERROR(__xludf.DUMMYFUNCTION("IF(REGEXMATCH(C51, ""R""), ""R2"","""")"),"")</f>
        <v/>
      </c>
      <c r="GS51" s="295" t="str">
        <f>IFERROR(__xludf.DUMMYFUNCTION("IF(REGEXMATCH(C51, ""g""), ""G2"","""")"),"")</f>
        <v/>
      </c>
      <c r="GT51" s="294" t="str">
        <f>IFERROR(__xludf.DUMMYFUNCTION("IF(REGEXMATCH(C51, ""G""), ""G3"","""")"),"G3")</f>
        <v>G3</v>
      </c>
      <c r="GU51" s="294" t="str">
        <f>IFERROR(__xludf.DUMMYFUNCTION("IF(REGEXMATCH(C51, ""m""), ""M1"","""")"),"M1")</f>
        <v>M1</v>
      </c>
      <c r="GV51" s="295" t="str">
        <f>IFERROR(__xludf.DUMMYFUNCTION("IF(REGEXMATCH(C51, ""M""), ""M2"","""")"),"")</f>
        <v/>
      </c>
      <c r="GW51" s="294" t="str">
        <f>IFERROR(__xludf.DUMMYFUNCTION("IF(REGEXMATCH(C51, ""P""), ""P"","""")"),"P")</f>
        <v>P</v>
      </c>
      <c r="GX51" s="295" t="str">
        <f>IFERROR(__xludf.DUMMYFUNCTION("IF(REGEXMATCH(C51, ""d""), ""D1"","""")"),"")</f>
        <v/>
      </c>
      <c r="GY51" s="294" t="str">
        <f>IFERROR(__xludf.DUMMYFUNCTION("IF(REGEXMATCH(C51, ""D""), ""D2"","""")"),"D2")</f>
        <v>D2</v>
      </c>
      <c r="GZ51" s="294" t="str">
        <f>IFERROR(__xludf.DUMMYFUNCTION("IF(REGEXMATCH(C51, ""n""), ""N2"","""")"),"")</f>
        <v/>
      </c>
      <c r="HA51" s="295" t="str">
        <f>IFERROR(__xludf.DUMMYFUNCTION("IF(REGEXMATCH(C51, ""N""), ""N3"","""")"),"N3")</f>
        <v>N3</v>
      </c>
      <c r="HB51" s="249" t="str">
        <f>IFERROR(__xludf.DUMMYFUNCTION("IF(REGEXMATCH(C51, ""S""), ""S"","""")"),"S")</f>
        <v>S</v>
      </c>
      <c r="HC51" s="331" t="str">
        <f t="shared" si="95"/>
        <v>S</v>
      </c>
      <c r="HD51" s="332" t="str">
        <f t="shared" si="96"/>
        <v>r</v>
      </c>
      <c r="HE51" s="332" t="str">
        <f t="shared" si="97"/>
        <v/>
      </c>
      <c r="HF51" s="332" t="str">
        <f t="shared" si="98"/>
        <v>g</v>
      </c>
      <c r="HG51" s="332" t="str">
        <f t="shared" si="99"/>
        <v/>
      </c>
      <c r="HH51" s="332" t="str">
        <f t="shared" si="100"/>
        <v>m</v>
      </c>
      <c r="HI51" s="332" t="str">
        <f t="shared" si="101"/>
        <v/>
      </c>
      <c r="HJ51" s="332" t="str">
        <f t="shared" si="102"/>
        <v>P</v>
      </c>
      <c r="HK51" s="332" t="str">
        <f t="shared" si="103"/>
        <v>d</v>
      </c>
      <c r="HL51" s="332" t="str">
        <f t="shared" si="104"/>
        <v/>
      </c>
      <c r="HM51" s="332" t="str">
        <f t="shared" si="105"/>
        <v/>
      </c>
      <c r="HN51" s="332" t="str">
        <f t="shared" si="106"/>
        <v>N</v>
      </c>
      <c r="HO51" s="343" t="str">
        <f t="shared" si="107"/>
        <v>S</v>
      </c>
      <c r="HP51" s="331" t="str">
        <f t="shared" si="108"/>
        <v>o</v>
      </c>
      <c r="HQ51" s="332" t="str">
        <f t="shared" si="109"/>
        <v>o</v>
      </c>
      <c r="HR51" s="332" t="str">
        <f t="shared" si="110"/>
        <v>•</v>
      </c>
      <c r="HS51" s="332" t="str">
        <f t="shared" si="111"/>
        <v>•</v>
      </c>
      <c r="HT51" s="332" t="str">
        <f t="shared" si="112"/>
        <v>o</v>
      </c>
      <c r="HU51" s="332" t="str">
        <f t="shared" si="113"/>
        <v>o</v>
      </c>
      <c r="HV51" s="332" t="str">
        <f t="shared" si="114"/>
        <v>•</v>
      </c>
      <c r="HW51" s="332" t="str">
        <f t="shared" si="115"/>
        <v>o</v>
      </c>
      <c r="HX51" s="332" t="str">
        <f t="shared" si="116"/>
        <v>•</v>
      </c>
      <c r="HY51" s="332" t="str">
        <f t="shared" si="117"/>
        <v>o</v>
      </c>
      <c r="HZ51" s="332" t="str">
        <f t="shared" si="118"/>
        <v>•</v>
      </c>
      <c r="IA51" s="332" t="str">
        <f t="shared" si="119"/>
        <v>o</v>
      </c>
      <c r="IB51" s="338" t="str">
        <f t="shared" si="120"/>
        <v>o</v>
      </c>
      <c r="IC51" s="331" t="str">
        <f t="shared" si="121"/>
        <v>•</v>
      </c>
      <c r="ID51" s="332" t="str">
        <f t="shared" si="122"/>
        <v>•</v>
      </c>
      <c r="IE51" s="332" t="str">
        <f t="shared" si="123"/>
        <v>o</v>
      </c>
      <c r="IF51" s="332" t="str">
        <f t="shared" si="124"/>
        <v>o</v>
      </c>
      <c r="IG51" s="332" t="str">
        <f t="shared" si="125"/>
        <v>•</v>
      </c>
      <c r="IH51" s="332" t="str">
        <f t="shared" si="126"/>
        <v>•</v>
      </c>
      <c r="II51" s="332" t="str">
        <f t="shared" si="127"/>
        <v>o</v>
      </c>
      <c r="IJ51" s="332" t="str">
        <f t="shared" si="128"/>
        <v>•</v>
      </c>
      <c r="IK51" s="332" t="str">
        <f t="shared" si="129"/>
        <v>o</v>
      </c>
      <c r="IL51" s="332" t="str">
        <f t="shared" si="130"/>
        <v>•</v>
      </c>
      <c r="IM51" s="332" t="str">
        <f t="shared" si="131"/>
        <v>o</v>
      </c>
      <c r="IN51" s="332" t="str">
        <f t="shared" si="132"/>
        <v>•</v>
      </c>
      <c r="IO51" s="338" t="str">
        <f t="shared" si="133"/>
        <v>•</v>
      </c>
      <c r="IP51" s="346" t="b">
        <f t="shared" si="134"/>
        <v>0</v>
      </c>
      <c r="IQ51" s="347" t="b">
        <f t="shared" si="135"/>
        <v>1</v>
      </c>
      <c r="IR51" s="347" t="b">
        <f t="shared" si="136"/>
        <v>0</v>
      </c>
      <c r="IS51" s="347" t="b">
        <f t="shared" si="137"/>
        <v>0</v>
      </c>
      <c r="IT51" s="347" t="b">
        <f t="shared" si="138"/>
        <v>0</v>
      </c>
      <c r="IU51" s="347" t="b">
        <f t="shared" si="139"/>
        <v>0</v>
      </c>
      <c r="IV51" s="347" t="b">
        <f t="shared" si="140"/>
        <v>0</v>
      </c>
      <c r="IW51" s="347" t="b">
        <f t="shared" si="141"/>
        <v>1</v>
      </c>
      <c r="IX51" s="347" t="b">
        <f t="shared" si="142"/>
        <v>0</v>
      </c>
      <c r="IY51" s="347" t="b">
        <f t="shared" si="143"/>
        <v>0</v>
      </c>
      <c r="IZ51" s="347" t="b">
        <f t="shared" si="144"/>
        <v>0</v>
      </c>
      <c r="JA51" s="347" t="b">
        <f t="shared" si="145"/>
        <v>1</v>
      </c>
      <c r="JB51" s="353" t="b">
        <f t="shared" si="146"/>
        <v>0</v>
      </c>
      <c r="JC51" s="354" t="str">
        <f t="shared" si="147"/>
        <v/>
      </c>
      <c r="JD51" s="355" t="str">
        <f t="shared" si="148"/>
        <v>re, </v>
      </c>
      <c r="JE51" s="355" t="str">
        <f t="shared" si="149"/>
        <v/>
      </c>
      <c r="JF51" s="355" t="str">
        <f t="shared" si="150"/>
        <v/>
      </c>
      <c r="JG51" s="355" t="str">
        <f t="shared" si="151"/>
        <v/>
      </c>
      <c r="JH51" s="355" t="str">
        <f t="shared" si="152"/>
        <v/>
      </c>
      <c r="JI51" s="355" t="str">
        <f t="shared" si="153"/>
        <v/>
      </c>
      <c r="JJ51" s="355" t="str">
        <f t="shared" si="154"/>
        <v>Pa, </v>
      </c>
      <c r="JK51" s="355" t="str">
        <f t="shared" si="155"/>
        <v/>
      </c>
      <c r="JL51" s="355" t="str">
        <f t="shared" si="156"/>
        <v/>
      </c>
      <c r="JM51" s="355" t="str">
        <f t="shared" si="157"/>
        <v/>
      </c>
      <c r="JN51" s="355" t="str">
        <f t="shared" si="158"/>
        <v>Ni, </v>
      </c>
      <c r="JO51" s="359" t="str">
        <f t="shared" si="159"/>
        <v/>
      </c>
      <c r="JP51" s="346" t="b">
        <f t="shared" si="160"/>
        <v>0</v>
      </c>
      <c r="JQ51" s="347" t="b">
        <f t="shared" si="161"/>
        <v>1</v>
      </c>
      <c r="JR51" s="347" t="b">
        <f t="shared" si="162"/>
        <v>0</v>
      </c>
      <c r="JS51" s="347" t="b">
        <f t="shared" si="163"/>
        <v>0</v>
      </c>
      <c r="JT51" s="347" t="b">
        <f t="shared" si="164"/>
        <v>0</v>
      </c>
      <c r="JU51" s="347" t="b">
        <f t="shared" si="165"/>
        <v>0</v>
      </c>
      <c r="JV51" s="347" t="b">
        <f t="shared" si="166"/>
        <v>0</v>
      </c>
      <c r="JW51" s="347" t="b">
        <f t="shared" si="167"/>
        <v>0</v>
      </c>
      <c r="JX51" s="347" t="b">
        <f t="shared" si="168"/>
        <v>0</v>
      </c>
      <c r="JY51" s="347" t="b">
        <f t="shared" si="169"/>
        <v>0</v>
      </c>
      <c r="JZ51" s="347" t="b">
        <f t="shared" si="170"/>
        <v>0</v>
      </c>
      <c r="KA51" s="347" t="b">
        <f t="shared" si="171"/>
        <v>0</v>
      </c>
      <c r="KB51" s="365" t="b">
        <f t="shared" si="172"/>
        <v>0</v>
      </c>
      <c r="KC51" s="354" t="str">
        <f t="shared" si="173"/>
        <v/>
      </c>
      <c r="KD51" s="355" t="str">
        <f t="shared" si="174"/>
        <v>re, </v>
      </c>
      <c r="KE51" s="355" t="str">
        <f t="shared" si="175"/>
        <v/>
      </c>
      <c r="KF51" s="355" t="str">
        <f t="shared" si="176"/>
        <v/>
      </c>
      <c r="KG51" s="355" t="str">
        <f t="shared" si="177"/>
        <v/>
      </c>
      <c r="KH51" s="355" t="str">
        <f t="shared" si="178"/>
        <v/>
      </c>
      <c r="KI51" s="355" t="str">
        <f t="shared" si="179"/>
        <v/>
      </c>
      <c r="KJ51" s="355" t="str">
        <f t="shared" si="180"/>
        <v/>
      </c>
      <c r="KK51" s="355" t="str">
        <f t="shared" si="181"/>
        <v/>
      </c>
      <c r="KL51" s="355" t="str">
        <f t="shared" si="182"/>
        <v/>
      </c>
      <c r="KM51" s="355" t="str">
        <f t="shared" si="183"/>
        <v/>
      </c>
      <c r="KN51" s="355" t="str">
        <f t="shared" si="184"/>
        <v/>
      </c>
      <c r="KO51" s="359"/>
      <c r="KP51" s="378"/>
      <c r="KQ51" s="379" t="s">
        <v>9</v>
      </c>
      <c r="KR51" s="380" t="s">
        <v>1288</v>
      </c>
      <c r="KS51" s="381" t="s">
        <v>9</v>
      </c>
      <c r="KT51" s="382">
        <f t="shared" si="186"/>
        <v>0</v>
      </c>
      <c r="KU51" s="383">
        <f t="shared" si="187"/>
        <v>0</v>
      </c>
      <c r="KV51" s="381" t="str">
        <f t="shared" si="205"/>
        <v>S-N-D-P-m-G-r-S</v>
      </c>
      <c r="KW51" s="382">
        <f t="shared" si="189"/>
        <v>7</v>
      </c>
      <c r="KX51" s="384">
        <f t="shared" si="190"/>
        <v>7</v>
      </c>
      <c r="KY51" s="382">
        <f t="shared" ref="KY51:KZ51" si="297">KW51-KT51</f>
        <v>7</v>
      </c>
      <c r="KZ51" s="369">
        <f t="shared" si="297"/>
        <v>7</v>
      </c>
      <c r="LA51" s="385" t="str">
        <f t="shared" si="192"/>
        <v>-</v>
      </c>
      <c r="LB51" s="340" t="str">
        <f>IFERROR(__xludf.DUMMYFUNCTION("JOIN("""",ArrayFormula(MID(KS51,LEN(KS51)-SEQUENCE(1,LEN(KS51))+1,1)))"),"S")</f>
        <v>S</v>
      </c>
      <c r="LC51" s="373" t="str">
        <f>IFERROR(__xludf.DUMMYFUNCTION("JOIN("""",ArrayFormula(MID(KV51,LEN(KV51)-SEQUENCE(1,LEN(KV51))+1,1)))"),"S-r-G-m-P-D-N-S")</f>
        <v>S-r-G-m-P-D-N-S</v>
      </c>
      <c r="LD51" s="373" t="str">
        <f t="shared" si="193"/>
        <v>S</v>
      </c>
      <c r="LE51" s="339" t="str">
        <f t="shared" si="194"/>
        <v>SrGmPDNS</v>
      </c>
      <c r="LF51" s="386" t="str">
        <f>IFERROR(__xludf.DUMMYFUNCTION("SUBSTITUTE(SUBSTITUTE(CONCATENATE(JOIN("""",LH51:LT51)),""1"",""""),""2"","""")"),"SrGmPDNS")</f>
        <v>SrGmPDNS</v>
      </c>
      <c r="LG51" s="369" t="str">
        <f t="shared" si="195"/>
        <v>✔</v>
      </c>
      <c r="LH51" s="387" t="str">
        <f>IFERROR(__xludf.DUMMYFUNCTION("IF(REGEXMATCH(LD51, ""S""), ""S"",IF(REGEXMATCH(LE51, ""S""), ""S"",""""))"),"S")</f>
        <v>S</v>
      </c>
      <c r="LI51" s="299" t="str">
        <f>IFERROR(__xludf.DUMMYFUNCTION("IF(REGEXMATCH(LD51, ""r""), ""r1"",IF(REGEXMATCH(LE51, ""r""), ""r2"",""""))"),"r2")</f>
        <v>r2</v>
      </c>
      <c r="LJ51" s="299" t="str">
        <f>IFERROR(__xludf.DUMMYFUNCTION("IF(REGEXMATCH(LD51, ""R""), ""R1"",IF(REGEXMATCH(LE51, ""R""), ""R2"",""""))"),"")</f>
        <v/>
      </c>
      <c r="LK51" s="299" t="str">
        <f>IFERROR(__xludf.DUMMYFUNCTION("IF(REGEXMATCH(LD51, ""g""), ""g1"",IF(REGEXMATCH(LE51, ""g""), ""g2"",""""))"),"")</f>
        <v/>
      </c>
      <c r="LL51" s="299" t="str">
        <f>IFERROR(__xludf.DUMMYFUNCTION("IF(REGEXMATCH(LD51, ""G""), ""G1"",IF(REGEXMATCH(LE51, ""G""), ""G2"",""""))"),"G2")</f>
        <v>G2</v>
      </c>
      <c r="LM51" s="299" t="str">
        <f>IFERROR(__xludf.DUMMYFUNCTION("IF(REGEXMATCH(LD51, ""m""), ""m1"",IF(REGEXMATCH(LE51, ""m""), ""m2"",""""))"),"m2")</f>
        <v>m2</v>
      </c>
      <c r="LN51" s="299" t="str">
        <f>IFERROR(__xludf.DUMMYFUNCTION("IF(REGEXMATCH(LD51, ""M""), ""M1"",IF(REGEXMATCH(LE51, ""M""), ""M2"",""""))"),"")</f>
        <v/>
      </c>
      <c r="LO51" s="299" t="str">
        <f>IFERROR(__xludf.DUMMYFUNCTION("IF(REGEXMATCH(LD51, ""P""), ""P1"",IF(REGEXMATCH(LE51, ""P""), ""P2"",""""))"),"P2")</f>
        <v>P2</v>
      </c>
      <c r="LP51" s="299" t="str">
        <f>IFERROR(__xludf.DUMMYFUNCTION("IF(REGEXMATCH(LD51, ""d""), ""d1"",IF(REGEXMATCH(LE51, ""d""), ""d2"",""""))"),"")</f>
        <v/>
      </c>
      <c r="LQ51" s="299" t="str">
        <f>IFERROR(__xludf.DUMMYFUNCTION("IF(REGEXMATCH(LD51, ""D""), ""D1"",IF(REGEXMATCH(LE51, ""D""), ""D2"",""""))"),"D2")</f>
        <v>D2</v>
      </c>
      <c r="LR51" s="299" t="str">
        <f>IFERROR(__xludf.DUMMYFUNCTION("IF(REGEXMATCH(LD51, ""n""), ""n1"",IF(REGEXMATCH(LE51, ""n""), ""n2"",""""))"),"")</f>
        <v/>
      </c>
      <c r="LS51" s="299" t="str">
        <f>IFERROR(__xludf.DUMMYFUNCTION("IF(REGEXMATCH(LD51, ""N""), ""N1"",IF(REGEXMATCH(LE51, ""N""), ""N2"",""""))"),"N2")</f>
        <v>N2</v>
      </c>
      <c r="LT51" s="388" t="str">
        <f>IFERROR(__xludf.DUMMYFUNCTION("IF(REGEXMATCH(LD51, ""S""), ""S"",IF(REGEXMATCH(LE51, ""S""), ""S"",""""))"),"S")</f>
        <v>S</v>
      </c>
      <c r="LU51" s="389">
        <f t="shared" si="196"/>
        <v>-13</v>
      </c>
      <c r="LV51" s="378"/>
      <c r="LW51" s="369"/>
      <c r="LX51" s="369"/>
    </row>
    <row r="52" ht="18.0" customHeight="1">
      <c r="A52" s="298" t="s">
        <v>605</v>
      </c>
      <c r="B52" s="222" t="s">
        <v>606</v>
      </c>
      <c r="C52" s="233" t="str">
        <f t="shared" si="7"/>
        <v>SRmDS</v>
      </c>
      <c r="D52" s="234" t="str">
        <f>IFERROR(__xludf.DUMMYFUNCTION("IF(REGEXMATCH(C52, ""S""), ""S"","""")"),"S")</f>
        <v>S</v>
      </c>
      <c r="E52" s="236" t="str">
        <f>IFERROR(__xludf.DUMMYFUNCTION("IF(REGEXMATCH(C52, ""r""), ""r"","""")"),"")</f>
        <v/>
      </c>
      <c r="F52" s="237" t="str">
        <f>IFERROR(__xludf.DUMMYFUNCTION("IF(REGEXMATCH(C52, ""R""), ""R"","""")"),"R")</f>
        <v>R</v>
      </c>
      <c r="G52" s="237" t="str">
        <f>IFERROR(__xludf.DUMMYFUNCTION("IF(REGEXMATCH(C52, ""g""), ""g"","""")"),"")</f>
        <v/>
      </c>
      <c r="H52" s="236" t="str">
        <f>IFERROR(__xludf.DUMMYFUNCTION("IF(REGEXMATCH(C52, ""G""), ""G"","""")"),"")</f>
        <v/>
      </c>
      <c r="I52" s="236" t="str">
        <f>IFERROR(__xludf.DUMMYFUNCTION("IF(REGEXMATCH(C52, ""m""), ""m"","""")"),"m")</f>
        <v>m</v>
      </c>
      <c r="J52" s="237" t="str">
        <f>IFERROR(__xludf.DUMMYFUNCTION("IF(REGEXMATCH(C52, ""M""), ""M"","""")"),"")</f>
        <v/>
      </c>
      <c r="K52" s="236" t="str">
        <f>IFERROR(__xludf.DUMMYFUNCTION("IF(REGEXMATCH(C52, ""P""), ""P"","""")"),"")</f>
        <v/>
      </c>
      <c r="L52" s="237" t="str">
        <f>IFERROR(__xludf.DUMMYFUNCTION("IF(REGEXMATCH(C52, ""d""), ""d"","""")"),"")</f>
        <v/>
      </c>
      <c r="M52" s="236" t="str">
        <f>IFERROR(__xludf.DUMMYFUNCTION("IF(REGEXMATCH(C52, ""D""), ""D"","""")"),"D")</f>
        <v>D</v>
      </c>
      <c r="N52" s="236" t="str">
        <f>IFERROR(__xludf.DUMMYFUNCTION("IF(REGEXMATCH(C52, ""n""), ""n"","""")"),"")</f>
        <v/>
      </c>
      <c r="O52" s="237" t="str">
        <f>IFERROR(__xludf.DUMMYFUNCTION("IF(REGEXMATCH(C52, ""N""), ""N"","""")"),"")</f>
        <v/>
      </c>
      <c r="P52" s="238" t="str">
        <f>IFERROR(__xludf.DUMMYFUNCTION("IF(REGEXMATCH(C52, ""S""), ""S"","""")"),"S")</f>
        <v>S</v>
      </c>
      <c r="Q52" s="239" t="str">
        <f>IFERROR(__xludf.DUMMYFUNCTION("SUBSTITUTE(CONCATENATE(JOIN(""-"",D52:J52)),""-"","""")"),"SRm")</f>
        <v>SRm</v>
      </c>
      <c r="R52" s="229" t="str">
        <f>IFERROR(__xludf.DUMMYFUNCTION("SUBSTITUTE(CONCATENATE(JOIN(""-"",K52:P52)),""-"","""")"),"DS")</f>
        <v>DS</v>
      </c>
      <c r="S52" s="282" t="str">
        <f t="shared" si="8"/>
        <v>S-R-M</v>
      </c>
      <c r="T52" s="282" t="str">
        <f t="shared" si="9"/>
        <v>D-S</v>
      </c>
      <c r="U52" s="237" t="str">
        <f>IFERROR(__xludf.DUMMYFUNCTION("SUBSTITUTE(JOIN(""-"",S52,T52),""--"",""-"")"),"S-R-M-D-S")</f>
        <v>S-R-M-D-S</v>
      </c>
      <c r="V52" s="309" t="str">
        <f t="shared" si="10"/>
        <v>RmD</v>
      </c>
      <c r="W52" s="244" t="str">
        <f>IFERROR(__xludf.DUMMYFUNCTION("IF(REGEXMATCH(C52, ""S""), ""0"","""")"),"0")</f>
        <v>0</v>
      </c>
      <c r="X52" s="245" t="str">
        <f>IFERROR(__xludf.DUMMYFUNCTION("IF(REGEXMATCH(C52, ""r""), ""1"","""")"),"")</f>
        <v/>
      </c>
      <c r="Y52" s="246" t="str">
        <f>IFERROR(__xludf.DUMMYFUNCTION("IF(REGEXMATCH(C52, ""R""), ""2"","""")"),"2")</f>
        <v>2</v>
      </c>
      <c r="Z52" s="246" t="str">
        <f>IFERROR(__xludf.DUMMYFUNCTION("IF(REGEXMATCH(C52, ""g""), ""3"","""")"),"")</f>
        <v/>
      </c>
      <c r="AA52" s="245" t="str">
        <f>IFERROR(__xludf.DUMMYFUNCTION("IF(REGEXMATCH(C52, ""G""), ""4"","""")"),"")</f>
        <v/>
      </c>
      <c r="AB52" s="245" t="str">
        <f>IFERROR(__xludf.DUMMYFUNCTION("IF(REGEXMATCH(C52, ""m""), ""5"","""")"),"5")</f>
        <v>5</v>
      </c>
      <c r="AC52" s="246" t="str">
        <f>IFERROR(__xludf.DUMMYFUNCTION("IF(REGEXMATCH(C52, ""M""), ""6"","""")"),"")</f>
        <v/>
      </c>
      <c r="AD52" s="245" t="str">
        <f>IFERROR(__xludf.DUMMYFUNCTION("IF(REGEXMATCH(C52, ""P""), ""7"","""")"),"")</f>
        <v/>
      </c>
      <c r="AE52" s="246" t="str">
        <f>IFERROR(__xludf.DUMMYFUNCTION("IF(REGEXMATCH(C52, ""d""), ""8"","""")"),"")</f>
        <v/>
      </c>
      <c r="AF52" s="245" t="str">
        <f>IFERROR(__xludf.DUMMYFUNCTION("IF(REGEXMATCH(C52, ""D""), ""9"","""")"),"9")</f>
        <v>9</v>
      </c>
      <c r="AG52" s="245" t="str">
        <f>IFERROR(__xludf.DUMMYFUNCTION("IF(REGEXMATCH(C52, ""n""), ""10"","""")"),"")</f>
        <v/>
      </c>
      <c r="AH52" s="246" t="str">
        <f>IFERROR(__xludf.DUMMYFUNCTION("IF(REGEXMATCH(C52, ""N""), ""11"","""")"),"")</f>
        <v/>
      </c>
      <c r="AI52" s="249" t="str">
        <f>IFERROR(__xludf.DUMMYFUNCTION("IF(REGEXMATCH(C52, ""S""), ""0"","""")"),"0")</f>
        <v>0</v>
      </c>
      <c r="AJ52" s="313" t="str">
        <f t="shared" si="11"/>
        <v>-</v>
      </c>
      <c r="AK52" s="313" t="str">
        <f t="shared" si="12"/>
        <v>-</v>
      </c>
      <c r="AL52" s="313" t="str">
        <f t="shared" si="13"/>
        <v>-</v>
      </c>
      <c r="AM52" s="313" t="str">
        <f t="shared" si="14"/>
        <v>-</v>
      </c>
      <c r="AN52" s="313" t="str">
        <f t="shared" si="15"/>
        <v>-</v>
      </c>
      <c r="AO52" s="314" t="str">
        <f t="shared" si="16"/>
        <v>-</v>
      </c>
      <c r="AP52" s="316">
        <f t="shared" si="17"/>
        <v>0</v>
      </c>
      <c r="AQ52" s="319" t="str">
        <f t="shared" si="18"/>
        <v>-</v>
      </c>
      <c r="AR52" s="320">
        <f t="shared" si="19"/>
        <v>0</v>
      </c>
      <c r="AS52" s="250" t="str">
        <f>IFERROR(__xludf.DUMMYFUNCTION("SUBSTITUTE(SUBSTITUTE(CONCATENATE(JOIN("""",FP52:GA52)),""|"",""x""),""-"",""o"")"),"xoxooxoooxoo")</f>
        <v>xoxooxoooxoo</v>
      </c>
      <c r="AT52" s="323" t="str">
        <f>IFERROR(__xludf.DUMMYFUNCTION("JOIN("""",AS52,AS52)"),"xoxooxoooxooxoxooxoooxoo")</f>
        <v>xoxooxoooxooxoxooxoooxoo</v>
      </c>
      <c r="AU52" s="256" t="str">
        <f>IFERROR(__xludf.DUMMYFUNCTION("JOIN("""",ArrayFormula(MID(AS52,LEN(AS52)-SEQUENCE(1,LEN(AS52))+1,1)))"),"ooxoooxooxox")</f>
        <v>ooxoooxooxox</v>
      </c>
      <c r="AV52" s="256" t="str">
        <f>IFERROR(__xludf.DUMMYFUNCTION("LEFT(CONCATENATE(""x"",JOIN("""",ArrayFormula(MID(AS52,LEN(AS52)-SEQUENCE(1,LEN(AS52))+1,1)))),12)"),"xooxoooxooxo")</f>
        <v>xooxoooxooxo</v>
      </c>
      <c r="AW52" s="327" t="str">
        <f>IFERROR(__xludf.DUMMYFUNCTION("JOIN("""",AU52,AU52)"),"ooxoooxooxoxooxoooxooxox")</f>
        <v>ooxoooxooxoxooxoooxooxox</v>
      </c>
      <c r="AX52" s="239" t="str">
        <f>IFERROR(__xludf.DUMMYFUNCTION("IF(REGEXMATCH(AW52,AS52),""✔"",""-"")"),"✔")</f>
        <v>✔</v>
      </c>
      <c r="AY52" s="330" t="str">
        <f t="shared" si="20"/>
        <v>-</v>
      </c>
      <c r="AZ52" s="260" t="str">
        <f t="shared" si="21"/>
        <v>#REF!</v>
      </c>
      <c r="BA52" s="333" t="str">
        <f t="shared" si="22"/>
        <v>xoxooxo</v>
      </c>
      <c r="BB52" s="334" t="str">
        <f t="shared" si="23"/>
        <v>ooxoox</v>
      </c>
      <c r="BC52" s="335" t="str">
        <f t="shared" si="236"/>
        <v>-</v>
      </c>
      <c r="BD52" s="336" t="str">
        <f t="shared" si="25"/>
        <v>Bhavani: 'xoxooxo' + 'ooxoox'</v>
      </c>
      <c r="BE52" s="337">
        <f>IFERROR(__xludf.DUMMYFUNCTION("COUNTUNIQUE(FILTER(AT:AT,REGEXMATCH(AT:AT,AS52)))-1"),1.0)</f>
        <v>1</v>
      </c>
      <c r="BF52" s="261" t="str">
        <f>IFERROR(__xludf.DUMMYFUNCTION("IF(BI52=0,""(n/a)"",IF(BJ52=2,""(PAIR)"",IF(REGEXMATCH(AT52,""xoxoxxoxoxox""),""Bilawal"",IF(REGEXMATCH(AT52,""xoxoxooxoxoo""),""Bhupali"",IF(REGEXMATCH(AT52,""xoxoxxoxxoxo""),""Charukeshi"",IF(REGEXMATCH(AT52,""xoxoooxxoxxo""),""Kameshwari"",IF(REGEXMATC"&amp;"H(AT52,""xoxoxooxoxox""),""Shankara"",IF(REGEXMATCH(AT52,""xxooxoxxxoox""),""Basant"",IF(REGEXMATCH(AT52,""xoxoxxxxoxox""),""Bihag"",IF(REGEXMATCH(AT52,""xoxxxxoxoxxx""),""Pilu"",IF(REGEXMATCH(AT52,""xoxxoxoxxoox""),""Kirwani"",IF(REGEXMATCH(AT52,""xoxxox"&amp;"oxoxxx""),""Mk.Malhar"",IF(REGEXMATCH(AT52,""xxooxxoxxoox""),""Bhairav"",IF(REGEXMATCH(AT52,""xxoxooxxxoox""),""Todi"",IF(REGEXMATCH(AT52,""xxooxoxooxox""),""Marwa"",IF(REGEXMATCH(AT52,""xxoooxoxxooo""),""Gunkali"",IF(REGEXMATCH(AT52,""xoxoxxoxxoox""),""N"&amp;"at Bhairav"",IF(REGEXMATCH(AT52,""xoxxoooxoxoo""),""Shivranjani"",IF(REGEXMATCH(AT52,""xooxxxoxooxo""),""Jog"",IF(REGEXMATCH(AT52,""xxooxoxoxoox""),""Hemshri"",IF(REGEXMATCH(AT52,""xoooxooxoxxo""),""Kalavati"",IF(REGEXMATCH(AT52,""xxoxoxxoxoox""),""Kedar"&amp;""",IF(REGEXMATCH(AT52,""xoxxxxoxooxx""),""Gara"",IF(REGEXMATCH(AT52,""xooxoxooxoox""),""Chandrakauns"",IF(REGEXMATCH(AT52,""xoxxxxoxxxox""),""Mand"",IF(REGEXMATCH(AT52,""xoxxxxoxoxox""),""Hanskinkini"",IF(REGEXMATCH(AT52,""xxooxxoxooxo""),""Lilavati"",IF("&amp;"REGEXMATCH(AT52,""xooxoxoooxox""),""Rajeshwari"",IF(REGEXMATCH(AT52,""xoooxxoxoxxx""),""Khokar"",IF(REGEXMATCH(AT52,""xxooxoxxxxox""),""Maligoura"",""-""))))))))))))))))))))))))))))))"),"(PAIR)")</f>
        <v>(PAIR)</v>
      </c>
      <c r="BG52" s="239" t="str">
        <f t="shared" si="26"/>
        <v>#REF!</v>
      </c>
      <c r="BH52" s="239">
        <f>IFERROR(__xludf.DUMMYFUNCTION("COUNTUNIQUE(FE52:FO52)-1"),3.0)</f>
        <v>3</v>
      </c>
      <c r="BI52" s="239">
        <f>IFERROR(__xludf.DUMMYFUNCTION("COUNTUNIQUE(FILTER(AT:AT,REGEXMATCH(AT:AT,AS52)))-1"),1.0)</f>
        <v>1</v>
      </c>
      <c r="BJ52" s="239">
        <f>IFERROR(__xludf.DUMMYFUNCTION("COUNTA(FILTER(AT:AT,REGEXMATCH(AT:AT,AS52)))"),2.0)</f>
        <v>2</v>
      </c>
      <c r="BK52" s="341">
        <f>IFERROR(__xludf.DUMMYFUNCTION("COUNTA(FILTER(AT:AT,REGEXMATCH(AT:AT,AS52)))-AR52"),2.0)</f>
        <v>2</v>
      </c>
      <c r="BL52" s="276" t="str">
        <f>IFERROR(__xludf.DUMMYFUNCTION("IF(AS52=""oooooooooooo"",""-"",IF(REGEXMATCH(AT52,""xx""), ""Hemi."", ""Anhemi.""))"),"Anhemi.")</f>
        <v>Anhemi.</v>
      </c>
      <c r="BM52" s="282" t="str">
        <f>IFERROR(__xludf.DUMMYFUNCTION("IF(AS52=""oooooooooooo"",""-"",IF(REGEXMATCH(AT52,""xxx""), ""Cohem."", ""-""))"),"-")</f>
        <v>-</v>
      </c>
      <c r="BN52" s="282" t="str">
        <f>IFERROR(__xludf.DUMMYFUNCTION("IF(AS52=""oooooooooooo"",""-"",IF(REGEXMATCH(AT52,""xxxx""), ""Co-Co."", ""-""))"),"-")</f>
        <v>-</v>
      </c>
      <c r="BO52" s="342" t="str">
        <f>IFERROR(__xludf.DUMMYFUNCTION("IF(AS52=""oooooooooooo"",""-"",IF(REGEXMATCH(AT52,""xxxxx""), ""CCC."", ""-""))"),"-")</f>
        <v>-</v>
      </c>
      <c r="BP52" s="344" t="str">
        <f t="shared" si="27"/>
        <v>-</v>
      </c>
      <c r="BQ52" s="282" t="str">
        <f>IFERROR(__xludf.DUMMYFUNCTION("IF(REGEXMATCH(JOIN(""-"",EU52:FD52),""TRUE""),""✔"",""-"")"),"✔")</f>
        <v>✔</v>
      </c>
      <c r="BR52" s="225">
        <f t="shared" si="28"/>
        <v>3</v>
      </c>
      <c r="BS52" s="345" t="str">
        <f>IFERROR(__xludf.DUMMYFUNCTION("SUBSTITUTE(SUBSTITUTE(SUBSTITUTE(SUBSTITUTE(CONCATENATE(JOIN(""-"",GC52:GO52)),""--"",""-""),""--"",""-""),""--"",""-""),""--"",""-"")"),"1-2-4-6-8")</f>
        <v>1-2-4-6-8</v>
      </c>
      <c r="BT52" s="299" t="str">
        <f>IFERROR(__xludf.DUMMYFUNCTION("SUBSTITUTE(SUBSTITUTE(SUBSTITUTE(SUBSTITUTE(CONCATENATE(JOIN(""-"",GP52:HB52)),""--"",""-""),""--"",""-""),""--"",""-""),""--"",""-"")"),"S-R2-M1-D2-S")</f>
        <v>S-R2-M1-D2-S</v>
      </c>
      <c r="BU52" s="348" t="str">
        <f t="shared" si="29"/>
        <v>C-D-F-A-C</v>
      </c>
      <c r="BV52" s="349" t="str">
        <f t="shared" si="30"/>
        <v>SrgGMPdnNS</v>
      </c>
      <c r="BW52" s="350">
        <f t="shared" si="31"/>
        <v>0</v>
      </c>
      <c r="BX52" s="351">
        <f t="shared" si="32"/>
        <v>1</v>
      </c>
      <c r="BY52" s="392"/>
      <c r="BZ52" s="309" t="str">
        <f>IFERROR(__xludf.DUMMYFUNCTION("IF(REGEXMATCH(C52, ""S""), ""x"",""x"")"),"x")</f>
        <v>x</v>
      </c>
      <c r="CA52" s="245" t="str">
        <f>IFERROR(__xludf.DUMMYFUNCTION("IF(REGEXMATCH(C52, ""r""), ""o"",""x"")"),"x")</f>
        <v>x</v>
      </c>
      <c r="CB52" s="246" t="str">
        <f>IFERROR(__xludf.DUMMYFUNCTION("IF(REGEXMATCH(C52, ""R""), ""o"",""x"")"),"o")</f>
        <v>o</v>
      </c>
      <c r="CC52" s="246" t="str">
        <f>IFERROR(__xludf.DUMMYFUNCTION("IF(REGEXMATCH(C52, ""g""), ""o"",""x"")"),"x")</f>
        <v>x</v>
      </c>
      <c r="CD52" s="245" t="str">
        <f>IFERROR(__xludf.DUMMYFUNCTION("IF(REGEXMATCH(C52, ""G""), ""o"",""x"")"),"x")</f>
        <v>x</v>
      </c>
      <c r="CE52" s="245" t="str">
        <f>IFERROR(__xludf.DUMMYFUNCTION("IF(REGEXMATCH(C52, ""m""), ""o"",""x"")"),"o")</f>
        <v>o</v>
      </c>
      <c r="CF52" s="246" t="str">
        <f>IFERROR(__xludf.DUMMYFUNCTION("IF(REGEXMATCH(C52, ""M""), ""o"",""x"")"),"x")</f>
        <v>x</v>
      </c>
      <c r="CG52" s="245" t="str">
        <f>IFERROR(__xludf.DUMMYFUNCTION("IF(REGEXMATCH(C52, ""P""), ""o"",""x"")"),"x")</f>
        <v>x</v>
      </c>
      <c r="CH52" s="246" t="str">
        <f>IFERROR(__xludf.DUMMYFUNCTION("IF(REGEXMATCH(C52, ""d""), ""o"",""x"")"),"x")</f>
        <v>x</v>
      </c>
      <c r="CI52" s="245" t="str">
        <f>IFERROR(__xludf.DUMMYFUNCTION("IF(REGEXMATCH(C52, ""D""), ""o"",""x"")"),"o")</f>
        <v>o</v>
      </c>
      <c r="CJ52" s="245" t="str">
        <f>IFERROR(__xludf.DUMMYFUNCTION("IF(REGEXMATCH(C52, ""n""), ""o"",""x"")"),"x")</f>
        <v>x</v>
      </c>
      <c r="CK52" s="245" t="str">
        <f>IFERROR(__xludf.DUMMYFUNCTION("IF(REGEXMATCH(C52, ""N""), ""o"",""x"")"),"x")</f>
        <v>x</v>
      </c>
      <c r="CL52" s="356" t="str">
        <f>IFERROR(__xludf.DUMMYFUNCTION("IF(REGEXMATCH(C52, ""S""), ""x"",""x"")"),"x")</f>
        <v>x</v>
      </c>
      <c r="CM52" s="357" t="str">
        <f t="shared" si="33"/>
        <v>xxoxxoxxxoxx</v>
      </c>
      <c r="CN52" s="358">
        <f t="shared" si="34"/>
        <v>0</v>
      </c>
      <c r="CO52" s="246" t="str">
        <f>IFERROR(__xludf.DUMMYFUNCTION("IF(REGEXMATCH($C52, ""S""), ""S"",""S"")"),"S")</f>
        <v>S</v>
      </c>
      <c r="CP52" s="246" t="str">
        <f>IFERROR(__xludf.DUMMYFUNCTION("IF(REGEXMATCH($C52, ""r""), """",""r"")"),"r")</f>
        <v>r</v>
      </c>
      <c r="CQ52" s="246" t="str">
        <f>IFERROR(__xludf.DUMMYFUNCTION("IF(REGEXMATCH($C52, ""R""), """",""R"")"),"")</f>
        <v/>
      </c>
      <c r="CR52" s="246" t="str">
        <f>IFERROR(__xludf.DUMMYFUNCTION("IF(REGEXMATCH($C52, ""g""), """",""g"")"),"g")</f>
        <v>g</v>
      </c>
      <c r="CS52" s="246" t="str">
        <f>IFERROR(__xludf.DUMMYFUNCTION("IF(REGEXMATCH($C52, ""G""), """",""G"")"),"G")</f>
        <v>G</v>
      </c>
      <c r="CT52" s="246" t="str">
        <f>IFERROR(__xludf.DUMMYFUNCTION("IF(REGEXMATCH($C52, ""m""), """",""m"")"),"")</f>
        <v/>
      </c>
      <c r="CU52" s="246" t="str">
        <f>IFERROR(__xludf.DUMMYFUNCTION("IF(REGEXMATCH($C52, ""M""), """",""M"")"),"M")</f>
        <v>M</v>
      </c>
      <c r="CV52" s="246" t="str">
        <f>IFERROR(__xludf.DUMMYFUNCTION("IF(REGEXMATCH($C52, ""P""), """",""P"")"),"P")</f>
        <v>P</v>
      </c>
      <c r="CW52" s="246" t="str">
        <f>IFERROR(__xludf.DUMMYFUNCTION("IF(REGEXMATCH($C52, ""d""), """",""d"")"),"d")</f>
        <v>d</v>
      </c>
      <c r="CX52" s="246" t="str">
        <f>IFERROR(__xludf.DUMMYFUNCTION("IF(REGEXMATCH($C52, ""D""), """",""D"")"),"")</f>
        <v/>
      </c>
      <c r="CY52" s="246" t="str">
        <f>IFERROR(__xludf.DUMMYFUNCTION("IF(REGEXMATCH($C52, ""n""), """",""n"")"),"n")</f>
        <v>n</v>
      </c>
      <c r="CZ52" s="246" t="str">
        <f>IFERROR(__xludf.DUMMYFUNCTION("IF(REGEXMATCH($C52, ""N""), """",""N"")"),"N")</f>
        <v>N</v>
      </c>
      <c r="DA52" s="246" t="str">
        <f>IFERROR(__xludf.DUMMYFUNCTION("IF(REGEXMATCH($C52, ""S""), ""S"",""S"")"),"S")</f>
        <v>S</v>
      </c>
      <c r="DB52" s="362" t="str">
        <f>IFERROR(__xludf.DUMMYFUNCTION("JOIN("""",CO52:DA52,"""","""")"),"SrgGMPdnNS")</f>
        <v>SrgGMPdnNS</v>
      </c>
      <c r="DC52" s="363"/>
      <c r="DD52" s="301" t="str">
        <f t="shared" si="35"/>
        <v>#REF!</v>
      </c>
      <c r="DE52" s="302" t="str">
        <f t="shared" si="36"/>
        <v>#REF!</v>
      </c>
      <c r="DF52" s="301" t="str">
        <f t="shared" ref="DF52:DG52" si="298">SUBSTITUTE(S52,"-","")</f>
        <v>SRM</v>
      </c>
      <c r="DG52" s="301" t="str">
        <f t="shared" si="298"/>
        <v>DS</v>
      </c>
      <c r="DH52" s="302" t="str">
        <f t="shared" si="38"/>
        <v>(PAIR)</v>
      </c>
      <c r="DI52" s="301" t="str">
        <f t="shared" si="39"/>
        <v>Anhemi.</v>
      </c>
      <c r="DJ52" s="364" t="str">
        <f t="shared" si="40"/>
        <v>-</v>
      </c>
      <c r="DK52" s="306" t="str">
        <f t="shared" si="41"/>
        <v>-</v>
      </c>
      <c r="DL52" s="366" t="str">
        <f t="shared" si="42"/>
        <v>✔</v>
      </c>
      <c r="DM52" s="308" t="str">
        <f t="shared" si="43"/>
        <v>-</v>
      </c>
      <c r="DN52" s="306" t="str">
        <f t="shared" si="44"/>
        <v>✔</v>
      </c>
      <c r="DO52" s="306" t="str">
        <f t="shared" si="45"/>
        <v>-</v>
      </c>
      <c r="DP52" s="367" t="str">
        <f t="shared" si="46"/>
        <v>-</v>
      </c>
      <c r="DQ52" s="310" t="str">
        <f t="shared" si="47"/>
        <v>-</v>
      </c>
      <c r="DR52" s="310" t="str">
        <f t="shared" si="48"/>
        <v>-</v>
      </c>
      <c r="DS52" s="310" t="str">
        <f t="shared" si="49"/>
        <v>-</v>
      </c>
      <c r="DT52" s="310" t="str">
        <f t="shared" si="50"/>
        <v>-</v>
      </c>
      <c r="DU52" s="370" t="str">
        <f t="shared" si="51"/>
        <v>-</v>
      </c>
      <c r="DV52" s="306" t="str">
        <f t="shared" si="52"/>
        <v>-</v>
      </c>
      <c r="DW52" s="306" t="str">
        <f t="shared" si="53"/>
        <v>✔</v>
      </c>
      <c r="DX52" s="306" t="str">
        <f t="shared" si="54"/>
        <v>-</v>
      </c>
      <c r="DY52" s="306" t="str">
        <f t="shared" si="55"/>
        <v>✔</v>
      </c>
      <c r="DZ52" s="306" t="str">
        <f t="shared" si="56"/>
        <v>-</v>
      </c>
      <c r="EA52" s="367" t="str">
        <f t="shared" si="57"/>
        <v>✔</v>
      </c>
      <c r="EB52" s="310" t="str">
        <f>IFERROR(__xludf.DUMMYFUNCTION("IF(REGEXMATCH(AW52,AS52),""✔"",""-"")"),"✔")</f>
        <v>✔</v>
      </c>
      <c r="EC52" s="310" t="str">
        <f t="shared" si="58"/>
        <v>#REF!</v>
      </c>
      <c r="ED52" s="370" t="str">
        <f t="shared" si="59"/>
        <v>-</v>
      </c>
      <c r="EE52" s="340" t="str">
        <f t="shared" si="60"/>
        <v>S-R-m-D-S</v>
      </c>
      <c r="EF52" s="371" t="str">
        <f>IFERROR(__xludf.DUMMYFUNCTION("CONCATENATE(JOIN("""",HC52:HO52))"),"SgPnS")</f>
        <v>SgPnS</v>
      </c>
      <c r="EG52" s="372">
        <f t="shared" si="61"/>
        <v>2</v>
      </c>
      <c r="EH52" s="373" t="str">
        <f>IFERROR(__xludf.DUMMYFUNCTION("CONCATENATE(JOIN("""",JC52:JO52))"),"Sa, Dha, ")</f>
        <v>Sa, Dha, </v>
      </c>
      <c r="EI52" s="322">
        <f t="shared" si="62"/>
        <v>0</v>
      </c>
      <c r="EJ52" s="374" t="str">
        <f>IFERROR(__xludf.DUMMYFUNCTION("CONCATENATE(JOIN("""",KC52:KO52))"),"")</f>
        <v/>
      </c>
      <c r="EK52" s="325" t="str">
        <f t="shared" si="63"/>
        <v>S-R2-M1-D2-S</v>
      </c>
      <c r="EL52" s="326" t="str">
        <f t="shared" si="64"/>
        <v>1-2-4-6-8</v>
      </c>
      <c r="EM52" s="318" t="str">
        <f t="shared" si="65"/>
        <v>#REF!</v>
      </c>
      <c r="EN52" s="328" t="str">
        <f>IFERROR(__xludf.DUMMYFUNCTION("SUBSTITUTE(SUBSTITUTE(SUBSTITUTE(SUBSTITUTE(CONCATENATE(JOIN("" "",HP52:IB52)),""  "","" ""),""  "","" ""),""  "","" ""),""  "","" "")"),"o • o • • o • • • o • • o")</f>
        <v>o • o • • o • • • o • • o</v>
      </c>
      <c r="EO52" s="368" t="str">
        <f t="shared" si="66"/>
        <v>Sa-ma</v>
      </c>
      <c r="EP52" s="339" t="str">
        <f t="shared" si="67"/>
        <v>-</v>
      </c>
      <c r="EQ52" s="339" t="str">
        <f t="shared" si="68"/>
        <v>-</v>
      </c>
      <c r="ER52" s="339" t="str">
        <f t="shared" si="69"/>
        <v>-</v>
      </c>
      <c r="ES52" s="340" t="str">
        <f t="shared" si="70"/>
        <v>Sa-ma</v>
      </c>
      <c r="ET52" s="363"/>
      <c r="EU52" s="376" t="b">
        <f>IFERROR(__xludf.DUMMYFUNCTION("arrayformula(sum(--REGEXMATCH(""SRGMPDNS"",split(REGEXREPLACE(C52,""(.)"",""$1~""),""~""))))=len(C52)
"),FALSE)</f>
        <v>0</v>
      </c>
      <c r="EV52" s="290" t="b">
        <f>IFERROR(__xludf.DUMMYFUNCTION("arrayformula(sum(--REGEXMATCH(""SRGmPDNS"",split(REGEXREPLACE(C52,""(.)"",""$1~""),""~""))))=len(C52)"),TRUE)</f>
        <v>1</v>
      </c>
      <c r="EW52" s="290" t="b">
        <f>IFERROR(__xludf.DUMMYFUNCTION("arrayformula(sum(--REGEXMATCH(""SRGmPDnS"",split(REGEXREPLACE(C52,""(.)"",""$1~""),""~""))))=len(C52)"),TRUE)</f>
        <v>1</v>
      </c>
      <c r="EX52" s="290" t="b">
        <f>IFERROR(__xludf.DUMMYFUNCTION("arrayformula(sum(--REGEXMATCH(""SRgmPDnS"",split(REGEXREPLACE(C52,""(.)"",""$1~""),""~""))))=len(C52)"),TRUE)</f>
        <v>1</v>
      </c>
      <c r="EY52" s="290" t="b">
        <f>IFERROR(__xludf.DUMMYFUNCTION("arrayformula(sum(--REGEXMATCH(""SRgmPdnS"",split(REGEXREPLACE(C52,""(.)"",""$1~""),""~""))))=len(C52)"),FALSE)</f>
        <v>0</v>
      </c>
      <c r="EZ52" s="290" t="b">
        <f>IFERROR(__xludf.DUMMYFUNCTION("arrayformula(sum(--REGEXMATCH(""SrgmPdnS"",split(REGEXREPLACE(C52,""(.)"",""$1~""),""~""))))=len(C52)"),FALSE)</f>
        <v>0</v>
      </c>
      <c r="FA52" s="290" t="b">
        <f>IFERROR(__xludf.DUMMYFUNCTION("arrayformula(sum(--REGEXMATCH(""SrGmPdNS"",split(REGEXREPLACE(C52,""(.)"",""$1~""),""~""))))=len(C52)"),FALSE)</f>
        <v>0</v>
      </c>
      <c r="FB52" s="290" t="b">
        <f>IFERROR(__xludf.DUMMYFUNCTION("arrayformula(sum(--REGEXMATCH(""SrGMPDNS"",split(REGEXREPLACE(C52,""(.)"",""$1~""),""~""))))=len(C52)"),FALSE)</f>
        <v>0</v>
      </c>
      <c r="FC52" s="290" t="b">
        <f>IFERROR(__xludf.DUMMYFUNCTION("arrayformula(sum(--REGEXMATCH(""SrGMPdNS"",split(REGEXREPLACE(C52,""(.)"",""$1~""),""~""))))=len(C52)"),FALSE)</f>
        <v>0</v>
      </c>
      <c r="FD52" s="377" t="b">
        <f>IFERROR(__xludf.DUMMYFUNCTION("arrayformula(sum(--REGEXMATCH(""SrgMPdNS"",split(REGEXREPLACE(C52,""(.)"",""$1~""),""~""))))=len(C52)"),FALSE)</f>
        <v>0</v>
      </c>
      <c r="FE52" s="269" t="str">
        <f t="shared" si="71"/>
        <v>-</v>
      </c>
      <c r="FF52" s="269" t="str">
        <f t="shared" si="72"/>
        <v>xooxoooxoox</v>
      </c>
      <c r="FG52" s="271" t="str">
        <f t="shared" si="73"/>
        <v>-</v>
      </c>
      <c r="FH52" s="269" t="str">
        <f t="shared" si="74"/>
        <v>-</v>
      </c>
      <c r="FI52" s="271" t="str">
        <f t="shared" si="75"/>
        <v>xoooxooxoxo</v>
      </c>
      <c r="FJ52" s="271" t="str">
        <f t="shared" si="76"/>
        <v>-</v>
      </c>
      <c r="FK52" s="271" t="str">
        <f t="shared" si="77"/>
        <v>-</v>
      </c>
      <c r="FL52" s="271" t="str">
        <f t="shared" si="78"/>
        <v>-</v>
      </c>
      <c r="FM52" s="271" t="str">
        <f t="shared" si="79"/>
        <v>xooxoxooxoo</v>
      </c>
      <c r="FN52" s="271" t="str">
        <f t="shared" si="80"/>
        <v>-</v>
      </c>
      <c r="FO52" s="274" t="str">
        <f t="shared" si="81"/>
        <v>-</v>
      </c>
      <c r="FP52" s="234" t="str">
        <f t="shared" si="82"/>
        <v>|</v>
      </c>
      <c r="FQ52" s="236" t="str">
        <f t="shared" si="83"/>
        <v>-</v>
      </c>
      <c r="FR52" s="237" t="str">
        <f t="shared" si="84"/>
        <v>|</v>
      </c>
      <c r="FS52" s="236" t="str">
        <f t="shared" si="85"/>
        <v>-</v>
      </c>
      <c r="FT52" s="237" t="str">
        <f t="shared" si="86"/>
        <v>-</v>
      </c>
      <c r="FU52" s="236" t="str">
        <f t="shared" si="87"/>
        <v>|</v>
      </c>
      <c r="FV52" s="237" t="str">
        <f t="shared" si="88"/>
        <v>-</v>
      </c>
      <c r="FW52" s="236" t="str">
        <f t="shared" si="89"/>
        <v>-</v>
      </c>
      <c r="FX52" s="237" t="str">
        <f t="shared" si="90"/>
        <v>-</v>
      </c>
      <c r="FY52" s="236" t="str">
        <f t="shared" si="91"/>
        <v>|</v>
      </c>
      <c r="FZ52" s="237" t="str">
        <f t="shared" si="92"/>
        <v>-</v>
      </c>
      <c r="GA52" s="236" t="str">
        <f t="shared" si="93"/>
        <v>-</v>
      </c>
      <c r="GB52" s="238" t="str">
        <f t="shared" si="94"/>
        <v>|</v>
      </c>
      <c r="GC52" s="244" t="str">
        <f>IFERROR(__xludf.DUMMYFUNCTION("IF(REGEXMATCH(C52, ""S""), ""1"","""")"),"1")</f>
        <v>1</v>
      </c>
      <c r="GD52" s="245" t="str">
        <f>IFERROR(__xludf.DUMMYFUNCTION("IF(REGEXMATCH(C52, ""r""), ""b2"","""")"),"")</f>
        <v/>
      </c>
      <c r="GE52" s="246" t="str">
        <f>IFERROR(__xludf.DUMMYFUNCTION("IF(REGEXMATCH(C52, ""R""), ""2"","""")"),"2")</f>
        <v>2</v>
      </c>
      <c r="GF52" s="246" t="str">
        <f>IFERROR(__xludf.DUMMYFUNCTION("IF(REGEXMATCH(C52, ""g""), ""b3"","""")"),"")</f>
        <v/>
      </c>
      <c r="GG52" s="245" t="str">
        <f>IFERROR(__xludf.DUMMYFUNCTION("IF(REGEXMATCH(C52, ""G""), ""3"","""")"),"")</f>
        <v/>
      </c>
      <c r="GH52" s="245" t="str">
        <f>IFERROR(__xludf.DUMMYFUNCTION("IF(REGEXMATCH(C52, ""m""), ""4"","""")"),"4")</f>
        <v>4</v>
      </c>
      <c r="GI52" s="246" t="str">
        <f>IFERROR(__xludf.DUMMYFUNCTION("IF(REGEXMATCH(C52, ""M""), ""#4"","""")"),"")</f>
        <v/>
      </c>
      <c r="GJ52" s="245" t="str">
        <f>IFERROR(__xludf.DUMMYFUNCTION("IF(REGEXMATCH(C52, ""P""), ""5"","""")"),"")</f>
        <v/>
      </c>
      <c r="GK52" s="246" t="str">
        <f>IFERROR(__xludf.DUMMYFUNCTION("IF(REGEXMATCH(C52, ""d""), ""b6"","""")"),"")</f>
        <v/>
      </c>
      <c r="GL52" s="245" t="str">
        <f>IFERROR(__xludf.DUMMYFUNCTION("IF(REGEXMATCH(C52, ""D""), ""6"","""")"),"6")</f>
        <v>6</v>
      </c>
      <c r="GM52" s="245" t="str">
        <f>IFERROR(__xludf.DUMMYFUNCTION("IF(REGEXMATCH(C52, ""n""), ""b7"","""")"),"")</f>
        <v/>
      </c>
      <c r="GN52" s="246" t="str">
        <f>IFERROR(__xludf.DUMMYFUNCTION("IF(REGEXMATCH(C52, ""N""), ""7"","""")"),"")</f>
        <v/>
      </c>
      <c r="GO52" s="249" t="str">
        <f>IFERROR(__xludf.DUMMYFUNCTION("IF(REGEXMATCH(C52, ""S""), ""8"","""")"),"8")</f>
        <v>8</v>
      </c>
      <c r="GP52" s="244" t="str">
        <f>IFERROR(__xludf.DUMMYFUNCTION("IF(REGEXMATCH(C52, ""S""), ""S"","""")"),"S")</f>
        <v>S</v>
      </c>
      <c r="GQ52" s="294" t="str">
        <f>IFERROR(__xludf.DUMMYFUNCTION("IF(REGEXMATCH(C52, ""r""), ""R1"","""")"),"")</f>
        <v/>
      </c>
      <c r="GR52" s="295" t="str">
        <f>IFERROR(__xludf.DUMMYFUNCTION("IF(REGEXMATCH(C52, ""R""), ""R2"","""")"),"R2")</f>
        <v>R2</v>
      </c>
      <c r="GS52" s="295" t="str">
        <f>IFERROR(__xludf.DUMMYFUNCTION("IF(REGEXMATCH(C52, ""g""), ""G2"","""")"),"")</f>
        <v/>
      </c>
      <c r="GT52" s="294" t="str">
        <f>IFERROR(__xludf.DUMMYFUNCTION("IF(REGEXMATCH(C52, ""G""), ""G3"","""")"),"")</f>
        <v/>
      </c>
      <c r="GU52" s="294" t="str">
        <f>IFERROR(__xludf.DUMMYFUNCTION("IF(REGEXMATCH(C52, ""m""), ""M1"","""")"),"M1")</f>
        <v>M1</v>
      </c>
      <c r="GV52" s="295" t="str">
        <f>IFERROR(__xludf.DUMMYFUNCTION("IF(REGEXMATCH(C52, ""M""), ""M2"","""")"),"")</f>
        <v/>
      </c>
      <c r="GW52" s="294" t="str">
        <f>IFERROR(__xludf.DUMMYFUNCTION("IF(REGEXMATCH(C52, ""P""), ""P"","""")"),"")</f>
        <v/>
      </c>
      <c r="GX52" s="295" t="str">
        <f>IFERROR(__xludf.DUMMYFUNCTION("IF(REGEXMATCH(C52, ""d""), ""D1"","""")"),"")</f>
        <v/>
      </c>
      <c r="GY52" s="294" t="str">
        <f>IFERROR(__xludf.DUMMYFUNCTION("IF(REGEXMATCH(C52, ""D""), ""D2"","""")"),"D2")</f>
        <v>D2</v>
      </c>
      <c r="GZ52" s="294" t="str">
        <f>IFERROR(__xludf.DUMMYFUNCTION("IF(REGEXMATCH(C52, ""n""), ""N2"","""")"),"")</f>
        <v/>
      </c>
      <c r="HA52" s="295" t="str">
        <f>IFERROR(__xludf.DUMMYFUNCTION("IF(REGEXMATCH(C52, ""N""), ""N3"","""")"),"")</f>
        <v/>
      </c>
      <c r="HB52" s="249" t="str">
        <f>IFERROR(__xludf.DUMMYFUNCTION("IF(REGEXMATCH(C52, ""S""), ""S"","""")"),"S")</f>
        <v>S</v>
      </c>
      <c r="HC52" s="331" t="str">
        <f t="shared" si="95"/>
        <v>S</v>
      </c>
      <c r="HD52" s="332" t="str">
        <f t="shared" si="96"/>
        <v/>
      </c>
      <c r="HE52" s="332" t="str">
        <f t="shared" si="97"/>
        <v/>
      </c>
      <c r="HF52" s="332" t="str">
        <f t="shared" si="98"/>
        <v>g</v>
      </c>
      <c r="HG52" s="332" t="str">
        <f t="shared" si="99"/>
        <v/>
      </c>
      <c r="HH52" s="332" t="str">
        <f t="shared" si="100"/>
        <v/>
      </c>
      <c r="HI52" s="332" t="str">
        <f t="shared" si="101"/>
        <v/>
      </c>
      <c r="HJ52" s="332" t="str">
        <f t="shared" si="102"/>
        <v>P</v>
      </c>
      <c r="HK52" s="332" t="str">
        <f t="shared" si="103"/>
        <v/>
      </c>
      <c r="HL52" s="332" t="str">
        <f t="shared" si="104"/>
        <v/>
      </c>
      <c r="HM52" s="332" t="str">
        <f t="shared" si="105"/>
        <v>n</v>
      </c>
      <c r="HN52" s="332" t="str">
        <f t="shared" si="106"/>
        <v/>
      </c>
      <c r="HO52" s="343" t="str">
        <f t="shared" si="107"/>
        <v>S</v>
      </c>
      <c r="HP52" s="331" t="str">
        <f t="shared" si="108"/>
        <v>o</v>
      </c>
      <c r="HQ52" s="332" t="str">
        <f t="shared" si="109"/>
        <v>•</v>
      </c>
      <c r="HR52" s="332" t="str">
        <f t="shared" si="110"/>
        <v>o</v>
      </c>
      <c r="HS52" s="332" t="str">
        <f t="shared" si="111"/>
        <v>•</v>
      </c>
      <c r="HT52" s="332" t="str">
        <f t="shared" si="112"/>
        <v>•</v>
      </c>
      <c r="HU52" s="332" t="str">
        <f t="shared" si="113"/>
        <v>o</v>
      </c>
      <c r="HV52" s="332" t="str">
        <f t="shared" si="114"/>
        <v>•</v>
      </c>
      <c r="HW52" s="332" t="str">
        <f t="shared" si="115"/>
        <v>•</v>
      </c>
      <c r="HX52" s="332" t="str">
        <f t="shared" si="116"/>
        <v>•</v>
      </c>
      <c r="HY52" s="332" t="str">
        <f t="shared" si="117"/>
        <v>o</v>
      </c>
      <c r="HZ52" s="332" t="str">
        <f t="shared" si="118"/>
        <v>•</v>
      </c>
      <c r="IA52" s="332" t="str">
        <f t="shared" si="119"/>
        <v>•</v>
      </c>
      <c r="IB52" s="338" t="str">
        <f t="shared" si="120"/>
        <v>o</v>
      </c>
      <c r="IC52" s="331" t="str">
        <f t="shared" si="121"/>
        <v>•</v>
      </c>
      <c r="ID52" s="332" t="str">
        <f t="shared" si="122"/>
        <v>o</v>
      </c>
      <c r="IE52" s="332" t="str">
        <f t="shared" si="123"/>
        <v>•</v>
      </c>
      <c r="IF52" s="332" t="str">
        <f t="shared" si="124"/>
        <v>o</v>
      </c>
      <c r="IG52" s="332" t="str">
        <f t="shared" si="125"/>
        <v>o</v>
      </c>
      <c r="IH52" s="332" t="str">
        <f t="shared" si="126"/>
        <v>•</v>
      </c>
      <c r="II52" s="332" t="str">
        <f t="shared" si="127"/>
        <v>o</v>
      </c>
      <c r="IJ52" s="332" t="str">
        <f t="shared" si="128"/>
        <v>o</v>
      </c>
      <c r="IK52" s="332" t="str">
        <f t="shared" si="129"/>
        <v>o</v>
      </c>
      <c r="IL52" s="332" t="str">
        <f t="shared" si="130"/>
        <v>•</v>
      </c>
      <c r="IM52" s="332" t="str">
        <f t="shared" si="131"/>
        <v>o</v>
      </c>
      <c r="IN52" s="332" t="str">
        <f t="shared" si="132"/>
        <v>o</v>
      </c>
      <c r="IO52" s="338" t="str">
        <f t="shared" si="133"/>
        <v>•</v>
      </c>
      <c r="IP52" s="346" t="b">
        <f t="shared" si="134"/>
        <v>1</v>
      </c>
      <c r="IQ52" s="347" t="b">
        <f t="shared" si="135"/>
        <v>0</v>
      </c>
      <c r="IR52" s="347" t="b">
        <f t="shared" si="136"/>
        <v>0</v>
      </c>
      <c r="IS52" s="347" t="b">
        <f t="shared" si="137"/>
        <v>0</v>
      </c>
      <c r="IT52" s="347" t="b">
        <f t="shared" si="138"/>
        <v>0</v>
      </c>
      <c r="IU52" s="347" t="b">
        <f t="shared" si="139"/>
        <v>0</v>
      </c>
      <c r="IV52" s="347" t="b">
        <f t="shared" si="140"/>
        <v>0</v>
      </c>
      <c r="IW52" s="347" t="b">
        <f t="shared" si="141"/>
        <v>0</v>
      </c>
      <c r="IX52" s="347" t="b">
        <f t="shared" si="142"/>
        <v>0</v>
      </c>
      <c r="IY52" s="347" t="b">
        <f t="shared" si="143"/>
        <v>1</v>
      </c>
      <c r="IZ52" s="347" t="b">
        <f t="shared" si="144"/>
        <v>0</v>
      </c>
      <c r="JA52" s="347" t="b">
        <f t="shared" si="145"/>
        <v>0</v>
      </c>
      <c r="JB52" s="353" t="b">
        <f t="shared" si="146"/>
        <v>1</v>
      </c>
      <c r="JC52" s="354" t="str">
        <f t="shared" si="147"/>
        <v>Sa, </v>
      </c>
      <c r="JD52" s="355" t="str">
        <f t="shared" si="148"/>
        <v/>
      </c>
      <c r="JE52" s="355" t="str">
        <f t="shared" si="149"/>
        <v/>
      </c>
      <c r="JF52" s="355" t="str">
        <f t="shared" si="150"/>
        <v/>
      </c>
      <c r="JG52" s="355" t="str">
        <f t="shared" si="151"/>
        <v/>
      </c>
      <c r="JH52" s="355" t="str">
        <f t="shared" si="152"/>
        <v/>
      </c>
      <c r="JI52" s="355" t="str">
        <f t="shared" si="153"/>
        <v/>
      </c>
      <c r="JJ52" s="355" t="str">
        <f t="shared" si="154"/>
        <v/>
      </c>
      <c r="JK52" s="355" t="str">
        <f t="shared" si="155"/>
        <v/>
      </c>
      <c r="JL52" s="355" t="str">
        <f t="shared" si="156"/>
        <v>Dha, </v>
      </c>
      <c r="JM52" s="355" t="str">
        <f t="shared" si="157"/>
        <v/>
      </c>
      <c r="JN52" s="355" t="str">
        <f t="shared" si="158"/>
        <v/>
      </c>
      <c r="JO52" s="359" t="str">
        <f t="shared" si="159"/>
        <v/>
      </c>
      <c r="JP52" s="346" t="b">
        <f t="shared" si="160"/>
        <v>0</v>
      </c>
      <c r="JQ52" s="347" t="b">
        <f t="shared" si="161"/>
        <v>0</v>
      </c>
      <c r="JR52" s="347" t="b">
        <f t="shared" si="162"/>
        <v>0</v>
      </c>
      <c r="JS52" s="347" t="b">
        <f t="shared" si="163"/>
        <v>0</v>
      </c>
      <c r="JT52" s="347" t="b">
        <f t="shared" si="164"/>
        <v>0</v>
      </c>
      <c r="JU52" s="347" t="b">
        <f t="shared" si="165"/>
        <v>0</v>
      </c>
      <c r="JV52" s="347" t="b">
        <f t="shared" si="166"/>
        <v>0</v>
      </c>
      <c r="JW52" s="347" t="b">
        <f t="shared" si="167"/>
        <v>0</v>
      </c>
      <c r="JX52" s="347" t="b">
        <f t="shared" si="168"/>
        <v>0</v>
      </c>
      <c r="JY52" s="347" t="b">
        <f t="shared" si="169"/>
        <v>0</v>
      </c>
      <c r="JZ52" s="347" t="b">
        <f t="shared" si="170"/>
        <v>0</v>
      </c>
      <c r="KA52" s="347" t="b">
        <f t="shared" si="171"/>
        <v>0</v>
      </c>
      <c r="KB52" s="365" t="b">
        <f t="shared" si="172"/>
        <v>0</v>
      </c>
      <c r="KC52" s="354" t="str">
        <f t="shared" si="173"/>
        <v/>
      </c>
      <c r="KD52" s="355" t="str">
        <f t="shared" si="174"/>
        <v/>
      </c>
      <c r="KE52" s="355" t="str">
        <f t="shared" si="175"/>
        <v/>
      </c>
      <c r="KF52" s="355" t="str">
        <f t="shared" si="176"/>
        <v/>
      </c>
      <c r="KG52" s="355" t="str">
        <f t="shared" si="177"/>
        <v/>
      </c>
      <c r="KH52" s="355" t="str">
        <f t="shared" si="178"/>
        <v/>
      </c>
      <c r="KI52" s="355" t="str">
        <f t="shared" si="179"/>
        <v/>
      </c>
      <c r="KJ52" s="355" t="str">
        <f t="shared" si="180"/>
        <v/>
      </c>
      <c r="KK52" s="355" t="str">
        <f t="shared" si="181"/>
        <v/>
      </c>
      <c r="KL52" s="355" t="str">
        <f t="shared" si="182"/>
        <v/>
      </c>
      <c r="KM52" s="355" t="str">
        <f t="shared" si="183"/>
        <v/>
      </c>
      <c r="KN52" s="355" t="str">
        <f t="shared" si="184"/>
        <v/>
      </c>
      <c r="KO52" s="359"/>
      <c r="KP52" s="378"/>
      <c r="KQ52" s="379" t="s">
        <v>606</v>
      </c>
      <c r="KR52" s="380" t="s">
        <v>1334</v>
      </c>
      <c r="KS52" s="381" t="str">
        <f>KQ52</f>
        <v>S-R-m-D-S</v>
      </c>
      <c r="KT52" s="382">
        <f t="shared" si="186"/>
        <v>4</v>
      </c>
      <c r="KU52" s="383">
        <f t="shared" si="187"/>
        <v>4</v>
      </c>
      <c r="KV52" s="381" t="str">
        <f t="shared" si="205"/>
        <v>S-D-m-R-S</v>
      </c>
      <c r="KW52" s="382">
        <f t="shared" si="189"/>
        <v>4</v>
      </c>
      <c r="KX52" s="384">
        <f t="shared" si="190"/>
        <v>4</v>
      </c>
      <c r="KY52" s="382">
        <f t="shared" ref="KY52:KZ52" si="299">KW52-KT52</f>
        <v>0</v>
      </c>
      <c r="KZ52" s="369">
        <f t="shared" si="299"/>
        <v>0</v>
      </c>
      <c r="LA52" s="385" t="str">
        <f t="shared" si="192"/>
        <v>✔</v>
      </c>
      <c r="LB52" s="340" t="str">
        <f>IFERROR(__xludf.DUMMYFUNCTION("JOIN("""",ArrayFormula(MID(KS52,LEN(KS52)-SEQUENCE(1,LEN(KS52))+1,1)))"),"S-D-m-R-S")</f>
        <v>S-D-m-R-S</v>
      </c>
      <c r="LC52" s="373" t="str">
        <f>IFERROR(__xludf.DUMMYFUNCTION("JOIN("""",ArrayFormula(MID(KV52,LEN(KV52)-SEQUENCE(1,LEN(KV52))+1,1)))"),"S-R-m-D-S")</f>
        <v>S-R-m-D-S</v>
      </c>
      <c r="LD52" s="373" t="str">
        <f t="shared" si="193"/>
        <v>SRmDS</v>
      </c>
      <c r="LE52" s="339" t="str">
        <f t="shared" si="194"/>
        <v>SRmDS</v>
      </c>
      <c r="LF52" s="386" t="str">
        <f>IFERROR(__xludf.DUMMYFUNCTION("SUBSTITUTE(SUBSTITUTE(CONCATENATE(JOIN("""",LH52:LT52)),""1"",""""),""2"","""")"),"SRmDS")</f>
        <v>SRmDS</v>
      </c>
      <c r="LG52" s="369" t="str">
        <f t="shared" si="195"/>
        <v>✔</v>
      </c>
      <c r="LH52" s="387" t="str">
        <f>IFERROR(__xludf.DUMMYFUNCTION("IF(REGEXMATCH(LD52, ""S""), ""S"",IF(REGEXMATCH(LE52, ""S""), ""S"",""""))"),"S")</f>
        <v>S</v>
      </c>
      <c r="LI52" s="299" t="str">
        <f>IFERROR(__xludf.DUMMYFUNCTION("IF(REGEXMATCH(LD52, ""r""), ""r1"",IF(REGEXMATCH(LE52, ""r""), ""r2"",""""))"),"")</f>
        <v/>
      </c>
      <c r="LJ52" s="299" t="str">
        <f>IFERROR(__xludf.DUMMYFUNCTION("IF(REGEXMATCH(LD52, ""R""), ""R1"",IF(REGEXMATCH(LE52, ""R""), ""R2"",""""))"),"R1")</f>
        <v>R1</v>
      </c>
      <c r="LK52" s="299" t="str">
        <f>IFERROR(__xludf.DUMMYFUNCTION("IF(REGEXMATCH(LD52, ""g""), ""g1"",IF(REGEXMATCH(LE52, ""g""), ""g2"",""""))"),"")</f>
        <v/>
      </c>
      <c r="LL52" s="299" t="str">
        <f>IFERROR(__xludf.DUMMYFUNCTION("IF(REGEXMATCH(LD52, ""G""), ""G1"",IF(REGEXMATCH(LE52, ""G""), ""G2"",""""))"),"")</f>
        <v/>
      </c>
      <c r="LM52" s="299" t="str">
        <f>IFERROR(__xludf.DUMMYFUNCTION("IF(REGEXMATCH(LD52, ""m""), ""m1"",IF(REGEXMATCH(LE52, ""m""), ""m2"",""""))"),"m1")</f>
        <v>m1</v>
      </c>
      <c r="LN52" s="299" t="str">
        <f>IFERROR(__xludf.DUMMYFUNCTION("IF(REGEXMATCH(LD52, ""M""), ""M1"",IF(REGEXMATCH(LE52, ""M""), ""M2"",""""))"),"")</f>
        <v/>
      </c>
      <c r="LO52" s="299" t="str">
        <f>IFERROR(__xludf.DUMMYFUNCTION("IF(REGEXMATCH(LD52, ""P""), ""P1"",IF(REGEXMATCH(LE52, ""P""), ""P2"",""""))"),"")</f>
        <v/>
      </c>
      <c r="LP52" s="299" t="str">
        <f>IFERROR(__xludf.DUMMYFUNCTION("IF(REGEXMATCH(LD52, ""d""), ""d1"",IF(REGEXMATCH(LE52, ""d""), ""d2"",""""))"),"")</f>
        <v/>
      </c>
      <c r="LQ52" s="299" t="str">
        <f>IFERROR(__xludf.DUMMYFUNCTION("IF(REGEXMATCH(LD52, ""D""), ""D1"",IF(REGEXMATCH(LE52, ""D""), ""D2"",""""))"),"D1")</f>
        <v>D1</v>
      </c>
      <c r="LR52" s="299" t="str">
        <f>IFERROR(__xludf.DUMMYFUNCTION("IF(REGEXMATCH(LD52, ""n""), ""n1"",IF(REGEXMATCH(LE52, ""n""), ""n2"",""""))"),"")</f>
        <v/>
      </c>
      <c r="LS52" s="299" t="str">
        <f>IFERROR(__xludf.DUMMYFUNCTION("IF(REGEXMATCH(LD52, ""N""), ""N1"",IF(REGEXMATCH(LE52, ""N""), ""N2"",""""))"),"")</f>
        <v/>
      </c>
      <c r="LT52" s="388" t="str">
        <f>IFERROR(__xludf.DUMMYFUNCTION("IF(REGEXMATCH(LD52, ""S""), ""S"",IF(REGEXMATCH(LE52, ""S""), ""S"",""""))"),"S")</f>
        <v>S</v>
      </c>
      <c r="LU52" s="389">
        <f t="shared" si="196"/>
        <v>1</v>
      </c>
      <c r="LV52" s="378"/>
      <c r="LW52" s="369"/>
      <c r="LX52" s="369"/>
    </row>
    <row r="53" ht="18.0" customHeight="1">
      <c r="A53" s="298" t="s">
        <v>608</v>
      </c>
      <c r="B53" s="222" t="s">
        <v>1335</v>
      </c>
      <c r="C53" s="233" t="str">
        <f t="shared" si="7"/>
        <v>SrGmMPDnS</v>
      </c>
      <c r="D53" s="234" t="str">
        <f>IFERROR(__xludf.DUMMYFUNCTION("IF(REGEXMATCH(C53, ""S""), ""S"","""")"),"S")</f>
        <v>S</v>
      </c>
      <c r="E53" s="236" t="str">
        <f>IFERROR(__xludf.DUMMYFUNCTION("IF(REGEXMATCH(C53, ""r""), ""r"","""")"),"r")</f>
        <v>r</v>
      </c>
      <c r="F53" s="237" t="str">
        <f>IFERROR(__xludf.DUMMYFUNCTION("IF(REGEXMATCH(C53, ""R""), ""R"","""")"),"")</f>
        <v/>
      </c>
      <c r="G53" s="237" t="str">
        <f>IFERROR(__xludf.DUMMYFUNCTION("IF(REGEXMATCH(C53, ""g""), ""g"","""")"),"")</f>
        <v/>
      </c>
      <c r="H53" s="236" t="str">
        <f>IFERROR(__xludf.DUMMYFUNCTION("IF(REGEXMATCH(C53, ""G""), ""G"","""")"),"G")</f>
        <v>G</v>
      </c>
      <c r="I53" s="236" t="str">
        <f>IFERROR(__xludf.DUMMYFUNCTION("IF(REGEXMATCH(C53, ""m""), ""m"","""")"),"m")</f>
        <v>m</v>
      </c>
      <c r="J53" s="237" t="str">
        <f>IFERROR(__xludf.DUMMYFUNCTION("IF(REGEXMATCH(C53, ""M""), ""M"","""")"),"M")</f>
        <v>M</v>
      </c>
      <c r="K53" s="236" t="str">
        <f>IFERROR(__xludf.DUMMYFUNCTION("IF(REGEXMATCH(C53, ""P""), ""P"","""")"),"P")</f>
        <v>P</v>
      </c>
      <c r="L53" s="237" t="str">
        <f>IFERROR(__xludf.DUMMYFUNCTION("IF(REGEXMATCH(C53, ""d""), ""d"","""")"),"")</f>
        <v/>
      </c>
      <c r="M53" s="236" t="str">
        <f>IFERROR(__xludf.DUMMYFUNCTION("IF(REGEXMATCH(C53, ""D""), ""D"","""")"),"D")</f>
        <v>D</v>
      </c>
      <c r="N53" s="236" t="str">
        <f>IFERROR(__xludf.DUMMYFUNCTION("IF(REGEXMATCH(C53, ""n""), ""n"","""")"),"n")</f>
        <v>n</v>
      </c>
      <c r="O53" s="237" t="str">
        <f>IFERROR(__xludf.DUMMYFUNCTION("IF(REGEXMATCH(C53, ""N""), ""N"","""")"),"")</f>
        <v/>
      </c>
      <c r="P53" s="238" t="str">
        <f>IFERROR(__xludf.DUMMYFUNCTION("IF(REGEXMATCH(C53, ""S""), ""S"","""")"),"S")</f>
        <v>S</v>
      </c>
      <c r="Q53" s="239" t="str">
        <f>IFERROR(__xludf.DUMMYFUNCTION("SUBSTITUTE(CONCATENATE(JOIN(""-"",D53:J53)),""-"","""")"),"SrGmM")</f>
        <v>SrGmM</v>
      </c>
      <c r="R53" s="229" t="str">
        <f>IFERROR(__xludf.DUMMYFUNCTION("SUBSTITUTE(CONCATENATE(JOIN(""-"",K53:P53)),""-"","""")"),"PDnS")</f>
        <v>PDnS</v>
      </c>
      <c r="S53" s="282" t="str">
        <f t="shared" si="8"/>
        <v>S-R-G-M</v>
      </c>
      <c r="T53" s="282" t="str">
        <f t="shared" si="9"/>
        <v>P-D-N-S</v>
      </c>
      <c r="U53" s="237" t="str">
        <f>IFERROR(__xludf.DUMMYFUNCTION("SUBSTITUTE(JOIN(""-"",S53,T53),""--"",""-"")"),"S-R-G-M-P-D-N-S")</f>
        <v>S-R-G-M-P-D-N-S</v>
      </c>
      <c r="V53" s="309" t="str">
        <f t="shared" si="10"/>
        <v>rGmMDn</v>
      </c>
      <c r="W53" s="244" t="str">
        <f>IFERROR(__xludf.DUMMYFUNCTION("IF(REGEXMATCH(C53, ""S""), ""0"","""")"),"0")</f>
        <v>0</v>
      </c>
      <c r="X53" s="245" t="str">
        <f>IFERROR(__xludf.DUMMYFUNCTION("IF(REGEXMATCH(C53, ""r""), ""1"","""")"),"1")</f>
        <v>1</v>
      </c>
      <c r="Y53" s="246" t="str">
        <f>IFERROR(__xludf.DUMMYFUNCTION("IF(REGEXMATCH(C53, ""R""), ""2"","""")"),"")</f>
        <v/>
      </c>
      <c r="Z53" s="246" t="str">
        <f>IFERROR(__xludf.DUMMYFUNCTION("IF(REGEXMATCH(C53, ""g""), ""3"","""")"),"")</f>
        <v/>
      </c>
      <c r="AA53" s="245" t="str">
        <f>IFERROR(__xludf.DUMMYFUNCTION("IF(REGEXMATCH(C53, ""G""), ""4"","""")"),"4")</f>
        <v>4</v>
      </c>
      <c r="AB53" s="245" t="str">
        <f>IFERROR(__xludf.DUMMYFUNCTION("IF(REGEXMATCH(C53, ""m""), ""5"","""")"),"5")</f>
        <v>5</v>
      </c>
      <c r="AC53" s="246" t="str">
        <f>IFERROR(__xludf.DUMMYFUNCTION("IF(REGEXMATCH(C53, ""M""), ""6"","""")"),"6")</f>
        <v>6</v>
      </c>
      <c r="AD53" s="245" t="str">
        <f>IFERROR(__xludf.DUMMYFUNCTION("IF(REGEXMATCH(C53, ""P""), ""7"","""")"),"7")</f>
        <v>7</v>
      </c>
      <c r="AE53" s="246" t="str">
        <f>IFERROR(__xludf.DUMMYFUNCTION("IF(REGEXMATCH(C53, ""d""), ""8"","""")"),"")</f>
        <v/>
      </c>
      <c r="AF53" s="245" t="str">
        <f>IFERROR(__xludf.DUMMYFUNCTION("IF(REGEXMATCH(C53, ""D""), ""9"","""")"),"9")</f>
        <v>9</v>
      </c>
      <c r="AG53" s="245" t="str">
        <f>IFERROR(__xludf.DUMMYFUNCTION("IF(REGEXMATCH(C53, ""n""), ""10"","""")"),"10")</f>
        <v>10</v>
      </c>
      <c r="AH53" s="246" t="str">
        <f>IFERROR(__xludf.DUMMYFUNCTION("IF(REGEXMATCH(C53, ""N""), ""11"","""")"),"")</f>
        <v/>
      </c>
      <c r="AI53" s="249" t="str">
        <f>IFERROR(__xludf.DUMMYFUNCTION("IF(REGEXMATCH(C53, ""S""), ""0"","""")"),"0")</f>
        <v>0</v>
      </c>
      <c r="AJ53" s="313" t="str">
        <f t="shared" si="11"/>
        <v>T</v>
      </c>
      <c r="AK53" s="313" t="str">
        <f t="shared" si="12"/>
        <v>T</v>
      </c>
      <c r="AL53" s="313" t="str">
        <f t="shared" si="13"/>
        <v>-</v>
      </c>
      <c r="AM53" s="313" t="str">
        <f t="shared" si="14"/>
        <v>-</v>
      </c>
      <c r="AN53" s="313" t="str">
        <f t="shared" si="15"/>
        <v>T</v>
      </c>
      <c r="AO53" s="314" t="str">
        <f t="shared" si="16"/>
        <v>-</v>
      </c>
      <c r="AP53" s="316">
        <f t="shared" si="17"/>
        <v>3</v>
      </c>
      <c r="AQ53" s="319" t="str">
        <f t="shared" si="18"/>
        <v>-</v>
      </c>
      <c r="AR53" s="320">
        <f t="shared" si="19"/>
        <v>0</v>
      </c>
      <c r="AS53" s="250" t="str">
        <f>IFERROR(__xludf.DUMMYFUNCTION("SUBSTITUTE(SUBSTITUTE(CONCATENATE(JOIN("""",FP53:GA53)),""|"",""x""),""-"",""o"")"),"xxooxxxxoxxo")</f>
        <v>xxooxxxxoxxo</v>
      </c>
      <c r="AT53" s="323" t="str">
        <f>IFERROR(__xludf.DUMMYFUNCTION("JOIN("""",AS53,AS53)"),"xxooxxxxoxxoxxooxxxxoxxo")</f>
        <v>xxooxxxxoxxoxxooxxxxoxxo</v>
      </c>
      <c r="AU53" s="256" t="str">
        <f>IFERROR(__xludf.DUMMYFUNCTION("JOIN("""",ArrayFormula(MID(AS53,LEN(AS53)-SEQUENCE(1,LEN(AS53))+1,1)))"),"oxxoxxxxooxx")</f>
        <v>oxxoxxxxooxx</v>
      </c>
      <c r="AV53" s="256" t="str">
        <f>IFERROR(__xludf.DUMMYFUNCTION("LEFT(CONCATENATE(""x"",JOIN("""",ArrayFormula(MID(AS53,LEN(AS53)-SEQUENCE(1,LEN(AS53))+1,1)))),12)"),"xoxxoxxxxoox")</f>
        <v>xoxxoxxxxoox</v>
      </c>
      <c r="AW53" s="327" t="str">
        <f>IFERROR(__xludf.DUMMYFUNCTION("JOIN("""",AU53,AU53)"),"oxxoxxxxooxxoxxoxxxxooxx")</f>
        <v>oxxoxxxxooxxoxxoxxxxooxx</v>
      </c>
      <c r="AX53" s="239" t="str">
        <f>IFERROR(__xludf.DUMMYFUNCTION("IF(REGEXMATCH(AW53,AS53),""✔"",""-"")"),"-")</f>
        <v>-</v>
      </c>
      <c r="AY53" s="330" t="str">
        <f t="shared" si="20"/>
        <v>-</v>
      </c>
      <c r="AZ53" s="260" t="str">
        <f t="shared" si="21"/>
        <v>#REF!</v>
      </c>
      <c r="BA53" s="333" t="str">
        <f t="shared" si="22"/>
        <v>xxooxxx</v>
      </c>
      <c r="BB53" s="334" t="str">
        <f t="shared" si="23"/>
        <v>xoxxox</v>
      </c>
      <c r="BC53" s="335" t="str">
        <f t="shared" si="236"/>
        <v>-</v>
      </c>
      <c r="BD53" s="336" t="str">
        <f t="shared" si="25"/>
        <v>Bhavmat Bhairav: 'xxooxxx' + 'xoxxox'</v>
      </c>
      <c r="BE53" s="337">
        <f>IFERROR(__xludf.DUMMYFUNCTION("COUNTUNIQUE(FILTER(AT:AT,REGEXMATCH(AT:AT,AS53)))-1"),0.0)</f>
        <v>0</v>
      </c>
      <c r="BF53" s="261" t="str">
        <f>IFERROR(__xludf.DUMMYFUNCTION("IF(BI53=0,""(n/a)"",IF(BJ53=2,""(PAIR)"",IF(REGEXMATCH(AT53,""xoxoxxoxoxox""),""Bilawal"",IF(REGEXMATCH(AT53,""xoxoxooxoxoo""),""Bhupali"",IF(REGEXMATCH(AT53,""xoxoxxoxxoxo""),""Charukeshi"",IF(REGEXMATCH(AT53,""xoxoooxxoxxo""),""Kameshwari"",IF(REGEXMATC"&amp;"H(AT53,""xoxoxooxoxox""),""Shankara"",IF(REGEXMATCH(AT53,""xxooxoxxxoox""),""Basant"",IF(REGEXMATCH(AT53,""xoxoxxxxoxox""),""Bihag"",IF(REGEXMATCH(AT53,""xoxxxxoxoxxx""),""Pilu"",IF(REGEXMATCH(AT53,""xoxxoxoxxoox""),""Kirwani"",IF(REGEXMATCH(AT53,""xoxxox"&amp;"oxoxxx""),""Mk.Malhar"",IF(REGEXMATCH(AT53,""xxooxxoxxoox""),""Bhairav"",IF(REGEXMATCH(AT53,""xxoxooxxxoox""),""Todi"",IF(REGEXMATCH(AT53,""xxooxoxooxox""),""Marwa"",IF(REGEXMATCH(AT53,""xxoooxoxxooo""),""Gunkali"",IF(REGEXMATCH(AT53,""xoxoxxoxxoox""),""N"&amp;"at Bhairav"",IF(REGEXMATCH(AT53,""xoxxoooxoxoo""),""Shivranjani"",IF(REGEXMATCH(AT53,""xooxxxoxooxo""),""Jog"",IF(REGEXMATCH(AT53,""xxooxoxoxoox""),""Hemshri"",IF(REGEXMATCH(AT53,""xoooxooxoxxo""),""Kalavati"",IF(REGEXMATCH(AT53,""xxoxoxxoxoox""),""Kedar"&amp;""",IF(REGEXMATCH(AT53,""xoxxxxoxooxx""),""Gara"",IF(REGEXMATCH(AT53,""xooxoxooxoox""),""Chandrakauns"",IF(REGEXMATCH(AT53,""xoxxxxoxxxox""),""Mand"",IF(REGEXMATCH(AT53,""xoxxxxoxoxox""),""Hanskinkini"",IF(REGEXMATCH(AT53,""xxooxxoxooxo""),""Lilavati"",IF("&amp;"REGEXMATCH(AT53,""xooxoxoooxox""),""Rajeshwari"",IF(REGEXMATCH(AT53,""xoooxxoxoxxx""),""Khokar"",IF(REGEXMATCH(AT53,""xxooxoxxxxox""),""Maligoura"",""-""))))))))))))))))))))))))))))))"),"(n/a)")</f>
        <v>(n/a)</v>
      </c>
      <c r="BG53" s="239" t="str">
        <f t="shared" si="26"/>
        <v>#REF!</v>
      </c>
      <c r="BH53" s="239">
        <f>IFERROR(__xludf.DUMMYFUNCTION("COUNTUNIQUE(FE53:FO53)-1"),7.0)</f>
        <v>7</v>
      </c>
      <c r="BI53" s="239">
        <f>IFERROR(__xludf.DUMMYFUNCTION("COUNTUNIQUE(FILTER(AT:AT,REGEXMATCH(AT:AT,AS53)))-1"),0.0)</f>
        <v>0</v>
      </c>
      <c r="BJ53" s="239">
        <f>IFERROR(__xludf.DUMMYFUNCTION("COUNTA(FILTER(AT:AT,REGEXMATCH(AT:AT,AS53)))"),1.0)</f>
        <v>1</v>
      </c>
      <c r="BK53" s="341">
        <f>IFERROR(__xludf.DUMMYFUNCTION("COUNTA(FILTER(AT:AT,REGEXMATCH(AT:AT,AS53)))-AR53"),1.0)</f>
        <v>1</v>
      </c>
      <c r="BL53" s="276" t="str">
        <f>IFERROR(__xludf.DUMMYFUNCTION("IF(AS53=""oooooooooooo"",""-"",IF(REGEXMATCH(AT53,""xx""), ""Hemi."", ""Anhemi.""))"),"Hemi.")</f>
        <v>Hemi.</v>
      </c>
      <c r="BM53" s="282" t="str">
        <f>IFERROR(__xludf.DUMMYFUNCTION("IF(AS53=""oooooooooooo"",""-"",IF(REGEXMATCH(AT53,""xxx""), ""Cohem."", ""-""))"),"Cohem.")</f>
        <v>Cohem.</v>
      </c>
      <c r="BN53" s="282" t="str">
        <f>IFERROR(__xludf.DUMMYFUNCTION("IF(AS53=""oooooooooooo"",""-"",IF(REGEXMATCH(AT53,""xxxx""), ""Co-Co."", ""-""))"),"Co-Co.")</f>
        <v>Co-Co.</v>
      </c>
      <c r="BO53" s="342" t="str">
        <f>IFERROR(__xludf.DUMMYFUNCTION("IF(AS53=""oooooooooooo"",""-"",IF(REGEXMATCH(AT53,""xxxxx""), ""CCC."", ""-""))"),"-")</f>
        <v>-</v>
      </c>
      <c r="BP53" s="344" t="str">
        <f t="shared" si="27"/>
        <v>-</v>
      </c>
      <c r="BQ53" s="282" t="str">
        <f>IFERROR(__xludf.DUMMYFUNCTION("IF(REGEXMATCH(JOIN(""-"",EU53:FD53),""TRUE""),""✔"",""-"")"),"-")</f>
        <v>-</v>
      </c>
      <c r="BR53" s="225">
        <f t="shared" si="28"/>
        <v>0</v>
      </c>
      <c r="BS53" s="345" t="str">
        <f>IFERROR(__xludf.DUMMYFUNCTION("SUBSTITUTE(SUBSTITUTE(SUBSTITUTE(SUBSTITUTE(CONCATENATE(JOIN(""-"",GC53:GO53)),""--"",""-""),""--"",""-""),""--"",""-""),""--"",""-"")"),"1-b2-3-4-#4-5-6-b7-8")</f>
        <v>1-b2-3-4-#4-5-6-b7-8</v>
      </c>
      <c r="BT53" s="299" t="str">
        <f>IFERROR(__xludf.DUMMYFUNCTION("SUBSTITUTE(SUBSTITUTE(SUBSTITUTE(SUBSTITUTE(CONCATENATE(JOIN(""-"",GP53:HB53)),""--"",""-""),""--"",""-""),""--"",""-""),""--"",""-"")"),"S-R1-G3-M1-M2-P-D2-N2-S")</f>
        <v>S-R1-G3-M1-M2-P-D2-N2-S</v>
      </c>
      <c r="BU53" s="348" t="str">
        <f t="shared" si="29"/>
        <v>C-Db-E-F-F#-G-A-Bb-C</v>
      </c>
      <c r="BV53" s="349" t="str">
        <f t="shared" si="30"/>
        <v>SRgdNS</v>
      </c>
      <c r="BW53" s="350">
        <f t="shared" si="31"/>
        <v>0</v>
      </c>
      <c r="BX53" s="351">
        <f t="shared" si="32"/>
        <v>1</v>
      </c>
      <c r="BY53" s="352" t="s">
        <v>275</v>
      </c>
      <c r="BZ53" s="309" t="str">
        <f>IFERROR(__xludf.DUMMYFUNCTION("IF(REGEXMATCH(C53, ""S""), ""x"",""x"")"),"x")</f>
        <v>x</v>
      </c>
      <c r="CA53" s="245" t="str">
        <f>IFERROR(__xludf.DUMMYFUNCTION("IF(REGEXMATCH(C53, ""r""), ""o"",""x"")"),"o")</f>
        <v>o</v>
      </c>
      <c r="CB53" s="246" t="str">
        <f>IFERROR(__xludf.DUMMYFUNCTION("IF(REGEXMATCH(C53, ""R""), ""o"",""x"")"),"x")</f>
        <v>x</v>
      </c>
      <c r="CC53" s="246" t="str">
        <f>IFERROR(__xludf.DUMMYFUNCTION("IF(REGEXMATCH(C53, ""g""), ""o"",""x"")"),"x")</f>
        <v>x</v>
      </c>
      <c r="CD53" s="245" t="str">
        <f>IFERROR(__xludf.DUMMYFUNCTION("IF(REGEXMATCH(C53, ""G""), ""o"",""x"")"),"o")</f>
        <v>o</v>
      </c>
      <c r="CE53" s="245" t="str">
        <f>IFERROR(__xludf.DUMMYFUNCTION("IF(REGEXMATCH(C53, ""m""), ""o"",""x"")"),"o")</f>
        <v>o</v>
      </c>
      <c r="CF53" s="246" t="str">
        <f>IFERROR(__xludf.DUMMYFUNCTION("IF(REGEXMATCH(C53, ""M""), ""o"",""x"")"),"o")</f>
        <v>o</v>
      </c>
      <c r="CG53" s="245" t="str">
        <f>IFERROR(__xludf.DUMMYFUNCTION("IF(REGEXMATCH(C53, ""P""), ""o"",""x"")"),"o")</f>
        <v>o</v>
      </c>
      <c r="CH53" s="246" t="str">
        <f>IFERROR(__xludf.DUMMYFUNCTION("IF(REGEXMATCH(C53, ""d""), ""o"",""x"")"),"x")</f>
        <v>x</v>
      </c>
      <c r="CI53" s="245" t="str">
        <f>IFERROR(__xludf.DUMMYFUNCTION("IF(REGEXMATCH(C53, ""D""), ""o"",""x"")"),"o")</f>
        <v>o</v>
      </c>
      <c r="CJ53" s="245" t="str">
        <f>IFERROR(__xludf.DUMMYFUNCTION("IF(REGEXMATCH(C53, ""n""), ""o"",""x"")"),"o")</f>
        <v>o</v>
      </c>
      <c r="CK53" s="245" t="str">
        <f>IFERROR(__xludf.DUMMYFUNCTION("IF(REGEXMATCH(C53, ""N""), ""o"",""x"")"),"x")</f>
        <v>x</v>
      </c>
      <c r="CL53" s="356" t="str">
        <f>IFERROR(__xludf.DUMMYFUNCTION("IF(REGEXMATCH(C53, ""S""), ""x"",""x"")"),"x")</f>
        <v>x</v>
      </c>
      <c r="CM53" s="357" t="str">
        <f t="shared" si="33"/>
        <v>xoxxooooxoox</v>
      </c>
      <c r="CN53" s="358">
        <f t="shared" si="34"/>
        <v>0</v>
      </c>
      <c r="CO53" s="246" t="str">
        <f>IFERROR(__xludf.DUMMYFUNCTION("IF(REGEXMATCH($C53, ""S""), ""S"",""S"")"),"S")</f>
        <v>S</v>
      </c>
      <c r="CP53" s="246" t="str">
        <f>IFERROR(__xludf.DUMMYFUNCTION("IF(REGEXMATCH($C53, ""r""), """",""r"")"),"")</f>
        <v/>
      </c>
      <c r="CQ53" s="246" t="str">
        <f>IFERROR(__xludf.DUMMYFUNCTION("IF(REGEXMATCH($C53, ""R""), """",""R"")"),"R")</f>
        <v>R</v>
      </c>
      <c r="CR53" s="246" t="str">
        <f>IFERROR(__xludf.DUMMYFUNCTION("IF(REGEXMATCH($C53, ""g""), """",""g"")"),"g")</f>
        <v>g</v>
      </c>
      <c r="CS53" s="246" t="str">
        <f>IFERROR(__xludf.DUMMYFUNCTION("IF(REGEXMATCH($C53, ""G""), """",""G"")"),"")</f>
        <v/>
      </c>
      <c r="CT53" s="246" t="str">
        <f>IFERROR(__xludf.DUMMYFUNCTION("IF(REGEXMATCH($C53, ""m""), """",""m"")"),"")</f>
        <v/>
      </c>
      <c r="CU53" s="246" t="str">
        <f>IFERROR(__xludf.DUMMYFUNCTION("IF(REGEXMATCH($C53, ""M""), """",""M"")"),"")</f>
        <v/>
      </c>
      <c r="CV53" s="246" t="str">
        <f>IFERROR(__xludf.DUMMYFUNCTION("IF(REGEXMATCH($C53, ""P""), """",""P"")"),"")</f>
        <v/>
      </c>
      <c r="CW53" s="246" t="str">
        <f>IFERROR(__xludf.DUMMYFUNCTION("IF(REGEXMATCH($C53, ""d""), """",""d"")"),"d")</f>
        <v>d</v>
      </c>
      <c r="CX53" s="246" t="str">
        <f>IFERROR(__xludf.DUMMYFUNCTION("IF(REGEXMATCH($C53, ""D""), """",""D"")"),"")</f>
        <v/>
      </c>
      <c r="CY53" s="246" t="str">
        <f>IFERROR(__xludf.DUMMYFUNCTION("IF(REGEXMATCH($C53, ""n""), """",""n"")"),"")</f>
        <v/>
      </c>
      <c r="CZ53" s="246" t="str">
        <f>IFERROR(__xludf.DUMMYFUNCTION("IF(REGEXMATCH($C53, ""N""), """",""N"")"),"N")</f>
        <v>N</v>
      </c>
      <c r="DA53" s="246" t="str">
        <f>IFERROR(__xludf.DUMMYFUNCTION("IF(REGEXMATCH($C53, ""S""), ""S"",""S"")"),"S")</f>
        <v>S</v>
      </c>
      <c r="DB53" s="362" t="str">
        <f>IFERROR(__xludf.DUMMYFUNCTION("JOIN("""",CO53:DA53,"""","""")"),"SRgdNS")</f>
        <v>SRgdNS</v>
      </c>
      <c r="DC53" s="363"/>
      <c r="DD53" s="301" t="str">
        <f t="shared" si="35"/>
        <v>#REF!</v>
      </c>
      <c r="DE53" s="302" t="str">
        <f t="shared" si="36"/>
        <v>#REF!</v>
      </c>
      <c r="DF53" s="301" t="str">
        <f t="shared" ref="DF53:DG53" si="300">SUBSTITUTE(S53,"-","")</f>
        <v>SRGM</v>
      </c>
      <c r="DG53" s="301" t="str">
        <f t="shared" si="300"/>
        <v>PDNS</v>
      </c>
      <c r="DH53" s="302" t="str">
        <f t="shared" si="38"/>
        <v>(n/a)</v>
      </c>
      <c r="DI53" s="301" t="str">
        <f t="shared" si="39"/>
        <v>Hemi.</v>
      </c>
      <c r="DJ53" s="364" t="str">
        <f t="shared" si="40"/>
        <v>Co-Co.</v>
      </c>
      <c r="DK53" s="306" t="str">
        <f t="shared" si="41"/>
        <v>-</v>
      </c>
      <c r="DL53" s="366" t="str">
        <f t="shared" si="42"/>
        <v>-</v>
      </c>
      <c r="DM53" s="308" t="str">
        <f t="shared" si="43"/>
        <v>✔</v>
      </c>
      <c r="DN53" s="306" t="str">
        <f t="shared" si="44"/>
        <v>-</v>
      </c>
      <c r="DO53" s="306" t="str">
        <f t="shared" si="45"/>
        <v>-</v>
      </c>
      <c r="DP53" s="367" t="str">
        <f t="shared" si="46"/>
        <v>-</v>
      </c>
      <c r="DQ53" s="310" t="str">
        <f t="shared" si="47"/>
        <v>-</v>
      </c>
      <c r="DR53" s="310" t="str">
        <f t="shared" si="48"/>
        <v>-</v>
      </c>
      <c r="DS53" s="310" t="str">
        <f t="shared" si="49"/>
        <v>✔</v>
      </c>
      <c r="DT53" s="310" t="str">
        <f t="shared" si="50"/>
        <v>-</v>
      </c>
      <c r="DU53" s="370" t="str">
        <f t="shared" si="51"/>
        <v>-</v>
      </c>
      <c r="DV53" s="306" t="str">
        <f t="shared" si="52"/>
        <v>-</v>
      </c>
      <c r="DW53" s="306" t="str">
        <f t="shared" si="53"/>
        <v>-</v>
      </c>
      <c r="DX53" s="306" t="str">
        <f t="shared" si="54"/>
        <v>-</v>
      </c>
      <c r="DY53" s="306" t="str">
        <f t="shared" si="55"/>
        <v>-</v>
      </c>
      <c r="DZ53" s="306" t="str">
        <f t="shared" si="56"/>
        <v>-</v>
      </c>
      <c r="EA53" s="367" t="str">
        <f t="shared" si="57"/>
        <v>-</v>
      </c>
      <c r="EB53" s="310" t="str">
        <f>IFERROR(__xludf.DUMMYFUNCTION("IF(REGEXMATCH(AW53,AS53),""✔"",""-"")"),"-")</f>
        <v>-</v>
      </c>
      <c r="EC53" s="310" t="str">
        <f t="shared" si="58"/>
        <v>#REF!</v>
      </c>
      <c r="ED53" s="370" t="str">
        <f t="shared" si="59"/>
        <v>-</v>
      </c>
      <c r="EE53" s="340" t="str">
        <f t="shared" si="60"/>
        <v>S-r-G-mM-P-D-n-S</v>
      </c>
      <c r="EF53" s="371" t="str">
        <f>IFERROR(__xludf.DUMMYFUNCTION("CONCATENATE(JOIN("""",HC53:HO53))"),"SRgmMPdNS")</f>
        <v>SRgmMPdNS</v>
      </c>
      <c r="EG53" s="372">
        <f t="shared" si="61"/>
        <v>3</v>
      </c>
      <c r="EH53" s="373" t="str">
        <f>IFERROR(__xludf.DUMMYFUNCTION("CONCATENATE(JOIN("""",JC53:JO53))"),"re, Ga, Pa, ")</f>
        <v>re, Ga, Pa, </v>
      </c>
      <c r="EI53" s="322">
        <f t="shared" si="62"/>
        <v>0</v>
      </c>
      <c r="EJ53" s="374" t="str">
        <f>IFERROR(__xludf.DUMMYFUNCTION("CONCATENATE(JOIN("""",KC53:KO53))"),"")</f>
        <v/>
      </c>
      <c r="EK53" s="325" t="str">
        <f t="shared" si="63"/>
        <v>S-R1-G3-M1-M2-P-D2-N2-S</v>
      </c>
      <c r="EL53" s="326" t="str">
        <f t="shared" si="64"/>
        <v>1-b2-3-4-#4-5-6-b7-8</v>
      </c>
      <c r="EM53" s="318" t="str">
        <f t="shared" si="65"/>
        <v>#REF!</v>
      </c>
      <c r="EN53" s="328" t="str">
        <f>IFERROR(__xludf.DUMMYFUNCTION("SUBSTITUTE(SUBSTITUTE(SUBSTITUTE(SUBSTITUTE(CONCATENATE(JOIN("" "",HP53:IB53)),""  "","" ""),""  "","" ""),""  "","" ""),""  "","" "")"),"o o • • o o o o • o o • o")</f>
        <v>o o • • o o o o • o o • o</v>
      </c>
      <c r="EO53" s="368" t="str">
        <f t="shared" si="66"/>
        <v>-</v>
      </c>
      <c r="EP53" s="339" t="str">
        <f t="shared" si="67"/>
        <v>-</v>
      </c>
      <c r="EQ53" s="339" t="str">
        <f t="shared" si="68"/>
        <v>Sa-Pa</v>
      </c>
      <c r="ER53" s="339" t="str">
        <f t="shared" si="69"/>
        <v>-</v>
      </c>
      <c r="ES53" s="340" t="str">
        <f t="shared" si="70"/>
        <v>-</v>
      </c>
      <c r="ET53" s="363"/>
      <c r="EU53" s="376" t="b">
        <f>IFERROR(__xludf.DUMMYFUNCTION("arrayformula(sum(--REGEXMATCH(""SRGMPDNS"",split(REGEXREPLACE(C53,""(.)"",""$1~""),""~""))))=len(C53)
"),FALSE)</f>
        <v>0</v>
      </c>
      <c r="EV53" s="290" t="b">
        <f>IFERROR(__xludf.DUMMYFUNCTION("arrayformula(sum(--REGEXMATCH(""SRGmPDNS"",split(REGEXREPLACE(C53,""(.)"",""$1~""),""~""))))=len(C53)"),FALSE)</f>
        <v>0</v>
      </c>
      <c r="EW53" s="290" t="b">
        <f>IFERROR(__xludf.DUMMYFUNCTION("arrayformula(sum(--REGEXMATCH(""SRGmPDnS"",split(REGEXREPLACE(C53,""(.)"",""$1~""),""~""))))=len(C53)"),FALSE)</f>
        <v>0</v>
      </c>
      <c r="EX53" s="290" t="b">
        <f>IFERROR(__xludf.DUMMYFUNCTION("arrayformula(sum(--REGEXMATCH(""SRgmPDnS"",split(REGEXREPLACE(C53,""(.)"",""$1~""),""~""))))=len(C53)"),FALSE)</f>
        <v>0</v>
      </c>
      <c r="EY53" s="290" t="b">
        <f>IFERROR(__xludf.DUMMYFUNCTION("arrayformula(sum(--REGEXMATCH(""SRgmPdnS"",split(REGEXREPLACE(C53,""(.)"",""$1~""),""~""))))=len(C53)"),FALSE)</f>
        <v>0</v>
      </c>
      <c r="EZ53" s="290" t="b">
        <f>IFERROR(__xludf.DUMMYFUNCTION("arrayformula(sum(--REGEXMATCH(""SrgmPdnS"",split(REGEXREPLACE(C53,""(.)"",""$1~""),""~""))))=len(C53)"),FALSE)</f>
        <v>0</v>
      </c>
      <c r="FA53" s="290" t="b">
        <f>IFERROR(__xludf.DUMMYFUNCTION("arrayformula(sum(--REGEXMATCH(""SrGmPdNS"",split(REGEXREPLACE(C53,""(.)"",""$1~""),""~""))))=len(C53)"),FALSE)</f>
        <v>0</v>
      </c>
      <c r="FB53" s="290" t="b">
        <f>IFERROR(__xludf.DUMMYFUNCTION("arrayformula(sum(--REGEXMATCH(""SrGMPDNS"",split(REGEXREPLACE(C53,""(.)"",""$1~""),""~""))))=len(C53)"),FALSE)</f>
        <v>0</v>
      </c>
      <c r="FC53" s="290" t="b">
        <f>IFERROR(__xludf.DUMMYFUNCTION("arrayformula(sum(--REGEXMATCH(""SrGMPdNS"",split(REGEXREPLACE(C53,""(.)"",""$1~""),""~""))))=len(C53)"),FALSE)</f>
        <v>0</v>
      </c>
      <c r="FD53" s="377" t="b">
        <f>IFERROR(__xludf.DUMMYFUNCTION("arrayformula(sum(--REGEXMATCH(""SrgMPdNS"",split(REGEXREPLACE(C53,""(.)"",""$1~""),""~""))))=len(C53)"),FALSE)</f>
        <v>0</v>
      </c>
      <c r="FE53" s="269" t="str">
        <f t="shared" si="71"/>
        <v>xooxxxxoxxo</v>
      </c>
      <c r="FF53" s="269" t="str">
        <f t="shared" si="72"/>
        <v>-</v>
      </c>
      <c r="FG53" s="271" t="str">
        <f t="shared" si="73"/>
        <v>-</v>
      </c>
      <c r="FH53" s="269" t="str">
        <f t="shared" si="74"/>
        <v>xxxxoxxoxxo</v>
      </c>
      <c r="FI53" s="271" t="str">
        <f t="shared" si="75"/>
        <v>xxxoxxoxxoo</v>
      </c>
      <c r="FJ53" s="271" t="str">
        <f t="shared" si="76"/>
        <v>xxoxxoxxoox</v>
      </c>
      <c r="FK53" s="271" t="str">
        <f t="shared" si="77"/>
        <v>xoxxoxxooxx</v>
      </c>
      <c r="FL53" s="271" t="str">
        <f t="shared" si="78"/>
        <v>-</v>
      </c>
      <c r="FM53" s="271" t="str">
        <f t="shared" si="79"/>
        <v>xxoxxooxxxx</v>
      </c>
      <c r="FN53" s="271" t="str">
        <f t="shared" si="80"/>
        <v>xoxxooxxxxo</v>
      </c>
      <c r="FO53" s="274" t="str">
        <f t="shared" si="81"/>
        <v>-</v>
      </c>
      <c r="FP53" s="234" t="str">
        <f t="shared" si="82"/>
        <v>|</v>
      </c>
      <c r="FQ53" s="236" t="str">
        <f t="shared" si="83"/>
        <v>|</v>
      </c>
      <c r="FR53" s="237" t="str">
        <f t="shared" si="84"/>
        <v>-</v>
      </c>
      <c r="FS53" s="236" t="str">
        <f t="shared" si="85"/>
        <v>-</v>
      </c>
      <c r="FT53" s="237" t="str">
        <f t="shared" si="86"/>
        <v>|</v>
      </c>
      <c r="FU53" s="236" t="str">
        <f t="shared" si="87"/>
        <v>|</v>
      </c>
      <c r="FV53" s="237" t="str">
        <f t="shared" si="88"/>
        <v>|</v>
      </c>
      <c r="FW53" s="236" t="str">
        <f t="shared" si="89"/>
        <v>|</v>
      </c>
      <c r="FX53" s="237" t="str">
        <f t="shared" si="90"/>
        <v>-</v>
      </c>
      <c r="FY53" s="236" t="str">
        <f t="shared" si="91"/>
        <v>|</v>
      </c>
      <c r="FZ53" s="237" t="str">
        <f t="shared" si="92"/>
        <v>|</v>
      </c>
      <c r="GA53" s="236" t="str">
        <f t="shared" si="93"/>
        <v>-</v>
      </c>
      <c r="GB53" s="238" t="str">
        <f t="shared" si="94"/>
        <v>|</v>
      </c>
      <c r="GC53" s="244" t="str">
        <f>IFERROR(__xludf.DUMMYFUNCTION("IF(REGEXMATCH(C53, ""S""), ""1"","""")"),"1")</f>
        <v>1</v>
      </c>
      <c r="GD53" s="245" t="str">
        <f>IFERROR(__xludf.DUMMYFUNCTION("IF(REGEXMATCH(C53, ""r""), ""b2"","""")"),"b2")</f>
        <v>b2</v>
      </c>
      <c r="GE53" s="246" t="str">
        <f>IFERROR(__xludf.DUMMYFUNCTION("IF(REGEXMATCH(C53, ""R""), ""2"","""")"),"")</f>
        <v/>
      </c>
      <c r="GF53" s="246" t="str">
        <f>IFERROR(__xludf.DUMMYFUNCTION("IF(REGEXMATCH(C53, ""g""), ""b3"","""")"),"")</f>
        <v/>
      </c>
      <c r="GG53" s="245" t="str">
        <f>IFERROR(__xludf.DUMMYFUNCTION("IF(REGEXMATCH(C53, ""G""), ""3"","""")"),"3")</f>
        <v>3</v>
      </c>
      <c r="GH53" s="245" t="str">
        <f>IFERROR(__xludf.DUMMYFUNCTION("IF(REGEXMATCH(C53, ""m""), ""4"","""")"),"4")</f>
        <v>4</v>
      </c>
      <c r="GI53" s="246" t="str">
        <f>IFERROR(__xludf.DUMMYFUNCTION("IF(REGEXMATCH(C53, ""M""), ""#4"","""")"),"#4")</f>
        <v>#4</v>
      </c>
      <c r="GJ53" s="245" t="str">
        <f>IFERROR(__xludf.DUMMYFUNCTION("IF(REGEXMATCH(C53, ""P""), ""5"","""")"),"5")</f>
        <v>5</v>
      </c>
      <c r="GK53" s="246" t="str">
        <f>IFERROR(__xludf.DUMMYFUNCTION("IF(REGEXMATCH(C53, ""d""), ""b6"","""")"),"")</f>
        <v/>
      </c>
      <c r="GL53" s="245" t="str">
        <f>IFERROR(__xludf.DUMMYFUNCTION("IF(REGEXMATCH(C53, ""D""), ""6"","""")"),"6")</f>
        <v>6</v>
      </c>
      <c r="GM53" s="245" t="str">
        <f>IFERROR(__xludf.DUMMYFUNCTION("IF(REGEXMATCH(C53, ""n""), ""b7"","""")"),"b7")</f>
        <v>b7</v>
      </c>
      <c r="GN53" s="246" t="str">
        <f>IFERROR(__xludf.DUMMYFUNCTION("IF(REGEXMATCH(C53, ""N""), ""7"","""")"),"")</f>
        <v/>
      </c>
      <c r="GO53" s="249" t="str">
        <f>IFERROR(__xludf.DUMMYFUNCTION("IF(REGEXMATCH(C53, ""S""), ""8"","""")"),"8")</f>
        <v>8</v>
      </c>
      <c r="GP53" s="244" t="str">
        <f>IFERROR(__xludf.DUMMYFUNCTION("IF(REGEXMATCH(C53, ""S""), ""S"","""")"),"S")</f>
        <v>S</v>
      </c>
      <c r="GQ53" s="294" t="str">
        <f>IFERROR(__xludf.DUMMYFUNCTION("IF(REGEXMATCH(C53, ""r""), ""R1"","""")"),"R1")</f>
        <v>R1</v>
      </c>
      <c r="GR53" s="295" t="str">
        <f>IFERROR(__xludf.DUMMYFUNCTION("IF(REGEXMATCH(C53, ""R""), ""R2"","""")"),"")</f>
        <v/>
      </c>
      <c r="GS53" s="295" t="str">
        <f>IFERROR(__xludf.DUMMYFUNCTION("IF(REGEXMATCH(C53, ""g""), ""G2"","""")"),"")</f>
        <v/>
      </c>
      <c r="GT53" s="294" t="str">
        <f>IFERROR(__xludf.DUMMYFUNCTION("IF(REGEXMATCH(C53, ""G""), ""G3"","""")"),"G3")</f>
        <v>G3</v>
      </c>
      <c r="GU53" s="294" t="str">
        <f>IFERROR(__xludf.DUMMYFUNCTION("IF(REGEXMATCH(C53, ""m""), ""M1"","""")"),"M1")</f>
        <v>M1</v>
      </c>
      <c r="GV53" s="295" t="str">
        <f>IFERROR(__xludf.DUMMYFUNCTION("IF(REGEXMATCH(C53, ""M""), ""M2"","""")"),"M2")</f>
        <v>M2</v>
      </c>
      <c r="GW53" s="294" t="str">
        <f>IFERROR(__xludf.DUMMYFUNCTION("IF(REGEXMATCH(C53, ""P""), ""P"","""")"),"P")</f>
        <v>P</v>
      </c>
      <c r="GX53" s="295" t="str">
        <f>IFERROR(__xludf.DUMMYFUNCTION("IF(REGEXMATCH(C53, ""d""), ""D1"","""")"),"")</f>
        <v/>
      </c>
      <c r="GY53" s="294" t="str">
        <f>IFERROR(__xludf.DUMMYFUNCTION("IF(REGEXMATCH(C53, ""D""), ""D2"","""")"),"D2")</f>
        <v>D2</v>
      </c>
      <c r="GZ53" s="294" t="str">
        <f>IFERROR(__xludf.DUMMYFUNCTION("IF(REGEXMATCH(C53, ""n""), ""N2"","""")"),"N2")</f>
        <v>N2</v>
      </c>
      <c r="HA53" s="295" t="str">
        <f>IFERROR(__xludf.DUMMYFUNCTION("IF(REGEXMATCH(C53, ""N""), ""N3"","""")"),"")</f>
        <v/>
      </c>
      <c r="HB53" s="249" t="str">
        <f>IFERROR(__xludf.DUMMYFUNCTION("IF(REGEXMATCH(C53, ""S""), ""S"","""")"),"S")</f>
        <v>S</v>
      </c>
      <c r="HC53" s="331" t="str">
        <f t="shared" si="95"/>
        <v>S</v>
      </c>
      <c r="HD53" s="332" t="str">
        <f t="shared" si="96"/>
        <v/>
      </c>
      <c r="HE53" s="332" t="str">
        <f t="shared" si="97"/>
        <v>R</v>
      </c>
      <c r="HF53" s="332" t="str">
        <f t="shared" si="98"/>
        <v>g</v>
      </c>
      <c r="HG53" s="332" t="str">
        <f t="shared" si="99"/>
        <v/>
      </c>
      <c r="HH53" s="332" t="str">
        <f t="shared" si="100"/>
        <v>m</v>
      </c>
      <c r="HI53" s="332" t="str">
        <f t="shared" si="101"/>
        <v>M</v>
      </c>
      <c r="HJ53" s="332" t="str">
        <f t="shared" si="102"/>
        <v>P</v>
      </c>
      <c r="HK53" s="332" t="str">
        <f t="shared" si="103"/>
        <v>d</v>
      </c>
      <c r="HL53" s="332" t="str">
        <f t="shared" si="104"/>
        <v/>
      </c>
      <c r="HM53" s="332" t="str">
        <f t="shared" si="105"/>
        <v/>
      </c>
      <c r="HN53" s="332" t="str">
        <f t="shared" si="106"/>
        <v>N</v>
      </c>
      <c r="HO53" s="343" t="str">
        <f t="shared" si="107"/>
        <v>S</v>
      </c>
      <c r="HP53" s="331" t="str">
        <f t="shared" si="108"/>
        <v>o</v>
      </c>
      <c r="HQ53" s="332" t="str">
        <f t="shared" si="109"/>
        <v>o</v>
      </c>
      <c r="HR53" s="332" t="str">
        <f t="shared" si="110"/>
        <v>•</v>
      </c>
      <c r="HS53" s="332" t="str">
        <f t="shared" si="111"/>
        <v>•</v>
      </c>
      <c r="HT53" s="332" t="str">
        <f t="shared" si="112"/>
        <v>o</v>
      </c>
      <c r="HU53" s="332" t="str">
        <f t="shared" si="113"/>
        <v>o</v>
      </c>
      <c r="HV53" s="332" t="str">
        <f t="shared" si="114"/>
        <v>o</v>
      </c>
      <c r="HW53" s="332" t="str">
        <f t="shared" si="115"/>
        <v>o</v>
      </c>
      <c r="HX53" s="332" t="str">
        <f t="shared" si="116"/>
        <v>•</v>
      </c>
      <c r="HY53" s="332" t="str">
        <f t="shared" si="117"/>
        <v>o</v>
      </c>
      <c r="HZ53" s="332" t="str">
        <f t="shared" si="118"/>
        <v>o</v>
      </c>
      <c r="IA53" s="332" t="str">
        <f t="shared" si="119"/>
        <v>•</v>
      </c>
      <c r="IB53" s="338" t="str">
        <f t="shared" si="120"/>
        <v>o</v>
      </c>
      <c r="IC53" s="331" t="str">
        <f t="shared" si="121"/>
        <v>•</v>
      </c>
      <c r="ID53" s="332" t="str">
        <f t="shared" si="122"/>
        <v>•</v>
      </c>
      <c r="IE53" s="332" t="str">
        <f t="shared" si="123"/>
        <v>o</v>
      </c>
      <c r="IF53" s="332" t="str">
        <f t="shared" si="124"/>
        <v>o</v>
      </c>
      <c r="IG53" s="332" t="str">
        <f t="shared" si="125"/>
        <v>•</v>
      </c>
      <c r="IH53" s="332" t="str">
        <f t="shared" si="126"/>
        <v>•</v>
      </c>
      <c r="II53" s="332" t="str">
        <f t="shared" si="127"/>
        <v>•</v>
      </c>
      <c r="IJ53" s="332" t="str">
        <f t="shared" si="128"/>
        <v>•</v>
      </c>
      <c r="IK53" s="332" t="str">
        <f t="shared" si="129"/>
        <v>o</v>
      </c>
      <c r="IL53" s="332" t="str">
        <f t="shared" si="130"/>
        <v>•</v>
      </c>
      <c r="IM53" s="332" t="str">
        <f t="shared" si="131"/>
        <v>•</v>
      </c>
      <c r="IN53" s="332" t="str">
        <f t="shared" si="132"/>
        <v>o</v>
      </c>
      <c r="IO53" s="338" t="str">
        <f t="shared" si="133"/>
        <v>•</v>
      </c>
      <c r="IP53" s="346" t="b">
        <f t="shared" si="134"/>
        <v>0</v>
      </c>
      <c r="IQ53" s="347" t="b">
        <f t="shared" si="135"/>
        <v>1</v>
      </c>
      <c r="IR53" s="347" t="b">
        <f t="shared" si="136"/>
        <v>0</v>
      </c>
      <c r="IS53" s="347" t="b">
        <f t="shared" si="137"/>
        <v>0</v>
      </c>
      <c r="IT53" s="347" t="b">
        <f t="shared" si="138"/>
        <v>1</v>
      </c>
      <c r="IU53" s="347" t="b">
        <f t="shared" si="139"/>
        <v>0</v>
      </c>
      <c r="IV53" s="347" t="b">
        <f t="shared" si="140"/>
        <v>0</v>
      </c>
      <c r="IW53" s="347" t="b">
        <f t="shared" si="141"/>
        <v>1</v>
      </c>
      <c r="IX53" s="347" t="b">
        <f t="shared" si="142"/>
        <v>0</v>
      </c>
      <c r="IY53" s="347" t="b">
        <f t="shared" si="143"/>
        <v>0</v>
      </c>
      <c r="IZ53" s="347" t="b">
        <f t="shared" si="144"/>
        <v>0</v>
      </c>
      <c r="JA53" s="347" t="b">
        <f t="shared" si="145"/>
        <v>0</v>
      </c>
      <c r="JB53" s="353" t="b">
        <f t="shared" si="146"/>
        <v>0</v>
      </c>
      <c r="JC53" s="354" t="str">
        <f t="shared" si="147"/>
        <v/>
      </c>
      <c r="JD53" s="355" t="str">
        <f t="shared" si="148"/>
        <v>re, </v>
      </c>
      <c r="JE53" s="355" t="str">
        <f t="shared" si="149"/>
        <v/>
      </c>
      <c r="JF53" s="355" t="str">
        <f t="shared" si="150"/>
        <v/>
      </c>
      <c r="JG53" s="355" t="str">
        <f t="shared" si="151"/>
        <v>Ga, </v>
      </c>
      <c r="JH53" s="355" t="str">
        <f t="shared" si="152"/>
        <v/>
      </c>
      <c r="JI53" s="355" t="str">
        <f t="shared" si="153"/>
        <v/>
      </c>
      <c r="JJ53" s="355" t="str">
        <f t="shared" si="154"/>
        <v>Pa, </v>
      </c>
      <c r="JK53" s="355" t="str">
        <f t="shared" si="155"/>
        <v/>
      </c>
      <c r="JL53" s="355" t="str">
        <f t="shared" si="156"/>
        <v/>
      </c>
      <c r="JM53" s="355" t="str">
        <f t="shared" si="157"/>
        <v/>
      </c>
      <c r="JN53" s="355" t="str">
        <f t="shared" si="158"/>
        <v/>
      </c>
      <c r="JO53" s="359" t="str">
        <f t="shared" si="159"/>
        <v/>
      </c>
      <c r="JP53" s="346" t="b">
        <f t="shared" si="160"/>
        <v>0</v>
      </c>
      <c r="JQ53" s="347" t="b">
        <f t="shared" si="161"/>
        <v>0</v>
      </c>
      <c r="JR53" s="347" t="b">
        <f t="shared" si="162"/>
        <v>0</v>
      </c>
      <c r="JS53" s="347" t="b">
        <f t="shared" si="163"/>
        <v>0</v>
      </c>
      <c r="JT53" s="347" t="b">
        <f t="shared" si="164"/>
        <v>0</v>
      </c>
      <c r="JU53" s="347" t="b">
        <f t="shared" si="165"/>
        <v>0</v>
      </c>
      <c r="JV53" s="347" t="b">
        <f t="shared" si="166"/>
        <v>0</v>
      </c>
      <c r="JW53" s="347" t="b">
        <f t="shared" si="167"/>
        <v>0</v>
      </c>
      <c r="JX53" s="347" t="b">
        <f t="shared" si="168"/>
        <v>0</v>
      </c>
      <c r="JY53" s="347" t="b">
        <f t="shared" si="169"/>
        <v>0</v>
      </c>
      <c r="JZ53" s="347" t="b">
        <f t="shared" si="170"/>
        <v>0</v>
      </c>
      <c r="KA53" s="347" t="b">
        <f t="shared" si="171"/>
        <v>0</v>
      </c>
      <c r="KB53" s="365" t="b">
        <f t="shared" si="172"/>
        <v>0</v>
      </c>
      <c r="KC53" s="354" t="str">
        <f t="shared" si="173"/>
        <v/>
      </c>
      <c r="KD53" s="355" t="str">
        <f t="shared" si="174"/>
        <v/>
      </c>
      <c r="KE53" s="355" t="str">
        <f t="shared" si="175"/>
        <v/>
      </c>
      <c r="KF53" s="355" t="str">
        <f t="shared" si="176"/>
        <v/>
      </c>
      <c r="KG53" s="355" t="str">
        <f t="shared" si="177"/>
        <v/>
      </c>
      <c r="KH53" s="355" t="str">
        <f t="shared" si="178"/>
        <v/>
      </c>
      <c r="KI53" s="355" t="str">
        <f t="shared" si="179"/>
        <v/>
      </c>
      <c r="KJ53" s="355" t="str">
        <f t="shared" si="180"/>
        <v/>
      </c>
      <c r="KK53" s="355" t="str">
        <f t="shared" si="181"/>
        <v/>
      </c>
      <c r="KL53" s="355" t="str">
        <f t="shared" si="182"/>
        <v/>
      </c>
      <c r="KM53" s="355" t="str">
        <f t="shared" si="183"/>
        <v/>
      </c>
      <c r="KN53" s="355" t="str">
        <f t="shared" si="184"/>
        <v/>
      </c>
      <c r="KO53" s="359"/>
      <c r="KP53" s="378"/>
      <c r="KQ53" s="379" t="s">
        <v>9</v>
      </c>
      <c r="KR53" s="380" t="s">
        <v>9</v>
      </c>
      <c r="KS53" s="381" t="s">
        <v>9</v>
      </c>
      <c r="KT53" s="382">
        <f t="shared" si="186"/>
        <v>0</v>
      </c>
      <c r="KU53" s="383">
        <f t="shared" si="187"/>
        <v>0</v>
      </c>
      <c r="KV53" s="381" t="str">
        <f t="shared" si="205"/>
        <v>S</v>
      </c>
      <c r="KW53" s="382">
        <f t="shared" si="189"/>
        <v>0</v>
      </c>
      <c r="KX53" s="384">
        <f t="shared" si="190"/>
        <v>0</v>
      </c>
      <c r="KY53" s="382">
        <f t="shared" ref="KY53:KZ53" si="301">KW53-KT53</f>
        <v>0</v>
      </c>
      <c r="KZ53" s="369">
        <f t="shared" si="301"/>
        <v>0</v>
      </c>
      <c r="LA53" s="385" t="str">
        <f t="shared" si="192"/>
        <v>✔</v>
      </c>
      <c r="LB53" s="340" t="str">
        <f>IFERROR(__xludf.DUMMYFUNCTION("JOIN("""",ArrayFormula(MID(KS53,LEN(KS53)-SEQUENCE(1,LEN(KS53))+1,1)))"),"S")</f>
        <v>S</v>
      </c>
      <c r="LC53" s="373" t="str">
        <f>IFERROR(__xludf.DUMMYFUNCTION("JOIN("""",ArrayFormula(MID(KV53,LEN(KV53)-SEQUENCE(1,LEN(KV53))+1,1)))"),"S")</f>
        <v>S</v>
      </c>
      <c r="LD53" s="373" t="str">
        <f t="shared" si="193"/>
        <v>S</v>
      </c>
      <c r="LE53" s="339" t="str">
        <f t="shared" si="194"/>
        <v>S</v>
      </c>
      <c r="LF53" s="386" t="str">
        <f>IFERROR(__xludf.DUMMYFUNCTION("SUBSTITUTE(SUBSTITUTE(CONCATENATE(JOIN("""",LH53:LT53)),""1"",""""),""2"","""")"),"SS")</f>
        <v>SS</v>
      </c>
      <c r="LG53" s="369" t="str">
        <f t="shared" si="195"/>
        <v>-</v>
      </c>
      <c r="LH53" s="387" t="str">
        <f>IFERROR(__xludf.DUMMYFUNCTION("IF(REGEXMATCH(LD53, ""S""), ""S"",IF(REGEXMATCH(LE53, ""S""), ""S"",""""))"),"S")</f>
        <v>S</v>
      </c>
      <c r="LI53" s="299" t="str">
        <f>IFERROR(__xludf.DUMMYFUNCTION("IF(REGEXMATCH(LD53, ""r""), ""r1"",IF(REGEXMATCH(LE53, ""r""), ""r2"",""""))"),"")</f>
        <v/>
      </c>
      <c r="LJ53" s="299" t="str">
        <f>IFERROR(__xludf.DUMMYFUNCTION("IF(REGEXMATCH(LD53, ""R""), ""R1"",IF(REGEXMATCH(LE53, ""R""), ""R2"",""""))"),"")</f>
        <v/>
      </c>
      <c r="LK53" s="299" t="str">
        <f>IFERROR(__xludf.DUMMYFUNCTION("IF(REGEXMATCH(LD53, ""g""), ""g1"",IF(REGEXMATCH(LE53, ""g""), ""g2"",""""))"),"")</f>
        <v/>
      </c>
      <c r="LL53" s="299" t="str">
        <f>IFERROR(__xludf.DUMMYFUNCTION("IF(REGEXMATCH(LD53, ""G""), ""G1"",IF(REGEXMATCH(LE53, ""G""), ""G2"",""""))"),"")</f>
        <v/>
      </c>
      <c r="LM53" s="299" t="str">
        <f>IFERROR(__xludf.DUMMYFUNCTION("IF(REGEXMATCH(LD53, ""m""), ""m1"",IF(REGEXMATCH(LE53, ""m""), ""m2"",""""))"),"")</f>
        <v/>
      </c>
      <c r="LN53" s="299" t="str">
        <f>IFERROR(__xludf.DUMMYFUNCTION("IF(REGEXMATCH(LD53, ""M""), ""M1"",IF(REGEXMATCH(LE53, ""M""), ""M2"",""""))"),"")</f>
        <v/>
      </c>
      <c r="LO53" s="299" t="str">
        <f>IFERROR(__xludf.DUMMYFUNCTION("IF(REGEXMATCH(LD53, ""P""), ""P1"",IF(REGEXMATCH(LE53, ""P""), ""P2"",""""))"),"")</f>
        <v/>
      </c>
      <c r="LP53" s="299" t="str">
        <f>IFERROR(__xludf.DUMMYFUNCTION("IF(REGEXMATCH(LD53, ""d""), ""d1"",IF(REGEXMATCH(LE53, ""d""), ""d2"",""""))"),"")</f>
        <v/>
      </c>
      <c r="LQ53" s="299" t="str">
        <f>IFERROR(__xludf.DUMMYFUNCTION("IF(REGEXMATCH(LD53, ""D""), ""D1"",IF(REGEXMATCH(LE53, ""D""), ""D2"",""""))"),"")</f>
        <v/>
      </c>
      <c r="LR53" s="299" t="str">
        <f>IFERROR(__xludf.DUMMYFUNCTION("IF(REGEXMATCH(LD53, ""n""), ""n1"",IF(REGEXMATCH(LE53, ""n""), ""n2"",""""))"),"")</f>
        <v/>
      </c>
      <c r="LS53" s="299" t="str">
        <f>IFERROR(__xludf.DUMMYFUNCTION("IF(REGEXMATCH(LD53, ""N""), ""N1"",IF(REGEXMATCH(LE53, ""N""), ""N2"",""""))"),"")</f>
        <v/>
      </c>
      <c r="LT53" s="388" t="str">
        <f>IFERROR(__xludf.DUMMYFUNCTION("IF(REGEXMATCH(LD53, ""S""), ""S"",IF(REGEXMATCH(LE53, ""S""), ""S"",""""))"),"S")</f>
        <v>S</v>
      </c>
      <c r="LU53" s="389">
        <f t="shared" si="196"/>
        <v>1</v>
      </c>
      <c r="LV53" s="378"/>
      <c r="LW53" s="369"/>
      <c r="LX53" s="369"/>
    </row>
    <row r="54" ht="18.0" customHeight="1">
      <c r="A54" s="298" t="s">
        <v>611</v>
      </c>
      <c r="B54" s="222" t="s">
        <v>612</v>
      </c>
      <c r="C54" s="233" t="str">
        <f t="shared" si="7"/>
        <v>SRgGmPDnS</v>
      </c>
      <c r="D54" s="234" t="str">
        <f>IFERROR(__xludf.DUMMYFUNCTION("IF(REGEXMATCH(C54, ""S""), ""S"","""")"),"S")</f>
        <v>S</v>
      </c>
      <c r="E54" s="236" t="str">
        <f>IFERROR(__xludf.DUMMYFUNCTION("IF(REGEXMATCH(C54, ""r""), ""r"","""")"),"")</f>
        <v/>
      </c>
      <c r="F54" s="237" t="str">
        <f>IFERROR(__xludf.DUMMYFUNCTION("IF(REGEXMATCH(C54, ""R""), ""R"","""")"),"R")</f>
        <v>R</v>
      </c>
      <c r="G54" s="237" t="str">
        <f>IFERROR(__xludf.DUMMYFUNCTION("IF(REGEXMATCH(C54, ""g""), ""g"","""")"),"g")</f>
        <v>g</v>
      </c>
      <c r="H54" s="236" t="str">
        <f>IFERROR(__xludf.DUMMYFUNCTION("IF(REGEXMATCH(C54, ""G""), ""G"","""")"),"G")</f>
        <v>G</v>
      </c>
      <c r="I54" s="236" t="str">
        <f>IFERROR(__xludf.DUMMYFUNCTION("IF(REGEXMATCH(C54, ""m""), ""m"","""")"),"m")</f>
        <v>m</v>
      </c>
      <c r="J54" s="237" t="str">
        <f>IFERROR(__xludf.DUMMYFUNCTION("IF(REGEXMATCH(C54, ""M""), ""M"","""")"),"")</f>
        <v/>
      </c>
      <c r="K54" s="236" t="str">
        <f>IFERROR(__xludf.DUMMYFUNCTION("IF(REGEXMATCH(C54, ""P""), ""P"","""")"),"P")</f>
        <v>P</v>
      </c>
      <c r="L54" s="237" t="str">
        <f>IFERROR(__xludf.DUMMYFUNCTION("IF(REGEXMATCH(C54, ""d""), ""d"","""")"),"")</f>
        <v/>
      </c>
      <c r="M54" s="236" t="str">
        <f>IFERROR(__xludf.DUMMYFUNCTION("IF(REGEXMATCH(C54, ""D""), ""D"","""")"),"D")</f>
        <v>D</v>
      </c>
      <c r="N54" s="236" t="str">
        <f>IFERROR(__xludf.DUMMYFUNCTION("IF(REGEXMATCH(C54, ""n""), ""n"","""")"),"n")</f>
        <v>n</v>
      </c>
      <c r="O54" s="237" t="str">
        <f>IFERROR(__xludf.DUMMYFUNCTION("IF(REGEXMATCH(C54, ""N""), ""N"","""")"),"")</f>
        <v/>
      </c>
      <c r="P54" s="238" t="str">
        <f>IFERROR(__xludf.DUMMYFUNCTION("IF(REGEXMATCH(C54, ""S""), ""S"","""")"),"S")</f>
        <v>S</v>
      </c>
      <c r="Q54" s="239" t="str">
        <f>IFERROR(__xludf.DUMMYFUNCTION("SUBSTITUTE(CONCATENATE(JOIN(""-"",D54:J54)),""-"","""")"),"SRgGm")</f>
        <v>SRgGm</v>
      </c>
      <c r="R54" s="229" t="str">
        <f>IFERROR(__xludf.DUMMYFUNCTION("SUBSTITUTE(CONCATENATE(JOIN(""-"",K54:P54)),""-"","""")"),"PDnS")</f>
        <v>PDnS</v>
      </c>
      <c r="S54" s="282" t="str">
        <f t="shared" si="8"/>
        <v>S-R-G-M</v>
      </c>
      <c r="T54" s="282" t="str">
        <f t="shared" si="9"/>
        <v>P-D-N-S</v>
      </c>
      <c r="U54" s="237" t="str">
        <f>IFERROR(__xludf.DUMMYFUNCTION("SUBSTITUTE(JOIN(""-"",S54,T54),""--"",""-"")"),"S-R-G-M-P-D-N-S")</f>
        <v>S-R-G-M-P-D-N-S</v>
      </c>
      <c r="V54" s="309" t="str">
        <f t="shared" si="10"/>
        <v>RgGmDn</v>
      </c>
      <c r="W54" s="244" t="str">
        <f>IFERROR(__xludf.DUMMYFUNCTION("IF(REGEXMATCH(C54, ""S""), ""0"","""")"),"0")</f>
        <v>0</v>
      </c>
      <c r="X54" s="245" t="str">
        <f>IFERROR(__xludf.DUMMYFUNCTION("IF(REGEXMATCH(C54, ""r""), ""1"","""")"),"")</f>
        <v/>
      </c>
      <c r="Y54" s="246" t="str">
        <f>IFERROR(__xludf.DUMMYFUNCTION("IF(REGEXMATCH(C54, ""R""), ""2"","""")"),"2")</f>
        <v>2</v>
      </c>
      <c r="Z54" s="246" t="str">
        <f>IFERROR(__xludf.DUMMYFUNCTION("IF(REGEXMATCH(C54, ""g""), ""3"","""")"),"3")</f>
        <v>3</v>
      </c>
      <c r="AA54" s="245" t="str">
        <f>IFERROR(__xludf.DUMMYFUNCTION("IF(REGEXMATCH(C54, ""G""), ""4"","""")"),"4")</f>
        <v>4</v>
      </c>
      <c r="AB54" s="245" t="str">
        <f>IFERROR(__xludf.DUMMYFUNCTION("IF(REGEXMATCH(C54, ""m""), ""5"","""")"),"5")</f>
        <v>5</v>
      </c>
      <c r="AC54" s="246" t="str">
        <f>IFERROR(__xludf.DUMMYFUNCTION("IF(REGEXMATCH(C54, ""M""), ""6"","""")"),"")</f>
        <v/>
      </c>
      <c r="AD54" s="245" t="str">
        <f>IFERROR(__xludf.DUMMYFUNCTION("IF(REGEXMATCH(C54, ""P""), ""7"","""")"),"7")</f>
        <v>7</v>
      </c>
      <c r="AE54" s="246" t="str">
        <f>IFERROR(__xludf.DUMMYFUNCTION("IF(REGEXMATCH(C54, ""d""), ""8"","""")"),"")</f>
        <v/>
      </c>
      <c r="AF54" s="245" t="str">
        <f>IFERROR(__xludf.DUMMYFUNCTION("IF(REGEXMATCH(C54, ""D""), ""9"","""")"),"9")</f>
        <v>9</v>
      </c>
      <c r="AG54" s="245" t="str">
        <f>IFERROR(__xludf.DUMMYFUNCTION("IF(REGEXMATCH(C54, ""n""), ""10"","""")"),"10")</f>
        <v>10</v>
      </c>
      <c r="AH54" s="246" t="str">
        <f>IFERROR(__xludf.DUMMYFUNCTION("IF(REGEXMATCH(C54, ""N""), ""11"","""")"),"")</f>
        <v/>
      </c>
      <c r="AI54" s="249" t="str">
        <f>IFERROR(__xludf.DUMMYFUNCTION("IF(REGEXMATCH(C54, ""S""), ""0"","""")"),"0")</f>
        <v>0</v>
      </c>
      <c r="AJ54" s="313" t="str">
        <f t="shared" si="11"/>
        <v>-</v>
      </c>
      <c r="AK54" s="313" t="str">
        <f t="shared" si="12"/>
        <v>-</v>
      </c>
      <c r="AL54" s="313" t="str">
        <f t="shared" si="13"/>
        <v>-</v>
      </c>
      <c r="AM54" s="313" t="str">
        <f t="shared" si="14"/>
        <v>T</v>
      </c>
      <c r="AN54" s="313" t="str">
        <f t="shared" si="15"/>
        <v>T</v>
      </c>
      <c r="AO54" s="314" t="str">
        <f t="shared" si="16"/>
        <v>-</v>
      </c>
      <c r="AP54" s="316">
        <f t="shared" si="17"/>
        <v>2</v>
      </c>
      <c r="AQ54" s="319" t="str">
        <f t="shared" si="18"/>
        <v>-</v>
      </c>
      <c r="AR54" s="320">
        <f t="shared" si="19"/>
        <v>0</v>
      </c>
      <c r="AS54" s="250" t="str">
        <f>IFERROR(__xludf.DUMMYFUNCTION("SUBSTITUTE(SUBSTITUTE(CONCATENATE(JOIN("""",FP54:GA54)),""|"",""x""),""-"",""o"")"),"xoxxxxoxoxxo")</f>
        <v>xoxxxxoxoxxo</v>
      </c>
      <c r="AT54" s="323" t="str">
        <f>IFERROR(__xludf.DUMMYFUNCTION("JOIN("""",AS54,AS54)"),"xoxxxxoxoxxoxoxxxxoxoxxo")</f>
        <v>xoxxxxoxoxxoxoxxxxoxoxxo</v>
      </c>
      <c r="AU54" s="256" t="str">
        <f>IFERROR(__xludf.DUMMYFUNCTION("JOIN("""",ArrayFormula(MID(AS54,LEN(AS54)-SEQUENCE(1,LEN(AS54))+1,1)))"),"oxxoxoxxxxox")</f>
        <v>oxxoxoxxxxox</v>
      </c>
      <c r="AV54" s="256" t="str">
        <f>IFERROR(__xludf.DUMMYFUNCTION("LEFT(CONCATENATE(""x"",JOIN("""",ArrayFormula(MID(AS54,LEN(AS54)-SEQUENCE(1,LEN(AS54))+1,1)))),12)"),"xoxxoxoxxxxo")</f>
        <v>xoxxoxoxxxxo</v>
      </c>
      <c r="AW54" s="327" t="str">
        <f>IFERROR(__xludf.DUMMYFUNCTION("JOIN("""",AU54,AU54)"),"oxxoxoxxxxoxoxxoxoxxxxox")</f>
        <v>oxxoxoxxxxoxoxxoxoxxxxox</v>
      </c>
      <c r="AX54" s="239" t="str">
        <f>IFERROR(__xludf.DUMMYFUNCTION("IF(REGEXMATCH(AW54,AS54),""✔"",""-"")"),"✔")</f>
        <v>✔</v>
      </c>
      <c r="AY54" s="330" t="str">
        <f t="shared" si="20"/>
        <v>-</v>
      </c>
      <c r="AZ54" s="260" t="str">
        <f t="shared" si="21"/>
        <v>#REF!</v>
      </c>
      <c r="BA54" s="333" t="str">
        <f t="shared" si="22"/>
        <v>xoxxxxo</v>
      </c>
      <c r="BB54" s="334" t="str">
        <f t="shared" si="23"/>
        <v>xoxxox</v>
      </c>
      <c r="BC54" s="335" t="str">
        <f t="shared" si="236"/>
        <v>-</v>
      </c>
      <c r="BD54" s="336" t="str">
        <f t="shared" si="25"/>
        <v>Bheem: 'xoxxxxo' + 'xoxxox'</v>
      </c>
      <c r="BE54" s="337">
        <f>IFERROR(__xludf.DUMMYFUNCTION("COUNTUNIQUE(FILTER(AT:AT,REGEXMATCH(AT:AT,AS54)))-1"),3.0)</f>
        <v>3</v>
      </c>
      <c r="BF54" s="261" t="str">
        <f>IFERROR(__xludf.DUMMYFUNCTION("IF(BI54=0,""(n/a)"",IF(BJ54=2,""(PAIR)"",IF(REGEXMATCH(AT54,""xoxoxxoxoxox""),""Bilawal"",IF(REGEXMATCH(AT54,""xoxoxooxoxoo""),""Bhupali"",IF(REGEXMATCH(AT54,""xoxoxxoxxoxo""),""Charukeshi"",IF(REGEXMATCH(AT54,""xoxoooxxoxxo""),""Kameshwari"",IF(REGEXMATC"&amp;"H(AT54,""xoxoxooxoxox""),""Shankara"",IF(REGEXMATCH(AT54,""xxooxoxxxoox""),""Basant"",IF(REGEXMATCH(AT54,""xoxoxxxxoxox""),""Bihag"",IF(REGEXMATCH(AT54,""xoxxxxoxoxxx""),""Pilu"",IF(REGEXMATCH(AT54,""xoxxoxoxxoox""),""Kirwani"",IF(REGEXMATCH(AT54,""xoxxox"&amp;"oxoxxx""),""Mk.Malhar"",IF(REGEXMATCH(AT54,""xxooxxoxxoox""),""Bhairav"",IF(REGEXMATCH(AT54,""xxoxooxxxoox""),""Todi"",IF(REGEXMATCH(AT54,""xxooxoxooxox""),""Marwa"",IF(REGEXMATCH(AT54,""xxoooxoxxooo""),""Gunkali"",IF(REGEXMATCH(AT54,""xoxoxxoxxoox""),""N"&amp;"at Bhairav"",IF(REGEXMATCH(AT54,""xoxxoooxoxoo""),""Shivranjani"",IF(REGEXMATCH(AT54,""xooxxxoxooxo""),""Jog"",IF(REGEXMATCH(AT54,""xxooxoxoxoox""),""Hemshri"",IF(REGEXMATCH(AT54,""xoooxooxoxxo""),""Kalavati"",IF(REGEXMATCH(AT54,""xxoxoxxoxoox""),""Kedar"&amp;""",IF(REGEXMATCH(AT54,""xoxxxxoxooxx""),""Gara"",IF(REGEXMATCH(AT54,""xooxoxooxoox""),""Chandrakauns"",IF(REGEXMATCH(AT54,""xoxxxxoxxxox""),""Mand"",IF(REGEXMATCH(AT54,""xoxxxxoxoxox""),""Hanskinkini"",IF(REGEXMATCH(AT54,""xxooxxoxooxo""),""Lilavati"",IF("&amp;"REGEXMATCH(AT54,""xooxoxoooxox""),""Rajeshwari"",IF(REGEXMATCH(AT54,""xoooxxoxoxxx""),""Khokar"",IF(REGEXMATCH(AT54,""xxooxoxxxxox""),""Maligoura"",""-""))))))))))))))))))))))))))))))"),"Bihag")</f>
        <v>Bihag</v>
      </c>
      <c r="BG54" s="239" t="str">
        <f t="shared" si="26"/>
        <v>#REF!</v>
      </c>
      <c r="BH54" s="239">
        <f>IFERROR(__xludf.DUMMYFUNCTION("COUNTUNIQUE(FE54:FO54)-1"),7.0)</f>
        <v>7</v>
      </c>
      <c r="BI54" s="239">
        <f>IFERROR(__xludf.DUMMYFUNCTION("COUNTUNIQUE(FILTER(AT:AT,REGEXMATCH(AT:AT,AS54)))-1"),3.0)</f>
        <v>3</v>
      </c>
      <c r="BJ54" s="239">
        <f>IFERROR(__xludf.DUMMYFUNCTION("COUNTA(FILTER(AT:AT,REGEXMATCH(AT:AT,AS54)))"),36.0)</f>
        <v>36</v>
      </c>
      <c r="BK54" s="341">
        <f>IFERROR(__xludf.DUMMYFUNCTION("COUNTA(FILTER(AT:AT,REGEXMATCH(AT:AT,AS54)))-AR54"),36.0)</f>
        <v>36</v>
      </c>
      <c r="BL54" s="276" t="str">
        <f>IFERROR(__xludf.DUMMYFUNCTION("IF(AS54=""oooooooooooo"",""-"",IF(REGEXMATCH(AT54,""xx""), ""Hemi."", ""Anhemi.""))"),"Hemi.")</f>
        <v>Hemi.</v>
      </c>
      <c r="BM54" s="282" t="str">
        <f>IFERROR(__xludf.DUMMYFUNCTION("IF(AS54=""oooooooooooo"",""-"",IF(REGEXMATCH(AT54,""xxx""), ""Cohem."", ""-""))"),"Cohem.")</f>
        <v>Cohem.</v>
      </c>
      <c r="BN54" s="282" t="str">
        <f>IFERROR(__xludf.DUMMYFUNCTION("IF(AS54=""oooooooooooo"",""-"",IF(REGEXMATCH(AT54,""xxxx""), ""Co-Co."", ""-""))"),"Co-Co.")</f>
        <v>Co-Co.</v>
      </c>
      <c r="BO54" s="342" t="str">
        <f>IFERROR(__xludf.DUMMYFUNCTION("IF(AS54=""oooooooooooo"",""-"",IF(REGEXMATCH(AT54,""xxxxx""), ""CCC."", ""-""))"),"-")</f>
        <v>-</v>
      </c>
      <c r="BP54" s="344" t="str">
        <f t="shared" si="27"/>
        <v>-</v>
      </c>
      <c r="BQ54" s="282" t="str">
        <f>IFERROR(__xludf.DUMMYFUNCTION("IF(REGEXMATCH(JOIN(""-"",EU54:FD54),""TRUE""),""✔"",""-"")"),"-")</f>
        <v>-</v>
      </c>
      <c r="BR54" s="225">
        <f t="shared" si="28"/>
        <v>0</v>
      </c>
      <c r="BS54" s="345" t="str">
        <f>IFERROR(__xludf.DUMMYFUNCTION("SUBSTITUTE(SUBSTITUTE(SUBSTITUTE(SUBSTITUTE(CONCATENATE(JOIN(""-"",GC54:GO54)),""--"",""-""),""--"",""-""),""--"",""-""),""--"",""-"")"),"1-2-b3-3-4-5-6-b7-8")</f>
        <v>1-2-b3-3-4-5-6-b7-8</v>
      </c>
      <c r="BT54" s="299" t="str">
        <f>IFERROR(__xludf.DUMMYFUNCTION("SUBSTITUTE(SUBSTITUTE(SUBSTITUTE(SUBSTITUTE(CONCATENATE(JOIN(""-"",GP54:HB54)),""--"",""-""),""--"",""-""),""--"",""-""),""--"",""-"")"),"S-R2-G2-G3-M1-P-D2-N2-S")</f>
        <v>S-R2-G2-G3-M1-P-D2-N2-S</v>
      </c>
      <c r="BU54" s="348" t="str">
        <f t="shared" si="29"/>
        <v>C-D-Eb-E-F-G-A-Bb-C</v>
      </c>
      <c r="BV54" s="349" t="str">
        <f t="shared" si="30"/>
        <v>SrMdNS</v>
      </c>
      <c r="BW54" s="350">
        <f t="shared" si="31"/>
        <v>0</v>
      </c>
      <c r="BX54" s="351">
        <f t="shared" si="32"/>
        <v>5</v>
      </c>
      <c r="BY54" s="392"/>
      <c r="BZ54" s="309" t="str">
        <f>IFERROR(__xludf.DUMMYFUNCTION("IF(REGEXMATCH(C54, ""S""), ""x"",""x"")"),"x")</f>
        <v>x</v>
      </c>
      <c r="CA54" s="245" t="str">
        <f>IFERROR(__xludf.DUMMYFUNCTION("IF(REGEXMATCH(C54, ""r""), ""o"",""x"")"),"x")</f>
        <v>x</v>
      </c>
      <c r="CB54" s="246" t="str">
        <f>IFERROR(__xludf.DUMMYFUNCTION("IF(REGEXMATCH(C54, ""R""), ""o"",""x"")"),"o")</f>
        <v>o</v>
      </c>
      <c r="CC54" s="246" t="str">
        <f>IFERROR(__xludf.DUMMYFUNCTION("IF(REGEXMATCH(C54, ""g""), ""o"",""x"")"),"o")</f>
        <v>o</v>
      </c>
      <c r="CD54" s="245" t="str">
        <f>IFERROR(__xludf.DUMMYFUNCTION("IF(REGEXMATCH(C54, ""G""), ""o"",""x"")"),"o")</f>
        <v>o</v>
      </c>
      <c r="CE54" s="245" t="str">
        <f>IFERROR(__xludf.DUMMYFUNCTION("IF(REGEXMATCH(C54, ""m""), ""o"",""x"")"),"o")</f>
        <v>o</v>
      </c>
      <c r="CF54" s="246" t="str">
        <f>IFERROR(__xludf.DUMMYFUNCTION("IF(REGEXMATCH(C54, ""M""), ""o"",""x"")"),"x")</f>
        <v>x</v>
      </c>
      <c r="CG54" s="245" t="str">
        <f>IFERROR(__xludf.DUMMYFUNCTION("IF(REGEXMATCH(C54, ""P""), ""o"",""x"")"),"o")</f>
        <v>o</v>
      </c>
      <c r="CH54" s="246" t="str">
        <f>IFERROR(__xludf.DUMMYFUNCTION("IF(REGEXMATCH(C54, ""d""), ""o"",""x"")"),"x")</f>
        <v>x</v>
      </c>
      <c r="CI54" s="245" t="str">
        <f>IFERROR(__xludf.DUMMYFUNCTION("IF(REGEXMATCH(C54, ""D""), ""o"",""x"")"),"o")</f>
        <v>o</v>
      </c>
      <c r="CJ54" s="245" t="str">
        <f>IFERROR(__xludf.DUMMYFUNCTION("IF(REGEXMATCH(C54, ""n""), ""o"",""x"")"),"o")</f>
        <v>o</v>
      </c>
      <c r="CK54" s="245" t="str">
        <f>IFERROR(__xludf.DUMMYFUNCTION("IF(REGEXMATCH(C54, ""N""), ""o"",""x"")"),"x")</f>
        <v>x</v>
      </c>
      <c r="CL54" s="356" t="str">
        <f>IFERROR(__xludf.DUMMYFUNCTION("IF(REGEXMATCH(C54, ""S""), ""x"",""x"")"),"x")</f>
        <v>x</v>
      </c>
      <c r="CM54" s="357" t="str">
        <f t="shared" si="33"/>
        <v>xxooooxoxoox</v>
      </c>
      <c r="CN54" s="358">
        <f t="shared" si="34"/>
        <v>0</v>
      </c>
      <c r="CO54" s="246" t="str">
        <f>IFERROR(__xludf.DUMMYFUNCTION("IF(REGEXMATCH($C54, ""S""), ""S"",""S"")"),"S")</f>
        <v>S</v>
      </c>
      <c r="CP54" s="246" t="str">
        <f>IFERROR(__xludf.DUMMYFUNCTION("IF(REGEXMATCH($C54, ""r""), """",""r"")"),"r")</f>
        <v>r</v>
      </c>
      <c r="CQ54" s="246" t="str">
        <f>IFERROR(__xludf.DUMMYFUNCTION("IF(REGEXMATCH($C54, ""R""), """",""R"")"),"")</f>
        <v/>
      </c>
      <c r="CR54" s="246" t="str">
        <f>IFERROR(__xludf.DUMMYFUNCTION("IF(REGEXMATCH($C54, ""g""), """",""g"")"),"")</f>
        <v/>
      </c>
      <c r="CS54" s="246" t="str">
        <f>IFERROR(__xludf.DUMMYFUNCTION("IF(REGEXMATCH($C54, ""G""), """",""G"")"),"")</f>
        <v/>
      </c>
      <c r="CT54" s="246" t="str">
        <f>IFERROR(__xludf.DUMMYFUNCTION("IF(REGEXMATCH($C54, ""m""), """",""m"")"),"")</f>
        <v/>
      </c>
      <c r="CU54" s="246" t="str">
        <f>IFERROR(__xludf.DUMMYFUNCTION("IF(REGEXMATCH($C54, ""M""), """",""M"")"),"M")</f>
        <v>M</v>
      </c>
      <c r="CV54" s="246" t="str">
        <f>IFERROR(__xludf.DUMMYFUNCTION("IF(REGEXMATCH($C54, ""P""), """",""P"")"),"")</f>
        <v/>
      </c>
      <c r="CW54" s="246" t="str">
        <f>IFERROR(__xludf.DUMMYFUNCTION("IF(REGEXMATCH($C54, ""d""), """",""d"")"),"d")</f>
        <v>d</v>
      </c>
      <c r="CX54" s="246" t="str">
        <f>IFERROR(__xludf.DUMMYFUNCTION("IF(REGEXMATCH($C54, ""D""), """",""D"")"),"")</f>
        <v/>
      </c>
      <c r="CY54" s="246" t="str">
        <f>IFERROR(__xludf.DUMMYFUNCTION("IF(REGEXMATCH($C54, ""n""), """",""n"")"),"")</f>
        <v/>
      </c>
      <c r="CZ54" s="246" t="str">
        <f>IFERROR(__xludf.DUMMYFUNCTION("IF(REGEXMATCH($C54, ""N""), """",""N"")"),"N")</f>
        <v>N</v>
      </c>
      <c r="DA54" s="246" t="str">
        <f>IFERROR(__xludf.DUMMYFUNCTION("IF(REGEXMATCH($C54, ""S""), ""S"",""S"")"),"S")</f>
        <v>S</v>
      </c>
      <c r="DB54" s="362" t="str">
        <f>IFERROR(__xludf.DUMMYFUNCTION("JOIN("""",CO54:DA54,"""","""")"),"SrMdNS")</f>
        <v>SrMdNS</v>
      </c>
      <c r="DC54" s="363"/>
      <c r="DD54" s="301" t="str">
        <f t="shared" si="35"/>
        <v>#REF!</v>
      </c>
      <c r="DE54" s="302" t="str">
        <f t="shared" si="36"/>
        <v>#REF!</v>
      </c>
      <c r="DF54" s="301" t="str">
        <f t="shared" ref="DF54:DG54" si="302">SUBSTITUTE(S54,"-","")</f>
        <v>SRGM</v>
      </c>
      <c r="DG54" s="301" t="str">
        <f t="shared" si="302"/>
        <v>PDNS</v>
      </c>
      <c r="DH54" s="302" t="str">
        <f t="shared" si="38"/>
        <v>Bihag</v>
      </c>
      <c r="DI54" s="301" t="str">
        <f t="shared" si="39"/>
        <v>Hemi.</v>
      </c>
      <c r="DJ54" s="364" t="str">
        <f t="shared" si="40"/>
        <v>Co-Co.</v>
      </c>
      <c r="DK54" s="306" t="str">
        <f t="shared" si="41"/>
        <v>-</v>
      </c>
      <c r="DL54" s="366" t="str">
        <f t="shared" si="42"/>
        <v>-</v>
      </c>
      <c r="DM54" s="308" t="str">
        <f t="shared" si="43"/>
        <v>✔</v>
      </c>
      <c r="DN54" s="306" t="str">
        <f t="shared" si="44"/>
        <v>-</v>
      </c>
      <c r="DO54" s="306" t="str">
        <f t="shared" si="45"/>
        <v>-</v>
      </c>
      <c r="DP54" s="367" t="str">
        <f t="shared" si="46"/>
        <v>-</v>
      </c>
      <c r="DQ54" s="310" t="str">
        <f t="shared" si="47"/>
        <v>-</v>
      </c>
      <c r="DR54" s="310" t="str">
        <f t="shared" si="48"/>
        <v>✔</v>
      </c>
      <c r="DS54" s="310" t="str">
        <f t="shared" si="49"/>
        <v>-</v>
      </c>
      <c r="DT54" s="310" t="str">
        <f t="shared" si="50"/>
        <v>-</v>
      </c>
      <c r="DU54" s="370" t="str">
        <f t="shared" si="51"/>
        <v>-</v>
      </c>
      <c r="DV54" s="306" t="str">
        <f t="shared" si="52"/>
        <v>-</v>
      </c>
      <c r="DW54" s="306" t="str">
        <f t="shared" si="53"/>
        <v>-</v>
      </c>
      <c r="DX54" s="306" t="str">
        <f t="shared" si="54"/>
        <v>-</v>
      </c>
      <c r="DY54" s="306" t="str">
        <f t="shared" si="55"/>
        <v>-</v>
      </c>
      <c r="DZ54" s="306" t="str">
        <f t="shared" si="56"/>
        <v>-</v>
      </c>
      <c r="EA54" s="367" t="str">
        <f t="shared" si="57"/>
        <v>-</v>
      </c>
      <c r="EB54" s="310" t="str">
        <f>IFERROR(__xludf.DUMMYFUNCTION("IF(REGEXMATCH(AW54,AS54),""✔"",""-"")"),"✔")</f>
        <v>✔</v>
      </c>
      <c r="EC54" s="310" t="str">
        <f t="shared" si="58"/>
        <v>#REF!</v>
      </c>
      <c r="ED54" s="370" t="str">
        <f t="shared" si="59"/>
        <v>-</v>
      </c>
      <c r="EE54" s="340" t="str">
        <f t="shared" si="60"/>
        <v>S-R-gG-m-P-D-n-S</v>
      </c>
      <c r="EF54" s="371" t="str">
        <f>IFERROR(__xludf.DUMMYFUNCTION("CONCATENATE(JOIN("""",HC54:HO54))"),"SRgmPdDnS")</f>
        <v>SRgmPdDnS</v>
      </c>
      <c r="EG54" s="372">
        <f t="shared" si="61"/>
        <v>1</v>
      </c>
      <c r="EH54" s="373" t="str">
        <f>IFERROR(__xludf.DUMMYFUNCTION("CONCATENATE(JOIN("""",JC54:JO54))"),"Ga, ")</f>
        <v>Ga, </v>
      </c>
      <c r="EI54" s="322">
        <f t="shared" si="62"/>
        <v>0</v>
      </c>
      <c r="EJ54" s="374" t="str">
        <f>IFERROR(__xludf.DUMMYFUNCTION("CONCATENATE(JOIN("""",KC54:KO54))"),"")</f>
        <v/>
      </c>
      <c r="EK54" s="325" t="str">
        <f t="shared" si="63"/>
        <v>S-R2-G2-G3-M1-P-D2-N2-S</v>
      </c>
      <c r="EL54" s="326" t="str">
        <f t="shared" si="64"/>
        <v>1-2-b3-3-4-5-6-b7-8</v>
      </c>
      <c r="EM54" s="318" t="str">
        <f t="shared" si="65"/>
        <v>#REF!</v>
      </c>
      <c r="EN54" s="328" t="str">
        <f>IFERROR(__xludf.DUMMYFUNCTION("SUBSTITUTE(SUBSTITUTE(SUBSTITUTE(SUBSTITUTE(CONCATENATE(JOIN("" "",HP54:IB54)),""  "","" ""),""  "","" ""),""  "","" ""),""  "","" "")"),"o • o o o o • o • o o • o")</f>
        <v>o • o o o o • o • o o • o</v>
      </c>
      <c r="EO54" s="368" t="str">
        <f t="shared" si="66"/>
        <v>-</v>
      </c>
      <c r="EP54" s="339" t="str">
        <f t="shared" si="67"/>
        <v>-</v>
      </c>
      <c r="EQ54" s="339" t="str">
        <f t="shared" si="68"/>
        <v>Sa-Pa</v>
      </c>
      <c r="ER54" s="339" t="str">
        <f t="shared" si="69"/>
        <v>-</v>
      </c>
      <c r="ES54" s="340" t="str">
        <f t="shared" si="70"/>
        <v>-</v>
      </c>
      <c r="ET54" s="363"/>
      <c r="EU54" s="376" t="b">
        <f>IFERROR(__xludf.DUMMYFUNCTION("arrayformula(sum(--REGEXMATCH(""SRGMPDNS"",split(REGEXREPLACE(C54,""(.)"",""$1~""),""~""))))=len(C54)
"),FALSE)</f>
        <v>0</v>
      </c>
      <c r="EV54" s="290" t="b">
        <f>IFERROR(__xludf.DUMMYFUNCTION("arrayformula(sum(--REGEXMATCH(""SRGmPDNS"",split(REGEXREPLACE(C54,""(.)"",""$1~""),""~""))))=len(C54)"),FALSE)</f>
        <v>0</v>
      </c>
      <c r="EW54" s="290" t="b">
        <f>IFERROR(__xludf.DUMMYFUNCTION("arrayformula(sum(--REGEXMATCH(""SRGmPDnS"",split(REGEXREPLACE(C54,""(.)"",""$1~""),""~""))))=len(C54)"),FALSE)</f>
        <v>0</v>
      </c>
      <c r="EX54" s="290" t="b">
        <f>IFERROR(__xludf.DUMMYFUNCTION("arrayformula(sum(--REGEXMATCH(""SRgmPDnS"",split(REGEXREPLACE(C54,""(.)"",""$1~""),""~""))))=len(C54)"),FALSE)</f>
        <v>0</v>
      </c>
      <c r="EY54" s="290" t="b">
        <f>IFERROR(__xludf.DUMMYFUNCTION("arrayformula(sum(--REGEXMATCH(""SRgmPdnS"",split(REGEXREPLACE(C54,""(.)"",""$1~""),""~""))))=len(C54)"),FALSE)</f>
        <v>0</v>
      </c>
      <c r="EZ54" s="290" t="b">
        <f>IFERROR(__xludf.DUMMYFUNCTION("arrayformula(sum(--REGEXMATCH(""SrgmPdnS"",split(REGEXREPLACE(C54,""(.)"",""$1~""),""~""))))=len(C54)"),FALSE)</f>
        <v>0</v>
      </c>
      <c r="FA54" s="290" t="b">
        <f>IFERROR(__xludf.DUMMYFUNCTION("arrayformula(sum(--REGEXMATCH(""SrGmPdNS"",split(REGEXREPLACE(C54,""(.)"",""$1~""),""~""))))=len(C54)"),FALSE)</f>
        <v>0</v>
      </c>
      <c r="FB54" s="290" t="b">
        <f>IFERROR(__xludf.DUMMYFUNCTION("arrayformula(sum(--REGEXMATCH(""SrGMPDNS"",split(REGEXREPLACE(C54,""(.)"",""$1~""),""~""))))=len(C54)"),FALSE)</f>
        <v>0</v>
      </c>
      <c r="FC54" s="290" t="b">
        <f>IFERROR(__xludf.DUMMYFUNCTION("arrayformula(sum(--REGEXMATCH(""SrGMPdNS"",split(REGEXREPLACE(C54,""(.)"",""$1~""),""~""))))=len(C54)"),FALSE)</f>
        <v>0</v>
      </c>
      <c r="FD54" s="377" t="b">
        <f>IFERROR(__xludf.DUMMYFUNCTION("arrayformula(sum(--REGEXMATCH(""SrgMPdNS"",split(REGEXREPLACE(C54,""(.)"",""$1~""),""~""))))=len(C54)"),FALSE)</f>
        <v>0</v>
      </c>
      <c r="FE54" s="269" t="str">
        <f t="shared" si="71"/>
        <v>-</v>
      </c>
      <c r="FF54" s="269" t="str">
        <f t="shared" si="72"/>
        <v>xxxxoxoxxox</v>
      </c>
      <c r="FG54" s="271" t="str">
        <f t="shared" si="73"/>
        <v>xxxoxoxxoxo</v>
      </c>
      <c r="FH54" s="269" t="str">
        <f t="shared" si="74"/>
        <v>xxoxoxxoxox</v>
      </c>
      <c r="FI54" s="271" t="str">
        <f t="shared" si="75"/>
        <v>xoxoxxoxoxx</v>
      </c>
      <c r="FJ54" s="271" t="str">
        <f t="shared" si="76"/>
        <v>-</v>
      </c>
      <c r="FK54" s="271" t="str">
        <f t="shared" si="77"/>
        <v>xoxxoxoxxxx</v>
      </c>
      <c r="FL54" s="271" t="str">
        <f t="shared" si="78"/>
        <v>-</v>
      </c>
      <c r="FM54" s="271" t="str">
        <f t="shared" si="79"/>
        <v>xxoxoxxxxox</v>
      </c>
      <c r="FN54" s="271" t="str">
        <f t="shared" si="80"/>
        <v>xoxoxxxxoxo</v>
      </c>
      <c r="FO54" s="274" t="str">
        <f t="shared" si="81"/>
        <v>-</v>
      </c>
      <c r="FP54" s="234" t="str">
        <f t="shared" si="82"/>
        <v>|</v>
      </c>
      <c r="FQ54" s="236" t="str">
        <f t="shared" si="83"/>
        <v>-</v>
      </c>
      <c r="FR54" s="237" t="str">
        <f t="shared" si="84"/>
        <v>|</v>
      </c>
      <c r="FS54" s="236" t="str">
        <f t="shared" si="85"/>
        <v>|</v>
      </c>
      <c r="FT54" s="237" t="str">
        <f t="shared" si="86"/>
        <v>|</v>
      </c>
      <c r="FU54" s="236" t="str">
        <f t="shared" si="87"/>
        <v>|</v>
      </c>
      <c r="FV54" s="237" t="str">
        <f t="shared" si="88"/>
        <v>-</v>
      </c>
      <c r="FW54" s="236" t="str">
        <f t="shared" si="89"/>
        <v>|</v>
      </c>
      <c r="FX54" s="237" t="str">
        <f t="shared" si="90"/>
        <v>-</v>
      </c>
      <c r="FY54" s="236" t="str">
        <f t="shared" si="91"/>
        <v>|</v>
      </c>
      <c r="FZ54" s="237" t="str">
        <f t="shared" si="92"/>
        <v>|</v>
      </c>
      <c r="GA54" s="236" t="str">
        <f t="shared" si="93"/>
        <v>-</v>
      </c>
      <c r="GB54" s="238" t="str">
        <f t="shared" si="94"/>
        <v>|</v>
      </c>
      <c r="GC54" s="244" t="str">
        <f>IFERROR(__xludf.DUMMYFUNCTION("IF(REGEXMATCH(C54, ""S""), ""1"","""")"),"1")</f>
        <v>1</v>
      </c>
      <c r="GD54" s="245" t="str">
        <f>IFERROR(__xludf.DUMMYFUNCTION("IF(REGEXMATCH(C54, ""r""), ""b2"","""")"),"")</f>
        <v/>
      </c>
      <c r="GE54" s="246" t="str">
        <f>IFERROR(__xludf.DUMMYFUNCTION("IF(REGEXMATCH(C54, ""R""), ""2"","""")"),"2")</f>
        <v>2</v>
      </c>
      <c r="GF54" s="246" t="str">
        <f>IFERROR(__xludf.DUMMYFUNCTION("IF(REGEXMATCH(C54, ""g""), ""b3"","""")"),"b3")</f>
        <v>b3</v>
      </c>
      <c r="GG54" s="245" t="str">
        <f>IFERROR(__xludf.DUMMYFUNCTION("IF(REGEXMATCH(C54, ""G""), ""3"","""")"),"3")</f>
        <v>3</v>
      </c>
      <c r="GH54" s="245" t="str">
        <f>IFERROR(__xludf.DUMMYFUNCTION("IF(REGEXMATCH(C54, ""m""), ""4"","""")"),"4")</f>
        <v>4</v>
      </c>
      <c r="GI54" s="246" t="str">
        <f>IFERROR(__xludf.DUMMYFUNCTION("IF(REGEXMATCH(C54, ""M""), ""#4"","""")"),"")</f>
        <v/>
      </c>
      <c r="GJ54" s="245" t="str">
        <f>IFERROR(__xludf.DUMMYFUNCTION("IF(REGEXMATCH(C54, ""P""), ""5"","""")"),"5")</f>
        <v>5</v>
      </c>
      <c r="GK54" s="246" t="str">
        <f>IFERROR(__xludf.DUMMYFUNCTION("IF(REGEXMATCH(C54, ""d""), ""b6"","""")"),"")</f>
        <v/>
      </c>
      <c r="GL54" s="245" t="str">
        <f>IFERROR(__xludf.DUMMYFUNCTION("IF(REGEXMATCH(C54, ""D""), ""6"","""")"),"6")</f>
        <v>6</v>
      </c>
      <c r="GM54" s="245" t="str">
        <f>IFERROR(__xludf.DUMMYFUNCTION("IF(REGEXMATCH(C54, ""n""), ""b7"","""")"),"b7")</f>
        <v>b7</v>
      </c>
      <c r="GN54" s="246" t="str">
        <f>IFERROR(__xludf.DUMMYFUNCTION("IF(REGEXMATCH(C54, ""N""), ""7"","""")"),"")</f>
        <v/>
      </c>
      <c r="GO54" s="249" t="str">
        <f>IFERROR(__xludf.DUMMYFUNCTION("IF(REGEXMATCH(C54, ""S""), ""8"","""")"),"8")</f>
        <v>8</v>
      </c>
      <c r="GP54" s="244" t="str">
        <f>IFERROR(__xludf.DUMMYFUNCTION("IF(REGEXMATCH(C54, ""S""), ""S"","""")"),"S")</f>
        <v>S</v>
      </c>
      <c r="GQ54" s="294" t="str">
        <f>IFERROR(__xludf.DUMMYFUNCTION("IF(REGEXMATCH(C54, ""r""), ""R1"","""")"),"")</f>
        <v/>
      </c>
      <c r="GR54" s="295" t="str">
        <f>IFERROR(__xludf.DUMMYFUNCTION("IF(REGEXMATCH(C54, ""R""), ""R2"","""")"),"R2")</f>
        <v>R2</v>
      </c>
      <c r="GS54" s="295" t="str">
        <f>IFERROR(__xludf.DUMMYFUNCTION("IF(REGEXMATCH(C54, ""g""), ""G2"","""")"),"G2")</f>
        <v>G2</v>
      </c>
      <c r="GT54" s="294" t="str">
        <f>IFERROR(__xludf.DUMMYFUNCTION("IF(REGEXMATCH(C54, ""G""), ""G3"","""")"),"G3")</f>
        <v>G3</v>
      </c>
      <c r="GU54" s="294" t="str">
        <f>IFERROR(__xludf.DUMMYFUNCTION("IF(REGEXMATCH(C54, ""m""), ""M1"","""")"),"M1")</f>
        <v>M1</v>
      </c>
      <c r="GV54" s="295" t="str">
        <f>IFERROR(__xludf.DUMMYFUNCTION("IF(REGEXMATCH(C54, ""M""), ""M2"","""")"),"")</f>
        <v/>
      </c>
      <c r="GW54" s="294" t="str">
        <f>IFERROR(__xludf.DUMMYFUNCTION("IF(REGEXMATCH(C54, ""P""), ""P"","""")"),"P")</f>
        <v>P</v>
      </c>
      <c r="GX54" s="295" t="str">
        <f>IFERROR(__xludf.DUMMYFUNCTION("IF(REGEXMATCH(C54, ""d""), ""D1"","""")"),"")</f>
        <v/>
      </c>
      <c r="GY54" s="294" t="str">
        <f>IFERROR(__xludf.DUMMYFUNCTION("IF(REGEXMATCH(C54, ""D""), ""D2"","""")"),"D2")</f>
        <v>D2</v>
      </c>
      <c r="GZ54" s="294" t="str">
        <f>IFERROR(__xludf.DUMMYFUNCTION("IF(REGEXMATCH(C54, ""n""), ""N2"","""")"),"N2")</f>
        <v>N2</v>
      </c>
      <c r="HA54" s="295" t="str">
        <f>IFERROR(__xludf.DUMMYFUNCTION("IF(REGEXMATCH(C54, ""N""), ""N3"","""")"),"")</f>
        <v/>
      </c>
      <c r="HB54" s="249" t="str">
        <f>IFERROR(__xludf.DUMMYFUNCTION("IF(REGEXMATCH(C54, ""S""), ""S"","""")"),"S")</f>
        <v>S</v>
      </c>
      <c r="HC54" s="331" t="str">
        <f t="shared" si="95"/>
        <v>S</v>
      </c>
      <c r="HD54" s="332" t="str">
        <f t="shared" si="96"/>
        <v/>
      </c>
      <c r="HE54" s="332" t="str">
        <f t="shared" si="97"/>
        <v>R</v>
      </c>
      <c r="HF54" s="332" t="str">
        <f t="shared" si="98"/>
        <v>g</v>
      </c>
      <c r="HG54" s="332" t="str">
        <f t="shared" si="99"/>
        <v/>
      </c>
      <c r="HH54" s="332" t="str">
        <f t="shared" si="100"/>
        <v>m</v>
      </c>
      <c r="HI54" s="332" t="str">
        <f t="shared" si="101"/>
        <v/>
      </c>
      <c r="HJ54" s="332" t="str">
        <f t="shared" si="102"/>
        <v>P</v>
      </c>
      <c r="HK54" s="332" t="str">
        <f t="shared" si="103"/>
        <v>d</v>
      </c>
      <c r="HL54" s="332" t="str">
        <f t="shared" si="104"/>
        <v>D</v>
      </c>
      <c r="HM54" s="332" t="str">
        <f t="shared" si="105"/>
        <v>n</v>
      </c>
      <c r="HN54" s="332" t="str">
        <f t="shared" si="106"/>
        <v/>
      </c>
      <c r="HO54" s="343" t="str">
        <f t="shared" si="107"/>
        <v>S</v>
      </c>
      <c r="HP54" s="331" t="str">
        <f t="shared" si="108"/>
        <v>o</v>
      </c>
      <c r="HQ54" s="332" t="str">
        <f t="shared" si="109"/>
        <v>•</v>
      </c>
      <c r="HR54" s="332" t="str">
        <f t="shared" si="110"/>
        <v>o</v>
      </c>
      <c r="HS54" s="332" t="str">
        <f t="shared" si="111"/>
        <v>o</v>
      </c>
      <c r="HT54" s="332" t="str">
        <f t="shared" si="112"/>
        <v>o</v>
      </c>
      <c r="HU54" s="332" t="str">
        <f t="shared" si="113"/>
        <v>o</v>
      </c>
      <c r="HV54" s="332" t="str">
        <f t="shared" si="114"/>
        <v>•</v>
      </c>
      <c r="HW54" s="332" t="str">
        <f t="shared" si="115"/>
        <v>o</v>
      </c>
      <c r="HX54" s="332" t="str">
        <f t="shared" si="116"/>
        <v>•</v>
      </c>
      <c r="HY54" s="332" t="str">
        <f t="shared" si="117"/>
        <v>o</v>
      </c>
      <c r="HZ54" s="332" t="str">
        <f t="shared" si="118"/>
        <v>o</v>
      </c>
      <c r="IA54" s="332" t="str">
        <f t="shared" si="119"/>
        <v>•</v>
      </c>
      <c r="IB54" s="338" t="str">
        <f t="shared" si="120"/>
        <v>o</v>
      </c>
      <c r="IC54" s="331" t="str">
        <f t="shared" si="121"/>
        <v>•</v>
      </c>
      <c r="ID54" s="332" t="str">
        <f t="shared" si="122"/>
        <v>o</v>
      </c>
      <c r="IE54" s="332" t="str">
        <f t="shared" si="123"/>
        <v>•</v>
      </c>
      <c r="IF54" s="332" t="str">
        <f t="shared" si="124"/>
        <v>•</v>
      </c>
      <c r="IG54" s="332" t="str">
        <f t="shared" si="125"/>
        <v>•</v>
      </c>
      <c r="IH54" s="332" t="str">
        <f t="shared" si="126"/>
        <v>•</v>
      </c>
      <c r="II54" s="332" t="str">
        <f t="shared" si="127"/>
        <v>o</v>
      </c>
      <c r="IJ54" s="332" t="str">
        <f t="shared" si="128"/>
        <v>•</v>
      </c>
      <c r="IK54" s="332" t="str">
        <f t="shared" si="129"/>
        <v>o</v>
      </c>
      <c r="IL54" s="332" t="str">
        <f t="shared" si="130"/>
        <v>•</v>
      </c>
      <c r="IM54" s="332" t="str">
        <f t="shared" si="131"/>
        <v>•</v>
      </c>
      <c r="IN54" s="332" t="str">
        <f t="shared" si="132"/>
        <v>o</v>
      </c>
      <c r="IO54" s="338" t="str">
        <f t="shared" si="133"/>
        <v>•</v>
      </c>
      <c r="IP54" s="346" t="b">
        <f t="shared" si="134"/>
        <v>0</v>
      </c>
      <c r="IQ54" s="347" t="b">
        <f t="shared" si="135"/>
        <v>0</v>
      </c>
      <c r="IR54" s="347" t="b">
        <f t="shared" si="136"/>
        <v>0</v>
      </c>
      <c r="IS54" s="347" t="b">
        <f t="shared" si="137"/>
        <v>0</v>
      </c>
      <c r="IT54" s="347" t="b">
        <f t="shared" si="138"/>
        <v>1</v>
      </c>
      <c r="IU54" s="347" t="b">
        <f t="shared" si="139"/>
        <v>0</v>
      </c>
      <c r="IV54" s="347" t="b">
        <f t="shared" si="140"/>
        <v>0</v>
      </c>
      <c r="IW54" s="347" t="b">
        <f t="shared" si="141"/>
        <v>0</v>
      </c>
      <c r="IX54" s="347" t="b">
        <f t="shared" si="142"/>
        <v>0</v>
      </c>
      <c r="IY54" s="347" t="b">
        <f t="shared" si="143"/>
        <v>0</v>
      </c>
      <c r="IZ54" s="347" t="b">
        <f t="shared" si="144"/>
        <v>0</v>
      </c>
      <c r="JA54" s="347" t="b">
        <f t="shared" si="145"/>
        <v>0</v>
      </c>
      <c r="JB54" s="353" t="b">
        <f t="shared" si="146"/>
        <v>0</v>
      </c>
      <c r="JC54" s="354" t="str">
        <f t="shared" si="147"/>
        <v/>
      </c>
      <c r="JD54" s="355" t="str">
        <f t="shared" si="148"/>
        <v/>
      </c>
      <c r="JE54" s="355" t="str">
        <f t="shared" si="149"/>
        <v/>
      </c>
      <c r="JF54" s="355" t="str">
        <f t="shared" si="150"/>
        <v/>
      </c>
      <c r="JG54" s="355" t="str">
        <f t="shared" si="151"/>
        <v>Ga, </v>
      </c>
      <c r="JH54" s="355" t="str">
        <f t="shared" si="152"/>
        <v/>
      </c>
      <c r="JI54" s="355" t="str">
        <f t="shared" si="153"/>
        <v/>
      </c>
      <c r="JJ54" s="355" t="str">
        <f t="shared" si="154"/>
        <v/>
      </c>
      <c r="JK54" s="355" t="str">
        <f t="shared" si="155"/>
        <v/>
      </c>
      <c r="JL54" s="355" t="str">
        <f t="shared" si="156"/>
        <v/>
      </c>
      <c r="JM54" s="355" t="str">
        <f t="shared" si="157"/>
        <v/>
      </c>
      <c r="JN54" s="355" t="str">
        <f t="shared" si="158"/>
        <v/>
      </c>
      <c r="JO54" s="359" t="str">
        <f t="shared" si="159"/>
        <v/>
      </c>
      <c r="JP54" s="346" t="b">
        <f t="shared" si="160"/>
        <v>0</v>
      </c>
      <c r="JQ54" s="347" t="b">
        <f t="shared" si="161"/>
        <v>0</v>
      </c>
      <c r="JR54" s="347" t="b">
        <f t="shared" si="162"/>
        <v>0</v>
      </c>
      <c r="JS54" s="347" t="b">
        <f t="shared" si="163"/>
        <v>0</v>
      </c>
      <c r="JT54" s="347" t="b">
        <f t="shared" si="164"/>
        <v>0</v>
      </c>
      <c r="JU54" s="347" t="b">
        <f t="shared" si="165"/>
        <v>0</v>
      </c>
      <c r="JV54" s="347" t="b">
        <f t="shared" si="166"/>
        <v>0</v>
      </c>
      <c r="JW54" s="347" t="b">
        <f t="shared" si="167"/>
        <v>0</v>
      </c>
      <c r="JX54" s="347" t="b">
        <f t="shared" si="168"/>
        <v>0</v>
      </c>
      <c r="JY54" s="347" t="b">
        <f t="shared" si="169"/>
        <v>0</v>
      </c>
      <c r="JZ54" s="347" t="b">
        <f t="shared" si="170"/>
        <v>0</v>
      </c>
      <c r="KA54" s="347" t="b">
        <f t="shared" si="171"/>
        <v>0</v>
      </c>
      <c r="KB54" s="365" t="b">
        <f t="shared" si="172"/>
        <v>0</v>
      </c>
      <c r="KC54" s="354" t="str">
        <f t="shared" si="173"/>
        <v/>
      </c>
      <c r="KD54" s="355" t="str">
        <f t="shared" si="174"/>
        <v/>
      </c>
      <c r="KE54" s="355" t="str">
        <f t="shared" si="175"/>
        <v/>
      </c>
      <c r="KF54" s="355" t="str">
        <f t="shared" si="176"/>
        <v/>
      </c>
      <c r="KG54" s="355" t="str">
        <f t="shared" si="177"/>
        <v/>
      </c>
      <c r="KH54" s="355" t="str">
        <f t="shared" si="178"/>
        <v/>
      </c>
      <c r="KI54" s="355" t="str">
        <f t="shared" si="179"/>
        <v/>
      </c>
      <c r="KJ54" s="355" t="str">
        <f t="shared" si="180"/>
        <v/>
      </c>
      <c r="KK54" s="355" t="str">
        <f t="shared" si="181"/>
        <v/>
      </c>
      <c r="KL54" s="355" t="str">
        <f t="shared" si="182"/>
        <v/>
      </c>
      <c r="KM54" s="355" t="str">
        <f t="shared" si="183"/>
        <v/>
      </c>
      <c r="KN54" s="355" t="str">
        <f t="shared" si="184"/>
        <v/>
      </c>
      <c r="KO54" s="359"/>
      <c r="KP54" s="378"/>
      <c r="KQ54" s="379" t="s">
        <v>1339</v>
      </c>
      <c r="KR54" s="380" t="s">
        <v>1256</v>
      </c>
      <c r="KS54" s="381" t="str">
        <f t="shared" ref="KS54:KS61" si="305">KQ54</f>
        <v>S-G-m-P-n-S</v>
      </c>
      <c r="KT54" s="382">
        <f t="shared" si="186"/>
        <v>5</v>
      </c>
      <c r="KU54" s="383">
        <f t="shared" si="187"/>
        <v>5</v>
      </c>
      <c r="KV54" s="381" t="str">
        <f t="shared" si="205"/>
        <v>S-n-D-P-m-G-R-S</v>
      </c>
      <c r="KW54" s="382">
        <f t="shared" si="189"/>
        <v>7</v>
      </c>
      <c r="KX54" s="384">
        <f t="shared" si="190"/>
        <v>7</v>
      </c>
      <c r="KY54" s="382">
        <f t="shared" ref="KY54:KZ54" si="303">KW54-KT54</f>
        <v>2</v>
      </c>
      <c r="KZ54" s="369">
        <f t="shared" si="303"/>
        <v>2</v>
      </c>
      <c r="LA54" s="385" t="str">
        <f t="shared" si="192"/>
        <v>-</v>
      </c>
      <c r="LB54" s="340" t="str">
        <f>IFERROR(__xludf.DUMMYFUNCTION("JOIN("""",ArrayFormula(MID(KS54,LEN(KS54)-SEQUENCE(1,LEN(KS54))+1,1)))"),"S-n-P-m-G-S")</f>
        <v>S-n-P-m-G-S</v>
      </c>
      <c r="LC54" s="373" t="str">
        <f>IFERROR(__xludf.DUMMYFUNCTION("JOIN("""",ArrayFormula(MID(KV54,LEN(KV54)-SEQUENCE(1,LEN(KV54))+1,1)))"),"S-R-G-m-P-D-n-S")</f>
        <v>S-R-G-m-P-D-n-S</v>
      </c>
      <c r="LD54" s="373" t="str">
        <f t="shared" si="193"/>
        <v>SGmPnS</v>
      </c>
      <c r="LE54" s="339" t="str">
        <f t="shared" si="194"/>
        <v>SRGmPDnS</v>
      </c>
      <c r="LF54" s="386" t="str">
        <f>IFERROR(__xludf.DUMMYFUNCTION("SUBSTITUTE(SUBSTITUTE(CONCATENATE(JOIN("""",LH54:LT54)),""1"",""""),""2"","""")"),"SRGmPDnS")</f>
        <v>SRGmPDnS</v>
      </c>
      <c r="LG54" s="369" t="str">
        <f t="shared" si="195"/>
        <v>-</v>
      </c>
      <c r="LH54" s="387" t="str">
        <f>IFERROR(__xludf.DUMMYFUNCTION("IF(REGEXMATCH(LD54, ""S""), ""S"",IF(REGEXMATCH(LE54, ""S""), ""S"",""""))"),"S")</f>
        <v>S</v>
      </c>
      <c r="LI54" s="299" t="str">
        <f>IFERROR(__xludf.DUMMYFUNCTION("IF(REGEXMATCH(LD54, ""r""), ""r1"",IF(REGEXMATCH(LE54, ""r""), ""r2"",""""))"),"")</f>
        <v/>
      </c>
      <c r="LJ54" s="299" t="str">
        <f>IFERROR(__xludf.DUMMYFUNCTION("IF(REGEXMATCH(LD54, ""R""), ""R1"",IF(REGEXMATCH(LE54, ""R""), ""R2"",""""))"),"R2")</f>
        <v>R2</v>
      </c>
      <c r="LK54" s="299" t="str">
        <f>IFERROR(__xludf.DUMMYFUNCTION("IF(REGEXMATCH(LD54, ""g""), ""g1"",IF(REGEXMATCH(LE54, ""g""), ""g2"",""""))"),"")</f>
        <v/>
      </c>
      <c r="LL54" s="299" t="str">
        <f>IFERROR(__xludf.DUMMYFUNCTION("IF(REGEXMATCH(LD54, ""G""), ""G1"",IF(REGEXMATCH(LE54, ""G""), ""G2"",""""))"),"G1")</f>
        <v>G1</v>
      </c>
      <c r="LM54" s="299" t="str">
        <f>IFERROR(__xludf.DUMMYFUNCTION("IF(REGEXMATCH(LD54, ""m""), ""m1"",IF(REGEXMATCH(LE54, ""m""), ""m2"",""""))"),"m1")</f>
        <v>m1</v>
      </c>
      <c r="LN54" s="299" t="str">
        <f>IFERROR(__xludf.DUMMYFUNCTION("IF(REGEXMATCH(LD54, ""M""), ""M1"",IF(REGEXMATCH(LE54, ""M""), ""M2"",""""))"),"")</f>
        <v/>
      </c>
      <c r="LO54" s="299" t="str">
        <f>IFERROR(__xludf.DUMMYFUNCTION("IF(REGEXMATCH(LD54, ""P""), ""P1"",IF(REGEXMATCH(LE54, ""P""), ""P2"",""""))"),"P1")</f>
        <v>P1</v>
      </c>
      <c r="LP54" s="299" t="str">
        <f>IFERROR(__xludf.DUMMYFUNCTION("IF(REGEXMATCH(LD54, ""d""), ""d1"",IF(REGEXMATCH(LE54, ""d""), ""d2"",""""))"),"")</f>
        <v/>
      </c>
      <c r="LQ54" s="299" t="str">
        <f>IFERROR(__xludf.DUMMYFUNCTION("IF(REGEXMATCH(LD54, ""D""), ""D1"",IF(REGEXMATCH(LE54, ""D""), ""D2"",""""))"),"D2")</f>
        <v>D2</v>
      </c>
      <c r="LR54" s="299" t="str">
        <f>IFERROR(__xludf.DUMMYFUNCTION("IF(REGEXMATCH(LD54, ""n""), ""n1"",IF(REGEXMATCH(LE54, ""n""), ""n2"",""""))"),"n1")</f>
        <v>n1</v>
      </c>
      <c r="LS54" s="299" t="str">
        <f>IFERROR(__xludf.DUMMYFUNCTION("IF(REGEXMATCH(LD54, ""N""), ""N1"",IF(REGEXMATCH(LE54, ""N""), ""N2"",""""))"),"")</f>
        <v/>
      </c>
      <c r="LT54" s="388" t="str">
        <f>IFERROR(__xludf.DUMMYFUNCTION("IF(REGEXMATCH(LD54, ""S""), ""S"",IF(REGEXMATCH(LE54, ""S""), ""S"",""""))"),"S")</f>
        <v>S</v>
      </c>
      <c r="LU54" s="389">
        <f t="shared" si="196"/>
        <v>-3</v>
      </c>
      <c r="LV54" s="378"/>
      <c r="LW54" s="369"/>
      <c r="LX54" s="369"/>
    </row>
    <row r="55" ht="18.0" customHeight="1">
      <c r="A55" s="298" t="s">
        <v>614</v>
      </c>
      <c r="B55" s="222" t="s">
        <v>561</v>
      </c>
      <c r="C55" s="233" t="str">
        <f t="shared" si="7"/>
        <v>SRgmPDnS</v>
      </c>
      <c r="D55" s="234" t="str">
        <f>IFERROR(__xludf.DUMMYFUNCTION("IF(REGEXMATCH(C55, ""S""), ""S"","""")"),"S")</f>
        <v>S</v>
      </c>
      <c r="E55" s="236" t="str">
        <f>IFERROR(__xludf.DUMMYFUNCTION("IF(REGEXMATCH(C55, ""r""), ""r"","""")"),"")</f>
        <v/>
      </c>
      <c r="F55" s="237" t="str">
        <f>IFERROR(__xludf.DUMMYFUNCTION("IF(REGEXMATCH(C55, ""R""), ""R"","""")"),"R")</f>
        <v>R</v>
      </c>
      <c r="G55" s="237" t="str">
        <f>IFERROR(__xludf.DUMMYFUNCTION("IF(REGEXMATCH(C55, ""g""), ""g"","""")"),"g")</f>
        <v>g</v>
      </c>
      <c r="H55" s="236" t="str">
        <f>IFERROR(__xludf.DUMMYFUNCTION("IF(REGEXMATCH(C55, ""G""), ""G"","""")"),"")</f>
        <v/>
      </c>
      <c r="I55" s="236" t="str">
        <f>IFERROR(__xludf.DUMMYFUNCTION("IF(REGEXMATCH(C55, ""m""), ""m"","""")"),"m")</f>
        <v>m</v>
      </c>
      <c r="J55" s="237" t="str">
        <f>IFERROR(__xludf.DUMMYFUNCTION("IF(REGEXMATCH(C55, ""M""), ""M"","""")"),"")</f>
        <v/>
      </c>
      <c r="K55" s="236" t="str">
        <f>IFERROR(__xludf.DUMMYFUNCTION("IF(REGEXMATCH(C55, ""P""), ""P"","""")"),"P")</f>
        <v>P</v>
      </c>
      <c r="L55" s="237" t="str">
        <f>IFERROR(__xludf.DUMMYFUNCTION("IF(REGEXMATCH(C55, ""d""), ""d"","""")"),"")</f>
        <v/>
      </c>
      <c r="M55" s="236" t="str">
        <f>IFERROR(__xludf.DUMMYFUNCTION("IF(REGEXMATCH(C55, ""D""), ""D"","""")"),"D")</f>
        <v>D</v>
      </c>
      <c r="N55" s="236" t="str">
        <f>IFERROR(__xludf.DUMMYFUNCTION("IF(REGEXMATCH(C55, ""n""), ""n"","""")"),"n")</f>
        <v>n</v>
      </c>
      <c r="O55" s="237" t="str">
        <f>IFERROR(__xludf.DUMMYFUNCTION("IF(REGEXMATCH(C55, ""N""), ""N"","""")"),"")</f>
        <v/>
      </c>
      <c r="P55" s="238" t="str">
        <f>IFERROR(__xludf.DUMMYFUNCTION("IF(REGEXMATCH(C55, ""S""), ""S"","""")"),"S")</f>
        <v>S</v>
      </c>
      <c r="Q55" s="239" t="str">
        <f>IFERROR(__xludf.DUMMYFUNCTION("SUBSTITUTE(CONCATENATE(JOIN(""-"",D55:J55)),""-"","""")"),"SRgm")</f>
        <v>SRgm</v>
      </c>
      <c r="R55" s="229" t="str">
        <f>IFERROR(__xludf.DUMMYFUNCTION("SUBSTITUTE(CONCATENATE(JOIN(""-"",K55:P55)),""-"","""")"),"PDnS")</f>
        <v>PDnS</v>
      </c>
      <c r="S55" s="282" t="str">
        <f t="shared" si="8"/>
        <v>S-R-G-M</v>
      </c>
      <c r="T55" s="282" t="str">
        <f t="shared" si="9"/>
        <v>P-D-N-S</v>
      </c>
      <c r="U55" s="237" t="str">
        <f>IFERROR(__xludf.DUMMYFUNCTION("SUBSTITUTE(JOIN(""-"",S55,T55),""--"",""-"")"),"S-R-G-M-P-D-N-S")</f>
        <v>S-R-G-M-P-D-N-S</v>
      </c>
      <c r="V55" s="309" t="str">
        <f t="shared" si="10"/>
        <v>RgmDn</v>
      </c>
      <c r="W55" s="244" t="str">
        <f>IFERROR(__xludf.DUMMYFUNCTION("IF(REGEXMATCH(C55, ""S""), ""0"","""")"),"0")</f>
        <v>0</v>
      </c>
      <c r="X55" s="245" t="str">
        <f>IFERROR(__xludf.DUMMYFUNCTION("IF(REGEXMATCH(C55, ""r""), ""1"","""")"),"")</f>
        <v/>
      </c>
      <c r="Y55" s="246" t="str">
        <f>IFERROR(__xludf.DUMMYFUNCTION("IF(REGEXMATCH(C55, ""R""), ""2"","""")"),"2")</f>
        <v>2</v>
      </c>
      <c r="Z55" s="246" t="str">
        <f>IFERROR(__xludf.DUMMYFUNCTION("IF(REGEXMATCH(C55, ""g""), ""3"","""")"),"3")</f>
        <v>3</v>
      </c>
      <c r="AA55" s="245" t="str">
        <f>IFERROR(__xludf.DUMMYFUNCTION("IF(REGEXMATCH(C55, ""G""), ""4"","""")"),"")</f>
        <v/>
      </c>
      <c r="AB55" s="245" t="str">
        <f>IFERROR(__xludf.DUMMYFUNCTION("IF(REGEXMATCH(C55, ""m""), ""5"","""")"),"5")</f>
        <v>5</v>
      </c>
      <c r="AC55" s="246" t="str">
        <f>IFERROR(__xludf.DUMMYFUNCTION("IF(REGEXMATCH(C55, ""M""), ""6"","""")"),"")</f>
        <v/>
      </c>
      <c r="AD55" s="245" t="str">
        <f>IFERROR(__xludf.DUMMYFUNCTION("IF(REGEXMATCH(C55, ""P""), ""7"","""")"),"7")</f>
        <v>7</v>
      </c>
      <c r="AE55" s="246" t="str">
        <f>IFERROR(__xludf.DUMMYFUNCTION("IF(REGEXMATCH(C55, ""d""), ""8"","""")"),"")</f>
        <v/>
      </c>
      <c r="AF55" s="245" t="str">
        <f>IFERROR(__xludf.DUMMYFUNCTION("IF(REGEXMATCH(C55, ""D""), ""9"","""")"),"9")</f>
        <v>9</v>
      </c>
      <c r="AG55" s="245" t="str">
        <f>IFERROR(__xludf.DUMMYFUNCTION("IF(REGEXMATCH(C55, ""n""), ""10"","""")"),"10")</f>
        <v>10</v>
      </c>
      <c r="AH55" s="246" t="str">
        <f>IFERROR(__xludf.DUMMYFUNCTION("IF(REGEXMATCH(C55, ""N""), ""11"","""")"),"")</f>
        <v/>
      </c>
      <c r="AI55" s="249" t="str">
        <f>IFERROR(__xludf.DUMMYFUNCTION("IF(REGEXMATCH(C55, ""S""), ""0"","""")"),"0")</f>
        <v>0</v>
      </c>
      <c r="AJ55" s="313" t="str">
        <f t="shared" si="11"/>
        <v>-</v>
      </c>
      <c r="AK55" s="313" t="str">
        <f t="shared" si="12"/>
        <v>-</v>
      </c>
      <c r="AL55" s="313" t="str">
        <f t="shared" si="13"/>
        <v>-</v>
      </c>
      <c r="AM55" s="313" t="str">
        <f t="shared" si="14"/>
        <v>T</v>
      </c>
      <c r="AN55" s="313" t="str">
        <f t="shared" si="15"/>
        <v>-</v>
      </c>
      <c r="AO55" s="314" t="str">
        <f t="shared" si="16"/>
        <v>-</v>
      </c>
      <c r="AP55" s="316">
        <f t="shared" si="17"/>
        <v>1</v>
      </c>
      <c r="AQ55" s="319" t="str">
        <f t="shared" si="18"/>
        <v>-</v>
      </c>
      <c r="AR55" s="320">
        <f t="shared" si="19"/>
        <v>0</v>
      </c>
      <c r="AS55" s="250" t="str">
        <f>IFERROR(__xludf.DUMMYFUNCTION("SUBSTITUTE(SUBSTITUTE(CONCATENATE(JOIN("""",FP55:GA55)),""|"",""x""),""-"",""o"")"),"xoxxoxoxoxxo")</f>
        <v>xoxxoxoxoxxo</v>
      </c>
      <c r="AT55" s="323" t="str">
        <f>IFERROR(__xludf.DUMMYFUNCTION("JOIN("""",AS55,AS55)"),"xoxxoxoxoxxoxoxxoxoxoxxo")</f>
        <v>xoxxoxoxoxxoxoxxoxoxoxxo</v>
      </c>
      <c r="AU55" s="256" t="str">
        <f>IFERROR(__xludf.DUMMYFUNCTION("JOIN("""",ArrayFormula(MID(AS55,LEN(AS55)-SEQUENCE(1,LEN(AS55))+1,1)))"),"oxxoxoxoxxox")</f>
        <v>oxxoxoxoxxox</v>
      </c>
      <c r="AV55" s="256" t="str">
        <f>IFERROR(__xludf.DUMMYFUNCTION("LEFT(CONCATENATE(""x"",JOIN("""",ArrayFormula(MID(AS55,LEN(AS55)-SEQUENCE(1,LEN(AS55))+1,1)))),12)"),"xoxxoxoxoxxo")</f>
        <v>xoxxoxoxoxxo</v>
      </c>
      <c r="AW55" s="327" t="str">
        <f>IFERROR(__xludf.DUMMYFUNCTION("JOIN("""",AU55,AU55)"),"oxxoxoxoxxoxoxxoxoxoxxox")</f>
        <v>oxxoxoxoxxoxoxxoxoxoxxox</v>
      </c>
      <c r="AX55" s="239" t="str">
        <f>IFERROR(__xludf.DUMMYFUNCTION("IF(REGEXMATCH(AW55,AS55),""✔"",""-"")"),"✔")</f>
        <v>✔</v>
      </c>
      <c r="AY55" s="330" t="str">
        <f t="shared" si="20"/>
        <v>✔</v>
      </c>
      <c r="AZ55" s="260" t="str">
        <f t="shared" si="21"/>
        <v>#REF!</v>
      </c>
      <c r="BA55" s="333" t="str">
        <f t="shared" si="22"/>
        <v>xoxxoxo</v>
      </c>
      <c r="BB55" s="334" t="str">
        <f t="shared" si="23"/>
        <v>xoxxox</v>
      </c>
      <c r="BC55" s="335" t="str">
        <f t="shared" si="236"/>
        <v>✔</v>
      </c>
      <c r="BD55" s="336" t="str">
        <f t="shared" si="25"/>
        <v>Bhimpalasi: 'xoxxoxo' + 'xoxxox'</v>
      </c>
      <c r="BE55" s="337">
        <f>IFERROR(__xludf.DUMMYFUNCTION("COUNTUNIQUE(FILTER(AT:AT,REGEXMATCH(AT:AT,AS55)))-1"),6.0)</f>
        <v>6</v>
      </c>
      <c r="BF55" s="261" t="str">
        <f>IFERROR(__xludf.DUMMYFUNCTION("IF(BI55=0,""(n/a)"",IF(BJ55=2,""(PAIR)"",IF(REGEXMATCH(AT55,""xoxoxxoxoxox""),""Bilawal"",IF(REGEXMATCH(AT55,""xoxoxooxoxoo""),""Bhupali"",IF(REGEXMATCH(AT55,""xoxoxxoxxoxo""),""Charukeshi"",IF(REGEXMATCH(AT55,""xoxoooxxoxxo""),""Kameshwari"",IF(REGEXMATC"&amp;"H(AT55,""xoxoxooxoxox""),""Shankara"",IF(REGEXMATCH(AT55,""xxooxoxxxoox""),""Basant"",IF(REGEXMATCH(AT55,""xoxoxxxxoxox""),""Bihag"",IF(REGEXMATCH(AT55,""xoxxxxoxoxxx""),""Pilu"",IF(REGEXMATCH(AT55,""xoxxoxoxxoox""),""Kirwani"",IF(REGEXMATCH(AT55,""xoxxox"&amp;"oxoxxx""),""Mk.Malhar"",IF(REGEXMATCH(AT55,""xxooxxoxxoox""),""Bhairav"",IF(REGEXMATCH(AT55,""xxoxooxxxoox""),""Todi"",IF(REGEXMATCH(AT55,""xxooxoxooxox""),""Marwa"",IF(REGEXMATCH(AT55,""xxoooxoxxooo""),""Gunkali"",IF(REGEXMATCH(AT55,""xoxoxxoxxoox""),""N"&amp;"at Bhairav"",IF(REGEXMATCH(AT55,""xoxxoooxoxoo""),""Shivranjani"",IF(REGEXMATCH(AT55,""xooxxxoxooxo""),""Jog"",IF(REGEXMATCH(AT55,""xxooxoxoxoox""),""Hemshri"",IF(REGEXMATCH(AT55,""xoooxooxoxxo""),""Kalavati"",IF(REGEXMATCH(AT55,""xxoxoxxoxoox""),""Kedar"&amp;""",IF(REGEXMATCH(AT55,""xoxxxxoxooxx""),""Gara"",IF(REGEXMATCH(AT55,""xooxoxooxoox""),""Chandrakauns"",IF(REGEXMATCH(AT55,""xoxxxxoxxxox""),""Mand"",IF(REGEXMATCH(AT55,""xoxxxxoxoxox""),""Hanskinkini"",IF(REGEXMATCH(AT55,""xxooxxoxooxo""),""Lilavati"",IF("&amp;"REGEXMATCH(AT55,""xooxoxoooxox""),""Rajeshwari"",IF(REGEXMATCH(AT55,""xoooxxoxoxxx""),""Khokar"",IF(REGEXMATCH(AT55,""xxooxoxxxxox""),""Maligoura"",""-""))))))))))))))))))))))))))))))"),"Bilawal")</f>
        <v>Bilawal</v>
      </c>
      <c r="BG55" s="239" t="str">
        <f t="shared" si="26"/>
        <v>#REF!</v>
      </c>
      <c r="BH55" s="239">
        <f>IFERROR(__xludf.DUMMYFUNCTION("COUNTUNIQUE(FE55:FO55)-1"),6.0)</f>
        <v>6</v>
      </c>
      <c r="BI55" s="239">
        <f>IFERROR(__xludf.DUMMYFUNCTION("COUNTUNIQUE(FILTER(AT:AT,REGEXMATCH(AT:AT,AS55)))-1"),6.0)</f>
        <v>6</v>
      </c>
      <c r="BJ55" s="239">
        <f>IFERROR(__xludf.DUMMYFUNCTION("COUNTA(FILTER(AT:AT,REGEXMATCH(AT:AT,AS55)))"),48.0)</f>
        <v>48</v>
      </c>
      <c r="BK55" s="341">
        <f>IFERROR(__xludf.DUMMYFUNCTION("COUNTA(FILTER(AT:AT,REGEXMATCH(AT:AT,AS55)))-AR55"),48.0)</f>
        <v>48</v>
      </c>
      <c r="BL55" s="276" t="str">
        <f>IFERROR(__xludf.DUMMYFUNCTION("IF(AS55=""oooooooooooo"",""-"",IF(REGEXMATCH(AT55,""xx""), ""Hemi."", ""Anhemi.""))"),"Hemi.")</f>
        <v>Hemi.</v>
      </c>
      <c r="BM55" s="282" t="str">
        <f>IFERROR(__xludf.DUMMYFUNCTION("IF(AS55=""oooooooooooo"",""-"",IF(REGEXMATCH(AT55,""xxx""), ""Cohem."", ""-""))"),"-")</f>
        <v>-</v>
      </c>
      <c r="BN55" s="282" t="str">
        <f>IFERROR(__xludf.DUMMYFUNCTION("IF(AS55=""oooooooooooo"",""-"",IF(REGEXMATCH(AT55,""xxxx""), ""Co-Co."", ""-""))"),"-")</f>
        <v>-</v>
      </c>
      <c r="BO55" s="342" t="str">
        <f>IFERROR(__xludf.DUMMYFUNCTION("IF(AS55=""oooooooooooo"",""-"",IF(REGEXMATCH(AT55,""xxxxx""), ""CCC."", ""-""))"),"-")</f>
        <v>-</v>
      </c>
      <c r="BP55" s="344" t="str">
        <f t="shared" si="27"/>
        <v>Kafi</v>
      </c>
      <c r="BQ55" s="282" t="str">
        <f>IFERROR(__xludf.DUMMYFUNCTION("IF(REGEXMATCH(JOIN(""-"",EU55:FD55),""TRUE""),""✔"",""-"")"),"✔")</f>
        <v>✔</v>
      </c>
      <c r="BR55" s="225">
        <f t="shared" si="28"/>
        <v>1</v>
      </c>
      <c r="BS55" s="345" t="str">
        <f>IFERROR(__xludf.DUMMYFUNCTION("SUBSTITUTE(SUBSTITUTE(SUBSTITUTE(SUBSTITUTE(CONCATENATE(JOIN(""-"",GC55:GO55)),""--"",""-""),""--"",""-""),""--"",""-""),""--"",""-"")"),"1-2-b3-4-5-6-b7-8")</f>
        <v>1-2-b3-4-5-6-b7-8</v>
      </c>
      <c r="BT55" s="299" t="str">
        <f>IFERROR(__xludf.DUMMYFUNCTION("SUBSTITUTE(SUBSTITUTE(SUBSTITUTE(SUBSTITUTE(CONCATENATE(JOIN(""-"",GP55:HB55)),""--"",""-""),""--"",""-""),""--"",""-""),""--"",""-"")"),"S-R2-G2-M1-P-D2-N2-S")</f>
        <v>S-R2-G2-M1-P-D2-N2-S</v>
      </c>
      <c r="BU55" s="348" t="str">
        <f t="shared" si="29"/>
        <v>C-D-Eb-F-G-A-Bb-C</v>
      </c>
      <c r="BV55" s="349" t="str">
        <f t="shared" si="30"/>
        <v>SrGMdNS</v>
      </c>
      <c r="BW55" s="350">
        <f t="shared" si="31"/>
        <v>1</v>
      </c>
      <c r="BX55" s="351">
        <f t="shared" si="32"/>
        <v>9</v>
      </c>
      <c r="BY55" s="392"/>
      <c r="BZ55" s="309" t="str">
        <f>IFERROR(__xludf.DUMMYFUNCTION("IF(REGEXMATCH(C55, ""S""), ""x"",""x"")"),"x")</f>
        <v>x</v>
      </c>
      <c r="CA55" s="245" t="str">
        <f>IFERROR(__xludf.DUMMYFUNCTION("IF(REGEXMATCH(C55, ""r""), ""o"",""x"")"),"x")</f>
        <v>x</v>
      </c>
      <c r="CB55" s="246" t="str">
        <f>IFERROR(__xludf.DUMMYFUNCTION("IF(REGEXMATCH(C55, ""R""), ""o"",""x"")"),"o")</f>
        <v>o</v>
      </c>
      <c r="CC55" s="246" t="str">
        <f>IFERROR(__xludf.DUMMYFUNCTION("IF(REGEXMATCH(C55, ""g""), ""o"",""x"")"),"o")</f>
        <v>o</v>
      </c>
      <c r="CD55" s="245" t="str">
        <f>IFERROR(__xludf.DUMMYFUNCTION("IF(REGEXMATCH(C55, ""G""), ""o"",""x"")"),"x")</f>
        <v>x</v>
      </c>
      <c r="CE55" s="245" t="str">
        <f>IFERROR(__xludf.DUMMYFUNCTION("IF(REGEXMATCH(C55, ""m""), ""o"",""x"")"),"o")</f>
        <v>o</v>
      </c>
      <c r="CF55" s="246" t="str">
        <f>IFERROR(__xludf.DUMMYFUNCTION("IF(REGEXMATCH(C55, ""M""), ""o"",""x"")"),"x")</f>
        <v>x</v>
      </c>
      <c r="CG55" s="245" t="str">
        <f>IFERROR(__xludf.DUMMYFUNCTION("IF(REGEXMATCH(C55, ""P""), ""o"",""x"")"),"o")</f>
        <v>o</v>
      </c>
      <c r="CH55" s="246" t="str">
        <f>IFERROR(__xludf.DUMMYFUNCTION("IF(REGEXMATCH(C55, ""d""), ""o"",""x"")"),"x")</f>
        <v>x</v>
      </c>
      <c r="CI55" s="245" t="str">
        <f>IFERROR(__xludf.DUMMYFUNCTION("IF(REGEXMATCH(C55, ""D""), ""o"",""x"")"),"o")</f>
        <v>o</v>
      </c>
      <c r="CJ55" s="245" t="str">
        <f>IFERROR(__xludf.DUMMYFUNCTION("IF(REGEXMATCH(C55, ""n""), ""o"",""x"")"),"o")</f>
        <v>o</v>
      </c>
      <c r="CK55" s="245" t="str">
        <f>IFERROR(__xludf.DUMMYFUNCTION("IF(REGEXMATCH(C55, ""N""), ""o"",""x"")"),"x")</f>
        <v>x</v>
      </c>
      <c r="CL55" s="356" t="str">
        <f>IFERROR(__xludf.DUMMYFUNCTION("IF(REGEXMATCH(C55, ""S""), ""x"",""x"")"),"x")</f>
        <v>x</v>
      </c>
      <c r="CM55" s="357" t="str">
        <f t="shared" si="33"/>
        <v>xxooxoxoxoox</v>
      </c>
      <c r="CN55" s="358">
        <f t="shared" si="34"/>
        <v>1</v>
      </c>
      <c r="CO55" s="246" t="str">
        <f>IFERROR(__xludf.DUMMYFUNCTION("IF(REGEXMATCH($C55, ""S""), ""S"",""S"")"),"S")</f>
        <v>S</v>
      </c>
      <c r="CP55" s="246" t="str">
        <f>IFERROR(__xludf.DUMMYFUNCTION("IF(REGEXMATCH($C55, ""r""), """",""r"")"),"r")</f>
        <v>r</v>
      </c>
      <c r="CQ55" s="246" t="str">
        <f>IFERROR(__xludf.DUMMYFUNCTION("IF(REGEXMATCH($C55, ""R""), """",""R"")"),"")</f>
        <v/>
      </c>
      <c r="CR55" s="246" t="str">
        <f>IFERROR(__xludf.DUMMYFUNCTION("IF(REGEXMATCH($C55, ""g""), """",""g"")"),"")</f>
        <v/>
      </c>
      <c r="CS55" s="246" t="str">
        <f>IFERROR(__xludf.DUMMYFUNCTION("IF(REGEXMATCH($C55, ""G""), """",""G"")"),"G")</f>
        <v>G</v>
      </c>
      <c r="CT55" s="246" t="str">
        <f>IFERROR(__xludf.DUMMYFUNCTION("IF(REGEXMATCH($C55, ""m""), """",""m"")"),"")</f>
        <v/>
      </c>
      <c r="CU55" s="246" t="str">
        <f>IFERROR(__xludf.DUMMYFUNCTION("IF(REGEXMATCH($C55, ""M""), """",""M"")"),"M")</f>
        <v>M</v>
      </c>
      <c r="CV55" s="246" t="str">
        <f>IFERROR(__xludf.DUMMYFUNCTION("IF(REGEXMATCH($C55, ""P""), """",""P"")"),"")</f>
        <v/>
      </c>
      <c r="CW55" s="246" t="str">
        <f>IFERROR(__xludf.DUMMYFUNCTION("IF(REGEXMATCH($C55, ""d""), """",""d"")"),"d")</f>
        <v>d</v>
      </c>
      <c r="CX55" s="246" t="str">
        <f>IFERROR(__xludf.DUMMYFUNCTION("IF(REGEXMATCH($C55, ""D""), """",""D"")"),"")</f>
        <v/>
      </c>
      <c r="CY55" s="246" t="str">
        <f>IFERROR(__xludf.DUMMYFUNCTION("IF(REGEXMATCH($C55, ""n""), """",""n"")"),"")</f>
        <v/>
      </c>
      <c r="CZ55" s="246" t="str">
        <f>IFERROR(__xludf.DUMMYFUNCTION("IF(REGEXMATCH($C55, ""N""), """",""N"")"),"N")</f>
        <v>N</v>
      </c>
      <c r="DA55" s="246" t="str">
        <f>IFERROR(__xludf.DUMMYFUNCTION("IF(REGEXMATCH($C55, ""S""), ""S"",""S"")"),"S")</f>
        <v>S</v>
      </c>
      <c r="DB55" s="362" t="str">
        <f>IFERROR(__xludf.DUMMYFUNCTION("JOIN("""",CO55:DA55,"""","""")"),"SrGMdNS")</f>
        <v>SrGMdNS</v>
      </c>
      <c r="DC55" s="363"/>
      <c r="DD55" s="301" t="str">
        <f t="shared" si="35"/>
        <v>#REF!</v>
      </c>
      <c r="DE55" s="302" t="str">
        <f t="shared" si="36"/>
        <v>#REF!</v>
      </c>
      <c r="DF55" s="301" t="str">
        <f t="shared" ref="DF55:DG55" si="304">SUBSTITUTE(S55,"-","")</f>
        <v>SRGM</v>
      </c>
      <c r="DG55" s="301" t="str">
        <f t="shared" si="304"/>
        <v>PDNS</v>
      </c>
      <c r="DH55" s="302" t="str">
        <f t="shared" si="38"/>
        <v>Bilawal</v>
      </c>
      <c r="DI55" s="301" t="str">
        <f t="shared" si="39"/>
        <v>Hemi.</v>
      </c>
      <c r="DJ55" s="364" t="str">
        <f t="shared" si="40"/>
        <v>-</v>
      </c>
      <c r="DK55" s="306" t="str">
        <f t="shared" si="41"/>
        <v>Kafi</v>
      </c>
      <c r="DL55" s="366" t="str">
        <f t="shared" si="42"/>
        <v>-</v>
      </c>
      <c r="DM55" s="308" t="str">
        <f t="shared" si="43"/>
        <v>-</v>
      </c>
      <c r="DN55" s="306" t="str">
        <f t="shared" si="44"/>
        <v>-</v>
      </c>
      <c r="DO55" s="306" t="str">
        <f t="shared" si="45"/>
        <v>-</v>
      </c>
      <c r="DP55" s="367" t="str">
        <f t="shared" si="46"/>
        <v>-</v>
      </c>
      <c r="DQ55" s="310" t="str">
        <f t="shared" si="47"/>
        <v>-</v>
      </c>
      <c r="DR55" s="310" t="str">
        <f t="shared" si="48"/>
        <v>-</v>
      </c>
      <c r="DS55" s="310" t="str">
        <f t="shared" si="49"/>
        <v>-</v>
      </c>
      <c r="DT55" s="310" t="str">
        <f t="shared" si="50"/>
        <v>-</v>
      </c>
      <c r="DU55" s="370" t="str">
        <f t="shared" si="51"/>
        <v>-</v>
      </c>
      <c r="DV55" s="306" t="str">
        <f t="shared" si="52"/>
        <v>-</v>
      </c>
      <c r="DW55" s="306" t="str">
        <f t="shared" si="53"/>
        <v>-</v>
      </c>
      <c r="DX55" s="306" t="str">
        <f t="shared" si="54"/>
        <v>-</v>
      </c>
      <c r="DY55" s="306" t="str">
        <f t="shared" si="55"/>
        <v>-</v>
      </c>
      <c r="DZ55" s="306" t="str">
        <f t="shared" si="56"/>
        <v>-</v>
      </c>
      <c r="EA55" s="367" t="str">
        <f t="shared" si="57"/>
        <v>-</v>
      </c>
      <c r="EB55" s="310" t="str">
        <f>IFERROR(__xludf.DUMMYFUNCTION("IF(REGEXMATCH(AW55,AS55),""✔"",""-"")"),"✔")</f>
        <v>✔</v>
      </c>
      <c r="EC55" s="310" t="str">
        <f t="shared" si="58"/>
        <v>#REF!</v>
      </c>
      <c r="ED55" s="370" t="str">
        <f t="shared" si="59"/>
        <v>✔</v>
      </c>
      <c r="EE55" s="340" t="str">
        <f t="shared" si="60"/>
        <v>S-R-g-m-P-D-n-S</v>
      </c>
      <c r="EF55" s="371" t="str">
        <f>IFERROR(__xludf.DUMMYFUNCTION("CONCATENATE(JOIN("""",HC55:HO55))"),"SRgmPDnS")</f>
        <v>SRgmPDnS</v>
      </c>
      <c r="EG55" s="372">
        <f t="shared" si="61"/>
        <v>1</v>
      </c>
      <c r="EH55" s="373" t="str">
        <f>IFERROR(__xludf.DUMMYFUNCTION("CONCATENATE(JOIN("""",JC55:JO55))"),"Dha, ")</f>
        <v>Dha, </v>
      </c>
      <c r="EI55" s="322">
        <f t="shared" si="62"/>
        <v>0</v>
      </c>
      <c r="EJ55" s="374" t="str">
        <f>IFERROR(__xludf.DUMMYFUNCTION("CONCATENATE(JOIN("""",KC55:KO55))"),"")</f>
        <v/>
      </c>
      <c r="EK55" s="325" t="str">
        <f t="shared" si="63"/>
        <v>S-R2-G2-M1-P-D2-N2-S</v>
      </c>
      <c r="EL55" s="326" t="str">
        <f t="shared" si="64"/>
        <v>1-2-b3-4-5-6-b7-8</v>
      </c>
      <c r="EM55" s="318" t="str">
        <f t="shared" si="65"/>
        <v>#REF!</v>
      </c>
      <c r="EN55" s="328" t="str">
        <f>IFERROR(__xludf.DUMMYFUNCTION("SUBSTITUTE(SUBSTITUTE(SUBSTITUTE(SUBSTITUTE(CONCATENATE(JOIN("" "",HP55:IB55)),""  "","" ""),""  "","" ""),""  "","" ""),""  "","" "")"),"o • o o • o • o • o o • o")</f>
        <v>o • o o • o • o • o o • o</v>
      </c>
      <c r="EO55" s="368" t="str">
        <f t="shared" si="66"/>
        <v>-</v>
      </c>
      <c r="EP55" s="339" t="str">
        <f t="shared" si="67"/>
        <v>-</v>
      </c>
      <c r="EQ55" s="339" t="str">
        <f t="shared" si="68"/>
        <v>Sa-Pa</v>
      </c>
      <c r="ER55" s="339" t="str">
        <f t="shared" si="69"/>
        <v>-</v>
      </c>
      <c r="ES55" s="340" t="str">
        <f t="shared" si="70"/>
        <v>-</v>
      </c>
      <c r="ET55" s="363"/>
      <c r="EU55" s="376" t="b">
        <f>IFERROR(__xludf.DUMMYFUNCTION("arrayformula(sum(--REGEXMATCH(""SRGMPDNS"",split(REGEXREPLACE(C55,""(.)"",""$1~""),""~""))))=len(C55)
"),FALSE)</f>
        <v>0</v>
      </c>
      <c r="EV55" s="290" t="b">
        <f>IFERROR(__xludf.DUMMYFUNCTION("arrayformula(sum(--REGEXMATCH(""SRGmPDNS"",split(REGEXREPLACE(C55,""(.)"",""$1~""),""~""))))=len(C55)"),FALSE)</f>
        <v>0</v>
      </c>
      <c r="EW55" s="290" t="b">
        <f>IFERROR(__xludf.DUMMYFUNCTION("arrayformula(sum(--REGEXMATCH(""SRGmPDnS"",split(REGEXREPLACE(C55,""(.)"",""$1~""),""~""))))=len(C55)"),FALSE)</f>
        <v>0</v>
      </c>
      <c r="EX55" s="290" t="b">
        <f>IFERROR(__xludf.DUMMYFUNCTION("arrayformula(sum(--REGEXMATCH(""SRgmPDnS"",split(REGEXREPLACE(C55,""(.)"",""$1~""),""~""))))=len(C55)"),TRUE)</f>
        <v>1</v>
      </c>
      <c r="EY55" s="290" t="b">
        <f>IFERROR(__xludf.DUMMYFUNCTION("arrayformula(sum(--REGEXMATCH(""SRgmPdnS"",split(REGEXREPLACE(C55,""(.)"",""$1~""),""~""))))=len(C55)"),FALSE)</f>
        <v>0</v>
      </c>
      <c r="EZ55" s="290" t="b">
        <f>IFERROR(__xludf.DUMMYFUNCTION("arrayformula(sum(--REGEXMATCH(""SrgmPdnS"",split(REGEXREPLACE(C55,""(.)"",""$1~""),""~""))))=len(C55)"),FALSE)</f>
        <v>0</v>
      </c>
      <c r="FA55" s="290" t="b">
        <f>IFERROR(__xludf.DUMMYFUNCTION("arrayformula(sum(--REGEXMATCH(""SrGmPdNS"",split(REGEXREPLACE(C55,""(.)"",""$1~""),""~""))))=len(C55)"),FALSE)</f>
        <v>0</v>
      </c>
      <c r="FB55" s="290" t="b">
        <f>IFERROR(__xludf.DUMMYFUNCTION("arrayformula(sum(--REGEXMATCH(""SrGMPDNS"",split(REGEXREPLACE(C55,""(.)"",""$1~""),""~""))))=len(C55)"),FALSE)</f>
        <v>0</v>
      </c>
      <c r="FC55" s="290" t="b">
        <f>IFERROR(__xludf.DUMMYFUNCTION("arrayformula(sum(--REGEXMATCH(""SrGMPdNS"",split(REGEXREPLACE(C55,""(.)"",""$1~""),""~""))))=len(C55)"),FALSE)</f>
        <v>0</v>
      </c>
      <c r="FD55" s="377" t="b">
        <f>IFERROR(__xludf.DUMMYFUNCTION("arrayformula(sum(--REGEXMATCH(""SrgMPdNS"",split(REGEXREPLACE(C55,""(.)"",""$1~""),""~""))))=len(C55)"),FALSE)</f>
        <v>0</v>
      </c>
      <c r="FE55" s="269" t="str">
        <f t="shared" si="71"/>
        <v>-</v>
      </c>
      <c r="FF55" s="269" t="str">
        <f t="shared" si="72"/>
        <v>xxoxoxoxxox</v>
      </c>
      <c r="FG55" s="271" t="str">
        <f t="shared" si="73"/>
        <v>xoxoxoxxoxo</v>
      </c>
      <c r="FH55" s="269" t="str">
        <f t="shared" si="74"/>
        <v>-</v>
      </c>
      <c r="FI55" s="271" t="str">
        <f t="shared" si="75"/>
        <v>xoxoxxoxoxx</v>
      </c>
      <c r="FJ55" s="271" t="str">
        <f t="shared" si="76"/>
        <v>-</v>
      </c>
      <c r="FK55" s="271" t="str">
        <f t="shared" si="77"/>
        <v>xoxxoxoxxox</v>
      </c>
      <c r="FL55" s="271" t="str">
        <f t="shared" si="78"/>
        <v>-</v>
      </c>
      <c r="FM55" s="271" t="str">
        <f t="shared" si="79"/>
        <v>xxoxoxxoxox</v>
      </c>
      <c r="FN55" s="271" t="str">
        <f t="shared" si="80"/>
        <v>xoxoxxoxoxo</v>
      </c>
      <c r="FO55" s="274" t="str">
        <f t="shared" si="81"/>
        <v>-</v>
      </c>
      <c r="FP55" s="234" t="str">
        <f t="shared" si="82"/>
        <v>|</v>
      </c>
      <c r="FQ55" s="236" t="str">
        <f t="shared" si="83"/>
        <v>-</v>
      </c>
      <c r="FR55" s="237" t="str">
        <f t="shared" si="84"/>
        <v>|</v>
      </c>
      <c r="FS55" s="236" t="str">
        <f t="shared" si="85"/>
        <v>|</v>
      </c>
      <c r="FT55" s="237" t="str">
        <f t="shared" si="86"/>
        <v>-</v>
      </c>
      <c r="FU55" s="236" t="str">
        <f t="shared" si="87"/>
        <v>|</v>
      </c>
      <c r="FV55" s="237" t="str">
        <f t="shared" si="88"/>
        <v>-</v>
      </c>
      <c r="FW55" s="236" t="str">
        <f t="shared" si="89"/>
        <v>|</v>
      </c>
      <c r="FX55" s="237" t="str">
        <f t="shared" si="90"/>
        <v>-</v>
      </c>
      <c r="FY55" s="236" t="str">
        <f t="shared" si="91"/>
        <v>|</v>
      </c>
      <c r="FZ55" s="237" t="str">
        <f t="shared" si="92"/>
        <v>|</v>
      </c>
      <c r="GA55" s="236" t="str">
        <f t="shared" si="93"/>
        <v>-</v>
      </c>
      <c r="GB55" s="238" t="str">
        <f t="shared" si="94"/>
        <v>|</v>
      </c>
      <c r="GC55" s="244" t="str">
        <f>IFERROR(__xludf.DUMMYFUNCTION("IF(REGEXMATCH(C55, ""S""), ""1"","""")"),"1")</f>
        <v>1</v>
      </c>
      <c r="GD55" s="245" t="str">
        <f>IFERROR(__xludf.DUMMYFUNCTION("IF(REGEXMATCH(C55, ""r""), ""b2"","""")"),"")</f>
        <v/>
      </c>
      <c r="GE55" s="246" t="str">
        <f>IFERROR(__xludf.DUMMYFUNCTION("IF(REGEXMATCH(C55, ""R""), ""2"","""")"),"2")</f>
        <v>2</v>
      </c>
      <c r="GF55" s="246" t="str">
        <f>IFERROR(__xludf.DUMMYFUNCTION("IF(REGEXMATCH(C55, ""g""), ""b3"","""")"),"b3")</f>
        <v>b3</v>
      </c>
      <c r="GG55" s="245" t="str">
        <f>IFERROR(__xludf.DUMMYFUNCTION("IF(REGEXMATCH(C55, ""G""), ""3"","""")"),"")</f>
        <v/>
      </c>
      <c r="GH55" s="245" t="str">
        <f>IFERROR(__xludf.DUMMYFUNCTION("IF(REGEXMATCH(C55, ""m""), ""4"","""")"),"4")</f>
        <v>4</v>
      </c>
      <c r="GI55" s="246" t="str">
        <f>IFERROR(__xludf.DUMMYFUNCTION("IF(REGEXMATCH(C55, ""M""), ""#4"","""")"),"")</f>
        <v/>
      </c>
      <c r="GJ55" s="245" t="str">
        <f>IFERROR(__xludf.DUMMYFUNCTION("IF(REGEXMATCH(C55, ""P""), ""5"","""")"),"5")</f>
        <v>5</v>
      </c>
      <c r="GK55" s="246" t="str">
        <f>IFERROR(__xludf.DUMMYFUNCTION("IF(REGEXMATCH(C55, ""d""), ""b6"","""")"),"")</f>
        <v/>
      </c>
      <c r="GL55" s="245" t="str">
        <f>IFERROR(__xludf.DUMMYFUNCTION("IF(REGEXMATCH(C55, ""D""), ""6"","""")"),"6")</f>
        <v>6</v>
      </c>
      <c r="GM55" s="245" t="str">
        <f>IFERROR(__xludf.DUMMYFUNCTION("IF(REGEXMATCH(C55, ""n""), ""b7"","""")"),"b7")</f>
        <v>b7</v>
      </c>
      <c r="GN55" s="246" t="str">
        <f>IFERROR(__xludf.DUMMYFUNCTION("IF(REGEXMATCH(C55, ""N""), ""7"","""")"),"")</f>
        <v/>
      </c>
      <c r="GO55" s="249" t="str">
        <f>IFERROR(__xludf.DUMMYFUNCTION("IF(REGEXMATCH(C55, ""S""), ""8"","""")"),"8")</f>
        <v>8</v>
      </c>
      <c r="GP55" s="244" t="str">
        <f>IFERROR(__xludf.DUMMYFUNCTION("IF(REGEXMATCH(C55, ""S""), ""S"","""")"),"S")</f>
        <v>S</v>
      </c>
      <c r="GQ55" s="294" t="str">
        <f>IFERROR(__xludf.DUMMYFUNCTION("IF(REGEXMATCH(C55, ""r""), ""R1"","""")"),"")</f>
        <v/>
      </c>
      <c r="GR55" s="295" t="str">
        <f>IFERROR(__xludf.DUMMYFUNCTION("IF(REGEXMATCH(C55, ""R""), ""R2"","""")"),"R2")</f>
        <v>R2</v>
      </c>
      <c r="GS55" s="295" t="str">
        <f>IFERROR(__xludf.DUMMYFUNCTION("IF(REGEXMATCH(C55, ""g""), ""G2"","""")"),"G2")</f>
        <v>G2</v>
      </c>
      <c r="GT55" s="294" t="str">
        <f>IFERROR(__xludf.DUMMYFUNCTION("IF(REGEXMATCH(C55, ""G""), ""G3"","""")"),"")</f>
        <v/>
      </c>
      <c r="GU55" s="294" t="str">
        <f>IFERROR(__xludf.DUMMYFUNCTION("IF(REGEXMATCH(C55, ""m""), ""M1"","""")"),"M1")</f>
        <v>M1</v>
      </c>
      <c r="GV55" s="295" t="str">
        <f>IFERROR(__xludf.DUMMYFUNCTION("IF(REGEXMATCH(C55, ""M""), ""M2"","""")"),"")</f>
        <v/>
      </c>
      <c r="GW55" s="294" t="str">
        <f>IFERROR(__xludf.DUMMYFUNCTION("IF(REGEXMATCH(C55, ""P""), ""P"","""")"),"P")</f>
        <v>P</v>
      </c>
      <c r="GX55" s="295" t="str">
        <f>IFERROR(__xludf.DUMMYFUNCTION("IF(REGEXMATCH(C55, ""d""), ""D1"","""")"),"")</f>
        <v/>
      </c>
      <c r="GY55" s="294" t="str">
        <f>IFERROR(__xludf.DUMMYFUNCTION("IF(REGEXMATCH(C55, ""D""), ""D2"","""")"),"D2")</f>
        <v>D2</v>
      </c>
      <c r="GZ55" s="294" t="str">
        <f>IFERROR(__xludf.DUMMYFUNCTION("IF(REGEXMATCH(C55, ""n""), ""N2"","""")"),"N2")</f>
        <v>N2</v>
      </c>
      <c r="HA55" s="295" t="str">
        <f>IFERROR(__xludf.DUMMYFUNCTION("IF(REGEXMATCH(C55, ""N""), ""N3"","""")"),"")</f>
        <v/>
      </c>
      <c r="HB55" s="249" t="str">
        <f>IFERROR(__xludf.DUMMYFUNCTION("IF(REGEXMATCH(C55, ""S""), ""S"","""")"),"S")</f>
        <v>S</v>
      </c>
      <c r="HC55" s="331" t="str">
        <f t="shared" si="95"/>
        <v>S</v>
      </c>
      <c r="HD55" s="332" t="str">
        <f t="shared" si="96"/>
        <v/>
      </c>
      <c r="HE55" s="332" t="str">
        <f t="shared" si="97"/>
        <v>R</v>
      </c>
      <c r="HF55" s="332" t="str">
        <f t="shared" si="98"/>
        <v>g</v>
      </c>
      <c r="HG55" s="332" t="str">
        <f t="shared" si="99"/>
        <v/>
      </c>
      <c r="HH55" s="332" t="str">
        <f t="shared" si="100"/>
        <v>m</v>
      </c>
      <c r="HI55" s="332" t="str">
        <f t="shared" si="101"/>
        <v/>
      </c>
      <c r="HJ55" s="332" t="str">
        <f t="shared" si="102"/>
        <v>P</v>
      </c>
      <c r="HK55" s="332" t="str">
        <f t="shared" si="103"/>
        <v/>
      </c>
      <c r="HL55" s="332" t="str">
        <f t="shared" si="104"/>
        <v>D</v>
      </c>
      <c r="HM55" s="332" t="str">
        <f t="shared" si="105"/>
        <v>n</v>
      </c>
      <c r="HN55" s="332" t="str">
        <f t="shared" si="106"/>
        <v/>
      </c>
      <c r="HO55" s="343" t="str">
        <f t="shared" si="107"/>
        <v>S</v>
      </c>
      <c r="HP55" s="331" t="str">
        <f t="shared" si="108"/>
        <v>o</v>
      </c>
      <c r="HQ55" s="332" t="str">
        <f t="shared" si="109"/>
        <v>•</v>
      </c>
      <c r="HR55" s="332" t="str">
        <f t="shared" si="110"/>
        <v>o</v>
      </c>
      <c r="HS55" s="332" t="str">
        <f t="shared" si="111"/>
        <v>o</v>
      </c>
      <c r="HT55" s="332" t="str">
        <f t="shared" si="112"/>
        <v>•</v>
      </c>
      <c r="HU55" s="332" t="str">
        <f t="shared" si="113"/>
        <v>o</v>
      </c>
      <c r="HV55" s="332" t="str">
        <f t="shared" si="114"/>
        <v>•</v>
      </c>
      <c r="HW55" s="332" t="str">
        <f t="shared" si="115"/>
        <v>o</v>
      </c>
      <c r="HX55" s="332" t="str">
        <f t="shared" si="116"/>
        <v>•</v>
      </c>
      <c r="HY55" s="332" t="str">
        <f t="shared" si="117"/>
        <v>o</v>
      </c>
      <c r="HZ55" s="332" t="str">
        <f t="shared" si="118"/>
        <v>o</v>
      </c>
      <c r="IA55" s="332" t="str">
        <f t="shared" si="119"/>
        <v>•</v>
      </c>
      <c r="IB55" s="338" t="str">
        <f t="shared" si="120"/>
        <v>o</v>
      </c>
      <c r="IC55" s="331" t="str">
        <f t="shared" si="121"/>
        <v>•</v>
      </c>
      <c r="ID55" s="332" t="str">
        <f t="shared" si="122"/>
        <v>o</v>
      </c>
      <c r="IE55" s="332" t="str">
        <f t="shared" si="123"/>
        <v>•</v>
      </c>
      <c r="IF55" s="332" t="str">
        <f t="shared" si="124"/>
        <v>•</v>
      </c>
      <c r="IG55" s="332" t="str">
        <f t="shared" si="125"/>
        <v>o</v>
      </c>
      <c r="IH55" s="332" t="str">
        <f t="shared" si="126"/>
        <v>•</v>
      </c>
      <c r="II55" s="332" t="str">
        <f t="shared" si="127"/>
        <v>o</v>
      </c>
      <c r="IJ55" s="332" t="str">
        <f t="shared" si="128"/>
        <v>•</v>
      </c>
      <c r="IK55" s="332" t="str">
        <f t="shared" si="129"/>
        <v>o</v>
      </c>
      <c r="IL55" s="332" t="str">
        <f t="shared" si="130"/>
        <v>•</v>
      </c>
      <c r="IM55" s="332" t="str">
        <f t="shared" si="131"/>
        <v>•</v>
      </c>
      <c r="IN55" s="332" t="str">
        <f t="shared" si="132"/>
        <v>o</v>
      </c>
      <c r="IO55" s="338" t="str">
        <f t="shared" si="133"/>
        <v>•</v>
      </c>
      <c r="IP55" s="346" t="b">
        <f t="shared" si="134"/>
        <v>0</v>
      </c>
      <c r="IQ55" s="347" t="b">
        <f t="shared" si="135"/>
        <v>0</v>
      </c>
      <c r="IR55" s="347" t="b">
        <f t="shared" si="136"/>
        <v>0</v>
      </c>
      <c r="IS55" s="347" t="b">
        <f t="shared" si="137"/>
        <v>0</v>
      </c>
      <c r="IT55" s="347" t="b">
        <f t="shared" si="138"/>
        <v>0</v>
      </c>
      <c r="IU55" s="347" t="b">
        <f t="shared" si="139"/>
        <v>0</v>
      </c>
      <c r="IV55" s="347" t="b">
        <f t="shared" si="140"/>
        <v>0</v>
      </c>
      <c r="IW55" s="347" t="b">
        <f t="shared" si="141"/>
        <v>0</v>
      </c>
      <c r="IX55" s="347" t="b">
        <f t="shared" si="142"/>
        <v>0</v>
      </c>
      <c r="IY55" s="347" t="b">
        <f t="shared" si="143"/>
        <v>1</v>
      </c>
      <c r="IZ55" s="347" t="b">
        <f t="shared" si="144"/>
        <v>0</v>
      </c>
      <c r="JA55" s="347" t="b">
        <f t="shared" si="145"/>
        <v>0</v>
      </c>
      <c r="JB55" s="353" t="b">
        <f t="shared" si="146"/>
        <v>0</v>
      </c>
      <c r="JC55" s="354" t="str">
        <f t="shared" si="147"/>
        <v/>
      </c>
      <c r="JD55" s="355" t="str">
        <f t="shared" si="148"/>
        <v/>
      </c>
      <c r="JE55" s="355" t="str">
        <f t="shared" si="149"/>
        <v/>
      </c>
      <c r="JF55" s="355" t="str">
        <f t="shared" si="150"/>
        <v/>
      </c>
      <c r="JG55" s="355" t="str">
        <f t="shared" si="151"/>
        <v/>
      </c>
      <c r="JH55" s="355" t="str">
        <f t="shared" si="152"/>
        <v/>
      </c>
      <c r="JI55" s="355" t="str">
        <f t="shared" si="153"/>
        <v/>
      </c>
      <c r="JJ55" s="355" t="str">
        <f t="shared" si="154"/>
        <v/>
      </c>
      <c r="JK55" s="355" t="str">
        <f t="shared" si="155"/>
        <v/>
      </c>
      <c r="JL55" s="355" t="str">
        <f t="shared" si="156"/>
        <v>Dha, </v>
      </c>
      <c r="JM55" s="355" t="str">
        <f t="shared" si="157"/>
        <v/>
      </c>
      <c r="JN55" s="355" t="str">
        <f t="shared" si="158"/>
        <v/>
      </c>
      <c r="JO55" s="359" t="str">
        <f t="shared" si="159"/>
        <v/>
      </c>
      <c r="JP55" s="346" t="b">
        <f t="shared" si="160"/>
        <v>0</v>
      </c>
      <c r="JQ55" s="347" t="b">
        <f t="shared" si="161"/>
        <v>0</v>
      </c>
      <c r="JR55" s="347" t="b">
        <f t="shared" si="162"/>
        <v>0</v>
      </c>
      <c r="JS55" s="347" t="b">
        <f t="shared" si="163"/>
        <v>0</v>
      </c>
      <c r="JT55" s="347" t="b">
        <f t="shared" si="164"/>
        <v>0</v>
      </c>
      <c r="JU55" s="347" t="b">
        <f t="shared" si="165"/>
        <v>0</v>
      </c>
      <c r="JV55" s="347" t="b">
        <f t="shared" si="166"/>
        <v>0</v>
      </c>
      <c r="JW55" s="347" t="b">
        <f t="shared" si="167"/>
        <v>0</v>
      </c>
      <c r="JX55" s="347" t="b">
        <f t="shared" si="168"/>
        <v>0</v>
      </c>
      <c r="JY55" s="347" t="b">
        <f t="shared" si="169"/>
        <v>0</v>
      </c>
      <c r="JZ55" s="347" t="b">
        <f t="shared" si="170"/>
        <v>0</v>
      </c>
      <c r="KA55" s="347" t="b">
        <f t="shared" si="171"/>
        <v>0</v>
      </c>
      <c r="KB55" s="365" t="b">
        <f t="shared" si="172"/>
        <v>0</v>
      </c>
      <c r="KC55" s="354" t="str">
        <f t="shared" si="173"/>
        <v/>
      </c>
      <c r="KD55" s="355" t="str">
        <f t="shared" si="174"/>
        <v/>
      </c>
      <c r="KE55" s="355" t="str">
        <f t="shared" si="175"/>
        <v/>
      </c>
      <c r="KF55" s="355" t="str">
        <f t="shared" si="176"/>
        <v/>
      </c>
      <c r="KG55" s="355" t="str">
        <f t="shared" si="177"/>
        <v/>
      </c>
      <c r="KH55" s="355" t="str">
        <f t="shared" si="178"/>
        <v/>
      </c>
      <c r="KI55" s="355" t="str">
        <f t="shared" si="179"/>
        <v/>
      </c>
      <c r="KJ55" s="355" t="str">
        <f t="shared" si="180"/>
        <v/>
      </c>
      <c r="KK55" s="355" t="str">
        <f t="shared" si="181"/>
        <v/>
      </c>
      <c r="KL55" s="355" t="str">
        <f t="shared" si="182"/>
        <v/>
      </c>
      <c r="KM55" s="355" t="str">
        <f t="shared" si="183"/>
        <v/>
      </c>
      <c r="KN55" s="355" t="str">
        <f t="shared" si="184"/>
        <v/>
      </c>
      <c r="KO55" s="359"/>
      <c r="KP55" s="378"/>
      <c r="KQ55" s="379" t="s">
        <v>710</v>
      </c>
      <c r="KR55" s="380" t="s">
        <v>1297</v>
      </c>
      <c r="KS55" s="381" t="str">
        <f t="shared" si="305"/>
        <v>S-g-m-P-n-S</v>
      </c>
      <c r="KT55" s="382">
        <f t="shared" si="186"/>
        <v>5</v>
      </c>
      <c r="KU55" s="383">
        <f t="shared" si="187"/>
        <v>5</v>
      </c>
      <c r="KV55" s="381" t="str">
        <f t="shared" si="205"/>
        <v>S-n-D-P-m-g-R-S</v>
      </c>
      <c r="KW55" s="382">
        <f t="shared" si="189"/>
        <v>7</v>
      </c>
      <c r="KX55" s="384">
        <f t="shared" si="190"/>
        <v>7</v>
      </c>
      <c r="KY55" s="382">
        <f t="shared" ref="KY55:KZ55" si="306">KW55-KT55</f>
        <v>2</v>
      </c>
      <c r="KZ55" s="369">
        <f t="shared" si="306"/>
        <v>2</v>
      </c>
      <c r="LA55" s="385" t="str">
        <f t="shared" si="192"/>
        <v>-</v>
      </c>
      <c r="LB55" s="340" t="str">
        <f>IFERROR(__xludf.DUMMYFUNCTION("JOIN("""",ArrayFormula(MID(KS55,LEN(KS55)-SEQUENCE(1,LEN(KS55))+1,1)))"),"S-n-P-m-g-S")</f>
        <v>S-n-P-m-g-S</v>
      </c>
      <c r="LC55" s="373" t="str">
        <f>IFERROR(__xludf.DUMMYFUNCTION("JOIN("""",ArrayFormula(MID(KV55,LEN(KV55)-SEQUENCE(1,LEN(KV55))+1,1)))"),"S-R-g-m-P-D-n-S")</f>
        <v>S-R-g-m-P-D-n-S</v>
      </c>
      <c r="LD55" s="373" t="str">
        <f t="shared" si="193"/>
        <v>SgmPnS</v>
      </c>
      <c r="LE55" s="339" t="str">
        <f t="shared" si="194"/>
        <v>SRgmPDnS</v>
      </c>
      <c r="LF55" s="386" t="str">
        <f>IFERROR(__xludf.DUMMYFUNCTION("SUBSTITUTE(SUBSTITUTE(CONCATENATE(JOIN("""",LH55:LT55)),""1"",""""),""2"","""")"),"SRgmPDnS")</f>
        <v>SRgmPDnS</v>
      </c>
      <c r="LG55" s="369" t="str">
        <f t="shared" si="195"/>
        <v>✔</v>
      </c>
      <c r="LH55" s="387" t="str">
        <f>IFERROR(__xludf.DUMMYFUNCTION("IF(REGEXMATCH(LD55, ""S""), ""S"",IF(REGEXMATCH(LE55, ""S""), ""S"",""""))"),"S")</f>
        <v>S</v>
      </c>
      <c r="LI55" s="299" t="str">
        <f>IFERROR(__xludf.DUMMYFUNCTION("IF(REGEXMATCH(LD55, ""r""), ""r1"",IF(REGEXMATCH(LE55, ""r""), ""r2"",""""))"),"")</f>
        <v/>
      </c>
      <c r="LJ55" s="299" t="str">
        <f>IFERROR(__xludf.DUMMYFUNCTION("IF(REGEXMATCH(LD55, ""R""), ""R1"",IF(REGEXMATCH(LE55, ""R""), ""R2"",""""))"),"R2")</f>
        <v>R2</v>
      </c>
      <c r="LK55" s="299" t="str">
        <f>IFERROR(__xludf.DUMMYFUNCTION("IF(REGEXMATCH(LD55, ""g""), ""g1"",IF(REGEXMATCH(LE55, ""g""), ""g2"",""""))"),"g1")</f>
        <v>g1</v>
      </c>
      <c r="LL55" s="299" t="str">
        <f>IFERROR(__xludf.DUMMYFUNCTION("IF(REGEXMATCH(LD55, ""G""), ""G1"",IF(REGEXMATCH(LE55, ""G""), ""G2"",""""))"),"")</f>
        <v/>
      </c>
      <c r="LM55" s="299" t="str">
        <f>IFERROR(__xludf.DUMMYFUNCTION("IF(REGEXMATCH(LD55, ""m""), ""m1"",IF(REGEXMATCH(LE55, ""m""), ""m2"",""""))"),"m1")</f>
        <v>m1</v>
      </c>
      <c r="LN55" s="299" t="str">
        <f>IFERROR(__xludf.DUMMYFUNCTION("IF(REGEXMATCH(LD55, ""M""), ""M1"",IF(REGEXMATCH(LE55, ""M""), ""M2"",""""))"),"")</f>
        <v/>
      </c>
      <c r="LO55" s="299" t="str">
        <f>IFERROR(__xludf.DUMMYFUNCTION("IF(REGEXMATCH(LD55, ""P""), ""P1"",IF(REGEXMATCH(LE55, ""P""), ""P2"",""""))"),"P1")</f>
        <v>P1</v>
      </c>
      <c r="LP55" s="299" t="str">
        <f>IFERROR(__xludf.DUMMYFUNCTION("IF(REGEXMATCH(LD55, ""d""), ""d1"",IF(REGEXMATCH(LE55, ""d""), ""d2"",""""))"),"")</f>
        <v/>
      </c>
      <c r="LQ55" s="299" t="str">
        <f>IFERROR(__xludf.DUMMYFUNCTION("IF(REGEXMATCH(LD55, ""D""), ""D1"",IF(REGEXMATCH(LE55, ""D""), ""D2"",""""))"),"D2")</f>
        <v>D2</v>
      </c>
      <c r="LR55" s="299" t="str">
        <f>IFERROR(__xludf.DUMMYFUNCTION("IF(REGEXMATCH(LD55, ""n""), ""n1"",IF(REGEXMATCH(LE55, ""n""), ""n2"",""""))"),"n1")</f>
        <v>n1</v>
      </c>
      <c r="LS55" s="299" t="str">
        <f>IFERROR(__xludf.DUMMYFUNCTION("IF(REGEXMATCH(LD55, ""N""), ""N1"",IF(REGEXMATCH(LE55, ""N""), ""N2"",""""))"),"")</f>
        <v/>
      </c>
      <c r="LT55" s="388" t="str">
        <f>IFERROR(__xludf.DUMMYFUNCTION("IF(REGEXMATCH(LD55, ""S""), ""S"",IF(REGEXMATCH(LE55, ""S""), ""S"",""""))"),"S")</f>
        <v>S</v>
      </c>
      <c r="LU55" s="389">
        <f t="shared" si="196"/>
        <v>-3</v>
      </c>
      <c r="LV55" s="378"/>
      <c r="LW55" s="369"/>
      <c r="LX55" s="369"/>
    </row>
    <row r="56" ht="18.0" customHeight="1">
      <c r="A56" s="298" t="s">
        <v>615</v>
      </c>
      <c r="B56" s="222" t="s">
        <v>616</v>
      </c>
      <c r="C56" s="233" t="str">
        <f t="shared" si="7"/>
        <v>SGmDNS</v>
      </c>
      <c r="D56" s="234" t="str">
        <f>IFERROR(__xludf.DUMMYFUNCTION("IF(REGEXMATCH(C56, ""S""), ""S"","""")"),"S")</f>
        <v>S</v>
      </c>
      <c r="E56" s="236" t="str">
        <f>IFERROR(__xludf.DUMMYFUNCTION("IF(REGEXMATCH(C56, ""r""), ""r"","""")"),"")</f>
        <v/>
      </c>
      <c r="F56" s="237" t="str">
        <f>IFERROR(__xludf.DUMMYFUNCTION("IF(REGEXMATCH(C56, ""R""), ""R"","""")"),"")</f>
        <v/>
      </c>
      <c r="G56" s="237" t="str">
        <f>IFERROR(__xludf.DUMMYFUNCTION("IF(REGEXMATCH(C56, ""g""), ""g"","""")"),"")</f>
        <v/>
      </c>
      <c r="H56" s="236" t="str">
        <f>IFERROR(__xludf.DUMMYFUNCTION("IF(REGEXMATCH(C56, ""G""), ""G"","""")"),"G")</f>
        <v>G</v>
      </c>
      <c r="I56" s="236" t="str">
        <f>IFERROR(__xludf.DUMMYFUNCTION("IF(REGEXMATCH(C56, ""m""), ""m"","""")"),"m")</f>
        <v>m</v>
      </c>
      <c r="J56" s="237" t="str">
        <f>IFERROR(__xludf.DUMMYFUNCTION("IF(REGEXMATCH(C56, ""M""), ""M"","""")"),"")</f>
        <v/>
      </c>
      <c r="K56" s="236" t="str">
        <f>IFERROR(__xludf.DUMMYFUNCTION("IF(REGEXMATCH(C56, ""P""), ""P"","""")"),"")</f>
        <v/>
      </c>
      <c r="L56" s="237" t="str">
        <f>IFERROR(__xludf.DUMMYFUNCTION("IF(REGEXMATCH(C56, ""d""), ""d"","""")"),"")</f>
        <v/>
      </c>
      <c r="M56" s="236" t="str">
        <f>IFERROR(__xludf.DUMMYFUNCTION("IF(REGEXMATCH(C56, ""D""), ""D"","""")"),"D")</f>
        <v>D</v>
      </c>
      <c r="N56" s="236" t="str">
        <f>IFERROR(__xludf.DUMMYFUNCTION("IF(REGEXMATCH(C56, ""n""), ""n"","""")"),"")</f>
        <v/>
      </c>
      <c r="O56" s="237" t="str">
        <f>IFERROR(__xludf.DUMMYFUNCTION("IF(REGEXMATCH(C56, ""N""), ""N"","""")"),"N")</f>
        <v>N</v>
      </c>
      <c r="P56" s="238" t="str">
        <f>IFERROR(__xludf.DUMMYFUNCTION("IF(REGEXMATCH(C56, ""S""), ""S"","""")"),"S")</f>
        <v>S</v>
      </c>
      <c r="Q56" s="239" t="str">
        <f>IFERROR(__xludf.DUMMYFUNCTION("SUBSTITUTE(CONCATENATE(JOIN(""-"",D56:J56)),""-"","""")"),"SGm")</f>
        <v>SGm</v>
      </c>
      <c r="R56" s="229" t="str">
        <f>IFERROR(__xludf.DUMMYFUNCTION("SUBSTITUTE(CONCATENATE(JOIN(""-"",K56:P56)),""-"","""")"),"DNS")</f>
        <v>DNS</v>
      </c>
      <c r="S56" s="282" t="str">
        <f t="shared" si="8"/>
        <v>S-G-M</v>
      </c>
      <c r="T56" s="282" t="str">
        <f t="shared" si="9"/>
        <v>D-N-S</v>
      </c>
      <c r="U56" s="237" t="str">
        <f>IFERROR(__xludf.DUMMYFUNCTION("SUBSTITUTE(JOIN(""-"",S56,T56),""--"",""-"")"),"S-G-M-D-N-S")</f>
        <v>S-G-M-D-N-S</v>
      </c>
      <c r="V56" s="309" t="str">
        <f t="shared" si="10"/>
        <v>GmDN</v>
      </c>
      <c r="W56" s="244" t="str">
        <f>IFERROR(__xludf.DUMMYFUNCTION("IF(REGEXMATCH(C56, ""S""), ""0"","""")"),"0")</f>
        <v>0</v>
      </c>
      <c r="X56" s="245" t="str">
        <f>IFERROR(__xludf.DUMMYFUNCTION("IF(REGEXMATCH(C56, ""r""), ""1"","""")"),"")</f>
        <v/>
      </c>
      <c r="Y56" s="246" t="str">
        <f>IFERROR(__xludf.DUMMYFUNCTION("IF(REGEXMATCH(C56, ""R""), ""2"","""")"),"")</f>
        <v/>
      </c>
      <c r="Z56" s="246" t="str">
        <f>IFERROR(__xludf.DUMMYFUNCTION("IF(REGEXMATCH(C56, ""g""), ""3"","""")"),"")</f>
        <v/>
      </c>
      <c r="AA56" s="245" t="str">
        <f>IFERROR(__xludf.DUMMYFUNCTION("IF(REGEXMATCH(C56, ""G""), ""4"","""")"),"4")</f>
        <v>4</v>
      </c>
      <c r="AB56" s="245" t="str">
        <f>IFERROR(__xludf.DUMMYFUNCTION("IF(REGEXMATCH(C56, ""m""), ""5"","""")"),"5")</f>
        <v>5</v>
      </c>
      <c r="AC56" s="246" t="str">
        <f>IFERROR(__xludf.DUMMYFUNCTION("IF(REGEXMATCH(C56, ""M""), ""6"","""")"),"")</f>
        <v/>
      </c>
      <c r="AD56" s="245" t="str">
        <f>IFERROR(__xludf.DUMMYFUNCTION("IF(REGEXMATCH(C56, ""P""), ""7"","""")"),"")</f>
        <v/>
      </c>
      <c r="AE56" s="246" t="str">
        <f>IFERROR(__xludf.DUMMYFUNCTION("IF(REGEXMATCH(C56, ""d""), ""8"","""")"),"")</f>
        <v/>
      </c>
      <c r="AF56" s="245" t="str">
        <f>IFERROR(__xludf.DUMMYFUNCTION("IF(REGEXMATCH(C56, ""D""), ""9"","""")"),"9")</f>
        <v>9</v>
      </c>
      <c r="AG56" s="245" t="str">
        <f>IFERROR(__xludf.DUMMYFUNCTION("IF(REGEXMATCH(C56, ""n""), ""10"","""")"),"")</f>
        <v/>
      </c>
      <c r="AH56" s="246" t="str">
        <f>IFERROR(__xludf.DUMMYFUNCTION("IF(REGEXMATCH(C56, ""N""), ""11"","""")"),"11")</f>
        <v>11</v>
      </c>
      <c r="AI56" s="249" t="str">
        <f>IFERROR(__xludf.DUMMYFUNCTION("IF(REGEXMATCH(C56, ""S""), ""0"","""")"),"0")</f>
        <v>0</v>
      </c>
      <c r="AJ56" s="313" t="str">
        <f t="shared" si="11"/>
        <v>-</v>
      </c>
      <c r="AK56" s="313" t="str">
        <f t="shared" si="12"/>
        <v>-</v>
      </c>
      <c r="AL56" s="313" t="str">
        <f t="shared" si="13"/>
        <v>-</v>
      </c>
      <c r="AM56" s="313" t="str">
        <f t="shared" si="14"/>
        <v>-</v>
      </c>
      <c r="AN56" s="313" t="str">
        <f t="shared" si="15"/>
        <v>-</v>
      </c>
      <c r="AO56" s="314" t="str">
        <f t="shared" si="16"/>
        <v>T</v>
      </c>
      <c r="AP56" s="316">
        <f t="shared" si="17"/>
        <v>1</v>
      </c>
      <c r="AQ56" s="319" t="str">
        <f t="shared" si="18"/>
        <v>-</v>
      </c>
      <c r="AR56" s="320">
        <f t="shared" si="19"/>
        <v>0</v>
      </c>
      <c r="AS56" s="250" t="str">
        <f>IFERROR(__xludf.DUMMYFUNCTION("SUBSTITUTE(SUBSTITUTE(CONCATENATE(JOIN("""",FP56:GA56)),""|"",""x""),""-"",""o"")"),"xoooxxoooxox")</f>
        <v>xoooxxoooxox</v>
      </c>
      <c r="AT56" s="323" t="str">
        <f>IFERROR(__xludf.DUMMYFUNCTION("JOIN("""",AS56,AS56)"),"xoooxxoooxoxxoooxxoooxox")</f>
        <v>xoooxxoooxoxxoooxxoooxox</v>
      </c>
      <c r="AU56" s="256" t="str">
        <f>IFERROR(__xludf.DUMMYFUNCTION("JOIN("""",ArrayFormula(MID(AS56,LEN(AS56)-SEQUENCE(1,LEN(AS56))+1,1)))"),"xoxoooxxooox")</f>
        <v>xoxoooxxooox</v>
      </c>
      <c r="AV56" s="256" t="str">
        <f>IFERROR(__xludf.DUMMYFUNCTION("LEFT(CONCATENATE(""x"",JOIN("""",ArrayFormula(MID(AS56,LEN(AS56)-SEQUENCE(1,LEN(AS56))+1,1)))),12)"),"xxoxoooxxooo")</f>
        <v>xxoxoooxxooo</v>
      </c>
      <c r="AW56" s="327" t="str">
        <f>IFERROR(__xludf.DUMMYFUNCTION("JOIN("""",AU56,AU56)"),"xoxoooxxoooxxoxoooxxooox")</f>
        <v>xoxoooxxoooxxoxoooxxooox</v>
      </c>
      <c r="AX56" s="239" t="str">
        <f>IFERROR(__xludf.DUMMYFUNCTION("IF(REGEXMATCH(AW56,AS56),""✔"",""-"")"),"-")</f>
        <v>-</v>
      </c>
      <c r="AY56" s="330" t="str">
        <f t="shared" si="20"/>
        <v>-</v>
      </c>
      <c r="AZ56" s="260" t="str">
        <f t="shared" si="21"/>
        <v>#REF!</v>
      </c>
      <c r="BA56" s="333" t="str">
        <f t="shared" si="22"/>
        <v>xoooxxo</v>
      </c>
      <c r="BB56" s="334" t="str">
        <f t="shared" si="23"/>
        <v>ooxoxx</v>
      </c>
      <c r="BC56" s="335" t="str">
        <f t="shared" si="236"/>
        <v>-</v>
      </c>
      <c r="BD56" s="336" t="str">
        <f t="shared" si="25"/>
        <v>Bhinna Shadja: 'xoooxxo' + 'ooxoxx'</v>
      </c>
      <c r="BE56" s="337">
        <f>IFERROR(__xludf.DUMMYFUNCTION("COUNTUNIQUE(FILTER(AT:AT,REGEXMATCH(AT:AT,AS56)))-1"),3.0)</f>
        <v>3</v>
      </c>
      <c r="BF56" s="261" t="str">
        <f>IFERROR(__xludf.DUMMYFUNCTION("IF(BI56=0,""(n/a)"",IF(BJ56=2,""(PAIR)"",IF(REGEXMATCH(AT56,""xoxoxxoxoxox""),""Bilawal"",IF(REGEXMATCH(AT56,""xoxoxooxoxoo""),""Bhupali"",IF(REGEXMATCH(AT56,""xoxoxxoxxoxo""),""Charukeshi"",IF(REGEXMATCH(AT56,""xoxoooxxoxxo""),""Kameshwari"",IF(REGEXMATC"&amp;"H(AT56,""xoxoxooxoxox""),""Shankara"",IF(REGEXMATCH(AT56,""xxooxoxxxoox""),""Basant"",IF(REGEXMATCH(AT56,""xoxoxxxxoxox""),""Bihag"",IF(REGEXMATCH(AT56,""xoxxxxoxoxxx""),""Pilu"",IF(REGEXMATCH(AT56,""xoxxoxoxxoox""),""Kirwani"",IF(REGEXMATCH(AT56,""xoxxox"&amp;"oxoxxx""),""Mk.Malhar"",IF(REGEXMATCH(AT56,""xxooxxoxxoox""),""Bhairav"",IF(REGEXMATCH(AT56,""xxoxooxxxoox""),""Todi"",IF(REGEXMATCH(AT56,""xxooxoxooxox""),""Marwa"",IF(REGEXMATCH(AT56,""xxoooxoxxooo""),""Gunkali"",IF(REGEXMATCH(AT56,""xoxoxxoxxoox""),""N"&amp;"at Bhairav"",IF(REGEXMATCH(AT56,""xoxxoooxoxoo""),""Shivranjani"",IF(REGEXMATCH(AT56,""xooxxxoxooxo""),""Jog"",IF(REGEXMATCH(AT56,""xxooxoxoxoox""),""Hemshri"",IF(REGEXMATCH(AT56,""xoooxooxoxxo""),""Kalavati"",IF(REGEXMATCH(AT56,""xxoxoxxoxoox""),""Kedar"&amp;""",IF(REGEXMATCH(AT56,""xoxxxxoxooxx""),""Gara"",IF(REGEXMATCH(AT56,""xooxoxooxoox""),""Chandrakauns"",IF(REGEXMATCH(AT56,""xoxxxxoxxxox""),""Mand"",IF(REGEXMATCH(AT56,""xoxxxxoxoxox""),""Hanskinkini"",IF(REGEXMATCH(AT56,""xxooxxoxooxo""),""Lilavati"",IF("&amp;"REGEXMATCH(AT56,""xooxoxoooxox""),""Rajeshwari"",IF(REGEXMATCH(AT56,""xoooxxoxoxxx""),""Khokar"",IF(REGEXMATCH(AT56,""xxooxoxxxxox""),""Maligoura"",""-""))))))))))))))))))))))))))))))"),"Gunkali")</f>
        <v>Gunkali</v>
      </c>
      <c r="BG56" s="239" t="str">
        <f t="shared" si="26"/>
        <v>#REF!</v>
      </c>
      <c r="BH56" s="239">
        <f>IFERROR(__xludf.DUMMYFUNCTION("COUNTUNIQUE(FE56:FO56)-1"),4.0)</f>
        <v>4</v>
      </c>
      <c r="BI56" s="239">
        <f>IFERROR(__xludf.DUMMYFUNCTION("COUNTUNIQUE(FILTER(AT:AT,REGEXMATCH(AT:AT,AS56)))-1"),3.0)</f>
        <v>3</v>
      </c>
      <c r="BJ56" s="239">
        <f>IFERROR(__xludf.DUMMYFUNCTION("COUNTA(FILTER(AT:AT,REGEXMATCH(AT:AT,AS56)))"),6.0)</f>
        <v>6</v>
      </c>
      <c r="BK56" s="341">
        <f>IFERROR(__xludf.DUMMYFUNCTION("COUNTA(FILTER(AT:AT,REGEXMATCH(AT:AT,AS56)))-AR56"),6.0)</f>
        <v>6</v>
      </c>
      <c r="BL56" s="276" t="str">
        <f>IFERROR(__xludf.DUMMYFUNCTION("IF(AS56=""oooooooooooo"",""-"",IF(REGEXMATCH(AT56,""xx""), ""Hemi."", ""Anhemi.""))"),"Hemi.")</f>
        <v>Hemi.</v>
      </c>
      <c r="BM56" s="282" t="str">
        <f>IFERROR(__xludf.DUMMYFUNCTION("IF(AS56=""oooooooooooo"",""-"",IF(REGEXMATCH(AT56,""xxx""), ""Cohem."", ""-""))"),"-")</f>
        <v>-</v>
      </c>
      <c r="BN56" s="282" t="str">
        <f>IFERROR(__xludf.DUMMYFUNCTION("IF(AS56=""oooooooooooo"",""-"",IF(REGEXMATCH(AT56,""xxxx""), ""Co-Co."", ""-""))"),"-")</f>
        <v>-</v>
      </c>
      <c r="BO56" s="342" t="str">
        <f>IFERROR(__xludf.DUMMYFUNCTION("IF(AS56=""oooooooooooo"",""-"",IF(REGEXMATCH(AT56,""xxxxx""), ""CCC."", ""-""))"),"-")</f>
        <v>-</v>
      </c>
      <c r="BP56" s="344" t="str">
        <f t="shared" si="27"/>
        <v>-</v>
      </c>
      <c r="BQ56" s="282" t="str">
        <f>IFERROR(__xludf.DUMMYFUNCTION("IF(REGEXMATCH(JOIN(""-"",EU56:FD56),""TRUE""),""✔"",""-"")"),"✔")</f>
        <v>✔</v>
      </c>
      <c r="BR56" s="225">
        <f t="shared" si="28"/>
        <v>1</v>
      </c>
      <c r="BS56" s="345" t="str">
        <f>IFERROR(__xludf.DUMMYFUNCTION("SUBSTITUTE(SUBSTITUTE(SUBSTITUTE(SUBSTITUTE(CONCATENATE(JOIN(""-"",GC56:GO56)),""--"",""-""),""--"",""-""),""--"",""-""),""--"",""-"")"),"1-3-4-6-7-8")</f>
        <v>1-3-4-6-7-8</v>
      </c>
      <c r="BT56" s="299" t="str">
        <f>IFERROR(__xludf.DUMMYFUNCTION("SUBSTITUTE(SUBSTITUTE(SUBSTITUTE(SUBSTITUTE(CONCATENATE(JOIN(""-"",GP56:HB56)),""--"",""-""),""--"",""-""),""--"",""-""),""--"",""-"")"),"S-G3-M1-D2-N3-S")</f>
        <v>S-G3-M1-D2-N3-S</v>
      </c>
      <c r="BU56" s="348" t="str">
        <f t="shared" si="29"/>
        <v>C-E-F-A-B-C</v>
      </c>
      <c r="BV56" s="349" t="str">
        <f t="shared" si="30"/>
        <v>SrRgMPdnS</v>
      </c>
      <c r="BW56" s="350">
        <f t="shared" si="31"/>
        <v>0</v>
      </c>
      <c r="BX56" s="351">
        <f t="shared" si="32"/>
        <v>2</v>
      </c>
      <c r="BY56" s="392"/>
      <c r="BZ56" s="309" t="str">
        <f>IFERROR(__xludf.DUMMYFUNCTION("IF(REGEXMATCH(C56, ""S""), ""x"",""x"")"),"x")</f>
        <v>x</v>
      </c>
      <c r="CA56" s="245" t="str">
        <f>IFERROR(__xludf.DUMMYFUNCTION("IF(REGEXMATCH(C56, ""r""), ""o"",""x"")"),"x")</f>
        <v>x</v>
      </c>
      <c r="CB56" s="246" t="str">
        <f>IFERROR(__xludf.DUMMYFUNCTION("IF(REGEXMATCH(C56, ""R""), ""o"",""x"")"),"x")</f>
        <v>x</v>
      </c>
      <c r="CC56" s="246" t="str">
        <f>IFERROR(__xludf.DUMMYFUNCTION("IF(REGEXMATCH(C56, ""g""), ""o"",""x"")"),"x")</f>
        <v>x</v>
      </c>
      <c r="CD56" s="245" t="str">
        <f>IFERROR(__xludf.DUMMYFUNCTION("IF(REGEXMATCH(C56, ""G""), ""o"",""x"")"),"o")</f>
        <v>o</v>
      </c>
      <c r="CE56" s="245" t="str">
        <f>IFERROR(__xludf.DUMMYFUNCTION("IF(REGEXMATCH(C56, ""m""), ""o"",""x"")"),"o")</f>
        <v>o</v>
      </c>
      <c r="CF56" s="246" t="str">
        <f>IFERROR(__xludf.DUMMYFUNCTION("IF(REGEXMATCH(C56, ""M""), ""o"",""x"")"),"x")</f>
        <v>x</v>
      </c>
      <c r="CG56" s="245" t="str">
        <f>IFERROR(__xludf.DUMMYFUNCTION("IF(REGEXMATCH(C56, ""P""), ""o"",""x"")"),"x")</f>
        <v>x</v>
      </c>
      <c r="CH56" s="246" t="str">
        <f>IFERROR(__xludf.DUMMYFUNCTION("IF(REGEXMATCH(C56, ""d""), ""o"",""x"")"),"x")</f>
        <v>x</v>
      </c>
      <c r="CI56" s="245" t="str">
        <f>IFERROR(__xludf.DUMMYFUNCTION("IF(REGEXMATCH(C56, ""D""), ""o"",""x"")"),"o")</f>
        <v>o</v>
      </c>
      <c r="CJ56" s="245" t="str">
        <f>IFERROR(__xludf.DUMMYFUNCTION("IF(REGEXMATCH(C56, ""n""), ""o"",""x"")"),"x")</f>
        <v>x</v>
      </c>
      <c r="CK56" s="245" t="str">
        <f>IFERROR(__xludf.DUMMYFUNCTION("IF(REGEXMATCH(C56, ""N""), ""o"",""x"")"),"o")</f>
        <v>o</v>
      </c>
      <c r="CL56" s="356" t="str">
        <f>IFERROR(__xludf.DUMMYFUNCTION("IF(REGEXMATCH(C56, ""S""), ""x"",""x"")"),"x")</f>
        <v>x</v>
      </c>
      <c r="CM56" s="357" t="str">
        <f t="shared" si="33"/>
        <v>xxxxooxxxoxo</v>
      </c>
      <c r="CN56" s="358">
        <f t="shared" si="34"/>
        <v>0</v>
      </c>
      <c r="CO56" s="246" t="str">
        <f>IFERROR(__xludf.DUMMYFUNCTION("IF(REGEXMATCH($C56, ""S""), ""S"",""S"")"),"S")</f>
        <v>S</v>
      </c>
      <c r="CP56" s="246" t="str">
        <f>IFERROR(__xludf.DUMMYFUNCTION("IF(REGEXMATCH($C56, ""r""), """",""r"")"),"r")</f>
        <v>r</v>
      </c>
      <c r="CQ56" s="246" t="str">
        <f>IFERROR(__xludf.DUMMYFUNCTION("IF(REGEXMATCH($C56, ""R""), """",""R"")"),"R")</f>
        <v>R</v>
      </c>
      <c r="CR56" s="246" t="str">
        <f>IFERROR(__xludf.DUMMYFUNCTION("IF(REGEXMATCH($C56, ""g""), """",""g"")"),"g")</f>
        <v>g</v>
      </c>
      <c r="CS56" s="246" t="str">
        <f>IFERROR(__xludf.DUMMYFUNCTION("IF(REGEXMATCH($C56, ""G""), """",""G"")"),"")</f>
        <v/>
      </c>
      <c r="CT56" s="246" t="str">
        <f>IFERROR(__xludf.DUMMYFUNCTION("IF(REGEXMATCH($C56, ""m""), """",""m"")"),"")</f>
        <v/>
      </c>
      <c r="CU56" s="246" t="str">
        <f>IFERROR(__xludf.DUMMYFUNCTION("IF(REGEXMATCH($C56, ""M""), """",""M"")"),"M")</f>
        <v>M</v>
      </c>
      <c r="CV56" s="246" t="str">
        <f>IFERROR(__xludf.DUMMYFUNCTION("IF(REGEXMATCH($C56, ""P""), """",""P"")"),"P")</f>
        <v>P</v>
      </c>
      <c r="CW56" s="246" t="str">
        <f>IFERROR(__xludf.DUMMYFUNCTION("IF(REGEXMATCH($C56, ""d""), """",""d"")"),"d")</f>
        <v>d</v>
      </c>
      <c r="CX56" s="246" t="str">
        <f>IFERROR(__xludf.DUMMYFUNCTION("IF(REGEXMATCH($C56, ""D""), """",""D"")"),"")</f>
        <v/>
      </c>
      <c r="CY56" s="246" t="str">
        <f>IFERROR(__xludf.DUMMYFUNCTION("IF(REGEXMATCH($C56, ""n""), """",""n"")"),"n")</f>
        <v>n</v>
      </c>
      <c r="CZ56" s="246" t="str">
        <f>IFERROR(__xludf.DUMMYFUNCTION("IF(REGEXMATCH($C56, ""N""), """",""N"")"),"")</f>
        <v/>
      </c>
      <c r="DA56" s="246" t="str">
        <f>IFERROR(__xludf.DUMMYFUNCTION("IF(REGEXMATCH($C56, ""S""), ""S"",""S"")"),"S")</f>
        <v>S</v>
      </c>
      <c r="DB56" s="362" t="str">
        <f>IFERROR(__xludf.DUMMYFUNCTION("JOIN("""",CO56:DA56,"""","""")"),"SrRgMPdnS")</f>
        <v>SrRgMPdnS</v>
      </c>
      <c r="DC56" s="363"/>
      <c r="DD56" s="301" t="str">
        <f t="shared" si="35"/>
        <v>#REF!</v>
      </c>
      <c r="DE56" s="302" t="str">
        <f t="shared" si="36"/>
        <v>#REF!</v>
      </c>
      <c r="DF56" s="301" t="str">
        <f t="shared" ref="DF56:DG56" si="307">SUBSTITUTE(S56,"-","")</f>
        <v>SGM</v>
      </c>
      <c r="DG56" s="301" t="str">
        <f t="shared" si="307"/>
        <v>DNS</v>
      </c>
      <c r="DH56" s="302" t="str">
        <f t="shared" si="38"/>
        <v>Gunkali</v>
      </c>
      <c r="DI56" s="301" t="str">
        <f t="shared" si="39"/>
        <v>Hemi.</v>
      </c>
      <c r="DJ56" s="364" t="str">
        <f t="shared" si="40"/>
        <v>-</v>
      </c>
      <c r="DK56" s="306" t="str">
        <f t="shared" si="41"/>
        <v>-</v>
      </c>
      <c r="DL56" s="366" t="str">
        <f t="shared" si="42"/>
        <v>✔</v>
      </c>
      <c r="DM56" s="308" t="str">
        <f t="shared" si="43"/>
        <v>-</v>
      </c>
      <c r="DN56" s="306" t="str">
        <f t="shared" si="44"/>
        <v>✔</v>
      </c>
      <c r="DO56" s="306" t="str">
        <f t="shared" si="45"/>
        <v>-</v>
      </c>
      <c r="DP56" s="367" t="str">
        <f t="shared" si="46"/>
        <v>-</v>
      </c>
      <c r="DQ56" s="310" t="str">
        <f t="shared" si="47"/>
        <v>-</v>
      </c>
      <c r="DR56" s="310" t="str">
        <f t="shared" si="48"/>
        <v>-</v>
      </c>
      <c r="DS56" s="310" t="str">
        <f t="shared" si="49"/>
        <v>-</v>
      </c>
      <c r="DT56" s="310" t="str">
        <f t="shared" si="50"/>
        <v>-</v>
      </c>
      <c r="DU56" s="370" t="str">
        <f t="shared" si="51"/>
        <v>-</v>
      </c>
      <c r="DV56" s="306" t="str">
        <f t="shared" si="52"/>
        <v>✔</v>
      </c>
      <c r="DW56" s="306" t="str">
        <f t="shared" si="53"/>
        <v>-</v>
      </c>
      <c r="DX56" s="306" t="str">
        <f t="shared" si="54"/>
        <v>-</v>
      </c>
      <c r="DY56" s="306" t="str">
        <f t="shared" si="55"/>
        <v>✔</v>
      </c>
      <c r="DZ56" s="306" t="str">
        <f t="shared" si="56"/>
        <v>-</v>
      </c>
      <c r="EA56" s="367" t="str">
        <f t="shared" si="57"/>
        <v>-</v>
      </c>
      <c r="EB56" s="310" t="str">
        <f>IFERROR(__xludf.DUMMYFUNCTION("IF(REGEXMATCH(AW56,AS56),""✔"",""-"")"),"-")</f>
        <v>-</v>
      </c>
      <c r="EC56" s="310" t="str">
        <f t="shared" si="58"/>
        <v>#REF!</v>
      </c>
      <c r="ED56" s="370" t="str">
        <f t="shared" si="59"/>
        <v>-</v>
      </c>
      <c r="EE56" s="340" t="str">
        <f t="shared" si="60"/>
        <v>S-G-m-D-N-S</v>
      </c>
      <c r="EF56" s="371" t="str">
        <f>IFERROR(__xludf.DUMMYFUNCTION("CONCATENATE(JOIN("""",HC56:HO56))"),"SrgPdS")</f>
        <v>SrgPdS</v>
      </c>
      <c r="EG56" s="372">
        <f t="shared" si="61"/>
        <v>2</v>
      </c>
      <c r="EH56" s="373" t="str">
        <f>IFERROR(__xludf.DUMMYFUNCTION("CONCATENATE(JOIN("""",JC56:JO56))"),"Sa, Ni, ")</f>
        <v>Sa, Ni, </v>
      </c>
      <c r="EI56" s="322">
        <f t="shared" si="62"/>
        <v>0</v>
      </c>
      <c r="EJ56" s="374" t="str">
        <f>IFERROR(__xludf.DUMMYFUNCTION("CONCATENATE(JOIN("""",KC56:KO56))"),"")</f>
        <v/>
      </c>
      <c r="EK56" s="325" t="str">
        <f t="shared" si="63"/>
        <v>S-G3-M1-D2-N3-S</v>
      </c>
      <c r="EL56" s="326" t="str">
        <f t="shared" si="64"/>
        <v>1-3-4-6-7-8</v>
      </c>
      <c r="EM56" s="318" t="str">
        <f t="shared" si="65"/>
        <v>#REF!</v>
      </c>
      <c r="EN56" s="328" t="str">
        <f>IFERROR(__xludf.DUMMYFUNCTION("SUBSTITUTE(SUBSTITUTE(SUBSTITUTE(SUBSTITUTE(CONCATENATE(JOIN("" "",HP56:IB56)),""  "","" ""),""  "","" ""),""  "","" ""),""  "","" "")"),"o • • • o o • • • o • o o")</f>
        <v>o • • • o o • • • o • o o</v>
      </c>
      <c r="EO56" s="368" t="str">
        <f t="shared" si="66"/>
        <v>Sa-ma</v>
      </c>
      <c r="EP56" s="339" t="str">
        <f t="shared" si="67"/>
        <v>-</v>
      </c>
      <c r="EQ56" s="339" t="str">
        <f t="shared" si="68"/>
        <v>-</v>
      </c>
      <c r="ER56" s="339" t="str">
        <f t="shared" si="69"/>
        <v>-</v>
      </c>
      <c r="ES56" s="340" t="str">
        <f t="shared" si="70"/>
        <v>Sa-ma</v>
      </c>
      <c r="ET56" s="363"/>
      <c r="EU56" s="376" t="b">
        <f>IFERROR(__xludf.DUMMYFUNCTION("arrayformula(sum(--REGEXMATCH(""SRGMPDNS"",split(REGEXREPLACE(C56,""(.)"",""$1~""),""~""))))=len(C56)
"),FALSE)</f>
        <v>0</v>
      </c>
      <c r="EV56" s="290" t="b">
        <f>IFERROR(__xludf.DUMMYFUNCTION("arrayformula(sum(--REGEXMATCH(""SRGmPDNS"",split(REGEXREPLACE(C56,""(.)"",""$1~""),""~""))))=len(C56)"),TRUE)</f>
        <v>1</v>
      </c>
      <c r="EW56" s="290" t="b">
        <f>IFERROR(__xludf.DUMMYFUNCTION("arrayformula(sum(--REGEXMATCH(""SRGmPDnS"",split(REGEXREPLACE(C56,""(.)"",""$1~""),""~""))))=len(C56)"),FALSE)</f>
        <v>0</v>
      </c>
      <c r="EX56" s="290" t="b">
        <f>IFERROR(__xludf.DUMMYFUNCTION("arrayformula(sum(--REGEXMATCH(""SRgmPDnS"",split(REGEXREPLACE(C56,""(.)"",""$1~""),""~""))))=len(C56)"),FALSE)</f>
        <v>0</v>
      </c>
      <c r="EY56" s="290" t="b">
        <f>IFERROR(__xludf.DUMMYFUNCTION("arrayformula(sum(--REGEXMATCH(""SRgmPdnS"",split(REGEXREPLACE(C56,""(.)"",""$1~""),""~""))))=len(C56)"),FALSE)</f>
        <v>0</v>
      </c>
      <c r="EZ56" s="290" t="b">
        <f>IFERROR(__xludf.DUMMYFUNCTION("arrayformula(sum(--REGEXMATCH(""SrgmPdnS"",split(REGEXREPLACE(C56,""(.)"",""$1~""),""~""))))=len(C56)"),FALSE)</f>
        <v>0</v>
      </c>
      <c r="FA56" s="290" t="b">
        <f>IFERROR(__xludf.DUMMYFUNCTION("arrayformula(sum(--REGEXMATCH(""SrGmPdNS"",split(REGEXREPLACE(C56,""(.)"",""$1~""),""~""))))=len(C56)"),FALSE)</f>
        <v>0</v>
      </c>
      <c r="FB56" s="290" t="b">
        <f>IFERROR(__xludf.DUMMYFUNCTION("arrayformula(sum(--REGEXMATCH(""SrGMPDNS"",split(REGEXREPLACE(C56,""(.)"",""$1~""),""~""))))=len(C56)"),FALSE)</f>
        <v>0</v>
      </c>
      <c r="FC56" s="290" t="b">
        <f>IFERROR(__xludf.DUMMYFUNCTION("arrayformula(sum(--REGEXMATCH(""SrGMPdNS"",split(REGEXREPLACE(C56,""(.)"",""$1~""),""~""))))=len(C56)"),FALSE)</f>
        <v>0</v>
      </c>
      <c r="FD56" s="377" t="b">
        <f>IFERROR(__xludf.DUMMYFUNCTION("arrayformula(sum(--REGEXMATCH(""SrgMPdNS"",split(REGEXREPLACE(C56,""(.)"",""$1~""),""~""))))=len(C56)"),FALSE)</f>
        <v>0</v>
      </c>
      <c r="FE56" s="269" t="str">
        <f t="shared" si="71"/>
        <v>-</v>
      </c>
      <c r="FF56" s="269" t="str">
        <f t="shared" si="72"/>
        <v>-</v>
      </c>
      <c r="FG56" s="271" t="str">
        <f t="shared" si="73"/>
        <v>-</v>
      </c>
      <c r="FH56" s="269" t="str">
        <f t="shared" si="74"/>
        <v>xxoooxoxxoo</v>
      </c>
      <c r="FI56" s="271" t="str">
        <f t="shared" si="75"/>
        <v>xoooxoxxooo</v>
      </c>
      <c r="FJ56" s="271" t="str">
        <f t="shared" si="76"/>
        <v>-</v>
      </c>
      <c r="FK56" s="271" t="str">
        <f t="shared" si="77"/>
        <v>-</v>
      </c>
      <c r="FL56" s="271" t="str">
        <f t="shared" si="78"/>
        <v>-</v>
      </c>
      <c r="FM56" s="271" t="str">
        <f t="shared" si="79"/>
        <v>xoxxoooxxoo</v>
      </c>
      <c r="FN56" s="271" t="str">
        <f t="shared" si="80"/>
        <v>-</v>
      </c>
      <c r="FO56" s="274" t="str">
        <f t="shared" si="81"/>
        <v>xxoooxxooox</v>
      </c>
      <c r="FP56" s="234" t="str">
        <f t="shared" si="82"/>
        <v>|</v>
      </c>
      <c r="FQ56" s="236" t="str">
        <f t="shared" si="83"/>
        <v>-</v>
      </c>
      <c r="FR56" s="237" t="str">
        <f t="shared" si="84"/>
        <v>-</v>
      </c>
      <c r="FS56" s="236" t="str">
        <f t="shared" si="85"/>
        <v>-</v>
      </c>
      <c r="FT56" s="237" t="str">
        <f t="shared" si="86"/>
        <v>|</v>
      </c>
      <c r="FU56" s="236" t="str">
        <f t="shared" si="87"/>
        <v>|</v>
      </c>
      <c r="FV56" s="237" t="str">
        <f t="shared" si="88"/>
        <v>-</v>
      </c>
      <c r="FW56" s="236" t="str">
        <f t="shared" si="89"/>
        <v>-</v>
      </c>
      <c r="FX56" s="237" t="str">
        <f t="shared" si="90"/>
        <v>-</v>
      </c>
      <c r="FY56" s="236" t="str">
        <f t="shared" si="91"/>
        <v>|</v>
      </c>
      <c r="FZ56" s="237" t="str">
        <f t="shared" si="92"/>
        <v>-</v>
      </c>
      <c r="GA56" s="236" t="str">
        <f t="shared" si="93"/>
        <v>|</v>
      </c>
      <c r="GB56" s="238" t="str">
        <f t="shared" si="94"/>
        <v>|</v>
      </c>
      <c r="GC56" s="244" t="str">
        <f>IFERROR(__xludf.DUMMYFUNCTION("IF(REGEXMATCH(C56, ""S""), ""1"","""")"),"1")</f>
        <v>1</v>
      </c>
      <c r="GD56" s="245" t="str">
        <f>IFERROR(__xludf.DUMMYFUNCTION("IF(REGEXMATCH(C56, ""r""), ""b2"","""")"),"")</f>
        <v/>
      </c>
      <c r="GE56" s="246" t="str">
        <f>IFERROR(__xludf.DUMMYFUNCTION("IF(REGEXMATCH(C56, ""R""), ""2"","""")"),"")</f>
        <v/>
      </c>
      <c r="GF56" s="246" t="str">
        <f>IFERROR(__xludf.DUMMYFUNCTION("IF(REGEXMATCH(C56, ""g""), ""b3"","""")"),"")</f>
        <v/>
      </c>
      <c r="GG56" s="245" t="str">
        <f>IFERROR(__xludf.DUMMYFUNCTION("IF(REGEXMATCH(C56, ""G""), ""3"","""")"),"3")</f>
        <v>3</v>
      </c>
      <c r="GH56" s="245" t="str">
        <f>IFERROR(__xludf.DUMMYFUNCTION("IF(REGEXMATCH(C56, ""m""), ""4"","""")"),"4")</f>
        <v>4</v>
      </c>
      <c r="GI56" s="246" t="str">
        <f>IFERROR(__xludf.DUMMYFUNCTION("IF(REGEXMATCH(C56, ""M""), ""#4"","""")"),"")</f>
        <v/>
      </c>
      <c r="GJ56" s="245" t="str">
        <f>IFERROR(__xludf.DUMMYFUNCTION("IF(REGEXMATCH(C56, ""P""), ""5"","""")"),"")</f>
        <v/>
      </c>
      <c r="GK56" s="246" t="str">
        <f>IFERROR(__xludf.DUMMYFUNCTION("IF(REGEXMATCH(C56, ""d""), ""b6"","""")"),"")</f>
        <v/>
      </c>
      <c r="GL56" s="245" t="str">
        <f>IFERROR(__xludf.DUMMYFUNCTION("IF(REGEXMATCH(C56, ""D""), ""6"","""")"),"6")</f>
        <v>6</v>
      </c>
      <c r="GM56" s="245" t="str">
        <f>IFERROR(__xludf.DUMMYFUNCTION("IF(REGEXMATCH(C56, ""n""), ""b7"","""")"),"")</f>
        <v/>
      </c>
      <c r="GN56" s="246" t="str">
        <f>IFERROR(__xludf.DUMMYFUNCTION("IF(REGEXMATCH(C56, ""N""), ""7"","""")"),"7")</f>
        <v>7</v>
      </c>
      <c r="GO56" s="249" t="str">
        <f>IFERROR(__xludf.DUMMYFUNCTION("IF(REGEXMATCH(C56, ""S""), ""8"","""")"),"8")</f>
        <v>8</v>
      </c>
      <c r="GP56" s="244" t="str">
        <f>IFERROR(__xludf.DUMMYFUNCTION("IF(REGEXMATCH(C56, ""S""), ""S"","""")"),"S")</f>
        <v>S</v>
      </c>
      <c r="GQ56" s="294" t="str">
        <f>IFERROR(__xludf.DUMMYFUNCTION("IF(REGEXMATCH(C56, ""r""), ""R1"","""")"),"")</f>
        <v/>
      </c>
      <c r="GR56" s="295" t="str">
        <f>IFERROR(__xludf.DUMMYFUNCTION("IF(REGEXMATCH(C56, ""R""), ""R2"","""")"),"")</f>
        <v/>
      </c>
      <c r="GS56" s="295" t="str">
        <f>IFERROR(__xludf.DUMMYFUNCTION("IF(REGEXMATCH(C56, ""g""), ""G2"","""")"),"")</f>
        <v/>
      </c>
      <c r="GT56" s="294" t="str">
        <f>IFERROR(__xludf.DUMMYFUNCTION("IF(REGEXMATCH(C56, ""G""), ""G3"","""")"),"G3")</f>
        <v>G3</v>
      </c>
      <c r="GU56" s="294" t="str">
        <f>IFERROR(__xludf.DUMMYFUNCTION("IF(REGEXMATCH(C56, ""m""), ""M1"","""")"),"M1")</f>
        <v>M1</v>
      </c>
      <c r="GV56" s="295" t="str">
        <f>IFERROR(__xludf.DUMMYFUNCTION("IF(REGEXMATCH(C56, ""M""), ""M2"","""")"),"")</f>
        <v/>
      </c>
      <c r="GW56" s="294" t="str">
        <f>IFERROR(__xludf.DUMMYFUNCTION("IF(REGEXMATCH(C56, ""P""), ""P"","""")"),"")</f>
        <v/>
      </c>
      <c r="GX56" s="295" t="str">
        <f>IFERROR(__xludf.DUMMYFUNCTION("IF(REGEXMATCH(C56, ""d""), ""D1"","""")"),"")</f>
        <v/>
      </c>
      <c r="GY56" s="294" t="str">
        <f>IFERROR(__xludf.DUMMYFUNCTION("IF(REGEXMATCH(C56, ""D""), ""D2"","""")"),"D2")</f>
        <v>D2</v>
      </c>
      <c r="GZ56" s="294" t="str">
        <f>IFERROR(__xludf.DUMMYFUNCTION("IF(REGEXMATCH(C56, ""n""), ""N2"","""")"),"")</f>
        <v/>
      </c>
      <c r="HA56" s="295" t="str">
        <f>IFERROR(__xludf.DUMMYFUNCTION("IF(REGEXMATCH(C56, ""N""), ""N3"","""")"),"N3")</f>
        <v>N3</v>
      </c>
      <c r="HB56" s="249" t="str">
        <f>IFERROR(__xludf.DUMMYFUNCTION("IF(REGEXMATCH(C56, ""S""), ""S"","""")"),"S")</f>
        <v>S</v>
      </c>
      <c r="HC56" s="331" t="str">
        <f t="shared" si="95"/>
        <v>S</v>
      </c>
      <c r="HD56" s="332" t="str">
        <f t="shared" si="96"/>
        <v>r</v>
      </c>
      <c r="HE56" s="332" t="str">
        <f t="shared" si="97"/>
        <v/>
      </c>
      <c r="HF56" s="332" t="str">
        <f t="shared" si="98"/>
        <v>g</v>
      </c>
      <c r="HG56" s="332" t="str">
        <f t="shared" si="99"/>
        <v/>
      </c>
      <c r="HH56" s="332" t="str">
        <f t="shared" si="100"/>
        <v/>
      </c>
      <c r="HI56" s="332" t="str">
        <f t="shared" si="101"/>
        <v/>
      </c>
      <c r="HJ56" s="332" t="str">
        <f t="shared" si="102"/>
        <v>P</v>
      </c>
      <c r="HK56" s="332" t="str">
        <f t="shared" si="103"/>
        <v>d</v>
      </c>
      <c r="HL56" s="332" t="str">
        <f t="shared" si="104"/>
        <v/>
      </c>
      <c r="HM56" s="332" t="str">
        <f t="shared" si="105"/>
        <v/>
      </c>
      <c r="HN56" s="332" t="str">
        <f t="shared" si="106"/>
        <v/>
      </c>
      <c r="HO56" s="343" t="str">
        <f t="shared" si="107"/>
        <v>S</v>
      </c>
      <c r="HP56" s="331" t="str">
        <f t="shared" si="108"/>
        <v>o</v>
      </c>
      <c r="HQ56" s="332" t="str">
        <f t="shared" si="109"/>
        <v>•</v>
      </c>
      <c r="HR56" s="332" t="str">
        <f t="shared" si="110"/>
        <v>•</v>
      </c>
      <c r="HS56" s="332" t="str">
        <f t="shared" si="111"/>
        <v>•</v>
      </c>
      <c r="HT56" s="332" t="str">
        <f t="shared" si="112"/>
        <v>o</v>
      </c>
      <c r="HU56" s="332" t="str">
        <f t="shared" si="113"/>
        <v>o</v>
      </c>
      <c r="HV56" s="332" t="str">
        <f t="shared" si="114"/>
        <v>•</v>
      </c>
      <c r="HW56" s="332" t="str">
        <f t="shared" si="115"/>
        <v>•</v>
      </c>
      <c r="HX56" s="332" t="str">
        <f t="shared" si="116"/>
        <v>•</v>
      </c>
      <c r="HY56" s="332" t="str">
        <f t="shared" si="117"/>
        <v>o</v>
      </c>
      <c r="HZ56" s="332" t="str">
        <f t="shared" si="118"/>
        <v>•</v>
      </c>
      <c r="IA56" s="332" t="str">
        <f t="shared" si="119"/>
        <v>o</v>
      </c>
      <c r="IB56" s="338" t="str">
        <f t="shared" si="120"/>
        <v>o</v>
      </c>
      <c r="IC56" s="331" t="str">
        <f t="shared" si="121"/>
        <v>•</v>
      </c>
      <c r="ID56" s="332" t="str">
        <f t="shared" si="122"/>
        <v>o</v>
      </c>
      <c r="IE56" s="332" t="str">
        <f t="shared" si="123"/>
        <v>o</v>
      </c>
      <c r="IF56" s="332" t="str">
        <f t="shared" si="124"/>
        <v>o</v>
      </c>
      <c r="IG56" s="332" t="str">
        <f t="shared" si="125"/>
        <v>•</v>
      </c>
      <c r="IH56" s="332" t="str">
        <f t="shared" si="126"/>
        <v>•</v>
      </c>
      <c r="II56" s="332" t="str">
        <f t="shared" si="127"/>
        <v>o</v>
      </c>
      <c r="IJ56" s="332" t="str">
        <f t="shared" si="128"/>
        <v>o</v>
      </c>
      <c r="IK56" s="332" t="str">
        <f t="shared" si="129"/>
        <v>o</v>
      </c>
      <c r="IL56" s="332" t="str">
        <f t="shared" si="130"/>
        <v>•</v>
      </c>
      <c r="IM56" s="332" t="str">
        <f t="shared" si="131"/>
        <v>o</v>
      </c>
      <c r="IN56" s="332" t="str">
        <f t="shared" si="132"/>
        <v>•</v>
      </c>
      <c r="IO56" s="338" t="str">
        <f t="shared" si="133"/>
        <v>•</v>
      </c>
      <c r="IP56" s="346" t="b">
        <f t="shared" si="134"/>
        <v>1</v>
      </c>
      <c r="IQ56" s="347" t="b">
        <f t="shared" si="135"/>
        <v>0</v>
      </c>
      <c r="IR56" s="347" t="b">
        <f t="shared" si="136"/>
        <v>0</v>
      </c>
      <c r="IS56" s="347" t="b">
        <f t="shared" si="137"/>
        <v>0</v>
      </c>
      <c r="IT56" s="347" t="b">
        <f t="shared" si="138"/>
        <v>0</v>
      </c>
      <c r="IU56" s="347" t="b">
        <f t="shared" si="139"/>
        <v>0</v>
      </c>
      <c r="IV56" s="347" t="b">
        <f t="shared" si="140"/>
        <v>0</v>
      </c>
      <c r="IW56" s="347" t="b">
        <f t="shared" si="141"/>
        <v>0</v>
      </c>
      <c r="IX56" s="347" t="b">
        <f t="shared" si="142"/>
        <v>0</v>
      </c>
      <c r="IY56" s="347" t="b">
        <f t="shared" si="143"/>
        <v>0</v>
      </c>
      <c r="IZ56" s="347" t="b">
        <f t="shared" si="144"/>
        <v>0</v>
      </c>
      <c r="JA56" s="347" t="b">
        <f t="shared" si="145"/>
        <v>1</v>
      </c>
      <c r="JB56" s="353" t="b">
        <f t="shared" si="146"/>
        <v>1</v>
      </c>
      <c r="JC56" s="354" t="str">
        <f t="shared" si="147"/>
        <v>Sa, </v>
      </c>
      <c r="JD56" s="355" t="str">
        <f t="shared" si="148"/>
        <v/>
      </c>
      <c r="JE56" s="355" t="str">
        <f t="shared" si="149"/>
        <v/>
      </c>
      <c r="JF56" s="355" t="str">
        <f t="shared" si="150"/>
        <v/>
      </c>
      <c r="JG56" s="355" t="str">
        <f t="shared" si="151"/>
        <v/>
      </c>
      <c r="JH56" s="355" t="str">
        <f t="shared" si="152"/>
        <v/>
      </c>
      <c r="JI56" s="355" t="str">
        <f t="shared" si="153"/>
        <v/>
      </c>
      <c r="JJ56" s="355" t="str">
        <f t="shared" si="154"/>
        <v/>
      </c>
      <c r="JK56" s="355" t="str">
        <f t="shared" si="155"/>
        <v/>
      </c>
      <c r="JL56" s="355" t="str">
        <f t="shared" si="156"/>
        <v/>
      </c>
      <c r="JM56" s="355" t="str">
        <f t="shared" si="157"/>
        <v/>
      </c>
      <c r="JN56" s="355" t="str">
        <f t="shared" si="158"/>
        <v>Ni, </v>
      </c>
      <c r="JO56" s="359" t="str">
        <f t="shared" si="159"/>
        <v/>
      </c>
      <c r="JP56" s="346" t="b">
        <f t="shared" si="160"/>
        <v>0</v>
      </c>
      <c r="JQ56" s="347" t="b">
        <f t="shared" si="161"/>
        <v>0</v>
      </c>
      <c r="JR56" s="347" t="b">
        <f t="shared" si="162"/>
        <v>0</v>
      </c>
      <c r="JS56" s="347" t="b">
        <f t="shared" si="163"/>
        <v>0</v>
      </c>
      <c r="JT56" s="347" t="b">
        <f t="shared" si="164"/>
        <v>0</v>
      </c>
      <c r="JU56" s="347" t="b">
        <f t="shared" si="165"/>
        <v>0</v>
      </c>
      <c r="JV56" s="347" t="b">
        <f t="shared" si="166"/>
        <v>0</v>
      </c>
      <c r="JW56" s="347" t="b">
        <f t="shared" si="167"/>
        <v>0</v>
      </c>
      <c r="JX56" s="347" t="b">
        <f t="shared" si="168"/>
        <v>0</v>
      </c>
      <c r="JY56" s="347" t="b">
        <f t="shared" si="169"/>
        <v>0</v>
      </c>
      <c r="JZ56" s="347" t="b">
        <f t="shared" si="170"/>
        <v>0</v>
      </c>
      <c r="KA56" s="347" t="b">
        <f t="shared" si="171"/>
        <v>0</v>
      </c>
      <c r="KB56" s="365" t="b">
        <f t="shared" si="172"/>
        <v>0</v>
      </c>
      <c r="KC56" s="354" t="str">
        <f t="shared" si="173"/>
        <v/>
      </c>
      <c r="KD56" s="355" t="str">
        <f t="shared" si="174"/>
        <v/>
      </c>
      <c r="KE56" s="355" t="str">
        <f t="shared" si="175"/>
        <v/>
      </c>
      <c r="KF56" s="355" t="str">
        <f t="shared" si="176"/>
        <v/>
      </c>
      <c r="KG56" s="355" t="str">
        <f t="shared" si="177"/>
        <v/>
      </c>
      <c r="KH56" s="355" t="str">
        <f t="shared" si="178"/>
        <v/>
      </c>
      <c r="KI56" s="355" t="str">
        <f t="shared" si="179"/>
        <v/>
      </c>
      <c r="KJ56" s="355" t="str">
        <f t="shared" si="180"/>
        <v/>
      </c>
      <c r="KK56" s="355" t="str">
        <f t="shared" si="181"/>
        <v/>
      </c>
      <c r="KL56" s="355" t="str">
        <f t="shared" si="182"/>
        <v/>
      </c>
      <c r="KM56" s="355" t="str">
        <f t="shared" si="183"/>
        <v/>
      </c>
      <c r="KN56" s="355" t="str">
        <f t="shared" si="184"/>
        <v/>
      </c>
      <c r="KO56" s="359"/>
      <c r="KP56" s="378"/>
      <c r="KQ56" s="379" t="s">
        <v>616</v>
      </c>
      <c r="KR56" s="380" t="s">
        <v>1341</v>
      </c>
      <c r="KS56" s="381" t="str">
        <f t="shared" si="305"/>
        <v>S-G-m-D-N-S</v>
      </c>
      <c r="KT56" s="382">
        <f t="shared" si="186"/>
        <v>5</v>
      </c>
      <c r="KU56" s="383">
        <f t="shared" si="187"/>
        <v>5</v>
      </c>
      <c r="KV56" s="381" t="str">
        <f t="shared" si="205"/>
        <v>S-N-D-m-G-S</v>
      </c>
      <c r="KW56" s="382">
        <f t="shared" si="189"/>
        <v>5</v>
      </c>
      <c r="KX56" s="384">
        <f t="shared" si="190"/>
        <v>5</v>
      </c>
      <c r="KY56" s="382">
        <f t="shared" ref="KY56:KZ56" si="308">KW56-KT56</f>
        <v>0</v>
      </c>
      <c r="KZ56" s="369">
        <f t="shared" si="308"/>
        <v>0</v>
      </c>
      <c r="LA56" s="385" t="str">
        <f t="shared" si="192"/>
        <v>✔</v>
      </c>
      <c r="LB56" s="340" t="str">
        <f>IFERROR(__xludf.DUMMYFUNCTION("JOIN("""",ArrayFormula(MID(KS56,LEN(KS56)-SEQUENCE(1,LEN(KS56))+1,1)))"),"S-N-D-m-G-S")</f>
        <v>S-N-D-m-G-S</v>
      </c>
      <c r="LC56" s="373" t="str">
        <f>IFERROR(__xludf.DUMMYFUNCTION("JOIN("""",ArrayFormula(MID(KV56,LEN(KV56)-SEQUENCE(1,LEN(KV56))+1,1)))"),"S-G-m-D-N-S")</f>
        <v>S-G-m-D-N-S</v>
      </c>
      <c r="LD56" s="373" t="str">
        <f t="shared" si="193"/>
        <v>SGmDNS</v>
      </c>
      <c r="LE56" s="339" t="str">
        <f t="shared" si="194"/>
        <v>SGmDNS</v>
      </c>
      <c r="LF56" s="386" t="str">
        <f>IFERROR(__xludf.DUMMYFUNCTION("SUBSTITUTE(SUBSTITUTE(CONCATENATE(JOIN("""",LH56:LT56)),""1"",""""),""2"","""")"),"SGmDNS")</f>
        <v>SGmDNS</v>
      </c>
      <c r="LG56" s="369" t="str">
        <f t="shared" si="195"/>
        <v>✔</v>
      </c>
      <c r="LH56" s="387" t="str">
        <f>IFERROR(__xludf.DUMMYFUNCTION("IF(REGEXMATCH(LD56, ""S""), ""S"",IF(REGEXMATCH(LE56, ""S""), ""S"",""""))"),"S")</f>
        <v>S</v>
      </c>
      <c r="LI56" s="299" t="str">
        <f>IFERROR(__xludf.DUMMYFUNCTION("IF(REGEXMATCH(LD56, ""r""), ""r1"",IF(REGEXMATCH(LE56, ""r""), ""r2"",""""))"),"")</f>
        <v/>
      </c>
      <c r="LJ56" s="299" t="str">
        <f>IFERROR(__xludf.DUMMYFUNCTION("IF(REGEXMATCH(LD56, ""R""), ""R1"",IF(REGEXMATCH(LE56, ""R""), ""R2"",""""))"),"")</f>
        <v/>
      </c>
      <c r="LK56" s="299" t="str">
        <f>IFERROR(__xludf.DUMMYFUNCTION("IF(REGEXMATCH(LD56, ""g""), ""g1"",IF(REGEXMATCH(LE56, ""g""), ""g2"",""""))"),"")</f>
        <v/>
      </c>
      <c r="LL56" s="299" t="str">
        <f>IFERROR(__xludf.DUMMYFUNCTION("IF(REGEXMATCH(LD56, ""G""), ""G1"",IF(REGEXMATCH(LE56, ""G""), ""G2"",""""))"),"G1")</f>
        <v>G1</v>
      </c>
      <c r="LM56" s="299" t="str">
        <f>IFERROR(__xludf.DUMMYFUNCTION("IF(REGEXMATCH(LD56, ""m""), ""m1"",IF(REGEXMATCH(LE56, ""m""), ""m2"",""""))"),"m1")</f>
        <v>m1</v>
      </c>
      <c r="LN56" s="299" t="str">
        <f>IFERROR(__xludf.DUMMYFUNCTION("IF(REGEXMATCH(LD56, ""M""), ""M1"",IF(REGEXMATCH(LE56, ""M""), ""M2"",""""))"),"")</f>
        <v/>
      </c>
      <c r="LO56" s="299" t="str">
        <f>IFERROR(__xludf.DUMMYFUNCTION("IF(REGEXMATCH(LD56, ""P""), ""P1"",IF(REGEXMATCH(LE56, ""P""), ""P2"",""""))"),"")</f>
        <v/>
      </c>
      <c r="LP56" s="299" t="str">
        <f>IFERROR(__xludf.DUMMYFUNCTION("IF(REGEXMATCH(LD56, ""d""), ""d1"",IF(REGEXMATCH(LE56, ""d""), ""d2"",""""))"),"")</f>
        <v/>
      </c>
      <c r="LQ56" s="299" t="str">
        <f>IFERROR(__xludf.DUMMYFUNCTION("IF(REGEXMATCH(LD56, ""D""), ""D1"",IF(REGEXMATCH(LE56, ""D""), ""D2"",""""))"),"D1")</f>
        <v>D1</v>
      </c>
      <c r="LR56" s="299" t="str">
        <f>IFERROR(__xludf.DUMMYFUNCTION("IF(REGEXMATCH(LD56, ""n""), ""n1"",IF(REGEXMATCH(LE56, ""n""), ""n2"",""""))"),"")</f>
        <v/>
      </c>
      <c r="LS56" s="299" t="str">
        <f>IFERROR(__xludf.DUMMYFUNCTION("IF(REGEXMATCH(LD56, ""N""), ""N1"",IF(REGEXMATCH(LE56, ""N""), ""N2"",""""))"),"N1")</f>
        <v>N1</v>
      </c>
      <c r="LT56" s="388" t="str">
        <f>IFERROR(__xludf.DUMMYFUNCTION("IF(REGEXMATCH(LD56, ""S""), ""S"",IF(REGEXMATCH(LE56, ""S""), ""S"",""""))"),"S")</f>
        <v>S</v>
      </c>
      <c r="LU56" s="389">
        <f t="shared" si="196"/>
        <v>1</v>
      </c>
      <c r="LV56" s="378"/>
      <c r="LW56" s="369"/>
      <c r="LX56" s="369"/>
    </row>
    <row r="57" ht="18.0" customHeight="1">
      <c r="A57" s="298" t="s">
        <v>618</v>
      </c>
      <c r="B57" s="222" t="s">
        <v>619</v>
      </c>
      <c r="C57" s="233" t="str">
        <f t="shared" si="7"/>
        <v>SRGPDS</v>
      </c>
      <c r="D57" s="234" t="str">
        <f>IFERROR(__xludf.DUMMYFUNCTION("IF(REGEXMATCH(C57, ""S""), ""S"","""")"),"S")</f>
        <v>S</v>
      </c>
      <c r="E57" s="236" t="str">
        <f>IFERROR(__xludf.DUMMYFUNCTION("IF(REGEXMATCH(C57, ""r""), ""r"","""")"),"")</f>
        <v/>
      </c>
      <c r="F57" s="237" t="str">
        <f>IFERROR(__xludf.DUMMYFUNCTION("IF(REGEXMATCH(C57, ""R""), ""R"","""")"),"R")</f>
        <v>R</v>
      </c>
      <c r="G57" s="237" t="str">
        <f>IFERROR(__xludf.DUMMYFUNCTION("IF(REGEXMATCH(C57, ""g""), ""g"","""")"),"")</f>
        <v/>
      </c>
      <c r="H57" s="236" t="str">
        <f>IFERROR(__xludf.DUMMYFUNCTION("IF(REGEXMATCH(C57, ""G""), ""G"","""")"),"G")</f>
        <v>G</v>
      </c>
      <c r="I57" s="236" t="str">
        <f>IFERROR(__xludf.DUMMYFUNCTION("IF(REGEXMATCH(C57, ""m""), ""m"","""")"),"")</f>
        <v/>
      </c>
      <c r="J57" s="237" t="str">
        <f>IFERROR(__xludf.DUMMYFUNCTION("IF(REGEXMATCH(C57, ""M""), ""M"","""")"),"")</f>
        <v/>
      </c>
      <c r="K57" s="236" t="str">
        <f>IFERROR(__xludf.DUMMYFUNCTION("IF(REGEXMATCH(C57, ""P""), ""P"","""")"),"P")</f>
        <v>P</v>
      </c>
      <c r="L57" s="237" t="str">
        <f>IFERROR(__xludf.DUMMYFUNCTION("IF(REGEXMATCH(C57, ""d""), ""d"","""")"),"")</f>
        <v/>
      </c>
      <c r="M57" s="236" t="str">
        <f>IFERROR(__xludf.DUMMYFUNCTION("IF(REGEXMATCH(C57, ""D""), ""D"","""")"),"D")</f>
        <v>D</v>
      </c>
      <c r="N57" s="236" t="str">
        <f>IFERROR(__xludf.DUMMYFUNCTION("IF(REGEXMATCH(C57, ""n""), ""n"","""")"),"")</f>
        <v/>
      </c>
      <c r="O57" s="237" t="str">
        <f>IFERROR(__xludf.DUMMYFUNCTION("IF(REGEXMATCH(C57, ""N""), ""N"","""")"),"")</f>
        <v/>
      </c>
      <c r="P57" s="238" t="str">
        <f>IFERROR(__xludf.DUMMYFUNCTION("IF(REGEXMATCH(C57, ""S""), ""S"","""")"),"S")</f>
        <v>S</v>
      </c>
      <c r="Q57" s="239" t="str">
        <f>IFERROR(__xludf.DUMMYFUNCTION("SUBSTITUTE(CONCATENATE(JOIN(""-"",D57:J57)),""-"","""")"),"SRG")</f>
        <v>SRG</v>
      </c>
      <c r="R57" s="229" t="str">
        <f>IFERROR(__xludf.DUMMYFUNCTION("SUBSTITUTE(CONCATENATE(JOIN(""-"",K57:P57)),""-"","""")"),"PDS")</f>
        <v>PDS</v>
      </c>
      <c r="S57" s="282" t="str">
        <f t="shared" si="8"/>
        <v>S-R-G-</v>
      </c>
      <c r="T57" s="282" t="str">
        <f t="shared" si="9"/>
        <v>P-D-S</v>
      </c>
      <c r="U57" s="237" t="str">
        <f>IFERROR(__xludf.DUMMYFUNCTION("SUBSTITUTE(JOIN(""-"",S57,T57),""--"",""-"")"),"S-R-G-P-D-S")</f>
        <v>S-R-G-P-D-S</v>
      </c>
      <c r="V57" s="309" t="str">
        <f t="shared" si="10"/>
        <v>RGD</v>
      </c>
      <c r="W57" s="244" t="str">
        <f>IFERROR(__xludf.DUMMYFUNCTION("IF(REGEXMATCH(C57, ""S""), ""0"","""")"),"0")</f>
        <v>0</v>
      </c>
      <c r="X57" s="245" t="str">
        <f>IFERROR(__xludf.DUMMYFUNCTION("IF(REGEXMATCH(C57, ""r""), ""1"","""")"),"")</f>
        <v/>
      </c>
      <c r="Y57" s="246" t="str">
        <f>IFERROR(__xludf.DUMMYFUNCTION("IF(REGEXMATCH(C57, ""R""), ""2"","""")"),"2")</f>
        <v>2</v>
      </c>
      <c r="Z57" s="246" t="str">
        <f>IFERROR(__xludf.DUMMYFUNCTION("IF(REGEXMATCH(C57, ""g""), ""3"","""")"),"")</f>
        <v/>
      </c>
      <c r="AA57" s="245" t="str">
        <f>IFERROR(__xludf.DUMMYFUNCTION("IF(REGEXMATCH(C57, ""G""), ""4"","""")"),"4")</f>
        <v>4</v>
      </c>
      <c r="AB57" s="245" t="str">
        <f>IFERROR(__xludf.DUMMYFUNCTION("IF(REGEXMATCH(C57, ""m""), ""5"","""")"),"")</f>
        <v/>
      </c>
      <c r="AC57" s="246" t="str">
        <f>IFERROR(__xludf.DUMMYFUNCTION("IF(REGEXMATCH(C57, ""M""), ""6"","""")"),"")</f>
        <v/>
      </c>
      <c r="AD57" s="245" t="str">
        <f>IFERROR(__xludf.DUMMYFUNCTION("IF(REGEXMATCH(C57, ""P""), ""7"","""")"),"7")</f>
        <v>7</v>
      </c>
      <c r="AE57" s="246" t="str">
        <f>IFERROR(__xludf.DUMMYFUNCTION("IF(REGEXMATCH(C57, ""d""), ""8"","""")"),"")</f>
        <v/>
      </c>
      <c r="AF57" s="245" t="str">
        <f>IFERROR(__xludf.DUMMYFUNCTION("IF(REGEXMATCH(C57, ""D""), ""9"","""")"),"9")</f>
        <v>9</v>
      </c>
      <c r="AG57" s="245" t="str">
        <f>IFERROR(__xludf.DUMMYFUNCTION("IF(REGEXMATCH(C57, ""n""), ""10"","""")"),"")</f>
        <v/>
      </c>
      <c r="AH57" s="246" t="str">
        <f>IFERROR(__xludf.DUMMYFUNCTION("IF(REGEXMATCH(C57, ""N""), ""11"","""")"),"")</f>
        <v/>
      </c>
      <c r="AI57" s="249" t="str">
        <f>IFERROR(__xludf.DUMMYFUNCTION("IF(REGEXMATCH(C57, ""S""), ""0"","""")"),"0")</f>
        <v>0</v>
      </c>
      <c r="AJ57" s="313" t="str">
        <f t="shared" si="11"/>
        <v>-</v>
      </c>
      <c r="AK57" s="313" t="str">
        <f t="shared" si="12"/>
        <v>-</v>
      </c>
      <c r="AL57" s="313" t="str">
        <f t="shared" si="13"/>
        <v>-</v>
      </c>
      <c r="AM57" s="313" t="str">
        <f t="shared" si="14"/>
        <v>-</v>
      </c>
      <c r="AN57" s="313" t="str">
        <f t="shared" si="15"/>
        <v>-</v>
      </c>
      <c r="AO57" s="314" t="str">
        <f t="shared" si="16"/>
        <v>-</v>
      </c>
      <c r="AP57" s="316">
        <f t="shared" si="17"/>
        <v>0</v>
      </c>
      <c r="AQ57" s="319" t="str">
        <f t="shared" si="18"/>
        <v>-</v>
      </c>
      <c r="AR57" s="320">
        <f t="shared" si="19"/>
        <v>0</v>
      </c>
      <c r="AS57" s="250" t="str">
        <f>IFERROR(__xludf.DUMMYFUNCTION("SUBSTITUTE(SUBSTITUTE(CONCATENATE(JOIN("""",FP57:GA57)),""|"",""x""),""-"",""o"")"),"xoxoxooxoxoo")</f>
        <v>xoxoxooxoxoo</v>
      </c>
      <c r="AT57" s="323" t="str">
        <f>IFERROR(__xludf.DUMMYFUNCTION("JOIN("""",AS57,AS57)"),"xoxoxooxoxooxoxoxooxoxoo")</f>
        <v>xoxoxooxoxooxoxoxooxoxoo</v>
      </c>
      <c r="AU57" s="256" t="str">
        <f>IFERROR(__xludf.DUMMYFUNCTION("JOIN("""",ArrayFormula(MID(AS57,LEN(AS57)-SEQUENCE(1,LEN(AS57))+1,1)))"),"ooxoxooxoxox")</f>
        <v>ooxoxooxoxox</v>
      </c>
      <c r="AV57" s="256" t="str">
        <f>IFERROR(__xludf.DUMMYFUNCTION("LEFT(CONCATENATE(""x"",JOIN("""",ArrayFormula(MID(AS57,LEN(AS57)-SEQUENCE(1,LEN(AS57))+1,1)))),12)"),"xooxoxooxoxo")</f>
        <v>xooxoxooxoxo</v>
      </c>
      <c r="AW57" s="327" t="str">
        <f>IFERROR(__xludf.DUMMYFUNCTION("JOIN("""",AU57,AU57)"),"ooxoxooxoxoxooxoxooxoxox")</f>
        <v>ooxoxooxoxoxooxoxooxoxox</v>
      </c>
      <c r="AX57" s="239" t="str">
        <f>IFERROR(__xludf.DUMMYFUNCTION("IF(REGEXMATCH(AW57,AS57),""✔"",""-"")"),"✔")</f>
        <v>✔</v>
      </c>
      <c r="AY57" s="330" t="str">
        <f t="shared" si="20"/>
        <v>-</v>
      </c>
      <c r="AZ57" s="260" t="str">
        <f t="shared" si="21"/>
        <v>#REF!</v>
      </c>
      <c r="BA57" s="333" t="str">
        <f t="shared" si="22"/>
        <v>xoxoxoo</v>
      </c>
      <c r="BB57" s="334" t="str">
        <f t="shared" si="23"/>
        <v>xoxoox</v>
      </c>
      <c r="BC57" s="335" t="str">
        <f t="shared" si="236"/>
        <v>-</v>
      </c>
      <c r="BD57" s="336" t="str">
        <f t="shared" si="25"/>
        <v>Bhupali: 'xoxoxoo' + 'xoxoox'</v>
      </c>
      <c r="BE57" s="337">
        <f>IFERROR(__xludf.DUMMYFUNCTION("COUNTUNIQUE(FILTER(AT:AT,REGEXMATCH(AT:AT,AS57)))-1"),4.0)</f>
        <v>4</v>
      </c>
      <c r="BF57" s="261" t="str">
        <f>IFERROR(__xludf.DUMMYFUNCTION("IF(BI57=0,""(n/a)"",IF(BJ57=2,""(PAIR)"",IF(REGEXMATCH(AT57,""xoxoxxoxoxox""),""Bilawal"",IF(REGEXMATCH(AT57,""xoxoxooxoxoo""),""Bhupali"",IF(REGEXMATCH(AT57,""xoxoxxoxxoxo""),""Charukeshi"",IF(REGEXMATCH(AT57,""xoxoooxxoxxo""),""Kameshwari"",IF(REGEXMATC"&amp;"H(AT57,""xoxoxooxoxox""),""Shankara"",IF(REGEXMATCH(AT57,""xxooxoxxxoox""),""Basant"",IF(REGEXMATCH(AT57,""xoxoxxxxoxox""),""Bihag"",IF(REGEXMATCH(AT57,""xoxxxxoxoxxx""),""Pilu"",IF(REGEXMATCH(AT57,""xoxxoxoxxoox""),""Kirwani"",IF(REGEXMATCH(AT57,""xoxxox"&amp;"oxoxxx""),""Mk.Malhar"",IF(REGEXMATCH(AT57,""xxooxxoxxoox""),""Bhairav"",IF(REGEXMATCH(AT57,""xxoxooxxxoox""),""Todi"",IF(REGEXMATCH(AT57,""xxooxoxooxox""),""Marwa"",IF(REGEXMATCH(AT57,""xxoooxoxxooo""),""Gunkali"",IF(REGEXMATCH(AT57,""xoxoxxoxxoox""),""N"&amp;"at Bhairav"",IF(REGEXMATCH(AT57,""xoxxoooxoxoo""),""Shivranjani"",IF(REGEXMATCH(AT57,""xooxxxoxooxo""),""Jog"",IF(REGEXMATCH(AT57,""xxooxoxoxoox""),""Hemshri"",IF(REGEXMATCH(AT57,""xoooxooxoxxo""),""Kalavati"",IF(REGEXMATCH(AT57,""xxoxoxxoxoox""),""Kedar"&amp;""",IF(REGEXMATCH(AT57,""xoxxxxoxooxx""),""Gara"",IF(REGEXMATCH(AT57,""xooxoxooxoox""),""Chandrakauns"",IF(REGEXMATCH(AT57,""xoxxxxoxxxox""),""Mand"",IF(REGEXMATCH(AT57,""xoxxxxoxoxox""),""Hanskinkini"",IF(REGEXMATCH(AT57,""xxooxxoxooxo""),""Lilavati"",IF("&amp;"REGEXMATCH(AT57,""xooxoxoooxox""),""Rajeshwari"",IF(REGEXMATCH(AT57,""xoooxxoxoxxx""),""Khokar"",IF(REGEXMATCH(AT57,""xxooxoxxxxox""),""Maligoura"",""-""))))))))))))))))))))))))))))))"),"Bhupali")</f>
        <v>Bhupali</v>
      </c>
      <c r="BG57" s="239" t="str">
        <f t="shared" si="26"/>
        <v>#REF!</v>
      </c>
      <c r="BH57" s="239">
        <f>IFERROR(__xludf.DUMMYFUNCTION("COUNTUNIQUE(FE57:FO57)-1"),4.0)</f>
        <v>4</v>
      </c>
      <c r="BI57" s="239">
        <f>IFERROR(__xludf.DUMMYFUNCTION("COUNTUNIQUE(FILTER(AT:AT,REGEXMATCH(AT:AT,AS57)))-1"),4.0)</f>
        <v>4</v>
      </c>
      <c r="BJ57" s="239">
        <f>IFERROR(__xludf.DUMMYFUNCTION("COUNTA(FILTER(AT:AT,REGEXMATCH(AT:AT,AS57)))"),11.0)</f>
        <v>11</v>
      </c>
      <c r="BK57" s="341">
        <f>IFERROR(__xludf.DUMMYFUNCTION("COUNTA(FILTER(AT:AT,REGEXMATCH(AT:AT,AS57)))-AR57"),11.0)</f>
        <v>11</v>
      </c>
      <c r="BL57" s="276" t="str">
        <f>IFERROR(__xludf.DUMMYFUNCTION("IF(AS57=""oooooooooooo"",""-"",IF(REGEXMATCH(AT57,""xx""), ""Hemi."", ""Anhemi.""))"),"Anhemi.")</f>
        <v>Anhemi.</v>
      </c>
      <c r="BM57" s="282" t="str">
        <f>IFERROR(__xludf.DUMMYFUNCTION("IF(AS57=""oooooooooooo"",""-"",IF(REGEXMATCH(AT57,""xxx""), ""Cohem."", ""-""))"),"-")</f>
        <v>-</v>
      </c>
      <c r="BN57" s="282" t="str">
        <f>IFERROR(__xludf.DUMMYFUNCTION("IF(AS57=""oooooooooooo"",""-"",IF(REGEXMATCH(AT57,""xxxx""), ""Co-Co."", ""-""))"),"-")</f>
        <v>-</v>
      </c>
      <c r="BO57" s="342" t="str">
        <f>IFERROR(__xludf.DUMMYFUNCTION("IF(AS57=""oooooooooooo"",""-"",IF(REGEXMATCH(AT57,""xxxxx""), ""CCC."", ""-""))"),"-")</f>
        <v>-</v>
      </c>
      <c r="BP57" s="344" t="str">
        <f t="shared" si="27"/>
        <v>-</v>
      </c>
      <c r="BQ57" s="282" t="str">
        <f>IFERROR(__xludf.DUMMYFUNCTION("IF(REGEXMATCH(JOIN(""-"",EU57:FD57),""TRUE""),""✔"",""-"")"),"✔")</f>
        <v>✔</v>
      </c>
      <c r="BR57" s="225">
        <f t="shared" si="28"/>
        <v>3</v>
      </c>
      <c r="BS57" s="345" t="str">
        <f>IFERROR(__xludf.DUMMYFUNCTION("SUBSTITUTE(SUBSTITUTE(SUBSTITUTE(SUBSTITUTE(CONCATENATE(JOIN(""-"",GC57:GO57)),""--"",""-""),""--"",""-""),""--"",""-""),""--"",""-"")"),"1-2-3-5-6-8")</f>
        <v>1-2-3-5-6-8</v>
      </c>
      <c r="BT57" s="299" t="str">
        <f>IFERROR(__xludf.DUMMYFUNCTION("SUBSTITUTE(SUBSTITUTE(SUBSTITUTE(SUBSTITUTE(CONCATENATE(JOIN(""-"",GP57:HB57)),""--"",""-""),""--"",""-""),""--"",""-""),""--"",""-"")"),"S-R2-G3-P-D2-S")</f>
        <v>S-R2-G3-P-D2-S</v>
      </c>
      <c r="BU57" s="348" t="str">
        <f t="shared" si="29"/>
        <v>C-D-E-G-A-C</v>
      </c>
      <c r="BV57" s="349" t="str">
        <f t="shared" si="30"/>
        <v>SrgmMdnNS</v>
      </c>
      <c r="BW57" s="350">
        <f t="shared" si="31"/>
        <v>0</v>
      </c>
      <c r="BX57" s="351">
        <f t="shared" si="32"/>
        <v>4</v>
      </c>
      <c r="BY57" s="392"/>
      <c r="BZ57" s="309" t="str">
        <f>IFERROR(__xludf.DUMMYFUNCTION("IF(REGEXMATCH(C57, ""S""), ""x"",""x"")"),"x")</f>
        <v>x</v>
      </c>
      <c r="CA57" s="245" t="str">
        <f>IFERROR(__xludf.DUMMYFUNCTION("IF(REGEXMATCH(C57, ""r""), ""o"",""x"")"),"x")</f>
        <v>x</v>
      </c>
      <c r="CB57" s="246" t="str">
        <f>IFERROR(__xludf.DUMMYFUNCTION("IF(REGEXMATCH(C57, ""R""), ""o"",""x"")"),"o")</f>
        <v>o</v>
      </c>
      <c r="CC57" s="246" t="str">
        <f>IFERROR(__xludf.DUMMYFUNCTION("IF(REGEXMATCH(C57, ""g""), ""o"",""x"")"),"x")</f>
        <v>x</v>
      </c>
      <c r="CD57" s="245" t="str">
        <f>IFERROR(__xludf.DUMMYFUNCTION("IF(REGEXMATCH(C57, ""G""), ""o"",""x"")"),"o")</f>
        <v>o</v>
      </c>
      <c r="CE57" s="245" t="str">
        <f>IFERROR(__xludf.DUMMYFUNCTION("IF(REGEXMATCH(C57, ""m""), ""o"",""x"")"),"x")</f>
        <v>x</v>
      </c>
      <c r="CF57" s="246" t="str">
        <f>IFERROR(__xludf.DUMMYFUNCTION("IF(REGEXMATCH(C57, ""M""), ""o"",""x"")"),"x")</f>
        <v>x</v>
      </c>
      <c r="CG57" s="245" t="str">
        <f>IFERROR(__xludf.DUMMYFUNCTION("IF(REGEXMATCH(C57, ""P""), ""o"",""x"")"),"o")</f>
        <v>o</v>
      </c>
      <c r="CH57" s="246" t="str">
        <f>IFERROR(__xludf.DUMMYFUNCTION("IF(REGEXMATCH(C57, ""d""), ""o"",""x"")"),"x")</f>
        <v>x</v>
      </c>
      <c r="CI57" s="245" t="str">
        <f>IFERROR(__xludf.DUMMYFUNCTION("IF(REGEXMATCH(C57, ""D""), ""o"",""x"")"),"o")</f>
        <v>o</v>
      </c>
      <c r="CJ57" s="245" t="str">
        <f>IFERROR(__xludf.DUMMYFUNCTION("IF(REGEXMATCH(C57, ""n""), ""o"",""x"")"),"x")</f>
        <v>x</v>
      </c>
      <c r="CK57" s="245" t="str">
        <f>IFERROR(__xludf.DUMMYFUNCTION("IF(REGEXMATCH(C57, ""N""), ""o"",""x"")"),"x")</f>
        <v>x</v>
      </c>
      <c r="CL57" s="356" t="str">
        <f>IFERROR(__xludf.DUMMYFUNCTION("IF(REGEXMATCH(C57, ""S""), ""x"",""x"")"),"x")</f>
        <v>x</v>
      </c>
      <c r="CM57" s="357" t="str">
        <f t="shared" si="33"/>
        <v>xxoxoxxoxoxx</v>
      </c>
      <c r="CN57" s="358">
        <f t="shared" si="34"/>
        <v>0</v>
      </c>
      <c r="CO57" s="246" t="str">
        <f>IFERROR(__xludf.DUMMYFUNCTION("IF(REGEXMATCH($C57, ""S""), ""S"",""S"")"),"S")</f>
        <v>S</v>
      </c>
      <c r="CP57" s="246" t="str">
        <f>IFERROR(__xludf.DUMMYFUNCTION("IF(REGEXMATCH($C57, ""r""), """",""r"")"),"r")</f>
        <v>r</v>
      </c>
      <c r="CQ57" s="246" t="str">
        <f>IFERROR(__xludf.DUMMYFUNCTION("IF(REGEXMATCH($C57, ""R""), """",""R"")"),"")</f>
        <v/>
      </c>
      <c r="CR57" s="246" t="str">
        <f>IFERROR(__xludf.DUMMYFUNCTION("IF(REGEXMATCH($C57, ""g""), """",""g"")"),"g")</f>
        <v>g</v>
      </c>
      <c r="CS57" s="246" t="str">
        <f>IFERROR(__xludf.DUMMYFUNCTION("IF(REGEXMATCH($C57, ""G""), """",""G"")"),"")</f>
        <v/>
      </c>
      <c r="CT57" s="246" t="str">
        <f>IFERROR(__xludf.DUMMYFUNCTION("IF(REGEXMATCH($C57, ""m""), """",""m"")"),"m")</f>
        <v>m</v>
      </c>
      <c r="CU57" s="246" t="str">
        <f>IFERROR(__xludf.DUMMYFUNCTION("IF(REGEXMATCH($C57, ""M""), """",""M"")"),"M")</f>
        <v>M</v>
      </c>
      <c r="CV57" s="246" t="str">
        <f>IFERROR(__xludf.DUMMYFUNCTION("IF(REGEXMATCH($C57, ""P""), """",""P"")"),"")</f>
        <v/>
      </c>
      <c r="CW57" s="246" t="str">
        <f>IFERROR(__xludf.DUMMYFUNCTION("IF(REGEXMATCH($C57, ""d""), """",""d"")"),"d")</f>
        <v>d</v>
      </c>
      <c r="CX57" s="246" t="str">
        <f>IFERROR(__xludf.DUMMYFUNCTION("IF(REGEXMATCH($C57, ""D""), """",""D"")"),"")</f>
        <v/>
      </c>
      <c r="CY57" s="246" t="str">
        <f>IFERROR(__xludf.DUMMYFUNCTION("IF(REGEXMATCH($C57, ""n""), """",""n"")"),"n")</f>
        <v>n</v>
      </c>
      <c r="CZ57" s="246" t="str">
        <f>IFERROR(__xludf.DUMMYFUNCTION("IF(REGEXMATCH($C57, ""N""), """",""N"")"),"N")</f>
        <v>N</v>
      </c>
      <c r="DA57" s="246" t="str">
        <f>IFERROR(__xludf.DUMMYFUNCTION("IF(REGEXMATCH($C57, ""S""), ""S"",""S"")"),"S")</f>
        <v>S</v>
      </c>
      <c r="DB57" s="362" t="str">
        <f>IFERROR(__xludf.DUMMYFUNCTION("JOIN("""",CO57:DA57,"""","""")"),"SrgmMdnNS")</f>
        <v>SrgmMdnNS</v>
      </c>
      <c r="DC57" s="363"/>
      <c r="DD57" s="301" t="str">
        <f t="shared" si="35"/>
        <v>#REF!</v>
      </c>
      <c r="DE57" s="302" t="str">
        <f t="shared" si="36"/>
        <v>#REF!</v>
      </c>
      <c r="DF57" s="301" t="str">
        <f t="shared" ref="DF57:DG57" si="309">SUBSTITUTE(S57,"-","")</f>
        <v>SRG</v>
      </c>
      <c r="DG57" s="301" t="str">
        <f t="shared" si="309"/>
        <v>PDS</v>
      </c>
      <c r="DH57" s="302" t="str">
        <f t="shared" si="38"/>
        <v>Bhupali</v>
      </c>
      <c r="DI57" s="301" t="str">
        <f t="shared" si="39"/>
        <v>Anhemi.</v>
      </c>
      <c r="DJ57" s="364" t="str">
        <f t="shared" si="40"/>
        <v>-</v>
      </c>
      <c r="DK57" s="306" t="str">
        <f t="shared" si="41"/>
        <v>-</v>
      </c>
      <c r="DL57" s="366" t="str">
        <f t="shared" si="42"/>
        <v>✔</v>
      </c>
      <c r="DM57" s="308" t="str">
        <f t="shared" si="43"/>
        <v>-</v>
      </c>
      <c r="DN57" s="306" t="str">
        <f t="shared" si="44"/>
        <v>✔</v>
      </c>
      <c r="DO57" s="306" t="str">
        <f t="shared" si="45"/>
        <v>-</v>
      </c>
      <c r="DP57" s="367" t="str">
        <f t="shared" si="46"/>
        <v>-</v>
      </c>
      <c r="DQ57" s="310" t="str">
        <f t="shared" si="47"/>
        <v>-</v>
      </c>
      <c r="DR57" s="310" t="str">
        <f t="shared" si="48"/>
        <v>-</v>
      </c>
      <c r="DS57" s="310" t="str">
        <f t="shared" si="49"/>
        <v>-</v>
      </c>
      <c r="DT57" s="310" t="str">
        <f t="shared" si="50"/>
        <v>-</v>
      </c>
      <c r="DU57" s="370" t="str">
        <f t="shared" si="51"/>
        <v>-</v>
      </c>
      <c r="DV57" s="306" t="str">
        <f t="shared" si="52"/>
        <v>-</v>
      </c>
      <c r="DW57" s="306" t="str">
        <f t="shared" si="53"/>
        <v>-</v>
      </c>
      <c r="DX57" s="306" t="str">
        <f t="shared" si="54"/>
        <v>✔</v>
      </c>
      <c r="DY57" s="306" t="str">
        <f t="shared" si="55"/>
        <v>-</v>
      </c>
      <c r="DZ57" s="306" t="str">
        <f t="shared" si="56"/>
        <v>-</v>
      </c>
      <c r="EA57" s="367" t="str">
        <f t="shared" si="57"/>
        <v>✔</v>
      </c>
      <c r="EB57" s="310" t="str">
        <f>IFERROR(__xludf.DUMMYFUNCTION("IF(REGEXMATCH(AW57,AS57),""✔"",""-"")"),"✔")</f>
        <v>✔</v>
      </c>
      <c r="EC57" s="310" t="str">
        <f t="shared" si="58"/>
        <v>#REF!</v>
      </c>
      <c r="ED57" s="370" t="str">
        <f t="shared" si="59"/>
        <v>-</v>
      </c>
      <c r="EE57" s="340" t="str">
        <f t="shared" si="60"/>
        <v>S-R-G-P-D-S</v>
      </c>
      <c r="EF57" s="371" t="str">
        <f>IFERROR(__xludf.DUMMYFUNCTION("CONCATENATE(JOIN("""",HC57:HO57))"),"SgmdnS")</f>
        <v>SgmdnS</v>
      </c>
      <c r="EG57" s="372">
        <f t="shared" si="61"/>
        <v>1</v>
      </c>
      <c r="EH57" s="373" t="str">
        <f>IFERROR(__xludf.DUMMYFUNCTION("CONCATENATE(JOIN("""",JC57:JO57))"),"Ga, ")</f>
        <v>Ga, </v>
      </c>
      <c r="EI57" s="322">
        <f t="shared" si="62"/>
        <v>0</v>
      </c>
      <c r="EJ57" s="374" t="str">
        <f>IFERROR(__xludf.DUMMYFUNCTION("CONCATENATE(JOIN("""",KC57:KO57))"),"")</f>
        <v/>
      </c>
      <c r="EK57" s="325" t="str">
        <f t="shared" si="63"/>
        <v>S-R2-G3-P-D2-S</v>
      </c>
      <c r="EL57" s="326" t="str">
        <f t="shared" si="64"/>
        <v>1-2-3-5-6-8</v>
      </c>
      <c r="EM57" s="318" t="str">
        <f t="shared" si="65"/>
        <v>#REF!</v>
      </c>
      <c r="EN57" s="328" t="str">
        <f>IFERROR(__xludf.DUMMYFUNCTION("SUBSTITUTE(SUBSTITUTE(SUBSTITUTE(SUBSTITUTE(CONCATENATE(JOIN("" "",HP57:IB57)),""  "","" ""),""  "","" ""),""  "","" ""),""  "","" "")"),"o • o • o • • o • o • • o")</f>
        <v>o • o • o • • o • o • • o</v>
      </c>
      <c r="EO57" s="368" t="str">
        <f t="shared" si="66"/>
        <v>Sa-Pa</v>
      </c>
      <c r="EP57" s="339" t="str">
        <f t="shared" si="67"/>
        <v>-</v>
      </c>
      <c r="EQ57" s="339" t="str">
        <f t="shared" si="68"/>
        <v>Sa-Pa</v>
      </c>
      <c r="ER57" s="339" t="str">
        <f t="shared" si="69"/>
        <v>Sa-Pa</v>
      </c>
      <c r="ES57" s="340" t="str">
        <f t="shared" si="70"/>
        <v>-</v>
      </c>
      <c r="ET57" s="363"/>
      <c r="EU57" s="376" t="b">
        <f>IFERROR(__xludf.DUMMYFUNCTION("arrayformula(sum(--REGEXMATCH(""SRGMPDNS"",split(REGEXREPLACE(C57,""(.)"",""$1~""),""~""))))=len(C57)
"),TRUE)</f>
        <v>1</v>
      </c>
      <c r="EV57" s="290" t="b">
        <f>IFERROR(__xludf.DUMMYFUNCTION("arrayformula(sum(--REGEXMATCH(""SRGmPDNS"",split(REGEXREPLACE(C57,""(.)"",""$1~""),""~""))))=len(C57)"),TRUE)</f>
        <v>1</v>
      </c>
      <c r="EW57" s="290" t="b">
        <f>IFERROR(__xludf.DUMMYFUNCTION("arrayformula(sum(--REGEXMATCH(""SRGmPDnS"",split(REGEXREPLACE(C57,""(.)"",""$1~""),""~""))))=len(C57)"),TRUE)</f>
        <v>1</v>
      </c>
      <c r="EX57" s="290" t="b">
        <f>IFERROR(__xludf.DUMMYFUNCTION("arrayformula(sum(--REGEXMATCH(""SRgmPDnS"",split(REGEXREPLACE(C57,""(.)"",""$1~""),""~""))))=len(C57)"),FALSE)</f>
        <v>0</v>
      </c>
      <c r="EY57" s="290" t="b">
        <f>IFERROR(__xludf.DUMMYFUNCTION("arrayformula(sum(--REGEXMATCH(""SRgmPdnS"",split(REGEXREPLACE(C57,""(.)"",""$1~""),""~""))))=len(C57)"),FALSE)</f>
        <v>0</v>
      </c>
      <c r="EZ57" s="290" t="b">
        <f>IFERROR(__xludf.DUMMYFUNCTION("arrayformula(sum(--REGEXMATCH(""SrgmPdnS"",split(REGEXREPLACE(C57,""(.)"",""$1~""),""~""))))=len(C57)"),FALSE)</f>
        <v>0</v>
      </c>
      <c r="FA57" s="290" t="b">
        <f>IFERROR(__xludf.DUMMYFUNCTION("arrayformula(sum(--REGEXMATCH(""SrGmPdNS"",split(REGEXREPLACE(C57,""(.)"",""$1~""),""~""))))=len(C57)"),FALSE)</f>
        <v>0</v>
      </c>
      <c r="FB57" s="290" t="b">
        <f>IFERROR(__xludf.DUMMYFUNCTION("arrayformula(sum(--REGEXMATCH(""SrGMPDNS"",split(REGEXREPLACE(C57,""(.)"",""$1~""),""~""))))=len(C57)"),FALSE)</f>
        <v>0</v>
      </c>
      <c r="FC57" s="290" t="b">
        <f>IFERROR(__xludf.DUMMYFUNCTION("arrayformula(sum(--REGEXMATCH(""SrGMPdNS"",split(REGEXREPLACE(C57,""(.)"",""$1~""),""~""))))=len(C57)"),FALSE)</f>
        <v>0</v>
      </c>
      <c r="FD57" s="377" t="b">
        <f>IFERROR(__xludf.DUMMYFUNCTION("arrayformula(sum(--REGEXMATCH(""SrgMPdNS"",split(REGEXREPLACE(C57,""(.)"",""$1~""),""~""))))=len(C57)"),FALSE)</f>
        <v>0</v>
      </c>
      <c r="FE57" s="269" t="str">
        <f t="shared" si="71"/>
        <v>-</v>
      </c>
      <c r="FF57" s="269" t="str">
        <f t="shared" si="72"/>
        <v>xoxooxoxoox</v>
      </c>
      <c r="FG57" s="271" t="str">
        <f t="shared" si="73"/>
        <v>-</v>
      </c>
      <c r="FH57" s="269" t="str">
        <f t="shared" si="74"/>
        <v>xooxoxooxox</v>
      </c>
      <c r="FI57" s="271" t="str">
        <f t="shared" si="75"/>
        <v>-</v>
      </c>
      <c r="FJ57" s="271" t="str">
        <f t="shared" si="76"/>
        <v>-</v>
      </c>
      <c r="FK57" s="271" t="str">
        <f t="shared" si="77"/>
        <v>xoxooxoxoxo</v>
      </c>
      <c r="FL57" s="271" t="str">
        <f t="shared" si="78"/>
        <v>-</v>
      </c>
      <c r="FM57" s="271" t="str">
        <f t="shared" si="79"/>
        <v>xooxoxoxoox</v>
      </c>
      <c r="FN57" s="271" t="str">
        <f t="shared" si="80"/>
        <v>-</v>
      </c>
      <c r="FO57" s="274" t="str">
        <f t="shared" si="81"/>
        <v>-</v>
      </c>
      <c r="FP57" s="234" t="str">
        <f t="shared" si="82"/>
        <v>|</v>
      </c>
      <c r="FQ57" s="236" t="str">
        <f t="shared" si="83"/>
        <v>-</v>
      </c>
      <c r="FR57" s="237" t="str">
        <f t="shared" si="84"/>
        <v>|</v>
      </c>
      <c r="FS57" s="236" t="str">
        <f t="shared" si="85"/>
        <v>-</v>
      </c>
      <c r="FT57" s="237" t="str">
        <f t="shared" si="86"/>
        <v>|</v>
      </c>
      <c r="FU57" s="236" t="str">
        <f t="shared" si="87"/>
        <v>-</v>
      </c>
      <c r="FV57" s="237" t="str">
        <f t="shared" si="88"/>
        <v>-</v>
      </c>
      <c r="FW57" s="236" t="str">
        <f t="shared" si="89"/>
        <v>|</v>
      </c>
      <c r="FX57" s="237" t="str">
        <f t="shared" si="90"/>
        <v>-</v>
      </c>
      <c r="FY57" s="236" t="str">
        <f t="shared" si="91"/>
        <v>|</v>
      </c>
      <c r="FZ57" s="237" t="str">
        <f t="shared" si="92"/>
        <v>-</v>
      </c>
      <c r="GA57" s="236" t="str">
        <f t="shared" si="93"/>
        <v>-</v>
      </c>
      <c r="GB57" s="238" t="str">
        <f t="shared" si="94"/>
        <v>|</v>
      </c>
      <c r="GC57" s="244" t="str">
        <f>IFERROR(__xludf.DUMMYFUNCTION("IF(REGEXMATCH(C57, ""S""), ""1"","""")"),"1")</f>
        <v>1</v>
      </c>
      <c r="GD57" s="245" t="str">
        <f>IFERROR(__xludf.DUMMYFUNCTION("IF(REGEXMATCH(C57, ""r""), ""b2"","""")"),"")</f>
        <v/>
      </c>
      <c r="GE57" s="246" t="str">
        <f>IFERROR(__xludf.DUMMYFUNCTION("IF(REGEXMATCH(C57, ""R""), ""2"","""")"),"2")</f>
        <v>2</v>
      </c>
      <c r="GF57" s="246" t="str">
        <f>IFERROR(__xludf.DUMMYFUNCTION("IF(REGEXMATCH(C57, ""g""), ""b3"","""")"),"")</f>
        <v/>
      </c>
      <c r="GG57" s="245" t="str">
        <f>IFERROR(__xludf.DUMMYFUNCTION("IF(REGEXMATCH(C57, ""G""), ""3"","""")"),"3")</f>
        <v>3</v>
      </c>
      <c r="GH57" s="245" t="str">
        <f>IFERROR(__xludf.DUMMYFUNCTION("IF(REGEXMATCH(C57, ""m""), ""4"","""")"),"")</f>
        <v/>
      </c>
      <c r="GI57" s="246" t="str">
        <f>IFERROR(__xludf.DUMMYFUNCTION("IF(REGEXMATCH(C57, ""M""), ""#4"","""")"),"")</f>
        <v/>
      </c>
      <c r="GJ57" s="245" t="str">
        <f>IFERROR(__xludf.DUMMYFUNCTION("IF(REGEXMATCH(C57, ""P""), ""5"","""")"),"5")</f>
        <v>5</v>
      </c>
      <c r="GK57" s="246" t="str">
        <f>IFERROR(__xludf.DUMMYFUNCTION("IF(REGEXMATCH(C57, ""d""), ""b6"","""")"),"")</f>
        <v/>
      </c>
      <c r="GL57" s="245" t="str">
        <f>IFERROR(__xludf.DUMMYFUNCTION("IF(REGEXMATCH(C57, ""D""), ""6"","""")"),"6")</f>
        <v>6</v>
      </c>
      <c r="GM57" s="245" t="str">
        <f>IFERROR(__xludf.DUMMYFUNCTION("IF(REGEXMATCH(C57, ""n""), ""b7"","""")"),"")</f>
        <v/>
      </c>
      <c r="GN57" s="246" t="str">
        <f>IFERROR(__xludf.DUMMYFUNCTION("IF(REGEXMATCH(C57, ""N""), ""7"","""")"),"")</f>
        <v/>
      </c>
      <c r="GO57" s="249" t="str">
        <f>IFERROR(__xludf.DUMMYFUNCTION("IF(REGEXMATCH(C57, ""S""), ""8"","""")"),"8")</f>
        <v>8</v>
      </c>
      <c r="GP57" s="244" t="str">
        <f>IFERROR(__xludf.DUMMYFUNCTION("IF(REGEXMATCH(C57, ""S""), ""S"","""")"),"S")</f>
        <v>S</v>
      </c>
      <c r="GQ57" s="294" t="str">
        <f>IFERROR(__xludf.DUMMYFUNCTION("IF(REGEXMATCH(C57, ""r""), ""R1"","""")"),"")</f>
        <v/>
      </c>
      <c r="GR57" s="295" t="str">
        <f>IFERROR(__xludf.DUMMYFUNCTION("IF(REGEXMATCH(C57, ""R""), ""R2"","""")"),"R2")</f>
        <v>R2</v>
      </c>
      <c r="GS57" s="295" t="str">
        <f>IFERROR(__xludf.DUMMYFUNCTION("IF(REGEXMATCH(C57, ""g""), ""G2"","""")"),"")</f>
        <v/>
      </c>
      <c r="GT57" s="294" t="str">
        <f>IFERROR(__xludf.DUMMYFUNCTION("IF(REGEXMATCH(C57, ""G""), ""G3"","""")"),"G3")</f>
        <v>G3</v>
      </c>
      <c r="GU57" s="294" t="str">
        <f>IFERROR(__xludf.DUMMYFUNCTION("IF(REGEXMATCH(C57, ""m""), ""M1"","""")"),"")</f>
        <v/>
      </c>
      <c r="GV57" s="295" t="str">
        <f>IFERROR(__xludf.DUMMYFUNCTION("IF(REGEXMATCH(C57, ""M""), ""M2"","""")"),"")</f>
        <v/>
      </c>
      <c r="GW57" s="294" t="str">
        <f>IFERROR(__xludf.DUMMYFUNCTION("IF(REGEXMATCH(C57, ""P""), ""P"","""")"),"P")</f>
        <v>P</v>
      </c>
      <c r="GX57" s="295" t="str">
        <f>IFERROR(__xludf.DUMMYFUNCTION("IF(REGEXMATCH(C57, ""d""), ""D1"","""")"),"")</f>
        <v/>
      </c>
      <c r="GY57" s="294" t="str">
        <f>IFERROR(__xludf.DUMMYFUNCTION("IF(REGEXMATCH(C57, ""D""), ""D2"","""")"),"D2")</f>
        <v>D2</v>
      </c>
      <c r="GZ57" s="294" t="str">
        <f>IFERROR(__xludf.DUMMYFUNCTION("IF(REGEXMATCH(C57, ""n""), ""N2"","""")"),"")</f>
        <v/>
      </c>
      <c r="HA57" s="295" t="str">
        <f>IFERROR(__xludf.DUMMYFUNCTION("IF(REGEXMATCH(C57, ""N""), ""N3"","""")"),"")</f>
        <v/>
      </c>
      <c r="HB57" s="249" t="str">
        <f>IFERROR(__xludf.DUMMYFUNCTION("IF(REGEXMATCH(C57, ""S""), ""S"","""")"),"S")</f>
        <v>S</v>
      </c>
      <c r="HC57" s="331" t="str">
        <f t="shared" si="95"/>
        <v>S</v>
      </c>
      <c r="HD57" s="332" t="str">
        <f t="shared" si="96"/>
        <v/>
      </c>
      <c r="HE57" s="332" t="str">
        <f t="shared" si="97"/>
        <v/>
      </c>
      <c r="HF57" s="332" t="str">
        <f t="shared" si="98"/>
        <v>g</v>
      </c>
      <c r="HG57" s="332" t="str">
        <f t="shared" si="99"/>
        <v/>
      </c>
      <c r="HH57" s="332" t="str">
        <f t="shared" si="100"/>
        <v>m</v>
      </c>
      <c r="HI57" s="332" t="str">
        <f t="shared" si="101"/>
        <v/>
      </c>
      <c r="HJ57" s="332" t="str">
        <f t="shared" si="102"/>
        <v/>
      </c>
      <c r="HK57" s="332" t="str">
        <f t="shared" si="103"/>
        <v>d</v>
      </c>
      <c r="HL57" s="332" t="str">
        <f t="shared" si="104"/>
        <v/>
      </c>
      <c r="HM57" s="332" t="str">
        <f t="shared" si="105"/>
        <v>n</v>
      </c>
      <c r="HN57" s="332" t="str">
        <f t="shared" si="106"/>
        <v/>
      </c>
      <c r="HO57" s="343" t="str">
        <f t="shared" si="107"/>
        <v>S</v>
      </c>
      <c r="HP57" s="331" t="str">
        <f t="shared" si="108"/>
        <v>o</v>
      </c>
      <c r="HQ57" s="332" t="str">
        <f t="shared" si="109"/>
        <v>•</v>
      </c>
      <c r="HR57" s="332" t="str">
        <f t="shared" si="110"/>
        <v>o</v>
      </c>
      <c r="HS57" s="332" t="str">
        <f t="shared" si="111"/>
        <v>•</v>
      </c>
      <c r="HT57" s="332" t="str">
        <f t="shared" si="112"/>
        <v>o</v>
      </c>
      <c r="HU57" s="332" t="str">
        <f t="shared" si="113"/>
        <v>•</v>
      </c>
      <c r="HV57" s="332" t="str">
        <f t="shared" si="114"/>
        <v>•</v>
      </c>
      <c r="HW57" s="332" t="str">
        <f t="shared" si="115"/>
        <v>o</v>
      </c>
      <c r="HX57" s="332" t="str">
        <f t="shared" si="116"/>
        <v>•</v>
      </c>
      <c r="HY57" s="332" t="str">
        <f t="shared" si="117"/>
        <v>o</v>
      </c>
      <c r="HZ57" s="332" t="str">
        <f t="shared" si="118"/>
        <v>•</v>
      </c>
      <c r="IA57" s="332" t="str">
        <f t="shared" si="119"/>
        <v>•</v>
      </c>
      <c r="IB57" s="338" t="str">
        <f t="shared" si="120"/>
        <v>o</v>
      </c>
      <c r="IC57" s="331" t="str">
        <f t="shared" si="121"/>
        <v>•</v>
      </c>
      <c r="ID57" s="332" t="str">
        <f t="shared" si="122"/>
        <v>o</v>
      </c>
      <c r="IE57" s="332" t="str">
        <f t="shared" si="123"/>
        <v>•</v>
      </c>
      <c r="IF57" s="332" t="str">
        <f t="shared" si="124"/>
        <v>o</v>
      </c>
      <c r="IG57" s="332" t="str">
        <f t="shared" si="125"/>
        <v>•</v>
      </c>
      <c r="IH57" s="332" t="str">
        <f t="shared" si="126"/>
        <v>o</v>
      </c>
      <c r="II57" s="332" t="str">
        <f t="shared" si="127"/>
        <v>o</v>
      </c>
      <c r="IJ57" s="332" t="str">
        <f t="shared" si="128"/>
        <v>•</v>
      </c>
      <c r="IK57" s="332" t="str">
        <f t="shared" si="129"/>
        <v>o</v>
      </c>
      <c r="IL57" s="332" t="str">
        <f t="shared" si="130"/>
        <v>•</v>
      </c>
      <c r="IM57" s="332" t="str">
        <f t="shared" si="131"/>
        <v>o</v>
      </c>
      <c r="IN57" s="332" t="str">
        <f t="shared" si="132"/>
        <v>o</v>
      </c>
      <c r="IO57" s="338" t="str">
        <f t="shared" si="133"/>
        <v>•</v>
      </c>
      <c r="IP57" s="346" t="b">
        <f t="shared" si="134"/>
        <v>0</v>
      </c>
      <c r="IQ57" s="347" t="b">
        <f t="shared" si="135"/>
        <v>0</v>
      </c>
      <c r="IR57" s="347" t="b">
        <f t="shared" si="136"/>
        <v>0</v>
      </c>
      <c r="IS57" s="347" t="b">
        <f t="shared" si="137"/>
        <v>0</v>
      </c>
      <c r="IT57" s="347" t="b">
        <f t="shared" si="138"/>
        <v>1</v>
      </c>
      <c r="IU57" s="347" t="b">
        <f t="shared" si="139"/>
        <v>0</v>
      </c>
      <c r="IV57" s="347" t="b">
        <f t="shared" si="140"/>
        <v>0</v>
      </c>
      <c r="IW57" s="347" t="b">
        <f t="shared" si="141"/>
        <v>0</v>
      </c>
      <c r="IX57" s="347" t="b">
        <f t="shared" si="142"/>
        <v>0</v>
      </c>
      <c r="IY57" s="347" t="b">
        <f t="shared" si="143"/>
        <v>0</v>
      </c>
      <c r="IZ57" s="347" t="b">
        <f t="shared" si="144"/>
        <v>0</v>
      </c>
      <c r="JA57" s="347" t="b">
        <f t="shared" si="145"/>
        <v>0</v>
      </c>
      <c r="JB57" s="353" t="b">
        <f t="shared" si="146"/>
        <v>0</v>
      </c>
      <c r="JC57" s="354" t="str">
        <f t="shared" si="147"/>
        <v/>
      </c>
      <c r="JD57" s="355" t="str">
        <f t="shared" si="148"/>
        <v/>
      </c>
      <c r="JE57" s="355" t="str">
        <f t="shared" si="149"/>
        <v/>
      </c>
      <c r="JF57" s="355" t="str">
        <f t="shared" si="150"/>
        <v/>
      </c>
      <c r="JG57" s="355" t="str">
        <f t="shared" si="151"/>
        <v>Ga, </v>
      </c>
      <c r="JH57" s="355" t="str">
        <f t="shared" si="152"/>
        <v/>
      </c>
      <c r="JI57" s="355" t="str">
        <f t="shared" si="153"/>
        <v/>
      </c>
      <c r="JJ57" s="355" t="str">
        <f t="shared" si="154"/>
        <v/>
      </c>
      <c r="JK57" s="355" t="str">
        <f t="shared" si="155"/>
        <v/>
      </c>
      <c r="JL57" s="355" t="str">
        <f t="shared" si="156"/>
        <v/>
      </c>
      <c r="JM57" s="355" t="str">
        <f t="shared" si="157"/>
        <v/>
      </c>
      <c r="JN57" s="355" t="str">
        <f t="shared" si="158"/>
        <v/>
      </c>
      <c r="JO57" s="359" t="str">
        <f t="shared" si="159"/>
        <v/>
      </c>
      <c r="JP57" s="346" t="b">
        <f t="shared" si="160"/>
        <v>0</v>
      </c>
      <c r="JQ57" s="347" t="b">
        <f t="shared" si="161"/>
        <v>0</v>
      </c>
      <c r="JR57" s="347" t="b">
        <f t="shared" si="162"/>
        <v>0</v>
      </c>
      <c r="JS57" s="347" t="b">
        <f t="shared" si="163"/>
        <v>0</v>
      </c>
      <c r="JT57" s="347" t="b">
        <f t="shared" si="164"/>
        <v>0</v>
      </c>
      <c r="JU57" s="347" t="b">
        <f t="shared" si="165"/>
        <v>0</v>
      </c>
      <c r="JV57" s="347" t="b">
        <f t="shared" si="166"/>
        <v>0</v>
      </c>
      <c r="JW57" s="347" t="b">
        <f t="shared" si="167"/>
        <v>0</v>
      </c>
      <c r="JX57" s="347" t="b">
        <f t="shared" si="168"/>
        <v>0</v>
      </c>
      <c r="JY57" s="347" t="b">
        <f t="shared" si="169"/>
        <v>0</v>
      </c>
      <c r="JZ57" s="347" t="b">
        <f t="shared" si="170"/>
        <v>0</v>
      </c>
      <c r="KA57" s="347" t="b">
        <f t="shared" si="171"/>
        <v>0</v>
      </c>
      <c r="KB57" s="365" t="b">
        <f t="shared" si="172"/>
        <v>0</v>
      </c>
      <c r="KC57" s="354" t="str">
        <f t="shared" si="173"/>
        <v/>
      </c>
      <c r="KD57" s="355" t="str">
        <f t="shared" si="174"/>
        <v/>
      </c>
      <c r="KE57" s="355" t="str">
        <f t="shared" si="175"/>
        <v/>
      </c>
      <c r="KF57" s="355" t="str">
        <f t="shared" si="176"/>
        <v/>
      </c>
      <c r="KG57" s="355" t="str">
        <f t="shared" si="177"/>
        <v/>
      </c>
      <c r="KH57" s="355" t="str">
        <f t="shared" si="178"/>
        <v/>
      </c>
      <c r="KI57" s="355" t="str">
        <f t="shared" si="179"/>
        <v/>
      </c>
      <c r="KJ57" s="355" t="str">
        <f t="shared" si="180"/>
        <v/>
      </c>
      <c r="KK57" s="355" t="str">
        <f t="shared" si="181"/>
        <v/>
      </c>
      <c r="KL57" s="355" t="str">
        <f t="shared" si="182"/>
        <v/>
      </c>
      <c r="KM57" s="355" t="str">
        <f t="shared" si="183"/>
        <v/>
      </c>
      <c r="KN57" s="355" t="str">
        <f t="shared" si="184"/>
        <v/>
      </c>
      <c r="KO57" s="359"/>
      <c r="KP57" s="378"/>
      <c r="KQ57" s="379" t="s">
        <v>619</v>
      </c>
      <c r="KR57" s="380" t="s">
        <v>1343</v>
      </c>
      <c r="KS57" s="381" t="str">
        <f t="shared" si="305"/>
        <v>S-R-G-P-D-S</v>
      </c>
      <c r="KT57" s="382">
        <f t="shared" si="186"/>
        <v>5</v>
      </c>
      <c r="KU57" s="383">
        <f t="shared" si="187"/>
        <v>5</v>
      </c>
      <c r="KV57" s="381" t="str">
        <f t="shared" si="205"/>
        <v>S-D-P-G-R-S</v>
      </c>
      <c r="KW57" s="382">
        <f t="shared" si="189"/>
        <v>5</v>
      </c>
      <c r="KX57" s="384">
        <f t="shared" si="190"/>
        <v>5</v>
      </c>
      <c r="KY57" s="382">
        <f t="shared" ref="KY57:KZ57" si="310">KW57-KT57</f>
        <v>0</v>
      </c>
      <c r="KZ57" s="369">
        <f t="shared" si="310"/>
        <v>0</v>
      </c>
      <c r="LA57" s="385" t="str">
        <f t="shared" si="192"/>
        <v>✔</v>
      </c>
      <c r="LB57" s="340" t="str">
        <f>IFERROR(__xludf.DUMMYFUNCTION("JOIN("""",ArrayFormula(MID(KS57,LEN(KS57)-SEQUENCE(1,LEN(KS57))+1,1)))"),"S-D-P-G-R-S")</f>
        <v>S-D-P-G-R-S</v>
      </c>
      <c r="LC57" s="373" t="str">
        <f>IFERROR(__xludf.DUMMYFUNCTION("JOIN("""",ArrayFormula(MID(KV57,LEN(KV57)-SEQUENCE(1,LEN(KV57))+1,1)))"),"S-R-G-P-D-S")</f>
        <v>S-R-G-P-D-S</v>
      </c>
      <c r="LD57" s="373" t="str">
        <f t="shared" si="193"/>
        <v>SRGPDS</v>
      </c>
      <c r="LE57" s="339" t="str">
        <f t="shared" si="194"/>
        <v>SRGPDS</v>
      </c>
      <c r="LF57" s="386" t="str">
        <f>IFERROR(__xludf.DUMMYFUNCTION("SUBSTITUTE(SUBSTITUTE(CONCATENATE(JOIN("""",LH57:LT57)),""1"",""""),""2"","""")"),"SRGPDS")</f>
        <v>SRGPDS</v>
      </c>
      <c r="LG57" s="369" t="str">
        <f t="shared" si="195"/>
        <v>✔</v>
      </c>
      <c r="LH57" s="387" t="str">
        <f>IFERROR(__xludf.DUMMYFUNCTION("IF(REGEXMATCH(LD57, ""S""), ""S"",IF(REGEXMATCH(LE57, ""S""), ""S"",""""))"),"S")</f>
        <v>S</v>
      </c>
      <c r="LI57" s="299" t="str">
        <f>IFERROR(__xludf.DUMMYFUNCTION("IF(REGEXMATCH(LD57, ""r""), ""r1"",IF(REGEXMATCH(LE57, ""r""), ""r2"",""""))"),"")</f>
        <v/>
      </c>
      <c r="LJ57" s="299" t="str">
        <f>IFERROR(__xludf.DUMMYFUNCTION("IF(REGEXMATCH(LD57, ""R""), ""R1"",IF(REGEXMATCH(LE57, ""R""), ""R2"",""""))"),"R1")</f>
        <v>R1</v>
      </c>
      <c r="LK57" s="299" t="str">
        <f>IFERROR(__xludf.DUMMYFUNCTION("IF(REGEXMATCH(LD57, ""g""), ""g1"",IF(REGEXMATCH(LE57, ""g""), ""g2"",""""))"),"")</f>
        <v/>
      </c>
      <c r="LL57" s="299" t="str">
        <f>IFERROR(__xludf.DUMMYFUNCTION("IF(REGEXMATCH(LD57, ""G""), ""G1"",IF(REGEXMATCH(LE57, ""G""), ""G2"",""""))"),"G1")</f>
        <v>G1</v>
      </c>
      <c r="LM57" s="299" t="str">
        <f>IFERROR(__xludf.DUMMYFUNCTION("IF(REGEXMATCH(LD57, ""m""), ""m1"",IF(REGEXMATCH(LE57, ""m""), ""m2"",""""))"),"")</f>
        <v/>
      </c>
      <c r="LN57" s="299" t="str">
        <f>IFERROR(__xludf.DUMMYFUNCTION("IF(REGEXMATCH(LD57, ""M""), ""M1"",IF(REGEXMATCH(LE57, ""M""), ""M2"",""""))"),"")</f>
        <v/>
      </c>
      <c r="LO57" s="299" t="str">
        <f>IFERROR(__xludf.DUMMYFUNCTION("IF(REGEXMATCH(LD57, ""P""), ""P1"",IF(REGEXMATCH(LE57, ""P""), ""P2"",""""))"),"P1")</f>
        <v>P1</v>
      </c>
      <c r="LP57" s="299" t="str">
        <f>IFERROR(__xludf.DUMMYFUNCTION("IF(REGEXMATCH(LD57, ""d""), ""d1"",IF(REGEXMATCH(LE57, ""d""), ""d2"",""""))"),"")</f>
        <v/>
      </c>
      <c r="LQ57" s="299" t="str">
        <f>IFERROR(__xludf.DUMMYFUNCTION("IF(REGEXMATCH(LD57, ""D""), ""D1"",IF(REGEXMATCH(LE57, ""D""), ""D2"",""""))"),"D1")</f>
        <v>D1</v>
      </c>
      <c r="LR57" s="299" t="str">
        <f>IFERROR(__xludf.DUMMYFUNCTION("IF(REGEXMATCH(LD57, ""n""), ""n1"",IF(REGEXMATCH(LE57, ""n""), ""n2"",""""))"),"")</f>
        <v/>
      </c>
      <c r="LS57" s="299" t="str">
        <f>IFERROR(__xludf.DUMMYFUNCTION("IF(REGEXMATCH(LD57, ""N""), ""N1"",IF(REGEXMATCH(LE57, ""N""), ""N2"",""""))"),"")</f>
        <v/>
      </c>
      <c r="LT57" s="388" t="str">
        <f>IFERROR(__xludf.DUMMYFUNCTION("IF(REGEXMATCH(LD57, ""S""), ""S"",IF(REGEXMATCH(LE57, ""S""), ""S"",""""))"),"S")</f>
        <v>S</v>
      </c>
      <c r="LU57" s="389">
        <f t="shared" si="196"/>
        <v>1</v>
      </c>
      <c r="LV57" s="378"/>
      <c r="LW57" s="369"/>
      <c r="LX57" s="369"/>
    </row>
    <row r="58" ht="18.0" customHeight="1">
      <c r="A58" s="298" t="s">
        <v>620</v>
      </c>
      <c r="B58" s="222" t="s">
        <v>621</v>
      </c>
      <c r="C58" s="233" t="str">
        <f t="shared" si="7"/>
        <v>SrgPdS</v>
      </c>
      <c r="D58" s="234" t="str">
        <f>IFERROR(__xludf.DUMMYFUNCTION("IF(REGEXMATCH(C58, ""S""), ""S"","""")"),"S")</f>
        <v>S</v>
      </c>
      <c r="E58" s="236" t="str">
        <f>IFERROR(__xludf.DUMMYFUNCTION("IF(REGEXMATCH(C58, ""r""), ""r"","""")"),"r")</f>
        <v>r</v>
      </c>
      <c r="F58" s="237" t="str">
        <f>IFERROR(__xludf.DUMMYFUNCTION("IF(REGEXMATCH(C58, ""R""), ""R"","""")"),"")</f>
        <v/>
      </c>
      <c r="G58" s="237" t="str">
        <f>IFERROR(__xludf.DUMMYFUNCTION("IF(REGEXMATCH(C58, ""g""), ""g"","""")"),"g")</f>
        <v>g</v>
      </c>
      <c r="H58" s="236" t="str">
        <f>IFERROR(__xludf.DUMMYFUNCTION("IF(REGEXMATCH(C58, ""G""), ""G"","""")"),"")</f>
        <v/>
      </c>
      <c r="I58" s="236" t="str">
        <f>IFERROR(__xludf.DUMMYFUNCTION("IF(REGEXMATCH(C58, ""m""), ""m"","""")"),"")</f>
        <v/>
      </c>
      <c r="J58" s="237" t="str">
        <f>IFERROR(__xludf.DUMMYFUNCTION("IF(REGEXMATCH(C58, ""M""), ""M"","""")"),"")</f>
        <v/>
      </c>
      <c r="K58" s="236" t="str">
        <f>IFERROR(__xludf.DUMMYFUNCTION("IF(REGEXMATCH(C58, ""P""), ""P"","""")"),"P")</f>
        <v>P</v>
      </c>
      <c r="L58" s="237" t="str">
        <f>IFERROR(__xludf.DUMMYFUNCTION("IF(REGEXMATCH(C58, ""d""), ""d"","""")"),"d")</f>
        <v>d</v>
      </c>
      <c r="M58" s="236" t="str">
        <f>IFERROR(__xludf.DUMMYFUNCTION("IF(REGEXMATCH(C58, ""D""), ""D"","""")"),"")</f>
        <v/>
      </c>
      <c r="N58" s="236" t="str">
        <f>IFERROR(__xludf.DUMMYFUNCTION("IF(REGEXMATCH(C58, ""n""), ""n"","""")"),"")</f>
        <v/>
      </c>
      <c r="O58" s="237" t="str">
        <f>IFERROR(__xludf.DUMMYFUNCTION("IF(REGEXMATCH(C58, ""N""), ""N"","""")"),"")</f>
        <v/>
      </c>
      <c r="P58" s="238" t="str">
        <f>IFERROR(__xludf.DUMMYFUNCTION("IF(REGEXMATCH(C58, ""S""), ""S"","""")"),"S")</f>
        <v>S</v>
      </c>
      <c r="Q58" s="239" t="str">
        <f>IFERROR(__xludf.DUMMYFUNCTION("SUBSTITUTE(CONCATENATE(JOIN(""-"",D58:J58)),""-"","""")"),"Srg")</f>
        <v>Srg</v>
      </c>
      <c r="R58" s="229" t="str">
        <f>IFERROR(__xludf.DUMMYFUNCTION("SUBSTITUTE(CONCATENATE(JOIN(""-"",K58:P58)),""-"","""")"),"PdS")</f>
        <v>PdS</v>
      </c>
      <c r="S58" s="282" t="str">
        <f t="shared" si="8"/>
        <v>S-R-G-</v>
      </c>
      <c r="T58" s="282" t="str">
        <f t="shared" si="9"/>
        <v>P-D-S</v>
      </c>
      <c r="U58" s="237" t="str">
        <f>IFERROR(__xludf.DUMMYFUNCTION("SUBSTITUTE(JOIN(""-"",S58,T58),""--"",""-"")"),"S-R-G-P-D-S")</f>
        <v>S-R-G-P-D-S</v>
      </c>
      <c r="V58" s="309" t="str">
        <f t="shared" si="10"/>
        <v>rgd</v>
      </c>
      <c r="W58" s="244" t="str">
        <f>IFERROR(__xludf.DUMMYFUNCTION("IF(REGEXMATCH(C58, ""S""), ""0"","""")"),"0")</f>
        <v>0</v>
      </c>
      <c r="X58" s="245" t="str">
        <f>IFERROR(__xludf.DUMMYFUNCTION("IF(REGEXMATCH(C58, ""r""), ""1"","""")"),"1")</f>
        <v>1</v>
      </c>
      <c r="Y58" s="246" t="str">
        <f>IFERROR(__xludf.DUMMYFUNCTION("IF(REGEXMATCH(C58, ""R""), ""2"","""")"),"")</f>
        <v/>
      </c>
      <c r="Z58" s="246" t="str">
        <f>IFERROR(__xludf.DUMMYFUNCTION("IF(REGEXMATCH(C58, ""g""), ""3"","""")"),"3")</f>
        <v>3</v>
      </c>
      <c r="AA58" s="245" t="str">
        <f>IFERROR(__xludf.DUMMYFUNCTION("IF(REGEXMATCH(C58, ""G""), ""4"","""")"),"")</f>
        <v/>
      </c>
      <c r="AB58" s="245" t="str">
        <f>IFERROR(__xludf.DUMMYFUNCTION("IF(REGEXMATCH(C58, ""m""), ""5"","""")"),"")</f>
        <v/>
      </c>
      <c r="AC58" s="246" t="str">
        <f>IFERROR(__xludf.DUMMYFUNCTION("IF(REGEXMATCH(C58, ""M""), ""6"","""")"),"")</f>
        <v/>
      </c>
      <c r="AD58" s="245" t="str">
        <f>IFERROR(__xludf.DUMMYFUNCTION("IF(REGEXMATCH(C58, ""P""), ""7"","""")"),"7")</f>
        <v>7</v>
      </c>
      <c r="AE58" s="246" t="str">
        <f>IFERROR(__xludf.DUMMYFUNCTION("IF(REGEXMATCH(C58, ""d""), ""8"","""")"),"8")</f>
        <v>8</v>
      </c>
      <c r="AF58" s="245" t="str">
        <f>IFERROR(__xludf.DUMMYFUNCTION("IF(REGEXMATCH(C58, ""D""), ""9"","""")"),"")</f>
        <v/>
      </c>
      <c r="AG58" s="245" t="str">
        <f>IFERROR(__xludf.DUMMYFUNCTION("IF(REGEXMATCH(C58, ""n""), ""10"","""")"),"")</f>
        <v/>
      </c>
      <c r="AH58" s="246" t="str">
        <f>IFERROR(__xludf.DUMMYFUNCTION("IF(REGEXMATCH(C58, ""N""), ""11"","""")"),"")</f>
        <v/>
      </c>
      <c r="AI58" s="249" t="str">
        <f>IFERROR(__xludf.DUMMYFUNCTION("IF(REGEXMATCH(C58, ""S""), ""0"","""")"),"0")</f>
        <v>0</v>
      </c>
      <c r="AJ58" s="313" t="str">
        <f t="shared" si="11"/>
        <v>-</v>
      </c>
      <c r="AK58" s="313" t="str">
        <f t="shared" si="12"/>
        <v>T</v>
      </c>
      <c r="AL58" s="313" t="str">
        <f t="shared" si="13"/>
        <v>-</v>
      </c>
      <c r="AM58" s="313" t="str">
        <f t="shared" si="14"/>
        <v>-</v>
      </c>
      <c r="AN58" s="313" t="str">
        <f t="shared" si="15"/>
        <v>-</v>
      </c>
      <c r="AO58" s="314" t="str">
        <f t="shared" si="16"/>
        <v>-</v>
      </c>
      <c r="AP58" s="316">
        <f t="shared" si="17"/>
        <v>1</v>
      </c>
      <c r="AQ58" s="319" t="str">
        <f t="shared" si="18"/>
        <v>-</v>
      </c>
      <c r="AR58" s="320">
        <f t="shared" si="19"/>
        <v>0</v>
      </c>
      <c r="AS58" s="250" t="str">
        <f>IFERROR(__xludf.DUMMYFUNCTION("SUBSTITUTE(SUBSTITUTE(CONCATENATE(JOIN("""",FP58:GA58)),""|"",""x""),""-"",""o"")"),"xxoxoooxxooo")</f>
        <v>xxoxoooxxooo</v>
      </c>
      <c r="AT58" s="323" t="str">
        <f>IFERROR(__xludf.DUMMYFUNCTION("JOIN("""",AS58,AS58)"),"xxoxoooxxoooxxoxoooxxooo")</f>
        <v>xxoxoooxxoooxxoxoooxxooo</v>
      </c>
      <c r="AU58" s="256" t="str">
        <f>IFERROR(__xludf.DUMMYFUNCTION("JOIN("""",ArrayFormula(MID(AS58,LEN(AS58)-SEQUENCE(1,LEN(AS58))+1,1)))"),"oooxxoooxoxx")</f>
        <v>oooxxoooxoxx</v>
      </c>
      <c r="AV58" s="256" t="str">
        <f>IFERROR(__xludf.DUMMYFUNCTION("LEFT(CONCATENATE(""x"",JOIN("""",ArrayFormula(MID(AS58,LEN(AS58)-SEQUENCE(1,LEN(AS58))+1,1)))),12)"),"xoooxxoooxox")</f>
        <v>xoooxxoooxox</v>
      </c>
      <c r="AW58" s="327" t="str">
        <f>IFERROR(__xludf.DUMMYFUNCTION("JOIN("""",AU58,AU58)"),"oooxxoooxoxxoooxxoooxoxx")</f>
        <v>oooxxoooxoxxoooxxoooxoxx</v>
      </c>
      <c r="AX58" s="239" t="str">
        <f>IFERROR(__xludf.DUMMYFUNCTION("IF(REGEXMATCH(AW58,AS58),""✔"",""-"")"),"-")</f>
        <v>-</v>
      </c>
      <c r="AY58" s="330" t="str">
        <f t="shared" si="20"/>
        <v>-</v>
      </c>
      <c r="AZ58" s="260" t="str">
        <f t="shared" si="21"/>
        <v>#REF!</v>
      </c>
      <c r="BA58" s="333" t="str">
        <f t="shared" si="22"/>
        <v>xxoxooo</v>
      </c>
      <c r="BB58" s="334" t="str">
        <f t="shared" si="23"/>
        <v>xxooox</v>
      </c>
      <c r="BC58" s="335" t="str">
        <f t="shared" si="236"/>
        <v>-</v>
      </c>
      <c r="BD58" s="336" t="str">
        <f t="shared" si="25"/>
        <v>Bhupali Todi: 'xxoxooo' + 'xxooox'</v>
      </c>
      <c r="BE58" s="337">
        <f>IFERROR(__xludf.DUMMYFUNCTION("COUNTUNIQUE(FILTER(AT:AT,REGEXMATCH(AT:AT,AS58)))-1"),0.0)</f>
        <v>0</v>
      </c>
      <c r="BF58" s="261" t="str">
        <f>IFERROR(__xludf.DUMMYFUNCTION("IF(BI58=0,""(n/a)"",IF(BJ58=2,""(PAIR)"",IF(REGEXMATCH(AT58,""xoxoxxoxoxox""),""Bilawal"",IF(REGEXMATCH(AT58,""xoxoxooxoxoo""),""Bhupali"",IF(REGEXMATCH(AT58,""xoxoxxoxxoxo""),""Charukeshi"",IF(REGEXMATCH(AT58,""xoxoooxxoxxo""),""Kameshwari"",IF(REGEXMATC"&amp;"H(AT58,""xoxoxooxoxox""),""Shankara"",IF(REGEXMATCH(AT58,""xxooxoxxxoox""),""Basant"",IF(REGEXMATCH(AT58,""xoxoxxxxoxox""),""Bihag"",IF(REGEXMATCH(AT58,""xoxxxxoxoxxx""),""Pilu"",IF(REGEXMATCH(AT58,""xoxxoxoxxoox""),""Kirwani"",IF(REGEXMATCH(AT58,""xoxxox"&amp;"oxoxxx""),""Mk.Malhar"",IF(REGEXMATCH(AT58,""xxooxxoxxoox""),""Bhairav"",IF(REGEXMATCH(AT58,""xxoxooxxxoox""),""Todi"",IF(REGEXMATCH(AT58,""xxooxoxooxox""),""Marwa"",IF(REGEXMATCH(AT58,""xxoooxoxxooo""),""Gunkali"",IF(REGEXMATCH(AT58,""xoxoxxoxxoox""),""N"&amp;"at Bhairav"",IF(REGEXMATCH(AT58,""xoxxoooxoxoo""),""Shivranjani"",IF(REGEXMATCH(AT58,""xooxxxoxooxo""),""Jog"",IF(REGEXMATCH(AT58,""xxooxoxoxoox""),""Hemshri"",IF(REGEXMATCH(AT58,""xoooxooxoxxo""),""Kalavati"",IF(REGEXMATCH(AT58,""xxoxoxxoxoox""),""Kedar"&amp;""",IF(REGEXMATCH(AT58,""xoxxxxoxooxx""),""Gara"",IF(REGEXMATCH(AT58,""xooxoxooxoox""),""Chandrakauns"",IF(REGEXMATCH(AT58,""xoxxxxoxxxox""),""Mand"",IF(REGEXMATCH(AT58,""xoxxxxoxoxox""),""Hanskinkini"",IF(REGEXMATCH(AT58,""xxooxxoxooxo""),""Lilavati"",IF("&amp;"REGEXMATCH(AT58,""xooxoxoooxox""),""Rajeshwari"",IF(REGEXMATCH(AT58,""xoooxxoxoxxx""),""Khokar"",IF(REGEXMATCH(AT58,""xxooxoxxxxox""),""Maligoura"",""-""))))))))))))))))))))))))))))))"),"(n/a)")</f>
        <v>(n/a)</v>
      </c>
      <c r="BG58" s="239" t="str">
        <f t="shared" si="26"/>
        <v>#REF!</v>
      </c>
      <c r="BH58" s="239">
        <f>IFERROR(__xludf.DUMMYFUNCTION("COUNTUNIQUE(FE58:FO58)-1"),4.0)</f>
        <v>4</v>
      </c>
      <c r="BI58" s="239">
        <f>IFERROR(__xludf.DUMMYFUNCTION("COUNTUNIQUE(FILTER(AT:AT,REGEXMATCH(AT:AT,AS58)))-1"),0.0)</f>
        <v>0</v>
      </c>
      <c r="BJ58" s="239">
        <f>IFERROR(__xludf.DUMMYFUNCTION("COUNTA(FILTER(AT:AT,REGEXMATCH(AT:AT,AS58)))"),1.0)</f>
        <v>1</v>
      </c>
      <c r="BK58" s="341">
        <f>IFERROR(__xludf.DUMMYFUNCTION("COUNTA(FILTER(AT:AT,REGEXMATCH(AT:AT,AS58)))-AR58"),1.0)</f>
        <v>1</v>
      </c>
      <c r="BL58" s="276" t="str">
        <f>IFERROR(__xludf.DUMMYFUNCTION("IF(AS58=""oooooooooooo"",""-"",IF(REGEXMATCH(AT58,""xx""), ""Hemi."", ""Anhemi.""))"),"Hemi.")</f>
        <v>Hemi.</v>
      </c>
      <c r="BM58" s="282" t="str">
        <f>IFERROR(__xludf.DUMMYFUNCTION("IF(AS58=""oooooooooooo"",""-"",IF(REGEXMATCH(AT58,""xxx""), ""Cohem."", ""-""))"),"-")</f>
        <v>-</v>
      </c>
      <c r="BN58" s="282" t="str">
        <f>IFERROR(__xludf.DUMMYFUNCTION("IF(AS58=""oooooooooooo"",""-"",IF(REGEXMATCH(AT58,""xxxx""), ""Co-Co."", ""-""))"),"-")</f>
        <v>-</v>
      </c>
      <c r="BO58" s="342" t="str">
        <f>IFERROR(__xludf.DUMMYFUNCTION("IF(AS58=""oooooooooooo"",""-"",IF(REGEXMATCH(AT58,""xxxxx""), ""CCC."", ""-""))"),"-")</f>
        <v>-</v>
      </c>
      <c r="BP58" s="344" t="str">
        <f t="shared" si="27"/>
        <v>-</v>
      </c>
      <c r="BQ58" s="282" t="str">
        <f>IFERROR(__xludf.DUMMYFUNCTION("IF(REGEXMATCH(JOIN(""-"",EU58:FD58),""TRUE""),""✔"",""-"")"),"✔")</f>
        <v>✔</v>
      </c>
      <c r="BR58" s="225">
        <f t="shared" si="28"/>
        <v>2</v>
      </c>
      <c r="BS58" s="345" t="str">
        <f>IFERROR(__xludf.DUMMYFUNCTION("SUBSTITUTE(SUBSTITUTE(SUBSTITUTE(SUBSTITUTE(CONCATENATE(JOIN(""-"",GC58:GO58)),""--"",""-""),""--"",""-""),""--"",""-""),""--"",""-"")"),"1-b2-b3-5-b6-8")</f>
        <v>1-b2-b3-5-b6-8</v>
      </c>
      <c r="BT58" s="299" t="str">
        <f>IFERROR(__xludf.DUMMYFUNCTION("SUBSTITUTE(SUBSTITUTE(SUBSTITUTE(SUBSTITUTE(CONCATENATE(JOIN(""-"",GP58:HB58)),""--"",""-""),""--"",""-""),""--"",""-""),""--"",""-"")"),"S-R1-G2-P-D1-S")</f>
        <v>S-R1-G2-P-D1-S</v>
      </c>
      <c r="BU58" s="348" t="str">
        <f t="shared" si="29"/>
        <v>C-Db-Eb-G-Ab-C</v>
      </c>
      <c r="BV58" s="349" t="str">
        <f t="shared" si="30"/>
        <v>SRGmMDnNS</v>
      </c>
      <c r="BW58" s="350">
        <f t="shared" si="31"/>
        <v>0</v>
      </c>
      <c r="BX58" s="351">
        <f t="shared" si="32"/>
        <v>1</v>
      </c>
      <c r="BY58" s="352" t="s">
        <v>275</v>
      </c>
      <c r="BZ58" s="309" t="str">
        <f>IFERROR(__xludf.DUMMYFUNCTION("IF(REGEXMATCH(C58, ""S""), ""x"",""x"")"),"x")</f>
        <v>x</v>
      </c>
      <c r="CA58" s="245" t="str">
        <f>IFERROR(__xludf.DUMMYFUNCTION("IF(REGEXMATCH(C58, ""r""), ""o"",""x"")"),"o")</f>
        <v>o</v>
      </c>
      <c r="CB58" s="246" t="str">
        <f>IFERROR(__xludf.DUMMYFUNCTION("IF(REGEXMATCH(C58, ""R""), ""o"",""x"")"),"x")</f>
        <v>x</v>
      </c>
      <c r="CC58" s="246" t="str">
        <f>IFERROR(__xludf.DUMMYFUNCTION("IF(REGEXMATCH(C58, ""g""), ""o"",""x"")"),"o")</f>
        <v>o</v>
      </c>
      <c r="CD58" s="245" t="str">
        <f>IFERROR(__xludf.DUMMYFUNCTION("IF(REGEXMATCH(C58, ""G""), ""o"",""x"")"),"x")</f>
        <v>x</v>
      </c>
      <c r="CE58" s="245" t="str">
        <f>IFERROR(__xludf.DUMMYFUNCTION("IF(REGEXMATCH(C58, ""m""), ""o"",""x"")"),"x")</f>
        <v>x</v>
      </c>
      <c r="CF58" s="246" t="str">
        <f>IFERROR(__xludf.DUMMYFUNCTION("IF(REGEXMATCH(C58, ""M""), ""o"",""x"")"),"x")</f>
        <v>x</v>
      </c>
      <c r="CG58" s="245" t="str">
        <f>IFERROR(__xludf.DUMMYFUNCTION("IF(REGEXMATCH(C58, ""P""), ""o"",""x"")"),"o")</f>
        <v>o</v>
      </c>
      <c r="CH58" s="246" t="str">
        <f>IFERROR(__xludf.DUMMYFUNCTION("IF(REGEXMATCH(C58, ""d""), ""o"",""x"")"),"o")</f>
        <v>o</v>
      </c>
      <c r="CI58" s="245" t="str">
        <f>IFERROR(__xludf.DUMMYFUNCTION("IF(REGEXMATCH(C58, ""D""), ""o"",""x"")"),"x")</f>
        <v>x</v>
      </c>
      <c r="CJ58" s="245" t="str">
        <f>IFERROR(__xludf.DUMMYFUNCTION("IF(REGEXMATCH(C58, ""n""), ""o"",""x"")"),"x")</f>
        <v>x</v>
      </c>
      <c r="CK58" s="245" t="str">
        <f>IFERROR(__xludf.DUMMYFUNCTION("IF(REGEXMATCH(C58, ""N""), ""o"",""x"")"),"x")</f>
        <v>x</v>
      </c>
      <c r="CL58" s="356" t="str">
        <f>IFERROR(__xludf.DUMMYFUNCTION("IF(REGEXMATCH(C58, ""S""), ""x"",""x"")"),"x")</f>
        <v>x</v>
      </c>
      <c r="CM58" s="357" t="str">
        <f t="shared" si="33"/>
        <v>xoxoxxxooxxx</v>
      </c>
      <c r="CN58" s="358">
        <f t="shared" si="34"/>
        <v>0</v>
      </c>
      <c r="CO58" s="246" t="str">
        <f>IFERROR(__xludf.DUMMYFUNCTION("IF(REGEXMATCH($C58, ""S""), ""S"",""S"")"),"S")</f>
        <v>S</v>
      </c>
      <c r="CP58" s="246" t="str">
        <f>IFERROR(__xludf.DUMMYFUNCTION("IF(REGEXMATCH($C58, ""r""), """",""r"")"),"")</f>
        <v/>
      </c>
      <c r="CQ58" s="246" t="str">
        <f>IFERROR(__xludf.DUMMYFUNCTION("IF(REGEXMATCH($C58, ""R""), """",""R"")"),"R")</f>
        <v>R</v>
      </c>
      <c r="CR58" s="246" t="str">
        <f>IFERROR(__xludf.DUMMYFUNCTION("IF(REGEXMATCH($C58, ""g""), """",""g"")"),"")</f>
        <v/>
      </c>
      <c r="CS58" s="246" t="str">
        <f>IFERROR(__xludf.DUMMYFUNCTION("IF(REGEXMATCH($C58, ""G""), """",""G"")"),"G")</f>
        <v>G</v>
      </c>
      <c r="CT58" s="246" t="str">
        <f>IFERROR(__xludf.DUMMYFUNCTION("IF(REGEXMATCH($C58, ""m""), """",""m"")"),"m")</f>
        <v>m</v>
      </c>
      <c r="CU58" s="246" t="str">
        <f>IFERROR(__xludf.DUMMYFUNCTION("IF(REGEXMATCH($C58, ""M""), """",""M"")"),"M")</f>
        <v>M</v>
      </c>
      <c r="CV58" s="246" t="str">
        <f>IFERROR(__xludf.DUMMYFUNCTION("IF(REGEXMATCH($C58, ""P""), """",""P"")"),"")</f>
        <v/>
      </c>
      <c r="CW58" s="246" t="str">
        <f>IFERROR(__xludf.DUMMYFUNCTION("IF(REGEXMATCH($C58, ""d""), """",""d"")"),"")</f>
        <v/>
      </c>
      <c r="CX58" s="246" t="str">
        <f>IFERROR(__xludf.DUMMYFUNCTION("IF(REGEXMATCH($C58, ""D""), """",""D"")"),"D")</f>
        <v>D</v>
      </c>
      <c r="CY58" s="246" t="str">
        <f>IFERROR(__xludf.DUMMYFUNCTION("IF(REGEXMATCH($C58, ""n""), """",""n"")"),"n")</f>
        <v>n</v>
      </c>
      <c r="CZ58" s="246" t="str">
        <f>IFERROR(__xludf.DUMMYFUNCTION("IF(REGEXMATCH($C58, ""N""), """",""N"")"),"N")</f>
        <v>N</v>
      </c>
      <c r="DA58" s="246" t="str">
        <f>IFERROR(__xludf.DUMMYFUNCTION("IF(REGEXMATCH($C58, ""S""), ""S"",""S"")"),"S")</f>
        <v>S</v>
      </c>
      <c r="DB58" s="362" t="str">
        <f>IFERROR(__xludf.DUMMYFUNCTION("JOIN("""",CO58:DA58,"""","""")"),"SRGmMDnNS")</f>
        <v>SRGmMDnNS</v>
      </c>
      <c r="DC58" s="363"/>
      <c r="DD58" s="301" t="str">
        <f t="shared" si="35"/>
        <v>#REF!</v>
      </c>
      <c r="DE58" s="302" t="str">
        <f t="shared" si="36"/>
        <v>#REF!</v>
      </c>
      <c r="DF58" s="301" t="str">
        <f t="shared" ref="DF58:DG58" si="311">SUBSTITUTE(S58,"-","")</f>
        <v>SRG</v>
      </c>
      <c r="DG58" s="301" t="str">
        <f t="shared" si="311"/>
        <v>PDS</v>
      </c>
      <c r="DH58" s="302" t="str">
        <f t="shared" si="38"/>
        <v>(n/a)</v>
      </c>
      <c r="DI58" s="301" t="str">
        <f t="shared" si="39"/>
        <v>Hemi.</v>
      </c>
      <c r="DJ58" s="364" t="str">
        <f t="shared" si="40"/>
        <v>-</v>
      </c>
      <c r="DK58" s="306" t="str">
        <f t="shared" si="41"/>
        <v>-</v>
      </c>
      <c r="DL58" s="366" t="str">
        <f t="shared" si="42"/>
        <v>✔</v>
      </c>
      <c r="DM58" s="308" t="str">
        <f t="shared" si="43"/>
        <v>-</v>
      </c>
      <c r="DN58" s="306" t="str">
        <f t="shared" si="44"/>
        <v>-</v>
      </c>
      <c r="DO58" s="306" t="str">
        <f t="shared" si="45"/>
        <v>✔</v>
      </c>
      <c r="DP58" s="367" t="str">
        <f t="shared" si="46"/>
        <v>-</v>
      </c>
      <c r="DQ58" s="310" t="str">
        <f t="shared" si="47"/>
        <v>-</v>
      </c>
      <c r="DR58" s="310" t="str">
        <f t="shared" si="48"/>
        <v>-</v>
      </c>
      <c r="DS58" s="310" t="str">
        <f t="shared" si="49"/>
        <v>-</v>
      </c>
      <c r="DT58" s="310" t="str">
        <f t="shared" si="50"/>
        <v>-</v>
      </c>
      <c r="DU58" s="370" t="str">
        <f t="shared" si="51"/>
        <v>-</v>
      </c>
      <c r="DV58" s="306" t="str">
        <f t="shared" si="52"/>
        <v>-</v>
      </c>
      <c r="DW58" s="306" t="str">
        <f t="shared" si="53"/>
        <v>-</v>
      </c>
      <c r="DX58" s="306" t="str">
        <f t="shared" si="54"/>
        <v>✔</v>
      </c>
      <c r="DY58" s="306" t="str">
        <f t="shared" si="55"/>
        <v>-</v>
      </c>
      <c r="DZ58" s="306" t="str">
        <f t="shared" si="56"/>
        <v>-</v>
      </c>
      <c r="EA58" s="367" t="str">
        <f t="shared" si="57"/>
        <v>✔</v>
      </c>
      <c r="EB58" s="310" t="str">
        <f>IFERROR(__xludf.DUMMYFUNCTION("IF(REGEXMATCH(AW58,AS58),""✔"",""-"")"),"-")</f>
        <v>-</v>
      </c>
      <c r="EC58" s="310" t="str">
        <f t="shared" si="58"/>
        <v>#REF!</v>
      </c>
      <c r="ED58" s="370" t="str">
        <f t="shared" si="59"/>
        <v>-</v>
      </c>
      <c r="EE58" s="340" t="str">
        <f t="shared" si="60"/>
        <v>S-r-g-P-d-S</v>
      </c>
      <c r="EF58" s="371" t="str">
        <f>IFERROR(__xludf.DUMMYFUNCTION("CONCATENATE(JOIN("""",HC58:HO58))"),"SGmDNS")</f>
        <v>SGmDNS</v>
      </c>
      <c r="EG58" s="372">
        <f t="shared" si="61"/>
        <v>2</v>
      </c>
      <c r="EH58" s="373" t="str">
        <f>IFERROR(__xludf.DUMMYFUNCTION("CONCATENATE(JOIN("""",JC58:JO58))"),"ga, Pa, ")</f>
        <v>ga, Pa, </v>
      </c>
      <c r="EI58" s="322">
        <f t="shared" si="62"/>
        <v>0</v>
      </c>
      <c r="EJ58" s="374" t="str">
        <f>IFERROR(__xludf.DUMMYFUNCTION("CONCATENATE(JOIN("""",KC58:KO58))"),"")</f>
        <v/>
      </c>
      <c r="EK58" s="325" t="str">
        <f t="shared" si="63"/>
        <v>S-R1-G2-P-D1-S</v>
      </c>
      <c r="EL58" s="326" t="str">
        <f t="shared" si="64"/>
        <v>1-b2-b3-5-b6-8</v>
      </c>
      <c r="EM58" s="318" t="str">
        <f t="shared" si="65"/>
        <v>#REF!</v>
      </c>
      <c r="EN58" s="328" t="str">
        <f>IFERROR(__xludf.DUMMYFUNCTION("SUBSTITUTE(SUBSTITUTE(SUBSTITUTE(SUBSTITUTE(CONCATENATE(JOIN("" "",HP58:IB58)),""  "","" ""),""  "","" ""),""  "","" ""),""  "","" "")"),"o o • o • • • o o • • • o")</f>
        <v>o o • o • • • o o • • • o</v>
      </c>
      <c r="EO58" s="368" t="str">
        <f t="shared" si="66"/>
        <v>Sa-Pa</v>
      </c>
      <c r="EP58" s="339" t="str">
        <f t="shared" si="67"/>
        <v>-</v>
      </c>
      <c r="EQ58" s="339" t="str">
        <f t="shared" si="68"/>
        <v>Sa-Pa</v>
      </c>
      <c r="ER58" s="339" t="str">
        <f t="shared" si="69"/>
        <v>Sa-Pa</v>
      </c>
      <c r="ES58" s="340" t="str">
        <f t="shared" si="70"/>
        <v>-</v>
      </c>
      <c r="ET58" s="363"/>
      <c r="EU58" s="376" t="b">
        <f>IFERROR(__xludf.DUMMYFUNCTION("arrayformula(sum(--REGEXMATCH(""SRGMPDNS"",split(REGEXREPLACE(C58,""(.)"",""$1~""),""~""))))=len(C58)
"),FALSE)</f>
        <v>0</v>
      </c>
      <c r="EV58" s="290" t="b">
        <f>IFERROR(__xludf.DUMMYFUNCTION("arrayformula(sum(--REGEXMATCH(""SRGmPDNS"",split(REGEXREPLACE(C58,""(.)"",""$1~""),""~""))))=len(C58)"),FALSE)</f>
        <v>0</v>
      </c>
      <c r="EW58" s="290" t="b">
        <f>IFERROR(__xludf.DUMMYFUNCTION("arrayformula(sum(--REGEXMATCH(""SRGmPDnS"",split(REGEXREPLACE(C58,""(.)"",""$1~""),""~""))))=len(C58)"),FALSE)</f>
        <v>0</v>
      </c>
      <c r="EX58" s="290" t="b">
        <f>IFERROR(__xludf.DUMMYFUNCTION("arrayformula(sum(--REGEXMATCH(""SRgmPDnS"",split(REGEXREPLACE(C58,""(.)"",""$1~""),""~""))))=len(C58)"),FALSE)</f>
        <v>0</v>
      </c>
      <c r="EY58" s="290" t="b">
        <f>IFERROR(__xludf.DUMMYFUNCTION("arrayformula(sum(--REGEXMATCH(""SRgmPdnS"",split(REGEXREPLACE(C58,""(.)"",""$1~""),""~""))))=len(C58)"),FALSE)</f>
        <v>0</v>
      </c>
      <c r="EZ58" s="290" t="b">
        <f>IFERROR(__xludf.DUMMYFUNCTION("arrayformula(sum(--REGEXMATCH(""SrgmPdnS"",split(REGEXREPLACE(C58,""(.)"",""$1~""),""~""))))=len(C58)"),TRUE)</f>
        <v>1</v>
      </c>
      <c r="FA58" s="290" t="b">
        <f>IFERROR(__xludf.DUMMYFUNCTION("arrayformula(sum(--REGEXMATCH(""SrGmPdNS"",split(REGEXREPLACE(C58,""(.)"",""$1~""),""~""))))=len(C58)"),FALSE)</f>
        <v>0</v>
      </c>
      <c r="FB58" s="290" t="b">
        <f>IFERROR(__xludf.DUMMYFUNCTION("arrayformula(sum(--REGEXMATCH(""SrGMPDNS"",split(REGEXREPLACE(C58,""(.)"",""$1~""),""~""))))=len(C58)"),FALSE)</f>
        <v>0</v>
      </c>
      <c r="FC58" s="290" t="b">
        <f>IFERROR(__xludf.DUMMYFUNCTION("arrayformula(sum(--REGEXMATCH(""SrGMPdNS"",split(REGEXREPLACE(C58,""(.)"",""$1~""),""~""))))=len(C58)"),FALSE)</f>
        <v>0</v>
      </c>
      <c r="FD58" s="377" t="b">
        <f>IFERROR(__xludf.DUMMYFUNCTION("arrayformula(sum(--REGEXMATCH(""SrgMPdNS"",split(REGEXREPLACE(C58,""(.)"",""$1~""),""~""))))=len(C58)"),TRUE)</f>
        <v>1</v>
      </c>
      <c r="FE58" s="269" t="str">
        <f t="shared" si="71"/>
        <v>xoxoooxxooo</v>
      </c>
      <c r="FF58" s="269" t="str">
        <f t="shared" si="72"/>
        <v>-</v>
      </c>
      <c r="FG58" s="271" t="str">
        <f t="shared" si="73"/>
        <v>xoooxxoooxx</v>
      </c>
      <c r="FH58" s="269" t="str">
        <f t="shared" si="74"/>
        <v>-</v>
      </c>
      <c r="FI58" s="271" t="str">
        <f t="shared" si="75"/>
        <v>-</v>
      </c>
      <c r="FJ58" s="271" t="str">
        <f t="shared" si="76"/>
        <v>-</v>
      </c>
      <c r="FK58" s="271" t="str">
        <f t="shared" si="77"/>
        <v>xxoooxxoxoo</v>
      </c>
      <c r="FL58" s="271" t="str">
        <f t="shared" si="78"/>
        <v>xoooxxoxooo</v>
      </c>
      <c r="FM58" s="271" t="str">
        <f t="shared" si="79"/>
        <v>-</v>
      </c>
      <c r="FN58" s="271" t="str">
        <f t="shared" si="80"/>
        <v>-</v>
      </c>
      <c r="FO58" s="274" t="str">
        <f t="shared" si="81"/>
        <v>-</v>
      </c>
      <c r="FP58" s="234" t="str">
        <f t="shared" si="82"/>
        <v>|</v>
      </c>
      <c r="FQ58" s="236" t="str">
        <f t="shared" si="83"/>
        <v>|</v>
      </c>
      <c r="FR58" s="237" t="str">
        <f t="shared" si="84"/>
        <v>-</v>
      </c>
      <c r="FS58" s="236" t="str">
        <f t="shared" si="85"/>
        <v>|</v>
      </c>
      <c r="FT58" s="237" t="str">
        <f t="shared" si="86"/>
        <v>-</v>
      </c>
      <c r="FU58" s="236" t="str">
        <f t="shared" si="87"/>
        <v>-</v>
      </c>
      <c r="FV58" s="237" t="str">
        <f t="shared" si="88"/>
        <v>-</v>
      </c>
      <c r="FW58" s="236" t="str">
        <f t="shared" si="89"/>
        <v>|</v>
      </c>
      <c r="FX58" s="237" t="str">
        <f t="shared" si="90"/>
        <v>|</v>
      </c>
      <c r="FY58" s="236" t="str">
        <f t="shared" si="91"/>
        <v>-</v>
      </c>
      <c r="FZ58" s="237" t="str">
        <f t="shared" si="92"/>
        <v>-</v>
      </c>
      <c r="GA58" s="236" t="str">
        <f t="shared" si="93"/>
        <v>-</v>
      </c>
      <c r="GB58" s="238" t="str">
        <f t="shared" si="94"/>
        <v>|</v>
      </c>
      <c r="GC58" s="244" t="str">
        <f>IFERROR(__xludf.DUMMYFUNCTION("IF(REGEXMATCH(C58, ""S""), ""1"","""")"),"1")</f>
        <v>1</v>
      </c>
      <c r="GD58" s="245" t="str">
        <f>IFERROR(__xludf.DUMMYFUNCTION("IF(REGEXMATCH(C58, ""r""), ""b2"","""")"),"b2")</f>
        <v>b2</v>
      </c>
      <c r="GE58" s="246" t="str">
        <f>IFERROR(__xludf.DUMMYFUNCTION("IF(REGEXMATCH(C58, ""R""), ""2"","""")"),"")</f>
        <v/>
      </c>
      <c r="GF58" s="246" t="str">
        <f>IFERROR(__xludf.DUMMYFUNCTION("IF(REGEXMATCH(C58, ""g""), ""b3"","""")"),"b3")</f>
        <v>b3</v>
      </c>
      <c r="GG58" s="245" t="str">
        <f>IFERROR(__xludf.DUMMYFUNCTION("IF(REGEXMATCH(C58, ""G""), ""3"","""")"),"")</f>
        <v/>
      </c>
      <c r="GH58" s="245" t="str">
        <f>IFERROR(__xludf.DUMMYFUNCTION("IF(REGEXMATCH(C58, ""m""), ""4"","""")"),"")</f>
        <v/>
      </c>
      <c r="GI58" s="246" t="str">
        <f>IFERROR(__xludf.DUMMYFUNCTION("IF(REGEXMATCH(C58, ""M""), ""#4"","""")"),"")</f>
        <v/>
      </c>
      <c r="GJ58" s="245" t="str">
        <f>IFERROR(__xludf.DUMMYFUNCTION("IF(REGEXMATCH(C58, ""P""), ""5"","""")"),"5")</f>
        <v>5</v>
      </c>
      <c r="GK58" s="246" t="str">
        <f>IFERROR(__xludf.DUMMYFUNCTION("IF(REGEXMATCH(C58, ""d""), ""b6"","""")"),"b6")</f>
        <v>b6</v>
      </c>
      <c r="GL58" s="245" t="str">
        <f>IFERROR(__xludf.DUMMYFUNCTION("IF(REGEXMATCH(C58, ""D""), ""6"","""")"),"")</f>
        <v/>
      </c>
      <c r="GM58" s="245" t="str">
        <f>IFERROR(__xludf.DUMMYFUNCTION("IF(REGEXMATCH(C58, ""n""), ""b7"","""")"),"")</f>
        <v/>
      </c>
      <c r="GN58" s="246" t="str">
        <f>IFERROR(__xludf.DUMMYFUNCTION("IF(REGEXMATCH(C58, ""N""), ""7"","""")"),"")</f>
        <v/>
      </c>
      <c r="GO58" s="249" t="str">
        <f>IFERROR(__xludf.DUMMYFUNCTION("IF(REGEXMATCH(C58, ""S""), ""8"","""")"),"8")</f>
        <v>8</v>
      </c>
      <c r="GP58" s="244" t="str">
        <f>IFERROR(__xludf.DUMMYFUNCTION("IF(REGEXMATCH(C58, ""S""), ""S"","""")"),"S")</f>
        <v>S</v>
      </c>
      <c r="GQ58" s="294" t="str">
        <f>IFERROR(__xludf.DUMMYFUNCTION("IF(REGEXMATCH(C58, ""r""), ""R1"","""")"),"R1")</f>
        <v>R1</v>
      </c>
      <c r="GR58" s="295" t="str">
        <f>IFERROR(__xludf.DUMMYFUNCTION("IF(REGEXMATCH(C58, ""R""), ""R2"","""")"),"")</f>
        <v/>
      </c>
      <c r="GS58" s="295" t="str">
        <f>IFERROR(__xludf.DUMMYFUNCTION("IF(REGEXMATCH(C58, ""g""), ""G2"","""")"),"G2")</f>
        <v>G2</v>
      </c>
      <c r="GT58" s="294" t="str">
        <f>IFERROR(__xludf.DUMMYFUNCTION("IF(REGEXMATCH(C58, ""G""), ""G3"","""")"),"")</f>
        <v/>
      </c>
      <c r="GU58" s="294" t="str">
        <f>IFERROR(__xludf.DUMMYFUNCTION("IF(REGEXMATCH(C58, ""m""), ""M1"","""")"),"")</f>
        <v/>
      </c>
      <c r="GV58" s="295" t="str">
        <f>IFERROR(__xludf.DUMMYFUNCTION("IF(REGEXMATCH(C58, ""M""), ""M2"","""")"),"")</f>
        <v/>
      </c>
      <c r="GW58" s="294" t="str">
        <f>IFERROR(__xludf.DUMMYFUNCTION("IF(REGEXMATCH(C58, ""P""), ""P"","""")"),"P")</f>
        <v>P</v>
      </c>
      <c r="GX58" s="295" t="str">
        <f>IFERROR(__xludf.DUMMYFUNCTION("IF(REGEXMATCH(C58, ""d""), ""D1"","""")"),"D1")</f>
        <v>D1</v>
      </c>
      <c r="GY58" s="294" t="str">
        <f>IFERROR(__xludf.DUMMYFUNCTION("IF(REGEXMATCH(C58, ""D""), ""D2"","""")"),"")</f>
        <v/>
      </c>
      <c r="GZ58" s="294" t="str">
        <f>IFERROR(__xludf.DUMMYFUNCTION("IF(REGEXMATCH(C58, ""n""), ""N2"","""")"),"")</f>
        <v/>
      </c>
      <c r="HA58" s="295" t="str">
        <f>IFERROR(__xludf.DUMMYFUNCTION("IF(REGEXMATCH(C58, ""N""), ""N3"","""")"),"")</f>
        <v/>
      </c>
      <c r="HB58" s="249" t="str">
        <f>IFERROR(__xludf.DUMMYFUNCTION("IF(REGEXMATCH(C58, ""S""), ""S"","""")"),"S")</f>
        <v>S</v>
      </c>
      <c r="HC58" s="331" t="str">
        <f t="shared" si="95"/>
        <v>S</v>
      </c>
      <c r="HD58" s="332" t="str">
        <f t="shared" si="96"/>
        <v/>
      </c>
      <c r="HE58" s="332" t="str">
        <f t="shared" si="97"/>
        <v/>
      </c>
      <c r="HF58" s="332" t="str">
        <f t="shared" si="98"/>
        <v/>
      </c>
      <c r="HG58" s="332" t="str">
        <f t="shared" si="99"/>
        <v>G</v>
      </c>
      <c r="HH58" s="332" t="str">
        <f t="shared" si="100"/>
        <v>m</v>
      </c>
      <c r="HI58" s="332" t="str">
        <f t="shared" si="101"/>
        <v/>
      </c>
      <c r="HJ58" s="332" t="str">
        <f t="shared" si="102"/>
        <v/>
      </c>
      <c r="HK58" s="332" t="str">
        <f t="shared" si="103"/>
        <v/>
      </c>
      <c r="HL58" s="332" t="str">
        <f t="shared" si="104"/>
        <v>D</v>
      </c>
      <c r="HM58" s="332" t="str">
        <f t="shared" si="105"/>
        <v/>
      </c>
      <c r="HN58" s="332" t="str">
        <f t="shared" si="106"/>
        <v>N</v>
      </c>
      <c r="HO58" s="343" t="str">
        <f t="shared" si="107"/>
        <v>S</v>
      </c>
      <c r="HP58" s="331" t="str">
        <f t="shared" si="108"/>
        <v>o</v>
      </c>
      <c r="HQ58" s="332" t="str">
        <f t="shared" si="109"/>
        <v>o</v>
      </c>
      <c r="HR58" s="332" t="str">
        <f t="shared" si="110"/>
        <v>•</v>
      </c>
      <c r="HS58" s="332" t="str">
        <f t="shared" si="111"/>
        <v>o</v>
      </c>
      <c r="HT58" s="332" t="str">
        <f t="shared" si="112"/>
        <v>•</v>
      </c>
      <c r="HU58" s="332" t="str">
        <f t="shared" si="113"/>
        <v>•</v>
      </c>
      <c r="HV58" s="332" t="str">
        <f t="shared" si="114"/>
        <v>•</v>
      </c>
      <c r="HW58" s="332" t="str">
        <f t="shared" si="115"/>
        <v>o</v>
      </c>
      <c r="HX58" s="332" t="str">
        <f t="shared" si="116"/>
        <v>o</v>
      </c>
      <c r="HY58" s="332" t="str">
        <f t="shared" si="117"/>
        <v>•</v>
      </c>
      <c r="HZ58" s="332" t="str">
        <f t="shared" si="118"/>
        <v>•</v>
      </c>
      <c r="IA58" s="332" t="str">
        <f t="shared" si="119"/>
        <v>•</v>
      </c>
      <c r="IB58" s="338" t="str">
        <f t="shared" si="120"/>
        <v>o</v>
      </c>
      <c r="IC58" s="331" t="str">
        <f t="shared" si="121"/>
        <v>•</v>
      </c>
      <c r="ID58" s="332" t="str">
        <f t="shared" si="122"/>
        <v>•</v>
      </c>
      <c r="IE58" s="332" t="str">
        <f t="shared" si="123"/>
        <v>o</v>
      </c>
      <c r="IF58" s="332" t="str">
        <f t="shared" si="124"/>
        <v>•</v>
      </c>
      <c r="IG58" s="332" t="str">
        <f t="shared" si="125"/>
        <v>o</v>
      </c>
      <c r="IH58" s="332" t="str">
        <f t="shared" si="126"/>
        <v>o</v>
      </c>
      <c r="II58" s="332" t="str">
        <f t="shared" si="127"/>
        <v>o</v>
      </c>
      <c r="IJ58" s="332" t="str">
        <f t="shared" si="128"/>
        <v>•</v>
      </c>
      <c r="IK58" s="332" t="str">
        <f t="shared" si="129"/>
        <v>•</v>
      </c>
      <c r="IL58" s="332" t="str">
        <f t="shared" si="130"/>
        <v>o</v>
      </c>
      <c r="IM58" s="332" t="str">
        <f t="shared" si="131"/>
        <v>o</v>
      </c>
      <c r="IN58" s="332" t="str">
        <f t="shared" si="132"/>
        <v>o</v>
      </c>
      <c r="IO58" s="338" t="str">
        <f t="shared" si="133"/>
        <v>•</v>
      </c>
      <c r="IP58" s="346" t="b">
        <f t="shared" si="134"/>
        <v>0</v>
      </c>
      <c r="IQ58" s="347" t="b">
        <f t="shared" si="135"/>
        <v>0</v>
      </c>
      <c r="IR58" s="347" t="b">
        <f t="shared" si="136"/>
        <v>0</v>
      </c>
      <c r="IS58" s="347" t="b">
        <f t="shared" si="137"/>
        <v>1</v>
      </c>
      <c r="IT58" s="347" t="b">
        <f t="shared" si="138"/>
        <v>0</v>
      </c>
      <c r="IU58" s="347" t="b">
        <f t="shared" si="139"/>
        <v>0</v>
      </c>
      <c r="IV58" s="347" t="b">
        <f t="shared" si="140"/>
        <v>0</v>
      </c>
      <c r="IW58" s="347" t="b">
        <f t="shared" si="141"/>
        <v>1</v>
      </c>
      <c r="IX58" s="347" t="b">
        <f t="shared" si="142"/>
        <v>0</v>
      </c>
      <c r="IY58" s="347" t="b">
        <f t="shared" si="143"/>
        <v>0</v>
      </c>
      <c r="IZ58" s="347" t="b">
        <f t="shared" si="144"/>
        <v>0</v>
      </c>
      <c r="JA58" s="347" t="b">
        <f t="shared" si="145"/>
        <v>0</v>
      </c>
      <c r="JB58" s="353" t="b">
        <f t="shared" si="146"/>
        <v>0</v>
      </c>
      <c r="JC58" s="354" t="str">
        <f t="shared" si="147"/>
        <v/>
      </c>
      <c r="JD58" s="355" t="str">
        <f t="shared" si="148"/>
        <v/>
      </c>
      <c r="JE58" s="355" t="str">
        <f t="shared" si="149"/>
        <v/>
      </c>
      <c r="JF58" s="355" t="str">
        <f t="shared" si="150"/>
        <v>ga, </v>
      </c>
      <c r="JG58" s="355" t="str">
        <f t="shared" si="151"/>
        <v/>
      </c>
      <c r="JH58" s="355" t="str">
        <f t="shared" si="152"/>
        <v/>
      </c>
      <c r="JI58" s="355" t="str">
        <f t="shared" si="153"/>
        <v/>
      </c>
      <c r="JJ58" s="355" t="str">
        <f t="shared" si="154"/>
        <v>Pa, </v>
      </c>
      <c r="JK58" s="355" t="str">
        <f t="shared" si="155"/>
        <v/>
      </c>
      <c r="JL58" s="355" t="str">
        <f t="shared" si="156"/>
        <v/>
      </c>
      <c r="JM58" s="355" t="str">
        <f t="shared" si="157"/>
        <v/>
      </c>
      <c r="JN58" s="355" t="str">
        <f t="shared" si="158"/>
        <v/>
      </c>
      <c r="JO58" s="359" t="str">
        <f t="shared" si="159"/>
        <v/>
      </c>
      <c r="JP58" s="346" t="b">
        <f t="shared" si="160"/>
        <v>0</v>
      </c>
      <c r="JQ58" s="347" t="b">
        <f t="shared" si="161"/>
        <v>0</v>
      </c>
      <c r="JR58" s="347" t="b">
        <f t="shared" si="162"/>
        <v>0</v>
      </c>
      <c r="JS58" s="347" t="b">
        <f t="shared" si="163"/>
        <v>0</v>
      </c>
      <c r="JT58" s="347" t="b">
        <f t="shared" si="164"/>
        <v>0</v>
      </c>
      <c r="JU58" s="347" t="b">
        <f t="shared" si="165"/>
        <v>0</v>
      </c>
      <c r="JV58" s="347" t="b">
        <f t="shared" si="166"/>
        <v>0</v>
      </c>
      <c r="JW58" s="347" t="b">
        <f t="shared" si="167"/>
        <v>0</v>
      </c>
      <c r="JX58" s="347" t="b">
        <f t="shared" si="168"/>
        <v>0</v>
      </c>
      <c r="JY58" s="347" t="b">
        <f t="shared" si="169"/>
        <v>0</v>
      </c>
      <c r="JZ58" s="347" t="b">
        <f t="shared" si="170"/>
        <v>0</v>
      </c>
      <c r="KA58" s="347" t="b">
        <f t="shared" si="171"/>
        <v>0</v>
      </c>
      <c r="KB58" s="365" t="b">
        <f t="shared" si="172"/>
        <v>0</v>
      </c>
      <c r="KC58" s="354" t="str">
        <f t="shared" si="173"/>
        <v/>
      </c>
      <c r="KD58" s="355" t="str">
        <f t="shared" si="174"/>
        <v/>
      </c>
      <c r="KE58" s="355" t="str">
        <f t="shared" si="175"/>
        <v/>
      </c>
      <c r="KF58" s="355" t="str">
        <f t="shared" si="176"/>
        <v/>
      </c>
      <c r="KG58" s="355" t="str">
        <f t="shared" si="177"/>
        <v/>
      </c>
      <c r="KH58" s="355" t="str">
        <f t="shared" si="178"/>
        <v/>
      </c>
      <c r="KI58" s="355" t="str">
        <f t="shared" si="179"/>
        <v/>
      </c>
      <c r="KJ58" s="355" t="str">
        <f t="shared" si="180"/>
        <v/>
      </c>
      <c r="KK58" s="355" t="str">
        <f t="shared" si="181"/>
        <v/>
      </c>
      <c r="KL58" s="355" t="str">
        <f t="shared" si="182"/>
        <v/>
      </c>
      <c r="KM58" s="355" t="str">
        <f t="shared" si="183"/>
        <v/>
      </c>
      <c r="KN58" s="355" t="str">
        <f t="shared" si="184"/>
        <v/>
      </c>
      <c r="KO58" s="359"/>
      <c r="KP58" s="378"/>
      <c r="KQ58" s="379" t="s">
        <v>621</v>
      </c>
      <c r="KR58" s="380" t="s">
        <v>1345</v>
      </c>
      <c r="KS58" s="381" t="str">
        <f t="shared" si="305"/>
        <v>S-r-g-P-d-S</v>
      </c>
      <c r="KT58" s="382">
        <f t="shared" si="186"/>
        <v>5</v>
      </c>
      <c r="KU58" s="383">
        <f t="shared" si="187"/>
        <v>5</v>
      </c>
      <c r="KV58" s="381" t="str">
        <f t="shared" si="205"/>
        <v>S-d-P-g-r-S</v>
      </c>
      <c r="KW58" s="382">
        <f t="shared" si="189"/>
        <v>5</v>
      </c>
      <c r="KX58" s="384">
        <f t="shared" si="190"/>
        <v>5</v>
      </c>
      <c r="KY58" s="382">
        <f t="shared" ref="KY58:KZ58" si="312">KW58-KT58</f>
        <v>0</v>
      </c>
      <c r="KZ58" s="369">
        <f t="shared" si="312"/>
        <v>0</v>
      </c>
      <c r="LA58" s="385" t="str">
        <f t="shared" si="192"/>
        <v>✔</v>
      </c>
      <c r="LB58" s="340" t="str">
        <f>IFERROR(__xludf.DUMMYFUNCTION("JOIN("""",ArrayFormula(MID(KS58,LEN(KS58)-SEQUENCE(1,LEN(KS58))+1,1)))"),"S-d-P-g-r-S")</f>
        <v>S-d-P-g-r-S</v>
      </c>
      <c r="LC58" s="373" t="str">
        <f>IFERROR(__xludf.DUMMYFUNCTION("JOIN("""",ArrayFormula(MID(KV58,LEN(KV58)-SEQUENCE(1,LEN(KV58))+1,1)))"),"S-r-g-P-d-S")</f>
        <v>S-r-g-P-d-S</v>
      </c>
      <c r="LD58" s="373" t="str">
        <f t="shared" si="193"/>
        <v>SrgPdS</v>
      </c>
      <c r="LE58" s="339" t="str">
        <f t="shared" si="194"/>
        <v>SrgPdS</v>
      </c>
      <c r="LF58" s="386" t="str">
        <f>IFERROR(__xludf.DUMMYFUNCTION("SUBSTITUTE(SUBSTITUTE(CONCATENATE(JOIN("""",LH58:LT58)),""1"",""""),""2"","""")"),"SrgPdS")</f>
        <v>SrgPdS</v>
      </c>
      <c r="LG58" s="369" t="str">
        <f t="shared" si="195"/>
        <v>✔</v>
      </c>
      <c r="LH58" s="387" t="str">
        <f>IFERROR(__xludf.DUMMYFUNCTION("IF(REGEXMATCH(LD58, ""S""), ""S"",IF(REGEXMATCH(LE58, ""S""), ""S"",""""))"),"S")</f>
        <v>S</v>
      </c>
      <c r="LI58" s="299" t="str">
        <f>IFERROR(__xludf.DUMMYFUNCTION("IF(REGEXMATCH(LD58, ""r""), ""r1"",IF(REGEXMATCH(LE58, ""r""), ""r2"",""""))"),"r1")</f>
        <v>r1</v>
      </c>
      <c r="LJ58" s="299" t="str">
        <f>IFERROR(__xludf.DUMMYFUNCTION("IF(REGEXMATCH(LD58, ""R""), ""R1"",IF(REGEXMATCH(LE58, ""R""), ""R2"",""""))"),"")</f>
        <v/>
      </c>
      <c r="LK58" s="299" t="str">
        <f>IFERROR(__xludf.DUMMYFUNCTION("IF(REGEXMATCH(LD58, ""g""), ""g1"",IF(REGEXMATCH(LE58, ""g""), ""g2"",""""))"),"g1")</f>
        <v>g1</v>
      </c>
      <c r="LL58" s="299" t="str">
        <f>IFERROR(__xludf.DUMMYFUNCTION("IF(REGEXMATCH(LD58, ""G""), ""G1"",IF(REGEXMATCH(LE58, ""G""), ""G2"",""""))"),"")</f>
        <v/>
      </c>
      <c r="LM58" s="299" t="str">
        <f>IFERROR(__xludf.DUMMYFUNCTION("IF(REGEXMATCH(LD58, ""m""), ""m1"",IF(REGEXMATCH(LE58, ""m""), ""m2"",""""))"),"")</f>
        <v/>
      </c>
      <c r="LN58" s="299" t="str">
        <f>IFERROR(__xludf.DUMMYFUNCTION("IF(REGEXMATCH(LD58, ""M""), ""M1"",IF(REGEXMATCH(LE58, ""M""), ""M2"",""""))"),"")</f>
        <v/>
      </c>
      <c r="LO58" s="299" t="str">
        <f>IFERROR(__xludf.DUMMYFUNCTION("IF(REGEXMATCH(LD58, ""P""), ""P1"",IF(REGEXMATCH(LE58, ""P""), ""P2"",""""))"),"P1")</f>
        <v>P1</v>
      </c>
      <c r="LP58" s="299" t="str">
        <f>IFERROR(__xludf.DUMMYFUNCTION("IF(REGEXMATCH(LD58, ""d""), ""d1"",IF(REGEXMATCH(LE58, ""d""), ""d2"",""""))"),"d1")</f>
        <v>d1</v>
      </c>
      <c r="LQ58" s="299" t="str">
        <f>IFERROR(__xludf.DUMMYFUNCTION("IF(REGEXMATCH(LD58, ""D""), ""D1"",IF(REGEXMATCH(LE58, ""D""), ""D2"",""""))"),"")</f>
        <v/>
      </c>
      <c r="LR58" s="299" t="str">
        <f>IFERROR(__xludf.DUMMYFUNCTION("IF(REGEXMATCH(LD58, ""n""), ""n1"",IF(REGEXMATCH(LE58, ""n""), ""n2"",""""))"),"")</f>
        <v/>
      </c>
      <c r="LS58" s="299" t="str">
        <f>IFERROR(__xludf.DUMMYFUNCTION("IF(REGEXMATCH(LD58, ""N""), ""N1"",IF(REGEXMATCH(LE58, ""N""), ""N2"",""""))"),"")</f>
        <v/>
      </c>
      <c r="LT58" s="388" t="str">
        <f>IFERROR(__xludf.DUMMYFUNCTION("IF(REGEXMATCH(LD58, ""S""), ""S"",IF(REGEXMATCH(LE58, ""S""), ""S"",""""))"),"S")</f>
        <v>S</v>
      </c>
      <c r="LU58" s="389">
        <f t="shared" si="196"/>
        <v>1</v>
      </c>
      <c r="LV58" s="378"/>
      <c r="LW58" s="369"/>
      <c r="LX58" s="369"/>
    </row>
    <row r="59" ht="18.0" customHeight="1">
      <c r="A59" s="298" t="s">
        <v>623</v>
      </c>
      <c r="B59" s="222" t="s">
        <v>624</v>
      </c>
      <c r="C59" s="233" t="str">
        <f t="shared" si="7"/>
        <v>SrGPdS</v>
      </c>
      <c r="D59" s="234" t="str">
        <f>IFERROR(__xludf.DUMMYFUNCTION("IF(REGEXMATCH(C59, ""S""), ""S"","""")"),"S")</f>
        <v>S</v>
      </c>
      <c r="E59" s="236" t="str">
        <f>IFERROR(__xludf.DUMMYFUNCTION("IF(REGEXMATCH(C59, ""r""), ""r"","""")"),"r")</f>
        <v>r</v>
      </c>
      <c r="F59" s="237" t="str">
        <f>IFERROR(__xludf.DUMMYFUNCTION("IF(REGEXMATCH(C59, ""R""), ""R"","""")"),"")</f>
        <v/>
      </c>
      <c r="G59" s="237" t="str">
        <f>IFERROR(__xludf.DUMMYFUNCTION("IF(REGEXMATCH(C59, ""g""), ""g"","""")"),"")</f>
        <v/>
      </c>
      <c r="H59" s="236" t="str">
        <f>IFERROR(__xludf.DUMMYFUNCTION("IF(REGEXMATCH(C59, ""G""), ""G"","""")"),"G")</f>
        <v>G</v>
      </c>
      <c r="I59" s="236" t="str">
        <f>IFERROR(__xludf.DUMMYFUNCTION("IF(REGEXMATCH(C59, ""m""), ""m"","""")"),"")</f>
        <v/>
      </c>
      <c r="J59" s="237" t="str">
        <f>IFERROR(__xludf.DUMMYFUNCTION("IF(REGEXMATCH(C59, ""M""), ""M"","""")"),"")</f>
        <v/>
      </c>
      <c r="K59" s="236" t="str">
        <f>IFERROR(__xludf.DUMMYFUNCTION("IF(REGEXMATCH(C59, ""P""), ""P"","""")"),"P")</f>
        <v>P</v>
      </c>
      <c r="L59" s="237" t="str">
        <f>IFERROR(__xludf.DUMMYFUNCTION("IF(REGEXMATCH(C59, ""d""), ""d"","""")"),"d")</f>
        <v>d</v>
      </c>
      <c r="M59" s="236" t="str">
        <f>IFERROR(__xludf.DUMMYFUNCTION("IF(REGEXMATCH(C59, ""D""), ""D"","""")"),"")</f>
        <v/>
      </c>
      <c r="N59" s="236" t="str">
        <f>IFERROR(__xludf.DUMMYFUNCTION("IF(REGEXMATCH(C59, ""n""), ""n"","""")"),"")</f>
        <v/>
      </c>
      <c r="O59" s="237" t="str">
        <f>IFERROR(__xludf.DUMMYFUNCTION("IF(REGEXMATCH(C59, ""N""), ""N"","""")"),"")</f>
        <v/>
      </c>
      <c r="P59" s="238" t="str">
        <f>IFERROR(__xludf.DUMMYFUNCTION("IF(REGEXMATCH(C59, ""S""), ""S"","""")"),"S")</f>
        <v>S</v>
      </c>
      <c r="Q59" s="239" t="str">
        <f>IFERROR(__xludf.DUMMYFUNCTION("SUBSTITUTE(CONCATENATE(JOIN(""-"",D59:J59)),""-"","""")"),"SrG")</f>
        <v>SrG</v>
      </c>
      <c r="R59" s="229" t="str">
        <f>IFERROR(__xludf.DUMMYFUNCTION("SUBSTITUTE(CONCATENATE(JOIN(""-"",K59:P59)),""-"","""")"),"PdS")</f>
        <v>PdS</v>
      </c>
      <c r="S59" s="282" t="str">
        <f t="shared" si="8"/>
        <v>S-R-G-</v>
      </c>
      <c r="T59" s="282" t="str">
        <f t="shared" si="9"/>
        <v>P-D-S</v>
      </c>
      <c r="U59" s="237" t="str">
        <f>IFERROR(__xludf.DUMMYFUNCTION("SUBSTITUTE(JOIN(""-"",S59,T59),""--"",""-"")"),"S-R-G-P-D-S")</f>
        <v>S-R-G-P-D-S</v>
      </c>
      <c r="V59" s="309" t="str">
        <f t="shared" si="10"/>
        <v>rGd</v>
      </c>
      <c r="W59" s="244" t="str">
        <f>IFERROR(__xludf.DUMMYFUNCTION("IF(REGEXMATCH(C59, ""S""), ""0"","""")"),"0")</f>
        <v>0</v>
      </c>
      <c r="X59" s="245" t="str">
        <f>IFERROR(__xludf.DUMMYFUNCTION("IF(REGEXMATCH(C59, ""r""), ""1"","""")"),"1")</f>
        <v>1</v>
      </c>
      <c r="Y59" s="246" t="str">
        <f>IFERROR(__xludf.DUMMYFUNCTION("IF(REGEXMATCH(C59, ""R""), ""2"","""")"),"")</f>
        <v/>
      </c>
      <c r="Z59" s="246" t="str">
        <f>IFERROR(__xludf.DUMMYFUNCTION("IF(REGEXMATCH(C59, ""g""), ""3"","""")"),"")</f>
        <v/>
      </c>
      <c r="AA59" s="245" t="str">
        <f>IFERROR(__xludf.DUMMYFUNCTION("IF(REGEXMATCH(C59, ""G""), ""4"","""")"),"4")</f>
        <v>4</v>
      </c>
      <c r="AB59" s="245" t="str">
        <f>IFERROR(__xludf.DUMMYFUNCTION("IF(REGEXMATCH(C59, ""m""), ""5"","""")"),"")</f>
        <v/>
      </c>
      <c r="AC59" s="246" t="str">
        <f>IFERROR(__xludf.DUMMYFUNCTION("IF(REGEXMATCH(C59, ""M""), ""6"","""")"),"")</f>
        <v/>
      </c>
      <c r="AD59" s="245" t="str">
        <f>IFERROR(__xludf.DUMMYFUNCTION("IF(REGEXMATCH(C59, ""P""), ""7"","""")"),"7")</f>
        <v>7</v>
      </c>
      <c r="AE59" s="246" t="str">
        <f>IFERROR(__xludf.DUMMYFUNCTION("IF(REGEXMATCH(C59, ""d""), ""8"","""")"),"8")</f>
        <v>8</v>
      </c>
      <c r="AF59" s="245" t="str">
        <f>IFERROR(__xludf.DUMMYFUNCTION("IF(REGEXMATCH(C59, ""D""), ""9"","""")"),"")</f>
        <v/>
      </c>
      <c r="AG59" s="245" t="str">
        <f>IFERROR(__xludf.DUMMYFUNCTION("IF(REGEXMATCH(C59, ""n""), ""10"","""")"),"")</f>
        <v/>
      </c>
      <c r="AH59" s="246" t="str">
        <f>IFERROR(__xludf.DUMMYFUNCTION("IF(REGEXMATCH(C59, ""N""), ""11"","""")"),"")</f>
        <v/>
      </c>
      <c r="AI59" s="249" t="str">
        <f>IFERROR(__xludf.DUMMYFUNCTION("IF(REGEXMATCH(C59, ""S""), ""0"","""")"),"0")</f>
        <v>0</v>
      </c>
      <c r="AJ59" s="313" t="str">
        <f t="shared" si="11"/>
        <v>-</v>
      </c>
      <c r="AK59" s="313" t="str">
        <f t="shared" si="12"/>
        <v>T</v>
      </c>
      <c r="AL59" s="313" t="str">
        <f t="shared" si="13"/>
        <v>-</v>
      </c>
      <c r="AM59" s="313" t="str">
        <f t="shared" si="14"/>
        <v>-</v>
      </c>
      <c r="AN59" s="313" t="str">
        <f t="shared" si="15"/>
        <v>-</v>
      </c>
      <c r="AO59" s="314" t="str">
        <f t="shared" si="16"/>
        <v>-</v>
      </c>
      <c r="AP59" s="316">
        <f t="shared" si="17"/>
        <v>1</v>
      </c>
      <c r="AQ59" s="319" t="str">
        <f t="shared" si="18"/>
        <v>#REF!</v>
      </c>
      <c r="AR59" s="320">
        <f t="shared" si="19"/>
        <v>0</v>
      </c>
      <c r="AS59" s="250" t="str">
        <f>IFERROR(__xludf.DUMMYFUNCTION("SUBSTITUTE(SUBSTITUTE(CONCATENATE(JOIN("""",FP59:GA59)),""|"",""x""),""-"",""o"")"),"xxooxooxxooo")</f>
        <v>xxooxooxxooo</v>
      </c>
      <c r="AT59" s="323" t="str">
        <f>IFERROR(__xludf.DUMMYFUNCTION("JOIN("""",AS59,AS59)"),"xxooxooxxoooxxooxooxxooo")</f>
        <v>xxooxooxxoooxxooxooxxooo</v>
      </c>
      <c r="AU59" s="256" t="str">
        <f>IFERROR(__xludf.DUMMYFUNCTION("JOIN("""",ArrayFormula(MID(AS59,LEN(AS59)-SEQUENCE(1,LEN(AS59))+1,1)))"),"oooxxooxooxx")</f>
        <v>oooxxooxooxx</v>
      </c>
      <c r="AV59" s="256" t="str">
        <f>IFERROR(__xludf.DUMMYFUNCTION("LEFT(CONCATENATE(""x"",JOIN("""",ArrayFormula(MID(AS59,LEN(AS59)-SEQUENCE(1,LEN(AS59))+1,1)))),12)"),"xoooxxooxoox")</f>
        <v>xoooxxooxoox</v>
      </c>
      <c r="AW59" s="327" t="str">
        <f>IFERROR(__xludf.DUMMYFUNCTION("JOIN("""",AU59,AU59)"),"oooxxooxooxxoooxxooxooxx")</f>
        <v>oooxxooxooxxoooxxooxooxx</v>
      </c>
      <c r="AX59" s="239" t="str">
        <f>IFERROR(__xludf.DUMMYFUNCTION("IF(REGEXMATCH(AW59,AS59),""✔"",""-"")"),"✔")</f>
        <v>✔</v>
      </c>
      <c r="AY59" s="330" t="str">
        <f t="shared" si="20"/>
        <v>-</v>
      </c>
      <c r="AZ59" s="260" t="str">
        <f t="shared" si="21"/>
        <v>#REF!</v>
      </c>
      <c r="BA59" s="333" t="str">
        <f t="shared" si="22"/>
        <v>xxooxoo</v>
      </c>
      <c r="BB59" s="334" t="str">
        <f t="shared" si="23"/>
        <v>xxooox</v>
      </c>
      <c r="BC59" s="335" t="str">
        <f t="shared" si="236"/>
        <v>-</v>
      </c>
      <c r="BD59" s="336" t="str">
        <f t="shared" si="25"/>
        <v>Bibhas: 'xxooxoo' + 'xxooox'</v>
      </c>
      <c r="BE59" s="337">
        <f>IFERROR(__xludf.DUMMYFUNCTION("COUNTUNIQUE(FILTER(AT:AT,REGEXMATCH(AT:AT,AS59)))-1"),0.0)</f>
        <v>0</v>
      </c>
      <c r="BF59" s="261" t="str">
        <f>IFERROR(__xludf.DUMMYFUNCTION("IF(BI59=0,""(n/a)"",IF(BJ59=2,""(PAIR)"",IF(REGEXMATCH(AT59,""xoxoxxoxoxox""),""Bilawal"",IF(REGEXMATCH(AT59,""xoxoxooxoxoo""),""Bhupali"",IF(REGEXMATCH(AT59,""xoxoxxoxxoxo""),""Charukeshi"",IF(REGEXMATCH(AT59,""xoxoooxxoxxo""),""Kameshwari"",IF(REGEXMATC"&amp;"H(AT59,""xoxoxooxoxox""),""Shankara"",IF(REGEXMATCH(AT59,""xxooxoxxxoox""),""Basant"",IF(REGEXMATCH(AT59,""xoxoxxxxoxox""),""Bihag"",IF(REGEXMATCH(AT59,""xoxxxxoxoxxx""),""Pilu"",IF(REGEXMATCH(AT59,""xoxxoxoxxoox""),""Kirwani"",IF(REGEXMATCH(AT59,""xoxxox"&amp;"oxoxxx""),""Mk.Malhar"",IF(REGEXMATCH(AT59,""xxooxxoxxoox""),""Bhairav"",IF(REGEXMATCH(AT59,""xxoxooxxxoox""),""Todi"",IF(REGEXMATCH(AT59,""xxooxoxooxox""),""Marwa"",IF(REGEXMATCH(AT59,""xxoooxoxxooo""),""Gunkali"",IF(REGEXMATCH(AT59,""xoxoxxoxxoox""),""N"&amp;"at Bhairav"",IF(REGEXMATCH(AT59,""xoxxoooxoxoo""),""Shivranjani"",IF(REGEXMATCH(AT59,""xooxxxoxooxo""),""Jog"",IF(REGEXMATCH(AT59,""xxooxoxoxoox""),""Hemshri"",IF(REGEXMATCH(AT59,""xoooxooxoxxo""),""Kalavati"",IF(REGEXMATCH(AT59,""xxoxoxxoxoox""),""Kedar"&amp;""",IF(REGEXMATCH(AT59,""xoxxxxoxooxx""),""Gara"",IF(REGEXMATCH(AT59,""xooxoxooxoox""),""Chandrakauns"",IF(REGEXMATCH(AT59,""xoxxxxoxxxox""),""Mand"",IF(REGEXMATCH(AT59,""xoxxxxoxoxox""),""Hanskinkini"",IF(REGEXMATCH(AT59,""xxooxxoxooxo""),""Lilavati"",IF("&amp;"REGEXMATCH(AT59,""xooxoxoooxox""),""Rajeshwari"",IF(REGEXMATCH(AT59,""xoooxxoxoxxx""),""Khokar"",IF(REGEXMATCH(AT59,""xxooxoxxxxox""),""Maligoura"",""-""))))))))))))))))))))))))))))))"),"(n/a)")</f>
        <v>(n/a)</v>
      </c>
      <c r="BG59" s="239" t="str">
        <f t="shared" si="26"/>
        <v>#REF!</v>
      </c>
      <c r="BH59" s="239">
        <f>IFERROR(__xludf.DUMMYFUNCTION("COUNTUNIQUE(FE59:FO59)-1"),4.0)</f>
        <v>4</v>
      </c>
      <c r="BI59" s="239">
        <f>IFERROR(__xludf.DUMMYFUNCTION("COUNTUNIQUE(FILTER(AT:AT,REGEXMATCH(AT:AT,AS59)))-1"),0.0)</f>
        <v>0</v>
      </c>
      <c r="BJ59" s="239">
        <f>IFERROR(__xludf.DUMMYFUNCTION("COUNTA(FILTER(AT:AT,REGEXMATCH(AT:AT,AS59)))"),2.0)</f>
        <v>2</v>
      </c>
      <c r="BK59" s="341">
        <f>IFERROR(__xludf.DUMMYFUNCTION("COUNTA(FILTER(AT:AT,REGEXMATCH(AT:AT,AS59)))-AR59"),2.0)</f>
        <v>2</v>
      </c>
      <c r="BL59" s="276" t="str">
        <f>IFERROR(__xludf.DUMMYFUNCTION("IF(AS59=""oooooooooooo"",""-"",IF(REGEXMATCH(AT59,""xx""), ""Hemi."", ""Anhemi.""))"),"Hemi.")</f>
        <v>Hemi.</v>
      </c>
      <c r="BM59" s="282" t="str">
        <f>IFERROR(__xludf.DUMMYFUNCTION("IF(AS59=""oooooooooooo"",""-"",IF(REGEXMATCH(AT59,""xxx""), ""Cohem."", ""-""))"),"-")</f>
        <v>-</v>
      </c>
      <c r="BN59" s="282" t="str">
        <f>IFERROR(__xludf.DUMMYFUNCTION("IF(AS59=""oooooooooooo"",""-"",IF(REGEXMATCH(AT59,""xxxx""), ""Co-Co."", ""-""))"),"-")</f>
        <v>-</v>
      </c>
      <c r="BO59" s="342" t="str">
        <f>IFERROR(__xludf.DUMMYFUNCTION("IF(AS59=""oooooooooooo"",""-"",IF(REGEXMATCH(AT59,""xxxxx""), ""CCC."", ""-""))"),"-")</f>
        <v>-</v>
      </c>
      <c r="BP59" s="344" t="str">
        <f t="shared" si="27"/>
        <v>-</v>
      </c>
      <c r="BQ59" s="282" t="str">
        <f>IFERROR(__xludf.DUMMYFUNCTION("IF(REGEXMATCH(JOIN(""-"",EU59:FD59),""TRUE""),""✔"",""-"")"),"✔")</f>
        <v>✔</v>
      </c>
      <c r="BR59" s="225">
        <f t="shared" si="28"/>
        <v>2</v>
      </c>
      <c r="BS59" s="345" t="str">
        <f>IFERROR(__xludf.DUMMYFUNCTION("SUBSTITUTE(SUBSTITUTE(SUBSTITUTE(SUBSTITUTE(CONCATENATE(JOIN(""-"",GC59:GO59)),""--"",""-""),""--"",""-""),""--"",""-""),""--"",""-"")"),"1-b2-3-5-b6-8")</f>
        <v>1-b2-3-5-b6-8</v>
      </c>
      <c r="BT59" s="299" t="str">
        <f>IFERROR(__xludf.DUMMYFUNCTION("SUBSTITUTE(SUBSTITUTE(SUBSTITUTE(SUBSTITUTE(CONCATENATE(JOIN(""-"",GP59:HB59)),""--"",""-""),""--"",""-""),""--"",""-""),""--"",""-"")"),"S-R1-G3-P-D1-S")</f>
        <v>S-R1-G3-P-D1-S</v>
      </c>
      <c r="BU59" s="348" t="str">
        <f t="shared" si="29"/>
        <v>C-Db-E-G-Ab-C</v>
      </c>
      <c r="BV59" s="349" t="str">
        <f t="shared" si="30"/>
        <v>SRgmMDnNS</v>
      </c>
      <c r="BW59" s="350">
        <f t="shared" si="31"/>
        <v>0</v>
      </c>
      <c r="BX59" s="351">
        <f t="shared" si="32"/>
        <v>2</v>
      </c>
      <c r="BY59" s="392"/>
      <c r="BZ59" s="309" t="str">
        <f>IFERROR(__xludf.DUMMYFUNCTION("IF(REGEXMATCH(C59, ""S""), ""x"",""x"")"),"x")</f>
        <v>x</v>
      </c>
      <c r="CA59" s="245" t="str">
        <f>IFERROR(__xludf.DUMMYFUNCTION("IF(REGEXMATCH(C59, ""r""), ""o"",""x"")"),"o")</f>
        <v>o</v>
      </c>
      <c r="CB59" s="246" t="str">
        <f>IFERROR(__xludf.DUMMYFUNCTION("IF(REGEXMATCH(C59, ""R""), ""o"",""x"")"),"x")</f>
        <v>x</v>
      </c>
      <c r="CC59" s="246" t="str">
        <f>IFERROR(__xludf.DUMMYFUNCTION("IF(REGEXMATCH(C59, ""g""), ""o"",""x"")"),"x")</f>
        <v>x</v>
      </c>
      <c r="CD59" s="245" t="str">
        <f>IFERROR(__xludf.DUMMYFUNCTION("IF(REGEXMATCH(C59, ""G""), ""o"",""x"")"),"o")</f>
        <v>o</v>
      </c>
      <c r="CE59" s="245" t="str">
        <f>IFERROR(__xludf.DUMMYFUNCTION("IF(REGEXMATCH(C59, ""m""), ""o"",""x"")"),"x")</f>
        <v>x</v>
      </c>
      <c r="CF59" s="246" t="str">
        <f>IFERROR(__xludf.DUMMYFUNCTION("IF(REGEXMATCH(C59, ""M""), ""o"",""x"")"),"x")</f>
        <v>x</v>
      </c>
      <c r="CG59" s="245" t="str">
        <f>IFERROR(__xludf.DUMMYFUNCTION("IF(REGEXMATCH(C59, ""P""), ""o"",""x"")"),"o")</f>
        <v>o</v>
      </c>
      <c r="CH59" s="246" t="str">
        <f>IFERROR(__xludf.DUMMYFUNCTION("IF(REGEXMATCH(C59, ""d""), ""o"",""x"")"),"o")</f>
        <v>o</v>
      </c>
      <c r="CI59" s="245" t="str">
        <f>IFERROR(__xludf.DUMMYFUNCTION("IF(REGEXMATCH(C59, ""D""), ""o"",""x"")"),"x")</f>
        <v>x</v>
      </c>
      <c r="CJ59" s="245" t="str">
        <f>IFERROR(__xludf.DUMMYFUNCTION("IF(REGEXMATCH(C59, ""n""), ""o"",""x"")"),"x")</f>
        <v>x</v>
      </c>
      <c r="CK59" s="245" t="str">
        <f>IFERROR(__xludf.DUMMYFUNCTION("IF(REGEXMATCH(C59, ""N""), ""o"",""x"")"),"x")</f>
        <v>x</v>
      </c>
      <c r="CL59" s="356" t="str">
        <f>IFERROR(__xludf.DUMMYFUNCTION("IF(REGEXMATCH(C59, ""S""), ""x"",""x"")"),"x")</f>
        <v>x</v>
      </c>
      <c r="CM59" s="357" t="str">
        <f t="shared" si="33"/>
        <v>xoxxoxxooxxx</v>
      </c>
      <c r="CN59" s="358">
        <f t="shared" si="34"/>
        <v>0</v>
      </c>
      <c r="CO59" s="246" t="str">
        <f>IFERROR(__xludf.DUMMYFUNCTION("IF(REGEXMATCH($C59, ""S""), ""S"",""S"")"),"S")</f>
        <v>S</v>
      </c>
      <c r="CP59" s="246" t="str">
        <f>IFERROR(__xludf.DUMMYFUNCTION("IF(REGEXMATCH($C59, ""r""), """",""r"")"),"")</f>
        <v/>
      </c>
      <c r="CQ59" s="246" t="str">
        <f>IFERROR(__xludf.DUMMYFUNCTION("IF(REGEXMATCH($C59, ""R""), """",""R"")"),"R")</f>
        <v>R</v>
      </c>
      <c r="CR59" s="246" t="str">
        <f>IFERROR(__xludf.DUMMYFUNCTION("IF(REGEXMATCH($C59, ""g""), """",""g"")"),"g")</f>
        <v>g</v>
      </c>
      <c r="CS59" s="246" t="str">
        <f>IFERROR(__xludf.DUMMYFUNCTION("IF(REGEXMATCH($C59, ""G""), """",""G"")"),"")</f>
        <v/>
      </c>
      <c r="CT59" s="246" t="str">
        <f>IFERROR(__xludf.DUMMYFUNCTION("IF(REGEXMATCH($C59, ""m""), """",""m"")"),"m")</f>
        <v>m</v>
      </c>
      <c r="CU59" s="246" t="str">
        <f>IFERROR(__xludf.DUMMYFUNCTION("IF(REGEXMATCH($C59, ""M""), """",""M"")"),"M")</f>
        <v>M</v>
      </c>
      <c r="CV59" s="246" t="str">
        <f>IFERROR(__xludf.DUMMYFUNCTION("IF(REGEXMATCH($C59, ""P""), """",""P"")"),"")</f>
        <v/>
      </c>
      <c r="CW59" s="246" t="str">
        <f>IFERROR(__xludf.DUMMYFUNCTION("IF(REGEXMATCH($C59, ""d""), """",""d"")"),"")</f>
        <v/>
      </c>
      <c r="CX59" s="246" t="str">
        <f>IFERROR(__xludf.DUMMYFUNCTION("IF(REGEXMATCH($C59, ""D""), """",""D"")"),"D")</f>
        <v>D</v>
      </c>
      <c r="CY59" s="246" t="str">
        <f>IFERROR(__xludf.DUMMYFUNCTION("IF(REGEXMATCH($C59, ""n""), """",""n"")"),"n")</f>
        <v>n</v>
      </c>
      <c r="CZ59" s="246" t="str">
        <f>IFERROR(__xludf.DUMMYFUNCTION("IF(REGEXMATCH($C59, ""N""), """",""N"")"),"N")</f>
        <v>N</v>
      </c>
      <c r="DA59" s="246" t="str">
        <f>IFERROR(__xludf.DUMMYFUNCTION("IF(REGEXMATCH($C59, ""S""), ""S"",""S"")"),"S")</f>
        <v>S</v>
      </c>
      <c r="DB59" s="362" t="str">
        <f>IFERROR(__xludf.DUMMYFUNCTION("JOIN("""",CO59:DA59,"""","""")"),"SRgmMDnNS")</f>
        <v>SRgmMDnNS</v>
      </c>
      <c r="DC59" s="363"/>
      <c r="DD59" s="301" t="str">
        <f t="shared" si="35"/>
        <v>#REF!</v>
      </c>
      <c r="DE59" s="302" t="str">
        <f t="shared" si="36"/>
        <v>#REF!</v>
      </c>
      <c r="DF59" s="301" t="str">
        <f t="shared" ref="DF59:DG59" si="313">SUBSTITUTE(S59,"-","")</f>
        <v>SRG</v>
      </c>
      <c r="DG59" s="301" t="str">
        <f t="shared" si="313"/>
        <v>PDS</v>
      </c>
      <c r="DH59" s="302" t="str">
        <f t="shared" si="38"/>
        <v>(n/a)</v>
      </c>
      <c r="DI59" s="301" t="str">
        <f t="shared" si="39"/>
        <v>Hemi.</v>
      </c>
      <c r="DJ59" s="364" t="str">
        <f t="shared" si="40"/>
        <v>-</v>
      </c>
      <c r="DK59" s="306" t="str">
        <f t="shared" si="41"/>
        <v>-</v>
      </c>
      <c r="DL59" s="366" t="str">
        <f t="shared" si="42"/>
        <v>✔</v>
      </c>
      <c r="DM59" s="308" t="str">
        <f t="shared" si="43"/>
        <v>-</v>
      </c>
      <c r="DN59" s="306" t="str">
        <f t="shared" si="44"/>
        <v>-</v>
      </c>
      <c r="DO59" s="306" t="str">
        <f t="shared" si="45"/>
        <v>-</v>
      </c>
      <c r="DP59" s="367" t="str">
        <f t="shared" si="46"/>
        <v>-</v>
      </c>
      <c r="DQ59" s="310" t="str">
        <f t="shared" si="47"/>
        <v>-</v>
      </c>
      <c r="DR59" s="310" t="str">
        <f t="shared" si="48"/>
        <v>-</v>
      </c>
      <c r="DS59" s="310" t="str">
        <f t="shared" si="49"/>
        <v>-</v>
      </c>
      <c r="DT59" s="310" t="str">
        <f t="shared" si="50"/>
        <v>-</v>
      </c>
      <c r="DU59" s="370" t="str">
        <f t="shared" si="51"/>
        <v>-</v>
      </c>
      <c r="DV59" s="306" t="str">
        <f t="shared" si="52"/>
        <v>-</v>
      </c>
      <c r="DW59" s="306" t="str">
        <f t="shared" si="53"/>
        <v>-</v>
      </c>
      <c r="DX59" s="306" t="str">
        <f t="shared" si="54"/>
        <v>✔</v>
      </c>
      <c r="DY59" s="306" t="str">
        <f t="shared" si="55"/>
        <v>-</v>
      </c>
      <c r="DZ59" s="306" t="str">
        <f t="shared" si="56"/>
        <v>-</v>
      </c>
      <c r="EA59" s="367" t="str">
        <f t="shared" si="57"/>
        <v>✔</v>
      </c>
      <c r="EB59" s="310" t="str">
        <f>IFERROR(__xludf.DUMMYFUNCTION("IF(REGEXMATCH(AW59,AS59),""✔"",""-"")"),"✔")</f>
        <v>✔</v>
      </c>
      <c r="EC59" s="310" t="str">
        <f t="shared" si="58"/>
        <v>#REF!</v>
      </c>
      <c r="ED59" s="370" t="str">
        <f t="shared" si="59"/>
        <v>-</v>
      </c>
      <c r="EE59" s="340" t="str">
        <f t="shared" si="60"/>
        <v>S-r-G-P-d-S</v>
      </c>
      <c r="EF59" s="371" t="str">
        <f>IFERROR(__xludf.DUMMYFUNCTION("CONCATENATE(JOIN("""",HC59:HO59))"),"SGmdNS")</f>
        <v>SGmdNS</v>
      </c>
      <c r="EG59" s="372">
        <f t="shared" si="61"/>
        <v>3</v>
      </c>
      <c r="EH59" s="373" t="str">
        <f>IFERROR(__xludf.DUMMYFUNCTION("CONCATENATE(JOIN("""",JC59:JO59))"),"Ga, Pa, dha, ")</f>
        <v>Ga, Pa, dha, </v>
      </c>
      <c r="EI59" s="322">
        <f t="shared" si="62"/>
        <v>1</v>
      </c>
      <c r="EJ59" s="374" t="str">
        <f>IFERROR(__xludf.DUMMYFUNCTION("CONCATENATE(JOIN("""",KC59:KO59))"),"Ga, ")</f>
        <v>Ga, </v>
      </c>
      <c r="EK59" s="325" t="str">
        <f t="shared" si="63"/>
        <v>S-R1-G3-P-D1-S</v>
      </c>
      <c r="EL59" s="326" t="str">
        <f t="shared" si="64"/>
        <v>1-b2-3-5-b6-8</v>
      </c>
      <c r="EM59" s="318" t="str">
        <f t="shared" si="65"/>
        <v>#REF!</v>
      </c>
      <c r="EN59" s="328" t="str">
        <f>IFERROR(__xludf.DUMMYFUNCTION("SUBSTITUTE(SUBSTITUTE(SUBSTITUTE(SUBSTITUTE(CONCATENATE(JOIN("" "",HP59:IB59)),""  "","" ""),""  "","" ""),""  "","" ""),""  "","" "")"),"o o • • o • • o o • • • o")</f>
        <v>o o • • o • • o o • • • o</v>
      </c>
      <c r="EO59" s="368" t="str">
        <f t="shared" si="66"/>
        <v>Sa-Pa</v>
      </c>
      <c r="EP59" s="339" t="str">
        <f t="shared" si="67"/>
        <v>-</v>
      </c>
      <c r="EQ59" s="339" t="str">
        <f t="shared" si="68"/>
        <v>Sa-Pa</v>
      </c>
      <c r="ER59" s="339" t="str">
        <f t="shared" si="69"/>
        <v>Sa-Pa</v>
      </c>
      <c r="ES59" s="340" t="str">
        <f t="shared" si="70"/>
        <v>-</v>
      </c>
      <c r="ET59" s="363"/>
      <c r="EU59" s="376" t="b">
        <f>IFERROR(__xludf.DUMMYFUNCTION("arrayformula(sum(--REGEXMATCH(""SRGMPDNS"",split(REGEXREPLACE(C59,""(.)"",""$1~""),""~""))))=len(C59)
"),FALSE)</f>
        <v>0</v>
      </c>
      <c r="EV59" s="290" t="b">
        <f>IFERROR(__xludf.DUMMYFUNCTION("arrayformula(sum(--REGEXMATCH(""SRGmPDNS"",split(REGEXREPLACE(C59,""(.)"",""$1~""),""~""))))=len(C59)"),FALSE)</f>
        <v>0</v>
      </c>
      <c r="EW59" s="290" t="b">
        <f>IFERROR(__xludf.DUMMYFUNCTION("arrayformula(sum(--REGEXMATCH(""SRGmPDnS"",split(REGEXREPLACE(C59,""(.)"",""$1~""),""~""))))=len(C59)"),FALSE)</f>
        <v>0</v>
      </c>
      <c r="EX59" s="290" t="b">
        <f>IFERROR(__xludf.DUMMYFUNCTION("arrayformula(sum(--REGEXMATCH(""SRgmPDnS"",split(REGEXREPLACE(C59,""(.)"",""$1~""),""~""))))=len(C59)"),FALSE)</f>
        <v>0</v>
      </c>
      <c r="EY59" s="290" t="b">
        <f>IFERROR(__xludf.DUMMYFUNCTION("arrayformula(sum(--REGEXMATCH(""SRgmPdnS"",split(REGEXREPLACE(C59,""(.)"",""$1~""),""~""))))=len(C59)"),FALSE)</f>
        <v>0</v>
      </c>
      <c r="EZ59" s="290" t="b">
        <f>IFERROR(__xludf.DUMMYFUNCTION("arrayformula(sum(--REGEXMATCH(""SrgmPdnS"",split(REGEXREPLACE(C59,""(.)"",""$1~""),""~""))))=len(C59)"),FALSE)</f>
        <v>0</v>
      </c>
      <c r="FA59" s="290" t="b">
        <f>IFERROR(__xludf.DUMMYFUNCTION("arrayformula(sum(--REGEXMATCH(""SrGmPdNS"",split(REGEXREPLACE(C59,""(.)"",""$1~""),""~""))))=len(C59)"),TRUE)</f>
        <v>1</v>
      </c>
      <c r="FB59" s="290" t="b">
        <f>IFERROR(__xludf.DUMMYFUNCTION("arrayformula(sum(--REGEXMATCH(""SrGMPDNS"",split(REGEXREPLACE(C59,""(.)"",""$1~""),""~""))))=len(C59)"),FALSE)</f>
        <v>0</v>
      </c>
      <c r="FC59" s="290" t="b">
        <f>IFERROR(__xludf.DUMMYFUNCTION("arrayformula(sum(--REGEXMATCH(""SrGMPdNS"",split(REGEXREPLACE(C59,""(.)"",""$1~""),""~""))))=len(C59)"),TRUE)</f>
        <v>1</v>
      </c>
      <c r="FD59" s="377" t="b">
        <f>IFERROR(__xludf.DUMMYFUNCTION("arrayformula(sum(--REGEXMATCH(""SrgMPdNS"",split(REGEXREPLACE(C59,""(.)"",""$1~""),""~""))))=len(C59)"),FALSE)</f>
        <v>0</v>
      </c>
      <c r="FE59" s="269" t="str">
        <f t="shared" si="71"/>
        <v>xooxooxxooo</v>
      </c>
      <c r="FF59" s="269" t="str">
        <f t="shared" si="72"/>
        <v>-</v>
      </c>
      <c r="FG59" s="271" t="str">
        <f t="shared" si="73"/>
        <v>-</v>
      </c>
      <c r="FH59" s="269" t="str">
        <f t="shared" si="74"/>
        <v>xooxxoooxxo</v>
      </c>
      <c r="FI59" s="271" t="str">
        <f t="shared" si="75"/>
        <v>-</v>
      </c>
      <c r="FJ59" s="271" t="str">
        <f t="shared" si="76"/>
        <v>-</v>
      </c>
      <c r="FK59" s="271" t="str">
        <f t="shared" si="77"/>
        <v>xxoooxxooxo</v>
      </c>
      <c r="FL59" s="271" t="str">
        <f t="shared" si="78"/>
        <v>xoooxxooxoo</v>
      </c>
      <c r="FM59" s="271" t="str">
        <f t="shared" si="79"/>
        <v>-</v>
      </c>
      <c r="FN59" s="271" t="str">
        <f t="shared" si="80"/>
        <v>-</v>
      </c>
      <c r="FO59" s="274" t="str">
        <f t="shared" si="81"/>
        <v>-</v>
      </c>
      <c r="FP59" s="234" t="str">
        <f t="shared" si="82"/>
        <v>|</v>
      </c>
      <c r="FQ59" s="236" t="str">
        <f t="shared" si="83"/>
        <v>|</v>
      </c>
      <c r="FR59" s="237" t="str">
        <f t="shared" si="84"/>
        <v>-</v>
      </c>
      <c r="FS59" s="236" t="str">
        <f t="shared" si="85"/>
        <v>-</v>
      </c>
      <c r="FT59" s="237" t="str">
        <f t="shared" si="86"/>
        <v>|</v>
      </c>
      <c r="FU59" s="236" t="str">
        <f t="shared" si="87"/>
        <v>-</v>
      </c>
      <c r="FV59" s="237" t="str">
        <f t="shared" si="88"/>
        <v>-</v>
      </c>
      <c r="FW59" s="236" t="str">
        <f t="shared" si="89"/>
        <v>|</v>
      </c>
      <c r="FX59" s="237" t="str">
        <f t="shared" si="90"/>
        <v>|</v>
      </c>
      <c r="FY59" s="236" t="str">
        <f t="shared" si="91"/>
        <v>-</v>
      </c>
      <c r="FZ59" s="237" t="str">
        <f t="shared" si="92"/>
        <v>-</v>
      </c>
      <c r="GA59" s="236" t="str">
        <f t="shared" si="93"/>
        <v>-</v>
      </c>
      <c r="GB59" s="238" t="str">
        <f t="shared" si="94"/>
        <v>|</v>
      </c>
      <c r="GC59" s="244" t="str">
        <f>IFERROR(__xludf.DUMMYFUNCTION("IF(REGEXMATCH(C59, ""S""), ""1"","""")"),"1")</f>
        <v>1</v>
      </c>
      <c r="GD59" s="245" t="str">
        <f>IFERROR(__xludf.DUMMYFUNCTION("IF(REGEXMATCH(C59, ""r""), ""b2"","""")"),"b2")</f>
        <v>b2</v>
      </c>
      <c r="GE59" s="246" t="str">
        <f>IFERROR(__xludf.DUMMYFUNCTION("IF(REGEXMATCH(C59, ""R""), ""2"","""")"),"")</f>
        <v/>
      </c>
      <c r="GF59" s="246" t="str">
        <f>IFERROR(__xludf.DUMMYFUNCTION("IF(REGEXMATCH(C59, ""g""), ""b3"","""")"),"")</f>
        <v/>
      </c>
      <c r="GG59" s="245" t="str">
        <f>IFERROR(__xludf.DUMMYFUNCTION("IF(REGEXMATCH(C59, ""G""), ""3"","""")"),"3")</f>
        <v>3</v>
      </c>
      <c r="GH59" s="245" t="str">
        <f>IFERROR(__xludf.DUMMYFUNCTION("IF(REGEXMATCH(C59, ""m""), ""4"","""")"),"")</f>
        <v/>
      </c>
      <c r="GI59" s="246" t="str">
        <f>IFERROR(__xludf.DUMMYFUNCTION("IF(REGEXMATCH(C59, ""M""), ""#4"","""")"),"")</f>
        <v/>
      </c>
      <c r="GJ59" s="245" t="str">
        <f>IFERROR(__xludf.DUMMYFUNCTION("IF(REGEXMATCH(C59, ""P""), ""5"","""")"),"5")</f>
        <v>5</v>
      </c>
      <c r="GK59" s="246" t="str">
        <f>IFERROR(__xludf.DUMMYFUNCTION("IF(REGEXMATCH(C59, ""d""), ""b6"","""")"),"b6")</f>
        <v>b6</v>
      </c>
      <c r="GL59" s="245" t="str">
        <f>IFERROR(__xludf.DUMMYFUNCTION("IF(REGEXMATCH(C59, ""D""), ""6"","""")"),"")</f>
        <v/>
      </c>
      <c r="GM59" s="245" t="str">
        <f>IFERROR(__xludf.DUMMYFUNCTION("IF(REGEXMATCH(C59, ""n""), ""b7"","""")"),"")</f>
        <v/>
      </c>
      <c r="GN59" s="246" t="str">
        <f>IFERROR(__xludf.DUMMYFUNCTION("IF(REGEXMATCH(C59, ""N""), ""7"","""")"),"")</f>
        <v/>
      </c>
      <c r="GO59" s="249" t="str">
        <f>IFERROR(__xludf.DUMMYFUNCTION("IF(REGEXMATCH(C59, ""S""), ""8"","""")"),"8")</f>
        <v>8</v>
      </c>
      <c r="GP59" s="244" t="str">
        <f>IFERROR(__xludf.DUMMYFUNCTION("IF(REGEXMATCH(C59, ""S""), ""S"","""")"),"S")</f>
        <v>S</v>
      </c>
      <c r="GQ59" s="294" t="str">
        <f>IFERROR(__xludf.DUMMYFUNCTION("IF(REGEXMATCH(C59, ""r""), ""R1"","""")"),"R1")</f>
        <v>R1</v>
      </c>
      <c r="GR59" s="295" t="str">
        <f>IFERROR(__xludf.DUMMYFUNCTION("IF(REGEXMATCH(C59, ""R""), ""R2"","""")"),"")</f>
        <v/>
      </c>
      <c r="GS59" s="295" t="str">
        <f>IFERROR(__xludf.DUMMYFUNCTION("IF(REGEXMATCH(C59, ""g""), ""G2"","""")"),"")</f>
        <v/>
      </c>
      <c r="GT59" s="294" t="str">
        <f>IFERROR(__xludf.DUMMYFUNCTION("IF(REGEXMATCH(C59, ""G""), ""G3"","""")"),"G3")</f>
        <v>G3</v>
      </c>
      <c r="GU59" s="294" t="str">
        <f>IFERROR(__xludf.DUMMYFUNCTION("IF(REGEXMATCH(C59, ""m""), ""M1"","""")"),"")</f>
        <v/>
      </c>
      <c r="GV59" s="295" t="str">
        <f>IFERROR(__xludf.DUMMYFUNCTION("IF(REGEXMATCH(C59, ""M""), ""M2"","""")"),"")</f>
        <v/>
      </c>
      <c r="GW59" s="294" t="str">
        <f>IFERROR(__xludf.DUMMYFUNCTION("IF(REGEXMATCH(C59, ""P""), ""P"","""")"),"P")</f>
        <v>P</v>
      </c>
      <c r="GX59" s="295" t="str">
        <f>IFERROR(__xludf.DUMMYFUNCTION("IF(REGEXMATCH(C59, ""d""), ""D1"","""")"),"D1")</f>
        <v>D1</v>
      </c>
      <c r="GY59" s="294" t="str">
        <f>IFERROR(__xludf.DUMMYFUNCTION("IF(REGEXMATCH(C59, ""D""), ""D2"","""")"),"")</f>
        <v/>
      </c>
      <c r="GZ59" s="294" t="str">
        <f>IFERROR(__xludf.DUMMYFUNCTION("IF(REGEXMATCH(C59, ""n""), ""N2"","""")"),"")</f>
        <v/>
      </c>
      <c r="HA59" s="295" t="str">
        <f>IFERROR(__xludf.DUMMYFUNCTION("IF(REGEXMATCH(C59, ""N""), ""N3"","""")"),"")</f>
        <v/>
      </c>
      <c r="HB59" s="249" t="str">
        <f>IFERROR(__xludf.DUMMYFUNCTION("IF(REGEXMATCH(C59, ""S""), ""S"","""")"),"S")</f>
        <v>S</v>
      </c>
      <c r="HC59" s="331" t="str">
        <f t="shared" si="95"/>
        <v>S</v>
      </c>
      <c r="HD59" s="332" t="str">
        <f t="shared" si="96"/>
        <v/>
      </c>
      <c r="HE59" s="332" t="str">
        <f t="shared" si="97"/>
        <v/>
      </c>
      <c r="HF59" s="332" t="str">
        <f t="shared" si="98"/>
        <v/>
      </c>
      <c r="HG59" s="332" t="str">
        <f t="shared" si="99"/>
        <v>G</v>
      </c>
      <c r="HH59" s="332" t="str">
        <f t="shared" si="100"/>
        <v>m</v>
      </c>
      <c r="HI59" s="332" t="str">
        <f t="shared" si="101"/>
        <v/>
      </c>
      <c r="HJ59" s="332" t="str">
        <f t="shared" si="102"/>
        <v/>
      </c>
      <c r="HK59" s="332" t="str">
        <f t="shared" si="103"/>
        <v>d</v>
      </c>
      <c r="HL59" s="332" t="str">
        <f t="shared" si="104"/>
        <v/>
      </c>
      <c r="HM59" s="332" t="str">
        <f t="shared" si="105"/>
        <v/>
      </c>
      <c r="HN59" s="332" t="str">
        <f t="shared" si="106"/>
        <v>N</v>
      </c>
      <c r="HO59" s="343" t="str">
        <f t="shared" si="107"/>
        <v>S</v>
      </c>
      <c r="HP59" s="331" t="str">
        <f t="shared" si="108"/>
        <v>o</v>
      </c>
      <c r="HQ59" s="332" t="str">
        <f t="shared" si="109"/>
        <v>o</v>
      </c>
      <c r="HR59" s="332" t="str">
        <f t="shared" si="110"/>
        <v>•</v>
      </c>
      <c r="HS59" s="332" t="str">
        <f t="shared" si="111"/>
        <v>•</v>
      </c>
      <c r="HT59" s="332" t="str">
        <f t="shared" si="112"/>
        <v>o</v>
      </c>
      <c r="HU59" s="332" t="str">
        <f t="shared" si="113"/>
        <v>•</v>
      </c>
      <c r="HV59" s="332" t="str">
        <f t="shared" si="114"/>
        <v>•</v>
      </c>
      <c r="HW59" s="332" t="str">
        <f t="shared" si="115"/>
        <v>o</v>
      </c>
      <c r="HX59" s="332" t="str">
        <f t="shared" si="116"/>
        <v>o</v>
      </c>
      <c r="HY59" s="332" t="str">
        <f t="shared" si="117"/>
        <v>•</v>
      </c>
      <c r="HZ59" s="332" t="str">
        <f t="shared" si="118"/>
        <v>•</v>
      </c>
      <c r="IA59" s="332" t="str">
        <f t="shared" si="119"/>
        <v>•</v>
      </c>
      <c r="IB59" s="338" t="str">
        <f t="shared" si="120"/>
        <v>o</v>
      </c>
      <c r="IC59" s="331" t="str">
        <f t="shared" si="121"/>
        <v>•</v>
      </c>
      <c r="ID59" s="332" t="str">
        <f t="shared" si="122"/>
        <v>•</v>
      </c>
      <c r="IE59" s="332" t="str">
        <f t="shared" si="123"/>
        <v>o</v>
      </c>
      <c r="IF59" s="332" t="str">
        <f t="shared" si="124"/>
        <v>o</v>
      </c>
      <c r="IG59" s="332" t="str">
        <f t="shared" si="125"/>
        <v>•</v>
      </c>
      <c r="IH59" s="332" t="str">
        <f t="shared" si="126"/>
        <v>o</v>
      </c>
      <c r="II59" s="332" t="str">
        <f t="shared" si="127"/>
        <v>o</v>
      </c>
      <c r="IJ59" s="332" t="str">
        <f t="shared" si="128"/>
        <v>•</v>
      </c>
      <c r="IK59" s="332" t="str">
        <f t="shared" si="129"/>
        <v>•</v>
      </c>
      <c r="IL59" s="332" t="str">
        <f t="shared" si="130"/>
        <v>o</v>
      </c>
      <c r="IM59" s="332" t="str">
        <f t="shared" si="131"/>
        <v>o</v>
      </c>
      <c r="IN59" s="332" t="str">
        <f t="shared" si="132"/>
        <v>o</v>
      </c>
      <c r="IO59" s="338" t="str">
        <f t="shared" si="133"/>
        <v>•</v>
      </c>
      <c r="IP59" s="346" t="b">
        <f t="shared" si="134"/>
        <v>0</v>
      </c>
      <c r="IQ59" s="347" t="b">
        <f t="shared" si="135"/>
        <v>0</v>
      </c>
      <c r="IR59" s="347" t="b">
        <f t="shared" si="136"/>
        <v>0</v>
      </c>
      <c r="IS59" s="347" t="b">
        <f t="shared" si="137"/>
        <v>0</v>
      </c>
      <c r="IT59" s="347" t="b">
        <f t="shared" si="138"/>
        <v>1</v>
      </c>
      <c r="IU59" s="347" t="b">
        <f t="shared" si="139"/>
        <v>0</v>
      </c>
      <c r="IV59" s="347" t="b">
        <f t="shared" si="140"/>
        <v>0</v>
      </c>
      <c r="IW59" s="347" t="b">
        <f t="shared" si="141"/>
        <v>1</v>
      </c>
      <c r="IX59" s="347" t="b">
        <f t="shared" si="142"/>
        <v>1</v>
      </c>
      <c r="IY59" s="347" t="b">
        <f t="shared" si="143"/>
        <v>0</v>
      </c>
      <c r="IZ59" s="347" t="b">
        <f t="shared" si="144"/>
        <v>0</v>
      </c>
      <c r="JA59" s="347" t="b">
        <f t="shared" si="145"/>
        <v>0</v>
      </c>
      <c r="JB59" s="353" t="b">
        <f t="shared" si="146"/>
        <v>0</v>
      </c>
      <c r="JC59" s="354" t="str">
        <f t="shared" si="147"/>
        <v/>
      </c>
      <c r="JD59" s="355" t="str">
        <f t="shared" si="148"/>
        <v/>
      </c>
      <c r="JE59" s="355" t="str">
        <f t="shared" si="149"/>
        <v/>
      </c>
      <c r="JF59" s="355" t="str">
        <f t="shared" si="150"/>
        <v/>
      </c>
      <c r="JG59" s="355" t="str">
        <f t="shared" si="151"/>
        <v>Ga, </v>
      </c>
      <c r="JH59" s="355" t="str">
        <f t="shared" si="152"/>
        <v/>
      </c>
      <c r="JI59" s="355" t="str">
        <f t="shared" si="153"/>
        <v/>
      </c>
      <c r="JJ59" s="355" t="str">
        <f t="shared" si="154"/>
        <v>Pa, </v>
      </c>
      <c r="JK59" s="355" t="str">
        <f t="shared" si="155"/>
        <v>dha, </v>
      </c>
      <c r="JL59" s="355" t="str">
        <f t="shared" si="156"/>
        <v/>
      </c>
      <c r="JM59" s="355" t="str">
        <f t="shared" si="157"/>
        <v/>
      </c>
      <c r="JN59" s="355" t="str">
        <f t="shared" si="158"/>
        <v/>
      </c>
      <c r="JO59" s="359" t="str">
        <f t="shared" si="159"/>
        <v/>
      </c>
      <c r="JP59" s="346" t="b">
        <f t="shared" si="160"/>
        <v>0</v>
      </c>
      <c r="JQ59" s="347" t="b">
        <f t="shared" si="161"/>
        <v>0</v>
      </c>
      <c r="JR59" s="347" t="b">
        <f t="shared" si="162"/>
        <v>0</v>
      </c>
      <c r="JS59" s="347" t="b">
        <f t="shared" si="163"/>
        <v>0</v>
      </c>
      <c r="JT59" s="347" t="b">
        <f t="shared" si="164"/>
        <v>1</v>
      </c>
      <c r="JU59" s="347" t="b">
        <f t="shared" si="165"/>
        <v>0</v>
      </c>
      <c r="JV59" s="347" t="b">
        <f t="shared" si="166"/>
        <v>0</v>
      </c>
      <c r="JW59" s="347" t="b">
        <f t="shared" si="167"/>
        <v>0</v>
      </c>
      <c r="JX59" s="347" t="b">
        <f t="shared" si="168"/>
        <v>0</v>
      </c>
      <c r="JY59" s="347" t="b">
        <f t="shared" si="169"/>
        <v>0</v>
      </c>
      <c r="JZ59" s="347" t="b">
        <f t="shared" si="170"/>
        <v>0</v>
      </c>
      <c r="KA59" s="347" t="b">
        <f t="shared" si="171"/>
        <v>0</v>
      </c>
      <c r="KB59" s="365" t="b">
        <f t="shared" si="172"/>
        <v>0</v>
      </c>
      <c r="KC59" s="354" t="str">
        <f t="shared" si="173"/>
        <v/>
      </c>
      <c r="KD59" s="355" t="str">
        <f t="shared" si="174"/>
        <v/>
      </c>
      <c r="KE59" s="355" t="str">
        <f t="shared" si="175"/>
        <v/>
      </c>
      <c r="KF59" s="355" t="str">
        <f t="shared" si="176"/>
        <v/>
      </c>
      <c r="KG59" s="355" t="str">
        <f t="shared" si="177"/>
        <v>Ga, </v>
      </c>
      <c r="KH59" s="355" t="str">
        <f t="shared" si="178"/>
        <v/>
      </c>
      <c r="KI59" s="355" t="str">
        <f t="shared" si="179"/>
        <v/>
      </c>
      <c r="KJ59" s="355" t="str">
        <f t="shared" si="180"/>
        <v/>
      </c>
      <c r="KK59" s="355" t="str">
        <f t="shared" si="181"/>
        <v/>
      </c>
      <c r="KL59" s="355" t="str">
        <f t="shared" si="182"/>
        <v/>
      </c>
      <c r="KM59" s="355" t="str">
        <f t="shared" si="183"/>
        <v/>
      </c>
      <c r="KN59" s="355" t="str">
        <f t="shared" si="184"/>
        <v/>
      </c>
      <c r="KO59" s="359"/>
      <c r="KP59" s="378"/>
      <c r="KQ59" s="379" t="s">
        <v>624</v>
      </c>
      <c r="KR59" s="380" t="s">
        <v>1347</v>
      </c>
      <c r="KS59" s="381" t="str">
        <f t="shared" si="305"/>
        <v>S-r-G-P-d-S</v>
      </c>
      <c r="KT59" s="382">
        <f t="shared" si="186"/>
        <v>5</v>
      </c>
      <c r="KU59" s="383">
        <f t="shared" si="187"/>
        <v>5</v>
      </c>
      <c r="KV59" s="381" t="str">
        <f t="shared" si="205"/>
        <v>S-d-P-G-r-S</v>
      </c>
      <c r="KW59" s="382">
        <f t="shared" si="189"/>
        <v>5</v>
      </c>
      <c r="KX59" s="384">
        <f t="shared" si="190"/>
        <v>5</v>
      </c>
      <c r="KY59" s="382">
        <f t="shared" ref="KY59:KZ59" si="314">KW59-KT59</f>
        <v>0</v>
      </c>
      <c r="KZ59" s="369">
        <f t="shared" si="314"/>
        <v>0</v>
      </c>
      <c r="LA59" s="385" t="str">
        <f t="shared" si="192"/>
        <v>✔</v>
      </c>
      <c r="LB59" s="340" t="str">
        <f>IFERROR(__xludf.DUMMYFUNCTION("JOIN("""",ArrayFormula(MID(KS59,LEN(KS59)-SEQUENCE(1,LEN(KS59))+1,1)))"),"S-d-P-G-r-S")</f>
        <v>S-d-P-G-r-S</v>
      </c>
      <c r="LC59" s="373" t="str">
        <f>IFERROR(__xludf.DUMMYFUNCTION("JOIN("""",ArrayFormula(MID(KV59,LEN(KV59)-SEQUENCE(1,LEN(KV59))+1,1)))"),"S-r-G-P-d-S")</f>
        <v>S-r-G-P-d-S</v>
      </c>
      <c r="LD59" s="373" t="str">
        <f t="shared" si="193"/>
        <v>SrGPdS</v>
      </c>
      <c r="LE59" s="339" t="str">
        <f t="shared" si="194"/>
        <v>SrGPdS</v>
      </c>
      <c r="LF59" s="386" t="str">
        <f>IFERROR(__xludf.DUMMYFUNCTION("SUBSTITUTE(SUBSTITUTE(CONCATENATE(JOIN("""",LH59:LT59)),""1"",""""),""2"","""")"),"SrGPdS")</f>
        <v>SrGPdS</v>
      </c>
      <c r="LG59" s="369" t="str">
        <f t="shared" si="195"/>
        <v>✔</v>
      </c>
      <c r="LH59" s="387" t="str">
        <f>IFERROR(__xludf.DUMMYFUNCTION("IF(REGEXMATCH(LD59, ""S""), ""S"",IF(REGEXMATCH(LE59, ""S""), ""S"",""""))"),"S")</f>
        <v>S</v>
      </c>
      <c r="LI59" s="299" t="str">
        <f>IFERROR(__xludf.DUMMYFUNCTION("IF(REGEXMATCH(LD59, ""r""), ""r1"",IF(REGEXMATCH(LE59, ""r""), ""r2"",""""))"),"r1")</f>
        <v>r1</v>
      </c>
      <c r="LJ59" s="299" t="str">
        <f>IFERROR(__xludf.DUMMYFUNCTION("IF(REGEXMATCH(LD59, ""R""), ""R1"",IF(REGEXMATCH(LE59, ""R""), ""R2"",""""))"),"")</f>
        <v/>
      </c>
      <c r="LK59" s="299" t="str">
        <f>IFERROR(__xludf.DUMMYFUNCTION("IF(REGEXMATCH(LD59, ""g""), ""g1"",IF(REGEXMATCH(LE59, ""g""), ""g2"",""""))"),"")</f>
        <v/>
      </c>
      <c r="LL59" s="299" t="str">
        <f>IFERROR(__xludf.DUMMYFUNCTION("IF(REGEXMATCH(LD59, ""G""), ""G1"",IF(REGEXMATCH(LE59, ""G""), ""G2"",""""))"),"G1")</f>
        <v>G1</v>
      </c>
      <c r="LM59" s="299" t="str">
        <f>IFERROR(__xludf.DUMMYFUNCTION("IF(REGEXMATCH(LD59, ""m""), ""m1"",IF(REGEXMATCH(LE59, ""m""), ""m2"",""""))"),"")</f>
        <v/>
      </c>
      <c r="LN59" s="299" t="str">
        <f>IFERROR(__xludf.DUMMYFUNCTION("IF(REGEXMATCH(LD59, ""M""), ""M1"",IF(REGEXMATCH(LE59, ""M""), ""M2"",""""))"),"")</f>
        <v/>
      </c>
      <c r="LO59" s="299" t="str">
        <f>IFERROR(__xludf.DUMMYFUNCTION("IF(REGEXMATCH(LD59, ""P""), ""P1"",IF(REGEXMATCH(LE59, ""P""), ""P2"",""""))"),"P1")</f>
        <v>P1</v>
      </c>
      <c r="LP59" s="299" t="str">
        <f>IFERROR(__xludf.DUMMYFUNCTION("IF(REGEXMATCH(LD59, ""d""), ""d1"",IF(REGEXMATCH(LE59, ""d""), ""d2"",""""))"),"d1")</f>
        <v>d1</v>
      </c>
      <c r="LQ59" s="299" t="str">
        <f>IFERROR(__xludf.DUMMYFUNCTION("IF(REGEXMATCH(LD59, ""D""), ""D1"",IF(REGEXMATCH(LE59, ""D""), ""D2"",""""))"),"")</f>
        <v/>
      </c>
      <c r="LR59" s="299" t="str">
        <f>IFERROR(__xludf.DUMMYFUNCTION("IF(REGEXMATCH(LD59, ""n""), ""n1"",IF(REGEXMATCH(LE59, ""n""), ""n2"",""""))"),"")</f>
        <v/>
      </c>
      <c r="LS59" s="299" t="str">
        <f>IFERROR(__xludf.DUMMYFUNCTION("IF(REGEXMATCH(LD59, ""N""), ""N1"",IF(REGEXMATCH(LE59, ""N""), ""N2"",""""))"),"")</f>
        <v/>
      </c>
      <c r="LT59" s="388" t="str">
        <f>IFERROR(__xludf.DUMMYFUNCTION("IF(REGEXMATCH(LD59, ""S""), ""S"",IF(REGEXMATCH(LE59, ""S""), ""S"",""""))"),"S")</f>
        <v>S</v>
      </c>
      <c r="LU59" s="389">
        <f t="shared" si="196"/>
        <v>1</v>
      </c>
      <c r="LV59" s="378"/>
      <c r="LW59" s="369"/>
      <c r="LX59" s="369"/>
    </row>
    <row r="60" ht="18.0" customHeight="1">
      <c r="A60" s="298" t="s">
        <v>627</v>
      </c>
      <c r="B60" s="222" t="s">
        <v>628</v>
      </c>
      <c r="C60" s="233" t="str">
        <f t="shared" si="7"/>
        <v>SrgGmPDnNS</v>
      </c>
      <c r="D60" s="234" t="str">
        <f>IFERROR(__xludf.DUMMYFUNCTION("IF(REGEXMATCH(C60, ""S""), ""S"","""")"),"S")</f>
        <v>S</v>
      </c>
      <c r="E60" s="236" t="str">
        <f>IFERROR(__xludf.DUMMYFUNCTION("IF(REGEXMATCH(C60, ""r""), ""r"","""")"),"r")</f>
        <v>r</v>
      </c>
      <c r="F60" s="237" t="str">
        <f>IFERROR(__xludf.DUMMYFUNCTION("IF(REGEXMATCH(C60, ""R""), ""R"","""")"),"")</f>
        <v/>
      </c>
      <c r="G60" s="237" t="str">
        <f>IFERROR(__xludf.DUMMYFUNCTION("IF(REGEXMATCH(C60, ""g""), ""g"","""")"),"g")</f>
        <v>g</v>
      </c>
      <c r="H60" s="236" t="str">
        <f>IFERROR(__xludf.DUMMYFUNCTION("IF(REGEXMATCH(C60, ""G""), ""G"","""")"),"G")</f>
        <v>G</v>
      </c>
      <c r="I60" s="236" t="str">
        <f>IFERROR(__xludf.DUMMYFUNCTION("IF(REGEXMATCH(C60, ""m""), ""m"","""")"),"m")</f>
        <v>m</v>
      </c>
      <c r="J60" s="237" t="str">
        <f>IFERROR(__xludf.DUMMYFUNCTION("IF(REGEXMATCH(C60, ""M""), ""M"","""")"),"")</f>
        <v/>
      </c>
      <c r="K60" s="236" t="str">
        <f>IFERROR(__xludf.DUMMYFUNCTION("IF(REGEXMATCH(C60, ""P""), ""P"","""")"),"P")</f>
        <v>P</v>
      </c>
      <c r="L60" s="237" t="str">
        <f>IFERROR(__xludf.DUMMYFUNCTION("IF(REGEXMATCH(C60, ""d""), ""d"","""")"),"")</f>
        <v/>
      </c>
      <c r="M60" s="236" t="str">
        <f>IFERROR(__xludf.DUMMYFUNCTION("IF(REGEXMATCH(C60, ""D""), ""D"","""")"),"D")</f>
        <v>D</v>
      </c>
      <c r="N60" s="236" t="str">
        <f>IFERROR(__xludf.DUMMYFUNCTION("IF(REGEXMATCH(C60, ""n""), ""n"","""")"),"n")</f>
        <v>n</v>
      </c>
      <c r="O60" s="237" t="str">
        <f>IFERROR(__xludf.DUMMYFUNCTION("IF(REGEXMATCH(C60, ""N""), ""N"","""")"),"N")</f>
        <v>N</v>
      </c>
      <c r="P60" s="238" t="str">
        <f>IFERROR(__xludf.DUMMYFUNCTION("IF(REGEXMATCH(C60, ""S""), ""S"","""")"),"S")</f>
        <v>S</v>
      </c>
      <c r="Q60" s="239" t="str">
        <f>IFERROR(__xludf.DUMMYFUNCTION("SUBSTITUTE(CONCATENATE(JOIN(""-"",D60:J60)),""-"","""")"),"SrgGm")</f>
        <v>SrgGm</v>
      </c>
      <c r="R60" s="229" t="str">
        <f>IFERROR(__xludf.DUMMYFUNCTION("SUBSTITUTE(CONCATENATE(JOIN(""-"",K60:P60)),""-"","""")"),"PDnNS")</f>
        <v>PDnNS</v>
      </c>
      <c r="S60" s="282" t="str">
        <f t="shared" si="8"/>
        <v>S-R-G-M</v>
      </c>
      <c r="T60" s="282" t="str">
        <f t="shared" si="9"/>
        <v>P-D-N-S</v>
      </c>
      <c r="U60" s="237" t="str">
        <f>IFERROR(__xludf.DUMMYFUNCTION("SUBSTITUTE(JOIN(""-"",S60,T60),""--"",""-"")"),"S-R-G-M-P-D-N-S")</f>
        <v>S-R-G-M-P-D-N-S</v>
      </c>
      <c r="V60" s="309" t="str">
        <f t="shared" si="10"/>
        <v>rgGmDnN</v>
      </c>
      <c r="W60" s="244" t="str">
        <f>IFERROR(__xludf.DUMMYFUNCTION("IF(REGEXMATCH(C60, ""S""), ""0"","""")"),"0")</f>
        <v>0</v>
      </c>
      <c r="X60" s="245" t="str">
        <f>IFERROR(__xludf.DUMMYFUNCTION("IF(REGEXMATCH(C60, ""r""), ""1"","""")"),"1")</f>
        <v>1</v>
      </c>
      <c r="Y60" s="246" t="str">
        <f>IFERROR(__xludf.DUMMYFUNCTION("IF(REGEXMATCH(C60, ""R""), ""2"","""")"),"")</f>
        <v/>
      </c>
      <c r="Z60" s="246" t="str">
        <f>IFERROR(__xludf.DUMMYFUNCTION("IF(REGEXMATCH(C60, ""g""), ""3"","""")"),"3")</f>
        <v>3</v>
      </c>
      <c r="AA60" s="245" t="str">
        <f>IFERROR(__xludf.DUMMYFUNCTION("IF(REGEXMATCH(C60, ""G""), ""4"","""")"),"4")</f>
        <v>4</v>
      </c>
      <c r="AB60" s="245" t="str">
        <f>IFERROR(__xludf.DUMMYFUNCTION("IF(REGEXMATCH(C60, ""m""), ""5"","""")"),"5")</f>
        <v>5</v>
      </c>
      <c r="AC60" s="246" t="str">
        <f>IFERROR(__xludf.DUMMYFUNCTION("IF(REGEXMATCH(C60, ""M""), ""6"","""")"),"")</f>
        <v/>
      </c>
      <c r="AD60" s="245" t="str">
        <f>IFERROR(__xludf.DUMMYFUNCTION("IF(REGEXMATCH(C60, ""P""), ""7"","""")"),"7")</f>
        <v>7</v>
      </c>
      <c r="AE60" s="246" t="str">
        <f>IFERROR(__xludf.DUMMYFUNCTION("IF(REGEXMATCH(C60, ""d""), ""8"","""")"),"")</f>
        <v/>
      </c>
      <c r="AF60" s="245" t="str">
        <f>IFERROR(__xludf.DUMMYFUNCTION("IF(REGEXMATCH(C60, ""D""), ""9"","""")"),"9")</f>
        <v>9</v>
      </c>
      <c r="AG60" s="245" t="str">
        <f>IFERROR(__xludf.DUMMYFUNCTION("IF(REGEXMATCH(C60, ""n""), ""10"","""")"),"10")</f>
        <v>10</v>
      </c>
      <c r="AH60" s="246" t="str">
        <f>IFERROR(__xludf.DUMMYFUNCTION("IF(REGEXMATCH(C60, ""N""), ""11"","""")"),"11")</f>
        <v>11</v>
      </c>
      <c r="AI60" s="249" t="str">
        <f>IFERROR(__xludf.DUMMYFUNCTION("IF(REGEXMATCH(C60, ""S""), ""0"","""")"),"0")</f>
        <v>0</v>
      </c>
      <c r="AJ60" s="313" t="str">
        <f t="shared" si="11"/>
        <v>-</v>
      </c>
      <c r="AK60" s="313" t="str">
        <f t="shared" si="12"/>
        <v>T</v>
      </c>
      <c r="AL60" s="313" t="str">
        <f t="shared" si="13"/>
        <v>-</v>
      </c>
      <c r="AM60" s="313" t="str">
        <f t="shared" si="14"/>
        <v>T</v>
      </c>
      <c r="AN60" s="313" t="str">
        <f t="shared" si="15"/>
        <v>T</v>
      </c>
      <c r="AO60" s="314" t="str">
        <f t="shared" si="16"/>
        <v>T</v>
      </c>
      <c r="AP60" s="316">
        <f t="shared" si="17"/>
        <v>4</v>
      </c>
      <c r="AQ60" s="319" t="str">
        <f t="shared" si="18"/>
        <v>#REF!</v>
      </c>
      <c r="AR60" s="320">
        <f t="shared" si="19"/>
        <v>0</v>
      </c>
      <c r="AS60" s="250" t="str">
        <f>IFERROR(__xludf.DUMMYFUNCTION("SUBSTITUTE(SUBSTITUTE(CONCATENATE(JOIN("""",FP60:GA60)),""|"",""x""),""-"",""o"")"),"xxoxxxoxoxxx")</f>
        <v>xxoxxxoxoxxx</v>
      </c>
      <c r="AT60" s="323" t="str">
        <f>IFERROR(__xludf.DUMMYFUNCTION("JOIN("""",AS60,AS60)"),"xxoxxxoxoxxxxxoxxxoxoxxx")</f>
        <v>xxoxxxoxoxxxxxoxxxoxoxxx</v>
      </c>
      <c r="AU60" s="256" t="str">
        <f>IFERROR(__xludf.DUMMYFUNCTION("JOIN("""",ArrayFormula(MID(AS60,LEN(AS60)-SEQUENCE(1,LEN(AS60))+1,1)))"),"xxxoxoxxxoxx")</f>
        <v>xxxoxoxxxoxx</v>
      </c>
      <c r="AV60" s="256" t="str">
        <f>IFERROR(__xludf.DUMMYFUNCTION("LEFT(CONCATENATE(""x"",JOIN("""",ArrayFormula(MID(AS60,LEN(AS60)-SEQUENCE(1,LEN(AS60))+1,1)))),12)"),"xxxxoxoxxxox")</f>
        <v>xxxxoxoxxxox</v>
      </c>
      <c r="AW60" s="327" t="str">
        <f>IFERROR(__xludf.DUMMYFUNCTION("JOIN("""",AU60,AU60)"),"xxxoxoxxxoxxxxxoxoxxxoxx")</f>
        <v>xxxoxoxxxoxxxxxoxoxxxoxx</v>
      </c>
      <c r="AX60" s="239" t="str">
        <f>IFERROR(__xludf.DUMMYFUNCTION("IF(REGEXMATCH(AW60,AS60),""✔"",""-"")"),"-")</f>
        <v>-</v>
      </c>
      <c r="AY60" s="330" t="str">
        <f t="shared" si="20"/>
        <v>-</v>
      </c>
      <c r="AZ60" s="260" t="str">
        <f t="shared" si="21"/>
        <v>#REF!</v>
      </c>
      <c r="BA60" s="333" t="str">
        <f t="shared" si="22"/>
        <v>xxoxxxo</v>
      </c>
      <c r="BB60" s="334" t="str">
        <f t="shared" si="23"/>
        <v>xoxxxx</v>
      </c>
      <c r="BC60" s="335" t="str">
        <f t="shared" si="236"/>
        <v>-</v>
      </c>
      <c r="BD60" s="336" t="str">
        <f t="shared" si="25"/>
        <v>Bihad Bhairav: 'xxoxxxo' + 'xoxxxx'</v>
      </c>
      <c r="BE60" s="337">
        <f>IFERROR(__xludf.DUMMYFUNCTION("COUNTUNIQUE(FILTER(AT:AT,REGEXMATCH(AT:AT,AS60)))-1"),0.0)</f>
        <v>0</v>
      </c>
      <c r="BF60" s="261" t="str">
        <f>IFERROR(__xludf.DUMMYFUNCTION("IF(BI60=0,""(n/a)"",IF(BJ60=2,""(PAIR)"",IF(REGEXMATCH(AT60,""xoxoxxoxoxox""),""Bilawal"",IF(REGEXMATCH(AT60,""xoxoxooxoxoo""),""Bhupali"",IF(REGEXMATCH(AT60,""xoxoxxoxxoxo""),""Charukeshi"",IF(REGEXMATCH(AT60,""xoxoooxxoxxo""),""Kameshwari"",IF(REGEXMATC"&amp;"H(AT60,""xoxoxooxoxox""),""Shankara"",IF(REGEXMATCH(AT60,""xxooxoxxxoox""),""Basant"",IF(REGEXMATCH(AT60,""xoxoxxxxoxox""),""Bihag"",IF(REGEXMATCH(AT60,""xoxxxxoxoxxx""),""Pilu"",IF(REGEXMATCH(AT60,""xoxxoxoxxoox""),""Kirwani"",IF(REGEXMATCH(AT60,""xoxxox"&amp;"oxoxxx""),""Mk.Malhar"",IF(REGEXMATCH(AT60,""xxooxxoxxoox""),""Bhairav"",IF(REGEXMATCH(AT60,""xxoxooxxxoox""),""Todi"",IF(REGEXMATCH(AT60,""xxooxoxooxox""),""Marwa"",IF(REGEXMATCH(AT60,""xxoooxoxxooo""),""Gunkali"",IF(REGEXMATCH(AT60,""xoxoxxoxxoox""),""N"&amp;"at Bhairav"",IF(REGEXMATCH(AT60,""xoxxoooxoxoo""),""Shivranjani"",IF(REGEXMATCH(AT60,""xooxxxoxooxo""),""Jog"",IF(REGEXMATCH(AT60,""xxooxoxoxoox""),""Hemshri"",IF(REGEXMATCH(AT60,""xoooxooxoxxo""),""Kalavati"",IF(REGEXMATCH(AT60,""xxoxoxxoxoox""),""Kedar"&amp;""",IF(REGEXMATCH(AT60,""xoxxxxoxooxx""),""Gara"",IF(REGEXMATCH(AT60,""xooxoxooxoox""),""Chandrakauns"",IF(REGEXMATCH(AT60,""xoxxxxoxxxox""),""Mand"",IF(REGEXMATCH(AT60,""xoxxxxoxoxox""),""Hanskinkini"",IF(REGEXMATCH(AT60,""xxooxxoxooxo""),""Lilavati"",IF("&amp;"REGEXMATCH(AT60,""xooxoxoooxox""),""Rajeshwari"",IF(REGEXMATCH(AT60,""xoooxxoxoxxx""),""Khokar"",IF(REGEXMATCH(AT60,""xxooxoxxxxox""),""Maligoura"",""-""))))))))))))))))))))))))))))))"),"(n/a)")</f>
        <v>(n/a)</v>
      </c>
      <c r="BG60" s="239" t="str">
        <f t="shared" si="26"/>
        <v>#REF!</v>
      </c>
      <c r="BH60" s="239">
        <f>IFERROR(__xludf.DUMMYFUNCTION("COUNTUNIQUE(FE60:FO60)-1"),8.0)</f>
        <v>8</v>
      </c>
      <c r="BI60" s="239">
        <f>IFERROR(__xludf.DUMMYFUNCTION("COUNTUNIQUE(FILTER(AT:AT,REGEXMATCH(AT:AT,AS60)))-1"),0.0)</f>
        <v>0</v>
      </c>
      <c r="BJ60" s="239">
        <f>IFERROR(__xludf.DUMMYFUNCTION("COUNTA(FILTER(AT:AT,REGEXMATCH(AT:AT,AS60)))"),1.0)</f>
        <v>1</v>
      </c>
      <c r="BK60" s="341">
        <f>IFERROR(__xludf.DUMMYFUNCTION("COUNTA(FILTER(AT:AT,REGEXMATCH(AT:AT,AS60)))-AR60"),1.0)</f>
        <v>1</v>
      </c>
      <c r="BL60" s="276" t="str">
        <f>IFERROR(__xludf.DUMMYFUNCTION("IF(AS60=""oooooooooooo"",""-"",IF(REGEXMATCH(AT60,""xx""), ""Hemi."", ""Anhemi.""))"),"Hemi.")</f>
        <v>Hemi.</v>
      </c>
      <c r="BM60" s="282" t="str">
        <f>IFERROR(__xludf.DUMMYFUNCTION("IF(AS60=""oooooooooooo"",""-"",IF(REGEXMATCH(AT60,""xxx""), ""Cohem."", ""-""))"),"Cohem.")</f>
        <v>Cohem.</v>
      </c>
      <c r="BN60" s="282" t="str">
        <f>IFERROR(__xludf.DUMMYFUNCTION("IF(AS60=""oooooooooooo"",""-"",IF(REGEXMATCH(AT60,""xxxx""), ""Co-Co."", ""-""))"),"Co-Co.")</f>
        <v>Co-Co.</v>
      </c>
      <c r="BO60" s="342" t="str">
        <f>IFERROR(__xludf.DUMMYFUNCTION("IF(AS60=""oooooooooooo"",""-"",IF(REGEXMATCH(AT60,""xxxxx""), ""CCC."", ""-""))"),"CCC.")</f>
        <v>CCC.</v>
      </c>
      <c r="BP60" s="344" t="str">
        <f t="shared" si="27"/>
        <v>-</v>
      </c>
      <c r="BQ60" s="282" t="str">
        <f>IFERROR(__xludf.DUMMYFUNCTION("IF(REGEXMATCH(JOIN(""-"",EU60:FD60),""TRUE""),""✔"",""-"")"),"-")</f>
        <v>-</v>
      </c>
      <c r="BR60" s="225">
        <f t="shared" si="28"/>
        <v>0</v>
      </c>
      <c r="BS60" s="345" t="str">
        <f>IFERROR(__xludf.DUMMYFUNCTION("SUBSTITUTE(SUBSTITUTE(SUBSTITUTE(SUBSTITUTE(CONCATENATE(JOIN(""-"",GC60:GO60)),""--"",""-""),""--"",""-""),""--"",""-""),""--"",""-"")"),"1-b2-b3-3-4-5-6-b7-7-8")</f>
        <v>1-b2-b3-3-4-5-6-b7-7-8</v>
      </c>
      <c r="BT60" s="299" t="str">
        <f>IFERROR(__xludf.DUMMYFUNCTION("SUBSTITUTE(SUBSTITUTE(SUBSTITUTE(SUBSTITUTE(CONCATENATE(JOIN(""-"",GP60:HB60)),""--"",""-""),""--"",""-""),""--"",""-""),""--"",""-"")"),"S-R1-G2-G3-M1-P-D2-N2-N3-S")</f>
        <v>S-R1-G2-G3-M1-P-D2-N2-N3-S</v>
      </c>
      <c r="BU60" s="348" t="str">
        <f t="shared" si="29"/>
        <v>C-Db-Eb-E-F-G-A-Bb-B-C</v>
      </c>
      <c r="BV60" s="349" t="str">
        <f t="shared" si="30"/>
        <v>SRMdS</v>
      </c>
      <c r="BW60" s="350">
        <f t="shared" si="31"/>
        <v>0</v>
      </c>
      <c r="BX60" s="351">
        <f t="shared" si="32"/>
        <v>1</v>
      </c>
      <c r="BY60" s="352" t="s">
        <v>275</v>
      </c>
      <c r="BZ60" s="309" t="str">
        <f>IFERROR(__xludf.DUMMYFUNCTION("IF(REGEXMATCH(C60, ""S""), ""x"",""x"")"),"x")</f>
        <v>x</v>
      </c>
      <c r="CA60" s="245" t="str">
        <f>IFERROR(__xludf.DUMMYFUNCTION("IF(REGEXMATCH(C60, ""r""), ""o"",""x"")"),"o")</f>
        <v>o</v>
      </c>
      <c r="CB60" s="246" t="str">
        <f>IFERROR(__xludf.DUMMYFUNCTION("IF(REGEXMATCH(C60, ""R""), ""o"",""x"")"),"x")</f>
        <v>x</v>
      </c>
      <c r="CC60" s="246" t="str">
        <f>IFERROR(__xludf.DUMMYFUNCTION("IF(REGEXMATCH(C60, ""g""), ""o"",""x"")"),"o")</f>
        <v>o</v>
      </c>
      <c r="CD60" s="245" t="str">
        <f>IFERROR(__xludf.DUMMYFUNCTION("IF(REGEXMATCH(C60, ""G""), ""o"",""x"")"),"o")</f>
        <v>o</v>
      </c>
      <c r="CE60" s="245" t="str">
        <f>IFERROR(__xludf.DUMMYFUNCTION("IF(REGEXMATCH(C60, ""m""), ""o"",""x"")"),"o")</f>
        <v>o</v>
      </c>
      <c r="CF60" s="246" t="str">
        <f>IFERROR(__xludf.DUMMYFUNCTION("IF(REGEXMATCH(C60, ""M""), ""o"",""x"")"),"x")</f>
        <v>x</v>
      </c>
      <c r="CG60" s="245" t="str">
        <f>IFERROR(__xludf.DUMMYFUNCTION("IF(REGEXMATCH(C60, ""P""), ""o"",""x"")"),"o")</f>
        <v>o</v>
      </c>
      <c r="CH60" s="246" t="str">
        <f>IFERROR(__xludf.DUMMYFUNCTION("IF(REGEXMATCH(C60, ""d""), ""o"",""x"")"),"x")</f>
        <v>x</v>
      </c>
      <c r="CI60" s="245" t="str">
        <f>IFERROR(__xludf.DUMMYFUNCTION("IF(REGEXMATCH(C60, ""D""), ""o"",""x"")"),"o")</f>
        <v>o</v>
      </c>
      <c r="CJ60" s="245" t="str">
        <f>IFERROR(__xludf.DUMMYFUNCTION("IF(REGEXMATCH(C60, ""n""), ""o"",""x"")"),"o")</f>
        <v>o</v>
      </c>
      <c r="CK60" s="245" t="str">
        <f>IFERROR(__xludf.DUMMYFUNCTION("IF(REGEXMATCH(C60, ""N""), ""o"",""x"")"),"o")</f>
        <v>o</v>
      </c>
      <c r="CL60" s="356" t="str">
        <f>IFERROR(__xludf.DUMMYFUNCTION("IF(REGEXMATCH(C60, ""S""), ""x"",""x"")"),"x")</f>
        <v>x</v>
      </c>
      <c r="CM60" s="357" t="str">
        <f t="shared" si="33"/>
        <v>xoxoooxoxooo</v>
      </c>
      <c r="CN60" s="358">
        <f t="shared" si="34"/>
        <v>0</v>
      </c>
      <c r="CO60" s="246" t="str">
        <f>IFERROR(__xludf.DUMMYFUNCTION("IF(REGEXMATCH($C60, ""S""), ""S"",""S"")"),"S")</f>
        <v>S</v>
      </c>
      <c r="CP60" s="246" t="str">
        <f>IFERROR(__xludf.DUMMYFUNCTION("IF(REGEXMATCH($C60, ""r""), """",""r"")"),"")</f>
        <v/>
      </c>
      <c r="CQ60" s="246" t="str">
        <f>IFERROR(__xludf.DUMMYFUNCTION("IF(REGEXMATCH($C60, ""R""), """",""R"")"),"R")</f>
        <v>R</v>
      </c>
      <c r="CR60" s="246" t="str">
        <f>IFERROR(__xludf.DUMMYFUNCTION("IF(REGEXMATCH($C60, ""g""), """",""g"")"),"")</f>
        <v/>
      </c>
      <c r="CS60" s="246" t="str">
        <f>IFERROR(__xludf.DUMMYFUNCTION("IF(REGEXMATCH($C60, ""G""), """",""G"")"),"")</f>
        <v/>
      </c>
      <c r="CT60" s="246" t="str">
        <f>IFERROR(__xludf.DUMMYFUNCTION("IF(REGEXMATCH($C60, ""m""), """",""m"")"),"")</f>
        <v/>
      </c>
      <c r="CU60" s="246" t="str">
        <f>IFERROR(__xludf.DUMMYFUNCTION("IF(REGEXMATCH($C60, ""M""), """",""M"")"),"M")</f>
        <v>M</v>
      </c>
      <c r="CV60" s="246" t="str">
        <f>IFERROR(__xludf.DUMMYFUNCTION("IF(REGEXMATCH($C60, ""P""), """",""P"")"),"")</f>
        <v/>
      </c>
      <c r="CW60" s="246" t="str">
        <f>IFERROR(__xludf.DUMMYFUNCTION("IF(REGEXMATCH($C60, ""d""), """",""d"")"),"d")</f>
        <v>d</v>
      </c>
      <c r="CX60" s="246" t="str">
        <f>IFERROR(__xludf.DUMMYFUNCTION("IF(REGEXMATCH($C60, ""D""), """",""D"")"),"")</f>
        <v/>
      </c>
      <c r="CY60" s="246" t="str">
        <f>IFERROR(__xludf.DUMMYFUNCTION("IF(REGEXMATCH($C60, ""n""), """",""n"")"),"")</f>
        <v/>
      </c>
      <c r="CZ60" s="246" t="str">
        <f>IFERROR(__xludf.DUMMYFUNCTION("IF(REGEXMATCH($C60, ""N""), """",""N"")"),"")</f>
        <v/>
      </c>
      <c r="DA60" s="246" t="str">
        <f>IFERROR(__xludf.DUMMYFUNCTION("IF(REGEXMATCH($C60, ""S""), ""S"",""S"")"),"S")</f>
        <v>S</v>
      </c>
      <c r="DB60" s="362" t="str">
        <f>IFERROR(__xludf.DUMMYFUNCTION("JOIN("""",CO60:DA60,"""","""")"),"SRMdS")</f>
        <v>SRMdS</v>
      </c>
      <c r="DC60" s="363"/>
      <c r="DD60" s="301" t="str">
        <f t="shared" si="35"/>
        <v>#REF!</v>
      </c>
      <c r="DE60" s="302" t="str">
        <f t="shared" si="36"/>
        <v>#REF!</v>
      </c>
      <c r="DF60" s="301" t="str">
        <f t="shared" ref="DF60:DG60" si="315">SUBSTITUTE(S60,"-","")</f>
        <v>SRGM</v>
      </c>
      <c r="DG60" s="301" t="str">
        <f t="shared" si="315"/>
        <v>PDNS</v>
      </c>
      <c r="DH60" s="302" t="str">
        <f t="shared" si="38"/>
        <v>(n/a)</v>
      </c>
      <c r="DI60" s="301" t="str">
        <f t="shared" si="39"/>
        <v>Hemi.</v>
      </c>
      <c r="DJ60" s="364" t="str">
        <f t="shared" si="40"/>
        <v>CCC.</v>
      </c>
      <c r="DK60" s="306" t="str">
        <f t="shared" si="41"/>
        <v>-</v>
      </c>
      <c r="DL60" s="366" t="str">
        <f t="shared" si="42"/>
        <v>-</v>
      </c>
      <c r="DM60" s="308" t="str">
        <f t="shared" si="43"/>
        <v>✔</v>
      </c>
      <c r="DN60" s="306" t="str">
        <f t="shared" si="44"/>
        <v>-</v>
      </c>
      <c r="DO60" s="306" t="str">
        <f t="shared" si="45"/>
        <v>-</v>
      </c>
      <c r="DP60" s="367" t="str">
        <f t="shared" si="46"/>
        <v>-</v>
      </c>
      <c r="DQ60" s="310" t="str">
        <f t="shared" si="47"/>
        <v>-</v>
      </c>
      <c r="DR60" s="310" t="str">
        <f t="shared" si="48"/>
        <v>✔</v>
      </c>
      <c r="DS60" s="310" t="str">
        <f t="shared" si="49"/>
        <v>-</v>
      </c>
      <c r="DT60" s="310" t="str">
        <f t="shared" si="50"/>
        <v>-</v>
      </c>
      <c r="DU60" s="370" t="str">
        <f t="shared" si="51"/>
        <v>✔</v>
      </c>
      <c r="DV60" s="306" t="str">
        <f t="shared" si="52"/>
        <v>-</v>
      </c>
      <c r="DW60" s="306" t="str">
        <f t="shared" si="53"/>
        <v>-</v>
      </c>
      <c r="DX60" s="306" t="str">
        <f t="shared" si="54"/>
        <v>-</v>
      </c>
      <c r="DY60" s="306" t="str">
        <f t="shared" si="55"/>
        <v>-</v>
      </c>
      <c r="DZ60" s="306" t="str">
        <f t="shared" si="56"/>
        <v>-</v>
      </c>
      <c r="EA60" s="367" t="str">
        <f t="shared" si="57"/>
        <v>-</v>
      </c>
      <c r="EB60" s="310" t="str">
        <f>IFERROR(__xludf.DUMMYFUNCTION("IF(REGEXMATCH(AW60,AS60),""✔"",""-"")"),"-")</f>
        <v>-</v>
      </c>
      <c r="EC60" s="310" t="str">
        <f t="shared" si="58"/>
        <v>#REF!</v>
      </c>
      <c r="ED60" s="370" t="str">
        <f t="shared" si="59"/>
        <v>-</v>
      </c>
      <c r="EE60" s="340" t="str">
        <f t="shared" si="60"/>
        <v>S-r-gG-m-P-D-nN-S</v>
      </c>
      <c r="EF60" s="371" t="str">
        <f>IFERROR(__xludf.DUMMYFUNCTION("CONCATENATE(JOIN("""",HC60:HO60))"),"SrRgmPdDNS")</f>
        <v>SrRgmPdDNS</v>
      </c>
      <c r="EG60" s="372">
        <f t="shared" si="61"/>
        <v>3</v>
      </c>
      <c r="EH60" s="373" t="str">
        <f>IFERROR(__xludf.DUMMYFUNCTION("CONCATENATE(JOIN("""",JC60:JO60))"),"re, Pa, Ni, ")</f>
        <v>re, Pa, Ni, </v>
      </c>
      <c r="EI60" s="322">
        <f t="shared" si="62"/>
        <v>1</v>
      </c>
      <c r="EJ60" s="374" t="str">
        <f>IFERROR(__xludf.DUMMYFUNCTION("CONCATENATE(JOIN("""",KC60:KO60))"),"re, ")</f>
        <v>re, </v>
      </c>
      <c r="EK60" s="325" t="str">
        <f t="shared" si="63"/>
        <v>S-R1-G2-G3-M1-P-D2-N2-N3-S</v>
      </c>
      <c r="EL60" s="326" t="str">
        <f t="shared" si="64"/>
        <v>1-b2-b3-3-4-5-6-b7-7-8</v>
      </c>
      <c r="EM60" s="318" t="str">
        <f t="shared" si="65"/>
        <v>#REF!</v>
      </c>
      <c r="EN60" s="328" t="str">
        <f>IFERROR(__xludf.DUMMYFUNCTION("SUBSTITUTE(SUBSTITUTE(SUBSTITUTE(SUBSTITUTE(CONCATENATE(JOIN("" "",HP60:IB60)),""  "","" ""),""  "","" ""),""  "","" ""),""  "","" "")"),"o o • o o o • o • o o o o")</f>
        <v>o o • o o o • o • o o o o</v>
      </c>
      <c r="EO60" s="368" t="str">
        <f t="shared" si="66"/>
        <v>-</v>
      </c>
      <c r="EP60" s="339" t="str">
        <f t="shared" si="67"/>
        <v>-</v>
      </c>
      <c r="EQ60" s="339" t="str">
        <f t="shared" si="68"/>
        <v>Sa-Pa</v>
      </c>
      <c r="ER60" s="339" t="str">
        <f t="shared" si="69"/>
        <v>-</v>
      </c>
      <c r="ES60" s="340" t="str">
        <f t="shared" si="70"/>
        <v>-</v>
      </c>
      <c r="ET60" s="363"/>
      <c r="EU60" s="376" t="b">
        <f>IFERROR(__xludf.DUMMYFUNCTION("arrayformula(sum(--REGEXMATCH(""SRGMPDNS"",split(REGEXREPLACE(C60,""(.)"",""$1~""),""~""))))=len(C60)
"),FALSE)</f>
        <v>0</v>
      </c>
      <c r="EV60" s="290" t="b">
        <f>IFERROR(__xludf.DUMMYFUNCTION("arrayformula(sum(--REGEXMATCH(""SRGmPDNS"",split(REGEXREPLACE(C60,""(.)"",""$1~""),""~""))))=len(C60)"),FALSE)</f>
        <v>0</v>
      </c>
      <c r="EW60" s="290" t="b">
        <f>IFERROR(__xludf.DUMMYFUNCTION("arrayformula(sum(--REGEXMATCH(""SRGmPDnS"",split(REGEXREPLACE(C60,""(.)"",""$1~""),""~""))))=len(C60)"),FALSE)</f>
        <v>0</v>
      </c>
      <c r="EX60" s="290" t="b">
        <f>IFERROR(__xludf.DUMMYFUNCTION("arrayformula(sum(--REGEXMATCH(""SRgmPDnS"",split(REGEXREPLACE(C60,""(.)"",""$1~""),""~""))))=len(C60)"),FALSE)</f>
        <v>0</v>
      </c>
      <c r="EY60" s="290" t="b">
        <f>IFERROR(__xludf.DUMMYFUNCTION("arrayformula(sum(--REGEXMATCH(""SRgmPdnS"",split(REGEXREPLACE(C60,""(.)"",""$1~""),""~""))))=len(C60)"),FALSE)</f>
        <v>0</v>
      </c>
      <c r="EZ60" s="290" t="b">
        <f>IFERROR(__xludf.DUMMYFUNCTION("arrayformula(sum(--REGEXMATCH(""SrgmPdnS"",split(REGEXREPLACE(C60,""(.)"",""$1~""),""~""))))=len(C60)"),FALSE)</f>
        <v>0</v>
      </c>
      <c r="FA60" s="290" t="b">
        <f>IFERROR(__xludf.DUMMYFUNCTION("arrayformula(sum(--REGEXMATCH(""SrGmPdNS"",split(REGEXREPLACE(C60,""(.)"",""$1~""),""~""))))=len(C60)"),FALSE)</f>
        <v>0</v>
      </c>
      <c r="FB60" s="290" t="b">
        <f>IFERROR(__xludf.DUMMYFUNCTION("arrayformula(sum(--REGEXMATCH(""SrGMPDNS"",split(REGEXREPLACE(C60,""(.)"",""$1~""),""~""))))=len(C60)"),FALSE)</f>
        <v>0</v>
      </c>
      <c r="FC60" s="290" t="b">
        <f>IFERROR(__xludf.DUMMYFUNCTION("arrayformula(sum(--REGEXMATCH(""SrGMPdNS"",split(REGEXREPLACE(C60,""(.)"",""$1~""),""~""))))=len(C60)"),FALSE)</f>
        <v>0</v>
      </c>
      <c r="FD60" s="377" t="b">
        <f>IFERROR(__xludf.DUMMYFUNCTION("arrayformula(sum(--REGEXMATCH(""SrgMPdNS"",split(REGEXREPLACE(C60,""(.)"",""$1~""),""~""))))=len(C60)"),FALSE)</f>
        <v>0</v>
      </c>
      <c r="FE60" s="269" t="str">
        <f t="shared" si="71"/>
        <v>xoxxxoxoxxx</v>
      </c>
      <c r="FF60" s="269" t="str">
        <f t="shared" si="72"/>
        <v>-</v>
      </c>
      <c r="FG60" s="271" t="str">
        <f t="shared" si="73"/>
        <v>xxxoxoxxxxx</v>
      </c>
      <c r="FH60" s="269" t="str">
        <f t="shared" si="74"/>
        <v>xxoxoxxxxxo</v>
      </c>
      <c r="FI60" s="271" t="str">
        <f t="shared" si="75"/>
        <v>xoxoxxxxxox</v>
      </c>
      <c r="FJ60" s="271" t="str">
        <f t="shared" si="76"/>
        <v>-</v>
      </c>
      <c r="FK60" s="271" t="str">
        <f t="shared" si="77"/>
        <v>xoxxxxxoxxx</v>
      </c>
      <c r="FL60" s="271" t="str">
        <f t="shared" si="78"/>
        <v>-</v>
      </c>
      <c r="FM60" s="271" t="str">
        <f t="shared" si="79"/>
        <v>xxxxxoxxxox</v>
      </c>
      <c r="FN60" s="271" t="str">
        <f t="shared" si="80"/>
        <v>xxxxoxxxoxo</v>
      </c>
      <c r="FO60" s="274" t="str">
        <f t="shared" si="81"/>
        <v>xxxoxxxoxox</v>
      </c>
      <c r="FP60" s="234" t="str">
        <f t="shared" si="82"/>
        <v>|</v>
      </c>
      <c r="FQ60" s="236" t="str">
        <f t="shared" si="83"/>
        <v>|</v>
      </c>
      <c r="FR60" s="237" t="str">
        <f t="shared" si="84"/>
        <v>-</v>
      </c>
      <c r="FS60" s="236" t="str">
        <f t="shared" si="85"/>
        <v>|</v>
      </c>
      <c r="FT60" s="237" t="str">
        <f t="shared" si="86"/>
        <v>|</v>
      </c>
      <c r="FU60" s="236" t="str">
        <f t="shared" si="87"/>
        <v>|</v>
      </c>
      <c r="FV60" s="237" t="str">
        <f t="shared" si="88"/>
        <v>-</v>
      </c>
      <c r="FW60" s="236" t="str">
        <f t="shared" si="89"/>
        <v>|</v>
      </c>
      <c r="FX60" s="237" t="str">
        <f t="shared" si="90"/>
        <v>-</v>
      </c>
      <c r="FY60" s="236" t="str">
        <f t="shared" si="91"/>
        <v>|</v>
      </c>
      <c r="FZ60" s="237" t="str">
        <f t="shared" si="92"/>
        <v>|</v>
      </c>
      <c r="GA60" s="236" t="str">
        <f t="shared" si="93"/>
        <v>|</v>
      </c>
      <c r="GB60" s="238" t="str">
        <f t="shared" si="94"/>
        <v>|</v>
      </c>
      <c r="GC60" s="244" t="str">
        <f>IFERROR(__xludf.DUMMYFUNCTION("IF(REGEXMATCH(C60, ""S""), ""1"","""")"),"1")</f>
        <v>1</v>
      </c>
      <c r="GD60" s="245" t="str">
        <f>IFERROR(__xludf.DUMMYFUNCTION("IF(REGEXMATCH(C60, ""r""), ""b2"","""")"),"b2")</f>
        <v>b2</v>
      </c>
      <c r="GE60" s="246" t="str">
        <f>IFERROR(__xludf.DUMMYFUNCTION("IF(REGEXMATCH(C60, ""R""), ""2"","""")"),"")</f>
        <v/>
      </c>
      <c r="GF60" s="246" t="str">
        <f>IFERROR(__xludf.DUMMYFUNCTION("IF(REGEXMATCH(C60, ""g""), ""b3"","""")"),"b3")</f>
        <v>b3</v>
      </c>
      <c r="GG60" s="245" t="str">
        <f>IFERROR(__xludf.DUMMYFUNCTION("IF(REGEXMATCH(C60, ""G""), ""3"","""")"),"3")</f>
        <v>3</v>
      </c>
      <c r="GH60" s="245" t="str">
        <f>IFERROR(__xludf.DUMMYFUNCTION("IF(REGEXMATCH(C60, ""m""), ""4"","""")"),"4")</f>
        <v>4</v>
      </c>
      <c r="GI60" s="246" t="str">
        <f>IFERROR(__xludf.DUMMYFUNCTION("IF(REGEXMATCH(C60, ""M""), ""#4"","""")"),"")</f>
        <v/>
      </c>
      <c r="GJ60" s="245" t="str">
        <f>IFERROR(__xludf.DUMMYFUNCTION("IF(REGEXMATCH(C60, ""P""), ""5"","""")"),"5")</f>
        <v>5</v>
      </c>
      <c r="GK60" s="246" t="str">
        <f>IFERROR(__xludf.DUMMYFUNCTION("IF(REGEXMATCH(C60, ""d""), ""b6"","""")"),"")</f>
        <v/>
      </c>
      <c r="GL60" s="245" t="str">
        <f>IFERROR(__xludf.DUMMYFUNCTION("IF(REGEXMATCH(C60, ""D""), ""6"","""")"),"6")</f>
        <v>6</v>
      </c>
      <c r="GM60" s="245" t="str">
        <f>IFERROR(__xludf.DUMMYFUNCTION("IF(REGEXMATCH(C60, ""n""), ""b7"","""")"),"b7")</f>
        <v>b7</v>
      </c>
      <c r="GN60" s="246" t="str">
        <f>IFERROR(__xludf.DUMMYFUNCTION("IF(REGEXMATCH(C60, ""N""), ""7"","""")"),"7")</f>
        <v>7</v>
      </c>
      <c r="GO60" s="249" t="str">
        <f>IFERROR(__xludf.DUMMYFUNCTION("IF(REGEXMATCH(C60, ""S""), ""8"","""")"),"8")</f>
        <v>8</v>
      </c>
      <c r="GP60" s="244" t="str">
        <f>IFERROR(__xludf.DUMMYFUNCTION("IF(REGEXMATCH(C60, ""S""), ""S"","""")"),"S")</f>
        <v>S</v>
      </c>
      <c r="GQ60" s="294" t="str">
        <f>IFERROR(__xludf.DUMMYFUNCTION("IF(REGEXMATCH(C60, ""r""), ""R1"","""")"),"R1")</f>
        <v>R1</v>
      </c>
      <c r="GR60" s="295" t="str">
        <f>IFERROR(__xludf.DUMMYFUNCTION("IF(REGEXMATCH(C60, ""R""), ""R2"","""")"),"")</f>
        <v/>
      </c>
      <c r="GS60" s="295" t="str">
        <f>IFERROR(__xludf.DUMMYFUNCTION("IF(REGEXMATCH(C60, ""g""), ""G2"","""")"),"G2")</f>
        <v>G2</v>
      </c>
      <c r="GT60" s="294" t="str">
        <f>IFERROR(__xludf.DUMMYFUNCTION("IF(REGEXMATCH(C60, ""G""), ""G3"","""")"),"G3")</f>
        <v>G3</v>
      </c>
      <c r="GU60" s="294" t="str">
        <f>IFERROR(__xludf.DUMMYFUNCTION("IF(REGEXMATCH(C60, ""m""), ""M1"","""")"),"M1")</f>
        <v>M1</v>
      </c>
      <c r="GV60" s="295" t="str">
        <f>IFERROR(__xludf.DUMMYFUNCTION("IF(REGEXMATCH(C60, ""M""), ""M2"","""")"),"")</f>
        <v/>
      </c>
      <c r="GW60" s="294" t="str">
        <f>IFERROR(__xludf.DUMMYFUNCTION("IF(REGEXMATCH(C60, ""P""), ""P"","""")"),"P")</f>
        <v>P</v>
      </c>
      <c r="GX60" s="295" t="str">
        <f>IFERROR(__xludf.DUMMYFUNCTION("IF(REGEXMATCH(C60, ""d""), ""D1"","""")"),"")</f>
        <v/>
      </c>
      <c r="GY60" s="294" t="str">
        <f>IFERROR(__xludf.DUMMYFUNCTION("IF(REGEXMATCH(C60, ""D""), ""D2"","""")"),"D2")</f>
        <v>D2</v>
      </c>
      <c r="GZ60" s="294" t="str">
        <f>IFERROR(__xludf.DUMMYFUNCTION("IF(REGEXMATCH(C60, ""n""), ""N2"","""")"),"N2")</f>
        <v>N2</v>
      </c>
      <c r="HA60" s="295" t="str">
        <f>IFERROR(__xludf.DUMMYFUNCTION("IF(REGEXMATCH(C60, ""N""), ""N3"","""")"),"N3")</f>
        <v>N3</v>
      </c>
      <c r="HB60" s="249" t="str">
        <f>IFERROR(__xludf.DUMMYFUNCTION("IF(REGEXMATCH(C60, ""S""), ""S"","""")"),"S")</f>
        <v>S</v>
      </c>
      <c r="HC60" s="331" t="str">
        <f t="shared" si="95"/>
        <v>S</v>
      </c>
      <c r="HD60" s="332" t="str">
        <f t="shared" si="96"/>
        <v>r</v>
      </c>
      <c r="HE60" s="332" t="str">
        <f t="shared" si="97"/>
        <v>R</v>
      </c>
      <c r="HF60" s="332" t="str">
        <f t="shared" si="98"/>
        <v>g</v>
      </c>
      <c r="HG60" s="332" t="str">
        <f t="shared" si="99"/>
        <v/>
      </c>
      <c r="HH60" s="332" t="str">
        <f t="shared" si="100"/>
        <v>m</v>
      </c>
      <c r="HI60" s="332" t="str">
        <f t="shared" si="101"/>
        <v/>
      </c>
      <c r="HJ60" s="332" t="str">
        <f t="shared" si="102"/>
        <v>P</v>
      </c>
      <c r="HK60" s="332" t="str">
        <f t="shared" si="103"/>
        <v>d</v>
      </c>
      <c r="HL60" s="332" t="str">
        <f t="shared" si="104"/>
        <v>D</v>
      </c>
      <c r="HM60" s="332" t="str">
        <f t="shared" si="105"/>
        <v/>
      </c>
      <c r="HN60" s="332" t="str">
        <f t="shared" si="106"/>
        <v>N</v>
      </c>
      <c r="HO60" s="343" t="str">
        <f t="shared" si="107"/>
        <v>S</v>
      </c>
      <c r="HP60" s="331" t="str">
        <f t="shared" si="108"/>
        <v>o</v>
      </c>
      <c r="HQ60" s="332" t="str">
        <f t="shared" si="109"/>
        <v>o</v>
      </c>
      <c r="HR60" s="332" t="str">
        <f t="shared" si="110"/>
        <v>•</v>
      </c>
      <c r="HS60" s="332" t="str">
        <f t="shared" si="111"/>
        <v>o</v>
      </c>
      <c r="HT60" s="332" t="str">
        <f t="shared" si="112"/>
        <v>o</v>
      </c>
      <c r="HU60" s="332" t="str">
        <f t="shared" si="113"/>
        <v>o</v>
      </c>
      <c r="HV60" s="332" t="str">
        <f t="shared" si="114"/>
        <v>•</v>
      </c>
      <c r="HW60" s="332" t="str">
        <f t="shared" si="115"/>
        <v>o</v>
      </c>
      <c r="HX60" s="332" t="str">
        <f t="shared" si="116"/>
        <v>•</v>
      </c>
      <c r="HY60" s="332" t="str">
        <f t="shared" si="117"/>
        <v>o</v>
      </c>
      <c r="HZ60" s="332" t="str">
        <f t="shared" si="118"/>
        <v>o</v>
      </c>
      <c r="IA60" s="332" t="str">
        <f t="shared" si="119"/>
        <v>o</v>
      </c>
      <c r="IB60" s="338" t="str">
        <f t="shared" si="120"/>
        <v>o</v>
      </c>
      <c r="IC60" s="331" t="str">
        <f t="shared" si="121"/>
        <v>•</v>
      </c>
      <c r="ID60" s="332" t="str">
        <f t="shared" si="122"/>
        <v>•</v>
      </c>
      <c r="IE60" s="332" t="str">
        <f t="shared" si="123"/>
        <v>o</v>
      </c>
      <c r="IF60" s="332" t="str">
        <f t="shared" si="124"/>
        <v>•</v>
      </c>
      <c r="IG60" s="332" t="str">
        <f t="shared" si="125"/>
        <v>•</v>
      </c>
      <c r="IH60" s="332" t="str">
        <f t="shared" si="126"/>
        <v>•</v>
      </c>
      <c r="II60" s="332" t="str">
        <f t="shared" si="127"/>
        <v>o</v>
      </c>
      <c r="IJ60" s="332" t="str">
        <f t="shared" si="128"/>
        <v>•</v>
      </c>
      <c r="IK60" s="332" t="str">
        <f t="shared" si="129"/>
        <v>o</v>
      </c>
      <c r="IL60" s="332" t="str">
        <f t="shared" si="130"/>
        <v>•</v>
      </c>
      <c r="IM60" s="332" t="str">
        <f t="shared" si="131"/>
        <v>•</v>
      </c>
      <c r="IN60" s="332" t="str">
        <f t="shared" si="132"/>
        <v>•</v>
      </c>
      <c r="IO60" s="338" t="str">
        <f t="shared" si="133"/>
        <v>•</v>
      </c>
      <c r="IP60" s="346" t="b">
        <f t="shared" si="134"/>
        <v>0</v>
      </c>
      <c r="IQ60" s="347" t="b">
        <f t="shared" si="135"/>
        <v>1</v>
      </c>
      <c r="IR60" s="347" t="b">
        <f t="shared" si="136"/>
        <v>0</v>
      </c>
      <c r="IS60" s="347" t="b">
        <f t="shared" si="137"/>
        <v>0</v>
      </c>
      <c r="IT60" s="347" t="b">
        <f t="shared" si="138"/>
        <v>0</v>
      </c>
      <c r="IU60" s="347" t="b">
        <f t="shared" si="139"/>
        <v>0</v>
      </c>
      <c r="IV60" s="347" t="b">
        <f t="shared" si="140"/>
        <v>0</v>
      </c>
      <c r="IW60" s="347" t="b">
        <f t="shared" si="141"/>
        <v>1</v>
      </c>
      <c r="IX60" s="347" t="b">
        <f t="shared" si="142"/>
        <v>0</v>
      </c>
      <c r="IY60" s="347" t="b">
        <f t="shared" si="143"/>
        <v>0</v>
      </c>
      <c r="IZ60" s="347" t="b">
        <f t="shared" si="144"/>
        <v>0</v>
      </c>
      <c r="JA60" s="347" t="b">
        <f t="shared" si="145"/>
        <v>1</v>
      </c>
      <c r="JB60" s="353" t="b">
        <f t="shared" si="146"/>
        <v>0</v>
      </c>
      <c r="JC60" s="354" t="str">
        <f t="shared" si="147"/>
        <v/>
      </c>
      <c r="JD60" s="355" t="str">
        <f t="shared" si="148"/>
        <v>re, </v>
      </c>
      <c r="JE60" s="355" t="str">
        <f t="shared" si="149"/>
        <v/>
      </c>
      <c r="JF60" s="355" t="str">
        <f t="shared" si="150"/>
        <v/>
      </c>
      <c r="JG60" s="355" t="str">
        <f t="shared" si="151"/>
        <v/>
      </c>
      <c r="JH60" s="355" t="str">
        <f t="shared" si="152"/>
        <v/>
      </c>
      <c r="JI60" s="355" t="str">
        <f t="shared" si="153"/>
        <v/>
      </c>
      <c r="JJ60" s="355" t="str">
        <f t="shared" si="154"/>
        <v>Pa, </v>
      </c>
      <c r="JK60" s="355" t="str">
        <f t="shared" si="155"/>
        <v/>
      </c>
      <c r="JL60" s="355" t="str">
        <f t="shared" si="156"/>
        <v/>
      </c>
      <c r="JM60" s="355" t="str">
        <f t="shared" si="157"/>
        <v/>
      </c>
      <c r="JN60" s="355" t="str">
        <f t="shared" si="158"/>
        <v>Ni, </v>
      </c>
      <c r="JO60" s="359" t="str">
        <f t="shared" si="159"/>
        <v/>
      </c>
      <c r="JP60" s="346" t="b">
        <f t="shared" si="160"/>
        <v>0</v>
      </c>
      <c r="JQ60" s="347" t="b">
        <f t="shared" si="161"/>
        <v>1</v>
      </c>
      <c r="JR60" s="347" t="b">
        <f t="shared" si="162"/>
        <v>0</v>
      </c>
      <c r="JS60" s="347" t="b">
        <f t="shared" si="163"/>
        <v>0</v>
      </c>
      <c r="JT60" s="347" t="b">
        <f t="shared" si="164"/>
        <v>0</v>
      </c>
      <c r="JU60" s="347" t="b">
        <f t="shared" si="165"/>
        <v>0</v>
      </c>
      <c r="JV60" s="347" t="b">
        <f t="shared" si="166"/>
        <v>0</v>
      </c>
      <c r="JW60" s="347" t="b">
        <f t="shared" si="167"/>
        <v>0</v>
      </c>
      <c r="JX60" s="347" t="b">
        <f t="shared" si="168"/>
        <v>0</v>
      </c>
      <c r="JY60" s="347" t="b">
        <f t="shared" si="169"/>
        <v>0</v>
      </c>
      <c r="JZ60" s="347" t="b">
        <f t="shared" si="170"/>
        <v>0</v>
      </c>
      <c r="KA60" s="347" t="b">
        <f t="shared" si="171"/>
        <v>0</v>
      </c>
      <c r="KB60" s="365" t="b">
        <f t="shared" si="172"/>
        <v>0</v>
      </c>
      <c r="KC60" s="354" t="str">
        <f t="shared" si="173"/>
        <v/>
      </c>
      <c r="KD60" s="355" t="str">
        <f t="shared" si="174"/>
        <v>re, </v>
      </c>
      <c r="KE60" s="355" t="str">
        <f t="shared" si="175"/>
        <v/>
      </c>
      <c r="KF60" s="355" t="str">
        <f t="shared" si="176"/>
        <v/>
      </c>
      <c r="KG60" s="355" t="str">
        <f t="shared" si="177"/>
        <v/>
      </c>
      <c r="KH60" s="355" t="str">
        <f t="shared" si="178"/>
        <v/>
      </c>
      <c r="KI60" s="355" t="str">
        <f t="shared" si="179"/>
        <v/>
      </c>
      <c r="KJ60" s="355" t="str">
        <f t="shared" si="180"/>
        <v/>
      </c>
      <c r="KK60" s="355" t="str">
        <f t="shared" si="181"/>
        <v/>
      </c>
      <c r="KL60" s="355" t="str">
        <f t="shared" si="182"/>
        <v/>
      </c>
      <c r="KM60" s="355" t="str">
        <f t="shared" si="183"/>
        <v/>
      </c>
      <c r="KN60" s="355" t="str">
        <f t="shared" si="184"/>
        <v/>
      </c>
      <c r="KO60" s="359"/>
      <c r="KP60" s="378"/>
      <c r="KQ60" s="379" t="s">
        <v>1349</v>
      </c>
      <c r="KR60" s="380" t="s">
        <v>1350</v>
      </c>
      <c r="KS60" s="381" t="str">
        <f t="shared" si="305"/>
        <v>S-r-m-P-d-n-S</v>
      </c>
      <c r="KT60" s="382">
        <f t="shared" si="186"/>
        <v>6</v>
      </c>
      <c r="KU60" s="383">
        <f t="shared" si="187"/>
        <v>6</v>
      </c>
      <c r="KV60" s="381" t="str">
        <f t="shared" si="205"/>
        <v>S-Nn-d-P-m-Gg-r-S</v>
      </c>
      <c r="KW60" s="382">
        <f t="shared" si="189"/>
        <v>7</v>
      </c>
      <c r="KX60" s="384">
        <f t="shared" si="190"/>
        <v>9</v>
      </c>
      <c r="KY60" s="382">
        <f t="shared" ref="KY60:KZ60" si="316">KW60-KT60</f>
        <v>1</v>
      </c>
      <c r="KZ60" s="369">
        <f t="shared" si="316"/>
        <v>3</v>
      </c>
      <c r="LA60" s="385" t="str">
        <f t="shared" si="192"/>
        <v>-</v>
      </c>
      <c r="LB60" s="340" t="str">
        <f>IFERROR(__xludf.DUMMYFUNCTION("JOIN("""",ArrayFormula(MID(KS60,LEN(KS60)-SEQUENCE(1,LEN(KS60))+1,1)))"),"S-n-d-P-m-r-S")</f>
        <v>S-n-d-P-m-r-S</v>
      </c>
      <c r="LC60" s="373" t="str">
        <f>IFERROR(__xludf.DUMMYFUNCTION("JOIN("""",ArrayFormula(MID(KV60,LEN(KV60)-SEQUENCE(1,LEN(KV60))+1,1)))"),"S-r-gG-m-P-d-nN-S")</f>
        <v>S-r-gG-m-P-d-nN-S</v>
      </c>
      <c r="LD60" s="373" t="str">
        <f t="shared" si="193"/>
        <v>SrmPdnS</v>
      </c>
      <c r="LE60" s="339" t="str">
        <f t="shared" si="194"/>
        <v>SrgGmPdnNS</v>
      </c>
      <c r="LF60" s="386" t="str">
        <f>IFERROR(__xludf.DUMMYFUNCTION("SUBSTITUTE(SUBSTITUTE(CONCATENATE(JOIN("""",LH60:LT60)),""1"",""""),""2"","""")"),"SrgGmPdnNS")</f>
        <v>SrgGmPdnNS</v>
      </c>
      <c r="LG60" s="369" t="str">
        <f t="shared" si="195"/>
        <v>✔</v>
      </c>
      <c r="LH60" s="387" t="str">
        <f>IFERROR(__xludf.DUMMYFUNCTION("IF(REGEXMATCH(LD60, ""S""), ""S"",IF(REGEXMATCH(LE60, ""S""), ""S"",""""))"),"S")</f>
        <v>S</v>
      </c>
      <c r="LI60" s="299" t="str">
        <f>IFERROR(__xludf.DUMMYFUNCTION("IF(REGEXMATCH(LD60, ""r""), ""r1"",IF(REGEXMATCH(LE60, ""r""), ""r2"",""""))"),"r1")</f>
        <v>r1</v>
      </c>
      <c r="LJ60" s="299" t="str">
        <f>IFERROR(__xludf.DUMMYFUNCTION("IF(REGEXMATCH(LD60, ""R""), ""R1"",IF(REGEXMATCH(LE60, ""R""), ""R2"",""""))"),"")</f>
        <v/>
      </c>
      <c r="LK60" s="299" t="str">
        <f>IFERROR(__xludf.DUMMYFUNCTION("IF(REGEXMATCH(LD60, ""g""), ""g1"",IF(REGEXMATCH(LE60, ""g""), ""g2"",""""))"),"g2")</f>
        <v>g2</v>
      </c>
      <c r="LL60" s="299" t="str">
        <f>IFERROR(__xludf.DUMMYFUNCTION("IF(REGEXMATCH(LD60, ""G""), ""G1"",IF(REGEXMATCH(LE60, ""G""), ""G2"",""""))"),"G2")</f>
        <v>G2</v>
      </c>
      <c r="LM60" s="299" t="str">
        <f>IFERROR(__xludf.DUMMYFUNCTION("IF(REGEXMATCH(LD60, ""m""), ""m1"",IF(REGEXMATCH(LE60, ""m""), ""m2"",""""))"),"m1")</f>
        <v>m1</v>
      </c>
      <c r="LN60" s="299" t="str">
        <f>IFERROR(__xludf.DUMMYFUNCTION("IF(REGEXMATCH(LD60, ""M""), ""M1"",IF(REGEXMATCH(LE60, ""M""), ""M2"",""""))"),"")</f>
        <v/>
      </c>
      <c r="LO60" s="299" t="str">
        <f>IFERROR(__xludf.DUMMYFUNCTION("IF(REGEXMATCH(LD60, ""P""), ""P1"",IF(REGEXMATCH(LE60, ""P""), ""P2"",""""))"),"P1")</f>
        <v>P1</v>
      </c>
      <c r="LP60" s="299" t="str">
        <f>IFERROR(__xludf.DUMMYFUNCTION("IF(REGEXMATCH(LD60, ""d""), ""d1"",IF(REGEXMATCH(LE60, ""d""), ""d2"",""""))"),"d1")</f>
        <v>d1</v>
      </c>
      <c r="LQ60" s="299" t="str">
        <f>IFERROR(__xludf.DUMMYFUNCTION("IF(REGEXMATCH(LD60, ""D""), ""D1"",IF(REGEXMATCH(LE60, ""D""), ""D2"",""""))"),"")</f>
        <v/>
      </c>
      <c r="LR60" s="299" t="str">
        <f>IFERROR(__xludf.DUMMYFUNCTION("IF(REGEXMATCH(LD60, ""n""), ""n1"",IF(REGEXMATCH(LE60, ""n""), ""n2"",""""))"),"n1")</f>
        <v>n1</v>
      </c>
      <c r="LS60" s="299" t="str">
        <f>IFERROR(__xludf.DUMMYFUNCTION("IF(REGEXMATCH(LD60, ""N""), ""N1"",IF(REGEXMATCH(LE60, ""N""), ""N2"",""""))"),"N2")</f>
        <v>N2</v>
      </c>
      <c r="LT60" s="388" t="str">
        <f>IFERROR(__xludf.DUMMYFUNCTION("IF(REGEXMATCH(LD60, ""S""), ""S"",IF(REGEXMATCH(LE60, ""S""), ""S"",""""))"),"S")</f>
        <v>S</v>
      </c>
      <c r="LU60" s="389">
        <f t="shared" si="196"/>
        <v>-3</v>
      </c>
      <c r="LV60" s="378"/>
      <c r="LW60" s="369"/>
      <c r="LX60" s="369"/>
    </row>
    <row r="61" ht="18.0" customHeight="1">
      <c r="A61" s="298" t="s">
        <v>631</v>
      </c>
      <c r="B61" s="222" t="s">
        <v>632</v>
      </c>
      <c r="C61" s="233" t="str">
        <f t="shared" si="7"/>
        <v>SRGmMPDNS</v>
      </c>
      <c r="D61" s="234" t="str">
        <f>IFERROR(__xludf.DUMMYFUNCTION("IF(REGEXMATCH(C61, ""S""), ""S"","""")"),"S")</f>
        <v>S</v>
      </c>
      <c r="E61" s="236" t="str">
        <f>IFERROR(__xludf.DUMMYFUNCTION("IF(REGEXMATCH(C61, ""r""), ""r"","""")"),"")</f>
        <v/>
      </c>
      <c r="F61" s="237" t="str">
        <f>IFERROR(__xludf.DUMMYFUNCTION("IF(REGEXMATCH(C61, ""R""), ""R"","""")"),"R")</f>
        <v>R</v>
      </c>
      <c r="G61" s="237" t="str">
        <f>IFERROR(__xludf.DUMMYFUNCTION("IF(REGEXMATCH(C61, ""g""), ""g"","""")"),"")</f>
        <v/>
      </c>
      <c r="H61" s="236" t="str">
        <f>IFERROR(__xludf.DUMMYFUNCTION("IF(REGEXMATCH(C61, ""G""), ""G"","""")"),"G")</f>
        <v>G</v>
      </c>
      <c r="I61" s="236" t="str">
        <f>IFERROR(__xludf.DUMMYFUNCTION("IF(REGEXMATCH(C61, ""m""), ""m"","""")"),"m")</f>
        <v>m</v>
      </c>
      <c r="J61" s="237" t="str">
        <f>IFERROR(__xludf.DUMMYFUNCTION("IF(REGEXMATCH(C61, ""M""), ""M"","""")"),"M")</f>
        <v>M</v>
      </c>
      <c r="K61" s="236" t="str">
        <f>IFERROR(__xludf.DUMMYFUNCTION("IF(REGEXMATCH(C61, ""P""), ""P"","""")"),"P")</f>
        <v>P</v>
      </c>
      <c r="L61" s="237" t="str">
        <f>IFERROR(__xludf.DUMMYFUNCTION("IF(REGEXMATCH(C61, ""d""), ""d"","""")"),"")</f>
        <v/>
      </c>
      <c r="M61" s="236" t="str">
        <f>IFERROR(__xludf.DUMMYFUNCTION("IF(REGEXMATCH(C61, ""D""), ""D"","""")"),"D")</f>
        <v>D</v>
      </c>
      <c r="N61" s="236" t="str">
        <f>IFERROR(__xludf.DUMMYFUNCTION("IF(REGEXMATCH(C61, ""n""), ""n"","""")"),"")</f>
        <v/>
      </c>
      <c r="O61" s="237" t="str">
        <f>IFERROR(__xludf.DUMMYFUNCTION("IF(REGEXMATCH(C61, ""N""), ""N"","""")"),"N")</f>
        <v>N</v>
      </c>
      <c r="P61" s="238" t="str">
        <f>IFERROR(__xludf.DUMMYFUNCTION("IF(REGEXMATCH(C61, ""S""), ""S"","""")"),"S")</f>
        <v>S</v>
      </c>
      <c r="Q61" s="239" t="str">
        <f>IFERROR(__xludf.DUMMYFUNCTION("SUBSTITUTE(CONCATENATE(JOIN(""-"",D61:J61)),""-"","""")"),"SRGmM")</f>
        <v>SRGmM</v>
      </c>
      <c r="R61" s="229" t="str">
        <f>IFERROR(__xludf.DUMMYFUNCTION("SUBSTITUTE(CONCATENATE(JOIN(""-"",K61:P61)),""-"","""")"),"PDNS")</f>
        <v>PDNS</v>
      </c>
      <c r="S61" s="282" t="str">
        <f t="shared" si="8"/>
        <v>S-R-G-M</v>
      </c>
      <c r="T61" s="282" t="str">
        <f t="shared" si="9"/>
        <v>P-D-N-S</v>
      </c>
      <c r="U61" s="237" t="str">
        <f>IFERROR(__xludf.DUMMYFUNCTION("SUBSTITUTE(JOIN(""-"",S61,T61),""--"",""-"")"),"S-R-G-M-P-D-N-S")</f>
        <v>S-R-G-M-P-D-N-S</v>
      </c>
      <c r="V61" s="309" t="str">
        <f t="shared" si="10"/>
        <v>RGmMDN</v>
      </c>
      <c r="W61" s="244" t="str">
        <f>IFERROR(__xludf.DUMMYFUNCTION("IF(REGEXMATCH(C61, ""S""), ""0"","""")"),"0")</f>
        <v>0</v>
      </c>
      <c r="X61" s="245" t="str">
        <f>IFERROR(__xludf.DUMMYFUNCTION("IF(REGEXMATCH(C61, ""r""), ""1"","""")"),"")</f>
        <v/>
      </c>
      <c r="Y61" s="246" t="str">
        <f>IFERROR(__xludf.DUMMYFUNCTION("IF(REGEXMATCH(C61, ""R""), ""2"","""")"),"2")</f>
        <v>2</v>
      </c>
      <c r="Z61" s="246" t="str">
        <f>IFERROR(__xludf.DUMMYFUNCTION("IF(REGEXMATCH(C61, ""g""), ""3"","""")"),"")</f>
        <v/>
      </c>
      <c r="AA61" s="245" t="str">
        <f>IFERROR(__xludf.DUMMYFUNCTION("IF(REGEXMATCH(C61, ""G""), ""4"","""")"),"4")</f>
        <v>4</v>
      </c>
      <c r="AB61" s="245" t="str">
        <f>IFERROR(__xludf.DUMMYFUNCTION("IF(REGEXMATCH(C61, ""m""), ""5"","""")"),"5")</f>
        <v>5</v>
      </c>
      <c r="AC61" s="246" t="str">
        <f>IFERROR(__xludf.DUMMYFUNCTION("IF(REGEXMATCH(C61, ""M""), ""6"","""")"),"6")</f>
        <v>6</v>
      </c>
      <c r="AD61" s="245" t="str">
        <f>IFERROR(__xludf.DUMMYFUNCTION("IF(REGEXMATCH(C61, ""P""), ""7"","""")"),"7")</f>
        <v>7</v>
      </c>
      <c r="AE61" s="246" t="str">
        <f>IFERROR(__xludf.DUMMYFUNCTION("IF(REGEXMATCH(C61, ""d""), ""8"","""")"),"")</f>
        <v/>
      </c>
      <c r="AF61" s="245" t="str">
        <f>IFERROR(__xludf.DUMMYFUNCTION("IF(REGEXMATCH(C61, ""D""), ""9"","""")"),"9")</f>
        <v>9</v>
      </c>
      <c r="AG61" s="245" t="str">
        <f>IFERROR(__xludf.DUMMYFUNCTION("IF(REGEXMATCH(C61, ""n""), ""10"","""")"),"")</f>
        <v/>
      </c>
      <c r="AH61" s="246" t="str">
        <f>IFERROR(__xludf.DUMMYFUNCTION("IF(REGEXMATCH(C61, ""N""), ""11"","""")"),"11")</f>
        <v>11</v>
      </c>
      <c r="AI61" s="249" t="str">
        <f>IFERROR(__xludf.DUMMYFUNCTION("IF(REGEXMATCH(C61, ""S""), ""0"","""")"),"0")</f>
        <v>0</v>
      </c>
      <c r="AJ61" s="313" t="str">
        <f t="shared" si="11"/>
        <v>T</v>
      </c>
      <c r="AK61" s="313" t="str">
        <f t="shared" si="12"/>
        <v>-</v>
      </c>
      <c r="AL61" s="313" t="str">
        <f t="shared" si="13"/>
        <v>-</v>
      </c>
      <c r="AM61" s="313" t="str">
        <f t="shared" si="14"/>
        <v>-</v>
      </c>
      <c r="AN61" s="313" t="str">
        <f t="shared" si="15"/>
        <v>-</v>
      </c>
      <c r="AO61" s="314" t="str">
        <f t="shared" si="16"/>
        <v>T</v>
      </c>
      <c r="AP61" s="316">
        <f t="shared" si="17"/>
        <v>2</v>
      </c>
      <c r="AQ61" s="319" t="str">
        <f t="shared" si="18"/>
        <v>-</v>
      </c>
      <c r="AR61" s="320">
        <f t="shared" si="19"/>
        <v>0</v>
      </c>
      <c r="AS61" s="250" t="str">
        <f>IFERROR(__xludf.DUMMYFUNCTION("SUBSTITUTE(SUBSTITUTE(CONCATENATE(JOIN("""",FP61:GA61)),""|"",""x""),""-"",""o"")"),"xoxoxxxxoxox")</f>
        <v>xoxoxxxxoxox</v>
      </c>
      <c r="AT61" s="323" t="str">
        <f>IFERROR(__xludf.DUMMYFUNCTION("JOIN("""",AS61,AS61)"),"xoxoxxxxoxoxxoxoxxxxoxox")</f>
        <v>xoxoxxxxoxoxxoxoxxxxoxox</v>
      </c>
      <c r="AU61" s="256" t="str">
        <f>IFERROR(__xludf.DUMMYFUNCTION("JOIN("""",ArrayFormula(MID(AS61,LEN(AS61)-SEQUENCE(1,LEN(AS61))+1,1)))"),"xoxoxxxxoxox")</f>
        <v>xoxoxxxxoxox</v>
      </c>
      <c r="AV61" s="256" t="str">
        <f>IFERROR(__xludf.DUMMYFUNCTION("LEFT(CONCATENATE(""x"",JOIN("""",ArrayFormula(MID(AS61,LEN(AS61)-SEQUENCE(1,LEN(AS61))+1,1)))),12)"),"xxoxoxxxxoxo")</f>
        <v>xxoxoxxxxoxo</v>
      </c>
      <c r="AW61" s="327" t="str">
        <f>IFERROR(__xludf.DUMMYFUNCTION("JOIN("""",AU61,AU61)"),"xoxoxxxxoxoxxoxoxxxxoxox")</f>
        <v>xoxoxxxxoxoxxoxoxxxxoxox</v>
      </c>
      <c r="AX61" s="239" t="str">
        <f>IFERROR(__xludf.DUMMYFUNCTION("IF(REGEXMATCH(AW61,AS61),""✔"",""-"")"),"✔")</f>
        <v>✔</v>
      </c>
      <c r="AY61" s="330" t="str">
        <f t="shared" si="20"/>
        <v>-</v>
      </c>
      <c r="AZ61" s="260" t="str">
        <f t="shared" si="21"/>
        <v>#REF!</v>
      </c>
      <c r="BA61" s="333" t="str">
        <f t="shared" si="22"/>
        <v>xoxoxxx</v>
      </c>
      <c r="BB61" s="334" t="str">
        <f t="shared" si="23"/>
        <v>xoxoxx</v>
      </c>
      <c r="BC61" s="335" t="str">
        <f t="shared" si="236"/>
        <v>✔</v>
      </c>
      <c r="BD61" s="336" t="str">
        <f t="shared" si="25"/>
        <v>Bihag: 'xoxoxxx' + 'xoxoxx'</v>
      </c>
      <c r="BE61" s="337">
        <f>IFERROR(__xludf.DUMMYFUNCTION("COUNTUNIQUE(FILTER(AT:AT,REGEXMATCH(AT:AT,AS61)))-1"),3.0)</f>
        <v>3</v>
      </c>
      <c r="BF61" s="261" t="str">
        <f>IFERROR(__xludf.DUMMYFUNCTION("IF(BI61=0,""(n/a)"",IF(BJ61=2,""(PAIR)"",IF(REGEXMATCH(AT61,""xoxoxxoxoxox""),""Bilawal"",IF(REGEXMATCH(AT61,""xoxoxooxoxoo""),""Bhupali"",IF(REGEXMATCH(AT61,""xoxoxxoxxoxo""),""Charukeshi"",IF(REGEXMATCH(AT61,""xoxoooxxoxxo""),""Kameshwari"",IF(REGEXMATC"&amp;"H(AT61,""xoxoxooxoxox""),""Shankara"",IF(REGEXMATCH(AT61,""xxooxoxxxoox""),""Basant"",IF(REGEXMATCH(AT61,""xoxoxxxxoxox""),""Bihag"",IF(REGEXMATCH(AT61,""xoxxxxoxoxxx""),""Pilu"",IF(REGEXMATCH(AT61,""xoxxoxoxxoox""),""Kirwani"",IF(REGEXMATCH(AT61,""xoxxox"&amp;"oxoxxx""),""Mk.Malhar"",IF(REGEXMATCH(AT61,""xxooxxoxxoox""),""Bhairav"",IF(REGEXMATCH(AT61,""xxoxooxxxoox""),""Todi"",IF(REGEXMATCH(AT61,""xxooxoxooxox""),""Marwa"",IF(REGEXMATCH(AT61,""xxoooxoxxooo""),""Gunkali"",IF(REGEXMATCH(AT61,""xoxoxxoxxoox""),""N"&amp;"at Bhairav"",IF(REGEXMATCH(AT61,""xoxxoooxoxoo""),""Shivranjani"",IF(REGEXMATCH(AT61,""xooxxxoxooxo""),""Jog"",IF(REGEXMATCH(AT61,""xxooxoxoxoox""),""Hemshri"",IF(REGEXMATCH(AT61,""xoooxooxoxxo""),""Kalavati"",IF(REGEXMATCH(AT61,""xxoxoxxoxoox""),""Kedar"&amp;""",IF(REGEXMATCH(AT61,""xoxxxxoxooxx""),""Gara"",IF(REGEXMATCH(AT61,""xooxoxooxoox""),""Chandrakauns"",IF(REGEXMATCH(AT61,""xoxxxxoxxxox""),""Mand"",IF(REGEXMATCH(AT61,""xoxxxxoxoxox""),""Hanskinkini"",IF(REGEXMATCH(AT61,""xxooxxoxooxo""),""Lilavati"",IF("&amp;"REGEXMATCH(AT61,""xooxoxoooxox""),""Rajeshwari"",IF(REGEXMATCH(AT61,""xoooxxoxoxxx""),""Khokar"",IF(REGEXMATCH(AT61,""xxooxoxxxxox""),""Maligoura"",""-""))))))))))))))))))))))))))))))"),"Bihag")</f>
        <v>Bihag</v>
      </c>
      <c r="BG61" s="239" t="str">
        <f t="shared" si="26"/>
        <v>#REF!</v>
      </c>
      <c r="BH61" s="239">
        <f>IFERROR(__xludf.DUMMYFUNCTION("COUNTUNIQUE(FE61:FO61)-1"),7.0)</f>
        <v>7</v>
      </c>
      <c r="BI61" s="239">
        <f>IFERROR(__xludf.DUMMYFUNCTION("COUNTUNIQUE(FILTER(AT:AT,REGEXMATCH(AT:AT,AS61)))-1"),3.0)</f>
        <v>3</v>
      </c>
      <c r="BJ61" s="239">
        <f>IFERROR(__xludf.DUMMYFUNCTION("COUNTA(FILTER(AT:AT,REGEXMATCH(AT:AT,AS61)))"),36.0)</f>
        <v>36</v>
      </c>
      <c r="BK61" s="341">
        <f>IFERROR(__xludf.DUMMYFUNCTION("COUNTA(FILTER(AT:AT,REGEXMATCH(AT:AT,AS61)))-AR61"),36.0)</f>
        <v>36</v>
      </c>
      <c r="BL61" s="276" t="str">
        <f>IFERROR(__xludf.DUMMYFUNCTION("IF(AS61=""oooooooooooo"",""-"",IF(REGEXMATCH(AT61,""xx""), ""Hemi."", ""Anhemi.""))"),"Hemi.")</f>
        <v>Hemi.</v>
      </c>
      <c r="BM61" s="282" t="str">
        <f>IFERROR(__xludf.DUMMYFUNCTION("IF(AS61=""oooooooooooo"",""-"",IF(REGEXMATCH(AT61,""xxx""), ""Cohem."", ""-""))"),"Cohem.")</f>
        <v>Cohem.</v>
      </c>
      <c r="BN61" s="282" t="str">
        <f>IFERROR(__xludf.DUMMYFUNCTION("IF(AS61=""oooooooooooo"",""-"",IF(REGEXMATCH(AT61,""xxxx""), ""Co-Co."", ""-""))"),"Co-Co.")</f>
        <v>Co-Co.</v>
      </c>
      <c r="BO61" s="342" t="str">
        <f>IFERROR(__xludf.DUMMYFUNCTION("IF(AS61=""oooooooooooo"",""-"",IF(REGEXMATCH(AT61,""xxxxx""), ""CCC."", ""-""))"),"-")</f>
        <v>-</v>
      </c>
      <c r="BP61" s="344" t="str">
        <f t="shared" si="27"/>
        <v>-</v>
      </c>
      <c r="BQ61" s="282" t="str">
        <f>IFERROR(__xludf.DUMMYFUNCTION("IF(REGEXMATCH(JOIN(""-"",EU61:FD61),""TRUE""),""✔"",""-"")"),"-")</f>
        <v>-</v>
      </c>
      <c r="BR61" s="225">
        <f t="shared" si="28"/>
        <v>0</v>
      </c>
      <c r="BS61" s="345" t="str">
        <f>IFERROR(__xludf.DUMMYFUNCTION("SUBSTITUTE(SUBSTITUTE(SUBSTITUTE(SUBSTITUTE(CONCATENATE(JOIN(""-"",GC61:GO61)),""--"",""-""),""--"",""-""),""--"",""-""),""--"",""-"")"),"1-2-3-4-#4-5-6-7-8")</f>
        <v>1-2-3-4-#4-5-6-7-8</v>
      </c>
      <c r="BT61" s="299" t="str">
        <f>IFERROR(__xludf.DUMMYFUNCTION("SUBSTITUTE(SUBSTITUTE(SUBSTITUTE(SUBSTITUTE(CONCATENATE(JOIN(""-"",GP61:HB61)),""--"",""-""),""--"",""-""),""--"",""-""),""--"",""-"")"),"S-R2-G3-M1-M2-P-D2-N3-S")</f>
        <v>S-R2-G3-M1-M2-P-D2-N3-S</v>
      </c>
      <c r="BU61" s="348" t="str">
        <f t="shared" si="29"/>
        <v>C-D-E-F-F#-G-A-B-C</v>
      </c>
      <c r="BV61" s="349" t="str">
        <f t="shared" si="30"/>
        <v>SrgdnS</v>
      </c>
      <c r="BW61" s="350">
        <f t="shared" si="31"/>
        <v>0</v>
      </c>
      <c r="BX61" s="351">
        <f t="shared" si="32"/>
        <v>13</v>
      </c>
      <c r="BY61" s="392"/>
      <c r="BZ61" s="309" t="str">
        <f>IFERROR(__xludf.DUMMYFUNCTION("IF(REGEXMATCH(C61, ""S""), ""x"",""x"")"),"x")</f>
        <v>x</v>
      </c>
      <c r="CA61" s="245" t="str">
        <f>IFERROR(__xludf.DUMMYFUNCTION("IF(REGEXMATCH(C61, ""r""), ""o"",""x"")"),"x")</f>
        <v>x</v>
      </c>
      <c r="CB61" s="246" t="str">
        <f>IFERROR(__xludf.DUMMYFUNCTION("IF(REGEXMATCH(C61, ""R""), ""o"",""x"")"),"o")</f>
        <v>o</v>
      </c>
      <c r="CC61" s="246" t="str">
        <f>IFERROR(__xludf.DUMMYFUNCTION("IF(REGEXMATCH(C61, ""g""), ""o"",""x"")"),"x")</f>
        <v>x</v>
      </c>
      <c r="CD61" s="245" t="str">
        <f>IFERROR(__xludf.DUMMYFUNCTION("IF(REGEXMATCH(C61, ""G""), ""o"",""x"")"),"o")</f>
        <v>o</v>
      </c>
      <c r="CE61" s="245" t="str">
        <f>IFERROR(__xludf.DUMMYFUNCTION("IF(REGEXMATCH(C61, ""m""), ""o"",""x"")"),"o")</f>
        <v>o</v>
      </c>
      <c r="CF61" s="246" t="str">
        <f>IFERROR(__xludf.DUMMYFUNCTION("IF(REGEXMATCH(C61, ""M""), ""o"",""x"")"),"o")</f>
        <v>o</v>
      </c>
      <c r="CG61" s="245" t="str">
        <f>IFERROR(__xludf.DUMMYFUNCTION("IF(REGEXMATCH(C61, ""P""), ""o"",""x"")"),"o")</f>
        <v>o</v>
      </c>
      <c r="CH61" s="246" t="str">
        <f>IFERROR(__xludf.DUMMYFUNCTION("IF(REGEXMATCH(C61, ""d""), ""o"",""x"")"),"x")</f>
        <v>x</v>
      </c>
      <c r="CI61" s="245" t="str">
        <f>IFERROR(__xludf.DUMMYFUNCTION("IF(REGEXMATCH(C61, ""D""), ""o"",""x"")"),"o")</f>
        <v>o</v>
      </c>
      <c r="CJ61" s="245" t="str">
        <f>IFERROR(__xludf.DUMMYFUNCTION("IF(REGEXMATCH(C61, ""n""), ""o"",""x"")"),"x")</f>
        <v>x</v>
      </c>
      <c r="CK61" s="245" t="str">
        <f>IFERROR(__xludf.DUMMYFUNCTION("IF(REGEXMATCH(C61, ""N""), ""o"",""x"")"),"o")</f>
        <v>o</v>
      </c>
      <c r="CL61" s="356" t="str">
        <f>IFERROR(__xludf.DUMMYFUNCTION("IF(REGEXMATCH(C61, ""S""), ""x"",""x"")"),"x")</f>
        <v>x</v>
      </c>
      <c r="CM61" s="357" t="str">
        <f t="shared" si="33"/>
        <v>xxoxooooxoxo</v>
      </c>
      <c r="CN61" s="358">
        <f t="shared" si="34"/>
        <v>0</v>
      </c>
      <c r="CO61" s="246" t="str">
        <f>IFERROR(__xludf.DUMMYFUNCTION("IF(REGEXMATCH($C61, ""S""), ""S"",""S"")"),"S")</f>
        <v>S</v>
      </c>
      <c r="CP61" s="246" t="str">
        <f>IFERROR(__xludf.DUMMYFUNCTION("IF(REGEXMATCH($C61, ""r""), """",""r"")"),"r")</f>
        <v>r</v>
      </c>
      <c r="CQ61" s="246" t="str">
        <f>IFERROR(__xludf.DUMMYFUNCTION("IF(REGEXMATCH($C61, ""R""), """",""R"")"),"")</f>
        <v/>
      </c>
      <c r="CR61" s="246" t="str">
        <f>IFERROR(__xludf.DUMMYFUNCTION("IF(REGEXMATCH($C61, ""g""), """",""g"")"),"g")</f>
        <v>g</v>
      </c>
      <c r="CS61" s="246" t="str">
        <f>IFERROR(__xludf.DUMMYFUNCTION("IF(REGEXMATCH($C61, ""G""), """",""G"")"),"")</f>
        <v/>
      </c>
      <c r="CT61" s="246" t="str">
        <f>IFERROR(__xludf.DUMMYFUNCTION("IF(REGEXMATCH($C61, ""m""), """",""m"")"),"")</f>
        <v/>
      </c>
      <c r="CU61" s="246" t="str">
        <f>IFERROR(__xludf.DUMMYFUNCTION("IF(REGEXMATCH($C61, ""M""), """",""M"")"),"")</f>
        <v/>
      </c>
      <c r="CV61" s="246" t="str">
        <f>IFERROR(__xludf.DUMMYFUNCTION("IF(REGEXMATCH($C61, ""P""), """",""P"")"),"")</f>
        <v/>
      </c>
      <c r="CW61" s="246" t="str">
        <f>IFERROR(__xludf.DUMMYFUNCTION("IF(REGEXMATCH($C61, ""d""), """",""d"")"),"d")</f>
        <v>d</v>
      </c>
      <c r="CX61" s="246" t="str">
        <f>IFERROR(__xludf.DUMMYFUNCTION("IF(REGEXMATCH($C61, ""D""), """",""D"")"),"")</f>
        <v/>
      </c>
      <c r="CY61" s="246" t="str">
        <f>IFERROR(__xludf.DUMMYFUNCTION("IF(REGEXMATCH($C61, ""n""), """",""n"")"),"n")</f>
        <v>n</v>
      </c>
      <c r="CZ61" s="246" t="str">
        <f>IFERROR(__xludf.DUMMYFUNCTION("IF(REGEXMATCH($C61, ""N""), """",""N"")"),"")</f>
        <v/>
      </c>
      <c r="DA61" s="246" t="str">
        <f>IFERROR(__xludf.DUMMYFUNCTION("IF(REGEXMATCH($C61, ""S""), ""S"",""S"")"),"S")</f>
        <v>S</v>
      </c>
      <c r="DB61" s="362" t="str">
        <f>IFERROR(__xludf.DUMMYFUNCTION("JOIN("""",CO61:DA61,"""","""")"),"SrgdnS")</f>
        <v>SrgdnS</v>
      </c>
      <c r="DC61" s="363"/>
      <c r="DD61" s="301" t="str">
        <f t="shared" si="35"/>
        <v>#REF!</v>
      </c>
      <c r="DE61" s="302" t="str">
        <f t="shared" si="36"/>
        <v>#REF!</v>
      </c>
      <c r="DF61" s="301" t="str">
        <f t="shared" ref="DF61:DG61" si="317">SUBSTITUTE(S61,"-","")</f>
        <v>SRGM</v>
      </c>
      <c r="DG61" s="301" t="str">
        <f t="shared" si="317"/>
        <v>PDNS</v>
      </c>
      <c r="DH61" s="302" t="str">
        <f t="shared" si="38"/>
        <v>Bihag</v>
      </c>
      <c r="DI61" s="301" t="str">
        <f t="shared" si="39"/>
        <v>Hemi.</v>
      </c>
      <c r="DJ61" s="364" t="str">
        <f t="shared" si="40"/>
        <v>Co-Co.</v>
      </c>
      <c r="DK61" s="306" t="str">
        <f t="shared" si="41"/>
        <v>-</v>
      </c>
      <c r="DL61" s="366" t="str">
        <f t="shared" si="42"/>
        <v>-</v>
      </c>
      <c r="DM61" s="308" t="str">
        <f t="shared" si="43"/>
        <v>✔</v>
      </c>
      <c r="DN61" s="306" t="str">
        <f t="shared" si="44"/>
        <v>-</v>
      </c>
      <c r="DO61" s="306" t="str">
        <f t="shared" si="45"/>
        <v>-</v>
      </c>
      <c r="DP61" s="367" t="str">
        <f t="shared" si="46"/>
        <v>-</v>
      </c>
      <c r="DQ61" s="310" t="str">
        <f t="shared" si="47"/>
        <v>-</v>
      </c>
      <c r="DR61" s="310" t="str">
        <f t="shared" si="48"/>
        <v>-</v>
      </c>
      <c r="DS61" s="310" t="str">
        <f t="shared" si="49"/>
        <v>✔</v>
      </c>
      <c r="DT61" s="310" t="str">
        <f t="shared" si="50"/>
        <v>-</v>
      </c>
      <c r="DU61" s="370" t="str">
        <f t="shared" si="51"/>
        <v>-</v>
      </c>
      <c r="DV61" s="306" t="str">
        <f t="shared" si="52"/>
        <v>-</v>
      </c>
      <c r="DW61" s="306" t="str">
        <f t="shared" si="53"/>
        <v>-</v>
      </c>
      <c r="DX61" s="306" t="str">
        <f t="shared" si="54"/>
        <v>-</v>
      </c>
      <c r="DY61" s="306" t="str">
        <f t="shared" si="55"/>
        <v>-</v>
      </c>
      <c r="DZ61" s="306" t="str">
        <f t="shared" si="56"/>
        <v>-</v>
      </c>
      <c r="EA61" s="367" t="str">
        <f t="shared" si="57"/>
        <v>-</v>
      </c>
      <c r="EB61" s="310" t="str">
        <f>IFERROR(__xludf.DUMMYFUNCTION("IF(REGEXMATCH(AW61,AS61),""✔"",""-"")"),"✔")</f>
        <v>✔</v>
      </c>
      <c r="EC61" s="310" t="str">
        <f t="shared" si="58"/>
        <v>#REF!</v>
      </c>
      <c r="ED61" s="370" t="str">
        <f t="shared" si="59"/>
        <v>-</v>
      </c>
      <c r="EE61" s="340" t="str">
        <f t="shared" si="60"/>
        <v>S-R-G-mM-P-D-N-S</v>
      </c>
      <c r="EF61" s="371" t="str">
        <f>IFERROR(__xludf.DUMMYFUNCTION("CONCATENATE(JOIN("""",HC61:HO61))"),"SrgmMPdnS")</f>
        <v>SrgmMPdnS</v>
      </c>
      <c r="EG61" s="372">
        <f t="shared" si="61"/>
        <v>1</v>
      </c>
      <c r="EH61" s="373" t="str">
        <f>IFERROR(__xludf.DUMMYFUNCTION("CONCATENATE(JOIN("""",JC61:JO61))"),"Ma, ")</f>
        <v>Ma, </v>
      </c>
      <c r="EI61" s="322">
        <f t="shared" si="62"/>
        <v>0</v>
      </c>
      <c r="EJ61" s="374" t="str">
        <f>IFERROR(__xludf.DUMMYFUNCTION("CONCATENATE(JOIN("""",KC61:KO61))"),"")</f>
        <v/>
      </c>
      <c r="EK61" s="325" t="str">
        <f t="shared" si="63"/>
        <v>S-R2-G3-M1-M2-P-D2-N3-S</v>
      </c>
      <c r="EL61" s="326" t="str">
        <f t="shared" si="64"/>
        <v>1-2-3-4-#4-5-6-7-8</v>
      </c>
      <c r="EM61" s="318" t="str">
        <f t="shared" si="65"/>
        <v>#REF!</v>
      </c>
      <c r="EN61" s="328" t="str">
        <f>IFERROR(__xludf.DUMMYFUNCTION("SUBSTITUTE(SUBSTITUTE(SUBSTITUTE(SUBSTITUTE(CONCATENATE(JOIN("" "",HP61:IB61)),""  "","" ""),""  "","" ""),""  "","" ""),""  "","" "")"),"o • o • o o o o • o • o o")</f>
        <v>o • o • o o o o • o • o o</v>
      </c>
      <c r="EO61" s="368" t="str">
        <f t="shared" si="66"/>
        <v>-</v>
      </c>
      <c r="EP61" s="339" t="str">
        <f t="shared" si="67"/>
        <v>-</v>
      </c>
      <c r="EQ61" s="339" t="str">
        <f t="shared" si="68"/>
        <v>Sa-Pa</v>
      </c>
      <c r="ER61" s="339" t="str">
        <f t="shared" si="69"/>
        <v>-</v>
      </c>
      <c r="ES61" s="340" t="str">
        <f t="shared" si="70"/>
        <v>-</v>
      </c>
      <c r="ET61" s="363"/>
      <c r="EU61" s="376" t="b">
        <f>IFERROR(__xludf.DUMMYFUNCTION("arrayformula(sum(--REGEXMATCH(""SRGMPDNS"",split(REGEXREPLACE(C61,""(.)"",""$1~""),""~""))))=len(C61)
"),FALSE)</f>
        <v>0</v>
      </c>
      <c r="EV61" s="290" t="b">
        <f>IFERROR(__xludf.DUMMYFUNCTION("arrayformula(sum(--REGEXMATCH(""SRGmPDNS"",split(REGEXREPLACE(C61,""(.)"",""$1~""),""~""))))=len(C61)"),FALSE)</f>
        <v>0</v>
      </c>
      <c r="EW61" s="290" t="b">
        <f>IFERROR(__xludf.DUMMYFUNCTION("arrayformula(sum(--REGEXMATCH(""SRGmPDnS"",split(REGEXREPLACE(C61,""(.)"",""$1~""),""~""))))=len(C61)"),FALSE)</f>
        <v>0</v>
      </c>
      <c r="EX61" s="290" t="b">
        <f>IFERROR(__xludf.DUMMYFUNCTION("arrayformula(sum(--REGEXMATCH(""SRgmPDnS"",split(REGEXREPLACE(C61,""(.)"",""$1~""),""~""))))=len(C61)"),FALSE)</f>
        <v>0</v>
      </c>
      <c r="EY61" s="290" t="b">
        <f>IFERROR(__xludf.DUMMYFUNCTION("arrayformula(sum(--REGEXMATCH(""SRgmPdnS"",split(REGEXREPLACE(C61,""(.)"",""$1~""),""~""))))=len(C61)"),FALSE)</f>
        <v>0</v>
      </c>
      <c r="EZ61" s="290" t="b">
        <f>IFERROR(__xludf.DUMMYFUNCTION("arrayformula(sum(--REGEXMATCH(""SrgmPdnS"",split(REGEXREPLACE(C61,""(.)"",""$1~""),""~""))))=len(C61)"),FALSE)</f>
        <v>0</v>
      </c>
      <c r="FA61" s="290" t="b">
        <f>IFERROR(__xludf.DUMMYFUNCTION("arrayformula(sum(--REGEXMATCH(""SrGmPdNS"",split(REGEXREPLACE(C61,""(.)"",""$1~""),""~""))))=len(C61)"),FALSE)</f>
        <v>0</v>
      </c>
      <c r="FB61" s="290" t="b">
        <f>IFERROR(__xludf.DUMMYFUNCTION("arrayformula(sum(--REGEXMATCH(""SrGMPDNS"",split(REGEXREPLACE(C61,""(.)"",""$1~""),""~""))))=len(C61)"),FALSE)</f>
        <v>0</v>
      </c>
      <c r="FC61" s="290" t="b">
        <f>IFERROR(__xludf.DUMMYFUNCTION("arrayformula(sum(--REGEXMATCH(""SrGMPdNS"",split(REGEXREPLACE(C61,""(.)"",""$1~""),""~""))))=len(C61)"),FALSE)</f>
        <v>0</v>
      </c>
      <c r="FD61" s="377" t="b">
        <f>IFERROR(__xludf.DUMMYFUNCTION("arrayformula(sum(--REGEXMATCH(""SrgMPdNS"",split(REGEXREPLACE(C61,""(.)"",""$1~""),""~""))))=len(C61)"),FALSE)</f>
        <v>0</v>
      </c>
      <c r="FE61" s="269" t="str">
        <f t="shared" si="71"/>
        <v>-</v>
      </c>
      <c r="FF61" s="269" t="str">
        <f t="shared" si="72"/>
        <v>xoxxxxoxoxx</v>
      </c>
      <c r="FG61" s="271" t="str">
        <f t="shared" si="73"/>
        <v>-</v>
      </c>
      <c r="FH61" s="269" t="str">
        <f t="shared" si="74"/>
        <v>xxxxoxoxxox</v>
      </c>
      <c r="FI61" s="271" t="str">
        <f t="shared" si="75"/>
        <v>xxxoxoxxoxo</v>
      </c>
      <c r="FJ61" s="271" t="str">
        <f t="shared" si="76"/>
        <v>xxoxoxxoxox</v>
      </c>
      <c r="FK61" s="271" t="str">
        <f t="shared" si="77"/>
        <v>xoxoxxoxoxx</v>
      </c>
      <c r="FL61" s="271" t="str">
        <f t="shared" si="78"/>
        <v>-</v>
      </c>
      <c r="FM61" s="271" t="str">
        <f t="shared" si="79"/>
        <v>xoxxoxoxxxx</v>
      </c>
      <c r="FN61" s="271" t="str">
        <f t="shared" si="80"/>
        <v>-</v>
      </c>
      <c r="FO61" s="274" t="str">
        <f t="shared" si="81"/>
        <v>xxoxoxxxxox</v>
      </c>
      <c r="FP61" s="234" t="str">
        <f t="shared" si="82"/>
        <v>|</v>
      </c>
      <c r="FQ61" s="236" t="str">
        <f t="shared" si="83"/>
        <v>-</v>
      </c>
      <c r="FR61" s="237" t="str">
        <f t="shared" si="84"/>
        <v>|</v>
      </c>
      <c r="FS61" s="236" t="str">
        <f t="shared" si="85"/>
        <v>-</v>
      </c>
      <c r="FT61" s="237" t="str">
        <f t="shared" si="86"/>
        <v>|</v>
      </c>
      <c r="FU61" s="236" t="str">
        <f t="shared" si="87"/>
        <v>|</v>
      </c>
      <c r="FV61" s="237" t="str">
        <f t="shared" si="88"/>
        <v>|</v>
      </c>
      <c r="FW61" s="236" t="str">
        <f t="shared" si="89"/>
        <v>|</v>
      </c>
      <c r="FX61" s="237" t="str">
        <f t="shared" si="90"/>
        <v>-</v>
      </c>
      <c r="FY61" s="236" t="str">
        <f t="shared" si="91"/>
        <v>|</v>
      </c>
      <c r="FZ61" s="237" t="str">
        <f t="shared" si="92"/>
        <v>-</v>
      </c>
      <c r="GA61" s="236" t="str">
        <f t="shared" si="93"/>
        <v>|</v>
      </c>
      <c r="GB61" s="238" t="str">
        <f t="shared" si="94"/>
        <v>|</v>
      </c>
      <c r="GC61" s="244" t="str">
        <f>IFERROR(__xludf.DUMMYFUNCTION("IF(REGEXMATCH(C61, ""S""), ""1"","""")"),"1")</f>
        <v>1</v>
      </c>
      <c r="GD61" s="245" t="str">
        <f>IFERROR(__xludf.DUMMYFUNCTION("IF(REGEXMATCH(C61, ""r""), ""b2"","""")"),"")</f>
        <v/>
      </c>
      <c r="GE61" s="246" t="str">
        <f>IFERROR(__xludf.DUMMYFUNCTION("IF(REGEXMATCH(C61, ""R""), ""2"","""")"),"2")</f>
        <v>2</v>
      </c>
      <c r="GF61" s="246" t="str">
        <f>IFERROR(__xludf.DUMMYFUNCTION("IF(REGEXMATCH(C61, ""g""), ""b3"","""")"),"")</f>
        <v/>
      </c>
      <c r="GG61" s="245" t="str">
        <f>IFERROR(__xludf.DUMMYFUNCTION("IF(REGEXMATCH(C61, ""G""), ""3"","""")"),"3")</f>
        <v>3</v>
      </c>
      <c r="GH61" s="245" t="str">
        <f>IFERROR(__xludf.DUMMYFUNCTION("IF(REGEXMATCH(C61, ""m""), ""4"","""")"),"4")</f>
        <v>4</v>
      </c>
      <c r="GI61" s="246" t="str">
        <f>IFERROR(__xludf.DUMMYFUNCTION("IF(REGEXMATCH(C61, ""M""), ""#4"","""")"),"#4")</f>
        <v>#4</v>
      </c>
      <c r="GJ61" s="245" t="str">
        <f>IFERROR(__xludf.DUMMYFUNCTION("IF(REGEXMATCH(C61, ""P""), ""5"","""")"),"5")</f>
        <v>5</v>
      </c>
      <c r="GK61" s="246" t="str">
        <f>IFERROR(__xludf.DUMMYFUNCTION("IF(REGEXMATCH(C61, ""d""), ""b6"","""")"),"")</f>
        <v/>
      </c>
      <c r="GL61" s="245" t="str">
        <f>IFERROR(__xludf.DUMMYFUNCTION("IF(REGEXMATCH(C61, ""D""), ""6"","""")"),"6")</f>
        <v>6</v>
      </c>
      <c r="GM61" s="245" t="str">
        <f>IFERROR(__xludf.DUMMYFUNCTION("IF(REGEXMATCH(C61, ""n""), ""b7"","""")"),"")</f>
        <v/>
      </c>
      <c r="GN61" s="246" t="str">
        <f>IFERROR(__xludf.DUMMYFUNCTION("IF(REGEXMATCH(C61, ""N""), ""7"","""")"),"7")</f>
        <v>7</v>
      </c>
      <c r="GO61" s="249" t="str">
        <f>IFERROR(__xludf.DUMMYFUNCTION("IF(REGEXMATCH(C61, ""S""), ""8"","""")"),"8")</f>
        <v>8</v>
      </c>
      <c r="GP61" s="244" t="str">
        <f>IFERROR(__xludf.DUMMYFUNCTION("IF(REGEXMATCH(C61, ""S""), ""S"","""")"),"S")</f>
        <v>S</v>
      </c>
      <c r="GQ61" s="294" t="str">
        <f>IFERROR(__xludf.DUMMYFUNCTION("IF(REGEXMATCH(C61, ""r""), ""R1"","""")"),"")</f>
        <v/>
      </c>
      <c r="GR61" s="295" t="str">
        <f>IFERROR(__xludf.DUMMYFUNCTION("IF(REGEXMATCH(C61, ""R""), ""R2"","""")"),"R2")</f>
        <v>R2</v>
      </c>
      <c r="GS61" s="295" t="str">
        <f>IFERROR(__xludf.DUMMYFUNCTION("IF(REGEXMATCH(C61, ""g""), ""G2"","""")"),"")</f>
        <v/>
      </c>
      <c r="GT61" s="294" t="str">
        <f>IFERROR(__xludf.DUMMYFUNCTION("IF(REGEXMATCH(C61, ""G""), ""G3"","""")"),"G3")</f>
        <v>G3</v>
      </c>
      <c r="GU61" s="294" t="str">
        <f>IFERROR(__xludf.DUMMYFUNCTION("IF(REGEXMATCH(C61, ""m""), ""M1"","""")"),"M1")</f>
        <v>M1</v>
      </c>
      <c r="GV61" s="295" t="str">
        <f>IFERROR(__xludf.DUMMYFUNCTION("IF(REGEXMATCH(C61, ""M""), ""M2"","""")"),"M2")</f>
        <v>M2</v>
      </c>
      <c r="GW61" s="294" t="str">
        <f>IFERROR(__xludf.DUMMYFUNCTION("IF(REGEXMATCH(C61, ""P""), ""P"","""")"),"P")</f>
        <v>P</v>
      </c>
      <c r="GX61" s="295" t="str">
        <f>IFERROR(__xludf.DUMMYFUNCTION("IF(REGEXMATCH(C61, ""d""), ""D1"","""")"),"")</f>
        <v/>
      </c>
      <c r="GY61" s="294" t="str">
        <f>IFERROR(__xludf.DUMMYFUNCTION("IF(REGEXMATCH(C61, ""D""), ""D2"","""")"),"D2")</f>
        <v>D2</v>
      </c>
      <c r="GZ61" s="294" t="str">
        <f>IFERROR(__xludf.DUMMYFUNCTION("IF(REGEXMATCH(C61, ""n""), ""N2"","""")"),"")</f>
        <v/>
      </c>
      <c r="HA61" s="295" t="str">
        <f>IFERROR(__xludf.DUMMYFUNCTION("IF(REGEXMATCH(C61, ""N""), ""N3"","""")"),"N3")</f>
        <v>N3</v>
      </c>
      <c r="HB61" s="249" t="str">
        <f>IFERROR(__xludf.DUMMYFUNCTION("IF(REGEXMATCH(C61, ""S""), ""S"","""")"),"S")</f>
        <v>S</v>
      </c>
      <c r="HC61" s="331" t="str">
        <f t="shared" si="95"/>
        <v>S</v>
      </c>
      <c r="HD61" s="332" t="str">
        <f t="shared" si="96"/>
        <v>r</v>
      </c>
      <c r="HE61" s="332" t="str">
        <f t="shared" si="97"/>
        <v/>
      </c>
      <c r="HF61" s="332" t="str">
        <f t="shared" si="98"/>
        <v>g</v>
      </c>
      <c r="HG61" s="332" t="str">
        <f t="shared" si="99"/>
        <v/>
      </c>
      <c r="HH61" s="332" t="str">
        <f t="shared" si="100"/>
        <v>m</v>
      </c>
      <c r="HI61" s="332" t="str">
        <f t="shared" si="101"/>
        <v>M</v>
      </c>
      <c r="HJ61" s="332" t="str">
        <f t="shared" si="102"/>
        <v>P</v>
      </c>
      <c r="HK61" s="332" t="str">
        <f t="shared" si="103"/>
        <v>d</v>
      </c>
      <c r="HL61" s="332" t="str">
        <f t="shared" si="104"/>
        <v/>
      </c>
      <c r="HM61" s="332" t="str">
        <f t="shared" si="105"/>
        <v>n</v>
      </c>
      <c r="HN61" s="332" t="str">
        <f t="shared" si="106"/>
        <v/>
      </c>
      <c r="HO61" s="343" t="str">
        <f t="shared" si="107"/>
        <v>S</v>
      </c>
      <c r="HP61" s="331" t="str">
        <f t="shared" si="108"/>
        <v>o</v>
      </c>
      <c r="HQ61" s="332" t="str">
        <f t="shared" si="109"/>
        <v>•</v>
      </c>
      <c r="HR61" s="332" t="str">
        <f t="shared" si="110"/>
        <v>o</v>
      </c>
      <c r="HS61" s="332" t="str">
        <f t="shared" si="111"/>
        <v>•</v>
      </c>
      <c r="HT61" s="332" t="str">
        <f t="shared" si="112"/>
        <v>o</v>
      </c>
      <c r="HU61" s="332" t="str">
        <f t="shared" si="113"/>
        <v>o</v>
      </c>
      <c r="HV61" s="332" t="str">
        <f t="shared" si="114"/>
        <v>o</v>
      </c>
      <c r="HW61" s="332" t="str">
        <f t="shared" si="115"/>
        <v>o</v>
      </c>
      <c r="HX61" s="332" t="str">
        <f t="shared" si="116"/>
        <v>•</v>
      </c>
      <c r="HY61" s="332" t="str">
        <f t="shared" si="117"/>
        <v>o</v>
      </c>
      <c r="HZ61" s="332" t="str">
        <f t="shared" si="118"/>
        <v>•</v>
      </c>
      <c r="IA61" s="332" t="str">
        <f t="shared" si="119"/>
        <v>o</v>
      </c>
      <c r="IB61" s="338" t="str">
        <f t="shared" si="120"/>
        <v>o</v>
      </c>
      <c r="IC61" s="331" t="str">
        <f t="shared" si="121"/>
        <v>•</v>
      </c>
      <c r="ID61" s="332" t="str">
        <f t="shared" si="122"/>
        <v>o</v>
      </c>
      <c r="IE61" s="332" t="str">
        <f t="shared" si="123"/>
        <v>•</v>
      </c>
      <c r="IF61" s="332" t="str">
        <f t="shared" si="124"/>
        <v>o</v>
      </c>
      <c r="IG61" s="332" t="str">
        <f t="shared" si="125"/>
        <v>•</v>
      </c>
      <c r="IH61" s="332" t="str">
        <f t="shared" si="126"/>
        <v>•</v>
      </c>
      <c r="II61" s="332" t="str">
        <f t="shared" si="127"/>
        <v>•</v>
      </c>
      <c r="IJ61" s="332" t="str">
        <f t="shared" si="128"/>
        <v>•</v>
      </c>
      <c r="IK61" s="332" t="str">
        <f t="shared" si="129"/>
        <v>o</v>
      </c>
      <c r="IL61" s="332" t="str">
        <f t="shared" si="130"/>
        <v>•</v>
      </c>
      <c r="IM61" s="332" t="str">
        <f t="shared" si="131"/>
        <v>o</v>
      </c>
      <c r="IN61" s="332" t="str">
        <f t="shared" si="132"/>
        <v>•</v>
      </c>
      <c r="IO61" s="338" t="str">
        <f t="shared" si="133"/>
        <v>•</v>
      </c>
      <c r="IP61" s="346" t="b">
        <f t="shared" si="134"/>
        <v>0</v>
      </c>
      <c r="IQ61" s="347" t="b">
        <f t="shared" si="135"/>
        <v>0</v>
      </c>
      <c r="IR61" s="347" t="b">
        <f t="shared" si="136"/>
        <v>0</v>
      </c>
      <c r="IS61" s="347" t="b">
        <f t="shared" si="137"/>
        <v>0</v>
      </c>
      <c r="IT61" s="347" t="b">
        <f t="shared" si="138"/>
        <v>0</v>
      </c>
      <c r="IU61" s="347" t="b">
        <f t="shared" si="139"/>
        <v>0</v>
      </c>
      <c r="IV61" s="347" t="b">
        <f t="shared" si="140"/>
        <v>1</v>
      </c>
      <c r="IW61" s="347" t="b">
        <f t="shared" si="141"/>
        <v>0</v>
      </c>
      <c r="IX61" s="347" t="b">
        <f t="shared" si="142"/>
        <v>0</v>
      </c>
      <c r="IY61" s="347" t="b">
        <f t="shared" si="143"/>
        <v>0</v>
      </c>
      <c r="IZ61" s="347" t="b">
        <f t="shared" si="144"/>
        <v>0</v>
      </c>
      <c r="JA61" s="347" t="b">
        <f t="shared" si="145"/>
        <v>0</v>
      </c>
      <c r="JB61" s="353" t="b">
        <f t="shared" si="146"/>
        <v>0</v>
      </c>
      <c r="JC61" s="354" t="str">
        <f t="shared" si="147"/>
        <v/>
      </c>
      <c r="JD61" s="355" t="str">
        <f t="shared" si="148"/>
        <v/>
      </c>
      <c r="JE61" s="355" t="str">
        <f t="shared" si="149"/>
        <v/>
      </c>
      <c r="JF61" s="355" t="str">
        <f t="shared" si="150"/>
        <v/>
      </c>
      <c r="JG61" s="355" t="str">
        <f t="shared" si="151"/>
        <v/>
      </c>
      <c r="JH61" s="355" t="str">
        <f t="shared" si="152"/>
        <v/>
      </c>
      <c r="JI61" s="355" t="str">
        <f t="shared" si="153"/>
        <v>Ma, </v>
      </c>
      <c r="JJ61" s="355" t="str">
        <f t="shared" si="154"/>
        <v/>
      </c>
      <c r="JK61" s="355" t="str">
        <f t="shared" si="155"/>
        <v/>
      </c>
      <c r="JL61" s="355" t="str">
        <f t="shared" si="156"/>
        <v/>
      </c>
      <c r="JM61" s="355" t="str">
        <f t="shared" si="157"/>
        <v/>
      </c>
      <c r="JN61" s="355" t="str">
        <f t="shared" si="158"/>
        <v/>
      </c>
      <c r="JO61" s="359" t="str">
        <f t="shared" si="159"/>
        <v/>
      </c>
      <c r="JP61" s="346" t="b">
        <f t="shared" si="160"/>
        <v>0</v>
      </c>
      <c r="JQ61" s="347" t="b">
        <f t="shared" si="161"/>
        <v>0</v>
      </c>
      <c r="JR61" s="347" t="b">
        <f t="shared" si="162"/>
        <v>0</v>
      </c>
      <c r="JS61" s="347" t="b">
        <f t="shared" si="163"/>
        <v>0</v>
      </c>
      <c r="JT61" s="347" t="b">
        <f t="shared" si="164"/>
        <v>0</v>
      </c>
      <c r="JU61" s="347" t="b">
        <f t="shared" si="165"/>
        <v>0</v>
      </c>
      <c r="JV61" s="347" t="b">
        <f t="shared" si="166"/>
        <v>0</v>
      </c>
      <c r="JW61" s="347" t="b">
        <f t="shared" si="167"/>
        <v>0</v>
      </c>
      <c r="JX61" s="347" t="b">
        <f t="shared" si="168"/>
        <v>0</v>
      </c>
      <c r="JY61" s="347" t="b">
        <f t="shared" si="169"/>
        <v>0</v>
      </c>
      <c r="JZ61" s="347" t="b">
        <f t="shared" si="170"/>
        <v>0</v>
      </c>
      <c r="KA61" s="347" t="b">
        <f t="shared" si="171"/>
        <v>0</v>
      </c>
      <c r="KB61" s="365" t="b">
        <f t="shared" si="172"/>
        <v>0</v>
      </c>
      <c r="KC61" s="354" t="str">
        <f t="shared" si="173"/>
        <v/>
      </c>
      <c r="KD61" s="355" t="str">
        <f t="shared" si="174"/>
        <v/>
      </c>
      <c r="KE61" s="355" t="str">
        <f t="shared" si="175"/>
        <v/>
      </c>
      <c r="KF61" s="355" t="str">
        <f t="shared" si="176"/>
        <v/>
      </c>
      <c r="KG61" s="355" t="str">
        <f t="shared" si="177"/>
        <v/>
      </c>
      <c r="KH61" s="355" t="str">
        <f t="shared" si="178"/>
        <v/>
      </c>
      <c r="KI61" s="355" t="str">
        <f t="shared" si="179"/>
        <v/>
      </c>
      <c r="KJ61" s="355" t="str">
        <f t="shared" si="180"/>
        <v/>
      </c>
      <c r="KK61" s="355" t="str">
        <f t="shared" si="181"/>
        <v/>
      </c>
      <c r="KL61" s="355" t="str">
        <f t="shared" si="182"/>
        <v/>
      </c>
      <c r="KM61" s="355" t="str">
        <f t="shared" si="183"/>
        <v/>
      </c>
      <c r="KN61" s="355" t="str">
        <f t="shared" si="184"/>
        <v/>
      </c>
      <c r="KO61" s="359"/>
      <c r="KP61" s="378"/>
      <c r="KQ61" s="379" t="s">
        <v>1352</v>
      </c>
      <c r="KR61" s="380" t="s">
        <v>1353</v>
      </c>
      <c r="KS61" s="381" t="str">
        <f t="shared" si="305"/>
        <v>S-G-m-P-N-S</v>
      </c>
      <c r="KT61" s="382">
        <f t="shared" si="186"/>
        <v>5</v>
      </c>
      <c r="KU61" s="383">
        <f t="shared" si="187"/>
        <v>5</v>
      </c>
      <c r="KV61" s="381" t="str">
        <f t="shared" si="205"/>
        <v>S-N-D-P-Mm-G-R-S</v>
      </c>
      <c r="KW61" s="382">
        <f t="shared" si="189"/>
        <v>7</v>
      </c>
      <c r="KX61" s="384">
        <f t="shared" si="190"/>
        <v>8</v>
      </c>
      <c r="KY61" s="382">
        <f t="shared" ref="KY61:KZ61" si="318">KW61-KT61</f>
        <v>2</v>
      </c>
      <c r="KZ61" s="369">
        <f t="shared" si="318"/>
        <v>3</v>
      </c>
      <c r="LA61" s="385" t="str">
        <f t="shared" si="192"/>
        <v>-</v>
      </c>
      <c r="LB61" s="340" t="str">
        <f>IFERROR(__xludf.DUMMYFUNCTION("JOIN("""",ArrayFormula(MID(KS61,LEN(KS61)-SEQUENCE(1,LEN(KS61))+1,1)))"),"S-N-P-m-G-S")</f>
        <v>S-N-P-m-G-S</v>
      </c>
      <c r="LC61" s="373" t="str">
        <f>IFERROR(__xludf.DUMMYFUNCTION("JOIN("""",ArrayFormula(MID(KV61,LEN(KV61)-SEQUENCE(1,LEN(KV61))+1,1)))"),"S-R-G-mM-P-D-N-S")</f>
        <v>S-R-G-mM-P-D-N-S</v>
      </c>
      <c r="LD61" s="373" t="str">
        <f t="shared" si="193"/>
        <v>SGmPNS</v>
      </c>
      <c r="LE61" s="339" t="str">
        <f t="shared" si="194"/>
        <v>SRGmMPDNS</v>
      </c>
      <c r="LF61" s="386" t="str">
        <f>IFERROR(__xludf.DUMMYFUNCTION("SUBSTITUTE(SUBSTITUTE(CONCATENATE(JOIN("""",LH61:LT61)),""1"",""""),""2"","""")"),"SRGmMPDNS")</f>
        <v>SRGmMPDNS</v>
      </c>
      <c r="LG61" s="369" t="str">
        <f t="shared" si="195"/>
        <v>✔</v>
      </c>
      <c r="LH61" s="387" t="str">
        <f>IFERROR(__xludf.DUMMYFUNCTION("IF(REGEXMATCH(LD61, ""S""), ""S"",IF(REGEXMATCH(LE61, ""S""), ""S"",""""))"),"S")</f>
        <v>S</v>
      </c>
      <c r="LI61" s="299" t="str">
        <f>IFERROR(__xludf.DUMMYFUNCTION("IF(REGEXMATCH(LD61, ""r""), ""r1"",IF(REGEXMATCH(LE61, ""r""), ""r2"",""""))"),"")</f>
        <v/>
      </c>
      <c r="LJ61" s="299" t="str">
        <f>IFERROR(__xludf.DUMMYFUNCTION("IF(REGEXMATCH(LD61, ""R""), ""R1"",IF(REGEXMATCH(LE61, ""R""), ""R2"",""""))"),"R2")</f>
        <v>R2</v>
      </c>
      <c r="LK61" s="299" t="str">
        <f>IFERROR(__xludf.DUMMYFUNCTION("IF(REGEXMATCH(LD61, ""g""), ""g1"",IF(REGEXMATCH(LE61, ""g""), ""g2"",""""))"),"")</f>
        <v/>
      </c>
      <c r="LL61" s="299" t="str">
        <f>IFERROR(__xludf.DUMMYFUNCTION("IF(REGEXMATCH(LD61, ""G""), ""G1"",IF(REGEXMATCH(LE61, ""G""), ""G2"",""""))"),"G1")</f>
        <v>G1</v>
      </c>
      <c r="LM61" s="299" t="str">
        <f>IFERROR(__xludf.DUMMYFUNCTION("IF(REGEXMATCH(LD61, ""m""), ""m1"",IF(REGEXMATCH(LE61, ""m""), ""m2"",""""))"),"m1")</f>
        <v>m1</v>
      </c>
      <c r="LN61" s="299" t="str">
        <f>IFERROR(__xludf.DUMMYFUNCTION("IF(REGEXMATCH(LD61, ""M""), ""M1"",IF(REGEXMATCH(LE61, ""M""), ""M2"",""""))"),"M2")</f>
        <v>M2</v>
      </c>
      <c r="LO61" s="299" t="str">
        <f>IFERROR(__xludf.DUMMYFUNCTION("IF(REGEXMATCH(LD61, ""P""), ""P1"",IF(REGEXMATCH(LE61, ""P""), ""P2"",""""))"),"P1")</f>
        <v>P1</v>
      </c>
      <c r="LP61" s="299" t="str">
        <f>IFERROR(__xludf.DUMMYFUNCTION("IF(REGEXMATCH(LD61, ""d""), ""d1"",IF(REGEXMATCH(LE61, ""d""), ""d2"",""""))"),"")</f>
        <v/>
      </c>
      <c r="LQ61" s="299" t="str">
        <f>IFERROR(__xludf.DUMMYFUNCTION("IF(REGEXMATCH(LD61, ""D""), ""D1"",IF(REGEXMATCH(LE61, ""D""), ""D2"",""""))"),"D2")</f>
        <v>D2</v>
      </c>
      <c r="LR61" s="299" t="str">
        <f>IFERROR(__xludf.DUMMYFUNCTION("IF(REGEXMATCH(LD61, ""n""), ""n1"",IF(REGEXMATCH(LE61, ""n""), ""n2"",""""))"),"")</f>
        <v/>
      </c>
      <c r="LS61" s="299" t="str">
        <f>IFERROR(__xludf.DUMMYFUNCTION("IF(REGEXMATCH(LD61, ""N""), ""N1"",IF(REGEXMATCH(LE61, ""N""), ""N2"",""""))"),"N1")</f>
        <v>N1</v>
      </c>
      <c r="LT61" s="388" t="str">
        <f>IFERROR(__xludf.DUMMYFUNCTION("IF(REGEXMATCH(LD61, ""S""), ""S"",IF(REGEXMATCH(LE61, ""S""), ""S"",""""))"),"S")</f>
        <v>S</v>
      </c>
      <c r="LU61" s="389">
        <f t="shared" si="196"/>
        <v>-4</v>
      </c>
      <c r="LV61" s="378"/>
      <c r="LW61" s="369"/>
      <c r="LX61" s="369"/>
    </row>
    <row r="62" ht="18.0" customHeight="1">
      <c r="A62" s="298" t="s">
        <v>633</v>
      </c>
      <c r="B62" s="222" t="s">
        <v>530</v>
      </c>
      <c r="C62" s="233" t="str">
        <f t="shared" si="7"/>
        <v>SRGmPDnNS</v>
      </c>
      <c r="D62" s="234" t="str">
        <f>IFERROR(__xludf.DUMMYFUNCTION("IF(REGEXMATCH(C62, ""S""), ""S"","""")"),"S")</f>
        <v>S</v>
      </c>
      <c r="E62" s="236" t="str">
        <f>IFERROR(__xludf.DUMMYFUNCTION("IF(REGEXMATCH(C62, ""r""), ""r"","""")"),"")</f>
        <v/>
      </c>
      <c r="F62" s="237" t="str">
        <f>IFERROR(__xludf.DUMMYFUNCTION("IF(REGEXMATCH(C62, ""R""), ""R"","""")"),"R")</f>
        <v>R</v>
      </c>
      <c r="G62" s="237" t="str">
        <f>IFERROR(__xludf.DUMMYFUNCTION("IF(REGEXMATCH(C62, ""g""), ""g"","""")"),"")</f>
        <v/>
      </c>
      <c r="H62" s="236" t="str">
        <f>IFERROR(__xludf.DUMMYFUNCTION("IF(REGEXMATCH(C62, ""G""), ""G"","""")"),"G")</f>
        <v>G</v>
      </c>
      <c r="I62" s="236" t="str">
        <f>IFERROR(__xludf.DUMMYFUNCTION("IF(REGEXMATCH(C62, ""m""), ""m"","""")"),"m")</f>
        <v>m</v>
      </c>
      <c r="J62" s="237" t="str">
        <f>IFERROR(__xludf.DUMMYFUNCTION("IF(REGEXMATCH(C62, ""M""), ""M"","""")"),"")</f>
        <v/>
      </c>
      <c r="K62" s="236" t="str">
        <f>IFERROR(__xludf.DUMMYFUNCTION("IF(REGEXMATCH(C62, ""P""), ""P"","""")"),"P")</f>
        <v>P</v>
      </c>
      <c r="L62" s="237" t="str">
        <f>IFERROR(__xludf.DUMMYFUNCTION("IF(REGEXMATCH(C62, ""d""), ""d"","""")"),"")</f>
        <v/>
      </c>
      <c r="M62" s="236" t="str">
        <f>IFERROR(__xludf.DUMMYFUNCTION("IF(REGEXMATCH(C62, ""D""), ""D"","""")"),"D")</f>
        <v>D</v>
      </c>
      <c r="N62" s="236" t="str">
        <f>IFERROR(__xludf.DUMMYFUNCTION("IF(REGEXMATCH(C62, ""n""), ""n"","""")"),"n")</f>
        <v>n</v>
      </c>
      <c r="O62" s="237" t="str">
        <f>IFERROR(__xludf.DUMMYFUNCTION("IF(REGEXMATCH(C62, ""N""), ""N"","""")"),"N")</f>
        <v>N</v>
      </c>
      <c r="P62" s="238" t="str">
        <f>IFERROR(__xludf.DUMMYFUNCTION("IF(REGEXMATCH(C62, ""S""), ""S"","""")"),"S")</f>
        <v>S</v>
      </c>
      <c r="Q62" s="239" t="str">
        <f>IFERROR(__xludf.DUMMYFUNCTION("SUBSTITUTE(CONCATENATE(JOIN(""-"",D62:J62)),""-"","""")"),"SRGm")</f>
        <v>SRGm</v>
      </c>
      <c r="R62" s="229" t="str">
        <f>IFERROR(__xludf.DUMMYFUNCTION("SUBSTITUTE(CONCATENATE(JOIN(""-"",K62:P62)),""-"","""")"),"PDnNS")</f>
        <v>PDnNS</v>
      </c>
      <c r="S62" s="282" t="str">
        <f t="shared" si="8"/>
        <v>S-R-G-M</v>
      </c>
      <c r="T62" s="282" t="str">
        <f t="shared" si="9"/>
        <v>P-D-N-S</v>
      </c>
      <c r="U62" s="237" t="str">
        <f>IFERROR(__xludf.DUMMYFUNCTION("SUBSTITUTE(JOIN(""-"",S62,T62),""--"",""-"")"),"S-R-G-M-P-D-N-S")</f>
        <v>S-R-G-M-P-D-N-S</v>
      </c>
      <c r="V62" s="309" t="str">
        <f t="shared" si="10"/>
        <v>RGmDnN</v>
      </c>
      <c r="W62" s="244" t="str">
        <f>IFERROR(__xludf.DUMMYFUNCTION("IF(REGEXMATCH(C62, ""S""), ""0"","""")"),"0")</f>
        <v>0</v>
      </c>
      <c r="X62" s="245" t="str">
        <f>IFERROR(__xludf.DUMMYFUNCTION("IF(REGEXMATCH(C62, ""r""), ""1"","""")"),"")</f>
        <v/>
      </c>
      <c r="Y62" s="246" t="str">
        <f>IFERROR(__xludf.DUMMYFUNCTION("IF(REGEXMATCH(C62, ""R""), ""2"","""")"),"2")</f>
        <v>2</v>
      </c>
      <c r="Z62" s="246" t="str">
        <f>IFERROR(__xludf.DUMMYFUNCTION("IF(REGEXMATCH(C62, ""g""), ""3"","""")"),"")</f>
        <v/>
      </c>
      <c r="AA62" s="245" t="str">
        <f>IFERROR(__xludf.DUMMYFUNCTION("IF(REGEXMATCH(C62, ""G""), ""4"","""")"),"4")</f>
        <v>4</v>
      </c>
      <c r="AB62" s="245" t="str">
        <f>IFERROR(__xludf.DUMMYFUNCTION("IF(REGEXMATCH(C62, ""m""), ""5"","""")"),"5")</f>
        <v>5</v>
      </c>
      <c r="AC62" s="246" t="str">
        <f>IFERROR(__xludf.DUMMYFUNCTION("IF(REGEXMATCH(C62, ""M""), ""6"","""")"),"")</f>
        <v/>
      </c>
      <c r="AD62" s="245" t="str">
        <f>IFERROR(__xludf.DUMMYFUNCTION("IF(REGEXMATCH(C62, ""P""), ""7"","""")"),"7")</f>
        <v>7</v>
      </c>
      <c r="AE62" s="246" t="str">
        <f>IFERROR(__xludf.DUMMYFUNCTION("IF(REGEXMATCH(C62, ""d""), ""8"","""")"),"")</f>
        <v/>
      </c>
      <c r="AF62" s="245" t="str">
        <f>IFERROR(__xludf.DUMMYFUNCTION("IF(REGEXMATCH(C62, ""D""), ""9"","""")"),"9")</f>
        <v>9</v>
      </c>
      <c r="AG62" s="245" t="str">
        <f>IFERROR(__xludf.DUMMYFUNCTION("IF(REGEXMATCH(C62, ""n""), ""10"","""")"),"10")</f>
        <v>10</v>
      </c>
      <c r="AH62" s="246" t="str">
        <f>IFERROR(__xludf.DUMMYFUNCTION("IF(REGEXMATCH(C62, ""N""), ""11"","""")"),"11")</f>
        <v>11</v>
      </c>
      <c r="AI62" s="249" t="str">
        <f>IFERROR(__xludf.DUMMYFUNCTION("IF(REGEXMATCH(C62, ""S""), ""0"","""")"),"0")</f>
        <v>0</v>
      </c>
      <c r="AJ62" s="313" t="str">
        <f t="shared" si="11"/>
        <v>-</v>
      </c>
      <c r="AK62" s="313" t="str">
        <f t="shared" si="12"/>
        <v>-</v>
      </c>
      <c r="AL62" s="313" t="str">
        <f t="shared" si="13"/>
        <v>-</v>
      </c>
      <c r="AM62" s="313" t="str">
        <f t="shared" si="14"/>
        <v>-</v>
      </c>
      <c r="AN62" s="313" t="str">
        <f t="shared" si="15"/>
        <v>T</v>
      </c>
      <c r="AO62" s="314" t="str">
        <f t="shared" si="16"/>
        <v>T</v>
      </c>
      <c r="AP62" s="316">
        <f t="shared" si="17"/>
        <v>2</v>
      </c>
      <c r="AQ62" s="319" t="str">
        <f t="shared" si="18"/>
        <v>-</v>
      </c>
      <c r="AR62" s="320">
        <f t="shared" si="19"/>
        <v>0</v>
      </c>
      <c r="AS62" s="250" t="str">
        <f>IFERROR(__xludf.DUMMYFUNCTION("SUBSTITUTE(SUBSTITUTE(CONCATENATE(JOIN("""",FP62:GA62)),""|"",""x""),""-"",""o"")"),"xoxoxxoxoxxx")</f>
        <v>xoxoxxoxoxxx</v>
      </c>
      <c r="AT62" s="323" t="str">
        <f>IFERROR(__xludf.DUMMYFUNCTION("JOIN("""",AS62,AS62)"),"xoxoxxoxoxxxxoxoxxoxoxxx")</f>
        <v>xoxoxxoxoxxxxoxoxxoxoxxx</v>
      </c>
      <c r="AU62" s="256" t="str">
        <f>IFERROR(__xludf.DUMMYFUNCTION("JOIN("""",ArrayFormula(MID(AS62,LEN(AS62)-SEQUENCE(1,LEN(AS62))+1,1)))"),"xxxoxoxxoxox")</f>
        <v>xxxoxoxxoxox</v>
      </c>
      <c r="AV62" s="256" t="str">
        <f>IFERROR(__xludf.DUMMYFUNCTION("LEFT(CONCATENATE(""x"",JOIN("""",ArrayFormula(MID(AS62,LEN(AS62)-SEQUENCE(1,LEN(AS62))+1,1)))),12)"),"xxxxoxoxxoxo")</f>
        <v>xxxxoxoxxoxo</v>
      </c>
      <c r="AW62" s="327" t="str">
        <f>IFERROR(__xludf.DUMMYFUNCTION("JOIN("""",AU62,AU62)"),"xxxoxoxxoxoxxxxoxoxxoxox")</f>
        <v>xxxoxoxxoxoxxxxoxoxxoxox</v>
      </c>
      <c r="AX62" s="239" t="str">
        <f>IFERROR(__xludf.DUMMYFUNCTION("IF(REGEXMATCH(AW62,AS62),""✔"",""-"")"),"✔")</f>
        <v>✔</v>
      </c>
      <c r="AY62" s="330" t="str">
        <f t="shared" si="20"/>
        <v>-</v>
      </c>
      <c r="AZ62" s="260" t="str">
        <f t="shared" si="21"/>
        <v>#REF!</v>
      </c>
      <c r="BA62" s="333" t="str">
        <f t="shared" si="22"/>
        <v>xoxoxxo</v>
      </c>
      <c r="BB62" s="334" t="str">
        <f t="shared" si="23"/>
        <v>xoxxxx</v>
      </c>
      <c r="BC62" s="335" t="str">
        <f t="shared" si="236"/>
        <v>-</v>
      </c>
      <c r="BD62" s="336" t="str">
        <f t="shared" si="25"/>
        <v>Bihagara: 'xoxoxxo' + 'xoxxxx'</v>
      </c>
      <c r="BE62" s="337">
        <f>IFERROR(__xludf.DUMMYFUNCTION("COUNTUNIQUE(FILTER(AT:AT,REGEXMATCH(AT:AT,AS62)))-1"),3.0)</f>
        <v>3</v>
      </c>
      <c r="BF62" s="261" t="str">
        <f>IFERROR(__xludf.DUMMYFUNCTION("IF(BI62=0,""(n/a)"",IF(BJ62=2,""(PAIR)"",IF(REGEXMATCH(AT62,""xoxoxxoxoxox""),""Bilawal"",IF(REGEXMATCH(AT62,""xoxoxooxoxoo""),""Bhupali"",IF(REGEXMATCH(AT62,""xoxoxxoxxoxo""),""Charukeshi"",IF(REGEXMATCH(AT62,""xoxoooxxoxxo""),""Kameshwari"",IF(REGEXMATC"&amp;"H(AT62,""xoxoxooxoxox""),""Shankara"",IF(REGEXMATCH(AT62,""xxooxoxxxoox""),""Basant"",IF(REGEXMATCH(AT62,""xoxoxxxxoxox""),""Bihag"",IF(REGEXMATCH(AT62,""xoxxxxoxoxxx""),""Pilu"",IF(REGEXMATCH(AT62,""xoxxoxoxxoox""),""Kirwani"",IF(REGEXMATCH(AT62,""xoxxox"&amp;"oxoxxx""),""Mk.Malhar"",IF(REGEXMATCH(AT62,""xxooxxoxxoox""),""Bhairav"",IF(REGEXMATCH(AT62,""xxoxooxxxoox""),""Todi"",IF(REGEXMATCH(AT62,""xxooxoxooxox""),""Marwa"",IF(REGEXMATCH(AT62,""xxoooxoxxooo""),""Gunkali"",IF(REGEXMATCH(AT62,""xoxoxxoxxoox""),""N"&amp;"at Bhairav"",IF(REGEXMATCH(AT62,""xoxxoooxoxoo""),""Shivranjani"",IF(REGEXMATCH(AT62,""xooxxxoxooxo""),""Jog"",IF(REGEXMATCH(AT62,""xxooxoxoxoox""),""Hemshri"",IF(REGEXMATCH(AT62,""xoooxooxoxxo""),""Kalavati"",IF(REGEXMATCH(AT62,""xxoxoxxoxoox""),""Kedar"&amp;""",IF(REGEXMATCH(AT62,""xoxxxxoxooxx""),""Gara"",IF(REGEXMATCH(AT62,""xooxoxooxoox""),""Chandrakauns"",IF(REGEXMATCH(AT62,""xoxxxxoxxxox""),""Mand"",IF(REGEXMATCH(AT62,""xoxxxxoxoxox""),""Hanskinkini"",IF(REGEXMATCH(AT62,""xxooxxoxooxo""),""Lilavati"",IF("&amp;"REGEXMATCH(AT62,""xooxoxoooxox""),""Rajeshwari"",IF(REGEXMATCH(AT62,""xoooxxoxoxxx""),""Khokar"",IF(REGEXMATCH(AT62,""xxooxoxxxxox""),""Maligoura"",""-""))))))))))))))))))))))))))))))"),"Bihag")</f>
        <v>Bihag</v>
      </c>
      <c r="BG62" s="239" t="str">
        <f t="shared" si="26"/>
        <v>#REF!</v>
      </c>
      <c r="BH62" s="239">
        <f>IFERROR(__xludf.DUMMYFUNCTION("COUNTUNIQUE(FE62:FO62)-1"),7.0)</f>
        <v>7</v>
      </c>
      <c r="BI62" s="239">
        <f>IFERROR(__xludf.DUMMYFUNCTION("COUNTUNIQUE(FILTER(AT:AT,REGEXMATCH(AT:AT,AS62)))-1"),3.0)</f>
        <v>3</v>
      </c>
      <c r="BJ62" s="239">
        <f>IFERROR(__xludf.DUMMYFUNCTION("COUNTA(FILTER(AT:AT,REGEXMATCH(AT:AT,AS62)))"),36.0)</f>
        <v>36</v>
      </c>
      <c r="BK62" s="341">
        <f>IFERROR(__xludf.DUMMYFUNCTION("COUNTA(FILTER(AT:AT,REGEXMATCH(AT:AT,AS62)))-AR62"),36.0)</f>
        <v>36</v>
      </c>
      <c r="BL62" s="276" t="str">
        <f>IFERROR(__xludf.DUMMYFUNCTION("IF(AS62=""oooooooooooo"",""-"",IF(REGEXMATCH(AT62,""xx""), ""Hemi."", ""Anhemi.""))"),"Hemi.")</f>
        <v>Hemi.</v>
      </c>
      <c r="BM62" s="282" t="str">
        <f>IFERROR(__xludf.DUMMYFUNCTION("IF(AS62=""oooooooooooo"",""-"",IF(REGEXMATCH(AT62,""xxx""), ""Cohem."", ""-""))"),"Cohem.")</f>
        <v>Cohem.</v>
      </c>
      <c r="BN62" s="282" t="str">
        <f>IFERROR(__xludf.DUMMYFUNCTION("IF(AS62=""oooooooooooo"",""-"",IF(REGEXMATCH(AT62,""xxxx""), ""Co-Co."", ""-""))"),"Co-Co.")</f>
        <v>Co-Co.</v>
      </c>
      <c r="BO62" s="342" t="str">
        <f>IFERROR(__xludf.DUMMYFUNCTION("IF(AS62=""oooooooooooo"",""-"",IF(REGEXMATCH(AT62,""xxxxx""), ""CCC."", ""-""))"),"-")</f>
        <v>-</v>
      </c>
      <c r="BP62" s="344" t="str">
        <f t="shared" si="27"/>
        <v>-</v>
      </c>
      <c r="BQ62" s="282" t="str">
        <f>IFERROR(__xludf.DUMMYFUNCTION("IF(REGEXMATCH(JOIN(""-"",EU62:FD62),""TRUE""),""✔"",""-"")"),"-")</f>
        <v>-</v>
      </c>
      <c r="BR62" s="225">
        <f t="shared" si="28"/>
        <v>0</v>
      </c>
      <c r="BS62" s="345" t="str">
        <f>IFERROR(__xludf.DUMMYFUNCTION("SUBSTITUTE(SUBSTITUTE(SUBSTITUTE(SUBSTITUTE(CONCATENATE(JOIN(""-"",GC62:GO62)),""--"",""-""),""--"",""-""),""--"",""-""),""--"",""-"")"),"1-2-3-4-5-6-b7-7-8")</f>
        <v>1-2-3-4-5-6-b7-7-8</v>
      </c>
      <c r="BT62" s="299" t="str">
        <f>IFERROR(__xludf.DUMMYFUNCTION("SUBSTITUTE(SUBSTITUTE(SUBSTITUTE(SUBSTITUTE(CONCATENATE(JOIN(""-"",GP62:HB62)),""--"",""-""),""--"",""-""),""--"",""-""),""--"",""-"")"),"S-R2-G3-M1-P-D2-N2-N3-S")</f>
        <v>S-R2-G3-M1-P-D2-N2-N3-S</v>
      </c>
      <c r="BU62" s="348" t="str">
        <f t="shared" si="29"/>
        <v>C-D-E-F-G-A-Bb-B-C</v>
      </c>
      <c r="BV62" s="349" t="str">
        <f t="shared" si="30"/>
        <v>SrgMdS</v>
      </c>
      <c r="BW62" s="350">
        <f t="shared" si="31"/>
        <v>1</v>
      </c>
      <c r="BX62" s="351">
        <f t="shared" si="32"/>
        <v>15</v>
      </c>
      <c r="BY62" s="392"/>
      <c r="BZ62" s="309" t="str">
        <f>IFERROR(__xludf.DUMMYFUNCTION("IF(REGEXMATCH(C62, ""S""), ""x"",""x"")"),"x")</f>
        <v>x</v>
      </c>
      <c r="CA62" s="245" t="str">
        <f>IFERROR(__xludf.DUMMYFUNCTION("IF(REGEXMATCH(C62, ""r""), ""o"",""x"")"),"x")</f>
        <v>x</v>
      </c>
      <c r="CB62" s="246" t="str">
        <f>IFERROR(__xludf.DUMMYFUNCTION("IF(REGEXMATCH(C62, ""R""), ""o"",""x"")"),"o")</f>
        <v>o</v>
      </c>
      <c r="CC62" s="246" t="str">
        <f>IFERROR(__xludf.DUMMYFUNCTION("IF(REGEXMATCH(C62, ""g""), ""o"",""x"")"),"x")</f>
        <v>x</v>
      </c>
      <c r="CD62" s="245" t="str">
        <f>IFERROR(__xludf.DUMMYFUNCTION("IF(REGEXMATCH(C62, ""G""), ""o"",""x"")"),"o")</f>
        <v>o</v>
      </c>
      <c r="CE62" s="245" t="str">
        <f>IFERROR(__xludf.DUMMYFUNCTION("IF(REGEXMATCH(C62, ""m""), ""o"",""x"")"),"o")</f>
        <v>o</v>
      </c>
      <c r="CF62" s="246" t="str">
        <f>IFERROR(__xludf.DUMMYFUNCTION("IF(REGEXMATCH(C62, ""M""), ""o"",""x"")"),"x")</f>
        <v>x</v>
      </c>
      <c r="CG62" s="245" t="str">
        <f>IFERROR(__xludf.DUMMYFUNCTION("IF(REGEXMATCH(C62, ""P""), ""o"",""x"")"),"o")</f>
        <v>o</v>
      </c>
      <c r="CH62" s="246" t="str">
        <f>IFERROR(__xludf.DUMMYFUNCTION("IF(REGEXMATCH(C62, ""d""), ""o"",""x"")"),"x")</f>
        <v>x</v>
      </c>
      <c r="CI62" s="245" t="str">
        <f>IFERROR(__xludf.DUMMYFUNCTION("IF(REGEXMATCH(C62, ""D""), ""o"",""x"")"),"o")</f>
        <v>o</v>
      </c>
      <c r="CJ62" s="245" t="str">
        <f>IFERROR(__xludf.DUMMYFUNCTION("IF(REGEXMATCH(C62, ""n""), ""o"",""x"")"),"o")</f>
        <v>o</v>
      </c>
      <c r="CK62" s="245" t="str">
        <f>IFERROR(__xludf.DUMMYFUNCTION("IF(REGEXMATCH(C62, ""N""), ""o"",""x"")"),"o")</f>
        <v>o</v>
      </c>
      <c r="CL62" s="356" t="str">
        <f>IFERROR(__xludf.DUMMYFUNCTION("IF(REGEXMATCH(C62, ""S""), ""x"",""x"")"),"x")</f>
        <v>x</v>
      </c>
      <c r="CM62" s="357" t="str">
        <f t="shared" si="33"/>
        <v>xxoxooxoxooo</v>
      </c>
      <c r="CN62" s="358">
        <f t="shared" si="34"/>
        <v>1</v>
      </c>
      <c r="CO62" s="246" t="str">
        <f>IFERROR(__xludf.DUMMYFUNCTION("IF(REGEXMATCH($C62, ""S""), ""S"",""S"")"),"S")</f>
        <v>S</v>
      </c>
      <c r="CP62" s="246" t="str">
        <f>IFERROR(__xludf.DUMMYFUNCTION("IF(REGEXMATCH($C62, ""r""), """",""r"")"),"r")</f>
        <v>r</v>
      </c>
      <c r="CQ62" s="246" t="str">
        <f>IFERROR(__xludf.DUMMYFUNCTION("IF(REGEXMATCH($C62, ""R""), """",""R"")"),"")</f>
        <v/>
      </c>
      <c r="CR62" s="246" t="str">
        <f>IFERROR(__xludf.DUMMYFUNCTION("IF(REGEXMATCH($C62, ""g""), """",""g"")"),"g")</f>
        <v>g</v>
      </c>
      <c r="CS62" s="246" t="str">
        <f>IFERROR(__xludf.DUMMYFUNCTION("IF(REGEXMATCH($C62, ""G""), """",""G"")"),"")</f>
        <v/>
      </c>
      <c r="CT62" s="246" t="str">
        <f>IFERROR(__xludf.DUMMYFUNCTION("IF(REGEXMATCH($C62, ""m""), """",""m"")"),"")</f>
        <v/>
      </c>
      <c r="CU62" s="246" t="str">
        <f>IFERROR(__xludf.DUMMYFUNCTION("IF(REGEXMATCH($C62, ""M""), """",""M"")"),"M")</f>
        <v>M</v>
      </c>
      <c r="CV62" s="246" t="str">
        <f>IFERROR(__xludf.DUMMYFUNCTION("IF(REGEXMATCH($C62, ""P""), """",""P"")"),"")</f>
        <v/>
      </c>
      <c r="CW62" s="246" t="str">
        <f>IFERROR(__xludf.DUMMYFUNCTION("IF(REGEXMATCH($C62, ""d""), """",""d"")"),"d")</f>
        <v>d</v>
      </c>
      <c r="CX62" s="246" t="str">
        <f>IFERROR(__xludf.DUMMYFUNCTION("IF(REGEXMATCH($C62, ""D""), """",""D"")"),"")</f>
        <v/>
      </c>
      <c r="CY62" s="246" t="str">
        <f>IFERROR(__xludf.DUMMYFUNCTION("IF(REGEXMATCH($C62, ""n""), """",""n"")"),"")</f>
        <v/>
      </c>
      <c r="CZ62" s="246" t="str">
        <f>IFERROR(__xludf.DUMMYFUNCTION("IF(REGEXMATCH($C62, ""N""), """",""N"")"),"")</f>
        <v/>
      </c>
      <c r="DA62" s="246" t="str">
        <f>IFERROR(__xludf.DUMMYFUNCTION("IF(REGEXMATCH($C62, ""S""), ""S"",""S"")"),"S")</f>
        <v>S</v>
      </c>
      <c r="DB62" s="362" t="str">
        <f>IFERROR(__xludf.DUMMYFUNCTION("JOIN("""",CO62:DA62,"""","""")"),"SrgMdS")</f>
        <v>SrgMdS</v>
      </c>
      <c r="DC62" s="363"/>
      <c r="DD62" s="301" t="str">
        <f t="shared" si="35"/>
        <v>#REF!</v>
      </c>
      <c r="DE62" s="302" t="str">
        <f t="shared" si="36"/>
        <v>#REF!</v>
      </c>
      <c r="DF62" s="301" t="str">
        <f t="shared" ref="DF62:DG62" si="319">SUBSTITUTE(S62,"-","")</f>
        <v>SRGM</v>
      </c>
      <c r="DG62" s="301" t="str">
        <f t="shared" si="319"/>
        <v>PDNS</v>
      </c>
      <c r="DH62" s="302" t="str">
        <f t="shared" si="38"/>
        <v>Bihag</v>
      </c>
      <c r="DI62" s="301" t="str">
        <f t="shared" si="39"/>
        <v>Hemi.</v>
      </c>
      <c r="DJ62" s="364" t="str">
        <f t="shared" si="40"/>
        <v>Co-Co.</v>
      </c>
      <c r="DK62" s="306" t="str">
        <f t="shared" si="41"/>
        <v>-</v>
      </c>
      <c r="DL62" s="366" t="str">
        <f t="shared" si="42"/>
        <v>-</v>
      </c>
      <c r="DM62" s="308" t="str">
        <f t="shared" si="43"/>
        <v>✔</v>
      </c>
      <c r="DN62" s="306" t="str">
        <f t="shared" si="44"/>
        <v>-</v>
      </c>
      <c r="DO62" s="306" t="str">
        <f t="shared" si="45"/>
        <v>-</v>
      </c>
      <c r="DP62" s="367" t="str">
        <f t="shared" si="46"/>
        <v>-</v>
      </c>
      <c r="DQ62" s="310" t="str">
        <f t="shared" si="47"/>
        <v>-</v>
      </c>
      <c r="DR62" s="310" t="str">
        <f t="shared" si="48"/>
        <v>-</v>
      </c>
      <c r="DS62" s="310" t="str">
        <f t="shared" si="49"/>
        <v>-</v>
      </c>
      <c r="DT62" s="310" t="str">
        <f t="shared" si="50"/>
        <v>-</v>
      </c>
      <c r="DU62" s="370" t="str">
        <f t="shared" si="51"/>
        <v>✔</v>
      </c>
      <c r="DV62" s="306" t="str">
        <f t="shared" si="52"/>
        <v>-</v>
      </c>
      <c r="DW62" s="306" t="str">
        <f t="shared" si="53"/>
        <v>-</v>
      </c>
      <c r="DX62" s="306" t="str">
        <f t="shared" si="54"/>
        <v>-</v>
      </c>
      <c r="DY62" s="306" t="str">
        <f t="shared" si="55"/>
        <v>-</v>
      </c>
      <c r="DZ62" s="306" t="str">
        <f t="shared" si="56"/>
        <v>-</v>
      </c>
      <c r="EA62" s="367" t="str">
        <f t="shared" si="57"/>
        <v>-</v>
      </c>
      <c r="EB62" s="310" t="str">
        <f>IFERROR(__xludf.DUMMYFUNCTION("IF(REGEXMATCH(AW62,AS62),""✔"",""-"")"),"✔")</f>
        <v>✔</v>
      </c>
      <c r="EC62" s="310" t="str">
        <f t="shared" si="58"/>
        <v>#REF!</v>
      </c>
      <c r="ED62" s="370" t="str">
        <f t="shared" si="59"/>
        <v>-</v>
      </c>
      <c r="EE62" s="340" t="str">
        <f t="shared" si="60"/>
        <v>S-R-G-m-P-D-nN-S</v>
      </c>
      <c r="EF62" s="371" t="str">
        <f>IFERROR(__xludf.DUMMYFUNCTION("CONCATENATE(JOIN("""",HC62:HO62))"),"SrRgmPdnS")</f>
        <v>SrRgmPdnS</v>
      </c>
      <c r="EG62" s="372">
        <f t="shared" si="61"/>
        <v>1</v>
      </c>
      <c r="EH62" s="373" t="str">
        <f>IFERROR(__xludf.DUMMYFUNCTION("CONCATENATE(JOIN("""",JC62:JO62))"),"Ni, ")</f>
        <v>Ni, </v>
      </c>
      <c r="EI62" s="322">
        <f t="shared" si="62"/>
        <v>0</v>
      </c>
      <c r="EJ62" s="374" t="str">
        <f>IFERROR(__xludf.DUMMYFUNCTION("CONCATENATE(JOIN("""",KC62:KO62))"),"")</f>
        <v/>
      </c>
      <c r="EK62" s="325" t="str">
        <f t="shared" si="63"/>
        <v>S-R2-G3-M1-P-D2-N2-N3-S</v>
      </c>
      <c r="EL62" s="326" t="str">
        <f t="shared" si="64"/>
        <v>1-2-3-4-5-6-b7-7-8</v>
      </c>
      <c r="EM62" s="318" t="str">
        <f t="shared" si="65"/>
        <v>#REF!</v>
      </c>
      <c r="EN62" s="328" t="str">
        <f>IFERROR(__xludf.DUMMYFUNCTION("SUBSTITUTE(SUBSTITUTE(SUBSTITUTE(SUBSTITUTE(CONCATENATE(JOIN("" "",HP62:IB62)),""  "","" ""),""  "","" ""),""  "","" ""),""  "","" "")"),"o • o • o o • o • o o o o")</f>
        <v>o • o • o o • o • o o o o</v>
      </c>
      <c r="EO62" s="368" t="str">
        <f t="shared" si="66"/>
        <v>-</v>
      </c>
      <c r="EP62" s="339" t="str">
        <f t="shared" si="67"/>
        <v>-</v>
      </c>
      <c r="EQ62" s="339" t="str">
        <f t="shared" si="68"/>
        <v>Sa-Pa</v>
      </c>
      <c r="ER62" s="339" t="str">
        <f t="shared" si="69"/>
        <v>-</v>
      </c>
      <c r="ES62" s="340" t="str">
        <f t="shared" si="70"/>
        <v>-</v>
      </c>
      <c r="ET62" s="363"/>
      <c r="EU62" s="376" t="b">
        <f>IFERROR(__xludf.DUMMYFUNCTION("arrayformula(sum(--REGEXMATCH(""SRGMPDNS"",split(REGEXREPLACE(C62,""(.)"",""$1~""),""~""))))=len(C62)
"),FALSE)</f>
        <v>0</v>
      </c>
      <c r="EV62" s="290" t="b">
        <f>IFERROR(__xludf.DUMMYFUNCTION("arrayformula(sum(--REGEXMATCH(""SRGmPDNS"",split(REGEXREPLACE(C62,""(.)"",""$1~""),""~""))))=len(C62)"),FALSE)</f>
        <v>0</v>
      </c>
      <c r="EW62" s="290" t="b">
        <f>IFERROR(__xludf.DUMMYFUNCTION("arrayformula(sum(--REGEXMATCH(""SRGmPDnS"",split(REGEXREPLACE(C62,""(.)"",""$1~""),""~""))))=len(C62)"),FALSE)</f>
        <v>0</v>
      </c>
      <c r="EX62" s="290" t="b">
        <f>IFERROR(__xludf.DUMMYFUNCTION("arrayformula(sum(--REGEXMATCH(""SRgmPDnS"",split(REGEXREPLACE(C62,""(.)"",""$1~""),""~""))))=len(C62)"),FALSE)</f>
        <v>0</v>
      </c>
      <c r="EY62" s="290" t="b">
        <f>IFERROR(__xludf.DUMMYFUNCTION("arrayformula(sum(--REGEXMATCH(""SRgmPdnS"",split(REGEXREPLACE(C62,""(.)"",""$1~""),""~""))))=len(C62)"),FALSE)</f>
        <v>0</v>
      </c>
      <c r="EZ62" s="290" t="b">
        <f>IFERROR(__xludf.DUMMYFUNCTION("arrayformula(sum(--REGEXMATCH(""SrgmPdnS"",split(REGEXREPLACE(C62,""(.)"",""$1~""),""~""))))=len(C62)"),FALSE)</f>
        <v>0</v>
      </c>
      <c r="FA62" s="290" t="b">
        <f>IFERROR(__xludf.DUMMYFUNCTION("arrayformula(sum(--REGEXMATCH(""SrGmPdNS"",split(REGEXREPLACE(C62,""(.)"",""$1~""),""~""))))=len(C62)"),FALSE)</f>
        <v>0</v>
      </c>
      <c r="FB62" s="290" t="b">
        <f>IFERROR(__xludf.DUMMYFUNCTION("arrayformula(sum(--REGEXMATCH(""SrGMPDNS"",split(REGEXREPLACE(C62,""(.)"",""$1~""),""~""))))=len(C62)"),FALSE)</f>
        <v>0</v>
      </c>
      <c r="FC62" s="290" t="b">
        <f>IFERROR(__xludf.DUMMYFUNCTION("arrayformula(sum(--REGEXMATCH(""SrGMPdNS"",split(REGEXREPLACE(C62,""(.)"",""$1~""),""~""))))=len(C62)"),FALSE)</f>
        <v>0</v>
      </c>
      <c r="FD62" s="377" t="b">
        <f>IFERROR(__xludf.DUMMYFUNCTION("arrayformula(sum(--REGEXMATCH(""SrgMPdNS"",split(REGEXREPLACE(C62,""(.)"",""$1~""),""~""))))=len(C62)"),FALSE)</f>
        <v>0</v>
      </c>
      <c r="FE62" s="269" t="str">
        <f t="shared" si="71"/>
        <v>-</v>
      </c>
      <c r="FF62" s="269" t="str">
        <f t="shared" si="72"/>
        <v>xoxxoxoxxxx</v>
      </c>
      <c r="FG62" s="271" t="str">
        <f t="shared" si="73"/>
        <v>-</v>
      </c>
      <c r="FH62" s="269" t="str">
        <f t="shared" si="74"/>
        <v>xxoxoxxxxox</v>
      </c>
      <c r="FI62" s="271" t="str">
        <f t="shared" si="75"/>
        <v>xoxoxxxxoxo</v>
      </c>
      <c r="FJ62" s="271" t="str">
        <f t="shared" si="76"/>
        <v>-</v>
      </c>
      <c r="FK62" s="271" t="str">
        <f t="shared" si="77"/>
        <v>xoxxxxoxoxx</v>
      </c>
      <c r="FL62" s="271" t="str">
        <f t="shared" si="78"/>
        <v>-</v>
      </c>
      <c r="FM62" s="271" t="str">
        <f t="shared" si="79"/>
        <v>xxxxoxoxxox</v>
      </c>
      <c r="FN62" s="271" t="str">
        <f t="shared" si="80"/>
        <v>xxxoxoxxoxo</v>
      </c>
      <c r="FO62" s="274" t="str">
        <f t="shared" si="81"/>
        <v>xxoxoxxoxox</v>
      </c>
      <c r="FP62" s="234" t="str">
        <f t="shared" si="82"/>
        <v>|</v>
      </c>
      <c r="FQ62" s="236" t="str">
        <f t="shared" si="83"/>
        <v>-</v>
      </c>
      <c r="FR62" s="237" t="str">
        <f t="shared" si="84"/>
        <v>|</v>
      </c>
      <c r="FS62" s="236" t="str">
        <f t="shared" si="85"/>
        <v>-</v>
      </c>
      <c r="FT62" s="237" t="str">
        <f t="shared" si="86"/>
        <v>|</v>
      </c>
      <c r="FU62" s="236" t="str">
        <f t="shared" si="87"/>
        <v>|</v>
      </c>
      <c r="FV62" s="237" t="str">
        <f t="shared" si="88"/>
        <v>-</v>
      </c>
      <c r="FW62" s="236" t="str">
        <f t="shared" si="89"/>
        <v>|</v>
      </c>
      <c r="FX62" s="237" t="str">
        <f t="shared" si="90"/>
        <v>-</v>
      </c>
      <c r="FY62" s="236" t="str">
        <f t="shared" si="91"/>
        <v>|</v>
      </c>
      <c r="FZ62" s="237" t="str">
        <f t="shared" si="92"/>
        <v>|</v>
      </c>
      <c r="GA62" s="236" t="str">
        <f t="shared" si="93"/>
        <v>|</v>
      </c>
      <c r="GB62" s="238" t="str">
        <f t="shared" si="94"/>
        <v>|</v>
      </c>
      <c r="GC62" s="244" t="str">
        <f>IFERROR(__xludf.DUMMYFUNCTION("IF(REGEXMATCH(C62, ""S""), ""1"","""")"),"1")</f>
        <v>1</v>
      </c>
      <c r="GD62" s="245" t="str">
        <f>IFERROR(__xludf.DUMMYFUNCTION("IF(REGEXMATCH(C62, ""r""), ""b2"","""")"),"")</f>
        <v/>
      </c>
      <c r="GE62" s="246" t="str">
        <f>IFERROR(__xludf.DUMMYFUNCTION("IF(REGEXMATCH(C62, ""R""), ""2"","""")"),"2")</f>
        <v>2</v>
      </c>
      <c r="GF62" s="246" t="str">
        <f>IFERROR(__xludf.DUMMYFUNCTION("IF(REGEXMATCH(C62, ""g""), ""b3"","""")"),"")</f>
        <v/>
      </c>
      <c r="GG62" s="245" t="str">
        <f>IFERROR(__xludf.DUMMYFUNCTION("IF(REGEXMATCH(C62, ""G""), ""3"","""")"),"3")</f>
        <v>3</v>
      </c>
      <c r="GH62" s="245" t="str">
        <f>IFERROR(__xludf.DUMMYFUNCTION("IF(REGEXMATCH(C62, ""m""), ""4"","""")"),"4")</f>
        <v>4</v>
      </c>
      <c r="GI62" s="246" t="str">
        <f>IFERROR(__xludf.DUMMYFUNCTION("IF(REGEXMATCH(C62, ""M""), ""#4"","""")"),"")</f>
        <v/>
      </c>
      <c r="GJ62" s="245" t="str">
        <f>IFERROR(__xludf.DUMMYFUNCTION("IF(REGEXMATCH(C62, ""P""), ""5"","""")"),"5")</f>
        <v>5</v>
      </c>
      <c r="GK62" s="246" t="str">
        <f>IFERROR(__xludf.DUMMYFUNCTION("IF(REGEXMATCH(C62, ""d""), ""b6"","""")"),"")</f>
        <v/>
      </c>
      <c r="GL62" s="245" t="str">
        <f>IFERROR(__xludf.DUMMYFUNCTION("IF(REGEXMATCH(C62, ""D""), ""6"","""")"),"6")</f>
        <v>6</v>
      </c>
      <c r="GM62" s="245" t="str">
        <f>IFERROR(__xludf.DUMMYFUNCTION("IF(REGEXMATCH(C62, ""n""), ""b7"","""")"),"b7")</f>
        <v>b7</v>
      </c>
      <c r="GN62" s="246" t="str">
        <f>IFERROR(__xludf.DUMMYFUNCTION("IF(REGEXMATCH(C62, ""N""), ""7"","""")"),"7")</f>
        <v>7</v>
      </c>
      <c r="GO62" s="249" t="str">
        <f>IFERROR(__xludf.DUMMYFUNCTION("IF(REGEXMATCH(C62, ""S""), ""8"","""")"),"8")</f>
        <v>8</v>
      </c>
      <c r="GP62" s="244" t="str">
        <f>IFERROR(__xludf.DUMMYFUNCTION("IF(REGEXMATCH(C62, ""S""), ""S"","""")"),"S")</f>
        <v>S</v>
      </c>
      <c r="GQ62" s="294" t="str">
        <f>IFERROR(__xludf.DUMMYFUNCTION("IF(REGEXMATCH(C62, ""r""), ""R1"","""")"),"")</f>
        <v/>
      </c>
      <c r="GR62" s="295" t="str">
        <f>IFERROR(__xludf.DUMMYFUNCTION("IF(REGEXMATCH(C62, ""R""), ""R2"","""")"),"R2")</f>
        <v>R2</v>
      </c>
      <c r="GS62" s="295" t="str">
        <f>IFERROR(__xludf.DUMMYFUNCTION("IF(REGEXMATCH(C62, ""g""), ""G2"","""")"),"")</f>
        <v/>
      </c>
      <c r="GT62" s="294" t="str">
        <f>IFERROR(__xludf.DUMMYFUNCTION("IF(REGEXMATCH(C62, ""G""), ""G3"","""")"),"G3")</f>
        <v>G3</v>
      </c>
      <c r="GU62" s="294" t="str">
        <f>IFERROR(__xludf.DUMMYFUNCTION("IF(REGEXMATCH(C62, ""m""), ""M1"","""")"),"M1")</f>
        <v>M1</v>
      </c>
      <c r="GV62" s="295" t="str">
        <f>IFERROR(__xludf.DUMMYFUNCTION("IF(REGEXMATCH(C62, ""M""), ""M2"","""")"),"")</f>
        <v/>
      </c>
      <c r="GW62" s="294" t="str">
        <f>IFERROR(__xludf.DUMMYFUNCTION("IF(REGEXMATCH(C62, ""P""), ""P"","""")"),"P")</f>
        <v>P</v>
      </c>
      <c r="GX62" s="295" t="str">
        <f>IFERROR(__xludf.DUMMYFUNCTION("IF(REGEXMATCH(C62, ""d""), ""D1"","""")"),"")</f>
        <v/>
      </c>
      <c r="GY62" s="294" t="str">
        <f>IFERROR(__xludf.DUMMYFUNCTION("IF(REGEXMATCH(C62, ""D""), ""D2"","""")"),"D2")</f>
        <v>D2</v>
      </c>
      <c r="GZ62" s="294" t="str">
        <f>IFERROR(__xludf.DUMMYFUNCTION("IF(REGEXMATCH(C62, ""n""), ""N2"","""")"),"N2")</f>
        <v>N2</v>
      </c>
      <c r="HA62" s="295" t="str">
        <f>IFERROR(__xludf.DUMMYFUNCTION("IF(REGEXMATCH(C62, ""N""), ""N3"","""")"),"N3")</f>
        <v>N3</v>
      </c>
      <c r="HB62" s="249" t="str">
        <f>IFERROR(__xludf.DUMMYFUNCTION("IF(REGEXMATCH(C62, ""S""), ""S"","""")"),"S")</f>
        <v>S</v>
      </c>
      <c r="HC62" s="331" t="str">
        <f t="shared" si="95"/>
        <v>S</v>
      </c>
      <c r="HD62" s="332" t="str">
        <f t="shared" si="96"/>
        <v>r</v>
      </c>
      <c r="HE62" s="332" t="str">
        <f t="shared" si="97"/>
        <v>R</v>
      </c>
      <c r="HF62" s="332" t="str">
        <f t="shared" si="98"/>
        <v>g</v>
      </c>
      <c r="HG62" s="332" t="str">
        <f t="shared" si="99"/>
        <v/>
      </c>
      <c r="HH62" s="332" t="str">
        <f t="shared" si="100"/>
        <v>m</v>
      </c>
      <c r="HI62" s="332" t="str">
        <f t="shared" si="101"/>
        <v/>
      </c>
      <c r="HJ62" s="332" t="str">
        <f t="shared" si="102"/>
        <v>P</v>
      </c>
      <c r="HK62" s="332" t="str">
        <f t="shared" si="103"/>
        <v>d</v>
      </c>
      <c r="HL62" s="332" t="str">
        <f t="shared" si="104"/>
        <v/>
      </c>
      <c r="HM62" s="332" t="str">
        <f t="shared" si="105"/>
        <v>n</v>
      </c>
      <c r="HN62" s="332" t="str">
        <f t="shared" si="106"/>
        <v/>
      </c>
      <c r="HO62" s="343" t="str">
        <f t="shared" si="107"/>
        <v>S</v>
      </c>
      <c r="HP62" s="331" t="str">
        <f t="shared" si="108"/>
        <v>o</v>
      </c>
      <c r="HQ62" s="332" t="str">
        <f t="shared" si="109"/>
        <v>•</v>
      </c>
      <c r="HR62" s="332" t="str">
        <f t="shared" si="110"/>
        <v>o</v>
      </c>
      <c r="HS62" s="332" t="str">
        <f t="shared" si="111"/>
        <v>•</v>
      </c>
      <c r="HT62" s="332" t="str">
        <f t="shared" si="112"/>
        <v>o</v>
      </c>
      <c r="HU62" s="332" t="str">
        <f t="shared" si="113"/>
        <v>o</v>
      </c>
      <c r="HV62" s="332" t="str">
        <f t="shared" si="114"/>
        <v>•</v>
      </c>
      <c r="HW62" s="332" t="str">
        <f t="shared" si="115"/>
        <v>o</v>
      </c>
      <c r="HX62" s="332" t="str">
        <f t="shared" si="116"/>
        <v>•</v>
      </c>
      <c r="HY62" s="332" t="str">
        <f t="shared" si="117"/>
        <v>o</v>
      </c>
      <c r="HZ62" s="332" t="str">
        <f t="shared" si="118"/>
        <v>o</v>
      </c>
      <c r="IA62" s="332" t="str">
        <f t="shared" si="119"/>
        <v>o</v>
      </c>
      <c r="IB62" s="338" t="str">
        <f t="shared" si="120"/>
        <v>o</v>
      </c>
      <c r="IC62" s="331" t="str">
        <f t="shared" si="121"/>
        <v>•</v>
      </c>
      <c r="ID62" s="332" t="str">
        <f t="shared" si="122"/>
        <v>o</v>
      </c>
      <c r="IE62" s="332" t="str">
        <f t="shared" si="123"/>
        <v>•</v>
      </c>
      <c r="IF62" s="332" t="str">
        <f t="shared" si="124"/>
        <v>o</v>
      </c>
      <c r="IG62" s="332" t="str">
        <f t="shared" si="125"/>
        <v>•</v>
      </c>
      <c r="IH62" s="332" t="str">
        <f t="shared" si="126"/>
        <v>•</v>
      </c>
      <c r="II62" s="332" t="str">
        <f t="shared" si="127"/>
        <v>o</v>
      </c>
      <c r="IJ62" s="332" t="str">
        <f t="shared" si="128"/>
        <v>•</v>
      </c>
      <c r="IK62" s="332" t="str">
        <f t="shared" si="129"/>
        <v>o</v>
      </c>
      <c r="IL62" s="332" t="str">
        <f t="shared" si="130"/>
        <v>•</v>
      </c>
      <c r="IM62" s="332" t="str">
        <f t="shared" si="131"/>
        <v>•</v>
      </c>
      <c r="IN62" s="332" t="str">
        <f t="shared" si="132"/>
        <v>•</v>
      </c>
      <c r="IO62" s="338" t="str">
        <f t="shared" si="133"/>
        <v>•</v>
      </c>
      <c r="IP62" s="346" t="b">
        <f t="shared" si="134"/>
        <v>0</v>
      </c>
      <c r="IQ62" s="347" t="b">
        <f t="shared" si="135"/>
        <v>0</v>
      </c>
      <c r="IR62" s="347" t="b">
        <f t="shared" si="136"/>
        <v>0</v>
      </c>
      <c r="IS62" s="347" t="b">
        <f t="shared" si="137"/>
        <v>0</v>
      </c>
      <c r="IT62" s="347" t="b">
        <f t="shared" si="138"/>
        <v>0</v>
      </c>
      <c r="IU62" s="347" t="b">
        <f t="shared" si="139"/>
        <v>0</v>
      </c>
      <c r="IV62" s="347" t="b">
        <f t="shared" si="140"/>
        <v>0</v>
      </c>
      <c r="IW62" s="347" t="b">
        <f t="shared" si="141"/>
        <v>0</v>
      </c>
      <c r="IX62" s="347" t="b">
        <f t="shared" si="142"/>
        <v>0</v>
      </c>
      <c r="IY62" s="347" t="b">
        <f t="shared" si="143"/>
        <v>0</v>
      </c>
      <c r="IZ62" s="347" t="b">
        <f t="shared" si="144"/>
        <v>0</v>
      </c>
      <c r="JA62" s="347" t="b">
        <f t="shared" si="145"/>
        <v>1</v>
      </c>
      <c r="JB62" s="353" t="b">
        <f t="shared" si="146"/>
        <v>0</v>
      </c>
      <c r="JC62" s="354" t="str">
        <f t="shared" si="147"/>
        <v/>
      </c>
      <c r="JD62" s="355" t="str">
        <f t="shared" si="148"/>
        <v/>
      </c>
      <c r="JE62" s="355" t="str">
        <f t="shared" si="149"/>
        <v/>
      </c>
      <c r="JF62" s="355" t="str">
        <f t="shared" si="150"/>
        <v/>
      </c>
      <c r="JG62" s="355" t="str">
        <f t="shared" si="151"/>
        <v/>
      </c>
      <c r="JH62" s="355" t="str">
        <f t="shared" si="152"/>
        <v/>
      </c>
      <c r="JI62" s="355" t="str">
        <f t="shared" si="153"/>
        <v/>
      </c>
      <c r="JJ62" s="355" t="str">
        <f t="shared" si="154"/>
        <v/>
      </c>
      <c r="JK62" s="355" t="str">
        <f t="shared" si="155"/>
        <v/>
      </c>
      <c r="JL62" s="355" t="str">
        <f t="shared" si="156"/>
        <v/>
      </c>
      <c r="JM62" s="355" t="str">
        <f t="shared" si="157"/>
        <v/>
      </c>
      <c r="JN62" s="355" t="str">
        <f t="shared" si="158"/>
        <v>Ni, </v>
      </c>
      <c r="JO62" s="359" t="str">
        <f t="shared" si="159"/>
        <v/>
      </c>
      <c r="JP62" s="346" t="b">
        <f t="shared" si="160"/>
        <v>0</v>
      </c>
      <c r="JQ62" s="347" t="b">
        <f t="shared" si="161"/>
        <v>0</v>
      </c>
      <c r="JR62" s="347" t="b">
        <f t="shared" si="162"/>
        <v>0</v>
      </c>
      <c r="JS62" s="347" t="b">
        <f t="shared" si="163"/>
        <v>0</v>
      </c>
      <c r="JT62" s="347" t="b">
        <f t="shared" si="164"/>
        <v>0</v>
      </c>
      <c r="JU62" s="347" t="b">
        <f t="shared" si="165"/>
        <v>0</v>
      </c>
      <c r="JV62" s="347" t="b">
        <f t="shared" si="166"/>
        <v>0</v>
      </c>
      <c r="JW62" s="347" t="b">
        <f t="shared" si="167"/>
        <v>0</v>
      </c>
      <c r="JX62" s="347" t="b">
        <f t="shared" si="168"/>
        <v>0</v>
      </c>
      <c r="JY62" s="347" t="b">
        <f t="shared" si="169"/>
        <v>0</v>
      </c>
      <c r="JZ62" s="347" t="b">
        <f t="shared" si="170"/>
        <v>0</v>
      </c>
      <c r="KA62" s="347" t="b">
        <f t="shared" si="171"/>
        <v>0</v>
      </c>
      <c r="KB62" s="365" t="b">
        <f t="shared" si="172"/>
        <v>0</v>
      </c>
      <c r="KC62" s="354" t="str">
        <f t="shared" si="173"/>
        <v/>
      </c>
      <c r="KD62" s="355" t="str">
        <f t="shared" si="174"/>
        <v/>
      </c>
      <c r="KE62" s="355" t="str">
        <f t="shared" si="175"/>
        <v/>
      </c>
      <c r="KF62" s="355" t="str">
        <f t="shared" si="176"/>
        <v/>
      </c>
      <c r="KG62" s="355" t="str">
        <f t="shared" si="177"/>
        <v/>
      </c>
      <c r="KH62" s="355" t="str">
        <f t="shared" si="178"/>
        <v/>
      </c>
      <c r="KI62" s="355" t="str">
        <f t="shared" si="179"/>
        <v/>
      </c>
      <c r="KJ62" s="355" t="str">
        <f t="shared" si="180"/>
        <v/>
      </c>
      <c r="KK62" s="355" t="str">
        <f t="shared" si="181"/>
        <v/>
      </c>
      <c r="KL62" s="355" t="str">
        <f t="shared" si="182"/>
        <v/>
      </c>
      <c r="KM62" s="355" t="str">
        <f t="shared" si="183"/>
        <v/>
      </c>
      <c r="KN62" s="355" t="str">
        <f t="shared" si="184"/>
        <v/>
      </c>
      <c r="KO62" s="359"/>
      <c r="KP62" s="378"/>
      <c r="KQ62" s="379" t="s">
        <v>9</v>
      </c>
      <c r="KR62" s="380" t="s">
        <v>9</v>
      </c>
      <c r="KS62" s="381" t="s">
        <v>9</v>
      </c>
      <c r="KT62" s="382">
        <f t="shared" si="186"/>
        <v>0</v>
      </c>
      <c r="KU62" s="383">
        <f t="shared" si="187"/>
        <v>0</v>
      </c>
      <c r="KV62" s="381" t="str">
        <f t="shared" si="205"/>
        <v>S</v>
      </c>
      <c r="KW62" s="382">
        <f t="shared" si="189"/>
        <v>0</v>
      </c>
      <c r="KX62" s="384">
        <f t="shared" si="190"/>
        <v>0</v>
      </c>
      <c r="KY62" s="382">
        <f t="shared" ref="KY62:KZ62" si="320">KW62-KT62</f>
        <v>0</v>
      </c>
      <c r="KZ62" s="369">
        <f t="shared" si="320"/>
        <v>0</v>
      </c>
      <c r="LA62" s="385" t="str">
        <f t="shared" si="192"/>
        <v>✔</v>
      </c>
      <c r="LB62" s="340" t="str">
        <f>IFERROR(__xludf.DUMMYFUNCTION("JOIN("""",ArrayFormula(MID(KS62,LEN(KS62)-SEQUENCE(1,LEN(KS62))+1,1)))"),"S")</f>
        <v>S</v>
      </c>
      <c r="LC62" s="373" t="str">
        <f>IFERROR(__xludf.DUMMYFUNCTION("JOIN("""",ArrayFormula(MID(KV62,LEN(KV62)-SEQUENCE(1,LEN(KV62))+1,1)))"),"S")</f>
        <v>S</v>
      </c>
      <c r="LD62" s="373" t="str">
        <f t="shared" si="193"/>
        <v>S</v>
      </c>
      <c r="LE62" s="339" t="str">
        <f t="shared" si="194"/>
        <v>S</v>
      </c>
      <c r="LF62" s="386" t="str">
        <f>IFERROR(__xludf.DUMMYFUNCTION("SUBSTITUTE(SUBSTITUTE(CONCATENATE(JOIN("""",LH62:LT62)),""1"",""""),""2"","""")"),"SS")</f>
        <v>SS</v>
      </c>
      <c r="LG62" s="369" t="str">
        <f t="shared" si="195"/>
        <v>-</v>
      </c>
      <c r="LH62" s="387" t="str">
        <f>IFERROR(__xludf.DUMMYFUNCTION("IF(REGEXMATCH(LD62, ""S""), ""S"",IF(REGEXMATCH(LE62, ""S""), ""S"",""""))"),"S")</f>
        <v>S</v>
      </c>
      <c r="LI62" s="299" t="str">
        <f>IFERROR(__xludf.DUMMYFUNCTION("IF(REGEXMATCH(LD62, ""r""), ""r1"",IF(REGEXMATCH(LE62, ""r""), ""r2"",""""))"),"")</f>
        <v/>
      </c>
      <c r="LJ62" s="299" t="str">
        <f>IFERROR(__xludf.DUMMYFUNCTION("IF(REGEXMATCH(LD62, ""R""), ""R1"",IF(REGEXMATCH(LE62, ""R""), ""R2"",""""))"),"")</f>
        <v/>
      </c>
      <c r="LK62" s="299" t="str">
        <f>IFERROR(__xludf.DUMMYFUNCTION("IF(REGEXMATCH(LD62, ""g""), ""g1"",IF(REGEXMATCH(LE62, ""g""), ""g2"",""""))"),"")</f>
        <v/>
      </c>
      <c r="LL62" s="299" t="str">
        <f>IFERROR(__xludf.DUMMYFUNCTION("IF(REGEXMATCH(LD62, ""G""), ""G1"",IF(REGEXMATCH(LE62, ""G""), ""G2"",""""))"),"")</f>
        <v/>
      </c>
      <c r="LM62" s="299" t="str">
        <f>IFERROR(__xludf.DUMMYFUNCTION("IF(REGEXMATCH(LD62, ""m""), ""m1"",IF(REGEXMATCH(LE62, ""m""), ""m2"",""""))"),"")</f>
        <v/>
      </c>
      <c r="LN62" s="299" t="str">
        <f>IFERROR(__xludf.DUMMYFUNCTION("IF(REGEXMATCH(LD62, ""M""), ""M1"",IF(REGEXMATCH(LE62, ""M""), ""M2"",""""))"),"")</f>
        <v/>
      </c>
      <c r="LO62" s="299" t="str">
        <f>IFERROR(__xludf.DUMMYFUNCTION("IF(REGEXMATCH(LD62, ""P""), ""P1"",IF(REGEXMATCH(LE62, ""P""), ""P2"",""""))"),"")</f>
        <v/>
      </c>
      <c r="LP62" s="299" t="str">
        <f>IFERROR(__xludf.DUMMYFUNCTION("IF(REGEXMATCH(LD62, ""d""), ""d1"",IF(REGEXMATCH(LE62, ""d""), ""d2"",""""))"),"")</f>
        <v/>
      </c>
      <c r="LQ62" s="299" t="str">
        <f>IFERROR(__xludf.DUMMYFUNCTION("IF(REGEXMATCH(LD62, ""D""), ""D1"",IF(REGEXMATCH(LE62, ""D""), ""D2"",""""))"),"")</f>
        <v/>
      </c>
      <c r="LR62" s="299" t="str">
        <f>IFERROR(__xludf.DUMMYFUNCTION("IF(REGEXMATCH(LD62, ""n""), ""n1"",IF(REGEXMATCH(LE62, ""n""), ""n2"",""""))"),"")</f>
        <v/>
      </c>
      <c r="LS62" s="299" t="str">
        <f>IFERROR(__xludf.DUMMYFUNCTION("IF(REGEXMATCH(LD62, ""N""), ""N1"",IF(REGEXMATCH(LE62, ""N""), ""N2"",""""))"),"")</f>
        <v/>
      </c>
      <c r="LT62" s="388" t="str">
        <f>IFERROR(__xludf.DUMMYFUNCTION("IF(REGEXMATCH(LD62, ""S""), ""S"",IF(REGEXMATCH(LE62, ""S""), ""S"",""""))"),"S")</f>
        <v>S</v>
      </c>
      <c r="LU62" s="389">
        <f t="shared" si="196"/>
        <v>1</v>
      </c>
      <c r="LV62" s="378"/>
      <c r="LW62" s="369"/>
      <c r="LX62" s="369"/>
    </row>
    <row r="63" ht="18.0" customHeight="1">
      <c r="A63" s="298" t="s">
        <v>636</v>
      </c>
      <c r="B63" s="222" t="s">
        <v>530</v>
      </c>
      <c r="C63" s="233" t="str">
        <f t="shared" si="7"/>
        <v>SRGmPDnNS</v>
      </c>
      <c r="D63" s="234" t="str">
        <f>IFERROR(__xludf.DUMMYFUNCTION("IF(REGEXMATCH(C63, ""S""), ""S"","""")"),"S")</f>
        <v>S</v>
      </c>
      <c r="E63" s="236" t="str">
        <f>IFERROR(__xludf.DUMMYFUNCTION("IF(REGEXMATCH(C63, ""r""), ""r"","""")"),"")</f>
        <v/>
      </c>
      <c r="F63" s="237" t="str">
        <f>IFERROR(__xludf.DUMMYFUNCTION("IF(REGEXMATCH(C63, ""R""), ""R"","""")"),"R")</f>
        <v>R</v>
      </c>
      <c r="G63" s="237" t="str">
        <f>IFERROR(__xludf.DUMMYFUNCTION("IF(REGEXMATCH(C63, ""g""), ""g"","""")"),"")</f>
        <v/>
      </c>
      <c r="H63" s="236" t="str">
        <f>IFERROR(__xludf.DUMMYFUNCTION("IF(REGEXMATCH(C63, ""G""), ""G"","""")"),"G")</f>
        <v>G</v>
      </c>
      <c r="I63" s="236" t="str">
        <f>IFERROR(__xludf.DUMMYFUNCTION("IF(REGEXMATCH(C63, ""m""), ""m"","""")"),"m")</f>
        <v>m</v>
      </c>
      <c r="J63" s="237" t="str">
        <f>IFERROR(__xludf.DUMMYFUNCTION("IF(REGEXMATCH(C63, ""M""), ""M"","""")"),"")</f>
        <v/>
      </c>
      <c r="K63" s="236" t="str">
        <f>IFERROR(__xludf.DUMMYFUNCTION("IF(REGEXMATCH(C63, ""P""), ""P"","""")"),"P")</f>
        <v>P</v>
      </c>
      <c r="L63" s="237" t="str">
        <f>IFERROR(__xludf.DUMMYFUNCTION("IF(REGEXMATCH(C63, ""d""), ""d"","""")"),"")</f>
        <v/>
      </c>
      <c r="M63" s="236" t="str">
        <f>IFERROR(__xludf.DUMMYFUNCTION("IF(REGEXMATCH(C63, ""D""), ""D"","""")"),"D")</f>
        <v>D</v>
      </c>
      <c r="N63" s="236" t="str">
        <f>IFERROR(__xludf.DUMMYFUNCTION("IF(REGEXMATCH(C63, ""n""), ""n"","""")"),"n")</f>
        <v>n</v>
      </c>
      <c r="O63" s="237" t="str">
        <f>IFERROR(__xludf.DUMMYFUNCTION("IF(REGEXMATCH(C63, ""N""), ""N"","""")"),"N")</f>
        <v>N</v>
      </c>
      <c r="P63" s="238" t="str">
        <f>IFERROR(__xludf.DUMMYFUNCTION("IF(REGEXMATCH(C63, ""S""), ""S"","""")"),"S")</f>
        <v>S</v>
      </c>
      <c r="Q63" s="239" t="str">
        <f>IFERROR(__xludf.DUMMYFUNCTION("SUBSTITUTE(CONCATENATE(JOIN(""-"",D63:J63)),""-"","""")"),"SRGm")</f>
        <v>SRGm</v>
      </c>
      <c r="R63" s="229" t="str">
        <f>IFERROR(__xludf.DUMMYFUNCTION("SUBSTITUTE(CONCATENATE(JOIN(""-"",K63:P63)),""-"","""")"),"PDnNS")</f>
        <v>PDnNS</v>
      </c>
      <c r="S63" s="282" t="str">
        <f t="shared" si="8"/>
        <v>S-R-G-M</v>
      </c>
      <c r="T63" s="282" t="str">
        <f t="shared" si="9"/>
        <v>P-D-N-S</v>
      </c>
      <c r="U63" s="237" t="str">
        <f>IFERROR(__xludf.DUMMYFUNCTION("SUBSTITUTE(JOIN(""-"",S63,T63),""--"",""-"")"),"S-R-G-M-P-D-N-S")</f>
        <v>S-R-G-M-P-D-N-S</v>
      </c>
      <c r="V63" s="309" t="str">
        <f t="shared" si="10"/>
        <v>RGmDnN</v>
      </c>
      <c r="W63" s="244" t="str">
        <f>IFERROR(__xludf.DUMMYFUNCTION("IF(REGEXMATCH(C63, ""S""), ""0"","""")"),"0")</f>
        <v>0</v>
      </c>
      <c r="X63" s="245" t="str">
        <f>IFERROR(__xludf.DUMMYFUNCTION("IF(REGEXMATCH(C63, ""r""), ""1"","""")"),"")</f>
        <v/>
      </c>
      <c r="Y63" s="246" t="str">
        <f>IFERROR(__xludf.DUMMYFUNCTION("IF(REGEXMATCH(C63, ""R""), ""2"","""")"),"2")</f>
        <v>2</v>
      </c>
      <c r="Z63" s="246" t="str">
        <f>IFERROR(__xludf.DUMMYFUNCTION("IF(REGEXMATCH(C63, ""g""), ""3"","""")"),"")</f>
        <v/>
      </c>
      <c r="AA63" s="245" t="str">
        <f>IFERROR(__xludf.DUMMYFUNCTION("IF(REGEXMATCH(C63, ""G""), ""4"","""")"),"4")</f>
        <v>4</v>
      </c>
      <c r="AB63" s="245" t="str">
        <f>IFERROR(__xludf.DUMMYFUNCTION("IF(REGEXMATCH(C63, ""m""), ""5"","""")"),"5")</f>
        <v>5</v>
      </c>
      <c r="AC63" s="246" t="str">
        <f>IFERROR(__xludf.DUMMYFUNCTION("IF(REGEXMATCH(C63, ""M""), ""6"","""")"),"")</f>
        <v/>
      </c>
      <c r="AD63" s="245" t="str">
        <f>IFERROR(__xludf.DUMMYFUNCTION("IF(REGEXMATCH(C63, ""P""), ""7"","""")"),"7")</f>
        <v>7</v>
      </c>
      <c r="AE63" s="246" t="str">
        <f>IFERROR(__xludf.DUMMYFUNCTION("IF(REGEXMATCH(C63, ""d""), ""8"","""")"),"")</f>
        <v/>
      </c>
      <c r="AF63" s="245" t="str">
        <f>IFERROR(__xludf.DUMMYFUNCTION("IF(REGEXMATCH(C63, ""D""), ""9"","""")"),"9")</f>
        <v>9</v>
      </c>
      <c r="AG63" s="245" t="str">
        <f>IFERROR(__xludf.DUMMYFUNCTION("IF(REGEXMATCH(C63, ""n""), ""10"","""")"),"10")</f>
        <v>10</v>
      </c>
      <c r="AH63" s="246" t="str">
        <f>IFERROR(__xludf.DUMMYFUNCTION("IF(REGEXMATCH(C63, ""N""), ""11"","""")"),"11")</f>
        <v>11</v>
      </c>
      <c r="AI63" s="249" t="str">
        <f>IFERROR(__xludf.DUMMYFUNCTION("IF(REGEXMATCH(C63, ""S""), ""0"","""")"),"0")</f>
        <v>0</v>
      </c>
      <c r="AJ63" s="313" t="str">
        <f t="shared" si="11"/>
        <v>-</v>
      </c>
      <c r="AK63" s="313" t="str">
        <f t="shared" si="12"/>
        <v>-</v>
      </c>
      <c r="AL63" s="313" t="str">
        <f t="shared" si="13"/>
        <v>-</v>
      </c>
      <c r="AM63" s="313" t="str">
        <f t="shared" si="14"/>
        <v>-</v>
      </c>
      <c r="AN63" s="313" t="str">
        <f t="shared" si="15"/>
        <v>T</v>
      </c>
      <c r="AO63" s="314" t="str">
        <f t="shared" si="16"/>
        <v>T</v>
      </c>
      <c r="AP63" s="316">
        <f t="shared" si="17"/>
        <v>2</v>
      </c>
      <c r="AQ63" s="319" t="str">
        <f t="shared" si="18"/>
        <v>-</v>
      </c>
      <c r="AR63" s="320">
        <f t="shared" si="19"/>
        <v>0</v>
      </c>
      <c r="AS63" s="250" t="str">
        <f>IFERROR(__xludf.DUMMYFUNCTION("SUBSTITUTE(SUBSTITUTE(CONCATENATE(JOIN("""",FP63:GA63)),""|"",""x""),""-"",""o"")"),"xoxoxxoxoxxx")</f>
        <v>xoxoxxoxoxxx</v>
      </c>
      <c r="AT63" s="323" t="str">
        <f>IFERROR(__xludf.DUMMYFUNCTION("JOIN("""",AS63,AS63)"),"xoxoxxoxoxxxxoxoxxoxoxxx")</f>
        <v>xoxoxxoxoxxxxoxoxxoxoxxx</v>
      </c>
      <c r="AU63" s="256" t="str">
        <f>IFERROR(__xludf.DUMMYFUNCTION("JOIN("""",ArrayFormula(MID(AS63,LEN(AS63)-SEQUENCE(1,LEN(AS63))+1,1)))"),"xxxoxoxxoxox")</f>
        <v>xxxoxoxxoxox</v>
      </c>
      <c r="AV63" s="256" t="str">
        <f>IFERROR(__xludf.DUMMYFUNCTION("LEFT(CONCATENATE(""x"",JOIN("""",ArrayFormula(MID(AS63,LEN(AS63)-SEQUENCE(1,LEN(AS63))+1,1)))),12)"),"xxxxoxoxxoxo")</f>
        <v>xxxxoxoxxoxo</v>
      </c>
      <c r="AW63" s="327" t="str">
        <f>IFERROR(__xludf.DUMMYFUNCTION("JOIN("""",AU63,AU63)"),"xxxoxoxxoxoxxxxoxoxxoxox")</f>
        <v>xxxoxoxxoxoxxxxoxoxxoxox</v>
      </c>
      <c r="AX63" s="239" t="str">
        <f>IFERROR(__xludf.DUMMYFUNCTION("IF(REGEXMATCH(AW63,AS63),""✔"",""-"")"),"✔")</f>
        <v>✔</v>
      </c>
      <c r="AY63" s="330" t="str">
        <f t="shared" si="20"/>
        <v>-</v>
      </c>
      <c r="AZ63" s="260" t="str">
        <f t="shared" si="21"/>
        <v>#REF!</v>
      </c>
      <c r="BA63" s="333" t="str">
        <f t="shared" si="22"/>
        <v>xoxoxxo</v>
      </c>
      <c r="BB63" s="334" t="str">
        <f t="shared" si="23"/>
        <v>xoxxxx</v>
      </c>
      <c r="BC63" s="335" t="str">
        <f t="shared" si="236"/>
        <v>-</v>
      </c>
      <c r="BD63" s="336" t="str">
        <f t="shared" si="25"/>
        <v>Bihagda: 'xoxoxxo' + 'xoxxxx'</v>
      </c>
      <c r="BE63" s="337">
        <f>IFERROR(__xludf.DUMMYFUNCTION("COUNTUNIQUE(FILTER(AT:AT,REGEXMATCH(AT:AT,AS63)))-1"),3.0)</f>
        <v>3</v>
      </c>
      <c r="BF63" s="261" t="str">
        <f>IFERROR(__xludf.DUMMYFUNCTION("IF(BI63=0,""(n/a)"",IF(BJ63=2,""(PAIR)"",IF(REGEXMATCH(AT63,""xoxoxxoxoxox""),""Bilawal"",IF(REGEXMATCH(AT63,""xoxoxooxoxoo""),""Bhupali"",IF(REGEXMATCH(AT63,""xoxoxxoxxoxo""),""Charukeshi"",IF(REGEXMATCH(AT63,""xoxoooxxoxxo""),""Kameshwari"",IF(REGEXMATC"&amp;"H(AT63,""xoxoxooxoxox""),""Shankara"",IF(REGEXMATCH(AT63,""xxooxoxxxoox""),""Basant"",IF(REGEXMATCH(AT63,""xoxoxxxxoxox""),""Bihag"",IF(REGEXMATCH(AT63,""xoxxxxoxoxxx""),""Pilu"",IF(REGEXMATCH(AT63,""xoxxoxoxxoox""),""Kirwani"",IF(REGEXMATCH(AT63,""xoxxox"&amp;"oxoxxx""),""Mk.Malhar"",IF(REGEXMATCH(AT63,""xxooxxoxxoox""),""Bhairav"",IF(REGEXMATCH(AT63,""xxoxooxxxoox""),""Todi"",IF(REGEXMATCH(AT63,""xxooxoxooxox""),""Marwa"",IF(REGEXMATCH(AT63,""xxoooxoxxooo""),""Gunkali"",IF(REGEXMATCH(AT63,""xoxoxxoxxoox""),""N"&amp;"at Bhairav"",IF(REGEXMATCH(AT63,""xoxxoooxoxoo""),""Shivranjani"",IF(REGEXMATCH(AT63,""xooxxxoxooxo""),""Jog"",IF(REGEXMATCH(AT63,""xxooxoxoxoox""),""Hemshri"",IF(REGEXMATCH(AT63,""xoooxooxoxxo""),""Kalavati"",IF(REGEXMATCH(AT63,""xxoxoxxoxoox""),""Kedar"&amp;""",IF(REGEXMATCH(AT63,""xoxxxxoxooxx""),""Gara"",IF(REGEXMATCH(AT63,""xooxoxooxoox""),""Chandrakauns"",IF(REGEXMATCH(AT63,""xoxxxxoxxxox""),""Mand"",IF(REGEXMATCH(AT63,""xoxxxxoxoxox""),""Hanskinkini"",IF(REGEXMATCH(AT63,""xxooxxoxooxo""),""Lilavati"",IF("&amp;"REGEXMATCH(AT63,""xooxoxoooxox""),""Rajeshwari"",IF(REGEXMATCH(AT63,""xoooxxoxoxxx""),""Khokar"",IF(REGEXMATCH(AT63,""xxooxoxxxxox""),""Maligoura"",""-""))))))))))))))))))))))))))))))"),"Bihag")</f>
        <v>Bihag</v>
      </c>
      <c r="BG63" s="239" t="str">
        <f t="shared" si="26"/>
        <v>#REF!</v>
      </c>
      <c r="BH63" s="239">
        <f>IFERROR(__xludf.DUMMYFUNCTION("COUNTUNIQUE(FE63:FO63)-1"),7.0)</f>
        <v>7</v>
      </c>
      <c r="BI63" s="239">
        <f>IFERROR(__xludf.DUMMYFUNCTION("COUNTUNIQUE(FILTER(AT:AT,REGEXMATCH(AT:AT,AS63)))-1"),3.0)</f>
        <v>3</v>
      </c>
      <c r="BJ63" s="239">
        <f>IFERROR(__xludf.DUMMYFUNCTION("COUNTA(FILTER(AT:AT,REGEXMATCH(AT:AT,AS63)))"),36.0)</f>
        <v>36</v>
      </c>
      <c r="BK63" s="341">
        <f>IFERROR(__xludf.DUMMYFUNCTION("COUNTA(FILTER(AT:AT,REGEXMATCH(AT:AT,AS63)))-AR63"),36.0)</f>
        <v>36</v>
      </c>
      <c r="BL63" s="276" t="str">
        <f>IFERROR(__xludf.DUMMYFUNCTION("IF(AS63=""oooooooooooo"",""-"",IF(REGEXMATCH(AT63,""xx""), ""Hemi."", ""Anhemi.""))"),"Hemi.")</f>
        <v>Hemi.</v>
      </c>
      <c r="BM63" s="282" t="str">
        <f>IFERROR(__xludf.DUMMYFUNCTION("IF(AS63=""oooooooooooo"",""-"",IF(REGEXMATCH(AT63,""xxx""), ""Cohem."", ""-""))"),"Cohem.")</f>
        <v>Cohem.</v>
      </c>
      <c r="BN63" s="282" t="str">
        <f>IFERROR(__xludf.DUMMYFUNCTION("IF(AS63=""oooooooooooo"",""-"",IF(REGEXMATCH(AT63,""xxxx""), ""Co-Co."", ""-""))"),"Co-Co.")</f>
        <v>Co-Co.</v>
      </c>
      <c r="BO63" s="342" t="str">
        <f>IFERROR(__xludf.DUMMYFUNCTION("IF(AS63=""oooooooooooo"",""-"",IF(REGEXMATCH(AT63,""xxxxx""), ""CCC."", ""-""))"),"-")</f>
        <v>-</v>
      </c>
      <c r="BP63" s="344" t="str">
        <f t="shared" si="27"/>
        <v>-</v>
      </c>
      <c r="BQ63" s="282" t="str">
        <f>IFERROR(__xludf.DUMMYFUNCTION("IF(REGEXMATCH(JOIN(""-"",EU63:FD63),""TRUE""),""✔"",""-"")"),"-")</f>
        <v>-</v>
      </c>
      <c r="BR63" s="225">
        <f t="shared" si="28"/>
        <v>0</v>
      </c>
      <c r="BS63" s="345" t="str">
        <f>IFERROR(__xludf.DUMMYFUNCTION("SUBSTITUTE(SUBSTITUTE(SUBSTITUTE(SUBSTITUTE(CONCATENATE(JOIN(""-"",GC63:GO63)),""--"",""-""),""--"",""-""),""--"",""-""),""--"",""-"")"),"1-2-3-4-5-6-b7-7-8")</f>
        <v>1-2-3-4-5-6-b7-7-8</v>
      </c>
      <c r="BT63" s="299" t="str">
        <f>IFERROR(__xludf.DUMMYFUNCTION("SUBSTITUTE(SUBSTITUTE(SUBSTITUTE(SUBSTITUTE(CONCATENATE(JOIN(""-"",GP63:HB63)),""--"",""-""),""--"",""-""),""--"",""-""),""--"",""-"")"),"S-R2-G3-M1-P-D2-N2-N3-S")</f>
        <v>S-R2-G3-M1-P-D2-N2-N3-S</v>
      </c>
      <c r="BU63" s="348" t="str">
        <f t="shared" si="29"/>
        <v>C-D-E-F-G-A-Bb-B-C</v>
      </c>
      <c r="BV63" s="349" t="str">
        <f t="shared" si="30"/>
        <v>SrgMdS</v>
      </c>
      <c r="BW63" s="350">
        <f t="shared" si="31"/>
        <v>1</v>
      </c>
      <c r="BX63" s="351">
        <f t="shared" si="32"/>
        <v>15</v>
      </c>
      <c r="BY63" s="392"/>
      <c r="BZ63" s="309" t="str">
        <f>IFERROR(__xludf.DUMMYFUNCTION("IF(REGEXMATCH(C63, ""S""), ""x"",""x"")"),"x")</f>
        <v>x</v>
      </c>
      <c r="CA63" s="245" t="str">
        <f>IFERROR(__xludf.DUMMYFUNCTION("IF(REGEXMATCH(C63, ""r""), ""o"",""x"")"),"x")</f>
        <v>x</v>
      </c>
      <c r="CB63" s="246" t="str">
        <f>IFERROR(__xludf.DUMMYFUNCTION("IF(REGEXMATCH(C63, ""R""), ""o"",""x"")"),"o")</f>
        <v>o</v>
      </c>
      <c r="CC63" s="246" t="str">
        <f>IFERROR(__xludf.DUMMYFUNCTION("IF(REGEXMATCH(C63, ""g""), ""o"",""x"")"),"x")</f>
        <v>x</v>
      </c>
      <c r="CD63" s="245" t="str">
        <f>IFERROR(__xludf.DUMMYFUNCTION("IF(REGEXMATCH(C63, ""G""), ""o"",""x"")"),"o")</f>
        <v>o</v>
      </c>
      <c r="CE63" s="245" t="str">
        <f>IFERROR(__xludf.DUMMYFUNCTION("IF(REGEXMATCH(C63, ""m""), ""o"",""x"")"),"o")</f>
        <v>o</v>
      </c>
      <c r="CF63" s="246" t="str">
        <f>IFERROR(__xludf.DUMMYFUNCTION("IF(REGEXMATCH(C63, ""M""), ""o"",""x"")"),"x")</f>
        <v>x</v>
      </c>
      <c r="CG63" s="245" t="str">
        <f>IFERROR(__xludf.DUMMYFUNCTION("IF(REGEXMATCH(C63, ""P""), ""o"",""x"")"),"o")</f>
        <v>o</v>
      </c>
      <c r="CH63" s="246" t="str">
        <f>IFERROR(__xludf.DUMMYFUNCTION("IF(REGEXMATCH(C63, ""d""), ""o"",""x"")"),"x")</f>
        <v>x</v>
      </c>
      <c r="CI63" s="245" t="str">
        <f>IFERROR(__xludf.DUMMYFUNCTION("IF(REGEXMATCH(C63, ""D""), ""o"",""x"")"),"o")</f>
        <v>o</v>
      </c>
      <c r="CJ63" s="245" t="str">
        <f>IFERROR(__xludf.DUMMYFUNCTION("IF(REGEXMATCH(C63, ""n""), ""o"",""x"")"),"o")</f>
        <v>o</v>
      </c>
      <c r="CK63" s="245" t="str">
        <f>IFERROR(__xludf.DUMMYFUNCTION("IF(REGEXMATCH(C63, ""N""), ""o"",""x"")"),"o")</f>
        <v>o</v>
      </c>
      <c r="CL63" s="356" t="str">
        <f>IFERROR(__xludf.DUMMYFUNCTION("IF(REGEXMATCH(C63, ""S""), ""x"",""x"")"),"x")</f>
        <v>x</v>
      </c>
      <c r="CM63" s="357" t="str">
        <f t="shared" si="33"/>
        <v>xxoxooxoxooo</v>
      </c>
      <c r="CN63" s="358">
        <f t="shared" si="34"/>
        <v>1</v>
      </c>
      <c r="CO63" s="246" t="str">
        <f>IFERROR(__xludf.DUMMYFUNCTION("IF(REGEXMATCH($C63, ""S""), ""S"",""S"")"),"S")</f>
        <v>S</v>
      </c>
      <c r="CP63" s="246" t="str">
        <f>IFERROR(__xludf.DUMMYFUNCTION("IF(REGEXMATCH($C63, ""r""), """",""r"")"),"r")</f>
        <v>r</v>
      </c>
      <c r="CQ63" s="246" t="str">
        <f>IFERROR(__xludf.DUMMYFUNCTION("IF(REGEXMATCH($C63, ""R""), """",""R"")"),"")</f>
        <v/>
      </c>
      <c r="CR63" s="246" t="str">
        <f>IFERROR(__xludf.DUMMYFUNCTION("IF(REGEXMATCH($C63, ""g""), """",""g"")"),"g")</f>
        <v>g</v>
      </c>
      <c r="CS63" s="246" t="str">
        <f>IFERROR(__xludf.DUMMYFUNCTION("IF(REGEXMATCH($C63, ""G""), """",""G"")"),"")</f>
        <v/>
      </c>
      <c r="CT63" s="246" t="str">
        <f>IFERROR(__xludf.DUMMYFUNCTION("IF(REGEXMATCH($C63, ""m""), """",""m"")"),"")</f>
        <v/>
      </c>
      <c r="CU63" s="246" t="str">
        <f>IFERROR(__xludf.DUMMYFUNCTION("IF(REGEXMATCH($C63, ""M""), """",""M"")"),"M")</f>
        <v>M</v>
      </c>
      <c r="CV63" s="246" t="str">
        <f>IFERROR(__xludf.DUMMYFUNCTION("IF(REGEXMATCH($C63, ""P""), """",""P"")"),"")</f>
        <v/>
      </c>
      <c r="CW63" s="246" t="str">
        <f>IFERROR(__xludf.DUMMYFUNCTION("IF(REGEXMATCH($C63, ""d""), """",""d"")"),"d")</f>
        <v>d</v>
      </c>
      <c r="CX63" s="246" t="str">
        <f>IFERROR(__xludf.DUMMYFUNCTION("IF(REGEXMATCH($C63, ""D""), """",""D"")"),"")</f>
        <v/>
      </c>
      <c r="CY63" s="246" t="str">
        <f>IFERROR(__xludf.DUMMYFUNCTION("IF(REGEXMATCH($C63, ""n""), """",""n"")"),"")</f>
        <v/>
      </c>
      <c r="CZ63" s="246" t="str">
        <f>IFERROR(__xludf.DUMMYFUNCTION("IF(REGEXMATCH($C63, ""N""), """",""N"")"),"")</f>
        <v/>
      </c>
      <c r="DA63" s="246" t="str">
        <f>IFERROR(__xludf.DUMMYFUNCTION("IF(REGEXMATCH($C63, ""S""), ""S"",""S"")"),"S")</f>
        <v>S</v>
      </c>
      <c r="DB63" s="362" t="str">
        <f>IFERROR(__xludf.DUMMYFUNCTION("JOIN("""",CO63:DA63,"""","""")"),"SrgMdS")</f>
        <v>SrgMdS</v>
      </c>
      <c r="DC63" s="363"/>
      <c r="DD63" s="301" t="str">
        <f t="shared" si="35"/>
        <v>#REF!</v>
      </c>
      <c r="DE63" s="302" t="str">
        <f t="shared" si="36"/>
        <v>#REF!</v>
      </c>
      <c r="DF63" s="301" t="str">
        <f t="shared" ref="DF63:DG63" si="321">SUBSTITUTE(S63,"-","")</f>
        <v>SRGM</v>
      </c>
      <c r="DG63" s="301" t="str">
        <f t="shared" si="321"/>
        <v>PDNS</v>
      </c>
      <c r="DH63" s="302" t="str">
        <f t="shared" si="38"/>
        <v>Bihag</v>
      </c>
      <c r="DI63" s="301" t="str">
        <f t="shared" si="39"/>
        <v>Hemi.</v>
      </c>
      <c r="DJ63" s="364" t="str">
        <f t="shared" si="40"/>
        <v>Co-Co.</v>
      </c>
      <c r="DK63" s="306" t="str">
        <f t="shared" si="41"/>
        <v>-</v>
      </c>
      <c r="DL63" s="366" t="str">
        <f t="shared" si="42"/>
        <v>-</v>
      </c>
      <c r="DM63" s="308" t="str">
        <f t="shared" si="43"/>
        <v>✔</v>
      </c>
      <c r="DN63" s="306" t="str">
        <f t="shared" si="44"/>
        <v>-</v>
      </c>
      <c r="DO63" s="306" t="str">
        <f t="shared" si="45"/>
        <v>-</v>
      </c>
      <c r="DP63" s="367" t="str">
        <f t="shared" si="46"/>
        <v>-</v>
      </c>
      <c r="DQ63" s="310" t="str">
        <f t="shared" si="47"/>
        <v>-</v>
      </c>
      <c r="DR63" s="310" t="str">
        <f t="shared" si="48"/>
        <v>-</v>
      </c>
      <c r="DS63" s="310" t="str">
        <f t="shared" si="49"/>
        <v>-</v>
      </c>
      <c r="DT63" s="310" t="str">
        <f t="shared" si="50"/>
        <v>-</v>
      </c>
      <c r="DU63" s="370" t="str">
        <f t="shared" si="51"/>
        <v>✔</v>
      </c>
      <c r="DV63" s="306" t="str">
        <f t="shared" si="52"/>
        <v>-</v>
      </c>
      <c r="DW63" s="306" t="str">
        <f t="shared" si="53"/>
        <v>-</v>
      </c>
      <c r="DX63" s="306" t="str">
        <f t="shared" si="54"/>
        <v>-</v>
      </c>
      <c r="DY63" s="306" t="str">
        <f t="shared" si="55"/>
        <v>-</v>
      </c>
      <c r="DZ63" s="306" t="str">
        <f t="shared" si="56"/>
        <v>-</v>
      </c>
      <c r="EA63" s="367" t="str">
        <f t="shared" si="57"/>
        <v>-</v>
      </c>
      <c r="EB63" s="310" t="str">
        <f>IFERROR(__xludf.DUMMYFUNCTION("IF(REGEXMATCH(AW63,AS63),""✔"",""-"")"),"✔")</f>
        <v>✔</v>
      </c>
      <c r="EC63" s="310" t="str">
        <f t="shared" si="58"/>
        <v>#REF!</v>
      </c>
      <c r="ED63" s="370" t="str">
        <f t="shared" si="59"/>
        <v>-</v>
      </c>
      <c r="EE63" s="340" t="str">
        <f t="shared" si="60"/>
        <v>S-R-G-m-P-D-nN-S</v>
      </c>
      <c r="EF63" s="371" t="str">
        <f>IFERROR(__xludf.DUMMYFUNCTION("CONCATENATE(JOIN("""",HC63:HO63))"),"SrRgmPdnS")</f>
        <v>SrRgmPdnS</v>
      </c>
      <c r="EG63" s="372">
        <f t="shared" si="61"/>
        <v>1</v>
      </c>
      <c r="EH63" s="373" t="str">
        <f>IFERROR(__xludf.DUMMYFUNCTION("CONCATENATE(JOIN("""",JC63:JO63))"),"Ni, ")</f>
        <v>Ni, </v>
      </c>
      <c r="EI63" s="322">
        <f t="shared" si="62"/>
        <v>0</v>
      </c>
      <c r="EJ63" s="374" t="str">
        <f>IFERROR(__xludf.DUMMYFUNCTION("CONCATENATE(JOIN("""",KC63:KO63))"),"")</f>
        <v/>
      </c>
      <c r="EK63" s="325" t="str">
        <f t="shared" si="63"/>
        <v>S-R2-G3-M1-P-D2-N2-N3-S</v>
      </c>
      <c r="EL63" s="326" t="str">
        <f t="shared" si="64"/>
        <v>1-2-3-4-5-6-b7-7-8</v>
      </c>
      <c r="EM63" s="318" t="str">
        <f t="shared" si="65"/>
        <v>#REF!</v>
      </c>
      <c r="EN63" s="328" t="str">
        <f>IFERROR(__xludf.DUMMYFUNCTION("SUBSTITUTE(SUBSTITUTE(SUBSTITUTE(SUBSTITUTE(CONCATENATE(JOIN("" "",HP63:IB63)),""  "","" ""),""  "","" ""),""  "","" ""),""  "","" "")"),"o • o • o o • o • o o o o")</f>
        <v>o • o • o o • o • o o o o</v>
      </c>
      <c r="EO63" s="368" t="str">
        <f t="shared" si="66"/>
        <v>-</v>
      </c>
      <c r="EP63" s="339" t="str">
        <f t="shared" si="67"/>
        <v>-</v>
      </c>
      <c r="EQ63" s="339" t="str">
        <f t="shared" si="68"/>
        <v>Sa-Pa</v>
      </c>
      <c r="ER63" s="339" t="str">
        <f t="shared" si="69"/>
        <v>-</v>
      </c>
      <c r="ES63" s="340" t="str">
        <f t="shared" si="70"/>
        <v>-</v>
      </c>
      <c r="ET63" s="363"/>
      <c r="EU63" s="376" t="b">
        <f>IFERROR(__xludf.DUMMYFUNCTION("arrayformula(sum(--REGEXMATCH(""SRGMPDNS"",split(REGEXREPLACE(C63,""(.)"",""$1~""),""~""))))=len(C63)
"),FALSE)</f>
        <v>0</v>
      </c>
      <c r="EV63" s="290" t="b">
        <f>IFERROR(__xludf.DUMMYFUNCTION("arrayformula(sum(--REGEXMATCH(""SRGmPDNS"",split(REGEXREPLACE(C63,""(.)"",""$1~""),""~""))))=len(C63)"),FALSE)</f>
        <v>0</v>
      </c>
      <c r="EW63" s="290" t="b">
        <f>IFERROR(__xludf.DUMMYFUNCTION("arrayformula(sum(--REGEXMATCH(""SRGmPDnS"",split(REGEXREPLACE(C63,""(.)"",""$1~""),""~""))))=len(C63)"),FALSE)</f>
        <v>0</v>
      </c>
      <c r="EX63" s="290" t="b">
        <f>IFERROR(__xludf.DUMMYFUNCTION("arrayformula(sum(--REGEXMATCH(""SRgmPDnS"",split(REGEXREPLACE(C63,""(.)"",""$1~""),""~""))))=len(C63)"),FALSE)</f>
        <v>0</v>
      </c>
      <c r="EY63" s="290" t="b">
        <f>IFERROR(__xludf.DUMMYFUNCTION("arrayformula(sum(--REGEXMATCH(""SRgmPdnS"",split(REGEXREPLACE(C63,""(.)"",""$1~""),""~""))))=len(C63)"),FALSE)</f>
        <v>0</v>
      </c>
      <c r="EZ63" s="290" t="b">
        <f>IFERROR(__xludf.DUMMYFUNCTION("arrayformula(sum(--REGEXMATCH(""SrgmPdnS"",split(REGEXREPLACE(C63,""(.)"",""$1~""),""~""))))=len(C63)"),FALSE)</f>
        <v>0</v>
      </c>
      <c r="FA63" s="290" t="b">
        <f>IFERROR(__xludf.DUMMYFUNCTION("arrayformula(sum(--REGEXMATCH(""SrGmPdNS"",split(REGEXREPLACE(C63,""(.)"",""$1~""),""~""))))=len(C63)"),FALSE)</f>
        <v>0</v>
      </c>
      <c r="FB63" s="290" t="b">
        <f>IFERROR(__xludf.DUMMYFUNCTION("arrayformula(sum(--REGEXMATCH(""SrGMPDNS"",split(REGEXREPLACE(C63,""(.)"",""$1~""),""~""))))=len(C63)"),FALSE)</f>
        <v>0</v>
      </c>
      <c r="FC63" s="290" t="b">
        <f>IFERROR(__xludf.DUMMYFUNCTION("arrayformula(sum(--REGEXMATCH(""SrGMPdNS"",split(REGEXREPLACE(C63,""(.)"",""$1~""),""~""))))=len(C63)"),FALSE)</f>
        <v>0</v>
      </c>
      <c r="FD63" s="377" t="b">
        <f>IFERROR(__xludf.DUMMYFUNCTION("arrayformula(sum(--REGEXMATCH(""SrgMPdNS"",split(REGEXREPLACE(C63,""(.)"",""$1~""),""~""))))=len(C63)"),FALSE)</f>
        <v>0</v>
      </c>
      <c r="FE63" s="269" t="str">
        <f t="shared" si="71"/>
        <v>-</v>
      </c>
      <c r="FF63" s="269" t="str">
        <f t="shared" si="72"/>
        <v>xoxxoxoxxxx</v>
      </c>
      <c r="FG63" s="271" t="str">
        <f t="shared" si="73"/>
        <v>-</v>
      </c>
      <c r="FH63" s="269" t="str">
        <f t="shared" si="74"/>
        <v>xxoxoxxxxox</v>
      </c>
      <c r="FI63" s="271" t="str">
        <f t="shared" si="75"/>
        <v>xoxoxxxxoxo</v>
      </c>
      <c r="FJ63" s="271" t="str">
        <f t="shared" si="76"/>
        <v>-</v>
      </c>
      <c r="FK63" s="271" t="str">
        <f t="shared" si="77"/>
        <v>xoxxxxoxoxx</v>
      </c>
      <c r="FL63" s="271" t="str">
        <f t="shared" si="78"/>
        <v>-</v>
      </c>
      <c r="FM63" s="271" t="str">
        <f t="shared" si="79"/>
        <v>xxxxoxoxxox</v>
      </c>
      <c r="FN63" s="271" t="str">
        <f t="shared" si="80"/>
        <v>xxxoxoxxoxo</v>
      </c>
      <c r="FO63" s="274" t="str">
        <f t="shared" si="81"/>
        <v>xxoxoxxoxox</v>
      </c>
      <c r="FP63" s="234" t="str">
        <f t="shared" si="82"/>
        <v>|</v>
      </c>
      <c r="FQ63" s="236" t="str">
        <f t="shared" si="83"/>
        <v>-</v>
      </c>
      <c r="FR63" s="237" t="str">
        <f t="shared" si="84"/>
        <v>|</v>
      </c>
      <c r="FS63" s="236" t="str">
        <f t="shared" si="85"/>
        <v>-</v>
      </c>
      <c r="FT63" s="237" t="str">
        <f t="shared" si="86"/>
        <v>|</v>
      </c>
      <c r="FU63" s="236" t="str">
        <f t="shared" si="87"/>
        <v>|</v>
      </c>
      <c r="FV63" s="237" t="str">
        <f t="shared" si="88"/>
        <v>-</v>
      </c>
      <c r="FW63" s="236" t="str">
        <f t="shared" si="89"/>
        <v>|</v>
      </c>
      <c r="FX63" s="237" t="str">
        <f t="shared" si="90"/>
        <v>-</v>
      </c>
      <c r="FY63" s="236" t="str">
        <f t="shared" si="91"/>
        <v>|</v>
      </c>
      <c r="FZ63" s="237" t="str">
        <f t="shared" si="92"/>
        <v>|</v>
      </c>
      <c r="GA63" s="236" t="str">
        <f t="shared" si="93"/>
        <v>|</v>
      </c>
      <c r="GB63" s="238" t="str">
        <f t="shared" si="94"/>
        <v>|</v>
      </c>
      <c r="GC63" s="244" t="str">
        <f>IFERROR(__xludf.DUMMYFUNCTION("IF(REGEXMATCH(C63, ""S""), ""1"","""")"),"1")</f>
        <v>1</v>
      </c>
      <c r="GD63" s="245" t="str">
        <f>IFERROR(__xludf.DUMMYFUNCTION("IF(REGEXMATCH(C63, ""r""), ""b2"","""")"),"")</f>
        <v/>
      </c>
      <c r="GE63" s="246" t="str">
        <f>IFERROR(__xludf.DUMMYFUNCTION("IF(REGEXMATCH(C63, ""R""), ""2"","""")"),"2")</f>
        <v>2</v>
      </c>
      <c r="GF63" s="246" t="str">
        <f>IFERROR(__xludf.DUMMYFUNCTION("IF(REGEXMATCH(C63, ""g""), ""b3"","""")"),"")</f>
        <v/>
      </c>
      <c r="GG63" s="245" t="str">
        <f>IFERROR(__xludf.DUMMYFUNCTION("IF(REGEXMATCH(C63, ""G""), ""3"","""")"),"3")</f>
        <v>3</v>
      </c>
      <c r="GH63" s="245" t="str">
        <f>IFERROR(__xludf.DUMMYFUNCTION("IF(REGEXMATCH(C63, ""m""), ""4"","""")"),"4")</f>
        <v>4</v>
      </c>
      <c r="GI63" s="246" t="str">
        <f>IFERROR(__xludf.DUMMYFUNCTION("IF(REGEXMATCH(C63, ""M""), ""#4"","""")"),"")</f>
        <v/>
      </c>
      <c r="GJ63" s="245" t="str">
        <f>IFERROR(__xludf.DUMMYFUNCTION("IF(REGEXMATCH(C63, ""P""), ""5"","""")"),"5")</f>
        <v>5</v>
      </c>
      <c r="GK63" s="246" t="str">
        <f>IFERROR(__xludf.DUMMYFUNCTION("IF(REGEXMATCH(C63, ""d""), ""b6"","""")"),"")</f>
        <v/>
      </c>
      <c r="GL63" s="245" t="str">
        <f>IFERROR(__xludf.DUMMYFUNCTION("IF(REGEXMATCH(C63, ""D""), ""6"","""")"),"6")</f>
        <v>6</v>
      </c>
      <c r="GM63" s="245" t="str">
        <f>IFERROR(__xludf.DUMMYFUNCTION("IF(REGEXMATCH(C63, ""n""), ""b7"","""")"),"b7")</f>
        <v>b7</v>
      </c>
      <c r="GN63" s="246" t="str">
        <f>IFERROR(__xludf.DUMMYFUNCTION("IF(REGEXMATCH(C63, ""N""), ""7"","""")"),"7")</f>
        <v>7</v>
      </c>
      <c r="GO63" s="249" t="str">
        <f>IFERROR(__xludf.DUMMYFUNCTION("IF(REGEXMATCH(C63, ""S""), ""8"","""")"),"8")</f>
        <v>8</v>
      </c>
      <c r="GP63" s="244" t="str">
        <f>IFERROR(__xludf.DUMMYFUNCTION("IF(REGEXMATCH(C63, ""S""), ""S"","""")"),"S")</f>
        <v>S</v>
      </c>
      <c r="GQ63" s="294" t="str">
        <f>IFERROR(__xludf.DUMMYFUNCTION("IF(REGEXMATCH(C63, ""r""), ""R1"","""")"),"")</f>
        <v/>
      </c>
      <c r="GR63" s="295" t="str">
        <f>IFERROR(__xludf.DUMMYFUNCTION("IF(REGEXMATCH(C63, ""R""), ""R2"","""")"),"R2")</f>
        <v>R2</v>
      </c>
      <c r="GS63" s="295" t="str">
        <f>IFERROR(__xludf.DUMMYFUNCTION("IF(REGEXMATCH(C63, ""g""), ""G2"","""")"),"")</f>
        <v/>
      </c>
      <c r="GT63" s="294" t="str">
        <f>IFERROR(__xludf.DUMMYFUNCTION("IF(REGEXMATCH(C63, ""G""), ""G3"","""")"),"G3")</f>
        <v>G3</v>
      </c>
      <c r="GU63" s="294" t="str">
        <f>IFERROR(__xludf.DUMMYFUNCTION("IF(REGEXMATCH(C63, ""m""), ""M1"","""")"),"M1")</f>
        <v>M1</v>
      </c>
      <c r="GV63" s="295" t="str">
        <f>IFERROR(__xludf.DUMMYFUNCTION("IF(REGEXMATCH(C63, ""M""), ""M2"","""")"),"")</f>
        <v/>
      </c>
      <c r="GW63" s="294" t="str">
        <f>IFERROR(__xludf.DUMMYFUNCTION("IF(REGEXMATCH(C63, ""P""), ""P"","""")"),"P")</f>
        <v>P</v>
      </c>
      <c r="GX63" s="295" t="str">
        <f>IFERROR(__xludf.DUMMYFUNCTION("IF(REGEXMATCH(C63, ""d""), ""D1"","""")"),"")</f>
        <v/>
      </c>
      <c r="GY63" s="294" t="str">
        <f>IFERROR(__xludf.DUMMYFUNCTION("IF(REGEXMATCH(C63, ""D""), ""D2"","""")"),"D2")</f>
        <v>D2</v>
      </c>
      <c r="GZ63" s="294" t="str">
        <f>IFERROR(__xludf.DUMMYFUNCTION("IF(REGEXMATCH(C63, ""n""), ""N2"","""")"),"N2")</f>
        <v>N2</v>
      </c>
      <c r="HA63" s="295" t="str">
        <f>IFERROR(__xludf.DUMMYFUNCTION("IF(REGEXMATCH(C63, ""N""), ""N3"","""")"),"N3")</f>
        <v>N3</v>
      </c>
      <c r="HB63" s="249" t="str">
        <f>IFERROR(__xludf.DUMMYFUNCTION("IF(REGEXMATCH(C63, ""S""), ""S"","""")"),"S")</f>
        <v>S</v>
      </c>
      <c r="HC63" s="331" t="str">
        <f t="shared" si="95"/>
        <v>S</v>
      </c>
      <c r="HD63" s="332" t="str">
        <f t="shared" si="96"/>
        <v>r</v>
      </c>
      <c r="HE63" s="332" t="str">
        <f t="shared" si="97"/>
        <v>R</v>
      </c>
      <c r="HF63" s="332" t="str">
        <f t="shared" si="98"/>
        <v>g</v>
      </c>
      <c r="HG63" s="332" t="str">
        <f t="shared" si="99"/>
        <v/>
      </c>
      <c r="HH63" s="332" t="str">
        <f t="shared" si="100"/>
        <v>m</v>
      </c>
      <c r="HI63" s="332" t="str">
        <f t="shared" si="101"/>
        <v/>
      </c>
      <c r="HJ63" s="332" t="str">
        <f t="shared" si="102"/>
        <v>P</v>
      </c>
      <c r="HK63" s="332" t="str">
        <f t="shared" si="103"/>
        <v>d</v>
      </c>
      <c r="HL63" s="332" t="str">
        <f t="shared" si="104"/>
        <v/>
      </c>
      <c r="HM63" s="332" t="str">
        <f t="shared" si="105"/>
        <v>n</v>
      </c>
      <c r="HN63" s="332" t="str">
        <f t="shared" si="106"/>
        <v/>
      </c>
      <c r="HO63" s="343" t="str">
        <f t="shared" si="107"/>
        <v>S</v>
      </c>
      <c r="HP63" s="331" t="str">
        <f t="shared" si="108"/>
        <v>o</v>
      </c>
      <c r="HQ63" s="332" t="str">
        <f t="shared" si="109"/>
        <v>•</v>
      </c>
      <c r="HR63" s="332" t="str">
        <f t="shared" si="110"/>
        <v>o</v>
      </c>
      <c r="HS63" s="332" t="str">
        <f t="shared" si="111"/>
        <v>•</v>
      </c>
      <c r="HT63" s="332" t="str">
        <f t="shared" si="112"/>
        <v>o</v>
      </c>
      <c r="HU63" s="332" t="str">
        <f t="shared" si="113"/>
        <v>o</v>
      </c>
      <c r="HV63" s="332" t="str">
        <f t="shared" si="114"/>
        <v>•</v>
      </c>
      <c r="HW63" s="332" t="str">
        <f t="shared" si="115"/>
        <v>o</v>
      </c>
      <c r="HX63" s="332" t="str">
        <f t="shared" si="116"/>
        <v>•</v>
      </c>
      <c r="HY63" s="332" t="str">
        <f t="shared" si="117"/>
        <v>o</v>
      </c>
      <c r="HZ63" s="332" t="str">
        <f t="shared" si="118"/>
        <v>o</v>
      </c>
      <c r="IA63" s="332" t="str">
        <f t="shared" si="119"/>
        <v>o</v>
      </c>
      <c r="IB63" s="338" t="str">
        <f t="shared" si="120"/>
        <v>o</v>
      </c>
      <c r="IC63" s="331" t="str">
        <f t="shared" si="121"/>
        <v>•</v>
      </c>
      <c r="ID63" s="332" t="str">
        <f t="shared" si="122"/>
        <v>o</v>
      </c>
      <c r="IE63" s="332" t="str">
        <f t="shared" si="123"/>
        <v>•</v>
      </c>
      <c r="IF63" s="332" t="str">
        <f t="shared" si="124"/>
        <v>o</v>
      </c>
      <c r="IG63" s="332" t="str">
        <f t="shared" si="125"/>
        <v>•</v>
      </c>
      <c r="IH63" s="332" t="str">
        <f t="shared" si="126"/>
        <v>•</v>
      </c>
      <c r="II63" s="332" t="str">
        <f t="shared" si="127"/>
        <v>o</v>
      </c>
      <c r="IJ63" s="332" t="str">
        <f t="shared" si="128"/>
        <v>•</v>
      </c>
      <c r="IK63" s="332" t="str">
        <f t="shared" si="129"/>
        <v>o</v>
      </c>
      <c r="IL63" s="332" t="str">
        <f t="shared" si="130"/>
        <v>•</v>
      </c>
      <c r="IM63" s="332" t="str">
        <f t="shared" si="131"/>
        <v>•</v>
      </c>
      <c r="IN63" s="332" t="str">
        <f t="shared" si="132"/>
        <v>•</v>
      </c>
      <c r="IO63" s="338" t="str">
        <f t="shared" si="133"/>
        <v>•</v>
      </c>
      <c r="IP63" s="346" t="b">
        <f t="shared" si="134"/>
        <v>0</v>
      </c>
      <c r="IQ63" s="347" t="b">
        <f t="shared" si="135"/>
        <v>0</v>
      </c>
      <c r="IR63" s="347" t="b">
        <f t="shared" si="136"/>
        <v>0</v>
      </c>
      <c r="IS63" s="347" t="b">
        <f t="shared" si="137"/>
        <v>0</v>
      </c>
      <c r="IT63" s="347" t="b">
        <f t="shared" si="138"/>
        <v>0</v>
      </c>
      <c r="IU63" s="347" t="b">
        <f t="shared" si="139"/>
        <v>0</v>
      </c>
      <c r="IV63" s="347" t="b">
        <f t="shared" si="140"/>
        <v>0</v>
      </c>
      <c r="IW63" s="347" t="b">
        <f t="shared" si="141"/>
        <v>0</v>
      </c>
      <c r="IX63" s="347" t="b">
        <f t="shared" si="142"/>
        <v>0</v>
      </c>
      <c r="IY63" s="347" t="b">
        <f t="shared" si="143"/>
        <v>0</v>
      </c>
      <c r="IZ63" s="347" t="b">
        <f t="shared" si="144"/>
        <v>0</v>
      </c>
      <c r="JA63" s="347" t="b">
        <f t="shared" si="145"/>
        <v>1</v>
      </c>
      <c r="JB63" s="353" t="b">
        <f t="shared" si="146"/>
        <v>0</v>
      </c>
      <c r="JC63" s="354" t="str">
        <f t="shared" si="147"/>
        <v/>
      </c>
      <c r="JD63" s="355" t="str">
        <f t="shared" si="148"/>
        <v/>
      </c>
      <c r="JE63" s="355" t="str">
        <f t="shared" si="149"/>
        <v/>
      </c>
      <c r="JF63" s="355" t="str">
        <f t="shared" si="150"/>
        <v/>
      </c>
      <c r="JG63" s="355" t="str">
        <f t="shared" si="151"/>
        <v/>
      </c>
      <c r="JH63" s="355" t="str">
        <f t="shared" si="152"/>
        <v/>
      </c>
      <c r="JI63" s="355" t="str">
        <f t="shared" si="153"/>
        <v/>
      </c>
      <c r="JJ63" s="355" t="str">
        <f t="shared" si="154"/>
        <v/>
      </c>
      <c r="JK63" s="355" t="str">
        <f t="shared" si="155"/>
        <v/>
      </c>
      <c r="JL63" s="355" t="str">
        <f t="shared" si="156"/>
        <v/>
      </c>
      <c r="JM63" s="355" t="str">
        <f t="shared" si="157"/>
        <v/>
      </c>
      <c r="JN63" s="355" t="str">
        <f t="shared" si="158"/>
        <v>Ni, </v>
      </c>
      <c r="JO63" s="359" t="str">
        <f t="shared" si="159"/>
        <v/>
      </c>
      <c r="JP63" s="346" t="b">
        <f t="shared" si="160"/>
        <v>0</v>
      </c>
      <c r="JQ63" s="347" t="b">
        <f t="shared" si="161"/>
        <v>0</v>
      </c>
      <c r="JR63" s="347" t="b">
        <f t="shared" si="162"/>
        <v>0</v>
      </c>
      <c r="JS63" s="347" t="b">
        <f t="shared" si="163"/>
        <v>0</v>
      </c>
      <c r="JT63" s="347" t="b">
        <f t="shared" si="164"/>
        <v>0</v>
      </c>
      <c r="JU63" s="347" t="b">
        <f t="shared" si="165"/>
        <v>0</v>
      </c>
      <c r="JV63" s="347" t="b">
        <f t="shared" si="166"/>
        <v>0</v>
      </c>
      <c r="JW63" s="347" t="b">
        <f t="shared" si="167"/>
        <v>0</v>
      </c>
      <c r="JX63" s="347" t="b">
        <f t="shared" si="168"/>
        <v>0</v>
      </c>
      <c r="JY63" s="347" t="b">
        <f t="shared" si="169"/>
        <v>0</v>
      </c>
      <c r="JZ63" s="347" t="b">
        <f t="shared" si="170"/>
        <v>0</v>
      </c>
      <c r="KA63" s="347" t="b">
        <f t="shared" si="171"/>
        <v>0</v>
      </c>
      <c r="KB63" s="365" t="b">
        <f t="shared" si="172"/>
        <v>0</v>
      </c>
      <c r="KC63" s="354" t="str">
        <f t="shared" si="173"/>
        <v/>
      </c>
      <c r="KD63" s="355" t="str">
        <f t="shared" si="174"/>
        <v/>
      </c>
      <c r="KE63" s="355" t="str">
        <f t="shared" si="175"/>
        <v/>
      </c>
      <c r="KF63" s="355" t="str">
        <f t="shared" si="176"/>
        <v/>
      </c>
      <c r="KG63" s="355" t="str">
        <f t="shared" si="177"/>
        <v/>
      </c>
      <c r="KH63" s="355" t="str">
        <f t="shared" si="178"/>
        <v/>
      </c>
      <c r="KI63" s="355" t="str">
        <f t="shared" si="179"/>
        <v/>
      </c>
      <c r="KJ63" s="355" t="str">
        <f t="shared" si="180"/>
        <v/>
      </c>
      <c r="KK63" s="355" t="str">
        <f t="shared" si="181"/>
        <v/>
      </c>
      <c r="KL63" s="355" t="str">
        <f t="shared" si="182"/>
        <v/>
      </c>
      <c r="KM63" s="355" t="str">
        <f t="shared" si="183"/>
        <v/>
      </c>
      <c r="KN63" s="355" t="str">
        <f t="shared" si="184"/>
        <v/>
      </c>
      <c r="KO63" s="359"/>
      <c r="KP63" s="378"/>
      <c r="KQ63" s="379" t="s">
        <v>9</v>
      </c>
      <c r="KR63" s="380" t="s">
        <v>9</v>
      </c>
      <c r="KS63" s="381" t="s">
        <v>9</v>
      </c>
      <c r="KT63" s="382">
        <f t="shared" si="186"/>
        <v>0</v>
      </c>
      <c r="KU63" s="383">
        <f t="shared" si="187"/>
        <v>0</v>
      </c>
      <c r="KV63" s="381" t="str">
        <f t="shared" si="205"/>
        <v>S</v>
      </c>
      <c r="KW63" s="382">
        <f t="shared" si="189"/>
        <v>0</v>
      </c>
      <c r="KX63" s="384">
        <f t="shared" si="190"/>
        <v>0</v>
      </c>
      <c r="KY63" s="382">
        <f t="shared" ref="KY63:KZ63" si="322">KW63-KT63</f>
        <v>0</v>
      </c>
      <c r="KZ63" s="369">
        <f t="shared" si="322"/>
        <v>0</v>
      </c>
      <c r="LA63" s="385" t="str">
        <f t="shared" si="192"/>
        <v>✔</v>
      </c>
      <c r="LB63" s="340" t="str">
        <f>IFERROR(__xludf.DUMMYFUNCTION("JOIN("""",ArrayFormula(MID(KS63,LEN(KS63)-SEQUENCE(1,LEN(KS63))+1,1)))"),"S")</f>
        <v>S</v>
      </c>
      <c r="LC63" s="373" t="str">
        <f>IFERROR(__xludf.DUMMYFUNCTION("JOIN("""",ArrayFormula(MID(KV63,LEN(KV63)-SEQUENCE(1,LEN(KV63))+1,1)))"),"S")</f>
        <v>S</v>
      </c>
      <c r="LD63" s="373" t="str">
        <f t="shared" si="193"/>
        <v>S</v>
      </c>
      <c r="LE63" s="339" t="str">
        <f t="shared" si="194"/>
        <v>S</v>
      </c>
      <c r="LF63" s="386" t="str">
        <f>IFERROR(__xludf.DUMMYFUNCTION("SUBSTITUTE(SUBSTITUTE(CONCATENATE(JOIN("""",LH63:LT63)),""1"",""""),""2"","""")"),"SS")</f>
        <v>SS</v>
      </c>
      <c r="LG63" s="369" t="str">
        <f t="shared" si="195"/>
        <v>-</v>
      </c>
      <c r="LH63" s="387" t="str">
        <f>IFERROR(__xludf.DUMMYFUNCTION("IF(REGEXMATCH(LD63, ""S""), ""S"",IF(REGEXMATCH(LE63, ""S""), ""S"",""""))"),"S")</f>
        <v>S</v>
      </c>
      <c r="LI63" s="299" t="str">
        <f>IFERROR(__xludf.DUMMYFUNCTION("IF(REGEXMATCH(LD63, ""r""), ""r1"",IF(REGEXMATCH(LE63, ""r""), ""r2"",""""))"),"")</f>
        <v/>
      </c>
      <c r="LJ63" s="299" t="str">
        <f>IFERROR(__xludf.DUMMYFUNCTION("IF(REGEXMATCH(LD63, ""R""), ""R1"",IF(REGEXMATCH(LE63, ""R""), ""R2"",""""))"),"")</f>
        <v/>
      </c>
      <c r="LK63" s="299" t="str">
        <f>IFERROR(__xludf.DUMMYFUNCTION("IF(REGEXMATCH(LD63, ""g""), ""g1"",IF(REGEXMATCH(LE63, ""g""), ""g2"",""""))"),"")</f>
        <v/>
      </c>
      <c r="LL63" s="299" t="str">
        <f>IFERROR(__xludf.DUMMYFUNCTION("IF(REGEXMATCH(LD63, ""G""), ""G1"",IF(REGEXMATCH(LE63, ""G""), ""G2"",""""))"),"")</f>
        <v/>
      </c>
      <c r="LM63" s="299" t="str">
        <f>IFERROR(__xludf.DUMMYFUNCTION("IF(REGEXMATCH(LD63, ""m""), ""m1"",IF(REGEXMATCH(LE63, ""m""), ""m2"",""""))"),"")</f>
        <v/>
      </c>
      <c r="LN63" s="299" t="str">
        <f>IFERROR(__xludf.DUMMYFUNCTION("IF(REGEXMATCH(LD63, ""M""), ""M1"",IF(REGEXMATCH(LE63, ""M""), ""M2"",""""))"),"")</f>
        <v/>
      </c>
      <c r="LO63" s="299" t="str">
        <f>IFERROR(__xludf.DUMMYFUNCTION("IF(REGEXMATCH(LD63, ""P""), ""P1"",IF(REGEXMATCH(LE63, ""P""), ""P2"",""""))"),"")</f>
        <v/>
      </c>
      <c r="LP63" s="299" t="str">
        <f>IFERROR(__xludf.DUMMYFUNCTION("IF(REGEXMATCH(LD63, ""d""), ""d1"",IF(REGEXMATCH(LE63, ""d""), ""d2"",""""))"),"")</f>
        <v/>
      </c>
      <c r="LQ63" s="299" t="str">
        <f>IFERROR(__xludf.DUMMYFUNCTION("IF(REGEXMATCH(LD63, ""D""), ""D1"",IF(REGEXMATCH(LE63, ""D""), ""D2"",""""))"),"")</f>
        <v/>
      </c>
      <c r="LR63" s="299" t="str">
        <f>IFERROR(__xludf.DUMMYFUNCTION("IF(REGEXMATCH(LD63, ""n""), ""n1"",IF(REGEXMATCH(LE63, ""n""), ""n2"",""""))"),"")</f>
        <v/>
      </c>
      <c r="LS63" s="299" t="str">
        <f>IFERROR(__xludf.DUMMYFUNCTION("IF(REGEXMATCH(LD63, ""N""), ""N1"",IF(REGEXMATCH(LE63, ""N""), ""N2"",""""))"),"")</f>
        <v/>
      </c>
      <c r="LT63" s="388" t="str">
        <f>IFERROR(__xludf.DUMMYFUNCTION("IF(REGEXMATCH(LD63, ""S""), ""S"",IF(REGEXMATCH(LE63, ""S""), ""S"",""""))"),"S")</f>
        <v>S</v>
      </c>
      <c r="LU63" s="389">
        <f t="shared" si="196"/>
        <v>1</v>
      </c>
      <c r="LV63" s="378"/>
      <c r="LW63" s="369"/>
      <c r="LX63" s="369"/>
    </row>
    <row r="64" ht="18.0" customHeight="1">
      <c r="A64" s="298" t="s">
        <v>638</v>
      </c>
      <c r="B64" s="222" t="s">
        <v>554</v>
      </c>
      <c r="C64" s="233" t="str">
        <f t="shared" si="7"/>
        <v>SRGmPDNS</v>
      </c>
      <c r="D64" s="234" t="str">
        <f>IFERROR(__xludf.DUMMYFUNCTION("IF(REGEXMATCH(C64, ""S""), ""S"","""")"),"S")</f>
        <v>S</v>
      </c>
      <c r="E64" s="236" t="str">
        <f>IFERROR(__xludf.DUMMYFUNCTION("IF(REGEXMATCH(C64, ""r""), ""r"","""")"),"")</f>
        <v/>
      </c>
      <c r="F64" s="237" t="str">
        <f>IFERROR(__xludf.DUMMYFUNCTION("IF(REGEXMATCH(C64, ""R""), ""R"","""")"),"R")</f>
        <v>R</v>
      </c>
      <c r="G64" s="237" t="str">
        <f>IFERROR(__xludf.DUMMYFUNCTION("IF(REGEXMATCH(C64, ""g""), ""g"","""")"),"")</f>
        <v/>
      </c>
      <c r="H64" s="236" t="str">
        <f>IFERROR(__xludf.DUMMYFUNCTION("IF(REGEXMATCH(C64, ""G""), ""G"","""")"),"G")</f>
        <v>G</v>
      </c>
      <c r="I64" s="236" t="str">
        <f>IFERROR(__xludf.DUMMYFUNCTION("IF(REGEXMATCH(C64, ""m""), ""m"","""")"),"m")</f>
        <v>m</v>
      </c>
      <c r="J64" s="237" t="str">
        <f>IFERROR(__xludf.DUMMYFUNCTION("IF(REGEXMATCH(C64, ""M""), ""M"","""")"),"")</f>
        <v/>
      </c>
      <c r="K64" s="236" t="str">
        <f>IFERROR(__xludf.DUMMYFUNCTION("IF(REGEXMATCH(C64, ""P""), ""P"","""")"),"P")</f>
        <v>P</v>
      </c>
      <c r="L64" s="237" t="str">
        <f>IFERROR(__xludf.DUMMYFUNCTION("IF(REGEXMATCH(C64, ""d""), ""d"","""")"),"")</f>
        <v/>
      </c>
      <c r="M64" s="236" t="str">
        <f>IFERROR(__xludf.DUMMYFUNCTION("IF(REGEXMATCH(C64, ""D""), ""D"","""")"),"D")</f>
        <v>D</v>
      </c>
      <c r="N64" s="236" t="str">
        <f>IFERROR(__xludf.DUMMYFUNCTION("IF(REGEXMATCH(C64, ""n""), ""n"","""")"),"")</f>
        <v/>
      </c>
      <c r="O64" s="237" t="str">
        <f>IFERROR(__xludf.DUMMYFUNCTION("IF(REGEXMATCH(C64, ""N""), ""N"","""")"),"N")</f>
        <v>N</v>
      </c>
      <c r="P64" s="238" t="str">
        <f>IFERROR(__xludf.DUMMYFUNCTION("IF(REGEXMATCH(C64, ""S""), ""S"","""")"),"S")</f>
        <v>S</v>
      </c>
      <c r="Q64" s="239" t="str">
        <f>IFERROR(__xludf.DUMMYFUNCTION("SUBSTITUTE(CONCATENATE(JOIN(""-"",D64:J64)),""-"","""")"),"SRGm")</f>
        <v>SRGm</v>
      </c>
      <c r="R64" s="229" t="str">
        <f>IFERROR(__xludf.DUMMYFUNCTION("SUBSTITUTE(CONCATENATE(JOIN(""-"",K64:P64)),""-"","""")"),"PDNS")</f>
        <v>PDNS</v>
      </c>
      <c r="S64" s="282" t="str">
        <f t="shared" si="8"/>
        <v>S-R-G-M</v>
      </c>
      <c r="T64" s="282" t="str">
        <f t="shared" si="9"/>
        <v>P-D-N-S</v>
      </c>
      <c r="U64" s="237" t="str">
        <f>IFERROR(__xludf.DUMMYFUNCTION("SUBSTITUTE(JOIN(""-"",S64,T64),""--"",""-"")"),"S-R-G-M-P-D-N-S")</f>
        <v>S-R-G-M-P-D-N-S</v>
      </c>
      <c r="V64" s="309" t="str">
        <f t="shared" si="10"/>
        <v>RGmDN</v>
      </c>
      <c r="W64" s="244" t="str">
        <f>IFERROR(__xludf.DUMMYFUNCTION("IF(REGEXMATCH(C64, ""S""), ""0"","""")"),"0")</f>
        <v>0</v>
      </c>
      <c r="X64" s="245" t="str">
        <f>IFERROR(__xludf.DUMMYFUNCTION("IF(REGEXMATCH(C64, ""r""), ""1"","""")"),"")</f>
        <v/>
      </c>
      <c r="Y64" s="246" t="str">
        <f>IFERROR(__xludf.DUMMYFUNCTION("IF(REGEXMATCH(C64, ""R""), ""2"","""")"),"2")</f>
        <v>2</v>
      </c>
      <c r="Z64" s="246" t="str">
        <f>IFERROR(__xludf.DUMMYFUNCTION("IF(REGEXMATCH(C64, ""g""), ""3"","""")"),"")</f>
        <v/>
      </c>
      <c r="AA64" s="245" t="str">
        <f>IFERROR(__xludf.DUMMYFUNCTION("IF(REGEXMATCH(C64, ""G""), ""4"","""")"),"4")</f>
        <v>4</v>
      </c>
      <c r="AB64" s="245" t="str">
        <f>IFERROR(__xludf.DUMMYFUNCTION("IF(REGEXMATCH(C64, ""m""), ""5"","""")"),"5")</f>
        <v>5</v>
      </c>
      <c r="AC64" s="246" t="str">
        <f>IFERROR(__xludf.DUMMYFUNCTION("IF(REGEXMATCH(C64, ""M""), ""6"","""")"),"")</f>
        <v/>
      </c>
      <c r="AD64" s="245" t="str">
        <f>IFERROR(__xludf.DUMMYFUNCTION("IF(REGEXMATCH(C64, ""P""), ""7"","""")"),"7")</f>
        <v>7</v>
      </c>
      <c r="AE64" s="246" t="str">
        <f>IFERROR(__xludf.DUMMYFUNCTION("IF(REGEXMATCH(C64, ""d""), ""8"","""")"),"")</f>
        <v/>
      </c>
      <c r="AF64" s="245" t="str">
        <f>IFERROR(__xludf.DUMMYFUNCTION("IF(REGEXMATCH(C64, ""D""), ""9"","""")"),"9")</f>
        <v>9</v>
      </c>
      <c r="AG64" s="245" t="str">
        <f>IFERROR(__xludf.DUMMYFUNCTION("IF(REGEXMATCH(C64, ""n""), ""10"","""")"),"")</f>
        <v/>
      </c>
      <c r="AH64" s="246" t="str">
        <f>IFERROR(__xludf.DUMMYFUNCTION("IF(REGEXMATCH(C64, ""N""), ""11"","""")"),"11")</f>
        <v>11</v>
      </c>
      <c r="AI64" s="249" t="str">
        <f>IFERROR(__xludf.DUMMYFUNCTION("IF(REGEXMATCH(C64, ""S""), ""0"","""")"),"0")</f>
        <v>0</v>
      </c>
      <c r="AJ64" s="313" t="str">
        <f t="shared" si="11"/>
        <v>-</v>
      </c>
      <c r="AK64" s="313" t="str">
        <f t="shared" si="12"/>
        <v>-</v>
      </c>
      <c r="AL64" s="313" t="str">
        <f t="shared" si="13"/>
        <v>-</v>
      </c>
      <c r="AM64" s="313" t="str">
        <f t="shared" si="14"/>
        <v>-</v>
      </c>
      <c r="AN64" s="313" t="str">
        <f t="shared" si="15"/>
        <v>-</v>
      </c>
      <c r="AO64" s="314" t="str">
        <f t="shared" si="16"/>
        <v>T</v>
      </c>
      <c r="AP64" s="316">
        <f t="shared" si="17"/>
        <v>1</v>
      </c>
      <c r="AQ64" s="319" t="str">
        <f t="shared" si="18"/>
        <v>-</v>
      </c>
      <c r="AR64" s="320">
        <f t="shared" si="19"/>
        <v>0</v>
      </c>
      <c r="AS64" s="250" t="str">
        <f>IFERROR(__xludf.DUMMYFUNCTION("SUBSTITUTE(SUBSTITUTE(CONCATENATE(JOIN("""",FP64:GA64)),""|"",""x""),""-"",""o"")"),"xoxoxxoxoxox")</f>
        <v>xoxoxxoxoxox</v>
      </c>
      <c r="AT64" s="323" t="str">
        <f>IFERROR(__xludf.DUMMYFUNCTION("JOIN("""",AS64,AS64)"),"xoxoxxoxoxoxxoxoxxoxoxox")</f>
        <v>xoxoxxoxoxoxxoxoxxoxoxox</v>
      </c>
      <c r="AU64" s="256" t="str">
        <f>IFERROR(__xludf.DUMMYFUNCTION("JOIN("""",ArrayFormula(MID(AS64,LEN(AS64)-SEQUENCE(1,LEN(AS64))+1,1)))"),"xoxoxoxxoxox")</f>
        <v>xoxoxoxxoxox</v>
      </c>
      <c r="AV64" s="256" t="str">
        <f>IFERROR(__xludf.DUMMYFUNCTION("LEFT(CONCATENATE(""x"",JOIN("""",ArrayFormula(MID(AS64,LEN(AS64)-SEQUENCE(1,LEN(AS64))+1,1)))),12)"),"xxoxoxoxxoxo")</f>
        <v>xxoxoxoxxoxo</v>
      </c>
      <c r="AW64" s="327" t="str">
        <f>IFERROR(__xludf.DUMMYFUNCTION("JOIN("""",AU64,AU64)"),"xoxoxoxxoxoxxoxoxoxxoxox")</f>
        <v>xoxoxoxxoxoxxoxoxoxxoxox</v>
      </c>
      <c r="AX64" s="239" t="str">
        <f>IFERROR(__xludf.DUMMYFUNCTION("IF(REGEXMATCH(AW64,AS64),""✔"",""-"")"),"✔")</f>
        <v>✔</v>
      </c>
      <c r="AY64" s="330" t="str">
        <f t="shared" si="20"/>
        <v>-</v>
      </c>
      <c r="AZ64" s="260" t="str">
        <f t="shared" si="21"/>
        <v>#REF!</v>
      </c>
      <c r="BA64" s="333" t="str">
        <f t="shared" si="22"/>
        <v>xoxoxxo</v>
      </c>
      <c r="BB64" s="334" t="str">
        <f t="shared" si="23"/>
        <v>xoxoxx</v>
      </c>
      <c r="BC64" s="335" t="str">
        <f t="shared" si="236"/>
        <v>✔</v>
      </c>
      <c r="BD64" s="336" t="str">
        <f t="shared" si="25"/>
        <v>Bihari: 'xoxoxxo' + 'xoxoxx'</v>
      </c>
      <c r="BE64" s="337">
        <f>IFERROR(__xludf.DUMMYFUNCTION("COUNTUNIQUE(FILTER(AT:AT,REGEXMATCH(AT:AT,AS64)))-1"),6.0)</f>
        <v>6</v>
      </c>
      <c r="BF64" s="261" t="str">
        <f>IFERROR(__xludf.DUMMYFUNCTION("IF(BI64=0,""(n/a)"",IF(BJ64=2,""(PAIR)"",IF(REGEXMATCH(AT64,""xoxoxxoxoxox""),""Bilawal"",IF(REGEXMATCH(AT64,""xoxoxooxoxoo""),""Bhupali"",IF(REGEXMATCH(AT64,""xoxoxxoxxoxo""),""Charukeshi"",IF(REGEXMATCH(AT64,""xoxoooxxoxxo""),""Kameshwari"",IF(REGEXMATC"&amp;"H(AT64,""xoxoxooxoxox""),""Shankara"",IF(REGEXMATCH(AT64,""xxooxoxxxoox""),""Basant"",IF(REGEXMATCH(AT64,""xoxoxxxxoxox""),""Bihag"",IF(REGEXMATCH(AT64,""xoxxxxoxoxxx""),""Pilu"",IF(REGEXMATCH(AT64,""xoxxoxoxxoox""),""Kirwani"",IF(REGEXMATCH(AT64,""xoxxox"&amp;"oxoxxx""),""Mk.Malhar"",IF(REGEXMATCH(AT64,""xxooxxoxxoox""),""Bhairav"",IF(REGEXMATCH(AT64,""xxoxooxxxoox""),""Todi"",IF(REGEXMATCH(AT64,""xxooxoxooxox""),""Marwa"",IF(REGEXMATCH(AT64,""xxoooxoxxooo""),""Gunkali"",IF(REGEXMATCH(AT64,""xoxoxxoxxoox""),""N"&amp;"at Bhairav"",IF(REGEXMATCH(AT64,""xoxxoooxoxoo""),""Shivranjani"",IF(REGEXMATCH(AT64,""xooxxxoxooxo""),""Jog"",IF(REGEXMATCH(AT64,""xxooxoxoxoox""),""Hemshri"",IF(REGEXMATCH(AT64,""xoooxooxoxxo""),""Kalavati"",IF(REGEXMATCH(AT64,""xxoxoxxoxoox""),""Kedar"&amp;""",IF(REGEXMATCH(AT64,""xoxxxxoxooxx""),""Gara"",IF(REGEXMATCH(AT64,""xooxoxooxoox""),""Chandrakauns"",IF(REGEXMATCH(AT64,""xoxxxxoxxxox""),""Mand"",IF(REGEXMATCH(AT64,""xoxxxxoxoxox""),""Hanskinkini"",IF(REGEXMATCH(AT64,""xxooxxoxooxo""),""Lilavati"",IF("&amp;"REGEXMATCH(AT64,""xooxoxoooxox""),""Rajeshwari"",IF(REGEXMATCH(AT64,""xoooxxoxoxxx""),""Khokar"",IF(REGEXMATCH(AT64,""xxooxoxxxxox""),""Maligoura"",""-""))))))))))))))))))))))))))))))"),"Bilawal")</f>
        <v>Bilawal</v>
      </c>
      <c r="BG64" s="239" t="str">
        <f t="shared" si="26"/>
        <v>#REF!</v>
      </c>
      <c r="BH64" s="239">
        <f>IFERROR(__xludf.DUMMYFUNCTION("COUNTUNIQUE(FE64:FO64)-1"),6.0)</f>
        <v>6</v>
      </c>
      <c r="BI64" s="239">
        <f>IFERROR(__xludf.DUMMYFUNCTION("COUNTUNIQUE(FILTER(AT:AT,REGEXMATCH(AT:AT,AS64)))-1"),6.0)</f>
        <v>6</v>
      </c>
      <c r="BJ64" s="239">
        <f>IFERROR(__xludf.DUMMYFUNCTION("COUNTA(FILTER(AT:AT,REGEXMATCH(AT:AT,AS64)))"),48.0)</f>
        <v>48</v>
      </c>
      <c r="BK64" s="341">
        <f>IFERROR(__xludf.DUMMYFUNCTION("COUNTA(FILTER(AT:AT,REGEXMATCH(AT:AT,AS64)))-AR64"),48.0)</f>
        <v>48</v>
      </c>
      <c r="BL64" s="276" t="str">
        <f>IFERROR(__xludf.DUMMYFUNCTION("IF(AS64=""oooooooooooo"",""-"",IF(REGEXMATCH(AT64,""xx""), ""Hemi."", ""Anhemi.""))"),"Hemi.")</f>
        <v>Hemi.</v>
      </c>
      <c r="BM64" s="282" t="str">
        <f>IFERROR(__xludf.DUMMYFUNCTION("IF(AS64=""oooooooooooo"",""-"",IF(REGEXMATCH(AT64,""xxx""), ""Cohem."", ""-""))"),"-")</f>
        <v>-</v>
      </c>
      <c r="BN64" s="282" t="str">
        <f>IFERROR(__xludf.DUMMYFUNCTION("IF(AS64=""oooooooooooo"",""-"",IF(REGEXMATCH(AT64,""xxxx""), ""Co-Co."", ""-""))"),"-")</f>
        <v>-</v>
      </c>
      <c r="BO64" s="342" t="str">
        <f>IFERROR(__xludf.DUMMYFUNCTION("IF(AS64=""oooooooooooo"",""-"",IF(REGEXMATCH(AT64,""xxxxx""), ""CCC."", ""-""))"),"-")</f>
        <v>-</v>
      </c>
      <c r="BP64" s="344" t="str">
        <f t="shared" si="27"/>
        <v>Bilawal</v>
      </c>
      <c r="BQ64" s="282" t="str">
        <f>IFERROR(__xludf.DUMMYFUNCTION("IF(REGEXMATCH(JOIN(""-"",EU64:FD64),""TRUE""),""✔"",""-"")"),"✔")</f>
        <v>✔</v>
      </c>
      <c r="BR64" s="225">
        <f t="shared" si="28"/>
        <v>1</v>
      </c>
      <c r="BS64" s="345" t="str">
        <f>IFERROR(__xludf.DUMMYFUNCTION("SUBSTITUTE(SUBSTITUTE(SUBSTITUTE(SUBSTITUTE(CONCATENATE(JOIN(""-"",GC64:GO64)),""--"",""-""),""--"",""-""),""--"",""-""),""--"",""-"")"),"1-2-3-4-5-6-7-8")</f>
        <v>1-2-3-4-5-6-7-8</v>
      </c>
      <c r="BT64" s="299" t="str">
        <f>IFERROR(__xludf.DUMMYFUNCTION("SUBSTITUTE(SUBSTITUTE(SUBSTITUTE(SUBSTITUTE(CONCATENATE(JOIN(""-"",GP64:HB64)),""--"",""-""),""--"",""-""),""--"",""-""),""--"",""-"")"),"S-R2-G3-M1-P-D2-N3-S")</f>
        <v>S-R2-G3-M1-P-D2-N3-S</v>
      </c>
      <c r="BU64" s="348" t="str">
        <f t="shared" si="29"/>
        <v>C-D-E-F-G-A-B-C</v>
      </c>
      <c r="BV64" s="349" t="str">
        <f t="shared" si="30"/>
        <v>SrgMdnS</v>
      </c>
      <c r="BW64" s="350">
        <f t="shared" si="31"/>
        <v>1</v>
      </c>
      <c r="BX64" s="351">
        <f t="shared" si="32"/>
        <v>17</v>
      </c>
      <c r="BY64" s="392"/>
      <c r="BZ64" s="309" t="str">
        <f>IFERROR(__xludf.DUMMYFUNCTION("IF(REGEXMATCH(C64, ""S""), ""x"",""x"")"),"x")</f>
        <v>x</v>
      </c>
      <c r="CA64" s="245" t="str">
        <f>IFERROR(__xludf.DUMMYFUNCTION("IF(REGEXMATCH(C64, ""r""), ""o"",""x"")"),"x")</f>
        <v>x</v>
      </c>
      <c r="CB64" s="246" t="str">
        <f>IFERROR(__xludf.DUMMYFUNCTION("IF(REGEXMATCH(C64, ""R""), ""o"",""x"")"),"o")</f>
        <v>o</v>
      </c>
      <c r="CC64" s="246" t="str">
        <f>IFERROR(__xludf.DUMMYFUNCTION("IF(REGEXMATCH(C64, ""g""), ""o"",""x"")"),"x")</f>
        <v>x</v>
      </c>
      <c r="CD64" s="245" t="str">
        <f>IFERROR(__xludf.DUMMYFUNCTION("IF(REGEXMATCH(C64, ""G""), ""o"",""x"")"),"o")</f>
        <v>o</v>
      </c>
      <c r="CE64" s="245" t="str">
        <f>IFERROR(__xludf.DUMMYFUNCTION("IF(REGEXMATCH(C64, ""m""), ""o"",""x"")"),"o")</f>
        <v>o</v>
      </c>
      <c r="CF64" s="246" t="str">
        <f>IFERROR(__xludf.DUMMYFUNCTION("IF(REGEXMATCH(C64, ""M""), ""o"",""x"")"),"x")</f>
        <v>x</v>
      </c>
      <c r="CG64" s="245" t="str">
        <f>IFERROR(__xludf.DUMMYFUNCTION("IF(REGEXMATCH(C64, ""P""), ""o"",""x"")"),"o")</f>
        <v>o</v>
      </c>
      <c r="CH64" s="246" t="str">
        <f>IFERROR(__xludf.DUMMYFUNCTION("IF(REGEXMATCH(C64, ""d""), ""o"",""x"")"),"x")</f>
        <v>x</v>
      </c>
      <c r="CI64" s="245" t="str">
        <f>IFERROR(__xludf.DUMMYFUNCTION("IF(REGEXMATCH(C64, ""D""), ""o"",""x"")"),"o")</f>
        <v>o</v>
      </c>
      <c r="CJ64" s="245" t="str">
        <f>IFERROR(__xludf.DUMMYFUNCTION("IF(REGEXMATCH(C64, ""n""), ""o"",""x"")"),"x")</f>
        <v>x</v>
      </c>
      <c r="CK64" s="245" t="str">
        <f>IFERROR(__xludf.DUMMYFUNCTION("IF(REGEXMATCH(C64, ""N""), ""o"",""x"")"),"o")</f>
        <v>o</v>
      </c>
      <c r="CL64" s="356" t="str">
        <f>IFERROR(__xludf.DUMMYFUNCTION("IF(REGEXMATCH(C64, ""S""), ""x"",""x"")"),"x")</f>
        <v>x</v>
      </c>
      <c r="CM64" s="357" t="str">
        <f t="shared" si="33"/>
        <v>xxoxooxoxoxo</v>
      </c>
      <c r="CN64" s="358">
        <f t="shared" si="34"/>
        <v>1</v>
      </c>
      <c r="CO64" s="246" t="str">
        <f>IFERROR(__xludf.DUMMYFUNCTION("IF(REGEXMATCH($C64, ""S""), ""S"",""S"")"),"S")</f>
        <v>S</v>
      </c>
      <c r="CP64" s="246" t="str">
        <f>IFERROR(__xludf.DUMMYFUNCTION("IF(REGEXMATCH($C64, ""r""), """",""r"")"),"r")</f>
        <v>r</v>
      </c>
      <c r="CQ64" s="246" t="str">
        <f>IFERROR(__xludf.DUMMYFUNCTION("IF(REGEXMATCH($C64, ""R""), """",""R"")"),"")</f>
        <v/>
      </c>
      <c r="CR64" s="246" t="str">
        <f>IFERROR(__xludf.DUMMYFUNCTION("IF(REGEXMATCH($C64, ""g""), """",""g"")"),"g")</f>
        <v>g</v>
      </c>
      <c r="CS64" s="246" t="str">
        <f>IFERROR(__xludf.DUMMYFUNCTION("IF(REGEXMATCH($C64, ""G""), """",""G"")"),"")</f>
        <v/>
      </c>
      <c r="CT64" s="246" t="str">
        <f>IFERROR(__xludf.DUMMYFUNCTION("IF(REGEXMATCH($C64, ""m""), """",""m"")"),"")</f>
        <v/>
      </c>
      <c r="CU64" s="246" t="str">
        <f>IFERROR(__xludf.DUMMYFUNCTION("IF(REGEXMATCH($C64, ""M""), """",""M"")"),"M")</f>
        <v>M</v>
      </c>
      <c r="CV64" s="246" t="str">
        <f>IFERROR(__xludf.DUMMYFUNCTION("IF(REGEXMATCH($C64, ""P""), """",""P"")"),"")</f>
        <v/>
      </c>
      <c r="CW64" s="246" t="str">
        <f>IFERROR(__xludf.DUMMYFUNCTION("IF(REGEXMATCH($C64, ""d""), """",""d"")"),"d")</f>
        <v>d</v>
      </c>
      <c r="CX64" s="246" t="str">
        <f>IFERROR(__xludf.DUMMYFUNCTION("IF(REGEXMATCH($C64, ""D""), """",""D"")"),"")</f>
        <v/>
      </c>
      <c r="CY64" s="246" t="str">
        <f>IFERROR(__xludf.DUMMYFUNCTION("IF(REGEXMATCH($C64, ""n""), """",""n"")"),"n")</f>
        <v>n</v>
      </c>
      <c r="CZ64" s="246" t="str">
        <f>IFERROR(__xludf.DUMMYFUNCTION("IF(REGEXMATCH($C64, ""N""), """",""N"")"),"")</f>
        <v/>
      </c>
      <c r="DA64" s="246" t="str">
        <f>IFERROR(__xludf.DUMMYFUNCTION("IF(REGEXMATCH($C64, ""S""), ""S"",""S"")"),"S")</f>
        <v>S</v>
      </c>
      <c r="DB64" s="362" t="str">
        <f>IFERROR(__xludf.DUMMYFUNCTION("JOIN("""",CO64:DA64,"""","""")"),"SrgMdnS")</f>
        <v>SrgMdnS</v>
      </c>
      <c r="DC64" s="363"/>
      <c r="DD64" s="301" t="str">
        <f t="shared" si="35"/>
        <v>#REF!</v>
      </c>
      <c r="DE64" s="302" t="str">
        <f t="shared" si="36"/>
        <v>#REF!</v>
      </c>
      <c r="DF64" s="301" t="str">
        <f t="shared" ref="DF64:DG64" si="323">SUBSTITUTE(S64,"-","")</f>
        <v>SRGM</v>
      </c>
      <c r="DG64" s="301" t="str">
        <f t="shared" si="323"/>
        <v>PDNS</v>
      </c>
      <c r="DH64" s="302" t="str">
        <f t="shared" si="38"/>
        <v>Bilawal</v>
      </c>
      <c r="DI64" s="301" t="str">
        <f t="shared" si="39"/>
        <v>Hemi.</v>
      </c>
      <c r="DJ64" s="364" t="str">
        <f t="shared" si="40"/>
        <v>-</v>
      </c>
      <c r="DK64" s="306" t="str">
        <f t="shared" si="41"/>
        <v>Bilawal</v>
      </c>
      <c r="DL64" s="366" t="str">
        <f t="shared" si="42"/>
        <v>-</v>
      </c>
      <c r="DM64" s="308" t="str">
        <f t="shared" si="43"/>
        <v>-</v>
      </c>
      <c r="DN64" s="306" t="str">
        <f t="shared" si="44"/>
        <v>✔</v>
      </c>
      <c r="DO64" s="306" t="str">
        <f t="shared" si="45"/>
        <v>-</v>
      </c>
      <c r="DP64" s="367" t="str">
        <f t="shared" si="46"/>
        <v>-</v>
      </c>
      <c r="DQ64" s="310" t="str">
        <f t="shared" si="47"/>
        <v>-</v>
      </c>
      <c r="DR64" s="310" t="str">
        <f t="shared" si="48"/>
        <v>-</v>
      </c>
      <c r="DS64" s="310" t="str">
        <f t="shared" si="49"/>
        <v>-</v>
      </c>
      <c r="DT64" s="310" t="str">
        <f t="shared" si="50"/>
        <v>-</v>
      </c>
      <c r="DU64" s="370" t="str">
        <f t="shared" si="51"/>
        <v>-</v>
      </c>
      <c r="DV64" s="306" t="str">
        <f t="shared" si="52"/>
        <v>-</v>
      </c>
      <c r="DW64" s="306" t="str">
        <f t="shared" si="53"/>
        <v>-</v>
      </c>
      <c r="DX64" s="306" t="str">
        <f t="shared" si="54"/>
        <v>-</v>
      </c>
      <c r="DY64" s="306" t="str">
        <f t="shared" si="55"/>
        <v>-</v>
      </c>
      <c r="DZ64" s="306" t="str">
        <f t="shared" si="56"/>
        <v>-</v>
      </c>
      <c r="EA64" s="367" t="str">
        <f t="shared" si="57"/>
        <v>-</v>
      </c>
      <c r="EB64" s="310" t="str">
        <f>IFERROR(__xludf.DUMMYFUNCTION("IF(REGEXMATCH(AW64,AS64),""✔"",""-"")"),"✔")</f>
        <v>✔</v>
      </c>
      <c r="EC64" s="310" t="str">
        <f t="shared" si="58"/>
        <v>#REF!</v>
      </c>
      <c r="ED64" s="370" t="str">
        <f t="shared" si="59"/>
        <v>-</v>
      </c>
      <c r="EE64" s="340" t="str">
        <f t="shared" si="60"/>
        <v>S-R-G-m-P-D-N-S</v>
      </c>
      <c r="EF64" s="371" t="str">
        <f>IFERROR(__xludf.DUMMYFUNCTION("CONCATENATE(JOIN("""",HC64:HO64))"),"SrgmPdnS")</f>
        <v>SrgmPdnS</v>
      </c>
      <c r="EG64" s="372">
        <f t="shared" si="61"/>
        <v>1</v>
      </c>
      <c r="EH64" s="373" t="str">
        <f>IFERROR(__xludf.DUMMYFUNCTION("CONCATENATE(JOIN("""",JC64:JO64))"),"Ni, ")</f>
        <v>Ni, </v>
      </c>
      <c r="EI64" s="322">
        <f t="shared" si="62"/>
        <v>0</v>
      </c>
      <c r="EJ64" s="374" t="str">
        <f>IFERROR(__xludf.DUMMYFUNCTION("CONCATENATE(JOIN("""",KC64:KO64))"),"")</f>
        <v/>
      </c>
      <c r="EK64" s="325" t="str">
        <f t="shared" si="63"/>
        <v>S-R2-G3-M1-P-D2-N3-S</v>
      </c>
      <c r="EL64" s="326" t="str">
        <f t="shared" si="64"/>
        <v>1-2-3-4-5-6-7-8</v>
      </c>
      <c r="EM64" s="318" t="str">
        <f t="shared" si="65"/>
        <v>#REF!</v>
      </c>
      <c r="EN64" s="328" t="str">
        <f>IFERROR(__xludf.DUMMYFUNCTION("SUBSTITUTE(SUBSTITUTE(SUBSTITUTE(SUBSTITUTE(CONCATENATE(JOIN("" "",HP64:IB64)),""  "","" ""),""  "","" ""),""  "","" ""),""  "","" "")"),"o • o • o o • o • o • o o")</f>
        <v>o • o • o o • o • o • o o</v>
      </c>
      <c r="EO64" s="368" t="str">
        <f t="shared" si="66"/>
        <v>-</v>
      </c>
      <c r="EP64" s="339" t="str">
        <f t="shared" si="67"/>
        <v>-</v>
      </c>
      <c r="EQ64" s="339" t="str">
        <f t="shared" si="68"/>
        <v>Sa-Pa</v>
      </c>
      <c r="ER64" s="339" t="str">
        <f t="shared" si="69"/>
        <v>-</v>
      </c>
      <c r="ES64" s="340" t="str">
        <f t="shared" si="70"/>
        <v>-</v>
      </c>
      <c r="ET64" s="363"/>
      <c r="EU64" s="376" t="b">
        <f>IFERROR(__xludf.DUMMYFUNCTION("arrayformula(sum(--REGEXMATCH(""SRGMPDNS"",split(REGEXREPLACE(C64,""(.)"",""$1~""),""~""))))=len(C64)
"),FALSE)</f>
        <v>0</v>
      </c>
      <c r="EV64" s="290" t="b">
        <f>IFERROR(__xludf.DUMMYFUNCTION("arrayformula(sum(--REGEXMATCH(""SRGmPDNS"",split(REGEXREPLACE(C64,""(.)"",""$1~""),""~""))))=len(C64)"),TRUE)</f>
        <v>1</v>
      </c>
      <c r="EW64" s="290" t="b">
        <f>IFERROR(__xludf.DUMMYFUNCTION("arrayformula(sum(--REGEXMATCH(""SRGmPDnS"",split(REGEXREPLACE(C64,""(.)"",""$1~""),""~""))))=len(C64)"),FALSE)</f>
        <v>0</v>
      </c>
      <c r="EX64" s="290" t="b">
        <f>IFERROR(__xludf.DUMMYFUNCTION("arrayformula(sum(--REGEXMATCH(""SRgmPDnS"",split(REGEXREPLACE(C64,""(.)"",""$1~""),""~""))))=len(C64)"),FALSE)</f>
        <v>0</v>
      </c>
      <c r="EY64" s="290" t="b">
        <f>IFERROR(__xludf.DUMMYFUNCTION("arrayformula(sum(--REGEXMATCH(""SRgmPdnS"",split(REGEXREPLACE(C64,""(.)"",""$1~""),""~""))))=len(C64)"),FALSE)</f>
        <v>0</v>
      </c>
      <c r="EZ64" s="290" t="b">
        <f>IFERROR(__xludf.DUMMYFUNCTION("arrayformula(sum(--REGEXMATCH(""SrgmPdnS"",split(REGEXREPLACE(C64,""(.)"",""$1~""),""~""))))=len(C64)"),FALSE)</f>
        <v>0</v>
      </c>
      <c r="FA64" s="290" t="b">
        <f>IFERROR(__xludf.DUMMYFUNCTION("arrayformula(sum(--REGEXMATCH(""SrGmPdNS"",split(REGEXREPLACE(C64,""(.)"",""$1~""),""~""))))=len(C64)"),FALSE)</f>
        <v>0</v>
      </c>
      <c r="FB64" s="290" t="b">
        <f>IFERROR(__xludf.DUMMYFUNCTION("arrayformula(sum(--REGEXMATCH(""SrGMPDNS"",split(REGEXREPLACE(C64,""(.)"",""$1~""),""~""))))=len(C64)"),FALSE)</f>
        <v>0</v>
      </c>
      <c r="FC64" s="290" t="b">
        <f>IFERROR(__xludf.DUMMYFUNCTION("arrayformula(sum(--REGEXMATCH(""SrGMPdNS"",split(REGEXREPLACE(C64,""(.)"",""$1~""),""~""))))=len(C64)"),FALSE)</f>
        <v>0</v>
      </c>
      <c r="FD64" s="377" t="b">
        <f>IFERROR(__xludf.DUMMYFUNCTION("arrayformula(sum(--REGEXMATCH(""SrgMPdNS"",split(REGEXREPLACE(C64,""(.)"",""$1~""),""~""))))=len(C64)"),FALSE)</f>
        <v>0</v>
      </c>
      <c r="FE64" s="269" t="str">
        <f t="shared" si="71"/>
        <v>-</v>
      </c>
      <c r="FF64" s="269" t="str">
        <f t="shared" si="72"/>
        <v>xoxxoxoxoxx</v>
      </c>
      <c r="FG64" s="271" t="str">
        <f t="shared" si="73"/>
        <v>-</v>
      </c>
      <c r="FH64" s="269" t="str">
        <f t="shared" si="74"/>
        <v>xxoxoxoxxox</v>
      </c>
      <c r="FI64" s="271" t="str">
        <f t="shared" si="75"/>
        <v>xoxoxoxxoxo</v>
      </c>
      <c r="FJ64" s="271" t="str">
        <f t="shared" si="76"/>
        <v>-</v>
      </c>
      <c r="FK64" s="271" t="str">
        <f t="shared" si="77"/>
        <v>xoxoxxoxoxx</v>
      </c>
      <c r="FL64" s="271" t="str">
        <f t="shared" si="78"/>
        <v>-</v>
      </c>
      <c r="FM64" s="271" t="str">
        <f t="shared" si="79"/>
        <v>xoxxoxoxxox</v>
      </c>
      <c r="FN64" s="271" t="str">
        <f t="shared" si="80"/>
        <v>-</v>
      </c>
      <c r="FO64" s="274" t="str">
        <f t="shared" si="81"/>
        <v>xxoxoxxoxox</v>
      </c>
      <c r="FP64" s="234" t="str">
        <f t="shared" si="82"/>
        <v>|</v>
      </c>
      <c r="FQ64" s="236" t="str">
        <f t="shared" si="83"/>
        <v>-</v>
      </c>
      <c r="FR64" s="237" t="str">
        <f t="shared" si="84"/>
        <v>|</v>
      </c>
      <c r="FS64" s="236" t="str">
        <f t="shared" si="85"/>
        <v>-</v>
      </c>
      <c r="FT64" s="237" t="str">
        <f t="shared" si="86"/>
        <v>|</v>
      </c>
      <c r="FU64" s="236" t="str">
        <f t="shared" si="87"/>
        <v>|</v>
      </c>
      <c r="FV64" s="237" t="str">
        <f t="shared" si="88"/>
        <v>-</v>
      </c>
      <c r="FW64" s="236" t="str">
        <f t="shared" si="89"/>
        <v>|</v>
      </c>
      <c r="FX64" s="237" t="str">
        <f t="shared" si="90"/>
        <v>-</v>
      </c>
      <c r="FY64" s="236" t="str">
        <f t="shared" si="91"/>
        <v>|</v>
      </c>
      <c r="FZ64" s="237" t="str">
        <f t="shared" si="92"/>
        <v>-</v>
      </c>
      <c r="GA64" s="236" t="str">
        <f t="shared" si="93"/>
        <v>|</v>
      </c>
      <c r="GB64" s="238" t="str">
        <f t="shared" si="94"/>
        <v>|</v>
      </c>
      <c r="GC64" s="244" t="str">
        <f>IFERROR(__xludf.DUMMYFUNCTION("IF(REGEXMATCH(C64, ""S""), ""1"","""")"),"1")</f>
        <v>1</v>
      </c>
      <c r="GD64" s="245" t="str">
        <f>IFERROR(__xludf.DUMMYFUNCTION("IF(REGEXMATCH(C64, ""r""), ""b2"","""")"),"")</f>
        <v/>
      </c>
      <c r="GE64" s="246" t="str">
        <f>IFERROR(__xludf.DUMMYFUNCTION("IF(REGEXMATCH(C64, ""R""), ""2"","""")"),"2")</f>
        <v>2</v>
      </c>
      <c r="GF64" s="246" t="str">
        <f>IFERROR(__xludf.DUMMYFUNCTION("IF(REGEXMATCH(C64, ""g""), ""b3"","""")"),"")</f>
        <v/>
      </c>
      <c r="GG64" s="245" t="str">
        <f>IFERROR(__xludf.DUMMYFUNCTION("IF(REGEXMATCH(C64, ""G""), ""3"","""")"),"3")</f>
        <v>3</v>
      </c>
      <c r="GH64" s="245" t="str">
        <f>IFERROR(__xludf.DUMMYFUNCTION("IF(REGEXMATCH(C64, ""m""), ""4"","""")"),"4")</f>
        <v>4</v>
      </c>
      <c r="GI64" s="246" t="str">
        <f>IFERROR(__xludf.DUMMYFUNCTION("IF(REGEXMATCH(C64, ""M""), ""#4"","""")"),"")</f>
        <v/>
      </c>
      <c r="GJ64" s="245" t="str">
        <f>IFERROR(__xludf.DUMMYFUNCTION("IF(REGEXMATCH(C64, ""P""), ""5"","""")"),"5")</f>
        <v>5</v>
      </c>
      <c r="GK64" s="246" t="str">
        <f>IFERROR(__xludf.DUMMYFUNCTION("IF(REGEXMATCH(C64, ""d""), ""b6"","""")"),"")</f>
        <v/>
      </c>
      <c r="GL64" s="245" t="str">
        <f>IFERROR(__xludf.DUMMYFUNCTION("IF(REGEXMATCH(C64, ""D""), ""6"","""")"),"6")</f>
        <v>6</v>
      </c>
      <c r="GM64" s="245" t="str">
        <f>IFERROR(__xludf.DUMMYFUNCTION("IF(REGEXMATCH(C64, ""n""), ""b7"","""")"),"")</f>
        <v/>
      </c>
      <c r="GN64" s="246" t="str">
        <f>IFERROR(__xludf.DUMMYFUNCTION("IF(REGEXMATCH(C64, ""N""), ""7"","""")"),"7")</f>
        <v>7</v>
      </c>
      <c r="GO64" s="249" t="str">
        <f>IFERROR(__xludf.DUMMYFUNCTION("IF(REGEXMATCH(C64, ""S""), ""8"","""")"),"8")</f>
        <v>8</v>
      </c>
      <c r="GP64" s="244" t="str">
        <f>IFERROR(__xludf.DUMMYFUNCTION("IF(REGEXMATCH(C64, ""S""), ""S"","""")"),"S")</f>
        <v>S</v>
      </c>
      <c r="GQ64" s="294" t="str">
        <f>IFERROR(__xludf.DUMMYFUNCTION("IF(REGEXMATCH(C64, ""r""), ""R1"","""")"),"")</f>
        <v/>
      </c>
      <c r="GR64" s="295" t="str">
        <f>IFERROR(__xludf.DUMMYFUNCTION("IF(REGEXMATCH(C64, ""R""), ""R2"","""")"),"R2")</f>
        <v>R2</v>
      </c>
      <c r="GS64" s="295" t="str">
        <f>IFERROR(__xludf.DUMMYFUNCTION("IF(REGEXMATCH(C64, ""g""), ""G2"","""")"),"")</f>
        <v/>
      </c>
      <c r="GT64" s="294" t="str">
        <f>IFERROR(__xludf.DUMMYFUNCTION("IF(REGEXMATCH(C64, ""G""), ""G3"","""")"),"G3")</f>
        <v>G3</v>
      </c>
      <c r="GU64" s="294" t="str">
        <f>IFERROR(__xludf.DUMMYFUNCTION("IF(REGEXMATCH(C64, ""m""), ""M1"","""")"),"M1")</f>
        <v>M1</v>
      </c>
      <c r="GV64" s="295" t="str">
        <f>IFERROR(__xludf.DUMMYFUNCTION("IF(REGEXMATCH(C64, ""M""), ""M2"","""")"),"")</f>
        <v/>
      </c>
      <c r="GW64" s="294" t="str">
        <f>IFERROR(__xludf.DUMMYFUNCTION("IF(REGEXMATCH(C64, ""P""), ""P"","""")"),"P")</f>
        <v>P</v>
      </c>
      <c r="GX64" s="295" t="str">
        <f>IFERROR(__xludf.DUMMYFUNCTION("IF(REGEXMATCH(C64, ""d""), ""D1"","""")"),"")</f>
        <v/>
      </c>
      <c r="GY64" s="294" t="str">
        <f>IFERROR(__xludf.DUMMYFUNCTION("IF(REGEXMATCH(C64, ""D""), ""D2"","""")"),"D2")</f>
        <v>D2</v>
      </c>
      <c r="GZ64" s="294" t="str">
        <f>IFERROR(__xludf.DUMMYFUNCTION("IF(REGEXMATCH(C64, ""n""), ""N2"","""")"),"")</f>
        <v/>
      </c>
      <c r="HA64" s="295" t="str">
        <f>IFERROR(__xludf.DUMMYFUNCTION("IF(REGEXMATCH(C64, ""N""), ""N3"","""")"),"N3")</f>
        <v>N3</v>
      </c>
      <c r="HB64" s="249" t="str">
        <f>IFERROR(__xludf.DUMMYFUNCTION("IF(REGEXMATCH(C64, ""S""), ""S"","""")"),"S")</f>
        <v>S</v>
      </c>
      <c r="HC64" s="331" t="str">
        <f t="shared" si="95"/>
        <v>S</v>
      </c>
      <c r="HD64" s="332" t="str">
        <f t="shared" si="96"/>
        <v>r</v>
      </c>
      <c r="HE64" s="332" t="str">
        <f t="shared" si="97"/>
        <v/>
      </c>
      <c r="HF64" s="332" t="str">
        <f t="shared" si="98"/>
        <v>g</v>
      </c>
      <c r="HG64" s="332" t="str">
        <f t="shared" si="99"/>
        <v/>
      </c>
      <c r="HH64" s="332" t="str">
        <f t="shared" si="100"/>
        <v>m</v>
      </c>
      <c r="HI64" s="332" t="str">
        <f t="shared" si="101"/>
        <v/>
      </c>
      <c r="HJ64" s="332" t="str">
        <f t="shared" si="102"/>
        <v>P</v>
      </c>
      <c r="HK64" s="332" t="str">
        <f t="shared" si="103"/>
        <v>d</v>
      </c>
      <c r="HL64" s="332" t="str">
        <f t="shared" si="104"/>
        <v/>
      </c>
      <c r="HM64" s="332" t="str">
        <f t="shared" si="105"/>
        <v>n</v>
      </c>
      <c r="HN64" s="332" t="str">
        <f t="shared" si="106"/>
        <v/>
      </c>
      <c r="HO64" s="343" t="str">
        <f t="shared" si="107"/>
        <v>S</v>
      </c>
      <c r="HP64" s="331" t="str">
        <f t="shared" si="108"/>
        <v>o</v>
      </c>
      <c r="HQ64" s="332" t="str">
        <f t="shared" si="109"/>
        <v>•</v>
      </c>
      <c r="HR64" s="332" t="str">
        <f t="shared" si="110"/>
        <v>o</v>
      </c>
      <c r="HS64" s="332" t="str">
        <f t="shared" si="111"/>
        <v>•</v>
      </c>
      <c r="HT64" s="332" t="str">
        <f t="shared" si="112"/>
        <v>o</v>
      </c>
      <c r="HU64" s="332" t="str">
        <f t="shared" si="113"/>
        <v>o</v>
      </c>
      <c r="HV64" s="332" t="str">
        <f t="shared" si="114"/>
        <v>•</v>
      </c>
      <c r="HW64" s="332" t="str">
        <f t="shared" si="115"/>
        <v>o</v>
      </c>
      <c r="HX64" s="332" t="str">
        <f t="shared" si="116"/>
        <v>•</v>
      </c>
      <c r="HY64" s="332" t="str">
        <f t="shared" si="117"/>
        <v>o</v>
      </c>
      <c r="HZ64" s="332" t="str">
        <f t="shared" si="118"/>
        <v>•</v>
      </c>
      <c r="IA64" s="332" t="str">
        <f t="shared" si="119"/>
        <v>o</v>
      </c>
      <c r="IB64" s="338" t="str">
        <f t="shared" si="120"/>
        <v>o</v>
      </c>
      <c r="IC64" s="331" t="str">
        <f t="shared" si="121"/>
        <v>•</v>
      </c>
      <c r="ID64" s="332" t="str">
        <f t="shared" si="122"/>
        <v>o</v>
      </c>
      <c r="IE64" s="332" t="str">
        <f t="shared" si="123"/>
        <v>•</v>
      </c>
      <c r="IF64" s="332" t="str">
        <f t="shared" si="124"/>
        <v>o</v>
      </c>
      <c r="IG64" s="332" t="str">
        <f t="shared" si="125"/>
        <v>•</v>
      </c>
      <c r="IH64" s="332" t="str">
        <f t="shared" si="126"/>
        <v>•</v>
      </c>
      <c r="II64" s="332" t="str">
        <f t="shared" si="127"/>
        <v>o</v>
      </c>
      <c r="IJ64" s="332" t="str">
        <f t="shared" si="128"/>
        <v>•</v>
      </c>
      <c r="IK64" s="332" t="str">
        <f t="shared" si="129"/>
        <v>o</v>
      </c>
      <c r="IL64" s="332" t="str">
        <f t="shared" si="130"/>
        <v>•</v>
      </c>
      <c r="IM64" s="332" t="str">
        <f t="shared" si="131"/>
        <v>o</v>
      </c>
      <c r="IN64" s="332" t="str">
        <f t="shared" si="132"/>
        <v>•</v>
      </c>
      <c r="IO64" s="338" t="str">
        <f t="shared" si="133"/>
        <v>•</v>
      </c>
      <c r="IP64" s="346" t="b">
        <f t="shared" si="134"/>
        <v>0</v>
      </c>
      <c r="IQ64" s="347" t="b">
        <f t="shared" si="135"/>
        <v>0</v>
      </c>
      <c r="IR64" s="347" t="b">
        <f t="shared" si="136"/>
        <v>0</v>
      </c>
      <c r="IS64" s="347" t="b">
        <f t="shared" si="137"/>
        <v>0</v>
      </c>
      <c r="IT64" s="347" t="b">
        <f t="shared" si="138"/>
        <v>0</v>
      </c>
      <c r="IU64" s="347" t="b">
        <f t="shared" si="139"/>
        <v>0</v>
      </c>
      <c r="IV64" s="347" t="b">
        <f t="shared" si="140"/>
        <v>0</v>
      </c>
      <c r="IW64" s="347" t="b">
        <f t="shared" si="141"/>
        <v>0</v>
      </c>
      <c r="IX64" s="347" t="b">
        <f t="shared" si="142"/>
        <v>0</v>
      </c>
      <c r="IY64" s="347" t="b">
        <f t="shared" si="143"/>
        <v>0</v>
      </c>
      <c r="IZ64" s="347" t="b">
        <f t="shared" si="144"/>
        <v>0</v>
      </c>
      <c r="JA64" s="347" t="b">
        <f t="shared" si="145"/>
        <v>1</v>
      </c>
      <c r="JB64" s="353" t="b">
        <f t="shared" si="146"/>
        <v>0</v>
      </c>
      <c r="JC64" s="354" t="str">
        <f t="shared" si="147"/>
        <v/>
      </c>
      <c r="JD64" s="355" t="str">
        <f t="shared" si="148"/>
        <v/>
      </c>
      <c r="JE64" s="355" t="str">
        <f t="shared" si="149"/>
        <v/>
      </c>
      <c r="JF64" s="355" t="str">
        <f t="shared" si="150"/>
        <v/>
      </c>
      <c r="JG64" s="355" t="str">
        <f t="shared" si="151"/>
        <v/>
      </c>
      <c r="JH64" s="355" t="str">
        <f t="shared" si="152"/>
        <v/>
      </c>
      <c r="JI64" s="355" t="str">
        <f t="shared" si="153"/>
        <v/>
      </c>
      <c r="JJ64" s="355" t="str">
        <f t="shared" si="154"/>
        <v/>
      </c>
      <c r="JK64" s="355" t="str">
        <f t="shared" si="155"/>
        <v/>
      </c>
      <c r="JL64" s="355" t="str">
        <f t="shared" si="156"/>
        <v/>
      </c>
      <c r="JM64" s="355" t="str">
        <f t="shared" si="157"/>
        <v/>
      </c>
      <c r="JN64" s="355" t="str">
        <f t="shared" si="158"/>
        <v>Ni, </v>
      </c>
      <c r="JO64" s="359" t="str">
        <f t="shared" si="159"/>
        <v/>
      </c>
      <c r="JP64" s="346" t="b">
        <f t="shared" si="160"/>
        <v>0</v>
      </c>
      <c r="JQ64" s="347" t="b">
        <f t="shared" si="161"/>
        <v>0</v>
      </c>
      <c r="JR64" s="347" t="b">
        <f t="shared" si="162"/>
        <v>0</v>
      </c>
      <c r="JS64" s="347" t="b">
        <f t="shared" si="163"/>
        <v>0</v>
      </c>
      <c r="JT64" s="347" t="b">
        <f t="shared" si="164"/>
        <v>0</v>
      </c>
      <c r="JU64" s="347" t="b">
        <f t="shared" si="165"/>
        <v>0</v>
      </c>
      <c r="JV64" s="347" t="b">
        <f t="shared" si="166"/>
        <v>0</v>
      </c>
      <c r="JW64" s="347" t="b">
        <f t="shared" si="167"/>
        <v>0</v>
      </c>
      <c r="JX64" s="347" t="b">
        <f t="shared" si="168"/>
        <v>0</v>
      </c>
      <c r="JY64" s="347" t="b">
        <f t="shared" si="169"/>
        <v>0</v>
      </c>
      <c r="JZ64" s="347" t="b">
        <f t="shared" si="170"/>
        <v>0</v>
      </c>
      <c r="KA64" s="347" t="b">
        <f t="shared" si="171"/>
        <v>0</v>
      </c>
      <c r="KB64" s="365" t="b">
        <f t="shared" si="172"/>
        <v>0</v>
      </c>
      <c r="KC64" s="354" t="str">
        <f t="shared" si="173"/>
        <v/>
      </c>
      <c r="KD64" s="355" t="str">
        <f t="shared" si="174"/>
        <v/>
      </c>
      <c r="KE64" s="355" t="str">
        <f t="shared" si="175"/>
        <v/>
      </c>
      <c r="KF64" s="355" t="str">
        <f t="shared" si="176"/>
        <v/>
      </c>
      <c r="KG64" s="355" t="str">
        <f t="shared" si="177"/>
        <v/>
      </c>
      <c r="KH64" s="355" t="str">
        <f t="shared" si="178"/>
        <v/>
      </c>
      <c r="KI64" s="355" t="str">
        <f t="shared" si="179"/>
        <v/>
      </c>
      <c r="KJ64" s="355" t="str">
        <f t="shared" si="180"/>
        <v/>
      </c>
      <c r="KK64" s="355" t="str">
        <f t="shared" si="181"/>
        <v/>
      </c>
      <c r="KL64" s="355" t="str">
        <f t="shared" si="182"/>
        <v/>
      </c>
      <c r="KM64" s="355" t="str">
        <f t="shared" si="183"/>
        <v/>
      </c>
      <c r="KN64" s="355" t="str">
        <f t="shared" si="184"/>
        <v/>
      </c>
      <c r="KO64" s="359"/>
      <c r="KP64" s="378"/>
      <c r="KQ64" s="379" t="s">
        <v>9</v>
      </c>
      <c r="KR64" s="380" t="s">
        <v>1357</v>
      </c>
      <c r="KS64" s="381" t="s">
        <v>9</v>
      </c>
      <c r="KT64" s="382">
        <f t="shared" si="186"/>
        <v>0</v>
      </c>
      <c r="KU64" s="383">
        <f t="shared" si="187"/>
        <v>0</v>
      </c>
      <c r="KV64" s="381" t="str">
        <f t="shared" si="205"/>
        <v>S-N-D-P-m-G-R-S</v>
      </c>
      <c r="KW64" s="382">
        <f t="shared" si="189"/>
        <v>7</v>
      </c>
      <c r="KX64" s="384">
        <f t="shared" si="190"/>
        <v>7</v>
      </c>
      <c r="KY64" s="382">
        <f t="shared" ref="KY64:KZ64" si="324">KW64-KT64</f>
        <v>7</v>
      </c>
      <c r="KZ64" s="369">
        <f t="shared" si="324"/>
        <v>7</v>
      </c>
      <c r="LA64" s="385" t="str">
        <f t="shared" si="192"/>
        <v>-</v>
      </c>
      <c r="LB64" s="340" t="str">
        <f>IFERROR(__xludf.DUMMYFUNCTION("JOIN("""",ArrayFormula(MID(KS64,LEN(KS64)-SEQUENCE(1,LEN(KS64))+1,1)))"),"S")</f>
        <v>S</v>
      </c>
      <c r="LC64" s="373" t="str">
        <f>IFERROR(__xludf.DUMMYFUNCTION("JOIN("""",ArrayFormula(MID(KV64,LEN(KV64)-SEQUENCE(1,LEN(KV64))+1,1)))"),"S-R-G-m-P-D-N-S")</f>
        <v>S-R-G-m-P-D-N-S</v>
      </c>
      <c r="LD64" s="373" t="str">
        <f t="shared" si="193"/>
        <v>S</v>
      </c>
      <c r="LE64" s="339" t="str">
        <f t="shared" si="194"/>
        <v>SRGmPDNS</v>
      </c>
      <c r="LF64" s="386" t="str">
        <f>IFERROR(__xludf.DUMMYFUNCTION("SUBSTITUTE(SUBSTITUTE(CONCATENATE(JOIN("""",LH64:LT64)),""1"",""""),""2"","""")"),"SRGmPDNS")</f>
        <v>SRGmPDNS</v>
      </c>
      <c r="LG64" s="369" t="str">
        <f t="shared" si="195"/>
        <v>✔</v>
      </c>
      <c r="LH64" s="387" t="str">
        <f>IFERROR(__xludf.DUMMYFUNCTION("IF(REGEXMATCH(LD64, ""S""), ""S"",IF(REGEXMATCH(LE64, ""S""), ""S"",""""))"),"S")</f>
        <v>S</v>
      </c>
      <c r="LI64" s="299" t="str">
        <f>IFERROR(__xludf.DUMMYFUNCTION("IF(REGEXMATCH(LD64, ""r""), ""r1"",IF(REGEXMATCH(LE64, ""r""), ""r2"",""""))"),"")</f>
        <v/>
      </c>
      <c r="LJ64" s="299" t="str">
        <f>IFERROR(__xludf.DUMMYFUNCTION("IF(REGEXMATCH(LD64, ""R""), ""R1"",IF(REGEXMATCH(LE64, ""R""), ""R2"",""""))"),"R2")</f>
        <v>R2</v>
      </c>
      <c r="LK64" s="299" t="str">
        <f>IFERROR(__xludf.DUMMYFUNCTION("IF(REGEXMATCH(LD64, ""g""), ""g1"",IF(REGEXMATCH(LE64, ""g""), ""g2"",""""))"),"")</f>
        <v/>
      </c>
      <c r="LL64" s="299" t="str">
        <f>IFERROR(__xludf.DUMMYFUNCTION("IF(REGEXMATCH(LD64, ""G""), ""G1"",IF(REGEXMATCH(LE64, ""G""), ""G2"",""""))"),"G2")</f>
        <v>G2</v>
      </c>
      <c r="LM64" s="299" t="str">
        <f>IFERROR(__xludf.DUMMYFUNCTION("IF(REGEXMATCH(LD64, ""m""), ""m1"",IF(REGEXMATCH(LE64, ""m""), ""m2"",""""))"),"m2")</f>
        <v>m2</v>
      </c>
      <c r="LN64" s="299" t="str">
        <f>IFERROR(__xludf.DUMMYFUNCTION("IF(REGEXMATCH(LD64, ""M""), ""M1"",IF(REGEXMATCH(LE64, ""M""), ""M2"",""""))"),"")</f>
        <v/>
      </c>
      <c r="LO64" s="299" t="str">
        <f>IFERROR(__xludf.DUMMYFUNCTION("IF(REGEXMATCH(LD64, ""P""), ""P1"",IF(REGEXMATCH(LE64, ""P""), ""P2"",""""))"),"P2")</f>
        <v>P2</v>
      </c>
      <c r="LP64" s="299" t="str">
        <f>IFERROR(__xludf.DUMMYFUNCTION("IF(REGEXMATCH(LD64, ""d""), ""d1"",IF(REGEXMATCH(LE64, ""d""), ""d2"",""""))"),"")</f>
        <v/>
      </c>
      <c r="LQ64" s="299" t="str">
        <f>IFERROR(__xludf.DUMMYFUNCTION("IF(REGEXMATCH(LD64, ""D""), ""D1"",IF(REGEXMATCH(LE64, ""D""), ""D2"",""""))"),"D2")</f>
        <v>D2</v>
      </c>
      <c r="LR64" s="299" t="str">
        <f>IFERROR(__xludf.DUMMYFUNCTION("IF(REGEXMATCH(LD64, ""n""), ""n1"",IF(REGEXMATCH(LE64, ""n""), ""n2"",""""))"),"")</f>
        <v/>
      </c>
      <c r="LS64" s="299" t="str">
        <f>IFERROR(__xludf.DUMMYFUNCTION("IF(REGEXMATCH(LD64, ""N""), ""N1"",IF(REGEXMATCH(LE64, ""N""), ""N2"",""""))"),"N2")</f>
        <v>N2</v>
      </c>
      <c r="LT64" s="388" t="str">
        <f>IFERROR(__xludf.DUMMYFUNCTION("IF(REGEXMATCH(LD64, ""S""), ""S"",IF(REGEXMATCH(LE64, ""S""), ""S"",""""))"),"S")</f>
        <v>S</v>
      </c>
      <c r="LU64" s="389">
        <f t="shared" si="196"/>
        <v>-13</v>
      </c>
      <c r="LV64" s="378"/>
      <c r="LW64" s="369"/>
      <c r="LX64" s="369"/>
    </row>
    <row r="65" ht="18.0" customHeight="1">
      <c r="A65" s="298" t="s">
        <v>640</v>
      </c>
      <c r="B65" s="222" t="s">
        <v>595</v>
      </c>
      <c r="C65" s="233" t="str">
        <f t="shared" si="7"/>
        <v>SrgmPdnS</v>
      </c>
      <c r="D65" s="234" t="str">
        <f>IFERROR(__xludf.DUMMYFUNCTION("IF(REGEXMATCH(C65, ""S""), ""S"","""")"),"S")</f>
        <v>S</v>
      </c>
      <c r="E65" s="236" t="str">
        <f>IFERROR(__xludf.DUMMYFUNCTION("IF(REGEXMATCH(C65, ""r""), ""r"","""")"),"r")</f>
        <v>r</v>
      </c>
      <c r="F65" s="237" t="str">
        <f>IFERROR(__xludf.DUMMYFUNCTION("IF(REGEXMATCH(C65, ""R""), ""R"","""")"),"")</f>
        <v/>
      </c>
      <c r="G65" s="237" t="str">
        <f>IFERROR(__xludf.DUMMYFUNCTION("IF(REGEXMATCH(C65, ""g""), ""g"","""")"),"g")</f>
        <v>g</v>
      </c>
      <c r="H65" s="236" t="str">
        <f>IFERROR(__xludf.DUMMYFUNCTION("IF(REGEXMATCH(C65, ""G""), ""G"","""")"),"")</f>
        <v/>
      </c>
      <c r="I65" s="236" t="str">
        <f>IFERROR(__xludf.DUMMYFUNCTION("IF(REGEXMATCH(C65, ""m""), ""m"","""")"),"m")</f>
        <v>m</v>
      </c>
      <c r="J65" s="237" t="str">
        <f>IFERROR(__xludf.DUMMYFUNCTION("IF(REGEXMATCH(C65, ""M""), ""M"","""")"),"")</f>
        <v/>
      </c>
      <c r="K65" s="236" t="str">
        <f>IFERROR(__xludf.DUMMYFUNCTION("IF(REGEXMATCH(C65, ""P""), ""P"","""")"),"P")</f>
        <v>P</v>
      </c>
      <c r="L65" s="237" t="str">
        <f>IFERROR(__xludf.DUMMYFUNCTION("IF(REGEXMATCH(C65, ""d""), ""d"","""")"),"d")</f>
        <v>d</v>
      </c>
      <c r="M65" s="236" t="str">
        <f>IFERROR(__xludf.DUMMYFUNCTION("IF(REGEXMATCH(C65, ""D""), ""D"","""")"),"")</f>
        <v/>
      </c>
      <c r="N65" s="236" t="str">
        <f>IFERROR(__xludf.DUMMYFUNCTION("IF(REGEXMATCH(C65, ""n""), ""n"","""")"),"n")</f>
        <v>n</v>
      </c>
      <c r="O65" s="237" t="str">
        <f>IFERROR(__xludf.DUMMYFUNCTION("IF(REGEXMATCH(C65, ""N""), ""N"","""")"),"")</f>
        <v/>
      </c>
      <c r="P65" s="238" t="str">
        <f>IFERROR(__xludf.DUMMYFUNCTION("IF(REGEXMATCH(C65, ""S""), ""S"","""")"),"S")</f>
        <v>S</v>
      </c>
      <c r="Q65" s="239" t="str">
        <f>IFERROR(__xludf.DUMMYFUNCTION("SUBSTITUTE(CONCATENATE(JOIN(""-"",D65:J65)),""-"","""")"),"Srgm")</f>
        <v>Srgm</v>
      </c>
      <c r="R65" s="229" t="str">
        <f>IFERROR(__xludf.DUMMYFUNCTION("SUBSTITUTE(CONCATENATE(JOIN(""-"",K65:P65)),""-"","""")"),"PdnS")</f>
        <v>PdnS</v>
      </c>
      <c r="S65" s="282" t="str">
        <f t="shared" si="8"/>
        <v>S-R-G-M</v>
      </c>
      <c r="T65" s="282" t="str">
        <f t="shared" si="9"/>
        <v>P-D-N-S</v>
      </c>
      <c r="U65" s="237" t="str">
        <f>IFERROR(__xludf.DUMMYFUNCTION("SUBSTITUTE(JOIN(""-"",S65,T65),""--"",""-"")"),"S-R-G-M-P-D-N-S")</f>
        <v>S-R-G-M-P-D-N-S</v>
      </c>
      <c r="V65" s="309" t="str">
        <f t="shared" si="10"/>
        <v>rgmdn</v>
      </c>
      <c r="W65" s="244" t="str">
        <f>IFERROR(__xludf.DUMMYFUNCTION("IF(REGEXMATCH(C65, ""S""), ""0"","""")"),"0")</f>
        <v>0</v>
      </c>
      <c r="X65" s="245" t="str">
        <f>IFERROR(__xludf.DUMMYFUNCTION("IF(REGEXMATCH(C65, ""r""), ""1"","""")"),"1")</f>
        <v>1</v>
      </c>
      <c r="Y65" s="246" t="str">
        <f>IFERROR(__xludf.DUMMYFUNCTION("IF(REGEXMATCH(C65, ""R""), ""2"","""")"),"")</f>
        <v/>
      </c>
      <c r="Z65" s="246" t="str">
        <f>IFERROR(__xludf.DUMMYFUNCTION("IF(REGEXMATCH(C65, ""g""), ""3"","""")"),"3")</f>
        <v>3</v>
      </c>
      <c r="AA65" s="245" t="str">
        <f>IFERROR(__xludf.DUMMYFUNCTION("IF(REGEXMATCH(C65, ""G""), ""4"","""")"),"")</f>
        <v/>
      </c>
      <c r="AB65" s="245" t="str">
        <f>IFERROR(__xludf.DUMMYFUNCTION("IF(REGEXMATCH(C65, ""m""), ""5"","""")"),"5")</f>
        <v>5</v>
      </c>
      <c r="AC65" s="246" t="str">
        <f>IFERROR(__xludf.DUMMYFUNCTION("IF(REGEXMATCH(C65, ""M""), ""6"","""")"),"")</f>
        <v/>
      </c>
      <c r="AD65" s="245" t="str">
        <f>IFERROR(__xludf.DUMMYFUNCTION("IF(REGEXMATCH(C65, ""P""), ""7"","""")"),"7")</f>
        <v>7</v>
      </c>
      <c r="AE65" s="246" t="str">
        <f>IFERROR(__xludf.DUMMYFUNCTION("IF(REGEXMATCH(C65, ""d""), ""8"","""")"),"8")</f>
        <v>8</v>
      </c>
      <c r="AF65" s="245" t="str">
        <f>IFERROR(__xludf.DUMMYFUNCTION("IF(REGEXMATCH(C65, ""D""), ""9"","""")"),"")</f>
        <v/>
      </c>
      <c r="AG65" s="245" t="str">
        <f>IFERROR(__xludf.DUMMYFUNCTION("IF(REGEXMATCH(C65, ""n""), ""10"","""")"),"10")</f>
        <v>10</v>
      </c>
      <c r="AH65" s="246" t="str">
        <f>IFERROR(__xludf.DUMMYFUNCTION("IF(REGEXMATCH(C65, ""N""), ""11"","""")"),"")</f>
        <v/>
      </c>
      <c r="AI65" s="249" t="str">
        <f>IFERROR(__xludf.DUMMYFUNCTION("IF(REGEXMATCH(C65, ""S""), ""0"","""")"),"0")</f>
        <v>0</v>
      </c>
      <c r="AJ65" s="313" t="str">
        <f t="shared" si="11"/>
        <v>-</v>
      </c>
      <c r="AK65" s="313" t="str">
        <f t="shared" si="12"/>
        <v>T</v>
      </c>
      <c r="AL65" s="313" t="str">
        <f t="shared" si="13"/>
        <v>-</v>
      </c>
      <c r="AM65" s="313" t="str">
        <f t="shared" si="14"/>
        <v>-</v>
      </c>
      <c r="AN65" s="313" t="str">
        <f t="shared" si="15"/>
        <v>-</v>
      </c>
      <c r="AO65" s="314" t="str">
        <f t="shared" si="16"/>
        <v>-</v>
      </c>
      <c r="AP65" s="316">
        <f t="shared" si="17"/>
        <v>1</v>
      </c>
      <c r="AQ65" s="319" t="str">
        <f t="shared" si="18"/>
        <v>-</v>
      </c>
      <c r="AR65" s="320">
        <f t="shared" si="19"/>
        <v>0</v>
      </c>
      <c r="AS65" s="250" t="str">
        <f>IFERROR(__xludf.DUMMYFUNCTION("SUBSTITUTE(SUBSTITUTE(CONCATENATE(JOIN("""",FP65:GA65)),""|"",""x""),""-"",""o"")"),"xxoxoxoxxoxo")</f>
        <v>xxoxoxoxxoxo</v>
      </c>
      <c r="AT65" s="323" t="str">
        <f>IFERROR(__xludf.DUMMYFUNCTION("JOIN("""",AS65,AS65)"),"xxoxoxoxxoxoxxoxoxoxxoxo")</f>
        <v>xxoxoxoxxoxoxxoxoxoxxoxo</v>
      </c>
      <c r="AU65" s="256" t="str">
        <f>IFERROR(__xludf.DUMMYFUNCTION("JOIN("""",ArrayFormula(MID(AS65,LEN(AS65)-SEQUENCE(1,LEN(AS65))+1,1)))"),"oxoxxoxoxoxx")</f>
        <v>oxoxxoxoxoxx</v>
      </c>
      <c r="AV65" s="256" t="str">
        <f>IFERROR(__xludf.DUMMYFUNCTION("LEFT(CONCATENATE(""x"",JOIN("""",ArrayFormula(MID(AS65,LEN(AS65)-SEQUENCE(1,LEN(AS65))+1,1)))),12)"),"xoxoxxoxoxox")</f>
        <v>xoxoxxoxoxox</v>
      </c>
      <c r="AW65" s="327" t="str">
        <f>IFERROR(__xludf.DUMMYFUNCTION("JOIN("""",AU65,AU65)"),"oxoxxoxoxoxxoxoxxoxoxoxx")</f>
        <v>oxoxxoxoxoxxoxoxxoxoxoxx</v>
      </c>
      <c r="AX65" s="239" t="str">
        <f>IFERROR(__xludf.DUMMYFUNCTION("IF(REGEXMATCH(AW65,AS65),""✔"",""-"")"),"✔")</f>
        <v>✔</v>
      </c>
      <c r="AY65" s="330" t="str">
        <f t="shared" si="20"/>
        <v>-</v>
      </c>
      <c r="AZ65" s="260" t="str">
        <f t="shared" si="21"/>
        <v>#REF!</v>
      </c>
      <c r="BA65" s="333" t="str">
        <f t="shared" si="22"/>
        <v>xxoxoxo</v>
      </c>
      <c r="BB65" s="334" t="str">
        <f t="shared" si="23"/>
        <v>xxoxox</v>
      </c>
      <c r="BC65" s="335" t="str">
        <f t="shared" si="236"/>
        <v>✔</v>
      </c>
      <c r="BD65" s="336" t="str">
        <f t="shared" si="25"/>
        <v>Bilaskhani Todi: 'xxoxoxo' + 'xxoxox'</v>
      </c>
      <c r="BE65" s="337">
        <f>IFERROR(__xludf.DUMMYFUNCTION("COUNTUNIQUE(FILTER(AT:AT,REGEXMATCH(AT:AT,AS65)))-1"),6.0)</f>
        <v>6</v>
      </c>
      <c r="BF65" s="261" t="str">
        <f>IFERROR(__xludf.DUMMYFUNCTION("IF(BI65=0,""(n/a)"",IF(BJ65=2,""(PAIR)"",IF(REGEXMATCH(AT65,""xoxoxxoxoxox""),""Bilawal"",IF(REGEXMATCH(AT65,""xoxoxooxoxoo""),""Bhupali"",IF(REGEXMATCH(AT65,""xoxoxxoxxoxo""),""Charukeshi"",IF(REGEXMATCH(AT65,""xoxoooxxoxxo""),""Kameshwari"",IF(REGEXMATC"&amp;"H(AT65,""xoxoxooxoxox""),""Shankara"",IF(REGEXMATCH(AT65,""xxooxoxxxoox""),""Basant"",IF(REGEXMATCH(AT65,""xoxoxxxxoxox""),""Bihag"",IF(REGEXMATCH(AT65,""xoxxxxoxoxxx""),""Pilu"",IF(REGEXMATCH(AT65,""xoxxoxoxxoox""),""Kirwani"",IF(REGEXMATCH(AT65,""xoxxox"&amp;"oxoxxx""),""Mk.Malhar"",IF(REGEXMATCH(AT65,""xxooxxoxxoox""),""Bhairav"",IF(REGEXMATCH(AT65,""xxoxooxxxoox""),""Todi"",IF(REGEXMATCH(AT65,""xxooxoxooxox""),""Marwa"",IF(REGEXMATCH(AT65,""xxoooxoxxooo""),""Gunkali"",IF(REGEXMATCH(AT65,""xoxoxxoxxoox""),""N"&amp;"at Bhairav"",IF(REGEXMATCH(AT65,""xoxxoooxoxoo""),""Shivranjani"",IF(REGEXMATCH(AT65,""xooxxxoxooxo""),""Jog"",IF(REGEXMATCH(AT65,""xxooxoxoxoox""),""Hemshri"",IF(REGEXMATCH(AT65,""xoooxooxoxxo""),""Kalavati"",IF(REGEXMATCH(AT65,""xxoxoxxoxoox""),""Kedar"&amp;""",IF(REGEXMATCH(AT65,""xoxxxxoxooxx""),""Gara"",IF(REGEXMATCH(AT65,""xooxoxooxoox""),""Chandrakauns"",IF(REGEXMATCH(AT65,""xoxxxxoxxxox""),""Mand"",IF(REGEXMATCH(AT65,""xoxxxxoxoxox""),""Hanskinkini"",IF(REGEXMATCH(AT65,""xxooxxoxooxo""),""Lilavati"",IF("&amp;"REGEXMATCH(AT65,""xooxoxoooxox""),""Rajeshwari"",IF(REGEXMATCH(AT65,""xoooxxoxoxxx""),""Khokar"",IF(REGEXMATCH(AT65,""xxooxoxxxxox""),""Maligoura"",""-""))))))))))))))))))))))))))))))"),"Bilawal")</f>
        <v>Bilawal</v>
      </c>
      <c r="BG65" s="239" t="str">
        <f t="shared" si="26"/>
        <v>#REF!</v>
      </c>
      <c r="BH65" s="239">
        <f>IFERROR(__xludf.DUMMYFUNCTION("COUNTUNIQUE(FE65:FO65)-1"),6.0)</f>
        <v>6</v>
      </c>
      <c r="BI65" s="239">
        <f>IFERROR(__xludf.DUMMYFUNCTION("COUNTUNIQUE(FILTER(AT:AT,REGEXMATCH(AT:AT,AS65)))-1"),6.0)</f>
        <v>6</v>
      </c>
      <c r="BJ65" s="239">
        <f>IFERROR(__xludf.DUMMYFUNCTION("COUNTA(FILTER(AT:AT,REGEXMATCH(AT:AT,AS65)))"),48.0)</f>
        <v>48</v>
      </c>
      <c r="BK65" s="341">
        <f>IFERROR(__xludf.DUMMYFUNCTION("COUNTA(FILTER(AT:AT,REGEXMATCH(AT:AT,AS65)))-AR65"),48.0)</f>
        <v>48</v>
      </c>
      <c r="BL65" s="276" t="str">
        <f>IFERROR(__xludf.DUMMYFUNCTION("IF(AS65=""oooooooooooo"",""-"",IF(REGEXMATCH(AT65,""xx""), ""Hemi."", ""Anhemi.""))"),"Hemi.")</f>
        <v>Hemi.</v>
      </c>
      <c r="BM65" s="282" t="str">
        <f>IFERROR(__xludf.DUMMYFUNCTION("IF(AS65=""oooooooooooo"",""-"",IF(REGEXMATCH(AT65,""xxx""), ""Cohem."", ""-""))"),"-")</f>
        <v>-</v>
      </c>
      <c r="BN65" s="282" t="str">
        <f>IFERROR(__xludf.DUMMYFUNCTION("IF(AS65=""oooooooooooo"",""-"",IF(REGEXMATCH(AT65,""xxxx""), ""Co-Co."", ""-""))"),"-")</f>
        <v>-</v>
      </c>
      <c r="BO65" s="342" t="str">
        <f>IFERROR(__xludf.DUMMYFUNCTION("IF(AS65=""oooooooooooo"",""-"",IF(REGEXMATCH(AT65,""xxxxx""), ""CCC."", ""-""))"),"-")</f>
        <v>-</v>
      </c>
      <c r="BP65" s="344" t="str">
        <f t="shared" si="27"/>
        <v>Bhairavi</v>
      </c>
      <c r="BQ65" s="282" t="str">
        <f>IFERROR(__xludf.DUMMYFUNCTION("IF(REGEXMATCH(JOIN(""-"",EU65:FD65),""TRUE""),""✔"",""-"")"),"✔")</f>
        <v>✔</v>
      </c>
      <c r="BR65" s="225">
        <f t="shared" si="28"/>
        <v>1</v>
      </c>
      <c r="BS65" s="345" t="str">
        <f>IFERROR(__xludf.DUMMYFUNCTION("SUBSTITUTE(SUBSTITUTE(SUBSTITUTE(SUBSTITUTE(CONCATENATE(JOIN(""-"",GC65:GO65)),""--"",""-""),""--"",""-""),""--"",""-""),""--"",""-"")"),"1-b2-b3-4-5-b6-b7-8")</f>
        <v>1-b2-b3-4-5-b6-b7-8</v>
      </c>
      <c r="BT65" s="299" t="str">
        <f>IFERROR(__xludf.DUMMYFUNCTION("SUBSTITUTE(SUBSTITUTE(SUBSTITUTE(SUBSTITUTE(CONCATENATE(JOIN(""-"",GP65:HB65)),""--"",""-""),""--"",""-""),""--"",""-""),""--"",""-"")"),"S-R1-G2-M1-P-D1-N2-S")</f>
        <v>S-R1-G2-M1-P-D1-N2-S</v>
      </c>
      <c r="BU65" s="348" t="str">
        <f t="shared" si="29"/>
        <v>C-Db-Eb-F-G-Ab-Bb-C</v>
      </c>
      <c r="BV65" s="349" t="str">
        <f t="shared" si="30"/>
        <v>SRGMDNS</v>
      </c>
      <c r="BW65" s="350">
        <f t="shared" si="31"/>
        <v>2</v>
      </c>
      <c r="BX65" s="351">
        <f t="shared" si="32"/>
        <v>4</v>
      </c>
      <c r="BY65" s="352" t="s">
        <v>275</v>
      </c>
      <c r="BZ65" s="309" t="str">
        <f>IFERROR(__xludf.DUMMYFUNCTION("IF(REGEXMATCH(C65, ""S""), ""x"",""x"")"),"x")</f>
        <v>x</v>
      </c>
      <c r="CA65" s="245" t="str">
        <f>IFERROR(__xludf.DUMMYFUNCTION("IF(REGEXMATCH(C65, ""r""), ""o"",""x"")"),"o")</f>
        <v>o</v>
      </c>
      <c r="CB65" s="246" t="str">
        <f>IFERROR(__xludf.DUMMYFUNCTION("IF(REGEXMATCH(C65, ""R""), ""o"",""x"")"),"x")</f>
        <v>x</v>
      </c>
      <c r="CC65" s="246" t="str">
        <f>IFERROR(__xludf.DUMMYFUNCTION("IF(REGEXMATCH(C65, ""g""), ""o"",""x"")"),"o")</f>
        <v>o</v>
      </c>
      <c r="CD65" s="245" t="str">
        <f>IFERROR(__xludf.DUMMYFUNCTION("IF(REGEXMATCH(C65, ""G""), ""o"",""x"")"),"x")</f>
        <v>x</v>
      </c>
      <c r="CE65" s="245" t="str">
        <f>IFERROR(__xludf.DUMMYFUNCTION("IF(REGEXMATCH(C65, ""m""), ""o"",""x"")"),"o")</f>
        <v>o</v>
      </c>
      <c r="CF65" s="246" t="str">
        <f>IFERROR(__xludf.DUMMYFUNCTION("IF(REGEXMATCH(C65, ""M""), ""o"",""x"")"),"x")</f>
        <v>x</v>
      </c>
      <c r="CG65" s="245" t="str">
        <f>IFERROR(__xludf.DUMMYFUNCTION("IF(REGEXMATCH(C65, ""P""), ""o"",""x"")"),"o")</f>
        <v>o</v>
      </c>
      <c r="CH65" s="246" t="str">
        <f>IFERROR(__xludf.DUMMYFUNCTION("IF(REGEXMATCH(C65, ""d""), ""o"",""x"")"),"o")</f>
        <v>o</v>
      </c>
      <c r="CI65" s="245" t="str">
        <f>IFERROR(__xludf.DUMMYFUNCTION("IF(REGEXMATCH(C65, ""D""), ""o"",""x"")"),"x")</f>
        <v>x</v>
      </c>
      <c r="CJ65" s="245" t="str">
        <f>IFERROR(__xludf.DUMMYFUNCTION("IF(REGEXMATCH(C65, ""n""), ""o"",""x"")"),"o")</f>
        <v>o</v>
      </c>
      <c r="CK65" s="245" t="str">
        <f>IFERROR(__xludf.DUMMYFUNCTION("IF(REGEXMATCH(C65, ""N""), ""o"",""x"")"),"x")</f>
        <v>x</v>
      </c>
      <c r="CL65" s="356" t="str">
        <f>IFERROR(__xludf.DUMMYFUNCTION("IF(REGEXMATCH(C65, ""S""), ""x"",""x"")"),"x")</f>
        <v>x</v>
      </c>
      <c r="CM65" s="357" t="str">
        <f t="shared" si="33"/>
        <v>xoxoxoxooxox</v>
      </c>
      <c r="CN65" s="358">
        <f t="shared" si="34"/>
        <v>2</v>
      </c>
      <c r="CO65" s="246" t="str">
        <f>IFERROR(__xludf.DUMMYFUNCTION("IF(REGEXMATCH($C65, ""S""), ""S"",""S"")"),"S")</f>
        <v>S</v>
      </c>
      <c r="CP65" s="246" t="str">
        <f>IFERROR(__xludf.DUMMYFUNCTION("IF(REGEXMATCH($C65, ""r""), """",""r"")"),"")</f>
        <v/>
      </c>
      <c r="CQ65" s="246" t="str">
        <f>IFERROR(__xludf.DUMMYFUNCTION("IF(REGEXMATCH($C65, ""R""), """",""R"")"),"R")</f>
        <v>R</v>
      </c>
      <c r="CR65" s="246" t="str">
        <f>IFERROR(__xludf.DUMMYFUNCTION("IF(REGEXMATCH($C65, ""g""), """",""g"")"),"")</f>
        <v/>
      </c>
      <c r="CS65" s="246" t="str">
        <f>IFERROR(__xludf.DUMMYFUNCTION("IF(REGEXMATCH($C65, ""G""), """",""G"")"),"G")</f>
        <v>G</v>
      </c>
      <c r="CT65" s="246" t="str">
        <f>IFERROR(__xludf.DUMMYFUNCTION("IF(REGEXMATCH($C65, ""m""), """",""m"")"),"")</f>
        <v/>
      </c>
      <c r="CU65" s="246" t="str">
        <f>IFERROR(__xludf.DUMMYFUNCTION("IF(REGEXMATCH($C65, ""M""), """",""M"")"),"M")</f>
        <v>M</v>
      </c>
      <c r="CV65" s="246" t="str">
        <f>IFERROR(__xludf.DUMMYFUNCTION("IF(REGEXMATCH($C65, ""P""), """",""P"")"),"")</f>
        <v/>
      </c>
      <c r="CW65" s="246" t="str">
        <f>IFERROR(__xludf.DUMMYFUNCTION("IF(REGEXMATCH($C65, ""d""), """",""d"")"),"")</f>
        <v/>
      </c>
      <c r="CX65" s="246" t="str">
        <f>IFERROR(__xludf.DUMMYFUNCTION("IF(REGEXMATCH($C65, ""D""), """",""D"")"),"D")</f>
        <v>D</v>
      </c>
      <c r="CY65" s="246" t="str">
        <f>IFERROR(__xludf.DUMMYFUNCTION("IF(REGEXMATCH($C65, ""n""), """",""n"")"),"")</f>
        <v/>
      </c>
      <c r="CZ65" s="246" t="str">
        <f>IFERROR(__xludf.DUMMYFUNCTION("IF(REGEXMATCH($C65, ""N""), """",""N"")"),"N")</f>
        <v>N</v>
      </c>
      <c r="DA65" s="246" t="str">
        <f>IFERROR(__xludf.DUMMYFUNCTION("IF(REGEXMATCH($C65, ""S""), ""S"",""S"")"),"S")</f>
        <v>S</v>
      </c>
      <c r="DB65" s="362" t="str">
        <f>IFERROR(__xludf.DUMMYFUNCTION("JOIN("""",CO65:DA65,"""","""")"),"SRGMDNS")</f>
        <v>SRGMDNS</v>
      </c>
      <c r="DC65" s="363"/>
      <c r="DD65" s="301" t="str">
        <f t="shared" si="35"/>
        <v>#REF!</v>
      </c>
      <c r="DE65" s="302" t="str">
        <f t="shared" si="36"/>
        <v>#REF!</v>
      </c>
      <c r="DF65" s="301" t="str">
        <f t="shared" ref="DF65:DG65" si="325">SUBSTITUTE(S65,"-","")</f>
        <v>SRGM</v>
      </c>
      <c r="DG65" s="301" t="str">
        <f t="shared" si="325"/>
        <v>PDNS</v>
      </c>
      <c r="DH65" s="302" t="str">
        <f t="shared" si="38"/>
        <v>Bilawal</v>
      </c>
      <c r="DI65" s="301" t="str">
        <f t="shared" si="39"/>
        <v>Hemi.</v>
      </c>
      <c r="DJ65" s="364" t="str">
        <f t="shared" si="40"/>
        <v>-</v>
      </c>
      <c r="DK65" s="306" t="str">
        <f t="shared" si="41"/>
        <v>Bhairavi</v>
      </c>
      <c r="DL65" s="366" t="str">
        <f t="shared" si="42"/>
        <v>-</v>
      </c>
      <c r="DM65" s="308" t="str">
        <f t="shared" si="43"/>
        <v>-</v>
      </c>
      <c r="DN65" s="306" t="str">
        <f t="shared" si="44"/>
        <v>-</v>
      </c>
      <c r="DO65" s="306" t="str">
        <f t="shared" si="45"/>
        <v>✔</v>
      </c>
      <c r="DP65" s="367" t="str">
        <f t="shared" si="46"/>
        <v>-</v>
      </c>
      <c r="DQ65" s="310" t="str">
        <f t="shared" si="47"/>
        <v>-</v>
      </c>
      <c r="DR65" s="310" t="str">
        <f t="shared" si="48"/>
        <v>-</v>
      </c>
      <c r="DS65" s="310" t="str">
        <f t="shared" si="49"/>
        <v>-</v>
      </c>
      <c r="DT65" s="310" t="str">
        <f t="shared" si="50"/>
        <v>-</v>
      </c>
      <c r="DU65" s="370" t="str">
        <f t="shared" si="51"/>
        <v>-</v>
      </c>
      <c r="DV65" s="306" t="str">
        <f t="shared" si="52"/>
        <v>-</v>
      </c>
      <c r="DW65" s="306" t="str">
        <f t="shared" si="53"/>
        <v>-</v>
      </c>
      <c r="DX65" s="306" t="str">
        <f t="shared" si="54"/>
        <v>-</v>
      </c>
      <c r="DY65" s="306" t="str">
        <f t="shared" si="55"/>
        <v>-</v>
      </c>
      <c r="DZ65" s="306" t="str">
        <f t="shared" si="56"/>
        <v>-</v>
      </c>
      <c r="EA65" s="367" t="str">
        <f t="shared" si="57"/>
        <v>-</v>
      </c>
      <c r="EB65" s="310" t="str">
        <f>IFERROR(__xludf.DUMMYFUNCTION("IF(REGEXMATCH(AW65,AS65),""✔"",""-"")"),"✔")</f>
        <v>✔</v>
      </c>
      <c r="EC65" s="310" t="str">
        <f t="shared" si="58"/>
        <v>#REF!</v>
      </c>
      <c r="ED65" s="370" t="str">
        <f t="shared" si="59"/>
        <v>-</v>
      </c>
      <c r="EE65" s="340" t="str">
        <f t="shared" si="60"/>
        <v>S-r-g-m-P-d-n-S</v>
      </c>
      <c r="EF65" s="371" t="str">
        <f>IFERROR(__xludf.DUMMYFUNCTION("CONCATENATE(JOIN("""",HC65:HO65))"),"SRGmPDNS")</f>
        <v>SRGmPDNS</v>
      </c>
      <c r="EG65" s="372">
        <f t="shared" si="61"/>
        <v>1</v>
      </c>
      <c r="EH65" s="373" t="str">
        <f>IFERROR(__xludf.DUMMYFUNCTION("CONCATENATE(JOIN("""",JC65:JO65))"),"Pa, ")</f>
        <v>Pa, </v>
      </c>
      <c r="EI65" s="322">
        <f t="shared" si="62"/>
        <v>0</v>
      </c>
      <c r="EJ65" s="374" t="str">
        <f>IFERROR(__xludf.DUMMYFUNCTION("CONCATENATE(JOIN("""",KC65:KO65))"),"")</f>
        <v/>
      </c>
      <c r="EK65" s="325" t="str">
        <f t="shared" si="63"/>
        <v>S-R1-G2-M1-P-D1-N2-S</v>
      </c>
      <c r="EL65" s="326" t="str">
        <f t="shared" si="64"/>
        <v>1-b2-b3-4-5-b6-b7-8</v>
      </c>
      <c r="EM65" s="318" t="str">
        <f t="shared" si="65"/>
        <v>#REF!</v>
      </c>
      <c r="EN65" s="328" t="str">
        <f>IFERROR(__xludf.DUMMYFUNCTION("SUBSTITUTE(SUBSTITUTE(SUBSTITUTE(SUBSTITUTE(CONCATENATE(JOIN("" "",HP65:IB65)),""  "","" ""),""  "","" ""),""  "","" ""),""  "","" "")"),"o o • o • o • o o • o • o")</f>
        <v>o o • o • o • o o • o • o</v>
      </c>
      <c r="EO65" s="368" t="str">
        <f t="shared" si="66"/>
        <v>-</v>
      </c>
      <c r="EP65" s="339" t="str">
        <f t="shared" si="67"/>
        <v>-</v>
      </c>
      <c r="EQ65" s="339" t="str">
        <f t="shared" si="68"/>
        <v>Sa-Pa</v>
      </c>
      <c r="ER65" s="339" t="str">
        <f t="shared" si="69"/>
        <v>-</v>
      </c>
      <c r="ES65" s="340" t="str">
        <f t="shared" si="70"/>
        <v>-</v>
      </c>
      <c r="ET65" s="363"/>
      <c r="EU65" s="376" t="b">
        <f>IFERROR(__xludf.DUMMYFUNCTION("arrayformula(sum(--REGEXMATCH(""SRGMPDNS"",split(REGEXREPLACE(C65,""(.)"",""$1~""),""~""))))=len(C65)
"),FALSE)</f>
        <v>0</v>
      </c>
      <c r="EV65" s="290" t="b">
        <f>IFERROR(__xludf.DUMMYFUNCTION("arrayformula(sum(--REGEXMATCH(""SRGmPDNS"",split(REGEXREPLACE(C65,""(.)"",""$1~""),""~""))))=len(C65)"),FALSE)</f>
        <v>0</v>
      </c>
      <c r="EW65" s="290" t="b">
        <f>IFERROR(__xludf.DUMMYFUNCTION("arrayformula(sum(--REGEXMATCH(""SRGmPDnS"",split(REGEXREPLACE(C65,""(.)"",""$1~""),""~""))))=len(C65)"),FALSE)</f>
        <v>0</v>
      </c>
      <c r="EX65" s="290" t="b">
        <f>IFERROR(__xludf.DUMMYFUNCTION("arrayformula(sum(--REGEXMATCH(""SRgmPDnS"",split(REGEXREPLACE(C65,""(.)"",""$1~""),""~""))))=len(C65)"),FALSE)</f>
        <v>0</v>
      </c>
      <c r="EY65" s="290" t="b">
        <f>IFERROR(__xludf.DUMMYFUNCTION("arrayformula(sum(--REGEXMATCH(""SRgmPdnS"",split(REGEXREPLACE(C65,""(.)"",""$1~""),""~""))))=len(C65)"),FALSE)</f>
        <v>0</v>
      </c>
      <c r="EZ65" s="290" t="b">
        <f>IFERROR(__xludf.DUMMYFUNCTION("arrayformula(sum(--REGEXMATCH(""SrgmPdnS"",split(REGEXREPLACE(C65,""(.)"",""$1~""),""~""))))=len(C65)"),TRUE)</f>
        <v>1</v>
      </c>
      <c r="FA65" s="290" t="b">
        <f>IFERROR(__xludf.DUMMYFUNCTION("arrayformula(sum(--REGEXMATCH(""SrGmPdNS"",split(REGEXREPLACE(C65,""(.)"",""$1~""),""~""))))=len(C65)"),FALSE)</f>
        <v>0</v>
      </c>
      <c r="FB65" s="290" t="b">
        <f>IFERROR(__xludf.DUMMYFUNCTION("arrayformula(sum(--REGEXMATCH(""SrGMPDNS"",split(REGEXREPLACE(C65,""(.)"",""$1~""),""~""))))=len(C65)"),FALSE)</f>
        <v>0</v>
      </c>
      <c r="FC65" s="290" t="b">
        <f>IFERROR(__xludf.DUMMYFUNCTION("arrayformula(sum(--REGEXMATCH(""SrGMPdNS"",split(REGEXREPLACE(C65,""(.)"",""$1~""),""~""))))=len(C65)"),FALSE)</f>
        <v>0</v>
      </c>
      <c r="FD65" s="377" t="b">
        <f>IFERROR(__xludf.DUMMYFUNCTION("arrayformula(sum(--REGEXMATCH(""SrgMPdNS"",split(REGEXREPLACE(C65,""(.)"",""$1~""),""~""))))=len(C65)"),FALSE)</f>
        <v>0</v>
      </c>
      <c r="FE65" s="269" t="str">
        <f t="shared" si="71"/>
        <v>xoxoxoxxoxo</v>
      </c>
      <c r="FF65" s="269" t="str">
        <f t="shared" si="72"/>
        <v>-</v>
      </c>
      <c r="FG65" s="271" t="str">
        <f t="shared" si="73"/>
        <v>xoxoxxoxoxx</v>
      </c>
      <c r="FH65" s="269" t="str">
        <f t="shared" si="74"/>
        <v>-</v>
      </c>
      <c r="FI65" s="271" t="str">
        <f t="shared" si="75"/>
        <v>xoxxoxoxxox</v>
      </c>
      <c r="FJ65" s="271" t="str">
        <f t="shared" si="76"/>
        <v>-</v>
      </c>
      <c r="FK65" s="271" t="str">
        <f t="shared" si="77"/>
        <v>xxoxoxxoxox</v>
      </c>
      <c r="FL65" s="271" t="str">
        <f t="shared" si="78"/>
        <v>xoxoxxoxoxo</v>
      </c>
      <c r="FM65" s="271" t="str">
        <f t="shared" si="79"/>
        <v>-</v>
      </c>
      <c r="FN65" s="271" t="str">
        <f t="shared" si="80"/>
        <v>xoxxoxoxoxx</v>
      </c>
      <c r="FO65" s="274" t="str">
        <f t="shared" si="81"/>
        <v>-</v>
      </c>
      <c r="FP65" s="234" t="str">
        <f t="shared" si="82"/>
        <v>|</v>
      </c>
      <c r="FQ65" s="236" t="str">
        <f t="shared" si="83"/>
        <v>|</v>
      </c>
      <c r="FR65" s="237" t="str">
        <f t="shared" si="84"/>
        <v>-</v>
      </c>
      <c r="FS65" s="236" t="str">
        <f t="shared" si="85"/>
        <v>|</v>
      </c>
      <c r="FT65" s="237" t="str">
        <f t="shared" si="86"/>
        <v>-</v>
      </c>
      <c r="FU65" s="236" t="str">
        <f t="shared" si="87"/>
        <v>|</v>
      </c>
      <c r="FV65" s="237" t="str">
        <f t="shared" si="88"/>
        <v>-</v>
      </c>
      <c r="FW65" s="236" t="str">
        <f t="shared" si="89"/>
        <v>|</v>
      </c>
      <c r="FX65" s="237" t="str">
        <f t="shared" si="90"/>
        <v>|</v>
      </c>
      <c r="FY65" s="236" t="str">
        <f t="shared" si="91"/>
        <v>-</v>
      </c>
      <c r="FZ65" s="237" t="str">
        <f t="shared" si="92"/>
        <v>|</v>
      </c>
      <c r="GA65" s="236" t="str">
        <f t="shared" si="93"/>
        <v>-</v>
      </c>
      <c r="GB65" s="238" t="str">
        <f t="shared" si="94"/>
        <v>|</v>
      </c>
      <c r="GC65" s="244" t="str">
        <f>IFERROR(__xludf.DUMMYFUNCTION("IF(REGEXMATCH(C65, ""S""), ""1"","""")"),"1")</f>
        <v>1</v>
      </c>
      <c r="GD65" s="245" t="str">
        <f>IFERROR(__xludf.DUMMYFUNCTION("IF(REGEXMATCH(C65, ""r""), ""b2"","""")"),"b2")</f>
        <v>b2</v>
      </c>
      <c r="GE65" s="246" t="str">
        <f>IFERROR(__xludf.DUMMYFUNCTION("IF(REGEXMATCH(C65, ""R""), ""2"","""")"),"")</f>
        <v/>
      </c>
      <c r="GF65" s="246" t="str">
        <f>IFERROR(__xludf.DUMMYFUNCTION("IF(REGEXMATCH(C65, ""g""), ""b3"","""")"),"b3")</f>
        <v>b3</v>
      </c>
      <c r="GG65" s="245" t="str">
        <f>IFERROR(__xludf.DUMMYFUNCTION("IF(REGEXMATCH(C65, ""G""), ""3"","""")"),"")</f>
        <v/>
      </c>
      <c r="GH65" s="245" t="str">
        <f>IFERROR(__xludf.DUMMYFUNCTION("IF(REGEXMATCH(C65, ""m""), ""4"","""")"),"4")</f>
        <v>4</v>
      </c>
      <c r="GI65" s="246" t="str">
        <f>IFERROR(__xludf.DUMMYFUNCTION("IF(REGEXMATCH(C65, ""M""), ""#4"","""")"),"")</f>
        <v/>
      </c>
      <c r="GJ65" s="245" t="str">
        <f>IFERROR(__xludf.DUMMYFUNCTION("IF(REGEXMATCH(C65, ""P""), ""5"","""")"),"5")</f>
        <v>5</v>
      </c>
      <c r="GK65" s="246" t="str">
        <f>IFERROR(__xludf.DUMMYFUNCTION("IF(REGEXMATCH(C65, ""d""), ""b6"","""")"),"b6")</f>
        <v>b6</v>
      </c>
      <c r="GL65" s="245" t="str">
        <f>IFERROR(__xludf.DUMMYFUNCTION("IF(REGEXMATCH(C65, ""D""), ""6"","""")"),"")</f>
        <v/>
      </c>
      <c r="GM65" s="245" t="str">
        <f>IFERROR(__xludf.DUMMYFUNCTION("IF(REGEXMATCH(C65, ""n""), ""b7"","""")"),"b7")</f>
        <v>b7</v>
      </c>
      <c r="GN65" s="246" t="str">
        <f>IFERROR(__xludf.DUMMYFUNCTION("IF(REGEXMATCH(C65, ""N""), ""7"","""")"),"")</f>
        <v/>
      </c>
      <c r="GO65" s="249" t="str">
        <f>IFERROR(__xludf.DUMMYFUNCTION("IF(REGEXMATCH(C65, ""S""), ""8"","""")"),"8")</f>
        <v>8</v>
      </c>
      <c r="GP65" s="244" t="str">
        <f>IFERROR(__xludf.DUMMYFUNCTION("IF(REGEXMATCH(C65, ""S""), ""S"","""")"),"S")</f>
        <v>S</v>
      </c>
      <c r="GQ65" s="294" t="str">
        <f>IFERROR(__xludf.DUMMYFUNCTION("IF(REGEXMATCH(C65, ""r""), ""R1"","""")"),"R1")</f>
        <v>R1</v>
      </c>
      <c r="GR65" s="295" t="str">
        <f>IFERROR(__xludf.DUMMYFUNCTION("IF(REGEXMATCH(C65, ""R""), ""R2"","""")"),"")</f>
        <v/>
      </c>
      <c r="GS65" s="295" t="str">
        <f>IFERROR(__xludf.DUMMYFUNCTION("IF(REGEXMATCH(C65, ""g""), ""G2"","""")"),"G2")</f>
        <v>G2</v>
      </c>
      <c r="GT65" s="294" t="str">
        <f>IFERROR(__xludf.DUMMYFUNCTION("IF(REGEXMATCH(C65, ""G""), ""G3"","""")"),"")</f>
        <v/>
      </c>
      <c r="GU65" s="294" t="str">
        <f>IFERROR(__xludf.DUMMYFUNCTION("IF(REGEXMATCH(C65, ""m""), ""M1"","""")"),"M1")</f>
        <v>M1</v>
      </c>
      <c r="GV65" s="295" t="str">
        <f>IFERROR(__xludf.DUMMYFUNCTION("IF(REGEXMATCH(C65, ""M""), ""M2"","""")"),"")</f>
        <v/>
      </c>
      <c r="GW65" s="294" t="str">
        <f>IFERROR(__xludf.DUMMYFUNCTION("IF(REGEXMATCH(C65, ""P""), ""P"","""")"),"P")</f>
        <v>P</v>
      </c>
      <c r="GX65" s="295" t="str">
        <f>IFERROR(__xludf.DUMMYFUNCTION("IF(REGEXMATCH(C65, ""d""), ""D1"","""")"),"D1")</f>
        <v>D1</v>
      </c>
      <c r="GY65" s="294" t="str">
        <f>IFERROR(__xludf.DUMMYFUNCTION("IF(REGEXMATCH(C65, ""D""), ""D2"","""")"),"")</f>
        <v/>
      </c>
      <c r="GZ65" s="294" t="str">
        <f>IFERROR(__xludf.DUMMYFUNCTION("IF(REGEXMATCH(C65, ""n""), ""N2"","""")"),"N2")</f>
        <v>N2</v>
      </c>
      <c r="HA65" s="295" t="str">
        <f>IFERROR(__xludf.DUMMYFUNCTION("IF(REGEXMATCH(C65, ""N""), ""N3"","""")"),"")</f>
        <v/>
      </c>
      <c r="HB65" s="249" t="str">
        <f>IFERROR(__xludf.DUMMYFUNCTION("IF(REGEXMATCH(C65, ""S""), ""S"","""")"),"S")</f>
        <v>S</v>
      </c>
      <c r="HC65" s="331" t="str">
        <f t="shared" si="95"/>
        <v>S</v>
      </c>
      <c r="HD65" s="332" t="str">
        <f t="shared" si="96"/>
        <v/>
      </c>
      <c r="HE65" s="332" t="str">
        <f t="shared" si="97"/>
        <v>R</v>
      </c>
      <c r="HF65" s="332" t="str">
        <f t="shared" si="98"/>
        <v/>
      </c>
      <c r="HG65" s="332" t="str">
        <f t="shared" si="99"/>
        <v>G</v>
      </c>
      <c r="HH65" s="332" t="str">
        <f t="shared" si="100"/>
        <v>m</v>
      </c>
      <c r="HI65" s="332" t="str">
        <f t="shared" si="101"/>
        <v/>
      </c>
      <c r="HJ65" s="332" t="str">
        <f t="shared" si="102"/>
        <v>P</v>
      </c>
      <c r="HK65" s="332" t="str">
        <f t="shared" si="103"/>
        <v/>
      </c>
      <c r="HL65" s="332" t="str">
        <f t="shared" si="104"/>
        <v>D</v>
      </c>
      <c r="HM65" s="332" t="str">
        <f t="shared" si="105"/>
        <v/>
      </c>
      <c r="HN65" s="332" t="str">
        <f t="shared" si="106"/>
        <v>N</v>
      </c>
      <c r="HO65" s="343" t="str">
        <f t="shared" si="107"/>
        <v>S</v>
      </c>
      <c r="HP65" s="331" t="str">
        <f t="shared" si="108"/>
        <v>o</v>
      </c>
      <c r="HQ65" s="332" t="str">
        <f t="shared" si="109"/>
        <v>o</v>
      </c>
      <c r="HR65" s="332" t="str">
        <f t="shared" si="110"/>
        <v>•</v>
      </c>
      <c r="HS65" s="332" t="str">
        <f t="shared" si="111"/>
        <v>o</v>
      </c>
      <c r="HT65" s="332" t="str">
        <f t="shared" si="112"/>
        <v>•</v>
      </c>
      <c r="HU65" s="332" t="str">
        <f t="shared" si="113"/>
        <v>o</v>
      </c>
      <c r="HV65" s="332" t="str">
        <f t="shared" si="114"/>
        <v>•</v>
      </c>
      <c r="HW65" s="332" t="str">
        <f t="shared" si="115"/>
        <v>o</v>
      </c>
      <c r="HX65" s="332" t="str">
        <f t="shared" si="116"/>
        <v>o</v>
      </c>
      <c r="HY65" s="332" t="str">
        <f t="shared" si="117"/>
        <v>•</v>
      </c>
      <c r="HZ65" s="332" t="str">
        <f t="shared" si="118"/>
        <v>o</v>
      </c>
      <c r="IA65" s="332" t="str">
        <f t="shared" si="119"/>
        <v>•</v>
      </c>
      <c r="IB65" s="338" t="str">
        <f t="shared" si="120"/>
        <v>o</v>
      </c>
      <c r="IC65" s="331" t="str">
        <f t="shared" si="121"/>
        <v>•</v>
      </c>
      <c r="ID65" s="332" t="str">
        <f t="shared" si="122"/>
        <v>•</v>
      </c>
      <c r="IE65" s="332" t="str">
        <f t="shared" si="123"/>
        <v>o</v>
      </c>
      <c r="IF65" s="332" t="str">
        <f t="shared" si="124"/>
        <v>•</v>
      </c>
      <c r="IG65" s="332" t="str">
        <f t="shared" si="125"/>
        <v>o</v>
      </c>
      <c r="IH65" s="332" t="str">
        <f t="shared" si="126"/>
        <v>•</v>
      </c>
      <c r="II65" s="332" t="str">
        <f t="shared" si="127"/>
        <v>o</v>
      </c>
      <c r="IJ65" s="332" t="str">
        <f t="shared" si="128"/>
        <v>•</v>
      </c>
      <c r="IK65" s="332" t="str">
        <f t="shared" si="129"/>
        <v>•</v>
      </c>
      <c r="IL65" s="332" t="str">
        <f t="shared" si="130"/>
        <v>o</v>
      </c>
      <c r="IM65" s="332" t="str">
        <f t="shared" si="131"/>
        <v>•</v>
      </c>
      <c r="IN65" s="332" t="str">
        <f t="shared" si="132"/>
        <v>o</v>
      </c>
      <c r="IO65" s="338" t="str">
        <f t="shared" si="133"/>
        <v>•</v>
      </c>
      <c r="IP65" s="346" t="b">
        <f t="shared" si="134"/>
        <v>0</v>
      </c>
      <c r="IQ65" s="347" t="b">
        <f t="shared" si="135"/>
        <v>0</v>
      </c>
      <c r="IR65" s="347" t="b">
        <f t="shared" si="136"/>
        <v>0</v>
      </c>
      <c r="IS65" s="347" t="b">
        <f t="shared" si="137"/>
        <v>0</v>
      </c>
      <c r="IT65" s="347" t="b">
        <f t="shared" si="138"/>
        <v>0</v>
      </c>
      <c r="IU65" s="347" t="b">
        <f t="shared" si="139"/>
        <v>0</v>
      </c>
      <c r="IV65" s="347" t="b">
        <f t="shared" si="140"/>
        <v>0</v>
      </c>
      <c r="IW65" s="347" t="b">
        <f t="shared" si="141"/>
        <v>1</v>
      </c>
      <c r="IX65" s="347" t="b">
        <f t="shared" si="142"/>
        <v>0</v>
      </c>
      <c r="IY65" s="347" t="b">
        <f t="shared" si="143"/>
        <v>0</v>
      </c>
      <c r="IZ65" s="347" t="b">
        <f t="shared" si="144"/>
        <v>0</v>
      </c>
      <c r="JA65" s="347" t="b">
        <f t="shared" si="145"/>
        <v>0</v>
      </c>
      <c r="JB65" s="353" t="b">
        <f t="shared" si="146"/>
        <v>0</v>
      </c>
      <c r="JC65" s="354" t="str">
        <f t="shared" si="147"/>
        <v/>
      </c>
      <c r="JD65" s="355" t="str">
        <f t="shared" si="148"/>
        <v/>
      </c>
      <c r="JE65" s="355" t="str">
        <f t="shared" si="149"/>
        <v/>
      </c>
      <c r="JF65" s="355" t="str">
        <f t="shared" si="150"/>
        <v/>
      </c>
      <c r="JG65" s="355" t="str">
        <f t="shared" si="151"/>
        <v/>
      </c>
      <c r="JH65" s="355" t="str">
        <f t="shared" si="152"/>
        <v/>
      </c>
      <c r="JI65" s="355" t="str">
        <f t="shared" si="153"/>
        <v/>
      </c>
      <c r="JJ65" s="355" t="str">
        <f t="shared" si="154"/>
        <v>Pa, </v>
      </c>
      <c r="JK65" s="355" t="str">
        <f t="shared" si="155"/>
        <v/>
      </c>
      <c r="JL65" s="355" t="str">
        <f t="shared" si="156"/>
        <v/>
      </c>
      <c r="JM65" s="355" t="str">
        <f t="shared" si="157"/>
        <v/>
      </c>
      <c r="JN65" s="355" t="str">
        <f t="shared" si="158"/>
        <v/>
      </c>
      <c r="JO65" s="359" t="str">
        <f t="shared" si="159"/>
        <v/>
      </c>
      <c r="JP65" s="346" t="b">
        <f t="shared" si="160"/>
        <v>0</v>
      </c>
      <c r="JQ65" s="347" t="b">
        <f t="shared" si="161"/>
        <v>0</v>
      </c>
      <c r="JR65" s="347" t="b">
        <f t="shared" si="162"/>
        <v>0</v>
      </c>
      <c r="JS65" s="347" t="b">
        <f t="shared" si="163"/>
        <v>0</v>
      </c>
      <c r="JT65" s="347" t="b">
        <f t="shared" si="164"/>
        <v>0</v>
      </c>
      <c r="JU65" s="347" t="b">
        <f t="shared" si="165"/>
        <v>0</v>
      </c>
      <c r="JV65" s="347" t="b">
        <f t="shared" si="166"/>
        <v>0</v>
      </c>
      <c r="JW65" s="347" t="b">
        <f t="shared" si="167"/>
        <v>0</v>
      </c>
      <c r="JX65" s="347" t="b">
        <f t="shared" si="168"/>
        <v>0</v>
      </c>
      <c r="JY65" s="347" t="b">
        <f t="shared" si="169"/>
        <v>0</v>
      </c>
      <c r="JZ65" s="347" t="b">
        <f t="shared" si="170"/>
        <v>0</v>
      </c>
      <c r="KA65" s="347" t="b">
        <f t="shared" si="171"/>
        <v>0</v>
      </c>
      <c r="KB65" s="365" t="b">
        <f t="shared" si="172"/>
        <v>0</v>
      </c>
      <c r="KC65" s="354" t="str">
        <f t="shared" si="173"/>
        <v/>
      </c>
      <c r="KD65" s="355" t="str">
        <f t="shared" si="174"/>
        <v/>
      </c>
      <c r="KE65" s="355" t="str">
        <f t="shared" si="175"/>
        <v/>
      </c>
      <c r="KF65" s="355" t="str">
        <f t="shared" si="176"/>
        <v/>
      </c>
      <c r="KG65" s="355" t="str">
        <f t="shared" si="177"/>
        <v/>
      </c>
      <c r="KH65" s="355" t="str">
        <f t="shared" si="178"/>
        <v/>
      </c>
      <c r="KI65" s="355" t="str">
        <f t="shared" si="179"/>
        <v/>
      </c>
      <c r="KJ65" s="355" t="str">
        <f t="shared" si="180"/>
        <v/>
      </c>
      <c r="KK65" s="355" t="str">
        <f t="shared" si="181"/>
        <v/>
      </c>
      <c r="KL65" s="355" t="str">
        <f t="shared" si="182"/>
        <v/>
      </c>
      <c r="KM65" s="355" t="str">
        <f t="shared" si="183"/>
        <v/>
      </c>
      <c r="KN65" s="355" t="str">
        <f t="shared" si="184"/>
        <v/>
      </c>
      <c r="KO65" s="359"/>
      <c r="KP65" s="378"/>
      <c r="KQ65" s="379" t="s">
        <v>621</v>
      </c>
      <c r="KR65" s="380" t="s">
        <v>1325</v>
      </c>
      <c r="KS65" s="381" t="str">
        <f>KQ65</f>
        <v>S-r-g-P-d-S</v>
      </c>
      <c r="KT65" s="382">
        <f t="shared" si="186"/>
        <v>5</v>
      </c>
      <c r="KU65" s="383">
        <f t="shared" si="187"/>
        <v>5</v>
      </c>
      <c r="KV65" s="381" t="str">
        <f t="shared" si="205"/>
        <v>S-n-d-P-m-g-r-S</v>
      </c>
      <c r="KW65" s="382">
        <f t="shared" si="189"/>
        <v>7</v>
      </c>
      <c r="KX65" s="384">
        <f t="shared" si="190"/>
        <v>7</v>
      </c>
      <c r="KY65" s="382">
        <f t="shared" ref="KY65:KZ65" si="326">KW65-KT65</f>
        <v>2</v>
      </c>
      <c r="KZ65" s="369">
        <f t="shared" si="326"/>
        <v>2</v>
      </c>
      <c r="LA65" s="385" t="str">
        <f t="shared" si="192"/>
        <v>-</v>
      </c>
      <c r="LB65" s="340" t="str">
        <f>IFERROR(__xludf.DUMMYFUNCTION("JOIN("""",ArrayFormula(MID(KS65,LEN(KS65)-SEQUENCE(1,LEN(KS65))+1,1)))"),"S-d-P-g-r-S")</f>
        <v>S-d-P-g-r-S</v>
      </c>
      <c r="LC65" s="373" t="str">
        <f>IFERROR(__xludf.DUMMYFUNCTION("JOIN("""",ArrayFormula(MID(KV65,LEN(KV65)-SEQUENCE(1,LEN(KV65))+1,1)))"),"S-r-g-m-P-d-n-S")</f>
        <v>S-r-g-m-P-d-n-S</v>
      </c>
      <c r="LD65" s="373" t="str">
        <f t="shared" si="193"/>
        <v>SrgPdS</v>
      </c>
      <c r="LE65" s="339" t="str">
        <f t="shared" si="194"/>
        <v>SrgmPdnS</v>
      </c>
      <c r="LF65" s="386" t="str">
        <f>IFERROR(__xludf.DUMMYFUNCTION("SUBSTITUTE(SUBSTITUTE(CONCATENATE(JOIN("""",LH65:LT65)),""1"",""""),""2"","""")"),"SrgmPdnS")</f>
        <v>SrgmPdnS</v>
      </c>
      <c r="LG65" s="369" t="str">
        <f t="shared" si="195"/>
        <v>✔</v>
      </c>
      <c r="LH65" s="387" t="str">
        <f>IFERROR(__xludf.DUMMYFUNCTION("IF(REGEXMATCH(LD65, ""S""), ""S"",IF(REGEXMATCH(LE65, ""S""), ""S"",""""))"),"S")</f>
        <v>S</v>
      </c>
      <c r="LI65" s="299" t="str">
        <f>IFERROR(__xludf.DUMMYFUNCTION("IF(REGEXMATCH(LD65, ""r""), ""r1"",IF(REGEXMATCH(LE65, ""r""), ""r2"",""""))"),"r1")</f>
        <v>r1</v>
      </c>
      <c r="LJ65" s="299" t="str">
        <f>IFERROR(__xludf.DUMMYFUNCTION("IF(REGEXMATCH(LD65, ""R""), ""R1"",IF(REGEXMATCH(LE65, ""R""), ""R2"",""""))"),"")</f>
        <v/>
      </c>
      <c r="LK65" s="299" t="str">
        <f>IFERROR(__xludf.DUMMYFUNCTION("IF(REGEXMATCH(LD65, ""g""), ""g1"",IF(REGEXMATCH(LE65, ""g""), ""g2"",""""))"),"g1")</f>
        <v>g1</v>
      </c>
      <c r="LL65" s="299" t="str">
        <f>IFERROR(__xludf.DUMMYFUNCTION("IF(REGEXMATCH(LD65, ""G""), ""G1"",IF(REGEXMATCH(LE65, ""G""), ""G2"",""""))"),"")</f>
        <v/>
      </c>
      <c r="LM65" s="299" t="str">
        <f>IFERROR(__xludf.DUMMYFUNCTION("IF(REGEXMATCH(LD65, ""m""), ""m1"",IF(REGEXMATCH(LE65, ""m""), ""m2"",""""))"),"m2")</f>
        <v>m2</v>
      </c>
      <c r="LN65" s="299" t="str">
        <f>IFERROR(__xludf.DUMMYFUNCTION("IF(REGEXMATCH(LD65, ""M""), ""M1"",IF(REGEXMATCH(LE65, ""M""), ""M2"",""""))"),"")</f>
        <v/>
      </c>
      <c r="LO65" s="299" t="str">
        <f>IFERROR(__xludf.DUMMYFUNCTION("IF(REGEXMATCH(LD65, ""P""), ""P1"",IF(REGEXMATCH(LE65, ""P""), ""P2"",""""))"),"P1")</f>
        <v>P1</v>
      </c>
      <c r="LP65" s="299" t="str">
        <f>IFERROR(__xludf.DUMMYFUNCTION("IF(REGEXMATCH(LD65, ""d""), ""d1"",IF(REGEXMATCH(LE65, ""d""), ""d2"",""""))"),"d1")</f>
        <v>d1</v>
      </c>
      <c r="LQ65" s="299" t="str">
        <f>IFERROR(__xludf.DUMMYFUNCTION("IF(REGEXMATCH(LD65, ""D""), ""D1"",IF(REGEXMATCH(LE65, ""D""), ""D2"",""""))"),"")</f>
        <v/>
      </c>
      <c r="LR65" s="299" t="str">
        <f>IFERROR(__xludf.DUMMYFUNCTION("IF(REGEXMATCH(LD65, ""n""), ""n1"",IF(REGEXMATCH(LE65, ""n""), ""n2"",""""))"),"n2")</f>
        <v>n2</v>
      </c>
      <c r="LS65" s="299" t="str">
        <f>IFERROR(__xludf.DUMMYFUNCTION("IF(REGEXMATCH(LD65, ""N""), ""N1"",IF(REGEXMATCH(LE65, ""N""), ""N2"",""""))"),"")</f>
        <v/>
      </c>
      <c r="LT65" s="388" t="str">
        <f>IFERROR(__xludf.DUMMYFUNCTION("IF(REGEXMATCH(LD65, ""S""), ""S"",IF(REGEXMATCH(LE65, ""S""), ""S"",""""))"),"S")</f>
        <v>S</v>
      </c>
      <c r="LU65" s="389">
        <f t="shared" si="196"/>
        <v>-3</v>
      </c>
      <c r="LV65" s="378"/>
      <c r="LW65" s="369"/>
      <c r="LX65" s="369"/>
    </row>
    <row r="66" ht="18.0" customHeight="1">
      <c r="A66" s="298" t="s">
        <v>119</v>
      </c>
      <c r="B66" s="222" t="s">
        <v>554</v>
      </c>
      <c r="C66" s="233" t="str">
        <f t="shared" si="7"/>
        <v>SRGmPDNS</v>
      </c>
      <c r="D66" s="234" t="str">
        <f>IFERROR(__xludf.DUMMYFUNCTION("IF(REGEXMATCH(C66, ""S""), ""S"","""")"),"S")</f>
        <v>S</v>
      </c>
      <c r="E66" s="236" t="str">
        <f>IFERROR(__xludf.DUMMYFUNCTION("IF(REGEXMATCH(C66, ""r""), ""r"","""")"),"")</f>
        <v/>
      </c>
      <c r="F66" s="237" t="str">
        <f>IFERROR(__xludf.DUMMYFUNCTION("IF(REGEXMATCH(C66, ""R""), ""R"","""")"),"R")</f>
        <v>R</v>
      </c>
      <c r="G66" s="237" t="str">
        <f>IFERROR(__xludf.DUMMYFUNCTION("IF(REGEXMATCH(C66, ""g""), ""g"","""")"),"")</f>
        <v/>
      </c>
      <c r="H66" s="236" t="str">
        <f>IFERROR(__xludf.DUMMYFUNCTION("IF(REGEXMATCH(C66, ""G""), ""G"","""")"),"G")</f>
        <v>G</v>
      </c>
      <c r="I66" s="236" t="str">
        <f>IFERROR(__xludf.DUMMYFUNCTION("IF(REGEXMATCH(C66, ""m""), ""m"","""")"),"m")</f>
        <v>m</v>
      </c>
      <c r="J66" s="237" t="str">
        <f>IFERROR(__xludf.DUMMYFUNCTION("IF(REGEXMATCH(C66, ""M""), ""M"","""")"),"")</f>
        <v/>
      </c>
      <c r="K66" s="236" t="str">
        <f>IFERROR(__xludf.DUMMYFUNCTION("IF(REGEXMATCH(C66, ""P""), ""P"","""")"),"P")</f>
        <v>P</v>
      </c>
      <c r="L66" s="237" t="str">
        <f>IFERROR(__xludf.DUMMYFUNCTION("IF(REGEXMATCH(C66, ""d""), ""d"","""")"),"")</f>
        <v/>
      </c>
      <c r="M66" s="236" t="str">
        <f>IFERROR(__xludf.DUMMYFUNCTION("IF(REGEXMATCH(C66, ""D""), ""D"","""")"),"D")</f>
        <v>D</v>
      </c>
      <c r="N66" s="236" t="str">
        <f>IFERROR(__xludf.DUMMYFUNCTION("IF(REGEXMATCH(C66, ""n""), ""n"","""")"),"")</f>
        <v/>
      </c>
      <c r="O66" s="237" t="str">
        <f>IFERROR(__xludf.DUMMYFUNCTION("IF(REGEXMATCH(C66, ""N""), ""N"","""")"),"N")</f>
        <v>N</v>
      </c>
      <c r="P66" s="238" t="str">
        <f>IFERROR(__xludf.DUMMYFUNCTION("IF(REGEXMATCH(C66, ""S""), ""S"","""")"),"S")</f>
        <v>S</v>
      </c>
      <c r="Q66" s="239" t="str">
        <f>IFERROR(__xludf.DUMMYFUNCTION("SUBSTITUTE(CONCATENATE(JOIN(""-"",D66:J66)),""-"","""")"),"SRGm")</f>
        <v>SRGm</v>
      </c>
      <c r="R66" s="229" t="str">
        <f>IFERROR(__xludf.DUMMYFUNCTION("SUBSTITUTE(CONCATENATE(JOIN(""-"",K66:P66)),""-"","""")"),"PDNS")</f>
        <v>PDNS</v>
      </c>
      <c r="S66" s="282" t="str">
        <f t="shared" si="8"/>
        <v>S-R-G-M</v>
      </c>
      <c r="T66" s="282" t="str">
        <f t="shared" si="9"/>
        <v>P-D-N-S</v>
      </c>
      <c r="U66" s="237" t="str">
        <f>IFERROR(__xludf.DUMMYFUNCTION("SUBSTITUTE(JOIN(""-"",S66,T66),""--"",""-"")"),"S-R-G-M-P-D-N-S")</f>
        <v>S-R-G-M-P-D-N-S</v>
      </c>
      <c r="V66" s="309" t="str">
        <f t="shared" si="10"/>
        <v>RGmDN</v>
      </c>
      <c r="W66" s="244" t="str">
        <f>IFERROR(__xludf.DUMMYFUNCTION("IF(REGEXMATCH(C66, ""S""), ""0"","""")"),"0")</f>
        <v>0</v>
      </c>
      <c r="X66" s="245" t="str">
        <f>IFERROR(__xludf.DUMMYFUNCTION("IF(REGEXMATCH(C66, ""r""), ""1"","""")"),"")</f>
        <v/>
      </c>
      <c r="Y66" s="246" t="str">
        <f>IFERROR(__xludf.DUMMYFUNCTION("IF(REGEXMATCH(C66, ""R""), ""2"","""")"),"2")</f>
        <v>2</v>
      </c>
      <c r="Z66" s="246" t="str">
        <f>IFERROR(__xludf.DUMMYFUNCTION("IF(REGEXMATCH(C66, ""g""), ""3"","""")"),"")</f>
        <v/>
      </c>
      <c r="AA66" s="245" t="str">
        <f>IFERROR(__xludf.DUMMYFUNCTION("IF(REGEXMATCH(C66, ""G""), ""4"","""")"),"4")</f>
        <v>4</v>
      </c>
      <c r="AB66" s="245" t="str">
        <f>IFERROR(__xludf.DUMMYFUNCTION("IF(REGEXMATCH(C66, ""m""), ""5"","""")"),"5")</f>
        <v>5</v>
      </c>
      <c r="AC66" s="246" t="str">
        <f>IFERROR(__xludf.DUMMYFUNCTION("IF(REGEXMATCH(C66, ""M""), ""6"","""")"),"")</f>
        <v/>
      </c>
      <c r="AD66" s="245" t="str">
        <f>IFERROR(__xludf.DUMMYFUNCTION("IF(REGEXMATCH(C66, ""P""), ""7"","""")"),"7")</f>
        <v>7</v>
      </c>
      <c r="AE66" s="246" t="str">
        <f>IFERROR(__xludf.DUMMYFUNCTION("IF(REGEXMATCH(C66, ""d""), ""8"","""")"),"")</f>
        <v/>
      </c>
      <c r="AF66" s="245" t="str">
        <f>IFERROR(__xludf.DUMMYFUNCTION("IF(REGEXMATCH(C66, ""D""), ""9"","""")"),"9")</f>
        <v>9</v>
      </c>
      <c r="AG66" s="245" t="str">
        <f>IFERROR(__xludf.DUMMYFUNCTION("IF(REGEXMATCH(C66, ""n""), ""10"","""")"),"")</f>
        <v/>
      </c>
      <c r="AH66" s="246" t="str">
        <f>IFERROR(__xludf.DUMMYFUNCTION("IF(REGEXMATCH(C66, ""N""), ""11"","""")"),"11")</f>
        <v>11</v>
      </c>
      <c r="AI66" s="249" t="str">
        <f>IFERROR(__xludf.DUMMYFUNCTION("IF(REGEXMATCH(C66, ""S""), ""0"","""")"),"0")</f>
        <v>0</v>
      </c>
      <c r="AJ66" s="313" t="str">
        <f t="shared" si="11"/>
        <v>-</v>
      </c>
      <c r="AK66" s="313" t="str">
        <f t="shared" si="12"/>
        <v>-</v>
      </c>
      <c r="AL66" s="313" t="str">
        <f t="shared" si="13"/>
        <v>-</v>
      </c>
      <c r="AM66" s="313" t="str">
        <f t="shared" si="14"/>
        <v>-</v>
      </c>
      <c r="AN66" s="313" t="str">
        <f t="shared" si="15"/>
        <v>-</v>
      </c>
      <c r="AO66" s="314" t="str">
        <f t="shared" si="16"/>
        <v>T</v>
      </c>
      <c r="AP66" s="316">
        <f t="shared" si="17"/>
        <v>1</v>
      </c>
      <c r="AQ66" s="319" t="str">
        <f t="shared" si="18"/>
        <v>-</v>
      </c>
      <c r="AR66" s="320">
        <f t="shared" si="19"/>
        <v>0</v>
      </c>
      <c r="AS66" s="250" t="str">
        <f>IFERROR(__xludf.DUMMYFUNCTION("SUBSTITUTE(SUBSTITUTE(CONCATENATE(JOIN("""",FP66:GA66)),""|"",""x""),""-"",""o"")"),"xoxoxxoxoxox")</f>
        <v>xoxoxxoxoxox</v>
      </c>
      <c r="AT66" s="323" t="str">
        <f>IFERROR(__xludf.DUMMYFUNCTION("JOIN("""",AS66,AS66)"),"xoxoxxoxoxoxxoxoxxoxoxox")</f>
        <v>xoxoxxoxoxoxxoxoxxoxoxox</v>
      </c>
      <c r="AU66" s="256" t="str">
        <f>IFERROR(__xludf.DUMMYFUNCTION("JOIN("""",ArrayFormula(MID(AS66,LEN(AS66)-SEQUENCE(1,LEN(AS66))+1,1)))"),"xoxoxoxxoxox")</f>
        <v>xoxoxoxxoxox</v>
      </c>
      <c r="AV66" s="256" t="str">
        <f>IFERROR(__xludf.DUMMYFUNCTION("LEFT(CONCATENATE(""x"",JOIN("""",ArrayFormula(MID(AS66,LEN(AS66)-SEQUENCE(1,LEN(AS66))+1,1)))),12)"),"xxoxoxoxxoxo")</f>
        <v>xxoxoxoxxoxo</v>
      </c>
      <c r="AW66" s="327" t="str">
        <f>IFERROR(__xludf.DUMMYFUNCTION("JOIN("""",AU66,AU66)"),"xoxoxoxxoxoxxoxoxoxxoxox")</f>
        <v>xoxoxoxxoxoxxoxoxoxxoxox</v>
      </c>
      <c r="AX66" s="239" t="str">
        <f>IFERROR(__xludf.DUMMYFUNCTION("IF(REGEXMATCH(AW66,AS66),""✔"",""-"")"),"✔")</f>
        <v>✔</v>
      </c>
      <c r="AY66" s="330" t="str">
        <f t="shared" si="20"/>
        <v>-</v>
      </c>
      <c r="AZ66" s="260" t="str">
        <f t="shared" si="21"/>
        <v>#REF!</v>
      </c>
      <c r="BA66" s="333" t="str">
        <f t="shared" si="22"/>
        <v>xoxoxxo</v>
      </c>
      <c r="BB66" s="334" t="str">
        <f t="shared" si="23"/>
        <v>xoxoxx</v>
      </c>
      <c r="BC66" s="335" t="str">
        <f t="shared" si="236"/>
        <v>✔</v>
      </c>
      <c r="BD66" s="336" t="str">
        <f t="shared" si="25"/>
        <v>Bilawal: 'xoxoxxo' + 'xoxoxx'</v>
      </c>
      <c r="BE66" s="337">
        <f>IFERROR(__xludf.DUMMYFUNCTION("COUNTUNIQUE(FILTER(AT:AT,REGEXMATCH(AT:AT,AS66)))-1"),6.0)</f>
        <v>6</v>
      </c>
      <c r="BF66" s="261" t="str">
        <f>IFERROR(__xludf.DUMMYFUNCTION("IF(BI66=0,""(n/a)"",IF(BJ66=2,""(PAIR)"",IF(REGEXMATCH(AT66,""xoxoxxoxoxox""),""Bilawal"",IF(REGEXMATCH(AT66,""xoxoxooxoxoo""),""Bhupali"",IF(REGEXMATCH(AT66,""xoxoxxoxxoxo""),""Charukeshi"",IF(REGEXMATCH(AT66,""xoxoooxxoxxo""),""Kameshwari"",IF(REGEXMATC"&amp;"H(AT66,""xoxoxooxoxox""),""Shankara"",IF(REGEXMATCH(AT66,""xxooxoxxxoox""),""Basant"",IF(REGEXMATCH(AT66,""xoxoxxxxoxox""),""Bihag"",IF(REGEXMATCH(AT66,""xoxxxxoxoxxx""),""Pilu"",IF(REGEXMATCH(AT66,""xoxxoxoxxoox""),""Kirwani"",IF(REGEXMATCH(AT66,""xoxxox"&amp;"oxoxxx""),""Mk.Malhar"",IF(REGEXMATCH(AT66,""xxooxxoxxoox""),""Bhairav"",IF(REGEXMATCH(AT66,""xxoxooxxxoox""),""Todi"",IF(REGEXMATCH(AT66,""xxooxoxooxox""),""Marwa"",IF(REGEXMATCH(AT66,""xxoooxoxxooo""),""Gunkali"",IF(REGEXMATCH(AT66,""xoxoxxoxxoox""),""N"&amp;"at Bhairav"",IF(REGEXMATCH(AT66,""xoxxoooxoxoo""),""Shivranjani"",IF(REGEXMATCH(AT66,""xooxxxoxooxo""),""Jog"",IF(REGEXMATCH(AT66,""xxooxoxoxoox""),""Hemshri"",IF(REGEXMATCH(AT66,""xoooxooxoxxo""),""Kalavati"",IF(REGEXMATCH(AT66,""xxoxoxxoxoox""),""Kedar"&amp;""",IF(REGEXMATCH(AT66,""xoxxxxoxooxx""),""Gara"",IF(REGEXMATCH(AT66,""xooxoxooxoox""),""Chandrakauns"",IF(REGEXMATCH(AT66,""xoxxxxoxxxox""),""Mand"",IF(REGEXMATCH(AT66,""xoxxxxoxoxox""),""Hanskinkini"",IF(REGEXMATCH(AT66,""xxooxxoxooxo""),""Lilavati"",IF("&amp;"REGEXMATCH(AT66,""xooxoxoooxox""),""Rajeshwari"",IF(REGEXMATCH(AT66,""xoooxxoxoxxx""),""Khokar"",IF(REGEXMATCH(AT66,""xxooxoxxxxox""),""Maligoura"",""-""))))))))))))))))))))))))))))))"),"Bilawal")</f>
        <v>Bilawal</v>
      </c>
      <c r="BG66" s="239" t="str">
        <f t="shared" si="26"/>
        <v>#REF!</v>
      </c>
      <c r="BH66" s="239">
        <f>IFERROR(__xludf.DUMMYFUNCTION("COUNTUNIQUE(FE66:FO66)-1"),6.0)</f>
        <v>6</v>
      </c>
      <c r="BI66" s="239">
        <f>IFERROR(__xludf.DUMMYFUNCTION("COUNTUNIQUE(FILTER(AT:AT,REGEXMATCH(AT:AT,AS66)))-1"),6.0)</f>
        <v>6</v>
      </c>
      <c r="BJ66" s="239">
        <f>IFERROR(__xludf.DUMMYFUNCTION("COUNTA(FILTER(AT:AT,REGEXMATCH(AT:AT,AS66)))"),48.0)</f>
        <v>48</v>
      </c>
      <c r="BK66" s="341">
        <f>IFERROR(__xludf.DUMMYFUNCTION("COUNTA(FILTER(AT:AT,REGEXMATCH(AT:AT,AS66)))-AR66"),48.0)</f>
        <v>48</v>
      </c>
      <c r="BL66" s="276" t="str">
        <f>IFERROR(__xludf.DUMMYFUNCTION("IF(AS66=""oooooooooooo"",""-"",IF(REGEXMATCH(AT66,""xx""), ""Hemi."", ""Anhemi.""))"),"Hemi.")</f>
        <v>Hemi.</v>
      </c>
      <c r="BM66" s="282" t="str">
        <f>IFERROR(__xludf.DUMMYFUNCTION("IF(AS66=""oooooooooooo"",""-"",IF(REGEXMATCH(AT66,""xxx""), ""Cohem."", ""-""))"),"-")</f>
        <v>-</v>
      </c>
      <c r="BN66" s="282" t="str">
        <f>IFERROR(__xludf.DUMMYFUNCTION("IF(AS66=""oooooooooooo"",""-"",IF(REGEXMATCH(AT66,""xxxx""), ""Co-Co."", ""-""))"),"-")</f>
        <v>-</v>
      </c>
      <c r="BO66" s="342" t="str">
        <f>IFERROR(__xludf.DUMMYFUNCTION("IF(AS66=""oooooooooooo"",""-"",IF(REGEXMATCH(AT66,""xxxxx""), ""CCC."", ""-""))"),"-")</f>
        <v>-</v>
      </c>
      <c r="BP66" s="344" t="str">
        <f t="shared" si="27"/>
        <v>Bilawal</v>
      </c>
      <c r="BQ66" s="282" t="str">
        <f>IFERROR(__xludf.DUMMYFUNCTION("IF(REGEXMATCH(JOIN(""-"",EU66:FD66),""TRUE""),""✔"",""-"")"),"✔")</f>
        <v>✔</v>
      </c>
      <c r="BR66" s="225">
        <f t="shared" si="28"/>
        <v>1</v>
      </c>
      <c r="BS66" s="345" t="str">
        <f>IFERROR(__xludf.DUMMYFUNCTION("SUBSTITUTE(SUBSTITUTE(SUBSTITUTE(SUBSTITUTE(CONCATENATE(JOIN(""-"",GC66:GO66)),""--"",""-""),""--"",""-""),""--"",""-""),""--"",""-"")"),"1-2-3-4-5-6-7-8")</f>
        <v>1-2-3-4-5-6-7-8</v>
      </c>
      <c r="BT66" s="299" t="str">
        <f>IFERROR(__xludf.DUMMYFUNCTION("SUBSTITUTE(SUBSTITUTE(SUBSTITUTE(SUBSTITUTE(CONCATENATE(JOIN(""-"",GP66:HB66)),""--"",""-""),""--"",""-""),""--"",""-""),""--"",""-"")"),"S-R2-G3-M1-P-D2-N3-S")</f>
        <v>S-R2-G3-M1-P-D2-N3-S</v>
      </c>
      <c r="BU66" s="348" t="str">
        <f t="shared" si="29"/>
        <v>C-D-E-F-G-A-B-C</v>
      </c>
      <c r="BV66" s="349" t="str">
        <f t="shared" si="30"/>
        <v>SrgMdnS</v>
      </c>
      <c r="BW66" s="350">
        <f t="shared" si="31"/>
        <v>1</v>
      </c>
      <c r="BX66" s="351">
        <f t="shared" si="32"/>
        <v>17</v>
      </c>
      <c r="BY66" s="392"/>
      <c r="BZ66" s="309" t="str">
        <f>IFERROR(__xludf.DUMMYFUNCTION("IF(REGEXMATCH(C66, ""S""), ""x"",""x"")"),"x")</f>
        <v>x</v>
      </c>
      <c r="CA66" s="245" t="str">
        <f>IFERROR(__xludf.DUMMYFUNCTION("IF(REGEXMATCH(C66, ""r""), ""o"",""x"")"),"x")</f>
        <v>x</v>
      </c>
      <c r="CB66" s="246" t="str">
        <f>IFERROR(__xludf.DUMMYFUNCTION("IF(REGEXMATCH(C66, ""R""), ""o"",""x"")"),"o")</f>
        <v>o</v>
      </c>
      <c r="CC66" s="246" t="str">
        <f>IFERROR(__xludf.DUMMYFUNCTION("IF(REGEXMATCH(C66, ""g""), ""o"",""x"")"),"x")</f>
        <v>x</v>
      </c>
      <c r="CD66" s="245" t="str">
        <f>IFERROR(__xludf.DUMMYFUNCTION("IF(REGEXMATCH(C66, ""G""), ""o"",""x"")"),"o")</f>
        <v>o</v>
      </c>
      <c r="CE66" s="245" t="str">
        <f>IFERROR(__xludf.DUMMYFUNCTION("IF(REGEXMATCH(C66, ""m""), ""o"",""x"")"),"o")</f>
        <v>o</v>
      </c>
      <c r="CF66" s="246" t="str">
        <f>IFERROR(__xludf.DUMMYFUNCTION("IF(REGEXMATCH(C66, ""M""), ""o"",""x"")"),"x")</f>
        <v>x</v>
      </c>
      <c r="CG66" s="245" t="str">
        <f>IFERROR(__xludf.DUMMYFUNCTION("IF(REGEXMATCH(C66, ""P""), ""o"",""x"")"),"o")</f>
        <v>o</v>
      </c>
      <c r="CH66" s="246" t="str">
        <f>IFERROR(__xludf.DUMMYFUNCTION("IF(REGEXMATCH(C66, ""d""), ""o"",""x"")"),"x")</f>
        <v>x</v>
      </c>
      <c r="CI66" s="245" t="str">
        <f>IFERROR(__xludf.DUMMYFUNCTION("IF(REGEXMATCH(C66, ""D""), ""o"",""x"")"),"o")</f>
        <v>o</v>
      </c>
      <c r="CJ66" s="245" t="str">
        <f>IFERROR(__xludf.DUMMYFUNCTION("IF(REGEXMATCH(C66, ""n""), ""o"",""x"")"),"x")</f>
        <v>x</v>
      </c>
      <c r="CK66" s="245" t="str">
        <f>IFERROR(__xludf.DUMMYFUNCTION("IF(REGEXMATCH(C66, ""N""), ""o"",""x"")"),"o")</f>
        <v>o</v>
      </c>
      <c r="CL66" s="356" t="str">
        <f>IFERROR(__xludf.DUMMYFUNCTION("IF(REGEXMATCH(C66, ""S""), ""x"",""x"")"),"x")</f>
        <v>x</v>
      </c>
      <c r="CM66" s="357" t="str">
        <f t="shared" si="33"/>
        <v>xxoxooxoxoxo</v>
      </c>
      <c r="CN66" s="358">
        <f t="shared" si="34"/>
        <v>1</v>
      </c>
      <c r="CO66" s="246" t="str">
        <f>IFERROR(__xludf.DUMMYFUNCTION("IF(REGEXMATCH($C66, ""S""), ""S"",""S"")"),"S")</f>
        <v>S</v>
      </c>
      <c r="CP66" s="246" t="str">
        <f>IFERROR(__xludf.DUMMYFUNCTION("IF(REGEXMATCH($C66, ""r""), """",""r"")"),"r")</f>
        <v>r</v>
      </c>
      <c r="CQ66" s="246" t="str">
        <f>IFERROR(__xludf.DUMMYFUNCTION("IF(REGEXMATCH($C66, ""R""), """",""R"")"),"")</f>
        <v/>
      </c>
      <c r="CR66" s="246" t="str">
        <f>IFERROR(__xludf.DUMMYFUNCTION("IF(REGEXMATCH($C66, ""g""), """",""g"")"),"g")</f>
        <v>g</v>
      </c>
      <c r="CS66" s="246" t="str">
        <f>IFERROR(__xludf.DUMMYFUNCTION("IF(REGEXMATCH($C66, ""G""), """",""G"")"),"")</f>
        <v/>
      </c>
      <c r="CT66" s="246" t="str">
        <f>IFERROR(__xludf.DUMMYFUNCTION("IF(REGEXMATCH($C66, ""m""), """",""m"")"),"")</f>
        <v/>
      </c>
      <c r="CU66" s="246" t="str">
        <f>IFERROR(__xludf.DUMMYFUNCTION("IF(REGEXMATCH($C66, ""M""), """",""M"")"),"M")</f>
        <v>M</v>
      </c>
      <c r="CV66" s="246" t="str">
        <f>IFERROR(__xludf.DUMMYFUNCTION("IF(REGEXMATCH($C66, ""P""), """",""P"")"),"")</f>
        <v/>
      </c>
      <c r="CW66" s="246" t="str">
        <f>IFERROR(__xludf.DUMMYFUNCTION("IF(REGEXMATCH($C66, ""d""), """",""d"")"),"d")</f>
        <v>d</v>
      </c>
      <c r="CX66" s="246" t="str">
        <f>IFERROR(__xludf.DUMMYFUNCTION("IF(REGEXMATCH($C66, ""D""), """",""D"")"),"")</f>
        <v/>
      </c>
      <c r="CY66" s="246" t="str">
        <f>IFERROR(__xludf.DUMMYFUNCTION("IF(REGEXMATCH($C66, ""n""), """",""n"")"),"n")</f>
        <v>n</v>
      </c>
      <c r="CZ66" s="246" t="str">
        <f>IFERROR(__xludf.DUMMYFUNCTION("IF(REGEXMATCH($C66, ""N""), """",""N"")"),"")</f>
        <v/>
      </c>
      <c r="DA66" s="246" t="str">
        <f>IFERROR(__xludf.DUMMYFUNCTION("IF(REGEXMATCH($C66, ""S""), ""S"",""S"")"),"S")</f>
        <v>S</v>
      </c>
      <c r="DB66" s="362" t="str">
        <f>IFERROR(__xludf.DUMMYFUNCTION("JOIN("""",CO66:DA66,"""","""")"),"SrgMdnS")</f>
        <v>SrgMdnS</v>
      </c>
      <c r="DC66" s="363"/>
      <c r="DD66" s="301" t="str">
        <f t="shared" si="35"/>
        <v>#REF!</v>
      </c>
      <c r="DE66" s="302" t="str">
        <f t="shared" si="36"/>
        <v>#REF!</v>
      </c>
      <c r="DF66" s="301" t="str">
        <f t="shared" ref="DF66:DG66" si="327">SUBSTITUTE(S66,"-","")</f>
        <v>SRGM</v>
      </c>
      <c r="DG66" s="301" t="str">
        <f t="shared" si="327"/>
        <v>PDNS</v>
      </c>
      <c r="DH66" s="302" t="str">
        <f t="shared" si="38"/>
        <v>Bilawal</v>
      </c>
      <c r="DI66" s="301" t="str">
        <f t="shared" si="39"/>
        <v>Hemi.</v>
      </c>
      <c r="DJ66" s="364" t="str">
        <f t="shared" si="40"/>
        <v>-</v>
      </c>
      <c r="DK66" s="306" t="str">
        <f t="shared" si="41"/>
        <v>Bilawal</v>
      </c>
      <c r="DL66" s="366" t="str">
        <f t="shared" si="42"/>
        <v>-</v>
      </c>
      <c r="DM66" s="308" t="str">
        <f t="shared" si="43"/>
        <v>-</v>
      </c>
      <c r="DN66" s="306" t="str">
        <f t="shared" si="44"/>
        <v>✔</v>
      </c>
      <c r="DO66" s="306" t="str">
        <f t="shared" si="45"/>
        <v>-</v>
      </c>
      <c r="DP66" s="367" t="str">
        <f t="shared" si="46"/>
        <v>-</v>
      </c>
      <c r="DQ66" s="310" t="str">
        <f t="shared" si="47"/>
        <v>-</v>
      </c>
      <c r="DR66" s="310" t="str">
        <f t="shared" si="48"/>
        <v>-</v>
      </c>
      <c r="DS66" s="310" t="str">
        <f t="shared" si="49"/>
        <v>-</v>
      </c>
      <c r="DT66" s="310" t="str">
        <f t="shared" si="50"/>
        <v>-</v>
      </c>
      <c r="DU66" s="370" t="str">
        <f t="shared" si="51"/>
        <v>-</v>
      </c>
      <c r="DV66" s="306" t="str">
        <f t="shared" si="52"/>
        <v>-</v>
      </c>
      <c r="DW66" s="306" t="str">
        <f t="shared" si="53"/>
        <v>-</v>
      </c>
      <c r="DX66" s="306" t="str">
        <f t="shared" si="54"/>
        <v>-</v>
      </c>
      <c r="DY66" s="306" t="str">
        <f t="shared" si="55"/>
        <v>-</v>
      </c>
      <c r="DZ66" s="306" t="str">
        <f t="shared" si="56"/>
        <v>-</v>
      </c>
      <c r="EA66" s="367" t="str">
        <f t="shared" si="57"/>
        <v>-</v>
      </c>
      <c r="EB66" s="310" t="str">
        <f>IFERROR(__xludf.DUMMYFUNCTION("IF(REGEXMATCH(AW66,AS66),""✔"",""-"")"),"✔")</f>
        <v>✔</v>
      </c>
      <c r="EC66" s="310" t="str">
        <f t="shared" si="58"/>
        <v>#REF!</v>
      </c>
      <c r="ED66" s="370" t="str">
        <f t="shared" si="59"/>
        <v>-</v>
      </c>
      <c r="EE66" s="340" t="str">
        <f t="shared" si="60"/>
        <v>S-R-G-m-P-D-N-S</v>
      </c>
      <c r="EF66" s="371" t="str">
        <f>IFERROR(__xludf.DUMMYFUNCTION("CONCATENATE(JOIN("""",HC66:HO66))"),"SrgmPdnS")</f>
        <v>SrgmPdnS</v>
      </c>
      <c r="EG66" s="372">
        <f t="shared" si="61"/>
        <v>1</v>
      </c>
      <c r="EH66" s="373" t="str">
        <f>IFERROR(__xludf.DUMMYFUNCTION("CONCATENATE(JOIN("""",JC66:JO66))"),"Ni, ")</f>
        <v>Ni, </v>
      </c>
      <c r="EI66" s="322">
        <f t="shared" si="62"/>
        <v>0</v>
      </c>
      <c r="EJ66" s="374" t="str">
        <f>IFERROR(__xludf.DUMMYFUNCTION("CONCATENATE(JOIN("""",KC66:KO66))"),"")</f>
        <v/>
      </c>
      <c r="EK66" s="325" t="str">
        <f t="shared" si="63"/>
        <v>S-R2-G3-M1-P-D2-N3-S</v>
      </c>
      <c r="EL66" s="326" t="str">
        <f t="shared" si="64"/>
        <v>1-2-3-4-5-6-7-8</v>
      </c>
      <c r="EM66" s="318" t="str">
        <f t="shared" si="65"/>
        <v>#REF!</v>
      </c>
      <c r="EN66" s="328" t="str">
        <f>IFERROR(__xludf.DUMMYFUNCTION("SUBSTITUTE(SUBSTITUTE(SUBSTITUTE(SUBSTITUTE(CONCATENATE(JOIN("" "",HP66:IB66)),""  "","" ""),""  "","" ""),""  "","" ""),""  "","" "")"),"o • o • o o • o • o • o o")</f>
        <v>o • o • o o • o • o • o o</v>
      </c>
      <c r="EO66" s="368" t="str">
        <f t="shared" si="66"/>
        <v>-</v>
      </c>
      <c r="EP66" s="339" t="str">
        <f t="shared" si="67"/>
        <v>-</v>
      </c>
      <c r="EQ66" s="339" t="str">
        <f t="shared" si="68"/>
        <v>Sa-Pa</v>
      </c>
      <c r="ER66" s="339" t="str">
        <f t="shared" si="69"/>
        <v>-</v>
      </c>
      <c r="ES66" s="340" t="str">
        <f t="shared" si="70"/>
        <v>-</v>
      </c>
      <c r="ET66" s="363"/>
      <c r="EU66" s="376" t="b">
        <f>IFERROR(__xludf.DUMMYFUNCTION("arrayformula(sum(--REGEXMATCH(""SRGMPDNS"",split(REGEXREPLACE(C66,""(.)"",""$1~""),""~""))))=len(C66)
"),FALSE)</f>
        <v>0</v>
      </c>
      <c r="EV66" s="290" t="b">
        <f>IFERROR(__xludf.DUMMYFUNCTION("arrayformula(sum(--REGEXMATCH(""SRGmPDNS"",split(REGEXREPLACE(C66,""(.)"",""$1~""),""~""))))=len(C66)"),TRUE)</f>
        <v>1</v>
      </c>
      <c r="EW66" s="290" t="b">
        <f>IFERROR(__xludf.DUMMYFUNCTION("arrayformula(sum(--REGEXMATCH(""SRGmPDnS"",split(REGEXREPLACE(C66,""(.)"",""$1~""),""~""))))=len(C66)"),FALSE)</f>
        <v>0</v>
      </c>
      <c r="EX66" s="290" t="b">
        <f>IFERROR(__xludf.DUMMYFUNCTION("arrayformula(sum(--REGEXMATCH(""SRgmPDnS"",split(REGEXREPLACE(C66,""(.)"",""$1~""),""~""))))=len(C66)"),FALSE)</f>
        <v>0</v>
      </c>
      <c r="EY66" s="290" t="b">
        <f>IFERROR(__xludf.DUMMYFUNCTION("arrayformula(sum(--REGEXMATCH(""SRgmPdnS"",split(REGEXREPLACE(C66,""(.)"",""$1~""),""~""))))=len(C66)"),FALSE)</f>
        <v>0</v>
      </c>
      <c r="EZ66" s="290" t="b">
        <f>IFERROR(__xludf.DUMMYFUNCTION("arrayformula(sum(--REGEXMATCH(""SrgmPdnS"",split(REGEXREPLACE(C66,""(.)"",""$1~""),""~""))))=len(C66)"),FALSE)</f>
        <v>0</v>
      </c>
      <c r="FA66" s="290" t="b">
        <f>IFERROR(__xludf.DUMMYFUNCTION("arrayformula(sum(--REGEXMATCH(""SrGmPdNS"",split(REGEXREPLACE(C66,""(.)"",""$1~""),""~""))))=len(C66)"),FALSE)</f>
        <v>0</v>
      </c>
      <c r="FB66" s="290" t="b">
        <f>IFERROR(__xludf.DUMMYFUNCTION("arrayformula(sum(--REGEXMATCH(""SrGMPDNS"",split(REGEXREPLACE(C66,""(.)"",""$1~""),""~""))))=len(C66)"),FALSE)</f>
        <v>0</v>
      </c>
      <c r="FC66" s="290" t="b">
        <f>IFERROR(__xludf.DUMMYFUNCTION("arrayformula(sum(--REGEXMATCH(""SrGMPdNS"",split(REGEXREPLACE(C66,""(.)"",""$1~""),""~""))))=len(C66)"),FALSE)</f>
        <v>0</v>
      </c>
      <c r="FD66" s="377" t="b">
        <f>IFERROR(__xludf.DUMMYFUNCTION("arrayformula(sum(--REGEXMATCH(""SrgMPdNS"",split(REGEXREPLACE(C66,""(.)"",""$1~""),""~""))))=len(C66)"),FALSE)</f>
        <v>0</v>
      </c>
      <c r="FE66" s="269" t="str">
        <f t="shared" si="71"/>
        <v>-</v>
      </c>
      <c r="FF66" s="269" t="str">
        <f t="shared" si="72"/>
        <v>xoxxoxoxoxx</v>
      </c>
      <c r="FG66" s="271" t="str">
        <f t="shared" si="73"/>
        <v>-</v>
      </c>
      <c r="FH66" s="269" t="str">
        <f t="shared" si="74"/>
        <v>xxoxoxoxxox</v>
      </c>
      <c r="FI66" s="271" t="str">
        <f t="shared" si="75"/>
        <v>xoxoxoxxoxo</v>
      </c>
      <c r="FJ66" s="271" t="str">
        <f t="shared" si="76"/>
        <v>-</v>
      </c>
      <c r="FK66" s="271" t="str">
        <f t="shared" si="77"/>
        <v>xoxoxxoxoxx</v>
      </c>
      <c r="FL66" s="271" t="str">
        <f t="shared" si="78"/>
        <v>-</v>
      </c>
      <c r="FM66" s="271" t="str">
        <f t="shared" si="79"/>
        <v>xoxxoxoxxox</v>
      </c>
      <c r="FN66" s="271" t="str">
        <f t="shared" si="80"/>
        <v>-</v>
      </c>
      <c r="FO66" s="274" t="str">
        <f t="shared" si="81"/>
        <v>xxoxoxxoxox</v>
      </c>
      <c r="FP66" s="234" t="str">
        <f t="shared" si="82"/>
        <v>|</v>
      </c>
      <c r="FQ66" s="236" t="str">
        <f t="shared" si="83"/>
        <v>-</v>
      </c>
      <c r="FR66" s="237" t="str">
        <f t="shared" si="84"/>
        <v>|</v>
      </c>
      <c r="FS66" s="236" t="str">
        <f t="shared" si="85"/>
        <v>-</v>
      </c>
      <c r="FT66" s="237" t="str">
        <f t="shared" si="86"/>
        <v>|</v>
      </c>
      <c r="FU66" s="236" t="str">
        <f t="shared" si="87"/>
        <v>|</v>
      </c>
      <c r="FV66" s="237" t="str">
        <f t="shared" si="88"/>
        <v>-</v>
      </c>
      <c r="FW66" s="236" t="str">
        <f t="shared" si="89"/>
        <v>|</v>
      </c>
      <c r="FX66" s="237" t="str">
        <f t="shared" si="90"/>
        <v>-</v>
      </c>
      <c r="FY66" s="236" t="str">
        <f t="shared" si="91"/>
        <v>|</v>
      </c>
      <c r="FZ66" s="237" t="str">
        <f t="shared" si="92"/>
        <v>-</v>
      </c>
      <c r="GA66" s="236" t="str">
        <f t="shared" si="93"/>
        <v>|</v>
      </c>
      <c r="GB66" s="238" t="str">
        <f t="shared" si="94"/>
        <v>|</v>
      </c>
      <c r="GC66" s="244" t="str">
        <f>IFERROR(__xludf.DUMMYFUNCTION("IF(REGEXMATCH(C66, ""S""), ""1"","""")"),"1")</f>
        <v>1</v>
      </c>
      <c r="GD66" s="245" t="str">
        <f>IFERROR(__xludf.DUMMYFUNCTION("IF(REGEXMATCH(C66, ""r""), ""b2"","""")"),"")</f>
        <v/>
      </c>
      <c r="GE66" s="246" t="str">
        <f>IFERROR(__xludf.DUMMYFUNCTION("IF(REGEXMATCH(C66, ""R""), ""2"","""")"),"2")</f>
        <v>2</v>
      </c>
      <c r="GF66" s="246" t="str">
        <f>IFERROR(__xludf.DUMMYFUNCTION("IF(REGEXMATCH(C66, ""g""), ""b3"","""")"),"")</f>
        <v/>
      </c>
      <c r="GG66" s="245" t="str">
        <f>IFERROR(__xludf.DUMMYFUNCTION("IF(REGEXMATCH(C66, ""G""), ""3"","""")"),"3")</f>
        <v>3</v>
      </c>
      <c r="GH66" s="245" t="str">
        <f>IFERROR(__xludf.DUMMYFUNCTION("IF(REGEXMATCH(C66, ""m""), ""4"","""")"),"4")</f>
        <v>4</v>
      </c>
      <c r="GI66" s="246" t="str">
        <f>IFERROR(__xludf.DUMMYFUNCTION("IF(REGEXMATCH(C66, ""M""), ""#4"","""")"),"")</f>
        <v/>
      </c>
      <c r="GJ66" s="245" t="str">
        <f>IFERROR(__xludf.DUMMYFUNCTION("IF(REGEXMATCH(C66, ""P""), ""5"","""")"),"5")</f>
        <v>5</v>
      </c>
      <c r="GK66" s="246" t="str">
        <f>IFERROR(__xludf.DUMMYFUNCTION("IF(REGEXMATCH(C66, ""d""), ""b6"","""")"),"")</f>
        <v/>
      </c>
      <c r="GL66" s="245" t="str">
        <f>IFERROR(__xludf.DUMMYFUNCTION("IF(REGEXMATCH(C66, ""D""), ""6"","""")"),"6")</f>
        <v>6</v>
      </c>
      <c r="GM66" s="245" t="str">
        <f>IFERROR(__xludf.DUMMYFUNCTION("IF(REGEXMATCH(C66, ""n""), ""b7"","""")"),"")</f>
        <v/>
      </c>
      <c r="GN66" s="246" t="str">
        <f>IFERROR(__xludf.DUMMYFUNCTION("IF(REGEXMATCH(C66, ""N""), ""7"","""")"),"7")</f>
        <v>7</v>
      </c>
      <c r="GO66" s="249" t="str">
        <f>IFERROR(__xludf.DUMMYFUNCTION("IF(REGEXMATCH(C66, ""S""), ""8"","""")"),"8")</f>
        <v>8</v>
      </c>
      <c r="GP66" s="244" t="str">
        <f>IFERROR(__xludf.DUMMYFUNCTION("IF(REGEXMATCH(C66, ""S""), ""S"","""")"),"S")</f>
        <v>S</v>
      </c>
      <c r="GQ66" s="294" t="str">
        <f>IFERROR(__xludf.DUMMYFUNCTION("IF(REGEXMATCH(C66, ""r""), ""R1"","""")"),"")</f>
        <v/>
      </c>
      <c r="GR66" s="295" t="str">
        <f>IFERROR(__xludf.DUMMYFUNCTION("IF(REGEXMATCH(C66, ""R""), ""R2"","""")"),"R2")</f>
        <v>R2</v>
      </c>
      <c r="GS66" s="295" t="str">
        <f>IFERROR(__xludf.DUMMYFUNCTION("IF(REGEXMATCH(C66, ""g""), ""G2"","""")"),"")</f>
        <v/>
      </c>
      <c r="GT66" s="294" t="str">
        <f>IFERROR(__xludf.DUMMYFUNCTION("IF(REGEXMATCH(C66, ""G""), ""G3"","""")"),"G3")</f>
        <v>G3</v>
      </c>
      <c r="GU66" s="294" t="str">
        <f>IFERROR(__xludf.DUMMYFUNCTION("IF(REGEXMATCH(C66, ""m""), ""M1"","""")"),"M1")</f>
        <v>M1</v>
      </c>
      <c r="GV66" s="295" t="str">
        <f>IFERROR(__xludf.DUMMYFUNCTION("IF(REGEXMATCH(C66, ""M""), ""M2"","""")"),"")</f>
        <v/>
      </c>
      <c r="GW66" s="294" t="str">
        <f>IFERROR(__xludf.DUMMYFUNCTION("IF(REGEXMATCH(C66, ""P""), ""P"","""")"),"P")</f>
        <v>P</v>
      </c>
      <c r="GX66" s="295" t="str">
        <f>IFERROR(__xludf.DUMMYFUNCTION("IF(REGEXMATCH(C66, ""d""), ""D1"","""")"),"")</f>
        <v/>
      </c>
      <c r="GY66" s="294" t="str">
        <f>IFERROR(__xludf.DUMMYFUNCTION("IF(REGEXMATCH(C66, ""D""), ""D2"","""")"),"D2")</f>
        <v>D2</v>
      </c>
      <c r="GZ66" s="294" t="str">
        <f>IFERROR(__xludf.DUMMYFUNCTION("IF(REGEXMATCH(C66, ""n""), ""N2"","""")"),"")</f>
        <v/>
      </c>
      <c r="HA66" s="295" t="str">
        <f>IFERROR(__xludf.DUMMYFUNCTION("IF(REGEXMATCH(C66, ""N""), ""N3"","""")"),"N3")</f>
        <v>N3</v>
      </c>
      <c r="HB66" s="249" t="str">
        <f>IFERROR(__xludf.DUMMYFUNCTION("IF(REGEXMATCH(C66, ""S""), ""S"","""")"),"S")</f>
        <v>S</v>
      </c>
      <c r="HC66" s="331" t="str">
        <f t="shared" si="95"/>
        <v>S</v>
      </c>
      <c r="HD66" s="332" t="str">
        <f t="shared" si="96"/>
        <v>r</v>
      </c>
      <c r="HE66" s="332" t="str">
        <f t="shared" si="97"/>
        <v/>
      </c>
      <c r="HF66" s="332" t="str">
        <f t="shared" si="98"/>
        <v>g</v>
      </c>
      <c r="HG66" s="332" t="str">
        <f t="shared" si="99"/>
        <v/>
      </c>
      <c r="HH66" s="332" t="str">
        <f t="shared" si="100"/>
        <v>m</v>
      </c>
      <c r="HI66" s="332" t="str">
        <f t="shared" si="101"/>
        <v/>
      </c>
      <c r="HJ66" s="332" t="str">
        <f t="shared" si="102"/>
        <v>P</v>
      </c>
      <c r="HK66" s="332" t="str">
        <f t="shared" si="103"/>
        <v>d</v>
      </c>
      <c r="HL66" s="332" t="str">
        <f t="shared" si="104"/>
        <v/>
      </c>
      <c r="HM66" s="332" t="str">
        <f t="shared" si="105"/>
        <v>n</v>
      </c>
      <c r="HN66" s="332" t="str">
        <f t="shared" si="106"/>
        <v/>
      </c>
      <c r="HO66" s="343" t="str">
        <f t="shared" si="107"/>
        <v>S</v>
      </c>
      <c r="HP66" s="331" t="str">
        <f t="shared" si="108"/>
        <v>o</v>
      </c>
      <c r="HQ66" s="332" t="str">
        <f t="shared" si="109"/>
        <v>•</v>
      </c>
      <c r="HR66" s="332" t="str">
        <f t="shared" si="110"/>
        <v>o</v>
      </c>
      <c r="HS66" s="332" t="str">
        <f t="shared" si="111"/>
        <v>•</v>
      </c>
      <c r="HT66" s="332" t="str">
        <f t="shared" si="112"/>
        <v>o</v>
      </c>
      <c r="HU66" s="332" t="str">
        <f t="shared" si="113"/>
        <v>o</v>
      </c>
      <c r="HV66" s="332" t="str">
        <f t="shared" si="114"/>
        <v>•</v>
      </c>
      <c r="HW66" s="332" t="str">
        <f t="shared" si="115"/>
        <v>o</v>
      </c>
      <c r="HX66" s="332" t="str">
        <f t="shared" si="116"/>
        <v>•</v>
      </c>
      <c r="HY66" s="332" t="str">
        <f t="shared" si="117"/>
        <v>o</v>
      </c>
      <c r="HZ66" s="332" t="str">
        <f t="shared" si="118"/>
        <v>•</v>
      </c>
      <c r="IA66" s="332" t="str">
        <f t="shared" si="119"/>
        <v>o</v>
      </c>
      <c r="IB66" s="338" t="str">
        <f t="shared" si="120"/>
        <v>o</v>
      </c>
      <c r="IC66" s="331" t="str">
        <f t="shared" si="121"/>
        <v>•</v>
      </c>
      <c r="ID66" s="332" t="str">
        <f t="shared" si="122"/>
        <v>o</v>
      </c>
      <c r="IE66" s="332" t="str">
        <f t="shared" si="123"/>
        <v>•</v>
      </c>
      <c r="IF66" s="332" t="str">
        <f t="shared" si="124"/>
        <v>o</v>
      </c>
      <c r="IG66" s="332" t="str">
        <f t="shared" si="125"/>
        <v>•</v>
      </c>
      <c r="IH66" s="332" t="str">
        <f t="shared" si="126"/>
        <v>•</v>
      </c>
      <c r="II66" s="332" t="str">
        <f t="shared" si="127"/>
        <v>o</v>
      </c>
      <c r="IJ66" s="332" t="str">
        <f t="shared" si="128"/>
        <v>•</v>
      </c>
      <c r="IK66" s="332" t="str">
        <f t="shared" si="129"/>
        <v>o</v>
      </c>
      <c r="IL66" s="332" t="str">
        <f t="shared" si="130"/>
        <v>•</v>
      </c>
      <c r="IM66" s="332" t="str">
        <f t="shared" si="131"/>
        <v>o</v>
      </c>
      <c r="IN66" s="332" t="str">
        <f t="shared" si="132"/>
        <v>•</v>
      </c>
      <c r="IO66" s="338" t="str">
        <f t="shared" si="133"/>
        <v>•</v>
      </c>
      <c r="IP66" s="346" t="b">
        <f t="shared" si="134"/>
        <v>0</v>
      </c>
      <c r="IQ66" s="347" t="b">
        <f t="shared" si="135"/>
        <v>0</v>
      </c>
      <c r="IR66" s="347" t="b">
        <f t="shared" si="136"/>
        <v>0</v>
      </c>
      <c r="IS66" s="347" t="b">
        <f t="shared" si="137"/>
        <v>0</v>
      </c>
      <c r="IT66" s="347" t="b">
        <f t="shared" si="138"/>
        <v>0</v>
      </c>
      <c r="IU66" s="347" t="b">
        <f t="shared" si="139"/>
        <v>0</v>
      </c>
      <c r="IV66" s="347" t="b">
        <f t="shared" si="140"/>
        <v>0</v>
      </c>
      <c r="IW66" s="347" t="b">
        <f t="shared" si="141"/>
        <v>0</v>
      </c>
      <c r="IX66" s="347" t="b">
        <f t="shared" si="142"/>
        <v>0</v>
      </c>
      <c r="IY66" s="347" t="b">
        <f t="shared" si="143"/>
        <v>0</v>
      </c>
      <c r="IZ66" s="347" t="b">
        <f t="shared" si="144"/>
        <v>0</v>
      </c>
      <c r="JA66" s="347" t="b">
        <f t="shared" si="145"/>
        <v>1</v>
      </c>
      <c r="JB66" s="353" t="b">
        <f t="shared" si="146"/>
        <v>0</v>
      </c>
      <c r="JC66" s="354" t="str">
        <f t="shared" si="147"/>
        <v/>
      </c>
      <c r="JD66" s="355" t="str">
        <f t="shared" si="148"/>
        <v/>
      </c>
      <c r="JE66" s="355" t="str">
        <f t="shared" si="149"/>
        <v/>
      </c>
      <c r="JF66" s="355" t="str">
        <f t="shared" si="150"/>
        <v/>
      </c>
      <c r="JG66" s="355" t="str">
        <f t="shared" si="151"/>
        <v/>
      </c>
      <c r="JH66" s="355" t="str">
        <f t="shared" si="152"/>
        <v/>
      </c>
      <c r="JI66" s="355" t="str">
        <f t="shared" si="153"/>
        <v/>
      </c>
      <c r="JJ66" s="355" t="str">
        <f t="shared" si="154"/>
        <v/>
      </c>
      <c r="JK66" s="355" t="str">
        <f t="shared" si="155"/>
        <v/>
      </c>
      <c r="JL66" s="355" t="str">
        <f t="shared" si="156"/>
        <v/>
      </c>
      <c r="JM66" s="355" t="str">
        <f t="shared" si="157"/>
        <v/>
      </c>
      <c r="JN66" s="355" t="str">
        <f t="shared" si="158"/>
        <v>Ni, </v>
      </c>
      <c r="JO66" s="359" t="str">
        <f t="shared" si="159"/>
        <v/>
      </c>
      <c r="JP66" s="346" t="b">
        <f t="shared" si="160"/>
        <v>0</v>
      </c>
      <c r="JQ66" s="347" t="b">
        <f t="shared" si="161"/>
        <v>0</v>
      </c>
      <c r="JR66" s="347" t="b">
        <f t="shared" si="162"/>
        <v>0</v>
      </c>
      <c r="JS66" s="347" t="b">
        <f t="shared" si="163"/>
        <v>0</v>
      </c>
      <c r="JT66" s="347" t="b">
        <f t="shared" si="164"/>
        <v>0</v>
      </c>
      <c r="JU66" s="347" t="b">
        <f t="shared" si="165"/>
        <v>0</v>
      </c>
      <c r="JV66" s="347" t="b">
        <f t="shared" si="166"/>
        <v>0</v>
      </c>
      <c r="JW66" s="347" t="b">
        <f t="shared" si="167"/>
        <v>0</v>
      </c>
      <c r="JX66" s="347" t="b">
        <f t="shared" si="168"/>
        <v>0</v>
      </c>
      <c r="JY66" s="347" t="b">
        <f t="shared" si="169"/>
        <v>0</v>
      </c>
      <c r="JZ66" s="347" t="b">
        <f t="shared" si="170"/>
        <v>0</v>
      </c>
      <c r="KA66" s="347" t="b">
        <f t="shared" si="171"/>
        <v>0</v>
      </c>
      <c r="KB66" s="365" t="b">
        <f t="shared" si="172"/>
        <v>0</v>
      </c>
      <c r="KC66" s="354" t="str">
        <f t="shared" si="173"/>
        <v/>
      </c>
      <c r="KD66" s="355" t="str">
        <f t="shared" si="174"/>
        <v/>
      </c>
      <c r="KE66" s="355" t="str">
        <f t="shared" si="175"/>
        <v/>
      </c>
      <c r="KF66" s="355" t="str">
        <f t="shared" si="176"/>
        <v/>
      </c>
      <c r="KG66" s="355" t="str">
        <f t="shared" si="177"/>
        <v/>
      </c>
      <c r="KH66" s="355" t="str">
        <f t="shared" si="178"/>
        <v/>
      </c>
      <c r="KI66" s="355" t="str">
        <f t="shared" si="179"/>
        <v/>
      </c>
      <c r="KJ66" s="355" t="str">
        <f t="shared" si="180"/>
        <v/>
      </c>
      <c r="KK66" s="355" t="str">
        <f t="shared" si="181"/>
        <v/>
      </c>
      <c r="KL66" s="355" t="str">
        <f t="shared" si="182"/>
        <v/>
      </c>
      <c r="KM66" s="355" t="str">
        <f t="shared" si="183"/>
        <v/>
      </c>
      <c r="KN66" s="355" t="str">
        <f t="shared" si="184"/>
        <v/>
      </c>
      <c r="KO66" s="359"/>
      <c r="KP66" s="378"/>
      <c r="KQ66" s="379" t="s">
        <v>9</v>
      </c>
      <c r="KR66" s="380" t="s">
        <v>1357</v>
      </c>
      <c r="KS66" s="381" t="s">
        <v>9</v>
      </c>
      <c r="KT66" s="382">
        <f t="shared" si="186"/>
        <v>0</v>
      </c>
      <c r="KU66" s="383">
        <f t="shared" si="187"/>
        <v>0</v>
      </c>
      <c r="KV66" s="381" t="str">
        <f t="shared" si="205"/>
        <v>S-N-D-P-m-G-R-S</v>
      </c>
      <c r="KW66" s="382">
        <f t="shared" si="189"/>
        <v>7</v>
      </c>
      <c r="KX66" s="384">
        <f t="shared" si="190"/>
        <v>7</v>
      </c>
      <c r="KY66" s="382">
        <f t="shared" ref="KY66:KZ66" si="328">KW66-KT66</f>
        <v>7</v>
      </c>
      <c r="KZ66" s="369">
        <f t="shared" si="328"/>
        <v>7</v>
      </c>
      <c r="LA66" s="385" t="str">
        <f t="shared" si="192"/>
        <v>-</v>
      </c>
      <c r="LB66" s="340" t="str">
        <f>IFERROR(__xludf.DUMMYFUNCTION("JOIN("""",ArrayFormula(MID(KS66,LEN(KS66)-SEQUENCE(1,LEN(KS66))+1,1)))"),"S")</f>
        <v>S</v>
      </c>
      <c r="LC66" s="373" t="str">
        <f>IFERROR(__xludf.DUMMYFUNCTION("JOIN("""",ArrayFormula(MID(KV66,LEN(KV66)-SEQUENCE(1,LEN(KV66))+1,1)))"),"S-R-G-m-P-D-N-S")</f>
        <v>S-R-G-m-P-D-N-S</v>
      </c>
      <c r="LD66" s="373" t="str">
        <f t="shared" si="193"/>
        <v>S</v>
      </c>
      <c r="LE66" s="339" t="str">
        <f t="shared" si="194"/>
        <v>SRGmPDNS</v>
      </c>
      <c r="LF66" s="386" t="str">
        <f>IFERROR(__xludf.DUMMYFUNCTION("SUBSTITUTE(SUBSTITUTE(CONCATENATE(JOIN("""",LH66:LT66)),""1"",""""),""2"","""")"),"SRGmPDNS")</f>
        <v>SRGmPDNS</v>
      </c>
      <c r="LG66" s="369" t="str">
        <f t="shared" si="195"/>
        <v>✔</v>
      </c>
      <c r="LH66" s="387" t="str">
        <f>IFERROR(__xludf.DUMMYFUNCTION("IF(REGEXMATCH(LD66, ""S""), ""S"",IF(REGEXMATCH(LE66, ""S""), ""S"",""""))"),"S")</f>
        <v>S</v>
      </c>
      <c r="LI66" s="299" t="str">
        <f>IFERROR(__xludf.DUMMYFUNCTION("IF(REGEXMATCH(LD66, ""r""), ""r1"",IF(REGEXMATCH(LE66, ""r""), ""r2"",""""))"),"")</f>
        <v/>
      </c>
      <c r="LJ66" s="299" t="str">
        <f>IFERROR(__xludf.DUMMYFUNCTION("IF(REGEXMATCH(LD66, ""R""), ""R1"",IF(REGEXMATCH(LE66, ""R""), ""R2"",""""))"),"R2")</f>
        <v>R2</v>
      </c>
      <c r="LK66" s="299" t="str">
        <f>IFERROR(__xludf.DUMMYFUNCTION("IF(REGEXMATCH(LD66, ""g""), ""g1"",IF(REGEXMATCH(LE66, ""g""), ""g2"",""""))"),"")</f>
        <v/>
      </c>
      <c r="LL66" s="299" t="str">
        <f>IFERROR(__xludf.DUMMYFUNCTION("IF(REGEXMATCH(LD66, ""G""), ""G1"",IF(REGEXMATCH(LE66, ""G""), ""G2"",""""))"),"G2")</f>
        <v>G2</v>
      </c>
      <c r="LM66" s="299" t="str">
        <f>IFERROR(__xludf.DUMMYFUNCTION("IF(REGEXMATCH(LD66, ""m""), ""m1"",IF(REGEXMATCH(LE66, ""m""), ""m2"",""""))"),"m2")</f>
        <v>m2</v>
      </c>
      <c r="LN66" s="299" t="str">
        <f>IFERROR(__xludf.DUMMYFUNCTION("IF(REGEXMATCH(LD66, ""M""), ""M1"",IF(REGEXMATCH(LE66, ""M""), ""M2"",""""))"),"")</f>
        <v/>
      </c>
      <c r="LO66" s="299" t="str">
        <f>IFERROR(__xludf.DUMMYFUNCTION("IF(REGEXMATCH(LD66, ""P""), ""P1"",IF(REGEXMATCH(LE66, ""P""), ""P2"",""""))"),"P2")</f>
        <v>P2</v>
      </c>
      <c r="LP66" s="299" t="str">
        <f>IFERROR(__xludf.DUMMYFUNCTION("IF(REGEXMATCH(LD66, ""d""), ""d1"",IF(REGEXMATCH(LE66, ""d""), ""d2"",""""))"),"")</f>
        <v/>
      </c>
      <c r="LQ66" s="299" t="str">
        <f>IFERROR(__xludf.DUMMYFUNCTION("IF(REGEXMATCH(LD66, ""D""), ""D1"",IF(REGEXMATCH(LE66, ""D""), ""D2"",""""))"),"D2")</f>
        <v>D2</v>
      </c>
      <c r="LR66" s="299" t="str">
        <f>IFERROR(__xludf.DUMMYFUNCTION("IF(REGEXMATCH(LD66, ""n""), ""n1"",IF(REGEXMATCH(LE66, ""n""), ""n2"",""""))"),"")</f>
        <v/>
      </c>
      <c r="LS66" s="299" t="str">
        <f>IFERROR(__xludf.DUMMYFUNCTION("IF(REGEXMATCH(LD66, ""N""), ""N1"",IF(REGEXMATCH(LE66, ""N""), ""N2"",""""))"),"N2")</f>
        <v>N2</v>
      </c>
      <c r="LT66" s="388" t="str">
        <f>IFERROR(__xludf.DUMMYFUNCTION("IF(REGEXMATCH(LD66, ""S""), ""S"",IF(REGEXMATCH(LE66, ""S""), ""S"",""""))"),"S")</f>
        <v>S</v>
      </c>
      <c r="LU66" s="389">
        <f t="shared" si="196"/>
        <v>-13</v>
      </c>
      <c r="LV66" s="378"/>
      <c r="LW66" s="369"/>
      <c r="LX66" s="369"/>
    </row>
    <row r="67" ht="18.0" customHeight="1">
      <c r="A67" s="298" t="s">
        <v>642</v>
      </c>
      <c r="B67" s="222" t="s">
        <v>530</v>
      </c>
      <c r="C67" s="233" t="str">
        <f t="shared" si="7"/>
        <v>SRGmPDnNS</v>
      </c>
      <c r="D67" s="234" t="str">
        <f>IFERROR(__xludf.DUMMYFUNCTION("IF(REGEXMATCH(C67, ""S""), ""S"","""")"),"S")</f>
        <v>S</v>
      </c>
      <c r="E67" s="236" t="str">
        <f>IFERROR(__xludf.DUMMYFUNCTION("IF(REGEXMATCH(C67, ""r""), ""r"","""")"),"")</f>
        <v/>
      </c>
      <c r="F67" s="237" t="str">
        <f>IFERROR(__xludf.DUMMYFUNCTION("IF(REGEXMATCH(C67, ""R""), ""R"","""")"),"R")</f>
        <v>R</v>
      </c>
      <c r="G67" s="237" t="str">
        <f>IFERROR(__xludf.DUMMYFUNCTION("IF(REGEXMATCH(C67, ""g""), ""g"","""")"),"")</f>
        <v/>
      </c>
      <c r="H67" s="236" t="str">
        <f>IFERROR(__xludf.DUMMYFUNCTION("IF(REGEXMATCH(C67, ""G""), ""G"","""")"),"G")</f>
        <v>G</v>
      </c>
      <c r="I67" s="236" t="str">
        <f>IFERROR(__xludf.DUMMYFUNCTION("IF(REGEXMATCH(C67, ""m""), ""m"","""")"),"m")</f>
        <v>m</v>
      </c>
      <c r="J67" s="237" t="str">
        <f>IFERROR(__xludf.DUMMYFUNCTION("IF(REGEXMATCH(C67, ""M""), ""M"","""")"),"")</f>
        <v/>
      </c>
      <c r="K67" s="236" t="str">
        <f>IFERROR(__xludf.DUMMYFUNCTION("IF(REGEXMATCH(C67, ""P""), ""P"","""")"),"P")</f>
        <v>P</v>
      </c>
      <c r="L67" s="237" t="str">
        <f>IFERROR(__xludf.DUMMYFUNCTION("IF(REGEXMATCH(C67, ""d""), ""d"","""")"),"")</f>
        <v/>
      </c>
      <c r="M67" s="236" t="str">
        <f>IFERROR(__xludf.DUMMYFUNCTION("IF(REGEXMATCH(C67, ""D""), ""D"","""")"),"D")</f>
        <v>D</v>
      </c>
      <c r="N67" s="236" t="str">
        <f>IFERROR(__xludf.DUMMYFUNCTION("IF(REGEXMATCH(C67, ""n""), ""n"","""")"),"n")</f>
        <v>n</v>
      </c>
      <c r="O67" s="237" t="str">
        <f>IFERROR(__xludf.DUMMYFUNCTION("IF(REGEXMATCH(C67, ""N""), ""N"","""")"),"N")</f>
        <v>N</v>
      </c>
      <c r="P67" s="238" t="str">
        <f>IFERROR(__xludf.DUMMYFUNCTION("IF(REGEXMATCH(C67, ""S""), ""S"","""")"),"S")</f>
        <v>S</v>
      </c>
      <c r="Q67" s="239" t="str">
        <f>IFERROR(__xludf.DUMMYFUNCTION("SUBSTITUTE(CONCATENATE(JOIN(""-"",D67:J67)),""-"","""")"),"SRGm")</f>
        <v>SRGm</v>
      </c>
      <c r="R67" s="229" t="str">
        <f>IFERROR(__xludf.DUMMYFUNCTION("SUBSTITUTE(CONCATENATE(JOIN(""-"",K67:P67)),""-"","""")"),"PDnNS")</f>
        <v>PDnNS</v>
      </c>
      <c r="S67" s="282" t="str">
        <f t="shared" si="8"/>
        <v>S-R-G-M</v>
      </c>
      <c r="T67" s="282" t="str">
        <f t="shared" si="9"/>
        <v>P-D-N-S</v>
      </c>
      <c r="U67" s="237" t="str">
        <f>IFERROR(__xludf.DUMMYFUNCTION("SUBSTITUTE(JOIN(""-"",S67,T67),""--"",""-"")"),"S-R-G-M-P-D-N-S")</f>
        <v>S-R-G-M-P-D-N-S</v>
      </c>
      <c r="V67" s="309" t="str">
        <f t="shared" si="10"/>
        <v>RGmDnN</v>
      </c>
      <c r="W67" s="244" t="str">
        <f>IFERROR(__xludf.DUMMYFUNCTION("IF(REGEXMATCH(C67, ""S""), ""0"","""")"),"0")</f>
        <v>0</v>
      </c>
      <c r="X67" s="245" t="str">
        <f>IFERROR(__xludf.DUMMYFUNCTION("IF(REGEXMATCH(C67, ""r""), ""1"","""")"),"")</f>
        <v/>
      </c>
      <c r="Y67" s="246" t="str">
        <f>IFERROR(__xludf.DUMMYFUNCTION("IF(REGEXMATCH(C67, ""R""), ""2"","""")"),"2")</f>
        <v>2</v>
      </c>
      <c r="Z67" s="246" t="str">
        <f>IFERROR(__xludf.DUMMYFUNCTION("IF(REGEXMATCH(C67, ""g""), ""3"","""")"),"")</f>
        <v/>
      </c>
      <c r="AA67" s="245" t="str">
        <f>IFERROR(__xludf.DUMMYFUNCTION("IF(REGEXMATCH(C67, ""G""), ""4"","""")"),"4")</f>
        <v>4</v>
      </c>
      <c r="AB67" s="245" t="str">
        <f>IFERROR(__xludf.DUMMYFUNCTION("IF(REGEXMATCH(C67, ""m""), ""5"","""")"),"5")</f>
        <v>5</v>
      </c>
      <c r="AC67" s="246" t="str">
        <f>IFERROR(__xludf.DUMMYFUNCTION("IF(REGEXMATCH(C67, ""M""), ""6"","""")"),"")</f>
        <v/>
      </c>
      <c r="AD67" s="245" t="str">
        <f>IFERROR(__xludf.DUMMYFUNCTION("IF(REGEXMATCH(C67, ""P""), ""7"","""")"),"7")</f>
        <v>7</v>
      </c>
      <c r="AE67" s="246" t="str">
        <f>IFERROR(__xludf.DUMMYFUNCTION("IF(REGEXMATCH(C67, ""d""), ""8"","""")"),"")</f>
        <v/>
      </c>
      <c r="AF67" s="245" t="str">
        <f>IFERROR(__xludf.DUMMYFUNCTION("IF(REGEXMATCH(C67, ""D""), ""9"","""")"),"9")</f>
        <v>9</v>
      </c>
      <c r="AG67" s="245" t="str">
        <f>IFERROR(__xludf.DUMMYFUNCTION("IF(REGEXMATCH(C67, ""n""), ""10"","""")"),"10")</f>
        <v>10</v>
      </c>
      <c r="AH67" s="246" t="str">
        <f>IFERROR(__xludf.DUMMYFUNCTION("IF(REGEXMATCH(C67, ""N""), ""11"","""")"),"11")</f>
        <v>11</v>
      </c>
      <c r="AI67" s="249" t="str">
        <f>IFERROR(__xludf.DUMMYFUNCTION("IF(REGEXMATCH(C67, ""S""), ""0"","""")"),"0")</f>
        <v>0</v>
      </c>
      <c r="AJ67" s="313" t="str">
        <f t="shared" si="11"/>
        <v>-</v>
      </c>
      <c r="AK67" s="313" t="str">
        <f t="shared" si="12"/>
        <v>-</v>
      </c>
      <c r="AL67" s="313" t="str">
        <f t="shared" si="13"/>
        <v>-</v>
      </c>
      <c r="AM67" s="313" t="str">
        <f t="shared" si="14"/>
        <v>-</v>
      </c>
      <c r="AN67" s="313" t="str">
        <f t="shared" si="15"/>
        <v>T</v>
      </c>
      <c r="AO67" s="314" t="str">
        <f t="shared" si="16"/>
        <v>T</v>
      </c>
      <c r="AP67" s="316">
        <f t="shared" si="17"/>
        <v>2</v>
      </c>
      <c r="AQ67" s="319" t="str">
        <f t="shared" si="18"/>
        <v>-</v>
      </c>
      <c r="AR67" s="320">
        <f t="shared" si="19"/>
        <v>0</v>
      </c>
      <c r="AS67" s="250" t="str">
        <f>IFERROR(__xludf.DUMMYFUNCTION("SUBSTITUTE(SUBSTITUTE(CONCATENATE(JOIN("""",FP67:GA67)),""|"",""x""),""-"",""o"")"),"xoxoxxoxoxxx")</f>
        <v>xoxoxxoxoxxx</v>
      </c>
      <c r="AT67" s="323" t="str">
        <f>IFERROR(__xludf.DUMMYFUNCTION("JOIN("""",AS67,AS67)"),"xoxoxxoxoxxxxoxoxxoxoxxx")</f>
        <v>xoxoxxoxoxxxxoxoxxoxoxxx</v>
      </c>
      <c r="AU67" s="256" t="str">
        <f>IFERROR(__xludf.DUMMYFUNCTION("JOIN("""",ArrayFormula(MID(AS67,LEN(AS67)-SEQUENCE(1,LEN(AS67))+1,1)))"),"xxxoxoxxoxox")</f>
        <v>xxxoxoxxoxox</v>
      </c>
      <c r="AV67" s="256" t="str">
        <f>IFERROR(__xludf.DUMMYFUNCTION("LEFT(CONCATENATE(""x"",JOIN("""",ArrayFormula(MID(AS67,LEN(AS67)-SEQUENCE(1,LEN(AS67))+1,1)))),12)"),"xxxxoxoxxoxo")</f>
        <v>xxxxoxoxxoxo</v>
      </c>
      <c r="AW67" s="327" t="str">
        <f>IFERROR(__xludf.DUMMYFUNCTION("JOIN("""",AU67,AU67)"),"xxxoxoxxoxoxxxxoxoxxoxox")</f>
        <v>xxxoxoxxoxoxxxxoxoxxoxox</v>
      </c>
      <c r="AX67" s="239" t="str">
        <f>IFERROR(__xludf.DUMMYFUNCTION("IF(REGEXMATCH(AW67,AS67),""✔"",""-"")"),"✔")</f>
        <v>✔</v>
      </c>
      <c r="AY67" s="330" t="str">
        <f t="shared" si="20"/>
        <v>-</v>
      </c>
      <c r="AZ67" s="260" t="str">
        <f t="shared" si="21"/>
        <v>#REF!</v>
      </c>
      <c r="BA67" s="333" t="str">
        <f t="shared" si="22"/>
        <v>xoxoxxo</v>
      </c>
      <c r="BB67" s="334" t="str">
        <f t="shared" si="23"/>
        <v>xoxxxx</v>
      </c>
      <c r="BC67" s="335" t="str">
        <f t="shared" si="236"/>
        <v>-</v>
      </c>
      <c r="BD67" s="336" t="str">
        <f t="shared" si="25"/>
        <v>Champak: 'xoxoxxo' + 'xoxxxx'</v>
      </c>
      <c r="BE67" s="337">
        <f>IFERROR(__xludf.DUMMYFUNCTION("COUNTUNIQUE(FILTER(AT:AT,REGEXMATCH(AT:AT,AS67)))-1"),3.0)</f>
        <v>3</v>
      </c>
      <c r="BF67" s="261" t="str">
        <f>IFERROR(__xludf.DUMMYFUNCTION("IF(BI67=0,""(n/a)"",IF(BJ67=2,""(PAIR)"",IF(REGEXMATCH(AT67,""xoxoxxoxoxox""),""Bilawal"",IF(REGEXMATCH(AT67,""xoxoxooxoxoo""),""Bhupali"",IF(REGEXMATCH(AT67,""xoxoxxoxxoxo""),""Charukeshi"",IF(REGEXMATCH(AT67,""xoxoooxxoxxo""),""Kameshwari"",IF(REGEXMATC"&amp;"H(AT67,""xoxoxooxoxox""),""Shankara"",IF(REGEXMATCH(AT67,""xxooxoxxxoox""),""Basant"",IF(REGEXMATCH(AT67,""xoxoxxxxoxox""),""Bihag"",IF(REGEXMATCH(AT67,""xoxxxxoxoxxx""),""Pilu"",IF(REGEXMATCH(AT67,""xoxxoxoxxoox""),""Kirwani"",IF(REGEXMATCH(AT67,""xoxxox"&amp;"oxoxxx""),""Mk.Malhar"",IF(REGEXMATCH(AT67,""xxooxxoxxoox""),""Bhairav"",IF(REGEXMATCH(AT67,""xxoxooxxxoox""),""Todi"",IF(REGEXMATCH(AT67,""xxooxoxooxox""),""Marwa"",IF(REGEXMATCH(AT67,""xxoooxoxxooo""),""Gunkali"",IF(REGEXMATCH(AT67,""xoxoxxoxxoox""),""N"&amp;"at Bhairav"",IF(REGEXMATCH(AT67,""xoxxoooxoxoo""),""Shivranjani"",IF(REGEXMATCH(AT67,""xooxxxoxooxo""),""Jog"",IF(REGEXMATCH(AT67,""xxooxoxoxoox""),""Hemshri"",IF(REGEXMATCH(AT67,""xoooxooxoxxo""),""Kalavati"",IF(REGEXMATCH(AT67,""xxoxoxxoxoox""),""Kedar"&amp;""",IF(REGEXMATCH(AT67,""xoxxxxoxooxx""),""Gara"",IF(REGEXMATCH(AT67,""xooxoxooxoox""),""Chandrakauns"",IF(REGEXMATCH(AT67,""xoxxxxoxxxox""),""Mand"",IF(REGEXMATCH(AT67,""xoxxxxoxoxox""),""Hanskinkini"",IF(REGEXMATCH(AT67,""xxooxxoxooxo""),""Lilavati"",IF("&amp;"REGEXMATCH(AT67,""xooxoxoooxox""),""Rajeshwari"",IF(REGEXMATCH(AT67,""xoooxxoxoxxx""),""Khokar"",IF(REGEXMATCH(AT67,""xxooxoxxxxox""),""Maligoura"",""-""))))))))))))))))))))))))))))))"),"Bihag")</f>
        <v>Bihag</v>
      </c>
      <c r="BG67" s="239" t="str">
        <f t="shared" si="26"/>
        <v>#REF!</v>
      </c>
      <c r="BH67" s="239">
        <f>IFERROR(__xludf.DUMMYFUNCTION("COUNTUNIQUE(FE67:FO67)-1"),7.0)</f>
        <v>7</v>
      </c>
      <c r="BI67" s="239">
        <f>IFERROR(__xludf.DUMMYFUNCTION("COUNTUNIQUE(FILTER(AT:AT,REGEXMATCH(AT:AT,AS67)))-1"),3.0)</f>
        <v>3</v>
      </c>
      <c r="BJ67" s="239">
        <f>IFERROR(__xludf.DUMMYFUNCTION("COUNTA(FILTER(AT:AT,REGEXMATCH(AT:AT,AS67)))"),36.0)</f>
        <v>36</v>
      </c>
      <c r="BK67" s="341">
        <f>IFERROR(__xludf.DUMMYFUNCTION("COUNTA(FILTER(AT:AT,REGEXMATCH(AT:AT,AS67)))-AR67"),36.0)</f>
        <v>36</v>
      </c>
      <c r="BL67" s="276" t="str">
        <f>IFERROR(__xludf.DUMMYFUNCTION("IF(AS67=""oooooooooooo"",""-"",IF(REGEXMATCH(AT67,""xx""), ""Hemi."", ""Anhemi.""))"),"Hemi.")</f>
        <v>Hemi.</v>
      </c>
      <c r="BM67" s="282" t="str">
        <f>IFERROR(__xludf.DUMMYFUNCTION("IF(AS67=""oooooooooooo"",""-"",IF(REGEXMATCH(AT67,""xxx""), ""Cohem."", ""-""))"),"Cohem.")</f>
        <v>Cohem.</v>
      </c>
      <c r="BN67" s="282" t="str">
        <f>IFERROR(__xludf.DUMMYFUNCTION("IF(AS67=""oooooooooooo"",""-"",IF(REGEXMATCH(AT67,""xxxx""), ""Co-Co."", ""-""))"),"Co-Co.")</f>
        <v>Co-Co.</v>
      </c>
      <c r="BO67" s="342" t="str">
        <f>IFERROR(__xludf.DUMMYFUNCTION("IF(AS67=""oooooooooooo"",""-"",IF(REGEXMATCH(AT67,""xxxxx""), ""CCC."", ""-""))"),"-")</f>
        <v>-</v>
      </c>
      <c r="BP67" s="344" t="str">
        <f t="shared" si="27"/>
        <v>-</v>
      </c>
      <c r="BQ67" s="282" t="str">
        <f>IFERROR(__xludf.DUMMYFUNCTION("IF(REGEXMATCH(JOIN(""-"",EU67:FD67),""TRUE""),""✔"",""-"")"),"-")</f>
        <v>-</v>
      </c>
      <c r="BR67" s="225">
        <f t="shared" si="28"/>
        <v>0</v>
      </c>
      <c r="BS67" s="345" t="str">
        <f>IFERROR(__xludf.DUMMYFUNCTION("SUBSTITUTE(SUBSTITUTE(SUBSTITUTE(SUBSTITUTE(CONCATENATE(JOIN(""-"",GC67:GO67)),""--"",""-""),""--"",""-""),""--"",""-""),""--"",""-"")"),"1-2-3-4-5-6-b7-7-8")</f>
        <v>1-2-3-4-5-6-b7-7-8</v>
      </c>
      <c r="BT67" s="299" t="str">
        <f>IFERROR(__xludf.DUMMYFUNCTION("SUBSTITUTE(SUBSTITUTE(SUBSTITUTE(SUBSTITUTE(CONCATENATE(JOIN(""-"",GP67:HB67)),""--"",""-""),""--"",""-""),""--"",""-""),""--"",""-"")"),"S-R2-G3-M1-P-D2-N2-N3-S")</f>
        <v>S-R2-G3-M1-P-D2-N2-N3-S</v>
      </c>
      <c r="BU67" s="348" t="str">
        <f t="shared" si="29"/>
        <v>C-D-E-F-G-A-Bb-B-C</v>
      </c>
      <c r="BV67" s="349" t="str">
        <f t="shared" si="30"/>
        <v>SrgMdS</v>
      </c>
      <c r="BW67" s="350">
        <f t="shared" si="31"/>
        <v>1</v>
      </c>
      <c r="BX67" s="351">
        <f t="shared" si="32"/>
        <v>15</v>
      </c>
      <c r="BY67" s="392"/>
      <c r="BZ67" s="309" t="str">
        <f>IFERROR(__xludf.DUMMYFUNCTION("IF(REGEXMATCH(C67, ""S""), ""x"",""x"")"),"x")</f>
        <v>x</v>
      </c>
      <c r="CA67" s="245" t="str">
        <f>IFERROR(__xludf.DUMMYFUNCTION("IF(REGEXMATCH(C67, ""r""), ""o"",""x"")"),"x")</f>
        <v>x</v>
      </c>
      <c r="CB67" s="246" t="str">
        <f>IFERROR(__xludf.DUMMYFUNCTION("IF(REGEXMATCH(C67, ""R""), ""o"",""x"")"),"o")</f>
        <v>o</v>
      </c>
      <c r="CC67" s="246" t="str">
        <f>IFERROR(__xludf.DUMMYFUNCTION("IF(REGEXMATCH(C67, ""g""), ""o"",""x"")"),"x")</f>
        <v>x</v>
      </c>
      <c r="CD67" s="245" t="str">
        <f>IFERROR(__xludf.DUMMYFUNCTION("IF(REGEXMATCH(C67, ""G""), ""o"",""x"")"),"o")</f>
        <v>o</v>
      </c>
      <c r="CE67" s="245" t="str">
        <f>IFERROR(__xludf.DUMMYFUNCTION("IF(REGEXMATCH(C67, ""m""), ""o"",""x"")"),"o")</f>
        <v>o</v>
      </c>
      <c r="CF67" s="246" t="str">
        <f>IFERROR(__xludf.DUMMYFUNCTION("IF(REGEXMATCH(C67, ""M""), ""o"",""x"")"),"x")</f>
        <v>x</v>
      </c>
      <c r="CG67" s="245" t="str">
        <f>IFERROR(__xludf.DUMMYFUNCTION("IF(REGEXMATCH(C67, ""P""), ""o"",""x"")"),"o")</f>
        <v>o</v>
      </c>
      <c r="CH67" s="246" t="str">
        <f>IFERROR(__xludf.DUMMYFUNCTION("IF(REGEXMATCH(C67, ""d""), ""o"",""x"")"),"x")</f>
        <v>x</v>
      </c>
      <c r="CI67" s="245" t="str">
        <f>IFERROR(__xludf.DUMMYFUNCTION("IF(REGEXMATCH(C67, ""D""), ""o"",""x"")"),"o")</f>
        <v>o</v>
      </c>
      <c r="CJ67" s="245" t="str">
        <f>IFERROR(__xludf.DUMMYFUNCTION("IF(REGEXMATCH(C67, ""n""), ""o"",""x"")"),"o")</f>
        <v>o</v>
      </c>
      <c r="CK67" s="245" t="str">
        <f>IFERROR(__xludf.DUMMYFUNCTION("IF(REGEXMATCH(C67, ""N""), ""o"",""x"")"),"o")</f>
        <v>o</v>
      </c>
      <c r="CL67" s="356" t="str">
        <f>IFERROR(__xludf.DUMMYFUNCTION("IF(REGEXMATCH(C67, ""S""), ""x"",""x"")"),"x")</f>
        <v>x</v>
      </c>
      <c r="CM67" s="357" t="str">
        <f t="shared" si="33"/>
        <v>xxoxooxoxooo</v>
      </c>
      <c r="CN67" s="358">
        <f t="shared" si="34"/>
        <v>1</v>
      </c>
      <c r="CO67" s="246" t="str">
        <f>IFERROR(__xludf.DUMMYFUNCTION("IF(REGEXMATCH($C67, ""S""), ""S"",""S"")"),"S")</f>
        <v>S</v>
      </c>
      <c r="CP67" s="246" t="str">
        <f>IFERROR(__xludf.DUMMYFUNCTION("IF(REGEXMATCH($C67, ""r""), """",""r"")"),"r")</f>
        <v>r</v>
      </c>
      <c r="CQ67" s="246" t="str">
        <f>IFERROR(__xludf.DUMMYFUNCTION("IF(REGEXMATCH($C67, ""R""), """",""R"")"),"")</f>
        <v/>
      </c>
      <c r="CR67" s="246" t="str">
        <f>IFERROR(__xludf.DUMMYFUNCTION("IF(REGEXMATCH($C67, ""g""), """",""g"")"),"g")</f>
        <v>g</v>
      </c>
      <c r="CS67" s="246" t="str">
        <f>IFERROR(__xludf.DUMMYFUNCTION("IF(REGEXMATCH($C67, ""G""), """",""G"")"),"")</f>
        <v/>
      </c>
      <c r="CT67" s="246" t="str">
        <f>IFERROR(__xludf.DUMMYFUNCTION("IF(REGEXMATCH($C67, ""m""), """",""m"")"),"")</f>
        <v/>
      </c>
      <c r="CU67" s="246" t="str">
        <f>IFERROR(__xludf.DUMMYFUNCTION("IF(REGEXMATCH($C67, ""M""), """",""M"")"),"M")</f>
        <v>M</v>
      </c>
      <c r="CV67" s="246" t="str">
        <f>IFERROR(__xludf.DUMMYFUNCTION("IF(REGEXMATCH($C67, ""P""), """",""P"")"),"")</f>
        <v/>
      </c>
      <c r="CW67" s="246" t="str">
        <f>IFERROR(__xludf.DUMMYFUNCTION("IF(REGEXMATCH($C67, ""d""), """",""d"")"),"d")</f>
        <v>d</v>
      </c>
      <c r="CX67" s="246" t="str">
        <f>IFERROR(__xludf.DUMMYFUNCTION("IF(REGEXMATCH($C67, ""D""), """",""D"")"),"")</f>
        <v/>
      </c>
      <c r="CY67" s="246" t="str">
        <f>IFERROR(__xludf.DUMMYFUNCTION("IF(REGEXMATCH($C67, ""n""), """",""n"")"),"")</f>
        <v/>
      </c>
      <c r="CZ67" s="246" t="str">
        <f>IFERROR(__xludf.DUMMYFUNCTION("IF(REGEXMATCH($C67, ""N""), """",""N"")"),"")</f>
        <v/>
      </c>
      <c r="DA67" s="246" t="str">
        <f>IFERROR(__xludf.DUMMYFUNCTION("IF(REGEXMATCH($C67, ""S""), ""S"",""S"")"),"S")</f>
        <v>S</v>
      </c>
      <c r="DB67" s="362" t="str">
        <f>IFERROR(__xludf.DUMMYFUNCTION("JOIN("""",CO67:DA67,"""","""")"),"SrgMdS")</f>
        <v>SrgMdS</v>
      </c>
      <c r="DC67" s="446"/>
      <c r="DD67" s="301" t="str">
        <f t="shared" si="35"/>
        <v>#REF!</v>
      </c>
      <c r="DE67" s="302" t="str">
        <f t="shared" si="36"/>
        <v>#REF!</v>
      </c>
      <c r="DF67" s="301" t="str">
        <f t="shared" ref="DF67:DG67" si="329">SUBSTITUTE(S67,"-","")</f>
        <v>SRGM</v>
      </c>
      <c r="DG67" s="301" t="str">
        <f t="shared" si="329"/>
        <v>PDNS</v>
      </c>
      <c r="DH67" s="302" t="str">
        <f t="shared" si="38"/>
        <v>Bihag</v>
      </c>
      <c r="DI67" s="301" t="str">
        <f t="shared" si="39"/>
        <v>Hemi.</v>
      </c>
      <c r="DJ67" s="364" t="str">
        <f t="shared" si="40"/>
        <v>Co-Co.</v>
      </c>
      <c r="DK67" s="306" t="str">
        <f t="shared" si="41"/>
        <v>-</v>
      </c>
      <c r="DL67" s="366" t="str">
        <f t="shared" si="42"/>
        <v>-</v>
      </c>
      <c r="DM67" s="308" t="str">
        <f t="shared" si="43"/>
        <v>✔</v>
      </c>
      <c r="DN67" s="306" t="str">
        <f t="shared" si="44"/>
        <v>-</v>
      </c>
      <c r="DO67" s="306" t="str">
        <f t="shared" si="45"/>
        <v>-</v>
      </c>
      <c r="DP67" s="367" t="str">
        <f t="shared" si="46"/>
        <v>-</v>
      </c>
      <c r="DQ67" s="310" t="str">
        <f t="shared" si="47"/>
        <v>-</v>
      </c>
      <c r="DR67" s="310" t="str">
        <f t="shared" si="48"/>
        <v>-</v>
      </c>
      <c r="DS67" s="310" t="str">
        <f t="shared" si="49"/>
        <v>-</v>
      </c>
      <c r="DT67" s="310" t="str">
        <f t="shared" si="50"/>
        <v>-</v>
      </c>
      <c r="DU67" s="370" t="str">
        <f t="shared" si="51"/>
        <v>✔</v>
      </c>
      <c r="DV67" s="306" t="str">
        <f t="shared" si="52"/>
        <v>-</v>
      </c>
      <c r="DW67" s="306" t="str">
        <f t="shared" si="53"/>
        <v>-</v>
      </c>
      <c r="DX67" s="306" t="str">
        <f t="shared" si="54"/>
        <v>-</v>
      </c>
      <c r="DY67" s="306" t="str">
        <f t="shared" si="55"/>
        <v>-</v>
      </c>
      <c r="DZ67" s="306" t="str">
        <f t="shared" si="56"/>
        <v>-</v>
      </c>
      <c r="EA67" s="367" t="str">
        <f t="shared" si="57"/>
        <v>-</v>
      </c>
      <c r="EB67" s="310" t="str">
        <f>IFERROR(__xludf.DUMMYFUNCTION("IF(REGEXMATCH(AW67,AS67),""✔"",""-"")"),"✔")</f>
        <v>✔</v>
      </c>
      <c r="EC67" s="310" t="str">
        <f t="shared" si="58"/>
        <v>#REF!</v>
      </c>
      <c r="ED67" s="370" t="str">
        <f t="shared" si="59"/>
        <v>-</v>
      </c>
      <c r="EE67" s="340" t="str">
        <f t="shared" si="60"/>
        <v>S-R-G-m-P-D-nN-S</v>
      </c>
      <c r="EF67" s="371" t="str">
        <f>IFERROR(__xludf.DUMMYFUNCTION("CONCATENATE(JOIN("""",HC67:HO67))"),"SrRgmPdnS")</f>
        <v>SrRgmPdnS</v>
      </c>
      <c r="EG67" s="372">
        <f t="shared" si="61"/>
        <v>1</v>
      </c>
      <c r="EH67" s="373" t="str">
        <f>IFERROR(__xludf.DUMMYFUNCTION("CONCATENATE(JOIN("""",JC67:JO67))"),"Ni, ")</f>
        <v>Ni, </v>
      </c>
      <c r="EI67" s="322">
        <f t="shared" si="62"/>
        <v>0</v>
      </c>
      <c r="EJ67" s="374" t="str">
        <f>IFERROR(__xludf.DUMMYFUNCTION("CONCATENATE(JOIN("""",KC67:KO67))"),"")</f>
        <v/>
      </c>
      <c r="EK67" s="325" t="str">
        <f t="shared" si="63"/>
        <v>S-R2-G3-M1-P-D2-N2-N3-S</v>
      </c>
      <c r="EL67" s="326" t="str">
        <f t="shared" si="64"/>
        <v>1-2-3-4-5-6-b7-7-8</v>
      </c>
      <c r="EM67" s="318" t="str">
        <f t="shared" si="65"/>
        <v>#REF!</v>
      </c>
      <c r="EN67" s="328" t="str">
        <f>IFERROR(__xludf.DUMMYFUNCTION("SUBSTITUTE(SUBSTITUTE(SUBSTITUTE(SUBSTITUTE(CONCATENATE(JOIN("" "",HP67:IB67)),""  "","" ""),""  "","" ""),""  "","" ""),""  "","" "")"),"o • o • o o • o • o o o o")</f>
        <v>o • o • o o • o • o o o o</v>
      </c>
      <c r="EO67" s="368" t="str">
        <f t="shared" si="66"/>
        <v>-</v>
      </c>
      <c r="EP67" s="339" t="str">
        <f t="shared" si="67"/>
        <v>-</v>
      </c>
      <c r="EQ67" s="339" t="str">
        <f t="shared" si="68"/>
        <v>Sa-Pa</v>
      </c>
      <c r="ER67" s="339" t="str">
        <f t="shared" si="69"/>
        <v>-</v>
      </c>
      <c r="ES67" s="340" t="str">
        <f t="shared" si="70"/>
        <v>-</v>
      </c>
      <c r="ET67" s="446"/>
      <c r="EU67" s="376" t="b">
        <f>IFERROR(__xludf.DUMMYFUNCTION("arrayformula(sum(--REGEXMATCH(""SRGMPDNS"",split(REGEXREPLACE(C67,""(.)"",""$1~""),""~""))))=len(C67)
"),FALSE)</f>
        <v>0</v>
      </c>
      <c r="EV67" s="290" t="b">
        <f>IFERROR(__xludf.DUMMYFUNCTION("arrayformula(sum(--REGEXMATCH(""SRGmPDNS"",split(REGEXREPLACE(C67,""(.)"",""$1~""),""~""))))=len(C67)"),FALSE)</f>
        <v>0</v>
      </c>
      <c r="EW67" s="290" t="b">
        <f>IFERROR(__xludf.DUMMYFUNCTION("arrayformula(sum(--REGEXMATCH(""SRGmPDnS"",split(REGEXREPLACE(C67,""(.)"",""$1~""),""~""))))=len(C67)"),FALSE)</f>
        <v>0</v>
      </c>
      <c r="EX67" s="290" t="b">
        <f>IFERROR(__xludf.DUMMYFUNCTION("arrayformula(sum(--REGEXMATCH(""SRgmPDnS"",split(REGEXREPLACE(C67,""(.)"",""$1~""),""~""))))=len(C67)"),FALSE)</f>
        <v>0</v>
      </c>
      <c r="EY67" s="290" t="b">
        <f>IFERROR(__xludf.DUMMYFUNCTION("arrayformula(sum(--REGEXMATCH(""SRgmPdnS"",split(REGEXREPLACE(C67,""(.)"",""$1~""),""~""))))=len(C67)"),FALSE)</f>
        <v>0</v>
      </c>
      <c r="EZ67" s="290" t="b">
        <f>IFERROR(__xludf.DUMMYFUNCTION("arrayformula(sum(--REGEXMATCH(""SrgmPdnS"",split(REGEXREPLACE(C67,""(.)"",""$1~""),""~""))))=len(C67)"),FALSE)</f>
        <v>0</v>
      </c>
      <c r="FA67" s="290" t="b">
        <f>IFERROR(__xludf.DUMMYFUNCTION("arrayformula(sum(--REGEXMATCH(""SrGmPdNS"",split(REGEXREPLACE(C67,""(.)"",""$1~""),""~""))))=len(C67)"),FALSE)</f>
        <v>0</v>
      </c>
      <c r="FB67" s="290" t="b">
        <f>IFERROR(__xludf.DUMMYFUNCTION("arrayformula(sum(--REGEXMATCH(""SrGMPDNS"",split(REGEXREPLACE(C67,""(.)"",""$1~""),""~""))))=len(C67)"),FALSE)</f>
        <v>0</v>
      </c>
      <c r="FC67" s="290" t="b">
        <f>IFERROR(__xludf.DUMMYFUNCTION("arrayformula(sum(--REGEXMATCH(""SrGMPdNS"",split(REGEXREPLACE(C67,""(.)"",""$1~""),""~""))))=len(C67)"),FALSE)</f>
        <v>0</v>
      </c>
      <c r="FD67" s="377" t="b">
        <f>IFERROR(__xludf.DUMMYFUNCTION("arrayformula(sum(--REGEXMATCH(""SrgMPdNS"",split(REGEXREPLACE(C67,""(.)"",""$1~""),""~""))))=len(C67)"),FALSE)</f>
        <v>0</v>
      </c>
      <c r="FE67" s="269" t="str">
        <f t="shared" si="71"/>
        <v>-</v>
      </c>
      <c r="FF67" s="269" t="str">
        <f t="shared" si="72"/>
        <v>xoxxoxoxxxx</v>
      </c>
      <c r="FG67" s="271" t="str">
        <f t="shared" si="73"/>
        <v>-</v>
      </c>
      <c r="FH67" s="269" t="str">
        <f t="shared" si="74"/>
        <v>xxoxoxxxxox</v>
      </c>
      <c r="FI67" s="271" t="str">
        <f t="shared" si="75"/>
        <v>xoxoxxxxoxo</v>
      </c>
      <c r="FJ67" s="271" t="str">
        <f t="shared" si="76"/>
        <v>-</v>
      </c>
      <c r="FK67" s="271" t="str">
        <f t="shared" si="77"/>
        <v>xoxxxxoxoxx</v>
      </c>
      <c r="FL67" s="271" t="str">
        <f t="shared" si="78"/>
        <v>-</v>
      </c>
      <c r="FM67" s="271" t="str">
        <f t="shared" si="79"/>
        <v>xxxxoxoxxox</v>
      </c>
      <c r="FN67" s="271" t="str">
        <f t="shared" si="80"/>
        <v>xxxoxoxxoxo</v>
      </c>
      <c r="FO67" s="274" t="str">
        <f t="shared" si="81"/>
        <v>xxoxoxxoxox</v>
      </c>
      <c r="FP67" s="234" t="str">
        <f t="shared" si="82"/>
        <v>|</v>
      </c>
      <c r="FQ67" s="236" t="str">
        <f t="shared" si="83"/>
        <v>-</v>
      </c>
      <c r="FR67" s="237" t="str">
        <f t="shared" si="84"/>
        <v>|</v>
      </c>
      <c r="FS67" s="236" t="str">
        <f t="shared" si="85"/>
        <v>-</v>
      </c>
      <c r="FT67" s="237" t="str">
        <f t="shared" si="86"/>
        <v>|</v>
      </c>
      <c r="FU67" s="236" t="str">
        <f t="shared" si="87"/>
        <v>|</v>
      </c>
      <c r="FV67" s="237" t="str">
        <f t="shared" si="88"/>
        <v>-</v>
      </c>
      <c r="FW67" s="236" t="str">
        <f t="shared" si="89"/>
        <v>|</v>
      </c>
      <c r="FX67" s="237" t="str">
        <f t="shared" si="90"/>
        <v>-</v>
      </c>
      <c r="FY67" s="236" t="str">
        <f t="shared" si="91"/>
        <v>|</v>
      </c>
      <c r="FZ67" s="237" t="str">
        <f t="shared" si="92"/>
        <v>|</v>
      </c>
      <c r="GA67" s="236" t="str">
        <f t="shared" si="93"/>
        <v>|</v>
      </c>
      <c r="GB67" s="238" t="str">
        <f t="shared" si="94"/>
        <v>|</v>
      </c>
      <c r="GC67" s="244" t="str">
        <f>IFERROR(__xludf.DUMMYFUNCTION("IF(REGEXMATCH(C67, ""S""), ""1"","""")"),"1")</f>
        <v>1</v>
      </c>
      <c r="GD67" s="245" t="str">
        <f>IFERROR(__xludf.DUMMYFUNCTION("IF(REGEXMATCH(C67, ""r""), ""b2"","""")"),"")</f>
        <v/>
      </c>
      <c r="GE67" s="246" t="str">
        <f>IFERROR(__xludf.DUMMYFUNCTION("IF(REGEXMATCH(C67, ""R""), ""2"","""")"),"2")</f>
        <v>2</v>
      </c>
      <c r="GF67" s="246" t="str">
        <f>IFERROR(__xludf.DUMMYFUNCTION("IF(REGEXMATCH(C67, ""g""), ""b3"","""")"),"")</f>
        <v/>
      </c>
      <c r="GG67" s="245" t="str">
        <f>IFERROR(__xludf.DUMMYFUNCTION("IF(REGEXMATCH(C67, ""G""), ""3"","""")"),"3")</f>
        <v>3</v>
      </c>
      <c r="GH67" s="245" t="str">
        <f>IFERROR(__xludf.DUMMYFUNCTION("IF(REGEXMATCH(C67, ""m""), ""4"","""")"),"4")</f>
        <v>4</v>
      </c>
      <c r="GI67" s="246" t="str">
        <f>IFERROR(__xludf.DUMMYFUNCTION("IF(REGEXMATCH(C67, ""M""), ""#4"","""")"),"")</f>
        <v/>
      </c>
      <c r="GJ67" s="245" t="str">
        <f>IFERROR(__xludf.DUMMYFUNCTION("IF(REGEXMATCH(C67, ""P""), ""5"","""")"),"5")</f>
        <v>5</v>
      </c>
      <c r="GK67" s="246" t="str">
        <f>IFERROR(__xludf.DUMMYFUNCTION("IF(REGEXMATCH(C67, ""d""), ""b6"","""")"),"")</f>
        <v/>
      </c>
      <c r="GL67" s="245" t="str">
        <f>IFERROR(__xludf.DUMMYFUNCTION("IF(REGEXMATCH(C67, ""D""), ""6"","""")"),"6")</f>
        <v>6</v>
      </c>
      <c r="GM67" s="245" t="str">
        <f>IFERROR(__xludf.DUMMYFUNCTION("IF(REGEXMATCH(C67, ""n""), ""b7"","""")"),"b7")</f>
        <v>b7</v>
      </c>
      <c r="GN67" s="246" t="str">
        <f>IFERROR(__xludf.DUMMYFUNCTION("IF(REGEXMATCH(C67, ""N""), ""7"","""")"),"7")</f>
        <v>7</v>
      </c>
      <c r="GO67" s="249" t="str">
        <f>IFERROR(__xludf.DUMMYFUNCTION("IF(REGEXMATCH(C67, ""S""), ""8"","""")"),"8")</f>
        <v>8</v>
      </c>
      <c r="GP67" s="244" t="str">
        <f>IFERROR(__xludf.DUMMYFUNCTION("IF(REGEXMATCH(C67, ""S""), ""S"","""")"),"S")</f>
        <v>S</v>
      </c>
      <c r="GQ67" s="294" t="str">
        <f>IFERROR(__xludf.DUMMYFUNCTION("IF(REGEXMATCH(C67, ""r""), ""R1"","""")"),"")</f>
        <v/>
      </c>
      <c r="GR67" s="295" t="str">
        <f>IFERROR(__xludf.DUMMYFUNCTION("IF(REGEXMATCH(C67, ""R""), ""R2"","""")"),"R2")</f>
        <v>R2</v>
      </c>
      <c r="GS67" s="295" t="str">
        <f>IFERROR(__xludf.DUMMYFUNCTION("IF(REGEXMATCH(C67, ""g""), ""G2"","""")"),"")</f>
        <v/>
      </c>
      <c r="GT67" s="294" t="str">
        <f>IFERROR(__xludf.DUMMYFUNCTION("IF(REGEXMATCH(C67, ""G""), ""G3"","""")"),"G3")</f>
        <v>G3</v>
      </c>
      <c r="GU67" s="294" t="str">
        <f>IFERROR(__xludf.DUMMYFUNCTION("IF(REGEXMATCH(C67, ""m""), ""M1"","""")"),"M1")</f>
        <v>M1</v>
      </c>
      <c r="GV67" s="295" t="str">
        <f>IFERROR(__xludf.DUMMYFUNCTION("IF(REGEXMATCH(C67, ""M""), ""M2"","""")"),"")</f>
        <v/>
      </c>
      <c r="GW67" s="294" t="str">
        <f>IFERROR(__xludf.DUMMYFUNCTION("IF(REGEXMATCH(C67, ""P""), ""P"","""")"),"P")</f>
        <v>P</v>
      </c>
      <c r="GX67" s="295" t="str">
        <f>IFERROR(__xludf.DUMMYFUNCTION("IF(REGEXMATCH(C67, ""d""), ""D1"","""")"),"")</f>
        <v/>
      </c>
      <c r="GY67" s="294" t="str">
        <f>IFERROR(__xludf.DUMMYFUNCTION("IF(REGEXMATCH(C67, ""D""), ""D2"","""")"),"D2")</f>
        <v>D2</v>
      </c>
      <c r="GZ67" s="294" t="str">
        <f>IFERROR(__xludf.DUMMYFUNCTION("IF(REGEXMATCH(C67, ""n""), ""N2"","""")"),"N2")</f>
        <v>N2</v>
      </c>
      <c r="HA67" s="295" t="str">
        <f>IFERROR(__xludf.DUMMYFUNCTION("IF(REGEXMATCH(C67, ""N""), ""N3"","""")"),"N3")</f>
        <v>N3</v>
      </c>
      <c r="HB67" s="249" t="str">
        <f>IFERROR(__xludf.DUMMYFUNCTION("IF(REGEXMATCH(C67, ""S""), ""S"","""")"),"S")</f>
        <v>S</v>
      </c>
      <c r="HC67" s="331" t="str">
        <f t="shared" si="95"/>
        <v>S</v>
      </c>
      <c r="HD67" s="332" t="str">
        <f t="shared" si="96"/>
        <v>r</v>
      </c>
      <c r="HE67" s="332" t="str">
        <f t="shared" si="97"/>
        <v>R</v>
      </c>
      <c r="HF67" s="332" t="str">
        <f t="shared" si="98"/>
        <v>g</v>
      </c>
      <c r="HG67" s="332" t="str">
        <f t="shared" si="99"/>
        <v/>
      </c>
      <c r="HH67" s="332" t="str">
        <f t="shared" si="100"/>
        <v>m</v>
      </c>
      <c r="HI67" s="332" t="str">
        <f t="shared" si="101"/>
        <v/>
      </c>
      <c r="HJ67" s="332" t="str">
        <f t="shared" si="102"/>
        <v>P</v>
      </c>
      <c r="HK67" s="332" t="str">
        <f t="shared" si="103"/>
        <v>d</v>
      </c>
      <c r="HL67" s="332" t="str">
        <f t="shared" si="104"/>
        <v/>
      </c>
      <c r="HM67" s="332" t="str">
        <f t="shared" si="105"/>
        <v>n</v>
      </c>
      <c r="HN67" s="332" t="str">
        <f t="shared" si="106"/>
        <v/>
      </c>
      <c r="HO67" s="343" t="str">
        <f t="shared" si="107"/>
        <v>S</v>
      </c>
      <c r="HP67" s="331" t="str">
        <f t="shared" si="108"/>
        <v>o</v>
      </c>
      <c r="HQ67" s="332" t="str">
        <f t="shared" si="109"/>
        <v>•</v>
      </c>
      <c r="HR67" s="332" t="str">
        <f t="shared" si="110"/>
        <v>o</v>
      </c>
      <c r="HS67" s="332" t="str">
        <f t="shared" si="111"/>
        <v>•</v>
      </c>
      <c r="HT67" s="332" t="str">
        <f t="shared" si="112"/>
        <v>o</v>
      </c>
      <c r="HU67" s="332" t="str">
        <f t="shared" si="113"/>
        <v>o</v>
      </c>
      <c r="HV67" s="332" t="str">
        <f t="shared" si="114"/>
        <v>•</v>
      </c>
      <c r="HW67" s="332" t="str">
        <f t="shared" si="115"/>
        <v>o</v>
      </c>
      <c r="HX67" s="332" t="str">
        <f t="shared" si="116"/>
        <v>•</v>
      </c>
      <c r="HY67" s="332" t="str">
        <f t="shared" si="117"/>
        <v>o</v>
      </c>
      <c r="HZ67" s="332" t="str">
        <f t="shared" si="118"/>
        <v>o</v>
      </c>
      <c r="IA67" s="332" t="str">
        <f t="shared" si="119"/>
        <v>o</v>
      </c>
      <c r="IB67" s="338" t="str">
        <f t="shared" si="120"/>
        <v>o</v>
      </c>
      <c r="IC67" s="331" t="str">
        <f t="shared" si="121"/>
        <v>•</v>
      </c>
      <c r="ID67" s="332" t="str">
        <f t="shared" si="122"/>
        <v>o</v>
      </c>
      <c r="IE67" s="332" t="str">
        <f t="shared" si="123"/>
        <v>•</v>
      </c>
      <c r="IF67" s="332" t="str">
        <f t="shared" si="124"/>
        <v>o</v>
      </c>
      <c r="IG67" s="332" t="str">
        <f t="shared" si="125"/>
        <v>•</v>
      </c>
      <c r="IH67" s="332" t="str">
        <f t="shared" si="126"/>
        <v>•</v>
      </c>
      <c r="II67" s="332" t="str">
        <f t="shared" si="127"/>
        <v>o</v>
      </c>
      <c r="IJ67" s="332" t="str">
        <f t="shared" si="128"/>
        <v>•</v>
      </c>
      <c r="IK67" s="332" t="str">
        <f t="shared" si="129"/>
        <v>o</v>
      </c>
      <c r="IL67" s="332" t="str">
        <f t="shared" si="130"/>
        <v>•</v>
      </c>
      <c r="IM67" s="332" t="str">
        <f t="shared" si="131"/>
        <v>•</v>
      </c>
      <c r="IN67" s="332" t="str">
        <f t="shared" si="132"/>
        <v>•</v>
      </c>
      <c r="IO67" s="338" t="str">
        <f t="shared" si="133"/>
        <v>•</v>
      </c>
      <c r="IP67" s="346" t="b">
        <f t="shared" si="134"/>
        <v>0</v>
      </c>
      <c r="IQ67" s="347" t="b">
        <f t="shared" si="135"/>
        <v>0</v>
      </c>
      <c r="IR67" s="347" t="b">
        <f t="shared" si="136"/>
        <v>0</v>
      </c>
      <c r="IS67" s="347" t="b">
        <f t="shared" si="137"/>
        <v>0</v>
      </c>
      <c r="IT67" s="347" t="b">
        <f t="shared" si="138"/>
        <v>0</v>
      </c>
      <c r="IU67" s="347" t="b">
        <f t="shared" si="139"/>
        <v>0</v>
      </c>
      <c r="IV67" s="347" t="b">
        <f t="shared" si="140"/>
        <v>0</v>
      </c>
      <c r="IW67" s="347" t="b">
        <f t="shared" si="141"/>
        <v>0</v>
      </c>
      <c r="IX67" s="347" t="b">
        <f t="shared" si="142"/>
        <v>0</v>
      </c>
      <c r="IY67" s="347" t="b">
        <f t="shared" si="143"/>
        <v>0</v>
      </c>
      <c r="IZ67" s="347" t="b">
        <f t="shared" si="144"/>
        <v>0</v>
      </c>
      <c r="JA67" s="347" t="b">
        <f t="shared" si="145"/>
        <v>1</v>
      </c>
      <c r="JB67" s="353" t="b">
        <f t="shared" si="146"/>
        <v>0</v>
      </c>
      <c r="JC67" s="354" t="str">
        <f t="shared" si="147"/>
        <v/>
      </c>
      <c r="JD67" s="355" t="str">
        <f t="shared" si="148"/>
        <v/>
      </c>
      <c r="JE67" s="355" t="str">
        <f t="shared" si="149"/>
        <v/>
      </c>
      <c r="JF67" s="355" t="str">
        <f t="shared" si="150"/>
        <v/>
      </c>
      <c r="JG67" s="355" t="str">
        <f t="shared" si="151"/>
        <v/>
      </c>
      <c r="JH67" s="355" t="str">
        <f t="shared" si="152"/>
        <v/>
      </c>
      <c r="JI67" s="355" t="str">
        <f t="shared" si="153"/>
        <v/>
      </c>
      <c r="JJ67" s="355" t="str">
        <f t="shared" si="154"/>
        <v/>
      </c>
      <c r="JK67" s="355" t="str">
        <f t="shared" si="155"/>
        <v/>
      </c>
      <c r="JL67" s="355" t="str">
        <f t="shared" si="156"/>
        <v/>
      </c>
      <c r="JM67" s="355" t="str">
        <f t="shared" si="157"/>
        <v/>
      </c>
      <c r="JN67" s="355" t="str">
        <f t="shared" si="158"/>
        <v>Ni, </v>
      </c>
      <c r="JO67" s="359" t="str">
        <f t="shared" si="159"/>
        <v/>
      </c>
      <c r="JP67" s="346" t="b">
        <f t="shared" si="160"/>
        <v>0</v>
      </c>
      <c r="JQ67" s="347" t="b">
        <f t="shared" si="161"/>
        <v>0</v>
      </c>
      <c r="JR67" s="347" t="b">
        <f t="shared" si="162"/>
        <v>0</v>
      </c>
      <c r="JS67" s="347" t="b">
        <f t="shared" si="163"/>
        <v>0</v>
      </c>
      <c r="JT67" s="347" t="b">
        <f t="shared" si="164"/>
        <v>0</v>
      </c>
      <c r="JU67" s="347" t="b">
        <f t="shared" si="165"/>
        <v>0</v>
      </c>
      <c r="JV67" s="347" t="b">
        <f t="shared" si="166"/>
        <v>0</v>
      </c>
      <c r="JW67" s="347" t="b">
        <f t="shared" si="167"/>
        <v>0</v>
      </c>
      <c r="JX67" s="347" t="b">
        <f t="shared" si="168"/>
        <v>0</v>
      </c>
      <c r="JY67" s="347" t="b">
        <f t="shared" si="169"/>
        <v>0</v>
      </c>
      <c r="JZ67" s="347" t="b">
        <f t="shared" si="170"/>
        <v>0</v>
      </c>
      <c r="KA67" s="347" t="b">
        <f t="shared" si="171"/>
        <v>0</v>
      </c>
      <c r="KB67" s="365" t="b">
        <f t="shared" si="172"/>
        <v>0</v>
      </c>
      <c r="KC67" s="354" t="str">
        <f t="shared" si="173"/>
        <v/>
      </c>
      <c r="KD67" s="355" t="str">
        <f t="shared" si="174"/>
        <v/>
      </c>
      <c r="KE67" s="355" t="str">
        <f t="shared" si="175"/>
        <v/>
      </c>
      <c r="KF67" s="355" t="str">
        <f t="shared" si="176"/>
        <v/>
      </c>
      <c r="KG67" s="355" t="str">
        <f t="shared" si="177"/>
        <v/>
      </c>
      <c r="KH67" s="355" t="str">
        <f t="shared" si="178"/>
        <v/>
      </c>
      <c r="KI67" s="355" t="str">
        <f t="shared" si="179"/>
        <v/>
      </c>
      <c r="KJ67" s="355" t="str">
        <f t="shared" si="180"/>
        <v/>
      </c>
      <c r="KK67" s="355" t="str">
        <f t="shared" si="181"/>
        <v/>
      </c>
      <c r="KL67" s="355" t="str">
        <f t="shared" si="182"/>
        <v/>
      </c>
      <c r="KM67" s="355" t="str">
        <f t="shared" si="183"/>
        <v/>
      </c>
      <c r="KN67" s="355" t="str">
        <f t="shared" si="184"/>
        <v/>
      </c>
      <c r="KO67" s="359"/>
      <c r="KP67" s="378"/>
      <c r="KQ67" s="379" t="s">
        <v>554</v>
      </c>
      <c r="KR67" s="380" t="s">
        <v>1256</v>
      </c>
      <c r="KS67" s="381" t="str">
        <f>KQ67</f>
        <v>S-R-G-m-P-D-N-S</v>
      </c>
      <c r="KT67" s="382">
        <f t="shared" si="186"/>
        <v>7</v>
      </c>
      <c r="KU67" s="383">
        <f t="shared" si="187"/>
        <v>7</v>
      </c>
      <c r="KV67" s="381" t="str">
        <f t="shared" si="205"/>
        <v>S-n-D-P-m-G-R-S</v>
      </c>
      <c r="KW67" s="382">
        <f t="shared" si="189"/>
        <v>7</v>
      </c>
      <c r="KX67" s="384">
        <f t="shared" si="190"/>
        <v>7</v>
      </c>
      <c r="KY67" s="382">
        <f t="shared" ref="KY67:KZ67" si="330">KW67-KT67</f>
        <v>0</v>
      </c>
      <c r="KZ67" s="369">
        <f t="shared" si="330"/>
        <v>0</v>
      </c>
      <c r="LA67" s="385" t="str">
        <f t="shared" si="192"/>
        <v>✔</v>
      </c>
      <c r="LB67" s="340" t="str">
        <f>IFERROR(__xludf.DUMMYFUNCTION("JOIN("""",ArrayFormula(MID(KS67,LEN(KS67)-SEQUENCE(1,LEN(KS67))+1,1)))"),"S-N-D-P-m-G-R-S")</f>
        <v>S-N-D-P-m-G-R-S</v>
      </c>
      <c r="LC67" s="373" t="str">
        <f>IFERROR(__xludf.DUMMYFUNCTION("JOIN("""",ArrayFormula(MID(KV67,LEN(KV67)-SEQUENCE(1,LEN(KV67))+1,1)))"),"S-R-G-m-P-D-n-S")</f>
        <v>S-R-G-m-P-D-n-S</v>
      </c>
      <c r="LD67" s="373" t="str">
        <f t="shared" si="193"/>
        <v>SRGmPDNS</v>
      </c>
      <c r="LE67" s="339" t="str">
        <f t="shared" si="194"/>
        <v>SRGmPDnS</v>
      </c>
      <c r="LF67" s="386" t="str">
        <f>IFERROR(__xludf.DUMMYFUNCTION("SUBSTITUTE(SUBSTITUTE(CONCATENATE(JOIN("""",LH67:LT67)),""1"",""""),""2"","""")"),"SRGmPDnNS")</f>
        <v>SRGmPDnNS</v>
      </c>
      <c r="LG67" s="369" t="str">
        <f t="shared" si="195"/>
        <v>✔</v>
      </c>
      <c r="LH67" s="387" t="str">
        <f>IFERROR(__xludf.DUMMYFUNCTION("IF(REGEXMATCH(LD67, ""S""), ""S"",IF(REGEXMATCH(LE67, ""S""), ""S"",""""))"),"S")</f>
        <v>S</v>
      </c>
      <c r="LI67" s="299" t="str">
        <f>IFERROR(__xludf.DUMMYFUNCTION("IF(REGEXMATCH(LD67, ""r""), ""r1"",IF(REGEXMATCH(LE67, ""r""), ""r2"",""""))"),"")</f>
        <v/>
      </c>
      <c r="LJ67" s="299" t="str">
        <f>IFERROR(__xludf.DUMMYFUNCTION("IF(REGEXMATCH(LD67, ""R""), ""R1"",IF(REGEXMATCH(LE67, ""R""), ""R2"",""""))"),"R1")</f>
        <v>R1</v>
      </c>
      <c r="LK67" s="299" t="str">
        <f>IFERROR(__xludf.DUMMYFUNCTION("IF(REGEXMATCH(LD67, ""g""), ""g1"",IF(REGEXMATCH(LE67, ""g""), ""g2"",""""))"),"")</f>
        <v/>
      </c>
      <c r="LL67" s="299" t="str">
        <f>IFERROR(__xludf.DUMMYFUNCTION("IF(REGEXMATCH(LD67, ""G""), ""G1"",IF(REGEXMATCH(LE67, ""G""), ""G2"",""""))"),"G1")</f>
        <v>G1</v>
      </c>
      <c r="LM67" s="299" t="str">
        <f>IFERROR(__xludf.DUMMYFUNCTION("IF(REGEXMATCH(LD67, ""m""), ""m1"",IF(REGEXMATCH(LE67, ""m""), ""m2"",""""))"),"m1")</f>
        <v>m1</v>
      </c>
      <c r="LN67" s="299" t="str">
        <f>IFERROR(__xludf.DUMMYFUNCTION("IF(REGEXMATCH(LD67, ""M""), ""M1"",IF(REGEXMATCH(LE67, ""M""), ""M2"",""""))"),"")</f>
        <v/>
      </c>
      <c r="LO67" s="299" t="str">
        <f>IFERROR(__xludf.DUMMYFUNCTION("IF(REGEXMATCH(LD67, ""P""), ""P1"",IF(REGEXMATCH(LE67, ""P""), ""P2"",""""))"),"P1")</f>
        <v>P1</v>
      </c>
      <c r="LP67" s="299" t="str">
        <f>IFERROR(__xludf.DUMMYFUNCTION("IF(REGEXMATCH(LD67, ""d""), ""d1"",IF(REGEXMATCH(LE67, ""d""), ""d2"",""""))"),"")</f>
        <v/>
      </c>
      <c r="LQ67" s="299" t="str">
        <f>IFERROR(__xludf.DUMMYFUNCTION("IF(REGEXMATCH(LD67, ""D""), ""D1"",IF(REGEXMATCH(LE67, ""D""), ""D2"",""""))"),"D1")</f>
        <v>D1</v>
      </c>
      <c r="LR67" s="299" t="str">
        <f>IFERROR(__xludf.DUMMYFUNCTION("IF(REGEXMATCH(LD67, ""n""), ""n1"",IF(REGEXMATCH(LE67, ""n""), ""n2"",""""))"),"n2")</f>
        <v>n2</v>
      </c>
      <c r="LS67" s="299" t="str">
        <f>IFERROR(__xludf.DUMMYFUNCTION("IF(REGEXMATCH(LD67, ""N""), ""N1"",IF(REGEXMATCH(LE67, ""N""), ""N2"",""""))"),"N1")</f>
        <v>N1</v>
      </c>
      <c r="LT67" s="388" t="str">
        <f>IFERROR(__xludf.DUMMYFUNCTION("IF(REGEXMATCH(LD67, ""S""), ""S"",IF(REGEXMATCH(LE67, ""S""), ""S"",""""))"),"S")</f>
        <v>S</v>
      </c>
      <c r="LU67" s="389">
        <f t="shared" si="196"/>
        <v>1</v>
      </c>
      <c r="LV67" s="378"/>
      <c r="LW67" s="369"/>
      <c r="LX67" s="369"/>
    </row>
    <row r="68" ht="18.0" customHeight="1">
      <c r="A68" s="298" t="s">
        <v>1358</v>
      </c>
      <c r="B68" s="222" t="s">
        <v>1212</v>
      </c>
      <c r="C68" s="233" t="str">
        <f t="shared" si="7"/>
        <v>SRgmPnNS</v>
      </c>
      <c r="D68" s="234" t="str">
        <f>IFERROR(__xludf.DUMMYFUNCTION("IF(REGEXMATCH(C68, ""S""), ""S"","""")"),"S")</f>
        <v>S</v>
      </c>
      <c r="E68" s="236" t="str">
        <f>IFERROR(__xludf.DUMMYFUNCTION("IF(REGEXMATCH(C68, ""r""), ""r"","""")"),"")</f>
        <v/>
      </c>
      <c r="F68" s="237" t="str">
        <f>IFERROR(__xludf.DUMMYFUNCTION("IF(REGEXMATCH(C68, ""R""), ""R"","""")"),"R")</f>
        <v>R</v>
      </c>
      <c r="G68" s="237" t="str">
        <f>IFERROR(__xludf.DUMMYFUNCTION("IF(REGEXMATCH(C68, ""g""), ""g"","""")"),"g")</f>
        <v>g</v>
      </c>
      <c r="H68" s="236" t="str">
        <f>IFERROR(__xludf.DUMMYFUNCTION("IF(REGEXMATCH(C68, ""G""), ""G"","""")"),"")</f>
        <v/>
      </c>
      <c r="I68" s="236" t="str">
        <f>IFERROR(__xludf.DUMMYFUNCTION("IF(REGEXMATCH(C68, ""m""), ""m"","""")"),"m")</f>
        <v>m</v>
      </c>
      <c r="J68" s="237" t="str">
        <f>IFERROR(__xludf.DUMMYFUNCTION("IF(REGEXMATCH(C68, ""M""), ""M"","""")"),"")</f>
        <v/>
      </c>
      <c r="K68" s="236" t="str">
        <f>IFERROR(__xludf.DUMMYFUNCTION("IF(REGEXMATCH(C68, ""P""), ""P"","""")"),"P")</f>
        <v>P</v>
      </c>
      <c r="L68" s="237" t="str">
        <f>IFERROR(__xludf.DUMMYFUNCTION("IF(REGEXMATCH(C68, ""d""), ""d"","""")"),"")</f>
        <v/>
      </c>
      <c r="M68" s="236" t="str">
        <f>IFERROR(__xludf.DUMMYFUNCTION("IF(REGEXMATCH(C68, ""D""), ""D"","""")"),"")</f>
        <v/>
      </c>
      <c r="N68" s="236" t="str">
        <f>IFERROR(__xludf.DUMMYFUNCTION("IF(REGEXMATCH(C68, ""n""), ""n"","""")"),"n")</f>
        <v>n</v>
      </c>
      <c r="O68" s="237" t="str">
        <f>IFERROR(__xludf.DUMMYFUNCTION("IF(REGEXMATCH(C68, ""N""), ""N"","""")"),"N")</f>
        <v>N</v>
      </c>
      <c r="P68" s="238" t="str">
        <f>IFERROR(__xludf.DUMMYFUNCTION("IF(REGEXMATCH(C68, ""S""), ""S"","""")"),"S")</f>
        <v>S</v>
      </c>
      <c r="Q68" s="239" t="str">
        <f>IFERROR(__xludf.DUMMYFUNCTION("SUBSTITUTE(CONCATENATE(JOIN(""-"",D68:J68)),""-"","""")"),"SRgm")</f>
        <v>SRgm</v>
      </c>
      <c r="R68" s="229" t="str">
        <f>IFERROR(__xludf.DUMMYFUNCTION("SUBSTITUTE(CONCATENATE(JOIN(""-"",K68:P68)),""-"","""")"),"PnNS")</f>
        <v>PnNS</v>
      </c>
      <c r="S68" s="282" t="str">
        <f t="shared" si="8"/>
        <v>S-R-G-M</v>
      </c>
      <c r="T68" s="282" t="str">
        <f t="shared" si="9"/>
        <v>P-N-S</v>
      </c>
      <c r="U68" s="237" t="str">
        <f>IFERROR(__xludf.DUMMYFUNCTION("SUBSTITUTE(JOIN(""-"",S68,T68),""--"",""-"")"),"S-R-G-M-P-N-S")</f>
        <v>S-R-G-M-P-N-S</v>
      </c>
      <c r="V68" s="309" t="str">
        <f t="shared" si="10"/>
        <v>RgmnN</v>
      </c>
      <c r="W68" s="244" t="str">
        <f>IFERROR(__xludf.DUMMYFUNCTION("IF(REGEXMATCH(C68, ""S""), ""0"","""")"),"0")</f>
        <v>0</v>
      </c>
      <c r="X68" s="245" t="str">
        <f>IFERROR(__xludf.DUMMYFUNCTION("IF(REGEXMATCH(C68, ""r""), ""1"","""")"),"")</f>
        <v/>
      </c>
      <c r="Y68" s="246" t="str">
        <f>IFERROR(__xludf.DUMMYFUNCTION("IF(REGEXMATCH(C68, ""R""), ""2"","""")"),"2")</f>
        <v>2</v>
      </c>
      <c r="Z68" s="246" t="str">
        <f>IFERROR(__xludf.DUMMYFUNCTION("IF(REGEXMATCH(C68, ""g""), ""3"","""")"),"3")</f>
        <v>3</v>
      </c>
      <c r="AA68" s="245" t="str">
        <f>IFERROR(__xludf.DUMMYFUNCTION("IF(REGEXMATCH(C68, ""G""), ""4"","""")"),"")</f>
        <v/>
      </c>
      <c r="AB68" s="245" t="str">
        <f>IFERROR(__xludf.DUMMYFUNCTION("IF(REGEXMATCH(C68, ""m""), ""5"","""")"),"5")</f>
        <v>5</v>
      </c>
      <c r="AC68" s="246" t="str">
        <f>IFERROR(__xludf.DUMMYFUNCTION("IF(REGEXMATCH(C68, ""M""), ""6"","""")"),"")</f>
        <v/>
      </c>
      <c r="AD68" s="245" t="str">
        <f>IFERROR(__xludf.DUMMYFUNCTION("IF(REGEXMATCH(C68, ""P""), ""7"","""")"),"7")</f>
        <v>7</v>
      </c>
      <c r="AE68" s="246" t="str">
        <f>IFERROR(__xludf.DUMMYFUNCTION("IF(REGEXMATCH(C68, ""d""), ""8"","""")"),"")</f>
        <v/>
      </c>
      <c r="AF68" s="245" t="str">
        <f>IFERROR(__xludf.DUMMYFUNCTION("IF(REGEXMATCH(C68, ""D""), ""9"","""")"),"")</f>
        <v/>
      </c>
      <c r="AG68" s="245" t="str">
        <f>IFERROR(__xludf.DUMMYFUNCTION("IF(REGEXMATCH(C68, ""n""), ""10"","""")"),"10")</f>
        <v>10</v>
      </c>
      <c r="AH68" s="246" t="str">
        <f>IFERROR(__xludf.DUMMYFUNCTION("IF(REGEXMATCH(C68, ""N""), ""11"","""")"),"11")</f>
        <v>11</v>
      </c>
      <c r="AI68" s="249" t="str">
        <f>IFERROR(__xludf.DUMMYFUNCTION("IF(REGEXMATCH(C68, ""S""), ""0"","""")"),"0")</f>
        <v>0</v>
      </c>
      <c r="AJ68" s="313" t="str">
        <f t="shared" si="11"/>
        <v>-</v>
      </c>
      <c r="AK68" s="313" t="str">
        <f t="shared" si="12"/>
        <v>-</v>
      </c>
      <c r="AL68" s="313" t="str">
        <f t="shared" si="13"/>
        <v>-</v>
      </c>
      <c r="AM68" s="313" t="str">
        <f t="shared" si="14"/>
        <v>-</v>
      </c>
      <c r="AN68" s="313" t="str">
        <f t="shared" si="15"/>
        <v>-</v>
      </c>
      <c r="AO68" s="314" t="str">
        <f t="shared" si="16"/>
        <v>T</v>
      </c>
      <c r="AP68" s="316">
        <f t="shared" si="17"/>
        <v>1</v>
      </c>
      <c r="AQ68" s="319" t="str">
        <f t="shared" si="18"/>
        <v>#REF!</v>
      </c>
      <c r="AR68" s="320">
        <f t="shared" si="19"/>
        <v>0</v>
      </c>
      <c r="AS68" s="250" t="str">
        <f>IFERROR(__xludf.DUMMYFUNCTION("SUBSTITUTE(SUBSTITUTE(CONCATENATE(JOIN("""",FP68:GA68)),""|"",""x""),""-"",""o"")"),"xoxxoxoxooxx")</f>
        <v>xoxxoxoxooxx</v>
      </c>
      <c r="AT68" s="323" t="str">
        <f>IFERROR(__xludf.DUMMYFUNCTION("JOIN("""",AS68,AS68)"),"xoxxoxoxooxxxoxxoxoxooxx")</f>
        <v>xoxxoxoxooxxxoxxoxoxooxx</v>
      </c>
      <c r="AU68" s="256" t="str">
        <f>IFERROR(__xludf.DUMMYFUNCTION("JOIN("""",ArrayFormula(MID(AS68,LEN(AS68)-SEQUENCE(1,LEN(AS68))+1,1)))"),"xxooxoxoxxox")</f>
        <v>xxooxoxoxxox</v>
      </c>
      <c r="AV68" s="256" t="str">
        <f>IFERROR(__xludf.DUMMYFUNCTION("LEFT(CONCATENATE(""x"",JOIN("""",ArrayFormula(MID(AS68,LEN(AS68)-SEQUENCE(1,LEN(AS68))+1,1)))),12)"),"xxxooxoxoxxo")</f>
        <v>xxxooxoxoxxo</v>
      </c>
      <c r="AW68" s="327" t="str">
        <f>IFERROR(__xludf.DUMMYFUNCTION("JOIN("""",AU68,AU68)"),"xxooxoxoxxoxxxooxoxoxxox")</f>
        <v>xxooxoxoxxoxxxooxoxoxxox</v>
      </c>
      <c r="AX68" s="239" t="str">
        <f>IFERROR(__xludf.DUMMYFUNCTION("IF(REGEXMATCH(AW68,AS68),""✔"",""-"")"),"-")</f>
        <v>-</v>
      </c>
      <c r="AY68" s="330" t="str">
        <f t="shared" si="20"/>
        <v>-</v>
      </c>
      <c r="AZ68" s="260" t="str">
        <f t="shared" si="21"/>
        <v>#REF!</v>
      </c>
      <c r="BA68" s="333" t="str">
        <f t="shared" si="22"/>
        <v>xoxxoxo</v>
      </c>
      <c r="BB68" s="334" t="str">
        <f t="shared" si="23"/>
        <v>xooxxx</v>
      </c>
      <c r="BC68" s="335" t="str">
        <f t="shared" si="236"/>
        <v>-</v>
      </c>
      <c r="BD68" s="336" t="str">
        <f t="shared" si="25"/>
        <v>Chanchalas Malhar: 'xoxxoxo' + 'xooxxx'</v>
      </c>
      <c r="BE68" s="337">
        <f>IFERROR(__xludf.DUMMYFUNCTION("COUNTUNIQUE(FILTER(AT:AT,REGEXMATCH(AT:AT,AS68)))-1"),1.0)</f>
        <v>1</v>
      </c>
      <c r="BF68" s="261" t="str">
        <f>IFERROR(__xludf.DUMMYFUNCTION("IF(BI68=0,""(n/a)"",IF(BJ68=2,""(PAIR)"",IF(REGEXMATCH(AT68,""xoxoxxoxoxox""),""Bilawal"",IF(REGEXMATCH(AT68,""xoxoxooxoxoo""),""Bhupali"",IF(REGEXMATCH(AT68,""xoxoxxoxxoxo""),""Charukeshi"",IF(REGEXMATCH(AT68,""xoxoooxxoxxo""),""Kameshwari"",IF(REGEXMATC"&amp;"H(AT68,""xoxoxooxoxox""),""Shankara"",IF(REGEXMATCH(AT68,""xxooxoxxxoox""),""Basant"",IF(REGEXMATCH(AT68,""xoxoxxxxoxox""),""Bihag"",IF(REGEXMATCH(AT68,""xoxxxxoxoxxx""),""Pilu"",IF(REGEXMATCH(AT68,""xoxxoxoxxoox""),""Kirwani"",IF(REGEXMATCH(AT68,""xoxxox"&amp;"oxoxxx""),""Mk.Malhar"",IF(REGEXMATCH(AT68,""xxooxxoxxoox""),""Bhairav"",IF(REGEXMATCH(AT68,""xxoxooxxxoox""),""Todi"",IF(REGEXMATCH(AT68,""xxooxoxooxox""),""Marwa"",IF(REGEXMATCH(AT68,""xxoooxoxxooo""),""Gunkali"",IF(REGEXMATCH(AT68,""xoxoxxoxxoox""),""N"&amp;"at Bhairav"",IF(REGEXMATCH(AT68,""xoxxoooxoxoo""),""Shivranjani"",IF(REGEXMATCH(AT68,""xooxxxoxooxo""),""Jog"",IF(REGEXMATCH(AT68,""xxooxoxoxoox""),""Hemshri"",IF(REGEXMATCH(AT68,""xoooxooxoxxo""),""Kalavati"",IF(REGEXMATCH(AT68,""xxoxoxxoxoox""),""Kedar"&amp;""",IF(REGEXMATCH(AT68,""xoxxxxoxooxx""),""Gara"",IF(REGEXMATCH(AT68,""xooxoxooxoox""),""Chandrakauns"",IF(REGEXMATCH(AT68,""xoxxxxoxxxox""),""Mand"",IF(REGEXMATCH(AT68,""xoxxxxoxoxox""),""Hanskinkini"",IF(REGEXMATCH(AT68,""xxooxxoxooxo""),""Lilavati"",IF("&amp;"REGEXMATCH(AT68,""xooxoxoooxox""),""Rajeshwari"",IF(REGEXMATCH(AT68,""xoooxxoxoxxx""),""Khokar"",IF(REGEXMATCH(AT68,""xxooxoxxxxox""),""Maligoura"",""-""))))))))))))))))))))))))))))))"),"-")</f>
        <v>-</v>
      </c>
      <c r="BG68" s="239" t="str">
        <f t="shared" si="26"/>
        <v>#REF!</v>
      </c>
      <c r="BH68" s="239">
        <f>IFERROR(__xludf.DUMMYFUNCTION("COUNTUNIQUE(FE68:FO68)-1"),6.0)</f>
        <v>6</v>
      </c>
      <c r="BI68" s="239">
        <f>IFERROR(__xludf.DUMMYFUNCTION("COUNTUNIQUE(FILTER(AT:AT,REGEXMATCH(AT:AT,AS68)))-1"),1.0)</f>
        <v>1</v>
      </c>
      <c r="BJ68" s="239">
        <f>IFERROR(__xludf.DUMMYFUNCTION("COUNTA(FILTER(AT:AT,REGEXMATCH(AT:AT,AS68)))"),3.0)</f>
        <v>3</v>
      </c>
      <c r="BK68" s="341">
        <f>IFERROR(__xludf.DUMMYFUNCTION("COUNTA(FILTER(AT:AT,REGEXMATCH(AT:AT,AS68)))-AR68"),3.0)</f>
        <v>3</v>
      </c>
      <c r="BL68" s="276" t="str">
        <f>IFERROR(__xludf.DUMMYFUNCTION("IF(AS68=""oooooooooooo"",""-"",IF(REGEXMATCH(AT68,""xx""), ""Hemi."", ""Anhemi.""))"),"Hemi.")</f>
        <v>Hemi.</v>
      </c>
      <c r="BM68" s="282" t="str">
        <f>IFERROR(__xludf.DUMMYFUNCTION("IF(AS68=""oooooooooooo"",""-"",IF(REGEXMATCH(AT68,""xxx""), ""Cohem."", ""-""))"),"Cohem.")</f>
        <v>Cohem.</v>
      </c>
      <c r="BN68" s="282" t="str">
        <f>IFERROR(__xludf.DUMMYFUNCTION("IF(AS68=""oooooooooooo"",""-"",IF(REGEXMATCH(AT68,""xxxx""), ""Co-Co."", ""-""))"),"-")</f>
        <v>-</v>
      </c>
      <c r="BO68" s="342" t="str">
        <f>IFERROR(__xludf.DUMMYFUNCTION("IF(AS68=""oooooooooooo"",""-"",IF(REGEXMATCH(AT68,""xxxxx""), ""CCC."", ""-""))"),"-")</f>
        <v>-</v>
      </c>
      <c r="BP68" s="344" t="str">
        <f t="shared" si="27"/>
        <v>-</v>
      </c>
      <c r="BQ68" s="282" t="str">
        <f>IFERROR(__xludf.DUMMYFUNCTION("IF(REGEXMATCH(JOIN(""-"",EU68:FD68),""TRUE""),""✔"",""-"")"),"-")</f>
        <v>-</v>
      </c>
      <c r="BR68" s="225">
        <f t="shared" si="28"/>
        <v>0</v>
      </c>
      <c r="BS68" s="345" t="str">
        <f>IFERROR(__xludf.DUMMYFUNCTION("SUBSTITUTE(SUBSTITUTE(SUBSTITUTE(SUBSTITUTE(CONCATENATE(JOIN(""-"",GC68:GO68)),""--"",""-""),""--"",""-""),""--"",""-""),""--"",""-"")"),"1-2-b3-4-5-b7-7-8")</f>
        <v>1-2-b3-4-5-b7-7-8</v>
      </c>
      <c r="BT68" s="299" t="str">
        <f>IFERROR(__xludf.DUMMYFUNCTION("SUBSTITUTE(SUBSTITUTE(SUBSTITUTE(SUBSTITUTE(CONCATENATE(JOIN(""-"",GP68:HB68)),""--"",""-""),""--"",""-""),""--"",""-""),""--"",""-"")"),"S-R2-G2-M1-P-N2-N3-S")</f>
        <v>S-R2-G2-M1-P-N2-N3-S</v>
      </c>
      <c r="BU68" s="348" t="str">
        <f t="shared" si="29"/>
        <v>C-D-Eb-F-G-Bb-B-C</v>
      </c>
      <c r="BV68" s="349" t="str">
        <f t="shared" si="30"/>
        <v>SrGMdDS</v>
      </c>
      <c r="BW68" s="350">
        <f t="shared" si="31"/>
        <v>0</v>
      </c>
      <c r="BX68" s="351">
        <f t="shared" si="32"/>
        <v>1</v>
      </c>
      <c r="BY68" s="392"/>
      <c r="BZ68" s="309" t="str">
        <f>IFERROR(__xludf.DUMMYFUNCTION("IF(REGEXMATCH(C68, ""S""), ""x"",""x"")"),"x")</f>
        <v>x</v>
      </c>
      <c r="CA68" s="245" t="str">
        <f>IFERROR(__xludf.DUMMYFUNCTION("IF(REGEXMATCH(C68, ""r""), ""o"",""x"")"),"x")</f>
        <v>x</v>
      </c>
      <c r="CB68" s="246" t="str">
        <f>IFERROR(__xludf.DUMMYFUNCTION("IF(REGEXMATCH(C68, ""R""), ""o"",""x"")"),"o")</f>
        <v>o</v>
      </c>
      <c r="CC68" s="246" t="str">
        <f>IFERROR(__xludf.DUMMYFUNCTION("IF(REGEXMATCH(C68, ""g""), ""o"",""x"")"),"o")</f>
        <v>o</v>
      </c>
      <c r="CD68" s="245" t="str">
        <f>IFERROR(__xludf.DUMMYFUNCTION("IF(REGEXMATCH(C68, ""G""), ""o"",""x"")"),"x")</f>
        <v>x</v>
      </c>
      <c r="CE68" s="245" t="str">
        <f>IFERROR(__xludf.DUMMYFUNCTION("IF(REGEXMATCH(C68, ""m""), ""o"",""x"")"),"o")</f>
        <v>o</v>
      </c>
      <c r="CF68" s="246" t="str">
        <f>IFERROR(__xludf.DUMMYFUNCTION("IF(REGEXMATCH(C68, ""M""), ""o"",""x"")"),"x")</f>
        <v>x</v>
      </c>
      <c r="CG68" s="245" t="str">
        <f>IFERROR(__xludf.DUMMYFUNCTION("IF(REGEXMATCH(C68, ""P""), ""o"",""x"")"),"o")</f>
        <v>o</v>
      </c>
      <c r="CH68" s="246" t="str">
        <f>IFERROR(__xludf.DUMMYFUNCTION("IF(REGEXMATCH(C68, ""d""), ""o"",""x"")"),"x")</f>
        <v>x</v>
      </c>
      <c r="CI68" s="245" t="str">
        <f>IFERROR(__xludf.DUMMYFUNCTION("IF(REGEXMATCH(C68, ""D""), ""o"",""x"")"),"x")</f>
        <v>x</v>
      </c>
      <c r="CJ68" s="245" t="str">
        <f>IFERROR(__xludf.DUMMYFUNCTION("IF(REGEXMATCH(C68, ""n""), ""o"",""x"")"),"o")</f>
        <v>o</v>
      </c>
      <c r="CK68" s="245" t="str">
        <f>IFERROR(__xludf.DUMMYFUNCTION("IF(REGEXMATCH(C68, ""N""), ""o"",""x"")"),"o")</f>
        <v>o</v>
      </c>
      <c r="CL68" s="356" t="str">
        <f>IFERROR(__xludf.DUMMYFUNCTION("IF(REGEXMATCH(C68, ""S""), ""x"",""x"")"),"x")</f>
        <v>x</v>
      </c>
      <c r="CM68" s="357" t="str">
        <f t="shared" si="33"/>
        <v>xxooxoxoxxoo</v>
      </c>
      <c r="CN68" s="358">
        <f t="shared" si="34"/>
        <v>0</v>
      </c>
      <c r="CO68" s="246" t="str">
        <f>IFERROR(__xludf.DUMMYFUNCTION("IF(REGEXMATCH($C68, ""S""), ""S"",""S"")"),"S")</f>
        <v>S</v>
      </c>
      <c r="CP68" s="246" t="str">
        <f>IFERROR(__xludf.DUMMYFUNCTION("IF(REGEXMATCH($C68, ""r""), """",""r"")"),"r")</f>
        <v>r</v>
      </c>
      <c r="CQ68" s="246" t="str">
        <f>IFERROR(__xludf.DUMMYFUNCTION("IF(REGEXMATCH($C68, ""R""), """",""R"")"),"")</f>
        <v/>
      </c>
      <c r="CR68" s="246" t="str">
        <f>IFERROR(__xludf.DUMMYFUNCTION("IF(REGEXMATCH($C68, ""g""), """",""g"")"),"")</f>
        <v/>
      </c>
      <c r="CS68" s="246" t="str">
        <f>IFERROR(__xludf.DUMMYFUNCTION("IF(REGEXMATCH($C68, ""G""), """",""G"")"),"G")</f>
        <v>G</v>
      </c>
      <c r="CT68" s="246" t="str">
        <f>IFERROR(__xludf.DUMMYFUNCTION("IF(REGEXMATCH($C68, ""m""), """",""m"")"),"")</f>
        <v/>
      </c>
      <c r="CU68" s="246" t="str">
        <f>IFERROR(__xludf.DUMMYFUNCTION("IF(REGEXMATCH($C68, ""M""), """",""M"")"),"M")</f>
        <v>M</v>
      </c>
      <c r="CV68" s="246" t="str">
        <f>IFERROR(__xludf.DUMMYFUNCTION("IF(REGEXMATCH($C68, ""P""), """",""P"")"),"")</f>
        <v/>
      </c>
      <c r="CW68" s="246" t="str">
        <f>IFERROR(__xludf.DUMMYFUNCTION("IF(REGEXMATCH($C68, ""d""), """",""d"")"),"d")</f>
        <v>d</v>
      </c>
      <c r="CX68" s="246" t="str">
        <f>IFERROR(__xludf.DUMMYFUNCTION("IF(REGEXMATCH($C68, ""D""), """",""D"")"),"D")</f>
        <v>D</v>
      </c>
      <c r="CY68" s="246" t="str">
        <f>IFERROR(__xludf.DUMMYFUNCTION("IF(REGEXMATCH($C68, ""n""), """",""n"")"),"")</f>
        <v/>
      </c>
      <c r="CZ68" s="246" t="str">
        <f>IFERROR(__xludf.DUMMYFUNCTION("IF(REGEXMATCH($C68, ""N""), """",""N"")"),"")</f>
        <v/>
      </c>
      <c r="DA68" s="246" t="str">
        <f>IFERROR(__xludf.DUMMYFUNCTION("IF(REGEXMATCH($C68, ""S""), ""S"",""S"")"),"S")</f>
        <v>S</v>
      </c>
      <c r="DB68" s="362" t="str">
        <f>IFERROR(__xludf.DUMMYFUNCTION("JOIN("""",CO68:DA68,"""","""")"),"SrGMdDS")</f>
        <v>SrGMdDS</v>
      </c>
      <c r="DC68" s="363"/>
      <c r="DD68" s="301" t="str">
        <f t="shared" si="35"/>
        <v>#REF!</v>
      </c>
      <c r="DE68" s="302" t="str">
        <f t="shared" si="36"/>
        <v>#REF!</v>
      </c>
      <c r="DF68" s="301" t="str">
        <f t="shared" ref="DF68:DG68" si="331">SUBSTITUTE(S68,"-","")</f>
        <v>SRGM</v>
      </c>
      <c r="DG68" s="301" t="str">
        <f t="shared" si="331"/>
        <v>PNS</v>
      </c>
      <c r="DH68" s="302" t="str">
        <f t="shared" si="38"/>
        <v>-</v>
      </c>
      <c r="DI68" s="301" t="str">
        <f t="shared" si="39"/>
        <v>Hemi.</v>
      </c>
      <c r="DJ68" s="364" t="str">
        <f t="shared" si="40"/>
        <v>Cohem.</v>
      </c>
      <c r="DK68" s="306" t="str">
        <f t="shared" si="41"/>
        <v>-</v>
      </c>
      <c r="DL68" s="366" t="str">
        <f t="shared" si="42"/>
        <v>-</v>
      </c>
      <c r="DM68" s="308" t="str">
        <f t="shared" si="43"/>
        <v>✔</v>
      </c>
      <c r="DN68" s="306" t="str">
        <f t="shared" si="44"/>
        <v>-</v>
      </c>
      <c r="DO68" s="306" t="str">
        <f t="shared" si="45"/>
        <v>-</v>
      </c>
      <c r="DP68" s="367" t="str">
        <f t="shared" si="46"/>
        <v>-</v>
      </c>
      <c r="DQ68" s="310" t="str">
        <f t="shared" si="47"/>
        <v>-</v>
      </c>
      <c r="DR68" s="310" t="str">
        <f t="shared" si="48"/>
        <v>-</v>
      </c>
      <c r="DS68" s="310" t="str">
        <f t="shared" si="49"/>
        <v>-</v>
      </c>
      <c r="DT68" s="310" t="str">
        <f t="shared" si="50"/>
        <v>-</v>
      </c>
      <c r="DU68" s="370" t="str">
        <f t="shared" si="51"/>
        <v>✔</v>
      </c>
      <c r="DV68" s="306" t="str">
        <f t="shared" si="52"/>
        <v>-</v>
      </c>
      <c r="DW68" s="306" t="str">
        <f t="shared" si="53"/>
        <v>-</v>
      </c>
      <c r="DX68" s="306" t="str">
        <f t="shared" si="54"/>
        <v>-</v>
      </c>
      <c r="DY68" s="306" t="str">
        <f t="shared" si="55"/>
        <v>-</v>
      </c>
      <c r="DZ68" s="306" t="str">
        <f t="shared" si="56"/>
        <v>✔</v>
      </c>
      <c r="EA68" s="367" t="str">
        <f t="shared" si="57"/>
        <v>-</v>
      </c>
      <c r="EB68" s="310" t="str">
        <f>IFERROR(__xludf.DUMMYFUNCTION("IF(REGEXMATCH(AW68,AS68),""✔"",""-"")"),"-")</f>
        <v>-</v>
      </c>
      <c r="EC68" s="310" t="str">
        <f t="shared" si="58"/>
        <v>#REF!</v>
      </c>
      <c r="ED68" s="370" t="str">
        <f t="shared" si="59"/>
        <v>-</v>
      </c>
      <c r="EE68" s="340" t="str">
        <f t="shared" si="60"/>
        <v>S-R-g-m-P-nN-S</v>
      </c>
      <c r="EF68" s="371" t="str">
        <f>IFERROR(__xludf.DUMMYFUNCTION("CONCATENATE(JOIN("""",HC68:HO68))"),"SrRmPDnS")</f>
        <v>SrRmPDnS</v>
      </c>
      <c r="EG68" s="372">
        <f t="shared" si="61"/>
        <v>2</v>
      </c>
      <c r="EH68" s="373" t="str">
        <f>IFERROR(__xludf.DUMMYFUNCTION("CONCATENATE(JOIN("""",JC68:JO68))"),"Re, Ni, ")</f>
        <v>Re, Ni, </v>
      </c>
      <c r="EI68" s="322">
        <f t="shared" si="62"/>
        <v>1</v>
      </c>
      <c r="EJ68" s="374" t="str">
        <f>IFERROR(__xludf.DUMMYFUNCTION("CONCATENATE(JOIN("""",KC68:KO68))"),"Ni, ")</f>
        <v>Ni, </v>
      </c>
      <c r="EK68" s="325" t="str">
        <f t="shared" si="63"/>
        <v>S-R2-G2-M1-P-N2-N3-S</v>
      </c>
      <c r="EL68" s="326" t="str">
        <f t="shared" si="64"/>
        <v>1-2-b3-4-5-b7-7-8</v>
      </c>
      <c r="EM68" s="318" t="str">
        <f t="shared" si="65"/>
        <v>#REF!</v>
      </c>
      <c r="EN68" s="328" t="str">
        <f>IFERROR(__xludf.DUMMYFUNCTION("SUBSTITUTE(SUBSTITUTE(SUBSTITUTE(SUBSTITUTE(CONCATENATE(JOIN("" "",HP68:IB68)),""  "","" ""),""  "","" ""),""  "","" ""),""  "","" "")"),"o • o o • o • o • • o o o")</f>
        <v>o • o o • o • o • • o o o</v>
      </c>
      <c r="EO68" s="368" t="str">
        <f t="shared" si="66"/>
        <v>-</v>
      </c>
      <c r="EP68" s="339" t="str">
        <f t="shared" si="67"/>
        <v>-</v>
      </c>
      <c r="EQ68" s="339" t="str">
        <f t="shared" si="68"/>
        <v>Sa-Pa</v>
      </c>
      <c r="ER68" s="339" t="str">
        <f t="shared" si="69"/>
        <v>-</v>
      </c>
      <c r="ES68" s="340" t="str">
        <f t="shared" si="70"/>
        <v>-</v>
      </c>
      <c r="ET68" s="363"/>
      <c r="EU68" s="376" t="b">
        <f>IFERROR(__xludf.DUMMYFUNCTION("arrayformula(sum(--REGEXMATCH(""SRGMPDNS"",split(REGEXREPLACE(C68,""(.)"",""$1~""),""~""))))=len(C68)
"),FALSE)</f>
        <v>0</v>
      </c>
      <c r="EV68" s="290" t="b">
        <f>IFERROR(__xludf.DUMMYFUNCTION("arrayformula(sum(--REGEXMATCH(""SRGmPDNS"",split(REGEXREPLACE(C68,""(.)"",""$1~""),""~""))))=len(C68)"),FALSE)</f>
        <v>0</v>
      </c>
      <c r="EW68" s="290" t="b">
        <f>IFERROR(__xludf.DUMMYFUNCTION("arrayformula(sum(--REGEXMATCH(""SRGmPDnS"",split(REGEXREPLACE(C68,""(.)"",""$1~""),""~""))))=len(C68)"),FALSE)</f>
        <v>0</v>
      </c>
      <c r="EX68" s="290" t="b">
        <f>IFERROR(__xludf.DUMMYFUNCTION("arrayformula(sum(--REGEXMATCH(""SRgmPDnS"",split(REGEXREPLACE(C68,""(.)"",""$1~""),""~""))))=len(C68)"),FALSE)</f>
        <v>0</v>
      </c>
      <c r="EY68" s="290" t="b">
        <f>IFERROR(__xludf.DUMMYFUNCTION("arrayformula(sum(--REGEXMATCH(""SRgmPdnS"",split(REGEXREPLACE(C68,""(.)"",""$1~""),""~""))))=len(C68)"),FALSE)</f>
        <v>0</v>
      </c>
      <c r="EZ68" s="290" t="b">
        <f>IFERROR(__xludf.DUMMYFUNCTION("arrayformula(sum(--REGEXMATCH(""SrgmPdnS"",split(REGEXREPLACE(C68,""(.)"",""$1~""),""~""))))=len(C68)"),FALSE)</f>
        <v>0</v>
      </c>
      <c r="FA68" s="290" t="b">
        <f>IFERROR(__xludf.DUMMYFUNCTION("arrayformula(sum(--REGEXMATCH(""SrGmPdNS"",split(REGEXREPLACE(C68,""(.)"",""$1~""),""~""))))=len(C68)"),FALSE)</f>
        <v>0</v>
      </c>
      <c r="FB68" s="290" t="b">
        <f>IFERROR(__xludf.DUMMYFUNCTION("arrayformula(sum(--REGEXMATCH(""SrGMPDNS"",split(REGEXREPLACE(C68,""(.)"",""$1~""),""~""))))=len(C68)"),FALSE)</f>
        <v>0</v>
      </c>
      <c r="FC68" s="290" t="b">
        <f>IFERROR(__xludf.DUMMYFUNCTION("arrayformula(sum(--REGEXMATCH(""SrGMPdNS"",split(REGEXREPLACE(C68,""(.)"",""$1~""),""~""))))=len(C68)"),FALSE)</f>
        <v>0</v>
      </c>
      <c r="FD68" s="377" t="b">
        <f>IFERROR(__xludf.DUMMYFUNCTION("arrayformula(sum(--REGEXMATCH(""SrgMPdNS"",split(REGEXREPLACE(C68,""(.)"",""$1~""),""~""))))=len(C68)"),FALSE)</f>
        <v>0</v>
      </c>
      <c r="FE68" s="269" t="str">
        <f t="shared" si="71"/>
        <v>-</v>
      </c>
      <c r="FF68" s="269" t="str">
        <f t="shared" si="72"/>
        <v>xxoxoxooxxx</v>
      </c>
      <c r="FG68" s="271" t="str">
        <f t="shared" si="73"/>
        <v>xoxoxooxxxo</v>
      </c>
      <c r="FH68" s="269" t="str">
        <f t="shared" si="74"/>
        <v>-</v>
      </c>
      <c r="FI68" s="271" t="str">
        <f t="shared" si="75"/>
        <v>xoxooxxxoxx</v>
      </c>
      <c r="FJ68" s="271" t="str">
        <f t="shared" si="76"/>
        <v>-</v>
      </c>
      <c r="FK68" s="271" t="str">
        <f t="shared" si="77"/>
        <v>xooxxxoxxox</v>
      </c>
      <c r="FL68" s="271" t="str">
        <f t="shared" si="78"/>
        <v>-</v>
      </c>
      <c r="FM68" s="271" t="str">
        <f t="shared" si="79"/>
        <v>-</v>
      </c>
      <c r="FN68" s="271" t="str">
        <f t="shared" si="80"/>
        <v>xxxoxxoxoxo</v>
      </c>
      <c r="FO68" s="274" t="str">
        <f t="shared" si="81"/>
        <v>xxoxxoxoxoo</v>
      </c>
      <c r="FP68" s="234" t="str">
        <f t="shared" si="82"/>
        <v>|</v>
      </c>
      <c r="FQ68" s="236" t="str">
        <f t="shared" si="83"/>
        <v>-</v>
      </c>
      <c r="FR68" s="237" t="str">
        <f t="shared" si="84"/>
        <v>|</v>
      </c>
      <c r="FS68" s="236" t="str">
        <f t="shared" si="85"/>
        <v>|</v>
      </c>
      <c r="FT68" s="237" t="str">
        <f t="shared" si="86"/>
        <v>-</v>
      </c>
      <c r="FU68" s="236" t="str">
        <f t="shared" si="87"/>
        <v>|</v>
      </c>
      <c r="FV68" s="237" t="str">
        <f t="shared" si="88"/>
        <v>-</v>
      </c>
      <c r="FW68" s="236" t="str">
        <f t="shared" si="89"/>
        <v>|</v>
      </c>
      <c r="FX68" s="237" t="str">
        <f t="shared" si="90"/>
        <v>-</v>
      </c>
      <c r="FY68" s="236" t="str">
        <f t="shared" si="91"/>
        <v>-</v>
      </c>
      <c r="FZ68" s="237" t="str">
        <f t="shared" si="92"/>
        <v>|</v>
      </c>
      <c r="GA68" s="236" t="str">
        <f t="shared" si="93"/>
        <v>|</v>
      </c>
      <c r="GB68" s="238" t="str">
        <f t="shared" si="94"/>
        <v>|</v>
      </c>
      <c r="GC68" s="244" t="str">
        <f>IFERROR(__xludf.DUMMYFUNCTION("IF(REGEXMATCH(C68, ""S""), ""1"","""")"),"1")</f>
        <v>1</v>
      </c>
      <c r="GD68" s="245" t="str">
        <f>IFERROR(__xludf.DUMMYFUNCTION("IF(REGEXMATCH(C68, ""r""), ""b2"","""")"),"")</f>
        <v/>
      </c>
      <c r="GE68" s="246" t="str">
        <f>IFERROR(__xludf.DUMMYFUNCTION("IF(REGEXMATCH(C68, ""R""), ""2"","""")"),"2")</f>
        <v>2</v>
      </c>
      <c r="GF68" s="246" t="str">
        <f>IFERROR(__xludf.DUMMYFUNCTION("IF(REGEXMATCH(C68, ""g""), ""b3"","""")"),"b3")</f>
        <v>b3</v>
      </c>
      <c r="GG68" s="245" t="str">
        <f>IFERROR(__xludf.DUMMYFUNCTION("IF(REGEXMATCH(C68, ""G""), ""3"","""")"),"")</f>
        <v/>
      </c>
      <c r="GH68" s="245" t="str">
        <f>IFERROR(__xludf.DUMMYFUNCTION("IF(REGEXMATCH(C68, ""m""), ""4"","""")"),"4")</f>
        <v>4</v>
      </c>
      <c r="GI68" s="246" t="str">
        <f>IFERROR(__xludf.DUMMYFUNCTION("IF(REGEXMATCH(C68, ""M""), ""#4"","""")"),"")</f>
        <v/>
      </c>
      <c r="GJ68" s="245" t="str">
        <f>IFERROR(__xludf.DUMMYFUNCTION("IF(REGEXMATCH(C68, ""P""), ""5"","""")"),"5")</f>
        <v>5</v>
      </c>
      <c r="GK68" s="246" t="str">
        <f>IFERROR(__xludf.DUMMYFUNCTION("IF(REGEXMATCH(C68, ""d""), ""b6"","""")"),"")</f>
        <v/>
      </c>
      <c r="GL68" s="245" t="str">
        <f>IFERROR(__xludf.DUMMYFUNCTION("IF(REGEXMATCH(C68, ""D""), ""6"","""")"),"")</f>
        <v/>
      </c>
      <c r="GM68" s="245" t="str">
        <f>IFERROR(__xludf.DUMMYFUNCTION("IF(REGEXMATCH(C68, ""n""), ""b7"","""")"),"b7")</f>
        <v>b7</v>
      </c>
      <c r="GN68" s="246" t="str">
        <f>IFERROR(__xludf.DUMMYFUNCTION("IF(REGEXMATCH(C68, ""N""), ""7"","""")"),"7")</f>
        <v>7</v>
      </c>
      <c r="GO68" s="249" t="str">
        <f>IFERROR(__xludf.DUMMYFUNCTION("IF(REGEXMATCH(C68, ""S""), ""8"","""")"),"8")</f>
        <v>8</v>
      </c>
      <c r="GP68" s="244" t="str">
        <f>IFERROR(__xludf.DUMMYFUNCTION("IF(REGEXMATCH(C68, ""S""), ""S"","""")"),"S")</f>
        <v>S</v>
      </c>
      <c r="GQ68" s="294" t="str">
        <f>IFERROR(__xludf.DUMMYFUNCTION("IF(REGEXMATCH(C68, ""r""), ""R1"","""")"),"")</f>
        <v/>
      </c>
      <c r="GR68" s="295" t="str">
        <f>IFERROR(__xludf.DUMMYFUNCTION("IF(REGEXMATCH(C68, ""R""), ""R2"","""")"),"R2")</f>
        <v>R2</v>
      </c>
      <c r="GS68" s="295" t="str">
        <f>IFERROR(__xludf.DUMMYFUNCTION("IF(REGEXMATCH(C68, ""g""), ""G2"","""")"),"G2")</f>
        <v>G2</v>
      </c>
      <c r="GT68" s="294" t="str">
        <f>IFERROR(__xludf.DUMMYFUNCTION("IF(REGEXMATCH(C68, ""G""), ""G3"","""")"),"")</f>
        <v/>
      </c>
      <c r="GU68" s="294" t="str">
        <f>IFERROR(__xludf.DUMMYFUNCTION("IF(REGEXMATCH(C68, ""m""), ""M1"","""")"),"M1")</f>
        <v>M1</v>
      </c>
      <c r="GV68" s="295" t="str">
        <f>IFERROR(__xludf.DUMMYFUNCTION("IF(REGEXMATCH(C68, ""M""), ""M2"","""")"),"")</f>
        <v/>
      </c>
      <c r="GW68" s="294" t="str">
        <f>IFERROR(__xludf.DUMMYFUNCTION("IF(REGEXMATCH(C68, ""P""), ""P"","""")"),"P")</f>
        <v>P</v>
      </c>
      <c r="GX68" s="295" t="str">
        <f>IFERROR(__xludf.DUMMYFUNCTION("IF(REGEXMATCH(C68, ""d""), ""D1"","""")"),"")</f>
        <v/>
      </c>
      <c r="GY68" s="294" t="str">
        <f>IFERROR(__xludf.DUMMYFUNCTION("IF(REGEXMATCH(C68, ""D""), ""D2"","""")"),"")</f>
        <v/>
      </c>
      <c r="GZ68" s="294" t="str">
        <f>IFERROR(__xludf.DUMMYFUNCTION("IF(REGEXMATCH(C68, ""n""), ""N2"","""")"),"N2")</f>
        <v>N2</v>
      </c>
      <c r="HA68" s="295" t="str">
        <f>IFERROR(__xludf.DUMMYFUNCTION("IF(REGEXMATCH(C68, ""N""), ""N3"","""")"),"N3")</f>
        <v>N3</v>
      </c>
      <c r="HB68" s="249" t="str">
        <f>IFERROR(__xludf.DUMMYFUNCTION("IF(REGEXMATCH(C68, ""S""), ""S"","""")"),"S")</f>
        <v>S</v>
      </c>
      <c r="HC68" s="331" t="str">
        <f t="shared" si="95"/>
        <v>S</v>
      </c>
      <c r="HD68" s="332" t="str">
        <f t="shared" si="96"/>
        <v>r</v>
      </c>
      <c r="HE68" s="332" t="str">
        <f t="shared" si="97"/>
        <v>R</v>
      </c>
      <c r="HF68" s="332" t="str">
        <f t="shared" si="98"/>
        <v/>
      </c>
      <c r="HG68" s="332" t="str">
        <f t="shared" si="99"/>
        <v/>
      </c>
      <c r="HH68" s="332" t="str">
        <f t="shared" si="100"/>
        <v>m</v>
      </c>
      <c r="HI68" s="332" t="str">
        <f t="shared" si="101"/>
        <v/>
      </c>
      <c r="HJ68" s="332" t="str">
        <f t="shared" si="102"/>
        <v>P</v>
      </c>
      <c r="HK68" s="332" t="str">
        <f t="shared" si="103"/>
        <v/>
      </c>
      <c r="HL68" s="332" t="str">
        <f t="shared" si="104"/>
        <v>D</v>
      </c>
      <c r="HM68" s="332" t="str">
        <f t="shared" si="105"/>
        <v>n</v>
      </c>
      <c r="HN68" s="332" t="str">
        <f t="shared" si="106"/>
        <v/>
      </c>
      <c r="HO68" s="343" t="str">
        <f t="shared" si="107"/>
        <v>S</v>
      </c>
      <c r="HP68" s="331" t="str">
        <f t="shared" si="108"/>
        <v>o</v>
      </c>
      <c r="HQ68" s="332" t="str">
        <f t="shared" si="109"/>
        <v>•</v>
      </c>
      <c r="HR68" s="332" t="str">
        <f t="shared" si="110"/>
        <v>o</v>
      </c>
      <c r="HS68" s="332" t="str">
        <f t="shared" si="111"/>
        <v>o</v>
      </c>
      <c r="HT68" s="332" t="str">
        <f t="shared" si="112"/>
        <v>•</v>
      </c>
      <c r="HU68" s="332" t="str">
        <f t="shared" si="113"/>
        <v>o</v>
      </c>
      <c r="HV68" s="332" t="str">
        <f t="shared" si="114"/>
        <v>•</v>
      </c>
      <c r="HW68" s="332" t="str">
        <f t="shared" si="115"/>
        <v>o</v>
      </c>
      <c r="HX68" s="332" t="str">
        <f t="shared" si="116"/>
        <v>•</v>
      </c>
      <c r="HY68" s="332" t="str">
        <f t="shared" si="117"/>
        <v>•</v>
      </c>
      <c r="HZ68" s="332" t="str">
        <f t="shared" si="118"/>
        <v>o</v>
      </c>
      <c r="IA68" s="332" t="str">
        <f t="shared" si="119"/>
        <v>o</v>
      </c>
      <c r="IB68" s="338" t="str">
        <f t="shared" si="120"/>
        <v>o</v>
      </c>
      <c r="IC68" s="331" t="str">
        <f t="shared" si="121"/>
        <v>•</v>
      </c>
      <c r="ID68" s="332" t="str">
        <f t="shared" si="122"/>
        <v>o</v>
      </c>
      <c r="IE68" s="332" t="str">
        <f t="shared" si="123"/>
        <v>•</v>
      </c>
      <c r="IF68" s="332" t="str">
        <f t="shared" si="124"/>
        <v>•</v>
      </c>
      <c r="IG68" s="332" t="str">
        <f t="shared" si="125"/>
        <v>o</v>
      </c>
      <c r="IH68" s="332" t="str">
        <f t="shared" si="126"/>
        <v>•</v>
      </c>
      <c r="II68" s="332" t="str">
        <f t="shared" si="127"/>
        <v>o</v>
      </c>
      <c r="IJ68" s="332" t="str">
        <f t="shared" si="128"/>
        <v>•</v>
      </c>
      <c r="IK68" s="332" t="str">
        <f t="shared" si="129"/>
        <v>o</v>
      </c>
      <c r="IL68" s="332" t="str">
        <f t="shared" si="130"/>
        <v>o</v>
      </c>
      <c r="IM68" s="332" t="str">
        <f t="shared" si="131"/>
        <v>•</v>
      </c>
      <c r="IN68" s="332" t="str">
        <f t="shared" si="132"/>
        <v>•</v>
      </c>
      <c r="IO68" s="338" t="str">
        <f t="shared" si="133"/>
        <v>•</v>
      </c>
      <c r="IP68" s="346" t="b">
        <f t="shared" si="134"/>
        <v>0</v>
      </c>
      <c r="IQ68" s="347" t="b">
        <f t="shared" si="135"/>
        <v>0</v>
      </c>
      <c r="IR68" s="347" t="b">
        <f t="shared" si="136"/>
        <v>1</v>
      </c>
      <c r="IS68" s="347" t="b">
        <f t="shared" si="137"/>
        <v>0</v>
      </c>
      <c r="IT68" s="347" t="b">
        <f t="shared" si="138"/>
        <v>0</v>
      </c>
      <c r="IU68" s="347" t="b">
        <f t="shared" si="139"/>
        <v>0</v>
      </c>
      <c r="IV68" s="347" t="b">
        <f t="shared" si="140"/>
        <v>0</v>
      </c>
      <c r="IW68" s="347" t="b">
        <f t="shared" si="141"/>
        <v>0</v>
      </c>
      <c r="IX68" s="347" t="b">
        <f t="shared" si="142"/>
        <v>0</v>
      </c>
      <c r="IY68" s="347" t="b">
        <f t="shared" si="143"/>
        <v>0</v>
      </c>
      <c r="IZ68" s="347" t="b">
        <f t="shared" si="144"/>
        <v>0</v>
      </c>
      <c r="JA68" s="347" t="b">
        <f t="shared" si="145"/>
        <v>1</v>
      </c>
      <c r="JB68" s="353" t="b">
        <f t="shared" si="146"/>
        <v>0</v>
      </c>
      <c r="JC68" s="354" t="str">
        <f t="shared" si="147"/>
        <v/>
      </c>
      <c r="JD68" s="355" t="str">
        <f t="shared" si="148"/>
        <v/>
      </c>
      <c r="JE68" s="355" t="str">
        <f t="shared" si="149"/>
        <v>Re, </v>
      </c>
      <c r="JF68" s="355" t="str">
        <f t="shared" si="150"/>
        <v/>
      </c>
      <c r="JG68" s="355" t="str">
        <f t="shared" si="151"/>
        <v/>
      </c>
      <c r="JH68" s="355" t="str">
        <f t="shared" si="152"/>
        <v/>
      </c>
      <c r="JI68" s="355" t="str">
        <f t="shared" si="153"/>
        <v/>
      </c>
      <c r="JJ68" s="355" t="str">
        <f t="shared" si="154"/>
        <v/>
      </c>
      <c r="JK68" s="355" t="str">
        <f t="shared" si="155"/>
        <v/>
      </c>
      <c r="JL68" s="355" t="str">
        <f t="shared" si="156"/>
        <v/>
      </c>
      <c r="JM68" s="355" t="str">
        <f t="shared" si="157"/>
        <v/>
      </c>
      <c r="JN68" s="355" t="str">
        <f t="shared" si="158"/>
        <v>Ni, </v>
      </c>
      <c r="JO68" s="359" t="str">
        <f t="shared" si="159"/>
        <v/>
      </c>
      <c r="JP68" s="346" t="b">
        <f t="shared" si="160"/>
        <v>0</v>
      </c>
      <c r="JQ68" s="347" t="b">
        <f t="shared" si="161"/>
        <v>0</v>
      </c>
      <c r="JR68" s="347" t="b">
        <f t="shared" si="162"/>
        <v>0</v>
      </c>
      <c r="JS68" s="347" t="b">
        <f t="shared" si="163"/>
        <v>0</v>
      </c>
      <c r="JT68" s="347" t="b">
        <f t="shared" si="164"/>
        <v>0</v>
      </c>
      <c r="JU68" s="347" t="b">
        <f t="shared" si="165"/>
        <v>0</v>
      </c>
      <c r="JV68" s="347" t="b">
        <f t="shared" si="166"/>
        <v>0</v>
      </c>
      <c r="JW68" s="347" t="b">
        <f t="shared" si="167"/>
        <v>0</v>
      </c>
      <c r="JX68" s="347" t="b">
        <f t="shared" si="168"/>
        <v>0</v>
      </c>
      <c r="JY68" s="347" t="b">
        <f t="shared" si="169"/>
        <v>0</v>
      </c>
      <c r="JZ68" s="347" t="b">
        <f t="shared" si="170"/>
        <v>0</v>
      </c>
      <c r="KA68" s="347" t="b">
        <f t="shared" si="171"/>
        <v>1</v>
      </c>
      <c r="KB68" s="365" t="b">
        <f t="shared" si="172"/>
        <v>0</v>
      </c>
      <c r="KC68" s="354" t="str">
        <f t="shared" si="173"/>
        <v/>
      </c>
      <c r="KD68" s="355" t="str">
        <f t="shared" si="174"/>
        <v/>
      </c>
      <c r="KE68" s="355" t="str">
        <f t="shared" si="175"/>
        <v/>
      </c>
      <c r="KF68" s="355" t="str">
        <f t="shared" si="176"/>
        <v/>
      </c>
      <c r="KG68" s="355" t="str">
        <f t="shared" si="177"/>
        <v/>
      </c>
      <c r="KH68" s="355" t="str">
        <f t="shared" si="178"/>
        <v/>
      </c>
      <c r="KI68" s="355" t="str">
        <f t="shared" si="179"/>
        <v/>
      </c>
      <c r="KJ68" s="355" t="str">
        <f t="shared" si="180"/>
        <v/>
      </c>
      <c r="KK68" s="355" t="str">
        <f t="shared" si="181"/>
        <v/>
      </c>
      <c r="KL68" s="355" t="str">
        <f t="shared" si="182"/>
        <v/>
      </c>
      <c r="KM68" s="355" t="str">
        <f t="shared" si="183"/>
        <v/>
      </c>
      <c r="KN68" s="355" t="str">
        <f t="shared" si="184"/>
        <v>Ni, </v>
      </c>
      <c r="KO68" s="359"/>
      <c r="KP68" s="378"/>
      <c r="KQ68" s="379" t="s">
        <v>9</v>
      </c>
      <c r="KR68" s="380" t="s">
        <v>9</v>
      </c>
      <c r="KS68" s="381" t="s">
        <v>9</v>
      </c>
      <c r="KT68" s="382">
        <f t="shared" si="186"/>
        <v>0</v>
      </c>
      <c r="KU68" s="383">
        <f t="shared" si="187"/>
        <v>0</v>
      </c>
      <c r="KV68" s="381" t="str">
        <f t="shared" si="205"/>
        <v>S</v>
      </c>
      <c r="KW68" s="382">
        <f t="shared" si="189"/>
        <v>0</v>
      </c>
      <c r="KX68" s="384">
        <f t="shared" si="190"/>
        <v>0</v>
      </c>
      <c r="KY68" s="382">
        <f t="shared" ref="KY68:KZ68" si="332">KW68-KT68</f>
        <v>0</v>
      </c>
      <c r="KZ68" s="369">
        <f t="shared" si="332"/>
        <v>0</v>
      </c>
      <c r="LA68" s="385" t="str">
        <f t="shared" si="192"/>
        <v>✔</v>
      </c>
      <c r="LB68" s="340" t="str">
        <f>IFERROR(__xludf.DUMMYFUNCTION("JOIN("""",ArrayFormula(MID(KS68,LEN(KS68)-SEQUENCE(1,LEN(KS68))+1,1)))"),"S")</f>
        <v>S</v>
      </c>
      <c r="LC68" s="373" t="str">
        <f>IFERROR(__xludf.DUMMYFUNCTION("JOIN("""",ArrayFormula(MID(KV68,LEN(KV68)-SEQUENCE(1,LEN(KV68))+1,1)))"),"S")</f>
        <v>S</v>
      </c>
      <c r="LD68" s="373" t="str">
        <f t="shared" si="193"/>
        <v>S</v>
      </c>
      <c r="LE68" s="339" t="str">
        <f t="shared" si="194"/>
        <v>S</v>
      </c>
      <c r="LF68" s="386" t="str">
        <f>IFERROR(__xludf.DUMMYFUNCTION("SUBSTITUTE(SUBSTITUTE(CONCATENATE(JOIN("""",LH68:LT68)),""1"",""""),""2"","""")"),"SS")</f>
        <v>SS</v>
      </c>
      <c r="LG68" s="369" t="str">
        <f t="shared" si="195"/>
        <v>-</v>
      </c>
      <c r="LH68" s="387" t="str">
        <f>IFERROR(__xludf.DUMMYFUNCTION("IF(REGEXMATCH(LD68, ""S""), ""S"",IF(REGEXMATCH(LE68, ""S""), ""S"",""""))"),"S")</f>
        <v>S</v>
      </c>
      <c r="LI68" s="299" t="str">
        <f>IFERROR(__xludf.DUMMYFUNCTION("IF(REGEXMATCH(LD68, ""r""), ""r1"",IF(REGEXMATCH(LE68, ""r""), ""r2"",""""))"),"")</f>
        <v/>
      </c>
      <c r="LJ68" s="299" t="str">
        <f>IFERROR(__xludf.DUMMYFUNCTION("IF(REGEXMATCH(LD68, ""R""), ""R1"",IF(REGEXMATCH(LE68, ""R""), ""R2"",""""))"),"")</f>
        <v/>
      </c>
      <c r="LK68" s="299" t="str">
        <f>IFERROR(__xludf.DUMMYFUNCTION("IF(REGEXMATCH(LD68, ""g""), ""g1"",IF(REGEXMATCH(LE68, ""g""), ""g2"",""""))"),"")</f>
        <v/>
      </c>
      <c r="LL68" s="299" t="str">
        <f>IFERROR(__xludf.DUMMYFUNCTION("IF(REGEXMATCH(LD68, ""G""), ""G1"",IF(REGEXMATCH(LE68, ""G""), ""G2"",""""))"),"")</f>
        <v/>
      </c>
      <c r="LM68" s="299" t="str">
        <f>IFERROR(__xludf.DUMMYFUNCTION("IF(REGEXMATCH(LD68, ""m""), ""m1"",IF(REGEXMATCH(LE68, ""m""), ""m2"",""""))"),"")</f>
        <v/>
      </c>
      <c r="LN68" s="299" t="str">
        <f>IFERROR(__xludf.DUMMYFUNCTION("IF(REGEXMATCH(LD68, ""M""), ""M1"",IF(REGEXMATCH(LE68, ""M""), ""M2"",""""))"),"")</f>
        <v/>
      </c>
      <c r="LO68" s="299" t="str">
        <f>IFERROR(__xludf.DUMMYFUNCTION("IF(REGEXMATCH(LD68, ""P""), ""P1"",IF(REGEXMATCH(LE68, ""P""), ""P2"",""""))"),"")</f>
        <v/>
      </c>
      <c r="LP68" s="299" t="str">
        <f>IFERROR(__xludf.DUMMYFUNCTION("IF(REGEXMATCH(LD68, ""d""), ""d1"",IF(REGEXMATCH(LE68, ""d""), ""d2"",""""))"),"")</f>
        <v/>
      </c>
      <c r="LQ68" s="299" t="str">
        <f>IFERROR(__xludf.DUMMYFUNCTION("IF(REGEXMATCH(LD68, ""D""), ""D1"",IF(REGEXMATCH(LE68, ""D""), ""D2"",""""))"),"")</f>
        <v/>
      </c>
      <c r="LR68" s="299" t="str">
        <f>IFERROR(__xludf.DUMMYFUNCTION("IF(REGEXMATCH(LD68, ""n""), ""n1"",IF(REGEXMATCH(LE68, ""n""), ""n2"",""""))"),"")</f>
        <v/>
      </c>
      <c r="LS68" s="299" t="str">
        <f>IFERROR(__xludf.DUMMYFUNCTION("IF(REGEXMATCH(LD68, ""N""), ""N1"",IF(REGEXMATCH(LE68, ""N""), ""N2"",""""))"),"")</f>
        <v/>
      </c>
      <c r="LT68" s="388" t="str">
        <f>IFERROR(__xludf.DUMMYFUNCTION("IF(REGEXMATCH(LD68, ""S""), ""S"",IF(REGEXMATCH(LE68, ""S""), ""S"",""""))"),"S")</f>
        <v>S</v>
      </c>
      <c r="LU68" s="389">
        <f t="shared" si="196"/>
        <v>1</v>
      </c>
      <c r="LV68" s="378"/>
      <c r="LW68" s="369"/>
      <c r="LX68" s="369"/>
    </row>
    <row r="69" ht="18.0" customHeight="1">
      <c r="A69" s="298" t="s">
        <v>644</v>
      </c>
      <c r="B69" s="222" t="s">
        <v>645</v>
      </c>
      <c r="C69" s="233" t="str">
        <f t="shared" si="7"/>
        <v>SGmMPDnNS</v>
      </c>
      <c r="D69" s="234" t="str">
        <f>IFERROR(__xludf.DUMMYFUNCTION("IF(REGEXMATCH(C69, ""S""), ""S"","""")"),"S")</f>
        <v>S</v>
      </c>
      <c r="E69" s="236" t="str">
        <f>IFERROR(__xludf.DUMMYFUNCTION("IF(REGEXMATCH(C69, ""r""), ""r"","""")"),"")</f>
        <v/>
      </c>
      <c r="F69" s="237" t="str">
        <f>IFERROR(__xludf.DUMMYFUNCTION("IF(REGEXMATCH(C69, ""R""), ""R"","""")"),"")</f>
        <v/>
      </c>
      <c r="G69" s="237" t="str">
        <f>IFERROR(__xludf.DUMMYFUNCTION("IF(REGEXMATCH(C69, ""g""), ""g"","""")"),"")</f>
        <v/>
      </c>
      <c r="H69" s="236" t="str">
        <f>IFERROR(__xludf.DUMMYFUNCTION("IF(REGEXMATCH(C69, ""G""), ""G"","""")"),"G")</f>
        <v>G</v>
      </c>
      <c r="I69" s="236" t="str">
        <f>IFERROR(__xludf.DUMMYFUNCTION("IF(REGEXMATCH(C69, ""m""), ""m"","""")"),"m")</f>
        <v>m</v>
      </c>
      <c r="J69" s="237" t="str">
        <f>IFERROR(__xludf.DUMMYFUNCTION("IF(REGEXMATCH(C69, ""M""), ""M"","""")"),"M")</f>
        <v>M</v>
      </c>
      <c r="K69" s="236" t="str">
        <f>IFERROR(__xludf.DUMMYFUNCTION("IF(REGEXMATCH(C69, ""P""), ""P"","""")"),"P")</f>
        <v>P</v>
      </c>
      <c r="L69" s="237" t="str">
        <f>IFERROR(__xludf.DUMMYFUNCTION("IF(REGEXMATCH(C69, ""d""), ""d"","""")"),"")</f>
        <v/>
      </c>
      <c r="M69" s="236" t="str">
        <f>IFERROR(__xludf.DUMMYFUNCTION("IF(REGEXMATCH(C69, ""D""), ""D"","""")"),"D")</f>
        <v>D</v>
      </c>
      <c r="N69" s="236" t="str">
        <f>IFERROR(__xludf.DUMMYFUNCTION("IF(REGEXMATCH(C69, ""n""), ""n"","""")"),"n")</f>
        <v>n</v>
      </c>
      <c r="O69" s="237" t="str">
        <f>IFERROR(__xludf.DUMMYFUNCTION("IF(REGEXMATCH(C69, ""N""), ""N"","""")"),"N")</f>
        <v>N</v>
      </c>
      <c r="P69" s="238" t="str">
        <f>IFERROR(__xludf.DUMMYFUNCTION("IF(REGEXMATCH(C69, ""S""), ""S"","""")"),"S")</f>
        <v>S</v>
      </c>
      <c r="Q69" s="239" t="str">
        <f>IFERROR(__xludf.DUMMYFUNCTION("SUBSTITUTE(CONCATENATE(JOIN(""-"",D69:J69)),""-"","""")"),"SGmM")</f>
        <v>SGmM</v>
      </c>
      <c r="R69" s="229" t="str">
        <f>IFERROR(__xludf.DUMMYFUNCTION("SUBSTITUTE(CONCATENATE(JOIN(""-"",K69:P69)),""-"","""")"),"PDnNS")</f>
        <v>PDnNS</v>
      </c>
      <c r="S69" s="282" t="str">
        <f t="shared" si="8"/>
        <v>S-G-M</v>
      </c>
      <c r="T69" s="282" t="str">
        <f t="shared" si="9"/>
        <v>P-D-N-S</v>
      </c>
      <c r="U69" s="237" t="str">
        <f>IFERROR(__xludf.DUMMYFUNCTION("SUBSTITUTE(JOIN(""-"",S69,T69),""--"",""-"")"),"S-G-M-P-D-N-S")</f>
        <v>S-G-M-P-D-N-S</v>
      </c>
      <c r="V69" s="309" t="str">
        <f t="shared" si="10"/>
        <v>GmMDnN</v>
      </c>
      <c r="W69" s="244" t="str">
        <f>IFERROR(__xludf.DUMMYFUNCTION("IF(REGEXMATCH(C69, ""S""), ""0"","""")"),"0")</f>
        <v>0</v>
      </c>
      <c r="X69" s="245" t="str">
        <f>IFERROR(__xludf.DUMMYFUNCTION("IF(REGEXMATCH(C69, ""r""), ""1"","""")"),"")</f>
        <v/>
      </c>
      <c r="Y69" s="246" t="str">
        <f>IFERROR(__xludf.DUMMYFUNCTION("IF(REGEXMATCH(C69, ""R""), ""2"","""")"),"")</f>
        <v/>
      </c>
      <c r="Z69" s="246" t="str">
        <f>IFERROR(__xludf.DUMMYFUNCTION("IF(REGEXMATCH(C69, ""g""), ""3"","""")"),"")</f>
        <v/>
      </c>
      <c r="AA69" s="245" t="str">
        <f>IFERROR(__xludf.DUMMYFUNCTION("IF(REGEXMATCH(C69, ""G""), ""4"","""")"),"4")</f>
        <v>4</v>
      </c>
      <c r="AB69" s="245" t="str">
        <f>IFERROR(__xludf.DUMMYFUNCTION("IF(REGEXMATCH(C69, ""m""), ""5"","""")"),"5")</f>
        <v>5</v>
      </c>
      <c r="AC69" s="246" t="str">
        <f>IFERROR(__xludf.DUMMYFUNCTION("IF(REGEXMATCH(C69, ""M""), ""6"","""")"),"6")</f>
        <v>6</v>
      </c>
      <c r="AD69" s="245" t="str">
        <f>IFERROR(__xludf.DUMMYFUNCTION("IF(REGEXMATCH(C69, ""P""), ""7"","""")"),"7")</f>
        <v>7</v>
      </c>
      <c r="AE69" s="246" t="str">
        <f>IFERROR(__xludf.DUMMYFUNCTION("IF(REGEXMATCH(C69, ""d""), ""8"","""")"),"")</f>
        <v/>
      </c>
      <c r="AF69" s="245" t="str">
        <f>IFERROR(__xludf.DUMMYFUNCTION("IF(REGEXMATCH(C69, ""D""), ""9"","""")"),"9")</f>
        <v>9</v>
      </c>
      <c r="AG69" s="245" t="str">
        <f>IFERROR(__xludf.DUMMYFUNCTION("IF(REGEXMATCH(C69, ""n""), ""10"","""")"),"10")</f>
        <v>10</v>
      </c>
      <c r="AH69" s="246" t="str">
        <f>IFERROR(__xludf.DUMMYFUNCTION("IF(REGEXMATCH(C69, ""N""), ""11"","""")"),"11")</f>
        <v>11</v>
      </c>
      <c r="AI69" s="249" t="str">
        <f>IFERROR(__xludf.DUMMYFUNCTION("IF(REGEXMATCH(C69, ""S""), ""0"","""")"),"0")</f>
        <v>0</v>
      </c>
      <c r="AJ69" s="313" t="str">
        <f t="shared" si="11"/>
        <v>T</v>
      </c>
      <c r="AK69" s="313" t="str">
        <f t="shared" si="12"/>
        <v>-</v>
      </c>
      <c r="AL69" s="313" t="str">
        <f t="shared" si="13"/>
        <v>-</v>
      </c>
      <c r="AM69" s="313" t="str">
        <f t="shared" si="14"/>
        <v>-</v>
      </c>
      <c r="AN69" s="313" t="str">
        <f t="shared" si="15"/>
        <v>T</v>
      </c>
      <c r="AO69" s="314" t="str">
        <f t="shared" si="16"/>
        <v>T</v>
      </c>
      <c r="AP69" s="316">
        <f t="shared" si="17"/>
        <v>3</v>
      </c>
      <c r="AQ69" s="319" t="str">
        <f t="shared" si="18"/>
        <v>-</v>
      </c>
      <c r="AR69" s="320">
        <f t="shared" si="19"/>
        <v>0</v>
      </c>
      <c r="AS69" s="250" t="str">
        <f>IFERROR(__xludf.DUMMYFUNCTION("SUBSTITUTE(SUBSTITUTE(CONCATENATE(JOIN("""",FP69:GA69)),""|"",""x""),""-"",""o"")"),"xoooxxxxoxxx")</f>
        <v>xoooxxxxoxxx</v>
      </c>
      <c r="AT69" s="323" t="str">
        <f>IFERROR(__xludf.DUMMYFUNCTION("JOIN("""",AS69,AS69)"),"xoooxxxxoxxxxoooxxxxoxxx")</f>
        <v>xoooxxxxoxxxxoooxxxxoxxx</v>
      </c>
      <c r="AU69" s="256" t="str">
        <f>IFERROR(__xludf.DUMMYFUNCTION("JOIN("""",ArrayFormula(MID(AS69,LEN(AS69)-SEQUENCE(1,LEN(AS69))+1,1)))"),"xxxoxxxxooox")</f>
        <v>xxxoxxxxooox</v>
      </c>
      <c r="AV69" s="256" t="str">
        <f>IFERROR(__xludf.DUMMYFUNCTION("LEFT(CONCATENATE(""x"",JOIN("""",ArrayFormula(MID(AS69,LEN(AS69)-SEQUENCE(1,LEN(AS69))+1,1)))),12)"),"xxxxoxxxxooo")</f>
        <v>xxxxoxxxxooo</v>
      </c>
      <c r="AW69" s="327" t="str">
        <f>IFERROR(__xludf.DUMMYFUNCTION("JOIN("""",AU69,AU69)"),"xxxoxxxxoooxxxxoxxxxooox")</f>
        <v>xxxoxxxxoooxxxxoxxxxooox</v>
      </c>
      <c r="AX69" s="239" t="str">
        <f>IFERROR(__xludf.DUMMYFUNCTION("IF(REGEXMATCH(AW69,AS69),""✔"",""-"")"),"✔")</f>
        <v>✔</v>
      </c>
      <c r="AY69" s="330" t="str">
        <f t="shared" si="20"/>
        <v>-</v>
      </c>
      <c r="AZ69" s="260" t="str">
        <f t="shared" si="21"/>
        <v>#REF!</v>
      </c>
      <c r="BA69" s="333" t="str">
        <f t="shared" si="22"/>
        <v>xoooxxx</v>
      </c>
      <c r="BB69" s="334" t="str">
        <f t="shared" si="23"/>
        <v>xoxxxx</v>
      </c>
      <c r="BC69" s="335" t="str">
        <f t="shared" si="236"/>
        <v>-</v>
      </c>
      <c r="BD69" s="336" t="str">
        <f t="shared" si="25"/>
        <v>Chandni Bihag: 'xoooxxx' + 'xoxxxx'</v>
      </c>
      <c r="BE69" s="337">
        <f>IFERROR(__xludf.DUMMYFUNCTION("COUNTUNIQUE(FILTER(AT:AT,REGEXMATCH(AT:AT,AS69)))-1"),0.0)</f>
        <v>0</v>
      </c>
      <c r="BF69" s="261" t="str">
        <f>IFERROR(__xludf.DUMMYFUNCTION("IF(BI69=0,""(n/a)"",IF(BJ69=2,""(PAIR)"",IF(REGEXMATCH(AT69,""xoxoxxoxoxox""),""Bilawal"",IF(REGEXMATCH(AT69,""xoxoxooxoxoo""),""Bhupali"",IF(REGEXMATCH(AT69,""xoxoxxoxxoxo""),""Charukeshi"",IF(REGEXMATCH(AT69,""xoxoooxxoxxo""),""Kameshwari"",IF(REGEXMATC"&amp;"H(AT69,""xoxoxooxoxox""),""Shankara"",IF(REGEXMATCH(AT69,""xxooxoxxxoox""),""Basant"",IF(REGEXMATCH(AT69,""xoxoxxxxoxox""),""Bihag"",IF(REGEXMATCH(AT69,""xoxxxxoxoxxx""),""Pilu"",IF(REGEXMATCH(AT69,""xoxxoxoxxoox""),""Kirwani"",IF(REGEXMATCH(AT69,""xoxxox"&amp;"oxoxxx""),""Mk.Malhar"",IF(REGEXMATCH(AT69,""xxooxxoxxoox""),""Bhairav"",IF(REGEXMATCH(AT69,""xxoxooxxxoox""),""Todi"",IF(REGEXMATCH(AT69,""xxooxoxooxox""),""Marwa"",IF(REGEXMATCH(AT69,""xxoooxoxxooo""),""Gunkali"",IF(REGEXMATCH(AT69,""xoxoxxoxxoox""),""N"&amp;"at Bhairav"",IF(REGEXMATCH(AT69,""xoxxoooxoxoo""),""Shivranjani"",IF(REGEXMATCH(AT69,""xooxxxoxooxo""),""Jog"",IF(REGEXMATCH(AT69,""xxooxoxoxoox""),""Hemshri"",IF(REGEXMATCH(AT69,""xoooxooxoxxo""),""Kalavati"",IF(REGEXMATCH(AT69,""xxoxoxxoxoox""),""Kedar"&amp;""",IF(REGEXMATCH(AT69,""xoxxxxoxooxx""),""Gara"",IF(REGEXMATCH(AT69,""xooxoxooxoox""),""Chandrakauns"",IF(REGEXMATCH(AT69,""xoxxxxoxxxox""),""Mand"",IF(REGEXMATCH(AT69,""xoxxxxoxoxox""),""Hanskinkini"",IF(REGEXMATCH(AT69,""xxooxxoxooxo""),""Lilavati"",IF("&amp;"REGEXMATCH(AT69,""xooxoxoooxox""),""Rajeshwari"",IF(REGEXMATCH(AT69,""xoooxxoxoxxx""),""Khokar"",IF(REGEXMATCH(AT69,""xxooxoxxxxox""),""Maligoura"",""-""))))))))))))))))))))))))))))))"),"(n/a)")</f>
        <v>(n/a)</v>
      </c>
      <c r="BG69" s="239" t="str">
        <f t="shared" si="26"/>
        <v>#REF!</v>
      </c>
      <c r="BH69" s="239">
        <f>IFERROR(__xludf.DUMMYFUNCTION("COUNTUNIQUE(FE69:FO69)-1"),7.0)</f>
        <v>7</v>
      </c>
      <c r="BI69" s="239">
        <f>IFERROR(__xludf.DUMMYFUNCTION("COUNTUNIQUE(FILTER(AT:AT,REGEXMATCH(AT:AT,AS69)))-1"),0.0)</f>
        <v>0</v>
      </c>
      <c r="BJ69" s="239">
        <f>IFERROR(__xludf.DUMMYFUNCTION("COUNTA(FILTER(AT:AT,REGEXMATCH(AT:AT,AS69)))"),1.0)</f>
        <v>1</v>
      </c>
      <c r="BK69" s="341">
        <f>IFERROR(__xludf.DUMMYFUNCTION("COUNTA(FILTER(AT:AT,REGEXMATCH(AT:AT,AS69)))-AR69"),1.0)</f>
        <v>1</v>
      </c>
      <c r="BL69" s="276" t="str">
        <f>IFERROR(__xludf.DUMMYFUNCTION("IF(AS69=""oooooooooooo"",""-"",IF(REGEXMATCH(AT69,""xx""), ""Hemi."", ""Anhemi.""))"),"Hemi.")</f>
        <v>Hemi.</v>
      </c>
      <c r="BM69" s="282" t="str">
        <f>IFERROR(__xludf.DUMMYFUNCTION("IF(AS69=""oooooooooooo"",""-"",IF(REGEXMATCH(AT69,""xxx""), ""Cohem."", ""-""))"),"Cohem.")</f>
        <v>Cohem.</v>
      </c>
      <c r="BN69" s="282" t="str">
        <f>IFERROR(__xludf.DUMMYFUNCTION("IF(AS69=""oooooooooooo"",""-"",IF(REGEXMATCH(AT69,""xxxx""), ""Co-Co."", ""-""))"),"Co-Co.")</f>
        <v>Co-Co.</v>
      </c>
      <c r="BO69" s="342" t="str">
        <f>IFERROR(__xludf.DUMMYFUNCTION("IF(AS69=""oooooooooooo"",""-"",IF(REGEXMATCH(AT69,""xxxxx""), ""CCC."", ""-""))"),"-")</f>
        <v>-</v>
      </c>
      <c r="BP69" s="344" t="str">
        <f t="shared" si="27"/>
        <v>-</v>
      </c>
      <c r="BQ69" s="282" t="str">
        <f>IFERROR(__xludf.DUMMYFUNCTION("IF(REGEXMATCH(JOIN(""-"",EU69:FD69),""TRUE""),""✔"",""-"")"),"-")</f>
        <v>-</v>
      </c>
      <c r="BR69" s="225">
        <f t="shared" si="28"/>
        <v>0</v>
      </c>
      <c r="BS69" s="345" t="str">
        <f>IFERROR(__xludf.DUMMYFUNCTION("SUBSTITUTE(SUBSTITUTE(SUBSTITUTE(SUBSTITUTE(CONCATENATE(JOIN(""-"",GC69:GO69)),""--"",""-""),""--"",""-""),""--"",""-""),""--"",""-"")"),"1-3-4-#4-5-6-b7-7-8")</f>
        <v>1-3-4-#4-5-6-b7-7-8</v>
      </c>
      <c r="BT69" s="299" t="str">
        <f>IFERROR(__xludf.DUMMYFUNCTION("SUBSTITUTE(SUBSTITUTE(SUBSTITUTE(SUBSTITUTE(CONCATENATE(JOIN(""-"",GP69:HB69)),""--"",""-""),""--"",""-""),""--"",""-""),""--"",""-"")"),"S-G3-M1-M2-P-D2-N2-N3-S")</f>
        <v>S-G3-M1-M2-P-D2-N2-N3-S</v>
      </c>
      <c r="BU69" s="348" t="str">
        <f t="shared" si="29"/>
        <v>C-E-F-F#-G-A-Bb-B-C</v>
      </c>
      <c r="BV69" s="349" t="str">
        <f t="shared" si="30"/>
        <v>SrRgdS</v>
      </c>
      <c r="BW69" s="350">
        <f t="shared" si="31"/>
        <v>0</v>
      </c>
      <c r="BX69" s="351">
        <f t="shared" si="32"/>
        <v>1</v>
      </c>
      <c r="BY69" s="392"/>
      <c r="BZ69" s="309" t="str">
        <f>IFERROR(__xludf.DUMMYFUNCTION("IF(REGEXMATCH(C69, ""S""), ""x"",""x"")"),"x")</f>
        <v>x</v>
      </c>
      <c r="CA69" s="245" t="str">
        <f>IFERROR(__xludf.DUMMYFUNCTION("IF(REGEXMATCH(C69, ""r""), ""o"",""x"")"),"x")</f>
        <v>x</v>
      </c>
      <c r="CB69" s="246" t="str">
        <f>IFERROR(__xludf.DUMMYFUNCTION("IF(REGEXMATCH(C69, ""R""), ""o"",""x"")"),"x")</f>
        <v>x</v>
      </c>
      <c r="CC69" s="246" t="str">
        <f>IFERROR(__xludf.DUMMYFUNCTION("IF(REGEXMATCH(C69, ""g""), ""o"",""x"")"),"x")</f>
        <v>x</v>
      </c>
      <c r="CD69" s="245" t="str">
        <f>IFERROR(__xludf.DUMMYFUNCTION("IF(REGEXMATCH(C69, ""G""), ""o"",""x"")"),"o")</f>
        <v>o</v>
      </c>
      <c r="CE69" s="245" t="str">
        <f>IFERROR(__xludf.DUMMYFUNCTION("IF(REGEXMATCH(C69, ""m""), ""o"",""x"")"),"o")</f>
        <v>o</v>
      </c>
      <c r="CF69" s="246" t="str">
        <f>IFERROR(__xludf.DUMMYFUNCTION("IF(REGEXMATCH(C69, ""M""), ""o"",""x"")"),"o")</f>
        <v>o</v>
      </c>
      <c r="CG69" s="245" t="str">
        <f>IFERROR(__xludf.DUMMYFUNCTION("IF(REGEXMATCH(C69, ""P""), ""o"",""x"")"),"o")</f>
        <v>o</v>
      </c>
      <c r="CH69" s="246" t="str">
        <f>IFERROR(__xludf.DUMMYFUNCTION("IF(REGEXMATCH(C69, ""d""), ""o"",""x"")"),"x")</f>
        <v>x</v>
      </c>
      <c r="CI69" s="245" t="str">
        <f>IFERROR(__xludf.DUMMYFUNCTION("IF(REGEXMATCH(C69, ""D""), ""o"",""x"")"),"o")</f>
        <v>o</v>
      </c>
      <c r="CJ69" s="245" t="str">
        <f>IFERROR(__xludf.DUMMYFUNCTION("IF(REGEXMATCH(C69, ""n""), ""o"",""x"")"),"o")</f>
        <v>o</v>
      </c>
      <c r="CK69" s="245" t="str">
        <f>IFERROR(__xludf.DUMMYFUNCTION("IF(REGEXMATCH(C69, ""N""), ""o"",""x"")"),"o")</f>
        <v>o</v>
      </c>
      <c r="CL69" s="356" t="str">
        <f>IFERROR(__xludf.DUMMYFUNCTION("IF(REGEXMATCH(C69, ""S""), ""x"",""x"")"),"x")</f>
        <v>x</v>
      </c>
      <c r="CM69" s="357" t="str">
        <f t="shared" si="33"/>
        <v>xxxxooooxooo</v>
      </c>
      <c r="CN69" s="358">
        <f t="shared" si="34"/>
        <v>0</v>
      </c>
      <c r="CO69" s="246" t="str">
        <f>IFERROR(__xludf.DUMMYFUNCTION("IF(REGEXMATCH($C69, ""S""), ""S"",""S"")"),"S")</f>
        <v>S</v>
      </c>
      <c r="CP69" s="246" t="str">
        <f>IFERROR(__xludf.DUMMYFUNCTION("IF(REGEXMATCH($C69, ""r""), """",""r"")"),"r")</f>
        <v>r</v>
      </c>
      <c r="CQ69" s="246" t="str">
        <f>IFERROR(__xludf.DUMMYFUNCTION("IF(REGEXMATCH($C69, ""R""), """",""R"")"),"R")</f>
        <v>R</v>
      </c>
      <c r="CR69" s="246" t="str">
        <f>IFERROR(__xludf.DUMMYFUNCTION("IF(REGEXMATCH($C69, ""g""), """",""g"")"),"g")</f>
        <v>g</v>
      </c>
      <c r="CS69" s="246" t="str">
        <f>IFERROR(__xludf.DUMMYFUNCTION("IF(REGEXMATCH($C69, ""G""), """",""G"")"),"")</f>
        <v/>
      </c>
      <c r="CT69" s="246" t="str">
        <f>IFERROR(__xludf.DUMMYFUNCTION("IF(REGEXMATCH($C69, ""m""), """",""m"")"),"")</f>
        <v/>
      </c>
      <c r="CU69" s="246" t="str">
        <f>IFERROR(__xludf.DUMMYFUNCTION("IF(REGEXMATCH($C69, ""M""), """",""M"")"),"")</f>
        <v/>
      </c>
      <c r="CV69" s="246" t="str">
        <f>IFERROR(__xludf.DUMMYFUNCTION("IF(REGEXMATCH($C69, ""P""), """",""P"")"),"")</f>
        <v/>
      </c>
      <c r="CW69" s="246" t="str">
        <f>IFERROR(__xludf.DUMMYFUNCTION("IF(REGEXMATCH($C69, ""d""), """",""d"")"),"d")</f>
        <v>d</v>
      </c>
      <c r="CX69" s="246" t="str">
        <f>IFERROR(__xludf.DUMMYFUNCTION("IF(REGEXMATCH($C69, ""D""), """",""D"")"),"")</f>
        <v/>
      </c>
      <c r="CY69" s="246" t="str">
        <f>IFERROR(__xludf.DUMMYFUNCTION("IF(REGEXMATCH($C69, ""n""), """",""n"")"),"")</f>
        <v/>
      </c>
      <c r="CZ69" s="246" t="str">
        <f>IFERROR(__xludf.DUMMYFUNCTION("IF(REGEXMATCH($C69, ""N""), """",""N"")"),"")</f>
        <v/>
      </c>
      <c r="DA69" s="246" t="str">
        <f>IFERROR(__xludf.DUMMYFUNCTION("IF(REGEXMATCH($C69, ""S""), ""S"",""S"")"),"S")</f>
        <v>S</v>
      </c>
      <c r="DB69" s="362" t="str">
        <f>IFERROR(__xludf.DUMMYFUNCTION("JOIN("""",CO69:DA69,"""","""")"),"SrRgdS")</f>
        <v>SrRgdS</v>
      </c>
      <c r="DC69" s="363"/>
      <c r="DD69" s="301" t="str">
        <f t="shared" si="35"/>
        <v>#REF!</v>
      </c>
      <c r="DE69" s="302" t="str">
        <f t="shared" si="36"/>
        <v>#REF!</v>
      </c>
      <c r="DF69" s="301" t="str">
        <f t="shared" ref="DF69:DG69" si="333">SUBSTITUTE(S69,"-","")</f>
        <v>SGM</v>
      </c>
      <c r="DG69" s="301" t="str">
        <f t="shared" si="333"/>
        <v>PDNS</v>
      </c>
      <c r="DH69" s="302" t="str">
        <f t="shared" si="38"/>
        <v>(n/a)</v>
      </c>
      <c r="DI69" s="301" t="str">
        <f t="shared" si="39"/>
        <v>Hemi.</v>
      </c>
      <c r="DJ69" s="364" t="str">
        <f t="shared" si="40"/>
        <v>Co-Co.</v>
      </c>
      <c r="DK69" s="306" t="str">
        <f t="shared" si="41"/>
        <v>-</v>
      </c>
      <c r="DL69" s="366" t="str">
        <f t="shared" si="42"/>
        <v>-</v>
      </c>
      <c r="DM69" s="308" t="str">
        <f t="shared" si="43"/>
        <v>✔</v>
      </c>
      <c r="DN69" s="306" t="str">
        <f t="shared" si="44"/>
        <v>-</v>
      </c>
      <c r="DO69" s="306" t="str">
        <f t="shared" si="45"/>
        <v>-</v>
      </c>
      <c r="DP69" s="367" t="str">
        <f t="shared" si="46"/>
        <v>-</v>
      </c>
      <c r="DQ69" s="310" t="str">
        <f t="shared" si="47"/>
        <v>-</v>
      </c>
      <c r="DR69" s="310" t="str">
        <f t="shared" si="48"/>
        <v>-</v>
      </c>
      <c r="DS69" s="310" t="str">
        <f t="shared" si="49"/>
        <v>✔</v>
      </c>
      <c r="DT69" s="310" t="str">
        <f t="shared" si="50"/>
        <v>-</v>
      </c>
      <c r="DU69" s="370" t="str">
        <f t="shared" si="51"/>
        <v>✔</v>
      </c>
      <c r="DV69" s="306" t="str">
        <f t="shared" si="52"/>
        <v>✔</v>
      </c>
      <c r="DW69" s="306" t="str">
        <f t="shared" si="53"/>
        <v>-</v>
      </c>
      <c r="DX69" s="306" t="str">
        <f t="shared" si="54"/>
        <v>-</v>
      </c>
      <c r="DY69" s="306" t="str">
        <f t="shared" si="55"/>
        <v>-</v>
      </c>
      <c r="DZ69" s="306" t="str">
        <f t="shared" si="56"/>
        <v>-</v>
      </c>
      <c r="EA69" s="367" t="str">
        <f t="shared" si="57"/>
        <v>-</v>
      </c>
      <c r="EB69" s="310" t="str">
        <f>IFERROR(__xludf.DUMMYFUNCTION("IF(REGEXMATCH(AW69,AS69),""✔"",""-"")"),"✔")</f>
        <v>✔</v>
      </c>
      <c r="EC69" s="310" t="str">
        <f t="shared" si="58"/>
        <v>#REF!</v>
      </c>
      <c r="ED69" s="370" t="str">
        <f t="shared" si="59"/>
        <v>-</v>
      </c>
      <c r="EE69" s="340" t="str">
        <f t="shared" si="60"/>
        <v>S-G-mM-P-D-nN-S</v>
      </c>
      <c r="EF69" s="371" t="str">
        <f>IFERROR(__xludf.DUMMYFUNCTION("CONCATENATE(JOIN("""",HC69:HO69))"),"SrRgmMPdS")</f>
        <v>SrRgmMPdS</v>
      </c>
      <c r="EG69" s="372">
        <f t="shared" si="61"/>
        <v>2</v>
      </c>
      <c r="EH69" s="373" t="str">
        <f>IFERROR(__xludf.DUMMYFUNCTION("CONCATENATE(JOIN("""",JC69:JO69))"),"Ma, Pa, ")</f>
        <v>Ma, Pa, </v>
      </c>
      <c r="EI69" s="322">
        <f t="shared" si="62"/>
        <v>0</v>
      </c>
      <c r="EJ69" s="374" t="str">
        <f>IFERROR(__xludf.DUMMYFUNCTION("CONCATENATE(JOIN("""",KC69:KO69))"),"")</f>
        <v/>
      </c>
      <c r="EK69" s="325" t="str">
        <f t="shared" si="63"/>
        <v>S-G3-M1-M2-P-D2-N2-N3-S</v>
      </c>
      <c r="EL69" s="326" t="str">
        <f t="shared" si="64"/>
        <v>1-3-4-#4-5-6-b7-7-8</v>
      </c>
      <c r="EM69" s="318" t="str">
        <f t="shared" si="65"/>
        <v>#REF!</v>
      </c>
      <c r="EN69" s="328" t="str">
        <f>IFERROR(__xludf.DUMMYFUNCTION("SUBSTITUTE(SUBSTITUTE(SUBSTITUTE(SUBSTITUTE(CONCATENATE(JOIN("" "",HP69:IB69)),""  "","" ""),""  "","" ""),""  "","" ""),""  "","" "")"),"o • • • o o o o • o o o o")</f>
        <v>o • • • o o o o • o o o o</v>
      </c>
      <c r="EO69" s="368" t="str">
        <f t="shared" si="66"/>
        <v>-</v>
      </c>
      <c r="EP69" s="339" t="str">
        <f t="shared" si="67"/>
        <v>-</v>
      </c>
      <c r="EQ69" s="339" t="str">
        <f t="shared" si="68"/>
        <v>Sa-Pa</v>
      </c>
      <c r="ER69" s="339" t="str">
        <f t="shared" si="69"/>
        <v>-</v>
      </c>
      <c r="ES69" s="340" t="str">
        <f t="shared" si="70"/>
        <v>-</v>
      </c>
      <c r="ET69" s="363"/>
      <c r="EU69" s="376" t="b">
        <f>IFERROR(__xludf.DUMMYFUNCTION("arrayformula(sum(--REGEXMATCH(""SRGMPDNS"",split(REGEXREPLACE(C69,""(.)"",""$1~""),""~""))))=len(C69)
"),FALSE)</f>
        <v>0</v>
      </c>
      <c r="EV69" s="290" t="b">
        <f>IFERROR(__xludf.DUMMYFUNCTION("arrayformula(sum(--REGEXMATCH(""SRGmPDNS"",split(REGEXREPLACE(C69,""(.)"",""$1~""),""~""))))=len(C69)"),FALSE)</f>
        <v>0</v>
      </c>
      <c r="EW69" s="290" t="b">
        <f>IFERROR(__xludf.DUMMYFUNCTION("arrayformula(sum(--REGEXMATCH(""SRGmPDnS"",split(REGEXREPLACE(C69,""(.)"",""$1~""),""~""))))=len(C69)"),FALSE)</f>
        <v>0</v>
      </c>
      <c r="EX69" s="290" t="b">
        <f>IFERROR(__xludf.DUMMYFUNCTION("arrayformula(sum(--REGEXMATCH(""SRgmPDnS"",split(REGEXREPLACE(C69,""(.)"",""$1~""),""~""))))=len(C69)"),FALSE)</f>
        <v>0</v>
      </c>
      <c r="EY69" s="290" t="b">
        <f>IFERROR(__xludf.DUMMYFUNCTION("arrayformula(sum(--REGEXMATCH(""SRgmPdnS"",split(REGEXREPLACE(C69,""(.)"",""$1~""),""~""))))=len(C69)"),FALSE)</f>
        <v>0</v>
      </c>
      <c r="EZ69" s="290" t="b">
        <f>IFERROR(__xludf.DUMMYFUNCTION("arrayformula(sum(--REGEXMATCH(""SrgmPdnS"",split(REGEXREPLACE(C69,""(.)"",""$1~""),""~""))))=len(C69)"),FALSE)</f>
        <v>0</v>
      </c>
      <c r="FA69" s="290" t="b">
        <f>IFERROR(__xludf.DUMMYFUNCTION("arrayformula(sum(--REGEXMATCH(""SrGmPdNS"",split(REGEXREPLACE(C69,""(.)"",""$1~""),""~""))))=len(C69)"),FALSE)</f>
        <v>0</v>
      </c>
      <c r="FB69" s="290" t="b">
        <f>IFERROR(__xludf.DUMMYFUNCTION("arrayformula(sum(--REGEXMATCH(""SrGMPDNS"",split(REGEXREPLACE(C69,""(.)"",""$1~""),""~""))))=len(C69)"),FALSE)</f>
        <v>0</v>
      </c>
      <c r="FC69" s="290" t="b">
        <f>IFERROR(__xludf.DUMMYFUNCTION("arrayformula(sum(--REGEXMATCH(""SrGMPdNS"",split(REGEXREPLACE(C69,""(.)"",""$1~""),""~""))))=len(C69)"),FALSE)</f>
        <v>0</v>
      </c>
      <c r="FD69" s="377" t="b">
        <f>IFERROR(__xludf.DUMMYFUNCTION("arrayformula(sum(--REGEXMATCH(""SrgMPdNS"",split(REGEXREPLACE(C69,""(.)"",""$1~""),""~""))))=len(C69)"),FALSE)</f>
        <v>0</v>
      </c>
      <c r="FE69" s="269" t="str">
        <f t="shared" si="71"/>
        <v>-</v>
      </c>
      <c r="FF69" s="269" t="str">
        <f t="shared" si="72"/>
        <v>-</v>
      </c>
      <c r="FG69" s="271" t="str">
        <f t="shared" si="73"/>
        <v>-</v>
      </c>
      <c r="FH69" s="269" t="str">
        <f t="shared" si="74"/>
        <v>xxxxoxxxxoo</v>
      </c>
      <c r="FI69" s="271" t="str">
        <f t="shared" si="75"/>
        <v>xxxoxxxxooo</v>
      </c>
      <c r="FJ69" s="271" t="str">
        <f t="shared" si="76"/>
        <v>xxoxxxxooox</v>
      </c>
      <c r="FK69" s="271" t="str">
        <f t="shared" si="77"/>
        <v>xoxxxxoooxx</v>
      </c>
      <c r="FL69" s="271" t="str">
        <f t="shared" si="78"/>
        <v>-</v>
      </c>
      <c r="FM69" s="271" t="str">
        <f t="shared" si="79"/>
        <v>xxxxoooxxxx</v>
      </c>
      <c r="FN69" s="271" t="str">
        <f t="shared" si="80"/>
        <v>xxxoooxxxxo</v>
      </c>
      <c r="FO69" s="274" t="str">
        <f t="shared" si="81"/>
        <v>xxoooxxxxox</v>
      </c>
      <c r="FP69" s="234" t="str">
        <f t="shared" si="82"/>
        <v>|</v>
      </c>
      <c r="FQ69" s="236" t="str">
        <f t="shared" si="83"/>
        <v>-</v>
      </c>
      <c r="FR69" s="237" t="str">
        <f t="shared" si="84"/>
        <v>-</v>
      </c>
      <c r="FS69" s="236" t="str">
        <f t="shared" si="85"/>
        <v>-</v>
      </c>
      <c r="FT69" s="237" t="str">
        <f t="shared" si="86"/>
        <v>|</v>
      </c>
      <c r="FU69" s="236" t="str">
        <f t="shared" si="87"/>
        <v>|</v>
      </c>
      <c r="FV69" s="237" t="str">
        <f t="shared" si="88"/>
        <v>|</v>
      </c>
      <c r="FW69" s="236" t="str">
        <f t="shared" si="89"/>
        <v>|</v>
      </c>
      <c r="FX69" s="237" t="str">
        <f t="shared" si="90"/>
        <v>-</v>
      </c>
      <c r="FY69" s="236" t="str">
        <f t="shared" si="91"/>
        <v>|</v>
      </c>
      <c r="FZ69" s="237" t="str">
        <f t="shared" si="92"/>
        <v>|</v>
      </c>
      <c r="GA69" s="236" t="str">
        <f t="shared" si="93"/>
        <v>|</v>
      </c>
      <c r="GB69" s="238" t="str">
        <f t="shared" si="94"/>
        <v>|</v>
      </c>
      <c r="GC69" s="244" t="str">
        <f>IFERROR(__xludf.DUMMYFUNCTION("IF(REGEXMATCH(C69, ""S""), ""1"","""")"),"1")</f>
        <v>1</v>
      </c>
      <c r="GD69" s="245" t="str">
        <f>IFERROR(__xludf.DUMMYFUNCTION("IF(REGEXMATCH(C69, ""r""), ""b2"","""")"),"")</f>
        <v/>
      </c>
      <c r="GE69" s="246" t="str">
        <f>IFERROR(__xludf.DUMMYFUNCTION("IF(REGEXMATCH(C69, ""R""), ""2"","""")"),"")</f>
        <v/>
      </c>
      <c r="GF69" s="246" t="str">
        <f>IFERROR(__xludf.DUMMYFUNCTION("IF(REGEXMATCH(C69, ""g""), ""b3"","""")"),"")</f>
        <v/>
      </c>
      <c r="GG69" s="245" t="str">
        <f>IFERROR(__xludf.DUMMYFUNCTION("IF(REGEXMATCH(C69, ""G""), ""3"","""")"),"3")</f>
        <v>3</v>
      </c>
      <c r="GH69" s="245" t="str">
        <f>IFERROR(__xludf.DUMMYFUNCTION("IF(REGEXMATCH(C69, ""m""), ""4"","""")"),"4")</f>
        <v>4</v>
      </c>
      <c r="GI69" s="246" t="str">
        <f>IFERROR(__xludf.DUMMYFUNCTION("IF(REGEXMATCH(C69, ""M""), ""#4"","""")"),"#4")</f>
        <v>#4</v>
      </c>
      <c r="GJ69" s="245" t="str">
        <f>IFERROR(__xludf.DUMMYFUNCTION("IF(REGEXMATCH(C69, ""P""), ""5"","""")"),"5")</f>
        <v>5</v>
      </c>
      <c r="GK69" s="246" t="str">
        <f>IFERROR(__xludf.DUMMYFUNCTION("IF(REGEXMATCH(C69, ""d""), ""b6"","""")"),"")</f>
        <v/>
      </c>
      <c r="GL69" s="245" t="str">
        <f>IFERROR(__xludf.DUMMYFUNCTION("IF(REGEXMATCH(C69, ""D""), ""6"","""")"),"6")</f>
        <v>6</v>
      </c>
      <c r="GM69" s="245" t="str">
        <f>IFERROR(__xludf.DUMMYFUNCTION("IF(REGEXMATCH(C69, ""n""), ""b7"","""")"),"b7")</f>
        <v>b7</v>
      </c>
      <c r="GN69" s="246" t="str">
        <f>IFERROR(__xludf.DUMMYFUNCTION("IF(REGEXMATCH(C69, ""N""), ""7"","""")"),"7")</f>
        <v>7</v>
      </c>
      <c r="GO69" s="249" t="str">
        <f>IFERROR(__xludf.DUMMYFUNCTION("IF(REGEXMATCH(C69, ""S""), ""8"","""")"),"8")</f>
        <v>8</v>
      </c>
      <c r="GP69" s="244" t="str">
        <f>IFERROR(__xludf.DUMMYFUNCTION("IF(REGEXMATCH(C69, ""S""), ""S"","""")"),"S")</f>
        <v>S</v>
      </c>
      <c r="GQ69" s="294" t="str">
        <f>IFERROR(__xludf.DUMMYFUNCTION("IF(REGEXMATCH(C69, ""r""), ""R1"","""")"),"")</f>
        <v/>
      </c>
      <c r="GR69" s="295" t="str">
        <f>IFERROR(__xludf.DUMMYFUNCTION("IF(REGEXMATCH(C69, ""R""), ""R2"","""")"),"")</f>
        <v/>
      </c>
      <c r="GS69" s="295" t="str">
        <f>IFERROR(__xludf.DUMMYFUNCTION("IF(REGEXMATCH(C69, ""g""), ""G2"","""")"),"")</f>
        <v/>
      </c>
      <c r="GT69" s="294" t="str">
        <f>IFERROR(__xludf.DUMMYFUNCTION("IF(REGEXMATCH(C69, ""G""), ""G3"","""")"),"G3")</f>
        <v>G3</v>
      </c>
      <c r="GU69" s="294" t="str">
        <f>IFERROR(__xludf.DUMMYFUNCTION("IF(REGEXMATCH(C69, ""m""), ""M1"","""")"),"M1")</f>
        <v>M1</v>
      </c>
      <c r="GV69" s="295" t="str">
        <f>IFERROR(__xludf.DUMMYFUNCTION("IF(REGEXMATCH(C69, ""M""), ""M2"","""")"),"M2")</f>
        <v>M2</v>
      </c>
      <c r="GW69" s="294" t="str">
        <f>IFERROR(__xludf.DUMMYFUNCTION("IF(REGEXMATCH(C69, ""P""), ""P"","""")"),"P")</f>
        <v>P</v>
      </c>
      <c r="GX69" s="295" t="str">
        <f>IFERROR(__xludf.DUMMYFUNCTION("IF(REGEXMATCH(C69, ""d""), ""D1"","""")"),"")</f>
        <v/>
      </c>
      <c r="GY69" s="294" t="str">
        <f>IFERROR(__xludf.DUMMYFUNCTION("IF(REGEXMATCH(C69, ""D""), ""D2"","""")"),"D2")</f>
        <v>D2</v>
      </c>
      <c r="GZ69" s="294" t="str">
        <f>IFERROR(__xludf.DUMMYFUNCTION("IF(REGEXMATCH(C69, ""n""), ""N2"","""")"),"N2")</f>
        <v>N2</v>
      </c>
      <c r="HA69" s="295" t="str">
        <f>IFERROR(__xludf.DUMMYFUNCTION("IF(REGEXMATCH(C69, ""N""), ""N3"","""")"),"N3")</f>
        <v>N3</v>
      </c>
      <c r="HB69" s="249" t="str">
        <f>IFERROR(__xludf.DUMMYFUNCTION("IF(REGEXMATCH(C69, ""S""), ""S"","""")"),"S")</f>
        <v>S</v>
      </c>
      <c r="HC69" s="331" t="str">
        <f t="shared" si="95"/>
        <v>S</v>
      </c>
      <c r="HD69" s="332" t="str">
        <f t="shared" si="96"/>
        <v>r</v>
      </c>
      <c r="HE69" s="332" t="str">
        <f t="shared" si="97"/>
        <v>R</v>
      </c>
      <c r="HF69" s="332" t="str">
        <f t="shared" si="98"/>
        <v>g</v>
      </c>
      <c r="HG69" s="332" t="str">
        <f t="shared" si="99"/>
        <v/>
      </c>
      <c r="HH69" s="332" t="str">
        <f t="shared" si="100"/>
        <v>m</v>
      </c>
      <c r="HI69" s="332" t="str">
        <f t="shared" si="101"/>
        <v>M</v>
      </c>
      <c r="HJ69" s="332" t="str">
        <f t="shared" si="102"/>
        <v>P</v>
      </c>
      <c r="HK69" s="332" t="str">
        <f t="shared" si="103"/>
        <v>d</v>
      </c>
      <c r="HL69" s="332" t="str">
        <f t="shared" si="104"/>
        <v/>
      </c>
      <c r="HM69" s="332" t="str">
        <f t="shared" si="105"/>
        <v/>
      </c>
      <c r="HN69" s="332" t="str">
        <f t="shared" si="106"/>
        <v/>
      </c>
      <c r="HO69" s="343" t="str">
        <f t="shared" si="107"/>
        <v>S</v>
      </c>
      <c r="HP69" s="331" t="str">
        <f t="shared" si="108"/>
        <v>o</v>
      </c>
      <c r="HQ69" s="332" t="str">
        <f t="shared" si="109"/>
        <v>•</v>
      </c>
      <c r="HR69" s="332" t="str">
        <f t="shared" si="110"/>
        <v>•</v>
      </c>
      <c r="HS69" s="332" t="str">
        <f t="shared" si="111"/>
        <v>•</v>
      </c>
      <c r="HT69" s="332" t="str">
        <f t="shared" si="112"/>
        <v>o</v>
      </c>
      <c r="HU69" s="332" t="str">
        <f t="shared" si="113"/>
        <v>o</v>
      </c>
      <c r="HV69" s="332" t="str">
        <f t="shared" si="114"/>
        <v>o</v>
      </c>
      <c r="HW69" s="332" t="str">
        <f t="shared" si="115"/>
        <v>o</v>
      </c>
      <c r="HX69" s="332" t="str">
        <f t="shared" si="116"/>
        <v>•</v>
      </c>
      <c r="HY69" s="332" t="str">
        <f t="shared" si="117"/>
        <v>o</v>
      </c>
      <c r="HZ69" s="332" t="str">
        <f t="shared" si="118"/>
        <v>o</v>
      </c>
      <c r="IA69" s="332" t="str">
        <f t="shared" si="119"/>
        <v>o</v>
      </c>
      <c r="IB69" s="338" t="str">
        <f t="shared" si="120"/>
        <v>o</v>
      </c>
      <c r="IC69" s="331" t="str">
        <f t="shared" si="121"/>
        <v>•</v>
      </c>
      <c r="ID69" s="332" t="str">
        <f t="shared" si="122"/>
        <v>o</v>
      </c>
      <c r="IE69" s="332" t="str">
        <f t="shared" si="123"/>
        <v>o</v>
      </c>
      <c r="IF69" s="332" t="str">
        <f t="shared" si="124"/>
        <v>o</v>
      </c>
      <c r="IG69" s="332" t="str">
        <f t="shared" si="125"/>
        <v>•</v>
      </c>
      <c r="IH69" s="332" t="str">
        <f t="shared" si="126"/>
        <v>•</v>
      </c>
      <c r="II69" s="332" t="str">
        <f t="shared" si="127"/>
        <v>•</v>
      </c>
      <c r="IJ69" s="332" t="str">
        <f t="shared" si="128"/>
        <v>•</v>
      </c>
      <c r="IK69" s="332" t="str">
        <f t="shared" si="129"/>
        <v>o</v>
      </c>
      <c r="IL69" s="332" t="str">
        <f t="shared" si="130"/>
        <v>•</v>
      </c>
      <c r="IM69" s="332" t="str">
        <f t="shared" si="131"/>
        <v>•</v>
      </c>
      <c r="IN69" s="332" t="str">
        <f t="shared" si="132"/>
        <v>•</v>
      </c>
      <c r="IO69" s="338" t="str">
        <f t="shared" si="133"/>
        <v>•</v>
      </c>
      <c r="IP69" s="346" t="b">
        <f t="shared" si="134"/>
        <v>0</v>
      </c>
      <c r="IQ69" s="347" t="b">
        <f t="shared" si="135"/>
        <v>0</v>
      </c>
      <c r="IR69" s="347" t="b">
        <f t="shared" si="136"/>
        <v>0</v>
      </c>
      <c r="IS69" s="347" t="b">
        <f t="shared" si="137"/>
        <v>0</v>
      </c>
      <c r="IT69" s="347" t="b">
        <f t="shared" si="138"/>
        <v>0</v>
      </c>
      <c r="IU69" s="347" t="b">
        <f t="shared" si="139"/>
        <v>0</v>
      </c>
      <c r="IV69" s="347" t="b">
        <f t="shared" si="140"/>
        <v>1</v>
      </c>
      <c r="IW69" s="347" t="b">
        <f t="shared" si="141"/>
        <v>1</v>
      </c>
      <c r="IX69" s="347" t="b">
        <f t="shared" si="142"/>
        <v>0</v>
      </c>
      <c r="IY69" s="347" t="b">
        <f t="shared" si="143"/>
        <v>0</v>
      </c>
      <c r="IZ69" s="347" t="b">
        <f t="shared" si="144"/>
        <v>0</v>
      </c>
      <c r="JA69" s="347" t="b">
        <f t="shared" si="145"/>
        <v>0</v>
      </c>
      <c r="JB69" s="353" t="b">
        <f t="shared" si="146"/>
        <v>0</v>
      </c>
      <c r="JC69" s="354" t="str">
        <f t="shared" si="147"/>
        <v/>
      </c>
      <c r="JD69" s="355" t="str">
        <f t="shared" si="148"/>
        <v/>
      </c>
      <c r="JE69" s="355" t="str">
        <f t="shared" si="149"/>
        <v/>
      </c>
      <c r="JF69" s="355" t="str">
        <f t="shared" si="150"/>
        <v/>
      </c>
      <c r="JG69" s="355" t="str">
        <f t="shared" si="151"/>
        <v/>
      </c>
      <c r="JH69" s="355" t="str">
        <f t="shared" si="152"/>
        <v/>
      </c>
      <c r="JI69" s="355" t="str">
        <f t="shared" si="153"/>
        <v>Ma, </v>
      </c>
      <c r="JJ69" s="355" t="str">
        <f t="shared" si="154"/>
        <v>Pa, </v>
      </c>
      <c r="JK69" s="355" t="str">
        <f t="shared" si="155"/>
        <v/>
      </c>
      <c r="JL69" s="355" t="str">
        <f t="shared" si="156"/>
        <v/>
      </c>
      <c r="JM69" s="355" t="str">
        <f t="shared" si="157"/>
        <v/>
      </c>
      <c r="JN69" s="355" t="str">
        <f t="shared" si="158"/>
        <v/>
      </c>
      <c r="JO69" s="359" t="str">
        <f t="shared" si="159"/>
        <v/>
      </c>
      <c r="JP69" s="346" t="b">
        <f t="shared" si="160"/>
        <v>0</v>
      </c>
      <c r="JQ69" s="347" t="b">
        <f t="shared" si="161"/>
        <v>0</v>
      </c>
      <c r="JR69" s="347" t="b">
        <f t="shared" si="162"/>
        <v>0</v>
      </c>
      <c r="JS69" s="347" t="b">
        <f t="shared" si="163"/>
        <v>0</v>
      </c>
      <c r="JT69" s="347" t="b">
        <f t="shared" si="164"/>
        <v>0</v>
      </c>
      <c r="JU69" s="347" t="b">
        <f t="shared" si="165"/>
        <v>0</v>
      </c>
      <c r="JV69" s="347" t="b">
        <f t="shared" si="166"/>
        <v>0</v>
      </c>
      <c r="JW69" s="347" t="b">
        <f t="shared" si="167"/>
        <v>0</v>
      </c>
      <c r="JX69" s="347" t="b">
        <f t="shared" si="168"/>
        <v>0</v>
      </c>
      <c r="JY69" s="347" t="b">
        <f t="shared" si="169"/>
        <v>0</v>
      </c>
      <c r="JZ69" s="347" t="b">
        <f t="shared" si="170"/>
        <v>0</v>
      </c>
      <c r="KA69" s="347" t="b">
        <f t="shared" si="171"/>
        <v>0</v>
      </c>
      <c r="KB69" s="365" t="b">
        <f t="shared" si="172"/>
        <v>0</v>
      </c>
      <c r="KC69" s="354" t="str">
        <f t="shared" si="173"/>
        <v/>
      </c>
      <c r="KD69" s="355" t="str">
        <f t="shared" si="174"/>
        <v/>
      </c>
      <c r="KE69" s="355" t="str">
        <f t="shared" si="175"/>
        <v/>
      </c>
      <c r="KF69" s="355" t="str">
        <f t="shared" si="176"/>
        <v/>
      </c>
      <c r="KG69" s="355" t="str">
        <f t="shared" si="177"/>
        <v/>
      </c>
      <c r="KH69" s="355" t="str">
        <f t="shared" si="178"/>
        <v/>
      </c>
      <c r="KI69" s="355" t="str">
        <f t="shared" si="179"/>
        <v/>
      </c>
      <c r="KJ69" s="355" t="str">
        <f t="shared" si="180"/>
        <v/>
      </c>
      <c r="KK69" s="355" t="str">
        <f t="shared" si="181"/>
        <v/>
      </c>
      <c r="KL69" s="355" t="str">
        <f t="shared" si="182"/>
        <v/>
      </c>
      <c r="KM69" s="355" t="str">
        <f t="shared" si="183"/>
        <v/>
      </c>
      <c r="KN69" s="355" t="str">
        <f t="shared" si="184"/>
        <v/>
      </c>
      <c r="KO69" s="359"/>
      <c r="KP69" s="378"/>
      <c r="KQ69" s="379" t="s">
        <v>1359</v>
      </c>
      <c r="KR69" s="380" t="s">
        <v>1360</v>
      </c>
      <c r="KS69" s="381" t="str">
        <f t="shared" ref="KS69:KS70" si="336">KQ69</f>
        <v>S-G-m-P-D-n-S</v>
      </c>
      <c r="KT69" s="382">
        <f t="shared" si="186"/>
        <v>6</v>
      </c>
      <c r="KU69" s="383">
        <f t="shared" si="187"/>
        <v>6</v>
      </c>
      <c r="KV69" s="381" t="str">
        <f t="shared" si="205"/>
        <v>S-Nn-D-P-Mm-G-S</v>
      </c>
      <c r="KW69" s="382">
        <f t="shared" si="189"/>
        <v>6</v>
      </c>
      <c r="KX69" s="384">
        <f t="shared" si="190"/>
        <v>8</v>
      </c>
      <c r="KY69" s="382">
        <f t="shared" ref="KY69:KZ69" si="334">KW69-KT69</f>
        <v>0</v>
      </c>
      <c r="KZ69" s="369">
        <f t="shared" si="334"/>
        <v>2</v>
      </c>
      <c r="LA69" s="385" t="str">
        <f t="shared" si="192"/>
        <v>-</v>
      </c>
      <c r="LB69" s="340" t="str">
        <f>IFERROR(__xludf.DUMMYFUNCTION("JOIN("""",ArrayFormula(MID(KS69,LEN(KS69)-SEQUENCE(1,LEN(KS69))+1,1)))"),"S-n-D-P-m-G-S")</f>
        <v>S-n-D-P-m-G-S</v>
      </c>
      <c r="LC69" s="373" t="str">
        <f>IFERROR(__xludf.DUMMYFUNCTION("JOIN("""",ArrayFormula(MID(KV69,LEN(KV69)-SEQUENCE(1,LEN(KV69))+1,1)))"),"S-G-mM-P-D-nN-S")</f>
        <v>S-G-mM-P-D-nN-S</v>
      </c>
      <c r="LD69" s="373" t="str">
        <f t="shared" si="193"/>
        <v>SGmPDnS</v>
      </c>
      <c r="LE69" s="339" t="str">
        <f t="shared" si="194"/>
        <v>SGmMPDnNS</v>
      </c>
      <c r="LF69" s="386" t="str">
        <f>IFERROR(__xludf.DUMMYFUNCTION("SUBSTITUTE(SUBSTITUTE(CONCATENATE(JOIN("""",LH69:LT69)),""1"",""""),""2"","""")"),"SGmMPDnNS")</f>
        <v>SGmMPDnNS</v>
      </c>
      <c r="LG69" s="369" t="str">
        <f t="shared" si="195"/>
        <v>✔</v>
      </c>
      <c r="LH69" s="387" t="str">
        <f>IFERROR(__xludf.DUMMYFUNCTION("IF(REGEXMATCH(LD69, ""S""), ""S"",IF(REGEXMATCH(LE69, ""S""), ""S"",""""))"),"S")</f>
        <v>S</v>
      </c>
      <c r="LI69" s="299" t="str">
        <f>IFERROR(__xludf.DUMMYFUNCTION("IF(REGEXMATCH(LD69, ""r""), ""r1"",IF(REGEXMATCH(LE69, ""r""), ""r2"",""""))"),"")</f>
        <v/>
      </c>
      <c r="LJ69" s="299" t="str">
        <f>IFERROR(__xludf.DUMMYFUNCTION("IF(REGEXMATCH(LD69, ""R""), ""R1"",IF(REGEXMATCH(LE69, ""R""), ""R2"",""""))"),"")</f>
        <v/>
      </c>
      <c r="LK69" s="299" t="str">
        <f>IFERROR(__xludf.DUMMYFUNCTION("IF(REGEXMATCH(LD69, ""g""), ""g1"",IF(REGEXMATCH(LE69, ""g""), ""g2"",""""))"),"")</f>
        <v/>
      </c>
      <c r="LL69" s="299" t="str">
        <f>IFERROR(__xludf.DUMMYFUNCTION("IF(REGEXMATCH(LD69, ""G""), ""G1"",IF(REGEXMATCH(LE69, ""G""), ""G2"",""""))"),"G1")</f>
        <v>G1</v>
      </c>
      <c r="LM69" s="299" t="str">
        <f>IFERROR(__xludf.DUMMYFUNCTION("IF(REGEXMATCH(LD69, ""m""), ""m1"",IF(REGEXMATCH(LE69, ""m""), ""m2"",""""))"),"m1")</f>
        <v>m1</v>
      </c>
      <c r="LN69" s="299" t="str">
        <f>IFERROR(__xludf.DUMMYFUNCTION("IF(REGEXMATCH(LD69, ""M""), ""M1"",IF(REGEXMATCH(LE69, ""M""), ""M2"",""""))"),"M2")</f>
        <v>M2</v>
      </c>
      <c r="LO69" s="299" t="str">
        <f>IFERROR(__xludf.DUMMYFUNCTION("IF(REGEXMATCH(LD69, ""P""), ""P1"",IF(REGEXMATCH(LE69, ""P""), ""P2"",""""))"),"P1")</f>
        <v>P1</v>
      </c>
      <c r="LP69" s="299" t="str">
        <f>IFERROR(__xludf.DUMMYFUNCTION("IF(REGEXMATCH(LD69, ""d""), ""d1"",IF(REGEXMATCH(LE69, ""d""), ""d2"",""""))"),"")</f>
        <v/>
      </c>
      <c r="LQ69" s="299" t="str">
        <f>IFERROR(__xludf.DUMMYFUNCTION("IF(REGEXMATCH(LD69, ""D""), ""D1"",IF(REGEXMATCH(LE69, ""D""), ""D2"",""""))"),"D1")</f>
        <v>D1</v>
      </c>
      <c r="LR69" s="299" t="str">
        <f>IFERROR(__xludf.DUMMYFUNCTION("IF(REGEXMATCH(LD69, ""n""), ""n1"",IF(REGEXMATCH(LE69, ""n""), ""n2"",""""))"),"n1")</f>
        <v>n1</v>
      </c>
      <c r="LS69" s="299" t="str">
        <f>IFERROR(__xludf.DUMMYFUNCTION("IF(REGEXMATCH(LD69, ""N""), ""N1"",IF(REGEXMATCH(LE69, ""N""), ""N2"",""""))"),"N2")</f>
        <v>N2</v>
      </c>
      <c r="LT69" s="388" t="str">
        <f>IFERROR(__xludf.DUMMYFUNCTION("IF(REGEXMATCH(LD69, ""S""), ""S"",IF(REGEXMATCH(LE69, ""S""), ""S"",""""))"),"S")</f>
        <v>S</v>
      </c>
      <c r="LU69" s="389">
        <f t="shared" si="196"/>
        <v>-1</v>
      </c>
      <c r="LV69" s="378"/>
      <c r="LW69" s="369"/>
      <c r="LX69" s="369"/>
    </row>
    <row r="70" ht="18.0" customHeight="1">
      <c r="A70" s="298" t="s">
        <v>647</v>
      </c>
      <c r="B70" s="222" t="s">
        <v>648</v>
      </c>
      <c r="C70" s="233" t="str">
        <f t="shared" si="7"/>
        <v>SRGmMPDnNS</v>
      </c>
      <c r="D70" s="234" t="str">
        <f>IFERROR(__xludf.DUMMYFUNCTION("IF(REGEXMATCH(C70, ""S""), ""S"","""")"),"S")</f>
        <v>S</v>
      </c>
      <c r="E70" s="236" t="str">
        <f>IFERROR(__xludf.DUMMYFUNCTION("IF(REGEXMATCH(C70, ""r""), ""r"","""")"),"")</f>
        <v/>
      </c>
      <c r="F70" s="237" t="str">
        <f>IFERROR(__xludf.DUMMYFUNCTION("IF(REGEXMATCH(C70, ""R""), ""R"","""")"),"R")</f>
        <v>R</v>
      </c>
      <c r="G70" s="237" t="str">
        <f>IFERROR(__xludf.DUMMYFUNCTION("IF(REGEXMATCH(C70, ""g""), ""g"","""")"),"")</f>
        <v/>
      </c>
      <c r="H70" s="236" t="str">
        <f>IFERROR(__xludf.DUMMYFUNCTION("IF(REGEXMATCH(C70, ""G""), ""G"","""")"),"G")</f>
        <v>G</v>
      </c>
      <c r="I70" s="236" t="str">
        <f>IFERROR(__xludf.DUMMYFUNCTION("IF(REGEXMATCH(C70, ""m""), ""m"","""")"),"m")</f>
        <v>m</v>
      </c>
      <c r="J70" s="237" t="str">
        <f>IFERROR(__xludf.DUMMYFUNCTION("IF(REGEXMATCH(C70, ""M""), ""M"","""")"),"M")</f>
        <v>M</v>
      </c>
      <c r="K70" s="236" t="str">
        <f>IFERROR(__xludf.DUMMYFUNCTION("IF(REGEXMATCH(C70, ""P""), ""P"","""")"),"P")</f>
        <v>P</v>
      </c>
      <c r="L70" s="237" t="str">
        <f>IFERROR(__xludf.DUMMYFUNCTION("IF(REGEXMATCH(C70, ""d""), ""d"","""")"),"")</f>
        <v/>
      </c>
      <c r="M70" s="236" t="str">
        <f>IFERROR(__xludf.DUMMYFUNCTION("IF(REGEXMATCH(C70, ""D""), ""D"","""")"),"D")</f>
        <v>D</v>
      </c>
      <c r="N70" s="236" t="str">
        <f>IFERROR(__xludf.DUMMYFUNCTION("IF(REGEXMATCH(C70, ""n""), ""n"","""")"),"n")</f>
        <v>n</v>
      </c>
      <c r="O70" s="237" t="str">
        <f>IFERROR(__xludf.DUMMYFUNCTION("IF(REGEXMATCH(C70, ""N""), ""N"","""")"),"N")</f>
        <v>N</v>
      </c>
      <c r="P70" s="238" t="str">
        <f>IFERROR(__xludf.DUMMYFUNCTION("IF(REGEXMATCH(C70, ""S""), ""S"","""")"),"S")</f>
        <v>S</v>
      </c>
      <c r="Q70" s="239" t="str">
        <f>IFERROR(__xludf.DUMMYFUNCTION("SUBSTITUTE(CONCATENATE(JOIN(""-"",D70:J70)),""-"","""")"),"SRGmM")</f>
        <v>SRGmM</v>
      </c>
      <c r="R70" s="229" t="str">
        <f>IFERROR(__xludf.DUMMYFUNCTION("SUBSTITUTE(CONCATENATE(JOIN(""-"",K70:P70)),""-"","""")"),"PDnNS")</f>
        <v>PDnNS</v>
      </c>
      <c r="S70" s="282" t="str">
        <f t="shared" si="8"/>
        <v>S-R-G-M</v>
      </c>
      <c r="T70" s="282" t="str">
        <f t="shared" si="9"/>
        <v>P-D-N-S</v>
      </c>
      <c r="U70" s="237" t="str">
        <f>IFERROR(__xludf.DUMMYFUNCTION("SUBSTITUTE(JOIN(""-"",S70,T70),""--"",""-"")"),"S-R-G-M-P-D-N-S")</f>
        <v>S-R-G-M-P-D-N-S</v>
      </c>
      <c r="V70" s="309" t="str">
        <f t="shared" si="10"/>
        <v>RGmMDnN</v>
      </c>
      <c r="W70" s="244" t="str">
        <f>IFERROR(__xludf.DUMMYFUNCTION("IF(REGEXMATCH(C70, ""S""), ""0"","""")"),"0")</f>
        <v>0</v>
      </c>
      <c r="X70" s="245" t="str">
        <f>IFERROR(__xludf.DUMMYFUNCTION("IF(REGEXMATCH(C70, ""r""), ""1"","""")"),"")</f>
        <v/>
      </c>
      <c r="Y70" s="246" t="str">
        <f>IFERROR(__xludf.DUMMYFUNCTION("IF(REGEXMATCH(C70, ""R""), ""2"","""")"),"2")</f>
        <v>2</v>
      </c>
      <c r="Z70" s="246" t="str">
        <f>IFERROR(__xludf.DUMMYFUNCTION("IF(REGEXMATCH(C70, ""g""), ""3"","""")"),"")</f>
        <v/>
      </c>
      <c r="AA70" s="245" t="str">
        <f>IFERROR(__xludf.DUMMYFUNCTION("IF(REGEXMATCH(C70, ""G""), ""4"","""")"),"4")</f>
        <v>4</v>
      </c>
      <c r="AB70" s="245" t="str">
        <f>IFERROR(__xludf.DUMMYFUNCTION("IF(REGEXMATCH(C70, ""m""), ""5"","""")"),"5")</f>
        <v>5</v>
      </c>
      <c r="AC70" s="246" t="str">
        <f>IFERROR(__xludf.DUMMYFUNCTION("IF(REGEXMATCH(C70, ""M""), ""6"","""")"),"6")</f>
        <v>6</v>
      </c>
      <c r="AD70" s="245" t="str">
        <f>IFERROR(__xludf.DUMMYFUNCTION("IF(REGEXMATCH(C70, ""P""), ""7"","""")"),"7")</f>
        <v>7</v>
      </c>
      <c r="AE70" s="246" t="str">
        <f>IFERROR(__xludf.DUMMYFUNCTION("IF(REGEXMATCH(C70, ""d""), ""8"","""")"),"")</f>
        <v/>
      </c>
      <c r="AF70" s="245" t="str">
        <f>IFERROR(__xludf.DUMMYFUNCTION("IF(REGEXMATCH(C70, ""D""), ""9"","""")"),"9")</f>
        <v>9</v>
      </c>
      <c r="AG70" s="245" t="str">
        <f>IFERROR(__xludf.DUMMYFUNCTION("IF(REGEXMATCH(C70, ""n""), ""10"","""")"),"10")</f>
        <v>10</v>
      </c>
      <c r="AH70" s="246" t="str">
        <f>IFERROR(__xludf.DUMMYFUNCTION("IF(REGEXMATCH(C70, ""N""), ""11"","""")"),"11")</f>
        <v>11</v>
      </c>
      <c r="AI70" s="249" t="str">
        <f>IFERROR(__xludf.DUMMYFUNCTION("IF(REGEXMATCH(C70, ""S""), ""0"","""")"),"0")</f>
        <v>0</v>
      </c>
      <c r="AJ70" s="313" t="str">
        <f t="shared" si="11"/>
        <v>T</v>
      </c>
      <c r="AK70" s="313" t="str">
        <f t="shared" si="12"/>
        <v>-</v>
      </c>
      <c r="AL70" s="313" t="str">
        <f t="shared" si="13"/>
        <v>-</v>
      </c>
      <c r="AM70" s="313" t="str">
        <f t="shared" si="14"/>
        <v>-</v>
      </c>
      <c r="AN70" s="313" t="str">
        <f t="shared" si="15"/>
        <v>T</v>
      </c>
      <c r="AO70" s="314" t="str">
        <f t="shared" si="16"/>
        <v>T</v>
      </c>
      <c r="AP70" s="316">
        <f t="shared" si="17"/>
        <v>3</v>
      </c>
      <c r="AQ70" s="319" t="str">
        <f t="shared" si="18"/>
        <v>-</v>
      </c>
      <c r="AR70" s="320">
        <f t="shared" si="19"/>
        <v>0</v>
      </c>
      <c r="AS70" s="250" t="str">
        <f>IFERROR(__xludf.DUMMYFUNCTION("SUBSTITUTE(SUBSTITUTE(CONCATENATE(JOIN("""",FP70:GA70)),""|"",""x""),""-"",""o"")"),"xoxoxxxxoxxx")</f>
        <v>xoxoxxxxoxxx</v>
      </c>
      <c r="AT70" s="323" t="str">
        <f>IFERROR(__xludf.DUMMYFUNCTION("JOIN("""",AS70,AS70)"),"xoxoxxxxoxxxxoxoxxxxoxxx")</f>
        <v>xoxoxxxxoxxxxoxoxxxxoxxx</v>
      </c>
      <c r="AU70" s="256" t="str">
        <f>IFERROR(__xludf.DUMMYFUNCTION("JOIN("""",ArrayFormula(MID(AS70,LEN(AS70)-SEQUENCE(1,LEN(AS70))+1,1)))"),"xxxoxxxxoxox")</f>
        <v>xxxoxxxxoxox</v>
      </c>
      <c r="AV70" s="256" t="str">
        <f>IFERROR(__xludf.DUMMYFUNCTION("LEFT(CONCATENATE(""x"",JOIN("""",ArrayFormula(MID(AS70,LEN(AS70)-SEQUENCE(1,LEN(AS70))+1,1)))),12)"),"xxxxoxxxxoxo")</f>
        <v>xxxxoxxxxoxo</v>
      </c>
      <c r="AW70" s="327" t="str">
        <f>IFERROR(__xludf.DUMMYFUNCTION("JOIN("""",AU70,AU70)"),"xxxoxxxxoxoxxxxoxxxxoxox")</f>
        <v>xxxoxxxxoxoxxxxoxxxxoxox</v>
      </c>
      <c r="AX70" s="239" t="str">
        <f>IFERROR(__xludf.DUMMYFUNCTION("IF(REGEXMATCH(AW70,AS70),""✔"",""-"")"),"✔")</f>
        <v>✔</v>
      </c>
      <c r="AY70" s="330" t="str">
        <f t="shared" si="20"/>
        <v>-</v>
      </c>
      <c r="AZ70" s="260" t="str">
        <f t="shared" si="21"/>
        <v>#REF!</v>
      </c>
      <c r="BA70" s="333" t="str">
        <f t="shared" si="22"/>
        <v>xoxoxxx</v>
      </c>
      <c r="BB70" s="334" t="str">
        <f t="shared" si="23"/>
        <v>xoxxxx</v>
      </c>
      <c r="BC70" s="335" t="str">
        <f t="shared" si="236"/>
        <v>-</v>
      </c>
      <c r="BD70" s="336" t="str">
        <f t="shared" si="25"/>
        <v>Chandni Kedar: 'xoxoxxx' + 'xoxxxx'</v>
      </c>
      <c r="BE70" s="337">
        <f>IFERROR(__xludf.DUMMYFUNCTION("COUNTUNIQUE(FILTER(AT:AT,REGEXMATCH(AT:AT,AS70)))-1"),4.0)</f>
        <v>4</v>
      </c>
      <c r="BF70" s="261" t="str">
        <f>IFERROR(__xludf.DUMMYFUNCTION("IF(BI70=0,""(n/a)"",IF(BJ70=2,""(PAIR)"",IF(REGEXMATCH(AT70,""xoxoxxoxoxox""),""Bilawal"",IF(REGEXMATCH(AT70,""xoxoxooxoxoo""),""Bhupali"",IF(REGEXMATCH(AT70,""xoxoxxoxxoxo""),""Charukeshi"",IF(REGEXMATCH(AT70,""xoxoooxxoxxo""),""Kameshwari"",IF(REGEXMATC"&amp;"H(AT70,""xoxoxooxoxox""),""Shankara"",IF(REGEXMATCH(AT70,""xxooxoxxxoox""),""Basant"",IF(REGEXMATCH(AT70,""xoxoxxxxoxox""),""Bihag"",IF(REGEXMATCH(AT70,""xoxxxxoxoxxx""),""Pilu"",IF(REGEXMATCH(AT70,""xoxxoxoxxoox""),""Kirwani"",IF(REGEXMATCH(AT70,""xoxxox"&amp;"oxoxxx""),""Mk.Malhar"",IF(REGEXMATCH(AT70,""xxooxxoxxoox""),""Bhairav"",IF(REGEXMATCH(AT70,""xxoxooxxxoox""),""Todi"",IF(REGEXMATCH(AT70,""xxooxoxooxox""),""Marwa"",IF(REGEXMATCH(AT70,""xxoooxoxxooo""),""Gunkali"",IF(REGEXMATCH(AT70,""xoxoxxoxxoox""),""N"&amp;"at Bhairav"",IF(REGEXMATCH(AT70,""xoxxoooxoxoo""),""Shivranjani"",IF(REGEXMATCH(AT70,""xooxxxoxooxo""),""Jog"",IF(REGEXMATCH(AT70,""xxooxoxoxoox""),""Hemshri"",IF(REGEXMATCH(AT70,""xoooxooxoxxo""),""Kalavati"",IF(REGEXMATCH(AT70,""xxoxoxxoxoox""),""Kedar"&amp;""",IF(REGEXMATCH(AT70,""xoxxxxoxooxx""),""Gara"",IF(REGEXMATCH(AT70,""xooxoxooxoox""),""Chandrakauns"",IF(REGEXMATCH(AT70,""xoxxxxoxxxox""),""Mand"",IF(REGEXMATCH(AT70,""xoxxxxoxoxox""),""Hanskinkini"",IF(REGEXMATCH(AT70,""xxooxxoxooxo""),""Lilavati"",IF("&amp;"REGEXMATCH(AT70,""xooxoxoooxox""),""Rajeshwari"",IF(REGEXMATCH(AT70,""xoooxxoxoxxx""),""Khokar"",IF(REGEXMATCH(AT70,""xxooxoxxxxox""),""Maligoura"",""-""))))))))))))))))))))))))))))))"),"Pilu")</f>
        <v>Pilu</v>
      </c>
      <c r="BG70" s="239" t="str">
        <f t="shared" si="26"/>
        <v>#REF!</v>
      </c>
      <c r="BH70" s="239">
        <f>IFERROR(__xludf.DUMMYFUNCTION("COUNTUNIQUE(FE70:FO70)-1"),8.0)</f>
        <v>8</v>
      </c>
      <c r="BI70" s="239">
        <f>IFERROR(__xludf.DUMMYFUNCTION("COUNTUNIQUE(FILTER(AT:AT,REGEXMATCH(AT:AT,AS70)))-1"),4.0)</f>
        <v>4</v>
      </c>
      <c r="BJ70" s="239">
        <f>IFERROR(__xludf.DUMMYFUNCTION("COUNTA(FILTER(AT:AT,REGEXMATCH(AT:AT,AS70)))"),26.0)</f>
        <v>26</v>
      </c>
      <c r="BK70" s="341">
        <f>IFERROR(__xludf.DUMMYFUNCTION("COUNTA(FILTER(AT:AT,REGEXMATCH(AT:AT,AS70)))-AR70"),26.0)</f>
        <v>26</v>
      </c>
      <c r="BL70" s="276" t="str">
        <f>IFERROR(__xludf.DUMMYFUNCTION("IF(AS70=""oooooooooooo"",""-"",IF(REGEXMATCH(AT70,""xx""), ""Hemi."", ""Anhemi.""))"),"Hemi.")</f>
        <v>Hemi.</v>
      </c>
      <c r="BM70" s="282" t="str">
        <f>IFERROR(__xludf.DUMMYFUNCTION("IF(AS70=""oooooooooooo"",""-"",IF(REGEXMATCH(AT70,""xxx""), ""Cohem."", ""-""))"),"Cohem.")</f>
        <v>Cohem.</v>
      </c>
      <c r="BN70" s="282" t="str">
        <f>IFERROR(__xludf.DUMMYFUNCTION("IF(AS70=""oooooooooooo"",""-"",IF(REGEXMATCH(AT70,""xxxx""), ""Co-Co."", ""-""))"),"Co-Co.")</f>
        <v>Co-Co.</v>
      </c>
      <c r="BO70" s="342" t="str">
        <f>IFERROR(__xludf.DUMMYFUNCTION("IF(AS70=""oooooooooooo"",""-"",IF(REGEXMATCH(AT70,""xxxxx""), ""CCC."", ""-""))"),"-")</f>
        <v>-</v>
      </c>
      <c r="BP70" s="344" t="str">
        <f t="shared" si="27"/>
        <v>-</v>
      </c>
      <c r="BQ70" s="282" t="str">
        <f>IFERROR(__xludf.DUMMYFUNCTION("IF(REGEXMATCH(JOIN(""-"",EU70:FD70),""TRUE""),""✔"",""-"")"),"-")</f>
        <v>-</v>
      </c>
      <c r="BR70" s="225">
        <f t="shared" si="28"/>
        <v>0</v>
      </c>
      <c r="BS70" s="345" t="str">
        <f>IFERROR(__xludf.DUMMYFUNCTION("SUBSTITUTE(SUBSTITUTE(SUBSTITUTE(SUBSTITUTE(CONCATENATE(JOIN(""-"",GC70:GO70)),""--"",""-""),""--"",""-""),""--"",""-""),""--"",""-"")"),"1-2-3-4-#4-5-6-b7-7-8")</f>
        <v>1-2-3-4-#4-5-6-b7-7-8</v>
      </c>
      <c r="BT70" s="299" t="str">
        <f>IFERROR(__xludf.DUMMYFUNCTION("SUBSTITUTE(SUBSTITUTE(SUBSTITUTE(SUBSTITUTE(CONCATENATE(JOIN(""-"",GP70:HB70)),""--"",""-""),""--"",""-""),""--"",""-""),""--"",""-"")"),"S-R2-G3-M1-M2-P-D2-N2-N3-S")</f>
        <v>S-R2-G3-M1-M2-P-D2-N2-N3-S</v>
      </c>
      <c r="BU70" s="348" t="str">
        <f t="shared" si="29"/>
        <v>C-D-E-F-F#-G-A-Bb-B-C</v>
      </c>
      <c r="BV70" s="349" t="str">
        <f t="shared" si="30"/>
        <v>SrgdS</v>
      </c>
      <c r="BW70" s="350">
        <f t="shared" si="31"/>
        <v>0</v>
      </c>
      <c r="BX70" s="351">
        <f t="shared" si="32"/>
        <v>8</v>
      </c>
      <c r="BY70" s="392"/>
      <c r="BZ70" s="309" t="str">
        <f>IFERROR(__xludf.DUMMYFUNCTION("IF(REGEXMATCH(C70, ""S""), ""x"",""x"")"),"x")</f>
        <v>x</v>
      </c>
      <c r="CA70" s="245" t="str">
        <f>IFERROR(__xludf.DUMMYFUNCTION("IF(REGEXMATCH(C70, ""r""), ""o"",""x"")"),"x")</f>
        <v>x</v>
      </c>
      <c r="CB70" s="246" t="str">
        <f>IFERROR(__xludf.DUMMYFUNCTION("IF(REGEXMATCH(C70, ""R""), ""o"",""x"")"),"o")</f>
        <v>o</v>
      </c>
      <c r="CC70" s="246" t="str">
        <f>IFERROR(__xludf.DUMMYFUNCTION("IF(REGEXMATCH(C70, ""g""), ""o"",""x"")"),"x")</f>
        <v>x</v>
      </c>
      <c r="CD70" s="245" t="str">
        <f>IFERROR(__xludf.DUMMYFUNCTION("IF(REGEXMATCH(C70, ""G""), ""o"",""x"")"),"o")</f>
        <v>o</v>
      </c>
      <c r="CE70" s="245" t="str">
        <f>IFERROR(__xludf.DUMMYFUNCTION("IF(REGEXMATCH(C70, ""m""), ""o"",""x"")"),"o")</f>
        <v>o</v>
      </c>
      <c r="CF70" s="246" t="str">
        <f>IFERROR(__xludf.DUMMYFUNCTION("IF(REGEXMATCH(C70, ""M""), ""o"",""x"")"),"o")</f>
        <v>o</v>
      </c>
      <c r="CG70" s="245" t="str">
        <f>IFERROR(__xludf.DUMMYFUNCTION("IF(REGEXMATCH(C70, ""P""), ""o"",""x"")"),"o")</f>
        <v>o</v>
      </c>
      <c r="CH70" s="246" t="str">
        <f>IFERROR(__xludf.DUMMYFUNCTION("IF(REGEXMATCH(C70, ""d""), ""o"",""x"")"),"x")</f>
        <v>x</v>
      </c>
      <c r="CI70" s="245" t="str">
        <f>IFERROR(__xludf.DUMMYFUNCTION("IF(REGEXMATCH(C70, ""D""), ""o"",""x"")"),"o")</f>
        <v>o</v>
      </c>
      <c r="CJ70" s="245" t="str">
        <f>IFERROR(__xludf.DUMMYFUNCTION("IF(REGEXMATCH(C70, ""n""), ""o"",""x"")"),"o")</f>
        <v>o</v>
      </c>
      <c r="CK70" s="245" t="str">
        <f>IFERROR(__xludf.DUMMYFUNCTION("IF(REGEXMATCH(C70, ""N""), ""o"",""x"")"),"o")</f>
        <v>o</v>
      </c>
      <c r="CL70" s="356" t="str">
        <f>IFERROR(__xludf.DUMMYFUNCTION("IF(REGEXMATCH(C70, ""S""), ""x"",""x"")"),"x")</f>
        <v>x</v>
      </c>
      <c r="CM70" s="357" t="str">
        <f t="shared" si="33"/>
        <v>xxoxooooxooo</v>
      </c>
      <c r="CN70" s="358">
        <f t="shared" si="34"/>
        <v>0</v>
      </c>
      <c r="CO70" s="246" t="str">
        <f>IFERROR(__xludf.DUMMYFUNCTION("IF(REGEXMATCH($C70, ""S""), ""S"",""S"")"),"S")</f>
        <v>S</v>
      </c>
      <c r="CP70" s="246" t="str">
        <f>IFERROR(__xludf.DUMMYFUNCTION("IF(REGEXMATCH($C70, ""r""), """",""r"")"),"r")</f>
        <v>r</v>
      </c>
      <c r="CQ70" s="246" t="str">
        <f>IFERROR(__xludf.DUMMYFUNCTION("IF(REGEXMATCH($C70, ""R""), """",""R"")"),"")</f>
        <v/>
      </c>
      <c r="CR70" s="246" t="str">
        <f>IFERROR(__xludf.DUMMYFUNCTION("IF(REGEXMATCH($C70, ""g""), """",""g"")"),"g")</f>
        <v>g</v>
      </c>
      <c r="CS70" s="246" t="str">
        <f>IFERROR(__xludf.DUMMYFUNCTION("IF(REGEXMATCH($C70, ""G""), """",""G"")"),"")</f>
        <v/>
      </c>
      <c r="CT70" s="246" t="str">
        <f>IFERROR(__xludf.DUMMYFUNCTION("IF(REGEXMATCH($C70, ""m""), """",""m"")"),"")</f>
        <v/>
      </c>
      <c r="CU70" s="246" t="str">
        <f>IFERROR(__xludf.DUMMYFUNCTION("IF(REGEXMATCH($C70, ""M""), """",""M"")"),"")</f>
        <v/>
      </c>
      <c r="CV70" s="246" t="str">
        <f>IFERROR(__xludf.DUMMYFUNCTION("IF(REGEXMATCH($C70, ""P""), """",""P"")"),"")</f>
        <v/>
      </c>
      <c r="CW70" s="246" t="str">
        <f>IFERROR(__xludf.DUMMYFUNCTION("IF(REGEXMATCH($C70, ""d""), """",""d"")"),"d")</f>
        <v>d</v>
      </c>
      <c r="CX70" s="246" t="str">
        <f>IFERROR(__xludf.DUMMYFUNCTION("IF(REGEXMATCH($C70, ""D""), """",""D"")"),"")</f>
        <v/>
      </c>
      <c r="CY70" s="246" t="str">
        <f>IFERROR(__xludf.DUMMYFUNCTION("IF(REGEXMATCH($C70, ""n""), """",""n"")"),"")</f>
        <v/>
      </c>
      <c r="CZ70" s="246" t="str">
        <f>IFERROR(__xludf.DUMMYFUNCTION("IF(REGEXMATCH($C70, ""N""), """",""N"")"),"")</f>
        <v/>
      </c>
      <c r="DA70" s="246" t="str">
        <f>IFERROR(__xludf.DUMMYFUNCTION("IF(REGEXMATCH($C70, ""S""), ""S"",""S"")"),"S")</f>
        <v>S</v>
      </c>
      <c r="DB70" s="362" t="str">
        <f>IFERROR(__xludf.DUMMYFUNCTION("JOIN("""",CO70:DA70,"""","""")"),"SrgdS")</f>
        <v>SrgdS</v>
      </c>
      <c r="DC70" s="363"/>
      <c r="DD70" s="301" t="str">
        <f t="shared" si="35"/>
        <v>#REF!</v>
      </c>
      <c r="DE70" s="302" t="str">
        <f t="shared" si="36"/>
        <v>#REF!</v>
      </c>
      <c r="DF70" s="301" t="str">
        <f t="shared" ref="DF70:DG70" si="335">SUBSTITUTE(S70,"-","")</f>
        <v>SRGM</v>
      </c>
      <c r="DG70" s="301" t="str">
        <f t="shared" si="335"/>
        <v>PDNS</v>
      </c>
      <c r="DH70" s="302" t="str">
        <f t="shared" si="38"/>
        <v>Pilu</v>
      </c>
      <c r="DI70" s="301" t="str">
        <f t="shared" si="39"/>
        <v>Hemi.</v>
      </c>
      <c r="DJ70" s="364" t="str">
        <f t="shared" si="40"/>
        <v>Co-Co.</v>
      </c>
      <c r="DK70" s="306" t="str">
        <f t="shared" si="41"/>
        <v>-</v>
      </c>
      <c r="DL70" s="366" t="str">
        <f t="shared" si="42"/>
        <v>-</v>
      </c>
      <c r="DM70" s="308" t="str">
        <f t="shared" si="43"/>
        <v>✔</v>
      </c>
      <c r="DN70" s="306" t="str">
        <f t="shared" si="44"/>
        <v>-</v>
      </c>
      <c r="DO70" s="306" t="str">
        <f t="shared" si="45"/>
        <v>-</v>
      </c>
      <c r="DP70" s="367" t="str">
        <f t="shared" si="46"/>
        <v>-</v>
      </c>
      <c r="DQ70" s="310" t="str">
        <f t="shared" si="47"/>
        <v>-</v>
      </c>
      <c r="DR70" s="310" t="str">
        <f t="shared" si="48"/>
        <v>-</v>
      </c>
      <c r="DS70" s="310" t="str">
        <f t="shared" si="49"/>
        <v>✔</v>
      </c>
      <c r="DT70" s="310" t="str">
        <f t="shared" si="50"/>
        <v>-</v>
      </c>
      <c r="DU70" s="370" t="str">
        <f t="shared" si="51"/>
        <v>✔</v>
      </c>
      <c r="DV70" s="306" t="str">
        <f t="shared" si="52"/>
        <v>-</v>
      </c>
      <c r="DW70" s="306" t="str">
        <f t="shared" si="53"/>
        <v>-</v>
      </c>
      <c r="DX70" s="306" t="str">
        <f t="shared" si="54"/>
        <v>-</v>
      </c>
      <c r="DY70" s="306" t="str">
        <f t="shared" si="55"/>
        <v>-</v>
      </c>
      <c r="DZ70" s="306" t="str">
        <f t="shared" si="56"/>
        <v>-</v>
      </c>
      <c r="EA70" s="367" t="str">
        <f t="shared" si="57"/>
        <v>-</v>
      </c>
      <c r="EB70" s="310" t="str">
        <f>IFERROR(__xludf.DUMMYFUNCTION("IF(REGEXMATCH(AW70,AS70),""✔"",""-"")"),"✔")</f>
        <v>✔</v>
      </c>
      <c r="EC70" s="310" t="str">
        <f t="shared" si="58"/>
        <v>#REF!</v>
      </c>
      <c r="ED70" s="370" t="str">
        <f t="shared" si="59"/>
        <v>-</v>
      </c>
      <c r="EE70" s="340" t="str">
        <f t="shared" si="60"/>
        <v>S-R-G-mM-P-D-nN-S</v>
      </c>
      <c r="EF70" s="371" t="str">
        <f>IFERROR(__xludf.DUMMYFUNCTION("CONCATENATE(JOIN("""",HC70:HO70))"),"SrRgmMPdnS")</f>
        <v>SrRgmMPdnS</v>
      </c>
      <c r="EG70" s="372">
        <f t="shared" si="61"/>
        <v>1</v>
      </c>
      <c r="EH70" s="373" t="str">
        <f>IFERROR(__xludf.DUMMYFUNCTION("CONCATENATE(JOIN("""",JC70:JO70))"),"Ma, ")</f>
        <v>Ma, </v>
      </c>
      <c r="EI70" s="322">
        <f t="shared" si="62"/>
        <v>0</v>
      </c>
      <c r="EJ70" s="374" t="str">
        <f>IFERROR(__xludf.DUMMYFUNCTION("CONCATENATE(JOIN("""",KC70:KO70))"),"")</f>
        <v/>
      </c>
      <c r="EK70" s="325" t="str">
        <f t="shared" si="63"/>
        <v>S-R2-G3-M1-M2-P-D2-N2-N3-S</v>
      </c>
      <c r="EL70" s="326" t="str">
        <f t="shared" si="64"/>
        <v>1-2-3-4-#4-5-6-b7-7-8</v>
      </c>
      <c r="EM70" s="318" t="str">
        <f t="shared" si="65"/>
        <v>#REF!</v>
      </c>
      <c r="EN70" s="328" t="str">
        <f>IFERROR(__xludf.DUMMYFUNCTION("SUBSTITUTE(SUBSTITUTE(SUBSTITUTE(SUBSTITUTE(CONCATENATE(JOIN("" "",HP70:IB70)),""  "","" ""),""  "","" ""),""  "","" ""),""  "","" "")"),"o • o • o o o o • o o o o")</f>
        <v>o • o • o o o o • o o o o</v>
      </c>
      <c r="EO70" s="368" t="str">
        <f t="shared" si="66"/>
        <v>-</v>
      </c>
      <c r="EP70" s="339" t="str">
        <f t="shared" si="67"/>
        <v>-</v>
      </c>
      <c r="EQ70" s="339" t="str">
        <f t="shared" si="68"/>
        <v>Sa-Pa</v>
      </c>
      <c r="ER70" s="339" t="str">
        <f t="shared" si="69"/>
        <v>-</v>
      </c>
      <c r="ES70" s="340" t="str">
        <f t="shared" si="70"/>
        <v>-</v>
      </c>
      <c r="ET70" s="363"/>
      <c r="EU70" s="376" t="b">
        <f>IFERROR(__xludf.DUMMYFUNCTION("arrayformula(sum(--REGEXMATCH(""SRGMPDNS"",split(REGEXREPLACE(C70,""(.)"",""$1~""),""~""))))=len(C70)
"),FALSE)</f>
        <v>0</v>
      </c>
      <c r="EV70" s="290" t="b">
        <f>IFERROR(__xludf.DUMMYFUNCTION("arrayformula(sum(--REGEXMATCH(""SRGmPDNS"",split(REGEXREPLACE(C70,""(.)"",""$1~""),""~""))))=len(C70)"),FALSE)</f>
        <v>0</v>
      </c>
      <c r="EW70" s="290" t="b">
        <f>IFERROR(__xludf.DUMMYFUNCTION("arrayformula(sum(--REGEXMATCH(""SRGmPDnS"",split(REGEXREPLACE(C70,""(.)"",""$1~""),""~""))))=len(C70)"),FALSE)</f>
        <v>0</v>
      </c>
      <c r="EX70" s="290" t="b">
        <f>IFERROR(__xludf.DUMMYFUNCTION("arrayformula(sum(--REGEXMATCH(""SRgmPDnS"",split(REGEXREPLACE(C70,""(.)"",""$1~""),""~""))))=len(C70)"),FALSE)</f>
        <v>0</v>
      </c>
      <c r="EY70" s="290" t="b">
        <f>IFERROR(__xludf.DUMMYFUNCTION("arrayformula(sum(--REGEXMATCH(""SRgmPdnS"",split(REGEXREPLACE(C70,""(.)"",""$1~""),""~""))))=len(C70)"),FALSE)</f>
        <v>0</v>
      </c>
      <c r="EZ70" s="290" t="b">
        <f>IFERROR(__xludf.DUMMYFUNCTION("arrayformula(sum(--REGEXMATCH(""SrgmPdnS"",split(REGEXREPLACE(C70,""(.)"",""$1~""),""~""))))=len(C70)"),FALSE)</f>
        <v>0</v>
      </c>
      <c r="FA70" s="290" t="b">
        <f>IFERROR(__xludf.DUMMYFUNCTION("arrayformula(sum(--REGEXMATCH(""SrGmPdNS"",split(REGEXREPLACE(C70,""(.)"",""$1~""),""~""))))=len(C70)"),FALSE)</f>
        <v>0</v>
      </c>
      <c r="FB70" s="290" t="b">
        <f>IFERROR(__xludf.DUMMYFUNCTION("arrayformula(sum(--REGEXMATCH(""SrGMPDNS"",split(REGEXREPLACE(C70,""(.)"",""$1~""),""~""))))=len(C70)"),FALSE)</f>
        <v>0</v>
      </c>
      <c r="FC70" s="290" t="b">
        <f>IFERROR(__xludf.DUMMYFUNCTION("arrayformula(sum(--REGEXMATCH(""SrGMPdNS"",split(REGEXREPLACE(C70,""(.)"",""$1~""),""~""))))=len(C70)"),FALSE)</f>
        <v>0</v>
      </c>
      <c r="FD70" s="377" t="b">
        <f>IFERROR(__xludf.DUMMYFUNCTION("arrayformula(sum(--REGEXMATCH(""SrgMPdNS"",split(REGEXREPLACE(C70,""(.)"",""$1~""),""~""))))=len(C70)"),FALSE)</f>
        <v>0</v>
      </c>
      <c r="FE70" s="269" t="str">
        <f t="shared" si="71"/>
        <v>-</v>
      </c>
      <c r="FF70" s="269" t="str">
        <f t="shared" si="72"/>
        <v>xoxxxxoxxxx</v>
      </c>
      <c r="FG70" s="271" t="str">
        <f t="shared" si="73"/>
        <v>-</v>
      </c>
      <c r="FH70" s="269" t="str">
        <f t="shared" si="74"/>
        <v>xxxxoxxxxox</v>
      </c>
      <c r="FI70" s="271" t="str">
        <f t="shared" si="75"/>
        <v>xxxoxxxxoxo</v>
      </c>
      <c r="FJ70" s="271" t="str">
        <f t="shared" si="76"/>
        <v>xxoxxxxoxox</v>
      </c>
      <c r="FK70" s="271" t="str">
        <f t="shared" si="77"/>
        <v>xoxxxxoxoxx</v>
      </c>
      <c r="FL70" s="271" t="str">
        <f t="shared" si="78"/>
        <v>-</v>
      </c>
      <c r="FM70" s="271" t="str">
        <f t="shared" si="79"/>
        <v>xxxxoxoxxxx</v>
      </c>
      <c r="FN70" s="271" t="str">
        <f t="shared" si="80"/>
        <v>xxxoxoxxxxo</v>
      </c>
      <c r="FO70" s="274" t="str">
        <f t="shared" si="81"/>
        <v>xxoxoxxxxox</v>
      </c>
      <c r="FP70" s="234" t="str">
        <f t="shared" si="82"/>
        <v>|</v>
      </c>
      <c r="FQ70" s="236" t="str">
        <f t="shared" si="83"/>
        <v>-</v>
      </c>
      <c r="FR70" s="237" t="str">
        <f t="shared" si="84"/>
        <v>|</v>
      </c>
      <c r="FS70" s="236" t="str">
        <f t="shared" si="85"/>
        <v>-</v>
      </c>
      <c r="FT70" s="237" t="str">
        <f t="shared" si="86"/>
        <v>|</v>
      </c>
      <c r="FU70" s="236" t="str">
        <f t="shared" si="87"/>
        <v>|</v>
      </c>
      <c r="FV70" s="237" t="str">
        <f t="shared" si="88"/>
        <v>|</v>
      </c>
      <c r="FW70" s="236" t="str">
        <f t="shared" si="89"/>
        <v>|</v>
      </c>
      <c r="FX70" s="237" t="str">
        <f t="shared" si="90"/>
        <v>-</v>
      </c>
      <c r="FY70" s="236" t="str">
        <f t="shared" si="91"/>
        <v>|</v>
      </c>
      <c r="FZ70" s="237" t="str">
        <f t="shared" si="92"/>
        <v>|</v>
      </c>
      <c r="GA70" s="236" t="str">
        <f t="shared" si="93"/>
        <v>|</v>
      </c>
      <c r="GB70" s="238" t="str">
        <f t="shared" si="94"/>
        <v>|</v>
      </c>
      <c r="GC70" s="244" t="str">
        <f>IFERROR(__xludf.DUMMYFUNCTION("IF(REGEXMATCH(C70, ""S""), ""1"","""")"),"1")</f>
        <v>1</v>
      </c>
      <c r="GD70" s="245" t="str">
        <f>IFERROR(__xludf.DUMMYFUNCTION("IF(REGEXMATCH(C70, ""r""), ""b2"","""")"),"")</f>
        <v/>
      </c>
      <c r="GE70" s="246" t="str">
        <f>IFERROR(__xludf.DUMMYFUNCTION("IF(REGEXMATCH(C70, ""R""), ""2"","""")"),"2")</f>
        <v>2</v>
      </c>
      <c r="GF70" s="246" t="str">
        <f>IFERROR(__xludf.DUMMYFUNCTION("IF(REGEXMATCH(C70, ""g""), ""b3"","""")"),"")</f>
        <v/>
      </c>
      <c r="GG70" s="245" t="str">
        <f>IFERROR(__xludf.DUMMYFUNCTION("IF(REGEXMATCH(C70, ""G""), ""3"","""")"),"3")</f>
        <v>3</v>
      </c>
      <c r="GH70" s="245" t="str">
        <f>IFERROR(__xludf.DUMMYFUNCTION("IF(REGEXMATCH(C70, ""m""), ""4"","""")"),"4")</f>
        <v>4</v>
      </c>
      <c r="GI70" s="246" t="str">
        <f>IFERROR(__xludf.DUMMYFUNCTION("IF(REGEXMATCH(C70, ""M""), ""#4"","""")"),"#4")</f>
        <v>#4</v>
      </c>
      <c r="GJ70" s="245" t="str">
        <f>IFERROR(__xludf.DUMMYFUNCTION("IF(REGEXMATCH(C70, ""P""), ""5"","""")"),"5")</f>
        <v>5</v>
      </c>
      <c r="GK70" s="246" t="str">
        <f>IFERROR(__xludf.DUMMYFUNCTION("IF(REGEXMATCH(C70, ""d""), ""b6"","""")"),"")</f>
        <v/>
      </c>
      <c r="GL70" s="245" t="str">
        <f>IFERROR(__xludf.DUMMYFUNCTION("IF(REGEXMATCH(C70, ""D""), ""6"","""")"),"6")</f>
        <v>6</v>
      </c>
      <c r="GM70" s="245" t="str">
        <f>IFERROR(__xludf.DUMMYFUNCTION("IF(REGEXMATCH(C70, ""n""), ""b7"","""")"),"b7")</f>
        <v>b7</v>
      </c>
      <c r="GN70" s="246" t="str">
        <f>IFERROR(__xludf.DUMMYFUNCTION("IF(REGEXMATCH(C70, ""N""), ""7"","""")"),"7")</f>
        <v>7</v>
      </c>
      <c r="GO70" s="249" t="str">
        <f>IFERROR(__xludf.DUMMYFUNCTION("IF(REGEXMATCH(C70, ""S""), ""8"","""")"),"8")</f>
        <v>8</v>
      </c>
      <c r="GP70" s="244" t="str">
        <f>IFERROR(__xludf.DUMMYFUNCTION("IF(REGEXMATCH(C70, ""S""), ""S"","""")"),"S")</f>
        <v>S</v>
      </c>
      <c r="GQ70" s="294" t="str">
        <f>IFERROR(__xludf.DUMMYFUNCTION("IF(REGEXMATCH(C70, ""r""), ""R1"","""")"),"")</f>
        <v/>
      </c>
      <c r="GR70" s="295" t="str">
        <f>IFERROR(__xludf.DUMMYFUNCTION("IF(REGEXMATCH(C70, ""R""), ""R2"","""")"),"R2")</f>
        <v>R2</v>
      </c>
      <c r="GS70" s="295" t="str">
        <f>IFERROR(__xludf.DUMMYFUNCTION("IF(REGEXMATCH(C70, ""g""), ""G2"","""")"),"")</f>
        <v/>
      </c>
      <c r="GT70" s="294" t="str">
        <f>IFERROR(__xludf.DUMMYFUNCTION("IF(REGEXMATCH(C70, ""G""), ""G3"","""")"),"G3")</f>
        <v>G3</v>
      </c>
      <c r="GU70" s="294" t="str">
        <f>IFERROR(__xludf.DUMMYFUNCTION("IF(REGEXMATCH(C70, ""m""), ""M1"","""")"),"M1")</f>
        <v>M1</v>
      </c>
      <c r="GV70" s="295" t="str">
        <f>IFERROR(__xludf.DUMMYFUNCTION("IF(REGEXMATCH(C70, ""M""), ""M2"","""")"),"M2")</f>
        <v>M2</v>
      </c>
      <c r="GW70" s="294" t="str">
        <f>IFERROR(__xludf.DUMMYFUNCTION("IF(REGEXMATCH(C70, ""P""), ""P"","""")"),"P")</f>
        <v>P</v>
      </c>
      <c r="GX70" s="295" t="str">
        <f>IFERROR(__xludf.DUMMYFUNCTION("IF(REGEXMATCH(C70, ""d""), ""D1"","""")"),"")</f>
        <v/>
      </c>
      <c r="GY70" s="294" t="str">
        <f>IFERROR(__xludf.DUMMYFUNCTION("IF(REGEXMATCH(C70, ""D""), ""D2"","""")"),"D2")</f>
        <v>D2</v>
      </c>
      <c r="GZ70" s="294" t="str">
        <f>IFERROR(__xludf.DUMMYFUNCTION("IF(REGEXMATCH(C70, ""n""), ""N2"","""")"),"N2")</f>
        <v>N2</v>
      </c>
      <c r="HA70" s="295" t="str">
        <f>IFERROR(__xludf.DUMMYFUNCTION("IF(REGEXMATCH(C70, ""N""), ""N3"","""")"),"N3")</f>
        <v>N3</v>
      </c>
      <c r="HB70" s="249" t="str">
        <f>IFERROR(__xludf.DUMMYFUNCTION("IF(REGEXMATCH(C70, ""S""), ""S"","""")"),"S")</f>
        <v>S</v>
      </c>
      <c r="HC70" s="331" t="str">
        <f t="shared" si="95"/>
        <v>S</v>
      </c>
      <c r="HD70" s="332" t="str">
        <f t="shared" si="96"/>
        <v>r</v>
      </c>
      <c r="HE70" s="332" t="str">
        <f t="shared" si="97"/>
        <v>R</v>
      </c>
      <c r="HF70" s="332" t="str">
        <f t="shared" si="98"/>
        <v>g</v>
      </c>
      <c r="HG70" s="332" t="str">
        <f t="shared" si="99"/>
        <v/>
      </c>
      <c r="HH70" s="332" t="str">
        <f t="shared" si="100"/>
        <v>m</v>
      </c>
      <c r="HI70" s="332" t="str">
        <f t="shared" si="101"/>
        <v>M</v>
      </c>
      <c r="HJ70" s="332" t="str">
        <f t="shared" si="102"/>
        <v>P</v>
      </c>
      <c r="HK70" s="332" t="str">
        <f t="shared" si="103"/>
        <v>d</v>
      </c>
      <c r="HL70" s="332" t="str">
        <f t="shared" si="104"/>
        <v/>
      </c>
      <c r="HM70" s="332" t="str">
        <f t="shared" si="105"/>
        <v>n</v>
      </c>
      <c r="HN70" s="332" t="str">
        <f t="shared" si="106"/>
        <v/>
      </c>
      <c r="HO70" s="343" t="str">
        <f t="shared" si="107"/>
        <v>S</v>
      </c>
      <c r="HP70" s="331" t="str">
        <f t="shared" si="108"/>
        <v>o</v>
      </c>
      <c r="HQ70" s="332" t="str">
        <f t="shared" si="109"/>
        <v>•</v>
      </c>
      <c r="HR70" s="332" t="str">
        <f t="shared" si="110"/>
        <v>o</v>
      </c>
      <c r="HS70" s="332" t="str">
        <f t="shared" si="111"/>
        <v>•</v>
      </c>
      <c r="HT70" s="332" t="str">
        <f t="shared" si="112"/>
        <v>o</v>
      </c>
      <c r="HU70" s="332" t="str">
        <f t="shared" si="113"/>
        <v>o</v>
      </c>
      <c r="HV70" s="332" t="str">
        <f t="shared" si="114"/>
        <v>o</v>
      </c>
      <c r="HW70" s="332" t="str">
        <f t="shared" si="115"/>
        <v>o</v>
      </c>
      <c r="HX70" s="332" t="str">
        <f t="shared" si="116"/>
        <v>•</v>
      </c>
      <c r="HY70" s="332" t="str">
        <f t="shared" si="117"/>
        <v>o</v>
      </c>
      <c r="HZ70" s="332" t="str">
        <f t="shared" si="118"/>
        <v>o</v>
      </c>
      <c r="IA70" s="332" t="str">
        <f t="shared" si="119"/>
        <v>o</v>
      </c>
      <c r="IB70" s="338" t="str">
        <f t="shared" si="120"/>
        <v>o</v>
      </c>
      <c r="IC70" s="331" t="str">
        <f t="shared" si="121"/>
        <v>•</v>
      </c>
      <c r="ID70" s="332" t="str">
        <f t="shared" si="122"/>
        <v>o</v>
      </c>
      <c r="IE70" s="332" t="str">
        <f t="shared" si="123"/>
        <v>•</v>
      </c>
      <c r="IF70" s="332" t="str">
        <f t="shared" si="124"/>
        <v>o</v>
      </c>
      <c r="IG70" s="332" t="str">
        <f t="shared" si="125"/>
        <v>•</v>
      </c>
      <c r="IH70" s="332" t="str">
        <f t="shared" si="126"/>
        <v>•</v>
      </c>
      <c r="II70" s="332" t="str">
        <f t="shared" si="127"/>
        <v>•</v>
      </c>
      <c r="IJ70" s="332" t="str">
        <f t="shared" si="128"/>
        <v>•</v>
      </c>
      <c r="IK70" s="332" t="str">
        <f t="shared" si="129"/>
        <v>o</v>
      </c>
      <c r="IL70" s="332" t="str">
        <f t="shared" si="130"/>
        <v>•</v>
      </c>
      <c r="IM70" s="332" t="str">
        <f t="shared" si="131"/>
        <v>•</v>
      </c>
      <c r="IN70" s="332" t="str">
        <f t="shared" si="132"/>
        <v>•</v>
      </c>
      <c r="IO70" s="338" t="str">
        <f t="shared" si="133"/>
        <v>•</v>
      </c>
      <c r="IP70" s="346" t="b">
        <f t="shared" si="134"/>
        <v>0</v>
      </c>
      <c r="IQ70" s="347" t="b">
        <f t="shared" si="135"/>
        <v>0</v>
      </c>
      <c r="IR70" s="347" t="b">
        <f t="shared" si="136"/>
        <v>0</v>
      </c>
      <c r="IS70" s="347" t="b">
        <f t="shared" si="137"/>
        <v>0</v>
      </c>
      <c r="IT70" s="347" t="b">
        <f t="shared" si="138"/>
        <v>0</v>
      </c>
      <c r="IU70" s="347" t="b">
        <f t="shared" si="139"/>
        <v>0</v>
      </c>
      <c r="IV70" s="347" t="b">
        <f t="shared" si="140"/>
        <v>1</v>
      </c>
      <c r="IW70" s="347" t="b">
        <f t="shared" si="141"/>
        <v>0</v>
      </c>
      <c r="IX70" s="347" t="b">
        <f t="shared" si="142"/>
        <v>0</v>
      </c>
      <c r="IY70" s="347" t="b">
        <f t="shared" si="143"/>
        <v>0</v>
      </c>
      <c r="IZ70" s="347" t="b">
        <f t="shared" si="144"/>
        <v>0</v>
      </c>
      <c r="JA70" s="347" t="b">
        <f t="shared" si="145"/>
        <v>0</v>
      </c>
      <c r="JB70" s="353" t="b">
        <f t="shared" si="146"/>
        <v>0</v>
      </c>
      <c r="JC70" s="354" t="str">
        <f t="shared" si="147"/>
        <v/>
      </c>
      <c r="JD70" s="355" t="str">
        <f t="shared" si="148"/>
        <v/>
      </c>
      <c r="JE70" s="355" t="str">
        <f t="shared" si="149"/>
        <v/>
      </c>
      <c r="JF70" s="355" t="str">
        <f t="shared" si="150"/>
        <v/>
      </c>
      <c r="JG70" s="355" t="str">
        <f t="shared" si="151"/>
        <v/>
      </c>
      <c r="JH70" s="355" t="str">
        <f t="shared" si="152"/>
        <v/>
      </c>
      <c r="JI70" s="355" t="str">
        <f t="shared" si="153"/>
        <v>Ma, </v>
      </c>
      <c r="JJ70" s="355" t="str">
        <f t="shared" si="154"/>
        <v/>
      </c>
      <c r="JK70" s="355" t="str">
        <f t="shared" si="155"/>
        <v/>
      </c>
      <c r="JL70" s="355" t="str">
        <f t="shared" si="156"/>
        <v/>
      </c>
      <c r="JM70" s="355" t="str">
        <f t="shared" si="157"/>
        <v/>
      </c>
      <c r="JN70" s="355" t="str">
        <f t="shared" si="158"/>
        <v/>
      </c>
      <c r="JO70" s="359" t="str">
        <f t="shared" si="159"/>
        <v/>
      </c>
      <c r="JP70" s="346" t="b">
        <f t="shared" si="160"/>
        <v>0</v>
      </c>
      <c r="JQ70" s="347" t="b">
        <f t="shared" si="161"/>
        <v>0</v>
      </c>
      <c r="JR70" s="347" t="b">
        <f t="shared" si="162"/>
        <v>0</v>
      </c>
      <c r="JS70" s="347" t="b">
        <f t="shared" si="163"/>
        <v>0</v>
      </c>
      <c r="JT70" s="347" t="b">
        <f t="shared" si="164"/>
        <v>0</v>
      </c>
      <c r="JU70" s="347" t="b">
        <f t="shared" si="165"/>
        <v>0</v>
      </c>
      <c r="JV70" s="347" t="b">
        <f t="shared" si="166"/>
        <v>0</v>
      </c>
      <c r="JW70" s="347" t="b">
        <f t="shared" si="167"/>
        <v>0</v>
      </c>
      <c r="JX70" s="347" t="b">
        <f t="shared" si="168"/>
        <v>0</v>
      </c>
      <c r="JY70" s="347" t="b">
        <f t="shared" si="169"/>
        <v>0</v>
      </c>
      <c r="JZ70" s="347" t="b">
        <f t="shared" si="170"/>
        <v>0</v>
      </c>
      <c r="KA70" s="347" t="b">
        <f t="shared" si="171"/>
        <v>0</v>
      </c>
      <c r="KB70" s="365" t="b">
        <f t="shared" si="172"/>
        <v>0</v>
      </c>
      <c r="KC70" s="354" t="str">
        <f t="shared" si="173"/>
        <v/>
      </c>
      <c r="KD70" s="355" t="str">
        <f t="shared" si="174"/>
        <v/>
      </c>
      <c r="KE70" s="355" t="str">
        <f t="shared" si="175"/>
        <v/>
      </c>
      <c r="KF70" s="355" t="str">
        <f t="shared" si="176"/>
        <v/>
      </c>
      <c r="KG70" s="355" t="str">
        <f t="shared" si="177"/>
        <v/>
      </c>
      <c r="KH70" s="355" t="str">
        <f t="shared" si="178"/>
        <v/>
      </c>
      <c r="KI70" s="355" t="str">
        <f t="shared" si="179"/>
        <v/>
      </c>
      <c r="KJ70" s="355" t="str">
        <f t="shared" si="180"/>
        <v/>
      </c>
      <c r="KK70" s="355" t="str">
        <f t="shared" si="181"/>
        <v/>
      </c>
      <c r="KL70" s="355" t="str">
        <f t="shared" si="182"/>
        <v/>
      </c>
      <c r="KM70" s="355" t="str">
        <f t="shared" si="183"/>
        <v/>
      </c>
      <c r="KN70" s="355" t="str">
        <f t="shared" si="184"/>
        <v/>
      </c>
      <c r="KO70" s="359"/>
      <c r="KP70" s="378"/>
      <c r="KQ70" s="379" t="s">
        <v>1361</v>
      </c>
      <c r="KR70" s="380" t="s">
        <v>1362</v>
      </c>
      <c r="KS70" s="381" t="str">
        <f t="shared" si="336"/>
        <v>S-G-M-P-D-N-S</v>
      </c>
      <c r="KT70" s="382">
        <f t="shared" si="186"/>
        <v>6</v>
      </c>
      <c r="KU70" s="383">
        <f t="shared" si="187"/>
        <v>6</v>
      </c>
      <c r="KV70" s="381" t="str">
        <f t="shared" si="205"/>
        <v>S-n-D-P-Mm-G-R-S</v>
      </c>
      <c r="KW70" s="382">
        <f t="shared" si="189"/>
        <v>7</v>
      </c>
      <c r="KX70" s="384">
        <f t="shared" si="190"/>
        <v>8</v>
      </c>
      <c r="KY70" s="382">
        <f t="shared" ref="KY70:KZ70" si="337">KW70-KT70</f>
        <v>1</v>
      </c>
      <c r="KZ70" s="369">
        <f t="shared" si="337"/>
        <v>2</v>
      </c>
      <c r="LA70" s="385" t="str">
        <f t="shared" si="192"/>
        <v>-</v>
      </c>
      <c r="LB70" s="340" t="str">
        <f>IFERROR(__xludf.DUMMYFUNCTION("JOIN("""",ArrayFormula(MID(KS70,LEN(KS70)-SEQUENCE(1,LEN(KS70))+1,1)))"),"S-N-D-P-M-G-S")</f>
        <v>S-N-D-P-M-G-S</v>
      </c>
      <c r="LC70" s="373" t="str">
        <f>IFERROR(__xludf.DUMMYFUNCTION("JOIN("""",ArrayFormula(MID(KV70,LEN(KV70)-SEQUENCE(1,LEN(KV70))+1,1)))"),"S-R-G-mM-P-D-n-S")</f>
        <v>S-R-G-mM-P-D-n-S</v>
      </c>
      <c r="LD70" s="373" t="str">
        <f t="shared" si="193"/>
        <v>SGMPDNS</v>
      </c>
      <c r="LE70" s="339" t="str">
        <f t="shared" si="194"/>
        <v>SRGmMPDnS</v>
      </c>
      <c r="LF70" s="386" t="str">
        <f>IFERROR(__xludf.DUMMYFUNCTION("SUBSTITUTE(SUBSTITUTE(CONCATENATE(JOIN("""",LH70:LT70)),""1"",""""),""2"","""")"),"SRGmMPDnNS")</f>
        <v>SRGmMPDnNS</v>
      </c>
      <c r="LG70" s="369" t="str">
        <f t="shared" si="195"/>
        <v>✔</v>
      </c>
      <c r="LH70" s="387" t="str">
        <f>IFERROR(__xludf.DUMMYFUNCTION("IF(REGEXMATCH(LD70, ""S""), ""S"",IF(REGEXMATCH(LE70, ""S""), ""S"",""""))"),"S")</f>
        <v>S</v>
      </c>
      <c r="LI70" s="299" t="str">
        <f>IFERROR(__xludf.DUMMYFUNCTION("IF(REGEXMATCH(LD70, ""r""), ""r1"",IF(REGEXMATCH(LE70, ""r""), ""r2"",""""))"),"")</f>
        <v/>
      </c>
      <c r="LJ70" s="299" t="str">
        <f>IFERROR(__xludf.DUMMYFUNCTION("IF(REGEXMATCH(LD70, ""R""), ""R1"",IF(REGEXMATCH(LE70, ""R""), ""R2"",""""))"),"R2")</f>
        <v>R2</v>
      </c>
      <c r="LK70" s="299" t="str">
        <f>IFERROR(__xludf.DUMMYFUNCTION("IF(REGEXMATCH(LD70, ""g""), ""g1"",IF(REGEXMATCH(LE70, ""g""), ""g2"",""""))"),"")</f>
        <v/>
      </c>
      <c r="LL70" s="299" t="str">
        <f>IFERROR(__xludf.DUMMYFUNCTION("IF(REGEXMATCH(LD70, ""G""), ""G1"",IF(REGEXMATCH(LE70, ""G""), ""G2"",""""))"),"G1")</f>
        <v>G1</v>
      </c>
      <c r="LM70" s="299" t="str">
        <f>IFERROR(__xludf.DUMMYFUNCTION("IF(REGEXMATCH(LD70, ""m""), ""m1"",IF(REGEXMATCH(LE70, ""m""), ""m2"",""""))"),"m2")</f>
        <v>m2</v>
      </c>
      <c r="LN70" s="299" t="str">
        <f>IFERROR(__xludf.DUMMYFUNCTION("IF(REGEXMATCH(LD70, ""M""), ""M1"",IF(REGEXMATCH(LE70, ""M""), ""M2"",""""))"),"M1")</f>
        <v>M1</v>
      </c>
      <c r="LO70" s="299" t="str">
        <f>IFERROR(__xludf.DUMMYFUNCTION("IF(REGEXMATCH(LD70, ""P""), ""P1"",IF(REGEXMATCH(LE70, ""P""), ""P2"",""""))"),"P1")</f>
        <v>P1</v>
      </c>
      <c r="LP70" s="299" t="str">
        <f>IFERROR(__xludf.DUMMYFUNCTION("IF(REGEXMATCH(LD70, ""d""), ""d1"",IF(REGEXMATCH(LE70, ""d""), ""d2"",""""))"),"")</f>
        <v/>
      </c>
      <c r="LQ70" s="299" t="str">
        <f>IFERROR(__xludf.DUMMYFUNCTION("IF(REGEXMATCH(LD70, ""D""), ""D1"",IF(REGEXMATCH(LE70, ""D""), ""D2"",""""))"),"D1")</f>
        <v>D1</v>
      </c>
      <c r="LR70" s="299" t="str">
        <f>IFERROR(__xludf.DUMMYFUNCTION("IF(REGEXMATCH(LD70, ""n""), ""n1"",IF(REGEXMATCH(LE70, ""n""), ""n2"",""""))"),"n2")</f>
        <v>n2</v>
      </c>
      <c r="LS70" s="299" t="str">
        <f>IFERROR(__xludf.DUMMYFUNCTION("IF(REGEXMATCH(LD70, ""N""), ""N1"",IF(REGEXMATCH(LE70, ""N""), ""N2"",""""))"),"N1")</f>
        <v>N1</v>
      </c>
      <c r="LT70" s="388" t="str">
        <f>IFERROR(__xludf.DUMMYFUNCTION("IF(REGEXMATCH(LD70, ""S""), ""S"",IF(REGEXMATCH(LE70, ""S""), ""S"",""""))"),"S")</f>
        <v>S</v>
      </c>
      <c r="LU70" s="389">
        <f t="shared" si="196"/>
        <v>-2</v>
      </c>
      <c r="LV70" s="378"/>
      <c r="LW70" s="369"/>
      <c r="LX70" s="369"/>
    </row>
    <row r="71" ht="18.0" customHeight="1">
      <c r="A71" s="298" t="s">
        <v>475</v>
      </c>
      <c r="B71" s="222" t="s">
        <v>476</v>
      </c>
      <c r="C71" s="233" t="str">
        <f t="shared" si="7"/>
        <v>SrgMPDnS</v>
      </c>
      <c r="D71" s="234" t="str">
        <f>IFERROR(__xludf.DUMMYFUNCTION("IF(REGEXMATCH(C71, ""S""), ""S"","""")"),"S")</f>
        <v>S</v>
      </c>
      <c r="E71" s="236" t="str">
        <f>IFERROR(__xludf.DUMMYFUNCTION("IF(REGEXMATCH(C71, ""r""), ""r"","""")"),"r")</f>
        <v>r</v>
      </c>
      <c r="F71" s="237" t="str">
        <f>IFERROR(__xludf.DUMMYFUNCTION("IF(REGEXMATCH(C71, ""R""), ""R"","""")"),"")</f>
        <v/>
      </c>
      <c r="G71" s="237" t="str">
        <f>IFERROR(__xludf.DUMMYFUNCTION("IF(REGEXMATCH(C71, ""g""), ""g"","""")"),"g")</f>
        <v>g</v>
      </c>
      <c r="H71" s="236" t="str">
        <f>IFERROR(__xludf.DUMMYFUNCTION("IF(REGEXMATCH(C71, ""G""), ""G"","""")"),"")</f>
        <v/>
      </c>
      <c r="I71" s="236" t="str">
        <f>IFERROR(__xludf.DUMMYFUNCTION("IF(REGEXMATCH(C71, ""m""), ""m"","""")"),"")</f>
        <v/>
      </c>
      <c r="J71" s="237" t="str">
        <f>IFERROR(__xludf.DUMMYFUNCTION("IF(REGEXMATCH(C71, ""M""), ""M"","""")"),"M")</f>
        <v>M</v>
      </c>
      <c r="K71" s="236" t="str">
        <f>IFERROR(__xludf.DUMMYFUNCTION("IF(REGEXMATCH(C71, ""P""), ""P"","""")"),"P")</f>
        <v>P</v>
      </c>
      <c r="L71" s="237" t="str">
        <f>IFERROR(__xludf.DUMMYFUNCTION("IF(REGEXMATCH(C71, ""d""), ""d"","""")"),"")</f>
        <v/>
      </c>
      <c r="M71" s="236" t="str">
        <f>IFERROR(__xludf.DUMMYFUNCTION("IF(REGEXMATCH(C71, ""D""), ""D"","""")"),"D")</f>
        <v>D</v>
      </c>
      <c r="N71" s="236" t="str">
        <f>IFERROR(__xludf.DUMMYFUNCTION("IF(REGEXMATCH(C71, ""n""), ""n"","""")"),"n")</f>
        <v>n</v>
      </c>
      <c r="O71" s="237" t="str">
        <f>IFERROR(__xludf.DUMMYFUNCTION("IF(REGEXMATCH(C71, ""N""), ""N"","""")"),"")</f>
        <v/>
      </c>
      <c r="P71" s="238" t="str">
        <f>IFERROR(__xludf.DUMMYFUNCTION("IF(REGEXMATCH(C71, ""S""), ""S"","""")"),"S")</f>
        <v>S</v>
      </c>
      <c r="Q71" s="239" t="str">
        <f>IFERROR(__xludf.DUMMYFUNCTION("SUBSTITUTE(CONCATENATE(JOIN(""-"",D71:J71)),""-"","""")"),"SrgM")</f>
        <v>SrgM</v>
      </c>
      <c r="R71" s="229" t="str">
        <f>IFERROR(__xludf.DUMMYFUNCTION("SUBSTITUTE(CONCATENATE(JOIN(""-"",K71:P71)),""-"","""")"),"PDnS")</f>
        <v>PDnS</v>
      </c>
      <c r="S71" s="282" t="str">
        <f t="shared" si="8"/>
        <v>S-R-G-M</v>
      </c>
      <c r="T71" s="282" t="str">
        <f t="shared" si="9"/>
        <v>P-D-N-S</v>
      </c>
      <c r="U71" s="237" t="str">
        <f>IFERROR(__xludf.DUMMYFUNCTION("SUBSTITUTE(JOIN(""-"",S71,T71),""--"",""-"")"),"S-R-G-M-P-D-N-S")</f>
        <v>S-R-G-M-P-D-N-S</v>
      </c>
      <c r="V71" s="309" t="str">
        <f t="shared" si="10"/>
        <v>rgMDn</v>
      </c>
      <c r="W71" s="244" t="str">
        <f>IFERROR(__xludf.DUMMYFUNCTION("IF(REGEXMATCH(C71, ""S""), ""0"","""")"),"0")</f>
        <v>0</v>
      </c>
      <c r="X71" s="245" t="str">
        <f>IFERROR(__xludf.DUMMYFUNCTION("IF(REGEXMATCH(C71, ""r""), ""1"","""")"),"1")</f>
        <v>1</v>
      </c>
      <c r="Y71" s="246" t="str">
        <f>IFERROR(__xludf.DUMMYFUNCTION("IF(REGEXMATCH(C71, ""R""), ""2"","""")"),"")</f>
        <v/>
      </c>
      <c r="Z71" s="246" t="str">
        <f>IFERROR(__xludf.DUMMYFUNCTION("IF(REGEXMATCH(C71, ""g""), ""3"","""")"),"3")</f>
        <v>3</v>
      </c>
      <c r="AA71" s="245" t="str">
        <f>IFERROR(__xludf.DUMMYFUNCTION("IF(REGEXMATCH(C71, ""G""), ""4"","""")"),"")</f>
        <v/>
      </c>
      <c r="AB71" s="245" t="str">
        <f>IFERROR(__xludf.DUMMYFUNCTION("IF(REGEXMATCH(C71, ""m""), ""5"","""")"),"")</f>
        <v/>
      </c>
      <c r="AC71" s="246" t="str">
        <f>IFERROR(__xludf.DUMMYFUNCTION("IF(REGEXMATCH(C71, ""M""), ""6"","""")"),"6")</f>
        <v>6</v>
      </c>
      <c r="AD71" s="245" t="str">
        <f>IFERROR(__xludf.DUMMYFUNCTION("IF(REGEXMATCH(C71, ""P""), ""7"","""")"),"7")</f>
        <v>7</v>
      </c>
      <c r="AE71" s="246" t="str">
        <f>IFERROR(__xludf.DUMMYFUNCTION("IF(REGEXMATCH(C71, ""d""), ""8"","""")"),"")</f>
        <v/>
      </c>
      <c r="AF71" s="245" t="str">
        <f>IFERROR(__xludf.DUMMYFUNCTION("IF(REGEXMATCH(C71, ""D""), ""9"","""")"),"9")</f>
        <v>9</v>
      </c>
      <c r="AG71" s="245" t="str">
        <f>IFERROR(__xludf.DUMMYFUNCTION("IF(REGEXMATCH(C71, ""n""), ""10"","""")"),"10")</f>
        <v>10</v>
      </c>
      <c r="AH71" s="246" t="str">
        <f>IFERROR(__xludf.DUMMYFUNCTION("IF(REGEXMATCH(C71, ""N""), ""11"","""")"),"")</f>
        <v/>
      </c>
      <c r="AI71" s="249" t="str">
        <f>IFERROR(__xludf.DUMMYFUNCTION("IF(REGEXMATCH(C71, ""S""), ""0"","""")"),"0")</f>
        <v>0</v>
      </c>
      <c r="AJ71" s="313" t="str">
        <f t="shared" si="11"/>
        <v>T</v>
      </c>
      <c r="AK71" s="313" t="str">
        <f t="shared" si="12"/>
        <v>T</v>
      </c>
      <c r="AL71" s="313" t="str">
        <f t="shared" si="13"/>
        <v>-</v>
      </c>
      <c r="AM71" s="313" t="str">
        <f t="shared" si="14"/>
        <v>T</v>
      </c>
      <c r="AN71" s="313" t="str">
        <f t="shared" si="15"/>
        <v>-</v>
      </c>
      <c r="AO71" s="314" t="str">
        <f t="shared" si="16"/>
        <v>-</v>
      </c>
      <c r="AP71" s="316">
        <f t="shared" si="17"/>
        <v>3</v>
      </c>
      <c r="AQ71" s="319" t="str">
        <f t="shared" si="18"/>
        <v>#REF!</v>
      </c>
      <c r="AR71" s="320">
        <f t="shared" si="19"/>
        <v>0</v>
      </c>
      <c r="AS71" s="250" t="str">
        <f>IFERROR(__xludf.DUMMYFUNCTION("SUBSTITUTE(SUBSTITUTE(CONCATENATE(JOIN("""",FP71:GA71)),""|"",""x""),""-"",""o"")"),"xxoxooxxoxxo")</f>
        <v>xxoxooxxoxxo</v>
      </c>
      <c r="AT71" s="323" t="str">
        <f>IFERROR(__xludf.DUMMYFUNCTION("JOIN("""",AS71,AS71)"),"xxoxooxxoxxoxxoxooxxoxxo")</f>
        <v>xxoxooxxoxxoxxoxooxxoxxo</v>
      </c>
      <c r="AU71" s="256" t="str">
        <f>IFERROR(__xludf.DUMMYFUNCTION("JOIN("""",ArrayFormula(MID(AS71,LEN(AS71)-SEQUENCE(1,LEN(AS71))+1,1)))"),"oxxoxxooxoxx")</f>
        <v>oxxoxxooxoxx</v>
      </c>
      <c r="AV71" s="256" t="str">
        <f>IFERROR(__xludf.DUMMYFUNCTION("LEFT(CONCATENATE(""x"",JOIN("""",ArrayFormula(MID(AS71,LEN(AS71)-SEQUENCE(1,LEN(AS71))+1,1)))),12)"),"xoxxoxxooxox")</f>
        <v>xoxxoxxooxox</v>
      </c>
      <c r="AW71" s="327" t="str">
        <f>IFERROR(__xludf.DUMMYFUNCTION("JOIN("""",AU71,AU71)"),"oxxoxxooxoxxoxxoxxooxoxx")</f>
        <v>oxxoxxooxoxxoxxoxxooxoxx</v>
      </c>
      <c r="AX71" s="239" t="str">
        <f>IFERROR(__xludf.DUMMYFUNCTION("IF(REGEXMATCH(AW71,AS71),""✔"",""-"")"),"-")</f>
        <v>-</v>
      </c>
      <c r="AY71" s="330" t="str">
        <f t="shared" si="20"/>
        <v>-</v>
      </c>
      <c r="AZ71" s="260" t="str">
        <f t="shared" si="21"/>
        <v>#REF!</v>
      </c>
      <c r="BA71" s="333" t="str">
        <f t="shared" si="22"/>
        <v>xxoxoox</v>
      </c>
      <c r="BB71" s="334" t="str">
        <f t="shared" si="23"/>
        <v>xoxxox</v>
      </c>
      <c r="BC71" s="335" t="str">
        <f t="shared" si="236"/>
        <v>-</v>
      </c>
      <c r="BD71" s="336" t="str">
        <f t="shared" si="25"/>
        <v>Chandni Todi: 'xxoxoox' + 'xoxxox'</v>
      </c>
      <c r="BE71" s="337">
        <f>IFERROR(__xludf.DUMMYFUNCTION("COUNTUNIQUE(FILTER(AT:AT,REGEXMATCH(AT:AT,AS71)))-1"),0.0)</f>
        <v>0</v>
      </c>
      <c r="BF71" s="261" t="str">
        <f>IFERROR(__xludf.DUMMYFUNCTION("IF(BI71=0,""(n/a)"",IF(BJ71=2,""(PAIR)"",IF(REGEXMATCH(AT71,""xoxoxxoxoxox""),""Bilawal"",IF(REGEXMATCH(AT71,""xoxoxooxoxoo""),""Bhupali"",IF(REGEXMATCH(AT71,""xoxoxxoxxoxo""),""Charukeshi"",IF(REGEXMATCH(AT71,""xoxoooxxoxxo""),""Kameshwari"",IF(REGEXMATC"&amp;"H(AT71,""xoxoxooxoxox""),""Shankara"",IF(REGEXMATCH(AT71,""xxooxoxxxoox""),""Basant"",IF(REGEXMATCH(AT71,""xoxoxxxxoxox""),""Bihag"",IF(REGEXMATCH(AT71,""xoxxxxoxoxxx""),""Pilu"",IF(REGEXMATCH(AT71,""xoxxoxoxxoox""),""Kirwani"",IF(REGEXMATCH(AT71,""xoxxox"&amp;"oxoxxx""),""Mk.Malhar"",IF(REGEXMATCH(AT71,""xxooxxoxxoox""),""Bhairav"",IF(REGEXMATCH(AT71,""xxoxooxxxoox""),""Todi"",IF(REGEXMATCH(AT71,""xxooxoxooxox""),""Marwa"",IF(REGEXMATCH(AT71,""xxoooxoxxooo""),""Gunkali"",IF(REGEXMATCH(AT71,""xoxoxxoxxoox""),""N"&amp;"at Bhairav"",IF(REGEXMATCH(AT71,""xoxxoooxoxoo""),""Shivranjani"",IF(REGEXMATCH(AT71,""xooxxxoxooxo""),""Jog"",IF(REGEXMATCH(AT71,""xxooxoxoxoox""),""Hemshri"",IF(REGEXMATCH(AT71,""xoooxooxoxxo""),""Kalavati"",IF(REGEXMATCH(AT71,""xxoxoxxoxoox""),""Kedar"&amp;""",IF(REGEXMATCH(AT71,""xoxxxxoxooxx""),""Gara"",IF(REGEXMATCH(AT71,""xooxoxooxoox""),""Chandrakauns"",IF(REGEXMATCH(AT71,""xoxxxxoxxxox""),""Mand"",IF(REGEXMATCH(AT71,""xoxxxxoxoxox""),""Hanskinkini"",IF(REGEXMATCH(AT71,""xxooxxoxooxo""),""Lilavati"",IF("&amp;"REGEXMATCH(AT71,""xooxoxoooxox""),""Rajeshwari"",IF(REGEXMATCH(AT71,""xoooxxoxoxxx""),""Khokar"",IF(REGEXMATCH(AT71,""xxooxoxxxxox""),""Maligoura"",""-""))))))))))))))))))))))))))))))"),"(n/a)")</f>
        <v>(n/a)</v>
      </c>
      <c r="BG71" s="239" t="str">
        <f t="shared" si="26"/>
        <v>#REF!</v>
      </c>
      <c r="BH71" s="239">
        <f>IFERROR(__xludf.DUMMYFUNCTION("COUNTUNIQUE(FE71:FO71)-1"),6.0)</f>
        <v>6</v>
      </c>
      <c r="BI71" s="239">
        <f>IFERROR(__xludf.DUMMYFUNCTION("COUNTUNIQUE(FILTER(AT:AT,REGEXMATCH(AT:AT,AS71)))-1"),0.0)</f>
        <v>0</v>
      </c>
      <c r="BJ71" s="239">
        <f>IFERROR(__xludf.DUMMYFUNCTION("COUNTA(FILTER(AT:AT,REGEXMATCH(AT:AT,AS71)))"),1.0)</f>
        <v>1</v>
      </c>
      <c r="BK71" s="341">
        <f>IFERROR(__xludf.DUMMYFUNCTION("COUNTA(FILTER(AT:AT,REGEXMATCH(AT:AT,AS71)))-AR71"),1.0)</f>
        <v>1</v>
      </c>
      <c r="BL71" s="276" t="str">
        <f>IFERROR(__xludf.DUMMYFUNCTION("IF(AS71=""oooooooooooo"",""-"",IF(REGEXMATCH(AT71,""xx""), ""Hemi."", ""Anhemi.""))"),"Hemi.")</f>
        <v>Hemi.</v>
      </c>
      <c r="BM71" s="282" t="str">
        <f>IFERROR(__xludf.DUMMYFUNCTION("IF(AS71=""oooooooooooo"",""-"",IF(REGEXMATCH(AT71,""xxx""), ""Cohem."", ""-""))"),"-")</f>
        <v>-</v>
      </c>
      <c r="BN71" s="282" t="str">
        <f>IFERROR(__xludf.DUMMYFUNCTION("IF(AS71=""oooooooooooo"",""-"",IF(REGEXMATCH(AT71,""xxxx""), ""Co-Co."", ""-""))"),"-")</f>
        <v>-</v>
      </c>
      <c r="BO71" s="342" t="str">
        <f>IFERROR(__xludf.DUMMYFUNCTION("IF(AS71=""oooooooooooo"",""-"",IF(REGEXMATCH(AT71,""xxxxx""), ""CCC."", ""-""))"),"-")</f>
        <v>-</v>
      </c>
      <c r="BP71" s="344" t="str">
        <f t="shared" si="27"/>
        <v>-</v>
      </c>
      <c r="BQ71" s="282" t="str">
        <f>IFERROR(__xludf.DUMMYFUNCTION("IF(REGEXMATCH(JOIN(""-"",EU71:FD71),""TRUE""),""✔"",""-"")"),"-")</f>
        <v>-</v>
      </c>
      <c r="BR71" s="225">
        <f t="shared" si="28"/>
        <v>0</v>
      </c>
      <c r="BS71" s="345" t="str">
        <f>IFERROR(__xludf.DUMMYFUNCTION("SUBSTITUTE(SUBSTITUTE(SUBSTITUTE(SUBSTITUTE(CONCATENATE(JOIN(""-"",GC71:GO71)),""--"",""-""),""--"",""-""),""--"",""-""),""--"",""-"")"),"1-b2-b3-#4-5-6-b7-8")</f>
        <v>1-b2-b3-#4-5-6-b7-8</v>
      </c>
      <c r="BT71" s="299" t="str">
        <f>IFERROR(__xludf.DUMMYFUNCTION("SUBSTITUTE(SUBSTITUTE(SUBSTITUTE(SUBSTITUTE(CONCATENATE(JOIN(""-"",GP71:HB71)),""--"",""-""),""--"",""-""),""--"",""-""),""--"",""-"")"),"S-R1-G2-M2-P-D2-N2-S")</f>
        <v>S-R1-G2-M2-P-D2-N2-S</v>
      </c>
      <c r="BU71" s="348" t="str">
        <f t="shared" si="29"/>
        <v>C-Db-Eb-F#-G-A-Bb-C</v>
      </c>
      <c r="BV71" s="349" t="str">
        <f t="shared" si="30"/>
        <v>SRGmdNS</v>
      </c>
      <c r="BW71" s="350">
        <f t="shared" si="31"/>
        <v>0</v>
      </c>
      <c r="BX71" s="351">
        <f t="shared" si="32"/>
        <v>1</v>
      </c>
      <c r="BY71" s="352" t="s">
        <v>275</v>
      </c>
      <c r="BZ71" s="309" t="str">
        <f>IFERROR(__xludf.DUMMYFUNCTION("IF(REGEXMATCH(C71, ""S""), ""x"",""x"")"),"x")</f>
        <v>x</v>
      </c>
      <c r="CA71" s="245" t="str">
        <f>IFERROR(__xludf.DUMMYFUNCTION("IF(REGEXMATCH(C71, ""r""), ""o"",""x"")"),"o")</f>
        <v>o</v>
      </c>
      <c r="CB71" s="246" t="str">
        <f>IFERROR(__xludf.DUMMYFUNCTION("IF(REGEXMATCH(C71, ""R""), ""o"",""x"")"),"x")</f>
        <v>x</v>
      </c>
      <c r="CC71" s="246" t="str">
        <f>IFERROR(__xludf.DUMMYFUNCTION("IF(REGEXMATCH(C71, ""g""), ""o"",""x"")"),"o")</f>
        <v>o</v>
      </c>
      <c r="CD71" s="245" t="str">
        <f>IFERROR(__xludf.DUMMYFUNCTION("IF(REGEXMATCH(C71, ""G""), ""o"",""x"")"),"x")</f>
        <v>x</v>
      </c>
      <c r="CE71" s="245" t="str">
        <f>IFERROR(__xludf.DUMMYFUNCTION("IF(REGEXMATCH(C71, ""m""), ""o"",""x"")"),"x")</f>
        <v>x</v>
      </c>
      <c r="CF71" s="246" t="str">
        <f>IFERROR(__xludf.DUMMYFUNCTION("IF(REGEXMATCH(C71, ""M""), ""o"",""x"")"),"o")</f>
        <v>o</v>
      </c>
      <c r="CG71" s="245" t="str">
        <f>IFERROR(__xludf.DUMMYFUNCTION("IF(REGEXMATCH(C71, ""P""), ""o"",""x"")"),"o")</f>
        <v>o</v>
      </c>
      <c r="CH71" s="246" t="str">
        <f>IFERROR(__xludf.DUMMYFUNCTION("IF(REGEXMATCH(C71, ""d""), ""o"",""x"")"),"x")</f>
        <v>x</v>
      </c>
      <c r="CI71" s="245" t="str">
        <f>IFERROR(__xludf.DUMMYFUNCTION("IF(REGEXMATCH(C71, ""D""), ""o"",""x"")"),"o")</f>
        <v>o</v>
      </c>
      <c r="CJ71" s="245" t="str">
        <f>IFERROR(__xludf.DUMMYFUNCTION("IF(REGEXMATCH(C71, ""n""), ""o"",""x"")"),"o")</f>
        <v>o</v>
      </c>
      <c r="CK71" s="245" t="str">
        <f>IFERROR(__xludf.DUMMYFUNCTION("IF(REGEXMATCH(C71, ""N""), ""o"",""x"")"),"x")</f>
        <v>x</v>
      </c>
      <c r="CL71" s="356" t="str">
        <f>IFERROR(__xludf.DUMMYFUNCTION("IF(REGEXMATCH(C71, ""S""), ""x"",""x"")"),"x")</f>
        <v>x</v>
      </c>
      <c r="CM71" s="357" t="str">
        <f t="shared" si="33"/>
        <v>xoxoxxooxoox</v>
      </c>
      <c r="CN71" s="358">
        <f t="shared" si="34"/>
        <v>0</v>
      </c>
      <c r="CO71" s="246" t="str">
        <f>IFERROR(__xludf.DUMMYFUNCTION("IF(REGEXMATCH($C71, ""S""), ""S"",""S"")"),"S")</f>
        <v>S</v>
      </c>
      <c r="CP71" s="246" t="str">
        <f>IFERROR(__xludf.DUMMYFUNCTION("IF(REGEXMATCH($C71, ""r""), """",""r"")"),"")</f>
        <v/>
      </c>
      <c r="CQ71" s="246" t="str">
        <f>IFERROR(__xludf.DUMMYFUNCTION("IF(REGEXMATCH($C71, ""R""), """",""R"")"),"R")</f>
        <v>R</v>
      </c>
      <c r="CR71" s="246" t="str">
        <f>IFERROR(__xludf.DUMMYFUNCTION("IF(REGEXMATCH($C71, ""g""), """",""g"")"),"")</f>
        <v/>
      </c>
      <c r="CS71" s="246" t="str">
        <f>IFERROR(__xludf.DUMMYFUNCTION("IF(REGEXMATCH($C71, ""G""), """",""G"")"),"G")</f>
        <v>G</v>
      </c>
      <c r="CT71" s="246" t="str">
        <f>IFERROR(__xludf.DUMMYFUNCTION("IF(REGEXMATCH($C71, ""m""), """",""m"")"),"m")</f>
        <v>m</v>
      </c>
      <c r="CU71" s="246" t="str">
        <f>IFERROR(__xludf.DUMMYFUNCTION("IF(REGEXMATCH($C71, ""M""), """",""M"")"),"")</f>
        <v/>
      </c>
      <c r="CV71" s="246" t="str">
        <f>IFERROR(__xludf.DUMMYFUNCTION("IF(REGEXMATCH($C71, ""P""), """",""P"")"),"")</f>
        <v/>
      </c>
      <c r="CW71" s="246" t="str">
        <f>IFERROR(__xludf.DUMMYFUNCTION("IF(REGEXMATCH($C71, ""d""), """",""d"")"),"d")</f>
        <v>d</v>
      </c>
      <c r="CX71" s="246" t="str">
        <f>IFERROR(__xludf.DUMMYFUNCTION("IF(REGEXMATCH($C71, ""D""), """",""D"")"),"")</f>
        <v/>
      </c>
      <c r="CY71" s="246" t="str">
        <f>IFERROR(__xludf.DUMMYFUNCTION("IF(REGEXMATCH($C71, ""n""), """",""n"")"),"")</f>
        <v/>
      </c>
      <c r="CZ71" s="246" t="str">
        <f>IFERROR(__xludf.DUMMYFUNCTION("IF(REGEXMATCH($C71, ""N""), """",""N"")"),"N")</f>
        <v>N</v>
      </c>
      <c r="DA71" s="246" t="str">
        <f>IFERROR(__xludf.DUMMYFUNCTION("IF(REGEXMATCH($C71, ""S""), ""S"",""S"")"),"S")</f>
        <v>S</v>
      </c>
      <c r="DB71" s="362" t="str">
        <f>IFERROR(__xludf.DUMMYFUNCTION("JOIN("""",CO71:DA71,"""","""")"),"SRGmdNS")</f>
        <v>SRGmdNS</v>
      </c>
      <c r="DC71" s="363"/>
      <c r="DD71" s="301" t="str">
        <f t="shared" si="35"/>
        <v>#REF!</v>
      </c>
      <c r="DE71" s="302" t="str">
        <f t="shared" si="36"/>
        <v>#REF!</v>
      </c>
      <c r="DF71" s="301" t="str">
        <f t="shared" ref="DF71:DG71" si="338">SUBSTITUTE(S71,"-","")</f>
        <v>SRGM</v>
      </c>
      <c r="DG71" s="301" t="str">
        <f t="shared" si="338"/>
        <v>PDNS</v>
      </c>
      <c r="DH71" s="302" t="str">
        <f t="shared" si="38"/>
        <v>(n/a)</v>
      </c>
      <c r="DI71" s="301" t="str">
        <f t="shared" si="39"/>
        <v>Hemi.</v>
      </c>
      <c r="DJ71" s="364" t="str">
        <f t="shared" si="40"/>
        <v>-</v>
      </c>
      <c r="DK71" s="306" t="str">
        <f t="shared" si="41"/>
        <v>-</v>
      </c>
      <c r="DL71" s="366" t="str">
        <f t="shared" si="42"/>
        <v>-</v>
      </c>
      <c r="DM71" s="308" t="str">
        <f t="shared" si="43"/>
        <v>✔</v>
      </c>
      <c r="DN71" s="306" t="str">
        <f t="shared" si="44"/>
        <v>-</v>
      </c>
      <c r="DO71" s="306" t="str">
        <f t="shared" si="45"/>
        <v>-</v>
      </c>
      <c r="DP71" s="367" t="str">
        <f t="shared" si="46"/>
        <v>✔</v>
      </c>
      <c r="DQ71" s="310" t="str">
        <f t="shared" si="47"/>
        <v>-</v>
      </c>
      <c r="DR71" s="310" t="str">
        <f t="shared" si="48"/>
        <v>-</v>
      </c>
      <c r="DS71" s="310" t="str">
        <f t="shared" si="49"/>
        <v>-</v>
      </c>
      <c r="DT71" s="310" t="str">
        <f t="shared" si="50"/>
        <v>-</v>
      </c>
      <c r="DU71" s="370" t="str">
        <f t="shared" si="51"/>
        <v>-</v>
      </c>
      <c r="DV71" s="306" t="str">
        <f t="shared" si="52"/>
        <v>-</v>
      </c>
      <c r="DW71" s="306" t="str">
        <f t="shared" si="53"/>
        <v>-</v>
      </c>
      <c r="DX71" s="306" t="str">
        <f t="shared" si="54"/>
        <v>-</v>
      </c>
      <c r="DY71" s="306" t="str">
        <f t="shared" si="55"/>
        <v>-</v>
      </c>
      <c r="DZ71" s="306" t="str">
        <f t="shared" si="56"/>
        <v>-</v>
      </c>
      <c r="EA71" s="367" t="str">
        <f t="shared" si="57"/>
        <v>-</v>
      </c>
      <c r="EB71" s="310" t="str">
        <f>IFERROR(__xludf.DUMMYFUNCTION("IF(REGEXMATCH(AW71,AS71),""✔"",""-"")"),"-")</f>
        <v>-</v>
      </c>
      <c r="EC71" s="310" t="str">
        <f t="shared" si="58"/>
        <v>#REF!</v>
      </c>
      <c r="ED71" s="370" t="str">
        <f t="shared" si="59"/>
        <v>-</v>
      </c>
      <c r="EE71" s="340" t="str">
        <f t="shared" si="60"/>
        <v>S-r-g-M-P-D-n-S</v>
      </c>
      <c r="EF71" s="371" t="str">
        <f>IFERROR(__xludf.DUMMYFUNCTION("CONCATENATE(JOIN("""",HC71:HO71))"),"SRgmMDNS")</f>
        <v>SRgmMDNS</v>
      </c>
      <c r="EG71" s="372">
        <f t="shared" si="61"/>
        <v>4</v>
      </c>
      <c r="EH71" s="373" t="str">
        <f>IFERROR(__xludf.DUMMYFUNCTION("CONCATENATE(JOIN("""",JC71:JO71))"),"re, Pa, Dha, ni, ")</f>
        <v>re, Pa, Dha, ni, </v>
      </c>
      <c r="EI71" s="322">
        <f t="shared" si="62"/>
        <v>1</v>
      </c>
      <c r="EJ71" s="374" t="str">
        <f>IFERROR(__xludf.DUMMYFUNCTION("CONCATENATE(JOIN("""",KC71:KO71))"),"Dha, ")</f>
        <v>Dha, </v>
      </c>
      <c r="EK71" s="325" t="str">
        <f t="shared" si="63"/>
        <v>S-R1-G2-M2-P-D2-N2-S</v>
      </c>
      <c r="EL71" s="326" t="str">
        <f t="shared" si="64"/>
        <v>1-b2-b3-#4-5-6-b7-8</v>
      </c>
      <c r="EM71" s="318" t="str">
        <f t="shared" si="65"/>
        <v>#REF!</v>
      </c>
      <c r="EN71" s="328" t="str">
        <f>IFERROR(__xludf.DUMMYFUNCTION("SUBSTITUTE(SUBSTITUTE(SUBSTITUTE(SUBSTITUTE(CONCATENATE(JOIN("" "",HP71:IB71)),""  "","" ""),""  "","" ""),""  "","" ""),""  "","" "")"),"o o • o • • o o • o o • o")</f>
        <v>o o • o • • o o • o o • o</v>
      </c>
      <c r="EO71" s="368" t="str">
        <f t="shared" si="66"/>
        <v>Sa-Pa</v>
      </c>
      <c r="EP71" s="339" t="str">
        <f t="shared" si="67"/>
        <v>Sa-Pa</v>
      </c>
      <c r="EQ71" s="339" t="str">
        <f t="shared" si="68"/>
        <v>Sa-Pa</v>
      </c>
      <c r="ER71" s="339" t="str">
        <f t="shared" si="69"/>
        <v>-</v>
      </c>
      <c r="ES71" s="340" t="str">
        <f t="shared" si="70"/>
        <v>-</v>
      </c>
      <c r="ET71" s="363"/>
      <c r="EU71" s="376" t="b">
        <f>IFERROR(__xludf.DUMMYFUNCTION("arrayformula(sum(--REGEXMATCH(""SRGMPDNS"",split(REGEXREPLACE(C71,""(.)"",""$1~""),""~""))))=len(C71)
"),FALSE)</f>
        <v>0</v>
      </c>
      <c r="EV71" s="290" t="b">
        <f>IFERROR(__xludf.DUMMYFUNCTION("arrayformula(sum(--REGEXMATCH(""SRGmPDNS"",split(REGEXREPLACE(C71,""(.)"",""$1~""),""~""))))=len(C71)"),FALSE)</f>
        <v>0</v>
      </c>
      <c r="EW71" s="290" t="b">
        <f>IFERROR(__xludf.DUMMYFUNCTION("arrayformula(sum(--REGEXMATCH(""SRGmPDnS"",split(REGEXREPLACE(C71,""(.)"",""$1~""),""~""))))=len(C71)"),FALSE)</f>
        <v>0</v>
      </c>
      <c r="EX71" s="290" t="b">
        <f>IFERROR(__xludf.DUMMYFUNCTION("arrayformula(sum(--REGEXMATCH(""SRgmPDnS"",split(REGEXREPLACE(C71,""(.)"",""$1~""),""~""))))=len(C71)"),FALSE)</f>
        <v>0</v>
      </c>
      <c r="EY71" s="290" t="b">
        <f>IFERROR(__xludf.DUMMYFUNCTION("arrayformula(sum(--REGEXMATCH(""SRgmPdnS"",split(REGEXREPLACE(C71,""(.)"",""$1~""),""~""))))=len(C71)"),FALSE)</f>
        <v>0</v>
      </c>
      <c r="EZ71" s="290" t="b">
        <f>IFERROR(__xludf.DUMMYFUNCTION("arrayformula(sum(--REGEXMATCH(""SrgmPdnS"",split(REGEXREPLACE(C71,""(.)"",""$1~""),""~""))))=len(C71)"),FALSE)</f>
        <v>0</v>
      </c>
      <c r="FA71" s="290" t="b">
        <f>IFERROR(__xludf.DUMMYFUNCTION("arrayformula(sum(--REGEXMATCH(""SrGmPdNS"",split(REGEXREPLACE(C71,""(.)"",""$1~""),""~""))))=len(C71)"),FALSE)</f>
        <v>0</v>
      </c>
      <c r="FB71" s="290" t="b">
        <f>IFERROR(__xludf.DUMMYFUNCTION("arrayformula(sum(--REGEXMATCH(""SrGMPDNS"",split(REGEXREPLACE(C71,""(.)"",""$1~""),""~""))))=len(C71)"),FALSE)</f>
        <v>0</v>
      </c>
      <c r="FC71" s="290" t="b">
        <f>IFERROR(__xludf.DUMMYFUNCTION("arrayformula(sum(--REGEXMATCH(""SrGMPdNS"",split(REGEXREPLACE(C71,""(.)"",""$1~""),""~""))))=len(C71)"),FALSE)</f>
        <v>0</v>
      </c>
      <c r="FD71" s="377" t="b">
        <f>IFERROR(__xludf.DUMMYFUNCTION("arrayformula(sum(--REGEXMATCH(""SrgMPdNS"",split(REGEXREPLACE(C71,""(.)"",""$1~""),""~""))))=len(C71)"),FALSE)</f>
        <v>0</v>
      </c>
      <c r="FE71" s="269" t="str">
        <f t="shared" si="71"/>
        <v>xoxooxxoxxo</v>
      </c>
      <c r="FF71" s="269" t="str">
        <f t="shared" si="72"/>
        <v>-</v>
      </c>
      <c r="FG71" s="271" t="str">
        <f t="shared" si="73"/>
        <v>xooxxoxxoxx</v>
      </c>
      <c r="FH71" s="269" t="str">
        <f t="shared" si="74"/>
        <v>-</v>
      </c>
      <c r="FI71" s="271" t="str">
        <f t="shared" si="75"/>
        <v>-</v>
      </c>
      <c r="FJ71" s="271" t="str">
        <f t="shared" si="76"/>
        <v>xxoxxoxxoxo</v>
      </c>
      <c r="FK71" s="271" t="str">
        <f t="shared" si="77"/>
        <v>xoxxoxxoxoo</v>
      </c>
      <c r="FL71" s="271" t="str">
        <f t="shared" si="78"/>
        <v>-</v>
      </c>
      <c r="FM71" s="271" t="str">
        <f t="shared" si="79"/>
        <v>xxoxxoxooxx</v>
      </c>
      <c r="FN71" s="271" t="str">
        <f t="shared" si="80"/>
        <v>xoxxoxooxxo</v>
      </c>
      <c r="FO71" s="274" t="str">
        <f t="shared" si="81"/>
        <v>-</v>
      </c>
      <c r="FP71" s="234" t="str">
        <f t="shared" si="82"/>
        <v>|</v>
      </c>
      <c r="FQ71" s="236" t="str">
        <f t="shared" si="83"/>
        <v>|</v>
      </c>
      <c r="FR71" s="237" t="str">
        <f t="shared" si="84"/>
        <v>-</v>
      </c>
      <c r="FS71" s="236" t="str">
        <f t="shared" si="85"/>
        <v>|</v>
      </c>
      <c r="FT71" s="237" t="str">
        <f t="shared" si="86"/>
        <v>-</v>
      </c>
      <c r="FU71" s="236" t="str">
        <f t="shared" si="87"/>
        <v>-</v>
      </c>
      <c r="FV71" s="237" t="str">
        <f t="shared" si="88"/>
        <v>|</v>
      </c>
      <c r="FW71" s="236" t="str">
        <f t="shared" si="89"/>
        <v>|</v>
      </c>
      <c r="FX71" s="237" t="str">
        <f t="shared" si="90"/>
        <v>-</v>
      </c>
      <c r="FY71" s="236" t="str">
        <f t="shared" si="91"/>
        <v>|</v>
      </c>
      <c r="FZ71" s="237" t="str">
        <f t="shared" si="92"/>
        <v>|</v>
      </c>
      <c r="GA71" s="236" t="str">
        <f t="shared" si="93"/>
        <v>-</v>
      </c>
      <c r="GB71" s="238" t="str">
        <f t="shared" si="94"/>
        <v>|</v>
      </c>
      <c r="GC71" s="244" t="str">
        <f>IFERROR(__xludf.DUMMYFUNCTION("IF(REGEXMATCH(C71, ""S""), ""1"","""")"),"1")</f>
        <v>1</v>
      </c>
      <c r="GD71" s="245" t="str">
        <f>IFERROR(__xludf.DUMMYFUNCTION("IF(REGEXMATCH(C71, ""r""), ""b2"","""")"),"b2")</f>
        <v>b2</v>
      </c>
      <c r="GE71" s="246" t="str">
        <f>IFERROR(__xludf.DUMMYFUNCTION("IF(REGEXMATCH(C71, ""R""), ""2"","""")"),"")</f>
        <v/>
      </c>
      <c r="GF71" s="246" t="str">
        <f>IFERROR(__xludf.DUMMYFUNCTION("IF(REGEXMATCH(C71, ""g""), ""b3"","""")"),"b3")</f>
        <v>b3</v>
      </c>
      <c r="GG71" s="245" t="str">
        <f>IFERROR(__xludf.DUMMYFUNCTION("IF(REGEXMATCH(C71, ""G""), ""3"","""")"),"")</f>
        <v/>
      </c>
      <c r="GH71" s="245" t="str">
        <f>IFERROR(__xludf.DUMMYFUNCTION("IF(REGEXMATCH(C71, ""m""), ""4"","""")"),"")</f>
        <v/>
      </c>
      <c r="GI71" s="246" t="str">
        <f>IFERROR(__xludf.DUMMYFUNCTION("IF(REGEXMATCH(C71, ""M""), ""#4"","""")"),"#4")</f>
        <v>#4</v>
      </c>
      <c r="GJ71" s="245" t="str">
        <f>IFERROR(__xludf.DUMMYFUNCTION("IF(REGEXMATCH(C71, ""P""), ""5"","""")"),"5")</f>
        <v>5</v>
      </c>
      <c r="GK71" s="246" t="str">
        <f>IFERROR(__xludf.DUMMYFUNCTION("IF(REGEXMATCH(C71, ""d""), ""b6"","""")"),"")</f>
        <v/>
      </c>
      <c r="GL71" s="245" t="str">
        <f>IFERROR(__xludf.DUMMYFUNCTION("IF(REGEXMATCH(C71, ""D""), ""6"","""")"),"6")</f>
        <v>6</v>
      </c>
      <c r="GM71" s="245" t="str">
        <f>IFERROR(__xludf.DUMMYFUNCTION("IF(REGEXMATCH(C71, ""n""), ""b7"","""")"),"b7")</f>
        <v>b7</v>
      </c>
      <c r="GN71" s="246" t="str">
        <f>IFERROR(__xludf.DUMMYFUNCTION("IF(REGEXMATCH(C71, ""N""), ""7"","""")"),"")</f>
        <v/>
      </c>
      <c r="GO71" s="249" t="str">
        <f>IFERROR(__xludf.DUMMYFUNCTION("IF(REGEXMATCH(C71, ""S""), ""8"","""")"),"8")</f>
        <v>8</v>
      </c>
      <c r="GP71" s="244" t="str">
        <f>IFERROR(__xludf.DUMMYFUNCTION("IF(REGEXMATCH(C71, ""S""), ""S"","""")"),"S")</f>
        <v>S</v>
      </c>
      <c r="GQ71" s="294" t="str">
        <f>IFERROR(__xludf.DUMMYFUNCTION("IF(REGEXMATCH(C71, ""r""), ""R1"","""")"),"R1")</f>
        <v>R1</v>
      </c>
      <c r="GR71" s="295" t="str">
        <f>IFERROR(__xludf.DUMMYFUNCTION("IF(REGEXMATCH(C71, ""R""), ""R2"","""")"),"")</f>
        <v/>
      </c>
      <c r="GS71" s="295" t="str">
        <f>IFERROR(__xludf.DUMMYFUNCTION("IF(REGEXMATCH(C71, ""g""), ""G2"","""")"),"G2")</f>
        <v>G2</v>
      </c>
      <c r="GT71" s="294" t="str">
        <f>IFERROR(__xludf.DUMMYFUNCTION("IF(REGEXMATCH(C71, ""G""), ""G3"","""")"),"")</f>
        <v/>
      </c>
      <c r="GU71" s="294" t="str">
        <f>IFERROR(__xludf.DUMMYFUNCTION("IF(REGEXMATCH(C71, ""m""), ""M1"","""")"),"")</f>
        <v/>
      </c>
      <c r="GV71" s="295" t="str">
        <f>IFERROR(__xludf.DUMMYFUNCTION("IF(REGEXMATCH(C71, ""M""), ""M2"","""")"),"M2")</f>
        <v>M2</v>
      </c>
      <c r="GW71" s="294" t="str">
        <f>IFERROR(__xludf.DUMMYFUNCTION("IF(REGEXMATCH(C71, ""P""), ""P"","""")"),"P")</f>
        <v>P</v>
      </c>
      <c r="GX71" s="295" t="str">
        <f>IFERROR(__xludf.DUMMYFUNCTION("IF(REGEXMATCH(C71, ""d""), ""D1"","""")"),"")</f>
        <v/>
      </c>
      <c r="GY71" s="294" t="str">
        <f>IFERROR(__xludf.DUMMYFUNCTION("IF(REGEXMATCH(C71, ""D""), ""D2"","""")"),"D2")</f>
        <v>D2</v>
      </c>
      <c r="GZ71" s="294" t="str">
        <f>IFERROR(__xludf.DUMMYFUNCTION("IF(REGEXMATCH(C71, ""n""), ""N2"","""")"),"N2")</f>
        <v>N2</v>
      </c>
      <c r="HA71" s="295" t="str">
        <f>IFERROR(__xludf.DUMMYFUNCTION("IF(REGEXMATCH(C71, ""N""), ""N3"","""")"),"")</f>
        <v/>
      </c>
      <c r="HB71" s="249" t="str">
        <f>IFERROR(__xludf.DUMMYFUNCTION("IF(REGEXMATCH(C71, ""S""), ""S"","""")"),"S")</f>
        <v>S</v>
      </c>
      <c r="HC71" s="331" t="str">
        <f t="shared" si="95"/>
        <v>S</v>
      </c>
      <c r="HD71" s="332" t="str">
        <f t="shared" si="96"/>
        <v/>
      </c>
      <c r="HE71" s="332" t="str">
        <f t="shared" si="97"/>
        <v>R</v>
      </c>
      <c r="HF71" s="332" t="str">
        <f t="shared" si="98"/>
        <v>g</v>
      </c>
      <c r="HG71" s="332" t="str">
        <f t="shared" si="99"/>
        <v/>
      </c>
      <c r="HH71" s="332" t="str">
        <f t="shared" si="100"/>
        <v>m</v>
      </c>
      <c r="HI71" s="332" t="str">
        <f t="shared" si="101"/>
        <v>M</v>
      </c>
      <c r="HJ71" s="332" t="str">
        <f t="shared" si="102"/>
        <v/>
      </c>
      <c r="HK71" s="332" t="str">
        <f t="shared" si="103"/>
        <v/>
      </c>
      <c r="HL71" s="332" t="str">
        <f t="shared" si="104"/>
        <v>D</v>
      </c>
      <c r="HM71" s="332" t="str">
        <f t="shared" si="105"/>
        <v/>
      </c>
      <c r="HN71" s="332" t="str">
        <f t="shared" si="106"/>
        <v>N</v>
      </c>
      <c r="HO71" s="343" t="str">
        <f t="shared" si="107"/>
        <v>S</v>
      </c>
      <c r="HP71" s="331" t="str">
        <f t="shared" si="108"/>
        <v>o</v>
      </c>
      <c r="HQ71" s="332" t="str">
        <f t="shared" si="109"/>
        <v>o</v>
      </c>
      <c r="HR71" s="332" t="str">
        <f t="shared" si="110"/>
        <v>•</v>
      </c>
      <c r="HS71" s="332" t="str">
        <f t="shared" si="111"/>
        <v>o</v>
      </c>
      <c r="HT71" s="332" t="str">
        <f t="shared" si="112"/>
        <v>•</v>
      </c>
      <c r="HU71" s="332" t="str">
        <f t="shared" si="113"/>
        <v>•</v>
      </c>
      <c r="HV71" s="332" t="str">
        <f t="shared" si="114"/>
        <v>o</v>
      </c>
      <c r="HW71" s="332" t="str">
        <f t="shared" si="115"/>
        <v>o</v>
      </c>
      <c r="HX71" s="332" t="str">
        <f t="shared" si="116"/>
        <v>•</v>
      </c>
      <c r="HY71" s="332" t="str">
        <f t="shared" si="117"/>
        <v>o</v>
      </c>
      <c r="HZ71" s="332" t="str">
        <f t="shared" si="118"/>
        <v>o</v>
      </c>
      <c r="IA71" s="332" t="str">
        <f t="shared" si="119"/>
        <v>•</v>
      </c>
      <c r="IB71" s="338" t="str">
        <f t="shared" si="120"/>
        <v>o</v>
      </c>
      <c r="IC71" s="331" t="str">
        <f t="shared" si="121"/>
        <v>•</v>
      </c>
      <c r="ID71" s="332" t="str">
        <f t="shared" si="122"/>
        <v>•</v>
      </c>
      <c r="IE71" s="332" t="str">
        <f t="shared" si="123"/>
        <v>o</v>
      </c>
      <c r="IF71" s="332" t="str">
        <f t="shared" si="124"/>
        <v>•</v>
      </c>
      <c r="IG71" s="332" t="str">
        <f t="shared" si="125"/>
        <v>o</v>
      </c>
      <c r="IH71" s="332" t="str">
        <f t="shared" si="126"/>
        <v>o</v>
      </c>
      <c r="II71" s="332" t="str">
        <f t="shared" si="127"/>
        <v>•</v>
      </c>
      <c r="IJ71" s="332" t="str">
        <f t="shared" si="128"/>
        <v>•</v>
      </c>
      <c r="IK71" s="332" t="str">
        <f t="shared" si="129"/>
        <v>o</v>
      </c>
      <c r="IL71" s="332" t="str">
        <f t="shared" si="130"/>
        <v>•</v>
      </c>
      <c r="IM71" s="332" t="str">
        <f t="shared" si="131"/>
        <v>•</v>
      </c>
      <c r="IN71" s="332" t="str">
        <f t="shared" si="132"/>
        <v>o</v>
      </c>
      <c r="IO71" s="338" t="str">
        <f t="shared" si="133"/>
        <v>•</v>
      </c>
      <c r="IP71" s="346" t="b">
        <f t="shared" si="134"/>
        <v>0</v>
      </c>
      <c r="IQ71" s="347" t="b">
        <f t="shared" si="135"/>
        <v>1</v>
      </c>
      <c r="IR71" s="347" t="b">
        <f t="shared" si="136"/>
        <v>0</v>
      </c>
      <c r="IS71" s="347" t="b">
        <f t="shared" si="137"/>
        <v>0</v>
      </c>
      <c r="IT71" s="347" t="b">
        <f t="shared" si="138"/>
        <v>0</v>
      </c>
      <c r="IU71" s="347" t="b">
        <f t="shared" si="139"/>
        <v>0</v>
      </c>
      <c r="IV71" s="347" t="b">
        <f t="shared" si="140"/>
        <v>0</v>
      </c>
      <c r="IW71" s="347" t="b">
        <f t="shared" si="141"/>
        <v>1</v>
      </c>
      <c r="IX71" s="347" t="b">
        <f t="shared" si="142"/>
        <v>0</v>
      </c>
      <c r="IY71" s="347" t="b">
        <f t="shared" si="143"/>
        <v>1</v>
      </c>
      <c r="IZ71" s="347" t="b">
        <f t="shared" si="144"/>
        <v>1</v>
      </c>
      <c r="JA71" s="347" t="b">
        <f t="shared" si="145"/>
        <v>0</v>
      </c>
      <c r="JB71" s="353" t="b">
        <f t="shared" si="146"/>
        <v>0</v>
      </c>
      <c r="JC71" s="354" t="str">
        <f t="shared" si="147"/>
        <v/>
      </c>
      <c r="JD71" s="355" t="str">
        <f t="shared" si="148"/>
        <v>re, </v>
      </c>
      <c r="JE71" s="355" t="str">
        <f t="shared" si="149"/>
        <v/>
      </c>
      <c r="JF71" s="355" t="str">
        <f t="shared" si="150"/>
        <v/>
      </c>
      <c r="JG71" s="355" t="str">
        <f t="shared" si="151"/>
        <v/>
      </c>
      <c r="JH71" s="355" t="str">
        <f t="shared" si="152"/>
        <v/>
      </c>
      <c r="JI71" s="355" t="str">
        <f t="shared" si="153"/>
        <v/>
      </c>
      <c r="JJ71" s="355" t="str">
        <f t="shared" si="154"/>
        <v>Pa, </v>
      </c>
      <c r="JK71" s="355" t="str">
        <f t="shared" si="155"/>
        <v/>
      </c>
      <c r="JL71" s="355" t="str">
        <f t="shared" si="156"/>
        <v>Dha, </v>
      </c>
      <c r="JM71" s="355" t="str">
        <f t="shared" si="157"/>
        <v>ni, </v>
      </c>
      <c r="JN71" s="355" t="str">
        <f t="shared" si="158"/>
        <v/>
      </c>
      <c r="JO71" s="359" t="str">
        <f t="shared" si="159"/>
        <v/>
      </c>
      <c r="JP71" s="346" t="b">
        <f t="shared" si="160"/>
        <v>0</v>
      </c>
      <c r="JQ71" s="347" t="b">
        <f t="shared" si="161"/>
        <v>0</v>
      </c>
      <c r="JR71" s="347" t="b">
        <f t="shared" si="162"/>
        <v>0</v>
      </c>
      <c r="JS71" s="347" t="b">
        <f t="shared" si="163"/>
        <v>0</v>
      </c>
      <c r="JT71" s="347" t="b">
        <f t="shared" si="164"/>
        <v>0</v>
      </c>
      <c r="JU71" s="347" t="b">
        <f t="shared" si="165"/>
        <v>0</v>
      </c>
      <c r="JV71" s="347" t="b">
        <f t="shared" si="166"/>
        <v>0</v>
      </c>
      <c r="JW71" s="347" t="b">
        <f t="shared" si="167"/>
        <v>0</v>
      </c>
      <c r="JX71" s="347" t="b">
        <f t="shared" si="168"/>
        <v>0</v>
      </c>
      <c r="JY71" s="347" t="b">
        <f t="shared" si="169"/>
        <v>1</v>
      </c>
      <c r="JZ71" s="347" t="b">
        <f t="shared" si="170"/>
        <v>0</v>
      </c>
      <c r="KA71" s="347" t="b">
        <f t="shared" si="171"/>
        <v>0</v>
      </c>
      <c r="KB71" s="365" t="b">
        <f t="shared" si="172"/>
        <v>0</v>
      </c>
      <c r="KC71" s="354" t="str">
        <f t="shared" si="173"/>
        <v/>
      </c>
      <c r="KD71" s="355" t="str">
        <f t="shared" si="174"/>
        <v/>
      </c>
      <c r="KE71" s="355" t="str">
        <f t="shared" si="175"/>
        <v/>
      </c>
      <c r="KF71" s="355" t="str">
        <f t="shared" si="176"/>
        <v/>
      </c>
      <c r="KG71" s="355" t="str">
        <f t="shared" si="177"/>
        <v/>
      </c>
      <c r="KH71" s="355" t="str">
        <f t="shared" si="178"/>
        <v/>
      </c>
      <c r="KI71" s="355" t="str">
        <f t="shared" si="179"/>
        <v/>
      </c>
      <c r="KJ71" s="355" t="str">
        <f t="shared" si="180"/>
        <v/>
      </c>
      <c r="KK71" s="355" t="str">
        <f t="shared" si="181"/>
        <v/>
      </c>
      <c r="KL71" s="355" t="str">
        <f t="shared" si="182"/>
        <v>Dha, </v>
      </c>
      <c r="KM71" s="355" t="str">
        <f t="shared" si="183"/>
        <v/>
      </c>
      <c r="KN71" s="355" t="str">
        <f t="shared" si="184"/>
        <v/>
      </c>
      <c r="KO71" s="359"/>
      <c r="KP71" s="378"/>
      <c r="KQ71" s="379" t="s">
        <v>9</v>
      </c>
      <c r="KR71" s="380" t="s">
        <v>9</v>
      </c>
      <c r="KS71" s="381" t="s">
        <v>9</v>
      </c>
      <c r="KT71" s="382">
        <f t="shared" si="186"/>
        <v>0</v>
      </c>
      <c r="KU71" s="383">
        <f t="shared" si="187"/>
        <v>0</v>
      </c>
      <c r="KV71" s="381" t="str">
        <f t="shared" si="205"/>
        <v>S</v>
      </c>
      <c r="KW71" s="382">
        <f t="shared" si="189"/>
        <v>0</v>
      </c>
      <c r="KX71" s="384">
        <f t="shared" si="190"/>
        <v>0</v>
      </c>
      <c r="KY71" s="382">
        <f t="shared" ref="KY71:KZ71" si="339">KW71-KT71</f>
        <v>0</v>
      </c>
      <c r="KZ71" s="369">
        <f t="shared" si="339"/>
        <v>0</v>
      </c>
      <c r="LA71" s="385" t="str">
        <f t="shared" si="192"/>
        <v>✔</v>
      </c>
      <c r="LB71" s="340" t="str">
        <f>IFERROR(__xludf.DUMMYFUNCTION("JOIN("""",ArrayFormula(MID(KS71,LEN(KS71)-SEQUENCE(1,LEN(KS71))+1,1)))"),"S")</f>
        <v>S</v>
      </c>
      <c r="LC71" s="373" t="str">
        <f>IFERROR(__xludf.DUMMYFUNCTION("JOIN("""",ArrayFormula(MID(KV71,LEN(KV71)-SEQUENCE(1,LEN(KV71))+1,1)))"),"S")</f>
        <v>S</v>
      </c>
      <c r="LD71" s="373" t="str">
        <f t="shared" si="193"/>
        <v>S</v>
      </c>
      <c r="LE71" s="339" t="str">
        <f t="shared" si="194"/>
        <v>S</v>
      </c>
      <c r="LF71" s="386" t="str">
        <f>IFERROR(__xludf.DUMMYFUNCTION("SUBSTITUTE(SUBSTITUTE(CONCATENATE(JOIN("""",LH71:LT71)),""1"",""""),""2"","""")"),"SS")</f>
        <v>SS</v>
      </c>
      <c r="LG71" s="369" t="str">
        <f t="shared" si="195"/>
        <v>-</v>
      </c>
      <c r="LH71" s="387" t="str">
        <f>IFERROR(__xludf.DUMMYFUNCTION("IF(REGEXMATCH(LD71, ""S""), ""S"",IF(REGEXMATCH(LE71, ""S""), ""S"",""""))"),"S")</f>
        <v>S</v>
      </c>
      <c r="LI71" s="299" t="str">
        <f>IFERROR(__xludf.DUMMYFUNCTION("IF(REGEXMATCH(LD71, ""r""), ""r1"",IF(REGEXMATCH(LE71, ""r""), ""r2"",""""))"),"")</f>
        <v/>
      </c>
      <c r="LJ71" s="299" t="str">
        <f>IFERROR(__xludf.DUMMYFUNCTION("IF(REGEXMATCH(LD71, ""R""), ""R1"",IF(REGEXMATCH(LE71, ""R""), ""R2"",""""))"),"")</f>
        <v/>
      </c>
      <c r="LK71" s="299" t="str">
        <f>IFERROR(__xludf.DUMMYFUNCTION("IF(REGEXMATCH(LD71, ""g""), ""g1"",IF(REGEXMATCH(LE71, ""g""), ""g2"",""""))"),"")</f>
        <v/>
      </c>
      <c r="LL71" s="299" t="str">
        <f>IFERROR(__xludf.DUMMYFUNCTION("IF(REGEXMATCH(LD71, ""G""), ""G1"",IF(REGEXMATCH(LE71, ""G""), ""G2"",""""))"),"")</f>
        <v/>
      </c>
      <c r="LM71" s="299" t="str">
        <f>IFERROR(__xludf.DUMMYFUNCTION("IF(REGEXMATCH(LD71, ""m""), ""m1"",IF(REGEXMATCH(LE71, ""m""), ""m2"",""""))"),"")</f>
        <v/>
      </c>
      <c r="LN71" s="299" t="str">
        <f>IFERROR(__xludf.DUMMYFUNCTION("IF(REGEXMATCH(LD71, ""M""), ""M1"",IF(REGEXMATCH(LE71, ""M""), ""M2"",""""))"),"")</f>
        <v/>
      </c>
      <c r="LO71" s="299" t="str">
        <f>IFERROR(__xludf.DUMMYFUNCTION("IF(REGEXMATCH(LD71, ""P""), ""P1"",IF(REGEXMATCH(LE71, ""P""), ""P2"",""""))"),"")</f>
        <v/>
      </c>
      <c r="LP71" s="299" t="str">
        <f>IFERROR(__xludf.DUMMYFUNCTION("IF(REGEXMATCH(LD71, ""d""), ""d1"",IF(REGEXMATCH(LE71, ""d""), ""d2"",""""))"),"")</f>
        <v/>
      </c>
      <c r="LQ71" s="299" t="str">
        <f>IFERROR(__xludf.DUMMYFUNCTION("IF(REGEXMATCH(LD71, ""D""), ""D1"",IF(REGEXMATCH(LE71, ""D""), ""D2"",""""))"),"")</f>
        <v/>
      </c>
      <c r="LR71" s="299" t="str">
        <f>IFERROR(__xludf.DUMMYFUNCTION("IF(REGEXMATCH(LD71, ""n""), ""n1"",IF(REGEXMATCH(LE71, ""n""), ""n2"",""""))"),"")</f>
        <v/>
      </c>
      <c r="LS71" s="299" t="str">
        <f>IFERROR(__xludf.DUMMYFUNCTION("IF(REGEXMATCH(LD71, ""N""), ""N1"",IF(REGEXMATCH(LE71, ""N""), ""N2"",""""))"),"")</f>
        <v/>
      </c>
      <c r="LT71" s="388" t="str">
        <f>IFERROR(__xludf.DUMMYFUNCTION("IF(REGEXMATCH(LD71, ""S""), ""S"",IF(REGEXMATCH(LE71, ""S""), ""S"",""""))"),"S")</f>
        <v>S</v>
      </c>
      <c r="LU71" s="389">
        <f t="shared" si="196"/>
        <v>1</v>
      </c>
      <c r="LV71" s="378"/>
      <c r="LW71" s="369"/>
      <c r="LX71" s="369"/>
    </row>
    <row r="72" ht="18.0" customHeight="1">
      <c r="A72" s="298" t="s">
        <v>444</v>
      </c>
      <c r="B72" s="222" t="s">
        <v>445</v>
      </c>
      <c r="C72" s="233" t="str">
        <f t="shared" si="7"/>
        <v>SgmdNS</v>
      </c>
      <c r="D72" s="234" t="str">
        <f>IFERROR(__xludf.DUMMYFUNCTION("IF(REGEXMATCH(C72, ""S""), ""S"","""")"),"S")</f>
        <v>S</v>
      </c>
      <c r="E72" s="236" t="str">
        <f>IFERROR(__xludf.DUMMYFUNCTION("IF(REGEXMATCH(C72, ""r""), ""r"","""")"),"")</f>
        <v/>
      </c>
      <c r="F72" s="237" t="str">
        <f>IFERROR(__xludf.DUMMYFUNCTION("IF(REGEXMATCH(C72, ""R""), ""R"","""")"),"")</f>
        <v/>
      </c>
      <c r="G72" s="237" t="str">
        <f>IFERROR(__xludf.DUMMYFUNCTION("IF(REGEXMATCH(C72, ""g""), ""g"","""")"),"g")</f>
        <v>g</v>
      </c>
      <c r="H72" s="236" t="str">
        <f>IFERROR(__xludf.DUMMYFUNCTION("IF(REGEXMATCH(C72, ""G""), ""G"","""")"),"")</f>
        <v/>
      </c>
      <c r="I72" s="236" t="str">
        <f>IFERROR(__xludf.DUMMYFUNCTION("IF(REGEXMATCH(C72, ""m""), ""m"","""")"),"m")</f>
        <v>m</v>
      </c>
      <c r="J72" s="237" t="str">
        <f>IFERROR(__xludf.DUMMYFUNCTION("IF(REGEXMATCH(C72, ""M""), ""M"","""")"),"")</f>
        <v/>
      </c>
      <c r="K72" s="236" t="str">
        <f>IFERROR(__xludf.DUMMYFUNCTION("IF(REGEXMATCH(C72, ""P""), ""P"","""")"),"")</f>
        <v/>
      </c>
      <c r="L72" s="237" t="str">
        <f>IFERROR(__xludf.DUMMYFUNCTION("IF(REGEXMATCH(C72, ""d""), ""d"","""")"),"d")</f>
        <v>d</v>
      </c>
      <c r="M72" s="236" t="str">
        <f>IFERROR(__xludf.DUMMYFUNCTION("IF(REGEXMATCH(C72, ""D""), ""D"","""")"),"")</f>
        <v/>
      </c>
      <c r="N72" s="236" t="str">
        <f>IFERROR(__xludf.DUMMYFUNCTION("IF(REGEXMATCH(C72, ""n""), ""n"","""")"),"")</f>
        <v/>
      </c>
      <c r="O72" s="237" t="str">
        <f>IFERROR(__xludf.DUMMYFUNCTION("IF(REGEXMATCH(C72, ""N""), ""N"","""")"),"N")</f>
        <v>N</v>
      </c>
      <c r="P72" s="238" t="str">
        <f>IFERROR(__xludf.DUMMYFUNCTION("IF(REGEXMATCH(C72, ""S""), ""S"","""")"),"S")</f>
        <v>S</v>
      </c>
      <c r="Q72" s="239" t="str">
        <f>IFERROR(__xludf.DUMMYFUNCTION("SUBSTITUTE(CONCATENATE(JOIN(""-"",D72:J72)),""-"","""")"),"Sgm")</f>
        <v>Sgm</v>
      </c>
      <c r="R72" s="229" t="str">
        <f>IFERROR(__xludf.DUMMYFUNCTION("SUBSTITUTE(CONCATENATE(JOIN(""-"",K72:P72)),""-"","""")"),"dNS")</f>
        <v>dNS</v>
      </c>
      <c r="S72" s="282" t="str">
        <f t="shared" si="8"/>
        <v>S-G-M</v>
      </c>
      <c r="T72" s="282" t="str">
        <f t="shared" si="9"/>
        <v>D-N-S</v>
      </c>
      <c r="U72" s="237" t="str">
        <f>IFERROR(__xludf.DUMMYFUNCTION("SUBSTITUTE(JOIN(""-"",S72,T72),""--"",""-"")"),"S-G-M-D-N-S")</f>
        <v>S-G-M-D-N-S</v>
      </c>
      <c r="V72" s="309" t="str">
        <f t="shared" si="10"/>
        <v>gmdN</v>
      </c>
      <c r="W72" s="244" t="str">
        <f>IFERROR(__xludf.DUMMYFUNCTION("IF(REGEXMATCH(C72, ""S""), ""0"","""")"),"0")</f>
        <v>0</v>
      </c>
      <c r="X72" s="245" t="str">
        <f>IFERROR(__xludf.DUMMYFUNCTION("IF(REGEXMATCH(C72, ""r""), ""1"","""")"),"")</f>
        <v/>
      </c>
      <c r="Y72" s="246" t="str">
        <f>IFERROR(__xludf.DUMMYFUNCTION("IF(REGEXMATCH(C72, ""R""), ""2"","""")"),"")</f>
        <v/>
      </c>
      <c r="Z72" s="246" t="str">
        <f>IFERROR(__xludf.DUMMYFUNCTION("IF(REGEXMATCH(C72, ""g""), ""3"","""")"),"3")</f>
        <v>3</v>
      </c>
      <c r="AA72" s="245" t="str">
        <f>IFERROR(__xludf.DUMMYFUNCTION("IF(REGEXMATCH(C72, ""G""), ""4"","""")"),"")</f>
        <v/>
      </c>
      <c r="AB72" s="245" t="str">
        <f>IFERROR(__xludf.DUMMYFUNCTION("IF(REGEXMATCH(C72, ""m""), ""5"","""")"),"5")</f>
        <v>5</v>
      </c>
      <c r="AC72" s="246" t="str">
        <f>IFERROR(__xludf.DUMMYFUNCTION("IF(REGEXMATCH(C72, ""M""), ""6"","""")"),"")</f>
        <v/>
      </c>
      <c r="AD72" s="245" t="str">
        <f>IFERROR(__xludf.DUMMYFUNCTION("IF(REGEXMATCH(C72, ""P""), ""7"","""")"),"")</f>
        <v/>
      </c>
      <c r="AE72" s="246" t="str">
        <f>IFERROR(__xludf.DUMMYFUNCTION("IF(REGEXMATCH(C72, ""d""), ""8"","""")"),"8")</f>
        <v>8</v>
      </c>
      <c r="AF72" s="245" t="str">
        <f>IFERROR(__xludf.DUMMYFUNCTION("IF(REGEXMATCH(C72, ""D""), ""9"","""")"),"")</f>
        <v/>
      </c>
      <c r="AG72" s="245" t="str">
        <f>IFERROR(__xludf.DUMMYFUNCTION("IF(REGEXMATCH(C72, ""n""), ""10"","""")"),"")</f>
        <v/>
      </c>
      <c r="AH72" s="246" t="str">
        <f>IFERROR(__xludf.DUMMYFUNCTION("IF(REGEXMATCH(C72, ""N""), ""11"","""")"),"11")</f>
        <v>11</v>
      </c>
      <c r="AI72" s="249" t="str">
        <f>IFERROR(__xludf.DUMMYFUNCTION("IF(REGEXMATCH(C72, ""S""), ""0"","""")"),"0")</f>
        <v>0</v>
      </c>
      <c r="AJ72" s="313" t="str">
        <f t="shared" si="11"/>
        <v>-</v>
      </c>
      <c r="AK72" s="313" t="str">
        <f t="shared" si="12"/>
        <v>-</v>
      </c>
      <c r="AL72" s="313" t="str">
        <f t="shared" si="13"/>
        <v>-</v>
      </c>
      <c r="AM72" s="313" t="str">
        <f t="shared" si="14"/>
        <v>-</v>
      </c>
      <c r="AN72" s="313" t="str">
        <f t="shared" si="15"/>
        <v>-</v>
      </c>
      <c r="AO72" s="314" t="str">
        <f t="shared" si="16"/>
        <v>T</v>
      </c>
      <c r="AP72" s="316">
        <f t="shared" si="17"/>
        <v>1</v>
      </c>
      <c r="AQ72" s="319" t="str">
        <f t="shared" si="18"/>
        <v>#REF!</v>
      </c>
      <c r="AR72" s="320">
        <f t="shared" si="19"/>
        <v>0</v>
      </c>
      <c r="AS72" s="250" t="str">
        <f>IFERROR(__xludf.DUMMYFUNCTION("SUBSTITUTE(SUBSTITUTE(CONCATENATE(JOIN("""",FP72:GA72)),""|"",""x""),""-"",""o"")"),"xooxoxooxoox")</f>
        <v>xooxoxooxoox</v>
      </c>
      <c r="AT72" s="323" t="str">
        <f>IFERROR(__xludf.DUMMYFUNCTION("JOIN("""",AS72,AS72)"),"xooxoxooxooxxooxoxooxoox")</f>
        <v>xooxoxooxooxxooxoxooxoox</v>
      </c>
      <c r="AU72" s="256" t="str">
        <f>IFERROR(__xludf.DUMMYFUNCTION("JOIN("""",ArrayFormula(MID(AS72,LEN(AS72)-SEQUENCE(1,LEN(AS72))+1,1)))"),"xooxooxoxoox")</f>
        <v>xooxooxoxoox</v>
      </c>
      <c r="AV72" s="256" t="str">
        <f>IFERROR(__xludf.DUMMYFUNCTION("LEFT(CONCATENATE(""x"",JOIN("""",ArrayFormula(MID(AS72,LEN(AS72)-SEQUENCE(1,LEN(AS72))+1,1)))),12)"),"xxooxooxoxoo")</f>
        <v>xxooxooxoxoo</v>
      </c>
      <c r="AW72" s="327" t="str">
        <f>IFERROR(__xludf.DUMMYFUNCTION("JOIN("""",AU72,AU72)"),"xooxooxoxooxxooxooxoxoox")</f>
        <v>xooxooxoxooxxooxooxoxoox</v>
      </c>
      <c r="AX72" s="239" t="str">
        <f>IFERROR(__xludf.DUMMYFUNCTION("IF(REGEXMATCH(AW72,AS72),""✔"",""-"")"),"-")</f>
        <v>-</v>
      </c>
      <c r="AY72" s="330" t="str">
        <f t="shared" si="20"/>
        <v>-</v>
      </c>
      <c r="AZ72" s="260" t="str">
        <f t="shared" si="21"/>
        <v>#REF!</v>
      </c>
      <c r="BA72" s="333" t="str">
        <f t="shared" si="22"/>
        <v>xooxoxo</v>
      </c>
      <c r="BB72" s="334" t="str">
        <f t="shared" si="23"/>
        <v>oxooxx</v>
      </c>
      <c r="BC72" s="335" t="str">
        <f t="shared" si="236"/>
        <v>-</v>
      </c>
      <c r="BD72" s="336" t="str">
        <f t="shared" si="25"/>
        <v>Chandrakauns: 'xooxoxo' + 'oxooxx'</v>
      </c>
      <c r="BE72" s="337">
        <f>IFERROR(__xludf.DUMMYFUNCTION("COUNTUNIQUE(FILTER(AT:AT,REGEXMATCH(AT:AT,AS72)))-1"),1.0)</f>
        <v>1</v>
      </c>
      <c r="BF72" s="261" t="str">
        <f>IFERROR(__xludf.DUMMYFUNCTION("IF(BI72=0,""(n/a)"",IF(BJ72=2,""(PAIR)"",IF(REGEXMATCH(AT72,""xoxoxxoxoxox""),""Bilawal"",IF(REGEXMATCH(AT72,""xoxoxooxoxoo""),""Bhupali"",IF(REGEXMATCH(AT72,""xoxoxxoxxoxo""),""Charukeshi"",IF(REGEXMATCH(AT72,""xoxoooxxoxxo""),""Kameshwari"",IF(REGEXMATC"&amp;"H(AT72,""xoxoxooxoxox""),""Shankara"",IF(REGEXMATCH(AT72,""xxooxoxxxoox""),""Basant"",IF(REGEXMATCH(AT72,""xoxoxxxxoxox""),""Bihag"",IF(REGEXMATCH(AT72,""xoxxxxoxoxxx""),""Pilu"",IF(REGEXMATCH(AT72,""xoxxoxoxxoox""),""Kirwani"",IF(REGEXMATCH(AT72,""xoxxox"&amp;"oxoxxx""),""Mk.Malhar"",IF(REGEXMATCH(AT72,""xxooxxoxxoox""),""Bhairav"",IF(REGEXMATCH(AT72,""xxoxooxxxoox""),""Todi"",IF(REGEXMATCH(AT72,""xxooxoxooxox""),""Marwa"",IF(REGEXMATCH(AT72,""xxoooxoxxooo""),""Gunkali"",IF(REGEXMATCH(AT72,""xoxoxxoxxoox""),""N"&amp;"at Bhairav"",IF(REGEXMATCH(AT72,""xoxxoooxoxoo""),""Shivranjani"",IF(REGEXMATCH(AT72,""xooxxxoxooxo""),""Jog"",IF(REGEXMATCH(AT72,""xxooxoxoxoox""),""Hemshri"",IF(REGEXMATCH(AT72,""xoooxooxoxxo""),""Kalavati"",IF(REGEXMATCH(AT72,""xxoxoxxoxoox""),""Kedar"&amp;""",IF(REGEXMATCH(AT72,""xoxxxxoxooxx""),""Gara"",IF(REGEXMATCH(AT72,""xooxoxooxoox""),""Chandrakauns"",IF(REGEXMATCH(AT72,""xoxxxxoxxxox""),""Mand"",IF(REGEXMATCH(AT72,""xoxxxxoxoxox""),""Hanskinkini"",IF(REGEXMATCH(AT72,""xxooxxoxooxo""),""Lilavati"",IF("&amp;"REGEXMATCH(AT72,""xooxoxoooxox""),""Rajeshwari"",IF(REGEXMATCH(AT72,""xoooxxoxoxxx""),""Khokar"",IF(REGEXMATCH(AT72,""xxooxoxxxxox""),""Maligoura"",""-""))))))))))))))))))))))))))))))"),"Chandrakauns")</f>
        <v>Chandrakauns</v>
      </c>
      <c r="BG72" s="239" t="str">
        <f t="shared" si="26"/>
        <v>#REF!</v>
      </c>
      <c r="BH72" s="239">
        <f>IFERROR(__xludf.DUMMYFUNCTION("COUNTUNIQUE(FE72:FO72)-1"),4.0)</f>
        <v>4</v>
      </c>
      <c r="BI72" s="239">
        <f>IFERROR(__xludf.DUMMYFUNCTION("COUNTUNIQUE(FILTER(AT:AT,REGEXMATCH(AT:AT,AS72)))-1"),1.0)</f>
        <v>1</v>
      </c>
      <c r="BJ72" s="239">
        <f>IFERROR(__xludf.DUMMYFUNCTION("COUNTA(FILTER(AT:AT,REGEXMATCH(AT:AT,AS72)))"),3.0)</f>
        <v>3</v>
      </c>
      <c r="BK72" s="341">
        <f>IFERROR(__xludf.DUMMYFUNCTION("COUNTA(FILTER(AT:AT,REGEXMATCH(AT:AT,AS72)))-AR72"),3.0)</f>
        <v>3</v>
      </c>
      <c r="BL72" s="276" t="str">
        <f>IFERROR(__xludf.DUMMYFUNCTION("IF(AS72=""oooooooooooo"",""-"",IF(REGEXMATCH(AT72,""xx""), ""Hemi."", ""Anhemi.""))"),"Hemi.")</f>
        <v>Hemi.</v>
      </c>
      <c r="BM72" s="282" t="str">
        <f>IFERROR(__xludf.DUMMYFUNCTION("IF(AS72=""oooooooooooo"",""-"",IF(REGEXMATCH(AT72,""xxx""), ""Cohem."", ""-""))"),"-")</f>
        <v>-</v>
      </c>
      <c r="BN72" s="282" t="str">
        <f>IFERROR(__xludf.DUMMYFUNCTION("IF(AS72=""oooooooooooo"",""-"",IF(REGEXMATCH(AT72,""xxxx""), ""Co-Co."", ""-""))"),"-")</f>
        <v>-</v>
      </c>
      <c r="BO72" s="342" t="str">
        <f>IFERROR(__xludf.DUMMYFUNCTION("IF(AS72=""oooooooooooo"",""-"",IF(REGEXMATCH(AT72,""xxxxx""), ""CCC."", ""-""))"),"-")</f>
        <v>-</v>
      </c>
      <c r="BP72" s="344" t="str">
        <f t="shared" si="27"/>
        <v>-</v>
      </c>
      <c r="BQ72" s="282" t="str">
        <f>IFERROR(__xludf.DUMMYFUNCTION("IF(REGEXMATCH(JOIN(""-"",EU72:FD72),""TRUE""),""✔"",""-"")"),"-")</f>
        <v>-</v>
      </c>
      <c r="BR72" s="225">
        <f t="shared" si="28"/>
        <v>0</v>
      </c>
      <c r="BS72" s="345" t="str">
        <f>IFERROR(__xludf.DUMMYFUNCTION("SUBSTITUTE(SUBSTITUTE(SUBSTITUTE(SUBSTITUTE(CONCATENATE(JOIN(""-"",GC72:GO72)),""--"",""-""),""--"",""-""),""--"",""-""),""--"",""-"")"),"1-b3-4-b6-7-8")</f>
        <v>1-b3-4-b6-7-8</v>
      </c>
      <c r="BT72" s="299" t="str">
        <f>IFERROR(__xludf.DUMMYFUNCTION("SUBSTITUTE(SUBSTITUTE(SUBSTITUTE(SUBSTITUTE(CONCATENATE(JOIN(""-"",GP72:HB72)),""--"",""-""),""--"",""-""),""--"",""-""),""--"",""-"")"),"S-G2-M1-D1-N3-S")</f>
        <v>S-G2-M1-D1-N3-S</v>
      </c>
      <c r="BU72" s="348" t="str">
        <f t="shared" si="29"/>
        <v>C-Eb-F-Ab-B-C</v>
      </c>
      <c r="BV72" s="349" t="str">
        <f t="shared" si="30"/>
        <v>SrRGMPDnS</v>
      </c>
      <c r="BW72" s="350">
        <f t="shared" si="31"/>
        <v>0</v>
      </c>
      <c r="BX72" s="351">
        <f t="shared" si="32"/>
        <v>1</v>
      </c>
      <c r="BY72" s="392"/>
      <c r="BZ72" s="309" t="str">
        <f>IFERROR(__xludf.DUMMYFUNCTION("IF(REGEXMATCH(C72, ""S""), ""x"",""x"")"),"x")</f>
        <v>x</v>
      </c>
      <c r="CA72" s="245" t="str">
        <f>IFERROR(__xludf.DUMMYFUNCTION("IF(REGEXMATCH(C72, ""r""), ""o"",""x"")"),"x")</f>
        <v>x</v>
      </c>
      <c r="CB72" s="246" t="str">
        <f>IFERROR(__xludf.DUMMYFUNCTION("IF(REGEXMATCH(C72, ""R""), ""o"",""x"")"),"x")</f>
        <v>x</v>
      </c>
      <c r="CC72" s="246" t="str">
        <f>IFERROR(__xludf.DUMMYFUNCTION("IF(REGEXMATCH(C72, ""g""), ""o"",""x"")"),"o")</f>
        <v>o</v>
      </c>
      <c r="CD72" s="245" t="str">
        <f>IFERROR(__xludf.DUMMYFUNCTION("IF(REGEXMATCH(C72, ""G""), ""o"",""x"")"),"x")</f>
        <v>x</v>
      </c>
      <c r="CE72" s="245" t="str">
        <f>IFERROR(__xludf.DUMMYFUNCTION("IF(REGEXMATCH(C72, ""m""), ""o"",""x"")"),"o")</f>
        <v>o</v>
      </c>
      <c r="CF72" s="246" t="str">
        <f>IFERROR(__xludf.DUMMYFUNCTION("IF(REGEXMATCH(C72, ""M""), ""o"",""x"")"),"x")</f>
        <v>x</v>
      </c>
      <c r="CG72" s="245" t="str">
        <f>IFERROR(__xludf.DUMMYFUNCTION("IF(REGEXMATCH(C72, ""P""), ""o"",""x"")"),"x")</f>
        <v>x</v>
      </c>
      <c r="CH72" s="246" t="str">
        <f>IFERROR(__xludf.DUMMYFUNCTION("IF(REGEXMATCH(C72, ""d""), ""o"",""x"")"),"o")</f>
        <v>o</v>
      </c>
      <c r="CI72" s="245" t="str">
        <f>IFERROR(__xludf.DUMMYFUNCTION("IF(REGEXMATCH(C72, ""D""), ""o"",""x"")"),"x")</f>
        <v>x</v>
      </c>
      <c r="CJ72" s="245" t="str">
        <f>IFERROR(__xludf.DUMMYFUNCTION("IF(REGEXMATCH(C72, ""n""), ""o"",""x"")"),"x")</f>
        <v>x</v>
      </c>
      <c r="CK72" s="245" t="str">
        <f>IFERROR(__xludf.DUMMYFUNCTION("IF(REGEXMATCH(C72, ""N""), ""o"",""x"")"),"o")</f>
        <v>o</v>
      </c>
      <c r="CL72" s="356" t="str">
        <f>IFERROR(__xludf.DUMMYFUNCTION("IF(REGEXMATCH(C72, ""S""), ""x"",""x"")"),"x")</f>
        <v>x</v>
      </c>
      <c r="CM72" s="357" t="str">
        <f t="shared" si="33"/>
        <v>xxxoxoxxoxxo</v>
      </c>
      <c r="CN72" s="358">
        <f t="shared" si="34"/>
        <v>0</v>
      </c>
      <c r="CO72" s="246" t="str">
        <f>IFERROR(__xludf.DUMMYFUNCTION("IF(REGEXMATCH($C72, ""S""), ""S"",""S"")"),"S")</f>
        <v>S</v>
      </c>
      <c r="CP72" s="246" t="str">
        <f>IFERROR(__xludf.DUMMYFUNCTION("IF(REGEXMATCH($C72, ""r""), """",""r"")"),"r")</f>
        <v>r</v>
      </c>
      <c r="CQ72" s="246" t="str">
        <f>IFERROR(__xludf.DUMMYFUNCTION("IF(REGEXMATCH($C72, ""R""), """",""R"")"),"R")</f>
        <v>R</v>
      </c>
      <c r="CR72" s="246" t="str">
        <f>IFERROR(__xludf.DUMMYFUNCTION("IF(REGEXMATCH($C72, ""g""), """",""g"")"),"")</f>
        <v/>
      </c>
      <c r="CS72" s="246" t="str">
        <f>IFERROR(__xludf.DUMMYFUNCTION("IF(REGEXMATCH($C72, ""G""), """",""G"")"),"G")</f>
        <v>G</v>
      </c>
      <c r="CT72" s="246" t="str">
        <f>IFERROR(__xludf.DUMMYFUNCTION("IF(REGEXMATCH($C72, ""m""), """",""m"")"),"")</f>
        <v/>
      </c>
      <c r="CU72" s="246" t="str">
        <f>IFERROR(__xludf.DUMMYFUNCTION("IF(REGEXMATCH($C72, ""M""), """",""M"")"),"M")</f>
        <v>M</v>
      </c>
      <c r="CV72" s="246" t="str">
        <f>IFERROR(__xludf.DUMMYFUNCTION("IF(REGEXMATCH($C72, ""P""), """",""P"")"),"P")</f>
        <v>P</v>
      </c>
      <c r="CW72" s="246" t="str">
        <f>IFERROR(__xludf.DUMMYFUNCTION("IF(REGEXMATCH($C72, ""d""), """",""d"")"),"")</f>
        <v/>
      </c>
      <c r="CX72" s="246" t="str">
        <f>IFERROR(__xludf.DUMMYFUNCTION("IF(REGEXMATCH($C72, ""D""), """",""D"")"),"D")</f>
        <v>D</v>
      </c>
      <c r="CY72" s="246" t="str">
        <f>IFERROR(__xludf.DUMMYFUNCTION("IF(REGEXMATCH($C72, ""n""), """",""n"")"),"n")</f>
        <v>n</v>
      </c>
      <c r="CZ72" s="246" t="str">
        <f>IFERROR(__xludf.DUMMYFUNCTION("IF(REGEXMATCH($C72, ""N""), """",""N"")"),"")</f>
        <v/>
      </c>
      <c r="DA72" s="246" t="str">
        <f>IFERROR(__xludf.DUMMYFUNCTION("IF(REGEXMATCH($C72, ""S""), ""S"",""S"")"),"S")</f>
        <v>S</v>
      </c>
      <c r="DB72" s="362" t="str">
        <f>IFERROR(__xludf.DUMMYFUNCTION("JOIN("""",CO72:DA72,"""","""")"),"SrRGMPDnS")</f>
        <v>SrRGMPDnS</v>
      </c>
      <c r="DC72" s="363"/>
      <c r="DD72" s="301" t="str">
        <f t="shared" si="35"/>
        <v>#REF!</v>
      </c>
      <c r="DE72" s="302" t="str">
        <f t="shared" si="36"/>
        <v>#REF!</v>
      </c>
      <c r="DF72" s="301" t="str">
        <f t="shared" ref="DF72:DG72" si="340">SUBSTITUTE(S72,"-","")</f>
        <v>SGM</v>
      </c>
      <c r="DG72" s="301" t="str">
        <f t="shared" si="340"/>
        <v>DNS</v>
      </c>
      <c r="DH72" s="302" t="str">
        <f t="shared" si="38"/>
        <v>Chandrakauns</v>
      </c>
      <c r="DI72" s="301" t="str">
        <f t="shared" si="39"/>
        <v>Hemi.</v>
      </c>
      <c r="DJ72" s="364" t="str">
        <f t="shared" si="40"/>
        <v>-</v>
      </c>
      <c r="DK72" s="306" t="str">
        <f t="shared" si="41"/>
        <v>-</v>
      </c>
      <c r="DL72" s="366" t="str">
        <f t="shared" si="42"/>
        <v>-</v>
      </c>
      <c r="DM72" s="308" t="str">
        <f t="shared" si="43"/>
        <v>✔</v>
      </c>
      <c r="DN72" s="306" t="str">
        <f t="shared" si="44"/>
        <v>-</v>
      </c>
      <c r="DO72" s="306" t="str">
        <f t="shared" si="45"/>
        <v>-</v>
      </c>
      <c r="DP72" s="367" t="str">
        <f t="shared" si="46"/>
        <v>-</v>
      </c>
      <c r="DQ72" s="310" t="str">
        <f t="shared" si="47"/>
        <v>-</v>
      </c>
      <c r="DR72" s="310" t="str">
        <f t="shared" si="48"/>
        <v>-</v>
      </c>
      <c r="DS72" s="310" t="str">
        <f t="shared" si="49"/>
        <v>-</v>
      </c>
      <c r="DT72" s="310" t="str">
        <f t="shared" si="50"/>
        <v>-</v>
      </c>
      <c r="DU72" s="370" t="str">
        <f t="shared" si="51"/>
        <v>-</v>
      </c>
      <c r="DV72" s="306" t="str">
        <f t="shared" si="52"/>
        <v>✔</v>
      </c>
      <c r="DW72" s="306" t="str">
        <f t="shared" si="53"/>
        <v>-</v>
      </c>
      <c r="DX72" s="306" t="str">
        <f t="shared" si="54"/>
        <v>-</v>
      </c>
      <c r="DY72" s="306" t="str">
        <f t="shared" si="55"/>
        <v>✔</v>
      </c>
      <c r="DZ72" s="306" t="str">
        <f t="shared" si="56"/>
        <v>-</v>
      </c>
      <c r="EA72" s="367" t="str">
        <f t="shared" si="57"/>
        <v>-</v>
      </c>
      <c r="EB72" s="310" t="str">
        <f>IFERROR(__xludf.DUMMYFUNCTION("IF(REGEXMATCH(AW72,AS72),""✔"",""-"")"),"-")</f>
        <v>-</v>
      </c>
      <c r="EC72" s="310" t="str">
        <f t="shared" si="58"/>
        <v>#REF!</v>
      </c>
      <c r="ED72" s="370" t="str">
        <f t="shared" si="59"/>
        <v>-</v>
      </c>
      <c r="EE72" s="340" t="str">
        <f t="shared" si="60"/>
        <v>S-g-m-d-N-S</v>
      </c>
      <c r="EF72" s="371" t="str">
        <f>IFERROR(__xludf.DUMMYFUNCTION("CONCATENATE(JOIN("""",HC72:HO72))"),"SrGPDS")</f>
        <v>SrGPDS</v>
      </c>
      <c r="EG72" s="372">
        <f t="shared" si="61"/>
        <v>3</v>
      </c>
      <c r="EH72" s="373" t="str">
        <f>IFERROR(__xludf.DUMMYFUNCTION("CONCATENATE(JOIN("""",JC72:JO72))"),"Sa, ga, Ni, ")</f>
        <v>Sa, ga, Ni, </v>
      </c>
      <c r="EI72" s="322">
        <f t="shared" si="62"/>
        <v>1</v>
      </c>
      <c r="EJ72" s="374" t="str">
        <f>IFERROR(__xludf.DUMMYFUNCTION("CONCATENATE(JOIN("""",KC72:KO72))"),"Ni, ")</f>
        <v>Ni, </v>
      </c>
      <c r="EK72" s="325" t="str">
        <f t="shared" si="63"/>
        <v>S-G2-M1-D1-N3-S</v>
      </c>
      <c r="EL72" s="326" t="str">
        <f t="shared" si="64"/>
        <v>1-b3-4-b6-7-8</v>
      </c>
      <c r="EM72" s="318" t="str">
        <f t="shared" si="65"/>
        <v>#REF!</v>
      </c>
      <c r="EN72" s="328" t="str">
        <f>IFERROR(__xludf.DUMMYFUNCTION("SUBSTITUTE(SUBSTITUTE(SUBSTITUTE(SUBSTITUTE(CONCATENATE(JOIN("" "",HP72:IB72)),""  "","" ""),""  "","" ""),""  "","" ""),""  "","" "")"),"o • • o • o • • o • • o o")</f>
        <v>o • • o • o • • o • • o o</v>
      </c>
      <c r="EO72" s="368" t="str">
        <f t="shared" si="66"/>
        <v>Sa-ma</v>
      </c>
      <c r="EP72" s="339" t="str">
        <f t="shared" si="67"/>
        <v>-</v>
      </c>
      <c r="EQ72" s="339" t="str">
        <f t="shared" si="68"/>
        <v>-</v>
      </c>
      <c r="ER72" s="339" t="str">
        <f t="shared" si="69"/>
        <v>-</v>
      </c>
      <c r="ES72" s="340" t="str">
        <f t="shared" si="70"/>
        <v>Sa-ma</v>
      </c>
      <c r="ET72" s="363"/>
      <c r="EU72" s="376" t="b">
        <f>IFERROR(__xludf.DUMMYFUNCTION("arrayformula(sum(--REGEXMATCH(""SRGMPDNS"",split(REGEXREPLACE(C72,""(.)"",""$1~""),""~""))))=len(C72)
"),FALSE)</f>
        <v>0</v>
      </c>
      <c r="EV72" s="290" t="b">
        <f>IFERROR(__xludf.DUMMYFUNCTION("arrayformula(sum(--REGEXMATCH(""SRGmPDNS"",split(REGEXREPLACE(C72,""(.)"",""$1~""),""~""))))=len(C72)"),FALSE)</f>
        <v>0</v>
      </c>
      <c r="EW72" s="290" t="b">
        <f>IFERROR(__xludf.DUMMYFUNCTION("arrayformula(sum(--REGEXMATCH(""SRGmPDnS"",split(REGEXREPLACE(C72,""(.)"",""$1~""),""~""))))=len(C72)"),FALSE)</f>
        <v>0</v>
      </c>
      <c r="EX72" s="290" t="b">
        <f>IFERROR(__xludf.DUMMYFUNCTION("arrayformula(sum(--REGEXMATCH(""SRgmPDnS"",split(REGEXREPLACE(C72,""(.)"",""$1~""),""~""))))=len(C72)"),FALSE)</f>
        <v>0</v>
      </c>
      <c r="EY72" s="290" t="b">
        <f>IFERROR(__xludf.DUMMYFUNCTION("arrayformula(sum(--REGEXMATCH(""SRgmPdnS"",split(REGEXREPLACE(C72,""(.)"",""$1~""),""~""))))=len(C72)"),FALSE)</f>
        <v>0</v>
      </c>
      <c r="EZ72" s="290" t="b">
        <f>IFERROR(__xludf.DUMMYFUNCTION("arrayformula(sum(--REGEXMATCH(""SrgmPdnS"",split(REGEXREPLACE(C72,""(.)"",""$1~""),""~""))))=len(C72)"),FALSE)</f>
        <v>0</v>
      </c>
      <c r="FA72" s="290" t="b">
        <f>IFERROR(__xludf.DUMMYFUNCTION("arrayformula(sum(--REGEXMATCH(""SrGmPdNS"",split(REGEXREPLACE(C72,""(.)"",""$1~""),""~""))))=len(C72)"),FALSE)</f>
        <v>0</v>
      </c>
      <c r="FB72" s="290" t="b">
        <f>IFERROR(__xludf.DUMMYFUNCTION("arrayformula(sum(--REGEXMATCH(""SrGMPDNS"",split(REGEXREPLACE(C72,""(.)"",""$1~""),""~""))))=len(C72)"),FALSE)</f>
        <v>0</v>
      </c>
      <c r="FC72" s="290" t="b">
        <f>IFERROR(__xludf.DUMMYFUNCTION("arrayformula(sum(--REGEXMATCH(""SrGMPdNS"",split(REGEXREPLACE(C72,""(.)"",""$1~""),""~""))))=len(C72)"),FALSE)</f>
        <v>0</v>
      </c>
      <c r="FD72" s="377" t="b">
        <f>IFERROR(__xludf.DUMMYFUNCTION("arrayformula(sum(--REGEXMATCH(""SrgMPdNS"",split(REGEXREPLACE(C72,""(.)"",""$1~""),""~""))))=len(C72)"),FALSE)</f>
        <v>0</v>
      </c>
      <c r="FE72" s="269" t="str">
        <f t="shared" si="71"/>
        <v>-</v>
      </c>
      <c r="FF72" s="269" t="str">
        <f t="shared" si="72"/>
        <v>-</v>
      </c>
      <c r="FG72" s="271" t="str">
        <f t="shared" si="73"/>
        <v>xoxooxooxxo</v>
      </c>
      <c r="FH72" s="269" t="str">
        <f t="shared" si="74"/>
        <v>-</v>
      </c>
      <c r="FI72" s="271" t="str">
        <f t="shared" si="75"/>
        <v>xooxooxxoox</v>
      </c>
      <c r="FJ72" s="271" t="str">
        <f t="shared" si="76"/>
        <v>-</v>
      </c>
      <c r="FK72" s="271" t="str">
        <f t="shared" si="77"/>
        <v>-</v>
      </c>
      <c r="FL72" s="271" t="str">
        <f t="shared" si="78"/>
        <v>xooxxooxoxo</v>
      </c>
      <c r="FM72" s="271" t="str">
        <f t="shared" si="79"/>
        <v>-</v>
      </c>
      <c r="FN72" s="271" t="str">
        <f t="shared" si="80"/>
        <v>-</v>
      </c>
      <c r="FO72" s="274" t="str">
        <f t="shared" si="81"/>
        <v>xxooxoxooxo</v>
      </c>
      <c r="FP72" s="234" t="str">
        <f t="shared" si="82"/>
        <v>|</v>
      </c>
      <c r="FQ72" s="236" t="str">
        <f t="shared" si="83"/>
        <v>-</v>
      </c>
      <c r="FR72" s="237" t="str">
        <f t="shared" si="84"/>
        <v>-</v>
      </c>
      <c r="FS72" s="236" t="str">
        <f t="shared" si="85"/>
        <v>|</v>
      </c>
      <c r="FT72" s="237" t="str">
        <f t="shared" si="86"/>
        <v>-</v>
      </c>
      <c r="FU72" s="236" t="str">
        <f t="shared" si="87"/>
        <v>|</v>
      </c>
      <c r="FV72" s="237" t="str">
        <f t="shared" si="88"/>
        <v>-</v>
      </c>
      <c r="FW72" s="236" t="str">
        <f t="shared" si="89"/>
        <v>-</v>
      </c>
      <c r="FX72" s="237" t="str">
        <f t="shared" si="90"/>
        <v>|</v>
      </c>
      <c r="FY72" s="236" t="str">
        <f t="shared" si="91"/>
        <v>-</v>
      </c>
      <c r="FZ72" s="237" t="str">
        <f t="shared" si="92"/>
        <v>-</v>
      </c>
      <c r="GA72" s="236" t="str">
        <f t="shared" si="93"/>
        <v>|</v>
      </c>
      <c r="GB72" s="238" t="str">
        <f t="shared" si="94"/>
        <v>|</v>
      </c>
      <c r="GC72" s="244" t="str">
        <f>IFERROR(__xludf.DUMMYFUNCTION("IF(REGEXMATCH(C72, ""S""), ""1"","""")"),"1")</f>
        <v>1</v>
      </c>
      <c r="GD72" s="245" t="str">
        <f>IFERROR(__xludf.DUMMYFUNCTION("IF(REGEXMATCH(C72, ""r""), ""b2"","""")"),"")</f>
        <v/>
      </c>
      <c r="GE72" s="246" t="str">
        <f>IFERROR(__xludf.DUMMYFUNCTION("IF(REGEXMATCH(C72, ""R""), ""2"","""")"),"")</f>
        <v/>
      </c>
      <c r="GF72" s="246" t="str">
        <f>IFERROR(__xludf.DUMMYFUNCTION("IF(REGEXMATCH(C72, ""g""), ""b3"","""")"),"b3")</f>
        <v>b3</v>
      </c>
      <c r="GG72" s="245" t="str">
        <f>IFERROR(__xludf.DUMMYFUNCTION("IF(REGEXMATCH(C72, ""G""), ""3"","""")"),"")</f>
        <v/>
      </c>
      <c r="GH72" s="245" t="str">
        <f>IFERROR(__xludf.DUMMYFUNCTION("IF(REGEXMATCH(C72, ""m""), ""4"","""")"),"4")</f>
        <v>4</v>
      </c>
      <c r="GI72" s="246" t="str">
        <f>IFERROR(__xludf.DUMMYFUNCTION("IF(REGEXMATCH(C72, ""M""), ""#4"","""")"),"")</f>
        <v/>
      </c>
      <c r="GJ72" s="245" t="str">
        <f>IFERROR(__xludf.DUMMYFUNCTION("IF(REGEXMATCH(C72, ""P""), ""5"","""")"),"")</f>
        <v/>
      </c>
      <c r="GK72" s="246" t="str">
        <f>IFERROR(__xludf.DUMMYFUNCTION("IF(REGEXMATCH(C72, ""d""), ""b6"","""")"),"b6")</f>
        <v>b6</v>
      </c>
      <c r="GL72" s="245" t="str">
        <f>IFERROR(__xludf.DUMMYFUNCTION("IF(REGEXMATCH(C72, ""D""), ""6"","""")"),"")</f>
        <v/>
      </c>
      <c r="GM72" s="245" t="str">
        <f>IFERROR(__xludf.DUMMYFUNCTION("IF(REGEXMATCH(C72, ""n""), ""b7"","""")"),"")</f>
        <v/>
      </c>
      <c r="GN72" s="246" t="str">
        <f>IFERROR(__xludf.DUMMYFUNCTION("IF(REGEXMATCH(C72, ""N""), ""7"","""")"),"7")</f>
        <v>7</v>
      </c>
      <c r="GO72" s="249" t="str">
        <f>IFERROR(__xludf.DUMMYFUNCTION("IF(REGEXMATCH(C72, ""S""), ""8"","""")"),"8")</f>
        <v>8</v>
      </c>
      <c r="GP72" s="244" t="str">
        <f>IFERROR(__xludf.DUMMYFUNCTION("IF(REGEXMATCH(C72, ""S""), ""S"","""")"),"S")</f>
        <v>S</v>
      </c>
      <c r="GQ72" s="294" t="str">
        <f>IFERROR(__xludf.DUMMYFUNCTION("IF(REGEXMATCH(C72, ""r""), ""R1"","""")"),"")</f>
        <v/>
      </c>
      <c r="GR72" s="295" t="str">
        <f>IFERROR(__xludf.DUMMYFUNCTION("IF(REGEXMATCH(C72, ""R""), ""R2"","""")"),"")</f>
        <v/>
      </c>
      <c r="GS72" s="295" t="str">
        <f>IFERROR(__xludf.DUMMYFUNCTION("IF(REGEXMATCH(C72, ""g""), ""G2"","""")"),"G2")</f>
        <v>G2</v>
      </c>
      <c r="GT72" s="294" t="str">
        <f>IFERROR(__xludf.DUMMYFUNCTION("IF(REGEXMATCH(C72, ""G""), ""G3"","""")"),"")</f>
        <v/>
      </c>
      <c r="GU72" s="294" t="str">
        <f>IFERROR(__xludf.DUMMYFUNCTION("IF(REGEXMATCH(C72, ""m""), ""M1"","""")"),"M1")</f>
        <v>M1</v>
      </c>
      <c r="GV72" s="295" t="str">
        <f>IFERROR(__xludf.DUMMYFUNCTION("IF(REGEXMATCH(C72, ""M""), ""M2"","""")"),"")</f>
        <v/>
      </c>
      <c r="GW72" s="294" t="str">
        <f>IFERROR(__xludf.DUMMYFUNCTION("IF(REGEXMATCH(C72, ""P""), ""P"","""")"),"")</f>
        <v/>
      </c>
      <c r="GX72" s="295" t="str">
        <f>IFERROR(__xludf.DUMMYFUNCTION("IF(REGEXMATCH(C72, ""d""), ""D1"","""")"),"D1")</f>
        <v>D1</v>
      </c>
      <c r="GY72" s="294" t="str">
        <f>IFERROR(__xludf.DUMMYFUNCTION("IF(REGEXMATCH(C72, ""D""), ""D2"","""")"),"")</f>
        <v/>
      </c>
      <c r="GZ72" s="294" t="str">
        <f>IFERROR(__xludf.DUMMYFUNCTION("IF(REGEXMATCH(C72, ""n""), ""N2"","""")"),"")</f>
        <v/>
      </c>
      <c r="HA72" s="295" t="str">
        <f>IFERROR(__xludf.DUMMYFUNCTION("IF(REGEXMATCH(C72, ""N""), ""N3"","""")"),"N3")</f>
        <v>N3</v>
      </c>
      <c r="HB72" s="249" t="str">
        <f>IFERROR(__xludf.DUMMYFUNCTION("IF(REGEXMATCH(C72, ""S""), ""S"","""")"),"S")</f>
        <v>S</v>
      </c>
      <c r="HC72" s="331" t="str">
        <f t="shared" si="95"/>
        <v>S</v>
      </c>
      <c r="HD72" s="332" t="str">
        <f t="shared" si="96"/>
        <v>r</v>
      </c>
      <c r="HE72" s="332" t="str">
        <f t="shared" si="97"/>
        <v/>
      </c>
      <c r="HF72" s="332" t="str">
        <f t="shared" si="98"/>
        <v/>
      </c>
      <c r="HG72" s="332" t="str">
        <f t="shared" si="99"/>
        <v>G</v>
      </c>
      <c r="HH72" s="332" t="str">
        <f t="shared" si="100"/>
        <v/>
      </c>
      <c r="HI72" s="332" t="str">
        <f t="shared" si="101"/>
        <v/>
      </c>
      <c r="HJ72" s="332" t="str">
        <f t="shared" si="102"/>
        <v>P</v>
      </c>
      <c r="HK72" s="332" t="str">
        <f t="shared" si="103"/>
        <v/>
      </c>
      <c r="HL72" s="332" t="str">
        <f t="shared" si="104"/>
        <v>D</v>
      </c>
      <c r="HM72" s="332" t="str">
        <f t="shared" si="105"/>
        <v/>
      </c>
      <c r="HN72" s="332" t="str">
        <f t="shared" si="106"/>
        <v/>
      </c>
      <c r="HO72" s="343" t="str">
        <f t="shared" si="107"/>
        <v>S</v>
      </c>
      <c r="HP72" s="331" t="str">
        <f t="shared" si="108"/>
        <v>o</v>
      </c>
      <c r="HQ72" s="332" t="str">
        <f t="shared" si="109"/>
        <v>•</v>
      </c>
      <c r="HR72" s="332" t="str">
        <f t="shared" si="110"/>
        <v>•</v>
      </c>
      <c r="HS72" s="332" t="str">
        <f t="shared" si="111"/>
        <v>o</v>
      </c>
      <c r="HT72" s="332" t="str">
        <f t="shared" si="112"/>
        <v>•</v>
      </c>
      <c r="HU72" s="332" t="str">
        <f t="shared" si="113"/>
        <v>o</v>
      </c>
      <c r="HV72" s="332" t="str">
        <f t="shared" si="114"/>
        <v>•</v>
      </c>
      <c r="HW72" s="332" t="str">
        <f t="shared" si="115"/>
        <v>•</v>
      </c>
      <c r="HX72" s="332" t="str">
        <f t="shared" si="116"/>
        <v>o</v>
      </c>
      <c r="HY72" s="332" t="str">
        <f t="shared" si="117"/>
        <v>•</v>
      </c>
      <c r="HZ72" s="332" t="str">
        <f t="shared" si="118"/>
        <v>•</v>
      </c>
      <c r="IA72" s="332" t="str">
        <f t="shared" si="119"/>
        <v>o</v>
      </c>
      <c r="IB72" s="338" t="str">
        <f t="shared" si="120"/>
        <v>o</v>
      </c>
      <c r="IC72" s="331" t="str">
        <f t="shared" si="121"/>
        <v>•</v>
      </c>
      <c r="ID72" s="332" t="str">
        <f t="shared" si="122"/>
        <v>o</v>
      </c>
      <c r="IE72" s="332" t="str">
        <f t="shared" si="123"/>
        <v>o</v>
      </c>
      <c r="IF72" s="332" t="str">
        <f t="shared" si="124"/>
        <v>•</v>
      </c>
      <c r="IG72" s="332" t="str">
        <f t="shared" si="125"/>
        <v>o</v>
      </c>
      <c r="IH72" s="332" t="str">
        <f t="shared" si="126"/>
        <v>•</v>
      </c>
      <c r="II72" s="332" t="str">
        <f t="shared" si="127"/>
        <v>o</v>
      </c>
      <c r="IJ72" s="332" t="str">
        <f t="shared" si="128"/>
        <v>o</v>
      </c>
      <c r="IK72" s="332" t="str">
        <f t="shared" si="129"/>
        <v>•</v>
      </c>
      <c r="IL72" s="332" t="str">
        <f t="shared" si="130"/>
        <v>o</v>
      </c>
      <c r="IM72" s="332" t="str">
        <f t="shared" si="131"/>
        <v>o</v>
      </c>
      <c r="IN72" s="332" t="str">
        <f t="shared" si="132"/>
        <v>•</v>
      </c>
      <c r="IO72" s="338" t="str">
        <f t="shared" si="133"/>
        <v>•</v>
      </c>
      <c r="IP72" s="346" t="b">
        <f t="shared" si="134"/>
        <v>1</v>
      </c>
      <c r="IQ72" s="347" t="b">
        <f t="shared" si="135"/>
        <v>0</v>
      </c>
      <c r="IR72" s="347" t="b">
        <f t="shared" si="136"/>
        <v>0</v>
      </c>
      <c r="IS72" s="347" t="b">
        <f t="shared" si="137"/>
        <v>1</v>
      </c>
      <c r="IT72" s="347" t="b">
        <f t="shared" si="138"/>
        <v>0</v>
      </c>
      <c r="IU72" s="347" t="b">
        <f t="shared" si="139"/>
        <v>0</v>
      </c>
      <c r="IV72" s="347" t="b">
        <f t="shared" si="140"/>
        <v>0</v>
      </c>
      <c r="IW72" s="347" t="b">
        <f t="shared" si="141"/>
        <v>0</v>
      </c>
      <c r="IX72" s="347" t="b">
        <f t="shared" si="142"/>
        <v>0</v>
      </c>
      <c r="IY72" s="347" t="b">
        <f t="shared" si="143"/>
        <v>0</v>
      </c>
      <c r="IZ72" s="347" t="b">
        <f t="shared" si="144"/>
        <v>0</v>
      </c>
      <c r="JA72" s="347" t="b">
        <f t="shared" si="145"/>
        <v>1</v>
      </c>
      <c r="JB72" s="353" t="b">
        <f t="shared" si="146"/>
        <v>1</v>
      </c>
      <c r="JC72" s="354" t="str">
        <f t="shared" si="147"/>
        <v>Sa, </v>
      </c>
      <c r="JD72" s="355" t="str">
        <f t="shared" si="148"/>
        <v/>
      </c>
      <c r="JE72" s="355" t="str">
        <f t="shared" si="149"/>
        <v/>
      </c>
      <c r="JF72" s="355" t="str">
        <f t="shared" si="150"/>
        <v>ga, </v>
      </c>
      <c r="JG72" s="355" t="str">
        <f t="shared" si="151"/>
        <v/>
      </c>
      <c r="JH72" s="355" t="str">
        <f t="shared" si="152"/>
        <v/>
      </c>
      <c r="JI72" s="355" t="str">
        <f t="shared" si="153"/>
        <v/>
      </c>
      <c r="JJ72" s="355" t="str">
        <f t="shared" si="154"/>
        <v/>
      </c>
      <c r="JK72" s="355" t="str">
        <f t="shared" si="155"/>
        <v/>
      </c>
      <c r="JL72" s="355" t="str">
        <f t="shared" si="156"/>
        <v/>
      </c>
      <c r="JM72" s="355" t="str">
        <f t="shared" si="157"/>
        <v/>
      </c>
      <c r="JN72" s="355" t="str">
        <f t="shared" si="158"/>
        <v>Ni, </v>
      </c>
      <c r="JO72" s="359" t="str">
        <f t="shared" si="159"/>
        <v/>
      </c>
      <c r="JP72" s="346" t="b">
        <f t="shared" si="160"/>
        <v>0</v>
      </c>
      <c r="JQ72" s="347" t="b">
        <f t="shared" si="161"/>
        <v>0</v>
      </c>
      <c r="JR72" s="347" t="b">
        <f t="shared" si="162"/>
        <v>0</v>
      </c>
      <c r="JS72" s="347" t="b">
        <f t="shared" si="163"/>
        <v>0</v>
      </c>
      <c r="JT72" s="347" t="b">
        <f t="shared" si="164"/>
        <v>0</v>
      </c>
      <c r="JU72" s="347" t="b">
        <f t="shared" si="165"/>
        <v>0</v>
      </c>
      <c r="JV72" s="347" t="b">
        <f t="shared" si="166"/>
        <v>0</v>
      </c>
      <c r="JW72" s="347" t="b">
        <f t="shared" si="167"/>
        <v>0</v>
      </c>
      <c r="JX72" s="347" t="b">
        <f t="shared" si="168"/>
        <v>0</v>
      </c>
      <c r="JY72" s="347" t="b">
        <f t="shared" si="169"/>
        <v>0</v>
      </c>
      <c r="JZ72" s="347" t="b">
        <f t="shared" si="170"/>
        <v>0</v>
      </c>
      <c r="KA72" s="347" t="b">
        <f t="shared" si="171"/>
        <v>1</v>
      </c>
      <c r="KB72" s="365" t="b">
        <f t="shared" si="172"/>
        <v>0</v>
      </c>
      <c r="KC72" s="354" t="str">
        <f t="shared" si="173"/>
        <v/>
      </c>
      <c r="KD72" s="355" t="str">
        <f t="shared" si="174"/>
        <v/>
      </c>
      <c r="KE72" s="355" t="str">
        <f t="shared" si="175"/>
        <v/>
      </c>
      <c r="KF72" s="355" t="str">
        <f t="shared" si="176"/>
        <v/>
      </c>
      <c r="KG72" s="355" t="str">
        <f t="shared" si="177"/>
        <v/>
      </c>
      <c r="KH72" s="355" t="str">
        <f t="shared" si="178"/>
        <v/>
      </c>
      <c r="KI72" s="355" t="str">
        <f t="shared" si="179"/>
        <v/>
      </c>
      <c r="KJ72" s="355" t="str">
        <f t="shared" si="180"/>
        <v/>
      </c>
      <c r="KK72" s="355" t="str">
        <f t="shared" si="181"/>
        <v/>
      </c>
      <c r="KL72" s="355" t="str">
        <f t="shared" si="182"/>
        <v/>
      </c>
      <c r="KM72" s="355" t="str">
        <f t="shared" si="183"/>
        <v/>
      </c>
      <c r="KN72" s="355" t="str">
        <f t="shared" si="184"/>
        <v>Ni, </v>
      </c>
      <c r="KO72" s="359"/>
      <c r="KP72" s="378"/>
      <c r="KQ72" s="379" t="s">
        <v>445</v>
      </c>
      <c r="KR72" s="380" t="s">
        <v>1363</v>
      </c>
      <c r="KS72" s="381" t="str">
        <f t="shared" ref="KS72:KS75" si="343">KQ72</f>
        <v>S-g-m-d-N-S</v>
      </c>
      <c r="KT72" s="382">
        <f t="shared" si="186"/>
        <v>5</v>
      </c>
      <c r="KU72" s="383">
        <f t="shared" si="187"/>
        <v>5</v>
      </c>
      <c r="KV72" s="381" t="str">
        <f t="shared" si="205"/>
        <v>S-N-d-m-g-S</v>
      </c>
      <c r="KW72" s="382">
        <f t="shared" si="189"/>
        <v>5</v>
      </c>
      <c r="KX72" s="384">
        <f t="shared" si="190"/>
        <v>5</v>
      </c>
      <c r="KY72" s="382">
        <f t="shared" ref="KY72:KZ72" si="341">KW72-KT72</f>
        <v>0</v>
      </c>
      <c r="KZ72" s="369">
        <f t="shared" si="341"/>
        <v>0</v>
      </c>
      <c r="LA72" s="385" t="str">
        <f t="shared" si="192"/>
        <v>✔</v>
      </c>
      <c r="LB72" s="340" t="str">
        <f>IFERROR(__xludf.DUMMYFUNCTION("JOIN("""",ArrayFormula(MID(KS72,LEN(KS72)-SEQUENCE(1,LEN(KS72))+1,1)))"),"S-N-d-m-g-S")</f>
        <v>S-N-d-m-g-S</v>
      </c>
      <c r="LC72" s="373" t="str">
        <f>IFERROR(__xludf.DUMMYFUNCTION("JOIN("""",ArrayFormula(MID(KV72,LEN(KV72)-SEQUENCE(1,LEN(KV72))+1,1)))"),"S-g-m-d-N-S")</f>
        <v>S-g-m-d-N-S</v>
      </c>
      <c r="LD72" s="373" t="str">
        <f t="shared" si="193"/>
        <v>SgmdNS</v>
      </c>
      <c r="LE72" s="339" t="str">
        <f t="shared" si="194"/>
        <v>SgmdNS</v>
      </c>
      <c r="LF72" s="386" t="str">
        <f>IFERROR(__xludf.DUMMYFUNCTION("SUBSTITUTE(SUBSTITUTE(CONCATENATE(JOIN("""",LH72:LT72)),""1"",""""),""2"","""")"),"SgmdNS")</f>
        <v>SgmdNS</v>
      </c>
      <c r="LG72" s="369" t="str">
        <f t="shared" si="195"/>
        <v>✔</v>
      </c>
      <c r="LH72" s="387" t="str">
        <f>IFERROR(__xludf.DUMMYFUNCTION("IF(REGEXMATCH(LD72, ""S""), ""S"",IF(REGEXMATCH(LE72, ""S""), ""S"",""""))"),"S")</f>
        <v>S</v>
      </c>
      <c r="LI72" s="299" t="str">
        <f>IFERROR(__xludf.DUMMYFUNCTION("IF(REGEXMATCH(LD72, ""r""), ""r1"",IF(REGEXMATCH(LE72, ""r""), ""r2"",""""))"),"")</f>
        <v/>
      </c>
      <c r="LJ72" s="299" t="str">
        <f>IFERROR(__xludf.DUMMYFUNCTION("IF(REGEXMATCH(LD72, ""R""), ""R1"",IF(REGEXMATCH(LE72, ""R""), ""R2"",""""))"),"")</f>
        <v/>
      </c>
      <c r="LK72" s="299" t="str">
        <f>IFERROR(__xludf.DUMMYFUNCTION("IF(REGEXMATCH(LD72, ""g""), ""g1"",IF(REGEXMATCH(LE72, ""g""), ""g2"",""""))"),"g1")</f>
        <v>g1</v>
      </c>
      <c r="LL72" s="299" t="str">
        <f>IFERROR(__xludf.DUMMYFUNCTION("IF(REGEXMATCH(LD72, ""G""), ""G1"",IF(REGEXMATCH(LE72, ""G""), ""G2"",""""))"),"")</f>
        <v/>
      </c>
      <c r="LM72" s="299" t="str">
        <f>IFERROR(__xludf.DUMMYFUNCTION("IF(REGEXMATCH(LD72, ""m""), ""m1"",IF(REGEXMATCH(LE72, ""m""), ""m2"",""""))"),"m1")</f>
        <v>m1</v>
      </c>
      <c r="LN72" s="299" t="str">
        <f>IFERROR(__xludf.DUMMYFUNCTION("IF(REGEXMATCH(LD72, ""M""), ""M1"",IF(REGEXMATCH(LE72, ""M""), ""M2"",""""))"),"")</f>
        <v/>
      </c>
      <c r="LO72" s="299" t="str">
        <f>IFERROR(__xludf.DUMMYFUNCTION("IF(REGEXMATCH(LD72, ""P""), ""P1"",IF(REGEXMATCH(LE72, ""P""), ""P2"",""""))"),"")</f>
        <v/>
      </c>
      <c r="LP72" s="299" t="str">
        <f>IFERROR(__xludf.DUMMYFUNCTION("IF(REGEXMATCH(LD72, ""d""), ""d1"",IF(REGEXMATCH(LE72, ""d""), ""d2"",""""))"),"d1")</f>
        <v>d1</v>
      </c>
      <c r="LQ72" s="299" t="str">
        <f>IFERROR(__xludf.DUMMYFUNCTION("IF(REGEXMATCH(LD72, ""D""), ""D1"",IF(REGEXMATCH(LE72, ""D""), ""D2"",""""))"),"")</f>
        <v/>
      </c>
      <c r="LR72" s="299" t="str">
        <f>IFERROR(__xludf.DUMMYFUNCTION("IF(REGEXMATCH(LD72, ""n""), ""n1"",IF(REGEXMATCH(LE72, ""n""), ""n2"",""""))"),"")</f>
        <v/>
      </c>
      <c r="LS72" s="299" t="str">
        <f>IFERROR(__xludf.DUMMYFUNCTION("IF(REGEXMATCH(LD72, ""N""), ""N1"",IF(REGEXMATCH(LE72, ""N""), ""N2"",""""))"),"N1")</f>
        <v>N1</v>
      </c>
      <c r="LT72" s="388" t="str">
        <f>IFERROR(__xludf.DUMMYFUNCTION("IF(REGEXMATCH(LD72, ""S""), ""S"",IF(REGEXMATCH(LE72, ""S""), ""S"",""""))"),"S")</f>
        <v>S</v>
      </c>
      <c r="LU72" s="389">
        <f t="shared" si="196"/>
        <v>1</v>
      </c>
      <c r="LV72" s="378"/>
      <c r="LW72" s="369"/>
      <c r="LX72" s="369"/>
    </row>
    <row r="73" ht="18.0" customHeight="1">
      <c r="A73" s="298" t="s">
        <v>651</v>
      </c>
      <c r="B73" s="222" t="s">
        <v>652</v>
      </c>
      <c r="C73" s="233" t="str">
        <f t="shared" si="7"/>
        <v>SRgmPdnNS</v>
      </c>
      <c r="D73" s="234" t="str">
        <f>IFERROR(__xludf.DUMMYFUNCTION("IF(REGEXMATCH(C73, ""S""), ""S"","""")"),"S")</f>
        <v>S</v>
      </c>
      <c r="E73" s="236" t="str">
        <f>IFERROR(__xludf.DUMMYFUNCTION("IF(REGEXMATCH(C73, ""r""), ""r"","""")"),"")</f>
        <v/>
      </c>
      <c r="F73" s="237" t="str">
        <f>IFERROR(__xludf.DUMMYFUNCTION("IF(REGEXMATCH(C73, ""R""), ""R"","""")"),"R")</f>
        <v>R</v>
      </c>
      <c r="G73" s="237" t="str">
        <f>IFERROR(__xludf.DUMMYFUNCTION("IF(REGEXMATCH(C73, ""g""), ""g"","""")"),"g")</f>
        <v>g</v>
      </c>
      <c r="H73" s="236" t="str">
        <f>IFERROR(__xludf.DUMMYFUNCTION("IF(REGEXMATCH(C73, ""G""), ""G"","""")"),"")</f>
        <v/>
      </c>
      <c r="I73" s="236" t="str">
        <f>IFERROR(__xludf.DUMMYFUNCTION("IF(REGEXMATCH(C73, ""m""), ""m"","""")"),"m")</f>
        <v>m</v>
      </c>
      <c r="J73" s="237" t="str">
        <f>IFERROR(__xludf.DUMMYFUNCTION("IF(REGEXMATCH(C73, ""M""), ""M"","""")"),"")</f>
        <v/>
      </c>
      <c r="K73" s="236" t="str">
        <f>IFERROR(__xludf.DUMMYFUNCTION("IF(REGEXMATCH(C73, ""P""), ""P"","""")"),"P")</f>
        <v>P</v>
      </c>
      <c r="L73" s="237" t="str">
        <f>IFERROR(__xludf.DUMMYFUNCTION("IF(REGEXMATCH(C73, ""d""), ""d"","""")"),"d")</f>
        <v>d</v>
      </c>
      <c r="M73" s="236" t="str">
        <f>IFERROR(__xludf.DUMMYFUNCTION("IF(REGEXMATCH(C73, ""D""), ""D"","""")"),"")</f>
        <v/>
      </c>
      <c r="N73" s="236" t="str">
        <f>IFERROR(__xludf.DUMMYFUNCTION("IF(REGEXMATCH(C73, ""n""), ""n"","""")"),"n")</f>
        <v>n</v>
      </c>
      <c r="O73" s="237" t="str">
        <f>IFERROR(__xludf.DUMMYFUNCTION("IF(REGEXMATCH(C73, ""N""), ""N"","""")"),"N")</f>
        <v>N</v>
      </c>
      <c r="P73" s="238" t="str">
        <f>IFERROR(__xludf.DUMMYFUNCTION("IF(REGEXMATCH(C73, ""S""), ""S"","""")"),"S")</f>
        <v>S</v>
      </c>
      <c r="Q73" s="239" t="str">
        <f>IFERROR(__xludf.DUMMYFUNCTION("SUBSTITUTE(CONCATENATE(JOIN(""-"",D73:J73)),""-"","""")"),"SRgm")</f>
        <v>SRgm</v>
      </c>
      <c r="R73" s="229" t="str">
        <f>IFERROR(__xludf.DUMMYFUNCTION("SUBSTITUTE(CONCATENATE(JOIN(""-"",K73:P73)),""-"","""")"),"PdnNS")</f>
        <v>PdnNS</v>
      </c>
      <c r="S73" s="282" t="str">
        <f t="shared" si="8"/>
        <v>S-R-G-M</v>
      </c>
      <c r="T73" s="282" t="str">
        <f t="shared" si="9"/>
        <v>P-D-N-S</v>
      </c>
      <c r="U73" s="237" t="str">
        <f>IFERROR(__xludf.DUMMYFUNCTION("SUBSTITUTE(JOIN(""-"",S73,T73),""--"",""-"")"),"S-R-G-M-P-D-N-S")</f>
        <v>S-R-G-M-P-D-N-S</v>
      </c>
      <c r="V73" s="309" t="str">
        <f t="shared" si="10"/>
        <v>RgmdnN</v>
      </c>
      <c r="W73" s="244" t="str">
        <f>IFERROR(__xludf.DUMMYFUNCTION("IF(REGEXMATCH(C73, ""S""), ""0"","""")"),"0")</f>
        <v>0</v>
      </c>
      <c r="X73" s="245" t="str">
        <f>IFERROR(__xludf.DUMMYFUNCTION("IF(REGEXMATCH(C73, ""r""), ""1"","""")"),"")</f>
        <v/>
      </c>
      <c r="Y73" s="246" t="str">
        <f>IFERROR(__xludf.DUMMYFUNCTION("IF(REGEXMATCH(C73, ""R""), ""2"","""")"),"2")</f>
        <v>2</v>
      </c>
      <c r="Z73" s="246" t="str">
        <f>IFERROR(__xludf.DUMMYFUNCTION("IF(REGEXMATCH(C73, ""g""), ""3"","""")"),"3")</f>
        <v>3</v>
      </c>
      <c r="AA73" s="245" t="str">
        <f>IFERROR(__xludf.DUMMYFUNCTION("IF(REGEXMATCH(C73, ""G""), ""4"","""")"),"")</f>
        <v/>
      </c>
      <c r="AB73" s="245" t="str">
        <f>IFERROR(__xludf.DUMMYFUNCTION("IF(REGEXMATCH(C73, ""m""), ""5"","""")"),"5")</f>
        <v>5</v>
      </c>
      <c r="AC73" s="246" t="str">
        <f>IFERROR(__xludf.DUMMYFUNCTION("IF(REGEXMATCH(C73, ""M""), ""6"","""")"),"")</f>
        <v/>
      </c>
      <c r="AD73" s="245" t="str">
        <f>IFERROR(__xludf.DUMMYFUNCTION("IF(REGEXMATCH(C73, ""P""), ""7"","""")"),"7")</f>
        <v>7</v>
      </c>
      <c r="AE73" s="246" t="str">
        <f>IFERROR(__xludf.DUMMYFUNCTION("IF(REGEXMATCH(C73, ""d""), ""8"","""")"),"8")</f>
        <v>8</v>
      </c>
      <c r="AF73" s="245" t="str">
        <f>IFERROR(__xludf.DUMMYFUNCTION("IF(REGEXMATCH(C73, ""D""), ""9"","""")"),"")</f>
        <v/>
      </c>
      <c r="AG73" s="245" t="str">
        <f>IFERROR(__xludf.DUMMYFUNCTION("IF(REGEXMATCH(C73, ""n""), ""10"","""")"),"10")</f>
        <v>10</v>
      </c>
      <c r="AH73" s="246" t="str">
        <f>IFERROR(__xludf.DUMMYFUNCTION("IF(REGEXMATCH(C73, ""N""), ""11"","""")"),"11")</f>
        <v>11</v>
      </c>
      <c r="AI73" s="249" t="str">
        <f>IFERROR(__xludf.DUMMYFUNCTION("IF(REGEXMATCH(C73, ""S""), ""0"","""")"),"0")</f>
        <v>0</v>
      </c>
      <c r="AJ73" s="313" t="str">
        <f t="shared" si="11"/>
        <v>-</v>
      </c>
      <c r="AK73" s="313" t="str">
        <f t="shared" si="12"/>
        <v>-</v>
      </c>
      <c r="AL73" s="313" t="str">
        <f t="shared" si="13"/>
        <v>T</v>
      </c>
      <c r="AM73" s="313" t="str">
        <f t="shared" si="14"/>
        <v>-</v>
      </c>
      <c r="AN73" s="313" t="str">
        <f t="shared" si="15"/>
        <v>-</v>
      </c>
      <c r="AO73" s="314" t="str">
        <f t="shared" si="16"/>
        <v>T</v>
      </c>
      <c r="AP73" s="316">
        <f t="shared" si="17"/>
        <v>2</v>
      </c>
      <c r="AQ73" s="319" t="str">
        <f t="shared" si="18"/>
        <v>#REF!</v>
      </c>
      <c r="AR73" s="320">
        <f t="shared" si="19"/>
        <v>0</v>
      </c>
      <c r="AS73" s="250" t="str">
        <f>IFERROR(__xludf.DUMMYFUNCTION("SUBSTITUTE(SUBSTITUTE(CONCATENATE(JOIN("""",FP73:GA73)),""|"",""x""),""-"",""o"")"),"xoxxoxoxxoxx")</f>
        <v>xoxxoxoxxoxx</v>
      </c>
      <c r="AT73" s="323" t="str">
        <f>IFERROR(__xludf.DUMMYFUNCTION("JOIN("""",AS73,AS73)"),"xoxxoxoxxoxxxoxxoxoxxoxx")</f>
        <v>xoxxoxoxxoxxxoxxoxoxxoxx</v>
      </c>
      <c r="AU73" s="256" t="str">
        <f>IFERROR(__xludf.DUMMYFUNCTION("JOIN("""",ArrayFormula(MID(AS73,LEN(AS73)-SEQUENCE(1,LEN(AS73))+1,1)))"),"xxoxxoxoxxox")</f>
        <v>xxoxxoxoxxox</v>
      </c>
      <c r="AV73" s="256" t="str">
        <f>IFERROR(__xludf.DUMMYFUNCTION("LEFT(CONCATENATE(""x"",JOIN("""",ArrayFormula(MID(AS73,LEN(AS73)-SEQUENCE(1,LEN(AS73))+1,1)))),12)"),"xxxoxxoxoxxo")</f>
        <v>xxxoxxoxoxxo</v>
      </c>
      <c r="AW73" s="327" t="str">
        <f>IFERROR(__xludf.DUMMYFUNCTION("JOIN("""",AU73,AU73)"),"xxoxxoxoxxoxxxoxxoxoxxox")</f>
        <v>xxoxxoxoxxoxxxoxxoxoxxox</v>
      </c>
      <c r="AX73" s="239" t="str">
        <f>IFERROR(__xludf.DUMMYFUNCTION("IF(REGEXMATCH(AW73,AS73),""✔"",""-"")"),"✔")</f>
        <v>✔</v>
      </c>
      <c r="AY73" s="330" t="str">
        <f t="shared" si="20"/>
        <v>-</v>
      </c>
      <c r="AZ73" s="260" t="str">
        <f t="shared" si="21"/>
        <v>#REF!</v>
      </c>
      <c r="BA73" s="333" t="str">
        <f t="shared" si="22"/>
        <v>xoxxoxo</v>
      </c>
      <c r="BB73" s="334" t="str">
        <f t="shared" si="23"/>
        <v>xxoxxx</v>
      </c>
      <c r="BC73" s="335" t="str">
        <f t="shared" si="236"/>
        <v>-</v>
      </c>
      <c r="BD73" s="336" t="str">
        <f t="shared" si="25"/>
        <v>Chandrakaushiki: 'xoxxoxo' + 'xxoxxx'</v>
      </c>
      <c r="BE73" s="337">
        <f>IFERROR(__xludf.DUMMYFUNCTION("COUNTUNIQUE(FILTER(AT:AT,REGEXMATCH(AT:AT,AS73)))-1"),0.0)</f>
        <v>0</v>
      </c>
      <c r="BF73" s="261" t="str">
        <f>IFERROR(__xludf.DUMMYFUNCTION("IF(BI73=0,""(n/a)"",IF(BJ73=2,""(PAIR)"",IF(REGEXMATCH(AT73,""xoxoxxoxoxox""),""Bilawal"",IF(REGEXMATCH(AT73,""xoxoxooxoxoo""),""Bhupali"",IF(REGEXMATCH(AT73,""xoxoxxoxxoxo""),""Charukeshi"",IF(REGEXMATCH(AT73,""xoxoooxxoxxo""),""Kameshwari"",IF(REGEXMATC"&amp;"H(AT73,""xoxoxooxoxox""),""Shankara"",IF(REGEXMATCH(AT73,""xxooxoxxxoox""),""Basant"",IF(REGEXMATCH(AT73,""xoxoxxxxoxox""),""Bihag"",IF(REGEXMATCH(AT73,""xoxxxxoxoxxx""),""Pilu"",IF(REGEXMATCH(AT73,""xoxxoxoxxoox""),""Kirwani"",IF(REGEXMATCH(AT73,""xoxxox"&amp;"oxoxxx""),""Mk.Malhar"",IF(REGEXMATCH(AT73,""xxooxxoxxoox""),""Bhairav"",IF(REGEXMATCH(AT73,""xxoxooxxxoox""),""Todi"",IF(REGEXMATCH(AT73,""xxooxoxooxox""),""Marwa"",IF(REGEXMATCH(AT73,""xxoooxoxxooo""),""Gunkali"",IF(REGEXMATCH(AT73,""xoxoxxoxxoox""),""N"&amp;"at Bhairav"",IF(REGEXMATCH(AT73,""xoxxoooxoxoo""),""Shivranjani"",IF(REGEXMATCH(AT73,""xooxxxoxooxo""),""Jog"",IF(REGEXMATCH(AT73,""xxooxoxoxoox""),""Hemshri"",IF(REGEXMATCH(AT73,""xoooxooxoxxo""),""Kalavati"",IF(REGEXMATCH(AT73,""xxoxoxxoxoox""),""Kedar"&amp;""",IF(REGEXMATCH(AT73,""xoxxxxoxooxx""),""Gara"",IF(REGEXMATCH(AT73,""xooxoxooxoox""),""Chandrakauns"",IF(REGEXMATCH(AT73,""xoxxxxoxxxox""),""Mand"",IF(REGEXMATCH(AT73,""xoxxxxoxoxox""),""Hanskinkini"",IF(REGEXMATCH(AT73,""xxooxxoxooxo""),""Lilavati"",IF("&amp;"REGEXMATCH(AT73,""xooxoxoooxox""),""Rajeshwari"",IF(REGEXMATCH(AT73,""xoooxxoxoxxx""),""Khokar"",IF(REGEXMATCH(AT73,""xxooxoxxxxox""),""Maligoura"",""-""))))))))))))))))))))))))))))))"),"(n/a)")</f>
        <v>(n/a)</v>
      </c>
      <c r="BG73" s="239" t="str">
        <f t="shared" si="26"/>
        <v>#REF!</v>
      </c>
      <c r="BH73" s="239">
        <f>IFERROR(__xludf.DUMMYFUNCTION("COUNTUNIQUE(FE73:FO73)-1"),7.0)</f>
        <v>7</v>
      </c>
      <c r="BI73" s="239">
        <f>IFERROR(__xludf.DUMMYFUNCTION("COUNTUNIQUE(FILTER(AT:AT,REGEXMATCH(AT:AT,AS73)))-1"),0.0)</f>
        <v>0</v>
      </c>
      <c r="BJ73" s="239">
        <f>IFERROR(__xludf.DUMMYFUNCTION("COUNTA(FILTER(AT:AT,REGEXMATCH(AT:AT,AS73)))"),1.0)</f>
        <v>1</v>
      </c>
      <c r="BK73" s="341">
        <f>IFERROR(__xludf.DUMMYFUNCTION("COUNTA(FILTER(AT:AT,REGEXMATCH(AT:AT,AS73)))-AR73"),1.0)</f>
        <v>1</v>
      </c>
      <c r="BL73" s="276" t="str">
        <f>IFERROR(__xludf.DUMMYFUNCTION("IF(AS73=""oooooooooooo"",""-"",IF(REGEXMATCH(AT73,""xx""), ""Hemi."", ""Anhemi.""))"),"Hemi.")</f>
        <v>Hemi.</v>
      </c>
      <c r="BM73" s="282" t="str">
        <f>IFERROR(__xludf.DUMMYFUNCTION("IF(AS73=""oooooooooooo"",""-"",IF(REGEXMATCH(AT73,""xxx""), ""Cohem."", ""-""))"),"Cohem.")</f>
        <v>Cohem.</v>
      </c>
      <c r="BN73" s="282" t="str">
        <f>IFERROR(__xludf.DUMMYFUNCTION("IF(AS73=""oooooooooooo"",""-"",IF(REGEXMATCH(AT73,""xxxx""), ""Co-Co."", ""-""))"),"-")</f>
        <v>-</v>
      </c>
      <c r="BO73" s="342" t="str">
        <f>IFERROR(__xludf.DUMMYFUNCTION("IF(AS73=""oooooooooooo"",""-"",IF(REGEXMATCH(AT73,""xxxxx""), ""CCC."", ""-""))"),"-")</f>
        <v>-</v>
      </c>
      <c r="BP73" s="344" t="str">
        <f t="shared" si="27"/>
        <v>-</v>
      </c>
      <c r="BQ73" s="282" t="str">
        <f>IFERROR(__xludf.DUMMYFUNCTION("IF(REGEXMATCH(JOIN(""-"",EU73:FD73),""TRUE""),""✔"",""-"")"),"-")</f>
        <v>-</v>
      </c>
      <c r="BR73" s="225">
        <f t="shared" si="28"/>
        <v>0</v>
      </c>
      <c r="BS73" s="345" t="str">
        <f>IFERROR(__xludf.DUMMYFUNCTION("SUBSTITUTE(SUBSTITUTE(SUBSTITUTE(SUBSTITUTE(CONCATENATE(JOIN(""-"",GC73:GO73)),""--"",""-""),""--"",""-""),""--"",""-""),""--"",""-"")"),"1-2-b3-4-5-b6-b7-7-8")</f>
        <v>1-2-b3-4-5-b6-b7-7-8</v>
      </c>
      <c r="BT73" s="299" t="str">
        <f>IFERROR(__xludf.DUMMYFUNCTION("SUBSTITUTE(SUBSTITUTE(SUBSTITUTE(SUBSTITUTE(CONCATENATE(JOIN(""-"",GP73:HB73)),""--"",""-""),""--"",""-""),""--"",""-""),""--"",""-"")"),"S-R2-G2-M1-P-D1-N2-N3-S")</f>
        <v>S-R2-G2-M1-P-D1-N2-N3-S</v>
      </c>
      <c r="BU73" s="348" t="str">
        <f t="shared" si="29"/>
        <v>C-D-Eb-F-G-Ab-Bb-B-C</v>
      </c>
      <c r="BV73" s="349" t="str">
        <f t="shared" si="30"/>
        <v>SrGMDS</v>
      </c>
      <c r="BW73" s="350">
        <f t="shared" si="31"/>
        <v>0</v>
      </c>
      <c r="BX73" s="351">
        <f t="shared" si="32"/>
        <v>1</v>
      </c>
      <c r="BY73" s="392"/>
      <c r="BZ73" s="309" t="str">
        <f>IFERROR(__xludf.DUMMYFUNCTION("IF(REGEXMATCH(C73, ""S""), ""x"",""x"")"),"x")</f>
        <v>x</v>
      </c>
      <c r="CA73" s="245" t="str">
        <f>IFERROR(__xludf.DUMMYFUNCTION("IF(REGEXMATCH(C73, ""r""), ""o"",""x"")"),"x")</f>
        <v>x</v>
      </c>
      <c r="CB73" s="246" t="str">
        <f>IFERROR(__xludf.DUMMYFUNCTION("IF(REGEXMATCH(C73, ""R""), ""o"",""x"")"),"o")</f>
        <v>o</v>
      </c>
      <c r="CC73" s="246" t="str">
        <f>IFERROR(__xludf.DUMMYFUNCTION("IF(REGEXMATCH(C73, ""g""), ""o"",""x"")"),"o")</f>
        <v>o</v>
      </c>
      <c r="CD73" s="245" t="str">
        <f>IFERROR(__xludf.DUMMYFUNCTION("IF(REGEXMATCH(C73, ""G""), ""o"",""x"")"),"x")</f>
        <v>x</v>
      </c>
      <c r="CE73" s="245" t="str">
        <f>IFERROR(__xludf.DUMMYFUNCTION("IF(REGEXMATCH(C73, ""m""), ""o"",""x"")"),"o")</f>
        <v>o</v>
      </c>
      <c r="CF73" s="246" t="str">
        <f>IFERROR(__xludf.DUMMYFUNCTION("IF(REGEXMATCH(C73, ""M""), ""o"",""x"")"),"x")</f>
        <v>x</v>
      </c>
      <c r="CG73" s="245" t="str">
        <f>IFERROR(__xludf.DUMMYFUNCTION("IF(REGEXMATCH(C73, ""P""), ""o"",""x"")"),"o")</f>
        <v>o</v>
      </c>
      <c r="CH73" s="246" t="str">
        <f>IFERROR(__xludf.DUMMYFUNCTION("IF(REGEXMATCH(C73, ""d""), ""o"",""x"")"),"o")</f>
        <v>o</v>
      </c>
      <c r="CI73" s="245" t="str">
        <f>IFERROR(__xludf.DUMMYFUNCTION("IF(REGEXMATCH(C73, ""D""), ""o"",""x"")"),"x")</f>
        <v>x</v>
      </c>
      <c r="CJ73" s="245" t="str">
        <f>IFERROR(__xludf.DUMMYFUNCTION("IF(REGEXMATCH(C73, ""n""), ""o"",""x"")"),"o")</f>
        <v>o</v>
      </c>
      <c r="CK73" s="245" t="str">
        <f>IFERROR(__xludf.DUMMYFUNCTION("IF(REGEXMATCH(C73, ""N""), ""o"",""x"")"),"o")</f>
        <v>o</v>
      </c>
      <c r="CL73" s="356" t="str">
        <f>IFERROR(__xludf.DUMMYFUNCTION("IF(REGEXMATCH(C73, ""S""), ""x"",""x"")"),"x")</f>
        <v>x</v>
      </c>
      <c r="CM73" s="357" t="str">
        <f t="shared" si="33"/>
        <v>xxooxoxooxoo</v>
      </c>
      <c r="CN73" s="358">
        <f t="shared" si="34"/>
        <v>0</v>
      </c>
      <c r="CO73" s="246" t="str">
        <f>IFERROR(__xludf.DUMMYFUNCTION("IF(REGEXMATCH($C73, ""S""), ""S"",""S"")"),"S")</f>
        <v>S</v>
      </c>
      <c r="CP73" s="246" t="str">
        <f>IFERROR(__xludf.DUMMYFUNCTION("IF(REGEXMATCH($C73, ""r""), """",""r"")"),"r")</f>
        <v>r</v>
      </c>
      <c r="CQ73" s="246" t="str">
        <f>IFERROR(__xludf.DUMMYFUNCTION("IF(REGEXMATCH($C73, ""R""), """",""R"")"),"")</f>
        <v/>
      </c>
      <c r="CR73" s="246" t="str">
        <f>IFERROR(__xludf.DUMMYFUNCTION("IF(REGEXMATCH($C73, ""g""), """",""g"")"),"")</f>
        <v/>
      </c>
      <c r="CS73" s="246" t="str">
        <f>IFERROR(__xludf.DUMMYFUNCTION("IF(REGEXMATCH($C73, ""G""), """",""G"")"),"G")</f>
        <v>G</v>
      </c>
      <c r="CT73" s="246" t="str">
        <f>IFERROR(__xludf.DUMMYFUNCTION("IF(REGEXMATCH($C73, ""m""), """",""m"")"),"")</f>
        <v/>
      </c>
      <c r="CU73" s="246" t="str">
        <f>IFERROR(__xludf.DUMMYFUNCTION("IF(REGEXMATCH($C73, ""M""), """",""M"")"),"M")</f>
        <v>M</v>
      </c>
      <c r="CV73" s="246" t="str">
        <f>IFERROR(__xludf.DUMMYFUNCTION("IF(REGEXMATCH($C73, ""P""), """",""P"")"),"")</f>
        <v/>
      </c>
      <c r="CW73" s="246" t="str">
        <f>IFERROR(__xludf.DUMMYFUNCTION("IF(REGEXMATCH($C73, ""d""), """",""d"")"),"")</f>
        <v/>
      </c>
      <c r="CX73" s="246" t="str">
        <f>IFERROR(__xludf.DUMMYFUNCTION("IF(REGEXMATCH($C73, ""D""), """",""D"")"),"D")</f>
        <v>D</v>
      </c>
      <c r="CY73" s="246" t="str">
        <f>IFERROR(__xludf.DUMMYFUNCTION("IF(REGEXMATCH($C73, ""n""), """",""n"")"),"")</f>
        <v/>
      </c>
      <c r="CZ73" s="246" t="str">
        <f>IFERROR(__xludf.DUMMYFUNCTION("IF(REGEXMATCH($C73, ""N""), """",""N"")"),"")</f>
        <v/>
      </c>
      <c r="DA73" s="246" t="str">
        <f>IFERROR(__xludf.DUMMYFUNCTION("IF(REGEXMATCH($C73, ""S""), ""S"",""S"")"),"S")</f>
        <v>S</v>
      </c>
      <c r="DB73" s="362" t="str">
        <f>IFERROR(__xludf.DUMMYFUNCTION("JOIN("""",CO73:DA73,"""","""")"),"SrGMDS")</f>
        <v>SrGMDS</v>
      </c>
      <c r="DC73" s="363"/>
      <c r="DD73" s="301" t="str">
        <f t="shared" si="35"/>
        <v>#REF!</v>
      </c>
      <c r="DE73" s="302" t="str">
        <f t="shared" si="36"/>
        <v>#REF!</v>
      </c>
      <c r="DF73" s="301" t="str">
        <f t="shared" ref="DF73:DG73" si="342">SUBSTITUTE(S73,"-","")</f>
        <v>SRGM</v>
      </c>
      <c r="DG73" s="301" t="str">
        <f t="shared" si="342"/>
        <v>PDNS</v>
      </c>
      <c r="DH73" s="302" t="str">
        <f t="shared" si="38"/>
        <v>(n/a)</v>
      </c>
      <c r="DI73" s="301" t="str">
        <f t="shared" si="39"/>
        <v>Hemi.</v>
      </c>
      <c r="DJ73" s="364" t="str">
        <f t="shared" si="40"/>
        <v>Cohem.</v>
      </c>
      <c r="DK73" s="306" t="str">
        <f t="shared" si="41"/>
        <v>-</v>
      </c>
      <c r="DL73" s="366" t="str">
        <f t="shared" si="42"/>
        <v>-</v>
      </c>
      <c r="DM73" s="308" t="str">
        <f t="shared" si="43"/>
        <v>✔</v>
      </c>
      <c r="DN73" s="306" t="str">
        <f t="shared" si="44"/>
        <v>-</v>
      </c>
      <c r="DO73" s="306" t="str">
        <f t="shared" si="45"/>
        <v>-</v>
      </c>
      <c r="DP73" s="367" t="str">
        <f t="shared" si="46"/>
        <v>-</v>
      </c>
      <c r="DQ73" s="310" t="str">
        <f t="shared" si="47"/>
        <v>-</v>
      </c>
      <c r="DR73" s="310" t="str">
        <f t="shared" si="48"/>
        <v>-</v>
      </c>
      <c r="DS73" s="310" t="str">
        <f t="shared" si="49"/>
        <v>-</v>
      </c>
      <c r="DT73" s="310" t="str">
        <f t="shared" si="50"/>
        <v>-</v>
      </c>
      <c r="DU73" s="370" t="str">
        <f t="shared" si="51"/>
        <v>✔</v>
      </c>
      <c r="DV73" s="306" t="str">
        <f t="shared" si="52"/>
        <v>-</v>
      </c>
      <c r="DW73" s="306" t="str">
        <f t="shared" si="53"/>
        <v>-</v>
      </c>
      <c r="DX73" s="306" t="str">
        <f t="shared" si="54"/>
        <v>-</v>
      </c>
      <c r="DY73" s="306" t="str">
        <f t="shared" si="55"/>
        <v>-</v>
      </c>
      <c r="DZ73" s="306" t="str">
        <f t="shared" si="56"/>
        <v>-</v>
      </c>
      <c r="EA73" s="367" t="str">
        <f t="shared" si="57"/>
        <v>-</v>
      </c>
      <c r="EB73" s="310" t="str">
        <f>IFERROR(__xludf.DUMMYFUNCTION("IF(REGEXMATCH(AW73,AS73),""✔"",""-"")"),"✔")</f>
        <v>✔</v>
      </c>
      <c r="EC73" s="310" t="str">
        <f t="shared" si="58"/>
        <v>#REF!</v>
      </c>
      <c r="ED73" s="370" t="str">
        <f t="shared" si="59"/>
        <v>-</v>
      </c>
      <c r="EE73" s="340" t="str">
        <f t="shared" si="60"/>
        <v>S-R-g-m-P-d-nN-S</v>
      </c>
      <c r="EF73" s="371" t="str">
        <f>IFERROR(__xludf.DUMMYFUNCTION("CONCATENATE(JOIN("""",HC73:HO73))"),"SrRGmPDnS")</f>
        <v>SrRGmPDnS</v>
      </c>
      <c r="EG73" s="372">
        <f t="shared" si="61"/>
        <v>2</v>
      </c>
      <c r="EH73" s="373" t="str">
        <f>IFERROR(__xludf.DUMMYFUNCTION("CONCATENATE(JOIN("""",JC73:JO73))"),"Re, Ni, ")</f>
        <v>Re, Ni, </v>
      </c>
      <c r="EI73" s="322">
        <f t="shared" si="62"/>
        <v>1</v>
      </c>
      <c r="EJ73" s="374" t="str">
        <f>IFERROR(__xludf.DUMMYFUNCTION("CONCATENATE(JOIN("""",KC73:KO73))"),"Ni, ")</f>
        <v>Ni, </v>
      </c>
      <c r="EK73" s="325" t="str">
        <f t="shared" si="63"/>
        <v>S-R2-G2-M1-P-D1-N2-N3-S</v>
      </c>
      <c r="EL73" s="326" t="str">
        <f t="shared" si="64"/>
        <v>1-2-b3-4-5-b6-b7-7-8</v>
      </c>
      <c r="EM73" s="318" t="str">
        <f t="shared" si="65"/>
        <v>#REF!</v>
      </c>
      <c r="EN73" s="328" t="str">
        <f>IFERROR(__xludf.DUMMYFUNCTION("SUBSTITUTE(SUBSTITUTE(SUBSTITUTE(SUBSTITUTE(CONCATENATE(JOIN("" "",HP73:IB73)),""  "","" ""),""  "","" ""),""  "","" ""),""  "","" "")"),"o • o o • o • o o • o o o")</f>
        <v>o • o o • o • o o • o o o</v>
      </c>
      <c r="EO73" s="368" t="str">
        <f t="shared" si="66"/>
        <v>-</v>
      </c>
      <c r="EP73" s="339" t="str">
        <f t="shared" si="67"/>
        <v>-</v>
      </c>
      <c r="EQ73" s="339" t="str">
        <f t="shared" si="68"/>
        <v>Sa-Pa</v>
      </c>
      <c r="ER73" s="339" t="str">
        <f t="shared" si="69"/>
        <v>-</v>
      </c>
      <c r="ES73" s="340" t="str">
        <f t="shared" si="70"/>
        <v>-</v>
      </c>
      <c r="ET73" s="363"/>
      <c r="EU73" s="376" t="b">
        <f>IFERROR(__xludf.DUMMYFUNCTION("arrayformula(sum(--REGEXMATCH(""SRGMPDNS"",split(REGEXREPLACE(C73,""(.)"",""$1~""),""~""))))=len(C73)
"),FALSE)</f>
        <v>0</v>
      </c>
      <c r="EV73" s="290" t="b">
        <f>IFERROR(__xludf.DUMMYFUNCTION("arrayformula(sum(--REGEXMATCH(""SRGmPDNS"",split(REGEXREPLACE(C73,""(.)"",""$1~""),""~""))))=len(C73)"),FALSE)</f>
        <v>0</v>
      </c>
      <c r="EW73" s="290" t="b">
        <f>IFERROR(__xludf.DUMMYFUNCTION("arrayformula(sum(--REGEXMATCH(""SRGmPDnS"",split(REGEXREPLACE(C73,""(.)"",""$1~""),""~""))))=len(C73)"),FALSE)</f>
        <v>0</v>
      </c>
      <c r="EX73" s="290" t="b">
        <f>IFERROR(__xludf.DUMMYFUNCTION("arrayformula(sum(--REGEXMATCH(""SRgmPDnS"",split(REGEXREPLACE(C73,""(.)"",""$1~""),""~""))))=len(C73)"),FALSE)</f>
        <v>0</v>
      </c>
      <c r="EY73" s="290" t="b">
        <f>IFERROR(__xludf.DUMMYFUNCTION("arrayformula(sum(--REGEXMATCH(""SRgmPdnS"",split(REGEXREPLACE(C73,""(.)"",""$1~""),""~""))))=len(C73)"),FALSE)</f>
        <v>0</v>
      </c>
      <c r="EZ73" s="290" t="b">
        <f>IFERROR(__xludf.DUMMYFUNCTION("arrayformula(sum(--REGEXMATCH(""SrgmPdnS"",split(REGEXREPLACE(C73,""(.)"",""$1~""),""~""))))=len(C73)"),FALSE)</f>
        <v>0</v>
      </c>
      <c r="FA73" s="290" t="b">
        <f>IFERROR(__xludf.DUMMYFUNCTION("arrayformula(sum(--REGEXMATCH(""SrGmPdNS"",split(REGEXREPLACE(C73,""(.)"",""$1~""),""~""))))=len(C73)"),FALSE)</f>
        <v>0</v>
      </c>
      <c r="FB73" s="290" t="b">
        <f>IFERROR(__xludf.DUMMYFUNCTION("arrayformula(sum(--REGEXMATCH(""SrGMPDNS"",split(REGEXREPLACE(C73,""(.)"",""$1~""),""~""))))=len(C73)"),FALSE)</f>
        <v>0</v>
      </c>
      <c r="FC73" s="290" t="b">
        <f>IFERROR(__xludf.DUMMYFUNCTION("arrayformula(sum(--REGEXMATCH(""SrGMPdNS"",split(REGEXREPLACE(C73,""(.)"",""$1~""),""~""))))=len(C73)"),FALSE)</f>
        <v>0</v>
      </c>
      <c r="FD73" s="377" t="b">
        <f>IFERROR(__xludf.DUMMYFUNCTION("arrayformula(sum(--REGEXMATCH(""SrgMPdNS"",split(REGEXREPLACE(C73,""(.)"",""$1~""),""~""))))=len(C73)"),FALSE)</f>
        <v>0</v>
      </c>
      <c r="FE73" s="269" t="str">
        <f t="shared" si="71"/>
        <v>-</v>
      </c>
      <c r="FF73" s="269" t="str">
        <f t="shared" si="72"/>
        <v>xxoxoxxoxxx</v>
      </c>
      <c r="FG73" s="271" t="str">
        <f t="shared" si="73"/>
        <v>xoxoxxoxxxo</v>
      </c>
      <c r="FH73" s="269" t="str">
        <f t="shared" si="74"/>
        <v>-</v>
      </c>
      <c r="FI73" s="271" t="str">
        <f t="shared" si="75"/>
        <v>xoxxoxxxoxx</v>
      </c>
      <c r="FJ73" s="271" t="str">
        <f t="shared" si="76"/>
        <v>-</v>
      </c>
      <c r="FK73" s="271" t="str">
        <f t="shared" si="77"/>
        <v>xxoxxxoxxox</v>
      </c>
      <c r="FL73" s="271" t="str">
        <f t="shared" si="78"/>
        <v>xoxxxoxxoxo</v>
      </c>
      <c r="FM73" s="271" t="str">
        <f t="shared" si="79"/>
        <v>-</v>
      </c>
      <c r="FN73" s="271" t="str">
        <f t="shared" si="80"/>
        <v>xxxoxxoxoxx</v>
      </c>
      <c r="FO73" s="274" t="str">
        <f t="shared" si="81"/>
        <v>xxoxxoxoxxo</v>
      </c>
      <c r="FP73" s="234" t="str">
        <f t="shared" si="82"/>
        <v>|</v>
      </c>
      <c r="FQ73" s="236" t="str">
        <f t="shared" si="83"/>
        <v>-</v>
      </c>
      <c r="FR73" s="237" t="str">
        <f t="shared" si="84"/>
        <v>|</v>
      </c>
      <c r="FS73" s="236" t="str">
        <f t="shared" si="85"/>
        <v>|</v>
      </c>
      <c r="FT73" s="237" t="str">
        <f t="shared" si="86"/>
        <v>-</v>
      </c>
      <c r="FU73" s="236" t="str">
        <f t="shared" si="87"/>
        <v>|</v>
      </c>
      <c r="FV73" s="237" t="str">
        <f t="shared" si="88"/>
        <v>-</v>
      </c>
      <c r="FW73" s="236" t="str">
        <f t="shared" si="89"/>
        <v>|</v>
      </c>
      <c r="FX73" s="237" t="str">
        <f t="shared" si="90"/>
        <v>|</v>
      </c>
      <c r="FY73" s="236" t="str">
        <f t="shared" si="91"/>
        <v>-</v>
      </c>
      <c r="FZ73" s="237" t="str">
        <f t="shared" si="92"/>
        <v>|</v>
      </c>
      <c r="GA73" s="236" t="str">
        <f t="shared" si="93"/>
        <v>|</v>
      </c>
      <c r="GB73" s="238" t="str">
        <f t="shared" si="94"/>
        <v>|</v>
      </c>
      <c r="GC73" s="244" t="str">
        <f>IFERROR(__xludf.DUMMYFUNCTION("IF(REGEXMATCH(C73, ""S""), ""1"","""")"),"1")</f>
        <v>1</v>
      </c>
      <c r="GD73" s="245" t="str">
        <f>IFERROR(__xludf.DUMMYFUNCTION("IF(REGEXMATCH(C73, ""r""), ""b2"","""")"),"")</f>
        <v/>
      </c>
      <c r="GE73" s="246" t="str">
        <f>IFERROR(__xludf.DUMMYFUNCTION("IF(REGEXMATCH(C73, ""R""), ""2"","""")"),"2")</f>
        <v>2</v>
      </c>
      <c r="GF73" s="246" t="str">
        <f>IFERROR(__xludf.DUMMYFUNCTION("IF(REGEXMATCH(C73, ""g""), ""b3"","""")"),"b3")</f>
        <v>b3</v>
      </c>
      <c r="GG73" s="245" t="str">
        <f>IFERROR(__xludf.DUMMYFUNCTION("IF(REGEXMATCH(C73, ""G""), ""3"","""")"),"")</f>
        <v/>
      </c>
      <c r="GH73" s="245" t="str">
        <f>IFERROR(__xludf.DUMMYFUNCTION("IF(REGEXMATCH(C73, ""m""), ""4"","""")"),"4")</f>
        <v>4</v>
      </c>
      <c r="GI73" s="246" t="str">
        <f>IFERROR(__xludf.DUMMYFUNCTION("IF(REGEXMATCH(C73, ""M""), ""#4"","""")"),"")</f>
        <v/>
      </c>
      <c r="GJ73" s="245" t="str">
        <f>IFERROR(__xludf.DUMMYFUNCTION("IF(REGEXMATCH(C73, ""P""), ""5"","""")"),"5")</f>
        <v>5</v>
      </c>
      <c r="GK73" s="246" t="str">
        <f>IFERROR(__xludf.DUMMYFUNCTION("IF(REGEXMATCH(C73, ""d""), ""b6"","""")"),"b6")</f>
        <v>b6</v>
      </c>
      <c r="GL73" s="245" t="str">
        <f>IFERROR(__xludf.DUMMYFUNCTION("IF(REGEXMATCH(C73, ""D""), ""6"","""")"),"")</f>
        <v/>
      </c>
      <c r="GM73" s="245" t="str">
        <f>IFERROR(__xludf.DUMMYFUNCTION("IF(REGEXMATCH(C73, ""n""), ""b7"","""")"),"b7")</f>
        <v>b7</v>
      </c>
      <c r="GN73" s="246" t="str">
        <f>IFERROR(__xludf.DUMMYFUNCTION("IF(REGEXMATCH(C73, ""N""), ""7"","""")"),"7")</f>
        <v>7</v>
      </c>
      <c r="GO73" s="249" t="str">
        <f>IFERROR(__xludf.DUMMYFUNCTION("IF(REGEXMATCH(C73, ""S""), ""8"","""")"),"8")</f>
        <v>8</v>
      </c>
      <c r="GP73" s="244" t="str">
        <f>IFERROR(__xludf.DUMMYFUNCTION("IF(REGEXMATCH(C73, ""S""), ""S"","""")"),"S")</f>
        <v>S</v>
      </c>
      <c r="GQ73" s="294" t="str">
        <f>IFERROR(__xludf.DUMMYFUNCTION("IF(REGEXMATCH(C73, ""r""), ""R1"","""")"),"")</f>
        <v/>
      </c>
      <c r="GR73" s="295" t="str">
        <f>IFERROR(__xludf.DUMMYFUNCTION("IF(REGEXMATCH(C73, ""R""), ""R2"","""")"),"R2")</f>
        <v>R2</v>
      </c>
      <c r="GS73" s="295" t="str">
        <f>IFERROR(__xludf.DUMMYFUNCTION("IF(REGEXMATCH(C73, ""g""), ""G2"","""")"),"G2")</f>
        <v>G2</v>
      </c>
      <c r="GT73" s="294" t="str">
        <f>IFERROR(__xludf.DUMMYFUNCTION("IF(REGEXMATCH(C73, ""G""), ""G3"","""")"),"")</f>
        <v/>
      </c>
      <c r="GU73" s="294" t="str">
        <f>IFERROR(__xludf.DUMMYFUNCTION("IF(REGEXMATCH(C73, ""m""), ""M1"","""")"),"M1")</f>
        <v>M1</v>
      </c>
      <c r="GV73" s="295" t="str">
        <f>IFERROR(__xludf.DUMMYFUNCTION("IF(REGEXMATCH(C73, ""M""), ""M2"","""")"),"")</f>
        <v/>
      </c>
      <c r="GW73" s="294" t="str">
        <f>IFERROR(__xludf.DUMMYFUNCTION("IF(REGEXMATCH(C73, ""P""), ""P"","""")"),"P")</f>
        <v>P</v>
      </c>
      <c r="GX73" s="295" t="str">
        <f>IFERROR(__xludf.DUMMYFUNCTION("IF(REGEXMATCH(C73, ""d""), ""D1"","""")"),"D1")</f>
        <v>D1</v>
      </c>
      <c r="GY73" s="294" t="str">
        <f>IFERROR(__xludf.DUMMYFUNCTION("IF(REGEXMATCH(C73, ""D""), ""D2"","""")"),"")</f>
        <v/>
      </c>
      <c r="GZ73" s="294" t="str">
        <f>IFERROR(__xludf.DUMMYFUNCTION("IF(REGEXMATCH(C73, ""n""), ""N2"","""")"),"N2")</f>
        <v>N2</v>
      </c>
      <c r="HA73" s="295" t="str">
        <f>IFERROR(__xludf.DUMMYFUNCTION("IF(REGEXMATCH(C73, ""N""), ""N3"","""")"),"N3")</f>
        <v>N3</v>
      </c>
      <c r="HB73" s="249" t="str">
        <f>IFERROR(__xludf.DUMMYFUNCTION("IF(REGEXMATCH(C73, ""S""), ""S"","""")"),"S")</f>
        <v>S</v>
      </c>
      <c r="HC73" s="331" t="str">
        <f t="shared" si="95"/>
        <v>S</v>
      </c>
      <c r="HD73" s="332" t="str">
        <f t="shared" si="96"/>
        <v>r</v>
      </c>
      <c r="HE73" s="332" t="str">
        <f t="shared" si="97"/>
        <v>R</v>
      </c>
      <c r="HF73" s="332" t="str">
        <f t="shared" si="98"/>
        <v/>
      </c>
      <c r="HG73" s="332" t="str">
        <f t="shared" si="99"/>
        <v>G</v>
      </c>
      <c r="HH73" s="332" t="str">
        <f t="shared" si="100"/>
        <v>m</v>
      </c>
      <c r="HI73" s="332" t="str">
        <f t="shared" si="101"/>
        <v/>
      </c>
      <c r="HJ73" s="332" t="str">
        <f t="shared" si="102"/>
        <v>P</v>
      </c>
      <c r="HK73" s="332" t="str">
        <f t="shared" si="103"/>
        <v/>
      </c>
      <c r="HL73" s="332" t="str">
        <f t="shared" si="104"/>
        <v>D</v>
      </c>
      <c r="HM73" s="332" t="str">
        <f t="shared" si="105"/>
        <v>n</v>
      </c>
      <c r="HN73" s="332" t="str">
        <f t="shared" si="106"/>
        <v/>
      </c>
      <c r="HO73" s="343" t="str">
        <f t="shared" si="107"/>
        <v>S</v>
      </c>
      <c r="HP73" s="331" t="str">
        <f t="shared" si="108"/>
        <v>o</v>
      </c>
      <c r="HQ73" s="332" t="str">
        <f t="shared" si="109"/>
        <v>•</v>
      </c>
      <c r="HR73" s="332" t="str">
        <f t="shared" si="110"/>
        <v>o</v>
      </c>
      <c r="HS73" s="332" t="str">
        <f t="shared" si="111"/>
        <v>o</v>
      </c>
      <c r="HT73" s="332" t="str">
        <f t="shared" si="112"/>
        <v>•</v>
      </c>
      <c r="HU73" s="332" t="str">
        <f t="shared" si="113"/>
        <v>o</v>
      </c>
      <c r="HV73" s="332" t="str">
        <f t="shared" si="114"/>
        <v>•</v>
      </c>
      <c r="HW73" s="332" t="str">
        <f t="shared" si="115"/>
        <v>o</v>
      </c>
      <c r="HX73" s="332" t="str">
        <f t="shared" si="116"/>
        <v>o</v>
      </c>
      <c r="HY73" s="332" t="str">
        <f t="shared" si="117"/>
        <v>•</v>
      </c>
      <c r="HZ73" s="332" t="str">
        <f t="shared" si="118"/>
        <v>o</v>
      </c>
      <c r="IA73" s="332" t="str">
        <f t="shared" si="119"/>
        <v>o</v>
      </c>
      <c r="IB73" s="338" t="str">
        <f t="shared" si="120"/>
        <v>o</v>
      </c>
      <c r="IC73" s="331" t="str">
        <f t="shared" si="121"/>
        <v>•</v>
      </c>
      <c r="ID73" s="332" t="str">
        <f t="shared" si="122"/>
        <v>o</v>
      </c>
      <c r="IE73" s="332" t="str">
        <f t="shared" si="123"/>
        <v>•</v>
      </c>
      <c r="IF73" s="332" t="str">
        <f t="shared" si="124"/>
        <v>•</v>
      </c>
      <c r="IG73" s="332" t="str">
        <f t="shared" si="125"/>
        <v>o</v>
      </c>
      <c r="IH73" s="332" t="str">
        <f t="shared" si="126"/>
        <v>•</v>
      </c>
      <c r="II73" s="332" t="str">
        <f t="shared" si="127"/>
        <v>o</v>
      </c>
      <c r="IJ73" s="332" t="str">
        <f t="shared" si="128"/>
        <v>•</v>
      </c>
      <c r="IK73" s="332" t="str">
        <f t="shared" si="129"/>
        <v>•</v>
      </c>
      <c r="IL73" s="332" t="str">
        <f t="shared" si="130"/>
        <v>o</v>
      </c>
      <c r="IM73" s="332" t="str">
        <f t="shared" si="131"/>
        <v>•</v>
      </c>
      <c r="IN73" s="332" t="str">
        <f t="shared" si="132"/>
        <v>•</v>
      </c>
      <c r="IO73" s="338" t="str">
        <f t="shared" si="133"/>
        <v>•</v>
      </c>
      <c r="IP73" s="346" t="b">
        <f t="shared" si="134"/>
        <v>0</v>
      </c>
      <c r="IQ73" s="347" t="b">
        <f t="shared" si="135"/>
        <v>0</v>
      </c>
      <c r="IR73" s="347" t="b">
        <f t="shared" si="136"/>
        <v>1</v>
      </c>
      <c r="IS73" s="347" t="b">
        <f t="shared" si="137"/>
        <v>0</v>
      </c>
      <c r="IT73" s="347" t="b">
        <f t="shared" si="138"/>
        <v>0</v>
      </c>
      <c r="IU73" s="347" t="b">
        <f t="shared" si="139"/>
        <v>0</v>
      </c>
      <c r="IV73" s="347" t="b">
        <f t="shared" si="140"/>
        <v>0</v>
      </c>
      <c r="IW73" s="347" t="b">
        <f t="shared" si="141"/>
        <v>0</v>
      </c>
      <c r="IX73" s="347" t="b">
        <f t="shared" si="142"/>
        <v>0</v>
      </c>
      <c r="IY73" s="347" t="b">
        <f t="shared" si="143"/>
        <v>0</v>
      </c>
      <c r="IZ73" s="347" t="b">
        <f t="shared" si="144"/>
        <v>0</v>
      </c>
      <c r="JA73" s="347" t="b">
        <f t="shared" si="145"/>
        <v>1</v>
      </c>
      <c r="JB73" s="353" t="b">
        <f t="shared" si="146"/>
        <v>0</v>
      </c>
      <c r="JC73" s="354" t="str">
        <f t="shared" si="147"/>
        <v/>
      </c>
      <c r="JD73" s="355" t="str">
        <f t="shared" si="148"/>
        <v/>
      </c>
      <c r="JE73" s="355" t="str">
        <f t="shared" si="149"/>
        <v>Re, </v>
      </c>
      <c r="JF73" s="355" t="str">
        <f t="shared" si="150"/>
        <v/>
      </c>
      <c r="JG73" s="355" t="str">
        <f t="shared" si="151"/>
        <v/>
      </c>
      <c r="JH73" s="355" t="str">
        <f t="shared" si="152"/>
        <v/>
      </c>
      <c r="JI73" s="355" t="str">
        <f t="shared" si="153"/>
        <v/>
      </c>
      <c r="JJ73" s="355" t="str">
        <f t="shared" si="154"/>
        <v/>
      </c>
      <c r="JK73" s="355" t="str">
        <f t="shared" si="155"/>
        <v/>
      </c>
      <c r="JL73" s="355" t="str">
        <f t="shared" si="156"/>
        <v/>
      </c>
      <c r="JM73" s="355" t="str">
        <f t="shared" si="157"/>
        <v/>
      </c>
      <c r="JN73" s="355" t="str">
        <f t="shared" si="158"/>
        <v>Ni, </v>
      </c>
      <c r="JO73" s="359" t="str">
        <f t="shared" si="159"/>
        <v/>
      </c>
      <c r="JP73" s="346" t="b">
        <f t="shared" si="160"/>
        <v>0</v>
      </c>
      <c r="JQ73" s="347" t="b">
        <f t="shared" si="161"/>
        <v>0</v>
      </c>
      <c r="JR73" s="347" t="b">
        <f t="shared" si="162"/>
        <v>0</v>
      </c>
      <c r="JS73" s="347" t="b">
        <f t="shared" si="163"/>
        <v>0</v>
      </c>
      <c r="JT73" s="347" t="b">
        <f t="shared" si="164"/>
        <v>0</v>
      </c>
      <c r="JU73" s="347" t="b">
        <f t="shared" si="165"/>
        <v>0</v>
      </c>
      <c r="JV73" s="347" t="b">
        <f t="shared" si="166"/>
        <v>0</v>
      </c>
      <c r="JW73" s="347" t="b">
        <f t="shared" si="167"/>
        <v>0</v>
      </c>
      <c r="JX73" s="347" t="b">
        <f t="shared" si="168"/>
        <v>0</v>
      </c>
      <c r="JY73" s="347" t="b">
        <f t="shared" si="169"/>
        <v>0</v>
      </c>
      <c r="JZ73" s="347" t="b">
        <f t="shared" si="170"/>
        <v>0</v>
      </c>
      <c r="KA73" s="347" t="b">
        <f t="shared" si="171"/>
        <v>1</v>
      </c>
      <c r="KB73" s="365" t="b">
        <f t="shared" si="172"/>
        <v>0</v>
      </c>
      <c r="KC73" s="354" t="str">
        <f t="shared" si="173"/>
        <v/>
      </c>
      <c r="KD73" s="355" t="str">
        <f t="shared" si="174"/>
        <v/>
      </c>
      <c r="KE73" s="355" t="str">
        <f t="shared" si="175"/>
        <v/>
      </c>
      <c r="KF73" s="355" t="str">
        <f t="shared" si="176"/>
        <v/>
      </c>
      <c r="KG73" s="355" t="str">
        <f t="shared" si="177"/>
        <v/>
      </c>
      <c r="KH73" s="355" t="str">
        <f t="shared" si="178"/>
        <v/>
      </c>
      <c r="KI73" s="355" t="str">
        <f t="shared" si="179"/>
        <v/>
      </c>
      <c r="KJ73" s="355" t="str">
        <f t="shared" si="180"/>
        <v/>
      </c>
      <c r="KK73" s="355" t="str">
        <f t="shared" si="181"/>
        <v/>
      </c>
      <c r="KL73" s="355" t="str">
        <f t="shared" si="182"/>
        <v/>
      </c>
      <c r="KM73" s="355" t="str">
        <f t="shared" si="183"/>
        <v/>
      </c>
      <c r="KN73" s="355" t="str">
        <f t="shared" si="184"/>
        <v>Ni, </v>
      </c>
      <c r="KO73" s="359"/>
      <c r="KP73" s="378"/>
      <c r="KQ73" s="379" t="s">
        <v>1258</v>
      </c>
      <c r="KR73" s="380" t="s">
        <v>1364</v>
      </c>
      <c r="KS73" s="381" t="str">
        <f t="shared" si="343"/>
        <v>S-R-g-m-d-N-S</v>
      </c>
      <c r="KT73" s="382">
        <f t="shared" si="186"/>
        <v>6</v>
      </c>
      <c r="KU73" s="383">
        <f t="shared" si="187"/>
        <v>6</v>
      </c>
      <c r="KV73" s="381" t="str">
        <f t="shared" si="205"/>
        <v>S-Nn-d-m-g-R-S</v>
      </c>
      <c r="KW73" s="382">
        <f t="shared" si="189"/>
        <v>6</v>
      </c>
      <c r="KX73" s="384">
        <f t="shared" si="190"/>
        <v>7</v>
      </c>
      <c r="KY73" s="382">
        <f t="shared" ref="KY73:KZ73" si="344">KW73-KT73</f>
        <v>0</v>
      </c>
      <c r="KZ73" s="369">
        <f t="shared" si="344"/>
        <v>1</v>
      </c>
      <c r="LA73" s="385" t="str">
        <f t="shared" si="192"/>
        <v>-</v>
      </c>
      <c r="LB73" s="340" t="str">
        <f>IFERROR(__xludf.DUMMYFUNCTION("JOIN("""",ArrayFormula(MID(KS73,LEN(KS73)-SEQUENCE(1,LEN(KS73))+1,1)))"),"S-N-d-m-g-R-S")</f>
        <v>S-N-d-m-g-R-S</v>
      </c>
      <c r="LC73" s="373" t="str">
        <f>IFERROR(__xludf.DUMMYFUNCTION("JOIN("""",ArrayFormula(MID(KV73,LEN(KV73)-SEQUENCE(1,LEN(KV73))+1,1)))"),"S-R-g-m-d-nN-S")</f>
        <v>S-R-g-m-d-nN-S</v>
      </c>
      <c r="LD73" s="373" t="str">
        <f t="shared" si="193"/>
        <v>SRgmdNS</v>
      </c>
      <c r="LE73" s="339" t="str">
        <f t="shared" si="194"/>
        <v>SRgmdnNS</v>
      </c>
      <c r="LF73" s="386" t="str">
        <f>IFERROR(__xludf.DUMMYFUNCTION("SUBSTITUTE(SUBSTITUTE(CONCATENATE(JOIN("""",LH73:LT73)),""1"",""""),""2"","""")"),"SRgmdnNS")</f>
        <v>SRgmdnNS</v>
      </c>
      <c r="LG73" s="369" t="str">
        <f t="shared" si="195"/>
        <v>-</v>
      </c>
      <c r="LH73" s="387" t="str">
        <f>IFERROR(__xludf.DUMMYFUNCTION("IF(REGEXMATCH(LD73, ""S""), ""S"",IF(REGEXMATCH(LE73, ""S""), ""S"",""""))"),"S")</f>
        <v>S</v>
      </c>
      <c r="LI73" s="299" t="str">
        <f>IFERROR(__xludf.DUMMYFUNCTION("IF(REGEXMATCH(LD73, ""r""), ""r1"",IF(REGEXMATCH(LE73, ""r""), ""r2"",""""))"),"")</f>
        <v/>
      </c>
      <c r="LJ73" s="299" t="str">
        <f>IFERROR(__xludf.DUMMYFUNCTION("IF(REGEXMATCH(LD73, ""R""), ""R1"",IF(REGEXMATCH(LE73, ""R""), ""R2"",""""))"),"R1")</f>
        <v>R1</v>
      </c>
      <c r="LK73" s="299" t="str">
        <f>IFERROR(__xludf.DUMMYFUNCTION("IF(REGEXMATCH(LD73, ""g""), ""g1"",IF(REGEXMATCH(LE73, ""g""), ""g2"",""""))"),"g1")</f>
        <v>g1</v>
      </c>
      <c r="LL73" s="299" t="str">
        <f>IFERROR(__xludf.DUMMYFUNCTION("IF(REGEXMATCH(LD73, ""G""), ""G1"",IF(REGEXMATCH(LE73, ""G""), ""G2"",""""))"),"")</f>
        <v/>
      </c>
      <c r="LM73" s="299" t="str">
        <f>IFERROR(__xludf.DUMMYFUNCTION("IF(REGEXMATCH(LD73, ""m""), ""m1"",IF(REGEXMATCH(LE73, ""m""), ""m2"",""""))"),"m1")</f>
        <v>m1</v>
      </c>
      <c r="LN73" s="299" t="str">
        <f>IFERROR(__xludf.DUMMYFUNCTION("IF(REGEXMATCH(LD73, ""M""), ""M1"",IF(REGEXMATCH(LE73, ""M""), ""M2"",""""))"),"")</f>
        <v/>
      </c>
      <c r="LO73" s="299" t="str">
        <f>IFERROR(__xludf.DUMMYFUNCTION("IF(REGEXMATCH(LD73, ""P""), ""P1"",IF(REGEXMATCH(LE73, ""P""), ""P2"",""""))"),"")</f>
        <v/>
      </c>
      <c r="LP73" s="299" t="str">
        <f>IFERROR(__xludf.DUMMYFUNCTION("IF(REGEXMATCH(LD73, ""d""), ""d1"",IF(REGEXMATCH(LE73, ""d""), ""d2"",""""))"),"d1")</f>
        <v>d1</v>
      </c>
      <c r="LQ73" s="299" t="str">
        <f>IFERROR(__xludf.DUMMYFUNCTION("IF(REGEXMATCH(LD73, ""D""), ""D1"",IF(REGEXMATCH(LE73, ""D""), ""D2"",""""))"),"")</f>
        <v/>
      </c>
      <c r="LR73" s="299" t="str">
        <f>IFERROR(__xludf.DUMMYFUNCTION("IF(REGEXMATCH(LD73, ""n""), ""n1"",IF(REGEXMATCH(LE73, ""n""), ""n2"",""""))"),"n2")</f>
        <v>n2</v>
      </c>
      <c r="LS73" s="299" t="str">
        <f>IFERROR(__xludf.DUMMYFUNCTION("IF(REGEXMATCH(LD73, ""N""), ""N1"",IF(REGEXMATCH(LE73, ""N""), ""N2"",""""))"),"N1")</f>
        <v>N1</v>
      </c>
      <c r="LT73" s="388" t="str">
        <f>IFERROR(__xludf.DUMMYFUNCTION("IF(REGEXMATCH(LD73, ""S""), ""S"",IF(REGEXMATCH(LE73, ""S""), ""S"",""""))"),"S")</f>
        <v>S</v>
      </c>
      <c r="LU73" s="389">
        <f t="shared" si="196"/>
        <v>0</v>
      </c>
      <c r="LV73" s="378"/>
      <c r="LW73" s="369"/>
      <c r="LX73" s="369"/>
    </row>
    <row r="74" ht="18.0" customHeight="1">
      <c r="A74" s="298" t="s">
        <v>655</v>
      </c>
      <c r="B74" s="222" t="s">
        <v>656</v>
      </c>
      <c r="C74" s="233" t="str">
        <f t="shared" si="7"/>
        <v>SgMPnS</v>
      </c>
      <c r="D74" s="234" t="str">
        <f>IFERROR(__xludf.DUMMYFUNCTION("IF(REGEXMATCH(C74, ""S""), ""S"","""")"),"S")</f>
        <v>S</v>
      </c>
      <c r="E74" s="236" t="str">
        <f>IFERROR(__xludf.DUMMYFUNCTION("IF(REGEXMATCH(C74, ""r""), ""r"","""")"),"")</f>
        <v/>
      </c>
      <c r="F74" s="237" t="str">
        <f>IFERROR(__xludf.DUMMYFUNCTION("IF(REGEXMATCH(C74, ""R""), ""R"","""")"),"")</f>
        <v/>
      </c>
      <c r="G74" s="237" t="str">
        <f>IFERROR(__xludf.DUMMYFUNCTION("IF(REGEXMATCH(C74, ""g""), ""g"","""")"),"g")</f>
        <v>g</v>
      </c>
      <c r="H74" s="236" t="str">
        <f>IFERROR(__xludf.DUMMYFUNCTION("IF(REGEXMATCH(C74, ""G""), ""G"","""")"),"")</f>
        <v/>
      </c>
      <c r="I74" s="236" t="str">
        <f>IFERROR(__xludf.DUMMYFUNCTION("IF(REGEXMATCH(C74, ""m""), ""m"","""")"),"")</f>
        <v/>
      </c>
      <c r="J74" s="237" t="str">
        <f>IFERROR(__xludf.DUMMYFUNCTION("IF(REGEXMATCH(C74, ""M""), ""M"","""")"),"M")</f>
        <v>M</v>
      </c>
      <c r="K74" s="236" t="str">
        <f>IFERROR(__xludf.DUMMYFUNCTION("IF(REGEXMATCH(C74, ""P""), ""P"","""")"),"P")</f>
        <v>P</v>
      </c>
      <c r="L74" s="237" t="str">
        <f>IFERROR(__xludf.DUMMYFUNCTION("IF(REGEXMATCH(C74, ""d""), ""d"","""")"),"")</f>
        <v/>
      </c>
      <c r="M74" s="236" t="str">
        <f>IFERROR(__xludf.DUMMYFUNCTION("IF(REGEXMATCH(C74, ""D""), ""D"","""")"),"")</f>
        <v/>
      </c>
      <c r="N74" s="236" t="str">
        <f>IFERROR(__xludf.DUMMYFUNCTION("IF(REGEXMATCH(C74, ""n""), ""n"","""")"),"n")</f>
        <v>n</v>
      </c>
      <c r="O74" s="237" t="str">
        <f>IFERROR(__xludf.DUMMYFUNCTION("IF(REGEXMATCH(C74, ""N""), ""N"","""")"),"")</f>
        <v/>
      </c>
      <c r="P74" s="238" t="str">
        <f>IFERROR(__xludf.DUMMYFUNCTION("IF(REGEXMATCH(C74, ""S""), ""S"","""")"),"S")</f>
        <v>S</v>
      </c>
      <c r="Q74" s="239" t="str">
        <f>IFERROR(__xludf.DUMMYFUNCTION("SUBSTITUTE(CONCATENATE(JOIN(""-"",D74:J74)),""-"","""")"),"SgM")</f>
        <v>SgM</v>
      </c>
      <c r="R74" s="229" t="str">
        <f>IFERROR(__xludf.DUMMYFUNCTION("SUBSTITUTE(CONCATENATE(JOIN(""-"",K74:P74)),""-"","""")"),"PnS")</f>
        <v>PnS</v>
      </c>
      <c r="S74" s="282" t="str">
        <f t="shared" si="8"/>
        <v>S-G-M</v>
      </c>
      <c r="T74" s="282" t="str">
        <f t="shared" si="9"/>
        <v>P-N-S</v>
      </c>
      <c r="U74" s="237" t="str">
        <f>IFERROR(__xludf.DUMMYFUNCTION("SUBSTITUTE(JOIN(""-"",S74,T74),""--"",""-"")"),"S-G-M-P-N-S")</f>
        <v>S-G-M-P-N-S</v>
      </c>
      <c r="V74" s="309" t="str">
        <f t="shared" si="10"/>
        <v>gMn</v>
      </c>
      <c r="W74" s="244" t="str">
        <f>IFERROR(__xludf.DUMMYFUNCTION("IF(REGEXMATCH(C74, ""S""), ""0"","""")"),"0")</f>
        <v>0</v>
      </c>
      <c r="X74" s="245" t="str">
        <f>IFERROR(__xludf.DUMMYFUNCTION("IF(REGEXMATCH(C74, ""r""), ""1"","""")"),"")</f>
        <v/>
      </c>
      <c r="Y74" s="246" t="str">
        <f>IFERROR(__xludf.DUMMYFUNCTION("IF(REGEXMATCH(C74, ""R""), ""2"","""")"),"")</f>
        <v/>
      </c>
      <c r="Z74" s="246" t="str">
        <f>IFERROR(__xludf.DUMMYFUNCTION("IF(REGEXMATCH(C74, ""g""), ""3"","""")"),"3")</f>
        <v>3</v>
      </c>
      <c r="AA74" s="245" t="str">
        <f>IFERROR(__xludf.DUMMYFUNCTION("IF(REGEXMATCH(C74, ""G""), ""4"","""")"),"")</f>
        <v/>
      </c>
      <c r="AB74" s="245" t="str">
        <f>IFERROR(__xludf.DUMMYFUNCTION("IF(REGEXMATCH(C74, ""m""), ""5"","""")"),"")</f>
        <v/>
      </c>
      <c r="AC74" s="246" t="str">
        <f>IFERROR(__xludf.DUMMYFUNCTION("IF(REGEXMATCH(C74, ""M""), ""6"","""")"),"6")</f>
        <v>6</v>
      </c>
      <c r="AD74" s="245" t="str">
        <f>IFERROR(__xludf.DUMMYFUNCTION("IF(REGEXMATCH(C74, ""P""), ""7"","""")"),"7")</f>
        <v>7</v>
      </c>
      <c r="AE74" s="246" t="str">
        <f>IFERROR(__xludf.DUMMYFUNCTION("IF(REGEXMATCH(C74, ""d""), ""8"","""")"),"")</f>
        <v/>
      </c>
      <c r="AF74" s="245" t="str">
        <f>IFERROR(__xludf.DUMMYFUNCTION("IF(REGEXMATCH(C74, ""D""), ""9"","""")"),"")</f>
        <v/>
      </c>
      <c r="AG74" s="245" t="str">
        <f>IFERROR(__xludf.DUMMYFUNCTION("IF(REGEXMATCH(C74, ""n""), ""10"","""")"),"10")</f>
        <v>10</v>
      </c>
      <c r="AH74" s="246" t="str">
        <f>IFERROR(__xludf.DUMMYFUNCTION("IF(REGEXMATCH(C74, ""N""), ""11"","""")"),"")</f>
        <v/>
      </c>
      <c r="AI74" s="249" t="str">
        <f>IFERROR(__xludf.DUMMYFUNCTION("IF(REGEXMATCH(C74, ""S""), ""0"","""")"),"0")</f>
        <v>0</v>
      </c>
      <c r="AJ74" s="313" t="str">
        <f t="shared" si="11"/>
        <v>T</v>
      </c>
      <c r="AK74" s="313" t="str">
        <f t="shared" si="12"/>
        <v>-</v>
      </c>
      <c r="AL74" s="313" t="str">
        <f t="shared" si="13"/>
        <v>-</v>
      </c>
      <c r="AM74" s="313" t="str">
        <f t="shared" si="14"/>
        <v>-</v>
      </c>
      <c r="AN74" s="313" t="str">
        <f t="shared" si="15"/>
        <v>-</v>
      </c>
      <c r="AO74" s="314" t="str">
        <f t="shared" si="16"/>
        <v>-</v>
      </c>
      <c r="AP74" s="316">
        <f t="shared" si="17"/>
        <v>1</v>
      </c>
      <c r="AQ74" s="319" t="str">
        <f t="shared" si="18"/>
        <v>#REF!</v>
      </c>
      <c r="AR74" s="320">
        <f t="shared" si="19"/>
        <v>0</v>
      </c>
      <c r="AS74" s="250" t="str">
        <f>IFERROR(__xludf.DUMMYFUNCTION("SUBSTITUTE(SUBSTITUTE(CONCATENATE(JOIN("""",FP74:GA74)),""|"",""x""),""-"",""o"")"),"xooxooxxooxo")</f>
        <v>xooxooxxooxo</v>
      </c>
      <c r="AT74" s="323" t="str">
        <f>IFERROR(__xludf.DUMMYFUNCTION("JOIN("""",AS74,AS74)"),"xooxooxxooxoxooxooxxooxo")</f>
        <v>xooxooxxooxoxooxooxxooxo</v>
      </c>
      <c r="AU74" s="256" t="str">
        <f>IFERROR(__xludf.DUMMYFUNCTION("JOIN("""",ArrayFormula(MID(AS74,LEN(AS74)-SEQUENCE(1,LEN(AS74))+1,1)))"),"oxooxxooxoox")</f>
        <v>oxooxxooxoox</v>
      </c>
      <c r="AV74" s="256" t="str">
        <f>IFERROR(__xludf.DUMMYFUNCTION("LEFT(CONCATENATE(""x"",JOIN("""",ArrayFormula(MID(AS74,LEN(AS74)-SEQUENCE(1,LEN(AS74))+1,1)))),12)"),"xoxooxxooxoo")</f>
        <v>xoxooxxooxoo</v>
      </c>
      <c r="AW74" s="327" t="str">
        <f>IFERROR(__xludf.DUMMYFUNCTION("JOIN("""",AU74,AU74)"),"oxooxxooxooxoxooxxooxoox")</f>
        <v>oxooxxooxooxoxooxxooxoox</v>
      </c>
      <c r="AX74" s="239" t="str">
        <f>IFERROR(__xludf.DUMMYFUNCTION("IF(REGEXMATCH(AW74,AS74),""✔"",""-"")"),"-")</f>
        <v>-</v>
      </c>
      <c r="AY74" s="330" t="str">
        <f t="shared" si="20"/>
        <v>-</v>
      </c>
      <c r="AZ74" s="260" t="str">
        <f t="shared" si="21"/>
        <v>#REF!</v>
      </c>
      <c r="BA74" s="333" t="str">
        <f t="shared" si="22"/>
        <v>xooxoox</v>
      </c>
      <c r="BB74" s="334" t="str">
        <f t="shared" si="23"/>
        <v>xooxox</v>
      </c>
      <c r="BC74" s="335" t="str">
        <f t="shared" si="236"/>
        <v>-</v>
      </c>
      <c r="BD74" s="336" t="str">
        <f t="shared" si="25"/>
        <v>Chandramadhu: 'xooxoox' + 'xooxox'</v>
      </c>
      <c r="BE74" s="337">
        <f>IFERROR(__xludf.DUMMYFUNCTION("COUNTUNIQUE(FILTER(AT:AT,REGEXMATCH(AT:AT,AS74)))-1"),1.0)</f>
        <v>1</v>
      </c>
      <c r="BF74" s="261" t="str">
        <f>IFERROR(__xludf.DUMMYFUNCTION("IF(BI74=0,""(n/a)"",IF(BJ74=2,""(PAIR)"",IF(REGEXMATCH(AT74,""xoxoxxoxoxox""),""Bilawal"",IF(REGEXMATCH(AT74,""xoxoxooxoxoo""),""Bhupali"",IF(REGEXMATCH(AT74,""xoxoxxoxxoxo""),""Charukeshi"",IF(REGEXMATCH(AT74,""xoxoooxxoxxo""),""Kameshwari"",IF(REGEXMATC"&amp;"H(AT74,""xoxoxooxoxox""),""Shankara"",IF(REGEXMATCH(AT74,""xxooxoxxxoox""),""Basant"",IF(REGEXMATCH(AT74,""xoxoxxxxoxox""),""Bihag"",IF(REGEXMATCH(AT74,""xoxxxxoxoxxx""),""Pilu"",IF(REGEXMATCH(AT74,""xoxxoxoxxoox""),""Kirwani"",IF(REGEXMATCH(AT74,""xoxxox"&amp;"oxoxxx""),""Mk.Malhar"",IF(REGEXMATCH(AT74,""xxooxxoxxoox""),""Bhairav"",IF(REGEXMATCH(AT74,""xxoxooxxxoox""),""Todi"",IF(REGEXMATCH(AT74,""xxooxoxooxox""),""Marwa"",IF(REGEXMATCH(AT74,""xxoooxoxxooo""),""Gunkali"",IF(REGEXMATCH(AT74,""xoxoxxoxxoox""),""N"&amp;"at Bhairav"",IF(REGEXMATCH(AT74,""xoxxoooxoxoo""),""Shivranjani"",IF(REGEXMATCH(AT74,""xooxxxoxooxo""),""Jog"",IF(REGEXMATCH(AT74,""xxooxoxoxoox""),""Hemshri"",IF(REGEXMATCH(AT74,""xoooxooxoxxo""),""Kalavati"",IF(REGEXMATCH(AT74,""xxoxoxxoxoox""),""Kedar"&amp;""",IF(REGEXMATCH(AT74,""xoxxxxoxooxx""),""Gara"",IF(REGEXMATCH(AT74,""xooxoxooxoox""),""Chandrakauns"",IF(REGEXMATCH(AT74,""xoxxxxoxxxox""),""Mand"",IF(REGEXMATCH(AT74,""xoxxxxoxoxox""),""Hanskinkini"",IF(REGEXMATCH(AT74,""xxooxxoxooxo""),""Lilavati"",IF("&amp;"REGEXMATCH(AT74,""xooxoxoooxox""),""Rajeshwari"",IF(REGEXMATCH(AT74,""xoooxxoxoxxx""),""Khokar"",IF(REGEXMATCH(AT74,""xxooxoxxxxox""),""Maligoura"",""-""))))))))))))))))))))))))))))))"),"Chandrakauns")</f>
        <v>Chandrakauns</v>
      </c>
      <c r="BG74" s="239" t="str">
        <f t="shared" si="26"/>
        <v>#REF!</v>
      </c>
      <c r="BH74" s="239">
        <f>IFERROR(__xludf.DUMMYFUNCTION("COUNTUNIQUE(FE74:FO74)-1"),4.0)</f>
        <v>4</v>
      </c>
      <c r="BI74" s="239">
        <f>IFERROR(__xludf.DUMMYFUNCTION("COUNTUNIQUE(FILTER(AT:AT,REGEXMATCH(AT:AT,AS74)))-1"),1.0)</f>
        <v>1</v>
      </c>
      <c r="BJ74" s="239">
        <f>IFERROR(__xludf.DUMMYFUNCTION("COUNTA(FILTER(AT:AT,REGEXMATCH(AT:AT,AS74)))"),3.0)</f>
        <v>3</v>
      </c>
      <c r="BK74" s="341">
        <f>IFERROR(__xludf.DUMMYFUNCTION("COUNTA(FILTER(AT:AT,REGEXMATCH(AT:AT,AS74)))-AR74"),3.0)</f>
        <v>3</v>
      </c>
      <c r="BL74" s="276" t="str">
        <f>IFERROR(__xludf.DUMMYFUNCTION("IF(AS74=""oooooooooooo"",""-"",IF(REGEXMATCH(AT74,""xx""), ""Hemi."", ""Anhemi.""))"),"Hemi.")</f>
        <v>Hemi.</v>
      </c>
      <c r="BM74" s="282" t="str">
        <f>IFERROR(__xludf.DUMMYFUNCTION("IF(AS74=""oooooooooooo"",""-"",IF(REGEXMATCH(AT74,""xxx""), ""Cohem."", ""-""))"),"-")</f>
        <v>-</v>
      </c>
      <c r="BN74" s="282" t="str">
        <f>IFERROR(__xludf.DUMMYFUNCTION("IF(AS74=""oooooooooooo"",""-"",IF(REGEXMATCH(AT74,""xxxx""), ""Co-Co."", ""-""))"),"-")</f>
        <v>-</v>
      </c>
      <c r="BO74" s="342" t="str">
        <f>IFERROR(__xludf.DUMMYFUNCTION("IF(AS74=""oooooooooooo"",""-"",IF(REGEXMATCH(AT74,""xxxxx""), ""CCC."", ""-""))"),"-")</f>
        <v>-</v>
      </c>
      <c r="BP74" s="344" t="str">
        <f t="shared" si="27"/>
        <v>-</v>
      </c>
      <c r="BQ74" s="282" t="str">
        <f>IFERROR(__xludf.DUMMYFUNCTION("IF(REGEXMATCH(JOIN(""-"",EU74:FD74),""TRUE""),""✔"",""-"")"),"-")</f>
        <v>-</v>
      </c>
      <c r="BR74" s="225">
        <f t="shared" si="28"/>
        <v>0</v>
      </c>
      <c r="BS74" s="345" t="str">
        <f>IFERROR(__xludf.DUMMYFUNCTION("SUBSTITUTE(SUBSTITUTE(SUBSTITUTE(SUBSTITUTE(CONCATENATE(JOIN(""-"",GC74:GO74)),""--"",""-""),""--"",""-""),""--"",""-""),""--"",""-"")"),"1-b3-#4-5-b7-8")</f>
        <v>1-b3-#4-5-b7-8</v>
      </c>
      <c r="BT74" s="299" t="str">
        <f>IFERROR(__xludf.DUMMYFUNCTION("SUBSTITUTE(SUBSTITUTE(SUBSTITUTE(SUBSTITUTE(CONCATENATE(JOIN(""-"",GP74:HB74)),""--"",""-""),""--"",""-""),""--"",""-""),""--"",""-"")"),"S-G2-M2-P-N2-S")</f>
        <v>S-G2-M2-P-N2-S</v>
      </c>
      <c r="BU74" s="348" t="str">
        <f t="shared" si="29"/>
        <v>C-Eb-F#-G-Bb-C</v>
      </c>
      <c r="BV74" s="349" t="str">
        <f t="shared" si="30"/>
        <v>SrRGmdDNS</v>
      </c>
      <c r="BW74" s="350">
        <f t="shared" si="31"/>
        <v>0</v>
      </c>
      <c r="BX74" s="351">
        <f t="shared" si="32"/>
        <v>2</v>
      </c>
      <c r="BY74" s="392"/>
      <c r="BZ74" s="309" t="str">
        <f>IFERROR(__xludf.DUMMYFUNCTION("IF(REGEXMATCH(C74, ""S""), ""x"",""x"")"),"x")</f>
        <v>x</v>
      </c>
      <c r="CA74" s="245" t="str">
        <f>IFERROR(__xludf.DUMMYFUNCTION("IF(REGEXMATCH(C74, ""r""), ""o"",""x"")"),"x")</f>
        <v>x</v>
      </c>
      <c r="CB74" s="246" t="str">
        <f>IFERROR(__xludf.DUMMYFUNCTION("IF(REGEXMATCH(C74, ""R""), ""o"",""x"")"),"x")</f>
        <v>x</v>
      </c>
      <c r="CC74" s="246" t="str">
        <f>IFERROR(__xludf.DUMMYFUNCTION("IF(REGEXMATCH(C74, ""g""), ""o"",""x"")"),"o")</f>
        <v>o</v>
      </c>
      <c r="CD74" s="245" t="str">
        <f>IFERROR(__xludf.DUMMYFUNCTION("IF(REGEXMATCH(C74, ""G""), ""o"",""x"")"),"x")</f>
        <v>x</v>
      </c>
      <c r="CE74" s="245" t="str">
        <f>IFERROR(__xludf.DUMMYFUNCTION("IF(REGEXMATCH(C74, ""m""), ""o"",""x"")"),"x")</f>
        <v>x</v>
      </c>
      <c r="CF74" s="246" t="str">
        <f>IFERROR(__xludf.DUMMYFUNCTION("IF(REGEXMATCH(C74, ""M""), ""o"",""x"")"),"o")</f>
        <v>o</v>
      </c>
      <c r="CG74" s="245" t="str">
        <f>IFERROR(__xludf.DUMMYFUNCTION("IF(REGEXMATCH(C74, ""P""), ""o"",""x"")"),"o")</f>
        <v>o</v>
      </c>
      <c r="CH74" s="246" t="str">
        <f>IFERROR(__xludf.DUMMYFUNCTION("IF(REGEXMATCH(C74, ""d""), ""o"",""x"")"),"x")</f>
        <v>x</v>
      </c>
      <c r="CI74" s="245" t="str">
        <f>IFERROR(__xludf.DUMMYFUNCTION("IF(REGEXMATCH(C74, ""D""), ""o"",""x"")"),"x")</f>
        <v>x</v>
      </c>
      <c r="CJ74" s="245" t="str">
        <f>IFERROR(__xludf.DUMMYFUNCTION("IF(REGEXMATCH(C74, ""n""), ""o"",""x"")"),"o")</f>
        <v>o</v>
      </c>
      <c r="CK74" s="245" t="str">
        <f>IFERROR(__xludf.DUMMYFUNCTION("IF(REGEXMATCH(C74, ""N""), ""o"",""x"")"),"x")</f>
        <v>x</v>
      </c>
      <c r="CL74" s="356" t="str">
        <f>IFERROR(__xludf.DUMMYFUNCTION("IF(REGEXMATCH(C74, ""S""), ""x"",""x"")"),"x")</f>
        <v>x</v>
      </c>
      <c r="CM74" s="357" t="str">
        <f t="shared" si="33"/>
        <v>xxxoxxooxxox</v>
      </c>
      <c r="CN74" s="358">
        <f t="shared" si="34"/>
        <v>0</v>
      </c>
      <c r="CO74" s="246" t="str">
        <f>IFERROR(__xludf.DUMMYFUNCTION("IF(REGEXMATCH($C74, ""S""), ""S"",""S"")"),"S")</f>
        <v>S</v>
      </c>
      <c r="CP74" s="246" t="str">
        <f>IFERROR(__xludf.DUMMYFUNCTION("IF(REGEXMATCH($C74, ""r""), """",""r"")"),"r")</f>
        <v>r</v>
      </c>
      <c r="CQ74" s="246" t="str">
        <f>IFERROR(__xludf.DUMMYFUNCTION("IF(REGEXMATCH($C74, ""R""), """",""R"")"),"R")</f>
        <v>R</v>
      </c>
      <c r="CR74" s="246" t="str">
        <f>IFERROR(__xludf.DUMMYFUNCTION("IF(REGEXMATCH($C74, ""g""), """",""g"")"),"")</f>
        <v/>
      </c>
      <c r="CS74" s="246" t="str">
        <f>IFERROR(__xludf.DUMMYFUNCTION("IF(REGEXMATCH($C74, ""G""), """",""G"")"),"G")</f>
        <v>G</v>
      </c>
      <c r="CT74" s="246" t="str">
        <f>IFERROR(__xludf.DUMMYFUNCTION("IF(REGEXMATCH($C74, ""m""), """",""m"")"),"m")</f>
        <v>m</v>
      </c>
      <c r="CU74" s="246" t="str">
        <f>IFERROR(__xludf.DUMMYFUNCTION("IF(REGEXMATCH($C74, ""M""), """",""M"")"),"")</f>
        <v/>
      </c>
      <c r="CV74" s="246" t="str">
        <f>IFERROR(__xludf.DUMMYFUNCTION("IF(REGEXMATCH($C74, ""P""), """",""P"")"),"")</f>
        <v/>
      </c>
      <c r="CW74" s="246" t="str">
        <f>IFERROR(__xludf.DUMMYFUNCTION("IF(REGEXMATCH($C74, ""d""), """",""d"")"),"d")</f>
        <v>d</v>
      </c>
      <c r="CX74" s="246" t="str">
        <f>IFERROR(__xludf.DUMMYFUNCTION("IF(REGEXMATCH($C74, ""D""), """",""D"")"),"D")</f>
        <v>D</v>
      </c>
      <c r="CY74" s="246" t="str">
        <f>IFERROR(__xludf.DUMMYFUNCTION("IF(REGEXMATCH($C74, ""n""), """",""n"")"),"")</f>
        <v/>
      </c>
      <c r="CZ74" s="246" t="str">
        <f>IFERROR(__xludf.DUMMYFUNCTION("IF(REGEXMATCH($C74, ""N""), """",""N"")"),"N")</f>
        <v>N</v>
      </c>
      <c r="DA74" s="246" t="str">
        <f>IFERROR(__xludf.DUMMYFUNCTION("IF(REGEXMATCH($C74, ""S""), ""S"",""S"")"),"S")</f>
        <v>S</v>
      </c>
      <c r="DB74" s="362" t="str">
        <f>IFERROR(__xludf.DUMMYFUNCTION("JOIN("""",CO74:DA74,"""","""")"),"SrRGmdDNS")</f>
        <v>SrRGmdDNS</v>
      </c>
      <c r="DC74" s="363"/>
      <c r="DD74" s="301" t="str">
        <f t="shared" si="35"/>
        <v>#REF!</v>
      </c>
      <c r="DE74" s="302" t="str">
        <f t="shared" si="36"/>
        <v>#REF!</v>
      </c>
      <c r="DF74" s="301" t="str">
        <f t="shared" ref="DF74:DG74" si="345">SUBSTITUTE(S74,"-","")</f>
        <v>SGM</v>
      </c>
      <c r="DG74" s="301" t="str">
        <f t="shared" si="345"/>
        <v>PNS</v>
      </c>
      <c r="DH74" s="302" t="str">
        <f t="shared" si="38"/>
        <v>Chandrakauns</v>
      </c>
      <c r="DI74" s="301" t="str">
        <f t="shared" si="39"/>
        <v>Hemi.</v>
      </c>
      <c r="DJ74" s="364" t="str">
        <f t="shared" si="40"/>
        <v>-</v>
      </c>
      <c r="DK74" s="306" t="str">
        <f t="shared" si="41"/>
        <v>-</v>
      </c>
      <c r="DL74" s="366" t="str">
        <f t="shared" si="42"/>
        <v>-</v>
      </c>
      <c r="DM74" s="308" t="str">
        <f t="shared" si="43"/>
        <v>✔</v>
      </c>
      <c r="DN74" s="306" t="str">
        <f t="shared" si="44"/>
        <v>-</v>
      </c>
      <c r="DO74" s="306" t="str">
        <f t="shared" si="45"/>
        <v>✔</v>
      </c>
      <c r="DP74" s="367" t="str">
        <f t="shared" si="46"/>
        <v>✔</v>
      </c>
      <c r="DQ74" s="310" t="str">
        <f t="shared" si="47"/>
        <v>-</v>
      </c>
      <c r="DR74" s="310" t="str">
        <f t="shared" si="48"/>
        <v>-</v>
      </c>
      <c r="DS74" s="310" t="str">
        <f t="shared" si="49"/>
        <v>-</v>
      </c>
      <c r="DT74" s="310" t="str">
        <f t="shared" si="50"/>
        <v>-</v>
      </c>
      <c r="DU74" s="370" t="str">
        <f t="shared" si="51"/>
        <v>-</v>
      </c>
      <c r="DV74" s="306" t="str">
        <f t="shared" si="52"/>
        <v>✔</v>
      </c>
      <c r="DW74" s="306" t="str">
        <f t="shared" si="53"/>
        <v>-</v>
      </c>
      <c r="DX74" s="306" t="str">
        <f t="shared" si="54"/>
        <v>-</v>
      </c>
      <c r="DY74" s="306" t="str">
        <f t="shared" si="55"/>
        <v>-</v>
      </c>
      <c r="DZ74" s="306" t="str">
        <f t="shared" si="56"/>
        <v>✔</v>
      </c>
      <c r="EA74" s="367" t="str">
        <f t="shared" si="57"/>
        <v>-</v>
      </c>
      <c r="EB74" s="310" t="str">
        <f>IFERROR(__xludf.DUMMYFUNCTION("IF(REGEXMATCH(AW74,AS74),""✔"",""-"")"),"-")</f>
        <v>-</v>
      </c>
      <c r="EC74" s="310" t="str">
        <f t="shared" si="58"/>
        <v>#REF!</v>
      </c>
      <c r="ED74" s="370" t="str">
        <f t="shared" si="59"/>
        <v>-</v>
      </c>
      <c r="EE74" s="340" t="str">
        <f t="shared" si="60"/>
        <v>S-g-M-P-n-S</v>
      </c>
      <c r="EF74" s="371" t="str">
        <f>IFERROR(__xludf.DUMMYFUNCTION("CONCATENATE(JOIN("""",HC74:HO74))"),"SRmMDS")</f>
        <v>SRmMDS</v>
      </c>
      <c r="EG74" s="372">
        <f t="shared" si="61"/>
        <v>3</v>
      </c>
      <c r="EH74" s="373" t="str">
        <f>IFERROR(__xludf.DUMMYFUNCTION("CONCATENATE(JOIN("""",JC74:JO74))"),"Ma, Pa, ni, ")</f>
        <v>Ma, Pa, ni, </v>
      </c>
      <c r="EI74" s="322">
        <f t="shared" si="62"/>
        <v>1</v>
      </c>
      <c r="EJ74" s="374" t="str">
        <f>IFERROR(__xludf.DUMMYFUNCTION("CONCATENATE(JOIN("""",KC74:KO74))"),"Ma, ")</f>
        <v>Ma, </v>
      </c>
      <c r="EK74" s="325" t="str">
        <f t="shared" si="63"/>
        <v>S-G2-M2-P-N2-S</v>
      </c>
      <c r="EL74" s="326" t="str">
        <f t="shared" si="64"/>
        <v>1-b3-#4-5-b7-8</v>
      </c>
      <c r="EM74" s="318" t="str">
        <f t="shared" si="65"/>
        <v>#REF!</v>
      </c>
      <c r="EN74" s="328" t="str">
        <f>IFERROR(__xludf.DUMMYFUNCTION("SUBSTITUTE(SUBSTITUTE(SUBSTITUTE(SUBSTITUTE(CONCATENATE(JOIN("" "",HP74:IB74)),""  "","" ""),""  "","" ""),""  "","" ""),""  "","" "")"),"o • • o • • o o • • o • o")</f>
        <v>o • • o • • o o • • o • o</v>
      </c>
      <c r="EO74" s="368" t="str">
        <f t="shared" si="66"/>
        <v>Sa-Pa</v>
      </c>
      <c r="EP74" s="339" t="str">
        <f t="shared" si="67"/>
        <v>Sa-Pa</v>
      </c>
      <c r="EQ74" s="339" t="str">
        <f t="shared" si="68"/>
        <v>Sa-Pa</v>
      </c>
      <c r="ER74" s="339" t="str">
        <f t="shared" si="69"/>
        <v>-</v>
      </c>
      <c r="ES74" s="340" t="str">
        <f t="shared" si="70"/>
        <v>-</v>
      </c>
      <c r="ET74" s="363"/>
      <c r="EU74" s="376" t="b">
        <f>IFERROR(__xludf.DUMMYFUNCTION("arrayformula(sum(--REGEXMATCH(""SRGMPDNS"",split(REGEXREPLACE(C74,""(.)"",""$1~""),""~""))))=len(C74)
"),FALSE)</f>
        <v>0</v>
      </c>
      <c r="EV74" s="290" t="b">
        <f>IFERROR(__xludf.DUMMYFUNCTION("arrayformula(sum(--REGEXMATCH(""SRGmPDNS"",split(REGEXREPLACE(C74,""(.)"",""$1~""),""~""))))=len(C74)"),FALSE)</f>
        <v>0</v>
      </c>
      <c r="EW74" s="290" t="b">
        <f>IFERROR(__xludf.DUMMYFUNCTION("arrayformula(sum(--REGEXMATCH(""SRGmPDnS"",split(REGEXREPLACE(C74,""(.)"",""$1~""),""~""))))=len(C74)"),FALSE)</f>
        <v>0</v>
      </c>
      <c r="EX74" s="290" t="b">
        <f>IFERROR(__xludf.DUMMYFUNCTION("arrayformula(sum(--REGEXMATCH(""SRgmPDnS"",split(REGEXREPLACE(C74,""(.)"",""$1~""),""~""))))=len(C74)"),FALSE)</f>
        <v>0</v>
      </c>
      <c r="EY74" s="290" t="b">
        <f>IFERROR(__xludf.DUMMYFUNCTION("arrayformula(sum(--REGEXMATCH(""SRgmPdnS"",split(REGEXREPLACE(C74,""(.)"",""$1~""),""~""))))=len(C74)"),FALSE)</f>
        <v>0</v>
      </c>
      <c r="EZ74" s="290" t="b">
        <f>IFERROR(__xludf.DUMMYFUNCTION("arrayformula(sum(--REGEXMATCH(""SrgmPdnS"",split(REGEXREPLACE(C74,""(.)"",""$1~""),""~""))))=len(C74)"),FALSE)</f>
        <v>0</v>
      </c>
      <c r="FA74" s="290" t="b">
        <f>IFERROR(__xludf.DUMMYFUNCTION("arrayformula(sum(--REGEXMATCH(""SrGmPdNS"",split(REGEXREPLACE(C74,""(.)"",""$1~""),""~""))))=len(C74)"),FALSE)</f>
        <v>0</v>
      </c>
      <c r="FB74" s="290" t="b">
        <f>IFERROR(__xludf.DUMMYFUNCTION("arrayformula(sum(--REGEXMATCH(""SrGMPDNS"",split(REGEXREPLACE(C74,""(.)"",""$1~""),""~""))))=len(C74)"),FALSE)</f>
        <v>0</v>
      </c>
      <c r="FC74" s="290" t="b">
        <f>IFERROR(__xludf.DUMMYFUNCTION("arrayformula(sum(--REGEXMATCH(""SrGMPdNS"",split(REGEXREPLACE(C74,""(.)"",""$1~""),""~""))))=len(C74)"),FALSE)</f>
        <v>0</v>
      </c>
      <c r="FD74" s="377" t="b">
        <f>IFERROR(__xludf.DUMMYFUNCTION("arrayformula(sum(--REGEXMATCH(""SrgMPdNS"",split(REGEXREPLACE(C74,""(.)"",""$1~""),""~""))))=len(C74)"),FALSE)</f>
        <v>0</v>
      </c>
      <c r="FE74" s="269" t="str">
        <f t="shared" si="71"/>
        <v>-</v>
      </c>
      <c r="FF74" s="269" t="str">
        <f t="shared" si="72"/>
        <v>-</v>
      </c>
      <c r="FG74" s="271" t="str">
        <f t="shared" si="73"/>
        <v>xooxxooxoxo</v>
      </c>
      <c r="FH74" s="269" t="str">
        <f t="shared" si="74"/>
        <v>-</v>
      </c>
      <c r="FI74" s="271" t="str">
        <f t="shared" si="75"/>
        <v>-</v>
      </c>
      <c r="FJ74" s="271" t="str">
        <f t="shared" si="76"/>
        <v>xxooxoxooxo</v>
      </c>
      <c r="FK74" s="271" t="str">
        <f t="shared" si="77"/>
        <v>xooxoxooxoo</v>
      </c>
      <c r="FL74" s="271" t="str">
        <f t="shared" si="78"/>
        <v>-</v>
      </c>
      <c r="FM74" s="271" t="str">
        <f t="shared" si="79"/>
        <v>-</v>
      </c>
      <c r="FN74" s="271" t="str">
        <f t="shared" si="80"/>
        <v>xoxooxooxxo</v>
      </c>
      <c r="FO74" s="274" t="str">
        <f t="shared" si="81"/>
        <v>-</v>
      </c>
      <c r="FP74" s="234" t="str">
        <f t="shared" si="82"/>
        <v>|</v>
      </c>
      <c r="FQ74" s="236" t="str">
        <f t="shared" si="83"/>
        <v>-</v>
      </c>
      <c r="FR74" s="237" t="str">
        <f t="shared" si="84"/>
        <v>-</v>
      </c>
      <c r="FS74" s="236" t="str">
        <f t="shared" si="85"/>
        <v>|</v>
      </c>
      <c r="FT74" s="237" t="str">
        <f t="shared" si="86"/>
        <v>-</v>
      </c>
      <c r="FU74" s="236" t="str">
        <f t="shared" si="87"/>
        <v>-</v>
      </c>
      <c r="FV74" s="237" t="str">
        <f t="shared" si="88"/>
        <v>|</v>
      </c>
      <c r="FW74" s="236" t="str">
        <f t="shared" si="89"/>
        <v>|</v>
      </c>
      <c r="FX74" s="237" t="str">
        <f t="shared" si="90"/>
        <v>-</v>
      </c>
      <c r="FY74" s="236" t="str">
        <f t="shared" si="91"/>
        <v>-</v>
      </c>
      <c r="FZ74" s="237" t="str">
        <f t="shared" si="92"/>
        <v>|</v>
      </c>
      <c r="GA74" s="236" t="str">
        <f t="shared" si="93"/>
        <v>-</v>
      </c>
      <c r="GB74" s="238" t="str">
        <f t="shared" si="94"/>
        <v>|</v>
      </c>
      <c r="GC74" s="244" t="str">
        <f>IFERROR(__xludf.DUMMYFUNCTION("IF(REGEXMATCH(C74, ""S""), ""1"","""")"),"1")</f>
        <v>1</v>
      </c>
      <c r="GD74" s="245" t="str">
        <f>IFERROR(__xludf.DUMMYFUNCTION("IF(REGEXMATCH(C74, ""r""), ""b2"","""")"),"")</f>
        <v/>
      </c>
      <c r="GE74" s="246" t="str">
        <f>IFERROR(__xludf.DUMMYFUNCTION("IF(REGEXMATCH(C74, ""R""), ""2"","""")"),"")</f>
        <v/>
      </c>
      <c r="GF74" s="246" t="str">
        <f>IFERROR(__xludf.DUMMYFUNCTION("IF(REGEXMATCH(C74, ""g""), ""b3"","""")"),"b3")</f>
        <v>b3</v>
      </c>
      <c r="GG74" s="245" t="str">
        <f>IFERROR(__xludf.DUMMYFUNCTION("IF(REGEXMATCH(C74, ""G""), ""3"","""")"),"")</f>
        <v/>
      </c>
      <c r="GH74" s="245" t="str">
        <f>IFERROR(__xludf.DUMMYFUNCTION("IF(REGEXMATCH(C74, ""m""), ""4"","""")"),"")</f>
        <v/>
      </c>
      <c r="GI74" s="246" t="str">
        <f>IFERROR(__xludf.DUMMYFUNCTION("IF(REGEXMATCH(C74, ""M""), ""#4"","""")"),"#4")</f>
        <v>#4</v>
      </c>
      <c r="GJ74" s="245" t="str">
        <f>IFERROR(__xludf.DUMMYFUNCTION("IF(REGEXMATCH(C74, ""P""), ""5"","""")"),"5")</f>
        <v>5</v>
      </c>
      <c r="GK74" s="246" t="str">
        <f>IFERROR(__xludf.DUMMYFUNCTION("IF(REGEXMATCH(C74, ""d""), ""b6"","""")"),"")</f>
        <v/>
      </c>
      <c r="GL74" s="245" t="str">
        <f>IFERROR(__xludf.DUMMYFUNCTION("IF(REGEXMATCH(C74, ""D""), ""6"","""")"),"")</f>
        <v/>
      </c>
      <c r="GM74" s="245" t="str">
        <f>IFERROR(__xludf.DUMMYFUNCTION("IF(REGEXMATCH(C74, ""n""), ""b7"","""")"),"b7")</f>
        <v>b7</v>
      </c>
      <c r="GN74" s="246" t="str">
        <f>IFERROR(__xludf.DUMMYFUNCTION("IF(REGEXMATCH(C74, ""N""), ""7"","""")"),"")</f>
        <v/>
      </c>
      <c r="GO74" s="249" t="str">
        <f>IFERROR(__xludf.DUMMYFUNCTION("IF(REGEXMATCH(C74, ""S""), ""8"","""")"),"8")</f>
        <v>8</v>
      </c>
      <c r="GP74" s="244" t="str">
        <f>IFERROR(__xludf.DUMMYFUNCTION("IF(REGEXMATCH(C74, ""S""), ""S"","""")"),"S")</f>
        <v>S</v>
      </c>
      <c r="GQ74" s="294" t="str">
        <f>IFERROR(__xludf.DUMMYFUNCTION("IF(REGEXMATCH(C74, ""r""), ""R1"","""")"),"")</f>
        <v/>
      </c>
      <c r="GR74" s="295" t="str">
        <f>IFERROR(__xludf.DUMMYFUNCTION("IF(REGEXMATCH(C74, ""R""), ""R2"","""")"),"")</f>
        <v/>
      </c>
      <c r="GS74" s="295" t="str">
        <f>IFERROR(__xludf.DUMMYFUNCTION("IF(REGEXMATCH(C74, ""g""), ""G2"","""")"),"G2")</f>
        <v>G2</v>
      </c>
      <c r="GT74" s="294" t="str">
        <f>IFERROR(__xludf.DUMMYFUNCTION("IF(REGEXMATCH(C74, ""G""), ""G3"","""")"),"")</f>
        <v/>
      </c>
      <c r="GU74" s="294" t="str">
        <f>IFERROR(__xludf.DUMMYFUNCTION("IF(REGEXMATCH(C74, ""m""), ""M1"","""")"),"")</f>
        <v/>
      </c>
      <c r="GV74" s="295" t="str">
        <f>IFERROR(__xludf.DUMMYFUNCTION("IF(REGEXMATCH(C74, ""M""), ""M2"","""")"),"M2")</f>
        <v>M2</v>
      </c>
      <c r="GW74" s="294" t="str">
        <f>IFERROR(__xludf.DUMMYFUNCTION("IF(REGEXMATCH(C74, ""P""), ""P"","""")"),"P")</f>
        <v>P</v>
      </c>
      <c r="GX74" s="295" t="str">
        <f>IFERROR(__xludf.DUMMYFUNCTION("IF(REGEXMATCH(C74, ""d""), ""D1"","""")"),"")</f>
        <v/>
      </c>
      <c r="GY74" s="294" t="str">
        <f>IFERROR(__xludf.DUMMYFUNCTION("IF(REGEXMATCH(C74, ""D""), ""D2"","""")"),"")</f>
        <v/>
      </c>
      <c r="GZ74" s="294" t="str">
        <f>IFERROR(__xludf.DUMMYFUNCTION("IF(REGEXMATCH(C74, ""n""), ""N2"","""")"),"N2")</f>
        <v>N2</v>
      </c>
      <c r="HA74" s="295" t="str">
        <f>IFERROR(__xludf.DUMMYFUNCTION("IF(REGEXMATCH(C74, ""N""), ""N3"","""")"),"")</f>
        <v/>
      </c>
      <c r="HB74" s="249" t="str">
        <f>IFERROR(__xludf.DUMMYFUNCTION("IF(REGEXMATCH(C74, ""S""), ""S"","""")"),"S")</f>
        <v>S</v>
      </c>
      <c r="HC74" s="331" t="str">
        <f t="shared" si="95"/>
        <v>S</v>
      </c>
      <c r="HD74" s="332" t="str">
        <f t="shared" si="96"/>
        <v/>
      </c>
      <c r="HE74" s="332" t="str">
        <f t="shared" si="97"/>
        <v>R</v>
      </c>
      <c r="HF74" s="332" t="str">
        <f t="shared" si="98"/>
        <v/>
      </c>
      <c r="HG74" s="332" t="str">
        <f t="shared" si="99"/>
        <v/>
      </c>
      <c r="HH74" s="332" t="str">
        <f t="shared" si="100"/>
        <v>m</v>
      </c>
      <c r="HI74" s="332" t="str">
        <f t="shared" si="101"/>
        <v>M</v>
      </c>
      <c r="HJ74" s="332" t="str">
        <f t="shared" si="102"/>
        <v/>
      </c>
      <c r="HK74" s="332" t="str">
        <f t="shared" si="103"/>
        <v/>
      </c>
      <c r="HL74" s="332" t="str">
        <f t="shared" si="104"/>
        <v>D</v>
      </c>
      <c r="HM74" s="332" t="str">
        <f t="shared" si="105"/>
        <v/>
      </c>
      <c r="HN74" s="332" t="str">
        <f t="shared" si="106"/>
        <v/>
      </c>
      <c r="HO74" s="343" t="str">
        <f t="shared" si="107"/>
        <v>S</v>
      </c>
      <c r="HP74" s="331" t="str">
        <f t="shared" si="108"/>
        <v>o</v>
      </c>
      <c r="HQ74" s="332" t="str">
        <f t="shared" si="109"/>
        <v>•</v>
      </c>
      <c r="HR74" s="332" t="str">
        <f t="shared" si="110"/>
        <v>•</v>
      </c>
      <c r="HS74" s="332" t="str">
        <f t="shared" si="111"/>
        <v>o</v>
      </c>
      <c r="HT74" s="332" t="str">
        <f t="shared" si="112"/>
        <v>•</v>
      </c>
      <c r="HU74" s="332" t="str">
        <f t="shared" si="113"/>
        <v>•</v>
      </c>
      <c r="HV74" s="332" t="str">
        <f t="shared" si="114"/>
        <v>o</v>
      </c>
      <c r="HW74" s="332" t="str">
        <f t="shared" si="115"/>
        <v>o</v>
      </c>
      <c r="HX74" s="332" t="str">
        <f t="shared" si="116"/>
        <v>•</v>
      </c>
      <c r="HY74" s="332" t="str">
        <f t="shared" si="117"/>
        <v>•</v>
      </c>
      <c r="HZ74" s="332" t="str">
        <f t="shared" si="118"/>
        <v>o</v>
      </c>
      <c r="IA74" s="332" t="str">
        <f t="shared" si="119"/>
        <v>•</v>
      </c>
      <c r="IB74" s="338" t="str">
        <f t="shared" si="120"/>
        <v>o</v>
      </c>
      <c r="IC74" s="331" t="str">
        <f t="shared" si="121"/>
        <v>•</v>
      </c>
      <c r="ID74" s="332" t="str">
        <f t="shared" si="122"/>
        <v>o</v>
      </c>
      <c r="IE74" s="332" t="str">
        <f t="shared" si="123"/>
        <v>o</v>
      </c>
      <c r="IF74" s="332" t="str">
        <f t="shared" si="124"/>
        <v>•</v>
      </c>
      <c r="IG74" s="332" t="str">
        <f t="shared" si="125"/>
        <v>o</v>
      </c>
      <c r="IH74" s="332" t="str">
        <f t="shared" si="126"/>
        <v>o</v>
      </c>
      <c r="II74" s="332" t="str">
        <f t="shared" si="127"/>
        <v>•</v>
      </c>
      <c r="IJ74" s="332" t="str">
        <f t="shared" si="128"/>
        <v>•</v>
      </c>
      <c r="IK74" s="332" t="str">
        <f t="shared" si="129"/>
        <v>o</v>
      </c>
      <c r="IL74" s="332" t="str">
        <f t="shared" si="130"/>
        <v>o</v>
      </c>
      <c r="IM74" s="332" t="str">
        <f t="shared" si="131"/>
        <v>•</v>
      </c>
      <c r="IN74" s="332" t="str">
        <f t="shared" si="132"/>
        <v>o</v>
      </c>
      <c r="IO74" s="338" t="str">
        <f t="shared" si="133"/>
        <v>•</v>
      </c>
      <c r="IP74" s="346" t="b">
        <f t="shared" si="134"/>
        <v>0</v>
      </c>
      <c r="IQ74" s="347" t="b">
        <f t="shared" si="135"/>
        <v>0</v>
      </c>
      <c r="IR74" s="347" t="b">
        <f t="shared" si="136"/>
        <v>0</v>
      </c>
      <c r="IS74" s="347" t="b">
        <f t="shared" si="137"/>
        <v>0</v>
      </c>
      <c r="IT74" s="347" t="b">
        <f t="shared" si="138"/>
        <v>0</v>
      </c>
      <c r="IU74" s="347" t="b">
        <f t="shared" si="139"/>
        <v>0</v>
      </c>
      <c r="IV74" s="347" t="b">
        <f t="shared" si="140"/>
        <v>1</v>
      </c>
      <c r="IW74" s="347" t="b">
        <f t="shared" si="141"/>
        <v>1</v>
      </c>
      <c r="IX74" s="347" t="b">
        <f t="shared" si="142"/>
        <v>0</v>
      </c>
      <c r="IY74" s="347" t="b">
        <f t="shared" si="143"/>
        <v>0</v>
      </c>
      <c r="IZ74" s="347" t="b">
        <f t="shared" si="144"/>
        <v>1</v>
      </c>
      <c r="JA74" s="347" t="b">
        <f t="shared" si="145"/>
        <v>0</v>
      </c>
      <c r="JB74" s="353" t="b">
        <f t="shared" si="146"/>
        <v>0</v>
      </c>
      <c r="JC74" s="354" t="str">
        <f t="shared" si="147"/>
        <v/>
      </c>
      <c r="JD74" s="355" t="str">
        <f t="shared" si="148"/>
        <v/>
      </c>
      <c r="JE74" s="355" t="str">
        <f t="shared" si="149"/>
        <v/>
      </c>
      <c r="JF74" s="355" t="str">
        <f t="shared" si="150"/>
        <v/>
      </c>
      <c r="JG74" s="355" t="str">
        <f t="shared" si="151"/>
        <v/>
      </c>
      <c r="JH74" s="355" t="str">
        <f t="shared" si="152"/>
        <v/>
      </c>
      <c r="JI74" s="355" t="str">
        <f t="shared" si="153"/>
        <v>Ma, </v>
      </c>
      <c r="JJ74" s="355" t="str">
        <f t="shared" si="154"/>
        <v>Pa, </v>
      </c>
      <c r="JK74" s="355" t="str">
        <f t="shared" si="155"/>
        <v/>
      </c>
      <c r="JL74" s="355" t="str">
        <f t="shared" si="156"/>
        <v/>
      </c>
      <c r="JM74" s="355" t="str">
        <f t="shared" si="157"/>
        <v>ni, </v>
      </c>
      <c r="JN74" s="355" t="str">
        <f t="shared" si="158"/>
        <v/>
      </c>
      <c r="JO74" s="359" t="str">
        <f t="shared" si="159"/>
        <v/>
      </c>
      <c r="JP74" s="346" t="b">
        <f t="shared" si="160"/>
        <v>0</v>
      </c>
      <c r="JQ74" s="347" t="b">
        <f t="shared" si="161"/>
        <v>0</v>
      </c>
      <c r="JR74" s="347" t="b">
        <f t="shared" si="162"/>
        <v>0</v>
      </c>
      <c r="JS74" s="347" t="b">
        <f t="shared" si="163"/>
        <v>0</v>
      </c>
      <c r="JT74" s="347" t="b">
        <f t="shared" si="164"/>
        <v>0</v>
      </c>
      <c r="JU74" s="347" t="b">
        <f t="shared" si="165"/>
        <v>0</v>
      </c>
      <c r="JV74" s="347" t="b">
        <f t="shared" si="166"/>
        <v>1</v>
      </c>
      <c r="JW74" s="347" t="b">
        <f t="shared" si="167"/>
        <v>0</v>
      </c>
      <c r="JX74" s="347" t="b">
        <f t="shared" si="168"/>
        <v>0</v>
      </c>
      <c r="JY74" s="347" t="b">
        <f t="shared" si="169"/>
        <v>0</v>
      </c>
      <c r="JZ74" s="347" t="b">
        <f t="shared" si="170"/>
        <v>0</v>
      </c>
      <c r="KA74" s="347" t="b">
        <f t="shared" si="171"/>
        <v>0</v>
      </c>
      <c r="KB74" s="365" t="b">
        <f t="shared" si="172"/>
        <v>0</v>
      </c>
      <c r="KC74" s="354" t="str">
        <f t="shared" si="173"/>
        <v/>
      </c>
      <c r="KD74" s="355" t="str">
        <f t="shared" si="174"/>
        <v/>
      </c>
      <c r="KE74" s="355" t="str">
        <f t="shared" si="175"/>
        <v/>
      </c>
      <c r="KF74" s="355" t="str">
        <f t="shared" si="176"/>
        <v/>
      </c>
      <c r="KG74" s="355" t="str">
        <f t="shared" si="177"/>
        <v/>
      </c>
      <c r="KH74" s="355" t="str">
        <f t="shared" si="178"/>
        <v/>
      </c>
      <c r="KI74" s="355" t="str">
        <f t="shared" si="179"/>
        <v>Ma, </v>
      </c>
      <c r="KJ74" s="355" t="str">
        <f t="shared" si="180"/>
        <v/>
      </c>
      <c r="KK74" s="355" t="str">
        <f t="shared" si="181"/>
        <v/>
      </c>
      <c r="KL74" s="355" t="str">
        <f t="shared" si="182"/>
        <v/>
      </c>
      <c r="KM74" s="355" t="str">
        <f t="shared" si="183"/>
        <v/>
      </c>
      <c r="KN74" s="355" t="str">
        <f t="shared" si="184"/>
        <v/>
      </c>
      <c r="KO74" s="359"/>
      <c r="KP74" s="378"/>
      <c r="KQ74" s="379" t="s">
        <v>656</v>
      </c>
      <c r="KR74" s="380" t="s">
        <v>1365</v>
      </c>
      <c r="KS74" s="381" t="str">
        <f t="shared" si="343"/>
        <v>S-g-M-P-n-S</v>
      </c>
      <c r="KT74" s="382">
        <f t="shared" si="186"/>
        <v>5</v>
      </c>
      <c r="KU74" s="383">
        <f t="shared" si="187"/>
        <v>5</v>
      </c>
      <c r="KV74" s="381" t="str">
        <f t="shared" si="205"/>
        <v>S-n-P-M-g-S</v>
      </c>
      <c r="KW74" s="382">
        <f t="shared" si="189"/>
        <v>5</v>
      </c>
      <c r="KX74" s="384">
        <f t="shared" si="190"/>
        <v>5</v>
      </c>
      <c r="KY74" s="382">
        <f t="shared" ref="KY74:KZ74" si="346">KW74-KT74</f>
        <v>0</v>
      </c>
      <c r="KZ74" s="369">
        <f t="shared" si="346"/>
        <v>0</v>
      </c>
      <c r="LA74" s="385" t="str">
        <f t="shared" si="192"/>
        <v>✔</v>
      </c>
      <c r="LB74" s="340" t="str">
        <f>IFERROR(__xludf.DUMMYFUNCTION("JOIN("""",ArrayFormula(MID(KS74,LEN(KS74)-SEQUENCE(1,LEN(KS74))+1,1)))"),"S-n-P-M-g-S")</f>
        <v>S-n-P-M-g-S</v>
      </c>
      <c r="LC74" s="373" t="str">
        <f>IFERROR(__xludf.DUMMYFUNCTION("JOIN("""",ArrayFormula(MID(KV74,LEN(KV74)-SEQUENCE(1,LEN(KV74))+1,1)))"),"S-g-M-P-n-S")</f>
        <v>S-g-M-P-n-S</v>
      </c>
      <c r="LD74" s="373" t="str">
        <f t="shared" si="193"/>
        <v>SgMPnS</v>
      </c>
      <c r="LE74" s="339" t="str">
        <f t="shared" si="194"/>
        <v>SgMPnS</v>
      </c>
      <c r="LF74" s="386" t="str">
        <f>IFERROR(__xludf.DUMMYFUNCTION("SUBSTITUTE(SUBSTITUTE(CONCATENATE(JOIN("""",LH74:LT74)),""1"",""""),""2"","""")"),"SgMPnS")</f>
        <v>SgMPnS</v>
      </c>
      <c r="LG74" s="369" t="str">
        <f t="shared" si="195"/>
        <v>✔</v>
      </c>
      <c r="LH74" s="387" t="str">
        <f>IFERROR(__xludf.DUMMYFUNCTION("IF(REGEXMATCH(LD74, ""S""), ""S"",IF(REGEXMATCH(LE74, ""S""), ""S"",""""))"),"S")</f>
        <v>S</v>
      </c>
      <c r="LI74" s="299" t="str">
        <f>IFERROR(__xludf.DUMMYFUNCTION("IF(REGEXMATCH(LD74, ""r""), ""r1"",IF(REGEXMATCH(LE74, ""r""), ""r2"",""""))"),"")</f>
        <v/>
      </c>
      <c r="LJ74" s="299" t="str">
        <f>IFERROR(__xludf.DUMMYFUNCTION("IF(REGEXMATCH(LD74, ""R""), ""R1"",IF(REGEXMATCH(LE74, ""R""), ""R2"",""""))"),"")</f>
        <v/>
      </c>
      <c r="LK74" s="299" t="str">
        <f>IFERROR(__xludf.DUMMYFUNCTION("IF(REGEXMATCH(LD74, ""g""), ""g1"",IF(REGEXMATCH(LE74, ""g""), ""g2"",""""))"),"g1")</f>
        <v>g1</v>
      </c>
      <c r="LL74" s="299" t="str">
        <f>IFERROR(__xludf.DUMMYFUNCTION("IF(REGEXMATCH(LD74, ""G""), ""G1"",IF(REGEXMATCH(LE74, ""G""), ""G2"",""""))"),"")</f>
        <v/>
      </c>
      <c r="LM74" s="299" t="str">
        <f>IFERROR(__xludf.DUMMYFUNCTION("IF(REGEXMATCH(LD74, ""m""), ""m1"",IF(REGEXMATCH(LE74, ""m""), ""m2"",""""))"),"")</f>
        <v/>
      </c>
      <c r="LN74" s="299" t="str">
        <f>IFERROR(__xludf.DUMMYFUNCTION("IF(REGEXMATCH(LD74, ""M""), ""M1"",IF(REGEXMATCH(LE74, ""M""), ""M2"",""""))"),"M1")</f>
        <v>M1</v>
      </c>
      <c r="LO74" s="299" t="str">
        <f>IFERROR(__xludf.DUMMYFUNCTION("IF(REGEXMATCH(LD74, ""P""), ""P1"",IF(REGEXMATCH(LE74, ""P""), ""P2"",""""))"),"P1")</f>
        <v>P1</v>
      </c>
      <c r="LP74" s="299" t="str">
        <f>IFERROR(__xludf.DUMMYFUNCTION("IF(REGEXMATCH(LD74, ""d""), ""d1"",IF(REGEXMATCH(LE74, ""d""), ""d2"",""""))"),"")</f>
        <v/>
      </c>
      <c r="LQ74" s="299" t="str">
        <f>IFERROR(__xludf.DUMMYFUNCTION("IF(REGEXMATCH(LD74, ""D""), ""D1"",IF(REGEXMATCH(LE74, ""D""), ""D2"",""""))"),"")</f>
        <v/>
      </c>
      <c r="LR74" s="299" t="str">
        <f>IFERROR(__xludf.DUMMYFUNCTION("IF(REGEXMATCH(LD74, ""n""), ""n1"",IF(REGEXMATCH(LE74, ""n""), ""n2"",""""))"),"n1")</f>
        <v>n1</v>
      </c>
      <c r="LS74" s="299" t="str">
        <f>IFERROR(__xludf.DUMMYFUNCTION("IF(REGEXMATCH(LD74, ""N""), ""N1"",IF(REGEXMATCH(LE74, ""N""), ""N2"",""""))"),"")</f>
        <v/>
      </c>
      <c r="LT74" s="388" t="str">
        <f>IFERROR(__xludf.DUMMYFUNCTION("IF(REGEXMATCH(LD74, ""S""), ""S"",IF(REGEXMATCH(LE74, ""S""), ""S"",""""))"),"S")</f>
        <v>S</v>
      </c>
      <c r="LU74" s="389">
        <f t="shared" si="196"/>
        <v>1</v>
      </c>
      <c r="LV74" s="378"/>
      <c r="LW74" s="369"/>
      <c r="LX74" s="369"/>
    </row>
    <row r="75" ht="18.0" customHeight="1">
      <c r="A75" s="298" t="s">
        <v>658</v>
      </c>
      <c r="B75" s="222" t="s">
        <v>727</v>
      </c>
      <c r="C75" s="233" t="str">
        <f t="shared" si="7"/>
        <v>SRgGmPdnNS</v>
      </c>
      <c r="D75" s="234" t="str">
        <f>IFERROR(__xludf.DUMMYFUNCTION("IF(REGEXMATCH(C75, ""S""), ""S"","""")"),"S")</f>
        <v>S</v>
      </c>
      <c r="E75" s="236" t="str">
        <f>IFERROR(__xludf.DUMMYFUNCTION("IF(REGEXMATCH(C75, ""r""), ""r"","""")"),"")</f>
        <v/>
      </c>
      <c r="F75" s="237" t="str">
        <f>IFERROR(__xludf.DUMMYFUNCTION("IF(REGEXMATCH(C75, ""R""), ""R"","""")"),"R")</f>
        <v>R</v>
      </c>
      <c r="G75" s="237" t="str">
        <f>IFERROR(__xludf.DUMMYFUNCTION("IF(REGEXMATCH(C75, ""g""), ""g"","""")"),"g")</f>
        <v>g</v>
      </c>
      <c r="H75" s="236" t="str">
        <f>IFERROR(__xludf.DUMMYFUNCTION("IF(REGEXMATCH(C75, ""G""), ""G"","""")"),"G")</f>
        <v>G</v>
      </c>
      <c r="I75" s="236" t="str">
        <f>IFERROR(__xludf.DUMMYFUNCTION("IF(REGEXMATCH(C75, ""m""), ""m"","""")"),"m")</f>
        <v>m</v>
      </c>
      <c r="J75" s="237" t="str">
        <f>IFERROR(__xludf.DUMMYFUNCTION("IF(REGEXMATCH(C75, ""M""), ""M"","""")"),"")</f>
        <v/>
      </c>
      <c r="K75" s="236" t="str">
        <f>IFERROR(__xludf.DUMMYFUNCTION("IF(REGEXMATCH(C75, ""P""), ""P"","""")"),"P")</f>
        <v>P</v>
      </c>
      <c r="L75" s="237" t="str">
        <f>IFERROR(__xludf.DUMMYFUNCTION("IF(REGEXMATCH(C75, ""d""), ""d"","""")"),"d")</f>
        <v>d</v>
      </c>
      <c r="M75" s="236" t="str">
        <f>IFERROR(__xludf.DUMMYFUNCTION("IF(REGEXMATCH(C75, ""D""), ""D"","""")"),"")</f>
        <v/>
      </c>
      <c r="N75" s="236" t="str">
        <f>IFERROR(__xludf.DUMMYFUNCTION("IF(REGEXMATCH(C75, ""n""), ""n"","""")"),"n")</f>
        <v>n</v>
      </c>
      <c r="O75" s="237" t="str">
        <f>IFERROR(__xludf.DUMMYFUNCTION("IF(REGEXMATCH(C75, ""N""), ""N"","""")"),"N")</f>
        <v>N</v>
      </c>
      <c r="P75" s="238" t="str">
        <f>IFERROR(__xludf.DUMMYFUNCTION("IF(REGEXMATCH(C75, ""S""), ""S"","""")"),"S")</f>
        <v>S</v>
      </c>
      <c r="Q75" s="239" t="str">
        <f>IFERROR(__xludf.DUMMYFUNCTION("SUBSTITUTE(CONCATENATE(JOIN(""-"",D75:J75)),""-"","""")"),"SRgGm")</f>
        <v>SRgGm</v>
      </c>
      <c r="R75" s="229" t="str">
        <f>IFERROR(__xludf.DUMMYFUNCTION("SUBSTITUTE(CONCATENATE(JOIN(""-"",K75:P75)),""-"","""")"),"PdnNS")</f>
        <v>PdnNS</v>
      </c>
      <c r="S75" s="282" t="str">
        <f t="shared" si="8"/>
        <v>S-R-G-M</v>
      </c>
      <c r="T75" s="282" t="str">
        <f t="shared" si="9"/>
        <v>P-D-N-S</v>
      </c>
      <c r="U75" s="237" t="str">
        <f>IFERROR(__xludf.DUMMYFUNCTION("SUBSTITUTE(JOIN(""-"",S75,T75),""--"",""-"")"),"S-R-G-M-P-D-N-S")</f>
        <v>S-R-G-M-P-D-N-S</v>
      </c>
      <c r="V75" s="309" t="str">
        <f t="shared" si="10"/>
        <v>RgGmdnN</v>
      </c>
      <c r="W75" s="244" t="str">
        <f>IFERROR(__xludf.DUMMYFUNCTION("IF(REGEXMATCH(C75, ""S""), ""0"","""")"),"0")</f>
        <v>0</v>
      </c>
      <c r="X75" s="245" t="str">
        <f>IFERROR(__xludf.DUMMYFUNCTION("IF(REGEXMATCH(C75, ""r""), ""1"","""")"),"")</f>
        <v/>
      </c>
      <c r="Y75" s="246" t="str">
        <f>IFERROR(__xludf.DUMMYFUNCTION("IF(REGEXMATCH(C75, ""R""), ""2"","""")"),"2")</f>
        <v>2</v>
      </c>
      <c r="Z75" s="246" t="str">
        <f>IFERROR(__xludf.DUMMYFUNCTION("IF(REGEXMATCH(C75, ""g""), ""3"","""")"),"3")</f>
        <v>3</v>
      </c>
      <c r="AA75" s="245" t="str">
        <f>IFERROR(__xludf.DUMMYFUNCTION("IF(REGEXMATCH(C75, ""G""), ""4"","""")"),"4")</f>
        <v>4</v>
      </c>
      <c r="AB75" s="245" t="str">
        <f>IFERROR(__xludf.DUMMYFUNCTION("IF(REGEXMATCH(C75, ""m""), ""5"","""")"),"5")</f>
        <v>5</v>
      </c>
      <c r="AC75" s="246" t="str">
        <f>IFERROR(__xludf.DUMMYFUNCTION("IF(REGEXMATCH(C75, ""M""), ""6"","""")"),"")</f>
        <v/>
      </c>
      <c r="AD75" s="245" t="str">
        <f>IFERROR(__xludf.DUMMYFUNCTION("IF(REGEXMATCH(C75, ""P""), ""7"","""")"),"7")</f>
        <v>7</v>
      </c>
      <c r="AE75" s="246" t="str">
        <f>IFERROR(__xludf.DUMMYFUNCTION("IF(REGEXMATCH(C75, ""d""), ""8"","""")"),"8")</f>
        <v>8</v>
      </c>
      <c r="AF75" s="245" t="str">
        <f>IFERROR(__xludf.DUMMYFUNCTION("IF(REGEXMATCH(C75, ""D""), ""9"","""")"),"")</f>
        <v/>
      </c>
      <c r="AG75" s="245" t="str">
        <f>IFERROR(__xludf.DUMMYFUNCTION("IF(REGEXMATCH(C75, ""n""), ""10"","""")"),"10")</f>
        <v>10</v>
      </c>
      <c r="AH75" s="246" t="str">
        <f>IFERROR(__xludf.DUMMYFUNCTION("IF(REGEXMATCH(C75, ""N""), ""11"","""")"),"11")</f>
        <v>11</v>
      </c>
      <c r="AI75" s="249" t="str">
        <f>IFERROR(__xludf.DUMMYFUNCTION("IF(REGEXMATCH(C75, ""S""), ""0"","""")"),"0")</f>
        <v>0</v>
      </c>
      <c r="AJ75" s="313" t="str">
        <f t="shared" si="11"/>
        <v>-</v>
      </c>
      <c r="AK75" s="313" t="str">
        <f t="shared" si="12"/>
        <v>-</v>
      </c>
      <c r="AL75" s="313" t="str">
        <f t="shared" si="13"/>
        <v>T</v>
      </c>
      <c r="AM75" s="313" t="str">
        <f t="shared" si="14"/>
        <v>-</v>
      </c>
      <c r="AN75" s="313" t="str">
        <f t="shared" si="15"/>
        <v>T</v>
      </c>
      <c r="AO75" s="314" t="str">
        <f t="shared" si="16"/>
        <v>T</v>
      </c>
      <c r="AP75" s="316">
        <f t="shared" si="17"/>
        <v>3</v>
      </c>
      <c r="AQ75" s="319" t="str">
        <f t="shared" si="18"/>
        <v>-</v>
      </c>
      <c r="AR75" s="320">
        <f t="shared" si="19"/>
        <v>0</v>
      </c>
      <c r="AS75" s="250" t="str">
        <f>IFERROR(__xludf.DUMMYFUNCTION("SUBSTITUTE(SUBSTITUTE(CONCATENATE(JOIN("""",FP75:GA75)),""|"",""x""),""-"",""o"")"),"xoxxxxoxxoxx")</f>
        <v>xoxxxxoxxoxx</v>
      </c>
      <c r="AT75" s="323" t="str">
        <f>IFERROR(__xludf.DUMMYFUNCTION("JOIN("""",AS75,AS75)"),"xoxxxxoxxoxxxoxxxxoxxoxx")</f>
        <v>xoxxxxoxxoxxxoxxxxoxxoxx</v>
      </c>
      <c r="AU75" s="256" t="str">
        <f>IFERROR(__xludf.DUMMYFUNCTION("JOIN("""",ArrayFormula(MID(AS75,LEN(AS75)-SEQUENCE(1,LEN(AS75))+1,1)))"),"xxoxxoxxxxox")</f>
        <v>xxoxxoxxxxox</v>
      </c>
      <c r="AV75" s="256" t="str">
        <f>IFERROR(__xludf.DUMMYFUNCTION("LEFT(CONCATENATE(""x"",JOIN("""",ArrayFormula(MID(AS75,LEN(AS75)-SEQUENCE(1,LEN(AS75))+1,1)))),12)"),"xxxoxxoxxxxo")</f>
        <v>xxxoxxoxxxxo</v>
      </c>
      <c r="AW75" s="327" t="str">
        <f>IFERROR(__xludf.DUMMYFUNCTION("JOIN("""",AU75,AU75)"),"xxoxxoxxxxoxxxoxxoxxxxox")</f>
        <v>xxoxxoxxxxoxxxoxxoxxxxox</v>
      </c>
      <c r="AX75" s="239" t="str">
        <f>IFERROR(__xludf.DUMMYFUNCTION("IF(REGEXMATCH(AW75,AS75),""✔"",""-"")"),"-")</f>
        <v>-</v>
      </c>
      <c r="AY75" s="330" t="str">
        <f t="shared" si="20"/>
        <v>-</v>
      </c>
      <c r="AZ75" s="260" t="str">
        <f t="shared" si="21"/>
        <v>#REF!</v>
      </c>
      <c r="BA75" s="333" t="str">
        <f t="shared" si="22"/>
        <v>xoxxxxo</v>
      </c>
      <c r="BB75" s="334" t="str">
        <f t="shared" si="23"/>
        <v>xxoxxx</v>
      </c>
      <c r="BC75" s="335" t="str">
        <f t="shared" si="236"/>
        <v>-</v>
      </c>
      <c r="BD75" s="336" t="str">
        <f t="shared" si="25"/>
        <v>Chandranandan: 'xoxxxxo' + 'xxoxxx'</v>
      </c>
      <c r="BE75" s="337">
        <f>IFERROR(__xludf.DUMMYFUNCTION("COUNTUNIQUE(FILTER(AT:AT,REGEXMATCH(AT:AT,AS75)))-1"),1.0)</f>
        <v>1</v>
      </c>
      <c r="BF75" s="261" t="str">
        <f>IFERROR(__xludf.DUMMYFUNCTION("IF(BI75=0,""(n/a)"",IF(BJ75=2,""(PAIR)"",IF(REGEXMATCH(AT75,""xoxoxxoxoxox""),""Bilawal"",IF(REGEXMATCH(AT75,""xoxoxooxoxoo""),""Bhupali"",IF(REGEXMATCH(AT75,""xoxoxxoxxoxo""),""Charukeshi"",IF(REGEXMATCH(AT75,""xoxoooxxoxxo""),""Kameshwari"",IF(REGEXMATC"&amp;"H(AT75,""xoxoxooxoxox""),""Shankara"",IF(REGEXMATCH(AT75,""xxooxoxxxoox""),""Basant"",IF(REGEXMATCH(AT75,""xoxoxxxxoxox""),""Bihag"",IF(REGEXMATCH(AT75,""xoxxxxoxoxxx""),""Pilu"",IF(REGEXMATCH(AT75,""xoxxoxoxxoox""),""Kirwani"",IF(REGEXMATCH(AT75,""xoxxox"&amp;"oxoxxx""),""Mk.Malhar"",IF(REGEXMATCH(AT75,""xxooxxoxxoox""),""Bhairav"",IF(REGEXMATCH(AT75,""xxoxooxxxoox""),""Todi"",IF(REGEXMATCH(AT75,""xxooxoxooxox""),""Marwa"",IF(REGEXMATCH(AT75,""xxoooxoxxooo""),""Gunkali"",IF(REGEXMATCH(AT75,""xoxoxxoxxoox""),""N"&amp;"at Bhairav"",IF(REGEXMATCH(AT75,""xoxxoooxoxoo""),""Shivranjani"",IF(REGEXMATCH(AT75,""xooxxxoxooxo""),""Jog"",IF(REGEXMATCH(AT75,""xxooxoxoxoox""),""Hemshri"",IF(REGEXMATCH(AT75,""xoooxooxoxxo""),""Kalavati"",IF(REGEXMATCH(AT75,""xxoxoxxoxoox""),""Kedar"&amp;""",IF(REGEXMATCH(AT75,""xoxxxxoxooxx""),""Gara"",IF(REGEXMATCH(AT75,""xooxoxooxoox""),""Chandrakauns"",IF(REGEXMATCH(AT75,""xoxxxxoxxxox""),""Mand"",IF(REGEXMATCH(AT75,""xoxxxxoxoxox""),""Hanskinkini"",IF(REGEXMATCH(AT75,""xxooxxoxooxo""),""Lilavati"",IF("&amp;"REGEXMATCH(AT75,""xooxoxoooxox""),""Rajeshwari"",IF(REGEXMATCH(AT75,""xoooxxoxoxxx""),""Khokar"",IF(REGEXMATCH(AT75,""xxooxoxxxxox""),""Maligoura"",""-""))))))))))))))))))))))))))))))"),"-")</f>
        <v>-</v>
      </c>
      <c r="BG75" s="239" t="str">
        <f t="shared" si="26"/>
        <v>#REF!</v>
      </c>
      <c r="BH75" s="239">
        <f>IFERROR(__xludf.DUMMYFUNCTION("COUNTUNIQUE(FE75:FO75)-1"),8.0)</f>
        <v>8</v>
      </c>
      <c r="BI75" s="239">
        <f>IFERROR(__xludf.DUMMYFUNCTION("COUNTUNIQUE(FILTER(AT:AT,REGEXMATCH(AT:AT,AS75)))-1"),1.0)</f>
        <v>1</v>
      </c>
      <c r="BJ75" s="239">
        <f>IFERROR(__xludf.DUMMYFUNCTION("COUNTA(FILTER(AT:AT,REGEXMATCH(AT:AT,AS75)))"),3.0)</f>
        <v>3</v>
      </c>
      <c r="BK75" s="341">
        <f>IFERROR(__xludf.DUMMYFUNCTION("COUNTA(FILTER(AT:AT,REGEXMATCH(AT:AT,AS75)))-AR75"),3.0)</f>
        <v>3</v>
      </c>
      <c r="BL75" s="276" t="str">
        <f>IFERROR(__xludf.DUMMYFUNCTION("IF(AS75=""oooooooooooo"",""-"",IF(REGEXMATCH(AT75,""xx""), ""Hemi."", ""Anhemi.""))"),"Hemi.")</f>
        <v>Hemi.</v>
      </c>
      <c r="BM75" s="282" t="str">
        <f>IFERROR(__xludf.DUMMYFUNCTION("IF(AS75=""oooooooooooo"",""-"",IF(REGEXMATCH(AT75,""xxx""), ""Cohem."", ""-""))"),"Cohem.")</f>
        <v>Cohem.</v>
      </c>
      <c r="BN75" s="282" t="str">
        <f>IFERROR(__xludf.DUMMYFUNCTION("IF(AS75=""oooooooooooo"",""-"",IF(REGEXMATCH(AT75,""xxxx""), ""Co-Co."", ""-""))"),"Co-Co.")</f>
        <v>Co-Co.</v>
      </c>
      <c r="BO75" s="342" t="str">
        <f>IFERROR(__xludf.DUMMYFUNCTION("IF(AS75=""oooooooooooo"",""-"",IF(REGEXMATCH(AT75,""xxxxx""), ""CCC."", ""-""))"),"-")</f>
        <v>-</v>
      </c>
      <c r="BP75" s="344" t="str">
        <f t="shared" si="27"/>
        <v>-</v>
      </c>
      <c r="BQ75" s="282" t="str">
        <f>IFERROR(__xludf.DUMMYFUNCTION("IF(REGEXMATCH(JOIN(""-"",EU75:FD75),""TRUE""),""✔"",""-"")"),"-")</f>
        <v>-</v>
      </c>
      <c r="BR75" s="225">
        <f t="shared" si="28"/>
        <v>0</v>
      </c>
      <c r="BS75" s="345" t="str">
        <f>IFERROR(__xludf.DUMMYFUNCTION("SUBSTITUTE(SUBSTITUTE(SUBSTITUTE(SUBSTITUTE(CONCATENATE(JOIN(""-"",GC75:GO75)),""--"",""-""),""--"",""-""),""--"",""-""),""--"",""-"")"),"1-2-b3-3-4-5-b6-b7-7-8")</f>
        <v>1-2-b3-3-4-5-b6-b7-7-8</v>
      </c>
      <c r="BT75" s="299" t="str">
        <f>IFERROR(__xludf.DUMMYFUNCTION("SUBSTITUTE(SUBSTITUTE(SUBSTITUTE(SUBSTITUTE(CONCATENATE(JOIN(""-"",GP75:HB75)),""--"",""-""),""--"",""-""),""--"",""-""),""--"",""-"")"),"S-R2-G2-G3-M1-P-D1-N2-N3-S")</f>
        <v>S-R2-G2-G3-M1-P-D1-N2-N3-S</v>
      </c>
      <c r="BU75" s="348" t="str">
        <f t="shared" si="29"/>
        <v>C-D-Eb-E-F-G-Ab-Bb-B-C</v>
      </c>
      <c r="BV75" s="349" t="str">
        <f t="shared" si="30"/>
        <v>SrMDS</v>
      </c>
      <c r="BW75" s="350">
        <f t="shared" si="31"/>
        <v>0</v>
      </c>
      <c r="BX75" s="351">
        <f t="shared" si="32"/>
        <v>2</v>
      </c>
      <c r="BY75" s="392"/>
      <c r="BZ75" s="309" t="str">
        <f>IFERROR(__xludf.DUMMYFUNCTION("IF(REGEXMATCH(C75, ""S""), ""x"",""x"")"),"x")</f>
        <v>x</v>
      </c>
      <c r="CA75" s="245" t="str">
        <f>IFERROR(__xludf.DUMMYFUNCTION("IF(REGEXMATCH(C75, ""r""), ""o"",""x"")"),"x")</f>
        <v>x</v>
      </c>
      <c r="CB75" s="246" t="str">
        <f>IFERROR(__xludf.DUMMYFUNCTION("IF(REGEXMATCH(C75, ""R""), ""o"",""x"")"),"o")</f>
        <v>o</v>
      </c>
      <c r="CC75" s="246" t="str">
        <f>IFERROR(__xludf.DUMMYFUNCTION("IF(REGEXMATCH(C75, ""g""), ""o"",""x"")"),"o")</f>
        <v>o</v>
      </c>
      <c r="CD75" s="245" t="str">
        <f>IFERROR(__xludf.DUMMYFUNCTION("IF(REGEXMATCH(C75, ""G""), ""o"",""x"")"),"o")</f>
        <v>o</v>
      </c>
      <c r="CE75" s="245" t="str">
        <f>IFERROR(__xludf.DUMMYFUNCTION("IF(REGEXMATCH(C75, ""m""), ""o"",""x"")"),"o")</f>
        <v>o</v>
      </c>
      <c r="CF75" s="246" t="str">
        <f>IFERROR(__xludf.DUMMYFUNCTION("IF(REGEXMATCH(C75, ""M""), ""o"",""x"")"),"x")</f>
        <v>x</v>
      </c>
      <c r="CG75" s="245" t="str">
        <f>IFERROR(__xludf.DUMMYFUNCTION("IF(REGEXMATCH(C75, ""P""), ""o"",""x"")"),"o")</f>
        <v>o</v>
      </c>
      <c r="CH75" s="246" t="str">
        <f>IFERROR(__xludf.DUMMYFUNCTION("IF(REGEXMATCH(C75, ""d""), ""o"",""x"")"),"o")</f>
        <v>o</v>
      </c>
      <c r="CI75" s="245" t="str">
        <f>IFERROR(__xludf.DUMMYFUNCTION("IF(REGEXMATCH(C75, ""D""), ""o"",""x"")"),"x")</f>
        <v>x</v>
      </c>
      <c r="CJ75" s="245" t="str">
        <f>IFERROR(__xludf.DUMMYFUNCTION("IF(REGEXMATCH(C75, ""n""), ""o"",""x"")"),"o")</f>
        <v>o</v>
      </c>
      <c r="CK75" s="245" t="str">
        <f>IFERROR(__xludf.DUMMYFUNCTION("IF(REGEXMATCH(C75, ""N""), ""o"",""x"")"),"o")</f>
        <v>o</v>
      </c>
      <c r="CL75" s="356" t="str">
        <f>IFERROR(__xludf.DUMMYFUNCTION("IF(REGEXMATCH(C75, ""S""), ""x"",""x"")"),"x")</f>
        <v>x</v>
      </c>
      <c r="CM75" s="357" t="str">
        <f t="shared" si="33"/>
        <v>xxooooxooxoo</v>
      </c>
      <c r="CN75" s="358">
        <f t="shared" si="34"/>
        <v>0</v>
      </c>
      <c r="CO75" s="246" t="str">
        <f>IFERROR(__xludf.DUMMYFUNCTION("IF(REGEXMATCH($C75, ""S""), ""S"",""S"")"),"S")</f>
        <v>S</v>
      </c>
      <c r="CP75" s="246" t="str">
        <f>IFERROR(__xludf.DUMMYFUNCTION("IF(REGEXMATCH($C75, ""r""), """",""r"")"),"r")</f>
        <v>r</v>
      </c>
      <c r="CQ75" s="246" t="str">
        <f>IFERROR(__xludf.DUMMYFUNCTION("IF(REGEXMATCH($C75, ""R""), """",""R"")"),"")</f>
        <v/>
      </c>
      <c r="CR75" s="246" t="str">
        <f>IFERROR(__xludf.DUMMYFUNCTION("IF(REGEXMATCH($C75, ""g""), """",""g"")"),"")</f>
        <v/>
      </c>
      <c r="CS75" s="246" t="str">
        <f>IFERROR(__xludf.DUMMYFUNCTION("IF(REGEXMATCH($C75, ""G""), """",""G"")"),"")</f>
        <v/>
      </c>
      <c r="CT75" s="246" t="str">
        <f>IFERROR(__xludf.DUMMYFUNCTION("IF(REGEXMATCH($C75, ""m""), """",""m"")"),"")</f>
        <v/>
      </c>
      <c r="CU75" s="246" t="str">
        <f>IFERROR(__xludf.DUMMYFUNCTION("IF(REGEXMATCH($C75, ""M""), """",""M"")"),"M")</f>
        <v>M</v>
      </c>
      <c r="CV75" s="246" t="str">
        <f>IFERROR(__xludf.DUMMYFUNCTION("IF(REGEXMATCH($C75, ""P""), """",""P"")"),"")</f>
        <v/>
      </c>
      <c r="CW75" s="246" t="str">
        <f>IFERROR(__xludf.DUMMYFUNCTION("IF(REGEXMATCH($C75, ""d""), """",""d"")"),"")</f>
        <v/>
      </c>
      <c r="CX75" s="246" t="str">
        <f>IFERROR(__xludf.DUMMYFUNCTION("IF(REGEXMATCH($C75, ""D""), """",""D"")"),"D")</f>
        <v>D</v>
      </c>
      <c r="CY75" s="246" t="str">
        <f>IFERROR(__xludf.DUMMYFUNCTION("IF(REGEXMATCH($C75, ""n""), """",""n"")"),"")</f>
        <v/>
      </c>
      <c r="CZ75" s="246" t="str">
        <f>IFERROR(__xludf.DUMMYFUNCTION("IF(REGEXMATCH($C75, ""N""), """",""N"")"),"")</f>
        <v/>
      </c>
      <c r="DA75" s="246" t="str">
        <f>IFERROR(__xludf.DUMMYFUNCTION("IF(REGEXMATCH($C75, ""S""), ""S"",""S"")"),"S")</f>
        <v>S</v>
      </c>
      <c r="DB75" s="362" t="str">
        <f>IFERROR(__xludf.DUMMYFUNCTION("JOIN("""",CO75:DA75,"""","""")"),"SrMDS")</f>
        <v>SrMDS</v>
      </c>
      <c r="DC75" s="363"/>
      <c r="DD75" s="301" t="str">
        <f t="shared" si="35"/>
        <v>#REF!</v>
      </c>
      <c r="DE75" s="302" t="str">
        <f t="shared" si="36"/>
        <v>#REF!</v>
      </c>
      <c r="DF75" s="301" t="str">
        <f t="shared" ref="DF75:DG75" si="347">SUBSTITUTE(S75,"-","")</f>
        <v>SRGM</v>
      </c>
      <c r="DG75" s="301" t="str">
        <f t="shared" si="347"/>
        <v>PDNS</v>
      </c>
      <c r="DH75" s="302" t="str">
        <f t="shared" si="38"/>
        <v>-</v>
      </c>
      <c r="DI75" s="301" t="str">
        <f t="shared" si="39"/>
        <v>Hemi.</v>
      </c>
      <c r="DJ75" s="364" t="str">
        <f t="shared" si="40"/>
        <v>Co-Co.</v>
      </c>
      <c r="DK75" s="306" t="str">
        <f t="shared" si="41"/>
        <v>-</v>
      </c>
      <c r="DL75" s="366" t="str">
        <f t="shared" si="42"/>
        <v>-</v>
      </c>
      <c r="DM75" s="308" t="str">
        <f t="shared" si="43"/>
        <v>✔</v>
      </c>
      <c r="DN75" s="306" t="str">
        <f t="shared" si="44"/>
        <v>-</v>
      </c>
      <c r="DO75" s="306" t="str">
        <f t="shared" si="45"/>
        <v>-</v>
      </c>
      <c r="DP75" s="367" t="str">
        <f t="shared" si="46"/>
        <v>-</v>
      </c>
      <c r="DQ75" s="310" t="str">
        <f t="shared" si="47"/>
        <v>-</v>
      </c>
      <c r="DR75" s="310" t="str">
        <f t="shared" si="48"/>
        <v>✔</v>
      </c>
      <c r="DS75" s="310" t="str">
        <f t="shared" si="49"/>
        <v>-</v>
      </c>
      <c r="DT75" s="310" t="str">
        <f t="shared" si="50"/>
        <v>-</v>
      </c>
      <c r="DU75" s="370" t="str">
        <f t="shared" si="51"/>
        <v>✔</v>
      </c>
      <c r="DV75" s="306" t="str">
        <f t="shared" si="52"/>
        <v>-</v>
      </c>
      <c r="DW75" s="306" t="str">
        <f t="shared" si="53"/>
        <v>-</v>
      </c>
      <c r="DX75" s="306" t="str">
        <f t="shared" si="54"/>
        <v>-</v>
      </c>
      <c r="DY75" s="306" t="str">
        <f t="shared" si="55"/>
        <v>-</v>
      </c>
      <c r="DZ75" s="306" t="str">
        <f t="shared" si="56"/>
        <v>-</v>
      </c>
      <c r="EA75" s="367" t="str">
        <f t="shared" si="57"/>
        <v>-</v>
      </c>
      <c r="EB75" s="310" t="str">
        <f>IFERROR(__xludf.DUMMYFUNCTION("IF(REGEXMATCH(AW75,AS75),""✔"",""-"")"),"-")</f>
        <v>-</v>
      </c>
      <c r="EC75" s="310" t="str">
        <f t="shared" si="58"/>
        <v>#REF!</v>
      </c>
      <c r="ED75" s="370" t="str">
        <f t="shared" si="59"/>
        <v>-</v>
      </c>
      <c r="EE75" s="340" t="str">
        <f t="shared" si="60"/>
        <v>S-R-gG-m-P-d-nN-S</v>
      </c>
      <c r="EF75" s="371" t="str">
        <f>IFERROR(__xludf.DUMMYFUNCTION("CONCATENATE(JOIN("""",HC75:HO75))"),"SrRGmPdDnS")</f>
        <v>SrRGmPdDnS</v>
      </c>
      <c r="EG75" s="372">
        <f t="shared" si="61"/>
        <v>2</v>
      </c>
      <c r="EH75" s="373" t="str">
        <f>IFERROR(__xludf.DUMMYFUNCTION("CONCATENATE(JOIN("""",JC75:JO75))"),"Re, Ni, ")</f>
        <v>Re, Ni, </v>
      </c>
      <c r="EI75" s="322">
        <f t="shared" si="62"/>
        <v>0</v>
      </c>
      <c r="EJ75" s="374" t="str">
        <f>IFERROR(__xludf.DUMMYFUNCTION("CONCATENATE(JOIN("""",KC75:KO75))"),"")</f>
        <v/>
      </c>
      <c r="EK75" s="325" t="str">
        <f t="shared" si="63"/>
        <v>S-R2-G2-G3-M1-P-D1-N2-N3-S</v>
      </c>
      <c r="EL75" s="326" t="str">
        <f t="shared" si="64"/>
        <v>1-2-b3-3-4-5-b6-b7-7-8</v>
      </c>
      <c r="EM75" s="318" t="str">
        <f t="shared" si="65"/>
        <v>#REF!</v>
      </c>
      <c r="EN75" s="328" t="str">
        <f>IFERROR(__xludf.DUMMYFUNCTION("SUBSTITUTE(SUBSTITUTE(SUBSTITUTE(SUBSTITUTE(CONCATENATE(JOIN("" "",HP75:IB75)),""  "","" ""),""  "","" ""),""  "","" ""),""  "","" "")"),"o • o o o o • o o • o o o")</f>
        <v>o • o o o o • o o • o o o</v>
      </c>
      <c r="EO75" s="368" t="str">
        <f t="shared" si="66"/>
        <v>-</v>
      </c>
      <c r="EP75" s="339" t="str">
        <f t="shared" si="67"/>
        <v>-</v>
      </c>
      <c r="EQ75" s="339" t="str">
        <f t="shared" si="68"/>
        <v>Sa-Pa</v>
      </c>
      <c r="ER75" s="339" t="str">
        <f t="shared" si="69"/>
        <v>-</v>
      </c>
      <c r="ES75" s="340" t="str">
        <f t="shared" si="70"/>
        <v>-</v>
      </c>
      <c r="ET75" s="363"/>
      <c r="EU75" s="376" t="b">
        <f>IFERROR(__xludf.DUMMYFUNCTION("arrayformula(sum(--REGEXMATCH(""SRGMPDNS"",split(REGEXREPLACE(C75,""(.)"",""$1~""),""~""))))=len(C75)
"),FALSE)</f>
        <v>0</v>
      </c>
      <c r="EV75" s="290" t="b">
        <f>IFERROR(__xludf.DUMMYFUNCTION("arrayformula(sum(--REGEXMATCH(""SRGmPDNS"",split(REGEXREPLACE(C75,""(.)"",""$1~""),""~""))))=len(C75)"),FALSE)</f>
        <v>0</v>
      </c>
      <c r="EW75" s="290" t="b">
        <f>IFERROR(__xludf.DUMMYFUNCTION("arrayformula(sum(--REGEXMATCH(""SRGmPDnS"",split(REGEXREPLACE(C75,""(.)"",""$1~""),""~""))))=len(C75)"),FALSE)</f>
        <v>0</v>
      </c>
      <c r="EX75" s="290" t="b">
        <f>IFERROR(__xludf.DUMMYFUNCTION("arrayformula(sum(--REGEXMATCH(""SRgmPDnS"",split(REGEXREPLACE(C75,""(.)"",""$1~""),""~""))))=len(C75)"),FALSE)</f>
        <v>0</v>
      </c>
      <c r="EY75" s="290" t="b">
        <f>IFERROR(__xludf.DUMMYFUNCTION("arrayformula(sum(--REGEXMATCH(""SRgmPdnS"",split(REGEXREPLACE(C75,""(.)"",""$1~""),""~""))))=len(C75)"),FALSE)</f>
        <v>0</v>
      </c>
      <c r="EZ75" s="290" t="b">
        <f>IFERROR(__xludf.DUMMYFUNCTION("arrayformula(sum(--REGEXMATCH(""SrgmPdnS"",split(REGEXREPLACE(C75,""(.)"",""$1~""),""~""))))=len(C75)"),FALSE)</f>
        <v>0</v>
      </c>
      <c r="FA75" s="290" t="b">
        <f>IFERROR(__xludf.DUMMYFUNCTION("arrayformula(sum(--REGEXMATCH(""SrGmPdNS"",split(REGEXREPLACE(C75,""(.)"",""$1~""),""~""))))=len(C75)"),FALSE)</f>
        <v>0</v>
      </c>
      <c r="FB75" s="290" t="b">
        <f>IFERROR(__xludf.DUMMYFUNCTION("arrayformula(sum(--REGEXMATCH(""SrGMPDNS"",split(REGEXREPLACE(C75,""(.)"",""$1~""),""~""))))=len(C75)"),FALSE)</f>
        <v>0</v>
      </c>
      <c r="FC75" s="290" t="b">
        <f>IFERROR(__xludf.DUMMYFUNCTION("arrayformula(sum(--REGEXMATCH(""SrGMPdNS"",split(REGEXREPLACE(C75,""(.)"",""$1~""),""~""))))=len(C75)"),FALSE)</f>
        <v>0</v>
      </c>
      <c r="FD75" s="377" t="b">
        <f>IFERROR(__xludf.DUMMYFUNCTION("arrayformula(sum(--REGEXMATCH(""SrgMPdNS"",split(REGEXREPLACE(C75,""(.)"",""$1~""),""~""))))=len(C75)"),FALSE)</f>
        <v>0</v>
      </c>
      <c r="FE75" s="269" t="str">
        <f t="shared" si="71"/>
        <v>-</v>
      </c>
      <c r="FF75" s="269" t="str">
        <f t="shared" si="72"/>
        <v>xxxxoxxoxxx</v>
      </c>
      <c r="FG75" s="271" t="str">
        <f t="shared" si="73"/>
        <v>xxxoxxoxxxo</v>
      </c>
      <c r="FH75" s="269" t="str">
        <f t="shared" si="74"/>
        <v>xxoxxoxxxox</v>
      </c>
      <c r="FI75" s="271" t="str">
        <f t="shared" si="75"/>
        <v>xoxxoxxxoxx</v>
      </c>
      <c r="FJ75" s="271" t="str">
        <f t="shared" si="76"/>
        <v>-</v>
      </c>
      <c r="FK75" s="271" t="str">
        <f t="shared" si="77"/>
        <v>xxoxxxoxxxx</v>
      </c>
      <c r="FL75" s="271" t="str">
        <f t="shared" si="78"/>
        <v>xoxxxoxxxxo</v>
      </c>
      <c r="FM75" s="271" t="str">
        <f t="shared" si="79"/>
        <v>-</v>
      </c>
      <c r="FN75" s="271" t="str">
        <f t="shared" si="80"/>
        <v>xxxoxxxxoxx</v>
      </c>
      <c r="FO75" s="274" t="str">
        <f t="shared" si="81"/>
        <v>xxoxxxxoxxo</v>
      </c>
      <c r="FP75" s="234" t="str">
        <f t="shared" si="82"/>
        <v>|</v>
      </c>
      <c r="FQ75" s="236" t="str">
        <f t="shared" si="83"/>
        <v>-</v>
      </c>
      <c r="FR75" s="237" t="str">
        <f t="shared" si="84"/>
        <v>|</v>
      </c>
      <c r="FS75" s="236" t="str">
        <f t="shared" si="85"/>
        <v>|</v>
      </c>
      <c r="FT75" s="237" t="str">
        <f t="shared" si="86"/>
        <v>|</v>
      </c>
      <c r="FU75" s="236" t="str">
        <f t="shared" si="87"/>
        <v>|</v>
      </c>
      <c r="FV75" s="237" t="str">
        <f t="shared" si="88"/>
        <v>-</v>
      </c>
      <c r="FW75" s="236" t="str">
        <f t="shared" si="89"/>
        <v>|</v>
      </c>
      <c r="FX75" s="237" t="str">
        <f t="shared" si="90"/>
        <v>|</v>
      </c>
      <c r="FY75" s="236" t="str">
        <f t="shared" si="91"/>
        <v>-</v>
      </c>
      <c r="FZ75" s="237" t="str">
        <f t="shared" si="92"/>
        <v>|</v>
      </c>
      <c r="GA75" s="236" t="str">
        <f t="shared" si="93"/>
        <v>|</v>
      </c>
      <c r="GB75" s="238" t="str">
        <f t="shared" si="94"/>
        <v>|</v>
      </c>
      <c r="GC75" s="244" t="str">
        <f>IFERROR(__xludf.DUMMYFUNCTION("IF(REGEXMATCH(C75, ""S""), ""1"","""")"),"1")</f>
        <v>1</v>
      </c>
      <c r="GD75" s="245" t="str">
        <f>IFERROR(__xludf.DUMMYFUNCTION("IF(REGEXMATCH(C75, ""r""), ""b2"","""")"),"")</f>
        <v/>
      </c>
      <c r="GE75" s="246" t="str">
        <f>IFERROR(__xludf.DUMMYFUNCTION("IF(REGEXMATCH(C75, ""R""), ""2"","""")"),"2")</f>
        <v>2</v>
      </c>
      <c r="GF75" s="246" t="str">
        <f>IFERROR(__xludf.DUMMYFUNCTION("IF(REGEXMATCH(C75, ""g""), ""b3"","""")"),"b3")</f>
        <v>b3</v>
      </c>
      <c r="GG75" s="245" t="str">
        <f>IFERROR(__xludf.DUMMYFUNCTION("IF(REGEXMATCH(C75, ""G""), ""3"","""")"),"3")</f>
        <v>3</v>
      </c>
      <c r="GH75" s="245" t="str">
        <f>IFERROR(__xludf.DUMMYFUNCTION("IF(REGEXMATCH(C75, ""m""), ""4"","""")"),"4")</f>
        <v>4</v>
      </c>
      <c r="GI75" s="246" t="str">
        <f>IFERROR(__xludf.DUMMYFUNCTION("IF(REGEXMATCH(C75, ""M""), ""#4"","""")"),"")</f>
        <v/>
      </c>
      <c r="GJ75" s="245" t="str">
        <f>IFERROR(__xludf.DUMMYFUNCTION("IF(REGEXMATCH(C75, ""P""), ""5"","""")"),"5")</f>
        <v>5</v>
      </c>
      <c r="GK75" s="246" t="str">
        <f>IFERROR(__xludf.DUMMYFUNCTION("IF(REGEXMATCH(C75, ""d""), ""b6"","""")"),"b6")</f>
        <v>b6</v>
      </c>
      <c r="GL75" s="245" t="str">
        <f>IFERROR(__xludf.DUMMYFUNCTION("IF(REGEXMATCH(C75, ""D""), ""6"","""")"),"")</f>
        <v/>
      </c>
      <c r="GM75" s="245" t="str">
        <f>IFERROR(__xludf.DUMMYFUNCTION("IF(REGEXMATCH(C75, ""n""), ""b7"","""")"),"b7")</f>
        <v>b7</v>
      </c>
      <c r="GN75" s="246" t="str">
        <f>IFERROR(__xludf.DUMMYFUNCTION("IF(REGEXMATCH(C75, ""N""), ""7"","""")"),"7")</f>
        <v>7</v>
      </c>
      <c r="GO75" s="249" t="str">
        <f>IFERROR(__xludf.DUMMYFUNCTION("IF(REGEXMATCH(C75, ""S""), ""8"","""")"),"8")</f>
        <v>8</v>
      </c>
      <c r="GP75" s="244" t="str">
        <f>IFERROR(__xludf.DUMMYFUNCTION("IF(REGEXMATCH(C75, ""S""), ""S"","""")"),"S")</f>
        <v>S</v>
      </c>
      <c r="GQ75" s="294" t="str">
        <f>IFERROR(__xludf.DUMMYFUNCTION("IF(REGEXMATCH(C75, ""r""), ""R1"","""")"),"")</f>
        <v/>
      </c>
      <c r="GR75" s="295" t="str">
        <f>IFERROR(__xludf.DUMMYFUNCTION("IF(REGEXMATCH(C75, ""R""), ""R2"","""")"),"R2")</f>
        <v>R2</v>
      </c>
      <c r="GS75" s="295" t="str">
        <f>IFERROR(__xludf.DUMMYFUNCTION("IF(REGEXMATCH(C75, ""g""), ""G2"","""")"),"G2")</f>
        <v>G2</v>
      </c>
      <c r="GT75" s="294" t="str">
        <f>IFERROR(__xludf.DUMMYFUNCTION("IF(REGEXMATCH(C75, ""G""), ""G3"","""")"),"G3")</f>
        <v>G3</v>
      </c>
      <c r="GU75" s="294" t="str">
        <f>IFERROR(__xludf.DUMMYFUNCTION("IF(REGEXMATCH(C75, ""m""), ""M1"","""")"),"M1")</f>
        <v>M1</v>
      </c>
      <c r="GV75" s="295" t="str">
        <f>IFERROR(__xludf.DUMMYFUNCTION("IF(REGEXMATCH(C75, ""M""), ""M2"","""")"),"")</f>
        <v/>
      </c>
      <c r="GW75" s="294" t="str">
        <f>IFERROR(__xludf.DUMMYFUNCTION("IF(REGEXMATCH(C75, ""P""), ""P"","""")"),"P")</f>
        <v>P</v>
      </c>
      <c r="GX75" s="295" t="str">
        <f>IFERROR(__xludf.DUMMYFUNCTION("IF(REGEXMATCH(C75, ""d""), ""D1"","""")"),"D1")</f>
        <v>D1</v>
      </c>
      <c r="GY75" s="294" t="str">
        <f>IFERROR(__xludf.DUMMYFUNCTION("IF(REGEXMATCH(C75, ""D""), ""D2"","""")"),"")</f>
        <v/>
      </c>
      <c r="GZ75" s="294" t="str">
        <f>IFERROR(__xludf.DUMMYFUNCTION("IF(REGEXMATCH(C75, ""n""), ""N2"","""")"),"N2")</f>
        <v>N2</v>
      </c>
      <c r="HA75" s="295" t="str">
        <f>IFERROR(__xludf.DUMMYFUNCTION("IF(REGEXMATCH(C75, ""N""), ""N3"","""")"),"N3")</f>
        <v>N3</v>
      </c>
      <c r="HB75" s="249" t="str">
        <f>IFERROR(__xludf.DUMMYFUNCTION("IF(REGEXMATCH(C75, ""S""), ""S"","""")"),"S")</f>
        <v>S</v>
      </c>
      <c r="HC75" s="331" t="str">
        <f t="shared" si="95"/>
        <v>S</v>
      </c>
      <c r="HD75" s="332" t="str">
        <f t="shared" si="96"/>
        <v>r</v>
      </c>
      <c r="HE75" s="332" t="str">
        <f t="shared" si="97"/>
        <v>R</v>
      </c>
      <c r="HF75" s="332" t="str">
        <f t="shared" si="98"/>
        <v/>
      </c>
      <c r="HG75" s="332" t="str">
        <f t="shared" si="99"/>
        <v>G</v>
      </c>
      <c r="HH75" s="332" t="str">
        <f t="shared" si="100"/>
        <v>m</v>
      </c>
      <c r="HI75" s="332" t="str">
        <f t="shared" si="101"/>
        <v/>
      </c>
      <c r="HJ75" s="332" t="str">
        <f t="shared" si="102"/>
        <v>P</v>
      </c>
      <c r="HK75" s="332" t="str">
        <f t="shared" si="103"/>
        <v>d</v>
      </c>
      <c r="HL75" s="332" t="str">
        <f t="shared" si="104"/>
        <v>D</v>
      </c>
      <c r="HM75" s="332" t="str">
        <f t="shared" si="105"/>
        <v>n</v>
      </c>
      <c r="HN75" s="332" t="str">
        <f t="shared" si="106"/>
        <v/>
      </c>
      <c r="HO75" s="343" t="str">
        <f t="shared" si="107"/>
        <v>S</v>
      </c>
      <c r="HP75" s="331" t="str">
        <f t="shared" si="108"/>
        <v>o</v>
      </c>
      <c r="HQ75" s="332" t="str">
        <f t="shared" si="109"/>
        <v>•</v>
      </c>
      <c r="HR75" s="332" t="str">
        <f t="shared" si="110"/>
        <v>o</v>
      </c>
      <c r="HS75" s="332" t="str">
        <f t="shared" si="111"/>
        <v>o</v>
      </c>
      <c r="HT75" s="332" t="str">
        <f t="shared" si="112"/>
        <v>o</v>
      </c>
      <c r="HU75" s="332" t="str">
        <f t="shared" si="113"/>
        <v>o</v>
      </c>
      <c r="HV75" s="332" t="str">
        <f t="shared" si="114"/>
        <v>•</v>
      </c>
      <c r="HW75" s="332" t="str">
        <f t="shared" si="115"/>
        <v>o</v>
      </c>
      <c r="HX75" s="332" t="str">
        <f t="shared" si="116"/>
        <v>o</v>
      </c>
      <c r="HY75" s="332" t="str">
        <f t="shared" si="117"/>
        <v>•</v>
      </c>
      <c r="HZ75" s="332" t="str">
        <f t="shared" si="118"/>
        <v>o</v>
      </c>
      <c r="IA75" s="332" t="str">
        <f t="shared" si="119"/>
        <v>o</v>
      </c>
      <c r="IB75" s="338" t="str">
        <f t="shared" si="120"/>
        <v>o</v>
      </c>
      <c r="IC75" s="331" t="str">
        <f t="shared" si="121"/>
        <v>•</v>
      </c>
      <c r="ID75" s="332" t="str">
        <f t="shared" si="122"/>
        <v>o</v>
      </c>
      <c r="IE75" s="332" t="str">
        <f t="shared" si="123"/>
        <v>•</v>
      </c>
      <c r="IF75" s="332" t="str">
        <f t="shared" si="124"/>
        <v>•</v>
      </c>
      <c r="IG75" s="332" t="str">
        <f t="shared" si="125"/>
        <v>•</v>
      </c>
      <c r="IH75" s="332" t="str">
        <f t="shared" si="126"/>
        <v>•</v>
      </c>
      <c r="II75" s="332" t="str">
        <f t="shared" si="127"/>
        <v>o</v>
      </c>
      <c r="IJ75" s="332" t="str">
        <f t="shared" si="128"/>
        <v>•</v>
      </c>
      <c r="IK75" s="332" t="str">
        <f t="shared" si="129"/>
        <v>•</v>
      </c>
      <c r="IL75" s="332" t="str">
        <f t="shared" si="130"/>
        <v>o</v>
      </c>
      <c r="IM75" s="332" t="str">
        <f t="shared" si="131"/>
        <v>•</v>
      </c>
      <c r="IN75" s="332" t="str">
        <f t="shared" si="132"/>
        <v>•</v>
      </c>
      <c r="IO75" s="338" t="str">
        <f t="shared" si="133"/>
        <v>•</v>
      </c>
      <c r="IP75" s="346" t="b">
        <f t="shared" si="134"/>
        <v>0</v>
      </c>
      <c r="IQ75" s="347" t="b">
        <f t="shared" si="135"/>
        <v>0</v>
      </c>
      <c r="IR75" s="347" t="b">
        <f t="shared" si="136"/>
        <v>1</v>
      </c>
      <c r="IS75" s="347" t="b">
        <f t="shared" si="137"/>
        <v>0</v>
      </c>
      <c r="IT75" s="347" t="b">
        <f t="shared" si="138"/>
        <v>0</v>
      </c>
      <c r="IU75" s="347" t="b">
        <f t="shared" si="139"/>
        <v>0</v>
      </c>
      <c r="IV75" s="347" t="b">
        <f t="shared" si="140"/>
        <v>0</v>
      </c>
      <c r="IW75" s="347" t="b">
        <f t="shared" si="141"/>
        <v>0</v>
      </c>
      <c r="IX75" s="347" t="b">
        <f t="shared" si="142"/>
        <v>0</v>
      </c>
      <c r="IY75" s="347" t="b">
        <f t="shared" si="143"/>
        <v>0</v>
      </c>
      <c r="IZ75" s="347" t="b">
        <f t="shared" si="144"/>
        <v>0</v>
      </c>
      <c r="JA75" s="347" t="b">
        <f t="shared" si="145"/>
        <v>1</v>
      </c>
      <c r="JB75" s="353" t="b">
        <f t="shared" si="146"/>
        <v>0</v>
      </c>
      <c r="JC75" s="354" t="str">
        <f t="shared" si="147"/>
        <v/>
      </c>
      <c r="JD75" s="355" t="str">
        <f t="shared" si="148"/>
        <v/>
      </c>
      <c r="JE75" s="355" t="str">
        <f t="shared" si="149"/>
        <v>Re, </v>
      </c>
      <c r="JF75" s="355" t="str">
        <f t="shared" si="150"/>
        <v/>
      </c>
      <c r="JG75" s="355" t="str">
        <f t="shared" si="151"/>
        <v/>
      </c>
      <c r="JH75" s="355" t="str">
        <f t="shared" si="152"/>
        <v/>
      </c>
      <c r="JI75" s="355" t="str">
        <f t="shared" si="153"/>
        <v/>
      </c>
      <c r="JJ75" s="355" t="str">
        <f t="shared" si="154"/>
        <v/>
      </c>
      <c r="JK75" s="355" t="str">
        <f t="shared" si="155"/>
        <v/>
      </c>
      <c r="JL75" s="355" t="str">
        <f t="shared" si="156"/>
        <v/>
      </c>
      <c r="JM75" s="355" t="str">
        <f t="shared" si="157"/>
        <v/>
      </c>
      <c r="JN75" s="355" t="str">
        <f t="shared" si="158"/>
        <v>Ni, </v>
      </c>
      <c r="JO75" s="359" t="str">
        <f t="shared" si="159"/>
        <v/>
      </c>
      <c r="JP75" s="346" t="b">
        <f t="shared" si="160"/>
        <v>0</v>
      </c>
      <c r="JQ75" s="347" t="b">
        <f t="shared" si="161"/>
        <v>0</v>
      </c>
      <c r="JR75" s="347" t="b">
        <f t="shared" si="162"/>
        <v>0</v>
      </c>
      <c r="JS75" s="347" t="b">
        <f t="shared" si="163"/>
        <v>0</v>
      </c>
      <c r="JT75" s="347" t="b">
        <f t="shared" si="164"/>
        <v>0</v>
      </c>
      <c r="JU75" s="347" t="b">
        <f t="shared" si="165"/>
        <v>0</v>
      </c>
      <c r="JV75" s="347" t="b">
        <f t="shared" si="166"/>
        <v>0</v>
      </c>
      <c r="JW75" s="347" t="b">
        <f t="shared" si="167"/>
        <v>0</v>
      </c>
      <c r="JX75" s="347" t="b">
        <f t="shared" si="168"/>
        <v>0</v>
      </c>
      <c r="JY75" s="347" t="b">
        <f t="shared" si="169"/>
        <v>0</v>
      </c>
      <c r="JZ75" s="347" t="b">
        <f t="shared" si="170"/>
        <v>0</v>
      </c>
      <c r="KA75" s="347" t="b">
        <f t="shared" si="171"/>
        <v>0</v>
      </c>
      <c r="KB75" s="365" t="b">
        <f t="shared" si="172"/>
        <v>0</v>
      </c>
      <c r="KC75" s="354" t="str">
        <f t="shared" si="173"/>
        <v/>
      </c>
      <c r="KD75" s="355" t="str">
        <f t="shared" si="174"/>
        <v/>
      </c>
      <c r="KE75" s="355" t="str">
        <f t="shared" si="175"/>
        <v/>
      </c>
      <c r="KF75" s="355" t="str">
        <f t="shared" si="176"/>
        <v/>
      </c>
      <c r="KG75" s="355" t="str">
        <f t="shared" si="177"/>
        <v/>
      </c>
      <c r="KH75" s="355" t="str">
        <f t="shared" si="178"/>
        <v/>
      </c>
      <c r="KI75" s="355" t="str">
        <f t="shared" si="179"/>
        <v/>
      </c>
      <c r="KJ75" s="355" t="str">
        <f t="shared" si="180"/>
        <v/>
      </c>
      <c r="KK75" s="355" t="str">
        <f t="shared" si="181"/>
        <v/>
      </c>
      <c r="KL75" s="355" t="str">
        <f t="shared" si="182"/>
        <v/>
      </c>
      <c r="KM75" s="355" t="str">
        <f t="shared" si="183"/>
        <v/>
      </c>
      <c r="KN75" s="355" t="str">
        <f t="shared" si="184"/>
        <v/>
      </c>
      <c r="KO75" s="359"/>
      <c r="KP75" s="378"/>
      <c r="KQ75" s="379" t="s">
        <v>397</v>
      </c>
      <c r="KR75" s="380" t="s">
        <v>1366</v>
      </c>
      <c r="KS75" s="381" t="str">
        <f t="shared" si="343"/>
        <v>S-g-m-d-n-S</v>
      </c>
      <c r="KT75" s="382">
        <f t="shared" si="186"/>
        <v>5</v>
      </c>
      <c r="KU75" s="383">
        <f t="shared" si="187"/>
        <v>5</v>
      </c>
      <c r="KV75" s="381" t="str">
        <f t="shared" si="205"/>
        <v>S-Nn-d-P-m-g-R-S</v>
      </c>
      <c r="KW75" s="382">
        <f t="shared" si="189"/>
        <v>7</v>
      </c>
      <c r="KX75" s="384">
        <f t="shared" si="190"/>
        <v>8</v>
      </c>
      <c r="KY75" s="382">
        <f t="shared" ref="KY75:KZ75" si="348">KW75-KT75</f>
        <v>2</v>
      </c>
      <c r="KZ75" s="369">
        <f t="shared" si="348"/>
        <v>3</v>
      </c>
      <c r="LA75" s="385" t="str">
        <f t="shared" si="192"/>
        <v>-</v>
      </c>
      <c r="LB75" s="340" t="str">
        <f>IFERROR(__xludf.DUMMYFUNCTION("JOIN("""",ArrayFormula(MID(KS75,LEN(KS75)-SEQUENCE(1,LEN(KS75))+1,1)))"),"S-n-d-m-g-S")</f>
        <v>S-n-d-m-g-S</v>
      </c>
      <c r="LC75" s="373" t="str">
        <f>IFERROR(__xludf.DUMMYFUNCTION("JOIN("""",ArrayFormula(MID(KV75,LEN(KV75)-SEQUENCE(1,LEN(KV75))+1,1)))"),"S-R-g-m-P-d-nN-S")</f>
        <v>S-R-g-m-P-d-nN-S</v>
      </c>
      <c r="LD75" s="373" t="str">
        <f t="shared" si="193"/>
        <v>SgmdnS</v>
      </c>
      <c r="LE75" s="339" t="str">
        <f t="shared" si="194"/>
        <v>SRgmPdnNS</v>
      </c>
      <c r="LF75" s="386" t="str">
        <f>IFERROR(__xludf.DUMMYFUNCTION("SUBSTITUTE(SUBSTITUTE(CONCATENATE(JOIN("""",LH75:LT75)),""1"",""""),""2"","""")"),"SRgmPdnNS")</f>
        <v>SRgmPdnNS</v>
      </c>
      <c r="LG75" s="369" t="str">
        <f t="shared" si="195"/>
        <v>-</v>
      </c>
      <c r="LH75" s="387" t="str">
        <f>IFERROR(__xludf.DUMMYFUNCTION("IF(REGEXMATCH(LD75, ""S""), ""S"",IF(REGEXMATCH(LE75, ""S""), ""S"",""""))"),"S")</f>
        <v>S</v>
      </c>
      <c r="LI75" s="299" t="str">
        <f>IFERROR(__xludf.DUMMYFUNCTION("IF(REGEXMATCH(LD75, ""r""), ""r1"",IF(REGEXMATCH(LE75, ""r""), ""r2"",""""))"),"")</f>
        <v/>
      </c>
      <c r="LJ75" s="299" t="str">
        <f>IFERROR(__xludf.DUMMYFUNCTION("IF(REGEXMATCH(LD75, ""R""), ""R1"",IF(REGEXMATCH(LE75, ""R""), ""R2"",""""))"),"R2")</f>
        <v>R2</v>
      </c>
      <c r="LK75" s="299" t="str">
        <f>IFERROR(__xludf.DUMMYFUNCTION("IF(REGEXMATCH(LD75, ""g""), ""g1"",IF(REGEXMATCH(LE75, ""g""), ""g2"",""""))"),"g1")</f>
        <v>g1</v>
      </c>
      <c r="LL75" s="299" t="str">
        <f>IFERROR(__xludf.DUMMYFUNCTION("IF(REGEXMATCH(LD75, ""G""), ""G1"",IF(REGEXMATCH(LE75, ""G""), ""G2"",""""))"),"")</f>
        <v/>
      </c>
      <c r="LM75" s="299" t="str">
        <f>IFERROR(__xludf.DUMMYFUNCTION("IF(REGEXMATCH(LD75, ""m""), ""m1"",IF(REGEXMATCH(LE75, ""m""), ""m2"",""""))"),"m1")</f>
        <v>m1</v>
      </c>
      <c r="LN75" s="299" t="str">
        <f>IFERROR(__xludf.DUMMYFUNCTION("IF(REGEXMATCH(LD75, ""M""), ""M1"",IF(REGEXMATCH(LE75, ""M""), ""M2"",""""))"),"")</f>
        <v/>
      </c>
      <c r="LO75" s="299" t="str">
        <f>IFERROR(__xludf.DUMMYFUNCTION("IF(REGEXMATCH(LD75, ""P""), ""P1"",IF(REGEXMATCH(LE75, ""P""), ""P2"",""""))"),"P2")</f>
        <v>P2</v>
      </c>
      <c r="LP75" s="299" t="str">
        <f>IFERROR(__xludf.DUMMYFUNCTION("IF(REGEXMATCH(LD75, ""d""), ""d1"",IF(REGEXMATCH(LE75, ""d""), ""d2"",""""))"),"d1")</f>
        <v>d1</v>
      </c>
      <c r="LQ75" s="299" t="str">
        <f>IFERROR(__xludf.DUMMYFUNCTION("IF(REGEXMATCH(LD75, ""D""), ""D1"",IF(REGEXMATCH(LE75, ""D""), ""D2"",""""))"),"")</f>
        <v/>
      </c>
      <c r="LR75" s="299" t="str">
        <f>IFERROR(__xludf.DUMMYFUNCTION("IF(REGEXMATCH(LD75, ""n""), ""n1"",IF(REGEXMATCH(LE75, ""n""), ""n2"",""""))"),"n1")</f>
        <v>n1</v>
      </c>
      <c r="LS75" s="299" t="str">
        <f>IFERROR(__xludf.DUMMYFUNCTION("IF(REGEXMATCH(LD75, ""N""), ""N1"",IF(REGEXMATCH(LE75, ""N""), ""N2"",""""))"),"N2")</f>
        <v>N2</v>
      </c>
      <c r="LT75" s="388" t="str">
        <f>IFERROR(__xludf.DUMMYFUNCTION("IF(REGEXMATCH(LD75, ""S""), ""S"",IF(REGEXMATCH(LE75, ""S""), ""S"",""""))"),"S")</f>
        <v>S</v>
      </c>
      <c r="LU75" s="389">
        <f t="shared" si="196"/>
        <v>-4</v>
      </c>
      <c r="LV75" s="378"/>
      <c r="LW75" s="369"/>
      <c r="LX75" s="369"/>
    </row>
    <row r="76" ht="18.0" customHeight="1">
      <c r="A76" s="298" t="s">
        <v>1367</v>
      </c>
      <c r="B76" s="222" t="s">
        <v>1368</v>
      </c>
      <c r="C76" s="233" t="str">
        <f t="shared" si="7"/>
        <v>SRmdNS</v>
      </c>
      <c r="D76" s="234" t="str">
        <f>IFERROR(__xludf.DUMMYFUNCTION("IF(REGEXMATCH(C76, ""S""), ""S"","""")"),"S")</f>
        <v>S</v>
      </c>
      <c r="E76" s="236" t="str">
        <f>IFERROR(__xludf.DUMMYFUNCTION("IF(REGEXMATCH(C76, ""r""), ""r"","""")"),"")</f>
        <v/>
      </c>
      <c r="F76" s="237" t="str">
        <f>IFERROR(__xludf.DUMMYFUNCTION("IF(REGEXMATCH(C76, ""R""), ""R"","""")"),"R")</f>
        <v>R</v>
      </c>
      <c r="G76" s="237" t="str">
        <f>IFERROR(__xludf.DUMMYFUNCTION("IF(REGEXMATCH(C76, ""g""), ""g"","""")"),"")</f>
        <v/>
      </c>
      <c r="H76" s="236" t="str">
        <f>IFERROR(__xludf.DUMMYFUNCTION("IF(REGEXMATCH(C76, ""G""), ""G"","""")"),"")</f>
        <v/>
      </c>
      <c r="I76" s="236" t="str">
        <f>IFERROR(__xludf.DUMMYFUNCTION("IF(REGEXMATCH(C76, ""m""), ""m"","""")"),"m")</f>
        <v>m</v>
      </c>
      <c r="J76" s="237" t="str">
        <f>IFERROR(__xludf.DUMMYFUNCTION("IF(REGEXMATCH(C76, ""M""), ""M"","""")"),"")</f>
        <v/>
      </c>
      <c r="K76" s="236" t="str">
        <f>IFERROR(__xludf.DUMMYFUNCTION("IF(REGEXMATCH(C76, ""P""), ""P"","""")"),"")</f>
        <v/>
      </c>
      <c r="L76" s="237" t="str">
        <f>IFERROR(__xludf.DUMMYFUNCTION("IF(REGEXMATCH(C76, ""d""), ""d"","""")"),"d")</f>
        <v>d</v>
      </c>
      <c r="M76" s="236" t="str">
        <f>IFERROR(__xludf.DUMMYFUNCTION("IF(REGEXMATCH(C76, ""D""), ""D"","""")"),"")</f>
        <v/>
      </c>
      <c r="N76" s="236" t="str">
        <f>IFERROR(__xludf.DUMMYFUNCTION("IF(REGEXMATCH(C76, ""n""), ""n"","""")"),"")</f>
        <v/>
      </c>
      <c r="O76" s="237" t="str">
        <f>IFERROR(__xludf.DUMMYFUNCTION("IF(REGEXMATCH(C76, ""N""), ""N"","""")"),"N")</f>
        <v>N</v>
      </c>
      <c r="P76" s="238" t="str">
        <f>IFERROR(__xludf.DUMMYFUNCTION("IF(REGEXMATCH(C76, ""S""), ""S"","""")"),"S")</f>
        <v>S</v>
      </c>
      <c r="Q76" s="239" t="str">
        <f>IFERROR(__xludf.DUMMYFUNCTION("SUBSTITUTE(CONCATENATE(JOIN(""-"",D76:J76)),""-"","""")"),"SRm")</f>
        <v>SRm</v>
      </c>
      <c r="R76" s="229" t="str">
        <f>IFERROR(__xludf.DUMMYFUNCTION("SUBSTITUTE(CONCATENATE(JOIN(""-"",K76:P76)),""-"","""")"),"dNS")</f>
        <v>dNS</v>
      </c>
      <c r="S76" s="282" t="str">
        <f t="shared" si="8"/>
        <v>S-R-M</v>
      </c>
      <c r="T76" s="282" t="str">
        <f t="shared" si="9"/>
        <v>D-N-S</v>
      </c>
      <c r="U76" s="237" t="str">
        <f>IFERROR(__xludf.DUMMYFUNCTION("SUBSTITUTE(JOIN(""-"",S76,T76),""--"",""-"")"),"S-R-M-D-N-S")</f>
        <v>S-R-M-D-N-S</v>
      </c>
      <c r="V76" s="309" t="str">
        <f t="shared" si="10"/>
        <v>RmdN</v>
      </c>
      <c r="W76" s="244" t="str">
        <f>IFERROR(__xludf.DUMMYFUNCTION("IF(REGEXMATCH(C76, ""S""), ""0"","""")"),"0")</f>
        <v>0</v>
      </c>
      <c r="X76" s="245" t="str">
        <f>IFERROR(__xludf.DUMMYFUNCTION("IF(REGEXMATCH(C76, ""r""), ""1"","""")"),"")</f>
        <v/>
      </c>
      <c r="Y76" s="246" t="str">
        <f>IFERROR(__xludf.DUMMYFUNCTION("IF(REGEXMATCH(C76, ""R""), ""2"","""")"),"2")</f>
        <v>2</v>
      </c>
      <c r="Z76" s="246" t="str">
        <f>IFERROR(__xludf.DUMMYFUNCTION("IF(REGEXMATCH(C76, ""g""), ""3"","""")"),"")</f>
        <v/>
      </c>
      <c r="AA76" s="245" t="str">
        <f>IFERROR(__xludf.DUMMYFUNCTION("IF(REGEXMATCH(C76, ""G""), ""4"","""")"),"")</f>
        <v/>
      </c>
      <c r="AB76" s="245" t="str">
        <f>IFERROR(__xludf.DUMMYFUNCTION("IF(REGEXMATCH(C76, ""m""), ""5"","""")"),"5")</f>
        <v>5</v>
      </c>
      <c r="AC76" s="246" t="str">
        <f>IFERROR(__xludf.DUMMYFUNCTION("IF(REGEXMATCH(C76, ""M""), ""6"","""")"),"")</f>
        <v/>
      </c>
      <c r="AD76" s="245" t="str">
        <f>IFERROR(__xludf.DUMMYFUNCTION("IF(REGEXMATCH(C76, ""P""), ""7"","""")"),"")</f>
        <v/>
      </c>
      <c r="AE76" s="246" t="str">
        <f>IFERROR(__xludf.DUMMYFUNCTION("IF(REGEXMATCH(C76, ""d""), ""8"","""")"),"8")</f>
        <v>8</v>
      </c>
      <c r="AF76" s="245" t="str">
        <f>IFERROR(__xludf.DUMMYFUNCTION("IF(REGEXMATCH(C76, ""D""), ""9"","""")"),"")</f>
        <v/>
      </c>
      <c r="AG76" s="245" t="str">
        <f>IFERROR(__xludf.DUMMYFUNCTION("IF(REGEXMATCH(C76, ""n""), ""10"","""")"),"")</f>
        <v/>
      </c>
      <c r="AH76" s="246" t="str">
        <f>IFERROR(__xludf.DUMMYFUNCTION("IF(REGEXMATCH(C76, ""N""), ""11"","""")"),"11")</f>
        <v>11</v>
      </c>
      <c r="AI76" s="249" t="str">
        <f>IFERROR(__xludf.DUMMYFUNCTION("IF(REGEXMATCH(C76, ""S""), ""0"","""")"),"0")</f>
        <v>0</v>
      </c>
      <c r="AJ76" s="313" t="str">
        <f t="shared" si="11"/>
        <v>-</v>
      </c>
      <c r="AK76" s="313" t="str">
        <f t="shared" si="12"/>
        <v>-</v>
      </c>
      <c r="AL76" s="313" t="str">
        <f t="shared" si="13"/>
        <v>T</v>
      </c>
      <c r="AM76" s="313" t="str">
        <f t="shared" si="14"/>
        <v>-</v>
      </c>
      <c r="AN76" s="313" t="str">
        <f t="shared" si="15"/>
        <v>-</v>
      </c>
      <c r="AO76" s="314" t="str">
        <f t="shared" si="16"/>
        <v>T</v>
      </c>
      <c r="AP76" s="316">
        <f t="shared" si="17"/>
        <v>2</v>
      </c>
      <c r="AQ76" s="319" t="str">
        <f t="shared" si="18"/>
        <v>#REF!</v>
      </c>
      <c r="AR76" s="320">
        <f t="shared" si="19"/>
        <v>0</v>
      </c>
      <c r="AS76" s="250" t="str">
        <f>IFERROR(__xludf.DUMMYFUNCTION("SUBSTITUTE(SUBSTITUTE(CONCATENATE(JOIN("""",FP76:GA76)),""|"",""x""),""-"",""o"")"),"xoxooxooxoox")</f>
        <v>xoxooxooxoox</v>
      </c>
      <c r="AT76" s="323" t="str">
        <f>IFERROR(__xludf.DUMMYFUNCTION("JOIN("""",AS76,AS76)"),"xoxooxooxooxxoxooxooxoox")</f>
        <v>xoxooxooxooxxoxooxooxoox</v>
      </c>
      <c r="AU76" s="256" t="str">
        <f>IFERROR(__xludf.DUMMYFUNCTION("JOIN("""",ArrayFormula(MID(AS76,LEN(AS76)-SEQUENCE(1,LEN(AS76))+1,1)))"),"xooxooxooxox")</f>
        <v>xooxooxooxox</v>
      </c>
      <c r="AV76" s="256" t="str">
        <f>IFERROR(__xludf.DUMMYFUNCTION("LEFT(CONCATENATE(""x"",JOIN("""",ArrayFormula(MID(AS76,LEN(AS76)-SEQUENCE(1,LEN(AS76))+1,1)))),12)"),"xxooxooxooxo")</f>
        <v>xxooxooxooxo</v>
      </c>
      <c r="AW76" s="327" t="str">
        <f>IFERROR(__xludf.DUMMYFUNCTION("JOIN("""",AU76,AU76)"),"xooxooxooxoxxooxooxooxox")</f>
        <v>xooxooxooxoxxooxooxooxox</v>
      </c>
      <c r="AX76" s="239" t="str">
        <f>IFERROR(__xludf.DUMMYFUNCTION("IF(REGEXMATCH(AW76,AS76),""✔"",""-"")"),"-")</f>
        <v>-</v>
      </c>
      <c r="AY76" s="330" t="str">
        <f t="shared" si="20"/>
        <v>-</v>
      </c>
      <c r="AZ76" s="260" t="str">
        <f t="shared" si="21"/>
        <v>#REF!</v>
      </c>
      <c r="BA76" s="333" t="str">
        <f t="shared" si="22"/>
        <v>xoxooxo</v>
      </c>
      <c r="BB76" s="334" t="str">
        <f t="shared" si="23"/>
        <v>oxooxx</v>
      </c>
      <c r="BC76" s="335" t="str">
        <f t="shared" si="236"/>
        <v>-</v>
      </c>
      <c r="BD76" s="336" t="str">
        <f t="shared" si="25"/>
        <v>Chandraprabha: 'xoxooxo' + 'oxooxx'</v>
      </c>
      <c r="BE76" s="337">
        <f>IFERROR(__xludf.DUMMYFUNCTION("COUNTUNIQUE(FILTER(AT:AT,REGEXMATCH(AT:AT,AS76)))-1"),1.0)</f>
        <v>1</v>
      </c>
      <c r="BF76" s="261" t="str">
        <f>IFERROR(__xludf.DUMMYFUNCTION("IF(BI76=0,""(n/a)"",IF(BJ76=2,""(PAIR)"",IF(REGEXMATCH(AT76,""xoxoxxoxoxox""),""Bilawal"",IF(REGEXMATCH(AT76,""xoxoxooxoxoo""),""Bhupali"",IF(REGEXMATCH(AT76,""xoxoxxoxxoxo""),""Charukeshi"",IF(REGEXMATCH(AT76,""xoxoooxxoxxo""),""Kameshwari"",IF(REGEXMATC"&amp;"H(AT76,""xoxoxooxoxox""),""Shankara"",IF(REGEXMATCH(AT76,""xxooxoxxxoox""),""Basant"",IF(REGEXMATCH(AT76,""xoxoxxxxoxox""),""Bihag"",IF(REGEXMATCH(AT76,""xoxxxxoxoxxx""),""Pilu"",IF(REGEXMATCH(AT76,""xoxxoxoxxoox""),""Kirwani"",IF(REGEXMATCH(AT76,""xoxxox"&amp;"oxoxxx""),""Mk.Malhar"",IF(REGEXMATCH(AT76,""xxooxxoxxoox""),""Bhairav"",IF(REGEXMATCH(AT76,""xxoxooxxxoox""),""Todi"",IF(REGEXMATCH(AT76,""xxooxoxooxox""),""Marwa"",IF(REGEXMATCH(AT76,""xxoooxoxxooo""),""Gunkali"",IF(REGEXMATCH(AT76,""xoxoxxoxxoox""),""N"&amp;"at Bhairav"",IF(REGEXMATCH(AT76,""xoxxoooxoxoo""),""Shivranjani"",IF(REGEXMATCH(AT76,""xooxxxoxooxo""),""Jog"",IF(REGEXMATCH(AT76,""xxooxoxoxoox""),""Hemshri"",IF(REGEXMATCH(AT76,""xoooxooxoxxo""),""Kalavati"",IF(REGEXMATCH(AT76,""xxoxoxxoxoox""),""Kedar"&amp;""",IF(REGEXMATCH(AT76,""xoxxxxoxooxx""),""Gara"",IF(REGEXMATCH(AT76,""xooxoxooxoox""),""Chandrakauns"",IF(REGEXMATCH(AT76,""xoxxxxoxxxox""),""Mand"",IF(REGEXMATCH(AT76,""xoxxxxoxoxox""),""Hanskinkini"",IF(REGEXMATCH(AT76,""xxooxxoxooxo""),""Lilavati"",IF("&amp;"REGEXMATCH(AT76,""xooxoxoooxox""),""Rajeshwari"",IF(REGEXMATCH(AT76,""xoooxxoxoxxx""),""Khokar"",IF(REGEXMATCH(AT76,""xxooxoxxxxox""),""Maligoura"",""-""))))))))))))))))))))))))))))))"),"(PAIR)")</f>
        <v>(PAIR)</v>
      </c>
      <c r="BG76" s="239" t="str">
        <f t="shared" si="26"/>
        <v>#REF!</v>
      </c>
      <c r="BH76" s="239">
        <f>IFERROR(__xludf.DUMMYFUNCTION("COUNTUNIQUE(FE76:FO76)-1"),4.0)</f>
        <v>4</v>
      </c>
      <c r="BI76" s="239">
        <f>IFERROR(__xludf.DUMMYFUNCTION("COUNTUNIQUE(FILTER(AT:AT,REGEXMATCH(AT:AT,AS76)))-1"),1.0)</f>
        <v>1</v>
      </c>
      <c r="BJ76" s="239">
        <f>IFERROR(__xludf.DUMMYFUNCTION("COUNTA(FILTER(AT:AT,REGEXMATCH(AT:AT,AS76)))"),2.0)</f>
        <v>2</v>
      </c>
      <c r="BK76" s="341">
        <f>IFERROR(__xludf.DUMMYFUNCTION("COUNTA(FILTER(AT:AT,REGEXMATCH(AT:AT,AS76)))-AR76"),2.0)</f>
        <v>2</v>
      </c>
      <c r="BL76" s="276" t="str">
        <f>IFERROR(__xludf.DUMMYFUNCTION("IF(AS76=""oooooooooooo"",""-"",IF(REGEXMATCH(AT76,""xx""), ""Hemi."", ""Anhemi.""))"),"Hemi.")</f>
        <v>Hemi.</v>
      </c>
      <c r="BM76" s="282" t="str">
        <f>IFERROR(__xludf.DUMMYFUNCTION("IF(AS76=""oooooooooooo"",""-"",IF(REGEXMATCH(AT76,""xxx""), ""Cohem."", ""-""))"),"-")</f>
        <v>-</v>
      </c>
      <c r="BN76" s="282" t="str">
        <f>IFERROR(__xludf.DUMMYFUNCTION("IF(AS76=""oooooooooooo"",""-"",IF(REGEXMATCH(AT76,""xxxx""), ""Co-Co."", ""-""))"),"-")</f>
        <v>-</v>
      </c>
      <c r="BO76" s="342" t="str">
        <f>IFERROR(__xludf.DUMMYFUNCTION("IF(AS76=""oooooooooooo"",""-"",IF(REGEXMATCH(AT76,""xxxxx""), ""CCC."", ""-""))"),"-")</f>
        <v>-</v>
      </c>
      <c r="BP76" s="344" t="str">
        <f t="shared" si="27"/>
        <v>-</v>
      </c>
      <c r="BQ76" s="282" t="str">
        <f>IFERROR(__xludf.DUMMYFUNCTION("IF(REGEXMATCH(JOIN(""-"",EU76:FD76),""TRUE""),""✔"",""-"")"),"-")</f>
        <v>-</v>
      </c>
      <c r="BR76" s="225">
        <f t="shared" si="28"/>
        <v>0</v>
      </c>
      <c r="BS76" s="345" t="str">
        <f>IFERROR(__xludf.DUMMYFUNCTION("SUBSTITUTE(SUBSTITUTE(SUBSTITUTE(SUBSTITUTE(CONCATENATE(JOIN(""-"",GC76:GO76)),""--"",""-""),""--"",""-""),""--"",""-""),""--"",""-"")"),"1-2-4-b6-7-8")</f>
        <v>1-2-4-b6-7-8</v>
      </c>
      <c r="BT76" s="299" t="str">
        <f>IFERROR(__xludf.DUMMYFUNCTION("SUBSTITUTE(SUBSTITUTE(SUBSTITUTE(SUBSTITUTE(CONCATENATE(JOIN(""-"",GP76:HB76)),""--"",""-""),""--"",""-""),""--"",""-""),""--"",""-"")"),"S-R2-M1-D1-N3-S")</f>
        <v>S-R2-M1-D1-N3-S</v>
      </c>
      <c r="BU76" s="348" t="str">
        <f t="shared" si="29"/>
        <v>C-D-F-Ab-B-C</v>
      </c>
      <c r="BV76" s="349" t="str">
        <f t="shared" si="30"/>
        <v>SrgGMPDnS</v>
      </c>
      <c r="BW76" s="350">
        <f t="shared" si="31"/>
        <v>0</v>
      </c>
      <c r="BX76" s="351">
        <f t="shared" si="32"/>
        <v>1</v>
      </c>
      <c r="BY76" s="392"/>
      <c r="BZ76" s="309" t="str">
        <f>IFERROR(__xludf.DUMMYFUNCTION("IF(REGEXMATCH(C76, ""S""), ""x"",""x"")"),"x")</f>
        <v>x</v>
      </c>
      <c r="CA76" s="245" t="str">
        <f>IFERROR(__xludf.DUMMYFUNCTION("IF(REGEXMATCH(C76, ""r""), ""o"",""x"")"),"x")</f>
        <v>x</v>
      </c>
      <c r="CB76" s="246" t="str">
        <f>IFERROR(__xludf.DUMMYFUNCTION("IF(REGEXMATCH(C76, ""R""), ""o"",""x"")"),"o")</f>
        <v>o</v>
      </c>
      <c r="CC76" s="246" t="str">
        <f>IFERROR(__xludf.DUMMYFUNCTION("IF(REGEXMATCH(C76, ""g""), ""o"",""x"")"),"x")</f>
        <v>x</v>
      </c>
      <c r="CD76" s="245" t="str">
        <f>IFERROR(__xludf.DUMMYFUNCTION("IF(REGEXMATCH(C76, ""G""), ""o"",""x"")"),"x")</f>
        <v>x</v>
      </c>
      <c r="CE76" s="245" t="str">
        <f>IFERROR(__xludf.DUMMYFUNCTION("IF(REGEXMATCH(C76, ""m""), ""o"",""x"")"),"o")</f>
        <v>o</v>
      </c>
      <c r="CF76" s="246" t="str">
        <f>IFERROR(__xludf.DUMMYFUNCTION("IF(REGEXMATCH(C76, ""M""), ""o"",""x"")"),"x")</f>
        <v>x</v>
      </c>
      <c r="CG76" s="245" t="str">
        <f>IFERROR(__xludf.DUMMYFUNCTION("IF(REGEXMATCH(C76, ""P""), ""o"",""x"")"),"x")</f>
        <v>x</v>
      </c>
      <c r="CH76" s="246" t="str">
        <f>IFERROR(__xludf.DUMMYFUNCTION("IF(REGEXMATCH(C76, ""d""), ""o"",""x"")"),"o")</f>
        <v>o</v>
      </c>
      <c r="CI76" s="245" t="str">
        <f>IFERROR(__xludf.DUMMYFUNCTION("IF(REGEXMATCH(C76, ""D""), ""o"",""x"")"),"x")</f>
        <v>x</v>
      </c>
      <c r="CJ76" s="245" t="str">
        <f>IFERROR(__xludf.DUMMYFUNCTION("IF(REGEXMATCH(C76, ""n""), ""o"",""x"")"),"x")</f>
        <v>x</v>
      </c>
      <c r="CK76" s="245" t="str">
        <f>IFERROR(__xludf.DUMMYFUNCTION("IF(REGEXMATCH(C76, ""N""), ""o"",""x"")"),"o")</f>
        <v>o</v>
      </c>
      <c r="CL76" s="356" t="str">
        <f>IFERROR(__xludf.DUMMYFUNCTION("IF(REGEXMATCH(C76, ""S""), ""x"",""x"")"),"x")</f>
        <v>x</v>
      </c>
      <c r="CM76" s="357" t="str">
        <f t="shared" si="33"/>
        <v>xxoxxoxxoxxo</v>
      </c>
      <c r="CN76" s="358">
        <f t="shared" si="34"/>
        <v>0</v>
      </c>
      <c r="CO76" s="246" t="str">
        <f>IFERROR(__xludf.DUMMYFUNCTION("IF(REGEXMATCH($C76, ""S""), ""S"",""S"")"),"S")</f>
        <v>S</v>
      </c>
      <c r="CP76" s="246" t="str">
        <f>IFERROR(__xludf.DUMMYFUNCTION("IF(REGEXMATCH($C76, ""r""), """",""r"")"),"r")</f>
        <v>r</v>
      </c>
      <c r="CQ76" s="246" t="str">
        <f>IFERROR(__xludf.DUMMYFUNCTION("IF(REGEXMATCH($C76, ""R""), """",""R"")"),"")</f>
        <v/>
      </c>
      <c r="CR76" s="246" t="str">
        <f>IFERROR(__xludf.DUMMYFUNCTION("IF(REGEXMATCH($C76, ""g""), """",""g"")"),"g")</f>
        <v>g</v>
      </c>
      <c r="CS76" s="246" t="str">
        <f>IFERROR(__xludf.DUMMYFUNCTION("IF(REGEXMATCH($C76, ""G""), """",""G"")"),"G")</f>
        <v>G</v>
      </c>
      <c r="CT76" s="246" t="str">
        <f>IFERROR(__xludf.DUMMYFUNCTION("IF(REGEXMATCH($C76, ""m""), """",""m"")"),"")</f>
        <v/>
      </c>
      <c r="CU76" s="246" t="str">
        <f>IFERROR(__xludf.DUMMYFUNCTION("IF(REGEXMATCH($C76, ""M""), """",""M"")"),"M")</f>
        <v>M</v>
      </c>
      <c r="CV76" s="246" t="str">
        <f>IFERROR(__xludf.DUMMYFUNCTION("IF(REGEXMATCH($C76, ""P""), """",""P"")"),"P")</f>
        <v>P</v>
      </c>
      <c r="CW76" s="246" t="str">
        <f>IFERROR(__xludf.DUMMYFUNCTION("IF(REGEXMATCH($C76, ""d""), """",""d"")"),"")</f>
        <v/>
      </c>
      <c r="CX76" s="246" t="str">
        <f>IFERROR(__xludf.DUMMYFUNCTION("IF(REGEXMATCH($C76, ""D""), """",""D"")"),"D")</f>
        <v>D</v>
      </c>
      <c r="CY76" s="246" t="str">
        <f>IFERROR(__xludf.DUMMYFUNCTION("IF(REGEXMATCH($C76, ""n""), """",""n"")"),"n")</f>
        <v>n</v>
      </c>
      <c r="CZ76" s="246" t="str">
        <f>IFERROR(__xludf.DUMMYFUNCTION("IF(REGEXMATCH($C76, ""N""), """",""N"")"),"")</f>
        <v/>
      </c>
      <c r="DA76" s="246" t="str">
        <f>IFERROR(__xludf.DUMMYFUNCTION("IF(REGEXMATCH($C76, ""S""), ""S"",""S"")"),"S")</f>
        <v>S</v>
      </c>
      <c r="DB76" s="362" t="str">
        <f>IFERROR(__xludf.DUMMYFUNCTION("JOIN("""",CO76:DA76,"""","""")"),"SrgGMPDnS")</f>
        <v>SrgGMPDnS</v>
      </c>
      <c r="DC76" s="363"/>
      <c r="DD76" s="301" t="str">
        <f t="shared" si="35"/>
        <v>#REF!</v>
      </c>
      <c r="DE76" s="302" t="str">
        <f t="shared" si="36"/>
        <v>#REF!</v>
      </c>
      <c r="DF76" s="301" t="str">
        <f t="shared" ref="DF76:DG76" si="349">SUBSTITUTE(S76,"-","")</f>
        <v>SRM</v>
      </c>
      <c r="DG76" s="301" t="str">
        <f t="shared" si="349"/>
        <v>DNS</v>
      </c>
      <c r="DH76" s="302" t="str">
        <f t="shared" si="38"/>
        <v>(PAIR)</v>
      </c>
      <c r="DI76" s="301" t="str">
        <f t="shared" si="39"/>
        <v>Hemi.</v>
      </c>
      <c r="DJ76" s="364" t="str">
        <f t="shared" si="40"/>
        <v>-</v>
      </c>
      <c r="DK76" s="306" t="str">
        <f t="shared" si="41"/>
        <v>-</v>
      </c>
      <c r="DL76" s="366" t="str">
        <f t="shared" si="42"/>
        <v>-</v>
      </c>
      <c r="DM76" s="308" t="str">
        <f t="shared" si="43"/>
        <v>✔</v>
      </c>
      <c r="DN76" s="306" t="str">
        <f t="shared" si="44"/>
        <v>-</v>
      </c>
      <c r="DO76" s="306" t="str">
        <f t="shared" si="45"/>
        <v>-</v>
      </c>
      <c r="DP76" s="367" t="str">
        <f t="shared" si="46"/>
        <v>-</v>
      </c>
      <c r="DQ76" s="310" t="str">
        <f t="shared" si="47"/>
        <v>-</v>
      </c>
      <c r="DR76" s="310" t="str">
        <f t="shared" si="48"/>
        <v>-</v>
      </c>
      <c r="DS76" s="310" t="str">
        <f t="shared" si="49"/>
        <v>-</v>
      </c>
      <c r="DT76" s="310" t="str">
        <f t="shared" si="50"/>
        <v>-</v>
      </c>
      <c r="DU76" s="370" t="str">
        <f t="shared" si="51"/>
        <v>-</v>
      </c>
      <c r="DV76" s="306" t="str">
        <f t="shared" si="52"/>
        <v>-</v>
      </c>
      <c r="DW76" s="306" t="str">
        <f t="shared" si="53"/>
        <v>✔</v>
      </c>
      <c r="DX76" s="306" t="str">
        <f t="shared" si="54"/>
        <v>-</v>
      </c>
      <c r="DY76" s="306" t="str">
        <f t="shared" si="55"/>
        <v>✔</v>
      </c>
      <c r="DZ76" s="306" t="str">
        <f t="shared" si="56"/>
        <v>-</v>
      </c>
      <c r="EA76" s="367" t="str">
        <f t="shared" si="57"/>
        <v>-</v>
      </c>
      <c r="EB76" s="310" t="str">
        <f>IFERROR(__xludf.DUMMYFUNCTION("IF(REGEXMATCH(AW76,AS76),""✔"",""-"")"),"-")</f>
        <v>-</v>
      </c>
      <c r="EC76" s="310" t="str">
        <f t="shared" si="58"/>
        <v>#REF!</v>
      </c>
      <c r="ED76" s="370" t="str">
        <f t="shared" si="59"/>
        <v>-</v>
      </c>
      <c r="EE76" s="340" t="str">
        <f t="shared" si="60"/>
        <v>S-R-m-d-N-S</v>
      </c>
      <c r="EF76" s="371" t="str">
        <f>IFERROR(__xludf.DUMMYFUNCTION("CONCATENATE(JOIN("""",HC76:HO76))"),"SrGPnS")</f>
        <v>SrGPnS</v>
      </c>
      <c r="EG76" s="372">
        <f t="shared" si="61"/>
        <v>4</v>
      </c>
      <c r="EH76" s="373" t="str">
        <f>IFERROR(__xludf.DUMMYFUNCTION("CONCATENATE(JOIN("""",JC76:JO76))"),"Sa, Re, dha, Ni, ")</f>
        <v>Sa, Re, dha, Ni, </v>
      </c>
      <c r="EI76" s="322">
        <f t="shared" si="62"/>
        <v>3</v>
      </c>
      <c r="EJ76" s="374" t="str">
        <f>IFERROR(__xludf.DUMMYFUNCTION("CONCATENATE(JOIN("""",KC76:KO76))"),"Re, dha, Ni, ")</f>
        <v>Re, dha, Ni, </v>
      </c>
      <c r="EK76" s="325" t="str">
        <f t="shared" si="63"/>
        <v>S-R2-M1-D1-N3-S</v>
      </c>
      <c r="EL76" s="326" t="str">
        <f t="shared" si="64"/>
        <v>1-2-4-b6-7-8</v>
      </c>
      <c r="EM76" s="318" t="str">
        <f t="shared" si="65"/>
        <v>#REF!</v>
      </c>
      <c r="EN76" s="328" t="str">
        <f>IFERROR(__xludf.DUMMYFUNCTION("SUBSTITUTE(SUBSTITUTE(SUBSTITUTE(SUBSTITUTE(CONCATENATE(JOIN("" "",HP76:IB76)),""  "","" ""),""  "","" ""),""  "","" ""),""  "","" "")"),"o • o • • o • • o • • o o")</f>
        <v>o • o • • o • • o • • o o</v>
      </c>
      <c r="EO76" s="368" t="str">
        <f t="shared" si="66"/>
        <v>Sa-ma</v>
      </c>
      <c r="EP76" s="339" t="str">
        <f t="shared" si="67"/>
        <v>-</v>
      </c>
      <c r="EQ76" s="339" t="str">
        <f t="shared" si="68"/>
        <v>-</v>
      </c>
      <c r="ER76" s="339" t="str">
        <f t="shared" si="69"/>
        <v>-</v>
      </c>
      <c r="ES76" s="340" t="str">
        <f t="shared" si="70"/>
        <v>Sa-ma</v>
      </c>
      <c r="ET76" s="363"/>
      <c r="EU76" s="376" t="b">
        <f>IFERROR(__xludf.DUMMYFUNCTION("arrayformula(sum(--REGEXMATCH(""SRGMPDNS"",split(REGEXREPLACE(C76,""(.)"",""$1~""),""~""))))=len(C76)
"),FALSE)</f>
        <v>0</v>
      </c>
      <c r="EV76" s="290" t="b">
        <f>IFERROR(__xludf.DUMMYFUNCTION("arrayformula(sum(--REGEXMATCH(""SRGmPDNS"",split(REGEXREPLACE(C76,""(.)"",""$1~""),""~""))))=len(C76)"),FALSE)</f>
        <v>0</v>
      </c>
      <c r="EW76" s="290" t="b">
        <f>IFERROR(__xludf.DUMMYFUNCTION("arrayformula(sum(--REGEXMATCH(""SRGmPDnS"",split(REGEXREPLACE(C76,""(.)"",""$1~""),""~""))))=len(C76)"),FALSE)</f>
        <v>0</v>
      </c>
      <c r="EX76" s="290" t="b">
        <f>IFERROR(__xludf.DUMMYFUNCTION("arrayformula(sum(--REGEXMATCH(""SRgmPDnS"",split(REGEXREPLACE(C76,""(.)"",""$1~""),""~""))))=len(C76)"),FALSE)</f>
        <v>0</v>
      </c>
      <c r="EY76" s="290" t="b">
        <f>IFERROR(__xludf.DUMMYFUNCTION("arrayformula(sum(--REGEXMATCH(""SRgmPdnS"",split(REGEXREPLACE(C76,""(.)"",""$1~""),""~""))))=len(C76)"),FALSE)</f>
        <v>0</v>
      </c>
      <c r="EZ76" s="290" t="b">
        <f>IFERROR(__xludf.DUMMYFUNCTION("arrayformula(sum(--REGEXMATCH(""SrgmPdnS"",split(REGEXREPLACE(C76,""(.)"",""$1~""),""~""))))=len(C76)"),FALSE)</f>
        <v>0</v>
      </c>
      <c r="FA76" s="290" t="b">
        <f>IFERROR(__xludf.DUMMYFUNCTION("arrayformula(sum(--REGEXMATCH(""SrGmPdNS"",split(REGEXREPLACE(C76,""(.)"",""$1~""),""~""))))=len(C76)"),FALSE)</f>
        <v>0</v>
      </c>
      <c r="FB76" s="290" t="b">
        <f>IFERROR(__xludf.DUMMYFUNCTION("arrayformula(sum(--REGEXMATCH(""SrGMPDNS"",split(REGEXREPLACE(C76,""(.)"",""$1~""),""~""))))=len(C76)"),FALSE)</f>
        <v>0</v>
      </c>
      <c r="FC76" s="290" t="b">
        <f>IFERROR(__xludf.DUMMYFUNCTION("arrayformula(sum(--REGEXMATCH(""SrGMPdNS"",split(REGEXREPLACE(C76,""(.)"",""$1~""),""~""))))=len(C76)"),FALSE)</f>
        <v>0</v>
      </c>
      <c r="FD76" s="377" t="b">
        <f>IFERROR(__xludf.DUMMYFUNCTION("arrayformula(sum(--REGEXMATCH(""SrgMPdNS"",split(REGEXREPLACE(C76,""(.)"",""$1~""),""~""))))=len(C76)"),FALSE)</f>
        <v>0</v>
      </c>
      <c r="FE76" s="269" t="str">
        <f t="shared" si="71"/>
        <v>-</v>
      </c>
      <c r="FF76" s="269" t="str">
        <f t="shared" si="72"/>
        <v>xooxooxooxx</v>
      </c>
      <c r="FG76" s="271" t="str">
        <f t="shared" si="73"/>
        <v>-</v>
      </c>
      <c r="FH76" s="269" t="str">
        <f t="shared" si="74"/>
        <v>-</v>
      </c>
      <c r="FI76" s="271" t="str">
        <f t="shared" si="75"/>
        <v>xooxooxxoxo</v>
      </c>
      <c r="FJ76" s="271" t="str">
        <f t="shared" si="76"/>
        <v>-</v>
      </c>
      <c r="FK76" s="271" t="str">
        <f t="shared" si="77"/>
        <v>-</v>
      </c>
      <c r="FL76" s="271" t="str">
        <f t="shared" si="78"/>
        <v>xooxxoxooxo</v>
      </c>
      <c r="FM76" s="271" t="str">
        <f t="shared" si="79"/>
        <v>-</v>
      </c>
      <c r="FN76" s="271" t="str">
        <f t="shared" si="80"/>
        <v>-</v>
      </c>
      <c r="FO76" s="274" t="str">
        <f t="shared" si="81"/>
        <v>xxoxooxooxo</v>
      </c>
      <c r="FP76" s="234" t="str">
        <f t="shared" si="82"/>
        <v>|</v>
      </c>
      <c r="FQ76" s="236" t="str">
        <f t="shared" si="83"/>
        <v>-</v>
      </c>
      <c r="FR76" s="237" t="str">
        <f t="shared" si="84"/>
        <v>|</v>
      </c>
      <c r="FS76" s="236" t="str">
        <f t="shared" si="85"/>
        <v>-</v>
      </c>
      <c r="FT76" s="237" t="str">
        <f t="shared" si="86"/>
        <v>-</v>
      </c>
      <c r="FU76" s="236" t="str">
        <f t="shared" si="87"/>
        <v>|</v>
      </c>
      <c r="FV76" s="237" t="str">
        <f t="shared" si="88"/>
        <v>-</v>
      </c>
      <c r="FW76" s="236" t="str">
        <f t="shared" si="89"/>
        <v>-</v>
      </c>
      <c r="FX76" s="237" t="str">
        <f t="shared" si="90"/>
        <v>|</v>
      </c>
      <c r="FY76" s="236" t="str">
        <f t="shared" si="91"/>
        <v>-</v>
      </c>
      <c r="FZ76" s="237" t="str">
        <f t="shared" si="92"/>
        <v>-</v>
      </c>
      <c r="GA76" s="236" t="str">
        <f t="shared" si="93"/>
        <v>|</v>
      </c>
      <c r="GB76" s="238" t="str">
        <f t="shared" si="94"/>
        <v>|</v>
      </c>
      <c r="GC76" s="244" t="str">
        <f>IFERROR(__xludf.DUMMYFUNCTION("IF(REGEXMATCH(C76, ""S""), ""1"","""")"),"1")</f>
        <v>1</v>
      </c>
      <c r="GD76" s="245" t="str">
        <f>IFERROR(__xludf.DUMMYFUNCTION("IF(REGEXMATCH(C76, ""r""), ""b2"","""")"),"")</f>
        <v/>
      </c>
      <c r="GE76" s="246" t="str">
        <f>IFERROR(__xludf.DUMMYFUNCTION("IF(REGEXMATCH(C76, ""R""), ""2"","""")"),"2")</f>
        <v>2</v>
      </c>
      <c r="GF76" s="246" t="str">
        <f>IFERROR(__xludf.DUMMYFUNCTION("IF(REGEXMATCH(C76, ""g""), ""b3"","""")"),"")</f>
        <v/>
      </c>
      <c r="GG76" s="245" t="str">
        <f>IFERROR(__xludf.DUMMYFUNCTION("IF(REGEXMATCH(C76, ""G""), ""3"","""")"),"")</f>
        <v/>
      </c>
      <c r="GH76" s="245" t="str">
        <f>IFERROR(__xludf.DUMMYFUNCTION("IF(REGEXMATCH(C76, ""m""), ""4"","""")"),"4")</f>
        <v>4</v>
      </c>
      <c r="GI76" s="246" t="str">
        <f>IFERROR(__xludf.DUMMYFUNCTION("IF(REGEXMATCH(C76, ""M""), ""#4"","""")"),"")</f>
        <v/>
      </c>
      <c r="GJ76" s="245" t="str">
        <f>IFERROR(__xludf.DUMMYFUNCTION("IF(REGEXMATCH(C76, ""P""), ""5"","""")"),"")</f>
        <v/>
      </c>
      <c r="GK76" s="246" t="str">
        <f>IFERROR(__xludf.DUMMYFUNCTION("IF(REGEXMATCH(C76, ""d""), ""b6"","""")"),"b6")</f>
        <v>b6</v>
      </c>
      <c r="GL76" s="245" t="str">
        <f>IFERROR(__xludf.DUMMYFUNCTION("IF(REGEXMATCH(C76, ""D""), ""6"","""")"),"")</f>
        <v/>
      </c>
      <c r="GM76" s="245" t="str">
        <f>IFERROR(__xludf.DUMMYFUNCTION("IF(REGEXMATCH(C76, ""n""), ""b7"","""")"),"")</f>
        <v/>
      </c>
      <c r="GN76" s="246" t="str">
        <f>IFERROR(__xludf.DUMMYFUNCTION("IF(REGEXMATCH(C76, ""N""), ""7"","""")"),"7")</f>
        <v>7</v>
      </c>
      <c r="GO76" s="249" t="str">
        <f>IFERROR(__xludf.DUMMYFUNCTION("IF(REGEXMATCH(C76, ""S""), ""8"","""")"),"8")</f>
        <v>8</v>
      </c>
      <c r="GP76" s="244" t="str">
        <f>IFERROR(__xludf.DUMMYFUNCTION("IF(REGEXMATCH(C76, ""S""), ""S"","""")"),"S")</f>
        <v>S</v>
      </c>
      <c r="GQ76" s="294" t="str">
        <f>IFERROR(__xludf.DUMMYFUNCTION("IF(REGEXMATCH(C76, ""r""), ""R1"","""")"),"")</f>
        <v/>
      </c>
      <c r="GR76" s="295" t="str">
        <f>IFERROR(__xludf.DUMMYFUNCTION("IF(REGEXMATCH(C76, ""R""), ""R2"","""")"),"R2")</f>
        <v>R2</v>
      </c>
      <c r="GS76" s="295" t="str">
        <f>IFERROR(__xludf.DUMMYFUNCTION("IF(REGEXMATCH(C76, ""g""), ""G2"","""")"),"")</f>
        <v/>
      </c>
      <c r="GT76" s="294" t="str">
        <f>IFERROR(__xludf.DUMMYFUNCTION("IF(REGEXMATCH(C76, ""G""), ""G3"","""")"),"")</f>
        <v/>
      </c>
      <c r="GU76" s="294" t="str">
        <f>IFERROR(__xludf.DUMMYFUNCTION("IF(REGEXMATCH(C76, ""m""), ""M1"","""")"),"M1")</f>
        <v>M1</v>
      </c>
      <c r="GV76" s="295" t="str">
        <f>IFERROR(__xludf.DUMMYFUNCTION("IF(REGEXMATCH(C76, ""M""), ""M2"","""")"),"")</f>
        <v/>
      </c>
      <c r="GW76" s="294" t="str">
        <f>IFERROR(__xludf.DUMMYFUNCTION("IF(REGEXMATCH(C76, ""P""), ""P"","""")"),"")</f>
        <v/>
      </c>
      <c r="GX76" s="295" t="str">
        <f>IFERROR(__xludf.DUMMYFUNCTION("IF(REGEXMATCH(C76, ""d""), ""D1"","""")"),"D1")</f>
        <v>D1</v>
      </c>
      <c r="GY76" s="294" t="str">
        <f>IFERROR(__xludf.DUMMYFUNCTION("IF(REGEXMATCH(C76, ""D""), ""D2"","""")"),"")</f>
        <v/>
      </c>
      <c r="GZ76" s="294" t="str">
        <f>IFERROR(__xludf.DUMMYFUNCTION("IF(REGEXMATCH(C76, ""n""), ""N2"","""")"),"")</f>
        <v/>
      </c>
      <c r="HA76" s="295" t="str">
        <f>IFERROR(__xludf.DUMMYFUNCTION("IF(REGEXMATCH(C76, ""N""), ""N3"","""")"),"N3")</f>
        <v>N3</v>
      </c>
      <c r="HB76" s="249" t="str">
        <f>IFERROR(__xludf.DUMMYFUNCTION("IF(REGEXMATCH(C76, ""S""), ""S"","""")"),"S")</f>
        <v>S</v>
      </c>
      <c r="HC76" s="331" t="str">
        <f t="shared" si="95"/>
        <v>S</v>
      </c>
      <c r="HD76" s="332" t="str">
        <f t="shared" si="96"/>
        <v>r</v>
      </c>
      <c r="HE76" s="332" t="str">
        <f t="shared" si="97"/>
        <v/>
      </c>
      <c r="HF76" s="332" t="str">
        <f t="shared" si="98"/>
        <v/>
      </c>
      <c r="HG76" s="332" t="str">
        <f t="shared" si="99"/>
        <v>G</v>
      </c>
      <c r="HH76" s="332" t="str">
        <f t="shared" si="100"/>
        <v/>
      </c>
      <c r="HI76" s="332" t="str">
        <f t="shared" si="101"/>
        <v/>
      </c>
      <c r="HJ76" s="332" t="str">
        <f t="shared" si="102"/>
        <v>P</v>
      </c>
      <c r="HK76" s="332" t="str">
        <f t="shared" si="103"/>
        <v/>
      </c>
      <c r="HL76" s="332" t="str">
        <f t="shared" si="104"/>
        <v/>
      </c>
      <c r="HM76" s="332" t="str">
        <f t="shared" si="105"/>
        <v>n</v>
      </c>
      <c r="HN76" s="332" t="str">
        <f t="shared" si="106"/>
        <v/>
      </c>
      <c r="HO76" s="343" t="str">
        <f t="shared" si="107"/>
        <v>S</v>
      </c>
      <c r="HP76" s="331" t="str">
        <f t="shared" si="108"/>
        <v>o</v>
      </c>
      <c r="HQ76" s="332" t="str">
        <f t="shared" si="109"/>
        <v>•</v>
      </c>
      <c r="HR76" s="332" t="str">
        <f t="shared" si="110"/>
        <v>o</v>
      </c>
      <c r="HS76" s="332" t="str">
        <f t="shared" si="111"/>
        <v>•</v>
      </c>
      <c r="HT76" s="332" t="str">
        <f t="shared" si="112"/>
        <v>•</v>
      </c>
      <c r="HU76" s="332" t="str">
        <f t="shared" si="113"/>
        <v>o</v>
      </c>
      <c r="HV76" s="332" t="str">
        <f t="shared" si="114"/>
        <v>•</v>
      </c>
      <c r="HW76" s="332" t="str">
        <f t="shared" si="115"/>
        <v>•</v>
      </c>
      <c r="HX76" s="332" t="str">
        <f t="shared" si="116"/>
        <v>o</v>
      </c>
      <c r="HY76" s="332" t="str">
        <f t="shared" si="117"/>
        <v>•</v>
      </c>
      <c r="HZ76" s="332" t="str">
        <f t="shared" si="118"/>
        <v>•</v>
      </c>
      <c r="IA76" s="332" t="str">
        <f t="shared" si="119"/>
        <v>o</v>
      </c>
      <c r="IB76" s="338" t="str">
        <f t="shared" si="120"/>
        <v>o</v>
      </c>
      <c r="IC76" s="331" t="str">
        <f t="shared" si="121"/>
        <v>•</v>
      </c>
      <c r="ID76" s="332" t="str">
        <f t="shared" si="122"/>
        <v>o</v>
      </c>
      <c r="IE76" s="332" t="str">
        <f t="shared" si="123"/>
        <v>•</v>
      </c>
      <c r="IF76" s="332" t="str">
        <f t="shared" si="124"/>
        <v>o</v>
      </c>
      <c r="IG76" s="332" t="str">
        <f t="shared" si="125"/>
        <v>o</v>
      </c>
      <c r="IH76" s="332" t="str">
        <f t="shared" si="126"/>
        <v>•</v>
      </c>
      <c r="II76" s="332" t="str">
        <f t="shared" si="127"/>
        <v>o</v>
      </c>
      <c r="IJ76" s="332" t="str">
        <f t="shared" si="128"/>
        <v>o</v>
      </c>
      <c r="IK76" s="332" t="str">
        <f t="shared" si="129"/>
        <v>•</v>
      </c>
      <c r="IL76" s="332" t="str">
        <f t="shared" si="130"/>
        <v>o</v>
      </c>
      <c r="IM76" s="332" t="str">
        <f t="shared" si="131"/>
        <v>o</v>
      </c>
      <c r="IN76" s="332" t="str">
        <f t="shared" si="132"/>
        <v>•</v>
      </c>
      <c r="IO76" s="338" t="str">
        <f t="shared" si="133"/>
        <v>•</v>
      </c>
      <c r="IP76" s="346" t="b">
        <f t="shared" si="134"/>
        <v>1</v>
      </c>
      <c r="IQ76" s="347" t="b">
        <f t="shared" si="135"/>
        <v>0</v>
      </c>
      <c r="IR76" s="347" t="b">
        <f t="shared" si="136"/>
        <v>1</v>
      </c>
      <c r="IS76" s="347" t="b">
        <f t="shared" si="137"/>
        <v>0</v>
      </c>
      <c r="IT76" s="347" t="b">
        <f t="shared" si="138"/>
        <v>0</v>
      </c>
      <c r="IU76" s="347" t="b">
        <f t="shared" si="139"/>
        <v>0</v>
      </c>
      <c r="IV76" s="347" t="b">
        <f t="shared" si="140"/>
        <v>0</v>
      </c>
      <c r="IW76" s="347" t="b">
        <f t="shared" si="141"/>
        <v>0</v>
      </c>
      <c r="IX76" s="347" t="b">
        <f t="shared" si="142"/>
        <v>1</v>
      </c>
      <c r="IY76" s="347" t="b">
        <f t="shared" si="143"/>
        <v>0</v>
      </c>
      <c r="IZ76" s="347" t="b">
        <f t="shared" si="144"/>
        <v>0</v>
      </c>
      <c r="JA76" s="347" t="b">
        <f t="shared" si="145"/>
        <v>1</v>
      </c>
      <c r="JB76" s="353" t="b">
        <f t="shared" si="146"/>
        <v>1</v>
      </c>
      <c r="JC76" s="354" t="str">
        <f t="shared" si="147"/>
        <v>Sa, </v>
      </c>
      <c r="JD76" s="355" t="str">
        <f t="shared" si="148"/>
        <v/>
      </c>
      <c r="JE76" s="355" t="str">
        <f t="shared" si="149"/>
        <v>Re, </v>
      </c>
      <c r="JF76" s="355" t="str">
        <f t="shared" si="150"/>
        <v/>
      </c>
      <c r="JG76" s="355" t="str">
        <f t="shared" si="151"/>
        <v/>
      </c>
      <c r="JH76" s="355" t="str">
        <f t="shared" si="152"/>
        <v/>
      </c>
      <c r="JI76" s="355" t="str">
        <f t="shared" si="153"/>
        <v/>
      </c>
      <c r="JJ76" s="355" t="str">
        <f t="shared" si="154"/>
        <v/>
      </c>
      <c r="JK76" s="355" t="str">
        <f t="shared" si="155"/>
        <v>dha, </v>
      </c>
      <c r="JL76" s="355" t="str">
        <f t="shared" si="156"/>
        <v/>
      </c>
      <c r="JM76" s="355" t="str">
        <f t="shared" si="157"/>
        <v/>
      </c>
      <c r="JN76" s="355" t="str">
        <f t="shared" si="158"/>
        <v>Ni, </v>
      </c>
      <c r="JO76" s="359" t="str">
        <f t="shared" si="159"/>
        <v/>
      </c>
      <c r="JP76" s="346" t="b">
        <f t="shared" si="160"/>
        <v>0</v>
      </c>
      <c r="JQ76" s="347" t="b">
        <f t="shared" si="161"/>
        <v>0</v>
      </c>
      <c r="JR76" s="347" t="b">
        <f t="shared" si="162"/>
        <v>1</v>
      </c>
      <c r="JS76" s="347" t="b">
        <f t="shared" si="163"/>
        <v>0</v>
      </c>
      <c r="JT76" s="347" t="b">
        <f t="shared" si="164"/>
        <v>0</v>
      </c>
      <c r="JU76" s="347" t="b">
        <f t="shared" si="165"/>
        <v>0</v>
      </c>
      <c r="JV76" s="347" t="b">
        <f t="shared" si="166"/>
        <v>0</v>
      </c>
      <c r="JW76" s="347" t="b">
        <f t="shared" si="167"/>
        <v>0</v>
      </c>
      <c r="JX76" s="347" t="b">
        <f t="shared" si="168"/>
        <v>1</v>
      </c>
      <c r="JY76" s="347" t="b">
        <f t="shared" si="169"/>
        <v>0</v>
      </c>
      <c r="JZ76" s="347" t="b">
        <f t="shared" si="170"/>
        <v>0</v>
      </c>
      <c r="KA76" s="347" t="b">
        <f t="shared" si="171"/>
        <v>1</v>
      </c>
      <c r="KB76" s="365" t="b">
        <f t="shared" si="172"/>
        <v>0</v>
      </c>
      <c r="KC76" s="354" t="str">
        <f t="shared" si="173"/>
        <v/>
      </c>
      <c r="KD76" s="355" t="str">
        <f t="shared" si="174"/>
        <v/>
      </c>
      <c r="KE76" s="355" t="str">
        <f t="shared" si="175"/>
        <v>Re, </v>
      </c>
      <c r="KF76" s="355" t="str">
        <f t="shared" si="176"/>
        <v/>
      </c>
      <c r="KG76" s="355" t="str">
        <f t="shared" si="177"/>
        <v/>
      </c>
      <c r="KH76" s="355" t="str">
        <f t="shared" si="178"/>
        <v/>
      </c>
      <c r="KI76" s="355" t="str">
        <f t="shared" si="179"/>
        <v/>
      </c>
      <c r="KJ76" s="355" t="str">
        <f t="shared" si="180"/>
        <v/>
      </c>
      <c r="KK76" s="355" t="str">
        <f t="shared" si="181"/>
        <v>dha, </v>
      </c>
      <c r="KL76" s="355" t="str">
        <f t="shared" si="182"/>
        <v/>
      </c>
      <c r="KM76" s="355" t="str">
        <f t="shared" si="183"/>
        <v/>
      </c>
      <c r="KN76" s="355" t="str">
        <f t="shared" si="184"/>
        <v>Ni, </v>
      </c>
      <c r="KO76" s="359"/>
      <c r="KP76" s="378"/>
      <c r="KQ76" s="379" t="s">
        <v>9</v>
      </c>
      <c r="KR76" s="380" t="s">
        <v>9</v>
      </c>
      <c r="KS76" s="381" t="s">
        <v>9</v>
      </c>
      <c r="KT76" s="382">
        <f t="shared" si="186"/>
        <v>0</v>
      </c>
      <c r="KU76" s="383">
        <f t="shared" si="187"/>
        <v>0</v>
      </c>
      <c r="KV76" s="381" t="str">
        <f t="shared" si="205"/>
        <v>S</v>
      </c>
      <c r="KW76" s="382">
        <f t="shared" si="189"/>
        <v>0</v>
      </c>
      <c r="KX76" s="384">
        <f t="shared" si="190"/>
        <v>0</v>
      </c>
      <c r="KY76" s="382">
        <f t="shared" ref="KY76:KZ76" si="350">KW76-KT76</f>
        <v>0</v>
      </c>
      <c r="KZ76" s="369">
        <f t="shared" si="350"/>
        <v>0</v>
      </c>
      <c r="LA76" s="385" t="str">
        <f t="shared" si="192"/>
        <v>✔</v>
      </c>
      <c r="LB76" s="340" t="str">
        <f>IFERROR(__xludf.DUMMYFUNCTION("JOIN("""",ArrayFormula(MID(KS76,LEN(KS76)-SEQUENCE(1,LEN(KS76))+1,1)))"),"S")</f>
        <v>S</v>
      </c>
      <c r="LC76" s="373" t="str">
        <f>IFERROR(__xludf.DUMMYFUNCTION("JOIN("""",ArrayFormula(MID(KV76,LEN(KV76)-SEQUENCE(1,LEN(KV76))+1,1)))"),"S")</f>
        <v>S</v>
      </c>
      <c r="LD76" s="373" t="str">
        <f t="shared" si="193"/>
        <v>S</v>
      </c>
      <c r="LE76" s="339" t="str">
        <f t="shared" si="194"/>
        <v>S</v>
      </c>
      <c r="LF76" s="386" t="str">
        <f>IFERROR(__xludf.DUMMYFUNCTION("SUBSTITUTE(SUBSTITUTE(CONCATENATE(JOIN("""",LH76:LT76)),""1"",""""),""2"","""")"),"SS")</f>
        <v>SS</v>
      </c>
      <c r="LG76" s="369" t="str">
        <f t="shared" si="195"/>
        <v>-</v>
      </c>
      <c r="LH76" s="387" t="str">
        <f>IFERROR(__xludf.DUMMYFUNCTION("IF(REGEXMATCH(LD76, ""S""), ""S"",IF(REGEXMATCH(LE76, ""S""), ""S"",""""))"),"S")</f>
        <v>S</v>
      </c>
      <c r="LI76" s="299" t="str">
        <f>IFERROR(__xludf.DUMMYFUNCTION("IF(REGEXMATCH(LD76, ""r""), ""r1"",IF(REGEXMATCH(LE76, ""r""), ""r2"",""""))"),"")</f>
        <v/>
      </c>
      <c r="LJ76" s="299" t="str">
        <f>IFERROR(__xludf.DUMMYFUNCTION("IF(REGEXMATCH(LD76, ""R""), ""R1"",IF(REGEXMATCH(LE76, ""R""), ""R2"",""""))"),"")</f>
        <v/>
      </c>
      <c r="LK76" s="299" t="str">
        <f>IFERROR(__xludf.DUMMYFUNCTION("IF(REGEXMATCH(LD76, ""g""), ""g1"",IF(REGEXMATCH(LE76, ""g""), ""g2"",""""))"),"")</f>
        <v/>
      </c>
      <c r="LL76" s="299" t="str">
        <f>IFERROR(__xludf.DUMMYFUNCTION("IF(REGEXMATCH(LD76, ""G""), ""G1"",IF(REGEXMATCH(LE76, ""G""), ""G2"",""""))"),"")</f>
        <v/>
      </c>
      <c r="LM76" s="299" t="str">
        <f>IFERROR(__xludf.DUMMYFUNCTION("IF(REGEXMATCH(LD76, ""m""), ""m1"",IF(REGEXMATCH(LE76, ""m""), ""m2"",""""))"),"")</f>
        <v/>
      </c>
      <c r="LN76" s="299" t="str">
        <f>IFERROR(__xludf.DUMMYFUNCTION("IF(REGEXMATCH(LD76, ""M""), ""M1"",IF(REGEXMATCH(LE76, ""M""), ""M2"",""""))"),"")</f>
        <v/>
      </c>
      <c r="LO76" s="299" t="str">
        <f>IFERROR(__xludf.DUMMYFUNCTION("IF(REGEXMATCH(LD76, ""P""), ""P1"",IF(REGEXMATCH(LE76, ""P""), ""P2"",""""))"),"")</f>
        <v/>
      </c>
      <c r="LP76" s="299" t="str">
        <f>IFERROR(__xludf.DUMMYFUNCTION("IF(REGEXMATCH(LD76, ""d""), ""d1"",IF(REGEXMATCH(LE76, ""d""), ""d2"",""""))"),"")</f>
        <v/>
      </c>
      <c r="LQ76" s="299" t="str">
        <f>IFERROR(__xludf.DUMMYFUNCTION("IF(REGEXMATCH(LD76, ""D""), ""D1"",IF(REGEXMATCH(LE76, ""D""), ""D2"",""""))"),"")</f>
        <v/>
      </c>
      <c r="LR76" s="299" t="str">
        <f>IFERROR(__xludf.DUMMYFUNCTION("IF(REGEXMATCH(LD76, ""n""), ""n1"",IF(REGEXMATCH(LE76, ""n""), ""n2"",""""))"),"")</f>
        <v/>
      </c>
      <c r="LS76" s="299" t="str">
        <f>IFERROR(__xludf.DUMMYFUNCTION("IF(REGEXMATCH(LD76, ""N""), ""N1"",IF(REGEXMATCH(LE76, ""N""), ""N2"",""""))"),"")</f>
        <v/>
      </c>
      <c r="LT76" s="388" t="str">
        <f>IFERROR(__xludf.DUMMYFUNCTION("IF(REGEXMATCH(LD76, ""S""), ""S"",IF(REGEXMATCH(LE76, ""S""), ""S"",""""))"),"S")</f>
        <v>S</v>
      </c>
      <c r="LU76" s="389">
        <f t="shared" si="196"/>
        <v>1</v>
      </c>
      <c r="LV76" s="378"/>
      <c r="LW76" s="369"/>
      <c r="LX76" s="369"/>
    </row>
    <row r="77" ht="18.0" customHeight="1">
      <c r="A77" s="298" t="s">
        <v>1369</v>
      </c>
      <c r="B77" s="222" t="s">
        <v>527</v>
      </c>
      <c r="C77" s="233" t="str">
        <f t="shared" si="7"/>
        <v>SRgmPDnNS</v>
      </c>
      <c r="D77" s="234" t="str">
        <f>IFERROR(__xludf.DUMMYFUNCTION("IF(REGEXMATCH(C77, ""S""), ""S"","""")"),"S")</f>
        <v>S</v>
      </c>
      <c r="E77" s="236" t="str">
        <f>IFERROR(__xludf.DUMMYFUNCTION("IF(REGEXMATCH(C77, ""r""), ""r"","""")"),"")</f>
        <v/>
      </c>
      <c r="F77" s="237" t="str">
        <f>IFERROR(__xludf.DUMMYFUNCTION("IF(REGEXMATCH(C77, ""R""), ""R"","""")"),"R")</f>
        <v>R</v>
      </c>
      <c r="G77" s="237" t="str">
        <f>IFERROR(__xludf.DUMMYFUNCTION("IF(REGEXMATCH(C77, ""g""), ""g"","""")"),"g")</f>
        <v>g</v>
      </c>
      <c r="H77" s="236" t="str">
        <f>IFERROR(__xludf.DUMMYFUNCTION("IF(REGEXMATCH(C77, ""G""), ""G"","""")"),"")</f>
        <v/>
      </c>
      <c r="I77" s="236" t="str">
        <f>IFERROR(__xludf.DUMMYFUNCTION("IF(REGEXMATCH(C77, ""m""), ""m"","""")"),"m")</f>
        <v>m</v>
      </c>
      <c r="J77" s="237" t="str">
        <f>IFERROR(__xludf.DUMMYFUNCTION("IF(REGEXMATCH(C77, ""M""), ""M"","""")"),"")</f>
        <v/>
      </c>
      <c r="K77" s="236" t="str">
        <f>IFERROR(__xludf.DUMMYFUNCTION("IF(REGEXMATCH(C77, ""P""), ""P"","""")"),"P")</f>
        <v>P</v>
      </c>
      <c r="L77" s="237" t="str">
        <f>IFERROR(__xludf.DUMMYFUNCTION("IF(REGEXMATCH(C77, ""d""), ""d"","""")"),"")</f>
        <v/>
      </c>
      <c r="M77" s="236" t="str">
        <f>IFERROR(__xludf.DUMMYFUNCTION("IF(REGEXMATCH(C77, ""D""), ""D"","""")"),"D")</f>
        <v>D</v>
      </c>
      <c r="N77" s="236" t="str">
        <f>IFERROR(__xludf.DUMMYFUNCTION("IF(REGEXMATCH(C77, ""n""), ""n"","""")"),"n")</f>
        <v>n</v>
      </c>
      <c r="O77" s="237" t="str">
        <f>IFERROR(__xludf.DUMMYFUNCTION("IF(REGEXMATCH(C77, ""N""), ""N"","""")"),"N")</f>
        <v>N</v>
      </c>
      <c r="P77" s="238" t="str">
        <f>IFERROR(__xludf.DUMMYFUNCTION("IF(REGEXMATCH(C77, ""S""), ""S"","""")"),"S")</f>
        <v>S</v>
      </c>
      <c r="Q77" s="239" t="str">
        <f>IFERROR(__xludf.DUMMYFUNCTION("SUBSTITUTE(CONCATENATE(JOIN(""-"",D77:J77)),""-"","""")"),"SRgm")</f>
        <v>SRgm</v>
      </c>
      <c r="R77" s="229" t="str">
        <f>IFERROR(__xludf.DUMMYFUNCTION("SUBSTITUTE(CONCATENATE(JOIN(""-"",K77:P77)),""-"","""")"),"PDnNS")</f>
        <v>PDnNS</v>
      </c>
      <c r="S77" s="282" t="str">
        <f t="shared" si="8"/>
        <v>S-R-G-M</v>
      </c>
      <c r="T77" s="282" t="str">
        <f t="shared" si="9"/>
        <v>P-D-N-S</v>
      </c>
      <c r="U77" s="237" t="str">
        <f>IFERROR(__xludf.DUMMYFUNCTION("SUBSTITUTE(JOIN(""-"",S77,T77),""--"",""-"")"),"S-R-G-M-P-D-N-S")</f>
        <v>S-R-G-M-P-D-N-S</v>
      </c>
      <c r="V77" s="309" t="str">
        <f t="shared" si="10"/>
        <v>RgmDnN</v>
      </c>
      <c r="W77" s="244" t="str">
        <f>IFERROR(__xludf.DUMMYFUNCTION("IF(REGEXMATCH(C77, ""S""), ""0"","""")"),"0")</f>
        <v>0</v>
      </c>
      <c r="X77" s="245" t="str">
        <f>IFERROR(__xludf.DUMMYFUNCTION("IF(REGEXMATCH(C77, ""r""), ""1"","""")"),"")</f>
        <v/>
      </c>
      <c r="Y77" s="246" t="str">
        <f>IFERROR(__xludf.DUMMYFUNCTION("IF(REGEXMATCH(C77, ""R""), ""2"","""")"),"2")</f>
        <v>2</v>
      </c>
      <c r="Z77" s="246" t="str">
        <f>IFERROR(__xludf.DUMMYFUNCTION("IF(REGEXMATCH(C77, ""g""), ""3"","""")"),"3")</f>
        <v>3</v>
      </c>
      <c r="AA77" s="245" t="str">
        <f>IFERROR(__xludf.DUMMYFUNCTION("IF(REGEXMATCH(C77, ""G""), ""4"","""")"),"")</f>
        <v/>
      </c>
      <c r="AB77" s="245" t="str">
        <f>IFERROR(__xludf.DUMMYFUNCTION("IF(REGEXMATCH(C77, ""m""), ""5"","""")"),"5")</f>
        <v>5</v>
      </c>
      <c r="AC77" s="246" t="str">
        <f>IFERROR(__xludf.DUMMYFUNCTION("IF(REGEXMATCH(C77, ""M""), ""6"","""")"),"")</f>
        <v/>
      </c>
      <c r="AD77" s="245" t="str">
        <f>IFERROR(__xludf.DUMMYFUNCTION("IF(REGEXMATCH(C77, ""P""), ""7"","""")"),"7")</f>
        <v>7</v>
      </c>
      <c r="AE77" s="246" t="str">
        <f>IFERROR(__xludf.DUMMYFUNCTION("IF(REGEXMATCH(C77, ""d""), ""8"","""")"),"")</f>
        <v/>
      </c>
      <c r="AF77" s="245" t="str">
        <f>IFERROR(__xludf.DUMMYFUNCTION("IF(REGEXMATCH(C77, ""D""), ""9"","""")"),"9")</f>
        <v>9</v>
      </c>
      <c r="AG77" s="245" t="str">
        <f>IFERROR(__xludf.DUMMYFUNCTION("IF(REGEXMATCH(C77, ""n""), ""10"","""")"),"10")</f>
        <v>10</v>
      </c>
      <c r="AH77" s="246" t="str">
        <f>IFERROR(__xludf.DUMMYFUNCTION("IF(REGEXMATCH(C77, ""N""), ""11"","""")"),"11")</f>
        <v>11</v>
      </c>
      <c r="AI77" s="249" t="str">
        <f>IFERROR(__xludf.DUMMYFUNCTION("IF(REGEXMATCH(C77, ""S""), ""0"","""")"),"0")</f>
        <v>0</v>
      </c>
      <c r="AJ77" s="313" t="str">
        <f t="shared" si="11"/>
        <v>-</v>
      </c>
      <c r="AK77" s="313" t="str">
        <f t="shared" si="12"/>
        <v>-</v>
      </c>
      <c r="AL77" s="313" t="str">
        <f t="shared" si="13"/>
        <v>-</v>
      </c>
      <c r="AM77" s="313" t="str">
        <f t="shared" si="14"/>
        <v>T</v>
      </c>
      <c r="AN77" s="313" t="str">
        <f t="shared" si="15"/>
        <v>-</v>
      </c>
      <c r="AO77" s="314" t="str">
        <f t="shared" si="16"/>
        <v>T</v>
      </c>
      <c r="AP77" s="316">
        <f t="shared" si="17"/>
        <v>2</v>
      </c>
      <c r="AQ77" s="319" t="str">
        <f t="shared" si="18"/>
        <v>#REF!</v>
      </c>
      <c r="AR77" s="320">
        <f t="shared" si="19"/>
        <v>0</v>
      </c>
      <c r="AS77" s="250" t="str">
        <f>IFERROR(__xludf.DUMMYFUNCTION("SUBSTITUTE(SUBSTITUTE(CONCATENATE(JOIN("""",FP77:GA77)),""|"",""x""),""-"",""o"")"),"xoxxoxoxoxxx")</f>
        <v>xoxxoxoxoxxx</v>
      </c>
      <c r="AT77" s="323" t="str">
        <f>IFERROR(__xludf.DUMMYFUNCTION("JOIN("""",AS77,AS77)"),"xoxxoxoxoxxxxoxxoxoxoxxx")</f>
        <v>xoxxoxoxoxxxxoxxoxoxoxxx</v>
      </c>
      <c r="AU77" s="256" t="str">
        <f>IFERROR(__xludf.DUMMYFUNCTION("JOIN("""",ArrayFormula(MID(AS77,LEN(AS77)-SEQUENCE(1,LEN(AS77))+1,1)))"),"xxxoxoxoxxox")</f>
        <v>xxxoxoxoxxox</v>
      </c>
      <c r="AV77" s="256" t="str">
        <f>IFERROR(__xludf.DUMMYFUNCTION("LEFT(CONCATENATE(""x"",JOIN("""",ArrayFormula(MID(AS77,LEN(AS77)-SEQUENCE(1,LEN(AS77))+1,1)))),12)"),"xxxxoxoxoxxo")</f>
        <v>xxxxoxoxoxxo</v>
      </c>
      <c r="AW77" s="327" t="str">
        <f>IFERROR(__xludf.DUMMYFUNCTION("JOIN("""",AU77,AU77)"),"xxxoxoxoxxoxxxxoxoxoxxox")</f>
        <v>xxxoxoxoxxoxxxxoxoxoxxox</v>
      </c>
      <c r="AX77" s="239" t="str">
        <f>IFERROR(__xludf.DUMMYFUNCTION("IF(REGEXMATCH(AW77,AS77),""✔"",""-"")"),"-")</f>
        <v>-</v>
      </c>
      <c r="AY77" s="330" t="str">
        <f t="shared" si="20"/>
        <v>-</v>
      </c>
      <c r="AZ77" s="260" t="str">
        <f t="shared" si="21"/>
        <v>#REF!</v>
      </c>
      <c r="BA77" s="333" t="str">
        <f t="shared" si="22"/>
        <v>xoxxoxo</v>
      </c>
      <c r="BB77" s="334" t="str">
        <f t="shared" si="23"/>
        <v>xoxxxx</v>
      </c>
      <c r="BC77" s="335" t="str">
        <f t="shared" si="236"/>
        <v>-</v>
      </c>
      <c r="BD77" s="336" t="str">
        <f t="shared" si="25"/>
        <v>Charju ki Malhar: 'xoxxoxo' + 'xoxxxx'</v>
      </c>
      <c r="BE77" s="337">
        <f>IFERROR(__xludf.DUMMYFUNCTION("COUNTUNIQUE(FILTER(AT:AT,REGEXMATCH(AT:AT,AS77)))-1"),3.0)</f>
        <v>3</v>
      </c>
      <c r="BF77" s="261" t="str">
        <f>IFERROR(__xludf.DUMMYFUNCTION("IF(BI77=0,""(n/a)"",IF(BJ77=2,""(PAIR)"",IF(REGEXMATCH(AT77,""xoxoxxoxoxox""),""Bilawal"",IF(REGEXMATCH(AT77,""xoxoxooxoxoo""),""Bhupali"",IF(REGEXMATCH(AT77,""xoxoxxoxxoxo""),""Charukeshi"",IF(REGEXMATCH(AT77,""xoxoooxxoxxo""),""Kameshwari"",IF(REGEXMATC"&amp;"H(AT77,""xoxoxooxoxox""),""Shankara"",IF(REGEXMATCH(AT77,""xxooxoxxxoox""),""Basant"",IF(REGEXMATCH(AT77,""xoxoxxxxoxox""),""Bihag"",IF(REGEXMATCH(AT77,""xoxxxxoxoxxx""),""Pilu"",IF(REGEXMATCH(AT77,""xoxxoxoxxoox""),""Kirwani"",IF(REGEXMATCH(AT77,""xoxxox"&amp;"oxoxxx""),""Mk.Malhar"",IF(REGEXMATCH(AT77,""xxooxxoxxoox""),""Bhairav"",IF(REGEXMATCH(AT77,""xxoxooxxxoox""),""Todi"",IF(REGEXMATCH(AT77,""xxooxoxooxox""),""Marwa"",IF(REGEXMATCH(AT77,""xxoooxoxxooo""),""Gunkali"",IF(REGEXMATCH(AT77,""xoxoxxoxxoox""),""N"&amp;"at Bhairav"",IF(REGEXMATCH(AT77,""xoxxoooxoxoo""),""Shivranjani"",IF(REGEXMATCH(AT77,""xooxxxoxooxo""),""Jog"",IF(REGEXMATCH(AT77,""xxooxoxoxoox""),""Hemshri"",IF(REGEXMATCH(AT77,""xoooxooxoxxo""),""Kalavati"",IF(REGEXMATCH(AT77,""xxoxoxxoxoox""),""Kedar"&amp;""",IF(REGEXMATCH(AT77,""xoxxxxoxooxx""),""Gara"",IF(REGEXMATCH(AT77,""xooxoxooxoox""),""Chandrakauns"",IF(REGEXMATCH(AT77,""xoxxxxoxxxox""),""Mand"",IF(REGEXMATCH(AT77,""xoxxxxoxoxox""),""Hanskinkini"",IF(REGEXMATCH(AT77,""xxooxxoxooxo""),""Lilavati"",IF("&amp;"REGEXMATCH(AT77,""xooxoxoooxox""),""Rajeshwari"",IF(REGEXMATCH(AT77,""xoooxxoxoxxx""),""Khokar"",IF(REGEXMATCH(AT77,""xxooxoxxxxox""),""Maligoura"",""-""))))))))))))))))))))))))))))))"),"Mk.Malhar")</f>
        <v>Mk.Malhar</v>
      </c>
      <c r="BG77" s="239" t="str">
        <f t="shared" si="26"/>
        <v>#REF!</v>
      </c>
      <c r="BH77" s="239">
        <f>IFERROR(__xludf.DUMMYFUNCTION("COUNTUNIQUE(FE77:FO77)-1"),7.0)</f>
        <v>7</v>
      </c>
      <c r="BI77" s="239">
        <f>IFERROR(__xludf.DUMMYFUNCTION("COUNTUNIQUE(FILTER(AT:AT,REGEXMATCH(AT:AT,AS77)))-1"),3.0)</f>
        <v>3</v>
      </c>
      <c r="BJ77" s="239">
        <f>IFERROR(__xludf.DUMMYFUNCTION("COUNTA(FILTER(AT:AT,REGEXMATCH(AT:AT,AS77)))"),16.0)</f>
        <v>16</v>
      </c>
      <c r="BK77" s="341">
        <f>IFERROR(__xludf.DUMMYFUNCTION("COUNTA(FILTER(AT:AT,REGEXMATCH(AT:AT,AS77)))-AR77"),16.0)</f>
        <v>16</v>
      </c>
      <c r="BL77" s="276" t="str">
        <f>IFERROR(__xludf.DUMMYFUNCTION("IF(AS77=""oooooooooooo"",""-"",IF(REGEXMATCH(AT77,""xx""), ""Hemi."", ""Anhemi.""))"),"Hemi.")</f>
        <v>Hemi.</v>
      </c>
      <c r="BM77" s="282" t="str">
        <f>IFERROR(__xludf.DUMMYFUNCTION("IF(AS77=""oooooooooooo"",""-"",IF(REGEXMATCH(AT77,""xxx""), ""Cohem."", ""-""))"),"Cohem.")</f>
        <v>Cohem.</v>
      </c>
      <c r="BN77" s="282" t="str">
        <f>IFERROR(__xludf.DUMMYFUNCTION("IF(AS77=""oooooooooooo"",""-"",IF(REGEXMATCH(AT77,""xxxx""), ""Co-Co."", ""-""))"),"Co-Co.")</f>
        <v>Co-Co.</v>
      </c>
      <c r="BO77" s="342" t="str">
        <f>IFERROR(__xludf.DUMMYFUNCTION("IF(AS77=""oooooooooooo"",""-"",IF(REGEXMATCH(AT77,""xxxxx""), ""CCC."", ""-""))"),"-")</f>
        <v>-</v>
      </c>
      <c r="BP77" s="344" t="str">
        <f t="shared" si="27"/>
        <v>-</v>
      </c>
      <c r="BQ77" s="282" t="str">
        <f>IFERROR(__xludf.DUMMYFUNCTION("IF(REGEXMATCH(JOIN(""-"",EU77:FD77),""TRUE""),""✔"",""-"")"),"-")</f>
        <v>-</v>
      </c>
      <c r="BR77" s="225">
        <f t="shared" si="28"/>
        <v>0</v>
      </c>
      <c r="BS77" s="345" t="str">
        <f>IFERROR(__xludf.DUMMYFUNCTION("SUBSTITUTE(SUBSTITUTE(SUBSTITUTE(SUBSTITUTE(CONCATENATE(JOIN(""-"",GC77:GO77)),""--"",""-""),""--"",""-""),""--"",""-""),""--"",""-"")"),"1-2-b3-4-5-6-b7-7-8")</f>
        <v>1-2-b3-4-5-6-b7-7-8</v>
      </c>
      <c r="BT77" s="299" t="str">
        <f>IFERROR(__xludf.DUMMYFUNCTION("SUBSTITUTE(SUBSTITUTE(SUBSTITUTE(SUBSTITUTE(CONCATENATE(JOIN(""-"",GP77:HB77)),""--"",""-""),""--"",""-""),""--"",""-""),""--"",""-"")"),"S-R2-G2-M1-P-D2-N2-N3-S")</f>
        <v>S-R2-G2-M1-P-D2-N2-N3-S</v>
      </c>
      <c r="BU77" s="348" t="str">
        <f t="shared" si="29"/>
        <v>C-D-Eb-F-G-A-Bb-B-C</v>
      </c>
      <c r="BV77" s="349" t="str">
        <f t="shared" si="30"/>
        <v>SrGMdS</v>
      </c>
      <c r="BW77" s="350">
        <f t="shared" si="31"/>
        <v>0</v>
      </c>
      <c r="BX77" s="351">
        <f t="shared" si="32"/>
        <v>11</v>
      </c>
      <c r="BY77" s="392"/>
      <c r="BZ77" s="309" t="str">
        <f>IFERROR(__xludf.DUMMYFUNCTION("IF(REGEXMATCH(C77, ""S""), ""x"",""x"")"),"x")</f>
        <v>x</v>
      </c>
      <c r="CA77" s="245" t="str">
        <f>IFERROR(__xludf.DUMMYFUNCTION("IF(REGEXMATCH(C77, ""r""), ""o"",""x"")"),"x")</f>
        <v>x</v>
      </c>
      <c r="CB77" s="246" t="str">
        <f>IFERROR(__xludf.DUMMYFUNCTION("IF(REGEXMATCH(C77, ""R""), ""o"",""x"")"),"o")</f>
        <v>o</v>
      </c>
      <c r="CC77" s="246" t="str">
        <f>IFERROR(__xludf.DUMMYFUNCTION("IF(REGEXMATCH(C77, ""g""), ""o"",""x"")"),"o")</f>
        <v>o</v>
      </c>
      <c r="CD77" s="245" t="str">
        <f>IFERROR(__xludf.DUMMYFUNCTION("IF(REGEXMATCH(C77, ""G""), ""o"",""x"")"),"x")</f>
        <v>x</v>
      </c>
      <c r="CE77" s="245" t="str">
        <f>IFERROR(__xludf.DUMMYFUNCTION("IF(REGEXMATCH(C77, ""m""), ""o"",""x"")"),"o")</f>
        <v>o</v>
      </c>
      <c r="CF77" s="246" t="str">
        <f>IFERROR(__xludf.DUMMYFUNCTION("IF(REGEXMATCH(C77, ""M""), ""o"",""x"")"),"x")</f>
        <v>x</v>
      </c>
      <c r="CG77" s="245" t="str">
        <f>IFERROR(__xludf.DUMMYFUNCTION("IF(REGEXMATCH(C77, ""P""), ""o"",""x"")"),"o")</f>
        <v>o</v>
      </c>
      <c r="CH77" s="246" t="str">
        <f>IFERROR(__xludf.DUMMYFUNCTION("IF(REGEXMATCH(C77, ""d""), ""o"",""x"")"),"x")</f>
        <v>x</v>
      </c>
      <c r="CI77" s="245" t="str">
        <f>IFERROR(__xludf.DUMMYFUNCTION("IF(REGEXMATCH(C77, ""D""), ""o"",""x"")"),"o")</f>
        <v>o</v>
      </c>
      <c r="CJ77" s="245" t="str">
        <f>IFERROR(__xludf.DUMMYFUNCTION("IF(REGEXMATCH(C77, ""n""), ""o"",""x"")"),"o")</f>
        <v>o</v>
      </c>
      <c r="CK77" s="245" t="str">
        <f>IFERROR(__xludf.DUMMYFUNCTION("IF(REGEXMATCH(C77, ""N""), ""o"",""x"")"),"o")</f>
        <v>o</v>
      </c>
      <c r="CL77" s="356" t="str">
        <f>IFERROR(__xludf.DUMMYFUNCTION("IF(REGEXMATCH(C77, ""S""), ""x"",""x"")"),"x")</f>
        <v>x</v>
      </c>
      <c r="CM77" s="357" t="str">
        <f t="shared" si="33"/>
        <v>xxooxoxoxooo</v>
      </c>
      <c r="CN77" s="358">
        <f t="shared" si="34"/>
        <v>0</v>
      </c>
      <c r="CO77" s="246" t="str">
        <f>IFERROR(__xludf.DUMMYFUNCTION("IF(REGEXMATCH($C77, ""S""), ""S"",""S"")"),"S")</f>
        <v>S</v>
      </c>
      <c r="CP77" s="246" t="str">
        <f>IFERROR(__xludf.DUMMYFUNCTION("IF(REGEXMATCH($C77, ""r""), """",""r"")"),"r")</f>
        <v>r</v>
      </c>
      <c r="CQ77" s="246" t="str">
        <f>IFERROR(__xludf.DUMMYFUNCTION("IF(REGEXMATCH($C77, ""R""), """",""R"")"),"")</f>
        <v/>
      </c>
      <c r="CR77" s="246" t="str">
        <f>IFERROR(__xludf.DUMMYFUNCTION("IF(REGEXMATCH($C77, ""g""), """",""g"")"),"")</f>
        <v/>
      </c>
      <c r="CS77" s="246" t="str">
        <f>IFERROR(__xludf.DUMMYFUNCTION("IF(REGEXMATCH($C77, ""G""), """",""G"")"),"G")</f>
        <v>G</v>
      </c>
      <c r="CT77" s="246" t="str">
        <f>IFERROR(__xludf.DUMMYFUNCTION("IF(REGEXMATCH($C77, ""m""), """",""m"")"),"")</f>
        <v/>
      </c>
      <c r="CU77" s="246" t="str">
        <f>IFERROR(__xludf.DUMMYFUNCTION("IF(REGEXMATCH($C77, ""M""), """",""M"")"),"M")</f>
        <v>M</v>
      </c>
      <c r="CV77" s="246" t="str">
        <f>IFERROR(__xludf.DUMMYFUNCTION("IF(REGEXMATCH($C77, ""P""), """",""P"")"),"")</f>
        <v/>
      </c>
      <c r="CW77" s="246" t="str">
        <f>IFERROR(__xludf.DUMMYFUNCTION("IF(REGEXMATCH($C77, ""d""), """",""d"")"),"d")</f>
        <v>d</v>
      </c>
      <c r="CX77" s="246" t="str">
        <f>IFERROR(__xludf.DUMMYFUNCTION("IF(REGEXMATCH($C77, ""D""), """",""D"")"),"")</f>
        <v/>
      </c>
      <c r="CY77" s="246" t="str">
        <f>IFERROR(__xludf.DUMMYFUNCTION("IF(REGEXMATCH($C77, ""n""), """",""n"")"),"")</f>
        <v/>
      </c>
      <c r="CZ77" s="246" t="str">
        <f>IFERROR(__xludf.DUMMYFUNCTION("IF(REGEXMATCH($C77, ""N""), """",""N"")"),"")</f>
        <v/>
      </c>
      <c r="DA77" s="246" t="str">
        <f>IFERROR(__xludf.DUMMYFUNCTION("IF(REGEXMATCH($C77, ""S""), ""S"",""S"")"),"S")</f>
        <v>S</v>
      </c>
      <c r="DB77" s="362" t="str">
        <f>IFERROR(__xludf.DUMMYFUNCTION("JOIN("""",CO77:DA77,"""","""")"),"SrGMdS")</f>
        <v>SrGMdS</v>
      </c>
      <c r="DC77" s="363"/>
      <c r="DD77" s="301" t="str">
        <f t="shared" si="35"/>
        <v>#REF!</v>
      </c>
      <c r="DE77" s="302" t="str">
        <f t="shared" si="36"/>
        <v>#REF!</v>
      </c>
      <c r="DF77" s="301" t="str">
        <f t="shared" ref="DF77:DG77" si="351">SUBSTITUTE(S77,"-","")</f>
        <v>SRGM</v>
      </c>
      <c r="DG77" s="301" t="str">
        <f t="shared" si="351"/>
        <v>PDNS</v>
      </c>
      <c r="DH77" s="302" t="str">
        <f t="shared" si="38"/>
        <v>Mk.Malhar</v>
      </c>
      <c r="DI77" s="301" t="str">
        <f t="shared" si="39"/>
        <v>Hemi.</v>
      </c>
      <c r="DJ77" s="364" t="str">
        <f t="shared" si="40"/>
        <v>Co-Co.</v>
      </c>
      <c r="DK77" s="306" t="str">
        <f t="shared" si="41"/>
        <v>-</v>
      </c>
      <c r="DL77" s="366" t="str">
        <f t="shared" si="42"/>
        <v>-</v>
      </c>
      <c r="DM77" s="308" t="str">
        <f t="shared" si="43"/>
        <v>✔</v>
      </c>
      <c r="DN77" s="306" t="str">
        <f t="shared" si="44"/>
        <v>-</v>
      </c>
      <c r="DO77" s="306" t="str">
        <f t="shared" si="45"/>
        <v>-</v>
      </c>
      <c r="DP77" s="367" t="str">
        <f t="shared" si="46"/>
        <v>-</v>
      </c>
      <c r="DQ77" s="310" t="str">
        <f t="shared" si="47"/>
        <v>-</v>
      </c>
      <c r="DR77" s="310" t="str">
        <f t="shared" si="48"/>
        <v>-</v>
      </c>
      <c r="DS77" s="310" t="str">
        <f t="shared" si="49"/>
        <v>-</v>
      </c>
      <c r="DT77" s="310" t="str">
        <f t="shared" si="50"/>
        <v>-</v>
      </c>
      <c r="DU77" s="370" t="str">
        <f t="shared" si="51"/>
        <v>✔</v>
      </c>
      <c r="DV77" s="306" t="str">
        <f t="shared" si="52"/>
        <v>-</v>
      </c>
      <c r="DW77" s="306" t="str">
        <f t="shared" si="53"/>
        <v>-</v>
      </c>
      <c r="DX77" s="306" t="str">
        <f t="shared" si="54"/>
        <v>-</v>
      </c>
      <c r="DY77" s="306" t="str">
        <f t="shared" si="55"/>
        <v>-</v>
      </c>
      <c r="DZ77" s="306" t="str">
        <f t="shared" si="56"/>
        <v>-</v>
      </c>
      <c r="EA77" s="367" t="str">
        <f t="shared" si="57"/>
        <v>-</v>
      </c>
      <c r="EB77" s="310" t="str">
        <f>IFERROR(__xludf.DUMMYFUNCTION("IF(REGEXMATCH(AW77,AS77),""✔"",""-"")"),"-")</f>
        <v>-</v>
      </c>
      <c r="EC77" s="310" t="str">
        <f t="shared" si="58"/>
        <v>#REF!</v>
      </c>
      <c r="ED77" s="370" t="str">
        <f t="shared" si="59"/>
        <v>-</v>
      </c>
      <c r="EE77" s="340" t="str">
        <f t="shared" si="60"/>
        <v>S-R-g-m-P-D-nN-S</v>
      </c>
      <c r="EF77" s="371" t="str">
        <f>IFERROR(__xludf.DUMMYFUNCTION("CONCATENATE(JOIN("""",HC77:HO77))"),"SrRgmPDnS")</f>
        <v>SrRgmPDnS</v>
      </c>
      <c r="EG77" s="372">
        <f t="shared" si="61"/>
        <v>2</v>
      </c>
      <c r="EH77" s="373" t="str">
        <f>IFERROR(__xludf.DUMMYFUNCTION("CONCATENATE(JOIN("""",JC77:JO77))"),"Dha, Ni, ")</f>
        <v>Dha, Ni, </v>
      </c>
      <c r="EI77" s="322">
        <f t="shared" si="62"/>
        <v>1</v>
      </c>
      <c r="EJ77" s="374" t="str">
        <f>IFERROR(__xludf.DUMMYFUNCTION("CONCATENATE(JOIN("""",KC77:KO77))"),"Ni, ")</f>
        <v>Ni, </v>
      </c>
      <c r="EK77" s="325" t="str">
        <f t="shared" si="63"/>
        <v>S-R2-G2-M1-P-D2-N2-N3-S</v>
      </c>
      <c r="EL77" s="326" t="str">
        <f t="shared" si="64"/>
        <v>1-2-b3-4-5-6-b7-7-8</v>
      </c>
      <c r="EM77" s="318" t="str">
        <f t="shared" si="65"/>
        <v>#REF!</v>
      </c>
      <c r="EN77" s="328" t="str">
        <f>IFERROR(__xludf.DUMMYFUNCTION("SUBSTITUTE(SUBSTITUTE(SUBSTITUTE(SUBSTITUTE(CONCATENATE(JOIN("" "",HP77:IB77)),""  "","" ""),""  "","" ""),""  "","" ""),""  "","" "")"),"o • o o • o • o • o o o o")</f>
        <v>o • o o • o • o • o o o o</v>
      </c>
      <c r="EO77" s="368" t="str">
        <f t="shared" si="66"/>
        <v>-</v>
      </c>
      <c r="EP77" s="339" t="str">
        <f t="shared" si="67"/>
        <v>-</v>
      </c>
      <c r="EQ77" s="339" t="str">
        <f t="shared" si="68"/>
        <v>Sa-Pa</v>
      </c>
      <c r="ER77" s="339" t="str">
        <f t="shared" si="69"/>
        <v>-</v>
      </c>
      <c r="ES77" s="340" t="str">
        <f t="shared" si="70"/>
        <v>-</v>
      </c>
      <c r="ET77" s="363"/>
      <c r="EU77" s="376" t="b">
        <f>IFERROR(__xludf.DUMMYFUNCTION("arrayformula(sum(--REGEXMATCH(""SRGMPDNS"",split(REGEXREPLACE(C77,""(.)"",""$1~""),""~""))))=len(C77)
"),FALSE)</f>
        <v>0</v>
      </c>
      <c r="EV77" s="290" t="b">
        <f>IFERROR(__xludf.DUMMYFUNCTION("arrayformula(sum(--REGEXMATCH(""SRGmPDNS"",split(REGEXREPLACE(C77,""(.)"",""$1~""),""~""))))=len(C77)"),FALSE)</f>
        <v>0</v>
      </c>
      <c r="EW77" s="290" t="b">
        <f>IFERROR(__xludf.DUMMYFUNCTION("arrayformula(sum(--REGEXMATCH(""SRGmPDnS"",split(REGEXREPLACE(C77,""(.)"",""$1~""),""~""))))=len(C77)"),FALSE)</f>
        <v>0</v>
      </c>
      <c r="EX77" s="290" t="b">
        <f>IFERROR(__xludf.DUMMYFUNCTION("arrayformula(sum(--REGEXMATCH(""SRgmPDnS"",split(REGEXREPLACE(C77,""(.)"",""$1~""),""~""))))=len(C77)"),FALSE)</f>
        <v>0</v>
      </c>
      <c r="EY77" s="290" t="b">
        <f>IFERROR(__xludf.DUMMYFUNCTION("arrayformula(sum(--REGEXMATCH(""SRgmPdnS"",split(REGEXREPLACE(C77,""(.)"",""$1~""),""~""))))=len(C77)"),FALSE)</f>
        <v>0</v>
      </c>
      <c r="EZ77" s="290" t="b">
        <f>IFERROR(__xludf.DUMMYFUNCTION("arrayformula(sum(--REGEXMATCH(""SrgmPdnS"",split(REGEXREPLACE(C77,""(.)"",""$1~""),""~""))))=len(C77)"),FALSE)</f>
        <v>0</v>
      </c>
      <c r="FA77" s="290" t="b">
        <f>IFERROR(__xludf.DUMMYFUNCTION("arrayformula(sum(--REGEXMATCH(""SrGmPdNS"",split(REGEXREPLACE(C77,""(.)"",""$1~""),""~""))))=len(C77)"),FALSE)</f>
        <v>0</v>
      </c>
      <c r="FB77" s="290" t="b">
        <f>IFERROR(__xludf.DUMMYFUNCTION("arrayformula(sum(--REGEXMATCH(""SrGMPDNS"",split(REGEXREPLACE(C77,""(.)"",""$1~""),""~""))))=len(C77)"),FALSE)</f>
        <v>0</v>
      </c>
      <c r="FC77" s="290" t="b">
        <f>IFERROR(__xludf.DUMMYFUNCTION("arrayformula(sum(--REGEXMATCH(""SrGMPdNS"",split(REGEXREPLACE(C77,""(.)"",""$1~""),""~""))))=len(C77)"),FALSE)</f>
        <v>0</v>
      </c>
      <c r="FD77" s="377" t="b">
        <f>IFERROR(__xludf.DUMMYFUNCTION("arrayformula(sum(--REGEXMATCH(""SrgMPdNS"",split(REGEXREPLACE(C77,""(.)"",""$1~""),""~""))))=len(C77)"),FALSE)</f>
        <v>0</v>
      </c>
      <c r="FE77" s="269" t="str">
        <f t="shared" si="71"/>
        <v>-</v>
      </c>
      <c r="FF77" s="269" t="str">
        <f t="shared" si="72"/>
        <v>xxoxoxoxxxx</v>
      </c>
      <c r="FG77" s="271" t="str">
        <f t="shared" si="73"/>
        <v>xoxoxoxxxxo</v>
      </c>
      <c r="FH77" s="269" t="str">
        <f t="shared" si="74"/>
        <v>-</v>
      </c>
      <c r="FI77" s="271" t="str">
        <f t="shared" si="75"/>
        <v>xoxoxxxxoxx</v>
      </c>
      <c r="FJ77" s="271" t="str">
        <f t="shared" si="76"/>
        <v>-</v>
      </c>
      <c r="FK77" s="271" t="str">
        <f t="shared" si="77"/>
        <v>xoxxxxoxxox</v>
      </c>
      <c r="FL77" s="271" t="str">
        <f t="shared" si="78"/>
        <v>-</v>
      </c>
      <c r="FM77" s="271" t="str">
        <f t="shared" si="79"/>
        <v>xxxxoxxoxox</v>
      </c>
      <c r="FN77" s="271" t="str">
        <f t="shared" si="80"/>
        <v>xxxoxxoxoxo</v>
      </c>
      <c r="FO77" s="274" t="str">
        <f t="shared" si="81"/>
        <v>xxoxxoxoxox</v>
      </c>
      <c r="FP77" s="234" t="str">
        <f t="shared" si="82"/>
        <v>|</v>
      </c>
      <c r="FQ77" s="236" t="str">
        <f t="shared" si="83"/>
        <v>-</v>
      </c>
      <c r="FR77" s="237" t="str">
        <f t="shared" si="84"/>
        <v>|</v>
      </c>
      <c r="FS77" s="236" t="str">
        <f t="shared" si="85"/>
        <v>|</v>
      </c>
      <c r="FT77" s="237" t="str">
        <f t="shared" si="86"/>
        <v>-</v>
      </c>
      <c r="FU77" s="236" t="str">
        <f t="shared" si="87"/>
        <v>|</v>
      </c>
      <c r="FV77" s="237" t="str">
        <f t="shared" si="88"/>
        <v>-</v>
      </c>
      <c r="FW77" s="236" t="str">
        <f t="shared" si="89"/>
        <v>|</v>
      </c>
      <c r="FX77" s="237" t="str">
        <f t="shared" si="90"/>
        <v>-</v>
      </c>
      <c r="FY77" s="236" t="str">
        <f t="shared" si="91"/>
        <v>|</v>
      </c>
      <c r="FZ77" s="237" t="str">
        <f t="shared" si="92"/>
        <v>|</v>
      </c>
      <c r="GA77" s="236" t="str">
        <f t="shared" si="93"/>
        <v>|</v>
      </c>
      <c r="GB77" s="238" t="str">
        <f t="shared" si="94"/>
        <v>|</v>
      </c>
      <c r="GC77" s="244" t="str">
        <f>IFERROR(__xludf.DUMMYFUNCTION("IF(REGEXMATCH(C77, ""S""), ""1"","""")"),"1")</f>
        <v>1</v>
      </c>
      <c r="GD77" s="245" t="str">
        <f>IFERROR(__xludf.DUMMYFUNCTION("IF(REGEXMATCH(C77, ""r""), ""b2"","""")"),"")</f>
        <v/>
      </c>
      <c r="GE77" s="246" t="str">
        <f>IFERROR(__xludf.DUMMYFUNCTION("IF(REGEXMATCH(C77, ""R""), ""2"","""")"),"2")</f>
        <v>2</v>
      </c>
      <c r="GF77" s="246" t="str">
        <f>IFERROR(__xludf.DUMMYFUNCTION("IF(REGEXMATCH(C77, ""g""), ""b3"","""")"),"b3")</f>
        <v>b3</v>
      </c>
      <c r="GG77" s="245" t="str">
        <f>IFERROR(__xludf.DUMMYFUNCTION("IF(REGEXMATCH(C77, ""G""), ""3"","""")"),"")</f>
        <v/>
      </c>
      <c r="GH77" s="245" t="str">
        <f>IFERROR(__xludf.DUMMYFUNCTION("IF(REGEXMATCH(C77, ""m""), ""4"","""")"),"4")</f>
        <v>4</v>
      </c>
      <c r="GI77" s="246" t="str">
        <f>IFERROR(__xludf.DUMMYFUNCTION("IF(REGEXMATCH(C77, ""M""), ""#4"","""")"),"")</f>
        <v/>
      </c>
      <c r="GJ77" s="245" t="str">
        <f>IFERROR(__xludf.DUMMYFUNCTION("IF(REGEXMATCH(C77, ""P""), ""5"","""")"),"5")</f>
        <v>5</v>
      </c>
      <c r="GK77" s="246" t="str">
        <f>IFERROR(__xludf.DUMMYFUNCTION("IF(REGEXMATCH(C77, ""d""), ""b6"","""")"),"")</f>
        <v/>
      </c>
      <c r="GL77" s="245" t="str">
        <f>IFERROR(__xludf.DUMMYFUNCTION("IF(REGEXMATCH(C77, ""D""), ""6"","""")"),"6")</f>
        <v>6</v>
      </c>
      <c r="GM77" s="245" t="str">
        <f>IFERROR(__xludf.DUMMYFUNCTION("IF(REGEXMATCH(C77, ""n""), ""b7"","""")"),"b7")</f>
        <v>b7</v>
      </c>
      <c r="GN77" s="246" t="str">
        <f>IFERROR(__xludf.DUMMYFUNCTION("IF(REGEXMATCH(C77, ""N""), ""7"","""")"),"7")</f>
        <v>7</v>
      </c>
      <c r="GO77" s="249" t="str">
        <f>IFERROR(__xludf.DUMMYFUNCTION("IF(REGEXMATCH(C77, ""S""), ""8"","""")"),"8")</f>
        <v>8</v>
      </c>
      <c r="GP77" s="244" t="str">
        <f>IFERROR(__xludf.DUMMYFUNCTION("IF(REGEXMATCH(C77, ""S""), ""S"","""")"),"S")</f>
        <v>S</v>
      </c>
      <c r="GQ77" s="294" t="str">
        <f>IFERROR(__xludf.DUMMYFUNCTION("IF(REGEXMATCH(C77, ""r""), ""R1"","""")"),"")</f>
        <v/>
      </c>
      <c r="GR77" s="295" t="str">
        <f>IFERROR(__xludf.DUMMYFUNCTION("IF(REGEXMATCH(C77, ""R""), ""R2"","""")"),"R2")</f>
        <v>R2</v>
      </c>
      <c r="GS77" s="295" t="str">
        <f>IFERROR(__xludf.DUMMYFUNCTION("IF(REGEXMATCH(C77, ""g""), ""G2"","""")"),"G2")</f>
        <v>G2</v>
      </c>
      <c r="GT77" s="294" t="str">
        <f>IFERROR(__xludf.DUMMYFUNCTION("IF(REGEXMATCH(C77, ""G""), ""G3"","""")"),"")</f>
        <v/>
      </c>
      <c r="GU77" s="294" t="str">
        <f>IFERROR(__xludf.DUMMYFUNCTION("IF(REGEXMATCH(C77, ""m""), ""M1"","""")"),"M1")</f>
        <v>M1</v>
      </c>
      <c r="GV77" s="295" t="str">
        <f>IFERROR(__xludf.DUMMYFUNCTION("IF(REGEXMATCH(C77, ""M""), ""M2"","""")"),"")</f>
        <v/>
      </c>
      <c r="GW77" s="294" t="str">
        <f>IFERROR(__xludf.DUMMYFUNCTION("IF(REGEXMATCH(C77, ""P""), ""P"","""")"),"P")</f>
        <v>P</v>
      </c>
      <c r="GX77" s="295" t="str">
        <f>IFERROR(__xludf.DUMMYFUNCTION("IF(REGEXMATCH(C77, ""d""), ""D1"","""")"),"")</f>
        <v/>
      </c>
      <c r="GY77" s="294" t="str">
        <f>IFERROR(__xludf.DUMMYFUNCTION("IF(REGEXMATCH(C77, ""D""), ""D2"","""")"),"D2")</f>
        <v>D2</v>
      </c>
      <c r="GZ77" s="294" t="str">
        <f>IFERROR(__xludf.DUMMYFUNCTION("IF(REGEXMATCH(C77, ""n""), ""N2"","""")"),"N2")</f>
        <v>N2</v>
      </c>
      <c r="HA77" s="295" t="str">
        <f>IFERROR(__xludf.DUMMYFUNCTION("IF(REGEXMATCH(C77, ""N""), ""N3"","""")"),"N3")</f>
        <v>N3</v>
      </c>
      <c r="HB77" s="249" t="str">
        <f>IFERROR(__xludf.DUMMYFUNCTION("IF(REGEXMATCH(C77, ""S""), ""S"","""")"),"S")</f>
        <v>S</v>
      </c>
      <c r="HC77" s="331" t="str">
        <f t="shared" si="95"/>
        <v>S</v>
      </c>
      <c r="HD77" s="332" t="str">
        <f t="shared" si="96"/>
        <v>r</v>
      </c>
      <c r="HE77" s="332" t="str">
        <f t="shared" si="97"/>
        <v>R</v>
      </c>
      <c r="HF77" s="332" t="str">
        <f t="shared" si="98"/>
        <v>g</v>
      </c>
      <c r="HG77" s="332" t="str">
        <f t="shared" si="99"/>
        <v/>
      </c>
      <c r="HH77" s="332" t="str">
        <f t="shared" si="100"/>
        <v>m</v>
      </c>
      <c r="HI77" s="332" t="str">
        <f t="shared" si="101"/>
        <v/>
      </c>
      <c r="HJ77" s="332" t="str">
        <f t="shared" si="102"/>
        <v>P</v>
      </c>
      <c r="HK77" s="332" t="str">
        <f t="shared" si="103"/>
        <v/>
      </c>
      <c r="HL77" s="332" t="str">
        <f t="shared" si="104"/>
        <v>D</v>
      </c>
      <c r="HM77" s="332" t="str">
        <f t="shared" si="105"/>
        <v>n</v>
      </c>
      <c r="HN77" s="332" t="str">
        <f t="shared" si="106"/>
        <v/>
      </c>
      <c r="HO77" s="343" t="str">
        <f t="shared" si="107"/>
        <v>S</v>
      </c>
      <c r="HP77" s="331" t="str">
        <f t="shared" si="108"/>
        <v>o</v>
      </c>
      <c r="HQ77" s="332" t="str">
        <f t="shared" si="109"/>
        <v>•</v>
      </c>
      <c r="HR77" s="332" t="str">
        <f t="shared" si="110"/>
        <v>o</v>
      </c>
      <c r="HS77" s="332" t="str">
        <f t="shared" si="111"/>
        <v>o</v>
      </c>
      <c r="HT77" s="332" t="str">
        <f t="shared" si="112"/>
        <v>•</v>
      </c>
      <c r="HU77" s="332" t="str">
        <f t="shared" si="113"/>
        <v>o</v>
      </c>
      <c r="HV77" s="332" t="str">
        <f t="shared" si="114"/>
        <v>•</v>
      </c>
      <c r="HW77" s="332" t="str">
        <f t="shared" si="115"/>
        <v>o</v>
      </c>
      <c r="HX77" s="332" t="str">
        <f t="shared" si="116"/>
        <v>•</v>
      </c>
      <c r="HY77" s="332" t="str">
        <f t="shared" si="117"/>
        <v>o</v>
      </c>
      <c r="HZ77" s="332" t="str">
        <f t="shared" si="118"/>
        <v>o</v>
      </c>
      <c r="IA77" s="332" t="str">
        <f t="shared" si="119"/>
        <v>o</v>
      </c>
      <c r="IB77" s="338" t="str">
        <f t="shared" si="120"/>
        <v>o</v>
      </c>
      <c r="IC77" s="331" t="str">
        <f t="shared" si="121"/>
        <v>•</v>
      </c>
      <c r="ID77" s="332" t="str">
        <f t="shared" si="122"/>
        <v>o</v>
      </c>
      <c r="IE77" s="332" t="str">
        <f t="shared" si="123"/>
        <v>•</v>
      </c>
      <c r="IF77" s="332" t="str">
        <f t="shared" si="124"/>
        <v>•</v>
      </c>
      <c r="IG77" s="332" t="str">
        <f t="shared" si="125"/>
        <v>o</v>
      </c>
      <c r="IH77" s="332" t="str">
        <f t="shared" si="126"/>
        <v>•</v>
      </c>
      <c r="II77" s="332" t="str">
        <f t="shared" si="127"/>
        <v>o</v>
      </c>
      <c r="IJ77" s="332" t="str">
        <f t="shared" si="128"/>
        <v>•</v>
      </c>
      <c r="IK77" s="332" t="str">
        <f t="shared" si="129"/>
        <v>o</v>
      </c>
      <c r="IL77" s="332" t="str">
        <f t="shared" si="130"/>
        <v>•</v>
      </c>
      <c r="IM77" s="332" t="str">
        <f t="shared" si="131"/>
        <v>•</v>
      </c>
      <c r="IN77" s="332" t="str">
        <f t="shared" si="132"/>
        <v>•</v>
      </c>
      <c r="IO77" s="338" t="str">
        <f t="shared" si="133"/>
        <v>•</v>
      </c>
      <c r="IP77" s="346" t="b">
        <f t="shared" si="134"/>
        <v>0</v>
      </c>
      <c r="IQ77" s="347" t="b">
        <f t="shared" si="135"/>
        <v>0</v>
      </c>
      <c r="IR77" s="347" t="b">
        <f t="shared" si="136"/>
        <v>0</v>
      </c>
      <c r="IS77" s="347" t="b">
        <f t="shared" si="137"/>
        <v>0</v>
      </c>
      <c r="IT77" s="347" t="b">
        <f t="shared" si="138"/>
        <v>0</v>
      </c>
      <c r="IU77" s="347" t="b">
        <f t="shared" si="139"/>
        <v>0</v>
      </c>
      <c r="IV77" s="347" t="b">
        <f t="shared" si="140"/>
        <v>0</v>
      </c>
      <c r="IW77" s="347" t="b">
        <f t="shared" si="141"/>
        <v>0</v>
      </c>
      <c r="IX77" s="347" t="b">
        <f t="shared" si="142"/>
        <v>0</v>
      </c>
      <c r="IY77" s="347" t="b">
        <f t="shared" si="143"/>
        <v>1</v>
      </c>
      <c r="IZ77" s="347" t="b">
        <f t="shared" si="144"/>
        <v>0</v>
      </c>
      <c r="JA77" s="347" t="b">
        <f t="shared" si="145"/>
        <v>1</v>
      </c>
      <c r="JB77" s="353" t="b">
        <f t="shared" si="146"/>
        <v>0</v>
      </c>
      <c r="JC77" s="354" t="str">
        <f t="shared" si="147"/>
        <v/>
      </c>
      <c r="JD77" s="355" t="str">
        <f t="shared" si="148"/>
        <v/>
      </c>
      <c r="JE77" s="355" t="str">
        <f t="shared" si="149"/>
        <v/>
      </c>
      <c r="JF77" s="355" t="str">
        <f t="shared" si="150"/>
        <v/>
      </c>
      <c r="JG77" s="355" t="str">
        <f t="shared" si="151"/>
        <v/>
      </c>
      <c r="JH77" s="355" t="str">
        <f t="shared" si="152"/>
        <v/>
      </c>
      <c r="JI77" s="355" t="str">
        <f t="shared" si="153"/>
        <v/>
      </c>
      <c r="JJ77" s="355" t="str">
        <f t="shared" si="154"/>
        <v/>
      </c>
      <c r="JK77" s="355" t="str">
        <f t="shared" si="155"/>
        <v/>
      </c>
      <c r="JL77" s="355" t="str">
        <f t="shared" si="156"/>
        <v>Dha, </v>
      </c>
      <c r="JM77" s="355" t="str">
        <f t="shared" si="157"/>
        <v/>
      </c>
      <c r="JN77" s="355" t="str">
        <f t="shared" si="158"/>
        <v>Ni, </v>
      </c>
      <c r="JO77" s="359" t="str">
        <f t="shared" si="159"/>
        <v/>
      </c>
      <c r="JP77" s="346" t="b">
        <f t="shared" si="160"/>
        <v>0</v>
      </c>
      <c r="JQ77" s="347" t="b">
        <f t="shared" si="161"/>
        <v>0</v>
      </c>
      <c r="JR77" s="347" t="b">
        <f t="shared" si="162"/>
        <v>0</v>
      </c>
      <c r="JS77" s="347" t="b">
        <f t="shared" si="163"/>
        <v>0</v>
      </c>
      <c r="JT77" s="347" t="b">
        <f t="shared" si="164"/>
        <v>0</v>
      </c>
      <c r="JU77" s="347" t="b">
        <f t="shared" si="165"/>
        <v>0</v>
      </c>
      <c r="JV77" s="347" t="b">
        <f t="shared" si="166"/>
        <v>0</v>
      </c>
      <c r="JW77" s="347" t="b">
        <f t="shared" si="167"/>
        <v>0</v>
      </c>
      <c r="JX77" s="347" t="b">
        <f t="shared" si="168"/>
        <v>0</v>
      </c>
      <c r="JY77" s="347" t="b">
        <f t="shared" si="169"/>
        <v>0</v>
      </c>
      <c r="JZ77" s="347" t="b">
        <f t="shared" si="170"/>
        <v>0</v>
      </c>
      <c r="KA77" s="347" t="b">
        <f t="shared" si="171"/>
        <v>1</v>
      </c>
      <c r="KB77" s="365" t="b">
        <f t="shared" si="172"/>
        <v>0</v>
      </c>
      <c r="KC77" s="354" t="str">
        <f t="shared" si="173"/>
        <v/>
      </c>
      <c r="KD77" s="355" t="str">
        <f t="shared" si="174"/>
        <v/>
      </c>
      <c r="KE77" s="355" t="str">
        <f t="shared" si="175"/>
        <v/>
      </c>
      <c r="KF77" s="355" t="str">
        <f t="shared" si="176"/>
        <v/>
      </c>
      <c r="KG77" s="355" t="str">
        <f t="shared" si="177"/>
        <v/>
      </c>
      <c r="KH77" s="355" t="str">
        <f t="shared" si="178"/>
        <v/>
      </c>
      <c r="KI77" s="355" t="str">
        <f t="shared" si="179"/>
        <v/>
      </c>
      <c r="KJ77" s="355" t="str">
        <f t="shared" si="180"/>
        <v/>
      </c>
      <c r="KK77" s="355" t="str">
        <f t="shared" si="181"/>
        <v/>
      </c>
      <c r="KL77" s="355" t="str">
        <f t="shared" si="182"/>
        <v/>
      </c>
      <c r="KM77" s="355" t="str">
        <f t="shared" si="183"/>
        <v/>
      </c>
      <c r="KN77" s="355" t="str">
        <f t="shared" si="184"/>
        <v>Ni, </v>
      </c>
      <c r="KO77" s="359"/>
      <c r="KP77" s="378"/>
      <c r="KQ77" s="379" t="s">
        <v>9</v>
      </c>
      <c r="KR77" s="380" t="s">
        <v>9</v>
      </c>
      <c r="KS77" s="381" t="s">
        <v>9</v>
      </c>
      <c r="KT77" s="382">
        <f t="shared" si="186"/>
        <v>0</v>
      </c>
      <c r="KU77" s="383">
        <f t="shared" si="187"/>
        <v>0</v>
      </c>
      <c r="KV77" s="381" t="str">
        <f t="shared" si="205"/>
        <v>S</v>
      </c>
      <c r="KW77" s="382">
        <f t="shared" si="189"/>
        <v>0</v>
      </c>
      <c r="KX77" s="384">
        <f t="shared" si="190"/>
        <v>0</v>
      </c>
      <c r="KY77" s="382">
        <f t="shared" ref="KY77:KZ77" si="352">KW77-KT77</f>
        <v>0</v>
      </c>
      <c r="KZ77" s="369">
        <f t="shared" si="352"/>
        <v>0</v>
      </c>
      <c r="LA77" s="385" t="str">
        <f t="shared" si="192"/>
        <v>✔</v>
      </c>
      <c r="LB77" s="340" t="str">
        <f>IFERROR(__xludf.DUMMYFUNCTION("JOIN("""",ArrayFormula(MID(KS77,LEN(KS77)-SEQUENCE(1,LEN(KS77))+1,1)))"),"S")</f>
        <v>S</v>
      </c>
      <c r="LC77" s="373" t="str">
        <f>IFERROR(__xludf.DUMMYFUNCTION("JOIN("""",ArrayFormula(MID(KV77,LEN(KV77)-SEQUENCE(1,LEN(KV77))+1,1)))"),"S")</f>
        <v>S</v>
      </c>
      <c r="LD77" s="373" t="str">
        <f t="shared" si="193"/>
        <v>S</v>
      </c>
      <c r="LE77" s="339" t="str">
        <f t="shared" si="194"/>
        <v>S</v>
      </c>
      <c r="LF77" s="386" t="str">
        <f>IFERROR(__xludf.DUMMYFUNCTION("SUBSTITUTE(SUBSTITUTE(CONCATENATE(JOIN("""",LH77:LT77)),""1"",""""),""2"","""")"),"SS")</f>
        <v>SS</v>
      </c>
      <c r="LG77" s="369" t="str">
        <f t="shared" si="195"/>
        <v>-</v>
      </c>
      <c r="LH77" s="387" t="str">
        <f>IFERROR(__xludf.DUMMYFUNCTION("IF(REGEXMATCH(LD77, ""S""), ""S"",IF(REGEXMATCH(LE77, ""S""), ""S"",""""))"),"S")</f>
        <v>S</v>
      </c>
      <c r="LI77" s="299" t="str">
        <f>IFERROR(__xludf.DUMMYFUNCTION("IF(REGEXMATCH(LD77, ""r""), ""r1"",IF(REGEXMATCH(LE77, ""r""), ""r2"",""""))"),"")</f>
        <v/>
      </c>
      <c r="LJ77" s="299" t="str">
        <f>IFERROR(__xludf.DUMMYFUNCTION("IF(REGEXMATCH(LD77, ""R""), ""R1"",IF(REGEXMATCH(LE77, ""R""), ""R2"",""""))"),"")</f>
        <v/>
      </c>
      <c r="LK77" s="299" t="str">
        <f>IFERROR(__xludf.DUMMYFUNCTION("IF(REGEXMATCH(LD77, ""g""), ""g1"",IF(REGEXMATCH(LE77, ""g""), ""g2"",""""))"),"")</f>
        <v/>
      </c>
      <c r="LL77" s="299" t="str">
        <f>IFERROR(__xludf.DUMMYFUNCTION("IF(REGEXMATCH(LD77, ""G""), ""G1"",IF(REGEXMATCH(LE77, ""G""), ""G2"",""""))"),"")</f>
        <v/>
      </c>
      <c r="LM77" s="299" t="str">
        <f>IFERROR(__xludf.DUMMYFUNCTION("IF(REGEXMATCH(LD77, ""m""), ""m1"",IF(REGEXMATCH(LE77, ""m""), ""m2"",""""))"),"")</f>
        <v/>
      </c>
      <c r="LN77" s="299" t="str">
        <f>IFERROR(__xludf.DUMMYFUNCTION("IF(REGEXMATCH(LD77, ""M""), ""M1"",IF(REGEXMATCH(LE77, ""M""), ""M2"",""""))"),"")</f>
        <v/>
      </c>
      <c r="LO77" s="299" t="str">
        <f>IFERROR(__xludf.DUMMYFUNCTION("IF(REGEXMATCH(LD77, ""P""), ""P1"",IF(REGEXMATCH(LE77, ""P""), ""P2"",""""))"),"")</f>
        <v/>
      </c>
      <c r="LP77" s="299" t="str">
        <f>IFERROR(__xludf.DUMMYFUNCTION("IF(REGEXMATCH(LD77, ""d""), ""d1"",IF(REGEXMATCH(LE77, ""d""), ""d2"",""""))"),"")</f>
        <v/>
      </c>
      <c r="LQ77" s="299" t="str">
        <f>IFERROR(__xludf.DUMMYFUNCTION("IF(REGEXMATCH(LD77, ""D""), ""D1"",IF(REGEXMATCH(LE77, ""D""), ""D2"",""""))"),"")</f>
        <v/>
      </c>
      <c r="LR77" s="299" t="str">
        <f>IFERROR(__xludf.DUMMYFUNCTION("IF(REGEXMATCH(LD77, ""n""), ""n1"",IF(REGEXMATCH(LE77, ""n""), ""n2"",""""))"),"")</f>
        <v/>
      </c>
      <c r="LS77" s="299" t="str">
        <f>IFERROR(__xludf.DUMMYFUNCTION("IF(REGEXMATCH(LD77, ""N""), ""N1"",IF(REGEXMATCH(LE77, ""N""), ""N2"",""""))"),"")</f>
        <v/>
      </c>
      <c r="LT77" s="388" t="str">
        <f>IFERROR(__xludf.DUMMYFUNCTION("IF(REGEXMATCH(LD77, ""S""), ""S"",IF(REGEXMATCH(LE77, ""S""), ""S"",""""))"),"S")</f>
        <v>S</v>
      </c>
      <c r="LU77" s="389">
        <f t="shared" si="196"/>
        <v>1</v>
      </c>
      <c r="LV77" s="378"/>
      <c r="LW77" s="369"/>
      <c r="LX77" s="369"/>
    </row>
    <row r="78" ht="18.0" customHeight="1">
      <c r="A78" s="298" t="s">
        <v>659</v>
      </c>
      <c r="B78" s="222" t="s">
        <v>353</v>
      </c>
      <c r="C78" s="233" t="str">
        <f t="shared" si="7"/>
        <v>SRGmPdnS</v>
      </c>
      <c r="D78" s="234" t="str">
        <f>IFERROR(__xludf.DUMMYFUNCTION("IF(REGEXMATCH(C78, ""S""), ""S"","""")"),"S")</f>
        <v>S</v>
      </c>
      <c r="E78" s="236" t="str">
        <f>IFERROR(__xludf.DUMMYFUNCTION("IF(REGEXMATCH(C78, ""r""), ""r"","""")"),"")</f>
        <v/>
      </c>
      <c r="F78" s="237" t="str">
        <f>IFERROR(__xludf.DUMMYFUNCTION("IF(REGEXMATCH(C78, ""R""), ""R"","""")"),"R")</f>
        <v>R</v>
      </c>
      <c r="G78" s="237" t="str">
        <f>IFERROR(__xludf.DUMMYFUNCTION("IF(REGEXMATCH(C78, ""g""), ""g"","""")"),"")</f>
        <v/>
      </c>
      <c r="H78" s="236" t="str">
        <f>IFERROR(__xludf.DUMMYFUNCTION("IF(REGEXMATCH(C78, ""G""), ""G"","""")"),"G")</f>
        <v>G</v>
      </c>
      <c r="I78" s="236" t="str">
        <f>IFERROR(__xludf.DUMMYFUNCTION("IF(REGEXMATCH(C78, ""m""), ""m"","""")"),"m")</f>
        <v>m</v>
      </c>
      <c r="J78" s="237" t="str">
        <f>IFERROR(__xludf.DUMMYFUNCTION("IF(REGEXMATCH(C78, ""M""), ""M"","""")"),"")</f>
        <v/>
      </c>
      <c r="K78" s="236" t="str">
        <f>IFERROR(__xludf.DUMMYFUNCTION("IF(REGEXMATCH(C78, ""P""), ""P"","""")"),"P")</f>
        <v>P</v>
      </c>
      <c r="L78" s="237" t="str">
        <f>IFERROR(__xludf.DUMMYFUNCTION("IF(REGEXMATCH(C78, ""d""), ""d"","""")"),"d")</f>
        <v>d</v>
      </c>
      <c r="M78" s="236" t="str">
        <f>IFERROR(__xludf.DUMMYFUNCTION("IF(REGEXMATCH(C78, ""D""), ""D"","""")"),"")</f>
        <v/>
      </c>
      <c r="N78" s="236" t="str">
        <f>IFERROR(__xludf.DUMMYFUNCTION("IF(REGEXMATCH(C78, ""n""), ""n"","""")"),"n")</f>
        <v>n</v>
      </c>
      <c r="O78" s="237" t="str">
        <f>IFERROR(__xludf.DUMMYFUNCTION("IF(REGEXMATCH(C78, ""N""), ""N"","""")"),"")</f>
        <v/>
      </c>
      <c r="P78" s="238" t="str">
        <f>IFERROR(__xludf.DUMMYFUNCTION("IF(REGEXMATCH(C78, ""S""), ""S"","""")"),"S")</f>
        <v>S</v>
      </c>
      <c r="Q78" s="239" t="str">
        <f>IFERROR(__xludf.DUMMYFUNCTION("SUBSTITUTE(CONCATENATE(JOIN(""-"",D78:J78)),""-"","""")"),"SRGm")</f>
        <v>SRGm</v>
      </c>
      <c r="R78" s="229" t="str">
        <f>IFERROR(__xludf.DUMMYFUNCTION("SUBSTITUTE(CONCATENATE(JOIN(""-"",K78:P78)),""-"","""")"),"PdnS")</f>
        <v>PdnS</v>
      </c>
      <c r="S78" s="282" t="str">
        <f t="shared" si="8"/>
        <v>S-R-G-M</v>
      </c>
      <c r="T78" s="282" t="str">
        <f t="shared" si="9"/>
        <v>P-D-N-S</v>
      </c>
      <c r="U78" s="237" t="str">
        <f>IFERROR(__xludf.DUMMYFUNCTION("SUBSTITUTE(JOIN(""-"",S78,T78),""--"",""-"")"),"S-R-G-M-P-D-N-S")</f>
        <v>S-R-G-M-P-D-N-S</v>
      </c>
      <c r="V78" s="309" t="str">
        <f t="shared" si="10"/>
        <v>RGmdn</v>
      </c>
      <c r="W78" s="244" t="str">
        <f>IFERROR(__xludf.DUMMYFUNCTION("IF(REGEXMATCH(C78, ""S""), ""0"","""")"),"0")</f>
        <v>0</v>
      </c>
      <c r="X78" s="245" t="str">
        <f>IFERROR(__xludf.DUMMYFUNCTION("IF(REGEXMATCH(C78, ""r""), ""1"","""")"),"")</f>
        <v/>
      </c>
      <c r="Y78" s="246" t="str">
        <f>IFERROR(__xludf.DUMMYFUNCTION("IF(REGEXMATCH(C78, ""R""), ""2"","""")"),"2")</f>
        <v>2</v>
      </c>
      <c r="Z78" s="246" t="str">
        <f>IFERROR(__xludf.DUMMYFUNCTION("IF(REGEXMATCH(C78, ""g""), ""3"","""")"),"")</f>
        <v/>
      </c>
      <c r="AA78" s="245" t="str">
        <f>IFERROR(__xludf.DUMMYFUNCTION("IF(REGEXMATCH(C78, ""G""), ""4"","""")"),"4")</f>
        <v>4</v>
      </c>
      <c r="AB78" s="245" t="str">
        <f>IFERROR(__xludf.DUMMYFUNCTION("IF(REGEXMATCH(C78, ""m""), ""5"","""")"),"5")</f>
        <v>5</v>
      </c>
      <c r="AC78" s="246" t="str">
        <f>IFERROR(__xludf.DUMMYFUNCTION("IF(REGEXMATCH(C78, ""M""), ""6"","""")"),"")</f>
        <v/>
      </c>
      <c r="AD78" s="245" t="str">
        <f>IFERROR(__xludf.DUMMYFUNCTION("IF(REGEXMATCH(C78, ""P""), ""7"","""")"),"7")</f>
        <v>7</v>
      </c>
      <c r="AE78" s="246" t="str">
        <f>IFERROR(__xludf.DUMMYFUNCTION("IF(REGEXMATCH(C78, ""d""), ""8"","""")"),"8")</f>
        <v>8</v>
      </c>
      <c r="AF78" s="245" t="str">
        <f>IFERROR(__xludf.DUMMYFUNCTION("IF(REGEXMATCH(C78, ""D""), ""9"","""")"),"")</f>
        <v/>
      </c>
      <c r="AG78" s="245" t="str">
        <f>IFERROR(__xludf.DUMMYFUNCTION("IF(REGEXMATCH(C78, ""n""), ""10"","""")"),"10")</f>
        <v>10</v>
      </c>
      <c r="AH78" s="246" t="str">
        <f>IFERROR(__xludf.DUMMYFUNCTION("IF(REGEXMATCH(C78, ""N""), ""11"","""")"),"")</f>
        <v/>
      </c>
      <c r="AI78" s="249" t="str">
        <f>IFERROR(__xludf.DUMMYFUNCTION("IF(REGEXMATCH(C78, ""S""), ""0"","""")"),"0")</f>
        <v>0</v>
      </c>
      <c r="AJ78" s="313" t="str">
        <f t="shared" si="11"/>
        <v>-</v>
      </c>
      <c r="AK78" s="313" t="str">
        <f t="shared" si="12"/>
        <v>-</v>
      </c>
      <c r="AL78" s="313" t="str">
        <f t="shared" si="13"/>
        <v>T</v>
      </c>
      <c r="AM78" s="313" t="str">
        <f t="shared" si="14"/>
        <v>-</v>
      </c>
      <c r="AN78" s="313" t="str">
        <f t="shared" si="15"/>
        <v>T</v>
      </c>
      <c r="AO78" s="314" t="str">
        <f t="shared" si="16"/>
        <v>-</v>
      </c>
      <c r="AP78" s="316">
        <f t="shared" si="17"/>
        <v>2</v>
      </c>
      <c r="AQ78" s="319" t="str">
        <f t="shared" si="18"/>
        <v>#REF!</v>
      </c>
      <c r="AR78" s="320">
        <f t="shared" si="19"/>
        <v>0</v>
      </c>
      <c r="AS78" s="250" t="str">
        <f>IFERROR(__xludf.DUMMYFUNCTION("SUBSTITUTE(SUBSTITUTE(CONCATENATE(JOIN("""",FP78:GA78)),""|"",""x""),""-"",""o"")"),"xoxoxxoxxoxo")</f>
        <v>xoxoxxoxxoxo</v>
      </c>
      <c r="AT78" s="323" t="str">
        <f>IFERROR(__xludf.DUMMYFUNCTION("JOIN("""",AS78,AS78)"),"xoxoxxoxxoxoxoxoxxoxxoxo")</f>
        <v>xoxoxxoxxoxoxoxoxxoxxoxo</v>
      </c>
      <c r="AU78" s="256" t="str">
        <f>IFERROR(__xludf.DUMMYFUNCTION("JOIN("""",ArrayFormula(MID(AS78,LEN(AS78)-SEQUENCE(1,LEN(AS78))+1,1)))"),"oxoxxoxxoxox")</f>
        <v>oxoxxoxxoxox</v>
      </c>
      <c r="AV78" s="256" t="str">
        <f>IFERROR(__xludf.DUMMYFUNCTION("LEFT(CONCATENATE(""x"",JOIN("""",ArrayFormula(MID(AS78,LEN(AS78)-SEQUENCE(1,LEN(AS78))+1,1)))),12)"),"xoxoxxoxxoxo")</f>
        <v>xoxoxxoxxoxo</v>
      </c>
      <c r="AW78" s="327" t="str">
        <f>IFERROR(__xludf.DUMMYFUNCTION("JOIN("""",AU78,AU78)"),"oxoxxoxxoxoxoxoxxoxxoxox")</f>
        <v>oxoxxoxxoxoxoxoxxoxxoxox</v>
      </c>
      <c r="AX78" s="239" t="str">
        <f>IFERROR(__xludf.DUMMYFUNCTION("IF(REGEXMATCH(AW78,AS78),""✔"",""-"")"),"✔")</f>
        <v>✔</v>
      </c>
      <c r="AY78" s="330" t="str">
        <f t="shared" si="20"/>
        <v>✔</v>
      </c>
      <c r="AZ78" s="260" t="str">
        <f t="shared" si="21"/>
        <v>#REF!</v>
      </c>
      <c r="BA78" s="333" t="str">
        <f t="shared" si="22"/>
        <v>xoxoxxo</v>
      </c>
      <c r="BB78" s="334" t="str">
        <f t="shared" si="23"/>
        <v>xxoxox</v>
      </c>
      <c r="BC78" s="335" t="str">
        <f t="shared" si="236"/>
        <v>-</v>
      </c>
      <c r="BD78" s="336" t="str">
        <f t="shared" si="25"/>
        <v>Charukeshi: 'xoxoxxo' + 'xxoxox'</v>
      </c>
      <c r="BE78" s="337">
        <f>IFERROR(__xludf.DUMMYFUNCTION("COUNTUNIQUE(FILTER(AT:AT,REGEXMATCH(AT:AT,AS78)))-1"),4.0)</f>
        <v>4</v>
      </c>
      <c r="BF78" s="261" t="str">
        <f>IFERROR(__xludf.DUMMYFUNCTION("IF(BI78=0,""(n/a)"",IF(BJ78=2,""(PAIR)"",IF(REGEXMATCH(AT78,""xoxoxxoxoxox""),""Bilawal"",IF(REGEXMATCH(AT78,""xoxoxooxoxoo""),""Bhupali"",IF(REGEXMATCH(AT78,""xoxoxxoxxoxo""),""Charukeshi"",IF(REGEXMATCH(AT78,""xoxoooxxoxxo""),""Kameshwari"",IF(REGEXMATC"&amp;"H(AT78,""xoxoxooxoxox""),""Shankara"",IF(REGEXMATCH(AT78,""xxooxoxxxoox""),""Basant"",IF(REGEXMATCH(AT78,""xoxoxxxxoxox""),""Bihag"",IF(REGEXMATCH(AT78,""xoxxxxoxoxxx""),""Pilu"",IF(REGEXMATCH(AT78,""xoxxoxoxxoox""),""Kirwani"",IF(REGEXMATCH(AT78,""xoxxox"&amp;"oxoxxx""),""Mk.Malhar"",IF(REGEXMATCH(AT78,""xxooxxoxxoox""),""Bhairav"",IF(REGEXMATCH(AT78,""xxoxooxxxoox""),""Todi"",IF(REGEXMATCH(AT78,""xxooxoxooxox""),""Marwa"",IF(REGEXMATCH(AT78,""xxoooxoxxooo""),""Gunkali"",IF(REGEXMATCH(AT78,""xoxoxxoxxoox""),""N"&amp;"at Bhairav"",IF(REGEXMATCH(AT78,""xoxxoooxoxoo""),""Shivranjani"",IF(REGEXMATCH(AT78,""xooxxxoxooxo""),""Jog"",IF(REGEXMATCH(AT78,""xxooxoxoxoox""),""Hemshri"",IF(REGEXMATCH(AT78,""xoooxooxoxxo""),""Kalavati"",IF(REGEXMATCH(AT78,""xxoxoxxoxoox""),""Kedar"&amp;""",IF(REGEXMATCH(AT78,""xoxxxxoxooxx""),""Gara"",IF(REGEXMATCH(AT78,""xooxoxooxoox""),""Chandrakauns"",IF(REGEXMATCH(AT78,""xoxxxxoxxxox""),""Mand"",IF(REGEXMATCH(AT78,""xoxxxxoxoxox""),""Hanskinkini"",IF(REGEXMATCH(AT78,""xxooxxoxooxo""),""Lilavati"",IF("&amp;"REGEXMATCH(AT78,""xooxoxoooxox""),""Rajeshwari"",IF(REGEXMATCH(AT78,""xoooxxoxoxxx""),""Khokar"",IF(REGEXMATCH(AT78,""xxooxoxxxxox""),""Maligoura"",""-""))))))))))))))))))))))))))))))"),"Charukeshi")</f>
        <v>Charukeshi</v>
      </c>
      <c r="BG78" s="239" t="str">
        <f t="shared" si="26"/>
        <v>#REF!</v>
      </c>
      <c r="BH78" s="239">
        <f>IFERROR(__xludf.DUMMYFUNCTION("COUNTUNIQUE(FE78:FO78)-1"),6.0)</f>
        <v>6</v>
      </c>
      <c r="BI78" s="239">
        <f>IFERROR(__xludf.DUMMYFUNCTION("COUNTUNIQUE(FILTER(AT:AT,REGEXMATCH(AT:AT,AS78)))-1"),4.0)</f>
        <v>4</v>
      </c>
      <c r="BJ78" s="239">
        <f>IFERROR(__xludf.DUMMYFUNCTION("COUNTA(FILTER(AT:AT,REGEXMATCH(AT:AT,AS78)))"),8.0)</f>
        <v>8</v>
      </c>
      <c r="BK78" s="341">
        <f>IFERROR(__xludf.DUMMYFUNCTION("COUNTA(FILTER(AT:AT,REGEXMATCH(AT:AT,AS78)))-AR78"),8.0)</f>
        <v>8</v>
      </c>
      <c r="BL78" s="276" t="str">
        <f>IFERROR(__xludf.DUMMYFUNCTION("IF(AS78=""oooooooooooo"",""-"",IF(REGEXMATCH(AT78,""xx""), ""Hemi."", ""Anhemi.""))"),"Hemi.")</f>
        <v>Hemi.</v>
      </c>
      <c r="BM78" s="282" t="str">
        <f>IFERROR(__xludf.DUMMYFUNCTION("IF(AS78=""oooooooooooo"",""-"",IF(REGEXMATCH(AT78,""xxx""), ""Cohem."", ""-""))"),"-")</f>
        <v>-</v>
      </c>
      <c r="BN78" s="282" t="str">
        <f>IFERROR(__xludf.DUMMYFUNCTION("IF(AS78=""oooooooooooo"",""-"",IF(REGEXMATCH(AT78,""xxxx""), ""Co-Co."", ""-""))"),"-")</f>
        <v>-</v>
      </c>
      <c r="BO78" s="342" t="str">
        <f>IFERROR(__xludf.DUMMYFUNCTION("IF(AS78=""oooooooooooo"",""-"",IF(REGEXMATCH(AT78,""xxxxx""), ""CCC."", ""-""))"),"-")</f>
        <v>-</v>
      </c>
      <c r="BP78" s="344" t="str">
        <f t="shared" si="27"/>
        <v>-</v>
      </c>
      <c r="BQ78" s="282" t="str">
        <f>IFERROR(__xludf.DUMMYFUNCTION("IF(REGEXMATCH(JOIN(""-"",EU78:FD78),""TRUE""),""✔"",""-"")"),"-")</f>
        <v>-</v>
      </c>
      <c r="BR78" s="225">
        <f t="shared" si="28"/>
        <v>0</v>
      </c>
      <c r="BS78" s="345" t="str">
        <f>IFERROR(__xludf.DUMMYFUNCTION("SUBSTITUTE(SUBSTITUTE(SUBSTITUTE(SUBSTITUTE(CONCATENATE(JOIN(""-"",GC78:GO78)),""--"",""-""),""--"",""-""),""--"",""-""),""--"",""-"")"),"1-2-3-4-5-b6-b7-8")</f>
        <v>1-2-3-4-5-b6-b7-8</v>
      </c>
      <c r="BT78" s="299" t="str">
        <f>IFERROR(__xludf.DUMMYFUNCTION("SUBSTITUTE(SUBSTITUTE(SUBSTITUTE(SUBSTITUTE(CONCATENATE(JOIN(""-"",GP78:HB78)),""--"",""-""),""--"",""-""),""--"",""-""),""--"",""-"")"),"S-R2-G3-M1-P-D1-N2-S")</f>
        <v>S-R2-G3-M1-P-D1-N2-S</v>
      </c>
      <c r="BU78" s="348" t="str">
        <f t="shared" si="29"/>
        <v>C-D-E-F-G-Ab-Bb-C</v>
      </c>
      <c r="BV78" s="349" t="str">
        <f t="shared" si="30"/>
        <v>SrgMDNS</v>
      </c>
      <c r="BW78" s="350">
        <f t="shared" si="31"/>
        <v>0</v>
      </c>
      <c r="BX78" s="351">
        <f t="shared" si="32"/>
        <v>2</v>
      </c>
      <c r="BY78" s="392"/>
      <c r="BZ78" s="309" t="str">
        <f>IFERROR(__xludf.DUMMYFUNCTION("IF(REGEXMATCH(C78, ""S""), ""x"",""x"")"),"x")</f>
        <v>x</v>
      </c>
      <c r="CA78" s="245" t="str">
        <f>IFERROR(__xludf.DUMMYFUNCTION("IF(REGEXMATCH(C78, ""r""), ""o"",""x"")"),"x")</f>
        <v>x</v>
      </c>
      <c r="CB78" s="246" t="str">
        <f>IFERROR(__xludf.DUMMYFUNCTION("IF(REGEXMATCH(C78, ""R""), ""o"",""x"")"),"o")</f>
        <v>o</v>
      </c>
      <c r="CC78" s="246" t="str">
        <f>IFERROR(__xludf.DUMMYFUNCTION("IF(REGEXMATCH(C78, ""g""), ""o"",""x"")"),"x")</f>
        <v>x</v>
      </c>
      <c r="CD78" s="245" t="str">
        <f>IFERROR(__xludf.DUMMYFUNCTION("IF(REGEXMATCH(C78, ""G""), ""o"",""x"")"),"o")</f>
        <v>o</v>
      </c>
      <c r="CE78" s="245" t="str">
        <f>IFERROR(__xludf.DUMMYFUNCTION("IF(REGEXMATCH(C78, ""m""), ""o"",""x"")"),"o")</f>
        <v>o</v>
      </c>
      <c r="CF78" s="246" t="str">
        <f>IFERROR(__xludf.DUMMYFUNCTION("IF(REGEXMATCH(C78, ""M""), ""o"",""x"")"),"x")</f>
        <v>x</v>
      </c>
      <c r="CG78" s="245" t="str">
        <f>IFERROR(__xludf.DUMMYFUNCTION("IF(REGEXMATCH(C78, ""P""), ""o"",""x"")"),"o")</f>
        <v>o</v>
      </c>
      <c r="CH78" s="246" t="str">
        <f>IFERROR(__xludf.DUMMYFUNCTION("IF(REGEXMATCH(C78, ""d""), ""o"",""x"")"),"o")</f>
        <v>o</v>
      </c>
      <c r="CI78" s="245" t="str">
        <f>IFERROR(__xludf.DUMMYFUNCTION("IF(REGEXMATCH(C78, ""D""), ""o"",""x"")"),"x")</f>
        <v>x</v>
      </c>
      <c r="CJ78" s="245" t="str">
        <f>IFERROR(__xludf.DUMMYFUNCTION("IF(REGEXMATCH(C78, ""n""), ""o"",""x"")"),"o")</f>
        <v>o</v>
      </c>
      <c r="CK78" s="245" t="str">
        <f>IFERROR(__xludf.DUMMYFUNCTION("IF(REGEXMATCH(C78, ""N""), ""o"",""x"")"),"x")</f>
        <v>x</v>
      </c>
      <c r="CL78" s="356" t="str">
        <f>IFERROR(__xludf.DUMMYFUNCTION("IF(REGEXMATCH(C78, ""S""), ""x"",""x"")"),"x")</f>
        <v>x</v>
      </c>
      <c r="CM78" s="357" t="str">
        <f t="shared" si="33"/>
        <v>xxoxooxooxox</v>
      </c>
      <c r="CN78" s="358">
        <f t="shared" si="34"/>
        <v>0</v>
      </c>
      <c r="CO78" s="246" t="str">
        <f>IFERROR(__xludf.DUMMYFUNCTION("IF(REGEXMATCH($C78, ""S""), ""S"",""S"")"),"S")</f>
        <v>S</v>
      </c>
      <c r="CP78" s="246" t="str">
        <f>IFERROR(__xludf.DUMMYFUNCTION("IF(REGEXMATCH($C78, ""r""), """",""r"")"),"r")</f>
        <v>r</v>
      </c>
      <c r="CQ78" s="246" t="str">
        <f>IFERROR(__xludf.DUMMYFUNCTION("IF(REGEXMATCH($C78, ""R""), """",""R"")"),"")</f>
        <v/>
      </c>
      <c r="CR78" s="246" t="str">
        <f>IFERROR(__xludf.DUMMYFUNCTION("IF(REGEXMATCH($C78, ""g""), """",""g"")"),"g")</f>
        <v>g</v>
      </c>
      <c r="CS78" s="246" t="str">
        <f>IFERROR(__xludf.DUMMYFUNCTION("IF(REGEXMATCH($C78, ""G""), """",""G"")"),"")</f>
        <v/>
      </c>
      <c r="CT78" s="246" t="str">
        <f>IFERROR(__xludf.DUMMYFUNCTION("IF(REGEXMATCH($C78, ""m""), """",""m"")"),"")</f>
        <v/>
      </c>
      <c r="CU78" s="246" t="str">
        <f>IFERROR(__xludf.DUMMYFUNCTION("IF(REGEXMATCH($C78, ""M""), """",""M"")"),"M")</f>
        <v>M</v>
      </c>
      <c r="CV78" s="246" t="str">
        <f>IFERROR(__xludf.DUMMYFUNCTION("IF(REGEXMATCH($C78, ""P""), """",""P"")"),"")</f>
        <v/>
      </c>
      <c r="CW78" s="246" t="str">
        <f>IFERROR(__xludf.DUMMYFUNCTION("IF(REGEXMATCH($C78, ""d""), """",""d"")"),"")</f>
        <v/>
      </c>
      <c r="CX78" s="246" t="str">
        <f>IFERROR(__xludf.DUMMYFUNCTION("IF(REGEXMATCH($C78, ""D""), """",""D"")"),"D")</f>
        <v>D</v>
      </c>
      <c r="CY78" s="246" t="str">
        <f>IFERROR(__xludf.DUMMYFUNCTION("IF(REGEXMATCH($C78, ""n""), """",""n"")"),"")</f>
        <v/>
      </c>
      <c r="CZ78" s="246" t="str">
        <f>IFERROR(__xludf.DUMMYFUNCTION("IF(REGEXMATCH($C78, ""N""), """",""N"")"),"N")</f>
        <v>N</v>
      </c>
      <c r="DA78" s="246" t="str">
        <f>IFERROR(__xludf.DUMMYFUNCTION("IF(REGEXMATCH($C78, ""S""), ""S"",""S"")"),"S")</f>
        <v>S</v>
      </c>
      <c r="DB78" s="362" t="str">
        <f>IFERROR(__xludf.DUMMYFUNCTION("JOIN("""",CO78:DA78,"""","""")"),"SrgMDNS")</f>
        <v>SrgMDNS</v>
      </c>
      <c r="DC78" s="363"/>
      <c r="DD78" s="301" t="str">
        <f t="shared" si="35"/>
        <v>#REF!</v>
      </c>
      <c r="DE78" s="302" t="str">
        <f t="shared" si="36"/>
        <v>#REF!</v>
      </c>
      <c r="DF78" s="301" t="str">
        <f t="shared" ref="DF78:DG78" si="353">SUBSTITUTE(S78,"-","")</f>
        <v>SRGM</v>
      </c>
      <c r="DG78" s="301" t="str">
        <f t="shared" si="353"/>
        <v>PDNS</v>
      </c>
      <c r="DH78" s="302" t="str">
        <f t="shared" si="38"/>
        <v>Charukeshi</v>
      </c>
      <c r="DI78" s="301" t="str">
        <f t="shared" si="39"/>
        <v>Hemi.</v>
      </c>
      <c r="DJ78" s="364" t="str">
        <f t="shared" si="40"/>
        <v>-</v>
      </c>
      <c r="DK78" s="306" t="str">
        <f t="shared" si="41"/>
        <v>-</v>
      </c>
      <c r="DL78" s="366" t="str">
        <f t="shared" si="42"/>
        <v>-</v>
      </c>
      <c r="DM78" s="308" t="str">
        <f t="shared" si="43"/>
        <v>✔</v>
      </c>
      <c r="DN78" s="306" t="str">
        <f t="shared" si="44"/>
        <v>-</v>
      </c>
      <c r="DO78" s="306" t="str">
        <f t="shared" si="45"/>
        <v>-</v>
      </c>
      <c r="DP78" s="367" t="str">
        <f t="shared" si="46"/>
        <v>-</v>
      </c>
      <c r="DQ78" s="310" t="str">
        <f t="shared" si="47"/>
        <v>-</v>
      </c>
      <c r="DR78" s="310" t="str">
        <f t="shared" si="48"/>
        <v>-</v>
      </c>
      <c r="DS78" s="310" t="str">
        <f t="shared" si="49"/>
        <v>-</v>
      </c>
      <c r="DT78" s="310" t="str">
        <f t="shared" si="50"/>
        <v>-</v>
      </c>
      <c r="DU78" s="370" t="str">
        <f t="shared" si="51"/>
        <v>-</v>
      </c>
      <c r="DV78" s="306" t="str">
        <f t="shared" si="52"/>
        <v>-</v>
      </c>
      <c r="DW78" s="306" t="str">
        <f t="shared" si="53"/>
        <v>-</v>
      </c>
      <c r="DX78" s="306" t="str">
        <f t="shared" si="54"/>
        <v>-</v>
      </c>
      <c r="DY78" s="306" t="str">
        <f t="shared" si="55"/>
        <v>-</v>
      </c>
      <c r="DZ78" s="306" t="str">
        <f t="shared" si="56"/>
        <v>-</v>
      </c>
      <c r="EA78" s="367" t="str">
        <f t="shared" si="57"/>
        <v>-</v>
      </c>
      <c r="EB78" s="310" t="str">
        <f>IFERROR(__xludf.DUMMYFUNCTION("IF(REGEXMATCH(AW78,AS78),""✔"",""-"")"),"✔")</f>
        <v>✔</v>
      </c>
      <c r="EC78" s="310" t="str">
        <f t="shared" si="58"/>
        <v>#REF!</v>
      </c>
      <c r="ED78" s="370" t="str">
        <f t="shared" si="59"/>
        <v>✔</v>
      </c>
      <c r="EE78" s="340" t="str">
        <f t="shared" si="60"/>
        <v>S-R-G-m-P-d-n-S</v>
      </c>
      <c r="EF78" s="371" t="str">
        <f>IFERROR(__xludf.DUMMYFUNCTION("CONCATENATE(JOIN("""",HC78:HO78))"),"SRGmPdnS")</f>
        <v>SRGmPdnS</v>
      </c>
      <c r="EG78" s="372">
        <f t="shared" si="61"/>
        <v>3</v>
      </c>
      <c r="EH78" s="373" t="str">
        <f>IFERROR(__xludf.DUMMYFUNCTION("CONCATENATE(JOIN("""",JC78:JO78))"),"Re, Ga, dha, ")</f>
        <v>Re, Ga, dha, </v>
      </c>
      <c r="EI78" s="322">
        <f t="shared" si="62"/>
        <v>2</v>
      </c>
      <c r="EJ78" s="374" t="str">
        <f>IFERROR(__xludf.DUMMYFUNCTION("CONCATENATE(JOIN("""",KC78:KO78))"),"Ga, dha, ")</f>
        <v>Ga, dha, </v>
      </c>
      <c r="EK78" s="325" t="str">
        <f t="shared" si="63"/>
        <v>S-R2-G3-M1-P-D1-N2-S</v>
      </c>
      <c r="EL78" s="326" t="str">
        <f t="shared" si="64"/>
        <v>1-2-3-4-5-b6-b7-8</v>
      </c>
      <c r="EM78" s="318" t="str">
        <f t="shared" si="65"/>
        <v>#REF!</v>
      </c>
      <c r="EN78" s="328" t="str">
        <f>IFERROR(__xludf.DUMMYFUNCTION("SUBSTITUTE(SUBSTITUTE(SUBSTITUTE(SUBSTITUTE(CONCATENATE(JOIN("" "",HP78:IB78)),""  "","" ""),""  "","" ""),""  "","" ""),""  "","" "")"),"o • o • o o • o o • o • o")</f>
        <v>o • o • o o • o o • o • o</v>
      </c>
      <c r="EO78" s="368" t="str">
        <f t="shared" si="66"/>
        <v>-</v>
      </c>
      <c r="EP78" s="339" t="str">
        <f t="shared" si="67"/>
        <v>-</v>
      </c>
      <c r="EQ78" s="339" t="str">
        <f t="shared" si="68"/>
        <v>Sa-Pa</v>
      </c>
      <c r="ER78" s="339" t="str">
        <f t="shared" si="69"/>
        <v>-</v>
      </c>
      <c r="ES78" s="340" t="str">
        <f t="shared" si="70"/>
        <v>-</v>
      </c>
      <c r="ET78" s="363"/>
      <c r="EU78" s="376" t="b">
        <f>IFERROR(__xludf.DUMMYFUNCTION("arrayformula(sum(--REGEXMATCH(""SRGMPDNS"",split(REGEXREPLACE(C78,""(.)"",""$1~""),""~""))))=len(C78)
"),FALSE)</f>
        <v>0</v>
      </c>
      <c r="EV78" s="290" t="b">
        <f>IFERROR(__xludf.DUMMYFUNCTION("arrayformula(sum(--REGEXMATCH(""SRGmPDNS"",split(REGEXREPLACE(C78,""(.)"",""$1~""),""~""))))=len(C78)"),FALSE)</f>
        <v>0</v>
      </c>
      <c r="EW78" s="290" t="b">
        <f>IFERROR(__xludf.DUMMYFUNCTION("arrayformula(sum(--REGEXMATCH(""SRGmPDnS"",split(REGEXREPLACE(C78,""(.)"",""$1~""),""~""))))=len(C78)"),FALSE)</f>
        <v>0</v>
      </c>
      <c r="EX78" s="290" t="b">
        <f>IFERROR(__xludf.DUMMYFUNCTION("arrayformula(sum(--REGEXMATCH(""SRgmPDnS"",split(REGEXREPLACE(C78,""(.)"",""$1~""),""~""))))=len(C78)"),FALSE)</f>
        <v>0</v>
      </c>
      <c r="EY78" s="290" t="b">
        <f>IFERROR(__xludf.DUMMYFUNCTION("arrayformula(sum(--REGEXMATCH(""SRgmPdnS"",split(REGEXREPLACE(C78,""(.)"",""$1~""),""~""))))=len(C78)"),FALSE)</f>
        <v>0</v>
      </c>
      <c r="EZ78" s="290" t="b">
        <f>IFERROR(__xludf.DUMMYFUNCTION("arrayformula(sum(--REGEXMATCH(""SrgmPdnS"",split(REGEXREPLACE(C78,""(.)"",""$1~""),""~""))))=len(C78)"),FALSE)</f>
        <v>0</v>
      </c>
      <c r="FA78" s="290" t="b">
        <f>IFERROR(__xludf.DUMMYFUNCTION("arrayformula(sum(--REGEXMATCH(""SrGmPdNS"",split(REGEXREPLACE(C78,""(.)"",""$1~""),""~""))))=len(C78)"),FALSE)</f>
        <v>0</v>
      </c>
      <c r="FB78" s="290" t="b">
        <f>IFERROR(__xludf.DUMMYFUNCTION("arrayformula(sum(--REGEXMATCH(""SrGMPDNS"",split(REGEXREPLACE(C78,""(.)"",""$1~""),""~""))))=len(C78)"),FALSE)</f>
        <v>0</v>
      </c>
      <c r="FC78" s="290" t="b">
        <f>IFERROR(__xludf.DUMMYFUNCTION("arrayformula(sum(--REGEXMATCH(""SrGMPdNS"",split(REGEXREPLACE(C78,""(.)"",""$1~""),""~""))))=len(C78)"),FALSE)</f>
        <v>0</v>
      </c>
      <c r="FD78" s="377" t="b">
        <f>IFERROR(__xludf.DUMMYFUNCTION("arrayformula(sum(--REGEXMATCH(""SrgMPdNS"",split(REGEXREPLACE(C78,""(.)"",""$1~""),""~""))))=len(C78)"),FALSE)</f>
        <v>0</v>
      </c>
      <c r="FE78" s="269" t="str">
        <f t="shared" si="71"/>
        <v>-</v>
      </c>
      <c r="FF78" s="269" t="str">
        <f t="shared" si="72"/>
        <v>xoxxoxxoxox</v>
      </c>
      <c r="FG78" s="271" t="str">
        <f t="shared" si="73"/>
        <v>-</v>
      </c>
      <c r="FH78" s="269" t="str">
        <f t="shared" si="74"/>
        <v>xxoxxoxoxox</v>
      </c>
      <c r="FI78" s="271" t="str">
        <f t="shared" si="75"/>
        <v>xoxxoxoxoxo</v>
      </c>
      <c r="FJ78" s="271" t="str">
        <f t="shared" si="76"/>
        <v>-</v>
      </c>
      <c r="FK78" s="271" t="str">
        <f t="shared" si="77"/>
        <v>xxoxoxoxoxx</v>
      </c>
      <c r="FL78" s="271" t="str">
        <f t="shared" si="78"/>
        <v>xoxoxoxoxxo</v>
      </c>
      <c r="FM78" s="271" t="str">
        <f t="shared" si="79"/>
        <v>-</v>
      </c>
      <c r="FN78" s="271" t="str">
        <f t="shared" si="80"/>
        <v>xoxoxoxxoxx</v>
      </c>
      <c r="FO78" s="274" t="str">
        <f t="shared" si="81"/>
        <v>-</v>
      </c>
      <c r="FP78" s="234" t="str">
        <f t="shared" si="82"/>
        <v>|</v>
      </c>
      <c r="FQ78" s="236" t="str">
        <f t="shared" si="83"/>
        <v>-</v>
      </c>
      <c r="FR78" s="237" t="str">
        <f t="shared" si="84"/>
        <v>|</v>
      </c>
      <c r="FS78" s="236" t="str">
        <f t="shared" si="85"/>
        <v>-</v>
      </c>
      <c r="FT78" s="237" t="str">
        <f t="shared" si="86"/>
        <v>|</v>
      </c>
      <c r="FU78" s="236" t="str">
        <f t="shared" si="87"/>
        <v>|</v>
      </c>
      <c r="FV78" s="237" t="str">
        <f t="shared" si="88"/>
        <v>-</v>
      </c>
      <c r="FW78" s="236" t="str">
        <f t="shared" si="89"/>
        <v>|</v>
      </c>
      <c r="FX78" s="237" t="str">
        <f t="shared" si="90"/>
        <v>|</v>
      </c>
      <c r="FY78" s="236" t="str">
        <f t="shared" si="91"/>
        <v>-</v>
      </c>
      <c r="FZ78" s="237" t="str">
        <f t="shared" si="92"/>
        <v>|</v>
      </c>
      <c r="GA78" s="236" t="str">
        <f t="shared" si="93"/>
        <v>-</v>
      </c>
      <c r="GB78" s="238" t="str">
        <f t="shared" si="94"/>
        <v>|</v>
      </c>
      <c r="GC78" s="244" t="str">
        <f>IFERROR(__xludf.DUMMYFUNCTION("IF(REGEXMATCH(C78, ""S""), ""1"","""")"),"1")</f>
        <v>1</v>
      </c>
      <c r="GD78" s="245" t="str">
        <f>IFERROR(__xludf.DUMMYFUNCTION("IF(REGEXMATCH(C78, ""r""), ""b2"","""")"),"")</f>
        <v/>
      </c>
      <c r="GE78" s="246" t="str">
        <f>IFERROR(__xludf.DUMMYFUNCTION("IF(REGEXMATCH(C78, ""R""), ""2"","""")"),"2")</f>
        <v>2</v>
      </c>
      <c r="GF78" s="246" t="str">
        <f>IFERROR(__xludf.DUMMYFUNCTION("IF(REGEXMATCH(C78, ""g""), ""b3"","""")"),"")</f>
        <v/>
      </c>
      <c r="GG78" s="245" t="str">
        <f>IFERROR(__xludf.DUMMYFUNCTION("IF(REGEXMATCH(C78, ""G""), ""3"","""")"),"3")</f>
        <v>3</v>
      </c>
      <c r="GH78" s="245" t="str">
        <f>IFERROR(__xludf.DUMMYFUNCTION("IF(REGEXMATCH(C78, ""m""), ""4"","""")"),"4")</f>
        <v>4</v>
      </c>
      <c r="GI78" s="246" t="str">
        <f>IFERROR(__xludf.DUMMYFUNCTION("IF(REGEXMATCH(C78, ""M""), ""#4"","""")"),"")</f>
        <v/>
      </c>
      <c r="GJ78" s="245" t="str">
        <f>IFERROR(__xludf.DUMMYFUNCTION("IF(REGEXMATCH(C78, ""P""), ""5"","""")"),"5")</f>
        <v>5</v>
      </c>
      <c r="GK78" s="246" t="str">
        <f>IFERROR(__xludf.DUMMYFUNCTION("IF(REGEXMATCH(C78, ""d""), ""b6"","""")"),"b6")</f>
        <v>b6</v>
      </c>
      <c r="GL78" s="245" t="str">
        <f>IFERROR(__xludf.DUMMYFUNCTION("IF(REGEXMATCH(C78, ""D""), ""6"","""")"),"")</f>
        <v/>
      </c>
      <c r="GM78" s="245" t="str">
        <f>IFERROR(__xludf.DUMMYFUNCTION("IF(REGEXMATCH(C78, ""n""), ""b7"","""")"),"b7")</f>
        <v>b7</v>
      </c>
      <c r="GN78" s="246" t="str">
        <f>IFERROR(__xludf.DUMMYFUNCTION("IF(REGEXMATCH(C78, ""N""), ""7"","""")"),"")</f>
        <v/>
      </c>
      <c r="GO78" s="249" t="str">
        <f>IFERROR(__xludf.DUMMYFUNCTION("IF(REGEXMATCH(C78, ""S""), ""8"","""")"),"8")</f>
        <v>8</v>
      </c>
      <c r="GP78" s="244" t="str">
        <f>IFERROR(__xludf.DUMMYFUNCTION("IF(REGEXMATCH(C78, ""S""), ""S"","""")"),"S")</f>
        <v>S</v>
      </c>
      <c r="GQ78" s="294" t="str">
        <f>IFERROR(__xludf.DUMMYFUNCTION("IF(REGEXMATCH(C78, ""r""), ""R1"","""")"),"")</f>
        <v/>
      </c>
      <c r="GR78" s="295" t="str">
        <f>IFERROR(__xludf.DUMMYFUNCTION("IF(REGEXMATCH(C78, ""R""), ""R2"","""")"),"R2")</f>
        <v>R2</v>
      </c>
      <c r="GS78" s="295" t="str">
        <f>IFERROR(__xludf.DUMMYFUNCTION("IF(REGEXMATCH(C78, ""g""), ""G2"","""")"),"")</f>
        <v/>
      </c>
      <c r="GT78" s="294" t="str">
        <f>IFERROR(__xludf.DUMMYFUNCTION("IF(REGEXMATCH(C78, ""G""), ""G3"","""")"),"G3")</f>
        <v>G3</v>
      </c>
      <c r="GU78" s="294" t="str">
        <f>IFERROR(__xludf.DUMMYFUNCTION("IF(REGEXMATCH(C78, ""m""), ""M1"","""")"),"M1")</f>
        <v>M1</v>
      </c>
      <c r="GV78" s="295" t="str">
        <f>IFERROR(__xludf.DUMMYFUNCTION("IF(REGEXMATCH(C78, ""M""), ""M2"","""")"),"")</f>
        <v/>
      </c>
      <c r="GW78" s="294" t="str">
        <f>IFERROR(__xludf.DUMMYFUNCTION("IF(REGEXMATCH(C78, ""P""), ""P"","""")"),"P")</f>
        <v>P</v>
      </c>
      <c r="GX78" s="295" t="str">
        <f>IFERROR(__xludf.DUMMYFUNCTION("IF(REGEXMATCH(C78, ""d""), ""D1"","""")"),"D1")</f>
        <v>D1</v>
      </c>
      <c r="GY78" s="294" t="str">
        <f>IFERROR(__xludf.DUMMYFUNCTION("IF(REGEXMATCH(C78, ""D""), ""D2"","""")"),"")</f>
        <v/>
      </c>
      <c r="GZ78" s="294" t="str">
        <f>IFERROR(__xludf.DUMMYFUNCTION("IF(REGEXMATCH(C78, ""n""), ""N2"","""")"),"N2")</f>
        <v>N2</v>
      </c>
      <c r="HA78" s="295" t="str">
        <f>IFERROR(__xludf.DUMMYFUNCTION("IF(REGEXMATCH(C78, ""N""), ""N3"","""")"),"")</f>
        <v/>
      </c>
      <c r="HB78" s="249" t="str">
        <f>IFERROR(__xludf.DUMMYFUNCTION("IF(REGEXMATCH(C78, ""S""), ""S"","""")"),"S")</f>
        <v>S</v>
      </c>
      <c r="HC78" s="331" t="str">
        <f t="shared" si="95"/>
        <v>S</v>
      </c>
      <c r="HD78" s="332" t="str">
        <f t="shared" si="96"/>
        <v/>
      </c>
      <c r="HE78" s="332" t="str">
        <f t="shared" si="97"/>
        <v>R</v>
      </c>
      <c r="HF78" s="332" t="str">
        <f t="shared" si="98"/>
        <v/>
      </c>
      <c r="HG78" s="332" t="str">
        <f t="shared" si="99"/>
        <v>G</v>
      </c>
      <c r="HH78" s="332" t="str">
        <f t="shared" si="100"/>
        <v>m</v>
      </c>
      <c r="HI78" s="332" t="str">
        <f t="shared" si="101"/>
        <v/>
      </c>
      <c r="HJ78" s="332" t="str">
        <f t="shared" si="102"/>
        <v>P</v>
      </c>
      <c r="HK78" s="332" t="str">
        <f t="shared" si="103"/>
        <v>d</v>
      </c>
      <c r="HL78" s="332" t="str">
        <f t="shared" si="104"/>
        <v/>
      </c>
      <c r="HM78" s="332" t="str">
        <f t="shared" si="105"/>
        <v>n</v>
      </c>
      <c r="HN78" s="332" t="str">
        <f t="shared" si="106"/>
        <v/>
      </c>
      <c r="HO78" s="343" t="str">
        <f t="shared" si="107"/>
        <v>S</v>
      </c>
      <c r="HP78" s="331" t="str">
        <f t="shared" si="108"/>
        <v>o</v>
      </c>
      <c r="HQ78" s="332" t="str">
        <f t="shared" si="109"/>
        <v>•</v>
      </c>
      <c r="HR78" s="332" t="str">
        <f t="shared" si="110"/>
        <v>o</v>
      </c>
      <c r="HS78" s="332" t="str">
        <f t="shared" si="111"/>
        <v>•</v>
      </c>
      <c r="HT78" s="332" t="str">
        <f t="shared" si="112"/>
        <v>o</v>
      </c>
      <c r="HU78" s="332" t="str">
        <f t="shared" si="113"/>
        <v>o</v>
      </c>
      <c r="HV78" s="332" t="str">
        <f t="shared" si="114"/>
        <v>•</v>
      </c>
      <c r="HW78" s="332" t="str">
        <f t="shared" si="115"/>
        <v>o</v>
      </c>
      <c r="HX78" s="332" t="str">
        <f t="shared" si="116"/>
        <v>o</v>
      </c>
      <c r="HY78" s="332" t="str">
        <f t="shared" si="117"/>
        <v>•</v>
      </c>
      <c r="HZ78" s="332" t="str">
        <f t="shared" si="118"/>
        <v>o</v>
      </c>
      <c r="IA78" s="332" t="str">
        <f t="shared" si="119"/>
        <v>•</v>
      </c>
      <c r="IB78" s="338" t="str">
        <f t="shared" si="120"/>
        <v>o</v>
      </c>
      <c r="IC78" s="331" t="str">
        <f t="shared" si="121"/>
        <v>•</v>
      </c>
      <c r="ID78" s="332" t="str">
        <f t="shared" si="122"/>
        <v>o</v>
      </c>
      <c r="IE78" s="332" t="str">
        <f t="shared" si="123"/>
        <v>•</v>
      </c>
      <c r="IF78" s="332" t="str">
        <f t="shared" si="124"/>
        <v>o</v>
      </c>
      <c r="IG78" s="332" t="str">
        <f t="shared" si="125"/>
        <v>•</v>
      </c>
      <c r="IH78" s="332" t="str">
        <f t="shared" si="126"/>
        <v>•</v>
      </c>
      <c r="II78" s="332" t="str">
        <f t="shared" si="127"/>
        <v>o</v>
      </c>
      <c r="IJ78" s="332" t="str">
        <f t="shared" si="128"/>
        <v>•</v>
      </c>
      <c r="IK78" s="332" t="str">
        <f t="shared" si="129"/>
        <v>•</v>
      </c>
      <c r="IL78" s="332" t="str">
        <f t="shared" si="130"/>
        <v>o</v>
      </c>
      <c r="IM78" s="332" t="str">
        <f t="shared" si="131"/>
        <v>•</v>
      </c>
      <c r="IN78" s="332" t="str">
        <f t="shared" si="132"/>
        <v>o</v>
      </c>
      <c r="IO78" s="338" t="str">
        <f t="shared" si="133"/>
        <v>•</v>
      </c>
      <c r="IP78" s="346" t="b">
        <f t="shared" si="134"/>
        <v>0</v>
      </c>
      <c r="IQ78" s="347" t="b">
        <f t="shared" si="135"/>
        <v>0</v>
      </c>
      <c r="IR78" s="347" t="b">
        <f t="shared" si="136"/>
        <v>1</v>
      </c>
      <c r="IS78" s="347" t="b">
        <f t="shared" si="137"/>
        <v>0</v>
      </c>
      <c r="IT78" s="347" t="b">
        <f t="shared" si="138"/>
        <v>1</v>
      </c>
      <c r="IU78" s="347" t="b">
        <f t="shared" si="139"/>
        <v>0</v>
      </c>
      <c r="IV78" s="347" t="b">
        <f t="shared" si="140"/>
        <v>0</v>
      </c>
      <c r="IW78" s="347" t="b">
        <f t="shared" si="141"/>
        <v>0</v>
      </c>
      <c r="IX78" s="347" t="b">
        <f t="shared" si="142"/>
        <v>1</v>
      </c>
      <c r="IY78" s="347" t="b">
        <f t="shared" si="143"/>
        <v>0</v>
      </c>
      <c r="IZ78" s="347" t="b">
        <f t="shared" si="144"/>
        <v>0</v>
      </c>
      <c r="JA78" s="347" t="b">
        <f t="shared" si="145"/>
        <v>0</v>
      </c>
      <c r="JB78" s="353" t="b">
        <f t="shared" si="146"/>
        <v>0</v>
      </c>
      <c r="JC78" s="354" t="str">
        <f t="shared" si="147"/>
        <v/>
      </c>
      <c r="JD78" s="355" t="str">
        <f t="shared" si="148"/>
        <v/>
      </c>
      <c r="JE78" s="355" t="str">
        <f t="shared" si="149"/>
        <v>Re, </v>
      </c>
      <c r="JF78" s="355" t="str">
        <f t="shared" si="150"/>
        <v/>
      </c>
      <c r="JG78" s="355" t="str">
        <f t="shared" si="151"/>
        <v>Ga, </v>
      </c>
      <c r="JH78" s="355" t="str">
        <f t="shared" si="152"/>
        <v/>
      </c>
      <c r="JI78" s="355" t="str">
        <f t="shared" si="153"/>
        <v/>
      </c>
      <c r="JJ78" s="355" t="str">
        <f t="shared" si="154"/>
        <v/>
      </c>
      <c r="JK78" s="355" t="str">
        <f t="shared" si="155"/>
        <v>dha, </v>
      </c>
      <c r="JL78" s="355" t="str">
        <f t="shared" si="156"/>
        <v/>
      </c>
      <c r="JM78" s="355" t="str">
        <f t="shared" si="157"/>
        <v/>
      </c>
      <c r="JN78" s="355" t="str">
        <f t="shared" si="158"/>
        <v/>
      </c>
      <c r="JO78" s="359" t="str">
        <f t="shared" si="159"/>
        <v/>
      </c>
      <c r="JP78" s="346" t="b">
        <f t="shared" si="160"/>
        <v>0</v>
      </c>
      <c r="JQ78" s="347" t="b">
        <f t="shared" si="161"/>
        <v>0</v>
      </c>
      <c r="JR78" s="347" t="b">
        <f t="shared" si="162"/>
        <v>0</v>
      </c>
      <c r="JS78" s="347" t="b">
        <f t="shared" si="163"/>
        <v>0</v>
      </c>
      <c r="JT78" s="347" t="b">
        <f t="shared" si="164"/>
        <v>1</v>
      </c>
      <c r="JU78" s="347" t="b">
        <f t="shared" si="165"/>
        <v>0</v>
      </c>
      <c r="JV78" s="347" t="b">
        <f t="shared" si="166"/>
        <v>0</v>
      </c>
      <c r="JW78" s="347" t="b">
        <f t="shared" si="167"/>
        <v>0</v>
      </c>
      <c r="JX78" s="347" t="b">
        <f t="shared" si="168"/>
        <v>1</v>
      </c>
      <c r="JY78" s="347" t="b">
        <f t="shared" si="169"/>
        <v>0</v>
      </c>
      <c r="JZ78" s="347" t="b">
        <f t="shared" si="170"/>
        <v>0</v>
      </c>
      <c r="KA78" s="347" t="b">
        <f t="shared" si="171"/>
        <v>0</v>
      </c>
      <c r="KB78" s="365" t="b">
        <f t="shared" si="172"/>
        <v>0</v>
      </c>
      <c r="KC78" s="354" t="str">
        <f t="shared" si="173"/>
        <v/>
      </c>
      <c r="KD78" s="355" t="str">
        <f t="shared" si="174"/>
        <v/>
      </c>
      <c r="KE78" s="355" t="str">
        <f t="shared" si="175"/>
        <v/>
      </c>
      <c r="KF78" s="355" t="str">
        <f t="shared" si="176"/>
        <v/>
      </c>
      <c r="KG78" s="355" t="str">
        <f t="shared" si="177"/>
        <v>Ga, </v>
      </c>
      <c r="KH78" s="355" t="str">
        <f t="shared" si="178"/>
        <v/>
      </c>
      <c r="KI78" s="355" t="str">
        <f t="shared" si="179"/>
        <v/>
      </c>
      <c r="KJ78" s="355" t="str">
        <f t="shared" si="180"/>
        <v/>
      </c>
      <c r="KK78" s="355" t="str">
        <f t="shared" si="181"/>
        <v>dha, </v>
      </c>
      <c r="KL78" s="355" t="str">
        <f t="shared" si="182"/>
        <v/>
      </c>
      <c r="KM78" s="355" t="str">
        <f t="shared" si="183"/>
        <v/>
      </c>
      <c r="KN78" s="355" t="str">
        <f t="shared" si="184"/>
        <v/>
      </c>
      <c r="KO78" s="359"/>
      <c r="KP78" s="378"/>
      <c r="KQ78" s="379" t="s">
        <v>353</v>
      </c>
      <c r="KR78" s="380" t="s">
        <v>1370</v>
      </c>
      <c r="KS78" s="381" t="str">
        <f>KQ78</f>
        <v>S-R-G-m-P-d-n-S</v>
      </c>
      <c r="KT78" s="382">
        <f t="shared" si="186"/>
        <v>7</v>
      </c>
      <c r="KU78" s="383">
        <f t="shared" si="187"/>
        <v>7</v>
      </c>
      <c r="KV78" s="381" t="str">
        <f t="shared" si="205"/>
        <v>S-n-d-P-m-G-R-S</v>
      </c>
      <c r="KW78" s="382">
        <f t="shared" si="189"/>
        <v>7</v>
      </c>
      <c r="KX78" s="384">
        <f t="shared" si="190"/>
        <v>7</v>
      </c>
      <c r="KY78" s="382">
        <f t="shared" ref="KY78:KZ78" si="354">KW78-KT78</f>
        <v>0</v>
      </c>
      <c r="KZ78" s="369">
        <f t="shared" si="354"/>
        <v>0</v>
      </c>
      <c r="LA78" s="385" t="str">
        <f t="shared" si="192"/>
        <v>✔</v>
      </c>
      <c r="LB78" s="340" t="str">
        <f>IFERROR(__xludf.DUMMYFUNCTION("JOIN("""",ArrayFormula(MID(KS78,LEN(KS78)-SEQUENCE(1,LEN(KS78))+1,1)))"),"S-n-d-P-m-G-R-S")</f>
        <v>S-n-d-P-m-G-R-S</v>
      </c>
      <c r="LC78" s="373" t="str">
        <f>IFERROR(__xludf.DUMMYFUNCTION("JOIN("""",ArrayFormula(MID(KV78,LEN(KV78)-SEQUENCE(1,LEN(KV78))+1,1)))"),"S-R-G-m-P-d-n-S")</f>
        <v>S-R-G-m-P-d-n-S</v>
      </c>
      <c r="LD78" s="373" t="str">
        <f t="shared" si="193"/>
        <v>SRGmPdnS</v>
      </c>
      <c r="LE78" s="339" t="str">
        <f t="shared" si="194"/>
        <v>SRGmPdnS</v>
      </c>
      <c r="LF78" s="386" t="str">
        <f>IFERROR(__xludf.DUMMYFUNCTION("SUBSTITUTE(SUBSTITUTE(CONCATENATE(JOIN("""",LH78:LT78)),""1"",""""),""2"","""")"),"SRGmPdnS")</f>
        <v>SRGmPdnS</v>
      </c>
      <c r="LG78" s="369" t="str">
        <f t="shared" si="195"/>
        <v>✔</v>
      </c>
      <c r="LH78" s="387" t="str">
        <f>IFERROR(__xludf.DUMMYFUNCTION("IF(REGEXMATCH(LD78, ""S""), ""S"",IF(REGEXMATCH(LE78, ""S""), ""S"",""""))"),"S")</f>
        <v>S</v>
      </c>
      <c r="LI78" s="299" t="str">
        <f>IFERROR(__xludf.DUMMYFUNCTION("IF(REGEXMATCH(LD78, ""r""), ""r1"",IF(REGEXMATCH(LE78, ""r""), ""r2"",""""))"),"")</f>
        <v/>
      </c>
      <c r="LJ78" s="299" t="str">
        <f>IFERROR(__xludf.DUMMYFUNCTION("IF(REGEXMATCH(LD78, ""R""), ""R1"",IF(REGEXMATCH(LE78, ""R""), ""R2"",""""))"),"R1")</f>
        <v>R1</v>
      </c>
      <c r="LK78" s="299" t="str">
        <f>IFERROR(__xludf.DUMMYFUNCTION("IF(REGEXMATCH(LD78, ""g""), ""g1"",IF(REGEXMATCH(LE78, ""g""), ""g2"",""""))"),"")</f>
        <v/>
      </c>
      <c r="LL78" s="299" t="str">
        <f>IFERROR(__xludf.DUMMYFUNCTION("IF(REGEXMATCH(LD78, ""G""), ""G1"",IF(REGEXMATCH(LE78, ""G""), ""G2"",""""))"),"G1")</f>
        <v>G1</v>
      </c>
      <c r="LM78" s="299" t="str">
        <f>IFERROR(__xludf.DUMMYFUNCTION("IF(REGEXMATCH(LD78, ""m""), ""m1"",IF(REGEXMATCH(LE78, ""m""), ""m2"",""""))"),"m1")</f>
        <v>m1</v>
      </c>
      <c r="LN78" s="299" t="str">
        <f>IFERROR(__xludf.DUMMYFUNCTION("IF(REGEXMATCH(LD78, ""M""), ""M1"",IF(REGEXMATCH(LE78, ""M""), ""M2"",""""))"),"")</f>
        <v/>
      </c>
      <c r="LO78" s="299" t="str">
        <f>IFERROR(__xludf.DUMMYFUNCTION("IF(REGEXMATCH(LD78, ""P""), ""P1"",IF(REGEXMATCH(LE78, ""P""), ""P2"",""""))"),"P1")</f>
        <v>P1</v>
      </c>
      <c r="LP78" s="299" t="str">
        <f>IFERROR(__xludf.DUMMYFUNCTION("IF(REGEXMATCH(LD78, ""d""), ""d1"",IF(REGEXMATCH(LE78, ""d""), ""d2"",""""))"),"d1")</f>
        <v>d1</v>
      </c>
      <c r="LQ78" s="299" t="str">
        <f>IFERROR(__xludf.DUMMYFUNCTION("IF(REGEXMATCH(LD78, ""D""), ""D1"",IF(REGEXMATCH(LE78, ""D""), ""D2"",""""))"),"")</f>
        <v/>
      </c>
      <c r="LR78" s="299" t="str">
        <f>IFERROR(__xludf.DUMMYFUNCTION("IF(REGEXMATCH(LD78, ""n""), ""n1"",IF(REGEXMATCH(LE78, ""n""), ""n2"",""""))"),"n1")</f>
        <v>n1</v>
      </c>
      <c r="LS78" s="299" t="str">
        <f>IFERROR(__xludf.DUMMYFUNCTION("IF(REGEXMATCH(LD78, ""N""), ""N1"",IF(REGEXMATCH(LE78, ""N""), ""N2"",""""))"),"")</f>
        <v/>
      </c>
      <c r="LT78" s="388" t="str">
        <f>IFERROR(__xludf.DUMMYFUNCTION("IF(REGEXMATCH(LD78, ""S""), ""S"",IF(REGEXMATCH(LE78, ""S""), ""S"",""""))"),"S")</f>
        <v>S</v>
      </c>
      <c r="LU78" s="389">
        <f t="shared" si="196"/>
        <v>1</v>
      </c>
      <c r="LV78" s="378"/>
      <c r="LW78" s="369"/>
      <c r="LX78" s="369"/>
    </row>
    <row r="79" ht="18.0" customHeight="1">
      <c r="A79" s="298" t="s">
        <v>1371</v>
      </c>
      <c r="B79" s="222" t="s">
        <v>648</v>
      </c>
      <c r="C79" s="233" t="str">
        <f t="shared" si="7"/>
        <v>SRGmMPDnNS</v>
      </c>
      <c r="D79" s="234" t="str">
        <f>IFERROR(__xludf.DUMMYFUNCTION("IF(REGEXMATCH(C79, ""S""), ""S"","""")"),"S")</f>
        <v>S</v>
      </c>
      <c r="E79" s="236" t="str">
        <f>IFERROR(__xludf.DUMMYFUNCTION("IF(REGEXMATCH(C79, ""r""), ""r"","""")"),"")</f>
        <v/>
      </c>
      <c r="F79" s="237" t="str">
        <f>IFERROR(__xludf.DUMMYFUNCTION("IF(REGEXMATCH(C79, ""R""), ""R"","""")"),"R")</f>
        <v>R</v>
      </c>
      <c r="G79" s="237" t="str">
        <f>IFERROR(__xludf.DUMMYFUNCTION("IF(REGEXMATCH(C79, ""g""), ""g"","""")"),"")</f>
        <v/>
      </c>
      <c r="H79" s="236" t="str">
        <f>IFERROR(__xludf.DUMMYFUNCTION("IF(REGEXMATCH(C79, ""G""), ""G"","""")"),"G")</f>
        <v>G</v>
      </c>
      <c r="I79" s="236" t="str">
        <f>IFERROR(__xludf.DUMMYFUNCTION("IF(REGEXMATCH(C79, ""m""), ""m"","""")"),"m")</f>
        <v>m</v>
      </c>
      <c r="J79" s="237" t="str">
        <f>IFERROR(__xludf.DUMMYFUNCTION("IF(REGEXMATCH(C79, ""M""), ""M"","""")"),"M")</f>
        <v>M</v>
      </c>
      <c r="K79" s="236" t="str">
        <f>IFERROR(__xludf.DUMMYFUNCTION("IF(REGEXMATCH(C79, ""P""), ""P"","""")"),"P")</f>
        <v>P</v>
      </c>
      <c r="L79" s="237" t="str">
        <f>IFERROR(__xludf.DUMMYFUNCTION("IF(REGEXMATCH(C79, ""d""), ""d"","""")"),"")</f>
        <v/>
      </c>
      <c r="M79" s="236" t="str">
        <f>IFERROR(__xludf.DUMMYFUNCTION("IF(REGEXMATCH(C79, ""D""), ""D"","""")"),"D")</f>
        <v>D</v>
      </c>
      <c r="N79" s="236" t="str">
        <f>IFERROR(__xludf.DUMMYFUNCTION("IF(REGEXMATCH(C79, ""n""), ""n"","""")"),"n")</f>
        <v>n</v>
      </c>
      <c r="O79" s="237" t="str">
        <f>IFERROR(__xludf.DUMMYFUNCTION("IF(REGEXMATCH(C79, ""N""), ""N"","""")"),"N")</f>
        <v>N</v>
      </c>
      <c r="P79" s="238" t="str">
        <f>IFERROR(__xludf.DUMMYFUNCTION("IF(REGEXMATCH(C79, ""S""), ""S"","""")"),"S")</f>
        <v>S</v>
      </c>
      <c r="Q79" s="239" t="str">
        <f>IFERROR(__xludf.DUMMYFUNCTION("SUBSTITUTE(CONCATENATE(JOIN(""-"",D79:J79)),""-"","""")"),"SRGmM")</f>
        <v>SRGmM</v>
      </c>
      <c r="R79" s="229" t="str">
        <f>IFERROR(__xludf.DUMMYFUNCTION("SUBSTITUTE(CONCATENATE(JOIN(""-"",K79:P79)),""-"","""")"),"PDnNS")</f>
        <v>PDnNS</v>
      </c>
      <c r="S79" s="282" t="str">
        <f t="shared" si="8"/>
        <v>S-R-G-M</v>
      </c>
      <c r="T79" s="282" t="str">
        <f t="shared" si="9"/>
        <v>P-D-N-S</v>
      </c>
      <c r="U79" s="237" t="str">
        <f>IFERROR(__xludf.DUMMYFUNCTION("SUBSTITUTE(JOIN(""-"",S79,T79),""--"",""-"")"),"S-R-G-M-P-D-N-S")</f>
        <v>S-R-G-M-P-D-N-S</v>
      </c>
      <c r="V79" s="309" t="str">
        <f t="shared" si="10"/>
        <v>RGmMDnN</v>
      </c>
      <c r="W79" s="244" t="str">
        <f>IFERROR(__xludf.DUMMYFUNCTION("IF(REGEXMATCH(C79, ""S""), ""0"","""")"),"0")</f>
        <v>0</v>
      </c>
      <c r="X79" s="245" t="str">
        <f>IFERROR(__xludf.DUMMYFUNCTION("IF(REGEXMATCH(C79, ""r""), ""1"","""")"),"")</f>
        <v/>
      </c>
      <c r="Y79" s="246" t="str">
        <f>IFERROR(__xludf.DUMMYFUNCTION("IF(REGEXMATCH(C79, ""R""), ""2"","""")"),"2")</f>
        <v>2</v>
      </c>
      <c r="Z79" s="246" t="str">
        <f>IFERROR(__xludf.DUMMYFUNCTION("IF(REGEXMATCH(C79, ""g""), ""3"","""")"),"")</f>
        <v/>
      </c>
      <c r="AA79" s="245" t="str">
        <f>IFERROR(__xludf.DUMMYFUNCTION("IF(REGEXMATCH(C79, ""G""), ""4"","""")"),"4")</f>
        <v>4</v>
      </c>
      <c r="AB79" s="245" t="str">
        <f>IFERROR(__xludf.DUMMYFUNCTION("IF(REGEXMATCH(C79, ""m""), ""5"","""")"),"5")</f>
        <v>5</v>
      </c>
      <c r="AC79" s="246" t="str">
        <f>IFERROR(__xludf.DUMMYFUNCTION("IF(REGEXMATCH(C79, ""M""), ""6"","""")"),"6")</f>
        <v>6</v>
      </c>
      <c r="AD79" s="245" t="str">
        <f>IFERROR(__xludf.DUMMYFUNCTION("IF(REGEXMATCH(C79, ""P""), ""7"","""")"),"7")</f>
        <v>7</v>
      </c>
      <c r="AE79" s="246" t="str">
        <f>IFERROR(__xludf.DUMMYFUNCTION("IF(REGEXMATCH(C79, ""d""), ""8"","""")"),"")</f>
        <v/>
      </c>
      <c r="AF79" s="245" t="str">
        <f>IFERROR(__xludf.DUMMYFUNCTION("IF(REGEXMATCH(C79, ""D""), ""9"","""")"),"9")</f>
        <v>9</v>
      </c>
      <c r="AG79" s="245" t="str">
        <f>IFERROR(__xludf.DUMMYFUNCTION("IF(REGEXMATCH(C79, ""n""), ""10"","""")"),"10")</f>
        <v>10</v>
      </c>
      <c r="AH79" s="246" t="str">
        <f>IFERROR(__xludf.DUMMYFUNCTION("IF(REGEXMATCH(C79, ""N""), ""11"","""")"),"11")</f>
        <v>11</v>
      </c>
      <c r="AI79" s="249" t="str">
        <f>IFERROR(__xludf.DUMMYFUNCTION("IF(REGEXMATCH(C79, ""S""), ""0"","""")"),"0")</f>
        <v>0</v>
      </c>
      <c r="AJ79" s="313" t="str">
        <f t="shared" si="11"/>
        <v>T</v>
      </c>
      <c r="AK79" s="313" t="str">
        <f t="shared" si="12"/>
        <v>-</v>
      </c>
      <c r="AL79" s="313" t="str">
        <f t="shared" si="13"/>
        <v>-</v>
      </c>
      <c r="AM79" s="313" t="str">
        <f t="shared" si="14"/>
        <v>-</v>
      </c>
      <c r="AN79" s="313" t="str">
        <f t="shared" si="15"/>
        <v>T</v>
      </c>
      <c r="AO79" s="314" t="str">
        <f t="shared" si="16"/>
        <v>T</v>
      </c>
      <c r="AP79" s="316">
        <f t="shared" si="17"/>
        <v>3</v>
      </c>
      <c r="AQ79" s="319" t="str">
        <f t="shared" si="18"/>
        <v>-</v>
      </c>
      <c r="AR79" s="320">
        <f t="shared" si="19"/>
        <v>0</v>
      </c>
      <c r="AS79" s="250" t="str">
        <f>IFERROR(__xludf.DUMMYFUNCTION("SUBSTITUTE(SUBSTITUTE(CONCATENATE(JOIN("""",FP79:GA79)),""|"",""x""),""-"",""o"")"),"xoxoxxxxoxxx")</f>
        <v>xoxoxxxxoxxx</v>
      </c>
      <c r="AT79" s="323" t="str">
        <f>IFERROR(__xludf.DUMMYFUNCTION("JOIN("""",AS79,AS79)"),"xoxoxxxxoxxxxoxoxxxxoxxx")</f>
        <v>xoxoxxxxoxxxxoxoxxxxoxxx</v>
      </c>
      <c r="AU79" s="256" t="str">
        <f>IFERROR(__xludf.DUMMYFUNCTION("JOIN("""",ArrayFormula(MID(AS79,LEN(AS79)-SEQUENCE(1,LEN(AS79))+1,1)))"),"xxxoxxxxoxox")</f>
        <v>xxxoxxxxoxox</v>
      </c>
      <c r="AV79" s="256" t="str">
        <f>IFERROR(__xludf.DUMMYFUNCTION("LEFT(CONCATENATE(""x"",JOIN("""",ArrayFormula(MID(AS79,LEN(AS79)-SEQUENCE(1,LEN(AS79))+1,1)))),12)"),"xxxxoxxxxoxo")</f>
        <v>xxxxoxxxxoxo</v>
      </c>
      <c r="AW79" s="327" t="str">
        <f>IFERROR(__xludf.DUMMYFUNCTION("JOIN("""",AU79,AU79)"),"xxxoxxxxoxoxxxxoxxxxoxox")</f>
        <v>xxxoxxxxoxoxxxxoxxxxoxox</v>
      </c>
      <c r="AX79" s="239" t="str">
        <f>IFERROR(__xludf.DUMMYFUNCTION("IF(REGEXMATCH(AW79,AS79),""✔"",""-"")"),"✔")</f>
        <v>✔</v>
      </c>
      <c r="AY79" s="330" t="str">
        <f t="shared" si="20"/>
        <v>-</v>
      </c>
      <c r="AZ79" s="260" t="str">
        <f t="shared" si="21"/>
        <v>#REF!</v>
      </c>
      <c r="BA79" s="333" t="str">
        <f t="shared" si="22"/>
        <v>xoxoxxx</v>
      </c>
      <c r="BB79" s="334" t="str">
        <f t="shared" si="23"/>
        <v>xoxxxx</v>
      </c>
      <c r="BC79" s="335" t="str">
        <f t="shared" si="236"/>
        <v>-</v>
      </c>
      <c r="BD79" s="336" t="str">
        <f t="shared" si="25"/>
        <v>Chaya: 'xoxoxxx' + 'xoxxxx'</v>
      </c>
      <c r="BE79" s="337">
        <f>IFERROR(__xludf.DUMMYFUNCTION("COUNTUNIQUE(FILTER(AT:AT,REGEXMATCH(AT:AT,AS79)))-1"),4.0)</f>
        <v>4</v>
      </c>
      <c r="BF79" s="261" t="str">
        <f>IFERROR(__xludf.DUMMYFUNCTION("IF(BI79=0,""(n/a)"",IF(BJ79=2,""(PAIR)"",IF(REGEXMATCH(AT79,""xoxoxxoxoxox""),""Bilawal"",IF(REGEXMATCH(AT79,""xoxoxooxoxoo""),""Bhupali"",IF(REGEXMATCH(AT79,""xoxoxxoxxoxo""),""Charukeshi"",IF(REGEXMATCH(AT79,""xoxoooxxoxxo""),""Kameshwari"",IF(REGEXMATC"&amp;"H(AT79,""xoxoxooxoxox""),""Shankara"",IF(REGEXMATCH(AT79,""xxooxoxxxoox""),""Basant"",IF(REGEXMATCH(AT79,""xoxoxxxxoxox""),""Bihag"",IF(REGEXMATCH(AT79,""xoxxxxoxoxxx""),""Pilu"",IF(REGEXMATCH(AT79,""xoxxoxoxxoox""),""Kirwani"",IF(REGEXMATCH(AT79,""xoxxox"&amp;"oxoxxx""),""Mk.Malhar"",IF(REGEXMATCH(AT79,""xxooxxoxxoox""),""Bhairav"",IF(REGEXMATCH(AT79,""xxoxooxxxoox""),""Todi"",IF(REGEXMATCH(AT79,""xxooxoxooxox""),""Marwa"",IF(REGEXMATCH(AT79,""xxoooxoxxooo""),""Gunkali"",IF(REGEXMATCH(AT79,""xoxoxxoxxoox""),""N"&amp;"at Bhairav"",IF(REGEXMATCH(AT79,""xoxxoooxoxoo""),""Shivranjani"",IF(REGEXMATCH(AT79,""xooxxxoxooxo""),""Jog"",IF(REGEXMATCH(AT79,""xxooxoxoxoox""),""Hemshri"",IF(REGEXMATCH(AT79,""xoooxooxoxxo""),""Kalavati"",IF(REGEXMATCH(AT79,""xxoxoxxoxoox""),""Kedar"&amp;""",IF(REGEXMATCH(AT79,""xoxxxxoxooxx""),""Gara"",IF(REGEXMATCH(AT79,""xooxoxooxoox""),""Chandrakauns"",IF(REGEXMATCH(AT79,""xoxxxxoxxxox""),""Mand"",IF(REGEXMATCH(AT79,""xoxxxxoxoxox""),""Hanskinkini"",IF(REGEXMATCH(AT79,""xxooxxoxooxo""),""Lilavati"",IF("&amp;"REGEXMATCH(AT79,""xooxoxoooxox""),""Rajeshwari"",IF(REGEXMATCH(AT79,""xoooxxoxoxxx""),""Khokar"",IF(REGEXMATCH(AT79,""xxooxoxxxxox""),""Maligoura"",""-""))))))))))))))))))))))))))))))"),"Pilu")</f>
        <v>Pilu</v>
      </c>
      <c r="BG79" s="239" t="str">
        <f t="shared" si="26"/>
        <v>#REF!</v>
      </c>
      <c r="BH79" s="239">
        <f>IFERROR(__xludf.DUMMYFUNCTION("COUNTUNIQUE(FE79:FO79)-1"),8.0)</f>
        <v>8</v>
      </c>
      <c r="BI79" s="239">
        <f>IFERROR(__xludf.DUMMYFUNCTION("COUNTUNIQUE(FILTER(AT:AT,REGEXMATCH(AT:AT,AS79)))-1"),4.0)</f>
        <v>4</v>
      </c>
      <c r="BJ79" s="239">
        <f>IFERROR(__xludf.DUMMYFUNCTION("COUNTA(FILTER(AT:AT,REGEXMATCH(AT:AT,AS79)))"),26.0)</f>
        <v>26</v>
      </c>
      <c r="BK79" s="341">
        <f>IFERROR(__xludf.DUMMYFUNCTION("COUNTA(FILTER(AT:AT,REGEXMATCH(AT:AT,AS79)))-AR79"),26.0)</f>
        <v>26</v>
      </c>
      <c r="BL79" s="276" t="str">
        <f>IFERROR(__xludf.DUMMYFUNCTION("IF(AS79=""oooooooooooo"",""-"",IF(REGEXMATCH(AT79,""xx""), ""Hemi."", ""Anhemi.""))"),"Hemi.")</f>
        <v>Hemi.</v>
      </c>
      <c r="BM79" s="282" t="str">
        <f>IFERROR(__xludf.DUMMYFUNCTION("IF(AS79=""oooooooooooo"",""-"",IF(REGEXMATCH(AT79,""xxx""), ""Cohem."", ""-""))"),"Cohem.")</f>
        <v>Cohem.</v>
      </c>
      <c r="BN79" s="282" t="str">
        <f>IFERROR(__xludf.DUMMYFUNCTION("IF(AS79=""oooooooooooo"",""-"",IF(REGEXMATCH(AT79,""xxxx""), ""Co-Co."", ""-""))"),"Co-Co.")</f>
        <v>Co-Co.</v>
      </c>
      <c r="BO79" s="342" t="str">
        <f>IFERROR(__xludf.DUMMYFUNCTION("IF(AS79=""oooooooooooo"",""-"",IF(REGEXMATCH(AT79,""xxxxx""), ""CCC."", ""-""))"),"-")</f>
        <v>-</v>
      </c>
      <c r="BP79" s="344" t="str">
        <f t="shared" si="27"/>
        <v>-</v>
      </c>
      <c r="BQ79" s="282" t="str">
        <f>IFERROR(__xludf.DUMMYFUNCTION("IF(REGEXMATCH(JOIN(""-"",EU79:FD79),""TRUE""),""✔"",""-"")"),"-")</f>
        <v>-</v>
      </c>
      <c r="BR79" s="225">
        <f t="shared" si="28"/>
        <v>0</v>
      </c>
      <c r="BS79" s="345" t="str">
        <f>IFERROR(__xludf.DUMMYFUNCTION("SUBSTITUTE(SUBSTITUTE(SUBSTITUTE(SUBSTITUTE(CONCATENATE(JOIN(""-"",GC79:GO79)),""--"",""-""),""--"",""-""),""--"",""-""),""--"",""-"")"),"1-2-3-4-#4-5-6-b7-7-8")</f>
        <v>1-2-3-4-#4-5-6-b7-7-8</v>
      </c>
      <c r="BT79" s="299" t="str">
        <f>IFERROR(__xludf.DUMMYFUNCTION("SUBSTITUTE(SUBSTITUTE(SUBSTITUTE(SUBSTITUTE(CONCATENATE(JOIN(""-"",GP79:HB79)),""--"",""-""),""--"",""-""),""--"",""-""),""--"",""-"")"),"S-R2-G3-M1-M2-P-D2-N2-N3-S")</f>
        <v>S-R2-G3-M1-M2-P-D2-N2-N3-S</v>
      </c>
      <c r="BU79" s="348" t="str">
        <f t="shared" si="29"/>
        <v>C-D-E-F-F#-G-A-Bb-B-C</v>
      </c>
      <c r="BV79" s="349" t="str">
        <f t="shared" si="30"/>
        <v>SrgdS</v>
      </c>
      <c r="BW79" s="350">
        <f t="shared" si="31"/>
        <v>0</v>
      </c>
      <c r="BX79" s="351">
        <f t="shared" si="32"/>
        <v>8</v>
      </c>
      <c r="BY79" s="392"/>
      <c r="BZ79" s="309" t="str">
        <f>IFERROR(__xludf.DUMMYFUNCTION("IF(REGEXMATCH(C79, ""S""), ""x"",""x"")"),"x")</f>
        <v>x</v>
      </c>
      <c r="CA79" s="245" t="str">
        <f>IFERROR(__xludf.DUMMYFUNCTION("IF(REGEXMATCH(C79, ""r""), ""o"",""x"")"),"x")</f>
        <v>x</v>
      </c>
      <c r="CB79" s="246" t="str">
        <f>IFERROR(__xludf.DUMMYFUNCTION("IF(REGEXMATCH(C79, ""R""), ""o"",""x"")"),"o")</f>
        <v>o</v>
      </c>
      <c r="CC79" s="246" t="str">
        <f>IFERROR(__xludf.DUMMYFUNCTION("IF(REGEXMATCH(C79, ""g""), ""o"",""x"")"),"x")</f>
        <v>x</v>
      </c>
      <c r="CD79" s="245" t="str">
        <f>IFERROR(__xludf.DUMMYFUNCTION("IF(REGEXMATCH(C79, ""G""), ""o"",""x"")"),"o")</f>
        <v>o</v>
      </c>
      <c r="CE79" s="245" t="str">
        <f>IFERROR(__xludf.DUMMYFUNCTION("IF(REGEXMATCH(C79, ""m""), ""o"",""x"")"),"o")</f>
        <v>o</v>
      </c>
      <c r="CF79" s="246" t="str">
        <f>IFERROR(__xludf.DUMMYFUNCTION("IF(REGEXMATCH(C79, ""M""), ""o"",""x"")"),"o")</f>
        <v>o</v>
      </c>
      <c r="CG79" s="245" t="str">
        <f>IFERROR(__xludf.DUMMYFUNCTION("IF(REGEXMATCH(C79, ""P""), ""o"",""x"")"),"o")</f>
        <v>o</v>
      </c>
      <c r="CH79" s="246" t="str">
        <f>IFERROR(__xludf.DUMMYFUNCTION("IF(REGEXMATCH(C79, ""d""), ""o"",""x"")"),"x")</f>
        <v>x</v>
      </c>
      <c r="CI79" s="245" t="str">
        <f>IFERROR(__xludf.DUMMYFUNCTION("IF(REGEXMATCH(C79, ""D""), ""o"",""x"")"),"o")</f>
        <v>o</v>
      </c>
      <c r="CJ79" s="245" t="str">
        <f>IFERROR(__xludf.DUMMYFUNCTION("IF(REGEXMATCH(C79, ""n""), ""o"",""x"")"),"o")</f>
        <v>o</v>
      </c>
      <c r="CK79" s="245" t="str">
        <f>IFERROR(__xludf.DUMMYFUNCTION("IF(REGEXMATCH(C79, ""N""), ""o"",""x"")"),"o")</f>
        <v>o</v>
      </c>
      <c r="CL79" s="356" t="str">
        <f>IFERROR(__xludf.DUMMYFUNCTION("IF(REGEXMATCH(C79, ""S""), ""x"",""x"")"),"x")</f>
        <v>x</v>
      </c>
      <c r="CM79" s="357" t="str">
        <f t="shared" si="33"/>
        <v>xxoxooooxooo</v>
      </c>
      <c r="CN79" s="358">
        <f t="shared" si="34"/>
        <v>0</v>
      </c>
      <c r="CO79" s="246" t="str">
        <f>IFERROR(__xludf.DUMMYFUNCTION("IF(REGEXMATCH($C79, ""S""), ""S"",""S"")"),"S")</f>
        <v>S</v>
      </c>
      <c r="CP79" s="246" t="str">
        <f>IFERROR(__xludf.DUMMYFUNCTION("IF(REGEXMATCH($C79, ""r""), """",""r"")"),"r")</f>
        <v>r</v>
      </c>
      <c r="CQ79" s="246" t="str">
        <f>IFERROR(__xludf.DUMMYFUNCTION("IF(REGEXMATCH($C79, ""R""), """",""R"")"),"")</f>
        <v/>
      </c>
      <c r="CR79" s="246" t="str">
        <f>IFERROR(__xludf.DUMMYFUNCTION("IF(REGEXMATCH($C79, ""g""), """",""g"")"),"g")</f>
        <v>g</v>
      </c>
      <c r="CS79" s="246" t="str">
        <f>IFERROR(__xludf.DUMMYFUNCTION("IF(REGEXMATCH($C79, ""G""), """",""G"")"),"")</f>
        <v/>
      </c>
      <c r="CT79" s="246" t="str">
        <f>IFERROR(__xludf.DUMMYFUNCTION("IF(REGEXMATCH($C79, ""m""), """",""m"")"),"")</f>
        <v/>
      </c>
      <c r="CU79" s="246" t="str">
        <f>IFERROR(__xludf.DUMMYFUNCTION("IF(REGEXMATCH($C79, ""M""), """",""M"")"),"")</f>
        <v/>
      </c>
      <c r="CV79" s="246" t="str">
        <f>IFERROR(__xludf.DUMMYFUNCTION("IF(REGEXMATCH($C79, ""P""), """",""P"")"),"")</f>
        <v/>
      </c>
      <c r="CW79" s="246" t="str">
        <f>IFERROR(__xludf.DUMMYFUNCTION("IF(REGEXMATCH($C79, ""d""), """",""d"")"),"d")</f>
        <v>d</v>
      </c>
      <c r="CX79" s="246" t="str">
        <f>IFERROR(__xludf.DUMMYFUNCTION("IF(REGEXMATCH($C79, ""D""), """",""D"")"),"")</f>
        <v/>
      </c>
      <c r="CY79" s="246" t="str">
        <f>IFERROR(__xludf.DUMMYFUNCTION("IF(REGEXMATCH($C79, ""n""), """",""n"")"),"")</f>
        <v/>
      </c>
      <c r="CZ79" s="246" t="str">
        <f>IFERROR(__xludf.DUMMYFUNCTION("IF(REGEXMATCH($C79, ""N""), """",""N"")"),"")</f>
        <v/>
      </c>
      <c r="DA79" s="246" t="str">
        <f>IFERROR(__xludf.DUMMYFUNCTION("IF(REGEXMATCH($C79, ""S""), ""S"",""S"")"),"S")</f>
        <v>S</v>
      </c>
      <c r="DB79" s="362" t="str">
        <f>IFERROR(__xludf.DUMMYFUNCTION("JOIN("""",CO79:DA79,"""","""")"),"SrgdS")</f>
        <v>SrgdS</v>
      </c>
      <c r="DC79" s="363"/>
      <c r="DD79" s="301" t="str">
        <f t="shared" si="35"/>
        <v>#REF!</v>
      </c>
      <c r="DE79" s="302" t="str">
        <f t="shared" si="36"/>
        <v>#REF!</v>
      </c>
      <c r="DF79" s="301" t="str">
        <f t="shared" ref="DF79:DG79" si="355">SUBSTITUTE(S79,"-","")</f>
        <v>SRGM</v>
      </c>
      <c r="DG79" s="301" t="str">
        <f t="shared" si="355"/>
        <v>PDNS</v>
      </c>
      <c r="DH79" s="302" t="str">
        <f t="shared" si="38"/>
        <v>Pilu</v>
      </c>
      <c r="DI79" s="301" t="str">
        <f t="shared" si="39"/>
        <v>Hemi.</v>
      </c>
      <c r="DJ79" s="364" t="str">
        <f t="shared" si="40"/>
        <v>Co-Co.</v>
      </c>
      <c r="DK79" s="306" t="str">
        <f t="shared" si="41"/>
        <v>-</v>
      </c>
      <c r="DL79" s="366" t="str">
        <f t="shared" si="42"/>
        <v>-</v>
      </c>
      <c r="DM79" s="308" t="str">
        <f t="shared" si="43"/>
        <v>✔</v>
      </c>
      <c r="DN79" s="306" t="str">
        <f t="shared" si="44"/>
        <v>-</v>
      </c>
      <c r="DO79" s="306" t="str">
        <f t="shared" si="45"/>
        <v>-</v>
      </c>
      <c r="DP79" s="367" t="str">
        <f t="shared" si="46"/>
        <v>-</v>
      </c>
      <c r="DQ79" s="310" t="str">
        <f t="shared" si="47"/>
        <v>-</v>
      </c>
      <c r="DR79" s="310" t="str">
        <f t="shared" si="48"/>
        <v>-</v>
      </c>
      <c r="DS79" s="310" t="str">
        <f t="shared" si="49"/>
        <v>✔</v>
      </c>
      <c r="DT79" s="310" t="str">
        <f t="shared" si="50"/>
        <v>-</v>
      </c>
      <c r="DU79" s="370" t="str">
        <f t="shared" si="51"/>
        <v>✔</v>
      </c>
      <c r="DV79" s="306" t="str">
        <f t="shared" si="52"/>
        <v>-</v>
      </c>
      <c r="DW79" s="306" t="str">
        <f t="shared" si="53"/>
        <v>-</v>
      </c>
      <c r="DX79" s="306" t="str">
        <f t="shared" si="54"/>
        <v>-</v>
      </c>
      <c r="DY79" s="306" t="str">
        <f t="shared" si="55"/>
        <v>-</v>
      </c>
      <c r="DZ79" s="306" t="str">
        <f t="shared" si="56"/>
        <v>-</v>
      </c>
      <c r="EA79" s="367" t="str">
        <f t="shared" si="57"/>
        <v>-</v>
      </c>
      <c r="EB79" s="310" t="str">
        <f>IFERROR(__xludf.DUMMYFUNCTION("IF(REGEXMATCH(AW79,AS79),""✔"",""-"")"),"✔")</f>
        <v>✔</v>
      </c>
      <c r="EC79" s="310" t="str">
        <f t="shared" si="58"/>
        <v>#REF!</v>
      </c>
      <c r="ED79" s="370" t="str">
        <f t="shared" si="59"/>
        <v>-</v>
      </c>
      <c r="EE79" s="340" t="str">
        <f t="shared" si="60"/>
        <v>S-R-G-mM-P-D-nN-S</v>
      </c>
      <c r="EF79" s="371" t="str">
        <f>IFERROR(__xludf.DUMMYFUNCTION("CONCATENATE(JOIN("""",HC79:HO79))"),"SrRgmMPdnS")</f>
        <v>SrRgmMPdnS</v>
      </c>
      <c r="EG79" s="372">
        <f t="shared" si="61"/>
        <v>1</v>
      </c>
      <c r="EH79" s="373" t="str">
        <f>IFERROR(__xludf.DUMMYFUNCTION("CONCATENATE(JOIN("""",JC79:JO79))"),"Ma, ")</f>
        <v>Ma, </v>
      </c>
      <c r="EI79" s="322">
        <f t="shared" si="62"/>
        <v>0</v>
      </c>
      <c r="EJ79" s="374" t="str">
        <f>IFERROR(__xludf.DUMMYFUNCTION("CONCATENATE(JOIN("""",KC79:KO79))"),"")</f>
        <v/>
      </c>
      <c r="EK79" s="325" t="str">
        <f t="shared" si="63"/>
        <v>S-R2-G3-M1-M2-P-D2-N2-N3-S</v>
      </c>
      <c r="EL79" s="326" t="str">
        <f t="shared" si="64"/>
        <v>1-2-3-4-#4-5-6-b7-7-8</v>
      </c>
      <c r="EM79" s="318" t="str">
        <f t="shared" si="65"/>
        <v>#REF!</v>
      </c>
      <c r="EN79" s="328" t="str">
        <f>IFERROR(__xludf.DUMMYFUNCTION("SUBSTITUTE(SUBSTITUTE(SUBSTITUTE(SUBSTITUTE(CONCATENATE(JOIN("" "",HP79:IB79)),""  "","" ""),""  "","" ""),""  "","" ""),""  "","" "")"),"o • o • o o o o • o o o o")</f>
        <v>o • o • o o o o • o o o o</v>
      </c>
      <c r="EO79" s="368" t="str">
        <f t="shared" si="66"/>
        <v>-</v>
      </c>
      <c r="EP79" s="339" t="str">
        <f t="shared" si="67"/>
        <v>-</v>
      </c>
      <c r="EQ79" s="339" t="str">
        <f t="shared" si="68"/>
        <v>Sa-Pa</v>
      </c>
      <c r="ER79" s="339" t="str">
        <f t="shared" si="69"/>
        <v>-</v>
      </c>
      <c r="ES79" s="340" t="str">
        <f t="shared" si="70"/>
        <v>-</v>
      </c>
      <c r="ET79" s="363"/>
      <c r="EU79" s="376" t="b">
        <f>IFERROR(__xludf.DUMMYFUNCTION("arrayformula(sum(--REGEXMATCH(""SRGMPDNS"",split(REGEXREPLACE(C79,""(.)"",""$1~""),""~""))))=len(C79)
"),FALSE)</f>
        <v>0</v>
      </c>
      <c r="EV79" s="290" t="b">
        <f>IFERROR(__xludf.DUMMYFUNCTION("arrayformula(sum(--REGEXMATCH(""SRGmPDNS"",split(REGEXREPLACE(C79,""(.)"",""$1~""),""~""))))=len(C79)"),FALSE)</f>
        <v>0</v>
      </c>
      <c r="EW79" s="290" t="b">
        <f>IFERROR(__xludf.DUMMYFUNCTION("arrayformula(sum(--REGEXMATCH(""SRGmPDnS"",split(REGEXREPLACE(C79,""(.)"",""$1~""),""~""))))=len(C79)"),FALSE)</f>
        <v>0</v>
      </c>
      <c r="EX79" s="290" t="b">
        <f>IFERROR(__xludf.DUMMYFUNCTION("arrayformula(sum(--REGEXMATCH(""SRgmPDnS"",split(REGEXREPLACE(C79,""(.)"",""$1~""),""~""))))=len(C79)"),FALSE)</f>
        <v>0</v>
      </c>
      <c r="EY79" s="290" t="b">
        <f>IFERROR(__xludf.DUMMYFUNCTION("arrayformula(sum(--REGEXMATCH(""SRgmPdnS"",split(REGEXREPLACE(C79,""(.)"",""$1~""),""~""))))=len(C79)"),FALSE)</f>
        <v>0</v>
      </c>
      <c r="EZ79" s="290" t="b">
        <f>IFERROR(__xludf.DUMMYFUNCTION("arrayformula(sum(--REGEXMATCH(""SrgmPdnS"",split(REGEXREPLACE(C79,""(.)"",""$1~""),""~""))))=len(C79)"),FALSE)</f>
        <v>0</v>
      </c>
      <c r="FA79" s="290" t="b">
        <f>IFERROR(__xludf.DUMMYFUNCTION("arrayformula(sum(--REGEXMATCH(""SrGmPdNS"",split(REGEXREPLACE(C79,""(.)"",""$1~""),""~""))))=len(C79)"),FALSE)</f>
        <v>0</v>
      </c>
      <c r="FB79" s="290" t="b">
        <f>IFERROR(__xludf.DUMMYFUNCTION("arrayformula(sum(--REGEXMATCH(""SrGMPDNS"",split(REGEXREPLACE(C79,""(.)"",""$1~""),""~""))))=len(C79)"),FALSE)</f>
        <v>0</v>
      </c>
      <c r="FC79" s="290" t="b">
        <f>IFERROR(__xludf.DUMMYFUNCTION("arrayformula(sum(--REGEXMATCH(""SrGMPdNS"",split(REGEXREPLACE(C79,""(.)"",""$1~""),""~""))))=len(C79)"),FALSE)</f>
        <v>0</v>
      </c>
      <c r="FD79" s="377" t="b">
        <f>IFERROR(__xludf.DUMMYFUNCTION("arrayformula(sum(--REGEXMATCH(""SrgMPdNS"",split(REGEXREPLACE(C79,""(.)"",""$1~""),""~""))))=len(C79)"),FALSE)</f>
        <v>0</v>
      </c>
      <c r="FE79" s="269" t="str">
        <f t="shared" si="71"/>
        <v>-</v>
      </c>
      <c r="FF79" s="269" t="str">
        <f t="shared" si="72"/>
        <v>xoxxxxoxxxx</v>
      </c>
      <c r="FG79" s="271" t="str">
        <f t="shared" si="73"/>
        <v>-</v>
      </c>
      <c r="FH79" s="269" t="str">
        <f t="shared" si="74"/>
        <v>xxxxoxxxxox</v>
      </c>
      <c r="FI79" s="271" t="str">
        <f t="shared" si="75"/>
        <v>xxxoxxxxoxo</v>
      </c>
      <c r="FJ79" s="271" t="str">
        <f t="shared" si="76"/>
        <v>xxoxxxxoxox</v>
      </c>
      <c r="FK79" s="271" t="str">
        <f t="shared" si="77"/>
        <v>xoxxxxoxoxx</v>
      </c>
      <c r="FL79" s="271" t="str">
        <f t="shared" si="78"/>
        <v>-</v>
      </c>
      <c r="FM79" s="271" t="str">
        <f t="shared" si="79"/>
        <v>xxxxoxoxxxx</v>
      </c>
      <c r="FN79" s="271" t="str">
        <f t="shared" si="80"/>
        <v>xxxoxoxxxxo</v>
      </c>
      <c r="FO79" s="274" t="str">
        <f t="shared" si="81"/>
        <v>xxoxoxxxxox</v>
      </c>
      <c r="FP79" s="234" t="str">
        <f t="shared" si="82"/>
        <v>|</v>
      </c>
      <c r="FQ79" s="236" t="str">
        <f t="shared" si="83"/>
        <v>-</v>
      </c>
      <c r="FR79" s="237" t="str">
        <f t="shared" si="84"/>
        <v>|</v>
      </c>
      <c r="FS79" s="236" t="str">
        <f t="shared" si="85"/>
        <v>-</v>
      </c>
      <c r="FT79" s="237" t="str">
        <f t="shared" si="86"/>
        <v>|</v>
      </c>
      <c r="FU79" s="236" t="str">
        <f t="shared" si="87"/>
        <v>|</v>
      </c>
      <c r="FV79" s="237" t="str">
        <f t="shared" si="88"/>
        <v>|</v>
      </c>
      <c r="FW79" s="236" t="str">
        <f t="shared" si="89"/>
        <v>|</v>
      </c>
      <c r="FX79" s="237" t="str">
        <f t="shared" si="90"/>
        <v>-</v>
      </c>
      <c r="FY79" s="236" t="str">
        <f t="shared" si="91"/>
        <v>|</v>
      </c>
      <c r="FZ79" s="237" t="str">
        <f t="shared" si="92"/>
        <v>|</v>
      </c>
      <c r="GA79" s="236" t="str">
        <f t="shared" si="93"/>
        <v>|</v>
      </c>
      <c r="GB79" s="238" t="str">
        <f t="shared" si="94"/>
        <v>|</v>
      </c>
      <c r="GC79" s="244" t="str">
        <f>IFERROR(__xludf.DUMMYFUNCTION("IF(REGEXMATCH(C79, ""S""), ""1"","""")"),"1")</f>
        <v>1</v>
      </c>
      <c r="GD79" s="245" t="str">
        <f>IFERROR(__xludf.DUMMYFUNCTION("IF(REGEXMATCH(C79, ""r""), ""b2"","""")"),"")</f>
        <v/>
      </c>
      <c r="GE79" s="246" t="str">
        <f>IFERROR(__xludf.DUMMYFUNCTION("IF(REGEXMATCH(C79, ""R""), ""2"","""")"),"2")</f>
        <v>2</v>
      </c>
      <c r="GF79" s="246" t="str">
        <f>IFERROR(__xludf.DUMMYFUNCTION("IF(REGEXMATCH(C79, ""g""), ""b3"","""")"),"")</f>
        <v/>
      </c>
      <c r="GG79" s="245" t="str">
        <f>IFERROR(__xludf.DUMMYFUNCTION("IF(REGEXMATCH(C79, ""G""), ""3"","""")"),"3")</f>
        <v>3</v>
      </c>
      <c r="GH79" s="245" t="str">
        <f>IFERROR(__xludf.DUMMYFUNCTION("IF(REGEXMATCH(C79, ""m""), ""4"","""")"),"4")</f>
        <v>4</v>
      </c>
      <c r="GI79" s="246" t="str">
        <f>IFERROR(__xludf.DUMMYFUNCTION("IF(REGEXMATCH(C79, ""M""), ""#4"","""")"),"#4")</f>
        <v>#4</v>
      </c>
      <c r="GJ79" s="245" t="str">
        <f>IFERROR(__xludf.DUMMYFUNCTION("IF(REGEXMATCH(C79, ""P""), ""5"","""")"),"5")</f>
        <v>5</v>
      </c>
      <c r="GK79" s="246" t="str">
        <f>IFERROR(__xludf.DUMMYFUNCTION("IF(REGEXMATCH(C79, ""d""), ""b6"","""")"),"")</f>
        <v/>
      </c>
      <c r="GL79" s="245" t="str">
        <f>IFERROR(__xludf.DUMMYFUNCTION("IF(REGEXMATCH(C79, ""D""), ""6"","""")"),"6")</f>
        <v>6</v>
      </c>
      <c r="GM79" s="245" t="str">
        <f>IFERROR(__xludf.DUMMYFUNCTION("IF(REGEXMATCH(C79, ""n""), ""b7"","""")"),"b7")</f>
        <v>b7</v>
      </c>
      <c r="GN79" s="246" t="str">
        <f>IFERROR(__xludf.DUMMYFUNCTION("IF(REGEXMATCH(C79, ""N""), ""7"","""")"),"7")</f>
        <v>7</v>
      </c>
      <c r="GO79" s="249" t="str">
        <f>IFERROR(__xludf.DUMMYFUNCTION("IF(REGEXMATCH(C79, ""S""), ""8"","""")"),"8")</f>
        <v>8</v>
      </c>
      <c r="GP79" s="244" t="str">
        <f>IFERROR(__xludf.DUMMYFUNCTION("IF(REGEXMATCH(C79, ""S""), ""S"","""")"),"S")</f>
        <v>S</v>
      </c>
      <c r="GQ79" s="294" t="str">
        <f>IFERROR(__xludf.DUMMYFUNCTION("IF(REGEXMATCH(C79, ""r""), ""R1"","""")"),"")</f>
        <v/>
      </c>
      <c r="GR79" s="295" t="str">
        <f>IFERROR(__xludf.DUMMYFUNCTION("IF(REGEXMATCH(C79, ""R""), ""R2"","""")"),"R2")</f>
        <v>R2</v>
      </c>
      <c r="GS79" s="295" t="str">
        <f>IFERROR(__xludf.DUMMYFUNCTION("IF(REGEXMATCH(C79, ""g""), ""G2"","""")"),"")</f>
        <v/>
      </c>
      <c r="GT79" s="294" t="str">
        <f>IFERROR(__xludf.DUMMYFUNCTION("IF(REGEXMATCH(C79, ""G""), ""G3"","""")"),"G3")</f>
        <v>G3</v>
      </c>
      <c r="GU79" s="294" t="str">
        <f>IFERROR(__xludf.DUMMYFUNCTION("IF(REGEXMATCH(C79, ""m""), ""M1"","""")"),"M1")</f>
        <v>M1</v>
      </c>
      <c r="GV79" s="295" t="str">
        <f>IFERROR(__xludf.DUMMYFUNCTION("IF(REGEXMATCH(C79, ""M""), ""M2"","""")"),"M2")</f>
        <v>M2</v>
      </c>
      <c r="GW79" s="294" t="str">
        <f>IFERROR(__xludf.DUMMYFUNCTION("IF(REGEXMATCH(C79, ""P""), ""P"","""")"),"P")</f>
        <v>P</v>
      </c>
      <c r="GX79" s="295" t="str">
        <f>IFERROR(__xludf.DUMMYFUNCTION("IF(REGEXMATCH(C79, ""d""), ""D1"","""")"),"")</f>
        <v/>
      </c>
      <c r="GY79" s="294" t="str">
        <f>IFERROR(__xludf.DUMMYFUNCTION("IF(REGEXMATCH(C79, ""D""), ""D2"","""")"),"D2")</f>
        <v>D2</v>
      </c>
      <c r="GZ79" s="294" t="str">
        <f>IFERROR(__xludf.DUMMYFUNCTION("IF(REGEXMATCH(C79, ""n""), ""N2"","""")"),"N2")</f>
        <v>N2</v>
      </c>
      <c r="HA79" s="295" t="str">
        <f>IFERROR(__xludf.DUMMYFUNCTION("IF(REGEXMATCH(C79, ""N""), ""N3"","""")"),"N3")</f>
        <v>N3</v>
      </c>
      <c r="HB79" s="249" t="str">
        <f>IFERROR(__xludf.DUMMYFUNCTION("IF(REGEXMATCH(C79, ""S""), ""S"","""")"),"S")</f>
        <v>S</v>
      </c>
      <c r="HC79" s="331" t="str">
        <f t="shared" si="95"/>
        <v>S</v>
      </c>
      <c r="HD79" s="332" t="str">
        <f t="shared" si="96"/>
        <v>r</v>
      </c>
      <c r="HE79" s="332" t="str">
        <f t="shared" si="97"/>
        <v>R</v>
      </c>
      <c r="HF79" s="332" t="str">
        <f t="shared" si="98"/>
        <v>g</v>
      </c>
      <c r="HG79" s="332" t="str">
        <f t="shared" si="99"/>
        <v/>
      </c>
      <c r="HH79" s="332" t="str">
        <f t="shared" si="100"/>
        <v>m</v>
      </c>
      <c r="HI79" s="332" t="str">
        <f t="shared" si="101"/>
        <v>M</v>
      </c>
      <c r="HJ79" s="332" t="str">
        <f t="shared" si="102"/>
        <v>P</v>
      </c>
      <c r="HK79" s="332" t="str">
        <f t="shared" si="103"/>
        <v>d</v>
      </c>
      <c r="HL79" s="332" t="str">
        <f t="shared" si="104"/>
        <v/>
      </c>
      <c r="HM79" s="332" t="str">
        <f t="shared" si="105"/>
        <v>n</v>
      </c>
      <c r="HN79" s="332" t="str">
        <f t="shared" si="106"/>
        <v/>
      </c>
      <c r="HO79" s="343" t="str">
        <f t="shared" si="107"/>
        <v>S</v>
      </c>
      <c r="HP79" s="331" t="str">
        <f t="shared" si="108"/>
        <v>o</v>
      </c>
      <c r="HQ79" s="332" t="str">
        <f t="shared" si="109"/>
        <v>•</v>
      </c>
      <c r="HR79" s="332" t="str">
        <f t="shared" si="110"/>
        <v>o</v>
      </c>
      <c r="HS79" s="332" t="str">
        <f t="shared" si="111"/>
        <v>•</v>
      </c>
      <c r="HT79" s="332" t="str">
        <f t="shared" si="112"/>
        <v>o</v>
      </c>
      <c r="HU79" s="332" t="str">
        <f t="shared" si="113"/>
        <v>o</v>
      </c>
      <c r="HV79" s="332" t="str">
        <f t="shared" si="114"/>
        <v>o</v>
      </c>
      <c r="HW79" s="332" t="str">
        <f t="shared" si="115"/>
        <v>o</v>
      </c>
      <c r="HX79" s="332" t="str">
        <f t="shared" si="116"/>
        <v>•</v>
      </c>
      <c r="HY79" s="332" t="str">
        <f t="shared" si="117"/>
        <v>o</v>
      </c>
      <c r="HZ79" s="332" t="str">
        <f t="shared" si="118"/>
        <v>o</v>
      </c>
      <c r="IA79" s="332" t="str">
        <f t="shared" si="119"/>
        <v>o</v>
      </c>
      <c r="IB79" s="338" t="str">
        <f t="shared" si="120"/>
        <v>o</v>
      </c>
      <c r="IC79" s="331" t="str">
        <f t="shared" si="121"/>
        <v>•</v>
      </c>
      <c r="ID79" s="332" t="str">
        <f t="shared" si="122"/>
        <v>o</v>
      </c>
      <c r="IE79" s="332" t="str">
        <f t="shared" si="123"/>
        <v>•</v>
      </c>
      <c r="IF79" s="332" t="str">
        <f t="shared" si="124"/>
        <v>o</v>
      </c>
      <c r="IG79" s="332" t="str">
        <f t="shared" si="125"/>
        <v>•</v>
      </c>
      <c r="IH79" s="332" t="str">
        <f t="shared" si="126"/>
        <v>•</v>
      </c>
      <c r="II79" s="332" t="str">
        <f t="shared" si="127"/>
        <v>•</v>
      </c>
      <c r="IJ79" s="332" t="str">
        <f t="shared" si="128"/>
        <v>•</v>
      </c>
      <c r="IK79" s="332" t="str">
        <f t="shared" si="129"/>
        <v>o</v>
      </c>
      <c r="IL79" s="332" t="str">
        <f t="shared" si="130"/>
        <v>•</v>
      </c>
      <c r="IM79" s="332" t="str">
        <f t="shared" si="131"/>
        <v>•</v>
      </c>
      <c r="IN79" s="332" t="str">
        <f t="shared" si="132"/>
        <v>•</v>
      </c>
      <c r="IO79" s="338" t="str">
        <f t="shared" si="133"/>
        <v>•</v>
      </c>
      <c r="IP79" s="346" t="b">
        <f t="shared" si="134"/>
        <v>0</v>
      </c>
      <c r="IQ79" s="347" t="b">
        <f t="shared" si="135"/>
        <v>0</v>
      </c>
      <c r="IR79" s="347" t="b">
        <f t="shared" si="136"/>
        <v>0</v>
      </c>
      <c r="IS79" s="347" t="b">
        <f t="shared" si="137"/>
        <v>0</v>
      </c>
      <c r="IT79" s="347" t="b">
        <f t="shared" si="138"/>
        <v>0</v>
      </c>
      <c r="IU79" s="347" t="b">
        <f t="shared" si="139"/>
        <v>0</v>
      </c>
      <c r="IV79" s="347" t="b">
        <f t="shared" si="140"/>
        <v>1</v>
      </c>
      <c r="IW79" s="347" t="b">
        <f t="shared" si="141"/>
        <v>0</v>
      </c>
      <c r="IX79" s="347" t="b">
        <f t="shared" si="142"/>
        <v>0</v>
      </c>
      <c r="IY79" s="347" t="b">
        <f t="shared" si="143"/>
        <v>0</v>
      </c>
      <c r="IZ79" s="347" t="b">
        <f t="shared" si="144"/>
        <v>0</v>
      </c>
      <c r="JA79" s="347" t="b">
        <f t="shared" si="145"/>
        <v>0</v>
      </c>
      <c r="JB79" s="353" t="b">
        <f t="shared" si="146"/>
        <v>0</v>
      </c>
      <c r="JC79" s="354" t="str">
        <f t="shared" si="147"/>
        <v/>
      </c>
      <c r="JD79" s="355" t="str">
        <f t="shared" si="148"/>
        <v/>
      </c>
      <c r="JE79" s="355" t="str">
        <f t="shared" si="149"/>
        <v/>
      </c>
      <c r="JF79" s="355" t="str">
        <f t="shared" si="150"/>
        <v/>
      </c>
      <c r="JG79" s="355" t="str">
        <f t="shared" si="151"/>
        <v/>
      </c>
      <c r="JH79" s="355" t="str">
        <f t="shared" si="152"/>
        <v/>
      </c>
      <c r="JI79" s="355" t="str">
        <f t="shared" si="153"/>
        <v>Ma, </v>
      </c>
      <c r="JJ79" s="355" t="str">
        <f t="shared" si="154"/>
        <v/>
      </c>
      <c r="JK79" s="355" t="str">
        <f t="shared" si="155"/>
        <v/>
      </c>
      <c r="JL79" s="355" t="str">
        <f t="shared" si="156"/>
        <v/>
      </c>
      <c r="JM79" s="355" t="str">
        <f t="shared" si="157"/>
        <v/>
      </c>
      <c r="JN79" s="355" t="str">
        <f t="shared" si="158"/>
        <v/>
      </c>
      <c r="JO79" s="359" t="str">
        <f t="shared" si="159"/>
        <v/>
      </c>
      <c r="JP79" s="346" t="b">
        <f t="shared" si="160"/>
        <v>0</v>
      </c>
      <c r="JQ79" s="347" t="b">
        <f t="shared" si="161"/>
        <v>0</v>
      </c>
      <c r="JR79" s="347" t="b">
        <f t="shared" si="162"/>
        <v>0</v>
      </c>
      <c r="JS79" s="347" t="b">
        <f t="shared" si="163"/>
        <v>0</v>
      </c>
      <c r="JT79" s="347" t="b">
        <f t="shared" si="164"/>
        <v>0</v>
      </c>
      <c r="JU79" s="347" t="b">
        <f t="shared" si="165"/>
        <v>0</v>
      </c>
      <c r="JV79" s="347" t="b">
        <f t="shared" si="166"/>
        <v>0</v>
      </c>
      <c r="JW79" s="347" t="b">
        <f t="shared" si="167"/>
        <v>0</v>
      </c>
      <c r="JX79" s="347" t="b">
        <f t="shared" si="168"/>
        <v>0</v>
      </c>
      <c r="JY79" s="347" t="b">
        <f t="shared" si="169"/>
        <v>0</v>
      </c>
      <c r="JZ79" s="347" t="b">
        <f t="shared" si="170"/>
        <v>0</v>
      </c>
      <c r="KA79" s="347" t="b">
        <f t="shared" si="171"/>
        <v>0</v>
      </c>
      <c r="KB79" s="365" t="b">
        <f t="shared" si="172"/>
        <v>0</v>
      </c>
      <c r="KC79" s="354" t="str">
        <f t="shared" si="173"/>
        <v/>
      </c>
      <c r="KD79" s="355" t="str">
        <f t="shared" si="174"/>
        <v/>
      </c>
      <c r="KE79" s="355" t="str">
        <f t="shared" si="175"/>
        <v/>
      </c>
      <c r="KF79" s="355" t="str">
        <f t="shared" si="176"/>
        <v/>
      </c>
      <c r="KG79" s="355" t="str">
        <f t="shared" si="177"/>
        <v/>
      </c>
      <c r="KH79" s="355" t="str">
        <f t="shared" si="178"/>
        <v/>
      </c>
      <c r="KI79" s="355" t="str">
        <f t="shared" si="179"/>
        <v/>
      </c>
      <c r="KJ79" s="355" t="str">
        <f t="shared" si="180"/>
        <v/>
      </c>
      <c r="KK79" s="355" t="str">
        <f t="shared" si="181"/>
        <v/>
      </c>
      <c r="KL79" s="355" t="str">
        <f t="shared" si="182"/>
        <v/>
      </c>
      <c r="KM79" s="355" t="str">
        <f t="shared" si="183"/>
        <v/>
      </c>
      <c r="KN79" s="355" t="str">
        <f t="shared" si="184"/>
        <v/>
      </c>
      <c r="KO79" s="359"/>
      <c r="KP79" s="378"/>
      <c r="KQ79" s="379" t="s">
        <v>9</v>
      </c>
      <c r="KR79" s="380" t="s">
        <v>9</v>
      </c>
      <c r="KS79" s="381" t="s">
        <v>9</v>
      </c>
      <c r="KT79" s="382">
        <f t="shared" si="186"/>
        <v>0</v>
      </c>
      <c r="KU79" s="383">
        <f t="shared" si="187"/>
        <v>0</v>
      </c>
      <c r="KV79" s="381" t="str">
        <f t="shared" si="205"/>
        <v>S</v>
      </c>
      <c r="KW79" s="382">
        <f t="shared" si="189"/>
        <v>0</v>
      </c>
      <c r="KX79" s="384">
        <f t="shared" si="190"/>
        <v>0</v>
      </c>
      <c r="KY79" s="382">
        <f t="shared" ref="KY79:KZ79" si="356">KW79-KT79</f>
        <v>0</v>
      </c>
      <c r="KZ79" s="369">
        <f t="shared" si="356"/>
        <v>0</v>
      </c>
      <c r="LA79" s="385" t="str">
        <f t="shared" si="192"/>
        <v>✔</v>
      </c>
      <c r="LB79" s="340" t="str">
        <f>IFERROR(__xludf.DUMMYFUNCTION("JOIN("""",ArrayFormula(MID(KS79,LEN(KS79)-SEQUENCE(1,LEN(KS79))+1,1)))"),"S")</f>
        <v>S</v>
      </c>
      <c r="LC79" s="373" t="str">
        <f>IFERROR(__xludf.DUMMYFUNCTION("JOIN("""",ArrayFormula(MID(KV79,LEN(KV79)-SEQUENCE(1,LEN(KV79))+1,1)))"),"S")</f>
        <v>S</v>
      </c>
      <c r="LD79" s="373" t="str">
        <f t="shared" si="193"/>
        <v>S</v>
      </c>
      <c r="LE79" s="339" t="str">
        <f t="shared" si="194"/>
        <v>S</v>
      </c>
      <c r="LF79" s="386" t="str">
        <f>IFERROR(__xludf.DUMMYFUNCTION("SUBSTITUTE(SUBSTITUTE(CONCATENATE(JOIN("""",LH79:LT79)),""1"",""""),""2"","""")"),"SS")</f>
        <v>SS</v>
      </c>
      <c r="LG79" s="369" t="str">
        <f t="shared" si="195"/>
        <v>-</v>
      </c>
      <c r="LH79" s="387" t="str">
        <f>IFERROR(__xludf.DUMMYFUNCTION("IF(REGEXMATCH(LD79, ""S""), ""S"",IF(REGEXMATCH(LE79, ""S""), ""S"",""""))"),"S")</f>
        <v>S</v>
      </c>
      <c r="LI79" s="299" t="str">
        <f>IFERROR(__xludf.DUMMYFUNCTION("IF(REGEXMATCH(LD79, ""r""), ""r1"",IF(REGEXMATCH(LE79, ""r""), ""r2"",""""))"),"")</f>
        <v/>
      </c>
      <c r="LJ79" s="299" t="str">
        <f>IFERROR(__xludf.DUMMYFUNCTION("IF(REGEXMATCH(LD79, ""R""), ""R1"",IF(REGEXMATCH(LE79, ""R""), ""R2"",""""))"),"")</f>
        <v/>
      </c>
      <c r="LK79" s="299" t="str">
        <f>IFERROR(__xludf.DUMMYFUNCTION("IF(REGEXMATCH(LD79, ""g""), ""g1"",IF(REGEXMATCH(LE79, ""g""), ""g2"",""""))"),"")</f>
        <v/>
      </c>
      <c r="LL79" s="299" t="str">
        <f>IFERROR(__xludf.DUMMYFUNCTION("IF(REGEXMATCH(LD79, ""G""), ""G1"",IF(REGEXMATCH(LE79, ""G""), ""G2"",""""))"),"")</f>
        <v/>
      </c>
      <c r="LM79" s="299" t="str">
        <f>IFERROR(__xludf.DUMMYFUNCTION("IF(REGEXMATCH(LD79, ""m""), ""m1"",IF(REGEXMATCH(LE79, ""m""), ""m2"",""""))"),"")</f>
        <v/>
      </c>
      <c r="LN79" s="299" t="str">
        <f>IFERROR(__xludf.DUMMYFUNCTION("IF(REGEXMATCH(LD79, ""M""), ""M1"",IF(REGEXMATCH(LE79, ""M""), ""M2"",""""))"),"")</f>
        <v/>
      </c>
      <c r="LO79" s="299" t="str">
        <f>IFERROR(__xludf.DUMMYFUNCTION("IF(REGEXMATCH(LD79, ""P""), ""P1"",IF(REGEXMATCH(LE79, ""P""), ""P2"",""""))"),"")</f>
        <v/>
      </c>
      <c r="LP79" s="299" t="str">
        <f>IFERROR(__xludf.DUMMYFUNCTION("IF(REGEXMATCH(LD79, ""d""), ""d1"",IF(REGEXMATCH(LE79, ""d""), ""d2"",""""))"),"")</f>
        <v/>
      </c>
      <c r="LQ79" s="299" t="str">
        <f>IFERROR(__xludf.DUMMYFUNCTION("IF(REGEXMATCH(LD79, ""D""), ""D1"",IF(REGEXMATCH(LE79, ""D""), ""D2"",""""))"),"")</f>
        <v/>
      </c>
      <c r="LR79" s="299" t="str">
        <f>IFERROR(__xludf.DUMMYFUNCTION("IF(REGEXMATCH(LD79, ""n""), ""n1"",IF(REGEXMATCH(LE79, ""n""), ""n2"",""""))"),"")</f>
        <v/>
      </c>
      <c r="LS79" s="299" t="str">
        <f>IFERROR(__xludf.DUMMYFUNCTION("IF(REGEXMATCH(LD79, ""N""), ""N1"",IF(REGEXMATCH(LE79, ""N""), ""N2"",""""))"),"")</f>
        <v/>
      </c>
      <c r="LT79" s="388" t="str">
        <f>IFERROR(__xludf.DUMMYFUNCTION("IF(REGEXMATCH(LD79, ""S""), ""S"",IF(REGEXMATCH(LE79, ""S""), ""S"",""""))"),"S")</f>
        <v>S</v>
      </c>
      <c r="LU79" s="389">
        <f t="shared" si="196"/>
        <v>1</v>
      </c>
      <c r="LV79" s="378"/>
      <c r="LW79" s="369"/>
      <c r="LX79" s="369"/>
    </row>
    <row r="80" ht="18.0" customHeight="1">
      <c r="A80" s="298" t="s">
        <v>660</v>
      </c>
      <c r="B80" s="222" t="s">
        <v>554</v>
      </c>
      <c r="C80" s="233" t="str">
        <f t="shared" si="7"/>
        <v>SRGmPDNS</v>
      </c>
      <c r="D80" s="234" t="str">
        <f>IFERROR(__xludf.DUMMYFUNCTION("IF(REGEXMATCH(C80, ""S""), ""S"","""")"),"S")</f>
        <v>S</v>
      </c>
      <c r="E80" s="236" t="str">
        <f>IFERROR(__xludf.DUMMYFUNCTION("IF(REGEXMATCH(C80, ""r""), ""r"","""")"),"")</f>
        <v/>
      </c>
      <c r="F80" s="237" t="str">
        <f>IFERROR(__xludf.DUMMYFUNCTION("IF(REGEXMATCH(C80, ""R""), ""R"","""")"),"R")</f>
        <v>R</v>
      </c>
      <c r="G80" s="237" t="str">
        <f>IFERROR(__xludf.DUMMYFUNCTION("IF(REGEXMATCH(C80, ""g""), ""g"","""")"),"")</f>
        <v/>
      </c>
      <c r="H80" s="236" t="str">
        <f>IFERROR(__xludf.DUMMYFUNCTION("IF(REGEXMATCH(C80, ""G""), ""G"","""")"),"G")</f>
        <v>G</v>
      </c>
      <c r="I80" s="236" t="str">
        <f>IFERROR(__xludf.DUMMYFUNCTION("IF(REGEXMATCH(C80, ""m""), ""m"","""")"),"m")</f>
        <v>m</v>
      </c>
      <c r="J80" s="237" t="str">
        <f>IFERROR(__xludf.DUMMYFUNCTION("IF(REGEXMATCH(C80, ""M""), ""M"","""")"),"")</f>
        <v/>
      </c>
      <c r="K80" s="236" t="str">
        <f>IFERROR(__xludf.DUMMYFUNCTION("IF(REGEXMATCH(C80, ""P""), ""P"","""")"),"P")</f>
        <v>P</v>
      </c>
      <c r="L80" s="237" t="str">
        <f>IFERROR(__xludf.DUMMYFUNCTION("IF(REGEXMATCH(C80, ""d""), ""d"","""")"),"")</f>
        <v/>
      </c>
      <c r="M80" s="236" t="str">
        <f>IFERROR(__xludf.DUMMYFUNCTION("IF(REGEXMATCH(C80, ""D""), ""D"","""")"),"D")</f>
        <v>D</v>
      </c>
      <c r="N80" s="236" t="str">
        <f>IFERROR(__xludf.DUMMYFUNCTION("IF(REGEXMATCH(C80, ""n""), ""n"","""")"),"")</f>
        <v/>
      </c>
      <c r="O80" s="237" t="str">
        <f>IFERROR(__xludf.DUMMYFUNCTION("IF(REGEXMATCH(C80, ""N""), ""N"","""")"),"N")</f>
        <v>N</v>
      </c>
      <c r="P80" s="238" t="str">
        <f>IFERROR(__xludf.DUMMYFUNCTION("IF(REGEXMATCH(C80, ""S""), ""S"","""")"),"S")</f>
        <v>S</v>
      </c>
      <c r="Q80" s="239" t="str">
        <f>IFERROR(__xludf.DUMMYFUNCTION("SUBSTITUTE(CONCATENATE(JOIN(""-"",D80:J80)),""-"","""")"),"SRGm")</f>
        <v>SRGm</v>
      </c>
      <c r="R80" s="229" t="str">
        <f>IFERROR(__xludf.DUMMYFUNCTION("SUBSTITUTE(CONCATENATE(JOIN(""-"",K80:P80)),""-"","""")"),"PDNS")</f>
        <v>PDNS</v>
      </c>
      <c r="S80" s="282" t="str">
        <f t="shared" si="8"/>
        <v>S-R-G-M</v>
      </c>
      <c r="T80" s="282" t="str">
        <f t="shared" si="9"/>
        <v>P-D-N-S</v>
      </c>
      <c r="U80" s="237" t="str">
        <f>IFERROR(__xludf.DUMMYFUNCTION("SUBSTITUTE(JOIN(""-"",S80,T80),""--"",""-"")"),"S-R-G-M-P-D-N-S")</f>
        <v>S-R-G-M-P-D-N-S</v>
      </c>
      <c r="V80" s="309" t="str">
        <f t="shared" si="10"/>
        <v>RGmDN</v>
      </c>
      <c r="W80" s="244" t="str">
        <f>IFERROR(__xludf.DUMMYFUNCTION("IF(REGEXMATCH(C80, ""S""), ""0"","""")"),"0")</f>
        <v>0</v>
      </c>
      <c r="X80" s="245" t="str">
        <f>IFERROR(__xludf.DUMMYFUNCTION("IF(REGEXMATCH(C80, ""r""), ""1"","""")"),"")</f>
        <v/>
      </c>
      <c r="Y80" s="246" t="str">
        <f>IFERROR(__xludf.DUMMYFUNCTION("IF(REGEXMATCH(C80, ""R""), ""2"","""")"),"2")</f>
        <v>2</v>
      </c>
      <c r="Z80" s="246" t="str">
        <f>IFERROR(__xludf.DUMMYFUNCTION("IF(REGEXMATCH(C80, ""g""), ""3"","""")"),"")</f>
        <v/>
      </c>
      <c r="AA80" s="245" t="str">
        <f>IFERROR(__xludf.DUMMYFUNCTION("IF(REGEXMATCH(C80, ""G""), ""4"","""")"),"4")</f>
        <v>4</v>
      </c>
      <c r="AB80" s="245" t="str">
        <f>IFERROR(__xludf.DUMMYFUNCTION("IF(REGEXMATCH(C80, ""m""), ""5"","""")"),"5")</f>
        <v>5</v>
      </c>
      <c r="AC80" s="246" t="str">
        <f>IFERROR(__xludf.DUMMYFUNCTION("IF(REGEXMATCH(C80, ""M""), ""6"","""")"),"")</f>
        <v/>
      </c>
      <c r="AD80" s="245" t="str">
        <f>IFERROR(__xludf.DUMMYFUNCTION("IF(REGEXMATCH(C80, ""P""), ""7"","""")"),"7")</f>
        <v>7</v>
      </c>
      <c r="AE80" s="246" t="str">
        <f>IFERROR(__xludf.DUMMYFUNCTION("IF(REGEXMATCH(C80, ""d""), ""8"","""")"),"")</f>
        <v/>
      </c>
      <c r="AF80" s="245" t="str">
        <f>IFERROR(__xludf.DUMMYFUNCTION("IF(REGEXMATCH(C80, ""D""), ""9"","""")"),"9")</f>
        <v>9</v>
      </c>
      <c r="AG80" s="245" t="str">
        <f>IFERROR(__xludf.DUMMYFUNCTION("IF(REGEXMATCH(C80, ""n""), ""10"","""")"),"")</f>
        <v/>
      </c>
      <c r="AH80" s="246" t="str">
        <f>IFERROR(__xludf.DUMMYFUNCTION("IF(REGEXMATCH(C80, ""N""), ""11"","""")"),"11")</f>
        <v>11</v>
      </c>
      <c r="AI80" s="249" t="str">
        <f>IFERROR(__xludf.DUMMYFUNCTION("IF(REGEXMATCH(C80, ""S""), ""0"","""")"),"0")</f>
        <v>0</v>
      </c>
      <c r="AJ80" s="313" t="str">
        <f t="shared" si="11"/>
        <v>-</v>
      </c>
      <c r="AK80" s="313" t="str">
        <f t="shared" si="12"/>
        <v>-</v>
      </c>
      <c r="AL80" s="313" t="str">
        <f t="shared" si="13"/>
        <v>-</v>
      </c>
      <c r="AM80" s="313" t="str">
        <f t="shared" si="14"/>
        <v>-</v>
      </c>
      <c r="AN80" s="313" t="str">
        <f t="shared" si="15"/>
        <v>-</v>
      </c>
      <c r="AO80" s="314" t="str">
        <f t="shared" si="16"/>
        <v>T</v>
      </c>
      <c r="AP80" s="316">
        <f t="shared" si="17"/>
        <v>1</v>
      </c>
      <c r="AQ80" s="319" t="str">
        <f t="shared" si="18"/>
        <v>-</v>
      </c>
      <c r="AR80" s="320">
        <f t="shared" si="19"/>
        <v>0</v>
      </c>
      <c r="AS80" s="250" t="str">
        <f>IFERROR(__xludf.DUMMYFUNCTION("SUBSTITUTE(SUBSTITUTE(CONCATENATE(JOIN("""",FP80:GA80)),""|"",""x""),""-"",""o"")"),"xoxoxxoxoxox")</f>
        <v>xoxoxxoxoxox</v>
      </c>
      <c r="AT80" s="323" t="str">
        <f>IFERROR(__xludf.DUMMYFUNCTION("JOIN("""",AS80,AS80)"),"xoxoxxoxoxoxxoxoxxoxoxox")</f>
        <v>xoxoxxoxoxoxxoxoxxoxoxox</v>
      </c>
      <c r="AU80" s="256" t="str">
        <f>IFERROR(__xludf.DUMMYFUNCTION("JOIN("""",ArrayFormula(MID(AS80,LEN(AS80)-SEQUENCE(1,LEN(AS80))+1,1)))"),"xoxoxoxxoxox")</f>
        <v>xoxoxoxxoxox</v>
      </c>
      <c r="AV80" s="256" t="str">
        <f>IFERROR(__xludf.DUMMYFUNCTION("LEFT(CONCATENATE(""x"",JOIN("""",ArrayFormula(MID(AS80,LEN(AS80)-SEQUENCE(1,LEN(AS80))+1,1)))),12)"),"xxoxoxoxxoxo")</f>
        <v>xxoxoxoxxoxo</v>
      </c>
      <c r="AW80" s="327" t="str">
        <f>IFERROR(__xludf.DUMMYFUNCTION("JOIN("""",AU80,AU80)"),"xoxoxoxxoxoxxoxoxoxxoxox")</f>
        <v>xoxoxoxxoxoxxoxoxoxxoxox</v>
      </c>
      <c r="AX80" s="239" t="str">
        <f>IFERROR(__xludf.DUMMYFUNCTION("IF(REGEXMATCH(AW80,AS80),""✔"",""-"")"),"✔")</f>
        <v>✔</v>
      </c>
      <c r="AY80" s="330" t="str">
        <f t="shared" si="20"/>
        <v>-</v>
      </c>
      <c r="AZ80" s="260" t="str">
        <f t="shared" si="21"/>
        <v>#REF!</v>
      </c>
      <c r="BA80" s="333" t="str">
        <f t="shared" si="22"/>
        <v>xoxoxxo</v>
      </c>
      <c r="BB80" s="334" t="str">
        <f t="shared" si="23"/>
        <v>xoxoxx</v>
      </c>
      <c r="BC80" s="335" t="str">
        <f t="shared" si="236"/>
        <v>✔</v>
      </c>
      <c r="BD80" s="336" t="str">
        <f t="shared" si="25"/>
        <v>Chaya Malhar: 'xoxoxxo' + 'xoxoxx'</v>
      </c>
      <c r="BE80" s="337">
        <f>IFERROR(__xludf.DUMMYFUNCTION("COUNTUNIQUE(FILTER(AT:AT,REGEXMATCH(AT:AT,AS80)))-1"),6.0)</f>
        <v>6</v>
      </c>
      <c r="BF80" s="261" t="str">
        <f>IFERROR(__xludf.DUMMYFUNCTION("IF(BI80=0,""(n/a)"",IF(BJ80=2,""(PAIR)"",IF(REGEXMATCH(AT80,""xoxoxxoxoxox""),""Bilawal"",IF(REGEXMATCH(AT80,""xoxoxooxoxoo""),""Bhupali"",IF(REGEXMATCH(AT80,""xoxoxxoxxoxo""),""Charukeshi"",IF(REGEXMATCH(AT80,""xoxoooxxoxxo""),""Kameshwari"",IF(REGEXMATC"&amp;"H(AT80,""xoxoxooxoxox""),""Shankara"",IF(REGEXMATCH(AT80,""xxooxoxxxoox""),""Basant"",IF(REGEXMATCH(AT80,""xoxoxxxxoxox""),""Bihag"",IF(REGEXMATCH(AT80,""xoxxxxoxoxxx""),""Pilu"",IF(REGEXMATCH(AT80,""xoxxoxoxxoox""),""Kirwani"",IF(REGEXMATCH(AT80,""xoxxox"&amp;"oxoxxx""),""Mk.Malhar"",IF(REGEXMATCH(AT80,""xxooxxoxxoox""),""Bhairav"",IF(REGEXMATCH(AT80,""xxoxooxxxoox""),""Todi"",IF(REGEXMATCH(AT80,""xxooxoxooxox""),""Marwa"",IF(REGEXMATCH(AT80,""xxoooxoxxooo""),""Gunkali"",IF(REGEXMATCH(AT80,""xoxoxxoxxoox""),""N"&amp;"at Bhairav"",IF(REGEXMATCH(AT80,""xoxxoooxoxoo""),""Shivranjani"",IF(REGEXMATCH(AT80,""xooxxxoxooxo""),""Jog"",IF(REGEXMATCH(AT80,""xxooxoxoxoox""),""Hemshri"",IF(REGEXMATCH(AT80,""xoooxooxoxxo""),""Kalavati"",IF(REGEXMATCH(AT80,""xxoxoxxoxoox""),""Kedar"&amp;""",IF(REGEXMATCH(AT80,""xoxxxxoxooxx""),""Gara"",IF(REGEXMATCH(AT80,""xooxoxooxoox""),""Chandrakauns"",IF(REGEXMATCH(AT80,""xoxxxxoxxxox""),""Mand"",IF(REGEXMATCH(AT80,""xoxxxxoxoxox""),""Hanskinkini"",IF(REGEXMATCH(AT80,""xxooxxoxooxo""),""Lilavati"",IF("&amp;"REGEXMATCH(AT80,""xooxoxoooxox""),""Rajeshwari"",IF(REGEXMATCH(AT80,""xoooxxoxoxxx""),""Khokar"",IF(REGEXMATCH(AT80,""xxooxoxxxxox""),""Maligoura"",""-""))))))))))))))))))))))))))))))"),"Bilawal")</f>
        <v>Bilawal</v>
      </c>
      <c r="BG80" s="239" t="str">
        <f t="shared" si="26"/>
        <v>#REF!</v>
      </c>
      <c r="BH80" s="239">
        <f>IFERROR(__xludf.DUMMYFUNCTION("COUNTUNIQUE(FE80:FO80)-1"),6.0)</f>
        <v>6</v>
      </c>
      <c r="BI80" s="239">
        <f>IFERROR(__xludf.DUMMYFUNCTION("COUNTUNIQUE(FILTER(AT:AT,REGEXMATCH(AT:AT,AS80)))-1"),6.0)</f>
        <v>6</v>
      </c>
      <c r="BJ80" s="239">
        <f>IFERROR(__xludf.DUMMYFUNCTION("COUNTA(FILTER(AT:AT,REGEXMATCH(AT:AT,AS80)))"),48.0)</f>
        <v>48</v>
      </c>
      <c r="BK80" s="341">
        <f>IFERROR(__xludf.DUMMYFUNCTION("COUNTA(FILTER(AT:AT,REGEXMATCH(AT:AT,AS80)))-AR80"),48.0)</f>
        <v>48</v>
      </c>
      <c r="BL80" s="276" t="str">
        <f>IFERROR(__xludf.DUMMYFUNCTION("IF(AS80=""oooooooooooo"",""-"",IF(REGEXMATCH(AT80,""xx""), ""Hemi."", ""Anhemi.""))"),"Hemi.")</f>
        <v>Hemi.</v>
      </c>
      <c r="BM80" s="282" t="str">
        <f>IFERROR(__xludf.DUMMYFUNCTION("IF(AS80=""oooooooooooo"",""-"",IF(REGEXMATCH(AT80,""xxx""), ""Cohem."", ""-""))"),"-")</f>
        <v>-</v>
      </c>
      <c r="BN80" s="282" t="str">
        <f>IFERROR(__xludf.DUMMYFUNCTION("IF(AS80=""oooooooooooo"",""-"",IF(REGEXMATCH(AT80,""xxxx""), ""Co-Co."", ""-""))"),"-")</f>
        <v>-</v>
      </c>
      <c r="BO80" s="342" t="str">
        <f>IFERROR(__xludf.DUMMYFUNCTION("IF(AS80=""oooooooooooo"",""-"",IF(REGEXMATCH(AT80,""xxxxx""), ""CCC."", ""-""))"),"-")</f>
        <v>-</v>
      </c>
      <c r="BP80" s="344" t="str">
        <f t="shared" si="27"/>
        <v>Bilawal</v>
      </c>
      <c r="BQ80" s="282" t="str">
        <f>IFERROR(__xludf.DUMMYFUNCTION("IF(REGEXMATCH(JOIN(""-"",EU80:FD80),""TRUE""),""✔"",""-"")"),"✔")</f>
        <v>✔</v>
      </c>
      <c r="BR80" s="225">
        <f t="shared" si="28"/>
        <v>1</v>
      </c>
      <c r="BS80" s="345" t="str">
        <f>IFERROR(__xludf.DUMMYFUNCTION("SUBSTITUTE(SUBSTITUTE(SUBSTITUTE(SUBSTITUTE(CONCATENATE(JOIN(""-"",GC80:GO80)),""--"",""-""),""--"",""-""),""--"",""-""),""--"",""-"")"),"1-2-3-4-5-6-7-8")</f>
        <v>1-2-3-4-5-6-7-8</v>
      </c>
      <c r="BT80" s="299" t="str">
        <f>IFERROR(__xludf.DUMMYFUNCTION("SUBSTITUTE(SUBSTITUTE(SUBSTITUTE(SUBSTITUTE(CONCATENATE(JOIN(""-"",GP80:HB80)),""--"",""-""),""--"",""-""),""--"",""-""),""--"",""-"")"),"S-R2-G3-M1-P-D2-N3-S")</f>
        <v>S-R2-G3-M1-P-D2-N3-S</v>
      </c>
      <c r="BU80" s="348" t="str">
        <f t="shared" si="29"/>
        <v>C-D-E-F-G-A-B-C</v>
      </c>
      <c r="BV80" s="349" t="str">
        <f t="shared" si="30"/>
        <v>SrgMdnS</v>
      </c>
      <c r="BW80" s="350">
        <f t="shared" si="31"/>
        <v>1</v>
      </c>
      <c r="BX80" s="351">
        <f t="shared" si="32"/>
        <v>17</v>
      </c>
      <c r="BY80" s="392"/>
      <c r="BZ80" s="309" t="str">
        <f>IFERROR(__xludf.DUMMYFUNCTION("IF(REGEXMATCH(C80, ""S""), ""x"",""x"")"),"x")</f>
        <v>x</v>
      </c>
      <c r="CA80" s="245" t="str">
        <f>IFERROR(__xludf.DUMMYFUNCTION("IF(REGEXMATCH(C80, ""r""), ""o"",""x"")"),"x")</f>
        <v>x</v>
      </c>
      <c r="CB80" s="246" t="str">
        <f>IFERROR(__xludf.DUMMYFUNCTION("IF(REGEXMATCH(C80, ""R""), ""o"",""x"")"),"o")</f>
        <v>o</v>
      </c>
      <c r="CC80" s="246" t="str">
        <f>IFERROR(__xludf.DUMMYFUNCTION("IF(REGEXMATCH(C80, ""g""), ""o"",""x"")"),"x")</f>
        <v>x</v>
      </c>
      <c r="CD80" s="245" t="str">
        <f>IFERROR(__xludf.DUMMYFUNCTION("IF(REGEXMATCH(C80, ""G""), ""o"",""x"")"),"o")</f>
        <v>o</v>
      </c>
      <c r="CE80" s="245" t="str">
        <f>IFERROR(__xludf.DUMMYFUNCTION("IF(REGEXMATCH(C80, ""m""), ""o"",""x"")"),"o")</f>
        <v>o</v>
      </c>
      <c r="CF80" s="246" t="str">
        <f>IFERROR(__xludf.DUMMYFUNCTION("IF(REGEXMATCH(C80, ""M""), ""o"",""x"")"),"x")</f>
        <v>x</v>
      </c>
      <c r="CG80" s="245" t="str">
        <f>IFERROR(__xludf.DUMMYFUNCTION("IF(REGEXMATCH(C80, ""P""), ""o"",""x"")"),"o")</f>
        <v>o</v>
      </c>
      <c r="CH80" s="246" t="str">
        <f>IFERROR(__xludf.DUMMYFUNCTION("IF(REGEXMATCH(C80, ""d""), ""o"",""x"")"),"x")</f>
        <v>x</v>
      </c>
      <c r="CI80" s="245" t="str">
        <f>IFERROR(__xludf.DUMMYFUNCTION("IF(REGEXMATCH(C80, ""D""), ""o"",""x"")"),"o")</f>
        <v>o</v>
      </c>
      <c r="CJ80" s="245" t="str">
        <f>IFERROR(__xludf.DUMMYFUNCTION("IF(REGEXMATCH(C80, ""n""), ""o"",""x"")"),"x")</f>
        <v>x</v>
      </c>
      <c r="CK80" s="245" t="str">
        <f>IFERROR(__xludf.DUMMYFUNCTION("IF(REGEXMATCH(C80, ""N""), ""o"",""x"")"),"o")</f>
        <v>o</v>
      </c>
      <c r="CL80" s="356" t="str">
        <f>IFERROR(__xludf.DUMMYFUNCTION("IF(REGEXMATCH(C80, ""S""), ""x"",""x"")"),"x")</f>
        <v>x</v>
      </c>
      <c r="CM80" s="357" t="str">
        <f t="shared" si="33"/>
        <v>xxoxooxoxoxo</v>
      </c>
      <c r="CN80" s="358">
        <f t="shared" si="34"/>
        <v>1</v>
      </c>
      <c r="CO80" s="246" t="str">
        <f>IFERROR(__xludf.DUMMYFUNCTION("IF(REGEXMATCH($C80, ""S""), ""S"",""S"")"),"S")</f>
        <v>S</v>
      </c>
      <c r="CP80" s="246" t="str">
        <f>IFERROR(__xludf.DUMMYFUNCTION("IF(REGEXMATCH($C80, ""r""), """",""r"")"),"r")</f>
        <v>r</v>
      </c>
      <c r="CQ80" s="246" t="str">
        <f>IFERROR(__xludf.DUMMYFUNCTION("IF(REGEXMATCH($C80, ""R""), """",""R"")"),"")</f>
        <v/>
      </c>
      <c r="CR80" s="246" t="str">
        <f>IFERROR(__xludf.DUMMYFUNCTION("IF(REGEXMATCH($C80, ""g""), """",""g"")"),"g")</f>
        <v>g</v>
      </c>
      <c r="CS80" s="246" t="str">
        <f>IFERROR(__xludf.DUMMYFUNCTION("IF(REGEXMATCH($C80, ""G""), """",""G"")"),"")</f>
        <v/>
      </c>
      <c r="CT80" s="246" t="str">
        <f>IFERROR(__xludf.DUMMYFUNCTION("IF(REGEXMATCH($C80, ""m""), """",""m"")"),"")</f>
        <v/>
      </c>
      <c r="CU80" s="246" t="str">
        <f>IFERROR(__xludf.DUMMYFUNCTION("IF(REGEXMATCH($C80, ""M""), """",""M"")"),"M")</f>
        <v>M</v>
      </c>
      <c r="CV80" s="246" t="str">
        <f>IFERROR(__xludf.DUMMYFUNCTION("IF(REGEXMATCH($C80, ""P""), """",""P"")"),"")</f>
        <v/>
      </c>
      <c r="CW80" s="246" t="str">
        <f>IFERROR(__xludf.DUMMYFUNCTION("IF(REGEXMATCH($C80, ""d""), """",""d"")"),"d")</f>
        <v>d</v>
      </c>
      <c r="CX80" s="246" t="str">
        <f>IFERROR(__xludf.DUMMYFUNCTION("IF(REGEXMATCH($C80, ""D""), """",""D"")"),"")</f>
        <v/>
      </c>
      <c r="CY80" s="246" t="str">
        <f>IFERROR(__xludf.DUMMYFUNCTION("IF(REGEXMATCH($C80, ""n""), """",""n"")"),"n")</f>
        <v>n</v>
      </c>
      <c r="CZ80" s="246" t="str">
        <f>IFERROR(__xludf.DUMMYFUNCTION("IF(REGEXMATCH($C80, ""N""), """",""N"")"),"")</f>
        <v/>
      </c>
      <c r="DA80" s="246" t="str">
        <f>IFERROR(__xludf.DUMMYFUNCTION("IF(REGEXMATCH($C80, ""S""), ""S"",""S"")"),"S")</f>
        <v>S</v>
      </c>
      <c r="DB80" s="362" t="str">
        <f>IFERROR(__xludf.DUMMYFUNCTION("JOIN("""",CO80:DA80,"""","""")"),"SrgMdnS")</f>
        <v>SrgMdnS</v>
      </c>
      <c r="DC80" s="363"/>
      <c r="DD80" s="301" t="str">
        <f t="shared" si="35"/>
        <v>#REF!</v>
      </c>
      <c r="DE80" s="302" t="str">
        <f t="shared" si="36"/>
        <v>#REF!</v>
      </c>
      <c r="DF80" s="301" t="str">
        <f t="shared" ref="DF80:DG80" si="357">SUBSTITUTE(S80,"-","")</f>
        <v>SRGM</v>
      </c>
      <c r="DG80" s="301" t="str">
        <f t="shared" si="357"/>
        <v>PDNS</v>
      </c>
      <c r="DH80" s="302" t="str">
        <f t="shared" si="38"/>
        <v>Bilawal</v>
      </c>
      <c r="DI80" s="301" t="str">
        <f t="shared" si="39"/>
        <v>Hemi.</v>
      </c>
      <c r="DJ80" s="364" t="str">
        <f t="shared" si="40"/>
        <v>-</v>
      </c>
      <c r="DK80" s="306" t="str">
        <f t="shared" si="41"/>
        <v>Bilawal</v>
      </c>
      <c r="DL80" s="366" t="str">
        <f t="shared" si="42"/>
        <v>-</v>
      </c>
      <c r="DM80" s="308" t="str">
        <f t="shared" si="43"/>
        <v>-</v>
      </c>
      <c r="DN80" s="306" t="str">
        <f t="shared" si="44"/>
        <v>✔</v>
      </c>
      <c r="DO80" s="306" t="str">
        <f t="shared" si="45"/>
        <v>-</v>
      </c>
      <c r="DP80" s="367" t="str">
        <f t="shared" si="46"/>
        <v>-</v>
      </c>
      <c r="DQ80" s="310" t="str">
        <f t="shared" si="47"/>
        <v>-</v>
      </c>
      <c r="DR80" s="310" t="str">
        <f t="shared" si="48"/>
        <v>-</v>
      </c>
      <c r="DS80" s="310" t="str">
        <f t="shared" si="49"/>
        <v>-</v>
      </c>
      <c r="DT80" s="310" t="str">
        <f t="shared" si="50"/>
        <v>-</v>
      </c>
      <c r="DU80" s="370" t="str">
        <f t="shared" si="51"/>
        <v>-</v>
      </c>
      <c r="DV80" s="306" t="str">
        <f t="shared" si="52"/>
        <v>-</v>
      </c>
      <c r="DW80" s="306" t="str">
        <f t="shared" si="53"/>
        <v>-</v>
      </c>
      <c r="DX80" s="306" t="str">
        <f t="shared" si="54"/>
        <v>-</v>
      </c>
      <c r="DY80" s="306" t="str">
        <f t="shared" si="55"/>
        <v>-</v>
      </c>
      <c r="DZ80" s="306" t="str">
        <f t="shared" si="56"/>
        <v>-</v>
      </c>
      <c r="EA80" s="367" t="str">
        <f t="shared" si="57"/>
        <v>-</v>
      </c>
      <c r="EB80" s="310" t="str">
        <f>IFERROR(__xludf.DUMMYFUNCTION("IF(REGEXMATCH(AW80,AS80),""✔"",""-"")"),"✔")</f>
        <v>✔</v>
      </c>
      <c r="EC80" s="310" t="str">
        <f t="shared" si="58"/>
        <v>#REF!</v>
      </c>
      <c r="ED80" s="370" t="str">
        <f t="shared" si="59"/>
        <v>-</v>
      </c>
      <c r="EE80" s="340" t="str">
        <f t="shared" si="60"/>
        <v>S-R-G-m-P-D-N-S</v>
      </c>
      <c r="EF80" s="371" t="str">
        <f>IFERROR(__xludf.DUMMYFUNCTION("CONCATENATE(JOIN("""",HC80:HO80))"),"SrgmPdnS")</f>
        <v>SrgmPdnS</v>
      </c>
      <c r="EG80" s="372">
        <f t="shared" si="61"/>
        <v>1</v>
      </c>
      <c r="EH80" s="373" t="str">
        <f>IFERROR(__xludf.DUMMYFUNCTION("CONCATENATE(JOIN("""",JC80:JO80))"),"Ni, ")</f>
        <v>Ni, </v>
      </c>
      <c r="EI80" s="322">
        <f t="shared" si="62"/>
        <v>0</v>
      </c>
      <c r="EJ80" s="374" t="str">
        <f>IFERROR(__xludf.DUMMYFUNCTION("CONCATENATE(JOIN("""",KC80:KO80))"),"")</f>
        <v/>
      </c>
      <c r="EK80" s="325" t="str">
        <f t="shared" si="63"/>
        <v>S-R2-G3-M1-P-D2-N3-S</v>
      </c>
      <c r="EL80" s="326" t="str">
        <f t="shared" si="64"/>
        <v>1-2-3-4-5-6-7-8</v>
      </c>
      <c r="EM80" s="318" t="str">
        <f t="shared" si="65"/>
        <v>#REF!</v>
      </c>
      <c r="EN80" s="328" t="str">
        <f>IFERROR(__xludf.DUMMYFUNCTION("SUBSTITUTE(SUBSTITUTE(SUBSTITUTE(SUBSTITUTE(CONCATENATE(JOIN("" "",HP80:IB80)),""  "","" ""),""  "","" ""),""  "","" ""),""  "","" "")"),"o • o • o o • o • o • o o")</f>
        <v>o • o • o o • o • o • o o</v>
      </c>
      <c r="EO80" s="368" t="str">
        <f t="shared" si="66"/>
        <v>-</v>
      </c>
      <c r="EP80" s="339" t="str">
        <f t="shared" si="67"/>
        <v>-</v>
      </c>
      <c r="EQ80" s="339" t="str">
        <f t="shared" si="68"/>
        <v>Sa-Pa</v>
      </c>
      <c r="ER80" s="339" t="str">
        <f t="shared" si="69"/>
        <v>-</v>
      </c>
      <c r="ES80" s="340" t="str">
        <f t="shared" si="70"/>
        <v>-</v>
      </c>
      <c r="ET80" s="363"/>
      <c r="EU80" s="376" t="b">
        <f>IFERROR(__xludf.DUMMYFUNCTION("arrayformula(sum(--REGEXMATCH(""SRGMPDNS"",split(REGEXREPLACE(C80,""(.)"",""$1~""),""~""))))=len(C80)
"),FALSE)</f>
        <v>0</v>
      </c>
      <c r="EV80" s="290" t="b">
        <f>IFERROR(__xludf.DUMMYFUNCTION("arrayformula(sum(--REGEXMATCH(""SRGmPDNS"",split(REGEXREPLACE(C80,""(.)"",""$1~""),""~""))))=len(C80)"),TRUE)</f>
        <v>1</v>
      </c>
      <c r="EW80" s="290" t="b">
        <f>IFERROR(__xludf.DUMMYFUNCTION("arrayformula(sum(--REGEXMATCH(""SRGmPDnS"",split(REGEXREPLACE(C80,""(.)"",""$1~""),""~""))))=len(C80)"),FALSE)</f>
        <v>0</v>
      </c>
      <c r="EX80" s="290" t="b">
        <f>IFERROR(__xludf.DUMMYFUNCTION("arrayformula(sum(--REGEXMATCH(""SRgmPDnS"",split(REGEXREPLACE(C80,""(.)"",""$1~""),""~""))))=len(C80)"),FALSE)</f>
        <v>0</v>
      </c>
      <c r="EY80" s="290" t="b">
        <f>IFERROR(__xludf.DUMMYFUNCTION("arrayformula(sum(--REGEXMATCH(""SRgmPdnS"",split(REGEXREPLACE(C80,""(.)"",""$1~""),""~""))))=len(C80)"),FALSE)</f>
        <v>0</v>
      </c>
      <c r="EZ80" s="290" t="b">
        <f>IFERROR(__xludf.DUMMYFUNCTION("arrayformula(sum(--REGEXMATCH(""SrgmPdnS"",split(REGEXREPLACE(C80,""(.)"",""$1~""),""~""))))=len(C80)"),FALSE)</f>
        <v>0</v>
      </c>
      <c r="FA80" s="290" t="b">
        <f>IFERROR(__xludf.DUMMYFUNCTION("arrayformula(sum(--REGEXMATCH(""SrGmPdNS"",split(REGEXREPLACE(C80,""(.)"",""$1~""),""~""))))=len(C80)"),FALSE)</f>
        <v>0</v>
      </c>
      <c r="FB80" s="290" t="b">
        <f>IFERROR(__xludf.DUMMYFUNCTION("arrayformula(sum(--REGEXMATCH(""SrGMPDNS"",split(REGEXREPLACE(C80,""(.)"",""$1~""),""~""))))=len(C80)"),FALSE)</f>
        <v>0</v>
      </c>
      <c r="FC80" s="290" t="b">
        <f>IFERROR(__xludf.DUMMYFUNCTION("arrayformula(sum(--REGEXMATCH(""SrGMPdNS"",split(REGEXREPLACE(C80,""(.)"",""$1~""),""~""))))=len(C80)"),FALSE)</f>
        <v>0</v>
      </c>
      <c r="FD80" s="377" t="b">
        <f>IFERROR(__xludf.DUMMYFUNCTION("arrayformula(sum(--REGEXMATCH(""SrgMPdNS"",split(REGEXREPLACE(C80,""(.)"",""$1~""),""~""))))=len(C80)"),FALSE)</f>
        <v>0</v>
      </c>
      <c r="FE80" s="269" t="str">
        <f t="shared" si="71"/>
        <v>-</v>
      </c>
      <c r="FF80" s="269" t="str">
        <f t="shared" si="72"/>
        <v>xoxxoxoxoxx</v>
      </c>
      <c r="FG80" s="271" t="str">
        <f t="shared" si="73"/>
        <v>-</v>
      </c>
      <c r="FH80" s="269" t="str">
        <f t="shared" si="74"/>
        <v>xxoxoxoxxox</v>
      </c>
      <c r="FI80" s="271" t="str">
        <f t="shared" si="75"/>
        <v>xoxoxoxxoxo</v>
      </c>
      <c r="FJ80" s="271" t="str">
        <f t="shared" si="76"/>
        <v>-</v>
      </c>
      <c r="FK80" s="271" t="str">
        <f t="shared" si="77"/>
        <v>xoxoxxoxoxx</v>
      </c>
      <c r="FL80" s="271" t="str">
        <f t="shared" si="78"/>
        <v>-</v>
      </c>
      <c r="FM80" s="271" t="str">
        <f t="shared" si="79"/>
        <v>xoxxoxoxxox</v>
      </c>
      <c r="FN80" s="271" t="str">
        <f t="shared" si="80"/>
        <v>-</v>
      </c>
      <c r="FO80" s="274" t="str">
        <f t="shared" si="81"/>
        <v>xxoxoxxoxox</v>
      </c>
      <c r="FP80" s="234" t="str">
        <f t="shared" si="82"/>
        <v>|</v>
      </c>
      <c r="FQ80" s="236" t="str">
        <f t="shared" si="83"/>
        <v>-</v>
      </c>
      <c r="FR80" s="237" t="str">
        <f t="shared" si="84"/>
        <v>|</v>
      </c>
      <c r="FS80" s="236" t="str">
        <f t="shared" si="85"/>
        <v>-</v>
      </c>
      <c r="FT80" s="237" t="str">
        <f t="shared" si="86"/>
        <v>|</v>
      </c>
      <c r="FU80" s="236" t="str">
        <f t="shared" si="87"/>
        <v>|</v>
      </c>
      <c r="FV80" s="237" t="str">
        <f t="shared" si="88"/>
        <v>-</v>
      </c>
      <c r="FW80" s="236" t="str">
        <f t="shared" si="89"/>
        <v>|</v>
      </c>
      <c r="FX80" s="237" t="str">
        <f t="shared" si="90"/>
        <v>-</v>
      </c>
      <c r="FY80" s="236" t="str">
        <f t="shared" si="91"/>
        <v>|</v>
      </c>
      <c r="FZ80" s="237" t="str">
        <f t="shared" si="92"/>
        <v>-</v>
      </c>
      <c r="GA80" s="236" t="str">
        <f t="shared" si="93"/>
        <v>|</v>
      </c>
      <c r="GB80" s="238" t="str">
        <f t="shared" si="94"/>
        <v>|</v>
      </c>
      <c r="GC80" s="244" t="str">
        <f>IFERROR(__xludf.DUMMYFUNCTION("IF(REGEXMATCH(C80, ""S""), ""1"","""")"),"1")</f>
        <v>1</v>
      </c>
      <c r="GD80" s="245" t="str">
        <f>IFERROR(__xludf.DUMMYFUNCTION("IF(REGEXMATCH(C80, ""r""), ""b2"","""")"),"")</f>
        <v/>
      </c>
      <c r="GE80" s="246" t="str">
        <f>IFERROR(__xludf.DUMMYFUNCTION("IF(REGEXMATCH(C80, ""R""), ""2"","""")"),"2")</f>
        <v>2</v>
      </c>
      <c r="GF80" s="246" t="str">
        <f>IFERROR(__xludf.DUMMYFUNCTION("IF(REGEXMATCH(C80, ""g""), ""b3"","""")"),"")</f>
        <v/>
      </c>
      <c r="GG80" s="245" t="str">
        <f>IFERROR(__xludf.DUMMYFUNCTION("IF(REGEXMATCH(C80, ""G""), ""3"","""")"),"3")</f>
        <v>3</v>
      </c>
      <c r="GH80" s="245" t="str">
        <f>IFERROR(__xludf.DUMMYFUNCTION("IF(REGEXMATCH(C80, ""m""), ""4"","""")"),"4")</f>
        <v>4</v>
      </c>
      <c r="GI80" s="246" t="str">
        <f>IFERROR(__xludf.DUMMYFUNCTION("IF(REGEXMATCH(C80, ""M""), ""#4"","""")"),"")</f>
        <v/>
      </c>
      <c r="GJ80" s="245" t="str">
        <f>IFERROR(__xludf.DUMMYFUNCTION("IF(REGEXMATCH(C80, ""P""), ""5"","""")"),"5")</f>
        <v>5</v>
      </c>
      <c r="GK80" s="246" t="str">
        <f>IFERROR(__xludf.DUMMYFUNCTION("IF(REGEXMATCH(C80, ""d""), ""b6"","""")"),"")</f>
        <v/>
      </c>
      <c r="GL80" s="245" t="str">
        <f>IFERROR(__xludf.DUMMYFUNCTION("IF(REGEXMATCH(C80, ""D""), ""6"","""")"),"6")</f>
        <v>6</v>
      </c>
      <c r="GM80" s="245" t="str">
        <f>IFERROR(__xludf.DUMMYFUNCTION("IF(REGEXMATCH(C80, ""n""), ""b7"","""")"),"")</f>
        <v/>
      </c>
      <c r="GN80" s="246" t="str">
        <f>IFERROR(__xludf.DUMMYFUNCTION("IF(REGEXMATCH(C80, ""N""), ""7"","""")"),"7")</f>
        <v>7</v>
      </c>
      <c r="GO80" s="249" t="str">
        <f>IFERROR(__xludf.DUMMYFUNCTION("IF(REGEXMATCH(C80, ""S""), ""8"","""")"),"8")</f>
        <v>8</v>
      </c>
      <c r="GP80" s="244" t="str">
        <f>IFERROR(__xludf.DUMMYFUNCTION("IF(REGEXMATCH(C80, ""S""), ""S"","""")"),"S")</f>
        <v>S</v>
      </c>
      <c r="GQ80" s="294" t="str">
        <f>IFERROR(__xludf.DUMMYFUNCTION("IF(REGEXMATCH(C80, ""r""), ""R1"","""")"),"")</f>
        <v/>
      </c>
      <c r="GR80" s="295" t="str">
        <f>IFERROR(__xludf.DUMMYFUNCTION("IF(REGEXMATCH(C80, ""R""), ""R2"","""")"),"R2")</f>
        <v>R2</v>
      </c>
      <c r="GS80" s="295" t="str">
        <f>IFERROR(__xludf.DUMMYFUNCTION("IF(REGEXMATCH(C80, ""g""), ""G2"","""")"),"")</f>
        <v/>
      </c>
      <c r="GT80" s="294" t="str">
        <f>IFERROR(__xludf.DUMMYFUNCTION("IF(REGEXMATCH(C80, ""G""), ""G3"","""")"),"G3")</f>
        <v>G3</v>
      </c>
      <c r="GU80" s="294" t="str">
        <f>IFERROR(__xludf.DUMMYFUNCTION("IF(REGEXMATCH(C80, ""m""), ""M1"","""")"),"M1")</f>
        <v>M1</v>
      </c>
      <c r="GV80" s="295" t="str">
        <f>IFERROR(__xludf.DUMMYFUNCTION("IF(REGEXMATCH(C80, ""M""), ""M2"","""")"),"")</f>
        <v/>
      </c>
      <c r="GW80" s="294" t="str">
        <f>IFERROR(__xludf.DUMMYFUNCTION("IF(REGEXMATCH(C80, ""P""), ""P"","""")"),"P")</f>
        <v>P</v>
      </c>
      <c r="GX80" s="295" t="str">
        <f>IFERROR(__xludf.DUMMYFUNCTION("IF(REGEXMATCH(C80, ""d""), ""D1"","""")"),"")</f>
        <v/>
      </c>
      <c r="GY80" s="294" t="str">
        <f>IFERROR(__xludf.DUMMYFUNCTION("IF(REGEXMATCH(C80, ""D""), ""D2"","""")"),"D2")</f>
        <v>D2</v>
      </c>
      <c r="GZ80" s="294" t="str">
        <f>IFERROR(__xludf.DUMMYFUNCTION("IF(REGEXMATCH(C80, ""n""), ""N2"","""")"),"")</f>
        <v/>
      </c>
      <c r="HA80" s="295" t="str">
        <f>IFERROR(__xludf.DUMMYFUNCTION("IF(REGEXMATCH(C80, ""N""), ""N3"","""")"),"N3")</f>
        <v>N3</v>
      </c>
      <c r="HB80" s="249" t="str">
        <f>IFERROR(__xludf.DUMMYFUNCTION("IF(REGEXMATCH(C80, ""S""), ""S"","""")"),"S")</f>
        <v>S</v>
      </c>
      <c r="HC80" s="331" t="str">
        <f t="shared" si="95"/>
        <v>S</v>
      </c>
      <c r="HD80" s="332" t="str">
        <f t="shared" si="96"/>
        <v>r</v>
      </c>
      <c r="HE80" s="332" t="str">
        <f t="shared" si="97"/>
        <v/>
      </c>
      <c r="HF80" s="332" t="str">
        <f t="shared" si="98"/>
        <v>g</v>
      </c>
      <c r="HG80" s="332" t="str">
        <f t="shared" si="99"/>
        <v/>
      </c>
      <c r="HH80" s="332" t="str">
        <f t="shared" si="100"/>
        <v>m</v>
      </c>
      <c r="HI80" s="332" t="str">
        <f t="shared" si="101"/>
        <v/>
      </c>
      <c r="HJ80" s="332" t="str">
        <f t="shared" si="102"/>
        <v>P</v>
      </c>
      <c r="HK80" s="332" t="str">
        <f t="shared" si="103"/>
        <v>d</v>
      </c>
      <c r="HL80" s="332" t="str">
        <f t="shared" si="104"/>
        <v/>
      </c>
      <c r="HM80" s="332" t="str">
        <f t="shared" si="105"/>
        <v>n</v>
      </c>
      <c r="HN80" s="332" t="str">
        <f t="shared" si="106"/>
        <v/>
      </c>
      <c r="HO80" s="343" t="str">
        <f t="shared" si="107"/>
        <v>S</v>
      </c>
      <c r="HP80" s="331" t="str">
        <f t="shared" si="108"/>
        <v>o</v>
      </c>
      <c r="HQ80" s="332" t="str">
        <f t="shared" si="109"/>
        <v>•</v>
      </c>
      <c r="HR80" s="332" t="str">
        <f t="shared" si="110"/>
        <v>o</v>
      </c>
      <c r="HS80" s="332" t="str">
        <f t="shared" si="111"/>
        <v>•</v>
      </c>
      <c r="HT80" s="332" t="str">
        <f t="shared" si="112"/>
        <v>o</v>
      </c>
      <c r="HU80" s="332" t="str">
        <f t="shared" si="113"/>
        <v>o</v>
      </c>
      <c r="HV80" s="332" t="str">
        <f t="shared" si="114"/>
        <v>•</v>
      </c>
      <c r="HW80" s="332" t="str">
        <f t="shared" si="115"/>
        <v>o</v>
      </c>
      <c r="HX80" s="332" t="str">
        <f t="shared" si="116"/>
        <v>•</v>
      </c>
      <c r="HY80" s="332" t="str">
        <f t="shared" si="117"/>
        <v>o</v>
      </c>
      <c r="HZ80" s="332" t="str">
        <f t="shared" si="118"/>
        <v>•</v>
      </c>
      <c r="IA80" s="332" t="str">
        <f t="shared" si="119"/>
        <v>o</v>
      </c>
      <c r="IB80" s="338" t="str">
        <f t="shared" si="120"/>
        <v>o</v>
      </c>
      <c r="IC80" s="331" t="str">
        <f t="shared" si="121"/>
        <v>•</v>
      </c>
      <c r="ID80" s="332" t="str">
        <f t="shared" si="122"/>
        <v>o</v>
      </c>
      <c r="IE80" s="332" t="str">
        <f t="shared" si="123"/>
        <v>•</v>
      </c>
      <c r="IF80" s="332" t="str">
        <f t="shared" si="124"/>
        <v>o</v>
      </c>
      <c r="IG80" s="332" t="str">
        <f t="shared" si="125"/>
        <v>•</v>
      </c>
      <c r="IH80" s="332" t="str">
        <f t="shared" si="126"/>
        <v>•</v>
      </c>
      <c r="II80" s="332" t="str">
        <f t="shared" si="127"/>
        <v>o</v>
      </c>
      <c r="IJ80" s="332" t="str">
        <f t="shared" si="128"/>
        <v>•</v>
      </c>
      <c r="IK80" s="332" t="str">
        <f t="shared" si="129"/>
        <v>o</v>
      </c>
      <c r="IL80" s="332" t="str">
        <f t="shared" si="130"/>
        <v>•</v>
      </c>
      <c r="IM80" s="332" t="str">
        <f t="shared" si="131"/>
        <v>o</v>
      </c>
      <c r="IN80" s="332" t="str">
        <f t="shared" si="132"/>
        <v>•</v>
      </c>
      <c r="IO80" s="338" t="str">
        <f t="shared" si="133"/>
        <v>•</v>
      </c>
      <c r="IP80" s="346" t="b">
        <f t="shared" si="134"/>
        <v>0</v>
      </c>
      <c r="IQ80" s="347" t="b">
        <f t="shared" si="135"/>
        <v>0</v>
      </c>
      <c r="IR80" s="347" t="b">
        <f t="shared" si="136"/>
        <v>0</v>
      </c>
      <c r="IS80" s="347" t="b">
        <f t="shared" si="137"/>
        <v>0</v>
      </c>
      <c r="IT80" s="347" t="b">
        <f t="shared" si="138"/>
        <v>0</v>
      </c>
      <c r="IU80" s="347" t="b">
        <f t="shared" si="139"/>
        <v>0</v>
      </c>
      <c r="IV80" s="347" t="b">
        <f t="shared" si="140"/>
        <v>0</v>
      </c>
      <c r="IW80" s="347" t="b">
        <f t="shared" si="141"/>
        <v>0</v>
      </c>
      <c r="IX80" s="347" t="b">
        <f t="shared" si="142"/>
        <v>0</v>
      </c>
      <c r="IY80" s="347" t="b">
        <f t="shared" si="143"/>
        <v>0</v>
      </c>
      <c r="IZ80" s="347" t="b">
        <f t="shared" si="144"/>
        <v>0</v>
      </c>
      <c r="JA80" s="347" t="b">
        <f t="shared" si="145"/>
        <v>1</v>
      </c>
      <c r="JB80" s="353" t="b">
        <f t="shared" si="146"/>
        <v>0</v>
      </c>
      <c r="JC80" s="354" t="str">
        <f t="shared" si="147"/>
        <v/>
      </c>
      <c r="JD80" s="355" t="str">
        <f t="shared" si="148"/>
        <v/>
      </c>
      <c r="JE80" s="355" t="str">
        <f t="shared" si="149"/>
        <v/>
      </c>
      <c r="JF80" s="355" t="str">
        <f t="shared" si="150"/>
        <v/>
      </c>
      <c r="JG80" s="355" t="str">
        <f t="shared" si="151"/>
        <v/>
      </c>
      <c r="JH80" s="355" t="str">
        <f t="shared" si="152"/>
        <v/>
      </c>
      <c r="JI80" s="355" t="str">
        <f t="shared" si="153"/>
        <v/>
      </c>
      <c r="JJ80" s="355" t="str">
        <f t="shared" si="154"/>
        <v/>
      </c>
      <c r="JK80" s="355" t="str">
        <f t="shared" si="155"/>
        <v/>
      </c>
      <c r="JL80" s="355" t="str">
        <f t="shared" si="156"/>
        <v/>
      </c>
      <c r="JM80" s="355" t="str">
        <f t="shared" si="157"/>
        <v/>
      </c>
      <c r="JN80" s="355" t="str">
        <f t="shared" si="158"/>
        <v>Ni, </v>
      </c>
      <c r="JO80" s="359" t="str">
        <f t="shared" si="159"/>
        <v/>
      </c>
      <c r="JP80" s="346" t="b">
        <f t="shared" si="160"/>
        <v>0</v>
      </c>
      <c r="JQ80" s="347" t="b">
        <f t="shared" si="161"/>
        <v>0</v>
      </c>
      <c r="JR80" s="347" t="b">
        <f t="shared" si="162"/>
        <v>0</v>
      </c>
      <c r="JS80" s="347" t="b">
        <f t="shared" si="163"/>
        <v>0</v>
      </c>
      <c r="JT80" s="347" t="b">
        <f t="shared" si="164"/>
        <v>0</v>
      </c>
      <c r="JU80" s="347" t="b">
        <f t="shared" si="165"/>
        <v>0</v>
      </c>
      <c r="JV80" s="347" t="b">
        <f t="shared" si="166"/>
        <v>0</v>
      </c>
      <c r="JW80" s="347" t="b">
        <f t="shared" si="167"/>
        <v>0</v>
      </c>
      <c r="JX80" s="347" t="b">
        <f t="shared" si="168"/>
        <v>0</v>
      </c>
      <c r="JY80" s="347" t="b">
        <f t="shared" si="169"/>
        <v>0</v>
      </c>
      <c r="JZ80" s="347" t="b">
        <f t="shared" si="170"/>
        <v>0</v>
      </c>
      <c r="KA80" s="347" t="b">
        <f t="shared" si="171"/>
        <v>0</v>
      </c>
      <c r="KB80" s="365" t="b">
        <f t="shared" si="172"/>
        <v>0</v>
      </c>
      <c r="KC80" s="354" t="str">
        <f t="shared" si="173"/>
        <v/>
      </c>
      <c r="KD80" s="355" t="str">
        <f t="shared" si="174"/>
        <v/>
      </c>
      <c r="KE80" s="355" t="str">
        <f t="shared" si="175"/>
        <v/>
      </c>
      <c r="KF80" s="355" t="str">
        <f t="shared" si="176"/>
        <v/>
      </c>
      <c r="KG80" s="355" t="str">
        <f t="shared" si="177"/>
        <v/>
      </c>
      <c r="KH80" s="355" t="str">
        <f t="shared" si="178"/>
        <v/>
      </c>
      <c r="KI80" s="355" t="str">
        <f t="shared" si="179"/>
        <v/>
      </c>
      <c r="KJ80" s="355" t="str">
        <f t="shared" si="180"/>
        <v/>
      </c>
      <c r="KK80" s="355" t="str">
        <f t="shared" si="181"/>
        <v/>
      </c>
      <c r="KL80" s="355" t="str">
        <f t="shared" si="182"/>
        <v/>
      </c>
      <c r="KM80" s="355" t="str">
        <f t="shared" si="183"/>
        <v/>
      </c>
      <c r="KN80" s="355" t="str">
        <f t="shared" si="184"/>
        <v/>
      </c>
      <c r="KO80" s="359"/>
      <c r="KP80" s="378"/>
      <c r="KQ80" s="379" t="s">
        <v>9</v>
      </c>
      <c r="KR80" s="380" t="s">
        <v>1256</v>
      </c>
      <c r="KS80" s="381" t="s">
        <v>9</v>
      </c>
      <c r="KT80" s="382">
        <f t="shared" si="186"/>
        <v>0</v>
      </c>
      <c r="KU80" s="383">
        <f t="shared" si="187"/>
        <v>0</v>
      </c>
      <c r="KV80" s="381" t="str">
        <f t="shared" si="205"/>
        <v>S-n-D-P-m-G-R-S</v>
      </c>
      <c r="KW80" s="382">
        <f t="shared" si="189"/>
        <v>7</v>
      </c>
      <c r="KX80" s="384">
        <f t="shared" si="190"/>
        <v>7</v>
      </c>
      <c r="KY80" s="382">
        <f t="shared" ref="KY80:KZ80" si="358">KW80-KT80</f>
        <v>7</v>
      </c>
      <c r="KZ80" s="369">
        <f t="shared" si="358"/>
        <v>7</v>
      </c>
      <c r="LA80" s="385" t="str">
        <f t="shared" si="192"/>
        <v>-</v>
      </c>
      <c r="LB80" s="340" t="str">
        <f>IFERROR(__xludf.DUMMYFUNCTION("JOIN("""",ArrayFormula(MID(KS80,LEN(KS80)-SEQUENCE(1,LEN(KS80))+1,1)))"),"S")</f>
        <v>S</v>
      </c>
      <c r="LC80" s="373" t="str">
        <f>IFERROR(__xludf.DUMMYFUNCTION("JOIN("""",ArrayFormula(MID(KV80,LEN(KV80)-SEQUENCE(1,LEN(KV80))+1,1)))"),"S-R-G-m-P-D-n-S")</f>
        <v>S-R-G-m-P-D-n-S</v>
      </c>
      <c r="LD80" s="373" t="str">
        <f t="shared" si="193"/>
        <v>S</v>
      </c>
      <c r="LE80" s="339" t="str">
        <f t="shared" si="194"/>
        <v>SRGmPDnS</v>
      </c>
      <c r="LF80" s="386" t="str">
        <f>IFERROR(__xludf.DUMMYFUNCTION("SUBSTITUTE(SUBSTITUTE(CONCATENATE(JOIN("""",LH80:LT80)),""1"",""""),""2"","""")"),"SRGmPDnS")</f>
        <v>SRGmPDnS</v>
      </c>
      <c r="LG80" s="369" t="str">
        <f t="shared" si="195"/>
        <v>✔</v>
      </c>
      <c r="LH80" s="387" t="str">
        <f>IFERROR(__xludf.DUMMYFUNCTION("IF(REGEXMATCH(LD80, ""S""), ""S"",IF(REGEXMATCH(LE80, ""S""), ""S"",""""))"),"S")</f>
        <v>S</v>
      </c>
      <c r="LI80" s="299" t="str">
        <f>IFERROR(__xludf.DUMMYFUNCTION("IF(REGEXMATCH(LD80, ""r""), ""r1"",IF(REGEXMATCH(LE80, ""r""), ""r2"",""""))"),"")</f>
        <v/>
      </c>
      <c r="LJ80" s="299" t="str">
        <f>IFERROR(__xludf.DUMMYFUNCTION("IF(REGEXMATCH(LD80, ""R""), ""R1"",IF(REGEXMATCH(LE80, ""R""), ""R2"",""""))"),"R2")</f>
        <v>R2</v>
      </c>
      <c r="LK80" s="299" t="str">
        <f>IFERROR(__xludf.DUMMYFUNCTION("IF(REGEXMATCH(LD80, ""g""), ""g1"",IF(REGEXMATCH(LE80, ""g""), ""g2"",""""))"),"")</f>
        <v/>
      </c>
      <c r="LL80" s="299" t="str">
        <f>IFERROR(__xludf.DUMMYFUNCTION("IF(REGEXMATCH(LD80, ""G""), ""G1"",IF(REGEXMATCH(LE80, ""G""), ""G2"",""""))"),"G2")</f>
        <v>G2</v>
      </c>
      <c r="LM80" s="299" t="str">
        <f>IFERROR(__xludf.DUMMYFUNCTION("IF(REGEXMATCH(LD80, ""m""), ""m1"",IF(REGEXMATCH(LE80, ""m""), ""m2"",""""))"),"m2")</f>
        <v>m2</v>
      </c>
      <c r="LN80" s="299" t="str">
        <f>IFERROR(__xludf.DUMMYFUNCTION("IF(REGEXMATCH(LD80, ""M""), ""M1"",IF(REGEXMATCH(LE80, ""M""), ""M2"",""""))"),"")</f>
        <v/>
      </c>
      <c r="LO80" s="299" t="str">
        <f>IFERROR(__xludf.DUMMYFUNCTION("IF(REGEXMATCH(LD80, ""P""), ""P1"",IF(REGEXMATCH(LE80, ""P""), ""P2"",""""))"),"P2")</f>
        <v>P2</v>
      </c>
      <c r="LP80" s="299" t="str">
        <f>IFERROR(__xludf.DUMMYFUNCTION("IF(REGEXMATCH(LD80, ""d""), ""d1"",IF(REGEXMATCH(LE80, ""d""), ""d2"",""""))"),"")</f>
        <v/>
      </c>
      <c r="LQ80" s="299" t="str">
        <f>IFERROR(__xludf.DUMMYFUNCTION("IF(REGEXMATCH(LD80, ""D""), ""D1"",IF(REGEXMATCH(LE80, ""D""), ""D2"",""""))"),"D2")</f>
        <v>D2</v>
      </c>
      <c r="LR80" s="299" t="str">
        <f>IFERROR(__xludf.DUMMYFUNCTION("IF(REGEXMATCH(LD80, ""n""), ""n1"",IF(REGEXMATCH(LE80, ""n""), ""n2"",""""))"),"n2")</f>
        <v>n2</v>
      </c>
      <c r="LS80" s="299" t="str">
        <f>IFERROR(__xludf.DUMMYFUNCTION("IF(REGEXMATCH(LD80, ""N""), ""N1"",IF(REGEXMATCH(LE80, ""N""), ""N2"",""""))"),"")</f>
        <v/>
      </c>
      <c r="LT80" s="388" t="str">
        <f>IFERROR(__xludf.DUMMYFUNCTION("IF(REGEXMATCH(LD80, ""S""), ""S"",IF(REGEXMATCH(LE80, ""S""), ""S"",""""))"),"S")</f>
        <v>S</v>
      </c>
      <c r="LU80" s="389">
        <f t="shared" si="196"/>
        <v>-13</v>
      </c>
      <c r="LV80" s="378"/>
      <c r="LW80" s="369"/>
      <c r="LX80" s="369"/>
    </row>
    <row r="81" ht="18.0" customHeight="1">
      <c r="A81" s="298" t="s">
        <v>662</v>
      </c>
      <c r="B81" s="222" t="s">
        <v>632</v>
      </c>
      <c r="C81" s="233" t="str">
        <f t="shared" si="7"/>
        <v>SRGmMPDNS</v>
      </c>
      <c r="D81" s="234" t="str">
        <f>IFERROR(__xludf.DUMMYFUNCTION("IF(REGEXMATCH(C81, ""S""), ""S"","""")"),"S")</f>
        <v>S</v>
      </c>
      <c r="E81" s="236" t="str">
        <f>IFERROR(__xludf.DUMMYFUNCTION("IF(REGEXMATCH(C81, ""r""), ""r"","""")"),"")</f>
        <v/>
      </c>
      <c r="F81" s="237" t="str">
        <f>IFERROR(__xludf.DUMMYFUNCTION("IF(REGEXMATCH(C81, ""R""), ""R"","""")"),"R")</f>
        <v>R</v>
      </c>
      <c r="G81" s="237" t="str">
        <f>IFERROR(__xludf.DUMMYFUNCTION("IF(REGEXMATCH(C81, ""g""), ""g"","""")"),"")</f>
        <v/>
      </c>
      <c r="H81" s="236" t="str">
        <f>IFERROR(__xludf.DUMMYFUNCTION("IF(REGEXMATCH(C81, ""G""), ""G"","""")"),"G")</f>
        <v>G</v>
      </c>
      <c r="I81" s="236" t="str">
        <f>IFERROR(__xludf.DUMMYFUNCTION("IF(REGEXMATCH(C81, ""m""), ""m"","""")"),"m")</f>
        <v>m</v>
      </c>
      <c r="J81" s="237" t="str">
        <f>IFERROR(__xludf.DUMMYFUNCTION("IF(REGEXMATCH(C81, ""M""), ""M"","""")"),"M")</f>
        <v>M</v>
      </c>
      <c r="K81" s="236" t="str">
        <f>IFERROR(__xludf.DUMMYFUNCTION("IF(REGEXMATCH(C81, ""P""), ""P"","""")"),"P")</f>
        <v>P</v>
      </c>
      <c r="L81" s="237" t="str">
        <f>IFERROR(__xludf.DUMMYFUNCTION("IF(REGEXMATCH(C81, ""d""), ""d"","""")"),"")</f>
        <v/>
      </c>
      <c r="M81" s="236" t="str">
        <f>IFERROR(__xludf.DUMMYFUNCTION("IF(REGEXMATCH(C81, ""D""), ""D"","""")"),"D")</f>
        <v>D</v>
      </c>
      <c r="N81" s="236" t="str">
        <f>IFERROR(__xludf.DUMMYFUNCTION("IF(REGEXMATCH(C81, ""n""), ""n"","""")"),"")</f>
        <v/>
      </c>
      <c r="O81" s="237" t="str">
        <f>IFERROR(__xludf.DUMMYFUNCTION("IF(REGEXMATCH(C81, ""N""), ""N"","""")"),"N")</f>
        <v>N</v>
      </c>
      <c r="P81" s="238" t="str">
        <f>IFERROR(__xludf.DUMMYFUNCTION("IF(REGEXMATCH(C81, ""S""), ""S"","""")"),"S")</f>
        <v>S</v>
      </c>
      <c r="Q81" s="239" t="str">
        <f>IFERROR(__xludf.DUMMYFUNCTION("SUBSTITUTE(CONCATENATE(JOIN(""-"",D81:J81)),""-"","""")"),"SRGmM")</f>
        <v>SRGmM</v>
      </c>
      <c r="R81" s="229" t="str">
        <f>IFERROR(__xludf.DUMMYFUNCTION("SUBSTITUTE(CONCATENATE(JOIN(""-"",K81:P81)),""-"","""")"),"PDNS")</f>
        <v>PDNS</v>
      </c>
      <c r="S81" s="282" t="str">
        <f t="shared" si="8"/>
        <v>S-R-G-M</v>
      </c>
      <c r="T81" s="282" t="str">
        <f t="shared" si="9"/>
        <v>P-D-N-S</v>
      </c>
      <c r="U81" s="237" t="str">
        <f>IFERROR(__xludf.DUMMYFUNCTION("SUBSTITUTE(JOIN(""-"",S81,T81),""--"",""-"")"),"S-R-G-M-P-D-N-S")</f>
        <v>S-R-G-M-P-D-N-S</v>
      </c>
      <c r="V81" s="309" t="str">
        <f t="shared" si="10"/>
        <v>RGmMDN</v>
      </c>
      <c r="W81" s="244" t="str">
        <f>IFERROR(__xludf.DUMMYFUNCTION("IF(REGEXMATCH(C81, ""S""), ""0"","""")"),"0")</f>
        <v>0</v>
      </c>
      <c r="X81" s="245" t="str">
        <f>IFERROR(__xludf.DUMMYFUNCTION("IF(REGEXMATCH(C81, ""r""), ""1"","""")"),"")</f>
        <v/>
      </c>
      <c r="Y81" s="246" t="str">
        <f>IFERROR(__xludf.DUMMYFUNCTION("IF(REGEXMATCH(C81, ""R""), ""2"","""")"),"2")</f>
        <v>2</v>
      </c>
      <c r="Z81" s="246" t="str">
        <f>IFERROR(__xludf.DUMMYFUNCTION("IF(REGEXMATCH(C81, ""g""), ""3"","""")"),"")</f>
        <v/>
      </c>
      <c r="AA81" s="245" t="str">
        <f>IFERROR(__xludf.DUMMYFUNCTION("IF(REGEXMATCH(C81, ""G""), ""4"","""")"),"4")</f>
        <v>4</v>
      </c>
      <c r="AB81" s="245" t="str">
        <f>IFERROR(__xludf.DUMMYFUNCTION("IF(REGEXMATCH(C81, ""m""), ""5"","""")"),"5")</f>
        <v>5</v>
      </c>
      <c r="AC81" s="246" t="str">
        <f>IFERROR(__xludf.DUMMYFUNCTION("IF(REGEXMATCH(C81, ""M""), ""6"","""")"),"6")</f>
        <v>6</v>
      </c>
      <c r="AD81" s="245" t="str">
        <f>IFERROR(__xludf.DUMMYFUNCTION("IF(REGEXMATCH(C81, ""P""), ""7"","""")"),"7")</f>
        <v>7</v>
      </c>
      <c r="AE81" s="246" t="str">
        <f>IFERROR(__xludf.DUMMYFUNCTION("IF(REGEXMATCH(C81, ""d""), ""8"","""")"),"")</f>
        <v/>
      </c>
      <c r="AF81" s="245" t="str">
        <f>IFERROR(__xludf.DUMMYFUNCTION("IF(REGEXMATCH(C81, ""D""), ""9"","""")"),"9")</f>
        <v>9</v>
      </c>
      <c r="AG81" s="245" t="str">
        <f>IFERROR(__xludf.DUMMYFUNCTION("IF(REGEXMATCH(C81, ""n""), ""10"","""")"),"")</f>
        <v/>
      </c>
      <c r="AH81" s="246" t="str">
        <f>IFERROR(__xludf.DUMMYFUNCTION("IF(REGEXMATCH(C81, ""N""), ""11"","""")"),"11")</f>
        <v>11</v>
      </c>
      <c r="AI81" s="249" t="str">
        <f>IFERROR(__xludf.DUMMYFUNCTION("IF(REGEXMATCH(C81, ""S""), ""0"","""")"),"0")</f>
        <v>0</v>
      </c>
      <c r="AJ81" s="313" t="str">
        <f t="shared" si="11"/>
        <v>T</v>
      </c>
      <c r="AK81" s="313" t="str">
        <f t="shared" si="12"/>
        <v>-</v>
      </c>
      <c r="AL81" s="313" t="str">
        <f t="shared" si="13"/>
        <v>-</v>
      </c>
      <c r="AM81" s="313" t="str">
        <f t="shared" si="14"/>
        <v>-</v>
      </c>
      <c r="AN81" s="313" t="str">
        <f t="shared" si="15"/>
        <v>-</v>
      </c>
      <c r="AO81" s="314" t="str">
        <f t="shared" si="16"/>
        <v>T</v>
      </c>
      <c r="AP81" s="316">
        <f t="shared" si="17"/>
        <v>2</v>
      </c>
      <c r="AQ81" s="319" t="str">
        <f t="shared" si="18"/>
        <v>-</v>
      </c>
      <c r="AR81" s="320">
        <f t="shared" si="19"/>
        <v>0</v>
      </c>
      <c r="AS81" s="250" t="str">
        <f>IFERROR(__xludf.DUMMYFUNCTION("SUBSTITUTE(SUBSTITUTE(CONCATENATE(JOIN("""",FP81:GA81)),""|"",""x""),""-"",""o"")"),"xoxoxxxxoxox")</f>
        <v>xoxoxxxxoxox</v>
      </c>
      <c r="AT81" s="323" t="str">
        <f>IFERROR(__xludf.DUMMYFUNCTION("JOIN("""",AS81,AS81)"),"xoxoxxxxoxoxxoxoxxxxoxox")</f>
        <v>xoxoxxxxoxoxxoxoxxxxoxox</v>
      </c>
      <c r="AU81" s="256" t="str">
        <f>IFERROR(__xludf.DUMMYFUNCTION("JOIN("""",ArrayFormula(MID(AS81,LEN(AS81)-SEQUENCE(1,LEN(AS81))+1,1)))"),"xoxoxxxxoxox")</f>
        <v>xoxoxxxxoxox</v>
      </c>
      <c r="AV81" s="256" t="str">
        <f>IFERROR(__xludf.DUMMYFUNCTION("LEFT(CONCATENATE(""x"",JOIN("""",ArrayFormula(MID(AS81,LEN(AS81)-SEQUENCE(1,LEN(AS81))+1,1)))),12)"),"xxoxoxxxxoxo")</f>
        <v>xxoxoxxxxoxo</v>
      </c>
      <c r="AW81" s="327" t="str">
        <f>IFERROR(__xludf.DUMMYFUNCTION("JOIN("""",AU81,AU81)"),"xoxoxxxxoxoxxoxoxxxxoxox")</f>
        <v>xoxoxxxxoxoxxoxoxxxxoxox</v>
      </c>
      <c r="AX81" s="239" t="str">
        <f>IFERROR(__xludf.DUMMYFUNCTION("IF(REGEXMATCH(AW81,AS81),""✔"",""-"")"),"✔")</f>
        <v>✔</v>
      </c>
      <c r="AY81" s="330" t="str">
        <f t="shared" si="20"/>
        <v>-</v>
      </c>
      <c r="AZ81" s="260" t="str">
        <f t="shared" si="21"/>
        <v>#REF!</v>
      </c>
      <c r="BA81" s="333" t="str">
        <f t="shared" si="22"/>
        <v>xoxoxxx</v>
      </c>
      <c r="BB81" s="334" t="str">
        <f t="shared" si="23"/>
        <v>xoxoxx</v>
      </c>
      <c r="BC81" s="335" t="str">
        <f t="shared" si="236"/>
        <v>✔</v>
      </c>
      <c r="BD81" s="336" t="str">
        <f t="shared" si="25"/>
        <v>Chayanat: 'xoxoxxx' + 'xoxoxx'</v>
      </c>
      <c r="BE81" s="337">
        <f>IFERROR(__xludf.DUMMYFUNCTION("COUNTUNIQUE(FILTER(AT:AT,REGEXMATCH(AT:AT,AS81)))-1"),3.0)</f>
        <v>3</v>
      </c>
      <c r="BF81" s="261" t="str">
        <f>IFERROR(__xludf.DUMMYFUNCTION("IF(BI81=0,""(n/a)"",IF(BJ81=2,""(PAIR)"",IF(REGEXMATCH(AT81,""xoxoxxoxoxox""),""Bilawal"",IF(REGEXMATCH(AT81,""xoxoxooxoxoo""),""Bhupali"",IF(REGEXMATCH(AT81,""xoxoxxoxxoxo""),""Charukeshi"",IF(REGEXMATCH(AT81,""xoxoooxxoxxo""),""Kameshwari"",IF(REGEXMATC"&amp;"H(AT81,""xoxoxooxoxox""),""Shankara"",IF(REGEXMATCH(AT81,""xxooxoxxxoox""),""Basant"",IF(REGEXMATCH(AT81,""xoxoxxxxoxox""),""Bihag"",IF(REGEXMATCH(AT81,""xoxxxxoxoxxx""),""Pilu"",IF(REGEXMATCH(AT81,""xoxxoxoxxoox""),""Kirwani"",IF(REGEXMATCH(AT81,""xoxxox"&amp;"oxoxxx""),""Mk.Malhar"",IF(REGEXMATCH(AT81,""xxooxxoxxoox""),""Bhairav"",IF(REGEXMATCH(AT81,""xxoxooxxxoox""),""Todi"",IF(REGEXMATCH(AT81,""xxooxoxooxox""),""Marwa"",IF(REGEXMATCH(AT81,""xxoooxoxxooo""),""Gunkali"",IF(REGEXMATCH(AT81,""xoxoxxoxxoox""),""N"&amp;"at Bhairav"",IF(REGEXMATCH(AT81,""xoxxoooxoxoo""),""Shivranjani"",IF(REGEXMATCH(AT81,""xooxxxoxooxo""),""Jog"",IF(REGEXMATCH(AT81,""xxooxoxoxoox""),""Hemshri"",IF(REGEXMATCH(AT81,""xoooxooxoxxo""),""Kalavati"",IF(REGEXMATCH(AT81,""xxoxoxxoxoox""),""Kedar"&amp;""",IF(REGEXMATCH(AT81,""xoxxxxoxooxx""),""Gara"",IF(REGEXMATCH(AT81,""xooxoxooxoox""),""Chandrakauns"",IF(REGEXMATCH(AT81,""xoxxxxoxxxox""),""Mand"",IF(REGEXMATCH(AT81,""xoxxxxoxoxox""),""Hanskinkini"",IF(REGEXMATCH(AT81,""xxooxxoxooxo""),""Lilavati"",IF("&amp;"REGEXMATCH(AT81,""xooxoxoooxox""),""Rajeshwari"",IF(REGEXMATCH(AT81,""xoooxxoxoxxx""),""Khokar"",IF(REGEXMATCH(AT81,""xxooxoxxxxox""),""Maligoura"",""-""))))))))))))))))))))))))))))))"),"Bihag")</f>
        <v>Bihag</v>
      </c>
      <c r="BG81" s="239" t="str">
        <f t="shared" si="26"/>
        <v>#REF!</v>
      </c>
      <c r="BH81" s="239">
        <f>IFERROR(__xludf.DUMMYFUNCTION("COUNTUNIQUE(FE81:FO81)-1"),7.0)</f>
        <v>7</v>
      </c>
      <c r="BI81" s="239">
        <f>IFERROR(__xludf.DUMMYFUNCTION("COUNTUNIQUE(FILTER(AT:AT,REGEXMATCH(AT:AT,AS81)))-1"),3.0)</f>
        <v>3</v>
      </c>
      <c r="BJ81" s="239">
        <f>IFERROR(__xludf.DUMMYFUNCTION("COUNTA(FILTER(AT:AT,REGEXMATCH(AT:AT,AS81)))"),36.0)</f>
        <v>36</v>
      </c>
      <c r="BK81" s="341">
        <f>IFERROR(__xludf.DUMMYFUNCTION("COUNTA(FILTER(AT:AT,REGEXMATCH(AT:AT,AS81)))-AR81"),36.0)</f>
        <v>36</v>
      </c>
      <c r="BL81" s="276" t="str">
        <f>IFERROR(__xludf.DUMMYFUNCTION("IF(AS81=""oooooooooooo"",""-"",IF(REGEXMATCH(AT81,""xx""), ""Hemi."", ""Anhemi.""))"),"Hemi.")</f>
        <v>Hemi.</v>
      </c>
      <c r="BM81" s="282" t="str">
        <f>IFERROR(__xludf.DUMMYFUNCTION("IF(AS81=""oooooooooooo"",""-"",IF(REGEXMATCH(AT81,""xxx""), ""Cohem."", ""-""))"),"Cohem.")</f>
        <v>Cohem.</v>
      </c>
      <c r="BN81" s="282" t="str">
        <f>IFERROR(__xludf.DUMMYFUNCTION("IF(AS81=""oooooooooooo"",""-"",IF(REGEXMATCH(AT81,""xxxx""), ""Co-Co."", ""-""))"),"Co-Co.")</f>
        <v>Co-Co.</v>
      </c>
      <c r="BO81" s="342" t="str">
        <f>IFERROR(__xludf.DUMMYFUNCTION("IF(AS81=""oooooooooooo"",""-"",IF(REGEXMATCH(AT81,""xxxxx""), ""CCC."", ""-""))"),"-")</f>
        <v>-</v>
      </c>
      <c r="BP81" s="344" t="str">
        <f t="shared" si="27"/>
        <v>-</v>
      </c>
      <c r="BQ81" s="282" t="str">
        <f>IFERROR(__xludf.DUMMYFUNCTION("IF(REGEXMATCH(JOIN(""-"",EU81:FD81),""TRUE""),""✔"",""-"")"),"-")</f>
        <v>-</v>
      </c>
      <c r="BR81" s="225">
        <f t="shared" si="28"/>
        <v>0</v>
      </c>
      <c r="BS81" s="345" t="str">
        <f>IFERROR(__xludf.DUMMYFUNCTION("SUBSTITUTE(SUBSTITUTE(SUBSTITUTE(SUBSTITUTE(CONCATENATE(JOIN(""-"",GC81:GO81)),""--"",""-""),""--"",""-""),""--"",""-""),""--"",""-"")"),"1-2-3-4-#4-5-6-7-8")</f>
        <v>1-2-3-4-#4-5-6-7-8</v>
      </c>
      <c r="BT81" s="299" t="str">
        <f>IFERROR(__xludf.DUMMYFUNCTION("SUBSTITUTE(SUBSTITUTE(SUBSTITUTE(SUBSTITUTE(CONCATENATE(JOIN(""-"",GP81:HB81)),""--"",""-""),""--"",""-""),""--"",""-""),""--"",""-"")"),"S-R2-G3-M1-M2-P-D2-N3-S")</f>
        <v>S-R2-G3-M1-M2-P-D2-N3-S</v>
      </c>
      <c r="BU81" s="348" t="str">
        <f t="shared" si="29"/>
        <v>C-D-E-F-F#-G-A-B-C</v>
      </c>
      <c r="BV81" s="349" t="str">
        <f t="shared" si="30"/>
        <v>SrgdnS</v>
      </c>
      <c r="BW81" s="350">
        <f t="shared" si="31"/>
        <v>0</v>
      </c>
      <c r="BX81" s="351">
        <f t="shared" si="32"/>
        <v>13</v>
      </c>
      <c r="BY81" s="392"/>
      <c r="BZ81" s="309" t="str">
        <f>IFERROR(__xludf.DUMMYFUNCTION("IF(REGEXMATCH(C81, ""S""), ""x"",""x"")"),"x")</f>
        <v>x</v>
      </c>
      <c r="CA81" s="245" t="str">
        <f>IFERROR(__xludf.DUMMYFUNCTION("IF(REGEXMATCH(C81, ""r""), ""o"",""x"")"),"x")</f>
        <v>x</v>
      </c>
      <c r="CB81" s="246" t="str">
        <f>IFERROR(__xludf.DUMMYFUNCTION("IF(REGEXMATCH(C81, ""R""), ""o"",""x"")"),"o")</f>
        <v>o</v>
      </c>
      <c r="CC81" s="246" t="str">
        <f>IFERROR(__xludf.DUMMYFUNCTION("IF(REGEXMATCH(C81, ""g""), ""o"",""x"")"),"x")</f>
        <v>x</v>
      </c>
      <c r="CD81" s="245" t="str">
        <f>IFERROR(__xludf.DUMMYFUNCTION("IF(REGEXMATCH(C81, ""G""), ""o"",""x"")"),"o")</f>
        <v>o</v>
      </c>
      <c r="CE81" s="245" t="str">
        <f>IFERROR(__xludf.DUMMYFUNCTION("IF(REGEXMATCH(C81, ""m""), ""o"",""x"")"),"o")</f>
        <v>o</v>
      </c>
      <c r="CF81" s="246" t="str">
        <f>IFERROR(__xludf.DUMMYFUNCTION("IF(REGEXMATCH(C81, ""M""), ""o"",""x"")"),"o")</f>
        <v>o</v>
      </c>
      <c r="CG81" s="245" t="str">
        <f>IFERROR(__xludf.DUMMYFUNCTION("IF(REGEXMATCH(C81, ""P""), ""o"",""x"")"),"o")</f>
        <v>o</v>
      </c>
      <c r="CH81" s="246" t="str">
        <f>IFERROR(__xludf.DUMMYFUNCTION("IF(REGEXMATCH(C81, ""d""), ""o"",""x"")"),"x")</f>
        <v>x</v>
      </c>
      <c r="CI81" s="245" t="str">
        <f>IFERROR(__xludf.DUMMYFUNCTION("IF(REGEXMATCH(C81, ""D""), ""o"",""x"")"),"o")</f>
        <v>o</v>
      </c>
      <c r="CJ81" s="245" t="str">
        <f>IFERROR(__xludf.DUMMYFUNCTION("IF(REGEXMATCH(C81, ""n""), ""o"",""x"")"),"x")</f>
        <v>x</v>
      </c>
      <c r="CK81" s="245" t="str">
        <f>IFERROR(__xludf.DUMMYFUNCTION("IF(REGEXMATCH(C81, ""N""), ""o"",""x"")"),"o")</f>
        <v>o</v>
      </c>
      <c r="CL81" s="356" t="str">
        <f>IFERROR(__xludf.DUMMYFUNCTION("IF(REGEXMATCH(C81, ""S""), ""x"",""x"")"),"x")</f>
        <v>x</v>
      </c>
      <c r="CM81" s="357" t="str">
        <f t="shared" si="33"/>
        <v>xxoxooooxoxo</v>
      </c>
      <c r="CN81" s="358">
        <f t="shared" si="34"/>
        <v>0</v>
      </c>
      <c r="CO81" s="246" t="str">
        <f>IFERROR(__xludf.DUMMYFUNCTION("IF(REGEXMATCH($C81, ""S""), ""S"",""S"")"),"S")</f>
        <v>S</v>
      </c>
      <c r="CP81" s="246" t="str">
        <f>IFERROR(__xludf.DUMMYFUNCTION("IF(REGEXMATCH($C81, ""r""), """",""r"")"),"r")</f>
        <v>r</v>
      </c>
      <c r="CQ81" s="246" t="str">
        <f>IFERROR(__xludf.DUMMYFUNCTION("IF(REGEXMATCH($C81, ""R""), """",""R"")"),"")</f>
        <v/>
      </c>
      <c r="CR81" s="246" t="str">
        <f>IFERROR(__xludf.DUMMYFUNCTION("IF(REGEXMATCH($C81, ""g""), """",""g"")"),"g")</f>
        <v>g</v>
      </c>
      <c r="CS81" s="246" t="str">
        <f>IFERROR(__xludf.DUMMYFUNCTION("IF(REGEXMATCH($C81, ""G""), """",""G"")"),"")</f>
        <v/>
      </c>
      <c r="CT81" s="246" t="str">
        <f>IFERROR(__xludf.DUMMYFUNCTION("IF(REGEXMATCH($C81, ""m""), """",""m"")"),"")</f>
        <v/>
      </c>
      <c r="CU81" s="246" t="str">
        <f>IFERROR(__xludf.DUMMYFUNCTION("IF(REGEXMATCH($C81, ""M""), """",""M"")"),"")</f>
        <v/>
      </c>
      <c r="CV81" s="246" t="str">
        <f>IFERROR(__xludf.DUMMYFUNCTION("IF(REGEXMATCH($C81, ""P""), """",""P"")"),"")</f>
        <v/>
      </c>
      <c r="CW81" s="246" t="str">
        <f>IFERROR(__xludf.DUMMYFUNCTION("IF(REGEXMATCH($C81, ""d""), """",""d"")"),"d")</f>
        <v>d</v>
      </c>
      <c r="CX81" s="246" t="str">
        <f>IFERROR(__xludf.DUMMYFUNCTION("IF(REGEXMATCH($C81, ""D""), """",""D"")"),"")</f>
        <v/>
      </c>
      <c r="CY81" s="246" t="str">
        <f>IFERROR(__xludf.DUMMYFUNCTION("IF(REGEXMATCH($C81, ""n""), """",""n"")"),"n")</f>
        <v>n</v>
      </c>
      <c r="CZ81" s="246" t="str">
        <f>IFERROR(__xludf.DUMMYFUNCTION("IF(REGEXMATCH($C81, ""N""), """",""N"")"),"")</f>
        <v/>
      </c>
      <c r="DA81" s="246" t="str">
        <f>IFERROR(__xludf.DUMMYFUNCTION("IF(REGEXMATCH($C81, ""S""), ""S"",""S"")"),"S")</f>
        <v>S</v>
      </c>
      <c r="DB81" s="362" t="str">
        <f>IFERROR(__xludf.DUMMYFUNCTION("JOIN("""",CO81:DA81,"""","""")"),"SrgdnS")</f>
        <v>SrgdnS</v>
      </c>
      <c r="DC81" s="363"/>
      <c r="DD81" s="301" t="str">
        <f t="shared" si="35"/>
        <v>#REF!</v>
      </c>
      <c r="DE81" s="302" t="str">
        <f t="shared" si="36"/>
        <v>#REF!</v>
      </c>
      <c r="DF81" s="301" t="str">
        <f t="shared" ref="DF81:DG81" si="359">SUBSTITUTE(S81,"-","")</f>
        <v>SRGM</v>
      </c>
      <c r="DG81" s="301" t="str">
        <f t="shared" si="359"/>
        <v>PDNS</v>
      </c>
      <c r="DH81" s="302" t="str">
        <f t="shared" si="38"/>
        <v>Bihag</v>
      </c>
      <c r="DI81" s="301" t="str">
        <f t="shared" si="39"/>
        <v>Hemi.</v>
      </c>
      <c r="DJ81" s="364" t="str">
        <f t="shared" si="40"/>
        <v>Co-Co.</v>
      </c>
      <c r="DK81" s="306" t="str">
        <f t="shared" si="41"/>
        <v>-</v>
      </c>
      <c r="DL81" s="366" t="str">
        <f t="shared" si="42"/>
        <v>-</v>
      </c>
      <c r="DM81" s="308" t="str">
        <f t="shared" si="43"/>
        <v>✔</v>
      </c>
      <c r="DN81" s="306" t="str">
        <f t="shared" si="44"/>
        <v>-</v>
      </c>
      <c r="DO81" s="306" t="str">
        <f t="shared" si="45"/>
        <v>-</v>
      </c>
      <c r="DP81" s="367" t="str">
        <f t="shared" si="46"/>
        <v>-</v>
      </c>
      <c r="DQ81" s="310" t="str">
        <f t="shared" si="47"/>
        <v>-</v>
      </c>
      <c r="DR81" s="310" t="str">
        <f t="shared" si="48"/>
        <v>-</v>
      </c>
      <c r="DS81" s="310" t="str">
        <f t="shared" si="49"/>
        <v>✔</v>
      </c>
      <c r="DT81" s="310" t="str">
        <f t="shared" si="50"/>
        <v>-</v>
      </c>
      <c r="DU81" s="370" t="str">
        <f t="shared" si="51"/>
        <v>-</v>
      </c>
      <c r="DV81" s="306" t="str">
        <f t="shared" si="52"/>
        <v>-</v>
      </c>
      <c r="DW81" s="306" t="str">
        <f t="shared" si="53"/>
        <v>-</v>
      </c>
      <c r="DX81" s="306" t="str">
        <f t="shared" si="54"/>
        <v>-</v>
      </c>
      <c r="DY81" s="306" t="str">
        <f t="shared" si="55"/>
        <v>-</v>
      </c>
      <c r="DZ81" s="306" t="str">
        <f t="shared" si="56"/>
        <v>-</v>
      </c>
      <c r="EA81" s="367" t="str">
        <f t="shared" si="57"/>
        <v>-</v>
      </c>
      <c r="EB81" s="310" t="str">
        <f>IFERROR(__xludf.DUMMYFUNCTION("IF(REGEXMATCH(AW81,AS81),""✔"",""-"")"),"✔")</f>
        <v>✔</v>
      </c>
      <c r="EC81" s="310" t="str">
        <f t="shared" si="58"/>
        <v>#REF!</v>
      </c>
      <c r="ED81" s="370" t="str">
        <f t="shared" si="59"/>
        <v>-</v>
      </c>
      <c r="EE81" s="340" t="str">
        <f t="shared" si="60"/>
        <v>S-R-G-mM-P-D-N-S</v>
      </c>
      <c r="EF81" s="371" t="str">
        <f>IFERROR(__xludf.DUMMYFUNCTION("CONCATENATE(JOIN("""",HC81:HO81))"),"SrgmMPdnS")</f>
        <v>SrgmMPdnS</v>
      </c>
      <c r="EG81" s="372">
        <f t="shared" si="61"/>
        <v>1</v>
      </c>
      <c r="EH81" s="373" t="str">
        <f>IFERROR(__xludf.DUMMYFUNCTION("CONCATENATE(JOIN("""",JC81:JO81))"),"Ma, ")</f>
        <v>Ma, </v>
      </c>
      <c r="EI81" s="322">
        <f t="shared" si="62"/>
        <v>0</v>
      </c>
      <c r="EJ81" s="374" t="str">
        <f>IFERROR(__xludf.DUMMYFUNCTION("CONCATENATE(JOIN("""",KC81:KO81))"),"")</f>
        <v/>
      </c>
      <c r="EK81" s="325" t="str">
        <f t="shared" si="63"/>
        <v>S-R2-G3-M1-M2-P-D2-N3-S</v>
      </c>
      <c r="EL81" s="326" t="str">
        <f t="shared" si="64"/>
        <v>1-2-3-4-#4-5-6-7-8</v>
      </c>
      <c r="EM81" s="318" t="str">
        <f t="shared" si="65"/>
        <v>#REF!</v>
      </c>
      <c r="EN81" s="328" t="str">
        <f>IFERROR(__xludf.DUMMYFUNCTION("SUBSTITUTE(SUBSTITUTE(SUBSTITUTE(SUBSTITUTE(CONCATENATE(JOIN("" "",HP81:IB81)),""  "","" ""),""  "","" ""),""  "","" ""),""  "","" "")"),"o • o • o o o o • o • o o")</f>
        <v>o • o • o o o o • o • o o</v>
      </c>
      <c r="EO81" s="368" t="str">
        <f t="shared" si="66"/>
        <v>-</v>
      </c>
      <c r="EP81" s="339" t="str">
        <f t="shared" si="67"/>
        <v>-</v>
      </c>
      <c r="EQ81" s="339" t="str">
        <f t="shared" si="68"/>
        <v>Sa-Pa</v>
      </c>
      <c r="ER81" s="339" t="str">
        <f t="shared" si="69"/>
        <v>-</v>
      </c>
      <c r="ES81" s="340" t="str">
        <f t="shared" si="70"/>
        <v>-</v>
      </c>
      <c r="ET81" s="363"/>
      <c r="EU81" s="376" t="b">
        <f>IFERROR(__xludf.DUMMYFUNCTION("arrayformula(sum(--REGEXMATCH(""SRGMPDNS"",split(REGEXREPLACE(C81,""(.)"",""$1~""),""~""))))=len(C81)
"),FALSE)</f>
        <v>0</v>
      </c>
      <c r="EV81" s="290" t="b">
        <f>IFERROR(__xludf.DUMMYFUNCTION("arrayformula(sum(--REGEXMATCH(""SRGmPDNS"",split(REGEXREPLACE(C81,""(.)"",""$1~""),""~""))))=len(C81)"),FALSE)</f>
        <v>0</v>
      </c>
      <c r="EW81" s="290" t="b">
        <f>IFERROR(__xludf.DUMMYFUNCTION("arrayformula(sum(--REGEXMATCH(""SRGmPDnS"",split(REGEXREPLACE(C81,""(.)"",""$1~""),""~""))))=len(C81)"),FALSE)</f>
        <v>0</v>
      </c>
      <c r="EX81" s="290" t="b">
        <f>IFERROR(__xludf.DUMMYFUNCTION("arrayformula(sum(--REGEXMATCH(""SRgmPDnS"",split(REGEXREPLACE(C81,""(.)"",""$1~""),""~""))))=len(C81)"),FALSE)</f>
        <v>0</v>
      </c>
      <c r="EY81" s="290" t="b">
        <f>IFERROR(__xludf.DUMMYFUNCTION("arrayformula(sum(--REGEXMATCH(""SRgmPdnS"",split(REGEXREPLACE(C81,""(.)"",""$1~""),""~""))))=len(C81)"),FALSE)</f>
        <v>0</v>
      </c>
      <c r="EZ81" s="290" t="b">
        <f>IFERROR(__xludf.DUMMYFUNCTION("arrayformula(sum(--REGEXMATCH(""SrgmPdnS"",split(REGEXREPLACE(C81,""(.)"",""$1~""),""~""))))=len(C81)"),FALSE)</f>
        <v>0</v>
      </c>
      <c r="FA81" s="290" t="b">
        <f>IFERROR(__xludf.DUMMYFUNCTION("arrayformula(sum(--REGEXMATCH(""SrGmPdNS"",split(REGEXREPLACE(C81,""(.)"",""$1~""),""~""))))=len(C81)"),FALSE)</f>
        <v>0</v>
      </c>
      <c r="FB81" s="290" t="b">
        <f>IFERROR(__xludf.DUMMYFUNCTION("arrayformula(sum(--REGEXMATCH(""SrGMPDNS"",split(REGEXREPLACE(C81,""(.)"",""$1~""),""~""))))=len(C81)"),FALSE)</f>
        <v>0</v>
      </c>
      <c r="FC81" s="290" t="b">
        <f>IFERROR(__xludf.DUMMYFUNCTION("arrayformula(sum(--REGEXMATCH(""SrGMPdNS"",split(REGEXREPLACE(C81,""(.)"",""$1~""),""~""))))=len(C81)"),FALSE)</f>
        <v>0</v>
      </c>
      <c r="FD81" s="377" t="b">
        <f>IFERROR(__xludf.DUMMYFUNCTION("arrayformula(sum(--REGEXMATCH(""SrgMPdNS"",split(REGEXREPLACE(C81,""(.)"",""$1~""),""~""))))=len(C81)"),FALSE)</f>
        <v>0</v>
      </c>
      <c r="FE81" s="269" t="str">
        <f t="shared" si="71"/>
        <v>-</v>
      </c>
      <c r="FF81" s="269" t="str">
        <f t="shared" si="72"/>
        <v>xoxxxxoxoxx</v>
      </c>
      <c r="FG81" s="271" t="str">
        <f t="shared" si="73"/>
        <v>-</v>
      </c>
      <c r="FH81" s="269" t="str">
        <f t="shared" si="74"/>
        <v>xxxxoxoxxox</v>
      </c>
      <c r="FI81" s="271" t="str">
        <f t="shared" si="75"/>
        <v>xxxoxoxxoxo</v>
      </c>
      <c r="FJ81" s="271" t="str">
        <f t="shared" si="76"/>
        <v>xxoxoxxoxox</v>
      </c>
      <c r="FK81" s="271" t="str">
        <f t="shared" si="77"/>
        <v>xoxoxxoxoxx</v>
      </c>
      <c r="FL81" s="271" t="str">
        <f t="shared" si="78"/>
        <v>-</v>
      </c>
      <c r="FM81" s="271" t="str">
        <f t="shared" si="79"/>
        <v>xoxxoxoxxxx</v>
      </c>
      <c r="FN81" s="271" t="str">
        <f t="shared" si="80"/>
        <v>-</v>
      </c>
      <c r="FO81" s="274" t="str">
        <f t="shared" si="81"/>
        <v>xxoxoxxxxox</v>
      </c>
      <c r="FP81" s="234" t="str">
        <f t="shared" si="82"/>
        <v>|</v>
      </c>
      <c r="FQ81" s="236" t="str">
        <f t="shared" si="83"/>
        <v>-</v>
      </c>
      <c r="FR81" s="237" t="str">
        <f t="shared" si="84"/>
        <v>|</v>
      </c>
      <c r="FS81" s="236" t="str">
        <f t="shared" si="85"/>
        <v>-</v>
      </c>
      <c r="FT81" s="237" t="str">
        <f t="shared" si="86"/>
        <v>|</v>
      </c>
      <c r="FU81" s="236" t="str">
        <f t="shared" si="87"/>
        <v>|</v>
      </c>
      <c r="FV81" s="237" t="str">
        <f t="shared" si="88"/>
        <v>|</v>
      </c>
      <c r="FW81" s="236" t="str">
        <f t="shared" si="89"/>
        <v>|</v>
      </c>
      <c r="FX81" s="237" t="str">
        <f t="shared" si="90"/>
        <v>-</v>
      </c>
      <c r="FY81" s="236" t="str">
        <f t="shared" si="91"/>
        <v>|</v>
      </c>
      <c r="FZ81" s="237" t="str">
        <f t="shared" si="92"/>
        <v>-</v>
      </c>
      <c r="GA81" s="236" t="str">
        <f t="shared" si="93"/>
        <v>|</v>
      </c>
      <c r="GB81" s="238" t="str">
        <f t="shared" si="94"/>
        <v>|</v>
      </c>
      <c r="GC81" s="244" t="str">
        <f>IFERROR(__xludf.DUMMYFUNCTION("IF(REGEXMATCH(C81, ""S""), ""1"","""")"),"1")</f>
        <v>1</v>
      </c>
      <c r="GD81" s="245" t="str">
        <f>IFERROR(__xludf.DUMMYFUNCTION("IF(REGEXMATCH(C81, ""r""), ""b2"","""")"),"")</f>
        <v/>
      </c>
      <c r="GE81" s="246" t="str">
        <f>IFERROR(__xludf.DUMMYFUNCTION("IF(REGEXMATCH(C81, ""R""), ""2"","""")"),"2")</f>
        <v>2</v>
      </c>
      <c r="GF81" s="246" t="str">
        <f>IFERROR(__xludf.DUMMYFUNCTION("IF(REGEXMATCH(C81, ""g""), ""b3"","""")"),"")</f>
        <v/>
      </c>
      <c r="GG81" s="245" t="str">
        <f>IFERROR(__xludf.DUMMYFUNCTION("IF(REGEXMATCH(C81, ""G""), ""3"","""")"),"3")</f>
        <v>3</v>
      </c>
      <c r="GH81" s="245" t="str">
        <f>IFERROR(__xludf.DUMMYFUNCTION("IF(REGEXMATCH(C81, ""m""), ""4"","""")"),"4")</f>
        <v>4</v>
      </c>
      <c r="GI81" s="246" t="str">
        <f>IFERROR(__xludf.DUMMYFUNCTION("IF(REGEXMATCH(C81, ""M""), ""#4"","""")"),"#4")</f>
        <v>#4</v>
      </c>
      <c r="GJ81" s="245" t="str">
        <f>IFERROR(__xludf.DUMMYFUNCTION("IF(REGEXMATCH(C81, ""P""), ""5"","""")"),"5")</f>
        <v>5</v>
      </c>
      <c r="GK81" s="246" t="str">
        <f>IFERROR(__xludf.DUMMYFUNCTION("IF(REGEXMATCH(C81, ""d""), ""b6"","""")"),"")</f>
        <v/>
      </c>
      <c r="GL81" s="245" t="str">
        <f>IFERROR(__xludf.DUMMYFUNCTION("IF(REGEXMATCH(C81, ""D""), ""6"","""")"),"6")</f>
        <v>6</v>
      </c>
      <c r="GM81" s="245" t="str">
        <f>IFERROR(__xludf.DUMMYFUNCTION("IF(REGEXMATCH(C81, ""n""), ""b7"","""")"),"")</f>
        <v/>
      </c>
      <c r="GN81" s="246" t="str">
        <f>IFERROR(__xludf.DUMMYFUNCTION("IF(REGEXMATCH(C81, ""N""), ""7"","""")"),"7")</f>
        <v>7</v>
      </c>
      <c r="GO81" s="249" t="str">
        <f>IFERROR(__xludf.DUMMYFUNCTION("IF(REGEXMATCH(C81, ""S""), ""8"","""")"),"8")</f>
        <v>8</v>
      </c>
      <c r="GP81" s="244" t="str">
        <f>IFERROR(__xludf.DUMMYFUNCTION("IF(REGEXMATCH(C81, ""S""), ""S"","""")"),"S")</f>
        <v>S</v>
      </c>
      <c r="GQ81" s="294" t="str">
        <f>IFERROR(__xludf.DUMMYFUNCTION("IF(REGEXMATCH(C81, ""r""), ""R1"","""")"),"")</f>
        <v/>
      </c>
      <c r="GR81" s="295" t="str">
        <f>IFERROR(__xludf.DUMMYFUNCTION("IF(REGEXMATCH(C81, ""R""), ""R2"","""")"),"R2")</f>
        <v>R2</v>
      </c>
      <c r="GS81" s="295" t="str">
        <f>IFERROR(__xludf.DUMMYFUNCTION("IF(REGEXMATCH(C81, ""g""), ""G2"","""")"),"")</f>
        <v/>
      </c>
      <c r="GT81" s="294" t="str">
        <f>IFERROR(__xludf.DUMMYFUNCTION("IF(REGEXMATCH(C81, ""G""), ""G3"","""")"),"G3")</f>
        <v>G3</v>
      </c>
      <c r="GU81" s="294" t="str">
        <f>IFERROR(__xludf.DUMMYFUNCTION("IF(REGEXMATCH(C81, ""m""), ""M1"","""")"),"M1")</f>
        <v>M1</v>
      </c>
      <c r="GV81" s="295" t="str">
        <f>IFERROR(__xludf.DUMMYFUNCTION("IF(REGEXMATCH(C81, ""M""), ""M2"","""")"),"M2")</f>
        <v>M2</v>
      </c>
      <c r="GW81" s="294" t="str">
        <f>IFERROR(__xludf.DUMMYFUNCTION("IF(REGEXMATCH(C81, ""P""), ""P"","""")"),"P")</f>
        <v>P</v>
      </c>
      <c r="GX81" s="295" t="str">
        <f>IFERROR(__xludf.DUMMYFUNCTION("IF(REGEXMATCH(C81, ""d""), ""D1"","""")"),"")</f>
        <v/>
      </c>
      <c r="GY81" s="294" t="str">
        <f>IFERROR(__xludf.DUMMYFUNCTION("IF(REGEXMATCH(C81, ""D""), ""D2"","""")"),"D2")</f>
        <v>D2</v>
      </c>
      <c r="GZ81" s="294" t="str">
        <f>IFERROR(__xludf.DUMMYFUNCTION("IF(REGEXMATCH(C81, ""n""), ""N2"","""")"),"")</f>
        <v/>
      </c>
      <c r="HA81" s="295" t="str">
        <f>IFERROR(__xludf.DUMMYFUNCTION("IF(REGEXMATCH(C81, ""N""), ""N3"","""")"),"N3")</f>
        <v>N3</v>
      </c>
      <c r="HB81" s="249" t="str">
        <f>IFERROR(__xludf.DUMMYFUNCTION("IF(REGEXMATCH(C81, ""S""), ""S"","""")"),"S")</f>
        <v>S</v>
      </c>
      <c r="HC81" s="331" t="str">
        <f t="shared" si="95"/>
        <v>S</v>
      </c>
      <c r="HD81" s="332" t="str">
        <f t="shared" si="96"/>
        <v>r</v>
      </c>
      <c r="HE81" s="332" t="str">
        <f t="shared" si="97"/>
        <v/>
      </c>
      <c r="HF81" s="332" t="str">
        <f t="shared" si="98"/>
        <v>g</v>
      </c>
      <c r="HG81" s="332" t="str">
        <f t="shared" si="99"/>
        <v/>
      </c>
      <c r="HH81" s="332" t="str">
        <f t="shared" si="100"/>
        <v>m</v>
      </c>
      <c r="HI81" s="332" t="str">
        <f t="shared" si="101"/>
        <v>M</v>
      </c>
      <c r="HJ81" s="332" t="str">
        <f t="shared" si="102"/>
        <v>P</v>
      </c>
      <c r="HK81" s="332" t="str">
        <f t="shared" si="103"/>
        <v>d</v>
      </c>
      <c r="HL81" s="332" t="str">
        <f t="shared" si="104"/>
        <v/>
      </c>
      <c r="HM81" s="332" t="str">
        <f t="shared" si="105"/>
        <v>n</v>
      </c>
      <c r="HN81" s="332" t="str">
        <f t="shared" si="106"/>
        <v/>
      </c>
      <c r="HO81" s="343" t="str">
        <f t="shared" si="107"/>
        <v>S</v>
      </c>
      <c r="HP81" s="331" t="str">
        <f t="shared" si="108"/>
        <v>o</v>
      </c>
      <c r="HQ81" s="332" t="str">
        <f t="shared" si="109"/>
        <v>•</v>
      </c>
      <c r="HR81" s="332" t="str">
        <f t="shared" si="110"/>
        <v>o</v>
      </c>
      <c r="HS81" s="332" t="str">
        <f t="shared" si="111"/>
        <v>•</v>
      </c>
      <c r="HT81" s="332" t="str">
        <f t="shared" si="112"/>
        <v>o</v>
      </c>
      <c r="HU81" s="332" t="str">
        <f t="shared" si="113"/>
        <v>o</v>
      </c>
      <c r="HV81" s="332" t="str">
        <f t="shared" si="114"/>
        <v>o</v>
      </c>
      <c r="HW81" s="332" t="str">
        <f t="shared" si="115"/>
        <v>o</v>
      </c>
      <c r="HX81" s="332" t="str">
        <f t="shared" si="116"/>
        <v>•</v>
      </c>
      <c r="HY81" s="332" t="str">
        <f t="shared" si="117"/>
        <v>o</v>
      </c>
      <c r="HZ81" s="332" t="str">
        <f t="shared" si="118"/>
        <v>•</v>
      </c>
      <c r="IA81" s="332" t="str">
        <f t="shared" si="119"/>
        <v>o</v>
      </c>
      <c r="IB81" s="338" t="str">
        <f t="shared" si="120"/>
        <v>o</v>
      </c>
      <c r="IC81" s="331" t="str">
        <f t="shared" si="121"/>
        <v>•</v>
      </c>
      <c r="ID81" s="332" t="str">
        <f t="shared" si="122"/>
        <v>o</v>
      </c>
      <c r="IE81" s="332" t="str">
        <f t="shared" si="123"/>
        <v>•</v>
      </c>
      <c r="IF81" s="332" t="str">
        <f t="shared" si="124"/>
        <v>o</v>
      </c>
      <c r="IG81" s="332" t="str">
        <f t="shared" si="125"/>
        <v>•</v>
      </c>
      <c r="IH81" s="332" t="str">
        <f t="shared" si="126"/>
        <v>•</v>
      </c>
      <c r="II81" s="332" t="str">
        <f t="shared" si="127"/>
        <v>•</v>
      </c>
      <c r="IJ81" s="332" t="str">
        <f t="shared" si="128"/>
        <v>•</v>
      </c>
      <c r="IK81" s="332" t="str">
        <f t="shared" si="129"/>
        <v>o</v>
      </c>
      <c r="IL81" s="332" t="str">
        <f t="shared" si="130"/>
        <v>•</v>
      </c>
      <c r="IM81" s="332" t="str">
        <f t="shared" si="131"/>
        <v>o</v>
      </c>
      <c r="IN81" s="332" t="str">
        <f t="shared" si="132"/>
        <v>•</v>
      </c>
      <c r="IO81" s="338" t="str">
        <f t="shared" si="133"/>
        <v>•</v>
      </c>
      <c r="IP81" s="346" t="b">
        <f t="shared" si="134"/>
        <v>0</v>
      </c>
      <c r="IQ81" s="347" t="b">
        <f t="shared" si="135"/>
        <v>0</v>
      </c>
      <c r="IR81" s="347" t="b">
        <f t="shared" si="136"/>
        <v>0</v>
      </c>
      <c r="IS81" s="347" t="b">
        <f t="shared" si="137"/>
        <v>0</v>
      </c>
      <c r="IT81" s="347" t="b">
        <f t="shared" si="138"/>
        <v>0</v>
      </c>
      <c r="IU81" s="347" t="b">
        <f t="shared" si="139"/>
        <v>0</v>
      </c>
      <c r="IV81" s="347" t="b">
        <f t="shared" si="140"/>
        <v>1</v>
      </c>
      <c r="IW81" s="347" t="b">
        <f t="shared" si="141"/>
        <v>0</v>
      </c>
      <c r="IX81" s="347" t="b">
        <f t="shared" si="142"/>
        <v>0</v>
      </c>
      <c r="IY81" s="347" t="b">
        <f t="shared" si="143"/>
        <v>0</v>
      </c>
      <c r="IZ81" s="347" t="b">
        <f t="shared" si="144"/>
        <v>0</v>
      </c>
      <c r="JA81" s="347" t="b">
        <f t="shared" si="145"/>
        <v>0</v>
      </c>
      <c r="JB81" s="353" t="b">
        <f t="shared" si="146"/>
        <v>0</v>
      </c>
      <c r="JC81" s="354" t="str">
        <f t="shared" si="147"/>
        <v/>
      </c>
      <c r="JD81" s="355" t="str">
        <f t="shared" si="148"/>
        <v/>
      </c>
      <c r="JE81" s="355" t="str">
        <f t="shared" si="149"/>
        <v/>
      </c>
      <c r="JF81" s="355" t="str">
        <f t="shared" si="150"/>
        <v/>
      </c>
      <c r="JG81" s="355" t="str">
        <f t="shared" si="151"/>
        <v/>
      </c>
      <c r="JH81" s="355" t="str">
        <f t="shared" si="152"/>
        <v/>
      </c>
      <c r="JI81" s="355" t="str">
        <f t="shared" si="153"/>
        <v>Ma, </v>
      </c>
      <c r="JJ81" s="355" t="str">
        <f t="shared" si="154"/>
        <v/>
      </c>
      <c r="JK81" s="355" t="str">
        <f t="shared" si="155"/>
        <v/>
      </c>
      <c r="JL81" s="355" t="str">
        <f t="shared" si="156"/>
        <v/>
      </c>
      <c r="JM81" s="355" t="str">
        <f t="shared" si="157"/>
        <v/>
      </c>
      <c r="JN81" s="355" t="str">
        <f t="shared" si="158"/>
        <v/>
      </c>
      <c r="JO81" s="359" t="str">
        <f t="shared" si="159"/>
        <v/>
      </c>
      <c r="JP81" s="346" t="b">
        <f t="shared" si="160"/>
        <v>0</v>
      </c>
      <c r="JQ81" s="347" t="b">
        <f t="shared" si="161"/>
        <v>0</v>
      </c>
      <c r="JR81" s="347" t="b">
        <f t="shared" si="162"/>
        <v>0</v>
      </c>
      <c r="JS81" s="347" t="b">
        <f t="shared" si="163"/>
        <v>0</v>
      </c>
      <c r="JT81" s="347" t="b">
        <f t="shared" si="164"/>
        <v>0</v>
      </c>
      <c r="JU81" s="347" t="b">
        <f t="shared" si="165"/>
        <v>0</v>
      </c>
      <c r="JV81" s="347" t="b">
        <f t="shared" si="166"/>
        <v>0</v>
      </c>
      <c r="JW81" s="347" t="b">
        <f t="shared" si="167"/>
        <v>0</v>
      </c>
      <c r="JX81" s="347" t="b">
        <f t="shared" si="168"/>
        <v>0</v>
      </c>
      <c r="JY81" s="347" t="b">
        <f t="shared" si="169"/>
        <v>0</v>
      </c>
      <c r="JZ81" s="347" t="b">
        <f t="shared" si="170"/>
        <v>0</v>
      </c>
      <c r="KA81" s="347" t="b">
        <f t="shared" si="171"/>
        <v>0</v>
      </c>
      <c r="KB81" s="365" t="b">
        <f t="shared" si="172"/>
        <v>0</v>
      </c>
      <c r="KC81" s="354" t="str">
        <f t="shared" si="173"/>
        <v/>
      </c>
      <c r="KD81" s="355" t="str">
        <f t="shared" si="174"/>
        <v/>
      </c>
      <c r="KE81" s="355" t="str">
        <f t="shared" si="175"/>
        <v/>
      </c>
      <c r="KF81" s="355" t="str">
        <f t="shared" si="176"/>
        <v/>
      </c>
      <c r="KG81" s="355" t="str">
        <f t="shared" si="177"/>
        <v/>
      </c>
      <c r="KH81" s="355" t="str">
        <f t="shared" si="178"/>
        <v/>
      </c>
      <c r="KI81" s="355" t="str">
        <f t="shared" si="179"/>
        <v/>
      </c>
      <c r="KJ81" s="355" t="str">
        <f t="shared" si="180"/>
        <v/>
      </c>
      <c r="KK81" s="355" t="str">
        <f t="shared" si="181"/>
        <v/>
      </c>
      <c r="KL81" s="355" t="str">
        <f t="shared" si="182"/>
        <v/>
      </c>
      <c r="KM81" s="355" t="str">
        <f t="shared" si="183"/>
        <v/>
      </c>
      <c r="KN81" s="355" t="str">
        <f t="shared" si="184"/>
        <v/>
      </c>
      <c r="KO81" s="359"/>
      <c r="KP81" s="378"/>
      <c r="KQ81" s="379" t="s">
        <v>554</v>
      </c>
      <c r="KR81" s="380" t="s">
        <v>1353</v>
      </c>
      <c r="KS81" s="381" t="str">
        <f t="shared" ref="KS81:KS82" si="362">KQ81</f>
        <v>S-R-G-m-P-D-N-S</v>
      </c>
      <c r="KT81" s="382">
        <f t="shared" si="186"/>
        <v>7</v>
      </c>
      <c r="KU81" s="383">
        <f t="shared" si="187"/>
        <v>7</v>
      </c>
      <c r="KV81" s="381" t="str">
        <f t="shared" si="205"/>
        <v>S-N-D-P-Mm-G-R-S</v>
      </c>
      <c r="KW81" s="382">
        <f t="shared" si="189"/>
        <v>7</v>
      </c>
      <c r="KX81" s="384">
        <f t="shared" si="190"/>
        <v>8</v>
      </c>
      <c r="KY81" s="382">
        <f t="shared" ref="KY81:KZ81" si="360">KW81-KT81</f>
        <v>0</v>
      </c>
      <c r="KZ81" s="369">
        <f t="shared" si="360"/>
        <v>1</v>
      </c>
      <c r="LA81" s="385" t="str">
        <f t="shared" si="192"/>
        <v>-</v>
      </c>
      <c r="LB81" s="340" t="str">
        <f>IFERROR(__xludf.DUMMYFUNCTION("JOIN("""",ArrayFormula(MID(KS81,LEN(KS81)-SEQUENCE(1,LEN(KS81))+1,1)))"),"S-N-D-P-m-G-R-S")</f>
        <v>S-N-D-P-m-G-R-S</v>
      </c>
      <c r="LC81" s="373" t="str">
        <f>IFERROR(__xludf.DUMMYFUNCTION("JOIN("""",ArrayFormula(MID(KV81,LEN(KV81)-SEQUENCE(1,LEN(KV81))+1,1)))"),"S-R-G-mM-P-D-N-S")</f>
        <v>S-R-G-mM-P-D-N-S</v>
      </c>
      <c r="LD81" s="373" t="str">
        <f t="shared" si="193"/>
        <v>SRGmPDNS</v>
      </c>
      <c r="LE81" s="339" t="str">
        <f t="shared" si="194"/>
        <v>SRGmMPDNS</v>
      </c>
      <c r="LF81" s="386" t="str">
        <f>IFERROR(__xludf.DUMMYFUNCTION("SUBSTITUTE(SUBSTITUTE(CONCATENATE(JOIN("""",LH81:LT81)),""1"",""""),""2"","""")"),"SRGmMPDNS")</f>
        <v>SRGmMPDNS</v>
      </c>
      <c r="LG81" s="369" t="str">
        <f t="shared" si="195"/>
        <v>✔</v>
      </c>
      <c r="LH81" s="387" t="str">
        <f>IFERROR(__xludf.DUMMYFUNCTION("IF(REGEXMATCH(LD81, ""S""), ""S"",IF(REGEXMATCH(LE81, ""S""), ""S"",""""))"),"S")</f>
        <v>S</v>
      </c>
      <c r="LI81" s="299" t="str">
        <f>IFERROR(__xludf.DUMMYFUNCTION("IF(REGEXMATCH(LD81, ""r""), ""r1"",IF(REGEXMATCH(LE81, ""r""), ""r2"",""""))"),"")</f>
        <v/>
      </c>
      <c r="LJ81" s="299" t="str">
        <f>IFERROR(__xludf.DUMMYFUNCTION("IF(REGEXMATCH(LD81, ""R""), ""R1"",IF(REGEXMATCH(LE81, ""R""), ""R2"",""""))"),"R1")</f>
        <v>R1</v>
      </c>
      <c r="LK81" s="299" t="str">
        <f>IFERROR(__xludf.DUMMYFUNCTION("IF(REGEXMATCH(LD81, ""g""), ""g1"",IF(REGEXMATCH(LE81, ""g""), ""g2"",""""))"),"")</f>
        <v/>
      </c>
      <c r="LL81" s="299" t="str">
        <f>IFERROR(__xludf.DUMMYFUNCTION("IF(REGEXMATCH(LD81, ""G""), ""G1"",IF(REGEXMATCH(LE81, ""G""), ""G2"",""""))"),"G1")</f>
        <v>G1</v>
      </c>
      <c r="LM81" s="299" t="str">
        <f>IFERROR(__xludf.DUMMYFUNCTION("IF(REGEXMATCH(LD81, ""m""), ""m1"",IF(REGEXMATCH(LE81, ""m""), ""m2"",""""))"),"m1")</f>
        <v>m1</v>
      </c>
      <c r="LN81" s="299" t="str">
        <f>IFERROR(__xludf.DUMMYFUNCTION("IF(REGEXMATCH(LD81, ""M""), ""M1"",IF(REGEXMATCH(LE81, ""M""), ""M2"",""""))"),"M2")</f>
        <v>M2</v>
      </c>
      <c r="LO81" s="299" t="str">
        <f>IFERROR(__xludf.DUMMYFUNCTION("IF(REGEXMATCH(LD81, ""P""), ""P1"",IF(REGEXMATCH(LE81, ""P""), ""P2"",""""))"),"P1")</f>
        <v>P1</v>
      </c>
      <c r="LP81" s="299" t="str">
        <f>IFERROR(__xludf.DUMMYFUNCTION("IF(REGEXMATCH(LD81, ""d""), ""d1"",IF(REGEXMATCH(LE81, ""d""), ""d2"",""""))"),"")</f>
        <v/>
      </c>
      <c r="LQ81" s="299" t="str">
        <f>IFERROR(__xludf.DUMMYFUNCTION("IF(REGEXMATCH(LD81, ""D""), ""D1"",IF(REGEXMATCH(LE81, ""D""), ""D2"",""""))"),"D1")</f>
        <v>D1</v>
      </c>
      <c r="LR81" s="299" t="str">
        <f>IFERROR(__xludf.DUMMYFUNCTION("IF(REGEXMATCH(LD81, ""n""), ""n1"",IF(REGEXMATCH(LE81, ""n""), ""n2"",""""))"),"")</f>
        <v/>
      </c>
      <c r="LS81" s="299" t="str">
        <f>IFERROR(__xludf.DUMMYFUNCTION("IF(REGEXMATCH(LD81, ""N""), ""N1"",IF(REGEXMATCH(LE81, ""N""), ""N2"",""""))"),"N1")</f>
        <v>N1</v>
      </c>
      <c r="LT81" s="388" t="str">
        <f>IFERROR(__xludf.DUMMYFUNCTION("IF(REGEXMATCH(LD81, ""S""), ""S"",IF(REGEXMATCH(LE81, ""S""), ""S"",""""))"),"S")</f>
        <v>S</v>
      </c>
      <c r="LU81" s="389">
        <f t="shared" si="196"/>
        <v>0</v>
      </c>
      <c r="LV81" s="378"/>
      <c r="LW81" s="369"/>
      <c r="LX81" s="369"/>
    </row>
    <row r="82" ht="18.0" customHeight="1">
      <c r="A82" s="298" t="s">
        <v>666</v>
      </c>
      <c r="B82" s="222" t="s">
        <v>554</v>
      </c>
      <c r="C82" s="233" t="str">
        <f t="shared" si="7"/>
        <v>SRGmPDNS</v>
      </c>
      <c r="D82" s="234" t="str">
        <f>IFERROR(__xludf.DUMMYFUNCTION("IF(REGEXMATCH(C82, ""S""), ""S"","""")"),"S")</f>
        <v>S</v>
      </c>
      <c r="E82" s="236" t="str">
        <f>IFERROR(__xludf.DUMMYFUNCTION("IF(REGEXMATCH(C82, ""r""), ""r"","""")"),"")</f>
        <v/>
      </c>
      <c r="F82" s="237" t="str">
        <f>IFERROR(__xludf.DUMMYFUNCTION("IF(REGEXMATCH(C82, ""R""), ""R"","""")"),"R")</f>
        <v>R</v>
      </c>
      <c r="G82" s="237" t="str">
        <f>IFERROR(__xludf.DUMMYFUNCTION("IF(REGEXMATCH(C82, ""g""), ""g"","""")"),"")</f>
        <v/>
      </c>
      <c r="H82" s="236" t="str">
        <f>IFERROR(__xludf.DUMMYFUNCTION("IF(REGEXMATCH(C82, ""G""), ""G"","""")"),"G")</f>
        <v>G</v>
      </c>
      <c r="I82" s="236" t="str">
        <f>IFERROR(__xludf.DUMMYFUNCTION("IF(REGEXMATCH(C82, ""m""), ""m"","""")"),"m")</f>
        <v>m</v>
      </c>
      <c r="J82" s="237" t="str">
        <f>IFERROR(__xludf.DUMMYFUNCTION("IF(REGEXMATCH(C82, ""M""), ""M"","""")"),"")</f>
        <v/>
      </c>
      <c r="K82" s="236" t="str">
        <f>IFERROR(__xludf.DUMMYFUNCTION("IF(REGEXMATCH(C82, ""P""), ""P"","""")"),"P")</f>
        <v>P</v>
      </c>
      <c r="L82" s="237" t="str">
        <f>IFERROR(__xludf.DUMMYFUNCTION("IF(REGEXMATCH(C82, ""d""), ""d"","""")"),"")</f>
        <v/>
      </c>
      <c r="M82" s="236" t="str">
        <f>IFERROR(__xludf.DUMMYFUNCTION("IF(REGEXMATCH(C82, ""D""), ""D"","""")"),"D")</f>
        <v>D</v>
      </c>
      <c r="N82" s="236" t="str">
        <f>IFERROR(__xludf.DUMMYFUNCTION("IF(REGEXMATCH(C82, ""n""), ""n"","""")"),"")</f>
        <v/>
      </c>
      <c r="O82" s="237" t="str">
        <f>IFERROR(__xludf.DUMMYFUNCTION("IF(REGEXMATCH(C82, ""N""), ""N"","""")"),"N")</f>
        <v>N</v>
      </c>
      <c r="P82" s="238" t="str">
        <f>IFERROR(__xludf.DUMMYFUNCTION("IF(REGEXMATCH(C82, ""S""), ""S"","""")"),"S")</f>
        <v>S</v>
      </c>
      <c r="Q82" s="239" t="str">
        <f>IFERROR(__xludf.DUMMYFUNCTION("SUBSTITUTE(CONCATENATE(JOIN(""-"",D82:J82)),""-"","""")"),"SRGm")</f>
        <v>SRGm</v>
      </c>
      <c r="R82" s="229" t="str">
        <f>IFERROR(__xludf.DUMMYFUNCTION("SUBSTITUTE(CONCATENATE(JOIN(""-"",K82:P82)),""-"","""")"),"PDNS")</f>
        <v>PDNS</v>
      </c>
      <c r="S82" s="282" t="str">
        <f t="shared" si="8"/>
        <v>S-R-G-M</v>
      </c>
      <c r="T82" s="282" t="str">
        <f t="shared" si="9"/>
        <v>P-D-N-S</v>
      </c>
      <c r="U82" s="237" t="str">
        <f>IFERROR(__xludf.DUMMYFUNCTION("SUBSTITUTE(JOIN(""-"",S82,T82),""--"",""-"")"),"S-R-G-M-P-D-N-S")</f>
        <v>S-R-G-M-P-D-N-S</v>
      </c>
      <c r="V82" s="309" t="str">
        <f t="shared" si="10"/>
        <v>RGmDN</v>
      </c>
      <c r="W82" s="244" t="str">
        <f>IFERROR(__xludf.DUMMYFUNCTION("IF(REGEXMATCH(C82, ""S""), ""0"","""")"),"0")</f>
        <v>0</v>
      </c>
      <c r="X82" s="245" t="str">
        <f>IFERROR(__xludf.DUMMYFUNCTION("IF(REGEXMATCH(C82, ""r""), ""1"","""")"),"")</f>
        <v/>
      </c>
      <c r="Y82" s="246" t="str">
        <f>IFERROR(__xludf.DUMMYFUNCTION("IF(REGEXMATCH(C82, ""R""), ""2"","""")"),"2")</f>
        <v>2</v>
      </c>
      <c r="Z82" s="246" t="str">
        <f>IFERROR(__xludf.DUMMYFUNCTION("IF(REGEXMATCH(C82, ""g""), ""3"","""")"),"")</f>
        <v/>
      </c>
      <c r="AA82" s="245" t="str">
        <f>IFERROR(__xludf.DUMMYFUNCTION("IF(REGEXMATCH(C82, ""G""), ""4"","""")"),"4")</f>
        <v>4</v>
      </c>
      <c r="AB82" s="245" t="str">
        <f>IFERROR(__xludf.DUMMYFUNCTION("IF(REGEXMATCH(C82, ""m""), ""5"","""")"),"5")</f>
        <v>5</v>
      </c>
      <c r="AC82" s="246" t="str">
        <f>IFERROR(__xludf.DUMMYFUNCTION("IF(REGEXMATCH(C82, ""M""), ""6"","""")"),"")</f>
        <v/>
      </c>
      <c r="AD82" s="245" t="str">
        <f>IFERROR(__xludf.DUMMYFUNCTION("IF(REGEXMATCH(C82, ""P""), ""7"","""")"),"7")</f>
        <v>7</v>
      </c>
      <c r="AE82" s="246" t="str">
        <f>IFERROR(__xludf.DUMMYFUNCTION("IF(REGEXMATCH(C82, ""d""), ""8"","""")"),"")</f>
        <v/>
      </c>
      <c r="AF82" s="245" t="str">
        <f>IFERROR(__xludf.DUMMYFUNCTION("IF(REGEXMATCH(C82, ""D""), ""9"","""")"),"9")</f>
        <v>9</v>
      </c>
      <c r="AG82" s="245" t="str">
        <f>IFERROR(__xludf.DUMMYFUNCTION("IF(REGEXMATCH(C82, ""n""), ""10"","""")"),"")</f>
        <v/>
      </c>
      <c r="AH82" s="246" t="str">
        <f>IFERROR(__xludf.DUMMYFUNCTION("IF(REGEXMATCH(C82, ""N""), ""11"","""")"),"11")</f>
        <v>11</v>
      </c>
      <c r="AI82" s="249" t="str">
        <f>IFERROR(__xludf.DUMMYFUNCTION("IF(REGEXMATCH(C82, ""S""), ""0"","""")"),"0")</f>
        <v>0</v>
      </c>
      <c r="AJ82" s="313" t="str">
        <f t="shared" si="11"/>
        <v>-</v>
      </c>
      <c r="AK82" s="313" t="str">
        <f t="shared" si="12"/>
        <v>-</v>
      </c>
      <c r="AL82" s="313" t="str">
        <f t="shared" si="13"/>
        <v>-</v>
      </c>
      <c r="AM82" s="313" t="str">
        <f t="shared" si="14"/>
        <v>-</v>
      </c>
      <c r="AN82" s="313" t="str">
        <f t="shared" si="15"/>
        <v>-</v>
      </c>
      <c r="AO82" s="314" t="str">
        <f t="shared" si="16"/>
        <v>T</v>
      </c>
      <c r="AP82" s="316">
        <f t="shared" si="17"/>
        <v>1</v>
      </c>
      <c r="AQ82" s="319" t="str">
        <f t="shared" si="18"/>
        <v>-</v>
      </c>
      <c r="AR82" s="320">
        <f t="shared" si="19"/>
        <v>0</v>
      </c>
      <c r="AS82" s="250" t="str">
        <f>IFERROR(__xludf.DUMMYFUNCTION("SUBSTITUTE(SUBSTITUTE(CONCATENATE(JOIN("""",FP82:GA82)),""|"",""x""),""-"",""o"")"),"xoxoxxoxoxox")</f>
        <v>xoxoxxoxoxox</v>
      </c>
      <c r="AT82" s="323" t="str">
        <f>IFERROR(__xludf.DUMMYFUNCTION("JOIN("""",AS82,AS82)"),"xoxoxxoxoxoxxoxoxxoxoxox")</f>
        <v>xoxoxxoxoxoxxoxoxxoxoxox</v>
      </c>
      <c r="AU82" s="256" t="str">
        <f>IFERROR(__xludf.DUMMYFUNCTION("JOIN("""",ArrayFormula(MID(AS82,LEN(AS82)-SEQUENCE(1,LEN(AS82))+1,1)))"),"xoxoxoxxoxox")</f>
        <v>xoxoxoxxoxox</v>
      </c>
      <c r="AV82" s="256" t="str">
        <f>IFERROR(__xludf.DUMMYFUNCTION("LEFT(CONCATENATE(""x"",JOIN("""",ArrayFormula(MID(AS82,LEN(AS82)-SEQUENCE(1,LEN(AS82))+1,1)))),12)"),"xxoxoxoxxoxo")</f>
        <v>xxoxoxoxxoxo</v>
      </c>
      <c r="AW82" s="327" t="str">
        <f>IFERROR(__xludf.DUMMYFUNCTION("JOIN("""",AU82,AU82)"),"xoxoxoxxoxoxxoxoxoxxoxox")</f>
        <v>xoxoxoxxoxoxxoxoxoxxoxox</v>
      </c>
      <c r="AX82" s="239" t="str">
        <f>IFERROR(__xludf.DUMMYFUNCTION("IF(REGEXMATCH(AW82,AS82),""✔"",""-"")"),"✔")</f>
        <v>✔</v>
      </c>
      <c r="AY82" s="330" t="str">
        <f t="shared" si="20"/>
        <v>-</v>
      </c>
      <c r="AZ82" s="260" t="str">
        <f t="shared" si="21"/>
        <v>#REF!</v>
      </c>
      <c r="BA82" s="333" t="str">
        <f t="shared" si="22"/>
        <v>xoxoxxo</v>
      </c>
      <c r="BB82" s="334" t="str">
        <f t="shared" si="23"/>
        <v>xoxoxx</v>
      </c>
      <c r="BC82" s="335" t="str">
        <f t="shared" si="236"/>
        <v>✔</v>
      </c>
      <c r="BD82" s="336" t="str">
        <f t="shared" si="25"/>
        <v>Dagori: 'xoxoxxo' + 'xoxoxx'</v>
      </c>
      <c r="BE82" s="337">
        <f>IFERROR(__xludf.DUMMYFUNCTION("COUNTUNIQUE(FILTER(AT:AT,REGEXMATCH(AT:AT,AS82)))-1"),6.0)</f>
        <v>6</v>
      </c>
      <c r="BF82" s="261" t="str">
        <f>IFERROR(__xludf.DUMMYFUNCTION("IF(BI82=0,""(n/a)"",IF(BJ82=2,""(PAIR)"",IF(REGEXMATCH(AT82,""xoxoxxoxoxox""),""Bilawal"",IF(REGEXMATCH(AT82,""xoxoxooxoxoo""),""Bhupali"",IF(REGEXMATCH(AT82,""xoxoxxoxxoxo""),""Charukeshi"",IF(REGEXMATCH(AT82,""xoxoooxxoxxo""),""Kameshwari"",IF(REGEXMATC"&amp;"H(AT82,""xoxoxooxoxox""),""Shankara"",IF(REGEXMATCH(AT82,""xxooxoxxxoox""),""Basant"",IF(REGEXMATCH(AT82,""xoxoxxxxoxox""),""Bihag"",IF(REGEXMATCH(AT82,""xoxxxxoxoxxx""),""Pilu"",IF(REGEXMATCH(AT82,""xoxxoxoxxoox""),""Kirwani"",IF(REGEXMATCH(AT82,""xoxxox"&amp;"oxoxxx""),""Mk.Malhar"",IF(REGEXMATCH(AT82,""xxooxxoxxoox""),""Bhairav"",IF(REGEXMATCH(AT82,""xxoxooxxxoox""),""Todi"",IF(REGEXMATCH(AT82,""xxooxoxooxox""),""Marwa"",IF(REGEXMATCH(AT82,""xxoooxoxxooo""),""Gunkali"",IF(REGEXMATCH(AT82,""xoxoxxoxxoox""),""N"&amp;"at Bhairav"",IF(REGEXMATCH(AT82,""xoxxoooxoxoo""),""Shivranjani"",IF(REGEXMATCH(AT82,""xooxxxoxooxo""),""Jog"",IF(REGEXMATCH(AT82,""xxooxoxoxoox""),""Hemshri"",IF(REGEXMATCH(AT82,""xoooxooxoxxo""),""Kalavati"",IF(REGEXMATCH(AT82,""xxoxoxxoxoox""),""Kedar"&amp;""",IF(REGEXMATCH(AT82,""xoxxxxoxooxx""),""Gara"",IF(REGEXMATCH(AT82,""xooxoxooxoox""),""Chandrakauns"",IF(REGEXMATCH(AT82,""xoxxxxoxxxox""),""Mand"",IF(REGEXMATCH(AT82,""xoxxxxoxoxox""),""Hanskinkini"",IF(REGEXMATCH(AT82,""xxooxxoxooxo""),""Lilavati"",IF("&amp;"REGEXMATCH(AT82,""xooxoxoooxox""),""Rajeshwari"",IF(REGEXMATCH(AT82,""xoooxxoxoxxx""),""Khokar"",IF(REGEXMATCH(AT82,""xxooxoxxxxox""),""Maligoura"",""-""))))))))))))))))))))))))))))))"),"Bilawal")</f>
        <v>Bilawal</v>
      </c>
      <c r="BG82" s="239" t="str">
        <f t="shared" si="26"/>
        <v>#REF!</v>
      </c>
      <c r="BH82" s="239">
        <f>IFERROR(__xludf.DUMMYFUNCTION("COUNTUNIQUE(FE82:FO82)-1"),6.0)</f>
        <v>6</v>
      </c>
      <c r="BI82" s="239">
        <f>IFERROR(__xludf.DUMMYFUNCTION("COUNTUNIQUE(FILTER(AT:AT,REGEXMATCH(AT:AT,AS82)))-1"),6.0)</f>
        <v>6</v>
      </c>
      <c r="BJ82" s="239">
        <f>IFERROR(__xludf.DUMMYFUNCTION("COUNTA(FILTER(AT:AT,REGEXMATCH(AT:AT,AS82)))"),48.0)</f>
        <v>48</v>
      </c>
      <c r="BK82" s="341">
        <f>IFERROR(__xludf.DUMMYFUNCTION("COUNTA(FILTER(AT:AT,REGEXMATCH(AT:AT,AS82)))-AR82"),48.0)</f>
        <v>48</v>
      </c>
      <c r="BL82" s="276" t="str">
        <f>IFERROR(__xludf.DUMMYFUNCTION("IF(AS82=""oooooooooooo"",""-"",IF(REGEXMATCH(AT82,""xx""), ""Hemi."", ""Anhemi.""))"),"Hemi.")</f>
        <v>Hemi.</v>
      </c>
      <c r="BM82" s="282" t="str">
        <f>IFERROR(__xludf.DUMMYFUNCTION("IF(AS82=""oooooooooooo"",""-"",IF(REGEXMATCH(AT82,""xxx""), ""Cohem."", ""-""))"),"-")</f>
        <v>-</v>
      </c>
      <c r="BN82" s="282" t="str">
        <f>IFERROR(__xludf.DUMMYFUNCTION("IF(AS82=""oooooooooooo"",""-"",IF(REGEXMATCH(AT82,""xxxx""), ""Co-Co."", ""-""))"),"-")</f>
        <v>-</v>
      </c>
      <c r="BO82" s="342" t="str">
        <f>IFERROR(__xludf.DUMMYFUNCTION("IF(AS82=""oooooooooooo"",""-"",IF(REGEXMATCH(AT82,""xxxxx""), ""CCC."", ""-""))"),"-")</f>
        <v>-</v>
      </c>
      <c r="BP82" s="344" t="str">
        <f t="shared" si="27"/>
        <v>Bilawal</v>
      </c>
      <c r="BQ82" s="282" t="str">
        <f>IFERROR(__xludf.DUMMYFUNCTION("IF(REGEXMATCH(JOIN(""-"",EU82:FD82),""TRUE""),""✔"",""-"")"),"✔")</f>
        <v>✔</v>
      </c>
      <c r="BR82" s="225">
        <f t="shared" si="28"/>
        <v>1</v>
      </c>
      <c r="BS82" s="345" t="str">
        <f>IFERROR(__xludf.DUMMYFUNCTION("SUBSTITUTE(SUBSTITUTE(SUBSTITUTE(SUBSTITUTE(CONCATENATE(JOIN(""-"",GC82:GO82)),""--"",""-""),""--"",""-""),""--"",""-""),""--"",""-"")"),"1-2-3-4-5-6-7-8")</f>
        <v>1-2-3-4-5-6-7-8</v>
      </c>
      <c r="BT82" s="299" t="str">
        <f>IFERROR(__xludf.DUMMYFUNCTION("SUBSTITUTE(SUBSTITUTE(SUBSTITUTE(SUBSTITUTE(CONCATENATE(JOIN(""-"",GP82:HB82)),""--"",""-""),""--"",""-""),""--"",""-""),""--"",""-"")"),"S-R2-G3-M1-P-D2-N3-S")</f>
        <v>S-R2-G3-M1-P-D2-N3-S</v>
      </c>
      <c r="BU82" s="348" t="str">
        <f t="shared" si="29"/>
        <v>C-D-E-F-G-A-B-C</v>
      </c>
      <c r="BV82" s="349" t="str">
        <f t="shared" si="30"/>
        <v>SrgMdnS</v>
      </c>
      <c r="BW82" s="350">
        <f t="shared" si="31"/>
        <v>1</v>
      </c>
      <c r="BX82" s="351">
        <f t="shared" si="32"/>
        <v>17</v>
      </c>
      <c r="BY82" s="392"/>
      <c r="BZ82" s="309" t="str">
        <f>IFERROR(__xludf.DUMMYFUNCTION("IF(REGEXMATCH(C82, ""S""), ""x"",""x"")"),"x")</f>
        <v>x</v>
      </c>
      <c r="CA82" s="245" t="str">
        <f>IFERROR(__xludf.DUMMYFUNCTION("IF(REGEXMATCH(C82, ""r""), ""o"",""x"")"),"x")</f>
        <v>x</v>
      </c>
      <c r="CB82" s="246" t="str">
        <f>IFERROR(__xludf.DUMMYFUNCTION("IF(REGEXMATCH(C82, ""R""), ""o"",""x"")"),"o")</f>
        <v>o</v>
      </c>
      <c r="CC82" s="246" t="str">
        <f>IFERROR(__xludf.DUMMYFUNCTION("IF(REGEXMATCH(C82, ""g""), ""o"",""x"")"),"x")</f>
        <v>x</v>
      </c>
      <c r="CD82" s="245" t="str">
        <f>IFERROR(__xludf.DUMMYFUNCTION("IF(REGEXMATCH(C82, ""G""), ""o"",""x"")"),"o")</f>
        <v>o</v>
      </c>
      <c r="CE82" s="245" t="str">
        <f>IFERROR(__xludf.DUMMYFUNCTION("IF(REGEXMATCH(C82, ""m""), ""o"",""x"")"),"o")</f>
        <v>o</v>
      </c>
      <c r="CF82" s="246" t="str">
        <f>IFERROR(__xludf.DUMMYFUNCTION("IF(REGEXMATCH(C82, ""M""), ""o"",""x"")"),"x")</f>
        <v>x</v>
      </c>
      <c r="CG82" s="245" t="str">
        <f>IFERROR(__xludf.DUMMYFUNCTION("IF(REGEXMATCH(C82, ""P""), ""o"",""x"")"),"o")</f>
        <v>o</v>
      </c>
      <c r="CH82" s="246" t="str">
        <f>IFERROR(__xludf.DUMMYFUNCTION("IF(REGEXMATCH(C82, ""d""), ""o"",""x"")"),"x")</f>
        <v>x</v>
      </c>
      <c r="CI82" s="245" t="str">
        <f>IFERROR(__xludf.DUMMYFUNCTION("IF(REGEXMATCH(C82, ""D""), ""o"",""x"")"),"o")</f>
        <v>o</v>
      </c>
      <c r="CJ82" s="245" t="str">
        <f>IFERROR(__xludf.DUMMYFUNCTION("IF(REGEXMATCH(C82, ""n""), ""o"",""x"")"),"x")</f>
        <v>x</v>
      </c>
      <c r="CK82" s="245" t="str">
        <f>IFERROR(__xludf.DUMMYFUNCTION("IF(REGEXMATCH(C82, ""N""), ""o"",""x"")"),"o")</f>
        <v>o</v>
      </c>
      <c r="CL82" s="356" t="str">
        <f>IFERROR(__xludf.DUMMYFUNCTION("IF(REGEXMATCH(C82, ""S""), ""x"",""x"")"),"x")</f>
        <v>x</v>
      </c>
      <c r="CM82" s="357" t="str">
        <f t="shared" si="33"/>
        <v>xxoxooxoxoxo</v>
      </c>
      <c r="CN82" s="358">
        <f t="shared" si="34"/>
        <v>1</v>
      </c>
      <c r="CO82" s="246" t="str">
        <f>IFERROR(__xludf.DUMMYFUNCTION("IF(REGEXMATCH($C82, ""S""), ""S"",""S"")"),"S")</f>
        <v>S</v>
      </c>
      <c r="CP82" s="246" t="str">
        <f>IFERROR(__xludf.DUMMYFUNCTION("IF(REGEXMATCH($C82, ""r""), """",""r"")"),"r")</f>
        <v>r</v>
      </c>
      <c r="CQ82" s="246" t="str">
        <f>IFERROR(__xludf.DUMMYFUNCTION("IF(REGEXMATCH($C82, ""R""), """",""R"")"),"")</f>
        <v/>
      </c>
      <c r="CR82" s="246" t="str">
        <f>IFERROR(__xludf.DUMMYFUNCTION("IF(REGEXMATCH($C82, ""g""), """",""g"")"),"g")</f>
        <v>g</v>
      </c>
      <c r="CS82" s="246" t="str">
        <f>IFERROR(__xludf.DUMMYFUNCTION("IF(REGEXMATCH($C82, ""G""), """",""G"")"),"")</f>
        <v/>
      </c>
      <c r="CT82" s="246" t="str">
        <f>IFERROR(__xludf.DUMMYFUNCTION("IF(REGEXMATCH($C82, ""m""), """",""m"")"),"")</f>
        <v/>
      </c>
      <c r="CU82" s="246" t="str">
        <f>IFERROR(__xludf.DUMMYFUNCTION("IF(REGEXMATCH($C82, ""M""), """",""M"")"),"M")</f>
        <v>M</v>
      </c>
      <c r="CV82" s="246" t="str">
        <f>IFERROR(__xludf.DUMMYFUNCTION("IF(REGEXMATCH($C82, ""P""), """",""P"")"),"")</f>
        <v/>
      </c>
      <c r="CW82" s="246" t="str">
        <f>IFERROR(__xludf.DUMMYFUNCTION("IF(REGEXMATCH($C82, ""d""), """",""d"")"),"d")</f>
        <v>d</v>
      </c>
      <c r="CX82" s="246" t="str">
        <f>IFERROR(__xludf.DUMMYFUNCTION("IF(REGEXMATCH($C82, ""D""), """",""D"")"),"")</f>
        <v/>
      </c>
      <c r="CY82" s="246" t="str">
        <f>IFERROR(__xludf.DUMMYFUNCTION("IF(REGEXMATCH($C82, ""n""), """",""n"")"),"n")</f>
        <v>n</v>
      </c>
      <c r="CZ82" s="246" t="str">
        <f>IFERROR(__xludf.DUMMYFUNCTION("IF(REGEXMATCH($C82, ""N""), """",""N"")"),"")</f>
        <v/>
      </c>
      <c r="DA82" s="246" t="str">
        <f>IFERROR(__xludf.DUMMYFUNCTION("IF(REGEXMATCH($C82, ""S""), ""S"",""S"")"),"S")</f>
        <v>S</v>
      </c>
      <c r="DB82" s="362" t="str">
        <f>IFERROR(__xludf.DUMMYFUNCTION("JOIN("""",CO82:DA82,"""","""")"),"SrgMdnS")</f>
        <v>SrgMdnS</v>
      </c>
      <c r="DC82" s="363"/>
      <c r="DD82" s="301" t="str">
        <f t="shared" si="35"/>
        <v>#REF!</v>
      </c>
      <c r="DE82" s="302" t="str">
        <f t="shared" si="36"/>
        <v>#REF!</v>
      </c>
      <c r="DF82" s="301" t="str">
        <f t="shared" ref="DF82:DG82" si="361">SUBSTITUTE(S82,"-","")</f>
        <v>SRGM</v>
      </c>
      <c r="DG82" s="301" t="str">
        <f t="shared" si="361"/>
        <v>PDNS</v>
      </c>
      <c r="DH82" s="302" t="str">
        <f t="shared" si="38"/>
        <v>Bilawal</v>
      </c>
      <c r="DI82" s="301" t="str">
        <f t="shared" si="39"/>
        <v>Hemi.</v>
      </c>
      <c r="DJ82" s="364" t="str">
        <f t="shared" si="40"/>
        <v>-</v>
      </c>
      <c r="DK82" s="306" t="str">
        <f t="shared" si="41"/>
        <v>Bilawal</v>
      </c>
      <c r="DL82" s="366" t="str">
        <f t="shared" si="42"/>
        <v>-</v>
      </c>
      <c r="DM82" s="308" t="str">
        <f t="shared" si="43"/>
        <v>-</v>
      </c>
      <c r="DN82" s="306" t="str">
        <f t="shared" si="44"/>
        <v>✔</v>
      </c>
      <c r="DO82" s="306" t="str">
        <f t="shared" si="45"/>
        <v>-</v>
      </c>
      <c r="DP82" s="367" t="str">
        <f t="shared" si="46"/>
        <v>-</v>
      </c>
      <c r="DQ82" s="310" t="str">
        <f t="shared" si="47"/>
        <v>-</v>
      </c>
      <c r="DR82" s="310" t="str">
        <f t="shared" si="48"/>
        <v>-</v>
      </c>
      <c r="DS82" s="310" t="str">
        <f t="shared" si="49"/>
        <v>-</v>
      </c>
      <c r="DT82" s="310" t="str">
        <f t="shared" si="50"/>
        <v>-</v>
      </c>
      <c r="DU82" s="370" t="str">
        <f t="shared" si="51"/>
        <v>-</v>
      </c>
      <c r="DV82" s="306" t="str">
        <f t="shared" si="52"/>
        <v>-</v>
      </c>
      <c r="DW82" s="306" t="str">
        <f t="shared" si="53"/>
        <v>-</v>
      </c>
      <c r="DX82" s="306" t="str">
        <f t="shared" si="54"/>
        <v>-</v>
      </c>
      <c r="DY82" s="306" t="str">
        <f t="shared" si="55"/>
        <v>-</v>
      </c>
      <c r="DZ82" s="306" t="str">
        <f t="shared" si="56"/>
        <v>-</v>
      </c>
      <c r="EA82" s="367" t="str">
        <f t="shared" si="57"/>
        <v>-</v>
      </c>
      <c r="EB82" s="310" t="str">
        <f>IFERROR(__xludf.DUMMYFUNCTION("IF(REGEXMATCH(AW82,AS82),""✔"",""-"")"),"✔")</f>
        <v>✔</v>
      </c>
      <c r="EC82" s="310" t="str">
        <f t="shared" si="58"/>
        <v>#REF!</v>
      </c>
      <c r="ED82" s="370" t="str">
        <f t="shared" si="59"/>
        <v>-</v>
      </c>
      <c r="EE82" s="340" t="str">
        <f t="shared" si="60"/>
        <v>S-R-G-m-P-D-N-S</v>
      </c>
      <c r="EF82" s="371" t="str">
        <f>IFERROR(__xludf.DUMMYFUNCTION("CONCATENATE(JOIN("""",HC82:HO82))"),"SrgmPdnS")</f>
        <v>SrgmPdnS</v>
      </c>
      <c r="EG82" s="372">
        <f t="shared" si="61"/>
        <v>1</v>
      </c>
      <c r="EH82" s="373" t="str">
        <f>IFERROR(__xludf.DUMMYFUNCTION("CONCATENATE(JOIN("""",JC82:JO82))"),"Ni, ")</f>
        <v>Ni, </v>
      </c>
      <c r="EI82" s="322">
        <f t="shared" si="62"/>
        <v>0</v>
      </c>
      <c r="EJ82" s="374" t="str">
        <f>IFERROR(__xludf.DUMMYFUNCTION("CONCATENATE(JOIN("""",KC82:KO82))"),"")</f>
        <v/>
      </c>
      <c r="EK82" s="325" t="str">
        <f t="shared" si="63"/>
        <v>S-R2-G3-M1-P-D2-N3-S</v>
      </c>
      <c r="EL82" s="326" t="str">
        <f t="shared" si="64"/>
        <v>1-2-3-4-5-6-7-8</v>
      </c>
      <c r="EM82" s="318" t="str">
        <f t="shared" si="65"/>
        <v>#REF!</v>
      </c>
      <c r="EN82" s="328" t="str">
        <f>IFERROR(__xludf.DUMMYFUNCTION("SUBSTITUTE(SUBSTITUTE(SUBSTITUTE(SUBSTITUTE(CONCATENATE(JOIN("" "",HP82:IB82)),""  "","" ""),""  "","" ""),""  "","" ""),""  "","" "")"),"o • o • o o • o • o • o o")</f>
        <v>o • o • o o • o • o • o o</v>
      </c>
      <c r="EO82" s="368" t="str">
        <f t="shared" si="66"/>
        <v>-</v>
      </c>
      <c r="EP82" s="339" t="str">
        <f t="shared" si="67"/>
        <v>-</v>
      </c>
      <c r="EQ82" s="339" t="str">
        <f t="shared" si="68"/>
        <v>Sa-Pa</v>
      </c>
      <c r="ER82" s="339" t="str">
        <f t="shared" si="69"/>
        <v>-</v>
      </c>
      <c r="ES82" s="340" t="str">
        <f t="shared" si="70"/>
        <v>-</v>
      </c>
      <c r="ET82" s="363"/>
      <c r="EU82" s="376" t="b">
        <f>IFERROR(__xludf.DUMMYFUNCTION("arrayformula(sum(--REGEXMATCH(""SRGMPDNS"",split(REGEXREPLACE(C82,""(.)"",""$1~""),""~""))))=len(C82)
"),FALSE)</f>
        <v>0</v>
      </c>
      <c r="EV82" s="290" t="b">
        <f>IFERROR(__xludf.DUMMYFUNCTION("arrayformula(sum(--REGEXMATCH(""SRGmPDNS"",split(REGEXREPLACE(C82,""(.)"",""$1~""),""~""))))=len(C82)"),TRUE)</f>
        <v>1</v>
      </c>
      <c r="EW82" s="290" t="b">
        <f>IFERROR(__xludf.DUMMYFUNCTION("arrayformula(sum(--REGEXMATCH(""SRGmPDnS"",split(REGEXREPLACE(C82,""(.)"",""$1~""),""~""))))=len(C82)"),FALSE)</f>
        <v>0</v>
      </c>
      <c r="EX82" s="290" t="b">
        <f>IFERROR(__xludf.DUMMYFUNCTION("arrayformula(sum(--REGEXMATCH(""SRgmPDnS"",split(REGEXREPLACE(C82,""(.)"",""$1~""),""~""))))=len(C82)"),FALSE)</f>
        <v>0</v>
      </c>
      <c r="EY82" s="290" t="b">
        <f>IFERROR(__xludf.DUMMYFUNCTION("arrayformula(sum(--REGEXMATCH(""SRgmPdnS"",split(REGEXREPLACE(C82,""(.)"",""$1~""),""~""))))=len(C82)"),FALSE)</f>
        <v>0</v>
      </c>
      <c r="EZ82" s="290" t="b">
        <f>IFERROR(__xludf.DUMMYFUNCTION("arrayformula(sum(--REGEXMATCH(""SrgmPdnS"",split(REGEXREPLACE(C82,""(.)"",""$1~""),""~""))))=len(C82)"),FALSE)</f>
        <v>0</v>
      </c>
      <c r="FA82" s="290" t="b">
        <f>IFERROR(__xludf.DUMMYFUNCTION("arrayformula(sum(--REGEXMATCH(""SrGmPdNS"",split(REGEXREPLACE(C82,""(.)"",""$1~""),""~""))))=len(C82)"),FALSE)</f>
        <v>0</v>
      </c>
      <c r="FB82" s="290" t="b">
        <f>IFERROR(__xludf.DUMMYFUNCTION("arrayformula(sum(--REGEXMATCH(""SrGMPDNS"",split(REGEXREPLACE(C82,""(.)"",""$1~""),""~""))))=len(C82)"),FALSE)</f>
        <v>0</v>
      </c>
      <c r="FC82" s="290" t="b">
        <f>IFERROR(__xludf.DUMMYFUNCTION("arrayformula(sum(--REGEXMATCH(""SrGMPdNS"",split(REGEXREPLACE(C82,""(.)"",""$1~""),""~""))))=len(C82)"),FALSE)</f>
        <v>0</v>
      </c>
      <c r="FD82" s="377" t="b">
        <f>IFERROR(__xludf.DUMMYFUNCTION("arrayformula(sum(--REGEXMATCH(""SrgMPdNS"",split(REGEXREPLACE(C82,""(.)"",""$1~""),""~""))))=len(C82)"),FALSE)</f>
        <v>0</v>
      </c>
      <c r="FE82" s="269" t="str">
        <f t="shared" si="71"/>
        <v>-</v>
      </c>
      <c r="FF82" s="269" t="str">
        <f t="shared" si="72"/>
        <v>xoxxoxoxoxx</v>
      </c>
      <c r="FG82" s="271" t="str">
        <f t="shared" si="73"/>
        <v>-</v>
      </c>
      <c r="FH82" s="269" t="str">
        <f t="shared" si="74"/>
        <v>xxoxoxoxxox</v>
      </c>
      <c r="FI82" s="271" t="str">
        <f t="shared" si="75"/>
        <v>xoxoxoxxoxo</v>
      </c>
      <c r="FJ82" s="271" t="str">
        <f t="shared" si="76"/>
        <v>-</v>
      </c>
      <c r="FK82" s="271" t="str">
        <f t="shared" si="77"/>
        <v>xoxoxxoxoxx</v>
      </c>
      <c r="FL82" s="271" t="str">
        <f t="shared" si="78"/>
        <v>-</v>
      </c>
      <c r="FM82" s="271" t="str">
        <f t="shared" si="79"/>
        <v>xoxxoxoxxox</v>
      </c>
      <c r="FN82" s="271" t="str">
        <f t="shared" si="80"/>
        <v>-</v>
      </c>
      <c r="FO82" s="274" t="str">
        <f t="shared" si="81"/>
        <v>xxoxoxxoxox</v>
      </c>
      <c r="FP82" s="234" t="str">
        <f t="shared" si="82"/>
        <v>|</v>
      </c>
      <c r="FQ82" s="236" t="str">
        <f t="shared" si="83"/>
        <v>-</v>
      </c>
      <c r="FR82" s="237" t="str">
        <f t="shared" si="84"/>
        <v>|</v>
      </c>
      <c r="FS82" s="236" t="str">
        <f t="shared" si="85"/>
        <v>-</v>
      </c>
      <c r="FT82" s="237" t="str">
        <f t="shared" si="86"/>
        <v>|</v>
      </c>
      <c r="FU82" s="236" t="str">
        <f t="shared" si="87"/>
        <v>|</v>
      </c>
      <c r="FV82" s="237" t="str">
        <f t="shared" si="88"/>
        <v>-</v>
      </c>
      <c r="FW82" s="236" t="str">
        <f t="shared" si="89"/>
        <v>|</v>
      </c>
      <c r="FX82" s="237" t="str">
        <f t="shared" si="90"/>
        <v>-</v>
      </c>
      <c r="FY82" s="236" t="str">
        <f t="shared" si="91"/>
        <v>|</v>
      </c>
      <c r="FZ82" s="237" t="str">
        <f t="shared" si="92"/>
        <v>-</v>
      </c>
      <c r="GA82" s="236" t="str">
        <f t="shared" si="93"/>
        <v>|</v>
      </c>
      <c r="GB82" s="238" t="str">
        <f t="shared" si="94"/>
        <v>|</v>
      </c>
      <c r="GC82" s="244" t="str">
        <f>IFERROR(__xludf.DUMMYFUNCTION("IF(REGEXMATCH(C82, ""S""), ""1"","""")"),"1")</f>
        <v>1</v>
      </c>
      <c r="GD82" s="245" t="str">
        <f>IFERROR(__xludf.DUMMYFUNCTION("IF(REGEXMATCH(C82, ""r""), ""b2"","""")"),"")</f>
        <v/>
      </c>
      <c r="GE82" s="246" t="str">
        <f>IFERROR(__xludf.DUMMYFUNCTION("IF(REGEXMATCH(C82, ""R""), ""2"","""")"),"2")</f>
        <v>2</v>
      </c>
      <c r="GF82" s="246" t="str">
        <f>IFERROR(__xludf.DUMMYFUNCTION("IF(REGEXMATCH(C82, ""g""), ""b3"","""")"),"")</f>
        <v/>
      </c>
      <c r="GG82" s="245" t="str">
        <f>IFERROR(__xludf.DUMMYFUNCTION("IF(REGEXMATCH(C82, ""G""), ""3"","""")"),"3")</f>
        <v>3</v>
      </c>
      <c r="GH82" s="245" t="str">
        <f>IFERROR(__xludf.DUMMYFUNCTION("IF(REGEXMATCH(C82, ""m""), ""4"","""")"),"4")</f>
        <v>4</v>
      </c>
      <c r="GI82" s="246" t="str">
        <f>IFERROR(__xludf.DUMMYFUNCTION("IF(REGEXMATCH(C82, ""M""), ""#4"","""")"),"")</f>
        <v/>
      </c>
      <c r="GJ82" s="245" t="str">
        <f>IFERROR(__xludf.DUMMYFUNCTION("IF(REGEXMATCH(C82, ""P""), ""5"","""")"),"5")</f>
        <v>5</v>
      </c>
      <c r="GK82" s="246" t="str">
        <f>IFERROR(__xludf.DUMMYFUNCTION("IF(REGEXMATCH(C82, ""d""), ""b6"","""")"),"")</f>
        <v/>
      </c>
      <c r="GL82" s="245" t="str">
        <f>IFERROR(__xludf.DUMMYFUNCTION("IF(REGEXMATCH(C82, ""D""), ""6"","""")"),"6")</f>
        <v>6</v>
      </c>
      <c r="GM82" s="245" t="str">
        <f>IFERROR(__xludf.DUMMYFUNCTION("IF(REGEXMATCH(C82, ""n""), ""b7"","""")"),"")</f>
        <v/>
      </c>
      <c r="GN82" s="246" t="str">
        <f>IFERROR(__xludf.DUMMYFUNCTION("IF(REGEXMATCH(C82, ""N""), ""7"","""")"),"7")</f>
        <v>7</v>
      </c>
      <c r="GO82" s="249" t="str">
        <f>IFERROR(__xludf.DUMMYFUNCTION("IF(REGEXMATCH(C82, ""S""), ""8"","""")"),"8")</f>
        <v>8</v>
      </c>
      <c r="GP82" s="244" t="str">
        <f>IFERROR(__xludf.DUMMYFUNCTION("IF(REGEXMATCH(C82, ""S""), ""S"","""")"),"S")</f>
        <v>S</v>
      </c>
      <c r="GQ82" s="294" t="str">
        <f>IFERROR(__xludf.DUMMYFUNCTION("IF(REGEXMATCH(C82, ""r""), ""R1"","""")"),"")</f>
        <v/>
      </c>
      <c r="GR82" s="295" t="str">
        <f>IFERROR(__xludf.DUMMYFUNCTION("IF(REGEXMATCH(C82, ""R""), ""R2"","""")"),"R2")</f>
        <v>R2</v>
      </c>
      <c r="GS82" s="295" t="str">
        <f>IFERROR(__xludf.DUMMYFUNCTION("IF(REGEXMATCH(C82, ""g""), ""G2"","""")"),"")</f>
        <v/>
      </c>
      <c r="GT82" s="294" t="str">
        <f>IFERROR(__xludf.DUMMYFUNCTION("IF(REGEXMATCH(C82, ""G""), ""G3"","""")"),"G3")</f>
        <v>G3</v>
      </c>
      <c r="GU82" s="294" t="str">
        <f>IFERROR(__xludf.DUMMYFUNCTION("IF(REGEXMATCH(C82, ""m""), ""M1"","""")"),"M1")</f>
        <v>M1</v>
      </c>
      <c r="GV82" s="295" t="str">
        <f>IFERROR(__xludf.DUMMYFUNCTION("IF(REGEXMATCH(C82, ""M""), ""M2"","""")"),"")</f>
        <v/>
      </c>
      <c r="GW82" s="294" t="str">
        <f>IFERROR(__xludf.DUMMYFUNCTION("IF(REGEXMATCH(C82, ""P""), ""P"","""")"),"P")</f>
        <v>P</v>
      </c>
      <c r="GX82" s="295" t="str">
        <f>IFERROR(__xludf.DUMMYFUNCTION("IF(REGEXMATCH(C82, ""d""), ""D1"","""")"),"")</f>
        <v/>
      </c>
      <c r="GY82" s="294" t="str">
        <f>IFERROR(__xludf.DUMMYFUNCTION("IF(REGEXMATCH(C82, ""D""), ""D2"","""")"),"D2")</f>
        <v>D2</v>
      </c>
      <c r="GZ82" s="294" t="str">
        <f>IFERROR(__xludf.DUMMYFUNCTION("IF(REGEXMATCH(C82, ""n""), ""N2"","""")"),"")</f>
        <v/>
      </c>
      <c r="HA82" s="295" t="str">
        <f>IFERROR(__xludf.DUMMYFUNCTION("IF(REGEXMATCH(C82, ""N""), ""N3"","""")"),"N3")</f>
        <v>N3</v>
      </c>
      <c r="HB82" s="249" t="str">
        <f>IFERROR(__xludf.DUMMYFUNCTION("IF(REGEXMATCH(C82, ""S""), ""S"","""")"),"S")</f>
        <v>S</v>
      </c>
      <c r="HC82" s="331" t="str">
        <f t="shared" si="95"/>
        <v>S</v>
      </c>
      <c r="HD82" s="332" t="str">
        <f t="shared" si="96"/>
        <v>r</v>
      </c>
      <c r="HE82" s="332" t="str">
        <f t="shared" si="97"/>
        <v/>
      </c>
      <c r="HF82" s="332" t="str">
        <f t="shared" si="98"/>
        <v>g</v>
      </c>
      <c r="HG82" s="332" t="str">
        <f t="shared" si="99"/>
        <v/>
      </c>
      <c r="HH82" s="332" t="str">
        <f t="shared" si="100"/>
        <v>m</v>
      </c>
      <c r="HI82" s="332" t="str">
        <f t="shared" si="101"/>
        <v/>
      </c>
      <c r="HJ82" s="332" t="str">
        <f t="shared" si="102"/>
        <v>P</v>
      </c>
      <c r="HK82" s="332" t="str">
        <f t="shared" si="103"/>
        <v>d</v>
      </c>
      <c r="HL82" s="332" t="str">
        <f t="shared" si="104"/>
        <v/>
      </c>
      <c r="HM82" s="332" t="str">
        <f t="shared" si="105"/>
        <v>n</v>
      </c>
      <c r="HN82" s="332" t="str">
        <f t="shared" si="106"/>
        <v/>
      </c>
      <c r="HO82" s="343" t="str">
        <f t="shared" si="107"/>
        <v>S</v>
      </c>
      <c r="HP82" s="331" t="str">
        <f t="shared" si="108"/>
        <v>o</v>
      </c>
      <c r="HQ82" s="332" t="str">
        <f t="shared" si="109"/>
        <v>•</v>
      </c>
      <c r="HR82" s="332" t="str">
        <f t="shared" si="110"/>
        <v>o</v>
      </c>
      <c r="HS82" s="332" t="str">
        <f t="shared" si="111"/>
        <v>•</v>
      </c>
      <c r="HT82" s="332" t="str">
        <f t="shared" si="112"/>
        <v>o</v>
      </c>
      <c r="HU82" s="332" t="str">
        <f t="shared" si="113"/>
        <v>o</v>
      </c>
      <c r="HV82" s="332" t="str">
        <f t="shared" si="114"/>
        <v>•</v>
      </c>
      <c r="HW82" s="332" t="str">
        <f t="shared" si="115"/>
        <v>o</v>
      </c>
      <c r="HX82" s="332" t="str">
        <f t="shared" si="116"/>
        <v>•</v>
      </c>
      <c r="HY82" s="332" t="str">
        <f t="shared" si="117"/>
        <v>o</v>
      </c>
      <c r="HZ82" s="332" t="str">
        <f t="shared" si="118"/>
        <v>•</v>
      </c>
      <c r="IA82" s="332" t="str">
        <f t="shared" si="119"/>
        <v>o</v>
      </c>
      <c r="IB82" s="338" t="str">
        <f t="shared" si="120"/>
        <v>o</v>
      </c>
      <c r="IC82" s="331" t="str">
        <f t="shared" si="121"/>
        <v>•</v>
      </c>
      <c r="ID82" s="332" t="str">
        <f t="shared" si="122"/>
        <v>o</v>
      </c>
      <c r="IE82" s="332" t="str">
        <f t="shared" si="123"/>
        <v>•</v>
      </c>
      <c r="IF82" s="332" t="str">
        <f t="shared" si="124"/>
        <v>o</v>
      </c>
      <c r="IG82" s="332" t="str">
        <f t="shared" si="125"/>
        <v>•</v>
      </c>
      <c r="IH82" s="332" t="str">
        <f t="shared" si="126"/>
        <v>•</v>
      </c>
      <c r="II82" s="332" t="str">
        <f t="shared" si="127"/>
        <v>o</v>
      </c>
      <c r="IJ82" s="332" t="str">
        <f t="shared" si="128"/>
        <v>•</v>
      </c>
      <c r="IK82" s="332" t="str">
        <f t="shared" si="129"/>
        <v>o</v>
      </c>
      <c r="IL82" s="332" t="str">
        <f t="shared" si="130"/>
        <v>•</v>
      </c>
      <c r="IM82" s="332" t="str">
        <f t="shared" si="131"/>
        <v>o</v>
      </c>
      <c r="IN82" s="332" t="str">
        <f t="shared" si="132"/>
        <v>•</v>
      </c>
      <c r="IO82" s="338" t="str">
        <f t="shared" si="133"/>
        <v>•</v>
      </c>
      <c r="IP82" s="346" t="b">
        <f t="shared" si="134"/>
        <v>0</v>
      </c>
      <c r="IQ82" s="347" t="b">
        <f t="shared" si="135"/>
        <v>0</v>
      </c>
      <c r="IR82" s="347" t="b">
        <f t="shared" si="136"/>
        <v>0</v>
      </c>
      <c r="IS82" s="347" t="b">
        <f t="shared" si="137"/>
        <v>0</v>
      </c>
      <c r="IT82" s="347" t="b">
        <f t="shared" si="138"/>
        <v>0</v>
      </c>
      <c r="IU82" s="347" t="b">
        <f t="shared" si="139"/>
        <v>0</v>
      </c>
      <c r="IV82" s="347" t="b">
        <f t="shared" si="140"/>
        <v>0</v>
      </c>
      <c r="IW82" s="347" t="b">
        <f t="shared" si="141"/>
        <v>0</v>
      </c>
      <c r="IX82" s="347" t="b">
        <f t="shared" si="142"/>
        <v>0</v>
      </c>
      <c r="IY82" s="347" t="b">
        <f t="shared" si="143"/>
        <v>0</v>
      </c>
      <c r="IZ82" s="347" t="b">
        <f t="shared" si="144"/>
        <v>0</v>
      </c>
      <c r="JA82" s="347" t="b">
        <f t="shared" si="145"/>
        <v>1</v>
      </c>
      <c r="JB82" s="353" t="b">
        <f t="shared" si="146"/>
        <v>0</v>
      </c>
      <c r="JC82" s="354" t="str">
        <f t="shared" si="147"/>
        <v/>
      </c>
      <c r="JD82" s="355" t="str">
        <f t="shared" si="148"/>
        <v/>
      </c>
      <c r="JE82" s="355" t="str">
        <f t="shared" si="149"/>
        <v/>
      </c>
      <c r="JF82" s="355" t="str">
        <f t="shared" si="150"/>
        <v/>
      </c>
      <c r="JG82" s="355" t="str">
        <f t="shared" si="151"/>
        <v/>
      </c>
      <c r="JH82" s="355" t="str">
        <f t="shared" si="152"/>
        <v/>
      </c>
      <c r="JI82" s="355" t="str">
        <f t="shared" si="153"/>
        <v/>
      </c>
      <c r="JJ82" s="355" t="str">
        <f t="shared" si="154"/>
        <v/>
      </c>
      <c r="JK82" s="355" t="str">
        <f t="shared" si="155"/>
        <v/>
      </c>
      <c r="JL82" s="355" t="str">
        <f t="shared" si="156"/>
        <v/>
      </c>
      <c r="JM82" s="355" t="str">
        <f t="shared" si="157"/>
        <v/>
      </c>
      <c r="JN82" s="355" t="str">
        <f t="shared" si="158"/>
        <v>Ni, </v>
      </c>
      <c r="JO82" s="359" t="str">
        <f t="shared" si="159"/>
        <v/>
      </c>
      <c r="JP82" s="346" t="b">
        <f t="shared" si="160"/>
        <v>0</v>
      </c>
      <c r="JQ82" s="347" t="b">
        <f t="shared" si="161"/>
        <v>0</v>
      </c>
      <c r="JR82" s="347" t="b">
        <f t="shared" si="162"/>
        <v>0</v>
      </c>
      <c r="JS82" s="347" t="b">
        <f t="shared" si="163"/>
        <v>0</v>
      </c>
      <c r="JT82" s="347" t="b">
        <f t="shared" si="164"/>
        <v>0</v>
      </c>
      <c r="JU82" s="347" t="b">
        <f t="shared" si="165"/>
        <v>0</v>
      </c>
      <c r="JV82" s="347" t="b">
        <f t="shared" si="166"/>
        <v>0</v>
      </c>
      <c r="JW82" s="347" t="b">
        <f t="shared" si="167"/>
        <v>0</v>
      </c>
      <c r="JX82" s="347" t="b">
        <f t="shared" si="168"/>
        <v>0</v>
      </c>
      <c r="JY82" s="347" t="b">
        <f t="shared" si="169"/>
        <v>0</v>
      </c>
      <c r="JZ82" s="347" t="b">
        <f t="shared" si="170"/>
        <v>0</v>
      </c>
      <c r="KA82" s="347" t="b">
        <f t="shared" si="171"/>
        <v>0</v>
      </c>
      <c r="KB82" s="365" t="b">
        <f t="shared" si="172"/>
        <v>0</v>
      </c>
      <c r="KC82" s="354" t="str">
        <f t="shared" si="173"/>
        <v/>
      </c>
      <c r="KD82" s="355" t="str">
        <f t="shared" si="174"/>
        <v/>
      </c>
      <c r="KE82" s="355" t="str">
        <f t="shared" si="175"/>
        <v/>
      </c>
      <c r="KF82" s="355" t="str">
        <f t="shared" si="176"/>
        <v/>
      </c>
      <c r="KG82" s="355" t="str">
        <f t="shared" si="177"/>
        <v/>
      </c>
      <c r="KH82" s="355" t="str">
        <f t="shared" si="178"/>
        <v/>
      </c>
      <c r="KI82" s="355" t="str">
        <f t="shared" si="179"/>
        <v/>
      </c>
      <c r="KJ82" s="355" t="str">
        <f t="shared" si="180"/>
        <v/>
      </c>
      <c r="KK82" s="355" t="str">
        <f t="shared" si="181"/>
        <v/>
      </c>
      <c r="KL82" s="355" t="str">
        <f t="shared" si="182"/>
        <v/>
      </c>
      <c r="KM82" s="355" t="str">
        <f t="shared" si="183"/>
        <v/>
      </c>
      <c r="KN82" s="355" t="str">
        <f t="shared" si="184"/>
        <v/>
      </c>
      <c r="KO82" s="359"/>
      <c r="KP82" s="378"/>
      <c r="KQ82" s="379" t="s">
        <v>554</v>
      </c>
      <c r="KR82" s="380" t="s">
        <v>1357</v>
      </c>
      <c r="KS82" s="381" t="str">
        <f t="shared" si="362"/>
        <v>S-R-G-m-P-D-N-S</v>
      </c>
      <c r="KT82" s="382">
        <f t="shared" si="186"/>
        <v>7</v>
      </c>
      <c r="KU82" s="383">
        <f t="shared" si="187"/>
        <v>7</v>
      </c>
      <c r="KV82" s="381" t="str">
        <f t="shared" si="205"/>
        <v>S-N-D-P-m-G-R-S</v>
      </c>
      <c r="KW82" s="382">
        <f t="shared" si="189"/>
        <v>7</v>
      </c>
      <c r="KX82" s="384">
        <f t="shared" si="190"/>
        <v>7</v>
      </c>
      <c r="KY82" s="382">
        <f t="shared" ref="KY82:KZ82" si="363">KW82-KT82</f>
        <v>0</v>
      </c>
      <c r="KZ82" s="369">
        <f t="shared" si="363"/>
        <v>0</v>
      </c>
      <c r="LA82" s="385" t="str">
        <f t="shared" si="192"/>
        <v>✔</v>
      </c>
      <c r="LB82" s="340" t="str">
        <f>IFERROR(__xludf.DUMMYFUNCTION("JOIN("""",ArrayFormula(MID(KS82,LEN(KS82)-SEQUENCE(1,LEN(KS82))+1,1)))"),"S-N-D-P-m-G-R-S")</f>
        <v>S-N-D-P-m-G-R-S</v>
      </c>
      <c r="LC82" s="373" t="str">
        <f>IFERROR(__xludf.DUMMYFUNCTION("JOIN("""",ArrayFormula(MID(KV82,LEN(KV82)-SEQUENCE(1,LEN(KV82))+1,1)))"),"S-R-G-m-P-D-N-S")</f>
        <v>S-R-G-m-P-D-N-S</v>
      </c>
      <c r="LD82" s="373" t="str">
        <f t="shared" si="193"/>
        <v>SRGmPDNS</v>
      </c>
      <c r="LE82" s="339" t="str">
        <f t="shared" si="194"/>
        <v>SRGmPDNS</v>
      </c>
      <c r="LF82" s="386" t="str">
        <f>IFERROR(__xludf.DUMMYFUNCTION("SUBSTITUTE(SUBSTITUTE(CONCATENATE(JOIN("""",LH82:LT82)),""1"",""""),""2"","""")"),"SRGmPDNS")</f>
        <v>SRGmPDNS</v>
      </c>
      <c r="LG82" s="369" t="str">
        <f t="shared" si="195"/>
        <v>✔</v>
      </c>
      <c r="LH82" s="387" t="str">
        <f>IFERROR(__xludf.DUMMYFUNCTION("IF(REGEXMATCH(LD82, ""S""), ""S"",IF(REGEXMATCH(LE82, ""S""), ""S"",""""))"),"S")</f>
        <v>S</v>
      </c>
      <c r="LI82" s="299" t="str">
        <f>IFERROR(__xludf.DUMMYFUNCTION("IF(REGEXMATCH(LD82, ""r""), ""r1"",IF(REGEXMATCH(LE82, ""r""), ""r2"",""""))"),"")</f>
        <v/>
      </c>
      <c r="LJ82" s="299" t="str">
        <f>IFERROR(__xludf.DUMMYFUNCTION("IF(REGEXMATCH(LD82, ""R""), ""R1"",IF(REGEXMATCH(LE82, ""R""), ""R2"",""""))"),"R1")</f>
        <v>R1</v>
      </c>
      <c r="LK82" s="299" t="str">
        <f>IFERROR(__xludf.DUMMYFUNCTION("IF(REGEXMATCH(LD82, ""g""), ""g1"",IF(REGEXMATCH(LE82, ""g""), ""g2"",""""))"),"")</f>
        <v/>
      </c>
      <c r="LL82" s="299" t="str">
        <f>IFERROR(__xludf.DUMMYFUNCTION("IF(REGEXMATCH(LD82, ""G""), ""G1"",IF(REGEXMATCH(LE82, ""G""), ""G2"",""""))"),"G1")</f>
        <v>G1</v>
      </c>
      <c r="LM82" s="299" t="str">
        <f>IFERROR(__xludf.DUMMYFUNCTION("IF(REGEXMATCH(LD82, ""m""), ""m1"",IF(REGEXMATCH(LE82, ""m""), ""m2"",""""))"),"m1")</f>
        <v>m1</v>
      </c>
      <c r="LN82" s="299" t="str">
        <f>IFERROR(__xludf.DUMMYFUNCTION("IF(REGEXMATCH(LD82, ""M""), ""M1"",IF(REGEXMATCH(LE82, ""M""), ""M2"",""""))"),"")</f>
        <v/>
      </c>
      <c r="LO82" s="299" t="str">
        <f>IFERROR(__xludf.DUMMYFUNCTION("IF(REGEXMATCH(LD82, ""P""), ""P1"",IF(REGEXMATCH(LE82, ""P""), ""P2"",""""))"),"P1")</f>
        <v>P1</v>
      </c>
      <c r="LP82" s="299" t="str">
        <f>IFERROR(__xludf.DUMMYFUNCTION("IF(REGEXMATCH(LD82, ""d""), ""d1"",IF(REGEXMATCH(LE82, ""d""), ""d2"",""""))"),"")</f>
        <v/>
      </c>
      <c r="LQ82" s="299" t="str">
        <f>IFERROR(__xludf.DUMMYFUNCTION("IF(REGEXMATCH(LD82, ""D""), ""D1"",IF(REGEXMATCH(LE82, ""D""), ""D2"",""""))"),"D1")</f>
        <v>D1</v>
      </c>
      <c r="LR82" s="299" t="str">
        <f>IFERROR(__xludf.DUMMYFUNCTION("IF(REGEXMATCH(LD82, ""n""), ""n1"",IF(REGEXMATCH(LE82, ""n""), ""n2"",""""))"),"")</f>
        <v/>
      </c>
      <c r="LS82" s="299" t="str">
        <f>IFERROR(__xludf.DUMMYFUNCTION("IF(REGEXMATCH(LD82, ""N""), ""N1"",IF(REGEXMATCH(LE82, ""N""), ""N2"",""""))"),"N1")</f>
        <v>N1</v>
      </c>
      <c r="LT82" s="388" t="str">
        <f>IFERROR(__xludf.DUMMYFUNCTION("IF(REGEXMATCH(LD82, ""S""), ""S"",IF(REGEXMATCH(LE82, ""S""), ""S"",""""))"),"S")</f>
        <v>S</v>
      </c>
      <c r="LU82" s="389">
        <f t="shared" si="196"/>
        <v>1</v>
      </c>
      <c r="LV82" s="378"/>
      <c r="LW82" s="369"/>
      <c r="LX82" s="369"/>
    </row>
    <row r="83" ht="18.0" customHeight="1">
      <c r="A83" s="298" t="s">
        <v>668</v>
      </c>
      <c r="B83" s="222" t="s">
        <v>603</v>
      </c>
      <c r="C83" s="233" t="str">
        <f t="shared" si="7"/>
        <v>SrGmPDNS</v>
      </c>
      <c r="D83" s="234" t="str">
        <f>IFERROR(__xludf.DUMMYFUNCTION("IF(REGEXMATCH(C83, ""S""), ""S"","""")"),"S")</f>
        <v>S</v>
      </c>
      <c r="E83" s="236" t="str">
        <f>IFERROR(__xludf.DUMMYFUNCTION("IF(REGEXMATCH(C83, ""r""), ""r"","""")"),"r")</f>
        <v>r</v>
      </c>
      <c r="F83" s="237" t="str">
        <f>IFERROR(__xludf.DUMMYFUNCTION("IF(REGEXMATCH(C83, ""R""), ""R"","""")"),"")</f>
        <v/>
      </c>
      <c r="G83" s="237" t="str">
        <f>IFERROR(__xludf.DUMMYFUNCTION("IF(REGEXMATCH(C83, ""g""), ""g"","""")"),"")</f>
        <v/>
      </c>
      <c r="H83" s="236" t="str">
        <f>IFERROR(__xludf.DUMMYFUNCTION("IF(REGEXMATCH(C83, ""G""), ""G"","""")"),"G")</f>
        <v>G</v>
      </c>
      <c r="I83" s="236" t="str">
        <f>IFERROR(__xludf.DUMMYFUNCTION("IF(REGEXMATCH(C83, ""m""), ""m"","""")"),"m")</f>
        <v>m</v>
      </c>
      <c r="J83" s="237" t="str">
        <f>IFERROR(__xludf.DUMMYFUNCTION("IF(REGEXMATCH(C83, ""M""), ""M"","""")"),"")</f>
        <v/>
      </c>
      <c r="K83" s="236" t="str">
        <f>IFERROR(__xludf.DUMMYFUNCTION("IF(REGEXMATCH(C83, ""P""), ""P"","""")"),"P")</f>
        <v>P</v>
      </c>
      <c r="L83" s="237" t="str">
        <f>IFERROR(__xludf.DUMMYFUNCTION("IF(REGEXMATCH(C83, ""d""), ""d"","""")"),"")</f>
        <v/>
      </c>
      <c r="M83" s="236" t="str">
        <f>IFERROR(__xludf.DUMMYFUNCTION("IF(REGEXMATCH(C83, ""D""), ""D"","""")"),"D")</f>
        <v>D</v>
      </c>
      <c r="N83" s="236" t="str">
        <f>IFERROR(__xludf.DUMMYFUNCTION("IF(REGEXMATCH(C83, ""n""), ""n"","""")"),"")</f>
        <v/>
      </c>
      <c r="O83" s="237" t="str">
        <f>IFERROR(__xludf.DUMMYFUNCTION("IF(REGEXMATCH(C83, ""N""), ""N"","""")"),"N")</f>
        <v>N</v>
      </c>
      <c r="P83" s="238" t="str">
        <f>IFERROR(__xludf.DUMMYFUNCTION("IF(REGEXMATCH(C83, ""S""), ""S"","""")"),"S")</f>
        <v>S</v>
      </c>
      <c r="Q83" s="239" t="str">
        <f>IFERROR(__xludf.DUMMYFUNCTION("SUBSTITUTE(CONCATENATE(JOIN(""-"",D83:J83)),""-"","""")"),"SrGm")</f>
        <v>SrGm</v>
      </c>
      <c r="R83" s="229" t="str">
        <f>IFERROR(__xludf.DUMMYFUNCTION("SUBSTITUTE(CONCATENATE(JOIN(""-"",K83:P83)),""-"","""")"),"PDNS")</f>
        <v>PDNS</v>
      </c>
      <c r="S83" s="282" t="str">
        <f t="shared" si="8"/>
        <v>S-R-G-M</v>
      </c>
      <c r="T83" s="282" t="str">
        <f t="shared" si="9"/>
        <v>P-D-N-S</v>
      </c>
      <c r="U83" s="237" t="str">
        <f>IFERROR(__xludf.DUMMYFUNCTION("SUBSTITUTE(JOIN(""-"",S83,T83),""--"",""-"")"),"S-R-G-M-P-D-N-S")</f>
        <v>S-R-G-M-P-D-N-S</v>
      </c>
      <c r="V83" s="309" t="str">
        <f t="shared" si="10"/>
        <v>rGmDN</v>
      </c>
      <c r="W83" s="244" t="str">
        <f>IFERROR(__xludf.DUMMYFUNCTION("IF(REGEXMATCH(C83, ""S""), ""0"","""")"),"0")</f>
        <v>0</v>
      </c>
      <c r="X83" s="245" t="str">
        <f>IFERROR(__xludf.DUMMYFUNCTION("IF(REGEXMATCH(C83, ""r""), ""1"","""")"),"1")</f>
        <v>1</v>
      </c>
      <c r="Y83" s="246" t="str">
        <f>IFERROR(__xludf.DUMMYFUNCTION("IF(REGEXMATCH(C83, ""R""), ""2"","""")"),"")</f>
        <v/>
      </c>
      <c r="Z83" s="246" t="str">
        <f>IFERROR(__xludf.DUMMYFUNCTION("IF(REGEXMATCH(C83, ""g""), ""3"","""")"),"")</f>
        <v/>
      </c>
      <c r="AA83" s="245" t="str">
        <f>IFERROR(__xludf.DUMMYFUNCTION("IF(REGEXMATCH(C83, ""G""), ""4"","""")"),"4")</f>
        <v>4</v>
      </c>
      <c r="AB83" s="245" t="str">
        <f>IFERROR(__xludf.DUMMYFUNCTION("IF(REGEXMATCH(C83, ""m""), ""5"","""")"),"5")</f>
        <v>5</v>
      </c>
      <c r="AC83" s="246" t="str">
        <f>IFERROR(__xludf.DUMMYFUNCTION("IF(REGEXMATCH(C83, ""M""), ""6"","""")"),"")</f>
        <v/>
      </c>
      <c r="AD83" s="245" t="str">
        <f>IFERROR(__xludf.DUMMYFUNCTION("IF(REGEXMATCH(C83, ""P""), ""7"","""")"),"7")</f>
        <v>7</v>
      </c>
      <c r="AE83" s="246" t="str">
        <f>IFERROR(__xludf.DUMMYFUNCTION("IF(REGEXMATCH(C83, ""d""), ""8"","""")"),"")</f>
        <v/>
      </c>
      <c r="AF83" s="245" t="str">
        <f>IFERROR(__xludf.DUMMYFUNCTION("IF(REGEXMATCH(C83, ""D""), ""9"","""")"),"9")</f>
        <v>9</v>
      </c>
      <c r="AG83" s="245" t="str">
        <f>IFERROR(__xludf.DUMMYFUNCTION("IF(REGEXMATCH(C83, ""n""), ""10"","""")"),"")</f>
        <v/>
      </c>
      <c r="AH83" s="246" t="str">
        <f>IFERROR(__xludf.DUMMYFUNCTION("IF(REGEXMATCH(C83, ""N""), ""11"","""")"),"11")</f>
        <v>11</v>
      </c>
      <c r="AI83" s="249" t="str">
        <f>IFERROR(__xludf.DUMMYFUNCTION("IF(REGEXMATCH(C83, ""S""), ""0"","""")"),"0")</f>
        <v>0</v>
      </c>
      <c r="AJ83" s="313" t="str">
        <f t="shared" si="11"/>
        <v>-</v>
      </c>
      <c r="AK83" s="313" t="str">
        <f t="shared" si="12"/>
        <v>T</v>
      </c>
      <c r="AL83" s="313" t="str">
        <f t="shared" si="13"/>
        <v>-</v>
      </c>
      <c r="AM83" s="313" t="str">
        <f t="shared" si="14"/>
        <v>-</v>
      </c>
      <c r="AN83" s="313" t="str">
        <f t="shared" si="15"/>
        <v>-</v>
      </c>
      <c r="AO83" s="314" t="str">
        <f t="shared" si="16"/>
        <v>T</v>
      </c>
      <c r="AP83" s="316">
        <f t="shared" si="17"/>
        <v>2</v>
      </c>
      <c r="AQ83" s="319" t="str">
        <f t="shared" si="18"/>
        <v>#REF!</v>
      </c>
      <c r="AR83" s="320">
        <f t="shared" si="19"/>
        <v>0</v>
      </c>
      <c r="AS83" s="250" t="str">
        <f>IFERROR(__xludf.DUMMYFUNCTION("SUBSTITUTE(SUBSTITUTE(CONCATENATE(JOIN("""",FP83:GA83)),""|"",""x""),""-"",""o"")"),"xxooxxoxoxox")</f>
        <v>xxooxxoxoxox</v>
      </c>
      <c r="AT83" s="323" t="str">
        <f>IFERROR(__xludf.DUMMYFUNCTION("JOIN("""",AS83,AS83)"),"xxooxxoxoxoxxxooxxoxoxox")</f>
        <v>xxooxxoxoxoxxxooxxoxoxox</v>
      </c>
      <c r="AU83" s="256" t="str">
        <f>IFERROR(__xludf.DUMMYFUNCTION("JOIN("""",ArrayFormula(MID(AS83,LEN(AS83)-SEQUENCE(1,LEN(AS83))+1,1)))"),"xoxoxoxxooxx")</f>
        <v>xoxoxoxxooxx</v>
      </c>
      <c r="AV83" s="256" t="str">
        <f>IFERROR(__xludf.DUMMYFUNCTION("LEFT(CONCATENATE(""x"",JOIN("""",ArrayFormula(MID(AS83,LEN(AS83)-SEQUENCE(1,LEN(AS83))+1,1)))),12)"),"xxoxoxoxxoox")</f>
        <v>xxoxoxoxxoox</v>
      </c>
      <c r="AW83" s="327" t="str">
        <f>IFERROR(__xludf.DUMMYFUNCTION("JOIN("""",AU83,AU83)"),"xoxoxoxxooxxxoxoxoxxooxx")</f>
        <v>xoxoxoxxooxxxoxoxoxxooxx</v>
      </c>
      <c r="AX83" s="239" t="str">
        <f>IFERROR(__xludf.DUMMYFUNCTION("IF(REGEXMATCH(AW83,AS83),""✔"",""-"")"),"-")</f>
        <v>-</v>
      </c>
      <c r="AY83" s="330" t="str">
        <f t="shared" si="20"/>
        <v>-</v>
      </c>
      <c r="AZ83" s="260" t="str">
        <f t="shared" si="21"/>
        <v>#REF!</v>
      </c>
      <c r="BA83" s="333" t="str">
        <f t="shared" si="22"/>
        <v>xxooxxo</v>
      </c>
      <c r="BB83" s="334" t="str">
        <f t="shared" si="23"/>
        <v>xoxoxx</v>
      </c>
      <c r="BC83" s="335" t="str">
        <f t="shared" si="236"/>
        <v>-</v>
      </c>
      <c r="BD83" s="336" t="str">
        <f t="shared" si="25"/>
        <v>Dakshinatya Basant: 'xxooxxo' + 'xoxoxx'</v>
      </c>
      <c r="BE83" s="337">
        <f>IFERROR(__xludf.DUMMYFUNCTION("COUNTUNIQUE(FILTER(AT:AT,REGEXMATCH(AT:AT,AS83)))-1"),1.0)</f>
        <v>1</v>
      </c>
      <c r="BF83" s="261" t="str">
        <f>IFERROR(__xludf.DUMMYFUNCTION("IF(BI83=0,""(n/a)"",IF(BJ83=2,""(PAIR)"",IF(REGEXMATCH(AT83,""xoxoxxoxoxox""),""Bilawal"",IF(REGEXMATCH(AT83,""xoxoxooxoxoo""),""Bhupali"",IF(REGEXMATCH(AT83,""xoxoxxoxxoxo""),""Charukeshi"",IF(REGEXMATCH(AT83,""xoxoooxxoxxo""),""Kameshwari"",IF(REGEXMATC"&amp;"H(AT83,""xoxoxooxoxox""),""Shankara"",IF(REGEXMATCH(AT83,""xxooxoxxxoox""),""Basant"",IF(REGEXMATCH(AT83,""xoxoxxxxoxox""),""Bihag"",IF(REGEXMATCH(AT83,""xoxxxxoxoxxx""),""Pilu"",IF(REGEXMATCH(AT83,""xoxxoxoxxoox""),""Kirwani"",IF(REGEXMATCH(AT83,""xoxxox"&amp;"oxoxxx""),""Mk.Malhar"",IF(REGEXMATCH(AT83,""xxooxxoxxoox""),""Bhairav"",IF(REGEXMATCH(AT83,""xxoxooxxxoox""),""Todi"",IF(REGEXMATCH(AT83,""xxooxoxooxox""),""Marwa"",IF(REGEXMATCH(AT83,""xxoooxoxxooo""),""Gunkali"",IF(REGEXMATCH(AT83,""xoxoxxoxxoox""),""N"&amp;"at Bhairav"",IF(REGEXMATCH(AT83,""xoxxoooxoxoo""),""Shivranjani"",IF(REGEXMATCH(AT83,""xooxxxoxooxo""),""Jog"",IF(REGEXMATCH(AT83,""xxooxoxoxoox""),""Hemshri"",IF(REGEXMATCH(AT83,""xoooxooxoxxo""),""Kalavati"",IF(REGEXMATCH(AT83,""xxoxoxxoxoox""),""Kedar"&amp;""",IF(REGEXMATCH(AT83,""xoxxxxoxooxx""),""Gara"",IF(REGEXMATCH(AT83,""xooxoxooxoox""),""Chandrakauns"",IF(REGEXMATCH(AT83,""xoxxxxoxxxox""),""Mand"",IF(REGEXMATCH(AT83,""xoxxxxoxoxox""),""Hanskinkini"",IF(REGEXMATCH(AT83,""xxooxxoxooxo""),""Lilavati"",IF("&amp;"REGEXMATCH(AT83,""xooxoxoooxox""),""Rajeshwari"",IF(REGEXMATCH(AT83,""xoooxxoxoxxx""),""Khokar"",IF(REGEXMATCH(AT83,""xxooxoxxxxox""),""Maligoura"",""-""))))))))))))))))))))))))))))))"),"-")</f>
        <v>-</v>
      </c>
      <c r="BG83" s="239" t="str">
        <f t="shared" si="26"/>
        <v>#REF!</v>
      </c>
      <c r="BH83" s="239">
        <f>IFERROR(__xludf.DUMMYFUNCTION("COUNTUNIQUE(FE83:FO83)-1"),6.0)</f>
        <v>6</v>
      </c>
      <c r="BI83" s="239">
        <f>IFERROR(__xludf.DUMMYFUNCTION("COUNTUNIQUE(FILTER(AT:AT,REGEXMATCH(AT:AT,AS83)))-1"),1.0)</f>
        <v>1</v>
      </c>
      <c r="BJ83" s="239">
        <f>IFERROR(__xludf.DUMMYFUNCTION("COUNTA(FILTER(AT:AT,REGEXMATCH(AT:AT,AS83)))"),4.0)</f>
        <v>4</v>
      </c>
      <c r="BK83" s="341">
        <f>IFERROR(__xludf.DUMMYFUNCTION("COUNTA(FILTER(AT:AT,REGEXMATCH(AT:AT,AS83)))-AR83"),4.0)</f>
        <v>4</v>
      </c>
      <c r="BL83" s="276" t="str">
        <f>IFERROR(__xludf.DUMMYFUNCTION("IF(AS83=""oooooooooooo"",""-"",IF(REGEXMATCH(AT83,""xx""), ""Hemi."", ""Anhemi.""))"),"Hemi.")</f>
        <v>Hemi.</v>
      </c>
      <c r="BM83" s="282" t="str">
        <f>IFERROR(__xludf.DUMMYFUNCTION("IF(AS83=""oooooooooooo"",""-"",IF(REGEXMATCH(AT83,""xxx""), ""Cohem."", ""-""))"),"Cohem.")</f>
        <v>Cohem.</v>
      </c>
      <c r="BN83" s="282" t="str">
        <f>IFERROR(__xludf.DUMMYFUNCTION("IF(AS83=""oooooooooooo"",""-"",IF(REGEXMATCH(AT83,""xxxx""), ""Co-Co."", ""-""))"),"-")</f>
        <v>-</v>
      </c>
      <c r="BO83" s="342" t="str">
        <f>IFERROR(__xludf.DUMMYFUNCTION("IF(AS83=""oooooooooooo"",""-"",IF(REGEXMATCH(AT83,""xxxxx""), ""CCC."", ""-""))"),"-")</f>
        <v>-</v>
      </c>
      <c r="BP83" s="344" t="str">
        <f t="shared" si="27"/>
        <v>-</v>
      </c>
      <c r="BQ83" s="282" t="str">
        <f>IFERROR(__xludf.DUMMYFUNCTION("IF(REGEXMATCH(JOIN(""-"",EU83:FD83),""TRUE""),""✔"",""-"")"),"-")</f>
        <v>-</v>
      </c>
      <c r="BR83" s="225">
        <f t="shared" si="28"/>
        <v>0</v>
      </c>
      <c r="BS83" s="345" t="str">
        <f>IFERROR(__xludf.DUMMYFUNCTION("SUBSTITUTE(SUBSTITUTE(SUBSTITUTE(SUBSTITUTE(CONCATENATE(JOIN(""-"",GC83:GO83)),""--"",""-""),""--"",""-""),""--"",""-""),""--"",""-"")"),"1-b2-3-4-5-6-7-8")</f>
        <v>1-b2-3-4-5-6-7-8</v>
      </c>
      <c r="BT83" s="299" t="str">
        <f>IFERROR(__xludf.DUMMYFUNCTION("SUBSTITUTE(SUBSTITUTE(SUBSTITUTE(SUBSTITUTE(CONCATENATE(JOIN(""-"",GP83:HB83)),""--"",""-""),""--"",""-""),""--"",""-""),""--"",""-"")"),"S-R1-G3-M1-P-D2-N3-S")</f>
        <v>S-R1-G3-M1-P-D2-N3-S</v>
      </c>
      <c r="BU83" s="348" t="str">
        <f t="shared" si="29"/>
        <v>C-Db-E-F-G-A-B-C</v>
      </c>
      <c r="BV83" s="349" t="str">
        <f t="shared" si="30"/>
        <v>SRgMdnS</v>
      </c>
      <c r="BW83" s="350">
        <f t="shared" si="31"/>
        <v>0</v>
      </c>
      <c r="BX83" s="351">
        <f t="shared" si="32"/>
        <v>3</v>
      </c>
      <c r="BY83" s="392"/>
      <c r="BZ83" s="309" t="str">
        <f>IFERROR(__xludf.DUMMYFUNCTION("IF(REGEXMATCH(C83, ""S""), ""x"",""x"")"),"x")</f>
        <v>x</v>
      </c>
      <c r="CA83" s="245" t="str">
        <f>IFERROR(__xludf.DUMMYFUNCTION("IF(REGEXMATCH(C83, ""r""), ""o"",""x"")"),"o")</f>
        <v>o</v>
      </c>
      <c r="CB83" s="246" t="str">
        <f>IFERROR(__xludf.DUMMYFUNCTION("IF(REGEXMATCH(C83, ""R""), ""o"",""x"")"),"x")</f>
        <v>x</v>
      </c>
      <c r="CC83" s="246" t="str">
        <f>IFERROR(__xludf.DUMMYFUNCTION("IF(REGEXMATCH(C83, ""g""), ""o"",""x"")"),"x")</f>
        <v>x</v>
      </c>
      <c r="CD83" s="245" t="str">
        <f>IFERROR(__xludf.DUMMYFUNCTION("IF(REGEXMATCH(C83, ""G""), ""o"",""x"")"),"o")</f>
        <v>o</v>
      </c>
      <c r="CE83" s="245" t="str">
        <f>IFERROR(__xludf.DUMMYFUNCTION("IF(REGEXMATCH(C83, ""m""), ""o"",""x"")"),"o")</f>
        <v>o</v>
      </c>
      <c r="CF83" s="246" t="str">
        <f>IFERROR(__xludf.DUMMYFUNCTION("IF(REGEXMATCH(C83, ""M""), ""o"",""x"")"),"x")</f>
        <v>x</v>
      </c>
      <c r="CG83" s="245" t="str">
        <f>IFERROR(__xludf.DUMMYFUNCTION("IF(REGEXMATCH(C83, ""P""), ""o"",""x"")"),"o")</f>
        <v>o</v>
      </c>
      <c r="CH83" s="246" t="str">
        <f>IFERROR(__xludf.DUMMYFUNCTION("IF(REGEXMATCH(C83, ""d""), ""o"",""x"")"),"x")</f>
        <v>x</v>
      </c>
      <c r="CI83" s="245" t="str">
        <f>IFERROR(__xludf.DUMMYFUNCTION("IF(REGEXMATCH(C83, ""D""), ""o"",""x"")"),"o")</f>
        <v>o</v>
      </c>
      <c r="CJ83" s="245" t="str">
        <f>IFERROR(__xludf.DUMMYFUNCTION("IF(REGEXMATCH(C83, ""n""), ""o"",""x"")"),"x")</f>
        <v>x</v>
      </c>
      <c r="CK83" s="245" t="str">
        <f>IFERROR(__xludf.DUMMYFUNCTION("IF(REGEXMATCH(C83, ""N""), ""o"",""x"")"),"o")</f>
        <v>o</v>
      </c>
      <c r="CL83" s="356" t="str">
        <f>IFERROR(__xludf.DUMMYFUNCTION("IF(REGEXMATCH(C83, ""S""), ""x"",""x"")"),"x")</f>
        <v>x</v>
      </c>
      <c r="CM83" s="357" t="str">
        <f t="shared" si="33"/>
        <v>xoxxooxoxoxo</v>
      </c>
      <c r="CN83" s="358">
        <f t="shared" si="34"/>
        <v>0</v>
      </c>
      <c r="CO83" s="246" t="str">
        <f>IFERROR(__xludf.DUMMYFUNCTION("IF(REGEXMATCH($C83, ""S""), ""S"",""S"")"),"S")</f>
        <v>S</v>
      </c>
      <c r="CP83" s="246" t="str">
        <f>IFERROR(__xludf.DUMMYFUNCTION("IF(REGEXMATCH($C83, ""r""), """",""r"")"),"")</f>
        <v/>
      </c>
      <c r="CQ83" s="246" t="str">
        <f>IFERROR(__xludf.DUMMYFUNCTION("IF(REGEXMATCH($C83, ""R""), """",""R"")"),"R")</f>
        <v>R</v>
      </c>
      <c r="CR83" s="246" t="str">
        <f>IFERROR(__xludf.DUMMYFUNCTION("IF(REGEXMATCH($C83, ""g""), """",""g"")"),"g")</f>
        <v>g</v>
      </c>
      <c r="CS83" s="246" t="str">
        <f>IFERROR(__xludf.DUMMYFUNCTION("IF(REGEXMATCH($C83, ""G""), """",""G"")"),"")</f>
        <v/>
      </c>
      <c r="CT83" s="246" t="str">
        <f>IFERROR(__xludf.DUMMYFUNCTION("IF(REGEXMATCH($C83, ""m""), """",""m"")"),"")</f>
        <v/>
      </c>
      <c r="CU83" s="246" t="str">
        <f>IFERROR(__xludf.DUMMYFUNCTION("IF(REGEXMATCH($C83, ""M""), """",""M"")"),"M")</f>
        <v>M</v>
      </c>
      <c r="CV83" s="246" t="str">
        <f>IFERROR(__xludf.DUMMYFUNCTION("IF(REGEXMATCH($C83, ""P""), """",""P"")"),"")</f>
        <v/>
      </c>
      <c r="CW83" s="246" t="str">
        <f>IFERROR(__xludf.DUMMYFUNCTION("IF(REGEXMATCH($C83, ""d""), """",""d"")"),"d")</f>
        <v>d</v>
      </c>
      <c r="CX83" s="246" t="str">
        <f>IFERROR(__xludf.DUMMYFUNCTION("IF(REGEXMATCH($C83, ""D""), """",""D"")"),"")</f>
        <v/>
      </c>
      <c r="CY83" s="246" t="str">
        <f>IFERROR(__xludf.DUMMYFUNCTION("IF(REGEXMATCH($C83, ""n""), """",""n"")"),"n")</f>
        <v>n</v>
      </c>
      <c r="CZ83" s="246" t="str">
        <f>IFERROR(__xludf.DUMMYFUNCTION("IF(REGEXMATCH($C83, ""N""), """",""N"")"),"")</f>
        <v/>
      </c>
      <c r="DA83" s="246" t="str">
        <f>IFERROR(__xludf.DUMMYFUNCTION("IF(REGEXMATCH($C83, ""S""), ""S"",""S"")"),"S")</f>
        <v>S</v>
      </c>
      <c r="DB83" s="362" t="str">
        <f>IFERROR(__xludf.DUMMYFUNCTION("JOIN("""",CO83:DA83,"""","""")"),"SRgMdnS")</f>
        <v>SRgMdnS</v>
      </c>
      <c r="DC83" s="363"/>
      <c r="DD83" s="301" t="str">
        <f t="shared" si="35"/>
        <v>#REF!</v>
      </c>
      <c r="DE83" s="302" t="str">
        <f t="shared" si="36"/>
        <v>#REF!</v>
      </c>
      <c r="DF83" s="301" t="str">
        <f t="shared" ref="DF83:DG83" si="364">SUBSTITUTE(S83,"-","")</f>
        <v>SRGM</v>
      </c>
      <c r="DG83" s="301" t="str">
        <f t="shared" si="364"/>
        <v>PDNS</v>
      </c>
      <c r="DH83" s="302" t="str">
        <f t="shared" si="38"/>
        <v>-</v>
      </c>
      <c r="DI83" s="301" t="str">
        <f t="shared" si="39"/>
        <v>Hemi.</v>
      </c>
      <c r="DJ83" s="364" t="str">
        <f t="shared" si="40"/>
        <v>Cohem.</v>
      </c>
      <c r="DK83" s="306" t="str">
        <f t="shared" si="41"/>
        <v>-</v>
      </c>
      <c r="DL83" s="366" t="str">
        <f t="shared" si="42"/>
        <v>-</v>
      </c>
      <c r="DM83" s="308" t="str">
        <f t="shared" si="43"/>
        <v>✔</v>
      </c>
      <c r="DN83" s="306" t="str">
        <f t="shared" si="44"/>
        <v>-</v>
      </c>
      <c r="DO83" s="306" t="str">
        <f t="shared" si="45"/>
        <v>-</v>
      </c>
      <c r="DP83" s="367" t="str">
        <f t="shared" si="46"/>
        <v>-</v>
      </c>
      <c r="DQ83" s="310" t="str">
        <f t="shared" si="47"/>
        <v>-</v>
      </c>
      <c r="DR83" s="310" t="str">
        <f t="shared" si="48"/>
        <v>-</v>
      </c>
      <c r="DS83" s="310" t="str">
        <f t="shared" si="49"/>
        <v>-</v>
      </c>
      <c r="DT83" s="310" t="str">
        <f t="shared" si="50"/>
        <v>-</v>
      </c>
      <c r="DU83" s="370" t="str">
        <f t="shared" si="51"/>
        <v>-</v>
      </c>
      <c r="DV83" s="306" t="str">
        <f t="shared" si="52"/>
        <v>-</v>
      </c>
      <c r="DW83" s="306" t="str">
        <f t="shared" si="53"/>
        <v>-</v>
      </c>
      <c r="DX83" s="306" t="str">
        <f t="shared" si="54"/>
        <v>-</v>
      </c>
      <c r="DY83" s="306" t="str">
        <f t="shared" si="55"/>
        <v>-</v>
      </c>
      <c r="DZ83" s="306" t="str">
        <f t="shared" si="56"/>
        <v>-</v>
      </c>
      <c r="EA83" s="367" t="str">
        <f t="shared" si="57"/>
        <v>-</v>
      </c>
      <c r="EB83" s="310" t="str">
        <f>IFERROR(__xludf.DUMMYFUNCTION("IF(REGEXMATCH(AW83,AS83),""✔"",""-"")"),"-")</f>
        <v>-</v>
      </c>
      <c r="EC83" s="310" t="str">
        <f t="shared" si="58"/>
        <v>#REF!</v>
      </c>
      <c r="ED83" s="370" t="str">
        <f t="shared" si="59"/>
        <v>-</v>
      </c>
      <c r="EE83" s="340" t="str">
        <f t="shared" si="60"/>
        <v>S-r-G-m-P-D-N-S</v>
      </c>
      <c r="EF83" s="371" t="str">
        <f>IFERROR(__xludf.DUMMYFUNCTION("CONCATENATE(JOIN("""",HC83:HO83))"),"SrgmPdNS")</f>
        <v>SrgmPdNS</v>
      </c>
      <c r="EG83" s="372">
        <f t="shared" si="61"/>
        <v>3</v>
      </c>
      <c r="EH83" s="373" t="str">
        <f>IFERROR(__xludf.DUMMYFUNCTION("CONCATENATE(JOIN("""",JC83:JO83))"),"re, Pa, Ni, ")</f>
        <v>re, Pa, Ni, </v>
      </c>
      <c r="EI83" s="322">
        <f t="shared" si="62"/>
        <v>1</v>
      </c>
      <c r="EJ83" s="374" t="str">
        <f>IFERROR(__xludf.DUMMYFUNCTION("CONCATENATE(JOIN("""",KC83:KO83))"),"re, ")</f>
        <v>re, </v>
      </c>
      <c r="EK83" s="325" t="str">
        <f t="shared" si="63"/>
        <v>S-R1-G3-M1-P-D2-N3-S</v>
      </c>
      <c r="EL83" s="326" t="str">
        <f t="shared" si="64"/>
        <v>1-b2-3-4-5-6-7-8</v>
      </c>
      <c r="EM83" s="318" t="str">
        <f t="shared" si="65"/>
        <v>#REF!</v>
      </c>
      <c r="EN83" s="328" t="str">
        <f>IFERROR(__xludf.DUMMYFUNCTION("SUBSTITUTE(SUBSTITUTE(SUBSTITUTE(SUBSTITUTE(CONCATENATE(JOIN("" "",HP83:IB83)),""  "","" ""),""  "","" ""),""  "","" ""),""  "","" "")"),"o o • • o o • o • o • o o")</f>
        <v>o o • • o o • o • o • o o</v>
      </c>
      <c r="EO83" s="368" t="str">
        <f t="shared" si="66"/>
        <v>-</v>
      </c>
      <c r="EP83" s="339" t="str">
        <f t="shared" si="67"/>
        <v>-</v>
      </c>
      <c r="EQ83" s="339" t="str">
        <f t="shared" si="68"/>
        <v>Sa-Pa</v>
      </c>
      <c r="ER83" s="339" t="str">
        <f t="shared" si="69"/>
        <v>-</v>
      </c>
      <c r="ES83" s="340" t="str">
        <f t="shared" si="70"/>
        <v>-</v>
      </c>
      <c r="ET83" s="363"/>
      <c r="EU83" s="376" t="b">
        <f>IFERROR(__xludf.DUMMYFUNCTION("arrayformula(sum(--REGEXMATCH(""SRGMPDNS"",split(REGEXREPLACE(C83,""(.)"",""$1~""),""~""))))=len(C83)
"),FALSE)</f>
        <v>0</v>
      </c>
      <c r="EV83" s="290" t="b">
        <f>IFERROR(__xludf.DUMMYFUNCTION("arrayformula(sum(--REGEXMATCH(""SRGmPDNS"",split(REGEXREPLACE(C83,""(.)"",""$1~""),""~""))))=len(C83)"),FALSE)</f>
        <v>0</v>
      </c>
      <c r="EW83" s="290" t="b">
        <f>IFERROR(__xludf.DUMMYFUNCTION("arrayformula(sum(--REGEXMATCH(""SRGmPDnS"",split(REGEXREPLACE(C83,""(.)"",""$1~""),""~""))))=len(C83)"),FALSE)</f>
        <v>0</v>
      </c>
      <c r="EX83" s="290" t="b">
        <f>IFERROR(__xludf.DUMMYFUNCTION("arrayformula(sum(--REGEXMATCH(""SRgmPDnS"",split(REGEXREPLACE(C83,""(.)"",""$1~""),""~""))))=len(C83)"),FALSE)</f>
        <v>0</v>
      </c>
      <c r="EY83" s="290" t="b">
        <f>IFERROR(__xludf.DUMMYFUNCTION("arrayformula(sum(--REGEXMATCH(""SRgmPdnS"",split(REGEXREPLACE(C83,""(.)"",""$1~""),""~""))))=len(C83)"),FALSE)</f>
        <v>0</v>
      </c>
      <c r="EZ83" s="290" t="b">
        <f>IFERROR(__xludf.DUMMYFUNCTION("arrayformula(sum(--REGEXMATCH(""SrgmPdnS"",split(REGEXREPLACE(C83,""(.)"",""$1~""),""~""))))=len(C83)"),FALSE)</f>
        <v>0</v>
      </c>
      <c r="FA83" s="290" t="b">
        <f>IFERROR(__xludf.DUMMYFUNCTION("arrayformula(sum(--REGEXMATCH(""SrGmPdNS"",split(REGEXREPLACE(C83,""(.)"",""$1~""),""~""))))=len(C83)"),FALSE)</f>
        <v>0</v>
      </c>
      <c r="FB83" s="290" t="b">
        <f>IFERROR(__xludf.DUMMYFUNCTION("arrayformula(sum(--REGEXMATCH(""SrGMPDNS"",split(REGEXREPLACE(C83,""(.)"",""$1~""),""~""))))=len(C83)"),FALSE)</f>
        <v>0</v>
      </c>
      <c r="FC83" s="290" t="b">
        <f>IFERROR(__xludf.DUMMYFUNCTION("arrayformula(sum(--REGEXMATCH(""SrGMPdNS"",split(REGEXREPLACE(C83,""(.)"",""$1~""),""~""))))=len(C83)"),FALSE)</f>
        <v>0</v>
      </c>
      <c r="FD83" s="377" t="b">
        <f>IFERROR(__xludf.DUMMYFUNCTION("arrayformula(sum(--REGEXMATCH(""SrgMPdNS"",split(REGEXREPLACE(C83,""(.)"",""$1~""),""~""))))=len(C83)"),FALSE)</f>
        <v>0</v>
      </c>
      <c r="FE83" s="269" t="str">
        <f t="shared" si="71"/>
        <v>xooxxoxoxox</v>
      </c>
      <c r="FF83" s="269" t="str">
        <f t="shared" si="72"/>
        <v>-</v>
      </c>
      <c r="FG83" s="271" t="str">
        <f t="shared" si="73"/>
        <v>-</v>
      </c>
      <c r="FH83" s="269" t="str">
        <f t="shared" si="74"/>
        <v>xxoxoxoxxxo</v>
      </c>
      <c r="FI83" s="271" t="str">
        <f t="shared" si="75"/>
        <v>xoxoxoxxxoo</v>
      </c>
      <c r="FJ83" s="271" t="str">
        <f t="shared" si="76"/>
        <v>-</v>
      </c>
      <c r="FK83" s="271" t="str">
        <f t="shared" si="77"/>
        <v>xoxoxxxooxx</v>
      </c>
      <c r="FL83" s="271" t="str">
        <f t="shared" si="78"/>
        <v>-</v>
      </c>
      <c r="FM83" s="271" t="str">
        <f t="shared" si="79"/>
        <v>xoxxxooxxox</v>
      </c>
      <c r="FN83" s="271" t="str">
        <f t="shared" si="80"/>
        <v>-</v>
      </c>
      <c r="FO83" s="274" t="str">
        <f t="shared" si="81"/>
        <v>xxxooxxoxox</v>
      </c>
      <c r="FP83" s="234" t="str">
        <f t="shared" si="82"/>
        <v>|</v>
      </c>
      <c r="FQ83" s="236" t="str">
        <f t="shared" si="83"/>
        <v>|</v>
      </c>
      <c r="FR83" s="237" t="str">
        <f t="shared" si="84"/>
        <v>-</v>
      </c>
      <c r="FS83" s="236" t="str">
        <f t="shared" si="85"/>
        <v>-</v>
      </c>
      <c r="FT83" s="237" t="str">
        <f t="shared" si="86"/>
        <v>|</v>
      </c>
      <c r="FU83" s="236" t="str">
        <f t="shared" si="87"/>
        <v>|</v>
      </c>
      <c r="FV83" s="237" t="str">
        <f t="shared" si="88"/>
        <v>-</v>
      </c>
      <c r="FW83" s="236" t="str">
        <f t="shared" si="89"/>
        <v>|</v>
      </c>
      <c r="FX83" s="237" t="str">
        <f t="shared" si="90"/>
        <v>-</v>
      </c>
      <c r="FY83" s="236" t="str">
        <f t="shared" si="91"/>
        <v>|</v>
      </c>
      <c r="FZ83" s="237" t="str">
        <f t="shared" si="92"/>
        <v>-</v>
      </c>
      <c r="GA83" s="236" t="str">
        <f t="shared" si="93"/>
        <v>|</v>
      </c>
      <c r="GB83" s="238" t="str">
        <f t="shared" si="94"/>
        <v>|</v>
      </c>
      <c r="GC83" s="244" t="str">
        <f>IFERROR(__xludf.DUMMYFUNCTION("IF(REGEXMATCH(C83, ""S""), ""1"","""")"),"1")</f>
        <v>1</v>
      </c>
      <c r="GD83" s="245" t="str">
        <f>IFERROR(__xludf.DUMMYFUNCTION("IF(REGEXMATCH(C83, ""r""), ""b2"","""")"),"b2")</f>
        <v>b2</v>
      </c>
      <c r="GE83" s="246" t="str">
        <f>IFERROR(__xludf.DUMMYFUNCTION("IF(REGEXMATCH(C83, ""R""), ""2"","""")"),"")</f>
        <v/>
      </c>
      <c r="GF83" s="246" t="str">
        <f>IFERROR(__xludf.DUMMYFUNCTION("IF(REGEXMATCH(C83, ""g""), ""b3"","""")"),"")</f>
        <v/>
      </c>
      <c r="GG83" s="245" t="str">
        <f>IFERROR(__xludf.DUMMYFUNCTION("IF(REGEXMATCH(C83, ""G""), ""3"","""")"),"3")</f>
        <v>3</v>
      </c>
      <c r="GH83" s="245" t="str">
        <f>IFERROR(__xludf.DUMMYFUNCTION("IF(REGEXMATCH(C83, ""m""), ""4"","""")"),"4")</f>
        <v>4</v>
      </c>
      <c r="GI83" s="246" t="str">
        <f>IFERROR(__xludf.DUMMYFUNCTION("IF(REGEXMATCH(C83, ""M""), ""#4"","""")"),"")</f>
        <v/>
      </c>
      <c r="GJ83" s="245" t="str">
        <f>IFERROR(__xludf.DUMMYFUNCTION("IF(REGEXMATCH(C83, ""P""), ""5"","""")"),"5")</f>
        <v>5</v>
      </c>
      <c r="GK83" s="246" t="str">
        <f>IFERROR(__xludf.DUMMYFUNCTION("IF(REGEXMATCH(C83, ""d""), ""b6"","""")"),"")</f>
        <v/>
      </c>
      <c r="GL83" s="245" t="str">
        <f>IFERROR(__xludf.DUMMYFUNCTION("IF(REGEXMATCH(C83, ""D""), ""6"","""")"),"6")</f>
        <v>6</v>
      </c>
      <c r="GM83" s="245" t="str">
        <f>IFERROR(__xludf.DUMMYFUNCTION("IF(REGEXMATCH(C83, ""n""), ""b7"","""")"),"")</f>
        <v/>
      </c>
      <c r="GN83" s="246" t="str">
        <f>IFERROR(__xludf.DUMMYFUNCTION("IF(REGEXMATCH(C83, ""N""), ""7"","""")"),"7")</f>
        <v>7</v>
      </c>
      <c r="GO83" s="249" t="str">
        <f>IFERROR(__xludf.DUMMYFUNCTION("IF(REGEXMATCH(C83, ""S""), ""8"","""")"),"8")</f>
        <v>8</v>
      </c>
      <c r="GP83" s="244" t="str">
        <f>IFERROR(__xludf.DUMMYFUNCTION("IF(REGEXMATCH(C83, ""S""), ""S"","""")"),"S")</f>
        <v>S</v>
      </c>
      <c r="GQ83" s="294" t="str">
        <f>IFERROR(__xludf.DUMMYFUNCTION("IF(REGEXMATCH(C83, ""r""), ""R1"","""")"),"R1")</f>
        <v>R1</v>
      </c>
      <c r="GR83" s="295" t="str">
        <f>IFERROR(__xludf.DUMMYFUNCTION("IF(REGEXMATCH(C83, ""R""), ""R2"","""")"),"")</f>
        <v/>
      </c>
      <c r="GS83" s="295" t="str">
        <f>IFERROR(__xludf.DUMMYFUNCTION("IF(REGEXMATCH(C83, ""g""), ""G2"","""")"),"")</f>
        <v/>
      </c>
      <c r="GT83" s="294" t="str">
        <f>IFERROR(__xludf.DUMMYFUNCTION("IF(REGEXMATCH(C83, ""G""), ""G3"","""")"),"G3")</f>
        <v>G3</v>
      </c>
      <c r="GU83" s="294" t="str">
        <f>IFERROR(__xludf.DUMMYFUNCTION("IF(REGEXMATCH(C83, ""m""), ""M1"","""")"),"M1")</f>
        <v>M1</v>
      </c>
      <c r="GV83" s="295" t="str">
        <f>IFERROR(__xludf.DUMMYFUNCTION("IF(REGEXMATCH(C83, ""M""), ""M2"","""")"),"")</f>
        <v/>
      </c>
      <c r="GW83" s="294" t="str">
        <f>IFERROR(__xludf.DUMMYFUNCTION("IF(REGEXMATCH(C83, ""P""), ""P"","""")"),"P")</f>
        <v>P</v>
      </c>
      <c r="GX83" s="295" t="str">
        <f>IFERROR(__xludf.DUMMYFUNCTION("IF(REGEXMATCH(C83, ""d""), ""D1"","""")"),"")</f>
        <v/>
      </c>
      <c r="GY83" s="294" t="str">
        <f>IFERROR(__xludf.DUMMYFUNCTION("IF(REGEXMATCH(C83, ""D""), ""D2"","""")"),"D2")</f>
        <v>D2</v>
      </c>
      <c r="GZ83" s="294" t="str">
        <f>IFERROR(__xludf.DUMMYFUNCTION("IF(REGEXMATCH(C83, ""n""), ""N2"","""")"),"")</f>
        <v/>
      </c>
      <c r="HA83" s="295" t="str">
        <f>IFERROR(__xludf.DUMMYFUNCTION("IF(REGEXMATCH(C83, ""N""), ""N3"","""")"),"N3")</f>
        <v>N3</v>
      </c>
      <c r="HB83" s="249" t="str">
        <f>IFERROR(__xludf.DUMMYFUNCTION("IF(REGEXMATCH(C83, ""S""), ""S"","""")"),"S")</f>
        <v>S</v>
      </c>
      <c r="HC83" s="331" t="str">
        <f t="shared" si="95"/>
        <v>S</v>
      </c>
      <c r="HD83" s="332" t="str">
        <f t="shared" si="96"/>
        <v>r</v>
      </c>
      <c r="HE83" s="332" t="str">
        <f t="shared" si="97"/>
        <v/>
      </c>
      <c r="HF83" s="332" t="str">
        <f t="shared" si="98"/>
        <v>g</v>
      </c>
      <c r="HG83" s="332" t="str">
        <f t="shared" si="99"/>
        <v/>
      </c>
      <c r="HH83" s="332" t="str">
        <f t="shared" si="100"/>
        <v>m</v>
      </c>
      <c r="HI83" s="332" t="str">
        <f t="shared" si="101"/>
        <v/>
      </c>
      <c r="HJ83" s="332" t="str">
        <f t="shared" si="102"/>
        <v>P</v>
      </c>
      <c r="HK83" s="332" t="str">
        <f t="shared" si="103"/>
        <v>d</v>
      </c>
      <c r="HL83" s="332" t="str">
        <f t="shared" si="104"/>
        <v/>
      </c>
      <c r="HM83" s="332" t="str">
        <f t="shared" si="105"/>
        <v/>
      </c>
      <c r="HN83" s="332" t="str">
        <f t="shared" si="106"/>
        <v>N</v>
      </c>
      <c r="HO83" s="343" t="str">
        <f t="shared" si="107"/>
        <v>S</v>
      </c>
      <c r="HP83" s="331" t="str">
        <f t="shared" si="108"/>
        <v>o</v>
      </c>
      <c r="HQ83" s="332" t="str">
        <f t="shared" si="109"/>
        <v>o</v>
      </c>
      <c r="HR83" s="332" t="str">
        <f t="shared" si="110"/>
        <v>•</v>
      </c>
      <c r="HS83" s="332" t="str">
        <f t="shared" si="111"/>
        <v>•</v>
      </c>
      <c r="HT83" s="332" t="str">
        <f t="shared" si="112"/>
        <v>o</v>
      </c>
      <c r="HU83" s="332" t="str">
        <f t="shared" si="113"/>
        <v>o</v>
      </c>
      <c r="HV83" s="332" t="str">
        <f t="shared" si="114"/>
        <v>•</v>
      </c>
      <c r="HW83" s="332" t="str">
        <f t="shared" si="115"/>
        <v>o</v>
      </c>
      <c r="HX83" s="332" t="str">
        <f t="shared" si="116"/>
        <v>•</v>
      </c>
      <c r="HY83" s="332" t="str">
        <f t="shared" si="117"/>
        <v>o</v>
      </c>
      <c r="HZ83" s="332" t="str">
        <f t="shared" si="118"/>
        <v>•</v>
      </c>
      <c r="IA83" s="332" t="str">
        <f t="shared" si="119"/>
        <v>o</v>
      </c>
      <c r="IB83" s="338" t="str">
        <f t="shared" si="120"/>
        <v>o</v>
      </c>
      <c r="IC83" s="331" t="str">
        <f t="shared" si="121"/>
        <v>•</v>
      </c>
      <c r="ID83" s="332" t="str">
        <f t="shared" si="122"/>
        <v>•</v>
      </c>
      <c r="IE83" s="332" t="str">
        <f t="shared" si="123"/>
        <v>o</v>
      </c>
      <c r="IF83" s="332" t="str">
        <f t="shared" si="124"/>
        <v>o</v>
      </c>
      <c r="IG83" s="332" t="str">
        <f t="shared" si="125"/>
        <v>•</v>
      </c>
      <c r="IH83" s="332" t="str">
        <f t="shared" si="126"/>
        <v>•</v>
      </c>
      <c r="II83" s="332" t="str">
        <f t="shared" si="127"/>
        <v>o</v>
      </c>
      <c r="IJ83" s="332" t="str">
        <f t="shared" si="128"/>
        <v>•</v>
      </c>
      <c r="IK83" s="332" t="str">
        <f t="shared" si="129"/>
        <v>o</v>
      </c>
      <c r="IL83" s="332" t="str">
        <f t="shared" si="130"/>
        <v>•</v>
      </c>
      <c r="IM83" s="332" t="str">
        <f t="shared" si="131"/>
        <v>o</v>
      </c>
      <c r="IN83" s="332" t="str">
        <f t="shared" si="132"/>
        <v>•</v>
      </c>
      <c r="IO83" s="338" t="str">
        <f t="shared" si="133"/>
        <v>•</v>
      </c>
      <c r="IP83" s="346" t="b">
        <f t="shared" si="134"/>
        <v>0</v>
      </c>
      <c r="IQ83" s="347" t="b">
        <f t="shared" si="135"/>
        <v>1</v>
      </c>
      <c r="IR83" s="347" t="b">
        <f t="shared" si="136"/>
        <v>0</v>
      </c>
      <c r="IS83" s="347" t="b">
        <f t="shared" si="137"/>
        <v>0</v>
      </c>
      <c r="IT83" s="347" t="b">
        <f t="shared" si="138"/>
        <v>0</v>
      </c>
      <c r="IU83" s="347" t="b">
        <f t="shared" si="139"/>
        <v>0</v>
      </c>
      <c r="IV83" s="347" t="b">
        <f t="shared" si="140"/>
        <v>0</v>
      </c>
      <c r="IW83" s="347" t="b">
        <f t="shared" si="141"/>
        <v>1</v>
      </c>
      <c r="IX83" s="347" t="b">
        <f t="shared" si="142"/>
        <v>0</v>
      </c>
      <c r="IY83" s="347" t="b">
        <f t="shared" si="143"/>
        <v>0</v>
      </c>
      <c r="IZ83" s="347" t="b">
        <f t="shared" si="144"/>
        <v>0</v>
      </c>
      <c r="JA83" s="347" t="b">
        <f t="shared" si="145"/>
        <v>1</v>
      </c>
      <c r="JB83" s="353" t="b">
        <f t="shared" si="146"/>
        <v>0</v>
      </c>
      <c r="JC83" s="354" t="str">
        <f t="shared" si="147"/>
        <v/>
      </c>
      <c r="JD83" s="355" t="str">
        <f t="shared" si="148"/>
        <v>re, </v>
      </c>
      <c r="JE83" s="355" t="str">
        <f t="shared" si="149"/>
        <v/>
      </c>
      <c r="JF83" s="355" t="str">
        <f t="shared" si="150"/>
        <v/>
      </c>
      <c r="JG83" s="355" t="str">
        <f t="shared" si="151"/>
        <v/>
      </c>
      <c r="JH83" s="355" t="str">
        <f t="shared" si="152"/>
        <v/>
      </c>
      <c r="JI83" s="355" t="str">
        <f t="shared" si="153"/>
        <v/>
      </c>
      <c r="JJ83" s="355" t="str">
        <f t="shared" si="154"/>
        <v>Pa, </v>
      </c>
      <c r="JK83" s="355" t="str">
        <f t="shared" si="155"/>
        <v/>
      </c>
      <c r="JL83" s="355" t="str">
        <f t="shared" si="156"/>
        <v/>
      </c>
      <c r="JM83" s="355" t="str">
        <f t="shared" si="157"/>
        <v/>
      </c>
      <c r="JN83" s="355" t="str">
        <f t="shared" si="158"/>
        <v>Ni, </v>
      </c>
      <c r="JO83" s="359" t="str">
        <f t="shared" si="159"/>
        <v/>
      </c>
      <c r="JP83" s="346" t="b">
        <f t="shared" si="160"/>
        <v>0</v>
      </c>
      <c r="JQ83" s="347" t="b">
        <f t="shared" si="161"/>
        <v>1</v>
      </c>
      <c r="JR83" s="347" t="b">
        <f t="shared" si="162"/>
        <v>0</v>
      </c>
      <c r="JS83" s="347" t="b">
        <f t="shared" si="163"/>
        <v>0</v>
      </c>
      <c r="JT83" s="347" t="b">
        <f t="shared" si="164"/>
        <v>0</v>
      </c>
      <c r="JU83" s="347" t="b">
        <f t="shared" si="165"/>
        <v>0</v>
      </c>
      <c r="JV83" s="347" t="b">
        <f t="shared" si="166"/>
        <v>0</v>
      </c>
      <c r="JW83" s="347" t="b">
        <f t="shared" si="167"/>
        <v>0</v>
      </c>
      <c r="JX83" s="347" t="b">
        <f t="shared" si="168"/>
        <v>0</v>
      </c>
      <c r="JY83" s="347" t="b">
        <f t="shared" si="169"/>
        <v>0</v>
      </c>
      <c r="JZ83" s="347" t="b">
        <f t="shared" si="170"/>
        <v>0</v>
      </c>
      <c r="KA83" s="347" t="b">
        <f t="shared" si="171"/>
        <v>0</v>
      </c>
      <c r="KB83" s="365" t="b">
        <f t="shared" si="172"/>
        <v>0</v>
      </c>
      <c r="KC83" s="354" t="str">
        <f t="shared" si="173"/>
        <v/>
      </c>
      <c r="KD83" s="355" t="str">
        <f t="shared" si="174"/>
        <v>re, </v>
      </c>
      <c r="KE83" s="355" t="str">
        <f t="shared" si="175"/>
        <v/>
      </c>
      <c r="KF83" s="355" t="str">
        <f t="shared" si="176"/>
        <v/>
      </c>
      <c r="KG83" s="355" t="str">
        <f t="shared" si="177"/>
        <v/>
      </c>
      <c r="KH83" s="355" t="str">
        <f t="shared" si="178"/>
        <v/>
      </c>
      <c r="KI83" s="355" t="str">
        <f t="shared" si="179"/>
        <v/>
      </c>
      <c r="KJ83" s="355" t="str">
        <f t="shared" si="180"/>
        <v/>
      </c>
      <c r="KK83" s="355" t="str">
        <f t="shared" si="181"/>
        <v/>
      </c>
      <c r="KL83" s="355" t="str">
        <f t="shared" si="182"/>
        <v/>
      </c>
      <c r="KM83" s="355" t="str">
        <f t="shared" si="183"/>
        <v/>
      </c>
      <c r="KN83" s="355" t="str">
        <f t="shared" si="184"/>
        <v/>
      </c>
      <c r="KO83" s="359"/>
      <c r="KP83" s="378"/>
      <c r="KQ83" s="379" t="s">
        <v>9</v>
      </c>
      <c r="KR83" s="380" t="s">
        <v>1288</v>
      </c>
      <c r="KS83" s="381" t="s">
        <v>9</v>
      </c>
      <c r="KT83" s="382">
        <f t="shared" si="186"/>
        <v>0</v>
      </c>
      <c r="KU83" s="383">
        <f t="shared" si="187"/>
        <v>0</v>
      </c>
      <c r="KV83" s="381" t="str">
        <f t="shared" si="205"/>
        <v>S-N-D-P-m-G-r-S</v>
      </c>
      <c r="KW83" s="382">
        <f t="shared" si="189"/>
        <v>7</v>
      </c>
      <c r="KX83" s="384">
        <f t="shared" si="190"/>
        <v>7</v>
      </c>
      <c r="KY83" s="382">
        <f t="shared" ref="KY83:KZ83" si="365">KW83-KT83</f>
        <v>7</v>
      </c>
      <c r="KZ83" s="369">
        <f t="shared" si="365"/>
        <v>7</v>
      </c>
      <c r="LA83" s="385" t="str">
        <f t="shared" si="192"/>
        <v>-</v>
      </c>
      <c r="LB83" s="340" t="str">
        <f>IFERROR(__xludf.DUMMYFUNCTION("JOIN("""",ArrayFormula(MID(KS83,LEN(KS83)-SEQUENCE(1,LEN(KS83))+1,1)))"),"S")</f>
        <v>S</v>
      </c>
      <c r="LC83" s="373" t="str">
        <f>IFERROR(__xludf.DUMMYFUNCTION("JOIN("""",ArrayFormula(MID(KV83,LEN(KV83)-SEQUENCE(1,LEN(KV83))+1,1)))"),"S-r-G-m-P-D-N-S")</f>
        <v>S-r-G-m-P-D-N-S</v>
      </c>
      <c r="LD83" s="373" t="str">
        <f t="shared" si="193"/>
        <v>S</v>
      </c>
      <c r="LE83" s="339" t="str">
        <f t="shared" si="194"/>
        <v>SrGmPDNS</v>
      </c>
      <c r="LF83" s="386" t="str">
        <f>IFERROR(__xludf.DUMMYFUNCTION("SUBSTITUTE(SUBSTITUTE(CONCATENATE(JOIN("""",LH83:LT83)),""1"",""""),""2"","""")"),"SrGmPDNS")</f>
        <v>SrGmPDNS</v>
      </c>
      <c r="LG83" s="369" t="str">
        <f t="shared" si="195"/>
        <v>✔</v>
      </c>
      <c r="LH83" s="387" t="str">
        <f>IFERROR(__xludf.DUMMYFUNCTION("IF(REGEXMATCH(LD83, ""S""), ""S"",IF(REGEXMATCH(LE83, ""S""), ""S"",""""))"),"S")</f>
        <v>S</v>
      </c>
      <c r="LI83" s="299" t="str">
        <f>IFERROR(__xludf.DUMMYFUNCTION("IF(REGEXMATCH(LD83, ""r""), ""r1"",IF(REGEXMATCH(LE83, ""r""), ""r2"",""""))"),"r2")</f>
        <v>r2</v>
      </c>
      <c r="LJ83" s="299" t="str">
        <f>IFERROR(__xludf.DUMMYFUNCTION("IF(REGEXMATCH(LD83, ""R""), ""R1"",IF(REGEXMATCH(LE83, ""R""), ""R2"",""""))"),"")</f>
        <v/>
      </c>
      <c r="LK83" s="299" t="str">
        <f>IFERROR(__xludf.DUMMYFUNCTION("IF(REGEXMATCH(LD83, ""g""), ""g1"",IF(REGEXMATCH(LE83, ""g""), ""g2"",""""))"),"")</f>
        <v/>
      </c>
      <c r="LL83" s="299" t="str">
        <f>IFERROR(__xludf.DUMMYFUNCTION("IF(REGEXMATCH(LD83, ""G""), ""G1"",IF(REGEXMATCH(LE83, ""G""), ""G2"",""""))"),"G2")</f>
        <v>G2</v>
      </c>
      <c r="LM83" s="299" t="str">
        <f>IFERROR(__xludf.DUMMYFUNCTION("IF(REGEXMATCH(LD83, ""m""), ""m1"",IF(REGEXMATCH(LE83, ""m""), ""m2"",""""))"),"m2")</f>
        <v>m2</v>
      </c>
      <c r="LN83" s="299" t="str">
        <f>IFERROR(__xludf.DUMMYFUNCTION("IF(REGEXMATCH(LD83, ""M""), ""M1"",IF(REGEXMATCH(LE83, ""M""), ""M2"",""""))"),"")</f>
        <v/>
      </c>
      <c r="LO83" s="299" t="str">
        <f>IFERROR(__xludf.DUMMYFUNCTION("IF(REGEXMATCH(LD83, ""P""), ""P1"",IF(REGEXMATCH(LE83, ""P""), ""P2"",""""))"),"P2")</f>
        <v>P2</v>
      </c>
      <c r="LP83" s="299" t="str">
        <f>IFERROR(__xludf.DUMMYFUNCTION("IF(REGEXMATCH(LD83, ""d""), ""d1"",IF(REGEXMATCH(LE83, ""d""), ""d2"",""""))"),"")</f>
        <v/>
      </c>
      <c r="LQ83" s="299" t="str">
        <f>IFERROR(__xludf.DUMMYFUNCTION("IF(REGEXMATCH(LD83, ""D""), ""D1"",IF(REGEXMATCH(LE83, ""D""), ""D2"",""""))"),"D2")</f>
        <v>D2</v>
      </c>
      <c r="LR83" s="299" t="str">
        <f>IFERROR(__xludf.DUMMYFUNCTION("IF(REGEXMATCH(LD83, ""n""), ""n1"",IF(REGEXMATCH(LE83, ""n""), ""n2"",""""))"),"")</f>
        <v/>
      </c>
      <c r="LS83" s="299" t="str">
        <f>IFERROR(__xludf.DUMMYFUNCTION("IF(REGEXMATCH(LD83, ""N""), ""N1"",IF(REGEXMATCH(LE83, ""N""), ""N2"",""""))"),"N2")</f>
        <v>N2</v>
      </c>
      <c r="LT83" s="388" t="str">
        <f>IFERROR(__xludf.DUMMYFUNCTION("IF(REGEXMATCH(LD83, ""S""), ""S"",IF(REGEXMATCH(LE83, ""S""), ""S"",""""))"),"S")</f>
        <v>S</v>
      </c>
      <c r="LU83" s="389">
        <f t="shared" si="196"/>
        <v>-13</v>
      </c>
      <c r="LV83" s="378"/>
      <c r="LW83" s="369"/>
      <c r="LX83" s="369"/>
    </row>
    <row r="84" ht="18.0" customHeight="1">
      <c r="A84" s="298" t="s">
        <v>672</v>
      </c>
      <c r="B84" s="222" t="s">
        <v>405</v>
      </c>
      <c r="C84" s="233" t="str">
        <f t="shared" si="7"/>
        <v>SRgmPdnS</v>
      </c>
      <c r="D84" s="234" t="str">
        <f>IFERROR(__xludf.DUMMYFUNCTION("IF(REGEXMATCH(C84, ""S""), ""S"","""")"),"S")</f>
        <v>S</v>
      </c>
      <c r="E84" s="236" t="str">
        <f>IFERROR(__xludf.DUMMYFUNCTION("IF(REGEXMATCH(C84, ""r""), ""r"","""")"),"")</f>
        <v/>
      </c>
      <c r="F84" s="237" t="str">
        <f>IFERROR(__xludf.DUMMYFUNCTION("IF(REGEXMATCH(C84, ""R""), ""R"","""")"),"R")</f>
        <v>R</v>
      </c>
      <c r="G84" s="237" t="str">
        <f>IFERROR(__xludf.DUMMYFUNCTION("IF(REGEXMATCH(C84, ""g""), ""g"","""")"),"g")</f>
        <v>g</v>
      </c>
      <c r="H84" s="236" t="str">
        <f>IFERROR(__xludf.DUMMYFUNCTION("IF(REGEXMATCH(C84, ""G""), ""G"","""")"),"")</f>
        <v/>
      </c>
      <c r="I84" s="236" t="str">
        <f>IFERROR(__xludf.DUMMYFUNCTION("IF(REGEXMATCH(C84, ""m""), ""m"","""")"),"m")</f>
        <v>m</v>
      </c>
      <c r="J84" s="237" t="str">
        <f>IFERROR(__xludf.DUMMYFUNCTION("IF(REGEXMATCH(C84, ""M""), ""M"","""")"),"")</f>
        <v/>
      </c>
      <c r="K84" s="236" t="str">
        <f>IFERROR(__xludf.DUMMYFUNCTION("IF(REGEXMATCH(C84, ""P""), ""P"","""")"),"P")</f>
        <v>P</v>
      </c>
      <c r="L84" s="237" t="str">
        <f>IFERROR(__xludf.DUMMYFUNCTION("IF(REGEXMATCH(C84, ""d""), ""d"","""")"),"d")</f>
        <v>d</v>
      </c>
      <c r="M84" s="236" t="str">
        <f>IFERROR(__xludf.DUMMYFUNCTION("IF(REGEXMATCH(C84, ""D""), ""D"","""")"),"")</f>
        <v/>
      </c>
      <c r="N84" s="236" t="str">
        <f>IFERROR(__xludf.DUMMYFUNCTION("IF(REGEXMATCH(C84, ""n""), ""n"","""")"),"n")</f>
        <v>n</v>
      </c>
      <c r="O84" s="237" t="str">
        <f>IFERROR(__xludf.DUMMYFUNCTION("IF(REGEXMATCH(C84, ""N""), ""N"","""")"),"")</f>
        <v/>
      </c>
      <c r="P84" s="238" t="str">
        <f>IFERROR(__xludf.DUMMYFUNCTION("IF(REGEXMATCH(C84, ""S""), ""S"","""")"),"S")</f>
        <v>S</v>
      </c>
      <c r="Q84" s="239" t="str">
        <f>IFERROR(__xludf.DUMMYFUNCTION("SUBSTITUTE(CONCATENATE(JOIN(""-"",D84:J84)),""-"","""")"),"SRgm")</f>
        <v>SRgm</v>
      </c>
      <c r="R84" s="229" t="str">
        <f>IFERROR(__xludf.DUMMYFUNCTION("SUBSTITUTE(CONCATENATE(JOIN(""-"",K84:P84)),""-"","""")"),"PdnS")</f>
        <v>PdnS</v>
      </c>
      <c r="S84" s="282" t="str">
        <f t="shared" si="8"/>
        <v>S-R-G-M</v>
      </c>
      <c r="T84" s="282" t="str">
        <f t="shared" si="9"/>
        <v>P-D-N-S</v>
      </c>
      <c r="U84" s="237" t="str">
        <f>IFERROR(__xludf.DUMMYFUNCTION("SUBSTITUTE(JOIN(""-"",S84,T84),""--"",""-"")"),"S-R-G-M-P-D-N-S")</f>
        <v>S-R-G-M-P-D-N-S</v>
      </c>
      <c r="V84" s="309" t="str">
        <f t="shared" si="10"/>
        <v>Rgmdn</v>
      </c>
      <c r="W84" s="244" t="str">
        <f>IFERROR(__xludf.DUMMYFUNCTION("IF(REGEXMATCH(C84, ""S""), ""0"","""")"),"0")</f>
        <v>0</v>
      </c>
      <c r="X84" s="245" t="str">
        <f>IFERROR(__xludf.DUMMYFUNCTION("IF(REGEXMATCH(C84, ""r""), ""1"","""")"),"")</f>
        <v/>
      </c>
      <c r="Y84" s="246" t="str">
        <f>IFERROR(__xludf.DUMMYFUNCTION("IF(REGEXMATCH(C84, ""R""), ""2"","""")"),"2")</f>
        <v>2</v>
      </c>
      <c r="Z84" s="246" t="str">
        <f>IFERROR(__xludf.DUMMYFUNCTION("IF(REGEXMATCH(C84, ""g""), ""3"","""")"),"3")</f>
        <v>3</v>
      </c>
      <c r="AA84" s="245" t="str">
        <f>IFERROR(__xludf.DUMMYFUNCTION("IF(REGEXMATCH(C84, ""G""), ""4"","""")"),"")</f>
        <v/>
      </c>
      <c r="AB84" s="245" t="str">
        <f>IFERROR(__xludf.DUMMYFUNCTION("IF(REGEXMATCH(C84, ""m""), ""5"","""")"),"5")</f>
        <v>5</v>
      </c>
      <c r="AC84" s="246" t="str">
        <f>IFERROR(__xludf.DUMMYFUNCTION("IF(REGEXMATCH(C84, ""M""), ""6"","""")"),"")</f>
        <v/>
      </c>
      <c r="AD84" s="245" t="str">
        <f>IFERROR(__xludf.DUMMYFUNCTION("IF(REGEXMATCH(C84, ""P""), ""7"","""")"),"7")</f>
        <v>7</v>
      </c>
      <c r="AE84" s="246" t="str">
        <f>IFERROR(__xludf.DUMMYFUNCTION("IF(REGEXMATCH(C84, ""d""), ""8"","""")"),"8")</f>
        <v>8</v>
      </c>
      <c r="AF84" s="245" t="str">
        <f>IFERROR(__xludf.DUMMYFUNCTION("IF(REGEXMATCH(C84, ""D""), ""9"","""")"),"")</f>
        <v/>
      </c>
      <c r="AG84" s="245" t="str">
        <f>IFERROR(__xludf.DUMMYFUNCTION("IF(REGEXMATCH(C84, ""n""), ""10"","""")"),"10")</f>
        <v>10</v>
      </c>
      <c r="AH84" s="246" t="str">
        <f>IFERROR(__xludf.DUMMYFUNCTION("IF(REGEXMATCH(C84, ""N""), ""11"","""")"),"")</f>
        <v/>
      </c>
      <c r="AI84" s="249" t="str">
        <f>IFERROR(__xludf.DUMMYFUNCTION("IF(REGEXMATCH(C84, ""S""), ""0"","""")"),"0")</f>
        <v>0</v>
      </c>
      <c r="AJ84" s="313" t="str">
        <f t="shared" si="11"/>
        <v>-</v>
      </c>
      <c r="AK84" s="313" t="str">
        <f t="shared" si="12"/>
        <v>-</v>
      </c>
      <c r="AL84" s="313" t="str">
        <f t="shared" si="13"/>
        <v>T</v>
      </c>
      <c r="AM84" s="313" t="str">
        <f t="shared" si="14"/>
        <v>-</v>
      </c>
      <c r="AN84" s="313" t="str">
        <f t="shared" si="15"/>
        <v>-</v>
      </c>
      <c r="AO84" s="314" t="str">
        <f t="shared" si="16"/>
        <v>-</v>
      </c>
      <c r="AP84" s="316">
        <f t="shared" si="17"/>
        <v>1</v>
      </c>
      <c r="AQ84" s="319" t="str">
        <f t="shared" si="18"/>
        <v>-</v>
      </c>
      <c r="AR84" s="320">
        <f t="shared" si="19"/>
        <v>0</v>
      </c>
      <c r="AS84" s="250" t="str">
        <f>IFERROR(__xludf.DUMMYFUNCTION("SUBSTITUTE(SUBSTITUTE(CONCATENATE(JOIN("""",FP84:GA84)),""|"",""x""),""-"",""o"")"),"xoxxoxoxxoxo")</f>
        <v>xoxxoxoxxoxo</v>
      </c>
      <c r="AT84" s="323" t="str">
        <f>IFERROR(__xludf.DUMMYFUNCTION("JOIN("""",AS84,AS84)"),"xoxxoxoxxoxoxoxxoxoxxoxo")</f>
        <v>xoxxoxoxxoxoxoxxoxoxxoxo</v>
      </c>
      <c r="AU84" s="256" t="str">
        <f>IFERROR(__xludf.DUMMYFUNCTION("JOIN("""",ArrayFormula(MID(AS84,LEN(AS84)-SEQUENCE(1,LEN(AS84))+1,1)))"),"oxoxxoxoxxox")</f>
        <v>oxoxxoxoxxox</v>
      </c>
      <c r="AV84" s="256" t="str">
        <f>IFERROR(__xludf.DUMMYFUNCTION("LEFT(CONCATENATE(""x"",JOIN("""",ArrayFormula(MID(AS84,LEN(AS84)-SEQUENCE(1,LEN(AS84))+1,1)))),12)"),"xoxoxxoxoxxo")</f>
        <v>xoxoxxoxoxxo</v>
      </c>
      <c r="AW84" s="327" t="str">
        <f>IFERROR(__xludf.DUMMYFUNCTION("JOIN("""",AU84,AU84)"),"oxoxxoxoxxoxoxoxxoxoxxox")</f>
        <v>oxoxxoxoxxoxoxoxxoxoxxox</v>
      </c>
      <c r="AX84" s="239" t="str">
        <f>IFERROR(__xludf.DUMMYFUNCTION("IF(REGEXMATCH(AW84,AS84),""✔"",""-"")"),"✔")</f>
        <v>✔</v>
      </c>
      <c r="AY84" s="330" t="str">
        <f t="shared" si="20"/>
        <v>-</v>
      </c>
      <c r="AZ84" s="260" t="str">
        <f t="shared" si="21"/>
        <v>#REF!</v>
      </c>
      <c r="BA84" s="333" t="str">
        <f t="shared" si="22"/>
        <v>xoxxoxo</v>
      </c>
      <c r="BB84" s="334" t="str">
        <f t="shared" si="23"/>
        <v>xxoxox</v>
      </c>
      <c r="BC84" s="335" t="str">
        <f t="shared" si="236"/>
        <v>-</v>
      </c>
      <c r="BD84" s="336" t="str">
        <f t="shared" si="25"/>
        <v>Darbari: 'xoxxoxo' + 'xxoxox'</v>
      </c>
      <c r="BE84" s="337">
        <f>IFERROR(__xludf.DUMMYFUNCTION("COUNTUNIQUE(FILTER(AT:AT,REGEXMATCH(AT:AT,AS84)))-1"),6.0)</f>
        <v>6</v>
      </c>
      <c r="BF84" s="261" t="str">
        <f>IFERROR(__xludf.DUMMYFUNCTION("IF(BI84=0,""(n/a)"",IF(BJ84=2,""(PAIR)"",IF(REGEXMATCH(AT84,""xoxoxxoxoxox""),""Bilawal"",IF(REGEXMATCH(AT84,""xoxoxooxoxoo""),""Bhupali"",IF(REGEXMATCH(AT84,""xoxoxxoxxoxo""),""Charukeshi"",IF(REGEXMATCH(AT84,""xoxoooxxoxxo""),""Kameshwari"",IF(REGEXMATC"&amp;"H(AT84,""xoxoxooxoxox""),""Shankara"",IF(REGEXMATCH(AT84,""xxooxoxxxoox""),""Basant"",IF(REGEXMATCH(AT84,""xoxoxxxxoxox""),""Bihag"",IF(REGEXMATCH(AT84,""xoxxxxoxoxxx""),""Pilu"",IF(REGEXMATCH(AT84,""xoxxoxoxxoox""),""Kirwani"",IF(REGEXMATCH(AT84,""xoxxox"&amp;"oxoxxx""),""Mk.Malhar"",IF(REGEXMATCH(AT84,""xxooxxoxxoox""),""Bhairav"",IF(REGEXMATCH(AT84,""xxoxooxxxoox""),""Todi"",IF(REGEXMATCH(AT84,""xxooxoxooxox""),""Marwa"",IF(REGEXMATCH(AT84,""xxoooxoxxooo""),""Gunkali"",IF(REGEXMATCH(AT84,""xoxoxxoxxoox""),""N"&amp;"at Bhairav"",IF(REGEXMATCH(AT84,""xoxxoooxoxoo""),""Shivranjani"",IF(REGEXMATCH(AT84,""xooxxxoxooxo""),""Jog"",IF(REGEXMATCH(AT84,""xxooxoxoxoox""),""Hemshri"",IF(REGEXMATCH(AT84,""xoooxooxoxxo""),""Kalavati"",IF(REGEXMATCH(AT84,""xxoxoxxoxoox""),""Kedar"&amp;""",IF(REGEXMATCH(AT84,""xoxxxxoxooxx""),""Gara"",IF(REGEXMATCH(AT84,""xooxoxooxoox""),""Chandrakauns"",IF(REGEXMATCH(AT84,""xoxxxxoxxxox""),""Mand"",IF(REGEXMATCH(AT84,""xoxxxxoxoxox""),""Hanskinkini"",IF(REGEXMATCH(AT84,""xxooxxoxooxo""),""Lilavati"",IF("&amp;"REGEXMATCH(AT84,""xooxoxoooxox""),""Rajeshwari"",IF(REGEXMATCH(AT84,""xoooxxoxoxxx""),""Khokar"",IF(REGEXMATCH(AT84,""xxooxoxxxxox""),""Maligoura"",""-""))))))))))))))))))))))))))))))"),"Bilawal")</f>
        <v>Bilawal</v>
      </c>
      <c r="BG84" s="239" t="str">
        <f t="shared" si="26"/>
        <v>#REF!</v>
      </c>
      <c r="BH84" s="239">
        <f>IFERROR(__xludf.DUMMYFUNCTION("COUNTUNIQUE(FE84:FO84)-1"),6.0)</f>
        <v>6</v>
      </c>
      <c r="BI84" s="239">
        <f>IFERROR(__xludf.DUMMYFUNCTION("COUNTUNIQUE(FILTER(AT:AT,REGEXMATCH(AT:AT,AS84)))-1"),6.0)</f>
        <v>6</v>
      </c>
      <c r="BJ84" s="239">
        <f>IFERROR(__xludf.DUMMYFUNCTION("COUNTA(FILTER(AT:AT,REGEXMATCH(AT:AT,AS84)))"),48.0)</f>
        <v>48</v>
      </c>
      <c r="BK84" s="341">
        <f>IFERROR(__xludf.DUMMYFUNCTION("COUNTA(FILTER(AT:AT,REGEXMATCH(AT:AT,AS84)))-AR84"),48.0)</f>
        <v>48</v>
      </c>
      <c r="BL84" s="276" t="str">
        <f>IFERROR(__xludf.DUMMYFUNCTION("IF(AS84=""oooooooooooo"",""-"",IF(REGEXMATCH(AT84,""xx""), ""Hemi."", ""Anhemi.""))"),"Hemi.")</f>
        <v>Hemi.</v>
      </c>
      <c r="BM84" s="282" t="str">
        <f>IFERROR(__xludf.DUMMYFUNCTION("IF(AS84=""oooooooooooo"",""-"",IF(REGEXMATCH(AT84,""xxx""), ""Cohem."", ""-""))"),"-")</f>
        <v>-</v>
      </c>
      <c r="BN84" s="282" t="str">
        <f>IFERROR(__xludf.DUMMYFUNCTION("IF(AS84=""oooooooooooo"",""-"",IF(REGEXMATCH(AT84,""xxxx""), ""Co-Co."", ""-""))"),"-")</f>
        <v>-</v>
      </c>
      <c r="BO84" s="342" t="str">
        <f>IFERROR(__xludf.DUMMYFUNCTION("IF(AS84=""oooooooooooo"",""-"",IF(REGEXMATCH(AT84,""xxxxx""), ""CCC."", ""-""))"),"-")</f>
        <v>-</v>
      </c>
      <c r="BP84" s="344" t="str">
        <f t="shared" si="27"/>
        <v>Asavari</v>
      </c>
      <c r="BQ84" s="282" t="str">
        <f>IFERROR(__xludf.DUMMYFUNCTION("IF(REGEXMATCH(JOIN(""-"",EU84:FD84),""TRUE""),""✔"",""-"")"),"✔")</f>
        <v>✔</v>
      </c>
      <c r="BR84" s="225">
        <f t="shared" si="28"/>
        <v>1</v>
      </c>
      <c r="BS84" s="345" t="str">
        <f>IFERROR(__xludf.DUMMYFUNCTION("SUBSTITUTE(SUBSTITUTE(SUBSTITUTE(SUBSTITUTE(CONCATENATE(JOIN(""-"",GC84:GO84)),""--"",""-""),""--"",""-""),""--"",""-""),""--"",""-"")"),"1-2-b3-4-5-b6-b7-8")</f>
        <v>1-2-b3-4-5-b6-b7-8</v>
      </c>
      <c r="BT84" s="299" t="str">
        <f>IFERROR(__xludf.DUMMYFUNCTION("SUBSTITUTE(SUBSTITUTE(SUBSTITUTE(SUBSTITUTE(CONCATENATE(JOIN(""-"",GP84:HB84)),""--"",""-""),""--"",""-""),""--"",""-""),""--"",""-"")"),"S-R2-G2-M1-P-D1-N2-S")</f>
        <v>S-R2-G2-M1-P-D1-N2-S</v>
      </c>
      <c r="BU84" s="348" t="str">
        <f t="shared" si="29"/>
        <v>C-D-Eb-F-G-Ab-Bb-C</v>
      </c>
      <c r="BV84" s="349" t="str">
        <f t="shared" si="30"/>
        <v>SrGMDNS</v>
      </c>
      <c r="BW84" s="350">
        <f t="shared" si="31"/>
        <v>3</v>
      </c>
      <c r="BX84" s="351">
        <f t="shared" si="32"/>
        <v>7</v>
      </c>
      <c r="BY84" s="392"/>
      <c r="BZ84" s="309" t="str">
        <f>IFERROR(__xludf.DUMMYFUNCTION("IF(REGEXMATCH(C84, ""S""), ""x"",""x"")"),"x")</f>
        <v>x</v>
      </c>
      <c r="CA84" s="245" t="str">
        <f>IFERROR(__xludf.DUMMYFUNCTION("IF(REGEXMATCH(C84, ""r""), ""o"",""x"")"),"x")</f>
        <v>x</v>
      </c>
      <c r="CB84" s="246" t="str">
        <f>IFERROR(__xludf.DUMMYFUNCTION("IF(REGEXMATCH(C84, ""R""), ""o"",""x"")"),"o")</f>
        <v>o</v>
      </c>
      <c r="CC84" s="246" t="str">
        <f>IFERROR(__xludf.DUMMYFUNCTION("IF(REGEXMATCH(C84, ""g""), ""o"",""x"")"),"o")</f>
        <v>o</v>
      </c>
      <c r="CD84" s="245" t="str">
        <f>IFERROR(__xludf.DUMMYFUNCTION("IF(REGEXMATCH(C84, ""G""), ""o"",""x"")"),"x")</f>
        <v>x</v>
      </c>
      <c r="CE84" s="245" t="str">
        <f>IFERROR(__xludf.DUMMYFUNCTION("IF(REGEXMATCH(C84, ""m""), ""o"",""x"")"),"o")</f>
        <v>o</v>
      </c>
      <c r="CF84" s="246" t="str">
        <f>IFERROR(__xludf.DUMMYFUNCTION("IF(REGEXMATCH(C84, ""M""), ""o"",""x"")"),"x")</f>
        <v>x</v>
      </c>
      <c r="CG84" s="245" t="str">
        <f>IFERROR(__xludf.DUMMYFUNCTION("IF(REGEXMATCH(C84, ""P""), ""o"",""x"")"),"o")</f>
        <v>o</v>
      </c>
      <c r="CH84" s="246" t="str">
        <f>IFERROR(__xludf.DUMMYFUNCTION("IF(REGEXMATCH(C84, ""d""), ""o"",""x"")"),"o")</f>
        <v>o</v>
      </c>
      <c r="CI84" s="245" t="str">
        <f>IFERROR(__xludf.DUMMYFUNCTION("IF(REGEXMATCH(C84, ""D""), ""o"",""x"")"),"x")</f>
        <v>x</v>
      </c>
      <c r="CJ84" s="245" t="str">
        <f>IFERROR(__xludf.DUMMYFUNCTION("IF(REGEXMATCH(C84, ""n""), ""o"",""x"")"),"o")</f>
        <v>o</v>
      </c>
      <c r="CK84" s="245" t="str">
        <f>IFERROR(__xludf.DUMMYFUNCTION("IF(REGEXMATCH(C84, ""N""), ""o"",""x"")"),"x")</f>
        <v>x</v>
      </c>
      <c r="CL84" s="356" t="str">
        <f>IFERROR(__xludf.DUMMYFUNCTION("IF(REGEXMATCH(C84, ""S""), ""x"",""x"")"),"x")</f>
        <v>x</v>
      </c>
      <c r="CM84" s="357" t="str">
        <f t="shared" si="33"/>
        <v>xxooxoxooxox</v>
      </c>
      <c r="CN84" s="358">
        <f t="shared" si="34"/>
        <v>3</v>
      </c>
      <c r="CO84" s="246" t="str">
        <f>IFERROR(__xludf.DUMMYFUNCTION("IF(REGEXMATCH($C84, ""S""), ""S"",""S"")"),"S")</f>
        <v>S</v>
      </c>
      <c r="CP84" s="246" t="str">
        <f>IFERROR(__xludf.DUMMYFUNCTION("IF(REGEXMATCH($C84, ""r""), """",""r"")"),"r")</f>
        <v>r</v>
      </c>
      <c r="CQ84" s="246" t="str">
        <f>IFERROR(__xludf.DUMMYFUNCTION("IF(REGEXMATCH($C84, ""R""), """",""R"")"),"")</f>
        <v/>
      </c>
      <c r="CR84" s="246" t="str">
        <f>IFERROR(__xludf.DUMMYFUNCTION("IF(REGEXMATCH($C84, ""g""), """",""g"")"),"")</f>
        <v/>
      </c>
      <c r="CS84" s="246" t="str">
        <f>IFERROR(__xludf.DUMMYFUNCTION("IF(REGEXMATCH($C84, ""G""), """",""G"")"),"G")</f>
        <v>G</v>
      </c>
      <c r="CT84" s="246" t="str">
        <f>IFERROR(__xludf.DUMMYFUNCTION("IF(REGEXMATCH($C84, ""m""), """",""m"")"),"")</f>
        <v/>
      </c>
      <c r="CU84" s="246" t="str">
        <f>IFERROR(__xludf.DUMMYFUNCTION("IF(REGEXMATCH($C84, ""M""), """",""M"")"),"M")</f>
        <v>M</v>
      </c>
      <c r="CV84" s="246" t="str">
        <f>IFERROR(__xludf.DUMMYFUNCTION("IF(REGEXMATCH($C84, ""P""), """",""P"")"),"")</f>
        <v/>
      </c>
      <c r="CW84" s="246" t="str">
        <f>IFERROR(__xludf.DUMMYFUNCTION("IF(REGEXMATCH($C84, ""d""), """",""d"")"),"")</f>
        <v/>
      </c>
      <c r="CX84" s="246" t="str">
        <f>IFERROR(__xludf.DUMMYFUNCTION("IF(REGEXMATCH($C84, ""D""), """",""D"")"),"D")</f>
        <v>D</v>
      </c>
      <c r="CY84" s="246" t="str">
        <f>IFERROR(__xludf.DUMMYFUNCTION("IF(REGEXMATCH($C84, ""n""), """",""n"")"),"")</f>
        <v/>
      </c>
      <c r="CZ84" s="246" t="str">
        <f>IFERROR(__xludf.DUMMYFUNCTION("IF(REGEXMATCH($C84, ""N""), """",""N"")"),"N")</f>
        <v>N</v>
      </c>
      <c r="DA84" s="246" t="str">
        <f>IFERROR(__xludf.DUMMYFUNCTION("IF(REGEXMATCH($C84, ""S""), ""S"",""S"")"),"S")</f>
        <v>S</v>
      </c>
      <c r="DB84" s="362" t="str">
        <f>IFERROR(__xludf.DUMMYFUNCTION("JOIN("""",CO84:DA84,"""","""")"),"SrGMDNS")</f>
        <v>SrGMDNS</v>
      </c>
      <c r="DC84" s="363"/>
      <c r="DD84" s="301" t="str">
        <f t="shared" si="35"/>
        <v>#REF!</v>
      </c>
      <c r="DE84" s="302" t="str">
        <f t="shared" si="36"/>
        <v>#REF!</v>
      </c>
      <c r="DF84" s="301" t="str">
        <f t="shared" ref="DF84:DG84" si="366">SUBSTITUTE(S84,"-","")</f>
        <v>SRGM</v>
      </c>
      <c r="DG84" s="301" t="str">
        <f t="shared" si="366"/>
        <v>PDNS</v>
      </c>
      <c r="DH84" s="302" t="str">
        <f t="shared" si="38"/>
        <v>Bilawal</v>
      </c>
      <c r="DI84" s="301" t="str">
        <f t="shared" si="39"/>
        <v>Hemi.</v>
      </c>
      <c r="DJ84" s="364" t="str">
        <f t="shared" si="40"/>
        <v>-</v>
      </c>
      <c r="DK84" s="306" t="str">
        <f t="shared" si="41"/>
        <v>Asavari</v>
      </c>
      <c r="DL84" s="366" t="str">
        <f t="shared" si="42"/>
        <v>-</v>
      </c>
      <c r="DM84" s="308" t="str">
        <f t="shared" si="43"/>
        <v>-</v>
      </c>
      <c r="DN84" s="306" t="str">
        <f t="shared" si="44"/>
        <v>-</v>
      </c>
      <c r="DO84" s="306" t="str">
        <f t="shared" si="45"/>
        <v>-</v>
      </c>
      <c r="DP84" s="367" t="str">
        <f t="shared" si="46"/>
        <v>-</v>
      </c>
      <c r="DQ84" s="310" t="str">
        <f t="shared" si="47"/>
        <v>-</v>
      </c>
      <c r="DR84" s="310" t="str">
        <f t="shared" si="48"/>
        <v>-</v>
      </c>
      <c r="DS84" s="310" t="str">
        <f t="shared" si="49"/>
        <v>-</v>
      </c>
      <c r="DT84" s="310" t="str">
        <f t="shared" si="50"/>
        <v>-</v>
      </c>
      <c r="DU84" s="370" t="str">
        <f t="shared" si="51"/>
        <v>-</v>
      </c>
      <c r="DV84" s="306" t="str">
        <f t="shared" si="52"/>
        <v>-</v>
      </c>
      <c r="DW84" s="306" t="str">
        <f t="shared" si="53"/>
        <v>-</v>
      </c>
      <c r="DX84" s="306" t="str">
        <f t="shared" si="54"/>
        <v>-</v>
      </c>
      <c r="DY84" s="306" t="str">
        <f t="shared" si="55"/>
        <v>-</v>
      </c>
      <c r="DZ84" s="306" t="str">
        <f t="shared" si="56"/>
        <v>-</v>
      </c>
      <c r="EA84" s="367" t="str">
        <f t="shared" si="57"/>
        <v>-</v>
      </c>
      <c r="EB84" s="310" t="str">
        <f>IFERROR(__xludf.DUMMYFUNCTION("IF(REGEXMATCH(AW84,AS84),""✔"",""-"")"),"✔")</f>
        <v>✔</v>
      </c>
      <c r="EC84" s="310" t="str">
        <f t="shared" si="58"/>
        <v>#REF!</v>
      </c>
      <c r="ED84" s="370" t="str">
        <f t="shared" si="59"/>
        <v>-</v>
      </c>
      <c r="EE84" s="340" t="str">
        <f t="shared" si="60"/>
        <v>S-R-g-m-P-d-n-S</v>
      </c>
      <c r="EF84" s="371" t="str">
        <f>IFERROR(__xludf.DUMMYFUNCTION("CONCATENATE(JOIN("""",HC84:HO84))"),"SRGmPDnS")</f>
        <v>SRGmPDnS</v>
      </c>
      <c r="EG84" s="372">
        <f t="shared" si="61"/>
        <v>1</v>
      </c>
      <c r="EH84" s="373" t="str">
        <f>IFERROR(__xludf.DUMMYFUNCTION("CONCATENATE(JOIN("""",JC84:JO84))"),"Re, ")</f>
        <v>Re, </v>
      </c>
      <c r="EI84" s="322">
        <f t="shared" si="62"/>
        <v>0</v>
      </c>
      <c r="EJ84" s="374" t="str">
        <f>IFERROR(__xludf.DUMMYFUNCTION("CONCATENATE(JOIN("""",KC84:KO84))"),"")</f>
        <v/>
      </c>
      <c r="EK84" s="325" t="str">
        <f t="shared" si="63"/>
        <v>S-R2-G2-M1-P-D1-N2-S</v>
      </c>
      <c r="EL84" s="326" t="str">
        <f t="shared" si="64"/>
        <v>1-2-b3-4-5-b6-b7-8</v>
      </c>
      <c r="EM84" s="318" t="str">
        <f t="shared" si="65"/>
        <v>#REF!</v>
      </c>
      <c r="EN84" s="328" t="str">
        <f>IFERROR(__xludf.DUMMYFUNCTION("SUBSTITUTE(SUBSTITUTE(SUBSTITUTE(SUBSTITUTE(CONCATENATE(JOIN("" "",HP84:IB84)),""  "","" ""),""  "","" ""),""  "","" ""),""  "","" "")"),"o • o o • o • o o • o • o")</f>
        <v>o • o o • o • o o • o • o</v>
      </c>
      <c r="EO84" s="368" t="str">
        <f t="shared" si="66"/>
        <v>-</v>
      </c>
      <c r="EP84" s="339" t="str">
        <f t="shared" si="67"/>
        <v>-</v>
      </c>
      <c r="EQ84" s="339" t="str">
        <f t="shared" si="68"/>
        <v>Sa-Pa</v>
      </c>
      <c r="ER84" s="339" t="str">
        <f t="shared" si="69"/>
        <v>-</v>
      </c>
      <c r="ES84" s="340" t="str">
        <f t="shared" si="70"/>
        <v>-</v>
      </c>
      <c r="ET84" s="363"/>
      <c r="EU84" s="376" t="b">
        <f>IFERROR(__xludf.DUMMYFUNCTION("arrayformula(sum(--REGEXMATCH(""SRGMPDNS"",split(REGEXREPLACE(C84,""(.)"",""$1~""),""~""))))=len(C84)
"),FALSE)</f>
        <v>0</v>
      </c>
      <c r="EV84" s="290" t="b">
        <f>IFERROR(__xludf.DUMMYFUNCTION("arrayformula(sum(--REGEXMATCH(""SRGmPDNS"",split(REGEXREPLACE(C84,""(.)"",""$1~""),""~""))))=len(C84)"),FALSE)</f>
        <v>0</v>
      </c>
      <c r="EW84" s="290" t="b">
        <f>IFERROR(__xludf.DUMMYFUNCTION("arrayformula(sum(--REGEXMATCH(""SRGmPDnS"",split(REGEXREPLACE(C84,""(.)"",""$1~""),""~""))))=len(C84)"),FALSE)</f>
        <v>0</v>
      </c>
      <c r="EX84" s="290" t="b">
        <f>IFERROR(__xludf.DUMMYFUNCTION("arrayformula(sum(--REGEXMATCH(""SRgmPDnS"",split(REGEXREPLACE(C84,""(.)"",""$1~""),""~""))))=len(C84)"),FALSE)</f>
        <v>0</v>
      </c>
      <c r="EY84" s="290" t="b">
        <f>IFERROR(__xludf.DUMMYFUNCTION("arrayformula(sum(--REGEXMATCH(""SRgmPdnS"",split(REGEXREPLACE(C84,""(.)"",""$1~""),""~""))))=len(C84)"),TRUE)</f>
        <v>1</v>
      </c>
      <c r="EZ84" s="290" t="b">
        <f>IFERROR(__xludf.DUMMYFUNCTION("arrayformula(sum(--REGEXMATCH(""SrgmPdnS"",split(REGEXREPLACE(C84,""(.)"",""$1~""),""~""))))=len(C84)"),FALSE)</f>
        <v>0</v>
      </c>
      <c r="FA84" s="290" t="b">
        <f>IFERROR(__xludf.DUMMYFUNCTION("arrayformula(sum(--REGEXMATCH(""SrGmPdNS"",split(REGEXREPLACE(C84,""(.)"",""$1~""),""~""))))=len(C84)"),FALSE)</f>
        <v>0</v>
      </c>
      <c r="FB84" s="290" t="b">
        <f>IFERROR(__xludf.DUMMYFUNCTION("arrayformula(sum(--REGEXMATCH(""SrGMPDNS"",split(REGEXREPLACE(C84,""(.)"",""$1~""),""~""))))=len(C84)"),FALSE)</f>
        <v>0</v>
      </c>
      <c r="FC84" s="290" t="b">
        <f>IFERROR(__xludf.DUMMYFUNCTION("arrayformula(sum(--REGEXMATCH(""SrGMPdNS"",split(REGEXREPLACE(C84,""(.)"",""$1~""),""~""))))=len(C84)"),FALSE)</f>
        <v>0</v>
      </c>
      <c r="FD84" s="377" t="b">
        <f>IFERROR(__xludf.DUMMYFUNCTION("arrayformula(sum(--REGEXMATCH(""SrgMPdNS"",split(REGEXREPLACE(C84,""(.)"",""$1~""),""~""))))=len(C84)"),FALSE)</f>
        <v>0</v>
      </c>
      <c r="FE84" s="269" t="str">
        <f t="shared" si="71"/>
        <v>-</v>
      </c>
      <c r="FF84" s="269" t="str">
        <f t="shared" si="72"/>
        <v>xxoxoxxoxox</v>
      </c>
      <c r="FG84" s="271" t="str">
        <f t="shared" si="73"/>
        <v>xoxoxxoxoxo</v>
      </c>
      <c r="FH84" s="269" t="str">
        <f t="shared" si="74"/>
        <v>-</v>
      </c>
      <c r="FI84" s="271" t="str">
        <f t="shared" si="75"/>
        <v>xoxxoxoxoxx</v>
      </c>
      <c r="FJ84" s="271" t="str">
        <f t="shared" si="76"/>
        <v>-</v>
      </c>
      <c r="FK84" s="271" t="str">
        <f t="shared" si="77"/>
        <v>xxoxoxoxxox</v>
      </c>
      <c r="FL84" s="271" t="str">
        <f t="shared" si="78"/>
        <v>xoxoxoxxoxo</v>
      </c>
      <c r="FM84" s="271" t="str">
        <f t="shared" si="79"/>
        <v>-</v>
      </c>
      <c r="FN84" s="271" t="str">
        <f t="shared" si="80"/>
        <v>xoxoxxoxoxx</v>
      </c>
      <c r="FO84" s="274" t="str">
        <f t="shared" si="81"/>
        <v>-</v>
      </c>
      <c r="FP84" s="234" t="str">
        <f t="shared" si="82"/>
        <v>|</v>
      </c>
      <c r="FQ84" s="236" t="str">
        <f t="shared" si="83"/>
        <v>-</v>
      </c>
      <c r="FR84" s="237" t="str">
        <f t="shared" si="84"/>
        <v>|</v>
      </c>
      <c r="FS84" s="236" t="str">
        <f t="shared" si="85"/>
        <v>|</v>
      </c>
      <c r="FT84" s="237" t="str">
        <f t="shared" si="86"/>
        <v>-</v>
      </c>
      <c r="FU84" s="236" t="str">
        <f t="shared" si="87"/>
        <v>|</v>
      </c>
      <c r="FV84" s="237" t="str">
        <f t="shared" si="88"/>
        <v>-</v>
      </c>
      <c r="FW84" s="236" t="str">
        <f t="shared" si="89"/>
        <v>|</v>
      </c>
      <c r="FX84" s="237" t="str">
        <f t="shared" si="90"/>
        <v>|</v>
      </c>
      <c r="FY84" s="236" t="str">
        <f t="shared" si="91"/>
        <v>-</v>
      </c>
      <c r="FZ84" s="237" t="str">
        <f t="shared" si="92"/>
        <v>|</v>
      </c>
      <c r="GA84" s="236" t="str">
        <f t="shared" si="93"/>
        <v>-</v>
      </c>
      <c r="GB84" s="238" t="str">
        <f t="shared" si="94"/>
        <v>|</v>
      </c>
      <c r="GC84" s="244" t="str">
        <f>IFERROR(__xludf.DUMMYFUNCTION("IF(REGEXMATCH(C84, ""S""), ""1"","""")"),"1")</f>
        <v>1</v>
      </c>
      <c r="GD84" s="245" t="str">
        <f>IFERROR(__xludf.DUMMYFUNCTION("IF(REGEXMATCH(C84, ""r""), ""b2"","""")"),"")</f>
        <v/>
      </c>
      <c r="GE84" s="246" t="str">
        <f>IFERROR(__xludf.DUMMYFUNCTION("IF(REGEXMATCH(C84, ""R""), ""2"","""")"),"2")</f>
        <v>2</v>
      </c>
      <c r="GF84" s="246" t="str">
        <f>IFERROR(__xludf.DUMMYFUNCTION("IF(REGEXMATCH(C84, ""g""), ""b3"","""")"),"b3")</f>
        <v>b3</v>
      </c>
      <c r="GG84" s="245" t="str">
        <f>IFERROR(__xludf.DUMMYFUNCTION("IF(REGEXMATCH(C84, ""G""), ""3"","""")"),"")</f>
        <v/>
      </c>
      <c r="GH84" s="245" t="str">
        <f>IFERROR(__xludf.DUMMYFUNCTION("IF(REGEXMATCH(C84, ""m""), ""4"","""")"),"4")</f>
        <v>4</v>
      </c>
      <c r="GI84" s="246" t="str">
        <f>IFERROR(__xludf.DUMMYFUNCTION("IF(REGEXMATCH(C84, ""M""), ""#4"","""")"),"")</f>
        <v/>
      </c>
      <c r="GJ84" s="245" t="str">
        <f>IFERROR(__xludf.DUMMYFUNCTION("IF(REGEXMATCH(C84, ""P""), ""5"","""")"),"5")</f>
        <v>5</v>
      </c>
      <c r="GK84" s="246" t="str">
        <f>IFERROR(__xludf.DUMMYFUNCTION("IF(REGEXMATCH(C84, ""d""), ""b6"","""")"),"b6")</f>
        <v>b6</v>
      </c>
      <c r="GL84" s="245" t="str">
        <f>IFERROR(__xludf.DUMMYFUNCTION("IF(REGEXMATCH(C84, ""D""), ""6"","""")"),"")</f>
        <v/>
      </c>
      <c r="GM84" s="245" t="str">
        <f>IFERROR(__xludf.DUMMYFUNCTION("IF(REGEXMATCH(C84, ""n""), ""b7"","""")"),"b7")</f>
        <v>b7</v>
      </c>
      <c r="GN84" s="246" t="str">
        <f>IFERROR(__xludf.DUMMYFUNCTION("IF(REGEXMATCH(C84, ""N""), ""7"","""")"),"")</f>
        <v/>
      </c>
      <c r="GO84" s="249" t="str">
        <f>IFERROR(__xludf.DUMMYFUNCTION("IF(REGEXMATCH(C84, ""S""), ""8"","""")"),"8")</f>
        <v>8</v>
      </c>
      <c r="GP84" s="244" t="str">
        <f>IFERROR(__xludf.DUMMYFUNCTION("IF(REGEXMATCH(C84, ""S""), ""S"","""")"),"S")</f>
        <v>S</v>
      </c>
      <c r="GQ84" s="294" t="str">
        <f>IFERROR(__xludf.DUMMYFUNCTION("IF(REGEXMATCH(C84, ""r""), ""R1"","""")"),"")</f>
        <v/>
      </c>
      <c r="GR84" s="295" t="str">
        <f>IFERROR(__xludf.DUMMYFUNCTION("IF(REGEXMATCH(C84, ""R""), ""R2"","""")"),"R2")</f>
        <v>R2</v>
      </c>
      <c r="GS84" s="295" t="str">
        <f>IFERROR(__xludf.DUMMYFUNCTION("IF(REGEXMATCH(C84, ""g""), ""G2"","""")"),"G2")</f>
        <v>G2</v>
      </c>
      <c r="GT84" s="294" t="str">
        <f>IFERROR(__xludf.DUMMYFUNCTION("IF(REGEXMATCH(C84, ""G""), ""G3"","""")"),"")</f>
        <v/>
      </c>
      <c r="GU84" s="294" t="str">
        <f>IFERROR(__xludf.DUMMYFUNCTION("IF(REGEXMATCH(C84, ""m""), ""M1"","""")"),"M1")</f>
        <v>M1</v>
      </c>
      <c r="GV84" s="295" t="str">
        <f>IFERROR(__xludf.DUMMYFUNCTION("IF(REGEXMATCH(C84, ""M""), ""M2"","""")"),"")</f>
        <v/>
      </c>
      <c r="GW84" s="294" t="str">
        <f>IFERROR(__xludf.DUMMYFUNCTION("IF(REGEXMATCH(C84, ""P""), ""P"","""")"),"P")</f>
        <v>P</v>
      </c>
      <c r="GX84" s="295" t="str">
        <f>IFERROR(__xludf.DUMMYFUNCTION("IF(REGEXMATCH(C84, ""d""), ""D1"","""")"),"D1")</f>
        <v>D1</v>
      </c>
      <c r="GY84" s="294" t="str">
        <f>IFERROR(__xludf.DUMMYFUNCTION("IF(REGEXMATCH(C84, ""D""), ""D2"","""")"),"")</f>
        <v/>
      </c>
      <c r="GZ84" s="294" t="str">
        <f>IFERROR(__xludf.DUMMYFUNCTION("IF(REGEXMATCH(C84, ""n""), ""N2"","""")"),"N2")</f>
        <v>N2</v>
      </c>
      <c r="HA84" s="295" t="str">
        <f>IFERROR(__xludf.DUMMYFUNCTION("IF(REGEXMATCH(C84, ""N""), ""N3"","""")"),"")</f>
        <v/>
      </c>
      <c r="HB84" s="249" t="str">
        <f>IFERROR(__xludf.DUMMYFUNCTION("IF(REGEXMATCH(C84, ""S""), ""S"","""")"),"S")</f>
        <v>S</v>
      </c>
      <c r="HC84" s="331" t="str">
        <f t="shared" si="95"/>
        <v>S</v>
      </c>
      <c r="HD84" s="332" t="str">
        <f t="shared" si="96"/>
        <v/>
      </c>
      <c r="HE84" s="332" t="str">
        <f t="shared" si="97"/>
        <v>R</v>
      </c>
      <c r="HF84" s="332" t="str">
        <f t="shared" si="98"/>
        <v/>
      </c>
      <c r="HG84" s="332" t="str">
        <f t="shared" si="99"/>
        <v>G</v>
      </c>
      <c r="HH84" s="332" t="str">
        <f t="shared" si="100"/>
        <v>m</v>
      </c>
      <c r="HI84" s="332" t="str">
        <f t="shared" si="101"/>
        <v/>
      </c>
      <c r="HJ84" s="332" t="str">
        <f t="shared" si="102"/>
        <v>P</v>
      </c>
      <c r="HK84" s="332" t="str">
        <f t="shared" si="103"/>
        <v/>
      </c>
      <c r="HL84" s="332" t="str">
        <f t="shared" si="104"/>
        <v>D</v>
      </c>
      <c r="HM84" s="332" t="str">
        <f t="shared" si="105"/>
        <v>n</v>
      </c>
      <c r="HN84" s="332" t="str">
        <f t="shared" si="106"/>
        <v/>
      </c>
      <c r="HO84" s="343" t="str">
        <f t="shared" si="107"/>
        <v>S</v>
      </c>
      <c r="HP84" s="331" t="str">
        <f t="shared" si="108"/>
        <v>o</v>
      </c>
      <c r="HQ84" s="332" t="str">
        <f t="shared" si="109"/>
        <v>•</v>
      </c>
      <c r="HR84" s="332" t="str">
        <f t="shared" si="110"/>
        <v>o</v>
      </c>
      <c r="HS84" s="332" t="str">
        <f t="shared" si="111"/>
        <v>o</v>
      </c>
      <c r="HT84" s="332" t="str">
        <f t="shared" si="112"/>
        <v>•</v>
      </c>
      <c r="HU84" s="332" t="str">
        <f t="shared" si="113"/>
        <v>o</v>
      </c>
      <c r="HV84" s="332" t="str">
        <f t="shared" si="114"/>
        <v>•</v>
      </c>
      <c r="HW84" s="332" t="str">
        <f t="shared" si="115"/>
        <v>o</v>
      </c>
      <c r="HX84" s="332" t="str">
        <f t="shared" si="116"/>
        <v>o</v>
      </c>
      <c r="HY84" s="332" t="str">
        <f t="shared" si="117"/>
        <v>•</v>
      </c>
      <c r="HZ84" s="332" t="str">
        <f t="shared" si="118"/>
        <v>o</v>
      </c>
      <c r="IA84" s="332" t="str">
        <f t="shared" si="119"/>
        <v>•</v>
      </c>
      <c r="IB84" s="338" t="str">
        <f t="shared" si="120"/>
        <v>o</v>
      </c>
      <c r="IC84" s="331" t="str">
        <f t="shared" si="121"/>
        <v>•</v>
      </c>
      <c r="ID84" s="332" t="str">
        <f t="shared" si="122"/>
        <v>o</v>
      </c>
      <c r="IE84" s="332" t="str">
        <f t="shared" si="123"/>
        <v>•</v>
      </c>
      <c r="IF84" s="332" t="str">
        <f t="shared" si="124"/>
        <v>•</v>
      </c>
      <c r="IG84" s="332" t="str">
        <f t="shared" si="125"/>
        <v>o</v>
      </c>
      <c r="IH84" s="332" t="str">
        <f t="shared" si="126"/>
        <v>•</v>
      </c>
      <c r="II84" s="332" t="str">
        <f t="shared" si="127"/>
        <v>o</v>
      </c>
      <c r="IJ84" s="332" t="str">
        <f t="shared" si="128"/>
        <v>•</v>
      </c>
      <c r="IK84" s="332" t="str">
        <f t="shared" si="129"/>
        <v>•</v>
      </c>
      <c r="IL84" s="332" t="str">
        <f t="shared" si="130"/>
        <v>o</v>
      </c>
      <c r="IM84" s="332" t="str">
        <f t="shared" si="131"/>
        <v>•</v>
      </c>
      <c r="IN84" s="332" t="str">
        <f t="shared" si="132"/>
        <v>o</v>
      </c>
      <c r="IO84" s="338" t="str">
        <f t="shared" si="133"/>
        <v>•</v>
      </c>
      <c r="IP84" s="346" t="b">
        <f t="shared" si="134"/>
        <v>0</v>
      </c>
      <c r="IQ84" s="347" t="b">
        <f t="shared" si="135"/>
        <v>0</v>
      </c>
      <c r="IR84" s="347" t="b">
        <f t="shared" si="136"/>
        <v>1</v>
      </c>
      <c r="IS84" s="347" t="b">
        <f t="shared" si="137"/>
        <v>0</v>
      </c>
      <c r="IT84" s="347" t="b">
        <f t="shared" si="138"/>
        <v>0</v>
      </c>
      <c r="IU84" s="347" t="b">
        <f t="shared" si="139"/>
        <v>0</v>
      </c>
      <c r="IV84" s="347" t="b">
        <f t="shared" si="140"/>
        <v>0</v>
      </c>
      <c r="IW84" s="347" t="b">
        <f t="shared" si="141"/>
        <v>0</v>
      </c>
      <c r="IX84" s="347" t="b">
        <f t="shared" si="142"/>
        <v>0</v>
      </c>
      <c r="IY84" s="347" t="b">
        <f t="shared" si="143"/>
        <v>0</v>
      </c>
      <c r="IZ84" s="347" t="b">
        <f t="shared" si="144"/>
        <v>0</v>
      </c>
      <c r="JA84" s="347" t="b">
        <f t="shared" si="145"/>
        <v>0</v>
      </c>
      <c r="JB84" s="353" t="b">
        <f t="shared" si="146"/>
        <v>0</v>
      </c>
      <c r="JC84" s="354" t="str">
        <f t="shared" si="147"/>
        <v/>
      </c>
      <c r="JD84" s="355" t="str">
        <f t="shared" si="148"/>
        <v/>
      </c>
      <c r="JE84" s="355" t="str">
        <f t="shared" si="149"/>
        <v>Re, </v>
      </c>
      <c r="JF84" s="355" t="str">
        <f t="shared" si="150"/>
        <v/>
      </c>
      <c r="JG84" s="355" t="str">
        <f t="shared" si="151"/>
        <v/>
      </c>
      <c r="JH84" s="355" t="str">
        <f t="shared" si="152"/>
        <v/>
      </c>
      <c r="JI84" s="355" t="str">
        <f t="shared" si="153"/>
        <v/>
      </c>
      <c r="JJ84" s="355" t="str">
        <f t="shared" si="154"/>
        <v/>
      </c>
      <c r="JK84" s="355" t="str">
        <f t="shared" si="155"/>
        <v/>
      </c>
      <c r="JL84" s="355" t="str">
        <f t="shared" si="156"/>
        <v/>
      </c>
      <c r="JM84" s="355" t="str">
        <f t="shared" si="157"/>
        <v/>
      </c>
      <c r="JN84" s="355" t="str">
        <f t="shared" si="158"/>
        <v/>
      </c>
      <c r="JO84" s="359" t="str">
        <f t="shared" si="159"/>
        <v/>
      </c>
      <c r="JP84" s="346" t="b">
        <f t="shared" si="160"/>
        <v>0</v>
      </c>
      <c r="JQ84" s="347" t="b">
        <f t="shared" si="161"/>
        <v>0</v>
      </c>
      <c r="JR84" s="347" t="b">
        <f t="shared" si="162"/>
        <v>0</v>
      </c>
      <c r="JS84" s="347" t="b">
        <f t="shared" si="163"/>
        <v>0</v>
      </c>
      <c r="JT84" s="347" t="b">
        <f t="shared" si="164"/>
        <v>0</v>
      </c>
      <c r="JU84" s="347" t="b">
        <f t="shared" si="165"/>
        <v>0</v>
      </c>
      <c r="JV84" s="347" t="b">
        <f t="shared" si="166"/>
        <v>0</v>
      </c>
      <c r="JW84" s="347" t="b">
        <f t="shared" si="167"/>
        <v>0</v>
      </c>
      <c r="JX84" s="347" t="b">
        <f t="shared" si="168"/>
        <v>0</v>
      </c>
      <c r="JY84" s="347" t="b">
        <f t="shared" si="169"/>
        <v>0</v>
      </c>
      <c r="JZ84" s="347" t="b">
        <f t="shared" si="170"/>
        <v>0</v>
      </c>
      <c r="KA84" s="347" t="b">
        <f t="shared" si="171"/>
        <v>0</v>
      </c>
      <c r="KB84" s="365" t="b">
        <f t="shared" si="172"/>
        <v>0</v>
      </c>
      <c r="KC84" s="354" t="str">
        <f t="shared" si="173"/>
        <v/>
      </c>
      <c r="KD84" s="355" t="str">
        <f t="shared" si="174"/>
        <v/>
      </c>
      <c r="KE84" s="355" t="str">
        <f t="shared" si="175"/>
        <v/>
      </c>
      <c r="KF84" s="355" t="str">
        <f t="shared" si="176"/>
        <v/>
      </c>
      <c r="KG84" s="355" t="str">
        <f t="shared" si="177"/>
        <v/>
      </c>
      <c r="KH84" s="355" t="str">
        <f t="shared" si="178"/>
        <v/>
      </c>
      <c r="KI84" s="355" t="str">
        <f t="shared" si="179"/>
        <v/>
      </c>
      <c r="KJ84" s="355" t="str">
        <f t="shared" si="180"/>
        <v/>
      </c>
      <c r="KK84" s="355" t="str">
        <f t="shared" si="181"/>
        <v/>
      </c>
      <c r="KL84" s="355" t="str">
        <f t="shared" si="182"/>
        <v/>
      </c>
      <c r="KM84" s="355" t="str">
        <f t="shared" si="183"/>
        <v/>
      </c>
      <c r="KN84" s="355" t="str">
        <f t="shared" si="184"/>
        <v/>
      </c>
      <c r="KO84" s="359"/>
      <c r="KP84" s="378"/>
      <c r="KQ84" s="379" t="s">
        <v>405</v>
      </c>
      <c r="KR84" s="380" t="s">
        <v>431</v>
      </c>
      <c r="KS84" s="381" t="str">
        <f t="shared" ref="KS84:KS86" si="369">KQ84</f>
        <v>S-R-g-m-P-d-n-S</v>
      </c>
      <c r="KT84" s="382">
        <f t="shared" si="186"/>
        <v>7</v>
      </c>
      <c r="KU84" s="383">
        <f t="shared" si="187"/>
        <v>7</v>
      </c>
      <c r="KV84" s="381" t="str">
        <f t="shared" si="205"/>
        <v>S-n-d-P-m-g-R-S</v>
      </c>
      <c r="KW84" s="382">
        <f t="shared" si="189"/>
        <v>7</v>
      </c>
      <c r="KX84" s="384">
        <f t="shared" si="190"/>
        <v>7</v>
      </c>
      <c r="KY84" s="382">
        <f t="shared" ref="KY84:KZ84" si="367">KW84-KT84</f>
        <v>0</v>
      </c>
      <c r="KZ84" s="369">
        <f t="shared" si="367"/>
        <v>0</v>
      </c>
      <c r="LA84" s="385" t="str">
        <f t="shared" si="192"/>
        <v>✔</v>
      </c>
      <c r="LB84" s="340" t="str">
        <f>IFERROR(__xludf.DUMMYFUNCTION("JOIN("""",ArrayFormula(MID(KS84,LEN(KS84)-SEQUENCE(1,LEN(KS84))+1,1)))"),"S-n-d-P-m-g-R-S")</f>
        <v>S-n-d-P-m-g-R-S</v>
      </c>
      <c r="LC84" s="373" t="str">
        <f>IFERROR(__xludf.DUMMYFUNCTION("JOIN("""",ArrayFormula(MID(KV84,LEN(KV84)-SEQUENCE(1,LEN(KV84))+1,1)))"),"S-R-g-m-P-d-n-S")</f>
        <v>S-R-g-m-P-d-n-S</v>
      </c>
      <c r="LD84" s="373" t="str">
        <f t="shared" si="193"/>
        <v>SRgmPdnS</v>
      </c>
      <c r="LE84" s="339" t="str">
        <f t="shared" si="194"/>
        <v>SRgmPdnS</v>
      </c>
      <c r="LF84" s="386" t="str">
        <f>IFERROR(__xludf.DUMMYFUNCTION("SUBSTITUTE(SUBSTITUTE(CONCATENATE(JOIN("""",LH84:LT84)),""1"",""""),""2"","""")"),"SRgmPdnS")</f>
        <v>SRgmPdnS</v>
      </c>
      <c r="LG84" s="369" t="str">
        <f t="shared" si="195"/>
        <v>✔</v>
      </c>
      <c r="LH84" s="387" t="str">
        <f>IFERROR(__xludf.DUMMYFUNCTION("IF(REGEXMATCH(LD84, ""S""), ""S"",IF(REGEXMATCH(LE84, ""S""), ""S"",""""))"),"S")</f>
        <v>S</v>
      </c>
      <c r="LI84" s="299" t="str">
        <f>IFERROR(__xludf.DUMMYFUNCTION("IF(REGEXMATCH(LD84, ""r""), ""r1"",IF(REGEXMATCH(LE84, ""r""), ""r2"",""""))"),"")</f>
        <v/>
      </c>
      <c r="LJ84" s="299" t="str">
        <f>IFERROR(__xludf.DUMMYFUNCTION("IF(REGEXMATCH(LD84, ""R""), ""R1"",IF(REGEXMATCH(LE84, ""R""), ""R2"",""""))"),"R1")</f>
        <v>R1</v>
      </c>
      <c r="LK84" s="299" t="str">
        <f>IFERROR(__xludf.DUMMYFUNCTION("IF(REGEXMATCH(LD84, ""g""), ""g1"",IF(REGEXMATCH(LE84, ""g""), ""g2"",""""))"),"g1")</f>
        <v>g1</v>
      </c>
      <c r="LL84" s="299" t="str">
        <f>IFERROR(__xludf.DUMMYFUNCTION("IF(REGEXMATCH(LD84, ""G""), ""G1"",IF(REGEXMATCH(LE84, ""G""), ""G2"",""""))"),"")</f>
        <v/>
      </c>
      <c r="LM84" s="299" t="str">
        <f>IFERROR(__xludf.DUMMYFUNCTION("IF(REGEXMATCH(LD84, ""m""), ""m1"",IF(REGEXMATCH(LE84, ""m""), ""m2"",""""))"),"m1")</f>
        <v>m1</v>
      </c>
      <c r="LN84" s="299" t="str">
        <f>IFERROR(__xludf.DUMMYFUNCTION("IF(REGEXMATCH(LD84, ""M""), ""M1"",IF(REGEXMATCH(LE84, ""M""), ""M2"",""""))"),"")</f>
        <v/>
      </c>
      <c r="LO84" s="299" t="str">
        <f>IFERROR(__xludf.DUMMYFUNCTION("IF(REGEXMATCH(LD84, ""P""), ""P1"",IF(REGEXMATCH(LE84, ""P""), ""P2"",""""))"),"P1")</f>
        <v>P1</v>
      </c>
      <c r="LP84" s="299" t="str">
        <f>IFERROR(__xludf.DUMMYFUNCTION("IF(REGEXMATCH(LD84, ""d""), ""d1"",IF(REGEXMATCH(LE84, ""d""), ""d2"",""""))"),"d1")</f>
        <v>d1</v>
      </c>
      <c r="LQ84" s="299" t="str">
        <f>IFERROR(__xludf.DUMMYFUNCTION("IF(REGEXMATCH(LD84, ""D""), ""D1"",IF(REGEXMATCH(LE84, ""D""), ""D2"",""""))"),"")</f>
        <v/>
      </c>
      <c r="LR84" s="299" t="str">
        <f>IFERROR(__xludf.DUMMYFUNCTION("IF(REGEXMATCH(LD84, ""n""), ""n1"",IF(REGEXMATCH(LE84, ""n""), ""n2"",""""))"),"n1")</f>
        <v>n1</v>
      </c>
      <c r="LS84" s="299" t="str">
        <f>IFERROR(__xludf.DUMMYFUNCTION("IF(REGEXMATCH(LD84, ""N""), ""N1"",IF(REGEXMATCH(LE84, ""N""), ""N2"",""""))"),"")</f>
        <v/>
      </c>
      <c r="LT84" s="388" t="str">
        <f>IFERROR(__xludf.DUMMYFUNCTION("IF(REGEXMATCH(LD84, ""S""), ""S"",IF(REGEXMATCH(LE84, ""S""), ""S"",""""))"),"S")</f>
        <v>S</v>
      </c>
      <c r="LU84" s="389">
        <f t="shared" si="196"/>
        <v>1</v>
      </c>
      <c r="LV84" s="378"/>
      <c r="LW84" s="369"/>
      <c r="LX84" s="369"/>
    </row>
    <row r="85" ht="18.0" customHeight="1">
      <c r="A85" s="298" t="s">
        <v>673</v>
      </c>
      <c r="B85" s="222" t="s">
        <v>595</v>
      </c>
      <c r="C85" s="233" t="str">
        <f t="shared" si="7"/>
        <v>SrgmPdnS</v>
      </c>
      <c r="D85" s="234" t="str">
        <f>IFERROR(__xludf.DUMMYFUNCTION("IF(REGEXMATCH(C85, ""S""), ""S"","""")"),"S")</f>
        <v>S</v>
      </c>
      <c r="E85" s="236" t="str">
        <f>IFERROR(__xludf.DUMMYFUNCTION("IF(REGEXMATCH(C85, ""r""), ""r"","""")"),"r")</f>
        <v>r</v>
      </c>
      <c r="F85" s="237" t="str">
        <f>IFERROR(__xludf.DUMMYFUNCTION("IF(REGEXMATCH(C85, ""R""), ""R"","""")"),"")</f>
        <v/>
      </c>
      <c r="G85" s="237" t="str">
        <f>IFERROR(__xludf.DUMMYFUNCTION("IF(REGEXMATCH(C85, ""g""), ""g"","""")"),"g")</f>
        <v>g</v>
      </c>
      <c r="H85" s="236" t="str">
        <f>IFERROR(__xludf.DUMMYFUNCTION("IF(REGEXMATCH(C85, ""G""), ""G"","""")"),"")</f>
        <v/>
      </c>
      <c r="I85" s="236" t="str">
        <f>IFERROR(__xludf.DUMMYFUNCTION("IF(REGEXMATCH(C85, ""m""), ""m"","""")"),"m")</f>
        <v>m</v>
      </c>
      <c r="J85" s="237" t="str">
        <f>IFERROR(__xludf.DUMMYFUNCTION("IF(REGEXMATCH(C85, ""M""), ""M"","""")"),"")</f>
        <v/>
      </c>
      <c r="K85" s="236" t="str">
        <f>IFERROR(__xludf.DUMMYFUNCTION("IF(REGEXMATCH(C85, ""P""), ""P"","""")"),"P")</f>
        <v>P</v>
      </c>
      <c r="L85" s="237" t="str">
        <f>IFERROR(__xludf.DUMMYFUNCTION("IF(REGEXMATCH(C85, ""d""), ""d"","""")"),"d")</f>
        <v>d</v>
      </c>
      <c r="M85" s="236" t="str">
        <f>IFERROR(__xludf.DUMMYFUNCTION("IF(REGEXMATCH(C85, ""D""), ""D"","""")"),"")</f>
        <v/>
      </c>
      <c r="N85" s="236" t="str">
        <f>IFERROR(__xludf.DUMMYFUNCTION("IF(REGEXMATCH(C85, ""n""), ""n"","""")"),"n")</f>
        <v>n</v>
      </c>
      <c r="O85" s="237" t="str">
        <f>IFERROR(__xludf.DUMMYFUNCTION("IF(REGEXMATCH(C85, ""N""), ""N"","""")"),"")</f>
        <v/>
      </c>
      <c r="P85" s="238" t="str">
        <f>IFERROR(__xludf.DUMMYFUNCTION("IF(REGEXMATCH(C85, ""S""), ""S"","""")"),"S")</f>
        <v>S</v>
      </c>
      <c r="Q85" s="239" t="str">
        <f>IFERROR(__xludf.DUMMYFUNCTION("SUBSTITUTE(CONCATENATE(JOIN(""-"",D85:J85)),""-"","""")"),"Srgm")</f>
        <v>Srgm</v>
      </c>
      <c r="R85" s="229" t="str">
        <f>IFERROR(__xludf.DUMMYFUNCTION("SUBSTITUTE(CONCATENATE(JOIN(""-"",K85:P85)),""-"","""")"),"PdnS")</f>
        <v>PdnS</v>
      </c>
      <c r="S85" s="282" t="str">
        <f t="shared" si="8"/>
        <v>S-R-G-M</v>
      </c>
      <c r="T85" s="282" t="str">
        <f t="shared" si="9"/>
        <v>P-D-N-S</v>
      </c>
      <c r="U85" s="237" t="str">
        <f>IFERROR(__xludf.DUMMYFUNCTION("SUBSTITUTE(JOIN(""-"",S85,T85),""--"",""-"")"),"S-R-G-M-P-D-N-S")</f>
        <v>S-R-G-M-P-D-N-S</v>
      </c>
      <c r="V85" s="309" t="str">
        <f t="shared" si="10"/>
        <v>rgmdn</v>
      </c>
      <c r="W85" s="244" t="str">
        <f>IFERROR(__xludf.DUMMYFUNCTION("IF(REGEXMATCH(C85, ""S""), ""0"","""")"),"0")</f>
        <v>0</v>
      </c>
      <c r="X85" s="245" t="str">
        <f>IFERROR(__xludf.DUMMYFUNCTION("IF(REGEXMATCH(C85, ""r""), ""1"","""")"),"1")</f>
        <v>1</v>
      </c>
      <c r="Y85" s="246" t="str">
        <f>IFERROR(__xludf.DUMMYFUNCTION("IF(REGEXMATCH(C85, ""R""), ""2"","""")"),"")</f>
        <v/>
      </c>
      <c r="Z85" s="246" t="str">
        <f>IFERROR(__xludf.DUMMYFUNCTION("IF(REGEXMATCH(C85, ""g""), ""3"","""")"),"3")</f>
        <v>3</v>
      </c>
      <c r="AA85" s="245" t="str">
        <f>IFERROR(__xludf.DUMMYFUNCTION("IF(REGEXMATCH(C85, ""G""), ""4"","""")"),"")</f>
        <v/>
      </c>
      <c r="AB85" s="245" t="str">
        <f>IFERROR(__xludf.DUMMYFUNCTION("IF(REGEXMATCH(C85, ""m""), ""5"","""")"),"5")</f>
        <v>5</v>
      </c>
      <c r="AC85" s="246" t="str">
        <f>IFERROR(__xludf.DUMMYFUNCTION("IF(REGEXMATCH(C85, ""M""), ""6"","""")"),"")</f>
        <v/>
      </c>
      <c r="AD85" s="245" t="str">
        <f>IFERROR(__xludf.DUMMYFUNCTION("IF(REGEXMATCH(C85, ""P""), ""7"","""")"),"7")</f>
        <v>7</v>
      </c>
      <c r="AE85" s="246" t="str">
        <f>IFERROR(__xludf.DUMMYFUNCTION("IF(REGEXMATCH(C85, ""d""), ""8"","""")"),"8")</f>
        <v>8</v>
      </c>
      <c r="AF85" s="245" t="str">
        <f>IFERROR(__xludf.DUMMYFUNCTION("IF(REGEXMATCH(C85, ""D""), ""9"","""")"),"")</f>
        <v/>
      </c>
      <c r="AG85" s="245" t="str">
        <f>IFERROR(__xludf.DUMMYFUNCTION("IF(REGEXMATCH(C85, ""n""), ""10"","""")"),"10")</f>
        <v>10</v>
      </c>
      <c r="AH85" s="246" t="str">
        <f>IFERROR(__xludf.DUMMYFUNCTION("IF(REGEXMATCH(C85, ""N""), ""11"","""")"),"")</f>
        <v/>
      </c>
      <c r="AI85" s="249" t="str">
        <f>IFERROR(__xludf.DUMMYFUNCTION("IF(REGEXMATCH(C85, ""S""), ""0"","""")"),"0")</f>
        <v>0</v>
      </c>
      <c r="AJ85" s="313" t="str">
        <f t="shared" si="11"/>
        <v>-</v>
      </c>
      <c r="AK85" s="313" t="str">
        <f t="shared" si="12"/>
        <v>T</v>
      </c>
      <c r="AL85" s="313" t="str">
        <f t="shared" si="13"/>
        <v>-</v>
      </c>
      <c r="AM85" s="313" t="str">
        <f t="shared" si="14"/>
        <v>-</v>
      </c>
      <c r="AN85" s="313" t="str">
        <f t="shared" si="15"/>
        <v>-</v>
      </c>
      <c r="AO85" s="314" t="str">
        <f t="shared" si="16"/>
        <v>-</v>
      </c>
      <c r="AP85" s="316">
        <f t="shared" si="17"/>
        <v>1</v>
      </c>
      <c r="AQ85" s="319" t="str">
        <f t="shared" si="18"/>
        <v>-</v>
      </c>
      <c r="AR85" s="320">
        <f t="shared" si="19"/>
        <v>0</v>
      </c>
      <c r="AS85" s="250" t="str">
        <f>IFERROR(__xludf.DUMMYFUNCTION("SUBSTITUTE(SUBSTITUTE(CONCATENATE(JOIN("""",FP85:GA85)),""|"",""x""),""-"",""o"")"),"xxoxoxoxxoxo")</f>
        <v>xxoxoxoxxoxo</v>
      </c>
      <c r="AT85" s="323" t="str">
        <f>IFERROR(__xludf.DUMMYFUNCTION("JOIN("""",AS85,AS85)"),"xxoxoxoxxoxoxxoxoxoxxoxo")</f>
        <v>xxoxoxoxxoxoxxoxoxoxxoxo</v>
      </c>
      <c r="AU85" s="256" t="str">
        <f>IFERROR(__xludf.DUMMYFUNCTION("JOIN("""",ArrayFormula(MID(AS85,LEN(AS85)-SEQUENCE(1,LEN(AS85))+1,1)))"),"oxoxxoxoxoxx")</f>
        <v>oxoxxoxoxoxx</v>
      </c>
      <c r="AV85" s="256" t="str">
        <f>IFERROR(__xludf.DUMMYFUNCTION("LEFT(CONCATENATE(""x"",JOIN("""",ArrayFormula(MID(AS85,LEN(AS85)-SEQUENCE(1,LEN(AS85))+1,1)))),12)"),"xoxoxxoxoxox")</f>
        <v>xoxoxxoxoxox</v>
      </c>
      <c r="AW85" s="327" t="str">
        <f>IFERROR(__xludf.DUMMYFUNCTION("JOIN("""",AU85,AU85)"),"oxoxxoxoxoxxoxoxxoxoxoxx")</f>
        <v>oxoxxoxoxoxxoxoxxoxoxoxx</v>
      </c>
      <c r="AX85" s="239" t="str">
        <f>IFERROR(__xludf.DUMMYFUNCTION("IF(REGEXMATCH(AW85,AS85),""✔"",""-"")"),"✔")</f>
        <v>✔</v>
      </c>
      <c r="AY85" s="330" t="str">
        <f t="shared" si="20"/>
        <v>-</v>
      </c>
      <c r="AZ85" s="260" t="str">
        <f t="shared" si="21"/>
        <v>#REF!</v>
      </c>
      <c r="BA85" s="333" t="str">
        <f t="shared" si="22"/>
        <v>xxoxoxo</v>
      </c>
      <c r="BB85" s="334" t="str">
        <f t="shared" si="23"/>
        <v>xxoxox</v>
      </c>
      <c r="BC85" s="335" t="str">
        <f t="shared" si="236"/>
        <v>✔</v>
      </c>
      <c r="BD85" s="336" t="str">
        <f t="shared" si="25"/>
        <v>Darjeeling: 'xxoxoxo' + 'xxoxox'</v>
      </c>
      <c r="BE85" s="337">
        <f>IFERROR(__xludf.DUMMYFUNCTION("COUNTUNIQUE(FILTER(AT:AT,REGEXMATCH(AT:AT,AS85)))-1"),6.0)</f>
        <v>6</v>
      </c>
      <c r="BF85" s="261" t="str">
        <f>IFERROR(__xludf.DUMMYFUNCTION("IF(BI85=0,""(n/a)"",IF(BJ85=2,""(PAIR)"",IF(REGEXMATCH(AT85,""xoxoxxoxoxox""),""Bilawal"",IF(REGEXMATCH(AT85,""xoxoxooxoxoo""),""Bhupali"",IF(REGEXMATCH(AT85,""xoxoxxoxxoxo""),""Charukeshi"",IF(REGEXMATCH(AT85,""xoxoooxxoxxo""),""Kameshwari"",IF(REGEXMATC"&amp;"H(AT85,""xoxoxooxoxox""),""Shankara"",IF(REGEXMATCH(AT85,""xxooxoxxxoox""),""Basant"",IF(REGEXMATCH(AT85,""xoxoxxxxoxox""),""Bihag"",IF(REGEXMATCH(AT85,""xoxxxxoxoxxx""),""Pilu"",IF(REGEXMATCH(AT85,""xoxxoxoxxoox""),""Kirwani"",IF(REGEXMATCH(AT85,""xoxxox"&amp;"oxoxxx""),""Mk.Malhar"",IF(REGEXMATCH(AT85,""xxooxxoxxoox""),""Bhairav"",IF(REGEXMATCH(AT85,""xxoxooxxxoox""),""Todi"",IF(REGEXMATCH(AT85,""xxooxoxooxox""),""Marwa"",IF(REGEXMATCH(AT85,""xxoooxoxxooo""),""Gunkali"",IF(REGEXMATCH(AT85,""xoxoxxoxxoox""),""N"&amp;"at Bhairav"",IF(REGEXMATCH(AT85,""xoxxoooxoxoo""),""Shivranjani"",IF(REGEXMATCH(AT85,""xooxxxoxooxo""),""Jog"",IF(REGEXMATCH(AT85,""xxooxoxoxoox""),""Hemshri"",IF(REGEXMATCH(AT85,""xoooxooxoxxo""),""Kalavati"",IF(REGEXMATCH(AT85,""xxoxoxxoxoox""),""Kedar"&amp;""",IF(REGEXMATCH(AT85,""xoxxxxoxooxx""),""Gara"",IF(REGEXMATCH(AT85,""xooxoxooxoox""),""Chandrakauns"",IF(REGEXMATCH(AT85,""xoxxxxoxxxox""),""Mand"",IF(REGEXMATCH(AT85,""xoxxxxoxoxox""),""Hanskinkini"",IF(REGEXMATCH(AT85,""xxooxxoxooxo""),""Lilavati"",IF("&amp;"REGEXMATCH(AT85,""xooxoxoooxox""),""Rajeshwari"",IF(REGEXMATCH(AT85,""xoooxxoxoxxx""),""Khokar"",IF(REGEXMATCH(AT85,""xxooxoxxxxox""),""Maligoura"",""-""))))))))))))))))))))))))))))))"),"Bilawal")</f>
        <v>Bilawal</v>
      </c>
      <c r="BG85" s="239" t="str">
        <f t="shared" si="26"/>
        <v>#REF!</v>
      </c>
      <c r="BH85" s="239">
        <f>IFERROR(__xludf.DUMMYFUNCTION("COUNTUNIQUE(FE85:FO85)-1"),6.0)</f>
        <v>6</v>
      </c>
      <c r="BI85" s="239">
        <f>IFERROR(__xludf.DUMMYFUNCTION("COUNTUNIQUE(FILTER(AT:AT,REGEXMATCH(AT:AT,AS85)))-1"),6.0)</f>
        <v>6</v>
      </c>
      <c r="BJ85" s="239">
        <f>IFERROR(__xludf.DUMMYFUNCTION("COUNTA(FILTER(AT:AT,REGEXMATCH(AT:AT,AS85)))"),48.0)</f>
        <v>48</v>
      </c>
      <c r="BK85" s="341">
        <f>IFERROR(__xludf.DUMMYFUNCTION("COUNTA(FILTER(AT:AT,REGEXMATCH(AT:AT,AS85)))-AR85"),48.0)</f>
        <v>48</v>
      </c>
      <c r="BL85" s="276" t="str">
        <f>IFERROR(__xludf.DUMMYFUNCTION("IF(AS85=""oooooooooooo"",""-"",IF(REGEXMATCH(AT85,""xx""), ""Hemi."", ""Anhemi.""))"),"Hemi.")</f>
        <v>Hemi.</v>
      </c>
      <c r="BM85" s="282" t="str">
        <f>IFERROR(__xludf.DUMMYFUNCTION("IF(AS85=""oooooooooooo"",""-"",IF(REGEXMATCH(AT85,""xxx""), ""Cohem."", ""-""))"),"-")</f>
        <v>-</v>
      </c>
      <c r="BN85" s="282" t="str">
        <f>IFERROR(__xludf.DUMMYFUNCTION("IF(AS85=""oooooooooooo"",""-"",IF(REGEXMATCH(AT85,""xxxx""), ""Co-Co."", ""-""))"),"-")</f>
        <v>-</v>
      </c>
      <c r="BO85" s="342" t="str">
        <f>IFERROR(__xludf.DUMMYFUNCTION("IF(AS85=""oooooooooooo"",""-"",IF(REGEXMATCH(AT85,""xxxxx""), ""CCC."", ""-""))"),"-")</f>
        <v>-</v>
      </c>
      <c r="BP85" s="344" t="str">
        <f t="shared" si="27"/>
        <v>Bhairavi</v>
      </c>
      <c r="BQ85" s="282" t="str">
        <f>IFERROR(__xludf.DUMMYFUNCTION("IF(REGEXMATCH(JOIN(""-"",EU85:FD85),""TRUE""),""✔"",""-"")"),"✔")</f>
        <v>✔</v>
      </c>
      <c r="BR85" s="225">
        <f t="shared" si="28"/>
        <v>1</v>
      </c>
      <c r="BS85" s="345" t="str">
        <f>IFERROR(__xludf.DUMMYFUNCTION("SUBSTITUTE(SUBSTITUTE(SUBSTITUTE(SUBSTITUTE(CONCATENATE(JOIN(""-"",GC85:GO85)),""--"",""-""),""--"",""-""),""--"",""-""),""--"",""-"")"),"1-b2-b3-4-5-b6-b7-8")</f>
        <v>1-b2-b3-4-5-b6-b7-8</v>
      </c>
      <c r="BT85" s="299" t="str">
        <f>IFERROR(__xludf.DUMMYFUNCTION("SUBSTITUTE(SUBSTITUTE(SUBSTITUTE(SUBSTITUTE(CONCATENATE(JOIN(""-"",GP85:HB85)),""--"",""-""),""--"",""-""),""--"",""-""),""--"",""-"")"),"S-R1-G2-M1-P-D1-N2-S")</f>
        <v>S-R1-G2-M1-P-D1-N2-S</v>
      </c>
      <c r="BU85" s="348" t="str">
        <f t="shared" si="29"/>
        <v>C-Db-Eb-F-G-Ab-Bb-C</v>
      </c>
      <c r="BV85" s="349" t="str">
        <f t="shared" si="30"/>
        <v>SRGMDNS</v>
      </c>
      <c r="BW85" s="350">
        <f t="shared" si="31"/>
        <v>2</v>
      </c>
      <c r="BX85" s="351">
        <f t="shared" si="32"/>
        <v>4</v>
      </c>
      <c r="BY85" s="352" t="s">
        <v>275</v>
      </c>
      <c r="BZ85" s="309" t="str">
        <f>IFERROR(__xludf.DUMMYFUNCTION("IF(REGEXMATCH(C85, ""S""), ""x"",""x"")"),"x")</f>
        <v>x</v>
      </c>
      <c r="CA85" s="245" t="str">
        <f>IFERROR(__xludf.DUMMYFUNCTION("IF(REGEXMATCH(C85, ""r""), ""o"",""x"")"),"o")</f>
        <v>o</v>
      </c>
      <c r="CB85" s="246" t="str">
        <f>IFERROR(__xludf.DUMMYFUNCTION("IF(REGEXMATCH(C85, ""R""), ""o"",""x"")"),"x")</f>
        <v>x</v>
      </c>
      <c r="CC85" s="246" t="str">
        <f>IFERROR(__xludf.DUMMYFUNCTION("IF(REGEXMATCH(C85, ""g""), ""o"",""x"")"),"o")</f>
        <v>o</v>
      </c>
      <c r="CD85" s="245" t="str">
        <f>IFERROR(__xludf.DUMMYFUNCTION("IF(REGEXMATCH(C85, ""G""), ""o"",""x"")"),"x")</f>
        <v>x</v>
      </c>
      <c r="CE85" s="245" t="str">
        <f>IFERROR(__xludf.DUMMYFUNCTION("IF(REGEXMATCH(C85, ""m""), ""o"",""x"")"),"o")</f>
        <v>o</v>
      </c>
      <c r="CF85" s="246" t="str">
        <f>IFERROR(__xludf.DUMMYFUNCTION("IF(REGEXMATCH(C85, ""M""), ""o"",""x"")"),"x")</f>
        <v>x</v>
      </c>
      <c r="CG85" s="245" t="str">
        <f>IFERROR(__xludf.DUMMYFUNCTION("IF(REGEXMATCH(C85, ""P""), ""o"",""x"")"),"o")</f>
        <v>o</v>
      </c>
      <c r="CH85" s="246" t="str">
        <f>IFERROR(__xludf.DUMMYFUNCTION("IF(REGEXMATCH(C85, ""d""), ""o"",""x"")"),"o")</f>
        <v>o</v>
      </c>
      <c r="CI85" s="245" t="str">
        <f>IFERROR(__xludf.DUMMYFUNCTION("IF(REGEXMATCH(C85, ""D""), ""o"",""x"")"),"x")</f>
        <v>x</v>
      </c>
      <c r="CJ85" s="245" t="str">
        <f>IFERROR(__xludf.DUMMYFUNCTION("IF(REGEXMATCH(C85, ""n""), ""o"",""x"")"),"o")</f>
        <v>o</v>
      </c>
      <c r="CK85" s="245" t="str">
        <f>IFERROR(__xludf.DUMMYFUNCTION("IF(REGEXMATCH(C85, ""N""), ""o"",""x"")"),"x")</f>
        <v>x</v>
      </c>
      <c r="CL85" s="356" t="str">
        <f>IFERROR(__xludf.DUMMYFUNCTION("IF(REGEXMATCH(C85, ""S""), ""x"",""x"")"),"x")</f>
        <v>x</v>
      </c>
      <c r="CM85" s="357" t="str">
        <f t="shared" si="33"/>
        <v>xoxoxoxooxox</v>
      </c>
      <c r="CN85" s="358">
        <f t="shared" si="34"/>
        <v>2</v>
      </c>
      <c r="CO85" s="246" t="str">
        <f>IFERROR(__xludf.DUMMYFUNCTION("IF(REGEXMATCH($C85, ""S""), ""S"",""S"")"),"S")</f>
        <v>S</v>
      </c>
      <c r="CP85" s="246" t="str">
        <f>IFERROR(__xludf.DUMMYFUNCTION("IF(REGEXMATCH($C85, ""r""), """",""r"")"),"")</f>
        <v/>
      </c>
      <c r="CQ85" s="246" t="str">
        <f>IFERROR(__xludf.DUMMYFUNCTION("IF(REGEXMATCH($C85, ""R""), """",""R"")"),"R")</f>
        <v>R</v>
      </c>
      <c r="CR85" s="246" t="str">
        <f>IFERROR(__xludf.DUMMYFUNCTION("IF(REGEXMATCH($C85, ""g""), """",""g"")"),"")</f>
        <v/>
      </c>
      <c r="CS85" s="246" t="str">
        <f>IFERROR(__xludf.DUMMYFUNCTION("IF(REGEXMATCH($C85, ""G""), """",""G"")"),"G")</f>
        <v>G</v>
      </c>
      <c r="CT85" s="246" t="str">
        <f>IFERROR(__xludf.DUMMYFUNCTION("IF(REGEXMATCH($C85, ""m""), """",""m"")"),"")</f>
        <v/>
      </c>
      <c r="CU85" s="246" t="str">
        <f>IFERROR(__xludf.DUMMYFUNCTION("IF(REGEXMATCH($C85, ""M""), """",""M"")"),"M")</f>
        <v>M</v>
      </c>
      <c r="CV85" s="246" t="str">
        <f>IFERROR(__xludf.DUMMYFUNCTION("IF(REGEXMATCH($C85, ""P""), """",""P"")"),"")</f>
        <v/>
      </c>
      <c r="CW85" s="246" t="str">
        <f>IFERROR(__xludf.DUMMYFUNCTION("IF(REGEXMATCH($C85, ""d""), """",""d"")"),"")</f>
        <v/>
      </c>
      <c r="CX85" s="246" t="str">
        <f>IFERROR(__xludf.DUMMYFUNCTION("IF(REGEXMATCH($C85, ""D""), """",""D"")"),"D")</f>
        <v>D</v>
      </c>
      <c r="CY85" s="246" t="str">
        <f>IFERROR(__xludf.DUMMYFUNCTION("IF(REGEXMATCH($C85, ""n""), """",""n"")"),"")</f>
        <v/>
      </c>
      <c r="CZ85" s="246" t="str">
        <f>IFERROR(__xludf.DUMMYFUNCTION("IF(REGEXMATCH($C85, ""N""), """",""N"")"),"N")</f>
        <v>N</v>
      </c>
      <c r="DA85" s="246" t="str">
        <f>IFERROR(__xludf.DUMMYFUNCTION("IF(REGEXMATCH($C85, ""S""), ""S"",""S"")"),"S")</f>
        <v>S</v>
      </c>
      <c r="DB85" s="362" t="str">
        <f>IFERROR(__xludf.DUMMYFUNCTION("JOIN("""",CO85:DA85,"""","""")"),"SRGMDNS")</f>
        <v>SRGMDNS</v>
      </c>
      <c r="DC85" s="363"/>
      <c r="DD85" s="301" t="str">
        <f t="shared" si="35"/>
        <v>#REF!</v>
      </c>
      <c r="DE85" s="302" t="str">
        <f t="shared" si="36"/>
        <v>#REF!</v>
      </c>
      <c r="DF85" s="301" t="str">
        <f t="shared" ref="DF85:DG85" si="368">SUBSTITUTE(S85,"-","")</f>
        <v>SRGM</v>
      </c>
      <c r="DG85" s="301" t="str">
        <f t="shared" si="368"/>
        <v>PDNS</v>
      </c>
      <c r="DH85" s="302" t="str">
        <f t="shared" si="38"/>
        <v>Bilawal</v>
      </c>
      <c r="DI85" s="301" t="str">
        <f t="shared" si="39"/>
        <v>Hemi.</v>
      </c>
      <c r="DJ85" s="364" t="str">
        <f t="shared" si="40"/>
        <v>-</v>
      </c>
      <c r="DK85" s="306" t="str">
        <f t="shared" si="41"/>
        <v>Bhairavi</v>
      </c>
      <c r="DL85" s="366" t="str">
        <f t="shared" si="42"/>
        <v>-</v>
      </c>
      <c r="DM85" s="308" t="str">
        <f t="shared" si="43"/>
        <v>-</v>
      </c>
      <c r="DN85" s="306" t="str">
        <f t="shared" si="44"/>
        <v>-</v>
      </c>
      <c r="DO85" s="306" t="str">
        <f t="shared" si="45"/>
        <v>✔</v>
      </c>
      <c r="DP85" s="367" t="str">
        <f t="shared" si="46"/>
        <v>-</v>
      </c>
      <c r="DQ85" s="310" t="str">
        <f t="shared" si="47"/>
        <v>-</v>
      </c>
      <c r="DR85" s="310" t="str">
        <f t="shared" si="48"/>
        <v>-</v>
      </c>
      <c r="DS85" s="310" t="str">
        <f t="shared" si="49"/>
        <v>-</v>
      </c>
      <c r="DT85" s="310" t="str">
        <f t="shared" si="50"/>
        <v>-</v>
      </c>
      <c r="DU85" s="370" t="str">
        <f t="shared" si="51"/>
        <v>-</v>
      </c>
      <c r="DV85" s="306" t="str">
        <f t="shared" si="52"/>
        <v>-</v>
      </c>
      <c r="DW85" s="306" t="str">
        <f t="shared" si="53"/>
        <v>-</v>
      </c>
      <c r="DX85" s="306" t="str">
        <f t="shared" si="54"/>
        <v>-</v>
      </c>
      <c r="DY85" s="306" t="str">
        <f t="shared" si="55"/>
        <v>-</v>
      </c>
      <c r="DZ85" s="306" t="str">
        <f t="shared" si="56"/>
        <v>-</v>
      </c>
      <c r="EA85" s="367" t="str">
        <f t="shared" si="57"/>
        <v>-</v>
      </c>
      <c r="EB85" s="310" t="str">
        <f>IFERROR(__xludf.DUMMYFUNCTION("IF(REGEXMATCH(AW85,AS85),""✔"",""-"")"),"✔")</f>
        <v>✔</v>
      </c>
      <c r="EC85" s="310" t="str">
        <f t="shared" si="58"/>
        <v>#REF!</v>
      </c>
      <c r="ED85" s="370" t="str">
        <f t="shared" si="59"/>
        <v>-</v>
      </c>
      <c r="EE85" s="340" t="str">
        <f t="shared" si="60"/>
        <v>S-r-g-m-P-d-n-S</v>
      </c>
      <c r="EF85" s="371" t="str">
        <f>IFERROR(__xludf.DUMMYFUNCTION("CONCATENATE(JOIN("""",HC85:HO85))"),"SRGmPDNS")</f>
        <v>SRGmPDNS</v>
      </c>
      <c r="EG85" s="372">
        <f t="shared" si="61"/>
        <v>1</v>
      </c>
      <c r="EH85" s="373" t="str">
        <f>IFERROR(__xludf.DUMMYFUNCTION("CONCATENATE(JOIN("""",JC85:JO85))"),"Pa, ")</f>
        <v>Pa, </v>
      </c>
      <c r="EI85" s="322">
        <f t="shared" si="62"/>
        <v>0</v>
      </c>
      <c r="EJ85" s="374" t="str">
        <f>IFERROR(__xludf.DUMMYFUNCTION("CONCATENATE(JOIN("""",KC85:KO85))"),"")</f>
        <v/>
      </c>
      <c r="EK85" s="325" t="str">
        <f t="shared" si="63"/>
        <v>S-R1-G2-M1-P-D1-N2-S</v>
      </c>
      <c r="EL85" s="326" t="str">
        <f t="shared" si="64"/>
        <v>1-b2-b3-4-5-b6-b7-8</v>
      </c>
      <c r="EM85" s="318" t="str">
        <f t="shared" si="65"/>
        <v>#REF!</v>
      </c>
      <c r="EN85" s="328" t="str">
        <f>IFERROR(__xludf.DUMMYFUNCTION("SUBSTITUTE(SUBSTITUTE(SUBSTITUTE(SUBSTITUTE(CONCATENATE(JOIN("" "",HP85:IB85)),""  "","" ""),""  "","" ""),""  "","" ""),""  "","" "")"),"o o • o • o • o o • o • o")</f>
        <v>o o • o • o • o o • o • o</v>
      </c>
      <c r="EO85" s="368" t="str">
        <f t="shared" si="66"/>
        <v>-</v>
      </c>
      <c r="EP85" s="339" t="str">
        <f t="shared" si="67"/>
        <v>-</v>
      </c>
      <c r="EQ85" s="339" t="str">
        <f t="shared" si="68"/>
        <v>Sa-Pa</v>
      </c>
      <c r="ER85" s="339" t="str">
        <f t="shared" si="69"/>
        <v>-</v>
      </c>
      <c r="ES85" s="340" t="str">
        <f t="shared" si="70"/>
        <v>-</v>
      </c>
      <c r="ET85" s="363"/>
      <c r="EU85" s="376" t="b">
        <f>IFERROR(__xludf.DUMMYFUNCTION("arrayformula(sum(--REGEXMATCH(""SRGMPDNS"",split(REGEXREPLACE(C85,""(.)"",""$1~""),""~""))))=len(C85)
"),FALSE)</f>
        <v>0</v>
      </c>
      <c r="EV85" s="290" t="b">
        <f>IFERROR(__xludf.DUMMYFUNCTION("arrayformula(sum(--REGEXMATCH(""SRGmPDNS"",split(REGEXREPLACE(C85,""(.)"",""$1~""),""~""))))=len(C85)"),FALSE)</f>
        <v>0</v>
      </c>
      <c r="EW85" s="290" t="b">
        <f>IFERROR(__xludf.DUMMYFUNCTION("arrayformula(sum(--REGEXMATCH(""SRGmPDnS"",split(REGEXREPLACE(C85,""(.)"",""$1~""),""~""))))=len(C85)"),FALSE)</f>
        <v>0</v>
      </c>
      <c r="EX85" s="290" t="b">
        <f>IFERROR(__xludf.DUMMYFUNCTION("arrayformula(sum(--REGEXMATCH(""SRgmPDnS"",split(REGEXREPLACE(C85,""(.)"",""$1~""),""~""))))=len(C85)"),FALSE)</f>
        <v>0</v>
      </c>
      <c r="EY85" s="290" t="b">
        <f>IFERROR(__xludf.DUMMYFUNCTION("arrayformula(sum(--REGEXMATCH(""SRgmPdnS"",split(REGEXREPLACE(C85,""(.)"",""$1~""),""~""))))=len(C85)"),FALSE)</f>
        <v>0</v>
      </c>
      <c r="EZ85" s="290" t="b">
        <f>IFERROR(__xludf.DUMMYFUNCTION("arrayformula(sum(--REGEXMATCH(""SrgmPdnS"",split(REGEXREPLACE(C85,""(.)"",""$1~""),""~""))))=len(C85)"),TRUE)</f>
        <v>1</v>
      </c>
      <c r="FA85" s="290" t="b">
        <f>IFERROR(__xludf.DUMMYFUNCTION("arrayformula(sum(--REGEXMATCH(""SrGmPdNS"",split(REGEXREPLACE(C85,""(.)"",""$1~""),""~""))))=len(C85)"),FALSE)</f>
        <v>0</v>
      </c>
      <c r="FB85" s="290" t="b">
        <f>IFERROR(__xludf.DUMMYFUNCTION("arrayformula(sum(--REGEXMATCH(""SrGMPDNS"",split(REGEXREPLACE(C85,""(.)"",""$1~""),""~""))))=len(C85)"),FALSE)</f>
        <v>0</v>
      </c>
      <c r="FC85" s="290" t="b">
        <f>IFERROR(__xludf.DUMMYFUNCTION("arrayformula(sum(--REGEXMATCH(""SrGMPdNS"",split(REGEXREPLACE(C85,""(.)"",""$1~""),""~""))))=len(C85)"),FALSE)</f>
        <v>0</v>
      </c>
      <c r="FD85" s="377" t="b">
        <f>IFERROR(__xludf.DUMMYFUNCTION("arrayformula(sum(--REGEXMATCH(""SrgMPdNS"",split(REGEXREPLACE(C85,""(.)"",""$1~""),""~""))))=len(C85)"),FALSE)</f>
        <v>0</v>
      </c>
      <c r="FE85" s="269" t="str">
        <f t="shared" si="71"/>
        <v>xoxoxoxxoxo</v>
      </c>
      <c r="FF85" s="269" t="str">
        <f t="shared" si="72"/>
        <v>-</v>
      </c>
      <c r="FG85" s="271" t="str">
        <f t="shared" si="73"/>
        <v>xoxoxxoxoxx</v>
      </c>
      <c r="FH85" s="269" t="str">
        <f t="shared" si="74"/>
        <v>-</v>
      </c>
      <c r="FI85" s="271" t="str">
        <f t="shared" si="75"/>
        <v>xoxxoxoxxox</v>
      </c>
      <c r="FJ85" s="271" t="str">
        <f t="shared" si="76"/>
        <v>-</v>
      </c>
      <c r="FK85" s="271" t="str">
        <f t="shared" si="77"/>
        <v>xxoxoxxoxox</v>
      </c>
      <c r="FL85" s="271" t="str">
        <f t="shared" si="78"/>
        <v>xoxoxxoxoxo</v>
      </c>
      <c r="FM85" s="271" t="str">
        <f t="shared" si="79"/>
        <v>-</v>
      </c>
      <c r="FN85" s="271" t="str">
        <f t="shared" si="80"/>
        <v>xoxxoxoxoxx</v>
      </c>
      <c r="FO85" s="274" t="str">
        <f t="shared" si="81"/>
        <v>-</v>
      </c>
      <c r="FP85" s="234" t="str">
        <f t="shared" si="82"/>
        <v>|</v>
      </c>
      <c r="FQ85" s="236" t="str">
        <f t="shared" si="83"/>
        <v>|</v>
      </c>
      <c r="FR85" s="237" t="str">
        <f t="shared" si="84"/>
        <v>-</v>
      </c>
      <c r="FS85" s="236" t="str">
        <f t="shared" si="85"/>
        <v>|</v>
      </c>
      <c r="FT85" s="237" t="str">
        <f t="shared" si="86"/>
        <v>-</v>
      </c>
      <c r="FU85" s="236" t="str">
        <f t="shared" si="87"/>
        <v>|</v>
      </c>
      <c r="FV85" s="237" t="str">
        <f t="shared" si="88"/>
        <v>-</v>
      </c>
      <c r="FW85" s="236" t="str">
        <f t="shared" si="89"/>
        <v>|</v>
      </c>
      <c r="FX85" s="237" t="str">
        <f t="shared" si="90"/>
        <v>|</v>
      </c>
      <c r="FY85" s="236" t="str">
        <f t="shared" si="91"/>
        <v>-</v>
      </c>
      <c r="FZ85" s="237" t="str">
        <f t="shared" si="92"/>
        <v>|</v>
      </c>
      <c r="GA85" s="236" t="str">
        <f t="shared" si="93"/>
        <v>-</v>
      </c>
      <c r="GB85" s="238" t="str">
        <f t="shared" si="94"/>
        <v>|</v>
      </c>
      <c r="GC85" s="244" t="str">
        <f>IFERROR(__xludf.DUMMYFUNCTION("IF(REGEXMATCH(C85, ""S""), ""1"","""")"),"1")</f>
        <v>1</v>
      </c>
      <c r="GD85" s="245" t="str">
        <f>IFERROR(__xludf.DUMMYFUNCTION("IF(REGEXMATCH(C85, ""r""), ""b2"","""")"),"b2")</f>
        <v>b2</v>
      </c>
      <c r="GE85" s="246" t="str">
        <f>IFERROR(__xludf.DUMMYFUNCTION("IF(REGEXMATCH(C85, ""R""), ""2"","""")"),"")</f>
        <v/>
      </c>
      <c r="GF85" s="246" t="str">
        <f>IFERROR(__xludf.DUMMYFUNCTION("IF(REGEXMATCH(C85, ""g""), ""b3"","""")"),"b3")</f>
        <v>b3</v>
      </c>
      <c r="GG85" s="245" t="str">
        <f>IFERROR(__xludf.DUMMYFUNCTION("IF(REGEXMATCH(C85, ""G""), ""3"","""")"),"")</f>
        <v/>
      </c>
      <c r="GH85" s="245" t="str">
        <f>IFERROR(__xludf.DUMMYFUNCTION("IF(REGEXMATCH(C85, ""m""), ""4"","""")"),"4")</f>
        <v>4</v>
      </c>
      <c r="GI85" s="246" t="str">
        <f>IFERROR(__xludf.DUMMYFUNCTION("IF(REGEXMATCH(C85, ""M""), ""#4"","""")"),"")</f>
        <v/>
      </c>
      <c r="GJ85" s="245" t="str">
        <f>IFERROR(__xludf.DUMMYFUNCTION("IF(REGEXMATCH(C85, ""P""), ""5"","""")"),"5")</f>
        <v>5</v>
      </c>
      <c r="GK85" s="246" t="str">
        <f>IFERROR(__xludf.DUMMYFUNCTION("IF(REGEXMATCH(C85, ""d""), ""b6"","""")"),"b6")</f>
        <v>b6</v>
      </c>
      <c r="GL85" s="245" t="str">
        <f>IFERROR(__xludf.DUMMYFUNCTION("IF(REGEXMATCH(C85, ""D""), ""6"","""")"),"")</f>
        <v/>
      </c>
      <c r="GM85" s="245" t="str">
        <f>IFERROR(__xludf.DUMMYFUNCTION("IF(REGEXMATCH(C85, ""n""), ""b7"","""")"),"b7")</f>
        <v>b7</v>
      </c>
      <c r="GN85" s="246" t="str">
        <f>IFERROR(__xludf.DUMMYFUNCTION("IF(REGEXMATCH(C85, ""N""), ""7"","""")"),"")</f>
        <v/>
      </c>
      <c r="GO85" s="249" t="str">
        <f>IFERROR(__xludf.DUMMYFUNCTION("IF(REGEXMATCH(C85, ""S""), ""8"","""")"),"8")</f>
        <v>8</v>
      </c>
      <c r="GP85" s="244" t="str">
        <f>IFERROR(__xludf.DUMMYFUNCTION("IF(REGEXMATCH(C85, ""S""), ""S"","""")"),"S")</f>
        <v>S</v>
      </c>
      <c r="GQ85" s="294" t="str">
        <f>IFERROR(__xludf.DUMMYFUNCTION("IF(REGEXMATCH(C85, ""r""), ""R1"","""")"),"R1")</f>
        <v>R1</v>
      </c>
      <c r="GR85" s="295" t="str">
        <f>IFERROR(__xludf.DUMMYFUNCTION("IF(REGEXMATCH(C85, ""R""), ""R2"","""")"),"")</f>
        <v/>
      </c>
      <c r="GS85" s="295" t="str">
        <f>IFERROR(__xludf.DUMMYFUNCTION("IF(REGEXMATCH(C85, ""g""), ""G2"","""")"),"G2")</f>
        <v>G2</v>
      </c>
      <c r="GT85" s="294" t="str">
        <f>IFERROR(__xludf.DUMMYFUNCTION("IF(REGEXMATCH(C85, ""G""), ""G3"","""")"),"")</f>
        <v/>
      </c>
      <c r="GU85" s="294" t="str">
        <f>IFERROR(__xludf.DUMMYFUNCTION("IF(REGEXMATCH(C85, ""m""), ""M1"","""")"),"M1")</f>
        <v>M1</v>
      </c>
      <c r="GV85" s="295" t="str">
        <f>IFERROR(__xludf.DUMMYFUNCTION("IF(REGEXMATCH(C85, ""M""), ""M2"","""")"),"")</f>
        <v/>
      </c>
      <c r="GW85" s="294" t="str">
        <f>IFERROR(__xludf.DUMMYFUNCTION("IF(REGEXMATCH(C85, ""P""), ""P"","""")"),"P")</f>
        <v>P</v>
      </c>
      <c r="GX85" s="295" t="str">
        <f>IFERROR(__xludf.DUMMYFUNCTION("IF(REGEXMATCH(C85, ""d""), ""D1"","""")"),"D1")</f>
        <v>D1</v>
      </c>
      <c r="GY85" s="294" t="str">
        <f>IFERROR(__xludf.DUMMYFUNCTION("IF(REGEXMATCH(C85, ""D""), ""D2"","""")"),"")</f>
        <v/>
      </c>
      <c r="GZ85" s="294" t="str">
        <f>IFERROR(__xludf.DUMMYFUNCTION("IF(REGEXMATCH(C85, ""n""), ""N2"","""")"),"N2")</f>
        <v>N2</v>
      </c>
      <c r="HA85" s="295" t="str">
        <f>IFERROR(__xludf.DUMMYFUNCTION("IF(REGEXMATCH(C85, ""N""), ""N3"","""")"),"")</f>
        <v/>
      </c>
      <c r="HB85" s="249" t="str">
        <f>IFERROR(__xludf.DUMMYFUNCTION("IF(REGEXMATCH(C85, ""S""), ""S"","""")"),"S")</f>
        <v>S</v>
      </c>
      <c r="HC85" s="331" t="str">
        <f t="shared" si="95"/>
        <v>S</v>
      </c>
      <c r="HD85" s="332" t="str">
        <f t="shared" si="96"/>
        <v/>
      </c>
      <c r="HE85" s="332" t="str">
        <f t="shared" si="97"/>
        <v>R</v>
      </c>
      <c r="HF85" s="332" t="str">
        <f t="shared" si="98"/>
        <v/>
      </c>
      <c r="HG85" s="332" t="str">
        <f t="shared" si="99"/>
        <v>G</v>
      </c>
      <c r="HH85" s="332" t="str">
        <f t="shared" si="100"/>
        <v>m</v>
      </c>
      <c r="HI85" s="332" t="str">
        <f t="shared" si="101"/>
        <v/>
      </c>
      <c r="HJ85" s="332" t="str">
        <f t="shared" si="102"/>
        <v>P</v>
      </c>
      <c r="HK85" s="332" t="str">
        <f t="shared" si="103"/>
        <v/>
      </c>
      <c r="HL85" s="332" t="str">
        <f t="shared" si="104"/>
        <v>D</v>
      </c>
      <c r="HM85" s="332" t="str">
        <f t="shared" si="105"/>
        <v/>
      </c>
      <c r="HN85" s="332" t="str">
        <f t="shared" si="106"/>
        <v>N</v>
      </c>
      <c r="HO85" s="343" t="str">
        <f t="shared" si="107"/>
        <v>S</v>
      </c>
      <c r="HP85" s="331" t="str">
        <f t="shared" si="108"/>
        <v>o</v>
      </c>
      <c r="HQ85" s="332" t="str">
        <f t="shared" si="109"/>
        <v>o</v>
      </c>
      <c r="HR85" s="332" t="str">
        <f t="shared" si="110"/>
        <v>•</v>
      </c>
      <c r="HS85" s="332" t="str">
        <f t="shared" si="111"/>
        <v>o</v>
      </c>
      <c r="HT85" s="332" t="str">
        <f t="shared" si="112"/>
        <v>•</v>
      </c>
      <c r="HU85" s="332" t="str">
        <f t="shared" si="113"/>
        <v>o</v>
      </c>
      <c r="HV85" s="332" t="str">
        <f t="shared" si="114"/>
        <v>•</v>
      </c>
      <c r="HW85" s="332" t="str">
        <f t="shared" si="115"/>
        <v>o</v>
      </c>
      <c r="HX85" s="332" t="str">
        <f t="shared" si="116"/>
        <v>o</v>
      </c>
      <c r="HY85" s="332" t="str">
        <f t="shared" si="117"/>
        <v>•</v>
      </c>
      <c r="HZ85" s="332" t="str">
        <f t="shared" si="118"/>
        <v>o</v>
      </c>
      <c r="IA85" s="332" t="str">
        <f t="shared" si="119"/>
        <v>•</v>
      </c>
      <c r="IB85" s="338" t="str">
        <f t="shared" si="120"/>
        <v>o</v>
      </c>
      <c r="IC85" s="331" t="str">
        <f t="shared" si="121"/>
        <v>•</v>
      </c>
      <c r="ID85" s="332" t="str">
        <f t="shared" si="122"/>
        <v>•</v>
      </c>
      <c r="IE85" s="332" t="str">
        <f t="shared" si="123"/>
        <v>o</v>
      </c>
      <c r="IF85" s="332" t="str">
        <f t="shared" si="124"/>
        <v>•</v>
      </c>
      <c r="IG85" s="332" t="str">
        <f t="shared" si="125"/>
        <v>o</v>
      </c>
      <c r="IH85" s="332" t="str">
        <f t="shared" si="126"/>
        <v>•</v>
      </c>
      <c r="II85" s="332" t="str">
        <f t="shared" si="127"/>
        <v>o</v>
      </c>
      <c r="IJ85" s="332" t="str">
        <f t="shared" si="128"/>
        <v>•</v>
      </c>
      <c r="IK85" s="332" t="str">
        <f t="shared" si="129"/>
        <v>•</v>
      </c>
      <c r="IL85" s="332" t="str">
        <f t="shared" si="130"/>
        <v>o</v>
      </c>
      <c r="IM85" s="332" t="str">
        <f t="shared" si="131"/>
        <v>•</v>
      </c>
      <c r="IN85" s="332" t="str">
        <f t="shared" si="132"/>
        <v>o</v>
      </c>
      <c r="IO85" s="338" t="str">
        <f t="shared" si="133"/>
        <v>•</v>
      </c>
      <c r="IP85" s="346" t="b">
        <f t="shared" si="134"/>
        <v>0</v>
      </c>
      <c r="IQ85" s="347" t="b">
        <f t="shared" si="135"/>
        <v>0</v>
      </c>
      <c r="IR85" s="347" t="b">
        <f t="shared" si="136"/>
        <v>0</v>
      </c>
      <c r="IS85" s="347" t="b">
        <f t="shared" si="137"/>
        <v>0</v>
      </c>
      <c r="IT85" s="347" t="b">
        <f t="shared" si="138"/>
        <v>0</v>
      </c>
      <c r="IU85" s="347" t="b">
        <f t="shared" si="139"/>
        <v>0</v>
      </c>
      <c r="IV85" s="347" t="b">
        <f t="shared" si="140"/>
        <v>0</v>
      </c>
      <c r="IW85" s="347" t="b">
        <f t="shared" si="141"/>
        <v>1</v>
      </c>
      <c r="IX85" s="347" t="b">
        <f t="shared" si="142"/>
        <v>0</v>
      </c>
      <c r="IY85" s="347" t="b">
        <f t="shared" si="143"/>
        <v>0</v>
      </c>
      <c r="IZ85" s="347" t="b">
        <f t="shared" si="144"/>
        <v>0</v>
      </c>
      <c r="JA85" s="347" t="b">
        <f t="shared" si="145"/>
        <v>0</v>
      </c>
      <c r="JB85" s="353" t="b">
        <f t="shared" si="146"/>
        <v>0</v>
      </c>
      <c r="JC85" s="354" t="str">
        <f t="shared" si="147"/>
        <v/>
      </c>
      <c r="JD85" s="355" t="str">
        <f t="shared" si="148"/>
        <v/>
      </c>
      <c r="JE85" s="355" t="str">
        <f t="shared" si="149"/>
        <v/>
      </c>
      <c r="JF85" s="355" t="str">
        <f t="shared" si="150"/>
        <v/>
      </c>
      <c r="JG85" s="355" t="str">
        <f t="shared" si="151"/>
        <v/>
      </c>
      <c r="JH85" s="355" t="str">
        <f t="shared" si="152"/>
        <v/>
      </c>
      <c r="JI85" s="355" t="str">
        <f t="shared" si="153"/>
        <v/>
      </c>
      <c r="JJ85" s="355" t="str">
        <f t="shared" si="154"/>
        <v>Pa, </v>
      </c>
      <c r="JK85" s="355" t="str">
        <f t="shared" si="155"/>
        <v/>
      </c>
      <c r="JL85" s="355" t="str">
        <f t="shared" si="156"/>
        <v/>
      </c>
      <c r="JM85" s="355" t="str">
        <f t="shared" si="157"/>
        <v/>
      </c>
      <c r="JN85" s="355" t="str">
        <f t="shared" si="158"/>
        <v/>
      </c>
      <c r="JO85" s="359" t="str">
        <f t="shared" si="159"/>
        <v/>
      </c>
      <c r="JP85" s="346" t="b">
        <f t="shared" si="160"/>
        <v>0</v>
      </c>
      <c r="JQ85" s="347" t="b">
        <f t="shared" si="161"/>
        <v>0</v>
      </c>
      <c r="JR85" s="347" t="b">
        <f t="shared" si="162"/>
        <v>0</v>
      </c>
      <c r="JS85" s="347" t="b">
        <f t="shared" si="163"/>
        <v>0</v>
      </c>
      <c r="JT85" s="347" t="b">
        <f t="shared" si="164"/>
        <v>0</v>
      </c>
      <c r="JU85" s="347" t="b">
        <f t="shared" si="165"/>
        <v>0</v>
      </c>
      <c r="JV85" s="347" t="b">
        <f t="shared" si="166"/>
        <v>0</v>
      </c>
      <c r="JW85" s="347" t="b">
        <f t="shared" si="167"/>
        <v>0</v>
      </c>
      <c r="JX85" s="347" t="b">
        <f t="shared" si="168"/>
        <v>0</v>
      </c>
      <c r="JY85" s="347" t="b">
        <f t="shared" si="169"/>
        <v>0</v>
      </c>
      <c r="JZ85" s="347" t="b">
        <f t="shared" si="170"/>
        <v>0</v>
      </c>
      <c r="KA85" s="347" t="b">
        <f t="shared" si="171"/>
        <v>0</v>
      </c>
      <c r="KB85" s="365" t="b">
        <f t="shared" si="172"/>
        <v>0</v>
      </c>
      <c r="KC85" s="354" t="str">
        <f t="shared" si="173"/>
        <v/>
      </c>
      <c r="KD85" s="355" t="str">
        <f t="shared" si="174"/>
        <v/>
      </c>
      <c r="KE85" s="355" t="str">
        <f t="shared" si="175"/>
        <v/>
      </c>
      <c r="KF85" s="355" t="str">
        <f t="shared" si="176"/>
        <v/>
      </c>
      <c r="KG85" s="355" t="str">
        <f t="shared" si="177"/>
        <v/>
      </c>
      <c r="KH85" s="355" t="str">
        <f t="shared" si="178"/>
        <v/>
      </c>
      <c r="KI85" s="355" t="str">
        <f t="shared" si="179"/>
        <v/>
      </c>
      <c r="KJ85" s="355" t="str">
        <f t="shared" si="180"/>
        <v/>
      </c>
      <c r="KK85" s="355" t="str">
        <f t="shared" si="181"/>
        <v/>
      </c>
      <c r="KL85" s="355" t="str">
        <f t="shared" si="182"/>
        <v/>
      </c>
      <c r="KM85" s="355" t="str">
        <f t="shared" si="183"/>
        <v/>
      </c>
      <c r="KN85" s="355" t="str">
        <f t="shared" si="184"/>
        <v/>
      </c>
      <c r="KO85" s="359"/>
      <c r="KP85" s="378"/>
      <c r="KQ85" s="379" t="s">
        <v>524</v>
      </c>
      <c r="KR85" s="380" t="s">
        <v>1325</v>
      </c>
      <c r="KS85" s="381" t="str">
        <f t="shared" si="369"/>
        <v>S-r-g-m-P-D-n-S</v>
      </c>
      <c r="KT85" s="382">
        <f t="shared" si="186"/>
        <v>7</v>
      </c>
      <c r="KU85" s="383">
        <f t="shared" si="187"/>
        <v>7</v>
      </c>
      <c r="KV85" s="381" t="str">
        <f t="shared" si="205"/>
        <v>S-n-d-P-m-g-r-S</v>
      </c>
      <c r="KW85" s="382">
        <f t="shared" si="189"/>
        <v>7</v>
      </c>
      <c r="KX85" s="384">
        <f t="shared" si="190"/>
        <v>7</v>
      </c>
      <c r="KY85" s="382">
        <f t="shared" ref="KY85:KZ85" si="370">KW85-KT85</f>
        <v>0</v>
      </c>
      <c r="KZ85" s="369">
        <f t="shared" si="370"/>
        <v>0</v>
      </c>
      <c r="LA85" s="385" t="str">
        <f t="shared" si="192"/>
        <v>✔</v>
      </c>
      <c r="LB85" s="340" t="str">
        <f>IFERROR(__xludf.DUMMYFUNCTION("JOIN("""",ArrayFormula(MID(KS85,LEN(KS85)-SEQUENCE(1,LEN(KS85))+1,1)))"),"S-n-D-P-m-g-r-S")</f>
        <v>S-n-D-P-m-g-r-S</v>
      </c>
      <c r="LC85" s="373" t="str">
        <f>IFERROR(__xludf.DUMMYFUNCTION("JOIN("""",ArrayFormula(MID(KV85,LEN(KV85)-SEQUENCE(1,LEN(KV85))+1,1)))"),"S-r-g-m-P-d-n-S")</f>
        <v>S-r-g-m-P-d-n-S</v>
      </c>
      <c r="LD85" s="373" t="str">
        <f t="shared" si="193"/>
        <v>SrgmPDnS</v>
      </c>
      <c r="LE85" s="339" t="str">
        <f t="shared" si="194"/>
        <v>SrgmPdnS</v>
      </c>
      <c r="LF85" s="386" t="str">
        <f>IFERROR(__xludf.DUMMYFUNCTION("SUBSTITUTE(SUBSTITUTE(CONCATENATE(JOIN("""",LH85:LT85)),""1"",""""),""2"","""")"),"SrgmPdDnS")</f>
        <v>SrgmPdDnS</v>
      </c>
      <c r="LG85" s="369" t="str">
        <f t="shared" si="195"/>
        <v>-</v>
      </c>
      <c r="LH85" s="387" t="str">
        <f>IFERROR(__xludf.DUMMYFUNCTION("IF(REGEXMATCH(LD85, ""S""), ""S"",IF(REGEXMATCH(LE85, ""S""), ""S"",""""))"),"S")</f>
        <v>S</v>
      </c>
      <c r="LI85" s="299" t="str">
        <f>IFERROR(__xludf.DUMMYFUNCTION("IF(REGEXMATCH(LD85, ""r""), ""r1"",IF(REGEXMATCH(LE85, ""r""), ""r2"",""""))"),"r1")</f>
        <v>r1</v>
      </c>
      <c r="LJ85" s="299" t="str">
        <f>IFERROR(__xludf.DUMMYFUNCTION("IF(REGEXMATCH(LD85, ""R""), ""R1"",IF(REGEXMATCH(LE85, ""R""), ""R2"",""""))"),"")</f>
        <v/>
      </c>
      <c r="LK85" s="299" t="str">
        <f>IFERROR(__xludf.DUMMYFUNCTION("IF(REGEXMATCH(LD85, ""g""), ""g1"",IF(REGEXMATCH(LE85, ""g""), ""g2"",""""))"),"g1")</f>
        <v>g1</v>
      </c>
      <c r="LL85" s="299" t="str">
        <f>IFERROR(__xludf.DUMMYFUNCTION("IF(REGEXMATCH(LD85, ""G""), ""G1"",IF(REGEXMATCH(LE85, ""G""), ""G2"",""""))"),"")</f>
        <v/>
      </c>
      <c r="LM85" s="299" t="str">
        <f>IFERROR(__xludf.DUMMYFUNCTION("IF(REGEXMATCH(LD85, ""m""), ""m1"",IF(REGEXMATCH(LE85, ""m""), ""m2"",""""))"),"m1")</f>
        <v>m1</v>
      </c>
      <c r="LN85" s="299" t="str">
        <f>IFERROR(__xludf.DUMMYFUNCTION("IF(REGEXMATCH(LD85, ""M""), ""M1"",IF(REGEXMATCH(LE85, ""M""), ""M2"",""""))"),"")</f>
        <v/>
      </c>
      <c r="LO85" s="299" t="str">
        <f>IFERROR(__xludf.DUMMYFUNCTION("IF(REGEXMATCH(LD85, ""P""), ""P1"",IF(REGEXMATCH(LE85, ""P""), ""P2"",""""))"),"P1")</f>
        <v>P1</v>
      </c>
      <c r="LP85" s="299" t="str">
        <f>IFERROR(__xludf.DUMMYFUNCTION("IF(REGEXMATCH(LD85, ""d""), ""d1"",IF(REGEXMATCH(LE85, ""d""), ""d2"",""""))"),"d2")</f>
        <v>d2</v>
      </c>
      <c r="LQ85" s="299" t="str">
        <f>IFERROR(__xludf.DUMMYFUNCTION("IF(REGEXMATCH(LD85, ""D""), ""D1"",IF(REGEXMATCH(LE85, ""D""), ""D2"",""""))"),"D1")</f>
        <v>D1</v>
      </c>
      <c r="LR85" s="299" t="str">
        <f>IFERROR(__xludf.DUMMYFUNCTION("IF(REGEXMATCH(LD85, ""n""), ""n1"",IF(REGEXMATCH(LE85, ""n""), ""n2"",""""))"),"n1")</f>
        <v>n1</v>
      </c>
      <c r="LS85" s="299" t="str">
        <f>IFERROR(__xludf.DUMMYFUNCTION("IF(REGEXMATCH(LD85, ""N""), ""N1"",IF(REGEXMATCH(LE85, ""N""), ""N2"",""""))"),"")</f>
        <v/>
      </c>
      <c r="LT85" s="388" t="str">
        <f>IFERROR(__xludf.DUMMYFUNCTION("IF(REGEXMATCH(LD85, ""S""), ""S"",IF(REGEXMATCH(LE85, ""S""), ""S"",""""))"),"S")</f>
        <v>S</v>
      </c>
      <c r="LU85" s="389">
        <f t="shared" si="196"/>
        <v>1</v>
      </c>
      <c r="LV85" s="378"/>
      <c r="LW85" s="369"/>
      <c r="LX85" s="369"/>
    </row>
    <row r="86" ht="18.0" customHeight="1">
      <c r="A86" s="298" t="s">
        <v>675</v>
      </c>
      <c r="B86" s="222" t="s">
        <v>676</v>
      </c>
      <c r="C86" s="233" t="str">
        <f t="shared" si="7"/>
        <v>SrgmDnS</v>
      </c>
      <c r="D86" s="234" t="str">
        <f>IFERROR(__xludf.DUMMYFUNCTION("IF(REGEXMATCH(C86, ""S""), ""S"","""")"),"S")</f>
        <v>S</v>
      </c>
      <c r="E86" s="236" t="str">
        <f>IFERROR(__xludf.DUMMYFUNCTION("IF(REGEXMATCH(C86, ""r""), ""r"","""")"),"r")</f>
        <v>r</v>
      </c>
      <c r="F86" s="237" t="str">
        <f>IFERROR(__xludf.DUMMYFUNCTION("IF(REGEXMATCH(C86, ""R""), ""R"","""")"),"")</f>
        <v/>
      </c>
      <c r="G86" s="237" t="str">
        <f>IFERROR(__xludf.DUMMYFUNCTION("IF(REGEXMATCH(C86, ""g""), ""g"","""")"),"g")</f>
        <v>g</v>
      </c>
      <c r="H86" s="236" t="str">
        <f>IFERROR(__xludf.DUMMYFUNCTION("IF(REGEXMATCH(C86, ""G""), ""G"","""")"),"")</f>
        <v/>
      </c>
      <c r="I86" s="236" t="str">
        <f>IFERROR(__xludf.DUMMYFUNCTION("IF(REGEXMATCH(C86, ""m""), ""m"","""")"),"m")</f>
        <v>m</v>
      </c>
      <c r="J86" s="237" t="str">
        <f>IFERROR(__xludf.DUMMYFUNCTION("IF(REGEXMATCH(C86, ""M""), ""M"","""")"),"")</f>
        <v/>
      </c>
      <c r="K86" s="236" t="str">
        <f>IFERROR(__xludf.DUMMYFUNCTION("IF(REGEXMATCH(C86, ""P""), ""P"","""")"),"")</f>
        <v/>
      </c>
      <c r="L86" s="237" t="str">
        <f>IFERROR(__xludf.DUMMYFUNCTION("IF(REGEXMATCH(C86, ""d""), ""d"","""")"),"")</f>
        <v/>
      </c>
      <c r="M86" s="236" t="str">
        <f>IFERROR(__xludf.DUMMYFUNCTION("IF(REGEXMATCH(C86, ""D""), ""D"","""")"),"D")</f>
        <v>D</v>
      </c>
      <c r="N86" s="236" t="str">
        <f>IFERROR(__xludf.DUMMYFUNCTION("IF(REGEXMATCH(C86, ""n""), ""n"","""")"),"n")</f>
        <v>n</v>
      </c>
      <c r="O86" s="237" t="str">
        <f>IFERROR(__xludf.DUMMYFUNCTION("IF(REGEXMATCH(C86, ""N""), ""N"","""")"),"")</f>
        <v/>
      </c>
      <c r="P86" s="238" t="str">
        <f>IFERROR(__xludf.DUMMYFUNCTION("IF(REGEXMATCH(C86, ""S""), ""S"","""")"),"S")</f>
        <v>S</v>
      </c>
      <c r="Q86" s="239" t="str">
        <f>IFERROR(__xludf.DUMMYFUNCTION("SUBSTITUTE(CONCATENATE(JOIN(""-"",D86:J86)),""-"","""")"),"Srgm")</f>
        <v>Srgm</v>
      </c>
      <c r="R86" s="229" t="str">
        <f>IFERROR(__xludf.DUMMYFUNCTION("SUBSTITUTE(CONCATENATE(JOIN(""-"",K86:P86)),""-"","""")"),"DnS")</f>
        <v>DnS</v>
      </c>
      <c r="S86" s="282" t="str">
        <f t="shared" si="8"/>
        <v>S-R-G-M</v>
      </c>
      <c r="T86" s="282" t="str">
        <f t="shared" si="9"/>
        <v>D-N-S</v>
      </c>
      <c r="U86" s="237" t="str">
        <f>IFERROR(__xludf.DUMMYFUNCTION("SUBSTITUTE(JOIN(""-"",S86,T86),""--"",""-"")"),"S-R-G-M-D-N-S")</f>
        <v>S-R-G-M-D-N-S</v>
      </c>
      <c r="V86" s="309" t="str">
        <f t="shared" si="10"/>
        <v>rgmDn</v>
      </c>
      <c r="W86" s="244" t="str">
        <f>IFERROR(__xludf.DUMMYFUNCTION("IF(REGEXMATCH(C86, ""S""), ""0"","""")"),"0")</f>
        <v>0</v>
      </c>
      <c r="X86" s="245" t="str">
        <f>IFERROR(__xludf.DUMMYFUNCTION("IF(REGEXMATCH(C86, ""r""), ""1"","""")"),"1")</f>
        <v>1</v>
      </c>
      <c r="Y86" s="246" t="str">
        <f>IFERROR(__xludf.DUMMYFUNCTION("IF(REGEXMATCH(C86, ""R""), ""2"","""")"),"")</f>
        <v/>
      </c>
      <c r="Z86" s="246" t="str">
        <f>IFERROR(__xludf.DUMMYFUNCTION("IF(REGEXMATCH(C86, ""g""), ""3"","""")"),"3")</f>
        <v>3</v>
      </c>
      <c r="AA86" s="245" t="str">
        <f>IFERROR(__xludf.DUMMYFUNCTION("IF(REGEXMATCH(C86, ""G""), ""4"","""")"),"")</f>
        <v/>
      </c>
      <c r="AB86" s="245" t="str">
        <f>IFERROR(__xludf.DUMMYFUNCTION("IF(REGEXMATCH(C86, ""m""), ""5"","""")"),"5")</f>
        <v>5</v>
      </c>
      <c r="AC86" s="246" t="str">
        <f>IFERROR(__xludf.DUMMYFUNCTION("IF(REGEXMATCH(C86, ""M""), ""6"","""")"),"")</f>
        <v/>
      </c>
      <c r="AD86" s="245" t="str">
        <f>IFERROR(__xludf.DUMMYFUNCTION("IF(REGEXMATCH(C86, ""P""), ""7"","""")"),"")</f>
        <v/>
      </c>
      <c r="AE86" s="246" t="str">
        <f>IFERROR(__xludf.DUMMYFUNCTION("IF(REGEXMATCH(C86, ""d""), ""8"","""")"),"")</f>
        <v/>
      </c>
      <c r="AF86" s="245" t="str">
        <f>IFERROR(__xludf.DUMMYFUNCTION("IF(REGEXMATCH(C86, ""D""), ""9"","""")"),"9")</f>
        <v>9</v>
      </c>
      <c r="AG86" s="245" t="str">
        <f>IFERROR(__xludf.DUMMYFUNCTION("IF(REGEXMATCH(C86, ""n""), ""10"","""")"),"10")</f>
        <v>10</v>
      </c>
      <c r="AH86" s="246" t="str">
        <f>IFERROR(__xludf.DUMMYFUNCTION("IF(REGEXMATCH(C86, ""N""), ""11"","""")"),"")</f>
        <v/>
      </c>
      <c r="AI86" s="249" t="str">
        <f>IFERROR(__xludf.DUMMYFUNCTION("IF(REGEXMATCH(C86, ""S""), ""0"","""")"),"0")</f>
        <v>0</v>
      </c>
      <c r="AJ86" s="313" t="str">
        <f t="shared" si="11"/>
        <v>-</v>
      </c>
      <c r="AK86" s="313" t="str">
        <f t="shared" si="12"/>
        <v>-</v>
      </c>
      <c r="AL86" s="313" t="str">
        <f t="shared" si="13"/>
        <v>-</v>
      </c>
      <c r="AM86" s="313" t="str">
        <f t="shared" si="14"/>
        <v>T</v>
      </c>
      <c r="AN86" s="313" t="str">
        <f t="shared" si="15"/>
        <v>-</v>
      </c>
      <c r="AO86" s="314" t="str">
        <f t="shared" si="16"/>
        <v>-</v>
      </c>
      <c r="AP86" s="316">
        <f t="shared" si="17"/>
        <v>1</v>
      </c>
      <c r="AQ86" s="319" t="str">
        <f t="shared" si="18"/>
        <v>#REF!</v>
      </c>
      <c r="AR86" s="320">
        <f t="shared" si="19"/>
        <v>0</v>
      </c>
      <c r="AS86" s="250" t="str">
        <f>IFERROR(__xludf.DUMMYFUNCTION("SUBSTITUTE(SUBSTITUTE(CONCATENATE(JOIN("""",FP86:GA86)),""|"",""x""),""-"",""o"")"),"xxoxoxoooxxo")</f>
        <v>xxoxoxoooxxo</v>
      </c>
      <c r="AT86" s="323" t="str">
        <f>IFERROR(__xludf.DUMMYFUNCTION("JOIN("""",AS86,AS86)"),"xxoxoxoooxxoxxoxoxoooxxo")</f>
        <v>xxoxoxoooxxoxxoxoxoooxxo</v>
      </c>
      <c r="AU86" s="256" t="str">
        <f>IFERROR(__xludf.DUMMYFUNCTION("JOIN("""",ArrayFormula(MID(AS86,LEN(AS86)-SEQUENCE(1,LEN(AS86))+1,1)))"),"oxxoooxoxoxx")</f>
        <v>oxxoooxoxoxx</v>
      </c>
      <c r="AV86" s="256" t="str">
        <f>IFERROR(__xludf.DUMMYFUNCTION("LEFT(CONCATENATE(""x"",JOIN("""",ArrayFormula(MID(AS86,LEN(AS86)-SEQUENCE(1,LEN(AS86))+1,1)))),12)"),"xoxxoooxoxox")</f>
        <v>xoxxoooxoxox</v>
      </c>
      <c r="AW86" s="327" t="str">
        <f>IFERROR(__xludf.DUMMYFUNCTION("JOIN("""",AU86,AU86)"),"oxxoooxoxoxxoxxoooxoxoxx")</f>
        <v>oxxoooxoxoxxoxxoooxoxoxx</v>
      </c>
      <c r="AX86" s="239" t="str">
        <f>IFERROR(__xludf.DUMMYFUNCTION("IF(REGEXMATCH(AW86,AS86),""✔"",""-"")"),"-")</f>
        <v>-</v>
      </c>
      <c r="AY86" s="330" t="str">
        <f t="shared" si="20"/>
        <v>-</v>
      </c>
      <c r="AZ86" s="260" t="str">
        <f t="shared" si="21"/>
        <v>#REF!</v>
      </c>
      <c r="BA86" s="333" t="str">
        <f t="shared" si="22"/>
        <v>xxoxoxo</v>
      </c>
      <c r="BB86" s="334" t="str">
        <f t="shared" si="23"/>
        <v>ooxxox</v>
      </c>
      <c r="BC86" s="335" t="str">
        <f t="shared" si="236"/>
        <v>-</v>
      </c>
      <c r="BD86" s="336" t="str">
        <f t="shared" si="25"/>
        <v>Deen Todi: 'xxoxoxo' + 'ooxxox'</v>
      </c>
      <c r="BE86" s="337">
        <f>IFERROR(__xludf.DUMMYFUNCTION("COUNTUNIQUE(FILTER(AT:AT,REGEXMATCH(AT:AT,AS86)))-1"),3.0)</f>
        <v>3</v>
      </c>
      <c r="BF86" s="261" t="str">
        <f>IFERROR(__xludf.DUMMYFUNCTION("IF(BI86=0,""(n/a)"",IF(BJ86=2,""(PAIR)"",IF(REGEXMATCH(AT86,""xoxoxxoxoxox""),""Bilawal"",IF(REGEXMATCH(AT86,""xoxoxooxoxoo""),""Bhupali"",IF(REGEXMATCH(AT86,""xoxoxxoxxoxo""),""Charukeshi"",IF(REGEXMATCH(AT86,""xoxoooxxoxxo""),""Kameshwari"",IF(REGEXMATC"&amp;"H(AT86,""xoxoxooxoxox""),""Shankara"",IF(REGEXMATCH(AT86,""xxooxoxxxoox""),""Basant"",IF(REGEXMATCH(AT86,""xoxoxxxxoxox""),""Bihag"",IF(REGEXMATCH(AT86,""xoxxxxoxoxxx""),""Pilu"",IF(REGEXMATCH(AT86,""xoxxoxoxxoox""),""Kirwani"",IF(REGEXMATCH(AT86,""xoxxox"&amp;"oxoxxx""),""Mk.Malhar"",IF(REGEXMATCH(AT86,""xxooxxoxxoox""),""Bhairav"",IF(REGEXMATCH(AT86,""xxoxooxxxoox""),""Todi"",IF(REGEXMATCH(AT86,""xxooxoxooxox""),""Marwa"",IF(REGEXMATCH(AT86,""xxoooxoxxooo""),""Gunkali"",IF(REGEXMATCH(AT86,""xoxoxxoxxoox""),""N"&amp;"at Bhairav"",IF(REGEXMATCH(AT86,""xoxxoooxoxoo""),""Shivranjani"",IF(REGEXMATCH(AT86,""xooxxxoxooxo""),""Jog"",IF(REGEXMATCH(AT86,""xxooxoxoxoox""),""Hemshri"",IF(REGEXMATCH(AT86,""xoooxooxoxxo""),""Kalavati"",IF(REGEXMATCH(AT86,""xxoxoxxoxoox""),""Kedar"&amp;""",IF(REGEXMATCH(AT86,""xoxxxxoxooxx""),""Gara"",IF(REGEXMATCH(AT86,""xooxoxooxoox""),""Chandrakauns"",IF(REGEXMATCH(AT86,""xoxxxxoxxxox""),""Mand"",IF(REGEXMATCH(AT86,""xoxxxxoxoxox""),""Hanskinkini"",IF(REGEXMATCH(AT86,""xxooxxoxooxo""),""Lilavati"",IF("&amp;"REGEXMATCH(AT86,""xooxoxoooxox""),""Rajeshwari"",IF(REGEXMATCH(AT86,""xoooxxoxoxxx""),""Khokar"",IF(REGEXMATCH(AT86,""xxooxoxxxxox""),""Maligoura"",""-""))))))))))))))))))))))))))))))"),"Kameshwari")</f>
        <v>Kameshwari</v>
      </c>
      <c r="BG86" s="239" t="str">
        <f t="shared" si="26"/>
        <v>#REF!</v>
      </c>
      <c r="BH86" s="239">
        <f>IFERROR(__xludf.DUMMYFUNCTION("COUNTUNIQUE(FE86:FO86)-1"),5.0)</f>
        <v>5</v>
      </c>
      <c r="BI86" s="239">
        <f>IFERROR(__xludf.DUMMYFUNCTION("COUNTUNIQUE(FILTER(AT:AT,REGEXMATCH(AT:AT,AS86)))-1"),3.0)</f>
        <v>3</v>
      </c>
      <c r="BJ86" s="239">
        <f>IFERROR(__xludf.DUMMYFUNCTION("COUNTA(FILTER(AT:AT,REGEXMATCH(AT:AT,AS86)))"),6.0)</f>
        <v>6</v>
      </c>
      <c r="BK86" s="341">
        <f>IFERROR(__xludf.DUMMYFUNCTION("COUNTA(FILTER(AT:AT,REGEXMATCH(AT:AT,AS86)))-AR86"),6.0)</f>
        <v>6</v>
      </c>
      <c r="BL86" s="276" t="str">
        <f>IFERROR(__xludf.DUMMYFUNCTION("IF(AS86=""oooooooooooo"",""-"",IF(REGEXMATCH(AT86,""xx""), ""Hemi."", ""Anhemi.""))"),"Hemi.")</f>
        <v>Hemi.</v>
      </c>
      <c r="BM86" s="282" t="str">
        <f>IFERROR(__xludf.DUMMYFUNCTION("IF(AS86=""oooooooooooo"",""-"",IF(REGEXMATCH(AT86,""xxx""), ""Cohem."", ""-""))"),"-")</f>
        <v>-</v>
      </c>
      <c r="BN86" s="282" t="str">
        <f>IFERROR(__xludf.DUMMYFUNCTION("IF(AS86=""oooooooooooo"",""-"",IF(REGEXMATCH(AT86,""xxxx""), ""Co-Co."", ""-""))"),"-")</f>
        <v>-</v>
      </c>
      <c r="BO86" s="342" t="str">
        <f>IFERROR(__xludf.DUMMYFUNCTION("IF(AS86=""oooooooooooo"",""-"",IF(REGEXMATCH(AT86,""xxxxx""), ""CCC."", ""-""))"),"-")</f>
        <v>-</v>
      </c>
      <c r="BP86" s="344" t="str">
        <f t="shared" si="27"/>
        <v>-</v>
      </c>
      <c r="BQ86" s="282" t="str">
        <f>IFERROR(__xludf.DUMMYFUNCTION("IF(REGEXMATCH(JOIN(""-"",EU86:FD86),""TRUE""),""✔"",""-"")"),"-")</f>
        <v>-</v>
      </c>
      <c r="BR86" s="225">
        <f t="shared" si="28"/>
        <v>0</v>
      </c>
      <c r="BS86" s="345" t="str">
        <f>IFERROR(__xludf.DUMMYFUNCTION("SUBSTITUTE(SUBSTITUTE(SUBSTITUTE(SUBSTITUTE(CONCATENATE(JOIN(""-"",GC86:GO86)),""--"",""-""),""--"",""-""),""--"",""-""),""--"",""-"")"),"1-b2-b3-4-6-b7-8")</f>
        <v>1-b2-b3-4-6-b7-8</v>
      </c>
      <c r="BT86" s="299" t="str">
        <f>IFERROR(__xludf.DUMMYFUNCTION("SUBSTITUTE(SUBSTITUTE(SUBSTITUTE(SUBSTITUTE(CONCATENATE(JOIN(""-"",GP86:HB86)),""--"",""-""),""--"",""-""),""--"",""-""),""--"",""-"")"),"S-R1-G2-M1-D2-N2-S")</f>
        <v>S-R1-G2-M1-D2-N2-S</v>
      </c>
      <c r="BU86" s="348" t="str">
        <f t="shared" si="29"/>
        <v>C-Db-Eb-F-A-Bb-C</v>
      </c>
      <c r="BV86" s="349" t="str">
        <f t="shared" si="30"/>
        <v>SRGMPdNS</v>
      </c>
      <c r="BW86" s="350">
        <f t="shared" si="31"/>
        <v>1</v>
      </c>
      <c r="BX86" s="351">
        <f t="shared" si="32"/>
        <v>2</v>
      </c>
      <c r="BY86" s="352" t="s">
        <v>275</v>
      </c>
      <c r="BZ86" s="309" t="str">
        <f>IFERROR(__xludf.DUMMYFUNCTION("IF(REGEXMATCH(C86, ""S""), ""x"",""x"")"),"x")</f>
        <v>x</v>
      </c>
      <c r="CA86" s="245" t="str">
        <f>IFERROR(__xludf.DUMMYFUNCTION("IF(REGEXMATCH(C86, ""r""), ""o"",""x"")"),"o")</f>
        <v>o</v>
      </c>
      <c r="CB86" s="246" t="str">
        <f>IFERROR(__xludf.DUMMYFUNCTION("IF(REGEXMATCH(C86, ""R""), ""o"",""x"")"),"x")</f>
        <v>x</v>
      </c>
      <c r="CC86" s="246" t="str">
        <f>IFERROR(__xludf.DUMMYFUNCTION("IF(REGEXMATCH(C86, ""g""), ""o"",""x"")"),"o")</f>
        <v>o</v>
      </c>
      <c r="CD86" s="245" t="str">
        <f>IFERROR(__xludf.DUMMYFUNCTION("IF(REGEXMATCH(C86, ""G""), ""o"",""x"")"),"x")</f>
        <v>x</v>
      </c>
      <c r="CE86" s="245" t="str">
        <f>IFERROR(__xludf.DUMMYFUNCTION("IF(REGEXMATCH(C86, ""m""), ""o"",""x"")"),"o")</f>
        <v>o</v>
      </c>
      <c r="CF86" s="246" t="str">
        <f>IFERROR(__xludf.DUMMYFUNCTION("IF(REGEXMATCH(C86, ""M""), ""o"",""x"")"),"x")</f>
        <v>x</v>
      </c>
      <c r="CG86" s="245" t="str">
        <f>IFERROR(__xludf.DUMMYFUNCTION("IF(REGEXMATCH(C86, ""P""), ""o"",""x"")"),"x")</f>
        <v>x</v>
      </c>
      <c r="CH86" s="246" t="str">
        <f>IFERROR(__xludf.DUMMYFUNCTION("IF(REGEXMATCH(C86, ""d""), ""o"",""x"")"),"x")</f>
        <v>x</v>
      </c>
      <c r="CI86" s="245" t="str">
        <f>IFERROR(__xludf.DUMMYFUNCTION("IF(REGEXMATCH(C86, ""D""), ""o"",""x"")"),"o")</f>
        <v>o</v>
      </c>
      <c r="CJ86" s="245" t="str">
        <f>IFERROR(__xludf.DUMMYFUNCTION("IF(REGEXMATCH(C86, ""n""), ""o"",""x"")"),"o")</f>
        <v>o</v>
      </c>
      <c r="CK86" s="245" t="str">
        <f>IFERROR(__xludf.DUMMYFUNCTION("IF(REGEXMATCH(C86, ""N""), ""o"",""x"")"),"x")</f>
        <v>x</v>
      </c>
      <c r="CL86" s="356" t="str">
        <f>IFERROR(__xludf.DUMMYFUNCTION("IF(REGEXMATCH(C86, ""S""), ""x"",""x"")"),"x")</f>
        <v>x</v>
      </c>
      <c r="CM86" s="357" t="str">
        <f t="shared" si="33"/>
        <v>xoxoxoxxxoox</v>
      </c>
      <c r="CN86" s="358">
        <f t="shared" si="34"/>
        <v>1</v>
      </c>
      <c r="CO86" s="246" t="str">
        <f>IFERROR(__xludf.DUMMYFUNCTION("IF(REGEXMATCH($C86, ""S""), ""S"",""S"")"),"S")</f>
        <v>S</v>
      </c>
      <c r="CP86" s="246" t="str">
        <f>IFERROR(__xludf.DUMMYFUNCTION("IF(REGEXMATCH($C86, ""r""), """",""r"")"),"")</f>
        <v/>
      </c>
      <c r="CQ86" s="246" t="str">
        <f>IFERROR(__xludf.DUMMYFUNCTION("IF(REGEXMATCH($C86, ""R""), """",""R"")"),"R")</f>
        <v>R</v>
      </c>
      <c r="CR86" s="246" t="str">
        <f>IFERROR(__xludf.DUMMYFUNCTION("IF(REGEXMATCH($C86, ""g""), """",""g"")"),"")</f>
        <v/>
      </c>
      <c r="CS86" s="246" t="str">
        <f>IFERROR(__xludf.DUMMYFUNCTION("IF(REGEXMATCH($C86, ""G""), """",""G"")"),"G")</f>
        <v>G</v>
      </c>
      <c r="CT86" s="246" t="str">
        <f>IFERROR(__xludf.DUMMYFUNCTION("IF(REGEXMATCH($C86, ""m""), """",""m"")"),"")</f>
        <v/>
      </c>
      <c r="CU86" s="246" t="str">
        <f>IFERROR(__xludf.DUMMYFUNCTION("IF(REGEXMATCH($C86, ""M""), """",""M"")"),"M")</f>
        <v>M</v>
      </c>
      <c r="CV86" s="246" t="str">
        <f>IFERROR(__xludf.DUMMYFUNCTION("IF(REGEXMATCH($C86, ""P""), """",""P"")"),"P")</f>
        <v>P</v>
      </c>
      <c r="CW86" s="246" t="str">
        <f>IFERROR(__xludf.DUMMYFUNCTION("IF(REGEXMATCH($C86, ""d""), """",""d"")"),"d")</f>
        <v>d</v>
      </c>
      <c r="CX86" s="246" t="str">
        <f>IFERROR(__xludf.DUMMYFUNCTION("IF(REGEXMATCH($C86, ""D""), """",""D"")"),"")</f>
        <v/>
      </c>
      <c r="CY86" s="246" t="str">
        <f>IFERROR(__xludf.DUMMYFUNCTION("IF(REGEXMATCH($C86, ""n""), """",""n"")"),"")</f>
        <v/>
      </c>
      <c r="CZ86" s="246" t="str">
        <f>IFERROR(__xludf.DUMMYFUNCTION("IF(REGEXMATCH($C86, ""N""), """",""N"")"),"N")</f>
        <v>N</v>
      </c>
      <c r="DA86" s="246" t="str">
        <f>IFERROR(__xludf.DUMMYFUNCTION("IF(REGEXMATCH($C86, ""S""), ""S"",""S"")"),"S")</f>
        <v>S</v>
      </c>
      <c r="DB86" s="362" t="str">
        <f>IFERROR(__xludf.DUMMYFUNCTION("JOIN("""",CO86:DA86,"""","""")"),"SRGMPdNS")</f>
        <v>SRGMPdNS</v>
      </c>
      <c r="DC86" s="363"/>
      <c r="DD86" s="301" t="str">
        <f t="shared" si="35"/>
        <v>#REF!</v>
      </c>
      <c r="DE86" s="302" t="str">
        <f t="shared" si="36"/>
        <v>#REF!</v>
      </c>
      <c r="DF86" s="301" t="str">
        <f t="shared" ref="DF86:DG86" si="371">SUBSTITUTE(S86,"-","")</f>
        <v>SRGM</v>
      </c>
      <c r="DG86" s="301" t="str">
        <f t="shared" si="371"/>
        <v>DNS</v>
      </c>
      <c r="DH86" s="302" t="str">
        <f t="shared" si="38"/>
        <v>Kameshwari</v>
      </c>
      <c r="DI86" s="301" t="str">
        <f t="shared" si="39"/>
        <v>Hemi.</v>
      </c>
      <c r="DJ86" s="364" t="str">
        <f t="shared" si="40"/>
        <v>-</v>
      </c>
      <c r="DK86" s="306" t="str">
        <f t="shared" si="41"/>
        <v>-</v>
      </c>
      <c r="DL86" s="366" t="str">
        <f t="shared" si="42"/>
        <v>-</v>
      </c>
      <c r="DM86" s="308" t="str">
        <f t="shared" si="43"/>
        <v>✔</v>
      </c>
      <c r="DN86" s="306" t="str">
        <f t="shared" si="44"/>
        <v>-</v>
      </c>
      <c r="DO86" s="306" t="str">
        <f t="shared" si="45"/>
        <v>-</v>
      </c>
      <c r="DP86" s="367" t="str">
        <f t="shared" si="46"/>
        <v>-</v>
      </c>
      <c r="DQ86" s="310" t="str">
        <f t="shared" si="47"/>
        <v>-</v>
      </c>
      <c r="DR86" s="310" t="str">
        <f t="shared" si="48"/>
        <v>-</v>
      </c>
      <c r="DS86" s="310" t="str">
        <f t="shared" si="49"/>
        <v>-</v>
      </c>
      <c r="DT86" s="310" t="str">
        <f t="shared" si="50"/>
        <v>-</v>
      </c>
      <c r="DU86" s="370" t="str">
        <f t="shared" si="51"/>
        <v>-</v>
      </c>
      <c r="DV86" s="306" t="str">
        <f t="shared" si="52"/>
        <v>-</v>
      </c>
      <c r="DW86" s="306" t="str">
        <f t="shared" si="53"/>
        <v>-</v>
      </c>
      <c r="DX86" s="306" t="str">
        <f t="shared" si="54"/>
        <v>-</v>
      </c>
      <c r="DY86" s="306" t="str">
        <f t="shared" si="55"/>
        <v>✔</v>
      </c>
      <c r="DZ86" s="306" t="str">
        <f t="shared" si="56"/>
        <v>-</v>
      </c>
      <c r="EA86" s="367" t="str">
        <f t="shared" si="57"/>
        <v>-</v>
      </c>
      <c r="EB86" s="310" t="str">
        <f>IFERROR(__xludf.DUMMYFUNCTION("IF(REGEXMATCH(AW86,AS86),""✔"",""-"")"),"-")</f>
        <v>-</v>
      </c>
      <c r="EC86" s="310" t="str">
        <f t="shared" si="58"/>
        <v>#REF!</v>
      </c>
      <c r="ED86" s="370" t="str">
        <f t="shared" si="59"/>
        <v>-</v>
      </c>
      <c r="EE86" s="340" t="str">
        <f t="shared" si="60"/>
        <v>S-r-g-m-D-n-S</v>
      </c>
      <c r="EF86" s="371" t="str">
        <f>IFERROR(__xludf.DUMMYFUNCTION("CONCATENATE(JOIN("""",HC86:HO86))"),"SRgPDNS")</f>
        <v>SRgPDNS</v>
      </c>
      <c r="EG86" s="372">
        <f t="shared" si="61"/>
        <v>3</v>
      </c>
      <c r="EH86" s="373" t="str">
        <f>IFERROR(__xludf.DUMMYFUNCTION("CONCATENATE(JOIN("""",JC86:JO86))"),"Sa, re, Dha, ")</f>
        <v>Sa, re, Dha, </v>
      </c>
      <c r="EI86" s="322">
        <f t="shared" si="62"/>
        <v>2</v>
      </c>
      <c r="EJ86" s="374" t="str">
        <f>IFERROR(__xludf.DUMMYFUNCTION("CONCATENATE(JOIN("""",KC86:KO86))"),"re, Dha, ")</f>
        <v>re, Dha, </v>
      </c>
      <c r="EK86" s="325" t="str">
        <f t="shared" si="63"/>
        <v>S-R1-G2-M1-D2-N2-S</v>
      </c>
      <c r="EL86" s="326" t="str">
        <f t="shared" si="64"/>
        <v>1-b2-b3-4-6-b7-8</v>
      </c>
      <c r="EM86" s="318" t="str">
        <f t="shared" si="65"/>
        <v>#REF!</v>
      </c>
      <c r="EN86" s="328" t="str">
        <f>IFERROR(__xludf.DUMMYFUNCTION("SUBSTITUTE(SUBSTITUTE(SUBSTITUTE(SUBSTITUTE(CONCATENATE(JOIN("" "",HP86:IB86)),""  "","" ""),""  "","" ""),""  "","" ""),""  "","" "")"),"o o • o • o • • • o o • o")</f>
        <v>o o • o • o • • • o o • o</v>
      </c>
      <c r="EO86" s="368" t="str">
        <f t="shared" si="66"/>
        <v>Sa-ma</v>
      </c>
      <c r="EP86" s="339" t="str">
        <f t="shared" si="67"/>
        <v>-</v>
      </c>
      <c r="EQ86" s="339" t="str">
        <f t="shared" si="68"/>
        <v>-</v>
      </c>
      <c r="ER86" s="339" t="str">
        <f t="shared" si="69"/>
        <v>-</v>
      </c>
      <c r="ES86" s="340" t="str">
        <f t="shared" si="70"/>
        <v>Sa-ma</v>
      </c>
      <c r="ET86" s="363"/>
      <c r="EU86" s="376" t="b">
        <f>IFERROR(__xludf.DUMMYFUNCTION("arrayformula(sum(--REGEXMATCH(""SRGMPDNS"",split(REGEXREPLACE(C86,""(.)"",""$1~""),""~""))))=len(C86)
"),FALSE)</f>
        <v>0</v>
      </c>
      <c r="EV86" s="290" t="b">
        <f>IFERROR(__xludf.DUMMYFUNCTION("arrayformula(sum(--REGEXMATCH(""SRGmPDNS"",split(REGEXREPLACE(C86,""(.)"",""$1~""),""~""))))=len(C86)"),FALSE)</f>
        <v>0</v>
      </c>
      <c r="EW86" s="290" t="b">
        <f>IFERROR(__xludf.DUMMYFUNCTION("arrayformula(sum(--REGEXMATCH(""SRGmPDnS"",split(REGEXREPLACE(C86,""(.)"",""$1~""),""~""))))=len(C86)"),FALSE)</f>
        <v>0</v>
      </c>
      <c r="EX86" s="290" t="b">
        <f>IFERROR(__xludf.DUMMYFUNCTION("arrayformula(sum(--REGEXMATCH(""SRgmPDnS"",split(REGEXREPLACE(C86,""(.)"",""$1~""),""~""))))=len(C86)"),FALSE)</f>
        <v>0</v>
      </c>
      <c r="EY86" s="290" t="b">
        <f>IFERROR(__xludf.DUMMYFUNCTION("arrayformula(sum(--REGEXMATCH(""SRgmPdnS"",split(REGEXREPLACE(C86,""(.)"",""$1~""),""~""))))=len(C86)"),FALSE)</f>
        <v>0</v>
      </c>
      <c r="EZ86" s="290" t="b">
        <f>IFERROR(__xludf.DUMMYFUNCTION("arrayformula(sum(--REGEXMATCH(""SrgmPdnS"",split(REGEXREPLACE(C86,""(.)"",""$1~""),""~""))))=len(C86)"),FALSE)</f>
        <v>0</v>
      </c>
      <c r="FA86" s="290" t="b">
        <f>IFERROR(__xludf.DUMMYFUNCTION("arrayformula(sum(--REGEXMATCH(""SrGmPdNS"",split(REGEXREPLACE(C86,""(.)"",""$1~""),""~""))))=len(C86)"),FALSE)</f>
        <v>0</v>
      </c>
      <c r="FB86" s="290" t="b">
        <f>IFERROR(__xludf.DUMMYFUNCTION("arrayformula(sum(--REGEXMATCH(""SrGMPDNS"",split(REGEXREPLACE(C86,""(.)"",""$1~""),""~""))))=len(C86)"),FALSE)</f>
        <v>0</v>
      </c>
      <c r="FC86" s="290" t="b">
        <f>IFERROR(__xludf.DUMMYFUNCTION("arrayformula(sum(--REGEXMATCH(""SrGMPdNS"",split(REGEXREPLACE(C86,""(.)"",""$1~""),""~""))))=len(C86)"),FALSE)</f>
        <v>0</v>
      </c>
      <c r="FD86" s="377" t="b">
        <f>IFERROR(__xludf.DUMMYFUNCTION("arrayformula(sum(--REGEXMATCH(""SrgMPdNS"",split(REGEXREPLACE(C86,""(.)"",""$1~""),""~""))))=len(C86)"),FALSE)</f>
        <v>0</v>
      </c>
      <c r="FE86" s="269" t="str">
        <f t="shared" si="71"/>
        <v>xoxoxoooxxo</v>
      </c>
      <c r="FF86" s="269" t="str">
        <f t="shared" si="72"/>
        <v>-</v>
      </c>
      <c r="FG86" s="271" t="str">
        <f t="shared" si="73"/>
        <v>xoxoooxxoxx</v>
      </c>
      <c r="FH86" s="269" t="str">
        <f t="shared" si="74"/>
        <v>-</v>
      </c>
      <c r="FI86" s="271" t="str">
        <f t="shared" si="75"/>
        <v>xoooxxoxxox</v>
      </c>
      <c r="FJ86" s="271" t="str">
        <f t="shared" si="76"/>
        <v>-</v>
      </c>
      <c r="FK86" s="271" t="str">
        <f t="shared" si="77"/>
        <v>-</v>
      </c>
      <c r="FL86" s="271" t="str">
        <f t="shared" si="78"/>
        <v>-</v>
      </c>
      <c r="FM86" s="271" t="str">
        <f t="shared" si="79"/>
        <v>xxoxxoxoxoo</v>
      </c>
      <c r="FN86" s="271" t="str">
        <f t="shared" si="80"/>
        <v>xoxxoxoxooo</v>
      </c>
      <c r="FO86" s="274" t="str">
        <f t="shared" si="81"/>
        <v>-</v>
      </c>
      <c r="FP86" s="234" t="str">
        <f t="shared" si="82"/>
        <v>|</v>
      </c>
      <c r="FQ86" s="236" t="str">
        <f t="shared" si="83"/>
        <v>|</v>
      </c>
      <c r="FR86" s="237" t="str">
        <f t="shared" si="84"/>
        <v>-</v>
      </c>
      <c r="FS86" s="236" t="str">
        <f t="shared" si="85"/>
        <v>|</v>
      </c>
      <c r="FT86" s="237" t="str">
        <f t="shared" si="86"/>
        <v>-</v>
      </c>
      <c r="FU86" s="236" t="str">
        <f t="shared" si="87"/>
        <v>|</v>
      </c>
      <c r="FV86" s="237" t="str">
        <f t="shared" si="88"/>
        <v>-</v>
      </c>
      <c r="FW86" s="236" t="str">
        <f t="shared" si="89"/>
        <v>-</v>
      </c>
      <c r="FX86" s="237" t="str">
        <f t="shared" si="90"/>
        <v>-</v>
      </c>
      <c r="FY86" s="236" t="str">
        <f t="shared" si="91"/>
        <v>|</v>
      </c>
      <c r="FZ86" s="237" t="str">
        <f t="shared" si="92"/>
        <v>|</v>
      </c>
      <c r="GA86" s="236" t="str">
        <f t="shared" si="93"/>
        <v>-</v>
      </c>
      <c r="GB86" s="238" t="str">
        <f t="shared" si="94"/>
        <v>|</v>
      </c>
      <c r="GC86" s="244" t="str">
        <f>IFERROR(__xludf.DUMMYFUNCTION("IF(REGEXMATCH(C86, ""S""), ""1"","""")"),"1")</f>
        <v>1</v>
      </c>
      <c r="GD86" s="245" t="str">
        <f>IFERROR(__xludf.DUMMYFUNCTION("IF(REGEXMATCH(C86, ""r""), ""b2"","""")"),"b2")</f>
        <v>b2</v>
      </c>
      <c r="GE86" s="246" t="str">
        <f>IFERROR(__xludf.DUMMYFUNCTION("IF(REGEXMATCH(C86, ""R""), ""2"","""")"),"")</f>
        <v/>
      </c>
      <c r="GF86" s="246" t="str">
        <f>IFERROR(__xludf.DUMMYFUNCTION("IF(REGEXMATCH(C86, ""g""), ""b3"","""")"),"b3")</f>
        <v>b3</v>
      </c>
      <c r="GG86" s="245" t="str">
        <f>IFERROR(__xludf.DUMMYFUNCTION("IF(REGEXMATCH(C86, ""G""), ""3"","""")"),"")</f>
        <v/>
      </c>
      <c r="GH86" s="245" t="str">
        <f>IFERROR(__xludf.DUMMYFUNCTION("IF(REGEXMATCH(C86, ""m""), ""4"","""")"),"4")</f>
        <v>4</v>
      </c>
      <c r="GI86" s="246" t="str">
        <f>IFERROR(__xludf.DUMMYFUNCTION("IF(REGEXMATCH(C86, ""M""), ""#4"","""")"),"")</f>
        <v/>
      </c>
      <c r="GJ86" s="245" t="str">
        <f>IFERROR(__xludf.DUMMYFUNCTION("IF(REGEXMATCH(C86, ""P""), ""5"","""")"),"")</f>
        <v/>
      </c>
      <c r="GK86" s="246" t="str">
        <f>IFERROR(__xludf.DUMMYFUNCTION("IF(REGEXMATCH(C86, ""d""), ""b6"","""")"),"")</f>
        <v/>
      </c>
      <c r="GL86" s="245" t="str">
        <f>IFERROR(__xludf.DUMMYFUNCTION("IF(REGEXMATCH(C86, ""D""), ""6"","""")"),"6")</f>
        <v>6</v>
      </c>
      <c r="GM86" s="245" t="str">
        <f>IFERROR(__xludf.DUMMYFUNCTION("IF(REGEXMATCH(C86, ""n""), ""b7"","""")"),"b7")</f>
        <v>b7</v>
      </c>
      <c r="GN86" s="246" t="str">
        <f>IFERROR(__xludf.DUMMYFUNCTION("IF(REGEXMATCH(C86, ""N""), ""7"","""")"),"")</f>
        <v/>
      </c>
      <c r="GO86" s="249" t="str">
        <f>IFERROR(__xludf.DUMMYFUNCTION("IF(REGEXMATCH(C86, ""S""), ""8"","""")"),"8")</f>
        <v>8</v>
      </c>
      <c r="GP86" s="244" t="str">
        <f>IFERROR(__xludf.DUMMYFUNCTION("IF(REGEXMATCH(C86, ""S""), ""S"","""")"),"S")</f>
        <v>S</v>
      </c>
      <c r="GQ86" s="294" t="str">
        <f>IFERROR(__xludf.DUMMYFUNCTION("IF(REGEXMATCH(C86, ""r""), ""R1"","""")"),"R1")</f>
        <v>R1</v>
      </c>
      <c r="GR86" s="295" t="str">
        <f>IFERROR(__xludf.DUMMYFUNCTION("IF(REGEXMATCH(C86, ""R""), ""R2"","""")"),"")</f>
        <v/>
      </c>
      <c r="GS86" s="295" t="str">
        <f>IFERROR(__xludf.DUMMYFUNCTION("IF(REGEXMATCH(C86, ""g""), ""G2"","""")"),"G2")</f>
        <v>G2</v>
      </c>
      <c r="GT86" s="294" t="str">
        <f>IFERROR(__xludf.DUMMYFUNCTION("IF(REGEXMATCH(C86, ""G""), ""G3"","""")"),"")</f>
        <v/>
      </c>
      <c r="GU86" s="294" t="str">
        <f>IFERROR(__xludf.DUMMYFUNCTION("IF(REGEXMATCH(C86, ""m""), ""M1"","""")"),"M1")</f>
        <v>M1</v>
      </c>
      <c r="GV86" s="295" t="str">
        <f>IFERROR(__xludf.DUMMYFUNCTION("IF(REGEXMATCH(C86, ""M""), ""M2"","""")"),"")</f>
        <v/>
      </c>
      <c r="GW86" s="294" t="str">
        <f>IFERROR(__xludf.DUMMYFUNCTION("IF(REGEXMATCH(C86, ""P""), ""P"","""")"),"")</f>
        <v/>
      </c>
      <c r="GX86" s="295" t="str">
        <f>IFERROR(__xludf.DUMMYFUNCTION("IF(REGEXMATCH(C86, ""d""), ""D1"","""")"),"")</f>
        <v/>
      </c>
      <c r="GY86" s="294" t="str">
        <f>IFERROR(__xludf.DUMMYFUNCTION("IF(REGEXMATCH(C86, ""D""), ""D2"","""")"),"D2")</f>
        <v>D2</v>
      </c>
      <c r="GZ86" s="294" t="str">
        <f>IFERROR(__xludf.DUMMYFUNCTION("IF(REGEXMATCH(C86, ""n""), ""N2"","""")"),"N2")</f>
        <v>N2</v>
      </c>
      <c r="HA86" s="295" t="str">
        <f>IFERROR(__xludf.DUMMYFUNCTION("IF(REGEXMATCH(C86, ""N""), ""N3"","""")"),"")</f>
        <v/>
      </c>
      <c r="HB86" s="249" t="str">
        <f>IFERROR(__xludf.DUMMYFUNCTION("IF(REGEXMATCH(C86, ""S""), ""S"","""")"),"S")</f>
        <v>S</v>
      </c>
      <c r="HC86" s="331" t="str">
        <f t="shared" si="95"/>
        <v>S</v>
      </c>
      <c r="HD86" s="332" t="str">
        <f t="shared" si="96"/>
        <v/>
      </c>
      <c r="HE86" s="332" t="str">
        <f t="shared" si="97"/>
        <v>R</v>
      </c>
      <c r="HF86" s="332" t="str">
        <f t="shared" si="98"/>
        <v>g</v>
      </c>
      <c r="HG86" s="332" t="str">
        <f t="shared" si="99"/>
        <v/>
      </c>
      <c r="HH86" s="332" t="str">
        <f t="shared" si="100"/>
        <v/>
      </c>
      <c r="HI86" s="332" t="str">
        <f t="shared" si="101"/>
        <v/>
      </c>
      <c r="HJ86" s="332" t="str">
        <f t="shared" si="102"/>
        <v>P</v>
      </c>
      <c r="HK86" s="332" t="str">
        <f t="shared" si="103"/>
        <v/>
      </c>
      <c r="HL86" s="332" t="str">
        <f t="shared" si="104"/>
        <v>D</v>
      </c>
      <c r="HM86" s="332" t="str">
        <f t="shared" si="105"/>
        <v/>
      </c>
      <c r="HN86" s="332" t="str">
        <f t="shared" si="106"/>
        <v>N</v>
      </c>
      <c r="HO86" s="343" t="str">
        <f t="shared" si="107"/>
        <v>S</v>
      </c>
      <c r="HP86" s="331" t="str">
        <f t="shared" si="108"/>
        <v>o</v>
      </c>
      <c r="HQ86" s="332" t="str">
        <f t="shared" si="109"/>
        <v>o</v>
      </c>
      <c r="HR86" s="332" t="str">
        <f t="shared" si="110"/>
        <v>•</v>
      </c>
      <c r="HS86" s="332" t="str">
        <f t="shared" si="111"/>
        <v>o</v>
      </c>
      <c r="HT86" s="332" t="str">
        <f t="shared" si="112"/>
        <v>•</v>
      </c>
      <c r="HU86" s="332" t="str">
        <f t="shared" si="113"/>
        <v>o</v>
      </c>
      <c r="HV86" s="332" t="str">
        <f t="shared" si="114"/>
        <v>•</v>
      </c>
      <c r="HW86" s="332" t="str">
        <f t="shared" si="115"/>
        <v>•</v>
      </c>
      <c r="HX86" s="332" t="str">
        <f t="shared" si="116"/>
        <v>•</v>
      </c>
      <c r="HY86" s="332" t="str">
        <f t="shared" si="117"/>
        <v>o</v>
      </c>
      <c r="HZ86" s="332" t="str">
        <f t="shared" si="118"/>
        <v>o</v>
      </c>
      <c r="IA86" s="332" t="str">
        <f t="shared" si="119"/>
        <v>•</v>
      </c>
      <c r="IB86" s="338" t="str">
        <f t="shared" si="120"/>
        <v>o</v>
      </c>
      <c r="IC86" s="331" t="str">
        <f t="shared" si="121"/>
        <v>•</v>
      </c>
      <c r="ID86" s="332" t="str">
        <f t="shared" si="122"/>
        <v>•</v>
      </c>
      <c r="IE86" s="332" t="str">
        <f t="shared" si="123"/>
        <v>o</v>
      </c>
      <c r="IF86" s="332" t="str">
        <f t="shared" si="124"/>
        <v>•</v>
      </c>
      <c r="IG86" s="332" t="str">
        <f t="shared" si="125"/>
        <v>o</v>
      </c>
      <c r="IH86" s="332" t="str">
        <f t="shared" si="126"/>
        <v>•</v>
      </c>
      <c r="II86" s="332" t="str">
        <f t="shared" si="127"/>
        <v>o</v>
      </c>
      <c r="IJ86" s="332" t="str">
        <f t="shared" si="128"/>
        <v>o</v>
      </c>
      <c r="IK86" s="332" t="str">
        <f t="shared" si="129"/>
        <v>o</v>
      </c>
      <c r="IL86" s="332" t="str">
        <f t="shared" si="130"/>
        <v>•</v>
      </c>
      <c r="IM86" s="332" t="str">
        <f t="shared" si="131"/>
        <v>•</v>
      </c>
      <c r="IN86" s="332" t="str">
        <f t="shared" si="132"/>
        <v>o</v>
      </c>
      <c r="IO86" s="338" t="str">
        <f t="shared" si="133"/>
        <v>•</v>
      </c>
      <c r="IP86" s="346" t="b">
        <f t="shared" si="134"/>
        <v>1</v>
      </c>
      <c r="IQ86" s="347" t="b">
        <f t="shared" si="135"/>
        <v>1</v>
      </c>
      <c r="IR86" s="347" t="b">
        <f t="shared" si="136"/>
        <v>0</v>
      </c>
      <c r="IS86" s="347" t="b">
        <f t="shared" si="137"/>
        <v>0</v>
      </c>
      <c r="IT86" s="347" t="b">
        <f t="shared" si="138"/>
        <v>0</v>
      </c>
      <c r="IU86" s="347" t="b">
        <f t="shared" si="139"/>
        <v>0</v>
      </c>
      <c r="IV86" s="347" t="b">
        <f t="shared" si="140"/>
        <v>0</v>
      </c>
      <c r="IW86" s="347" t="b">
        <f t="shared" si="141"/>
        <v>0</v>
      </c>
      <c r="IX86" s="347" t="b">
        <f t="shared" si="142"/>
        <v>0</v>
      </c>
      <c r="IY86" s="347" t="b">
        <f t="shared" si="143"/>
        <v>1</v>
      </c>
      <c r="IZ86" s="347" t="b">
        <f t="shared" si="144"/>
        <v>0</v>
      </c>
      <c r="JA86" s="347" t="b">
        <f t="shared" si="145"/>
        <v>0</v>
      </c>
      <c r="JB86" s="353" t="b">
        <f t="shared" si="146"/>
        <v>1</v>
      </c>
      <c r="JC86" s="354" t="str">
        <f t="shared" si="147"/>
        <v>Sa, </v>
      </c>
      <c r="JD86" s="355" t="str">
        <f t="shared" si="148"/>
        <v>re, </v>
      </c>
      <c r="JE86" s="355" t="str">
        <f t="shared" si="149"/>
        <v/>
      </c>
      <c r="JF86" s="355" t="str">
        <f t="shared" si="150"/>
        <v/>
      </c>
      <c r="JG86" s="355" t="str">
        <f t="shared" si="151"/>
        <v/>
      </c>
      <c r="JH86" s="355" t="str">
        <f t="shared" si="152"/>
        <v/>
      </c>
      <c r="JI86" s="355" t="str">
        <f t="shared" si="153"/>
        <v/>
      </c>
      <c r="JJ86" s="355" t="str">
        <f t="shared" si="154"/>
        <v/>
      </c>
      <c r="JK86" s="355" t="str">
        <f t="shared" si="155"/>
        <v/>
      </c>
      <c r="JL86" s="355" t="str">
        <f t="shared" si="156"/>
        <v>Dha, </v>
      </c>
      <c r="JM86" s="355" t="str">
        <f t="shared" si="157"/>
        <v/>
      </c>
      <c r="JN86" s="355" t="str">
        <f t="shared" si="158"/>
        <v/>
      </c>
      <c r="JO86" s="359" t="str">
        <f t="shared" si="159"/>
        <v/>
      </c>
      <c r="JP86" s="346" t="b">
        <f t="shared" si="160"/>
        <v>0</v>
      </c>
      <c r="JQ86" s="347" t="b">
        <f t="shared" si="161"/>
        <v>1</v>
      </c>
      <c r="JR86" s="347" t="b">
        <f t="shared" si="162"/>
        <v>0</v>
      </c>
      <c r="JS86" s="347" t="b">
        <f t="shared" si="163"/>
        <v>0</v>
      </c>
      <c r="JT86" s="347" t="b">
        <f t="shared" si="164"/>
        <v>0</v>
      </c>
      <c r="JU86" s="347" t="b">
        <f t="shared" si="165"/>
        <v>0</v>
      </c>
      <c r="JV86" s="347" t="b">
        <f t="shared" si="166"/>
        <v>0</v>
      </c>
      <c r="JW86" s="347" t="b">
        <f t="shared" si="167"/>
        <v>0</v>
      </c>
      <c r="JX86" s="347" t="b">
        <f t="shared" si="168"/>
        <v>0</v>
      </c>
      <c r="JY86" s="347" t="b">
        <f t="shared" si="169"/>
        <v>1</v>
      </c>
      <c r="JZ86" s="347" t="b">
        <f t="shared" si="170"/>
        <v>0</v>
      </c>
      <c r="KA86" s="347" t="b">
        <f t="shared" si="171"/>
        <v>0</v>
      </c>
      <c r="KB86" s="365" t="b">
        <f t="shared" si="172"/>
        <v>0</v>
      </c>
      <c r="KC86" s="354" t="str">
        <f t="shared" si="173"/>
        <v/>
      </c>
      <c r="KD86" s="355" t="str">
        <f t="shared" si="174"/>
        <v>re, </v>
      </c>
      <c r="KE86" s="355" t="str">
        <f t="shared" si="175"/>
        <v/>
      </c>
      <c r="KF86" s="355" t="str">
        <f t="shared" si="176"/>
        <v/>
      </c>
      <c r="KG86" s="355" t="str">
        <f t="shared" si="177"/>
        <v/>
      </c>
      <c r="KH86" s="355" t="str">
        <f t="shared" si="178"/>
        <v/>
      </c>
      <c r="KI86" s="355" t="str">
        <f t="shared" si="179"/>
        <v/>
      </c>
      <c r="KJ86" s="355" t="str">
        <f t="shared" si="180"/>
        <v/>
      </c>
      <c r="KK86" s="355" t="str">
        <f t="shared" si="181"/>
        <v/>
      </c>
      <c r="KL86" s="355" t="str">
        <f t="shared" si="182"/>
        <v>Dha, </v>
      </c>
      <c r="KM86" s="355" t="str">
        <f t="shared" si="183"/>
        <v/>
      </c>
      <c r="KN86" s="355" t="str">
        <f t="shared" si="184"/>
        <v/>
      </c>
      <c r="KO86" s="359"/>
      <c r="KP86" s="378"/>
      <c r="KQ86" s="379" t="s">
        <v>676</v>
      </c>
      <c r="KR86" s="380" t="s">
        <v>1372</v>
      </c>
      <c r="KS86" s="381" t="str">
        <f t="shared" si="369"/>
        <v>S-r-g-m-D-n-S</v>
      </c>
      <c r="KT86" s="382">
        <f t="shared" si="186"/>
        <v>6</v>
      </c>
      <c r="KU86" s="383">
        <f t="shared" si="187"/>
        <v>6</v>
      </c>
      <c r="KV86" s="381" t="str">
        <f t="shared" si="205"/>
        <v>S-n-D-m-g-r-S</v>
      </c>
      <c r="KW86" s="382">
        <f t="shared" si="189"/>
        <v>6</v>
      </c>
      <c r="KX86" s="384">
        <f t="shared" si="190"/>
        <v>6</v>
      </c>
      <c r="KY86" s="382">
        <f t="shared" ref="KY86:KZ86" si="372">KW86-KT86</f>
        <v>0</v>
      </c>
      <c r="KZ86" s="369">
        <f t="shared" si="372"/>
        <v>0</v>
      </c>
      <c r="LA86" s="385" t="str">
        <f t="shared" si="192"/>
        <v>✔</v>
      </c>
      <c r="LB86" s="340" t="str">
        <f>IFERROR(__xludf.DUMMYFUNCTION("JOIN("""",ArrayFormula(MID(KS86,LEN(KS86)-SEQUENCE(1,LEN(KS86))+1,1)))"),"S-n-D-m-g-r-S")</f>
        <v>S-n-D-m-g-r-S</v>
      </c>
      <c r="LC86" s="373" t="str">
        <f>IFERROR(__xludf.DUMMYFUNCTION("JOIN("""",ArrayFormula(MID(KV86,LEN(KV86)-SEQUENCE(1,LEN(KV86))+1,1)))"),"S-r-g-m-D-n-S")</f>
        <v>S-r-g-m-D-n-S</v>
      </c>
      <c r="LD86" s="373" t="str">
        <f t="shared" si="193"/>
        <v>SrgmDnS</v>
      </c>
      <c r="LE86" s="339" t="str">
        <f t="shared" si="194"/>
        <v>SrgmDnS</v>
      </c>
      <c r="LF86" s="386" t="str">
        <f>IFERROR(__xludf.DUMMYFUNCTION("SUBSTITUTE(SUBSTITUTE(CONCATENATE(JOIN("""",LH86:LT86)),""1"",""""),""2"","""")"),"SrgmDnS")</f>
        <v>SrgmDnS</v>
      </c>
      <c r="LG86" s="369" t="str">
        <f t="shared" si="195"/>
        <v>✔</v>
      </c>
      <c r="LH86" s="387" t="str">
        <f>IFERROR(__xludf.DUMMYFUNCTION("IF(REGEXMATCH(LD86, ""S""), ""S"",IF(REGEXMATCH(LE86, ""S""), ""S"",""""))"),"S")</f>
        <v>S</v>
      </c>
      <c r="LI86" s="299" t="str">
        <f>IFERROR(__xludf.DUMMYFUNCTION("IF(REGEXMATCH(LD86, ""r""), ""r1"",IF(REGEXMATCH(LE86, ""r""), ""r2"",""""))"),"r1")</f>
        <v>r1</v>
      </c>
      <c r="LJ86" s="299" t="str">
        <f>IFERROR(__xludf.DUMMYFUNCTION("IF(REGEXMATCH(LD86, ""R""), ""R1"",IF(REGEXMATCH(LE86, ""R""), ""R2"",""""))"),"")</f>
        <v/>
      </c>
      <c r="LK86" s="299" t="str">
        <f>IFERROR(__xludf.DUMMYFUNCTION("IF(REGEXMATCH(LD86, ""g""), ""g1"",IF(REGEXMATCH(LE86, ""g""), ""g2"",""""))"),"g1")</f>
        <v>g1</v>
      </c>
      <c r="LL86" s="299" t="str">
        <f>IFERROR(__xludf.DUMMYFUNCTION("IF(REGEXMATCH(LD86, ""G""), ""G1"",IF(REGEXMATCH(LE86, ""G""), ""G2"",""""))"),"")</f>
        <v/>
      </c>
      <c r="LM86" s="299" t="str">
        <f>IFERROR(__xludf.DUMMYFUNCTION("IF(REGEXMATCH(LD86, ""m""), ""m1"",IF(REGEXMATCH(LE86, ""m""), ""m2"",""""))"),"m1")</f>
        <v>m1</v>
      </c>
      <c r="LN86" s="299" t="str">
        <f>IFERROR(__xludf.DUMMYFUNCTION("IF(REGEXMATCH(LD86, ""M""), ""M1"",IF(REGEXMATCH(LE86, ""M""), ""M2"",""""))"),"")</f>
        <v/>
      </c>
      <c r="LO86" s="299" t="str">
        <f>IFERROR(__xludf.DUMMYFUNCTION("IF(REGEXMATCH(LD86, ""P""), ""P1"",IF(REGEXMATCH(LE86, ""P""), ""P2"",""""))"),"")</f>
        <v/>
      </c>
      <c r="LP86" s="299" t="str">
        <f>IFERROR(__xludf.DUMMYFUNCTION("IF(REGEXMATCH(LD86, ""d""), ""d1"",IF(REGEXMATCH(LE86, ""d""), ""d2"",""""))"),"")</f>
        <v/>
      </c>
      <c r="LQ86" s="299" t="str">
        <f>IFERROR(__xludf.DUMMYFUNCTION("IF(REGEXMATCH(LD86, ""D""), ""D1"",IF(REGEXMATCH(LE86, ""D""), ""D2"",""""))"),"D1")</f>
        <v>D1</v>
      </c>
      <c r="LR86" s="299" t="str">
        <f>IFERROR(__xludf.DUMMYFUNCTION("IF(REGEXMATCH(LD86, ""n""), ""n1"",IF(REGEXMATCH(LE86, ""n""), ""n2"",""""))"),"n1")</f>
        <v>n1</v>
      </c>
      <c r="LS86" s="299" t="str">
        <f>IFERROR(__xludf.DUMMYFUNCTION("IF(REGEXMATCH(LD86, ""N""), ""N1"",IF(REGEXMATCH(LE86, ""N""), ""N2"",""""))"),"")</f>
        <v/>
      </c>
      <c r="LT86" s="388" t="str">
        <f>IFERROR(__xludf.DUMMYFUNCTION("IF(REGEXMATCH(LD86, ""S""), ""S"",IF(REGEXMATCH(LE86, ""S""), ""S"",""""))"),"S")</f>
        <v>S</v>
      </c>
      <c r="LU86" s="389">
        <f t="shared" si="196"/>
        <v>1</v>
      </c>
      <c r="LV86" s="378"/>
      <c r="LW86" s="369"/>
      <c r="LX86" s="369"/>
    </row>
    <row r="87" ht="18.0" customHeight="1">
      <c r="A87" s="298" t="s">
        <v>678</v>
      </c>
      <c r="B87" s="222" t="s">
        <v>530</v>
      </c>
      <c r="C87" s="233" t="str">
        <f t="shared" si="7"/>
        <v>SRGmPDnNS</v>
      </c>
      <c r="D87" s="234" t="str">
        <f>IFERROR(__xludf.DUMMYFUNCTION("IF(REGEXMATCH(C87, ""S""), ""S"","""")"),"S")</f>
        <v>S</v>
      </c>
      <c r="E87" s="236" t="str">
        <f>IFERROR(__xludf.DUMMYFUNCTION("IF(REGEXMATCH(C87, ""r""), ""r"","""")"),"")</f>
        <v/>
      </c>
      <c r="F87" s="237" t="str">
        <f>IFERROR(__xludf.DUMMYFUNCTION("IF(REGEXMATCH(C87, ""R""), ""R"","""")"),"R")</f>
        <v>R</v>
      </c>
      <c r="G87" s="237" t="str">
        <f>IFERROR(__xludf.DUMMYFUNCTION("IF(REGEXMATCH(C87, ""g""), ""g"","""")"),"")</f>
        <v/>
      </c>
      <c r="H87" s="236" t="str">
        <f>IFERROR(__xludf.DUMMYFUNCTION("IF(REGEXMATCH(C87, ""G""), ""G"","""")"),"G")</f>
        <v>G</v>
      </c>
      <c r="I87" s="236" t="str">
        <f>IFERROR(__xludf.DUMMYFUNCTION("IF(REGEXMATCH(C87, ""m""), ""m"","""")"),"m")</f>
        <v>m</v>
      </c>
      <c r="J87" s="237" t="str">
        <f>IFERROR(__xludf.DUMMYFUNCTION("IF(REGEXMATCH(C87, ""M""), ""M"","""")"),"")</f>
        <v/>
      </c>
      <c r="K87" s="236" t="str">
        <f>IFERROR(__xludf.DUMMYFUNCTION("IF(REGEXMATCH(C87, ""P""), ""P"","""")"),"P")</f>
        <v>P</v>
      </c>
      <c r="L87" s="237" t="str">
        <f>IFERROR(__xludf.DUMMYFUNCTION("IF(REGEXMATCH(C87, ""d""), ""d"","""")"),"")</f>
        <v/>
      </c>
      <c r="M87" s="236" t="str">
        <f>IFERROR(__xludf.DUMMYFUNCTION("IF(REGEXMATCH(C87, ""D""), ""D"","""")"),"D")</f>
        <v>D</v>
      </c>
      <c r="N87" s="236" t="str">
        <f>IFERROR(__xludf.DUMMYFUNCTION("IF(REGEXMATCH(C87, ""n""), ""n"","""")"),"n")</f>
        <v>n</v>
      </c>
      <c r="O87" s="237" t="str">
        <f>IFERROR(__xludf.DUMMYFUNCTION("IF(REGEXMATCH(C87, ""N""), ""N"","""")"),"N")</f>
        <v>N</v>
      </c>
      <c r="P87" s="238" t="str">
        <f>IFERROR(__xludf.DUMMYFUNCTION("IF(REGEXMATCH(C87, ""S""), ""S"","""")"),"S")</f>
        <v>S</v>
      </c>
      <c r="Q87" s="239" t="str">
        <f>IFERROR(__xludf.DUMMYFUNCTION("SUBSTITUTE(CONCATENATE(JOIN(""-"",D87:J87)),""-"","""")"),"SRGm")</f>
        <v>SRGm</v>
      </c>
      <c r="R87" s="229" t="str">
        <f>IFERROR(__xludf.DUMMYFUNCTION("SUBSTITUTE(CONCATENATE(JOIN(""-"",K87:P87)),""-"","""")"),"PDnNS")</f>
        <v>PDnNS</v>
      </c>
      <c r="S87" s="282" t="str">
        <f t="shared" si="8"/>
        <v>S-R-G-M</v>
      </c>
      <c r="T87" s="282" t="str">
        <f t="shared" si="9"/>
        <v>P-D-N-S</v>
      </c>
      <c r="U87" s="237" t="str">
        <f>IFERROR(__xludf.DUMMYFUNCTION("SUBSTITUTE(JOIN(""-"",S87,T87),""--"",""-"")"),"S-R-G-M-P-D-N-S")</f>
        <v>S-R-G-M-P-D-N-S</v>
      </c>
      <c r="V87" s="309" t="str">
        <f t="shared" si="10"/>
        <v>RGmDnN</v>
      </c>
      <c r="W87" s="244" t="str">
        <f>IFERROR(__xludf.DUMMYFUNCTION("IF(REGEXMATCH(C87, ""S""), ""0"","""")"),"0")</f>
        <v>0</v>
      </c>
      <c r="X87" s="245" t="str">
        <f>IFERROR(__xludf.DUMMYFUNCTION("IF(REGEXMATCH(C87, ""r""), ""1"","""")"),"")</f>
        <v/>
      </c>
      <c r="Y87" s="246" t="str">
        <f>IFERROR(__xludf.DUMMYFUNCTION("IF(REGEXMATCH(C87, ""R""), ""2"","""")"),"2")</f>
        <v>2</v>
      </c>
      <c r="Z87" s="246" t="str">
        <f>IFERROR(__xludf.DUMMYFUNCTION("IF(REGEXMATCH(C87, ""g""), ""3"","""")"),"")</f>
        <v/>
      </c>
      <c r="AA87" s="245" t="str">
        <f>IFERROR(__xludf.DUMMYFUNCTION("IF(REGEXMATCH(C87, ""G""), ""4"","""")"),"4")</f>
        <v>4</v>
      </c>
      <c r="AB87" s="245" t="str">
        <f>IFERROR(__xludf.DUMMYFUNCTION("IF(REGEXMATCH(C87, ""m""), ""5"","""")"),"5")</f>
        <v>5</v>
      </c>
      <c r="AC87" s="246" t="str">
        <f>IFERROR(__xludf.DUMMYFUNCTION("IF(REGEXMATCH(C87, ""M""), ""6"","""")"),"")</f>
        <v/>
      </c>
      <c r="AD87" s="245" t="str">
        <f>IFERROR(__xludf.DUMMYFUNCTION("IF(REGEXMATCH(C87, ""P""), ""7"","""")"),"7")</f>
        <v>7</v>
      </c>
      <c r="AE87" s="246" t="str">
        <f>IFERROR(__xludf.DUMMYFUNCTION("IF(REGEXMATCH(C87, ""d""), ""8"","""")"),"")</f>
        <v/>
      </c>
      <c r="AF87" s="245" t="str">
        <f>IFERROR(__xludf.DUMMYFUNCTION("IF(REGEXMATCH(C87, ""D""), ""9"","""")"),"9")</f>
        <v>9</v>
      </c>
      <c r="AG87" s="245" t="str">
        <f>IFERROR(__xludf.DUMMYFUNCTION("IF(REGEXMATCH(C87, ""n""), ""10"","""")"),"10")</f>
        <v>10</v>
      </c>
      <c r="AH87" s="246" t="str">
        <f>IFERROR(__xludf.DUMMYFUNCTION("IF(REGEXMATCH(C87, ""N""), ""11"","""")"),"11")</f>
        <v>11</v>
      </c>
      <c r="AI87" s="249" t="str">
        <f>IFERROR(__xludf.DUMMYFUNCTION("IF(REGEXMATCH(C87, ""S""), ""0"","""")"),"0")</f>
        <v>0</v>
      </c>
      <c r="AJ87" s="313" t="str">
        <f t="shared" si="11"/>
        <v>-</v>
      </c>
      <c r="AK87" s="313" t="str">
        <f t="shared" si="12"/>
        <v>-</v>
      </c>
      <c r="AL87" s="313" t="str">
        <f t="shared" si="13"/>
        <v>-</v>
      </c>
      <c r="AM87" s="313" t="str">
        <f t="shared" si="14"/>
        <v>-</v>
      </c>
      <c r="AN87" s="313" t="str">
        <f t="shared" si="15"/>
        <v>T</v>
      </c>
      <c r="AO87" s="314" t="str">
        <f t="shared" si="16"/>
        <v>T</v>
      </c>
      <c r="AP87" s="316">
        <f t="shared" si="17"/>
        <v>2</v>
      </c>
      <c r="AQ87" s="319" t="str">
        <f t="shared" si="18"/>
        <v>-</v>
      </c>
      <c r="AR87" s="320">
        <f t="shared" si="19"/>
        <v>0</v>
      </c>
      <c r="AS87" s="250" t="str">
        <f>IFERROR(__xludf.DUMMYFUNCTION("SUBSTITUTE(SUBSTITUTE(CONCATENATE(JOIN("""",FP87:GA87)),""|"",""x""),""-"",""o"")"),"xoxoxxoxoxxx")</f>
        <v>xoxoxxoxoxxx</v>
      </c>
      <c r="AT87" s="323" t="str">
        <f>IFERROR(__xludf.DUMMYFUNCTION("JOIN("""",AS87,AS87)"),"xoxoxxoxoxxxxoxoxxoxoxxx")</f>
        <v>xoxoxxoxoxxxxoxoxxoxoxxx</v>
      </c>
      <c r="AU87" s="256" t="str">
        <f>IFERROR(__xludf.DUMMYFUNCTION("JOIN("""",ArrayFormula(MID(AS87,LEN(AS87)-SEQUENCE(1,LEN(AS87))+1,1)))"),"xxxoxoxxoxox")</f>
        <v>xxxoxoxxoxox</v>
      </c>
      <c r="AV87" s="256" t="str">
        <f>IFERROR(__xludf.DUMMYFUNCTION("LEFT(CONCATENATE(""x"",JOIN("""",ArrayFormula(MID(AS87,LEN(AS87)-SEQUENCE(1,LEN(AS87))+1,1)))),12)"),"xxxxoxoxxoxo")</f>
        <v>xxxxoxoxxoxo</v>
      </c>
      <c r="AW87" s="327" t="str">
        <f>IFERROR(__xludf.DUMMYFUNCTION("JOIN("""",AU87,AU87)"),"xxxoxoxxoxoxxxxoxoxxoxox")</f>
        <v>xxxoxoxxoxoxxxxoxoxxoxox</v>
      </c>
      <c r="AX87" s="239" t="str">
        <f>IFERROR(__xludf.DUMMYFUNCTION("IF(REGEXMATCH(AW87,AS87),""✔"",""-"")"),"✔")</f>
        <v>✔</v>
      </c>
      <c r="AY87" s="330" t="str">
        <f t="shared" si="20"/>
        <v>-</v>
      </c>
      <c r="AZ87" s="260" t="str">
        <f t="shared" si="21"/>
        <v>#REF!</v>
      </c>
      <c r="BA87" s="333" t="str">
        <f t="shared" si="22"/>
        <v>xoxoxxo</v>
      </c>
      <c r="BB87" s="334" t="str">
        <f t="shared" si="23"/>
        <v>xoxxxx</v>
      </c>
      <c r="BC87" s="335" t="str">
        <f t="shared" si="236"/>
        <v>-</v>
      </c>
      <c r="BD87" s="336" t="str">
        <f t="shared" si="25"/>
        <v>Deepak: 'xoxoxxo' + 'xoxxxx'</v>
      </c>
      <c r="BE87" s="337">
        <f>IFERROR(__xludf.DUMMYFUNCTION("COUNTUNIQUE(FILTER(AT:AT,REGEXMATCH(AT:AT,AS87)))-1"),3.0)</f>
        <v>3</v>
      </c>
      <c r="BF87" s="261" t="str">
        <f>IFERROR(__xludf.DUMMYFUNCTION("IF(BI87=0,""(n/a)"",IF(BJ87=2,""(PAIR)"",IF(REGEXMATCH(AT87,""xoxoxxoxoxox""),""Bilawal"",IF(REGEXMATCH(AT87,""xoxoxooxoxoo""),""Bhupali"",IF(REGEXMATCH(AT87,""xoxoxxoxxoxo""),""Charukeshi"",IF(REGEXMATCH(AT87,""xoxoooxxoxxo""),""Kameshwari"",IF(REGEXMATC"&amp;"H(AT87,""xoxoxooxoxox""),""Shankara"",IF(REGEXMATCH(AT87,""xxooxoxxxoox""),""Basant"",IF(REGEXMATCH(AT87,""xoxoxxxxoxox""),""Bihag"",IF(REGEXMATCH(AT87,""xoxxxxoxoxxx""),""Pilu"",IF(REGEXMATCH(AT87,""xoxxoxoxxoox""),""Kirwani"",IF(REGEXMATCH(AT87,""xoxxox"&amp;"oxoxxx""),""Mk.Malhar"",IF(REGEXMATCH(AT87,""xxooxxoxxoox""),""Bhairav"",IF(REGEXMATCH(AT87,""xxoxooxxxoox""),""Todi"",IF(REGEXMATCH(AT87,""xxooxoxooxox""),""Marwa"",IF(REGEXMATCH(AT87,""xxoooxoxxooo""),""Gunkali"",IF(REGEXMATCH(AT87,""xoxoxxoxxoox""),""N"&amp;"at Bhairav"",IF(REGEXMATCH(AT87,""xoxxoooxoxoo""),""Shivranjani"",IF(REGEXMATCH(AT87,""xooxxxoxooxo""),""Jog"",IF(REGEXMATCH(AT87,""xxooxoxoxoox""),""Hemshri"",IF(REGEXMATCH(AT87,""xoooxooxoxxo""),""Kalavati"",IF(REGEXMATCH(AT87,""xxoxoxxoxoox""),""Kedar"&amp;""",IF(REGEXMATCH(AT87,""xoxxxxoxooxx""),""Gara"",IF(REGEXMATCH(AT87,""xooxoxooxoox""),""Chandrakauns"",IF(REGEXMATCH(AT87,""xoxxxxoxxxox""),""Mand"",IF(REGEXMATCH(AT87,""xoxxxxoxoxox""),""Hanskinkini"",IF(REGEXMATCH(AT87,""xxooxxoxooxo""),""Lilavati"",IF("&amp;"REGEXMATCH(AT87,""xooxoxoooxox""),""Rajeshwari"",IF(REGEXMATCH(AT87,""xoooxxoxoxxx""),""Khokar"",IF(REGEXMATCH(AT87,""xxooxoxxxxox""),""Maligoura"",""-""))))))))))))))))))))))))))))))"),"Bihag")</f>
        <v>Bihag</v>
      </c>
      <c r="BG87" s="239" t="str">
        <f t="shared" si="26"/>
        <v>#REF!</v>
      </c>
      <c r="BH87" s="239">
        <f>IFERROR(__xludf.DUMMYFUNCTION("COUNTUNIQUE(FE87:FO87)-1"),7.0)</f>
        <v>7</v>
      </c>
      <c r="BI87" s="239">
        <f>IFERROR(__xludf.DUMMYFUNCTION("COUNTUNIQUE(FILTER(AT:AT,REGEXMATCH(AT:AT,AS87)))-1"),3.0)</f>
        <v>3</v>
      </c>
      <c r="BJ87" s="239">
        <f>IFERROR(__xludf.DUMMYFUNCTION("COUNTA(FILTER(AT:AT,REGEXMATCH(AT:AT,AS87)))"),36.0)</f>
        <v>36</v>
      </c>
      <c r="BK87" s="341">
        <f>IFERROR(__xludf.DUMMYFUNCTION("COUNTA(FILTER(AT:AT,REGEXMATCH(AT:AT,AS87)))-AR87"),36.0)</f>
        <v>36</v>
      </c>
      <c r="BL87" s="276" t="str">
        <f>IFERROR(__xludf.DUMMYFUNCTION("IF(AS87=""oooooooooooo"",""-"",IF(REGEXMATCH(AT87,""xx""), ""Hemi."", ""Anhemi.""))"),"Hemi.")</f>
        <v>Hemi.</v>
      </c>
      <c r="BM87" s="282" t="str">
        <f>IFERROR(__xludf.DUMMYFUNCTION("IF(AS87=""oooooooooooo"",""-"",IF(REGEXMATCH(AT87,""xxx""), ""Cohem."", ""-""))"),"Cohem.")</f>
        <v>Cohem.</v>
      </c>
      <c r="BN87" s="282" t="str">
        <f>IFERROR(__xludf.DUMMYFUNCTION("IF(AS87=""oooooooooooo"",""-"",IF(REGEXMATCH(AT87,""xxxx""), ""Co-Co."", ""-""))"),"Co-Co.")</f>
        <v>Co-Co.</v>
      </c>
      <c r="BO87" s="342" t="str">
        <f>IFERROR(__xludf.DUMMYFUNCTION("IF(AS87=""oooooooooooo"",""-"",IF(REGEXMATCH(AT87,""xxxxx""), ""CCC."", ""-""))"),"-")</f>
        <v>-</v>
      </c>
      <c r="BP87" s="344" t="str">
        <f t="shared" si="27"/>
        <v>-</v>
      </c>
      <c r="BQ87" s="282" t="str">
        <f>IFERROR(__xludf.DUMMYFUNCTION("IF(REGEXMATCH(JOIN(""-"",EU87:FD87),""TRUE""),""✔"",""-"")"),"-")</f>
        <v>-</v>
      </c>
      <c r="BR87" s="225">
        <f t="shared" si="28"/>
        <v>0</v>
      </c>
      <c r="BS87" s="345" t="str">
        <f>IFERROR(__xludf.DUMMYFUNCTION("SUBSTITUTE(SUBSTITUTE(SUBSTITUTE(SUBSTITUTE(CONCATENATE(JOIN(""-"",GC87:GO87)),""--"",""-""),""--"",""-""),""--"",""-""),""--"",""-"")"),"1-2-3-4-5-6-b7-7-8")</f>
        <v>1-2-3-4-5-6-b7-7-8</v>
      </c>
      <c r="BT87" s="299" t="str">
        <f>IFERROR(__xludf.DUMMYFUNCTION("SUBSTITUTE(SUBSTITUTE(SUBSTITUTE(SUBSTITUTE(CONCATENATE(JOIN(""-"",GP87:HB87)),""--"",""-""),""--"",""-""),""--"",""-""),""--"",""-"")"),"S-R2-G3-M1-P-D2-N2-N3-S")</f>
        <v>S-R2-G3-M1-P-D2-N2-N3-S</v>
      </c>
      <c r="BU87" s="348" t="str">
        <f t="shared" si="29"/>
        <v>C-D-E-F-G-A-Bb-B-C</v>
      </c>
      <c r="BV87" s="349" t="str">
        <f t="shared" si="30"/>
        <v>SrgMdS</v>
      </c>
      <c r="BW87" s="350">
        <f t="shared" si="31"/>
        <v>1</v>
      </c>
      <c r="BX87" s="351">
        <f t="shared" si="32"/>
        <v>15</v>
      </c>
      <c r="BY87" s="392"/>
      <c r="BZ87" s="309" t="str">
        <f>IFERROR(__xludf.DUMMYFUNCTION("IF(REGEXMATCH(C87, ""S""), ""x"",""x"")"),"x")</f>
        <v>x</v>
      </c>
      <c r="CA87" s="245" t="str">
        <f>IFERROR(__xludf.DUMMYFUNCTION("IF(REGEXMATCH(C87, ""r""), ""o"",""x"")"),"x")</f>
        <v>x</v>
      </c>
      <c r="CB87" s="246" t="str">
        <f>IFERROR(__xludf.DUMMYFUNCTION("IF(REGEXMATCH(C87, ""R""), ""o"",""x"")"),"o")</f>
        <v>o</v>
      </c>
      <c r="CC87" s="246" t="str">
        <f>IFERROR(__xludf.DUMMYFUNCTION("IF(REGEXMATCH(C87, ""g""), ""o"",""x"")"),"x")</f>
        <v>x</v>
      </c>
      <c r="CD87" s="245" t="str">
        <f>IFERROR(__xludf.DUMMYFUNCTION("IF(REGEXMATCH(C87, ""G""), ""o"",""x"")"),"o")</f>
        <v>o</v>
      </c>
      <c r="CE87" s="245" t="str">
        <f>IFERROR(__xludf.DUMMYFUNCTION("IF(REGEXMATCH(C87, ""m""), ""o"",""x"")"),"o")</f>
        <v>o</v>
      </c>
      <c r="CF87" s="246" t="str">
        <f>IFERROR(__xludf.DUMMYFUNCTION("IF(REGEXMATCH(C87, ""M""), ""o"",""x"")"),"x")</f>
        <v>x</v>
      </c>
      <c r="CG87" s="245" t="str">
        <f>IFERROR(__xludf.DUMMYFUNCTION("IF(REGEXMATCH(C87, ""P""), ""o"",""x"")"),"o")</f>
        <v>o</v>
      </c>
      <c r="CH87" s="246" t="str">
        <f>IFERROR(__xludf.DUMMYFUNCTION("IF(REGEXMATCH(C87, ""d""), ""o"",""x"")"),"x")</f>
        <v>x</v>
      </c>
      <c r="CI87" s="245" t="str">
        <f>IFERROR(__xludf.DUMMYFUNCTION("IF(REGEXMATCH(C87, ""D""), ""o"",""x"")"),"o")</f>
        <v>o</v>
      </c>
      <c r="CJ87" s="245" t="str">
        <f>IFERROR(__xludf.DUMMYFUNCTION("IF(REGEXMATCH(C87, ""n""), ""o"",""x"")"),"o")</f>
        <v>o</v>
      </c>
      <c r="CK87" s="245" t="str">
        <f>IFERROR(__xludf.DUMMYFUNCTION("IF(REGEXMATCH(C87, ""N""), ""o"",""x"")"),"o")</f>
        <v>o</v>
      </c>
      <c r="CL87" s="356" t="str">
        <f>IFERROR(__xludf.DUMMYFUNCTION("IF(REGEXMATCH(C87, ""S""), ""x"",""x"")"),"x")</f>
        <v>x</v>
      </c>
      <c r="CM87" s="357" t="str">
        <f t="shared" si="33"/>
        <v>xxoxooxoxooo</v>
      </c>
      <c r="CN87" s="358">
        <f t="shared" si="34"/>
        <v>1</v>
      </c>
      <c r="CO87" s="246" t="str">
        <f>IFERROR(__xludf.DUMMYFUNCTION("IF(REGEXMATCH($C87, ""S""), ""S"",""S"")"),"S")</f>
        <v>S</v>
      </c>
      <c r="CP87" s="246" t="str">
        <f>IFERROR(__xludf.DUMMYFUNCTION("IF(REGEXMATCH($C87, ""r""), """",""r"")"),"r")</f>
        <v>r</v>
      </c>
      <c r="CQ87" s="246" t="str">
        <f>IFERROR(__xludf.DUMMYFUNCTION("IF(REGEXMATCH($C87, ""R""), """",""R"")"),"")</f>
        <v/>
      </c>
      <c r="CR87" s="246" t="str">
        <f>IFERROR(__xludf.DUMMYFUNCTION("IF(REGEXMATCH($C87, ""g""), """",""g"")"),"g")</f>
        <v>g</v>
      </c>
      <c r="CS87" s="246" t="str">
        <f>IFERROR(__xludf.DUMMYFUNCTION("IF(REGEXMATCH($C87, ""G""), """",""G"")"),"")</f>
        <v/>
      </c>
      <c r="CT87" s="246" t="str">
        <f>IFERROR(__xludf.DUMMYFUNCTION("IF(REGEXMATCH($C87, ""m""), """",""m"")"),"")</f>
        <v/>
      </c>
      <c r="CU87" s="246" t="str">
        <f>IFERROR(__xludf.DUMMYFUNCTION("IF(REGEXMATCH($C87, ""M""), """",""M"")"),"M")</f>
        <v>M</v>
      </c>
      <c r="CV87" s="246" t="str">
        <f>IFERROR(__xludf.DUMMYFUNCTION("IF(REGEXMATCH($C87, ""P""), """",""P"")"),"")</f>
        <v/>
      </c>
      <c r="CW87" s="246" t="str">
        <f>IFERROR(__xludf.DUMMYFUNCTION("IF(REGEXMATCH($C87, ""d""), """",""d"")"),"d")</f>
        <v>d</v>
      </c>
      <c r="CX87" s="246" t="str">
        <f>IFERROR(__xludf.DUMMYFUNCTION("IF(REGEXMATCH($C87, ""D""), """",""D"")"),"")</f>
        <v/>
      </c>
      <c r="CY87" s="246" t="str">
        <f>IFERROR(__xludf.DUMMYFUNCTION("IF(REGEXMATCH($C87, ""n""), """",""n"")"),"")</f>
        <v/>
      </c>
      <c r="CZ87" s="246" t="str">
        <f>IFERROR(__xludf.DUMMYFUNCTION("IF(REGEXMATCH($C87, ""N""), """",""N"")"),"")</f>
        <v/>
      </c>
      <c r="DA87" s="246" t="str">
        <f>IFERROR(__xludf.DUMMYFUNCTION("IF(REGEXMATCH($C87, ""S""), ""S"",""S"")"),"S")</f>
        <v>S</v>
      </c>
      <c r="DB87" s="362" t="str">
        <f>IFERROR(__xludf.DUMMYFUNCTION("JOIN("""",CO87:DA87,"""","""")"),"SrgMdS")</f>
        <v>SrgMdS</v>
      </c>
      <c r="DC87" s="363"/>
      <c r="DD87" s="301" t="str">
        <f t="shared" si="35"/>
        <v>#REF!</v>
      </c>
      <c r="DE87" s="302" t="str">
        <f t="shared" si="36"/>
        <v>#REF!</v>
      </c>
      <c r="DF87" s="301" t="str">
        <f t="shared" ref="DF87:DG87" si="373">SUBSTITUTE(S87,"-","")</f>
        <v>SRGM</v>
      </c>
      <c r="DG87" s="301" t="str">
        <f t="shared" si="373"/>
        <v>PDNS</v>
      </c>
      <c r="DH87" s="302" t="str">
        <f t="shared" si="38"/>
        <v>Bihag</v>
      </c>
      <c r="DI87" s="301" t="str">
        <f t="shared" si="39"/>
        <v>Hemi.</v>
      </c>
      <c r="DJ87" s="364" t="str">
        <f t="shared" si="40"/>
        <v>Co-Co.</v>
      </c>
      <c r="DK87" s="306" t="str">
        <f t="shared" si="41"/>
        <v>-</v>
      </c>
      <c r="DL87" s="366" t="str">
        <f t="shared" si="42"/>
        <v>-</v>
      </c>
      <c r="DM87" s="308" t="str">
        <f t="shared" si="43"/>
        <v>✔</v>
      </c>
      <c r="DN87" s="306" t="str">
        <f t="shared" si="44"/>
        <v>-</v>
      </c>
      <c r="DO87" s="306" t="str">
        <f t="shared" si="45"/>
        <v>-</v>
      </c>
      <c r="DP87" s="367" t="str">
        <f t="shared" si="46"/>
        <v>-</v>
      </c>
      <c r="DQ87" s="310" t="str">
        <f t="shared" si="47"/>
        <v>-</v>
      </c>
      <c r="DR87" s="310" t="str">
        <f t="shared" si="48"/>
        <v>-</v>
      </c>
      <c r="DS87" s="310" t="str">
        <f t="shared" si="49"/>
        <v>-</v>
      </c>
      <c r="DT87" s="310" t="str">
        <f t="shared" si="50"/>
        <v>-</v>
      </c>
      <c r="DU87" s="370" t="str">
        <f t="shared" si="51"/>
        <v>✔</v>
      </c>
      <c r="DV87" s="306" t="str">
        <f t="shared" si="52"/>
        <v>-</v>
      </c>
      <c r="DW87" s="306" t="str">
        <f t="shared" si="53"/>
        <v>-</v>
      </c>
      <c r="DX87" s="306" t="str">
        <f t="shared" si="54"/>
        <v>-</v>
      </c>
      <c r="DY87" s="306" t="str">
        <f t="shared" si="55"/>
        <v>-</v>
      </c>
      <c r="DZ87" s="306" t="str">
        <f t="shared" si="56"/>
        <v>-</v>
      </c>
      <c r="EA87" s="367" t="str">
        <f t="shared" si="57"/>
        <v>-</v>
      </c>
      <c r="EB87" s="310" t="str">
        <f>IFERROR(__xludf.DUMMYFUNCTION("IF(REGEXMATCH(AW87,AS87),""✔"",""-"")"),"✔")</f>
        <v>✔</v>
      </c>
      <c r="EC87" s="310" t="str">
        <f t="shared" si="58"/>
        <v>#REF!</v>
      </c>
      <c r="ED87" s="370" t="str">
        <f t="shared" si="59"/>
        <v>-</v>
      </c>
      <c r="EE87" s="340" t="str">
        <f t="shared" si="60"/>
        <v>S-R-G-m-P-D-nN-S</v>
      </c>
      <c r="EF87" s="371" t="str">
        <f>IFERROR(__xludf.DUMMYFUNCTION("CONCATENATE(JOIN("""",HC87:HO87))"),"SrRgmPdnS")</f>
        <v>SrRgmPdnS</v>
      </c>
      <c r="EG87" s="372">
        <f t="shared" si="61"/>
        <v>1</v>
      </c>
      <c r="EH87" s="373" t="str">
        <f>IFERROR(__xludf.DUMMYFUNCTION("CONCATENATE(JOIN("""",JC87:JO87))"),"Ni, ")</f>
        <v>Ni, </v>
      </c>
      <c r="EI87" s="322">
        <f t="shared" si="62"/>
        <v>0</v>
      </c>
      <c r="EJ87" s="374" t="str">
        <f>IFERROR(__xludf.DUMMYFUNCTION("CONCATENATE(JOIN("""",KC87:KO87))"),"")</f>
        <v/>
      </c>
      <c r="EK87" s="325" t="str">
        <f t="shared" si="63"/>
        <v>S-R2-G3-M1-P-D2-N2-N3-S</v>
      </c>
      <c r="EL87" s="326" t="str">
        <f t="shared" si="64"/>
        <v>1-2-3-4-5-6-b7-7-8</v>
      </c>
      <c r="EM87" s="318" t="str">
        <f t="shared" si="65"/>
        <v>#REF!</v>
      </c>
      <c r="EN87" s="328" t="str">
        <f>IFERROR(__xludf.DUMMYFUNCTION("SUBSTITUTE(SUBSTITUTE(SUBSTITUTE(SUBSTITUTE(CONCATENATE(JOIN("" "",HP87:IB87)),""  "","" ""),""  "","" ""),""  "","" ""),""  "","" "")"),"o • o • o o • o • o o o o")</f>
        <v>o • o • o o • o • o o o o</v>
      </c>
      <c r="EO87" s="368" t="str">
        <f t="shared" si="66"/>
        <v>-</v>
      </c>
      <c r="EP87" s="339" t="str">
        <f t="shared" si="67"/>
        <v>-</v>
      </c>
      <c r="EQ87" s="339" t="str">
        <f t="shared" si="68"/>
        <v>Sa-Pa</v>
      </c>
      <c r="ER87" s="339" t="str">
        <f t="shared" si="69"/>
        <v>-</v>
      </c>
      <c r="ES87" s="340" t="str">
        <f t="shared" si="70"/>
        <v>-</v>
      </c>
      <c r="ET87" s="363"/>
      <c r="EU87" s="376" t="b">
        <f>IFERROR(__xludf.DUMMYFUNCTION("arrayformula(sum(--REGEXMATCH(""SRGMPDNS"",split(REGEXREPLACE(C87,""(.)"",""$1~""),""~""))))=len(C87)
"),FALSE)</f>
        <v>0</v>
      </c>
      <c r="EV87" s="290" t="b">
        <f>IFERROR(__xludf.DUMMYFUNCTION("arrayformula(sum(--REGEXMATCH(""SRGmPDNS"",split(REGEXREPLACE(C87,""(.)"",""$1~""),""~""))))=len(C87)"),FALSE)</f>
        <v>0</v>
      </c>
      <c r="EW87" s="290" t="b">
        <f>IFERROR(__xludf.DUMMYFUNCTION("arrayformula(sum(--REGEXMATCH(""SRGmPDnS"",split(REGEXREPLACE(C87,""(.)"",""$1~""),""~""))))=len(C87)"),FALSE)</f>
        <v>0</v>
      </c>
      <c r="EX87" s="290" t="b">
        <f>IFERROR(__xludf.DUMMYFUNCTION("arrayformula(sum(--REGEXMATCH(""SRgmPDnS"",split(REGEXREPLACE(C87,""(.)"",""$1~""),""~""))))=len(C87)"),FALSE)</f>
        <v>0</v>
      </c>
      <c r="EY87" s="290" t="b">
        <f>IFERROR(__xludf.DUMMYFUNCTION("arrayformula(sum(--REGEXMATCH(""SRgmPdnS"",split(REGEXREPLACE(C87,""(.)"",""$1~""),""~""))))=len(C87)"),FALSE)</f>
        <v>0</v>
      </c>
      <c r="EZ87" s="290" t="b">
        <f>IFERROR(__xludf.DUMMYFUNCTION("arrayformula(sum(--REGEXMATCH(""SrgmPdnS"",split(REGEXREPLACE(C87,""(.)"",""$1~""),""~""))))=len(C87)"),FALSE)</f>
        <v>0</v>
      </c>
      <c r="FA87" s="290" t="b">
        <f>IFERROR(__xludf.DUMMYFUNCTION("arrayformula(sum(--REGEXMATCH(""SrGmPdNS"",split(REGEXREPLACE(C87,""(.)"",""$1~""),""~""))))=len(C87)"),FALSE)</f>
        <v>0</v>
      </c>
      <c r="FB87" s="290" t="b">
        <f>IFERROR(__xludf.DUMMYFUNCTION("arrayformula(sum(--REGEXMATCH(""SrGMPDNS"",split(REGEXREPLACE(C87,""(.)"",""$1~""),""~""))))=len(C87)"),FALSE)</f>
        <v>0</v>
      </c>
      <c r="FC87" s="290" t="b">
        <f>IFERROR(__xludf.DUMMYFUNCTION("arrayformula(sum(--REGEXMATCH(""SrGMPdNS"",split(REGEXREPLACE(C87,""(.)"",""$1~""),""~""))))=len(C87)"),FALSE)</f>
        <v>0</v>
      </c>
      <c r="FD87" s="377" t="b">
        <f>IFERROR(__xludf.DUMMYFUNCTION("arrayformula(sum(--REGEXMATCH(""SrgMPdNS"",split(REGEXREPLACE(C87,""(.)"",""$1~""),""~""))))=len(C87)"),FALSE)</f>
        <v>0</v>
      </c>
      <c r="FE87" s="269" t="str">
        <f t="shared" si="71"/>
        <v>-</v>
      </c>
      <c r="FF87" s="269" t="str">
        <f t="shared" si="72"/>
        <v>xoxxoxoxxxx</v>
      </c>
      <c r="FG87" s="271" t="str">
        <f t="shared" si="73"/>
        <v>-</v>
      </c>
      <c r="FH87" s="269" t="str">
        <f t="shared" si="74"/>
        <v>xxoxoxxxxox</v>
      </c>
      <c r="FI87" s="271" t="str">
        <f t="shared" si="75"/>
        <v>xoxoxxxxoxo</v>
      </c>
      <c r="FJ87" s="271" t="str">
        <f t="shared" si="76"/>
        <v>-</v>
      </c>
      <c r="FK87" s="271" t="str">
        <f t="shared" si="77"/>
        <v>xoxxxxoxoxx</v>
      </c>
      <c r="FL87" s="271" t="str">
        <f t="shared" si="78"/>
        <v>-</v>
      </c>
      <c r="FM87" s="271" t="str">
        <f t="shared" si="79"/>
        <v>xxxxoxoxxox</v>
      </c>
      <c r="FN87" s="271" t="str">
        <f t="shared" si="80"/>
        <v>xxxoxoxxoxo</v>
      </c>
      <c r="FO87" s="274" t="str">
        <f t="shared" si="81"/>
        <v>xxoxoxxoxox</v>
      </c>
      <c r="FP87" s="234" t="str">
        <f t="shared" si="82"/>
        <v>|</v>
      </c>
      <c r="FQ87" s="236" t="str">
        <f t="shared" si="83"/>
        <v>-</v>
      </c>
      <c r="FR87" s="237" t="str">
        <f t="shared" si="84"/>
        <v>|</v>
      </c>
      <c r="FS87" s="236" t="str">
        <f t="shared" si="85"/>
        <v>-</v>
      </c>
      <c r="FT87" s="237" t="str">
        <f t="shared" si="86"/>
        <v>|</v>
      </c>
      <c r="FU87" s="236" t="str">
        <f t="shared" si="87"/>
        <v>|</v>
      </c>
      <c r="FV87" s="237" t="str">
        <f t="shared" si="88"/>
        <v>-</v>
      </c>
      <c r="FW87" s="236" t="str">
        <f t="shared" si="89"/>
        <v>|</v>
      </c>
      <c r="FX87" s="237" t="str">
        <f t="shared" si="90"/>
        <v>-</v>
      </c>
      <c r="FY87" s="236" t="str">
        <f t="shared" si="91"/>
        <v>|</v>
      </c>
      <c r="FZ87" s="237" t="str">
        <f t="shared" si="92"/>
        <v>|</v>
      </c>
      <c r="GA87" s="236" t="str">
        <f t="shared" si="93"/>
        <v>|</v>
      </c>
      <c r="GB87" s="238" t="str">
        <f t="shared" si="94"/>
        <v>|</v>
      </c>
      <c r="GC87" s="244" t="str">
        <f>IFERROR(__xludf.DUMMYFUNCTION("IF(REGEXMATCH(C87, ""S""), ""1"","""")"),"1")</f>
        <v>1</v>
      </c>
      <c r="GD87" s="245" t="str">
        <f>IFERROR(__xludf.DUMMYFUNCTION("IF(REGEXMATCH(C87, ""r""), ""b2"","""")"),"")</f>
        <v/>
      </c>
      <c r="GE87" s="246" t="str">
        <f>IFERROR(__xludf.DUMMYFUNCTION("IF(REGEXMATCH(C87, ""R""), ""2"","""")"),"2")</f>
        <v>2</v>
      </c>
      <c r="GF87" s="246" t="str">
        <f>IFERROR(__xludf.DUMMYFUNCTION("IF(REGEXMATCH(C87, ""g""), ""b3"","""")"),"")</f>
        <v/>
      </c>
      <c r="GG87" s="245" t="str">
        <f>IFERROR(__xludf.DUMMYFUNCTION("IF(REGEXMATCH(C87, ""G""), ""3"","""")"),"3")</f>
        <v>3</v>
      </c>
      <c r="GH87" s="245" t="str">
        <f>IFERROR(__xludf.DUMMYFUNCTION("IF(REGEXMATCH(C87, ""m""), ""4"","""")"),"4")</f>
        <v>4</v>
      </c>
      <c r="GI87" s="246" t="str">
        <f>IFERROR(__xludf.DUMMYFUNCTION("IF(REGEXMATCH(C87, ""M""), ""#4"","""")"),"")</f>
        <v/>
      </c>
      <c r="GJ87" s="245" t="str">
        <f>IFERROR(__xludf.DUMMYFUNCTION("IF(REGEXMATCH(C87, ""P""), ""5"","""")"),"5")</f>
        <v>5</v>
      </c>
      <c r="GK87" s="246" t="str">
        <f>IFERROR(__xludf.DUMMYFUNCTION("IF(REGEXMATCH(C87, ""d""), ""b6"","""")"),"")</f>
        <v/>
      </c>
      <c r="GL87" s="245" t="str">
        <f>IFERROR(__xludf.DUMMYFUNCTION("IF(REGEXMATCH(C87, ""D""), ""6"","""")"),"6")</f>
        <v>6</v>
      </c>
      <c r="GM87" s="245" t="str">
        <f>IFERROR(__xludf.DUMMYFUNCTION("IF(REGEXMATCH(C87, ""n""), ""b7"","""")"),"b7")</f>
        <v>b7</v>
      </c>
      <c r="GN87" s="246" t="str">
        <f>IFERROR(__xludf.DUMMYFUNCTION("IF(REGEXMATCH(C87, ""N""), ""7"","""")"),"7")</f>
        <v>7</v>
      </c>
      <c r="GO87" s="249" t="str">
        <f>IFERROR(__xludf.DUMMYFUNCTION("IF(REGEXMATCH(C87, ""S""), ""8"","""")"),"8")</f>
        <v>8</v>
      </c>
      <c r="GP87" s="244" t="str">
        <f>IFERROR(__xludf.DUMMYFUNCTION("IF(REGEXMATCH(C87, ""S""), ""S"","""")"),"S")</f>
        <v>S</v>
      </c>
      <c r="GQ87" s="294" t="str">
        <f>IFERROR(__xludf.DUMMYFUNCTION("IF(REGEXMATCH(C87, ""r""), ""R1"","""")"),"")</f>
        <v/>
      </c>
      <c r="GR87" s="295" t="str">
        <f>IFERROR(__xludf.DUMMYFUNCTION("IF(REGEXMATCH(C87, ""R""), ""R2"","""")"),"R2")</f>
        <v>R2</v>
      </c>
      <c r="GS87" s="295" t="str">
        <f>IFERROR(__xludf.DUMMYFUNCTION("IF(REGEXMATCH(C87, ""g""), ""G2"","""")"),"")</f>
        <v/>
      </c>
      <c r="GT87" s="294" t="str">
        <f>IFERROR(__xludf.DUMMYFUNCTION("IF(REGEXMATCH(C87, ""G""), ""G3"","""")"),"G3")</f>
        <v>G3</v>
      </c>
      <c r="GU87" s="294" t="str">
        <f>IFERROR(__xludf.DUMMYFUNCTION("IF(REGEXMATCH(C87, ""m""), ""M1"","""")"),"M1")</f>
        <v>M1</v>
      </c>
      <c r="GV87" s="295" t="str">
        <f>IFERROR(__xludf.DUMMYFUNCTION("IF(REGEXMATCH(C87, ""M""), ""M2"","""")"),"")</f>
        <v/>
      </c>
      <c r="GW87" s="294" t="str">
        <f>IFERROR(__xludf.DUMMYFUNCTION("IF(REGEXMATCH(C87, ""P""), ""P"","""")"),"P")</f>
        <v>P</v>
      </c>
      <c r="GX87" s="295" t="str">
        <f>IFERROR(__xludf.DUMMYFUNCTION("IF(REGEXMATCH(C87, ""d""), ""D1"","""")"),"")</f>
        <v/>
      </c>
      <c r="GY87" s="294" t="str">
        <f>IFERROR(__xludf.DUMMYFUNCTION("IF(REGEXMATCH(C87, ""D""), ""D2"","""")"),"D2")</f>
        <v>D2</v>
      </c>
      <c r="GZ87" s="294" t="str">
        <f>IFERROR(__xludf.DUMMYFUNCTION("IF(REGEXMATCH(C87, ""n""), ""N2"","""")"),"N2")</f>
        <v>N2</v>
      </c>
      <c r="HA87" s="295" t="str">
        <f>IFERROR(__xludf.DUMMYFUNCTION("IF(REGEXMATCH(C87, ""N""), ""N3"","""")"),"N3")</f>
        <v>N3</v>
      </c>
      <c r="HB87" s="249" t="str">
        <f>IFERROR(__xludf.DUMMYFUNCTION("IF(REGEXMATCH(C87, ""S""), ""S"","""")"),"S")</f>
        <v>S</v>
      </c>
      <c r="HC87" s="331" t="str">
        <f t="shared" si="95"/>
        <v>S</v>
      </c>
      <c r="HD87" s="332" t="str">
        <f t="shared" si="96"/>
        <v>r</v>
      </c>
      <c r="HE87" s="332" t="str">
        <f t="shared" si="97"/>
        <v>R</v>
      </c>
      <c r="HF87" s="332" t="str">
        <f t="shared" si="98"/>
        <v>g</v>
      </c>
      <c r="HG87" s="332" t="str">
        <f t="shared" si="99"/>
        <v/>
      </c>
      <c r="HH87" s="332" t="str">
        <f t="shared" si="100"/>
        <v>m</v>
      </c>
      <c r="HI87" s="332" t="str">
        <f t="shared" si="101"/>
        <v/>
      </c>
      <c r="HJ87" s="332" t="str">
        <f t="shared" si="102"/>
        <v>P</v>
      </c>
      <c r="HK87" s="332" t="str">
        <f t="shared" si="103"/>
        <v>d</v>
      </c>
      <c r="HL87" s="332" t="str">
        <f t="shared" si="104"/>
        <v/>
      </c>
      <c r="HM87" s="332" t="str">
        <f t="shared" si="105"/>
        <v>n</v>
      </c>
      <c r="HN87" s="332" t="str">
        <f t="shared" si="106"/>
        <v/>
      </c>
      <c r="HO87" s="343" t="str">
        <f t="shared" si="107"/>
        <v>S</v>
      </c>
      <c r="HP87" s="331" t="str">
        <f t="shared" si="108"/>
        <v>o</v>
      </c>
      <c r="HQ87" s="332" t="str">
        <f t="shared" si="109"/>
        <v>•</v>
      </c>
      <c r="HR87" s="332" t="str">
        <f t="shared" si="110"/>
        <v>o</v>
      </c>
      <c r="HS87" s="332" t="str">
        <f t="shared" si="111"/>
        <v>•</v>
      </c>
      <c r="HT87" s="332" t="str">
        <f t="shared" si="112"/>
        <v>o</v>
      </c>
      <c r="HU87" s="332" t="str">
        <f t="shared" si="113"/>
        <v>o</v>
      </c>
      <c r="HV87" s="332" t="str">
        <f t="shared" si="114"/>
        <v>•</v>
      </c>
      <c r="HW87" s="332" t="str">
        <f t="shared" si="115"/>
        <v>o</v>
      </c>
      <c r="HX87" s="332" t="str">
        <f t="shared" si="116"/>
        <v>•</v>
      </c>
      <c r="HY87" s="332" t="str">
        <f t="shared" si="117"/>
        <v>o</v>
      </c>
      <c r="HZ87" s="332" t="str">
        <f t="shared" si="118"/>
        <v>o</v>
      </c>
      <c r="IA87" s="332" t="str">
        <f t="shared" si="119"/>
        <v>o</v>
      </c>
      <c r="IB87" s="338" t="str">
        <f t="shared" si="120"/>
        <v>o</v>
      </c>
      <c r="IC87" s="331" t="str">
        <f t="shared" si="121"/>
        <v>•</v>
      </c>
      <c r="ID87" s="332" t="str">
        <f t="shared" si="122"/>
        <v>o</v>
      </c>
      <c r="IE87" s="332" t="str">
        <f t="shared" si="123"/>
        <v>•</v>
      </c>
      <c r="IF87" s="332" t="str">
        <f t="shared" si="124"/>
        <v>o</v>
      </c>
      <c r="IG87" s="332" t="str">
        <f t="shared" si="125"/>
        <v>•</v>
      </c>
      <c r="IH87" s="332" t="str">
        <f t="shared" si="126"/>
        <v>•</v>
      </c>
      <c r="II87" s="332" t="str">
        <f t="shared" si="127"/>
        <v>o</v>
      </c>
      <c r="IJ87" s="332" t="str">
        <f t="shared" si="128"/>
        <v>•</v>
      </c>
      <c r="IK87" s="332" t="str">
        <f t="shared" si="129"/>
        <v>o</v>
      </c>
      <c r="IL87" s="332" t="str">
        <f t="shared" si="130"/>
        <v>•</v>
      </c>
      <c r="IM87" s="332" t="str">
        <f t="shared" si="131"/>
        <v>•</v>
      </c>
      <c r="IN87" s="332" t="str">
        <f t="shared" si="132"/>
        <v>•</v>
      </c>
      <c r="IO87" s="338" t="str">
        <f t="shared" si="133"/>
        <v>•</v>
      </c>
      <c r="IP87" s="346" t="b">
        <f t="shared" si="134"/>
        <v>0</v>
      </c>
      <c r="IQ87" s="347" t="b">
        <f t="shared" si="135"/>
        <v>0</v>
      </c>
      <c r="IR87" s="347" t="b">
        <f t="shared" si="136"/>
        <v>0</v>
      </c>
      <c r="IS87" s="347" t="b">
        <f t="shared" si="137"/>
        <v>0</v>
      </c>
      <c r="IT87" s="347" t="b">
        <f t="shared" si="138"/>
        <v>0</v>
      </c>
      <c r="IU87" s="347" t="b">
        <f t="shared" si="139"/>
        <v>0</v>
      </c>
      <c r="IV87" s="347" t="b">
        <f t="shared" si="140"/>
        <v>0</v>
      </c>
      <c r="IW87" s="347" t="b">
        <f t="shared" si="141"/>
        <v>0</v>
      </c>
      <c r="IX87" s="347" t="b">
        <f t="shared" si="142"/>
        <v>0</v>
      </c>
      <c r="IY87" s="347" t="b">
        <f t="shared" si="143"/>
        <v>0</v>
      </c>
      <c r="IZ87" s="347" t="b">
        <f t="shared" si="144"/>
        <v>0</v>
      </c>
      <c r="JA87" s="347" t="b">
        <f t="shared" si="145"/>
        <v>1</v>
      </c>
      <c r="JB87" s="353" t="b">
        <f t="shared" si="146"/>
        <v>0</v>
      </c>
      <c r="JC87" s="354" t="str">
        <f t="shared" si="147"/>
        <v/>
      </c>
      <c r="JD87" s="355" t="str">
        <f t="shared" si="148"/>
        <v/>
      </c>
      <c r="JE87" s="355" t="str">
        <f t="shared" si="149"/>
        <v/>
      </c>
      <c r="JF87" s="355" t="str">
        <f t="shared" si="150"/>
        <v/>
      </c>
      <c r="JG87" s="355" t="str">
        <f t="shared" si="151"/>
        <v/>
      </c>
      <c r="JH87" s="355" t="str">
        <f t="shared" si="152"/>
        <v/>
      </c>
      <c r="JI87" s="355" t="str">
        <f t="shared" si="153"/>
        <v/>
      </c>
      <c r="JJ87" s="355" t="str">
        <f t="shared" si="154"/>
        <v/>
      </c>
      <c r="JK87" s="355" t="str">
        <f t="shared" si="155"/>
        <v/>
      </c>
      <c r="JL87" s="355" t="str">
        <f t="shared" si="156"/>
        <v/>
      </c>
      <c r="JM87" s="355" t="str">
        <f t="shared" si="157"/>
        <v/>
      </c>
      <c r="JN87" s="355" t="str">
        <f t="shared" si="158"/>
        <v>Ni, </v>
      </c>
      <c r="JO87" s="359" t="str">
        <f t="shared" si="159"/>
        <v/>
      </c>
      <c r="JP87" s="346" t="b">
        <f t="shared" si="160"/>
        <v>0</v>
      </c>
      <c r="JQ87" s="347" t="b">
        <f t="shared" si="161"/>
        <v>0</v>
      </c>
      <c r="JR87" s="347" t="b">
        <f t="shared" si="162"/>
        <v>0</v>
      </c>
      <c r="JS87" s="347" t="b">
        <f t="shared" si="163"/>
        <v>0</v>
      </c>
      <c r="JT87" s="347" t="b">
        <f t="shared" si="164"/>
        <v>0</v>
      </c>
      <c r="JU87" s="347" t="b">
        <f t="shared" si="165"/>
        <v>0</v>
      </c>
      <c r="JV87" s="347" t="b">
        <f t="shared" si="166"/>
        <v>0</v>
      </c>
      <c r="JW87" s="347" t="b">
        <f t="shared" si="167"/>
        <v>0</v>
      </c>
      <c r="JX87" s="347" t="b">
        <f t="shared" si="168"/>
        <v>0</v>
      </c>
      <c r="JY87" s="347" t="b">
        <f t="shared" si="169"/>
        <v>0</v>
      </c>
      <c r="JZ87" s="347" t="b">
        <f t="shared" si="170"/>
        <v>0</v>
      </c>
      <c r="KA87" s="347" t="b">
        <f t="shared" si="171"/>
        <v>0</v>
      </c>
      <c r="KB87" s="365" t="b">
        <f t="shared" si="172"/>
        <v>0</v>
      </c>
      <c r="KC87" s="354" t="str">
        <f t="shared" si="173"/>
        <v/>
      </c>
      <c r="KD87" s="355" t="str">
        <f t="shared" si="174"/>
        <v/>
      </c>
      <c r="KE87" s="355" t="str">
        <f t="shared" si="175"/>
        <v/>
      </c>
      <c r="KF87" s="355" t="str">
        <f t="shared" si="176"/>
        <v/>
      </c>
      <c r="KG87" s="355" t="str">
        <f t="shared" si="177"/>
        <v/>
      </c>
      <c r="KH87" s="355" t="str">
        <f t="shared" si="178"/>
        <v/>
      </c>
      <c r="KI87" s="355" t="str">
        <f t="shared" si="179"/>
        <v/>
      </c>
      <c r="KJ87" s="355" t="str">
        <f t="shared" si="180"/>
        <v/>
      </c>
      <c r="KK87" s="355" t="str">
        <f t="shared" si="181"/>
        <v/>
      </c>
      <c r="KL87" s="355" t="str">
        <f t="shared" si="182"/>
        <v/>
      </c>
      <c r="KM87" s="355" t="str">
        <f t="shared" si="183"/>
        <v/>
      </c>
      <c r="KN87" s="355" t="str">
        <f t="shared" si="184"/>
        <v/>
      </c>
      <c r="KO87" s="359"/>
      <c r="KP87" s="378"/>
      <c r="KQ87" s="379" t="s">
        <v>9</v>
      </c>
      <c r="KR87" s="380" t="s">
        <v>9</v>
      </c>
      <c r="KS87" s="381" t="s">
        <v>9</v>
      </c>
      <c r="KT87" s="382">
        <f t="shared" si="186"/>
        <v>0</v>
      </c>
      <c r="KU87" s="383">
        <f t="shared" si="187"/>
        <v>0</v>
      </c>
      <c r="KV87" s="381" t="str">
        <f t="shared" si="205"/>
        <v>S</v>
      </c>
      <c r="KW87" s="382">
        <f t="shared" si="189"/>
        <v>0</v>
      </c>
      <c r="KX87" s="384">
        <f t="shared" si="190"/>
        <v>0</v>
      </c>
      <c r="KY87" s="382">
        <f t="shared" ref="KY87:KZ87" si="374">KW87-KT87</f>
        <v>0</v>
      </c>
      <c r="KZ87" s="369">
        <f t="shared" si="374"/>
        <v>0</v>
      </c>
      <c r="LA87" s="385" t="str">
        <f t="shared" si="192"/>
        <v>✔</v>
      </c>
      <c r="LB87" s="340" t="str">
        <f>IFERROR(__xludf.DUMMYFUNCTION("JOIN("""",ArrayFormula(MID(KS87,LEN(KS87)-SEQUENCE(1,LEN(KS87))+1,1)))"),"S")</f>
        <v>S</v>
      </c>
      <c r="LC87" s="373" t="str">
        <f>IFERROR(__xludf.DUMMYFUNCTION("JOIN("""",ArrayFormula(MID(KV87,LEN(KV87)-SEQUENCE(1,LEN(KV87))+1,1)))"),"S")</f>
        <v>S</v>
      </c>
      <c r="LD87" s="373" t="str">
        <f t="shared" si="193"/>
        <v>S</v>
      </c>
      <c r="LE87" s="339" t="str">
        <f t="shared" si="194"/>
        <v>S</v>
      </c>
      <c r="LF87" s="386" t="str">
        <f>IFERROR(__xludf.DUMMYFUNCTION("SUBSTITUTE(SUBSTITUTE(CONCATENATE(JOIN("""",LH87:LT87)),""1"",""""),""2"","""")"),"SS")</f>
        <v>SS</v>
      </c>
      <c r="LG87" s="369" t="str">
        <f t="shared" si="195"/>
        <v>-</v>
      </c>
      <c r="LH87" s="387" t="str">
        <f>IFERROR(__xludf.DUMMYFUNCTION("IF(REGEXMATCH(LD87, ""S""), ""S"",IF(REGEXMATCH(LE87, ""S""), ""S"",""""))"),"S")</f>
        <v>S</v>
      </c>
      <c r="LI87" s="299" t="str">
        <f>IFERROR(__xludf.DUMMYFUNCTION("IF(REGEXMATCH(LD87, ""r""), ""r1"",IF(REGEXMATCH(LE87, ""r""), ""r2"",""""))"),"")</f>
        <v/>
      </c>
      <c r="LJ87" s="299" t="str">
        <f>IFERROR(__xludf.DUMMYFUNCTION("IF(REGEXMATCH(LD87, ""R""), ""R1"",IF(REGEXMATCH(LE87, ""R""), ""R2"",""""))"),"")</f>
        <v/>
      </c>
      <c r="LK87" s="299" t="str">
        <f>IFERROR(__xludf.DUMMYFUNCTION("IF(REGEXMATCH(LD87, ""g""), ""g1"",IF(REGEXMATCH(LE87, ""g""), ""g2"",""""))"),"")</f>
        <v/>
      </c>
      <c r="LL87" s="299" t="str">
        <f>IFERROR(__xludf.DUMMYFUNCTION("IF(REGEXMATCH(LD87, ""G""), ""G1"",IF(REGEXMATCH(LE87, ""G""), ""G2"",""""))"),"")</f>
        <v/>
      </c>
      <c r="LM87" s="299" t="str">
        <f>IFERROR(__xludf.DUMMYFUNCTION("IF(REGEXMATCH(LD87, ""m""), ""m1"",IF(REGEXMATCH(LE87, ""m""), ""m2"",""""))"),"")</f>
        <v/>
      </c>
      <c r="LN87" s="299" t="str">
        <f>IFERROR(__xludf.DUMMYFUNCTION("IF(REGEXMATCH(LD87, ""M""), ""M1"",IF(REGEXMATCH(LE87, ""M""), ""M2"",""""))"),"")</f>
        <v/>
      </c>
      <c r="LO87" s="299" t="str">
        <f>IFERROR(__xludf.DUMMYFUNCTION("IF(REGEXMATCH(LD87, ""P""), ""P1"",IF(REGEXMATCH(LE87, ""P""), ""P2"",""""))"),"")</f>
        <v/>
      </c>
      <c r="LP87" s="299" t="str">
        <f>IFERROR(__xludf.DUMMYFUNCTION("IF(REGEXMATCH(LD87, ""d""), ""d1"",IF(REGEXMATCH(LE87, ""d""), ""d2"",""""))"),"")</f>
        <v/>
      </c>
      <c r="LQ87" s="299" t="str">
        <f>IFERROR(__xludf.DUMMYFUNCTION("IF(REGEXMATCH(LD87, ""D""), ""D1"",IF(REGEXMATCH(LE87, ""D""), ""D2"",""""))"),"")</f>
        <v/>
      </c>
      <c r="LR87" s="299" t="str">
        <f>IFERROR(__xludf.DUMMYFUNCTION("IF(REGEXMATCH(LD87, ""n""), ""n1"",IF(REGEXMATCH(LE87, ""n""), ""n2"",""""))"),"")</f>
        <v/>
      </c>
      <c r="LS87" s="299" t="str">
        <f>IFERROR(__xludf.DUMMYFUNCTION("IF(REGEXMATCH(LD87, ""N""), ""N1"",IF(REGEXMATCH(LE87, ""N""), ""N2"",""""))"),"")</f>
        <v/>
      </c>
      <c r="LT87" s="388" t="str">
        <f>IFERROR(__xludf.DUMMYFUNCTION("IF(REGEXMATCH(LD87, ""S""), ""S"",IF(REGEXMATCH(LE87, ""S""), ""S"",""""))"),"S")</f>
        <v>S</v>
      </c>
      <c r="LU87" s="389">
        <f t="shared" si="196"/>
        <v>1</v>
      </c>
      <c r="LV87" s="378"/>
      <c r="LW87" s="369"/>
      <c r="LX87" s="369"/>
    </row>
    <row r="88" ht="18.0" customHeight="1">
      <c r="A88" s="298" t="s">
        <v>1373</v>
      </c>
      <c r="B88" s="222" t="s">
        <v>1374</v>
      </c>
      <c r="C88" s="233" t="str">
        <f t="shared" si="7"/>
        <v>SRGmMDNS</v>
      </c>
      <c r="D88" s="234" t="str">
        <f>IFERROR(__xludf.DUMMYFUNCTION("IF(REGEXMATCH(C88, ""S""), ""S"","""")"),"S")</f>
        <v>S</v>
      </c>
      <c r="E88" s="236" t="str">
        <f>IFERROR(__xludf.DUMMYFUNCTION("IF(REGEXMATCH(C88, ""r""), ""r"","""")"),"")</f>
        <v/>
      </c>
      <c r="F88" s="237" t="str">
        <f>IFERROR(__xludf.DUMMYFUNCTION("IF(REGEXMATCH(C88, ""R""), ""R"","""")"),"R")</f>
        <v>R</v>
      </c>
      <c r="G88" s="237" t="str">
        <f>IFERROR(__xludf.DUMMYFUNCTION("IF(REGEXMATCH(C88, ""g""), ""g"","""")"),"")</f>
        <v/>
      </c>
      <c r="H88" s="236" t="str">
        <f>IFERROR(__xludf.DUMMYFUNCTION("IF(REGEXMATCH(C88, ""G""), ""G"","""")"),"G")</f>
        <v>G</v>
      </c>
      <c r="I88" s="236" t="str">
        <f>IFERROR(__xludf.DUMMYFUNCTION("IF(REGEXMATCH(C88, ""m""), ""m"","""")"),"m")</f>
        <v>m</v>
      </c>
      <c r="J88" s="237" t="str">
        <f>IFERROR(__xludf.DUMMYFUNCTION("IF(REGEXMATCH(C88, ""M""), ""M"","""")"),"M")</f>
        <v>M</v>
      </c>
      <c r="K88" s="236" t="str">
        <f>IFERROR(__xludf.DUMMYFUNCTION("IF(REGEXMATCH(C88, ""P""), ""P"","""")"),"")</f>
        <v/>
      </c>
      <c r="L88" s="237" t="str">
        <f>IFERROR(__xludf.DUMMYFUNCTION("IF(REGEXMATCH(C88, ""d""), ""d"","""")"),"")</f>
        <v/>
      </c>
      <c r="M88" s="236" t="str">
        <f>IFERROR(__xludf.DUMMYFUNCTION("IF(REGEXMATCH(C88, ""D""), ""D"","""")"),"D")</f>
        <v>D</v>
      </c>
      <c r="N88" s="236" t="str">
        <f>IFERROR(__xludf.DUMMYFUNCTION("IF(REGEXMATCH(C88, ""n""), ""n"","""")"),"")</f>
        <v/>
      </c>
      <c r="O88" s="237" t="str">
        <f>IFERROR(__xludf.DUMMYFUNCTION("IF(REGEXMATCH(C88, ""N""), ""N"","""")"),"N")</f>
        <v>N</v>
      </c>
      <c r="P88" s="238" t="str">
        <f>IFERROR(__xludf.DUMMYFUNCTION("IF(REGEXMATCH(C88, ""S""), ""S"","""")"),"S")</f>
        <v>S</v>
      </c>
      <c r="Q88" s="239" t="str">
        <f>IFERROR(__xludf.DUMMYFUNCTION("SUBSTITUTE(CONCATENATE(JOIN(""-"",D88:J88)),""-"","""")"),"SRGmM")</f>
        <v>SRGmM</v>
      </c>
      <c r="R88" s="229" t="str">
        <f>IFERROR(__xludf.DUMMYFUNCTION("SUBSTITUTE(CONCATENATE(JOIN(""-"",K88:P88)),""-"","""")"),"DNS")</f>
        <v>DNS</v>
      </c>
      <c r="S88" s="282" t="str">
        <f t="shared" si="8"/>
        <v>S-R-G-M</v>
      </c>
      <c r="T88" s="282" t="str">
        <f t="shared" si="9"/>
        <v>D-N-S</v>
      </c>
      <c r="U88" s="237" t="str">
        <f>IFERROR(__xludf.DUMMYFUNCTION("SUBSTITUTE(JOIN(""-"",S88,T88),""--"",""-"")"),"S-R-G-M-D-N-S")</f>
        <v>S-R-G-M-D-N-S</v>
      </c>
      <c r="V88" s="309" t="str">
        <f t="shared" si="10"/>
        <v>RGmMDN</v>
      </c>
      <c r="W88" s="244" t="str">
        <f>IFERROR(__xludf.DUMMYFUNCTION("IF(REGEXMATCH(C88, ""S""), ""0"","""")"),"0")</f>
        <v>0</v>
      </c>
      <c r="X88" s="245" t="str">
        <f>IFERROR(__xludf.DUMMYFUNCTION("IF(REGEXMATCH(C88, ""r""), ""1"","""")"),"")</f>
        <v/>
      </c>
      <c r="Y88" s="246" t="str">
        <f>IFERROR(__xludf.DUMMYFUNCTION("IF(REGEXMATCH(C88, ""R""), ""2"","""")"),"2")</f>
        <v>2</v>
      </c>
      <c r="Z88" s="246" t="str">
        <f>IFERROR(__xludf.DUMMYFUNCTION("IF(REGEXMATCH(C88, ""g""), ""3"","""")"),"")</f>
        <v/>
      </c>
      <c r="AA88" s="245" t="str">
        <f>IFERROR(__xludf.DUMMYFUNCTION("IF(REGEXMATCH(C88, ""G""), ""4"","""")"),"4")</f>
        <v>4</v>
      </c>
      <c r="AB88" s="245" t="str">
        <f>IFERROR(__xludf.DUMMYFUNCTION("IF(REGEXMATCH(C88, ""m""), ""5"","""")"),"5")</f>
        <v>5</v>
      </c>
      <c r="AC88" s="246" t="str">
        <f>IFERROR(__xludf.DUMMYFUNCTION("IF(REGEXMATCH(C88, ""M""), ""6"","""")"),"6")</f>
        <v>6</v>
      </c>
      <c r="AD88" s="245" t="str">
        <f>IFERROR(__xludf.DUMMYFUNCTION("IF(REGEXMATCH(C88, ""P""), ""7"","""")"),"")</f>
        <v/>
      </c>
      <c r="AE88" s="246" t="str">
        <f>IFERROR(__xludf.DUMMYFUNCTION("IF(REGEXMATCH(C88, ""d""), ""8"","""")"),"")</f>
        <v/>
      </c>
      <c r="AF88" s="245" t="str">
        <f>IFERROR(__xludf.DUMMYFUNCTION("IF(REGEXMATCH(C88, ""D""), ""9"","""")"),"9")</f>
        <v>9</v>
      </c>
      <c r="AG88" s="245" t="str">
        <f>IFERROR(__xludf.DUMMYFUNCTION("IF(REGEXMATCH(C88, ""n""), ""10"","""")"),"")</f>
        <v/>
      </c>
      <c r="AH88" s="246" t="str">
        <f>IFERROR(__xludf.DUMMYFUNCTION("IF(REGEXMATCH(C88, ""N""), ""11"","""")"),"11")</f>
        <v>11</v>
      </c>
      <c r="AI88" s="249" t="str">
        <f>IFERROR(__xludf.DUMMYFUNCTION("IF(REGEXMATCH(C88, ""S""), ""0"","""")"),"0")</f>
        <v>0</v>
      </c>
      <c r="AJ88" s="313" t="str">
        <f t="shared" si="11"/>
        <v>T</v>
      </c>
      <c r="AK88" s="313" t="str">
        <f t="shared" si="12"/>
        <v>-</v>
      </c>
      <c r="AL88" s="313" t="str">
        <f t="shared" si="13"/>
        <v>-</v>
      </c>
      <c r="AM88" s="313" t="str">
        <f t="shared" si="14"/>
        <v>-</v>
      </c>
      <c r="AN88" s="313" t="str">
        <f t="shared" si="15"/>
        <v>-</v>
      </c>
      <c r="AO88" s="314" t="str">
        <f t="shared" si="16"/>
        <v>T</v>
      </c>
      <c r="AP88" s="316">
        <f t="shared" si="17"/>
        <v>2</v>
      </c>
      <c r="AQ88" s="319" t="str">
        <f t="shared" si="18"/>
        <v>-</v>
      </c>
      <c r="AR88" s="320">
        <f t="shared" si="19"/>
        <v>0</v>
      </c>
      <c r="AS88" s="250" t="str">
        <f>IFERROR(__xludf.DUMMYFUNCTION("SUBSTITUTE(SUBSTITUTE(CONCATENATE(JOIN("""",FP88:GA88)),""|"",""x""),""-"",""o"")"),"xoxoxxxooxox")</f>
        <v>xoxoxxxooxox</v>
      </c>
      <c r="AT88" s="323" t="str">
        <f>IFERROR(__xludf.DUMMYFUNCTION("JOIN("""",AS88,AS88)"),"xoxoxxxooxoxxoxoxxxooxox")</f>
        <v>xoxoxxxooxoxxoxoxxxooxox</v>
      </c>
      <c r="AU88" s="256" t="str">
        <f>IFERROR(__xludf.DUMMYFUNCTION("JOIN("""",ArrayFormula(MID(AS88,LEN(AS88)-SEQUENCE(1,LEN(AS88))+1,1)))"),"xoxooxxxoxox")</f>
        <v>xoxooxxxoxox</v>
      </c>
      <c r="AV88" s="256" t="str">
        <f>IFERROR(__xludf.DUMMYFUNCTION("LEFT(CONCATENATE(""x"",JOIN("""",ArrayFormula(MID(AS88,LEN(AS88)-SEQUENCE(1,LEN(AS88))+1,1)))),12)"),"xxoxooxxxoxo")</f>
        <v>xxoxooxxxoxo</v>
      </c>
      <c r="AW88" s="327" t="str">
        <f>IFERROR(__xludf.DUMMYFUNCTION("JOIN("""",AU88,AU88)"),"xoxooxxxoxoxxoxooxxxoxox")</f>
        <v>xoxooxxxoxoxxoxooxxxoxox</v>
      </c>
      <c r="AX88" s="239" t="str">
        <f>IFERROR(__xludf.DUMMYFUNCTION("IF(REGEXMATCH(AW88,AS88),""✔"",""-"")"),"-")</f>
        <v>-</v>
      </c>
      <c r="AY88" s="330" t="str">
        <f t="shared" si="20"/>
        <v>-</v>
      </c>
      <c r="AZ88" s="260" t="str">
        <f t="shared" si="21"/>
        <v>#REF!</v>
      </c>
      <c r="BA88" s="333" t="str">
        <f t="shared" si="22"/>
        <v>xoxoxxx</v>
      </c>
      <c r="BB88" s="334" t="str">
        <f t="shared" si="23"/>
        <v>ooxoxx</v>
      </c>
      <c r="BC88" s="335" t="str">
        <f t="shared" si="236"/>
        <v>-</v>
      </c>
      <c r="BD88" s="336" t="str">
        <f t="shared" si="25"/>
        <v>Deepavali: 'xoxoxxx' + 'ooxoxx'</v>
      </c>
      <c r="BE88" s="337">
        <f>IFERROR(__xludf.DUMMYFUNCTION("COUNTUNIQUE(FILTER(AT:AT,REGEXMATCH(AT:AT,AS88)))-1"),1.0)</f>
        <v>1</v>
      </c>
      <c r="BF88" s="261" t="str">
        <f>IFERROR(__xludf.DUMMYFUNCTION("IF(BI88=0,""(n/a)"",IF(BJ88=2,""(PAIR)"",IF(REGEXMATCH(AT88,""xoxoxxoxoxox""),""Bilawal"",IF(REGEXMATCH(AT88,""xoxoxooxoxoo""),""Bhupali"",IF(REGEXMATCH(AT88,""xoxoxxoxxoxo""),""Charukeshi"",IF(REGEXMATCH(AT88,""xoxoooxxoxxo""),""Kameshwari"",IF(REGEXMATC"&amp;"H(AT88,""xoxoxooxoxox""),""Shankara"",IF(REGEXMATCH(AT88,""xxooxoxxxoox""),""Basant"",IF(REGEXMATCH(AT88,""xoxoxxxxoxox""),""Bihag"",IF(REGEXMATCH(AT88,""xoxxxxoxoxxx""),""Pilu"",IF(REGEXMATCH(AT88,""xoxxoxoxxoox""),""Kirwani"",IF(REGEXMATCH(AT88,""xoxxox"&amp;"oxoxxx""),""Mk.Malhar"",IF(REGEXMATCH(AT88,""xxooxxoxxoox""),""Bhairav"",IF(REGEXMATCH(AT88,""xxoxooxxxoox""),""Todi"",IF(REGEXMATCH(AT88,""xxooxoxooxox""),""Marwa"",IF(REGEXMATCH(AT88,""xxoooxoxxooo""),""Gunkali"",IF(REGEXMATCH(AT88,""xoxoxxoxxoox""),""N"&amp;"at Bhairav"",IF(REGEXMATCH(AT88,""xoxxoooxoxoo""),""Shivranjani"",IF(REGEXMATCH(AT88,""xooxxxoxooxo""),""Jog"",IF(REGEXMATCH(AT88,""xxooxoxoxoox""),""Hemshri"",IF(REGEXMATCH(AT88,""xoooxooxoxxo""),""Kalavati"",IF(REGEXMATCH(AT88,""xxoxoxxoxoox""),""Kedar"&amp;""",IF(REGEXMATCH(AT88,""xoxxxxoxooxx""),""Gara"",IF(REGEXMATCH(AT88,""xooxoxooxoox""),""Chandrakauns"",IF(REGEXMATCH(AT88,""xoxxxxoxxxox""),""Mand"",IF(REGEXMATCH(AT88,""xoxxxxoxoxox""),""Hanskinkini"",IF(REGEXMATCH(AT88,""xxooxxoxooxo""),""Lilavati"",IF("&amp;"REGEXMATCH(AT88,""xooxoxoooxox""),""Rajeshwari"",IF(REGEXMATCH(AT88,""xoooxxoxoxxx""),""Khokar"",IF(REGEXMATCH(AT88,""xxooxoxxxxox""),""Maligoura"",""-""))))))))))))))))))))))))))))))"),"-")</f>
        <v>-</v>
      </c>
      <c r="BG88" s="239" t="str">
        <f t="shared" si="26"/>
        <v>#REF!</v>
      </c>
      <c r="BH88" s="239">
        <f>IFERROR(__xludf.DUMMYFUNCTION("COUNTUNIQUE(FE88:FO88)-1"),6.0)</f>
        <v>6</v>
      </c>
      <c r="BI88" s="239">
        <f>IFERROR(__xludf.DUMMYFUNCTION("COUNTUNIQUE(FILTER(AT:AT,REGEXMATCH(AT:AT,AS88)))-1"),1.0)</f>
        <v>1</v>
      </c>
      <c r="BJ88" s="239">
        <f>IFERROR(__xludf.DUMMYFUNCTION("COUNTA(FILTER(AT:AT,REGEXMATCH(AT:AT,AS88)))"),5.0)</f>
        <v>5</v>
      </c>
      <c r="BK88" s="341">
        <f>IFERROR(__xludf.DUMMYFUNCTION("COUNTA(FILTER(AT:AT,REGEXMATCH(AT:AT,AS88)))-AR88"),5.0)</f>
        <v>5</v>
      </c>
      <c r="BL88" s="276" t="str">
        <f>IFERROR(__xludf.DUMMYFUNCTION("IF(AS88=""oooooooooooo"",""-"",IF(REGEXMATCH(AT88,""xx""), ""Hemi."", ""Anhemi.""))"),"Hemi.")</f>
        <v>Hemi.</v>
      </c>
      <c r="BM88" s="282" t="str">
        <f>IFERROR(__xludf.DUMMYFUNCTION("IF(AS88=""oooooooooooo"",""-"",IF(REGEXMATCH(AT88,""xxx""), ""Cohem."", ""-""))"),"Cohem.")</f>
        <v>Cohem.</v>
      </c>
      <c r="BN88" s="282" t="str">
        <f>IFERROR(__xludf.DUMMYFUNCTION("IF(AS88=""oooooooooooo"",""-"",IF(REGEXMATCH(AT88,""xxxx""), ""Co-Co."", ""-""))"),"-")</f>
        <v>-</v>
      </c>
      <c r="BO88" s="342" t="str">
        <f>IFERROR(__xludf.DUMMYFUNCTION("IF(AS88=""oooooooooooo"",""-"",IF(REGEXMATCH(AT88,""xxxxx""), ""CCC."", ""-""))"),"-")</f>
        <v>-</v>
      </c>
      <c r="BP88" s="344" t="str">
        <f t="shared" si="27"/>
        <v>-</v>
      </c>
      <c r="BQ88" s="282" t="str">
        <f>IFERROR(__xludf.DUMMYFUNCTION("IF(REGEXMATCH(JOIN(""-"",EU88:FD88),""TRUE""),""✔"",""-"")"),"-")</f>
        <v>-</v>
      </c>
      <c r="BR88" s="225">
        <f t="shared" si="28"/>
        <v>0</v>
      </c>
      <c r="BS88" s="345" t="str">
        <f>IFERROR(__xludf.DUMMYFUNCTION("SUBSTITUTE(SUBSTITUTE(SUBSTITUTE(SUBSTITUTE(CONCATENATE(JOIN(""-"",GC88:GO88)),""--"",""-""),""--"",""-""),""--"",""-""),""--"",""-"")"),"1-2-3-4-#4-6-7-8")</f>
        <v>1-2-3-4-#4-6-7-8</v>
      </c>
      <c r="BT88" s="299" t="str">
        <f>IFERROR(__xludf.DUMMYFUNCTION("SUBSTITUTE(SUBSTITUTE(SUBSTITUTE(SUBSTITUTE(CONCATENATE(JOIN(""-"",GP88:HB88)),""--"",""-""),""--"",""-""),""--"",""-""),""--"",""-"")"),"S-R2-G3-M1-M2-D2-N3-S")</f>
        <v>S-R2-G3-M1-M2-D2-N3-S</v>
      </c>
      <c r="BU88" s="348" t="str">
        <f t="shared" si="29"/>
        <v>C-D-E-F-F#-A-B-C</v>
      </c>
      <c r="BV88" s="349" t="str">
        <f t="shared" si="30"/>
        <v>SrgPdnS</v>
      </c>
      <c r="BW88" s="350">
        <f t="shared" si="31"/>
        <v>1</v>
      </c>
      <c r="BX88" s="351">
        <f t="shared" si="32"/>
        <v>1</v>
      </c>
      <c r="BY88" s="392"/>
      <c r="BZ88" s="309" t="str">
        <f>IFERROR(__xludf.DUMMYFUNCTION("IF(REGEXMATCH(C88, ""S""), ""x"",""x"")"),"x")</f>
        <v>x</v>
      </c>
      <c r="CA88" s="245" t="str">
        <f>IFERROR(__xludf.DUMMYFUNCTION("IF(REGEXMATCH(C88, ""r""), ""o"",""x"")"),"x")</f>
        <v>x</v>
      </c>
      <c r="CB88" s="246" t="str">
        <f>IFERROR(__xludf.DUMMYFUNCTION("IF(REGEXMATCH(C88, ""R""), ""o"",""x"")"),"o")</f>
        <v>o</v>
      </c>
      <c r="CC88" s="246" t="str">
        <f>IFERROR(__xludf.DUMMYFUNCTION("IF(REGEXMATCH(C88, ""g""), ""o"",""x"")"),"x")</f>
        <v>x</v>
      </c>
      <c r="CD88" s="245" t="str">
        <f>IFERROR(__xludf.DUMMYFUNCTION("IF(REGEXMATCH(C88, ""G""), ""o"",""x"")"),"o")</f>
        <v>o</v>
      </c>
      <c r="CE88" s="245" t="str">
        <f>IFERROR(__xludf.DUMMYFUNCTION("IF(REGEXMATCH(C88, ""m""), ""o"",""x"")"),"o")</f>
        <v>o</v>
      </c>
      <c r="CF88" s="246" t="str">
        <f>IFERROR(__xludf.DUMMYFUNCTION("IF(REGEXMATCH(C88, ""M""), ""o"",""x"")"),"o")</f>
        <v>o</v>
      </c>
      <c r="CG88" s="245" t="str">
        <f>IFERROR(__xludf.DUMMYFUNCTION("IF(REGEXMATCH(C88, ""P""), ""o"",""x"")"),"x")</f>
        <v>x</v>
      </c>
      <c r="CH88" s="246" t="str">
        <f>IFERROR(__xludf.DUMMYFUNCTION("IF(REGEXMATCH(C88, ""d""), ""o"",""x"")"),"x")</f>
        <v>x</v>
      </c>
      <c r="CI88" s="245" t="str">
        <f>IFERROR(__xludf.DUMMYFUNCTION("IF(REGEXMATCH(C88, ""D""), ""o"",""x"")"),"o")</f>
        <v>o</v>
      </c>
      <c r="CJ88" s="245" t="str">
        <f>IFERROR(__xludf.DUMMYFUNCTION("IF(REGEXMATCH(C88, ""n""), ""o"",""x"")"),"x")</f>
        <v>x</v>
      </c>
      <c r="CK88" s="245" t="str">
        <f>IFERROR(__xludf.DUMMYFUNCTION("IF(REGEXMATCH(C88, ""N""), ""o"",""x"")"),"o")</f>
        <v>o</v>
      </c>
      <c r="CL88" s="356" t="str">
        <f>IFERROR(__xludf.DUMMYFUNCTION("IF(REGEXMATCH(C88, ""S""), ""x"",""x"")"),"x")</f>
        <v>x</v>
      </c>
      <c r="CM88" s="357" t="str">
        <f t="shared" si="33"/>
        <v>xxoxoooxxoxo</v>
      </c>
      <c r="CN88" s="358">
        <f t="shared" si="34"/>
        <v>1</v>
      </c>
      <c r="CO88" s="246" t="str">
        <f>IFERROR(__xludf.DUMMYFUNCTION("IF(REGEXMATCH($C88, ""S""), ""S"",""S"")"),"S")</f>
        <v>S</v>
      </c>
      <c r="CP88" s="246" t="str">
        <f>IFERROR(__xludf.DUMMYFUNCTION("IF(REGEXMATCH($C88, ""r""), """",""r"")"),"r")</f>
        <v>r</v>
      </c>
      <c r="CQ88" s="246" t="str">
        <f>IFERROR(__xludf.DUMMYFUNCTION("IF(REGEXMATCH($C88, ""R""), """",""R"")"),"")</f>
        <v/>
      </c>
      <c r="CR88" s="246" t="str">
        <f>IFERROR(__xludf.DUMMYFUNCTION("IF(REGEXMATCH($C88, ""g""), """",""g"")"),"g")</f>
        <v>g</v>
      </c>
      <c r="CS88" s="246" t="str">
        <f>IFERROR(__xludf.DUMMYFUNCTION("IF(REGEXMATCH($C88, ""G""), """",""G"")"),"")</f>
        <v/>
      </c>
      <c r="CT88" s="246" t="str">
        <f>IFERROR(__xludf.DUMMYFUNCTION("IF(REGEXMATCH($C88, ""m""), """",""m"")"),"")</f>
        <v/>
      </c>
      <c r="CU88" s="246" t="str">
        <f>IFERROR(__xludf.DUMMYFUNCTION("IF(REGEXMATCH($C88, ""M""), """",""M"")"),"")</f>
        <v/>
      </c>
      <c r="CV88" s="246" t="str">
        <f>IFERROR(__xludf.DUMMYFUNCTION("IF(REGEXMATCH($C88, ""P""), """",""P"")"),"P")</f>
        <v>P</v>
      </c>
      <c r="CW88" s="246" t="str">
        <f>IFERROR(__xludf.DUMMYFUNCTION("IF(REGEXMATCH($C88, ""d""), """",""d"")"),"d")</f>
        <v>d</v>
      </c>
      <c r="CX88" s="246" t="str">
        <f>IFERROR(__xludf.DUMMYFUNCTION("IF(REGEXMATCH($C88, ""D""), """",""D"")"),"")</f>
        <v/>
      </c>
      <c r="CY88" s="246" t="str">
        <f>IFERROR(__xludf.DUMMYFUNCTION("IF(REGEXMATCH($C88, ""n""), """",""n"")"),"n")</f>
        <v>n</v>
      </c>
      <c r="CZ88" s="246" t="str">
        <f>IFERROR(__xludf.DUMMYFUNCTION("IF(REGEXMATCH($C88, ""N""), """",""N"")"),"")</f>
        <v/>
      </c>
      <c r="DA88" s="246" t="str">
        <f>IFERROR(__xludf.DUMMYFUNCTION("IF(REGEXMATCH($C88, ""S""), ""S"",""S"")"),"S")</f>
        <v>S</v>
      </c>
      <c r="DB88" s="362" t="str">
        <f>IFERROR(__xludf.DUMMYFUNCTION("JOIN("""",CO88:DA88,"""","""")"),"SrgPdnS")</f>
        <v>SrgPdnS</v>
      </c>
      <c r="DC88" s="363"/>
      <c r="DD88" s="301" t="str">
        <f t="shared" si="35"/>
        <v>#REF!</v>
      </c>
      <c r="DE88" s="302" t="str">
        <f t="shared" si="36"/>
        <v>#REF!</v>
      </c>
      <c r="DF88" s="301" t="str">
        <f t="shared" ref="DF88:DG88" si="375">SUBSTITUTE(S88,"-","")</f>
        <v>SRGM</v>
      </c>
      <c r="DG88" s="301" t="str">
        <f t="shared" si="375"/>
        <v>DNS</v>
      </c>
      <c r="DH88" s="302" t="str">
        <f t="shared" si="38"/>
        <v>-</v>
      </c>
      <c r="DI88" s="301" t="str">
        <f t="shared" si="39"/>
        <v>Hemi.</v>
      </c>
      <c r="DJ88" s="364" t="str">
        <f t="shared" si="40"/>
        <v>Cohem.</v>
      </c>
      <c r="DK88" s="306" t="str">
        <f t="shared" si="41"/>
        <v>-</v>
      </c>
      <c r="DL88" s="366" t="str">
        <f t="shared" si="42"/>
        <v>-</v>
      </c>
      <c r="DM88" s="308" t="str">
        <f t="shared" si="43"/>
        <v>✔</v>
      </c>
      <c r="DN88" s="306" t="str">
        <f t="shared" si="44"/>
        <v>-</v>
      </c>
      <c r="DO88" s="306" t="str">
        <f t="shared" si="45"/>
        <v>-</v>
      </c>
      <c r="DP88" s="367" t="str">
        <f t="shared" si="46"/>
        <v>-</v>
      </c>
      <c r="DQ88" s="310" t="str">
        <f t="shared" si="47"/>
        <v>-</v>
      </c>
      <c r="DR88" s="310" t="str">
        <f t="shared" si="48"/>
        <v>-</v>
      </c>
      <c r="DS88" s="310" t="str">
        <f t="shared" si="49"/>
        <v>✔</v>
      </c>
      <c r="DT88" s="310" t="str">
        <f t="shared" si="50"/>
        <v>-</v>
      </c>
      <c r="DU88" s="370" t="str">
        <f t="shared" si="51"/>
        <v>-</v>
      </c>
      <c r="DV88" s="306" t="str">
        <f t="shared" si="52"/>
        <v>-</v>
      </c>
      <c r="DW88" s="306" t="str">
        <f t="shared" si="53"/>
        <v>-</v>
      </c>
      <c r="DX88" s="306" t="str">
        <f t="shared" si="54"/>
        <v>-</v>
      </c>
      <c r="DY88" s="306" t="str">
        <f t="shared" si="55"/>
        <v>✔</v>
      </c>
      <c r="DZ88" s="306" t="str">
        <f t="shared" si="56"/>
        <v>-</v>
      </c>
      <c r="EA88" s="367" t="str">
        <f t="shared" si="57"/>
        <v>-</v>
      </c>
      <c r="EB88" s="310" t="str">
        <f>IFERROR(__xludf.DUMMYFUNCTION("IF(REGEXMATCH(AW88,AS88),""✔"",""-"")"),"-")</f>
        <v>-</v>
      </c>
      <c r="EC88" s="310" t="str">
        <f t="shared" si="58"/>
        <v>#REF!</v>
      </c>
      <c r="ED88" s="370" t="str">
        <f t="shared" si="59"/>
        <v>-</v>
      </c>
      <c r="EE88" s="340" t="str">
        <f t="shared" si="60"/>
        <v>S-R-G-mM-D-N-S</v>
      </c>
      <c r="EF88" s="371" t="str">
        <f>IFERROR(__xludf.DUMMYFUNCTION("CONCATENATE(JOIN("""",HC88:HO88))"),"SrgMPdnS")</f>
        <v>SrgMPdnS</v>
      </c>
      <c r="EG88" s="372">
        <f t="shared" si="61"/>
        <v>2</v>
      </c>
      <c r="EH88" s="373" t="str">
        <f>IFERROR(__xludf.DUMMYFUNCTION("CONCATENATE(JOIN("""",JC88:JO88))"),"Sa, Ma, ")</f>
        <v>Sa, Ma, </v>
      </c>
      <c r="EI88" s="322">
        <f t="shared" si="62"/>
        <v>0</v>
      </c>
      <c r="EJ88" s="374" t="str">
        <f>IFERROR(__xludf.DUMMYFUNCTION("CONCATENATE(JOIN("""",KC88:KO88))"),"")</f>
        <v/>
      </c>
      <c r="EK88" s="325" t="str">
        <f t="shared" si="63"/>
        <v>S-R2-G3-M1-M2-D2-N3-S</v>
      </c>
      <c r="EL88" s="326" t="str">
        <f t="shared" si="64"/>
        <v>1-2-3-4-#4-6-7-8</v>
      </c>
      <c r="EM88" s="318" t="str">
        <f t="shared" si="65"/>
        <v>#REF!</v>
      </c>
      <c r="EN88" s="328" t="str">
        <f>IFERROR(__xludf.DUMMYFUNCTION("SUBSTITUTE(SUBSTITUTE(SUBSTITUTE(SUBSTITUTE(CONCATENATE(JOIN("" "",HP88:IB88)),""  "","" ""),""  "","" ""),""  "","" ""),""  "","" "")"),"o • o • o o o • • o • o o")</f>
        <v>o • o • o o o • • o • o o</v>
      </c>
      <c r="EO88" s="368" t="str">
        <f t="shared" si="66"/>
        <v>-</v>
      </c>
      <c r="EP88" s="339" t="str">
        <f t="shared" si="67"/>
        <v>-</v>
      </c>
      <c r="EQ88" s="339" t="str">
        <f t="shared" si="68"/>
        <v>-</v>
      </c>
      <c r="ER88" s="339" t="str">
        <f t="shared" si="69"/>
        <v>-</v>
      </c>
      <c r="ES88" s="340" t="str">
        <f t="shared" si="70"/>
        <v>-</v>
      </c>
      <c r="ET88" s="363"/>
      <c r="EU88" s="376" t="b">
        <f>IFERROR(__xludf.DUMMYFUNCTION("arrayformula(sum(--REGEXMATCH(""SRGMPDNS"",split(REGEXREPLACE(C88,""(.)"",""$1~""),""~""))))=len(C88)
"),FALSE)</f>
        <v>0</v>
      </c>
      <c r="EV88" s="290" t="b">
        <f>IFERROR(__xludf.DUMMYFUNCTION("arrayformula(sum(--REGEXMATCH(""SRGmPDNS"",split(REGEXREPLACE(C88,""(.)"",""$1~""),""~""))))=len(C88)"),FALSE)</f>
        <v>0</v>
      </c>
      <c r="EW88" s="290" t="b">
        <f>IFERROR(__xludf.DUMMYFUNCTION("arrayformula(sum(--REGEXMATCH(""SRGmPDnS"",split(REGEXREPLACE(C88,""(.)"",""$1~""),""~""))))=len(C88)"),FALSE)</f>
        <v>0</v>
      </c>
      <c r="EX88" s="290" t="b">
        <f>IFERROR(__xludf.DUMMYFUNCTION("arrayformula(sum(--REGEXMATCH(""SRgmPDnS"",split(REGEXREPLACE(C88,""(.)"",""$1~""),""~""))))=len(C88)"),FALSE)</f>
        <v>0</v>
      </c>
      <c r="EY88" s="290" t="b">
        <f>IFERROR(__xludf.DUMMYFUNCTION("arrayformula(sum(--REGEXMATCH(""SRgmPdnS"",split(REGEXREPLACE(C88,""(.)"",""$1~""),""~""))))=len(C88)"),FALSE)</f>
        <v>0</v>
      </c>
      <c r="EZ88" s="290" t="b">
        <f>IFERROR(__xludf.DUMMYFUNCTION("arrayformula(sum(--REGEXMATCH(""SrgmPdnS"",split(REGEXREPLACE(C88,""(.)"",""$1~""),""~""))))=len(C88)"),FALSE)</f>
        <v>0</v>
      </c>
      <c r="FA88" s="290" t="b">
        <f>IFERROR(__xludf.DUMMYFUNCTION("arrayformula(sum(--REGEXMATCH(""SrGmPdNS"",split(REGEXREPLACE(C88,""(.)"",""$1~""),""~""))))=len(C88)"),FALSE)</f>
        <v>0</v>
      </c>
      <c r="FB88" s="290" t="b">
        <f>IFERROR(__xludf.DUMMYFUNCTION("arrayformula(sum(--REGEXMATCH(""SrGMPDNS"",split(REGEXREPLACE(C88,""(.)"",""$1~""),""~""))))=len(C88)"),FALSE)</f>
        <v>0</v>
      </c>
      <c r="FC88" s="290" t="b">
        <f>IFERROR(__xludf.DUMMYFUNCTION("arrayformula(sum(--REGEXMATCH(""SrGMPdNS"",split(REGEXREPLACE(C88,""(.)"",""$1~""),""~""))))=len(C88)"),FALSE)</f>
        <v>0</v>
      </c>
      <c r="FD88" s="377" t="b">
        <f>IFERROR(__xludf.DUMMYFUNCTION("arrayformula(sum(--REGEXMATCH(""SrgMPdNS"",split(REGEXREPLACE(C88,""(.)"",""$1~""),""~""))))=len(C88)"),FALSE)</f>
        <v>0</v>
      </c>
      <c r="FE88" s="269" t="str">
        <f t="shared" si="71"/>
        <v>-</v>
      </c>
      <c r="FF88" s="269" t="str">
        <f t="shared" si="72"/>
        <v>xoxxxooxoxx</v>
      </c>
      <c r="FG88" s="271" t="str">
        <f t="shared" si="73"/>
        <v>-</v>
      </c>
      <c r="FH88" s="269" t="str">
        <f t="shared" si="74"/>
        <v>xxxooxoxxox</v>
      </c>
      <c r="FI88" s="271" t="str">
        <f t="shared" si="75"/>
        <v>xxooxoxxoxo</v>
      </c>
      <c r="FJ88" s="271" t="str">
        <f t="shared" si="76"/>
        <v>xooxoxxoxox</v>
      </c>
      <c r="FK88" s="271" t="str">
        <f t="shared" si="77"/>
        <v>-</v>
      </c>
      <c r="FL88" s="271" t="str">
        <f t="shared" si="78"/>
        <v>-</v>
      </c>
      <c r="FM88" s="271" t="str">
        <f t="shared" si="79"/>
        <v>xoxxoxoxxxo</v>
      </c>
      <c r="FN88" s="271" t="str">
        <f t="shared" si="80"/>
        <v>-</v>
      </c>
      <c r="FO88" s="274" t="str">
        <f t="shared" si="81"/>
        <v>xxoxoxxxoox</v>
      </c>
      <c r="FP88" s="234" t="str">
        <f t="shared" si="82"/>
        <v>|</v>
      </c>
      <c r="FQ88" s="236" t="str">
        <f t="shared" si="83"/>
        <v>-</v>
      </c>
      <c r="FR88" s="237" t="str">
        <f t="shared" si="84"/>
        <v>|</v>
      </c>
      <c r="FS88" s="236" t="str">
        <f t="shared" si="85"/>
        <v>-</v>
      </c>
      <c r="FT88" s="237" t="str">
        <f t="shared" si="86"/>
        <v>|</v>
      </c>
      <c r="FU88" s="236" t="str">
        <f t="shared" si="87"/>
        <v>|</v>
      </c>
      <c r="FV88" s="237" t="str">
        <f t="shared" si="88"/>
        <v>|</v>
      </c>
      <c r="FW88" s="236" t="str">
        <f t="shared" si="89"/>
        <v>-</v>
      </c>
      <c r="FX88" s="237" t="str">
        <f t="shared" si="90"/>
        <v>-</v>
      </c>
      <c r="FY88" s="236" t="str">
        <f t="shared" si="91"/>
        <v>|</v>
      </c>
      <c r="FZ88" s="237" t="str">
        <f t="shared" si="92"/>
        <v>-</v>
      </c>
      <c r="GA88" s="236" t="str">
        <f t="shared" si="93"/>
        <v>|</v>
      </c>
      <c r="GB88" s="238" t="str">
        <f t="shared" si="94"/>
        <v>|</v>
      </c>
      <c r="GC88" s="244" t="str">
        <f>IFERROR(__xludf.DUMMYFUNCTION("IF(REGEXMATCH(C88, ""S""), ""1"","""")"),"1")</f>
        <v>1</v>
      </c>
      <c r="GD88" s="245" t="str">
        <f>IFERROR(__xludf.DUMMYFUNCTION("IF(REGEXMATCH(C88, ""r""), ""b2"","""")"),"")</f>
        <v/>
      </c>
      <c r="GE88" s="246" t="str">
        <f>IFERROR(__xludf.DUMMYFUNCTION("IF(REGEXMATCH(C88, ""R""), ""2"","""")"),"2")</f>
        <v>2</v>
      </c>
      <c r="GF88" s="246" t="str">
        <f>IFERROR(__xludf.DUMMYFUNCTION("IF(REGEXMATCH(C88, ""g""), ""b3"","""")"),"")</f>
        <v/>
      </c>
      <c r="GG88" s="245" t="str">
        <f>IFERROR(__xludf.DUMMYFUNCTION("IF(REGEXMATCH(C88, ""G""), ""3"","""")"),"3")</f>
        <v>3</v>
      </c>
      <c r="GH88" s="245" t="str">
        <f>IFERROR(__xludf.DUMMYFUNCTION("IF(REGEXMATCH(C88, ""m""), ""4"","""")"),"4")</f>
        <v>4</v>
      </c>
      <c r="GI88" s="246" t="str">
        <f>IFERROR(__xludf.DUMMYFUNCTION("IF(REGEXMATCH(C88, ""M""), ""#4"","""")"),"#4")</f>
        <v>#4</v>
      </c>
      <c r="GJ88" s="245" t="str">
        <f>IFERROR(__xludf.DUMMYFUNCTION("IF(REGEXMATCH(C88, ""P""), ""5"","""")"),"")</f>
        <v/>
      </c>
      <c r="GK88" s="246" t="str">
        <f>IFERROR(__xludf.DUMMYFUNCTION("IF(REGEXMATCH(C88, ""d""), ""b6"","""")"),"")</f>
        <v/>
      </c>
      <c r="GL88" s="245" t="str">
        <f>IFERROR(__xludf.DUMMYFUNCTION("IF(REGEXMATCH(C88, ""D""), ""6"","""")"),"6")</f>
        <v>6</v>
      </c>
      <c r="GM88" s="245" t="str">
        <f>IFERROR(__xludf.DUMMYFUNCTION("IF(REGEXMATCH(C88, ""n""), ""b7"","""")"),"")</f>
        <v/>
      </c>
      <c r="GN88" s="246" t="str">
        <f>IFERROR(__xludf.DUMMYFUNCTION("IF(REGEXMATCH(C88, ""N""), ""7"","""")"),"7")</f>
        <v>7</v>
      </c>
      <c r="GO88" s="249" t="str">
        <f>IFERROR(__xludf.DUMMYFUNCTION("IF(REGEXMATCH(C88, ""S""), ""8"","""")"),"8")</f>
        <v>8</v>
      </c>
      <c r="GP88" s="244" t="str">
        <f>IFERROR(__xludf.DUMMYFUNCTION("IF(REGEXMATCH(C88, ""S""), ""S"","""")"),"S")</f>
        <v>S</v>
      </c>
      <c r="GQ88" s="294" t="str">
        <f>IFERROR(__xludf.DUMMYFUNCTION("IF(REGEXMATCH(C88, ""r""), ""R1"","""")"),"")</f>
        <v/>
      </c>
      <c r="GR88" s="295" t="str">
        <f>IFERROR(__xludf.DUMMYFUNCTION("IF(REGEXMATCH(C88, ""R""), ""R2"","""")"),"R2")</f>
        <v>R2</v>
      </c>
      <c r="GS88" s="295" t="str">
        <f>IFERROR(__xludf.DUMMYFUNCTION("IF(REGEXMATCH(C88, ""g""), ""G2"","""")"),"")</f>
        <v/>
      </c>
      <c r="GT88" s="294" t="str">
        <f>IFERROR(__xludf.DUMMYFUNCTION("IF(REGEXMATCH(C88, ""G""), ""G3"","""")"),"G3")</f>
        <v>G3</v>
      </c>
      <c r="GU88" s="294" t="str">
        <f>IFERROR(__xludf.DUMMYFUNCTION("IF(REGEXMATCH(C88, ""m""), ""M1"","""")"),"M1")</f>
        <v>M1</v>
      </c>
      <c r="GV88" s="295" t="str">
        <f>IFERROR(__xludf.DUMMYFUNCTION("IF(REGEXMATCH(C88, ""M""), ""M2"","""")"),"M2")</f>
        <v>M2</v>
      </c>
      <c r="GW88" s="294" t="str">
        <f>IFERROR(__xludf.DUMMYFUNCTION("IF(REGEXMATCH(C88, ""P""), ""P"","""")"),"")</f>
        <v/>
      </c>
      <c r="GX88" s="295" t="str">
        <f>IFERROR(__xludf.DUMMYFUNCTION("IF(REGEXMATCH(C88, ""d""), ""D1"","""")"),"")</f>
        <v/>
      </c>
      <c r="GY88" s="294" t="str">
        <f>IFERROR(__xludf.DUMMYFUNCTION("IF(REGEXMATCH(C88, ""D""), ""D2"","""")"),"D2")</f>
        <v>D2</v>
      </c>
      <c r="GZ88" s="294" t="str">
        <f>IFERROR(__xludf.DUMMYFUNCTION("IF(REGEXMATCH(C88, ""n""), ""N2"","""")"),"")</f>
        <v/>
      </c>
      <c r="HA88" s="295" t="str">
        <f>IFERROR(__xludf.DUMMYFUNCTION("IF(REGEXMATCH(C88, ""N""), ""N3"","""")"),"N3")</f>
        <v>N3</v>
      </c>
      <c r="HB88" s="249" t="str">
        <f>IFERROR(__xludf.DUMMYFUNCTION("IF(REGEXMATCH(C88, ""S""), ""S"","""")"),"S")</f>
        <v>S</v>
      </c>
      <c r="HC88" s="331" t="str">
        <f t="shared" si="95"/>
        <v>S</v>
      </c>
      <c r="HD88" s="332" t="str">
        <f t="shared" si="96"/>
        <v>r</v>
      </c>
      <c r="HE88" s="332" t="str">
        <f t="shared" si="97"/>
        <v/>
      </c>
      <c r="HF88" s="332" t="str">
        <f t="shared" si="98"/>
        <v>g</v>
      </c>
      <c r="HG88" s="332" t="str">
        <f t="shared" si="99"/>
        <v/>
      </c>
      <c r="HH88" s="332" t="str">
        <f t="shared" si="100"/>
        <v/>
      </c>
      <c r="HI88" s="332" t="str">
        <f t="shared" si="101"/>
        <v>M</v>
      </c>
      <c r="HJ88" s="332" t="str">
        <f t="shared" si="102"/>
        <v>P</v>
      </c>
      <c r="HK88" s="332" t="str">
        <f t="shared" si="103"/>
        <v>d</v>
      </c>
      <c r="HL88" s="332" t="str">
        <f t="shared" si="104"/>
        <v/>
      </c>
      <c r="HM88" s="332" t="str">
        <f t="shared" si="105"/>
        <v>n</v>
      </c>
      <c r="HN88" s="332" t="str">
        <f t="shared" si="106"/>
        <v/>
      </c>
      <c r="HO88" s="343" t="str">
        <f t="shared" si="107"/>
        <v>S</v>
      </c>
      <c r="HP88" s="331" t="str">
        <f t="shared" si="108"/>
        <v>o</v>
      </c>
      <c r="HQ88" s="332" t="str">
        <f t="shared" si="109"/>
        <v>•</v>
      </c>
      <c r="HR88" s="332" t="str">
        <f t="shared" si="110"/>
        <v>o</v>
      </c>
      <c r="HS88" s="332" t="str">
        <f t="shared" si="111"/>
        <v>•</v>
      </c>
      <c r="HT88" s="332" t="str">
        <f t="shared" si="112"/>
        <v>o</v>
      </c>
      <c r="HU88" s="332" t="str">
        <f t="shared" si="113"/>
        <v>o</v>
      </c>
      <c r="HV88" s="332" t="str">
        <f t="shared" si="114"/>
        <v>o</v>
      </c>
      <c r="HW88" s="332" t="str">
        <f t="shared" si="115"/>
        <v>•</v>
      </c>
      <c r="HX88" s="332" t="str">
        <f t="shared" si="116"/>
        <v>•</v>
      </c>
      <c r="HY88" s="332" t="str">
        <f t="shared" si="117"/>
        <v>o</v>
      </c>
      <c r="HZ88" s="332" t="str">
        <f t="shared" si="118"/>
        <v>•</v>
      </c>
      <c r="IA88" s="332" t="str">
        <f t="shared" si="119"/>
        <v>o</v>
      </c>
      <c r="IB88" s="338" t="str">
        <f t="shared" si="120"/>
        <v>o</v>
      </c>
      <c r="IC88" s="331" t="str">
        <f t="shared" si="121"/>
        <v>•</v>
      </c>
      <c r="ID88" s="332" t="str">
        <f t="shared" si="122"/>
        <v>o</v>
      </c>
      <c r="IE88" s="332" t="str">
        <f t="shared" si="123"/>
        <v>•</v>
      </c>
      <c r="IF88" s="332" t="str">
        <f t="shared" si="124"/>
        <v>o</v>
      </c>
      <c r="IG88" s="332" t="str">
        <f t="shared" si="125"/>
        <v>•</v>
      </c>
      <c r="IH88" s="332" t="str">
        <f t="shared" si="126"/>
        <v>•</v>
      </c>
      <c r="II88" s="332" t="str">
        <f t="shared" si="127"/>
        <v>•</v>
      </c>
      <c r="IJ88" s="332" t="str">
        <f t="shared" si="128"/>
        <v>o</v>
      </c>
      <c r="IK88" s="332" t="str">
        <f t="shared" si="129"/>
        <v>o</v>
      </c>
      <c r="IL88" s="332" t="str">
        <f t="shared" si="130"/>
        <v>•</v>
      </c>
      <c r="IM88" s="332" t="str">
        <f t="shared" si="131"/>
        <v>o</v>
      </c>
      <c r="IN88" s="332" t="str">
        <f t="shared" si="132"/>
        <v>•</v>
      </c>
      <c r="IO88" s="338" t="str">
        <f t="shared" si="133"/>
        <v>•</v>
      </c>
      <c r="IP88" s="346" t="b">
        <f t="shared" si="134"/>
        <v>1</v>
      </c>
      <c r="IQ88" s="347" t="b">
        <f t="shared" si="135"/>
        <v>0</v>
      </c>
      <c r="IR88" s="347" t="b">
        <f t="shared" si="136"/>
        <v>0</v>
      </c>
      <c r="IS88" s="347" t="b">
        <f t="shared" si="137"/>
        <v>0</v>
      </c>
      <c r="IT88" s="347" t="b">
        <f t="shared" si="138"/>
        <v>0</v>
      </c>
      <c r="IU88" s="347" t="b">
        <f t="shared" si="139"/>
        <v>0</v>
      </c>
      <c r="IV88" s="347" t="b">
        <f t="shared" si="140"/>
        <v>1</v>
      </c>
      <c r="IW88" s="347" t="b">
        <f t="shared" si="141"/>
        <v>0</v>
      </c>
      <c r="IX88" s="347" t="b">
        <f t="shared" si="142"/>
        <v>0</v>
      </c>
      <c r="IY88" s="347" t="b">
        <f t="shared" si="143"/>
        <v>0</v>
      </c>
      <c r="IZ88" s="347" t="b">
        <f t="shared" si="144"/>
        <v>0</v>
      </c>
      <c r="JA88" s="347" t="b">
        <f t="shared" si="145"/>
        <v>0</v>
      </c>
      <c r="JB88" s="353" t="b">
        <f t="shared" si="146"/>
        <v>1</v>
      </c>
      <c r="JC88" s="354" t="str">
        <f t="shared" si="147"/>
        <v>Sa, </v>
      </c>
      <c r="JD88" s="355" t="str">
        <f t="shared" si="148"/>
        <v/>
      </c>
      <c r="JE88" s="355" t="str">
        <f t="shared" si="149"/>
        <v/>
      </c>
      <c r="JF88" s="355" t="str">
        <f t="shared" si="150"/>
        <v/>
      </c>
      <c r="JG88" s="355" t="str">
        <f t="shared" si="151"/>
        <v/>
      </c>
      <c r="JH88" s="355" t="str">
        <f t="shared" si="152"/>
        <v/>
      </c>
      <c r="JI88" s="355" t="str">
        <f t="shared" si="153"/>
        <v>Ma, </v>
      </c>
      <c r="JJ88" s="355" t="str">
        <f t="shared" si="154"/>
        <v/>
      </c>
      <c r="JK88" s="355" t="str">
        <f t="shared" si="155"/>
        <v/>
      </c>
      <c r="JL88" s="355" t="str">
        <f t="shared" si="156"/>
        <v/>
      </c>
      <c r="JM88" s="355" t="str">
        <f t="shared" si="157"/>
        <v/>
      </c>
      <c r="JN88" s="355" t="str">
        <f t="shared" si="158"/>
        <v/>
      </c>
      <c r="JO88" s="359" t="str">
        <f t="shared" si="159"/>
        <v/>
      </c>
      <c r="JP88" s="346" t="b">
        <f t="shared" si="160"/>
        <v>0</v>
      </c>
      <c r="JQ88" s="347" t="b">
        <f t="shared" si="161"/>
        <v>0</v>
      </c>
      <c r="JR88" s="347" t="b">
        <f t="shared" si="162"/>
        <v>0</v>
      </c>
      <c r="JS88" s="347" t="b">
        <f t="shared" si="163"/>
        <v>0</v>
      </c>
      <c r="JT88" s="347" t="b">
        <f t="shared" si="164"/>
        <v>0</v>
      </c>
      <c r="JU88" s="347" t="b">
        <f t="shared" si="165"/>
        <v>0</v>
      </c>
      <c r="JV88" s="347" t="b">
        <f t="shared" si="166"/>
        <v>0</v>
      </c>
      <c r="JW88" s="347" t="b">
        <f t="shared" si="167"/>
        <v>0</v>
      </c>
      <c r="JX88" s="347" t="b">
        <f t="shared" si="168"/>
        <v>0</v>
      </c>
      <c r="JY88" s="347" t="b">
        <f t="shared" si="169"/>
        <v>0</v>
      </c>
      <c r="JZ88" s="347" t="b">
        <f t="shared" si="170"/>
        <v>0</v>
      </c>
      <c r="KA88" s="347" t="b">
        <f t="shared" si="171"/>
        <v>0</v>
      </c>
      <c r="KB88" s="365" t="b">
        <f t="shared" si="172"/>
        <v>0</v>
      </c>
      <c r="KC88" s="354" t="str">
        <f t="shared" si="173"/>
        <v/>
      </c>
      <c r="KD88" s="355" t="str">
        <f t="shared" si="174"/>
        <v/>
      </c>
      <c r="KE88" s="355" t="str">
        <f t="shared" si="175"/>
        <v/>
      </c>
      <c r="KF88" s="355" t="str">
        <f t="shared" si="176"/>
        <v/>
      </c>
      <c r="KG88" s="355" t="str">
        <f t="shared" si="177"/>
        <v/>
      </c>
      <c r="KH88" s="355" t="str">
        <f t="shared" si="178"/>
        <v/>
      </c>
      <c r="KI88" s="355" t="str">
        <f t="shared" si="179"/>
        <v/>
      </c>
      <c r="KJ88" s="355" t="str">
        <f t="shared" si="180"/>
        <v/>
      </c>
      <c r="KK88" s="355" t="str">
        <f t="shared" si="181"/>
        <v/>
      </c>
      <c r="KL88" s="355" t="str">
        <f t="shared" si="182"/>
        <v/>
      </c>
      <c r="KM88" s="355" t="str">
        <f t="shared" si="183"/>
        <v/>
      </c>
      <c r="KN88" s="355" t="str">
        <f t="shared" si="184"/>
        <v/>
      </c>
      <c r="KO88" s="359"/>
      <c r="KP88" s="378"/>
      <c r="KQ88" s="379" t="s">
        <v>9</v>
      </c>
      <c r="KR88" s="380" t="s">
        <v>9</v>
      </c>
      <c r="KS88" s="381" t="s">
        <v>9</v>
      </c>
      <c r="KT88" s="382">
        <f t="shared" si="186"/>
        <v>0</v>
      </c>
      <c r="KU88" s="383">
        <f t="shared" si="187"/>
        <v>0</v>
      </c>
      <c r="KV88" s="381" t="str">
        <f t="shared" si="205"/>
        <v>S</v>
      </c>
      <c r="KW88" s="382">
        <f t="shared" si="189"/>
        <v>0</v>
      </c>
      <c r="KX88" s="384">
        <f t="shared" si="190"/>
        <v>0</v>
      </c>
      <c r="KY88" s="382">
        <f t="shared" ref="KY88:KZ88" si="376">KW88-KT88</f>
        <v>0</v>
      </c>
      <c r="KZ88" s="369">
        <f t="shared" si="376"/>
        <v>0</v>
      </c>
      <c r="LA88" s="385" t="str">
        <f t="shared" si="192"/>
        <v>✔</v>
      </c>
      <c r="LB88" s="340" t="str">
        <f>IFERROR(__xludf.DUMMYFUNCTION("JOIN("""",ArrayFormula(MID(KS88,LEN(KS88)-SEQUENCE(1,LEN(KS88))+1,1)))"),"S")</f>
        <v>S</v>
      </c>
      <c r="LC88" s="373" t="str">
        <f>IFERROR(__xludf.DUMMYFUNCTION("JOIN("""",ArrayFormula(MID(KV88,LEN(KV88)-SEQUENCE(1,LEN(KV88))+1,1)))"),"S")</f>
        <v>S</v>
      </c>
      <c r="LD88" s="373" t="str">
        <f t="shared" si="193"/>
        <v>S</v>
      </c>
      <c r="LE88" s="339" t="str">
        <f t="shared" si="194"/>
        <v>S</v>
      </c>
      <c r="LF88" s="386" t="str">
        <f>IFERROR(__xludf.DUMMYFUNCTION("SUBSTITUTE(SUBSTITUTE(CONCATENATE(JOIN("""",LH88:LT88)),""1"",""""),""2"","""")"),"SS")</f>
        <v>SS</v>
      </c>
      <c r="LG88" s="369" t="str">
        <f t="shared" si="195"/>
        <v>-</v>
      </c>
      <c r="LH88" s="387" t="str">
        <f>IFERROR(__xludf.DUMMYFUNCTION("IF(REGEXMATCH(LD88, ""S""), ""S"",IF(REGEXMATCH(LE88, ""S""), ""S"",""""))"),"S")</f>
        <v>S</v>
      </c>
      <c r="LI88" s="299" t="str">
        <f>IFERROR(__xludf.DUMMYFUNCTION("IF(REGEXMATCH(LD88, ""r""), ""r1"",IF(REGEXMATCH(LE88, ""r""), ""r2"",""""))"),"")</f>
        <v/>
      </c>
      <c r="LJ88" s="299" t="str">
        <f>IFERROR(__xludf.DUMMYFUNCTION("IF(REGEXMATCH(LD88, ""R""), ""R1"",IF(REGEXMATCH(LE88, ""R""), ""R2"",""""))"),"")</f>
        <v/>
      </c>
      <c r="LK88" s="299" t="str">
        <f>IFERROR(__xludf.DUMMYFUNCTION("IF(REGEXMATCH(LD88, ""g""), ""g1"",IF(REGEXMATCH(LE88, ""g""), ""g2"",""""))"),"")</f>
        <v/>
      </c>
      <c r="LL88" s="299" t="str">
        <f>IFERROR(__xludf.DUMMYFUNCTION("IF(REGEXMATCH(LD88, ""G""), ""G1"",IF(REGEXMATCH(LE88, ""G""), ""G2"",""""))"),"")</f>
        <v/>
      </c>
      <c r="LM88" s="299" t="str">
        <f>IFERROR(__xludf.DUMMYFUNCTION("IF(REGEXMATCH(LD88, ""m""), ""m1"",IF(REGEXMATCH(LE88, ""m""), ""m2"",""""))"),"")</f>
        <v/>
      </c>
      <c r="LN88" s="299" t="str">
        <f>IFERROR(__xludf.DUMMYFUNCTION("IF(REGEXMATCH(LD88, ""M""), ""M1"",IF(REGEXMATCH(LE88, ""M""), ""M2"",""""))"),"")</f>
        <v/>
      </c>
      <c r="LO88" s="299" t="str">
        <f>IFERROR(__xludf.DUMMYFUNCTION("IF(REGEXMATCH(LD88, ""P""), ""P1"",IF(REGEXMATCH(LE88, ""P""), ""P2"",""""))"),"")</f>
        <v/>
      </c>
      <c r="LP88" s="299" t="str">
        <f>IFERROR(__xludf.DUMMYFUNCTION("IF(REGEXMATCH(LD88, ""d""), ""d1"",IF(REGEXMATCH(LE88, ""d""), ""d2"",""""))"),"")</f>
        <v/>
      </c>
      <c r="LQ88" s="299" t="str">
        <f>IFERROR(__xludf.DUMMYFUNCTION("IF(REGEXMATCH(LD88, ""D""), ""D1"",IF(REGEXMATCH(LE88, ""D""), ""D2"",""""))"),"")</f>
        <v/>
      </c>
      <c r="LR88" s="299" t="str">
        <f>IFERROR(__xludf.DUMMYFUNCTION("IF(REGEXMATCH(LD88, ""n""), ""n1"",IF(REGEXMATCH(LE88, ""n""), ""n2"",""""))"),"")</f>
        <v/>
      </c>
      <c r="LS88" s="299" t="str">
        <f>IFERROR(__xludf.DUMMYFUNCTION("IF(REGEXMATCH(LD88, ""N""), ""N1"",IF(REGEXMATCH(LE88, ""N""), ""N2"",""""))"),"")</f>
        <v/>
      </c>
      <c r="LT88" s="388" t="str">
        <f>IFERROR(__xludf.DUMMYFUNCTION("IF(REGEXMATCH(LD88, ""S""), ""S"",IF(REGEXMATCH(LE88, ""S""), ""S"",""""))"),"S")</f>
        <v>S</v>
      </c>
      <c r="LU88" s="389">
        <f t="shared" si="196"/>
        <v>1</v>
      </c>
      <c r="LV88" s="378"/>
      <c r="LW88" s="369"/>
      <c r="LX88" s="369"/>
    </row>
    <row r="89" ht="18.0" customHeight="1">
      <c r="A89" s="298" t="s">
        <v>680</v>
      </c>
      <c r="B89" s="222" t="s">
        <v>530</v>
      </c>
      <c r="C89" s="233" t="str">
        <f t="shared" si="7"/>
        <v>SRGmPDnNS</v>
      </c>
      <c r="D89" s="234" t="str">
        <f>IFERROR(__xludf.DUMMYFUNCTION("IF(REGEXMATCH(C89, ""S""), ""S"","""")"),"S")</f>
        <v>S</v>
      </c>
      <c r="E89" s="236" t="str">
        <f>IFERROR(__xludf.DUMMYFUNCTION("IF(REGEXMATCH(C89, ""r""), ""r"","""")"),"")</f>
        <v/>
      </c>
      <c r="F89" s="237" t="str">
        <f>IFERROR(__xludf.DUMMYFUNCTION("IF(REGEXMATCH(C89, ""R""), ""R"","""")"),"R")</f>
        <v>R</v>
      </c>
      <c r="G89" s="237" t="str">
        <f>IFERROR(__xludf.DUMMYFUNCTION("IF(REGEXMATCH(C89, ""g""), ""g"","""")"),"")</f>
        <v/>
      </c>
      <c r="H89" s="236" t="str">
        <f>IFERROR(__xludf.DUMMYFUNCTION("IF(REGEXMATCH(C89, ""G""), ""G"","""")"),"G")</f>
        <v>G</v>
      </c>
      <c r="I89" s="236" t="str">
        <f>IFERROR(__xludf.DUMMYFUNCTION("IF(REGEXMATCH(C89, ""m""), ""m"","""")"),"m")</f>
        <v>m</v>
      </c>
      <c r="J89" s="237" t="str">
        <f>IFERROR(__xludf.DUMMYFUNCTION("IF(REGEXMATCH(C89, ""M""), ""M"","""")"),"")</f>
        <v/>
      </c>
      <c r="K89" s="236" t="str">
        <f>IFERROR(__xludf.DUMMYFUNCTION("IF(REGEXMATCH(C89, ""P""), ""P"","""")"),"P")</f>
        <v>P</v>
      </c>
      <c r="L89" s="237" t="str">
        <f>IFERROR(__xludf.DUMMYFUNCTION("IF(REGEXMATCH(C89, ""d""), ""d"","""")"),"")</f>
        <v/>
      </c>
      <c r="M89" s="236" t="str">
        <f>IFERROR(__xludf.DUMMYFUNCTION("IF(REGEXMATCH(C89, ""D""), ""D"","""")"),"D")</f>
        <v>D</v>
      </c>
      <c r="N89" s="236" t="str">
        <f>IFERROR(__xludf.DUMMYFUNCTION("IF(REGEXMATCH(C89, ""n""), ""n"","""")"),"n")</f>
        <v>n</v>
      </c>
      <c r="O89" s="237" t="str">
        <f>IFERROR(__xludf.DUMMYFUNCTION("IF(REGEXMATCH(C89, ""N""), ""N"","""")"),"N")</f>
        <v>N</v>
      </c>
      <c r="P89" s="238" t="str">
        <f>IFERROR(__xludf.DUMMYFUNCTION("IF(REGEXMATCH(C89, ""S""), ""S"","""")"),"S")</f>
        <v>S</v>
      </c>
      <c r="Q89" s="239" t="str">
        <f>IFERROR(__xludf.DUMMYFUNCTION("SUBSTITUTE(CONCATENATE(JOIN(""-"",D89:J89)),""-"","""")"),"SRGm")</f>
        <v>SRGm</v>
      </c>
      <c r="R89" s="229" t="str">
        <f>IFERROR(__xludf.DUMMYFUNCTION("SUBSTITUTE(CONCATENATE(JOIN(""-"",K89:P89)),""-"","""")"),"PDnNS")</f>
        <v>PDnNS</v>
      </c>
      <c r="S89" s="282" t="str">
        <f t="shared" si="8"/>
        <v>S-R-G-M</v>
      </c>
      <c r="T89" s="282" t="str">
        <f t="shared" si="9"/>
        <v>P-D-N-S</v>
      </c>
      <c r="U89" s="237" t="str">
        <f>IFERROR(__xludf.DUMMYFUNCTION("SUBSTITUTE(JOIN(""-"",S89,T89),""--"",""-"")"),"S-R-G-M-P-D-N-S")</f>
        <v>S-R-G-M-P-D-N-S</v>
      </c>
      <c r="V89" s="309" t="str">
        <f t="shared" si="10"/>
        <v>RGmDnN</v>
      </c>
      <c r="W89" s="244" t="str">
        <f>IFERROR(__xludf.DUMMYFUNCTION("IF(REGEXMATCH(C89, ""S""), ""0"","""")"),"0")</f>
        <v>0</v>
      </c>
      <c r="X89" s="245" t="str">
        <f>IFERROR(__xludf.DUMMYFUNCTION("IF(REGEXMATCH(C89, ""r""), ""1"","""")"),"")</f>
        <v/>
      </c>
      <c r="Y89" s="246" t="str">
        <f>IFERROR(__xludf.DUMMYFUNCTION("IF(REGEXMATCH(C89, ""R""), ""2"","""")"),"2")</f>
        <v>2</v>
      </c>
      <c r="Z89" s="246" t="str">
        <f>IFERROR(__xludf.DUMMYFUNCTION("IF(REGEXMATCH(C89, ""g""), ""3"","""")"),"")</f>
        <v/>
      </c>
      <c r="AA89" s="245" t="str">
        <f>IFERROR(__xludf.DUMMYFUNCTION("IF(REGEXMATCH(C89, ""G""), ""4"","""")"),"4")</f>
        <v>4</v>
      </c>
      <c r="AB89" s="245" t="str">
        <f>IFERROR(__xludf.DUMMYFUNCTION("IF(REGEXMATCH(C89, ""m""), ""5"","""")"),"5")</f>
        <v>5</v>
      </c>
      <c r="AC89" s="246" t="str">
        <f>IFERROR(__xludf.DUMMYFUNCTION("IF(REGEXMATCH(C89, ""M""), ""6"","""")"),"")</f>
        <v/>
      </c>
      <c r="AD89" s="245" t="str">
        <f>IFERROR(__xludf.DUMMYFUNCTION("IF(REGEXMATCH(C89, ""P""), ""7"","""")"),"7")</f>
        <v>7</v>
      </c>
      <c r="AE89" s="246" t="str">
        <f>IFERROR(__xludf.DUMMYFUNCTION("IF(REGEXMATCH(C89, ""d""), ""8"","""")"),"")</f>
        <v/>
      </c>
      <c r="AF89" s="245" t="str">
        <f>IFERROR(__xludf.DUMMYFUNCTION("IF(REGEXMATCH(C89, ""D""), ""9"","""")"),"9")</f>
        <v>9</v>
      </c>
      <c r="AG89" s="245" t="str">
        <f>IFERROR(__xludf.DUMMYFUNCTION("IF(REGEXMATCH(C89, ""n""), ""10"","""")"),"10")</f>
        <v>10</v>
      </c>
      <c r="AH89" s="246" t="str">
        <f>IFERROR(__xludf.DUMMYFUNCTION("IF(REGEXMATCH(C89, ""N""), ""11"","""")"),"11")</f>
        <v>11</v>
      </c>
      <c r="AI89" s="249" t="str">
        <f>IFERROR(__xludf.DUMMYFUNCTION("IF(REGEXMATCH(C89, ""S""), ""0"","""")"),"0")</f>
        <v>0</v>
      </c>
      <c r="AJ89" s="313" t="str">
        <f t="shared" si="11"/>
        <v>-</v>
      </c>
      <c r="AK89" s="313" t="str">
        <f t="shared" si="12"/>
        <v>-</v>
      </c>
      <c r="AL89" s="313" t="str">
        <f t="shared" si="13"/>
        <v>-</v>
      </c>
      <c r="AM89" s="313" t="str">
        <f t="shared" si="14"/>
        <v>-</v>
      </c>
      <c r="AN89" s="313" t="str">
        <f t="shared" si="15"/>
        <v>T</v>
      </c>
      <c r="AO89" s="314" t="str">
        <f t="shared" si="16"/>
        <v>T</v>
      </c>
      <c r="AP89" s="316">
        <f t="shared" si="17"/>
        <v>2</v>
      </c>
      <c r="AQ89" s="319" t="str">
        <f t="shared" si="18"/>
        <v>-</v>
      </c>
      <c r="AR89" s="320">
        <f t="shared" si="19"/>
        <v>0</v>
      </c>
      <c r="AS89" s="250" t="str">
        <f>IFERROR(__xludf.DUMMYFUNCTION("SUBSTITUTE(SUBSTITUTE(CONCATENATE(JOIN("""",FP89:GA89)),""|"",""x""),""-"",""o"")"),"xoxoxxoxoxxx")</f>
        <v>xoxoxxoxoxxx</v>
      </c>
      <c r="AT89" s="323" t="str">
        <f>IFERROR(__xludf.DUMMYFUNCTION("JOIN("""",AS89,AS89)"),"xoxoxxoxoxxxxoxoxxoxoxxx")</f>
        <v>xoxoxxoxoxxxxoxoxxoxoxxx</v>
      </c>
      <c r="AU89" s="256" t="str">
        <f>IFERROR(__xludf.DUMMYFUNCTION("JOIN("""",ArrayFormula(MID(AS89,LEN(AS89)-SEQUENCE(1,LEN(AS89))+1,1)))"),"xxxoxoxxoxox")</f>
        <v>xxxoxoxxoxox</v>
      </c>
      <c r="AV89" s="256" t="str">
        <f>IFERROR(__xludf.DUMMYFUNCTION("LEFT(CONCATENATE(""x"",JOIN("""",ArrayFormula(MID(AS89,LEN(AS89)-SEQUENCE(1,LEN(AS89))+1,1)))),12)"),"xxxxoxoxxoxo")</f>
        <v>xxxxoxoxxoxo</v>
      </c>
      <c r="AW89" s="327" t="str">
        <f>IFERROR(__xludf.DUMMYFUNCTION("JOIN("""",AU89,AU89)"),"xxxoxoxxoxoxxxxoxoxxoxox")</f>
        <v>xxxoxoxxoxoxxxxoxoxxoxox</v>
      </c>
      <c r="AX89" s="239" t="str">
        <f>IFERROR(__xludf.DUMMYFUNCTION("IF(REGEXMATCH(AW89,AS89),""✔"",""-"")"),"✔")</f>
        <v>✔</v>
      </c>
      <c r="AY89" s="330" t="str">
        <f t="shared" si="20"/>
        <v>-</v>
      </c>
      <c r="AZ89" s="260" t="str">
        <f t="shared" si="21"/>
        <v>#REF!</v>
      </c>
      <c r="BA89" s="333" t="str">
        <f t="shared" si="22"/>
        <v>xoxoxxo</v>
      </c>
      <c r="BB89" s="334" t="str">
        <f t="shared" si="23"/>
        <v>xoxxxx</v>
      </c>
      <c r="BC89" s="335" t="str">
        <f t="shared" si="236"/>
        <v>-</v>
      </c>
      <c r="BD89" s="336" t="str">
        <f t="shared" si="25"/>
        <v>Des Malhar: 'xoxoxxo' + 'xoxxxx'</v>
      </c>
      <c r="BE89" s="337">
        <f>IFERROR(__xludf.DUMMYFUNCTION("COUNTUNIQUE(FILTER(AT:AT,REGEXMATCH(AT:AT,AS89)))-1"),3.0)</f>
        <v>3</v>
      </c>
      <c r="BF89" s="261" t="str">
        <f>IFERROR(__xludf.DUMMYFUNCTION("IF(BI89=0,""(n/a)"",IF(BJ89=2,""(PAIR)"",IF(REGEXMATCH(AT89,""xoxoxxoxoxox""),""Bilawal"",IF(REGEXMATCH(AT89,""xoxoxooxoxoo""),""Bhupali"",IF(REGEXMATCH(AT89,""xoxoxxoxxoxo""),""Charukeshi"",IF(REGEXMATCH(AT89,""xoxoooxxoxxo""),""Kameshwari"",IF(REGEXMATC"&amp;"H(AT89,""xoxoxooxoxox""),""Shankara"",IF(REGEXMATCH(AT89,""xxooxoxxxoox""),""Basant"",IF(REGEXMATCH(AT89,""xoxoxxxxoxox""),""Bihag"",IF(REGEXMATCH(AT89,""xoxxxxoxoxxx""),""Pilu"",IF(REGEXMATCH(AT89,""xoxxoxoxxoox""),""Kirwani"",IF(REGEXMATCH(AT89,""xoxxox"&amp;"oxoxxx""),""Mk.Malhar"",IF(REGEXMATCH(AT89,""xxooxxoxxoox""),""Bhairav"",IF(REGEXMATCH(AT89,""xxoxooxxxoox""),""Todi"",IF(REGEXMATCH(AT89,""xxooxoxooxox""),""Marwa"",IF(REGEXMATCH(AT89,""xxoooxoxxooo""),""Gunkali"",IF(REGEXMATCH(AT89,""xoxoxxoxxoox""),""N"&amp;"at Bhairav"",IF(REGEXMATCH(AT89,""xoxxoooxoxoo""),""Shivranjani"",IF(REGEXMATCH(AT89,""xooxxxoxooxo""),""Jog"",IF(REGEXMATCH(AT89,""xxooxoxoxoox""),""Hemshri"",IF(REGEXMATCH(AT89,""xoooxooxoxxo""),""Kalavati"",IF(REGEXMATCH(AT89,""xxoxoxxoxoox""),""Kedar"&amp;""",IF(REGEXMATCH(AT89,""xoxxxxoxooxx""),""Gara"",IF(REGEXMATCH(AT89,""xooxoxooxoox""),""Chandrakauns"",IF(REGEXMATCH(AT89,""xoxxxxoxxxox""),""Mand"",IF(REGEXMATCH(AT89,""xoxxxxoxoxox""),""Hanskinkini"",IF(REGEXMATCH(AT89,""xxooxxoxooxo""),""Lilavati"",IF("&amp;"REGEXMATCH(AT89,""xooxoxoooxox""),""Rajeshwari"",IF(REGEXMATCH(AT89,""xoooxxoxoxxx""),""Khokar"",IF(REGEXMATCH(AT89,""xxooxoxxxxox""),""Maligoura"",""-""))))))))))))))))))))))))))))))"),"Bihag")</f>
        <v>Bihag</v>
      </c>
      <c r="BG89" s="239" t="str">
        <f t="shared" si="26"/>
        <v>#REF!</v>
      </c>
      <c r="BH89" s="239">
        <f>IFERROR(__xludf.DUMMYFUNCTION("COUNTUNIQUE(FE89:FO89)-1"),7.0)</f>
        <v>7</v>
      </c>
      <c r="BI89" s="239">
        <f>IFERROR(__xludf.DUMMYFUNCTION("COUNTUNIQUE(FILTER(AT:AT,REGEXMATCH(AT:AT,AS89)))-1"),3.0)</f>
        <v>3</v>
      </c>
      <c r="BJ89" s="239">
        <f>IFERROR(__xludf.DUMMYFUNCTION("COUNTA(FILTER(AT:AT,REGEXMATCH(AT:AT,AS89)))"),36.0)</f>
        <v>36</v>
      </c>
      <c r="BK89" s="341">
        <f>IFERROR(__xludf.DUMMYFUNCTION("COUNTA(FILTER(AT:AT,REGEXMATCH(AT:AT,AS89)))-AR89"),36.0)</f>
        <v>36</v>
      </c>
      <c r="BL89" s="276" t="str">
        <f>IFERROR(__xludf.DUMMYFUNCTION("IF(AS89=""oooooooooooo"",""-"",IF(REGEXMATCH(AT89,""xx""), ""Hemi."", ""Anhemi.""))"),"Hemi.")</f>
        <v>Hemi.</v>
      </c>
      <c r="BM89" s="282" t="str">
        <f>IFERROR(__xludf.DUMMYFUNCTION("IF(AS89=""oooooooooooo"",""-"",IF(REGEXMATCH(AT89,""xxx""), ""Cohem."", ""-""))"),"Cohem.")</f>
        <v>Cohem.</v>
      </c>
      <c r="BN89" s="282" t="str">
        <f>IFERROR(__xludf.DUMMYFUNCTION("IF(AS89=""oooooooooooo"",""-"",IF(REGEXMATCH(AT89,""xxxx""), ""Co-Co."", ""-""))"),"Co-Co.")</f>
        <v>Co-Co.</v>
      </c>
      <c r="BO89" s="342" t="str">
        <f>IFERROR(__xludf.DUMMYFUNCTION("IF(AS89=""oooooooooooo"",""-"",IF(REGEXMATCH(AT89,""xxxxx""), ""CCC."", ""-""))"),"-")</f>
        <v>-</v>
      </c>
      <c r="BP89" s="344" t="str">
        <f t="shared" si="27"/>
        <v>-</v>
      </c>
      <c r="BQ89" s="282" t="str">
        <f>IFERROR(__xludf.DUMMYFUNCTION("IF(REGEXMATCH(JOIN(""-"",EU89:FD89),""TRUE""),""✔"",""-"")"),"-")</f>
        <v>-</v>
      </c>
      <c r="BR89" s="225">
        <f t="shared" si="28"/>
        <v>0</v>
      </c>
      <c r="BS89" s="345" t="str">
        <f>IFERROR(__xludf.DUMMYFUNCTION("SUBSTITUTE(SUBSTITUTE(SUBSTITUTE(SUBSTITUTE(CONCATENATE(JOIN(""-"",GC89:GO89)),""--"",""-""),""--"",""-""),""--"",""-""),""--"",""-"")"),"1-2-3-4-5-6-b7-7-8")</f>
        <v>1-2-3-4-5-6-b7-7-8</v>
      </c>
      <c r="BT89" s="299" t="str">
        <f>IFERROR(__xludf.DUMMYFUNCTION("SUBSTITUTE(SUBSTITUTE(SUBSTITUTE(SUBSTITUTE(CONCATENATE(JOIN(""-"",GP89:HB89)),""--"",""-""),""--"",""-""),""--"",""-""),""--"",""-"")"),"S-R2-G3-M1-P-D2-N2-N3-S")</f>
        <v>S-R2-G3-M1-P-D2-N2-N3-S</v>
      </c>
      <c r="BU89" s="348" t="str">
        <f t="shared" si="29"/>
        <v>C-D-E-F-G-A-Bb-B-C</v>
      </c>
      <c r="BV89" s="349" t="str">
        <f t="shared" si="30"/>
        <v>SrgMdS</v>
      </c>
      <c r="BW89" s="350">
        <f t="shared" si="31"/>
        <v>1</v>
      </c>
      <c r="BX89" s="351">
        <f t="shared" si="32"/>
        <v>15</v>
      </c>
      <c r="BY89" s="392"/>
      <c r="BZ89" s="309" t="str">
        <f>IFERROR(__xludf.DUMMYFUNCTION("IF(REGEXMATCH(C89, ""S""), ""x"",""x"")"),"x")</f>
        <v>x</v>
      </c>
      <c r="CA89" s="245" t="str">
        <f>IFERROR(__xludf.DUMMYFUNCTION("IF(REGEXMATCH(C89, ""r""), ""o"",""x"")"),"x")</f>
        <v>x</v>
      </c>
      <c r="CB89" s="246" t="str">
        <f>IFERROR(__xludf.DUMMYFUNCTION("IF(REGEXMATCH(C89, ""R""), ""o"",""x"")"),"o")</f>
        <v>o</v>
      </c>
      <c r="CC89" s="246" t="str">
        <f>IFERROR(__xludf.DUMMYFUNCTION("IF(REGEXMATCH(C89, ""g""), ""o"",""x"")"),"x")</f>
        <v>x</v>
      </c>
      <c r="CD89" s="245" t="str">
        <f>IFERROR(__xludf.DUMMYFUNCTION("IF(REGEXMATCH(C89, ""G""), ""o"",""x"")"),"o")</f>
        <v>o</v>
      </c>
      <c r="CE89" s="245" t="str">
        <f>IFERROR(__xludf.DUMMYFUNCTION("IF(REGEXMATCH(C89, ""m""), ""o"",""x"")"),"o")</f>
        <v>o</v>
      </c>
      <c r="CF89" s="246" t="str">
        <f>IFERROR(__xludf.DUMMYFUNCTION("IF(REGEXMATCH(C89, ""M""), ""o"",""x"")"),"x")</f>
        <v>x</v>
      </c>
      <c r="CG89" s="245" t="str">
        <f>IFERROR(__xludf.DUMMYFUNCTION("IF(REGEXMATCH(C89, ""P""), ""o"",""x"")"),"o")</f>
        <v>o</v>
      </c>
      <c r="CH89" s="246" t="str">
        <f>IFERROR(__xludf.DUMMYFUNCTION("IF(REGEXMATCH(C89, ""d""), ""o"",""x"")"),"x")</f>
        <v>x</v>
      </c>
      <c r="CI89" s="245" t="str">
        <f>IFERROR(__xludf.DUMMYFUNCTION("IF(REGEXMATCH(C89, ""D""), ""o"",""x"")"),"o")</f>
        <v>o</v>
      </c>
      <c r="CJ89" s="245" t="str">
        <f>IFERROR(__xludf.DUMMYFUNCTION("IF(REGEXMATCH(C89, ""n""), ""o"",""x"")"),"o")</f>
        <v>o</v>
      </c>
      <c r="CK89" s="245" t="str">
        <f>IFERROR(__xludf.DUMMYFUNCTION("IF(REGEXMATCH(C89, ""N""), ""o"",""x"")"),"o")</f>
        <v>o</v>
      </c>
      <c r="CL89" s="356" t="str">
        <f>IFERROR(__xludf.DUMMYFUNCTION("IF(REGEXMATCH(C89, ""S""), ""x"",""x"")"),"x")</f>
        <v>x</v>
      </c>
      <c r="CM89" s="357" t="str">
        <f t="shared" si="33"/>
        <v>xxoxooxoxooo</v>
      </c>
      <c r="CN89" s="358">
        <f t="shared" si="34"/>
        <v>1</v>
      </c>
      <c r="CO89" s="246" t="str">
        <f>IFERROR(__xludf.DUMMYFUNCTION("IF(REGEXMATCH($C89, ""S""), ""S"",""S"")"),"S")</f>
        <v>S</v>
      </c>
      <c r="CP89" s="246" t="str">
        <f>IFERROR(__xludf.DUMMYFUNCTION("IF(REGEXMATCH($C89, ""r""), """",""r"")"),"r")</f>
        <v>r</v>
      </c>
      <c r="CQ89" s="246" t="str">
        <f>IFERROR(__xludf.DUMMYFUNCTION("IF(REGEXMATCH($C89, ""R""), """",""R"")"),"")</f>
        <v/>
      </c>
      <c r="CR89" s="246" t="str">
        <f>IFERROR(__xludf.DUMMYFUNCTION("IF(REGEXMATCH($C89, ""g""), """",""g"")"),"g")</f>
        <v>g</v>
      </c>
      <c r="CS89" s="246" t="str">
        <f>IFERROR(__xludf.DUMMYFUNCTION("IF(REGEXMATCH($C89, ""G""), """",""G"")"),"")</f>
        <v/>
      </c>
      <c r="CT89" s="246" t="str">
        <f>IFERROR(__xludf.DUMMYFUNCTION("IF(REGEXMATCH($C89, ""m""), """",""m"")"),"")</f>
        <v/>
      </c>
      <c r="CU89" s="246" t="str">
        <f>IFERROR(__xludf.DUMMYFUNCTION("IF(REGEXMATCH($C89, ""M""), """",""M"")"),"M")</f>
        <v>M</v>
      </c>
      <c r="CV89" s="246" t="str">
        <f>IFERROR(__xludf.DUMMYFUNCTION("IF(REGEXMATCH($C89, ""P""), """",""P"")"),"")</f>
        <v/>
      </c>
      <c r="CW89" s="246" t="str">
        <f>IFERROR(__xludf.DUMMYFUNCTION("IF(REGEXMATCH($C89, ""d""), """",""d"")"),"d")</f>
        <v>d</v>
      </c>
      <c r="CX89" s="246" t="str">
        <f>IFERROR(__xludf.DUMMYFUNCTION("IF(REGEXMATCH($C89, ""D""), """",""D"")"),"")</f>
        <v/>
      </c>
      <c r="CY89" s="246" t="str">
        <f>IFERROR(__xludf.DUMMYFUNCTION("IF(REGEXMATCH($C89, ""n""), """",""n"")"),"")</f>
        <v/>
      </c>
      <c r="CZ89" s="246" t="str">
        <f>IFERROR(__xludf.DUMMYFUNCTION("IF(REGEXMATCH($C89, ""N""), """",""N"")"),"")</f>
        <v/>
      </c>
      <c r="DA89" s="246" t="str">
        <f>IFERROR(__xludf.DUMMYFUNCTION("IF(REGEXMATCH($C89, ""S""), ""S"",""S"")"),"S")</f>
        <v>S</v>
      </c>
      <c r="DB89" s="362" t="str">
        <f>IFERROR(__xludf.DUMMYFUNCTION("JOIN("""",CO89:DA89,"""","""")"),"SrgMdS")</f>
        <v>SrgMdS</v>
      </c>
      <c r="DC89" s="363"/>
      <c r="DD89" s="301" t="str">
        <f t="shared" si="35"/>
        <v>#REF!</v>
      </c>
      <c r="DE89" s="302" t="str">
        <f t="shared" si="36"/>
        <v>#REF!</v>
      </c>
      <c r="DF89" s="301" t="str">
        <f t="shared" ref="DF89:DG89" si="377">SUBSTITUTE(S89,"-","")</f>
        <v>SRGM</v>
      </c>
      <c r="DG89" s="301" t="str">
        <f t="shared" si="377"/>
        <v>PDNS</v>
      </c>
      <c r="DH89" s="302" t="str">
        <f t="shared" si="38"/>
        <v>Bihag</v>
      </c>
      <c r="DI89" s="301" t="str">
        <f t="shared" si="39"/>
        <v>Hemi.</v>
      </c>
      <c r="DJ89" s="364" t="str">
        <f t="shared" si="40"/>
        <v>Co-Co.</v>
      </c>
      <c r="DK89" s="306" t="str">
        <f t="shared" si="41"/>
        <v>-</v>
      </c>
      <c r="DL89" s="366" t="str">
        <f t="shared" si="42"/>
        <v>-</v>
      </c>
      <c r="DM89" s="308" t="str">
        <f t="shared" si="43"/>
        <v>✔</v>
      </c>
      <c r="DN89" s="306" t="str">
        <f t="shared" si="44"/>
        <v>-</v>
      </c>
      <c r="DO89" s="306" t="str">
        <f t="shared" si="45"/>
        <v>-</v>
      </c>
      <c r="DP89" s="367" t="str">
        <f t="shared" si="46"/>
        <v>-</v>
      </c>
      <c r="DQ89" s="310" t="str">
        <f t="shared" si="47"/>
        <v>-</v>
      </c>
      <c r="DR89" s="310" t="str">
        <f t="shared" si="48"/>
        <v>-</v>
      </c>
      <c r="DS89" s="310" t="str">
        <f t="shared" si="49"/>
        <v>-</v>
      </c>
      <c r="DT89" s="310" t="str">
        <f t="shared" si="50"/>
        <v>-</v>
      </c>
      <c r="DU89" s="370" t="str">
        <f t="shared" si="51"/>
        <v>✔</v>
      </c>
      <c r="DV89" s="306" t="str">
        <f t="shared" si="52"/>
        <v>-</v>
      </c>
      <c r="DW89" s="306" t="str">
        <f t="shared" si="53"/>
        <v>-</v>
      </c>
      <c r="DX89" s="306" t="str">
        <f t="shared" si="54"/>
        <v>-</v>
      </c>
      <c r="DY89" s="306" t="str">
        <f t="shared" si="55"/>
        <v>-</v>
      </c>
      <c r="DZ89" s="306" t="str">
        <f t="shared" si="56"/>
        <v>-</v>
      </c>
      <c r="EA89" s="367" t="str">
        <f t="shared" si="57"/>
        <v>-</v>
      </c>
      <c r="EB89" s="310" t="str">
        <f>IFERROR(__xludf.DUMMYFUNCTION("IF(REGEXMATCH(AW89,AS89),""✔"",""-"")"),"✔")</f>
        <v>✔</v>
      </c>
      <c r="EC89" s="310" t="str">
        <f t="shared" si="58"/>
        <v>#REF!</v>
      </c>
      <c r="ED89" s="370" t="str">
        <f t="shared" si="59"/>
        <v>-</v>
      </c>
      <c r="EE89" s="340" t="str">
        <f t="shared" si="60"/>
        <v>S-R-G-m-P-D-nN-S</v>
      </c>
      <c r="EF89" s="371" t="str">
        <f>IFERROR(__xludf.DUMMYFUNCTION("CONCATENATE(JOIN("""",HC89:HO89))"),"SrRgmPdnS")</f>
        <v>SrRgmPdnS</v>
      </c>
      <c r="EG89" s="372">
        <f t="shared" si="61"/>
        <v>1</v>
      </c>
      <c r="EH89" s="373" t="str">
        <f>IFERROR(__xludf.DUMMYFUNCTION("CONCATENATE(JOIN("""",JC89:JO89))"),"Ni, ")</f>
        <v>Ni, </v>
      </c>
      <c r="EI89" s="322">
        <f t="shared" si="62"/>
        <v>0</v>
      </c>
      <c r="EJ89" s="374" t="str">
        <f>IFERROR(__xludf.DUMMYFUNCTION("CONCATENATE(JOIN("""",KC89:KO89))"),"")</f>
        <v/>
      </c>
      <c r="EK89" s="325" t="str">
        <f t="shared" si="63"/>
        <v>S-R2-G3-M1-P-D2-N2-N3-S</v>
      </c>
      <c r="EL89" s="326" t="str">
        <f t="shared" si="64"/>
        <v>1-2-3-4-5-6-b7-7-8</v>
      </c>
      <c r="EM89" s="318" t="str">
        <f t="shared" si="65"/>
        <v>#REF!</v>
      </c>
      <c r="EN89" s="328" t="str">
        <f>IFERROR(__xludf.DUMMYFUNCTION("SUBSTITUTE(SUBSTITUTE(SUBSTITUTE(SUBSTITUTE(CONCATENATE(JOIN("" "",HP89:IB89)),""  "","" ""),""  "","" ""),""  "","" ""),""  "","" "")"),"o • o • o o • o • o o o o")</f>
        <v>o • o • o o • o • o o o o</v>
      </c>
      <c r="EO89" s="368" t="str">
        <f t="shared" si="66"/>
        <v>-</v>
      </c>
      <c r="EP89" s="339" t="str">
        <f t="shared" si="67"/>
        <v>-</v>
      </c>
      <c r="EQ89" s="339" t="str">
        <f t="shared" si="68"/>
        <v>Sa-Pa</v>
      </c>
      <c r="ER89" s="339" t="str">
        <f t="shared" si="69"/>
        <v>-</v>
      </c>
      <c r="ES89" s="340" t="str">
        <f t="shared" si="70"/>
        <v>-</v>
      </c>
      <c r="ET89" s="363"/>
      <c r="EU89" s="376" t="b">
        <f>IFERROR(__xludf.DUMMYFUNCTION("arrayformula(sum(--REGEXMATCH(""SRGMPDNS"",split(REGEXREPLACE(C89,""(.)"",""$1~""),""~""))))=len(C89)
"),FALSE)</f>
        <v>0</v>
      </c>
      <c r="EV89" s="290" t="b">
        <f>IFERROR(__xludf.DUMMYFUNCTION("arrayformula(sum(--REGEXMATCH(""SRGmPDNS"",split(REGEXREPLACE(C89,""(.)"",""$1~""),""~""))))=len(C89)"),FALSE)</f>
        <v>0</v>
      </c>
      <c r="EW89" s="290" t="b">
        <f>IFERROR(__xludf.DUMMYFUNCTION("arrayformula(sum(--REGEXMATCH(""SRGmPDnS"",split(REGEXREPLACE(C89,""(.)"",""$1~""),""~""))))=len(C89)"),FALSE)</f>
        <v>0</v>
      </c>
      <c r="EX89" s="290" t="b">
        <f>IFERROR(__xludf.DUMMYFUNCTION("arrayformula(sum(--REGEXMATCH(""SRgmPDnS"",split(REGEXREPLACE(C89,""(.)"",""$1~""),""~""))))=len(C89)"),FALSE)</f>
        <v>0</v>
      </c>
      <c r="EY89" s="290" t="b">
        <f>IFERROR(__xludf.DUMMYFUNCTION("arrayformula(sum(--REGEXMATCH(""SRgmPdnS"",split(REGEXREPLACE(C89,""(.)"",""$1~""),""~""))))=len(C89)"),FALSE)</f>
        <v>0</v>
      </c>
      <c r="EZ89" s="290" t="b">
        <f>IFERROR(__xludf.DUMMYFUNCTION("arrayformula(sum(--REGEXMATCH(""SrgmPdnS"",split(REGEXREPLACE(C89,""(.)"",""$1~""),""~""))))=len(C89)"),FALSE)</f>
        <v>0</v>
      </c>
      <c r="FA89" s="290" t="b">
        <f>IFERROR(__xludf.DUMMYFUNCTION("arrayformula(sum(--REGEXMATCH(""SrGmPdNS"",split(REGEXREPLACE(C89,""(.)"",""$1~""),""~""))))=len(C89)"),FALSE)</f>
        <v>0</v>
      </c>
      <c r="FB89" s="290" t="b">
        <f>IFERROR(__xludf.DUMMYFUNCTION("arrayformula(sum(--REGEXMATCH(""SrGMPDNS"",split(REGEXREPLACE(C89,""(.)"",""$1~""),""~""))))=len(C89)"),FALSE)</f>
        <v>0</v>
      </c>
      <c r="FC89" s="290" t="b">
        <f>IFERROR(__xludf.DUMMYFUNCTION("arrayformula(sum(--REGEXMATCH(""SrGMPdNS"",split(REGEXREPLACE(C89,""(.)"",""$1~""),""~""))))=len(C89)"),FALSE)</f>
        <v>0</v>
      </c>
      <c r="FD89" s="377" t="b">
        <f>IFERROR(__xludf.DUMMYFUNCTION("arrayformula(sum(--REGEXMATCH(""SrgMPdNS"",split(REGEXREPLACE(C89,""(.)"",""$1~""),""~""))))=len(C89)"),FALSE)</f>
        <v>0</v>
      </c>
      <c r="FE89" s="269" t="str">
        <f t="shared" si="71"/>
        <v>-</v>
      </c>
      <c r="FF89" s="269" t="str">
        <f t="shared" si="72"/>
        <v>xoxxoxoxxxx</v>
      </c>
      <c r="FG89" s="271" t="str">
        <f t="shared" si="73"/>
        <v>-</v>
      </c>
      <c r="FH89" s="269" t="str">
        <f t="shared" si="74"/>
        <v>xxoxoxxxxox</v>
      </c>
      <c r="FI89" s="271" t="str">
        <f t="shared" si="75"/>
        <v>xoxoxxxxoxo</v>
      </c>
      <c r="FJ89" s="271" t="str">
        <f t="shared" si="76"/>
        <v>-</v>
      </c>
      <c r="FK89" s="271" t="str">
        <f t="shared" si="77"/>
        <v>xoxxxxoxoxx</v>
      </c>
      <c r="FL89" s="271" t="str">
        <f t="shared" si="78"/>
        <v>-</v>
      </c>
      <c r="FM89" s="271" t="str">
        <f t="shared" si="79"/>
        <v>xxxxoxoxxox</v>
      </c>
      <c r="FN89" s="271" t="str">
        <f t="shared" si="80"/>
        <v>xxxoxoxxoxo</v>
      </c>
      <c r="FO89" s="274" t="str">
        <f t="shared" si="81"/>
        <v>xxoxoxxoxox</v>
      </c>
      <c r="FP89" s="234" t="str">
        <f t="shared" si="82"/>
        <v>|</v>
      </c>
      <c r="FQ89" s="236" t="str">
        <f t="shared" si="83"/>
        <v>-</v>
      </c>
      <c r="FR89" s="237" t="str">
        <f t="shared" si="84"/>
        <v>|</v>
      </c>
      <c r="FS89" s="236" t="str">
        <f t="shared" si="85"/>
        <v>-</v>
      </c>
      <c r="FT89" s="237" t="str">
        <f t="shared" si="86"/>
        <v>|</v>
      </c>
      <c r="FU89" s="236" t="str">
        <f t="shared" si="87"/>
        <v>|</v>
      </c>
      <c r="FV89" s="237" t="str">
        <f t="shared" si="88"/>
        <v>-</v>
      </c>
      <c r="FW89" s="236" t="str">
        <f t="shared" si="89"/>
        <v>|</v>
      </c>
      <c r="FX89" s="237" t="str">
        <f t="shared" si="90"/>
        <v>-</v>
      </c>
      <c r="FY89" s="236" t="str">
        <f t="shared" si="91"/>
        <v>|</v>
      </c>
      <c r="FZ89" s="237" t="str">
        <f t="shared" si="92"/>
        <v>|</v>
      </c>
      <c r="GA89" s="236" t="str">
        <f t="shared" si="93"/>
        <v>|</v>
      </c>
      <c r="GB89" s="238" t="str">
        <f t="shared" si="94"/>
        <v>|</v>
      </c>
      <c r="GC89" s="244" t="str">
        <f>IFERROR(__xludf.DUMMYFUNCTION("IF(REGEXMATCH(C89, ""S""), ""1"","""")"),"1")</f>
        <v>1</v>
      </c>
      <c r="GD89" s="245" t="str">
        <f>IFERROR(__xludf.DUMMYFUNCTION("IF(REGEXMATCH(C89, ""r""), ""b2"","""")"),"")</f>
        <v/>
      </c>
      <c r="GE89" s="246" t="str">
        <f>IFERROR(__xludf.DUMMYFUNCTION("IF(REGEXMATCH(C89, ""R""), ""2"","""")"),"2")</f>
        <v>2</v>
      </c>
      <c r="GF89" s="246" t="str">
        <f>IFERROR(__xludf.DUMMYFUNCTION("IF(REGEXMATCH(C89, ""g""), ""b3"","""")"),"")</f>
        <v/>
      </c>
      <c r="GG89" s="245" t="str">
        <f>IFERROR(__xludf.DUMMYFUNCTION("IF(REGEXMATCH(C89, ""G""), ""3"","""")"),"3")</f>
        <v>3</v>
      </c>
      <c r="GH89" s="245" t="str">
        <f>IFERROR(__xludf.DUMMYFUNCTION("IF(REGEXMATCH(C89, ""m""), ""4"","""")"),"4")</f>
        <v>4</v>
      </c>
      <c r="GI89" s="246" t="str">
        <f>IFERROR(__xludf.DUMMYFUNCTION("IF(REGEXMATCH(C89, ""M""), ""#4"","""")"),"")</f>
        <v/>
      </c>
      <c r="GJ89" s="245" t="str">
        <f>IFERROR(__xludf.DUMMYFUNCTION("IF(REGEXMATCH(C89, ""P""), ""5"","""")"),"5")</f>
        <v>5</v>
      </c>
      <c r="GK89" s="246" t="str">
        <f>IFERROR(__xludf.DUMMYFUNCTION("IF(REGEXMATCH(C89, ""d""), ""b6"","""")"),"")</f>
        <v/>
      </c>
      <c r="GL89" s="245" t="str">
        <f>IFERROR(__xludf.DUMMYFUNCTION("IF(REGEXMATCH(C89, ""D""), ""6"","""")"),"6")</f>
        <v>6</v>
      </c>
      <c r="GM89" s="245" t="str">
        <f>IFERROR(__xludf.DUMMYFUNCTION("IF(REGEXMATCH(C89, ""n""), ""b7"","""")"),"b7")</f>
        <v>b7</v>
      </c>
      <c r="GN89" s="246" t="str">
        <f>IFERROR(__xludf.DUMMYFUNCTION("IF(REGEXMATCH(C89, ""N""), ""7"","""")"),"7")</f>
        <v>7</v>
      </c>
      <c r="GO89" s="249" t="str">
        <f>IFERROR(__xludf.DUMMYFUNCTION("IF(REGEXMATCH(C89, ""S""), ""8"","""")"),"8")</f>
        <v>8</v>
      </c>
      <c r="GP89" s="244" t="str">
        <f>IFERROR(__xludf.DUMMYFUNCTION("IF(REGEXMATCH(C89, ""S""), ""S"","""")"),"S")</f>
        <v>S</v>
      </c>
      <c r="GQ89" s="294" t="str">
        <f>IFERROR(__xludf.DUMMYFUNCTION("IF(REGEXMATCH(C89, ""r""), ""R1"","""")"),"")</f>
        <v/>
      </c>
      <c r="GR89" s="295" t="str">
        <f>IFERROR(__xludf.DUMMYFUNCTION("IF(REGEXMATCH(C89, ""R""), ""R2"","""")"),"R2")</f>
        <v>R2</v>
      </c>
      <c r="GS89" s="295" t="str">
        <f>IFERROR(__xludf.DUMMYFUNCTION("IF(REGEXMATCH(C89, ""g""), ""G2"","""")"),"")</f>
        <v/>
      </c>
      <c r="GT89" s="294" t="str">
        <f>IFERROR(__xludf.DUMMYFUNCTION("IF(REGEXMATCH(C89, ""G""), ""G3"","""")"),"G3")</f>
        <v>G3</v>
      </c>
      <c r="GU89" s="294" t="str">
        <f>IFERROR(__xludf.DUMMYFUNCTION("IF(REGEXMATCH(C89, ""m""), ""M1"","""")"),"M1")</f>
        <v>M1</v>
      </c>
      <c r="GV89" s="295" t="str">
        <f>IFERROR(__xludf.DUMMYFUNCTION("IF(REGEXMATCH(C89, ""M""), ""M2"","""")"),"")</f>
        <v/>
      </c>
      <c r="GW89" s="294" t="str">
        <f>IFERROR(__xludf.DUMMYFUNCTION("IF(REGEXMATCH(C89, ""P""), ""P"","""")"),"P")</f>
        <v>P</v>
      </c>
      <c r="GX89" s="295" t="str">
        <f>IFERROR(__xludf.DUMMYFUNCTION("IF(REGEXMATCH(C89, ""d""), ""D1"","""")"),"")</f>
        <v/>
      </c>
      <c r="GY89" s="294" t="str">
        <f>IFERROR(__xludf.DUMMYFUNCTION("IF(REGEXMATCH(C89, ""D""), ""D2"","""")"),"D2")</f>
        <v>D2</v>
      </c>
      <c r="GZ89" s="294" t="str">
        <f>IFERROR(__xludf.DUMMYFUNCTION("IF(REGEXMATCH(C89, ""n""), ""N2"","""")"),"N2")</f>
        <v>N2</v>
      </c>
      <c r="HA89" s="295" t="str">
        <f>IFERROR(__xludf.DUMMYFUNCTION("IF(REGEXMATCH(C89, ""N""), ""N3"","""")"),"N3")</f>
        <v>N3</v>
      </c>
      <c r="HB89" s="249" t="str">
        <f>IFERROR(__xludf.DUMMYFUNCTION("IF(REGEXMATCH(C89, ""S""), ""S"","""")"),"S")</f>
        <v>S</v>
      </c>
      <c r="HC89" s="331" t="str">
        <f t="shared" si="95"/>
        <v>S</v>
      </c>
      <c r="HD89" s="332" t="str">
        <f t="shared" si="96"/>
        <v>r</v>
      </c>
      <c r="HE89" s="332" t="str">
        <f t="shared" si="97"/>
        <v>R</v>
      </c>
      <c r="HF89" s="332" t="str">
        <f t="shared" si="98"/>
        <v>g</v>
      </c>
      <c r="HG89" s="332" t="str">
        <f t="shared" si="99"/>
        <v/>
      </c>
      <c r="HH89" s="332" t="str">
        <f t="shared" si="100"/>
        <v>m</v>
      </c>
      <c r="HI89" s="332" t="str">
        <f t="shared" si="101"/>
        <v/>
      </c>
      <c r="HJ89" s="332" t="str">
        <f t="shared" si="102"/>
        <v>P</v>
      </c>
      <c r="HK89" s="332" t="str">
        <f t="shared" si="103"/>
        <v>d</v>
      </c>
      <c r="HL89" s="332" t="str">
        <f t="shared" si="104"/>
        <v/>
      </c>
      <c r="HM89" s="332" t="str">
        <f t="shared" si="105"/>
        <v>n</v>
      </c>
      <c r="HN89" s="332" t="str">
        <f t="shared" si="106"/>
        <v/>
      </c>
      <c r="HO89" s="343" t="str">
        <f t="shared" si="107"/>
        <v>S</v>
      </c>
      <c r="HP89" s="331" t="str">
        <f t="shared" si="108"/>
        <v>o</v>
      </c>
      <c r="HQ89" s="332" t="str">
        <f t="shared" si="109"/>
        <v>•</v>
      </c>
      <c r="HR89" s="332" t="str">
        <f t="shared" si="110"/>
        <v>o</v>
      </c>
      <c r="HS89" s="332" t="str">
        <f t="shared" si="111"/>
        <v>•</v>
      </c>
      <c r="HT89" s="332" t="str">
        <f t="shared" si="112"/>
        <v>o</v>
      </c>
      <c r="HU89" s="332" t="str">
        <f t="shared" si="113"/>
        <v>o</v>
      </c>
      <c r="HV89" s="332" t="str">
        <f t="shared" si="114"/>
        <v>•</v>
      </c>
      <c r="HW89" s="332" t="str">
        <f t="shared" si="115"/>
        <v>o</v>
      </c>
      <c r="HX89" s="332" t="str">
        <f t="shared" si="116"/>
        <v>•</v>
      </c>
      <c r="HY89" s="332" t="str">
        <f t="shared" si="117"/>
        <v>o</v>
      </c>
      <c r="HZ89" s="332" t="str">
        <f t="shared" si="118"/>
        <v>o</v>
      </c>
      <c r="IA89" s="332" t="str">
        <f t="shared" si="119"/>
        <v>o</v>
      </c>
      <c r="IB89" s="338" t="str">
        <f t="shared" si="120"/>
        <v>o</v>
      </c>
      <c r="IC89" s="331" t="str">
        <f t="shared" si="121"/>
        <v>•</v>
      </c>
      <c r="ID89" s="332" t="str">
        <f t="shared" si="122"/>
        <v>o</v>
      </c>
      <c r="IE89" s="332" t="str">
        <f t="shared" si="123"/>
        <v>•</v>
      </c>
      <c r="IF89" s="332" t="str">
        <f t="shared" si="124"/>
        <v>o</v>
      </c>
      <c r="IG89" s="332" t="str">
        <f t="shared" si="125"/>
        <v>•</v>
      </c>
      <c r="IH89" s="332" t="str">
        <f t="shared" si="126"/>
        <v>•</v>
      </c>
      <c r="II89" s="332" t="str">
        <f t="shared" si="127"/>
        <v>o</v>
      </c>
      <c r="IJ89" s="332" t="str">
        <f t="shared" si="128"/>
        <v>•</v>
      </c>
      <c r="IK89" s="332" t="str">
        <f t="shared" si="129"/>
        <v>o</v>
      </c>
      <c r="IL89" s="332" t="str">
        <f t="shared" si="130"/>
        <v>•</v>
      </c>
      <c r="IM89" s="332" t="str">
        <f t="shared" si="131"/>
        <v>•</v>
      </c>
      <c r="IN89" s="332" t="str">
        <f t="shared" si="132"/>
        <v>•</v>
      </c>
      <c r="IO89" s="338" t="str">
        <f t="shared" si="133"/>
        <v>•</v>
      </c>
      <c r="IP89" s="346" t="b">
        <f t="shared" si="134"/>
        <v>0</v>
      </c>
      <c r="IQ89" s="347" t="b">
        <f t="shared" si="135"/>
        <v>0</v>
      </c>
      <c r="IR89" s="347" t="b">
        <f t="shared" si="136"/>
        <v>0</v>
      </c>
      <c r="IS89" s="347" t="b">
        <f t="shared" si="137"/>
        <v>0</v>
      </c>
      <c r="IT89" s="347" t="b">
        <f t="shared" si="138"/>
        <v>0</v>
      </c>
      <c r="IU89" s="347" t="b">
        <f t="shared" si="139"/>
        <v>0</v>
      </c>
      <c r="IV89" s="347" t="b">
        <f t="shared" si="140"/>
        <v>0</v>
      </c>
      <c r="IW89" s="347" t="b">
        <f t="shared" si="141"/>
        <v>0</v>
      </c>
      <c r="IX89" s="347" t="b">
        <f t="shared" si="142"/>
        <v>0</v>
      </c>
      <c r="IY89" s="347" t="b">
        <f t="shared" si="143"/>
        <v>0</v>
      </c>
      <c r="IZ89" s="347" t="b">
        <f t="shared" si="144"/>
        <v>0</v>
      </c>
      <c r="JA89" s="347" t="b">
        <f t="shared" si="145"/>
        <v>1</v>
      </c>
      <c r="JB89" s="353" t="b">
        <f t="shared" si="146"/>
        <v>0</v>
      </c>
      <c r="JC89" s="354" t="str">
        <f t="shared" si="147"/>
        <v/>
      </c>
      <c r="JD89" s="355" t="str">
        <f t="shared" si="148"/>
        <v/>
      </c>
      <c r="JE89" s="355" t="str">
        <f t="shared" si="149"/>
        <v/>
      </c>
      <c r="JF89" s="355" t="str">
        <f t="shared" si="150"/>
        <v/>
      </c>
      <c r="JG89" s="355" t="str">
        <f t="shared" si="151"/>
        <v/>
      </c>
      <c r="JH89" s="355" t="str">
        <f t="shared" si="152"/>
        <v/>
      </c>
      <c r="JI89" s="355" t="str">
        <f t="shared" si="153"/>
        <v/>
      </c>
      <c r="JJ89" s="355" t="str">
        <f t="shared" si="154"/>
        <v/>
      </c>
      <c r="JK89" s="355" t="str">
        <f t="shared" si="155"/>
        <v/>
      </c>
      <c r="JL89" s="355" t="str">
        <f t="shared" si="156"/>
        <v/>
      </c>
      <c r="JM89" s="355" t="str">
        <f t="shared" si="157"/>
        <v/>
      </c>
      <c r="JN89" s="355" t="str">
        <f t="shared" si="158"/>
        <v>Ni, </v>
      </c>
      <c r="JO89" s="359" t="str">
        <f t="shared" si="159"/>
        <v/>
      </c>
      <c r="JP89" s="346" t="b">
        <f t="shared" si="160"/>
        <v>0</v>
      </c>
      <c r="JQ89" s="347" t="b">
        <f t="shared" si="161"/>
        <v>0</v>
      </c>
      <c r="JR89" s="347" t="b">
        <f t="shared" si="162"/>
        <v>0</v>
      </c>
      <c r="JS89" s="347" t="b">
        <f t="shared" si="163"/>
        <v>0</v>
      </c>
      <c r="JT89" s="347" t="b">
        <f t="shared" si="164"/>
        <v>0</v>
      </c>
      <c r="JU89" s="347" t="b">
        <f t="shared" si="165"/>
        <v>0</v>
      </c>
      <c r="JV89" s="347" t="b">
        <f t="shared" si="166"/>
        <v>0</v>
      </c>
      <c r="JW89" s="347" t="b">
        <f t="shared" si="167"/>
        <v>0</v>
      </c>
      <c r="JX89" s="347" t="b">
        <f t="shared" si="168"/>
        <v>0</v>
      </c>
      <c r="JY89" s="347" t="b">
        <f t="shared" si="169"/>
        <v>0</v>
      </c>
      <c r="JZ89" s="347" t="b">
        <f t="shared" si="170"/>
        <v>0</v>
      </c>
      <c r="KA89" s="347" t="b">
        <f t="shared" si="171"/>
        <v>0</v>
      </c>
      <c r="KB89" s="365" t="b">
        <f t="shared" si="172"/>
        <v>0</v>
      </c>
      <c r="KC89" s="354" t="str">
        <f t="shared" si="173"/>
        <v/>
      </c>
      <c r="KD89" s="355" t="str">
        <f t="shared" si="174"/>
        <v/>
      </c>
      <c r="KE89" s="355" t="str">
        <f t="shared" si="175"/>
        <v/>
      </c>
      <c r="KF89" s="355" t="str">
        <f t="shared" si="176"/>
        <v/>
      </c>
      <c r="KG89" s="355" t="str">
        <f t="shared" si="177"/>
        <v/>
      </c>
      <c r="KH89" s="355" t="str">
        <f t="shared" si="178"/>
        <v/>
      </c>
      <c r="KI89" s="355" t="str">
        <f t="shared" si="179"/>
        <v/>
      </c>
      <c r="KJ89" s="355" t="str">
        <f t="shared" si="180"/>
        <v/>
      </c>
      <c r="KK89" s="355" t="str">
        <f t="shared" si="181"/>
        <v/>
      </c>
      <c r="KL89" s="355" t="str">
        <f t="shared" si="182"/>
        <v/>
      </c>
      <c r="KM89" s="355" t="str">
        <f t="shared" si="183"/>
        <v/>
      </c>
      <c r="KN89" s="355" t="str">
        <f t="shared" si="184"/>
        <v/>
      </c>
      <c r="KO89" s="359"/>
      <c r="KP89" s="378"/>
      <c r="KQ89" s="379" t="s">
        <v>1375</v>
      </c>
      <c r="KR89" s="380" t="s">
        <v>1284</v>
      </c>
      <c r="KS89" s="381" t="str">
        <f t="shared" ref="KS89:KS98" si="380">KQ89</f>
        <v>S-R-G-m-P-N-S</v>
      </c>
      <c r="KT89" s="382">
        <f t="shared" si="186"/>
        <v>6</v>
      </c>
      <c r="KU89" s="383">
        <f t="shared" si="187"/>
        <v>6</v>
      </c>
      <c r="KV89" s="381" t="str">
        <f t="shared" si="205"/>
        <v>S-Nn-D-P-m-G-R-S</v>
      </c>
      <c r="KW89" s="382">
        <f t="shared" si="189"/>
        <v>7</v>
      </c>
      <c r="KX89" s="384">
        <f t="shared" si="190"/>
        <v>8</v>
      </c>
      <c r="KY89" s="382">
        <f t="shared" ref="KY89:KZ89" si="378">KW89-KT89</f>
        <v>1</v>
      </c>
      <c r="KZ89" s="369">
        <f t="shared" si="378"/>
        <v>2</v>
      </c>
      <c r="LA89" s="385" t="str">
        <f t="shared" si="192"/>
        <v>-</v>
      </c>
      <c r="LB89" s="340" t="str">
        <f>IFERROR(__xludf.DUMMYFUNCTION("JOIN("""",ArrayFormula(MID(KS89,LEN(KS89)-SEQUENCE(1,LEN(KS89))+1,1)))"),"S-N-P-m-G-R-S")</f>
        <v>S-N-P-m-G-R-S</v>
      </c>
      <c r="LC89" s="373" t="str">
        <f>IFERROR(__xludf.DUMMYFUNCTION("JOIN("""",ArrayFormula(MID(KV89,LEN(KV89)-SEQUENCE(1,LEN(KV89))+1,1)))"),"S-R-G-m-P-D-nN-S")</f>
        <v>S-R-G-m-P-D-nN-S</v>
      </c>
      <c r="LD89" s="373" t="str">
        <f t="shared" si="193"/>
        <v>SRGmPNS</v>
      </c>
      <c r="LE89" s="339" t="str">
        <f t="shared" si="194"/>
        <v>SRGmPDnNS</v>
      </c>
      <c r="LF89" s="386" t="str">
        <f>IFERROR(__xludf.DUMMYFUNCTION("SUBSTITUTE(SUBSTITUTE(CONCATENATE(JOIN("""",LH89:LT89)),""1"",""""),""2"","""")"),"SRGmPDnNS")</f>
        <v>SRGmPDnNS</v>
      </c>
      <c r="LG89" s="369" t="str">
        <f t="shared" si="195"/>
        <v>✔</v>
      </c>
      <c r="LH89" s="387" t="str">
        <f>IFERROR(__xludf.DUMMYFUNCTION("IF(REGEXMATCH(LD89, ""S""), ""S"",IF(REGEXMATCH(LE89, ""S""), ""S"",""""))"),"S")</f>
        <v>S</v>
      </c>
      <c r="LI89" s="299" t="str">
        <f>IFERROR(__xludf.DUMMYFUNCTION("IF(REGEXMATCH(LD89, ""r""), ""r1"",IF(REGEXMATCH(LE89, ""r""), ""r2"",""""))"),"")</f>
        <v/>
      </c>
      <c r="LJ89" s="299" t="str">
        <f>IFERROR(__xludf.DUMMYFUNCTION("IF(REGEXMATCH(LD89, ""R""), ""R1"",IF(REGEXMATCH(LE89, ""R""), ""R2"",""""))"),"R1")</f>
        <v>R1</v>
      </c>
      <c r="LK89" s="299" t="str">
        <f>IFERROR(__xludf.DUMMYFUNCTION("IF(REGEXMATCH(LD89, ""g""), ""g1"",IF(REGEXMATCH(LE89, ""g""), ""g2"",""""))"),"")</f>
        <v/>
      </c>
      <c r="LL89" s="299" t="str">
        <f>IFERROR(__xludf.DUMMYFUNCTION("IF(REGEXMATCH(LD89, ""G""), ""G1"",IF(REGEXMATCH(LE89, ""G""), ""G2"",""""))"),"G1")</f>
        <v>G1</v>
      </c>
      <c r="LM89" s="299" t="str">
        <f>IFERROR(__xludf.DUMMYFUNCTION("IF(REGEXMATCH(LD89, ""m""), ""m1"",IF(REGEXMATCH(LE89, ""m""), ""m2"",""""))"),"m1")</f>
        <v>m1</v>
      </c>
      <c r="LN89" s="299" t="str">
        <f>IFERROR(__xludf.DUMMYFUNCTION("IF(REGEXMATCH(LD89, ""M""), ""M1"",IF(REGEXMATCH(LE89, ""M""), ""M2"",""""))"),"")</f>
        <v/>
      </c>
      <c r="LO89" s="299" t="str">
        <f>IFERROR(__xludf.DUMMYFUNCTION("IF(REGEXMATCH(LD89, ""P""), ""P1"",IF(REGEXMATCH(LE89, ""P""), ""P2"",""""))"),"P1")</f>
        <v>P1</v>
      </c>
      <c r="LP89" s="299" t="str">
        <f>IFERROR(__xludf.DUMMYFUNCTION("IF(REGEXMATCH(LD89, ""d""), ""d1"",IF(REGEXMATCH(LE89, ""d""), ""d2"",""""))"),"")</f>
        <v/>
      </c>
      <c r="LQ89" s="299" t="str">
        <f>IFERROR(__xludf.DUMMYFUNCTION("IF(REGEXMATCH(LD89, ""D""), ""D1"",IF(REGEXMATCH(LE89, ""D""), ""D2"",""""))"),"D2")</f>
        <v>D2</v>
      </c>
      <c r="LR89" s="299" t="str">
        <f>IFERROR(__xludf.DUMMYFUNCTION("IF(REGEXMATCH(LD89, ""n""), ""n1"",IF(REGEXMATCH(LE89, ""n""), ""n2"",""""))"),"n2")</f>
        <v>n2</v>
      </c>
      <c r="LS89" s="299" t="str">
        <f>IFERROR(__xludf.DUMMYFUNCTION("IF(REGEXMATCH(LD89, ""N""), ""N1"",IF(REGEXMATCH(LE89, ""N""), ""N2"",""""))"),"N1")</f>
        <v>N1</v>
      </c>
      <c r="LT89" s="388" t="str">
        <f>IFERROR(__xludf.DUMMYFUNCTION("IF(REGEXMATCH(LD89, ""S""), ""S"",IF(REGEXMATCH(LE89, ""S""), ""S"",""""))"),"S")</f>
        <v>S</v>
      </c>
      <c r="LU89" s="389">
        <f t="shared" si="196"/>
        <v>-2</v>
      </c>
      <c r="LV89" s="378"/>
      <c r="LW89" s="369"/>
      <c r="LX89" s="369"/>
    </row>
    <row r="90" ht="18.0" customHeight="1">
      <c r="A90" s="298" t="s">
        <v>682</v>
      </c>
      <c r="B90" s="222" t="s">
        <v>530</v>
      </c>
      <c r="C90" s="233" t="str">
        <f t="shared" si="7"/>
        <v>SRGmPDnNS</v>
      </c>
      <c r="D90" s="234" t="str">
        <f>IFERROR(__xludf.DUMMYFUNCTION("IF(REGEXMATCH(C90, ""S""), ""S"","""")"),"S")</f>
        <v>S</v>
      </c>
      <c r="E90" s="236" t="str">
        <f>IFERROR(__xludf.DUMMYFUNCTION("IF(REGEXMATCH(C90, ""r""), ""r"","""")"),"")</f>
        <v/>
      </c>
      <c r="F90" s="237" t="str">
        <f>IFERROR(__xludf.DUMMYFUNCTION("IF(REGEXMATCH(C90, ""R""), ""R"","""")"),"R")</f>
        <v>R</v>
      </c>
      <c r="G90" s="237" t="str">
        <f>IFERROR(__xludf.DUMMYFUNCTION("IF(REGEXMATCH(C90, ""g""), ""g"","""")"),"")</f>
        <v/>
      </c>
      <c r="H90" s="236" t="str">
        <f>IFERROR(__xludf.DUMMYFUNCTION("IF(REGEXMATCH(C90, ""G""), ""G"","""")"),"G")</f>
        <v>G</v>
      </c>
      <c r="I90" s="236" t="str">
        <f>IFERROR(__xludf.DUMMYFUNCTION("IF(REGEXMATCH(C90, ""m""), ""m"","""")"),"m")</f>
        <v>m</v>
      </c>
      <c r="J90" s="237" t="str">
        <f>IFERROR(__xludf.DUMMYFUNCTION("IF(REGEXMATCH(C90, ""M""), ""M"","""")"),"")</f>
        <v/>
      </c>
      <c r="K90" s="236" t="str">
        <f>IFERROR(__xludf.DUMMYFUNCTION("IF(REGEXMATCH(C90, ""P""), ""P"","""")"),"P")</f>
        <v>P</v>
      </c>
      <c r="L90" s="237" t="str">
        <f>IFERROR(__xludf.DUMMYFUNCTION("IF(REGEXMATCH(C90, ""d""), ""d"","""")"),"")</f>
        <v/>
      </c>
      <c r="M90" s="236" t="str">
        <f>IFERROR(__xludf.DUMMYFUNCTION("IF(REGEXMATCH(C90, ""D""), ""D"","""")"),"D")</f>
        <v>D</v>
      </c>
      <c r="N90" s="236" t="str">
        <f>IFERROR(__xludf.DUMMYFUNCTION("IF(REGEXMATCH(C90, ""n""), ""n"","""")"),"n")</f>
        <v>n</v>
      </c>
      <c r="O90" s="237" t="str">
        <f>IFERROR(__xludf.DUMMYFUNCTION("IF(REGEXMATCH(C90, ""N""), ""N"","""")"),"N")</f>
        <v>N</v>
      </c>
      <c r="P90" s="238" t="str">
        <f>IFERROR(__xludf.DUMMYFUNCTION("IF(REGEXMATCH(C90, ""S""), ""S"","""")"),"S")</f>
        <v>S</v>
      </c>
      <c r="Q90" s="239" t="str">
        <f>IFERROR(__xludf.DUMMYFUNCTION("SUBSTITUTE(CONCATENATE(JOIN(""-"",D90:J90)),""-"","""")"),"SRGm")</f>
        <v>SRGm</v>
      </c>
      <c r="R90" s="229" t="str">
        <f>IFERROR(__xludf.DUMMYFUNCTION("SUBSTITUTE(CONCATENATE(JOIN(""-"",K90:P90)),""-"","""")"),"PDnNS")</f>
        <v>PDnNS</v>
      </c>
      <c r="S90" s="282" t="str">
        <f t="shared" si="8"/>
        <v>S-R-G-M</v>
      </c>
      <c r="T90" s="282" t="str">
        <f t="shared" si="9"/>
        <v>P-D-N-S</v>
      </c>
      <c r="U90" s="237" t="str">
        <f>IFERROR(__xludf.DUMMYFUNCTION("SUBSTITUTE(JOIN(""-"",S90,T90),""--"",""-"")"),"S-R-G-M-P-D-N-S")</f>
        <v>S-R-G-M-P-D-N-S</v>
      </c>
      <c r="V90" s="309" t="str">
        <f t="shared" si="10"/>
        <v>RGmDnN</v>
      </c>
      <c r="W90" s="244" t="str">
        <f>IFERROR(__xludf.DUMMYFUNCTION("IF(REGEXMATCH(C90, ""S""), ""0"","""")"),"0")</f>
        <v>0</v>
      </c>
      <c r="X90" s="245" t="str">
        <f>IFERROR(__xludf.DUMMYFUNCTION("IF(REGEXMATCH(C90, ""r""), ""1"","""")"),"")</f>
        <v/>
      </c>
      <c r="Y90" s="246" t="str">
        <f>IFERROR(__xludf.DUMMYFUNCTION("IF(REGEXMATCH(C90, ""R""), ""2"","""")"),"2")</f>
        <v>2</v>
      </c>
      <c r="Z90" s="246" t="str">
        <f>IFERROR(__xludf.DUMMYFUNCTION("IF(REGEXMATCH(C90, ""g""), ""3"","""")"),"")</f>
        <v/>
      </c>
      <c r="AA90" s="245" t="str">
        <f>IFERROR(__xludf.DUMMYFUNCTION("IF(REGEXMATCH(C90, ""G""), ""4"","""")"),"4")</f>
        <v>4</v>
      </c>
      <c r="AB90" s="245" t="str">
        <f>IFERROR(__xludf.DUMMYFUNCTION("IF(REGEXMATCH(C90, ""m""), ""5"","""")"),"5")</f>
        <v>5</v>
      </c>
      <c r="AC90" s="246" t="str">
        <f>IFERROR(__xludf.DUMMYFUNCTION("IF(REGEXMATCH(C90, ""M""), ""6"","""")"),"")</f>
        <v/>
      </c>
      <c r="AD90" s="245" t="str">
        <f>IFERROR(__xludf.DUMMYFUNCTION("IF(REGEXMATCH(C90, ""P""), ""7"","""")"),"7")</f>
        <v>7</v>
      </c>
      <c r="AE90" s="246" t="str">
        <f>IFERROR(__xludf.DUMMYFUNCTION("IF(REGEXMATCH(C90, ""d""), ""8"","""")"),"")</f>
        <v/>
      </c>
      <c r="AF90" s="245" t="str">
        <f>IFERROR(__xludf.DUMMYFUNCTION("IF(REGEXMATCH(C90, ""D""), ""9"","""")"),"9")</f>
        <v>9</v>
      </c>
      <c r="AG90" s="245" t="str">
        <f>IFERROR(__xludf.DUMMYFUNCTION("IF(REGEXMATCH(C90, ""n""), ""10"","""")"),"10")</f>
        <v>10</v>
      </c>
      <c r="AH90" s="246" t="str">
        <f>IFERROR(__xludf.DUMMYFUNCTION("IF(REGEXMATCH(C90, ""N""), ""11"","""")"),"11")</f>
        <v>11</v>
      </c>
      <c r="AI90" s="249" t="str">
        <f>IFERROR(__xludf.DUMMYFUNCTION("IF(REGEXMATCH(C90, ""S""), ""0"","""")"),"0")</f>
        <v>0</v>
      </c>
      <c r="AJ90" s="313" t="str">
        <f t="shared" si="11"/>
        <v>-</v>
      </c>
      <c r="AK90" s="313" t="str">
        <f t="shared" si="12"/>
        <v>-</v>
      </c>
      <c r="AL90" s="313" t="str">
        <f t="shared" si="13"/>
        <v>-</v>
      </c>
      <c r="AM90" s="313" t="str">
        <f t="shared" si="14"/>
        <v>-</v>
      </c>
      <c r="AN90" s="313" t="str">
        <f t="shared" si="15"/>
        <v>T</v>
      </c>
      <c r="AO90" s="314" t="str">
        <f t="shared" si="16"/>
        <v>T</v>
      </c>
      <c r="AP90" s="316">
        <f t="shared" si="17"/>
        <v>2</v>
      </c>
      <c r="AQ90" s="319" t="str">
        <f t="shared" si="18"/>
        <v>-</v>
      </c>
      <c r="AR90" s="320">
        <f t="shared" si="19"/>
        <v>0</v>
      </c>
      <c r="AS90" s="250" t="str">
        <f>IFERROR(__xludf.DUMMYFUNCTION("SUBSTITUTE(SUBSTITUTE(CONCATENATE(JOIN("""",FP90:GA90)),""|"",""x""),""-"",""o"")"),"xoxoxxoxoxxx")</f>
        <v>xoxoxxoxoxxx</v>
      </c>
      <c r="AT90" s="323" t="str">
        <f>IFERROR(__xludf.DUMMYFUNCTION("JOIN("""",AS90,AS90)"),"xoxoxxoxoxxxxoxoxxoxoxxx")</f>
        <v>xoxoxxoxoxxxxoxoxxoxoxxx</v>
      </c>
      <c r="AU90" s="256" t="str">
        <f>IFERROR(__xludf.DUMMYFUNCTION("JOIN("""",ArrayFormula(MID(AS90,LEN(AS90)-SEQUENCE(1,LEN(AS90))+1,1)))"),"xxxoxoxxoxox")</f>
        <v>xxxoxoxxoxox</v>
      </c>
      <c r="AV90" s="256" t="str">
        <f>IFERROR(__xludf.DUMMYFUNCTION("LEFT(CONCATENATE(""x"",JOIN("""",ArrayFormula(MID(AS90,LEN(AS90)-SEQUENCE(1,LEN(AS90))+1,1)))),12)"),"xxxxoxoxxoxo")</f>
        <v>xxxxoxoxxoxo</v>
      </c>
      <c r="AW90" s="327" t="str">
        <f>IFERROR(__xludf.DUMMYFUNCTION("JOIN("""",AU90,AU90)"),"xxxoxoxxoxoxxxxoxoxxoxox")</f>
        <v>xxxoxoxxoxoxxxxoxoxxoxox</v>
      </c>
      <c r="AX90" s="239" t="str">
        <f>IFERROR(__xludf.DUMMYFUNCTION("IF(REGEXMATCH(AW90,AS90),""✔"",""-"")"),"✔")</f>
        <v>✔</v>
      </c>
      <c r="AY90" s="330" t="str">
        <f t="shared" si="20"/>
        <v>-</v>
      </c>
      <c r="AZ90" s="260" t="str">
        <f t="shared" si="21"/>
        <v>#REF!</v>
      </c>
      <c r="BA90" s="333" t="str">
        <f t="shared" si="22"/>
        <v>xoxoxxo</v>
      </c>
      <c r="BB90" s="334" t="str">
        <f t="shared" si="23"/>
        <v>xoxxxx</v>
      </c>
      <c r="BC90" s="335" t="str">
        <f t="shared" si="236"/>
        <v>-</v>
      </c>
      <c r="BD90" s="336" t="str">
        <f t="shared" si="25"/>
        <v>Desh: 'xoxoxxo' + 'xoxxxx'</v>
      </c>
      <c r="BE90" s="337">
        <f>IFERROR(__xludf.DUMMYFUNCTION("COUNTUNIQUE(FILTER(AT:AT,REGEXMATCH(AT:AT,AS90)))-1"),3.0)</f>
        <v>3</v>
      </c>
      <c r="BF90" s="261" t="str">
        <f>IFERROR(__xludf.DUMMYFUNCTION("IF(BI90=0,""(n/a)"",IF(BJ90=2,""(PAIR)"",IF(REGEXMATCH(AT90,""xoxoxxoxoxox""),""Bilawal"",IF(REGEXMATCH(AT90,""xoxoxooxoxoo""),""Bhupali"",IF(REGEXMATCH(AT90,""xoxoxxoxxoxo""),""Charukeshi"",IF(REGEXMATCH(AT90,""xoxoooxxoxxo""),""Kameshwari"",IF(REGEXMATC"&amp;"H(AT90,""xoxoxooxoxox""),""Shankara"",IF(REGEXMATCH(AT90,""xxooxoxxxoox""),""Basant"",IF(REGEXMATCH(AT90,""xoxoxxxxoxox""),""Bihag"",IF(REGEXMATCH(AT90,""xoxxxxoxoxxx""),""Pilu"",IF(REGEXMATCH(AT90,""xoxxoxoxxoox""),""Kirwani"",IF(REGEXMATCH(AT90,""xoxxox"&amp;"oxoxxx""),""Mk.Malhar"",IF(REGEXMATCH(AT90,""xxooxxoxxoox""),""Bhairav"",IF(REGEXMATCH(AT90,""xxoxooxxxoox""),""Todi"",IF(REGEXMATCH(AT90,""xxooxoxooxox""),""Marwa"",IF(REGEXMATCH(AT90,""xxoooxoxxooo""),""Gunkali"",IF(REGEXMATCH(AT90,""xoxoxxoxxoox""),""N"&amp;"at Bhairav"",IF(REGEXMATCH(AT90,""xoxxoooxoxoo""),""Shivranjani"",IF(REGEXMATCH(AT90,""xooxxxoxooxo""),""Jog"",IF(REGEXMATCH(AT90,""xxooxoxoxoox""),""Hemshri"",IF(REGEXMATCH(AT90,""xoooxooxoxxo""),""Kalavati"",IF(REGEXMATCH(AT90,""xxoxoxxoxoox""),""Kedar"&amp;""",IF(REGEXMATCH(AT90,""xoxxxxoxooxx""),""Gara"",IF(REGEXMATCH(AT90,""xooxoxooxoox""),""Chandrakauns"",IF(REGEXMATCH(AT90,""xoxxxxoxxxox""),""Mand"",IF(REGEXMATCH(AT90,""xoxxxxoxoxox""),""Hanskinkini"",IF(REGEXMATCH(AT90,""xxooxxoxooxo""),""Lilavati"",IF("&amp;"REGEXMATCH(AT90,""xooxoxoooxox""),""Rajeshwari"",IF(REGEXMATCH(AT90,""xoooxxoxoxxx""),""Khokar"",IF(REGEXMATCH(AT90,""xxooxoxxxxox""),""Maligoura"",""-""))))))))))))))))))))))))))))))"),"Bihag")</f>
        <v>Bihag</v>
      </c>
      <c r="BG90" s="239" t="str">
        <f t="shared" si="26"/>
        <v>#REF!</v>
      </c>
      <c r="BH90" s="239">
        <f>IFERROR(__xludf.DUMMYFUNCTION("COUNTUNIQUE(FE90:FO90)-1"),7.0)</f>
        <v>7</v>
      </c>
      <c r="BI90" s="239">
        <f>IFERROR(__xludf.DUMMYFUNCTION("COUNTUNIQUE(FILTER(AT:AT,REGEXMATCH(AT:AT,AS90)))-1"),3.0)</f>
        <v>3</v>
      </c>
      <c r="BJ90" s="239">
        <f>IFERROR(__xludf.DUMMYFUNCTION("COUNTA(FILTER(AT:AT,REGEXMATCH(AT:AT,AS90)))"),36.0)</f>
        <v>36</v>
      </c>
      <c r="BK90" s="341">
        <f>IFERROR(__xludf.DUMMYFUNCTION("COUNTA(FILTER(AT:AT,REGEXMATCH(AT:AT,AS90)))-AR90"),36.0)</f>
        <v>36</v>
      </c>
      <c r="BL90" s="276" t="str">
        <f>IFERROR(__xludf.DUMMYFUNCTION("IF(AS90=""oooooooooooo"",""-"",IF(REGEXMATCH(AT90,""xx""), ""Hemi."", ""Anhemi.""))"),"Hemi.")</f>
        <v>Hemi.</v>
      </c>
      <c r="BM90" s="282" t="str">
        <f>IFERROR(__xludf.DUMMYFUNCTION("IF(AS90=""oooooooooooo"",""-"",IF(REGEXMATCH(AT90,""xxx""), ""Cohem."", ""-""))"),"Cohem.")</f>
        <v>Cohem.</v>
      </c>
      <c r="BN90" s="282" t="str">
        <f>IFERROR(__xludf.DUMMYFUNCTION("IF(AS90=""oooooooooooo"",""-"",IF(REGEXMATCH(AT90,""xxxx""), ""Co-Co."", ""-""))"),"Co-Co.")</f>
        <v>Co-Co.</v>
      </c>
      <c r="BO90" s="342" t="str">
        <f>IFERROR(__xludf.DUMMYFUNCTION("IF(AS90=""oooooooooooo"",""-"",IF(REGEXMATCH(AT90,""xxxxx""), ""CCC."", ""-""))"),"-")</f>
        <v>-</v>
      </c>
      <c r="BP90" s="344" t="str">
        <f t="shared" si="27"/>
        <v>-</v>
      </c>
      <c r="BQ90" s="282" t="str">
        <f>IFERROR(__xludf.DUMMYFUNCTION("IF(REGEXMATCH(JOIN(""-"",EU90:FD90),""TRUE""),""✔"",""-"")"),"-")</f>
        <v>-</v>
      </c>
      <c r="BR90" s="225">
        <f t="shared" si="28"/>
        <v>0</v>
      </c>
      <c r="BS90" s="345" t="str">
        <f>IFERROR(__xludf.DUMMYFUNCTION("SUBSTITUTE(SUBSTITUTE(SUBSTITUTE(SUBSTITUTE(CONCATENATE(JOIN(""-"",GC90:GO90)),""--"",""-""),""--"",""-""),""--"",""-""),""--"",""-"")"),"1-2-3-4-5-6-b7-7-8")</f>
        <v>1-2-3-4-5-6-b7-7-8</v>
      </c>
      <c r="BT90" s="299" t="str">
        <f>IFERROR(__xludf.DUMMYFUNCTION("SUBSTITUTE(SUBSTITUTE(SUBSTITUTE(SUBSTITUTE(CONCATENATE(JOIN(""-"",GP90:HB90)),""--"",""-""),""--"",""-""),""--"",""-""),""--"",""-"")"),"S-R2-G3-M1-P-D2-N2-N3-S")</f>
        <v>S-R2-G3-M1-P-D2-N2-N3-S</v>
      </c>
      <c r="BU90" s="348" t="str">
        <f t="shared" si="29"/>
        <v>C-D-E-F-G-A-Bb-B-C</v>
      </c>
      <c r="BV90" s="349" t="str">
        <f t="shared" si="30"/>
        <v>SrgMdS</v>
      </c>
      <c r="BW90" s="350">
        <f t="shared" si="31"/>
        <v>1</v>
      </c>
      <c r="BX90" s="351">
        <f t="shared" si="32"/>
        <v>15</v>
      </c>
      <c r="BY90" s="392"/>
      <c r="BZ90" s="309" t="str">
        <f>IFERROR(__xludf.DUMMYFUNCTION("IF(REGEXMATCH(C90, ""S""), ""x"",""x"")"),"x")</f>
        <v>x</v>
      </c>
      <c r="CA90" s="245" t="str">
        <f>IFERROR(__xludf.DUMMYFUNCTION("IF(REGEXMATCH(C90, ""r""), ""o"",""x"")"),"x")</f>
        <v>x</v>
      </c>
      <c r="CB90" s="246" t="str">
        <f>IFERROR(__xludf.DUMMYFUNCTION("IF(REGEXMATCH(C90, ""R""), ""o"",""x"")"),"o")</f>
        <v>o</v>
      </c>
      <c r="CC90" s="246" t="str">
        <f>IFERROR(__xludf.DUMMYFUNCTION("IF(REGEXMATCH(C90, ""g""), ""o"",""x"")"),"x")</f>
        <v>x</v>
      </c>
      <c r="CD90" s="245" t="str">
        <f>IFERROR(__xludf.DUMMYFUNCTION("IF(REGEXMATCH(C90, ""G""), ""o"",""x"")"),"o")</f>
        <v>o</v>
      </c>
      <c r="CE90" s="245" t="str">
        <f>IFERROR(__xludf.DUMMYFUNCTION("IF(REGEXMATCH(C90, ""m""), ""o"",""x"")"),"o")</f>
        <v>o</v>
      </c>
      <c r="CF90" s="246" t="str">
        <f>IFERROR(__xludf.DUMMYFUNCTION("IF(REGEXMATCH(C90, ""M""), ""o"",""x"")"),"x")</f>
        <v>x</v>
      </c>
      <c r="CG90" s="245" t="str">
        <f>IFERROR(__xludf.DUMMYFUNCTION("IF(REGEXMATCH(C90, ""P""), ""o"",""x"")"),"o")</f>
        <v>o</v>
      </c>
      <c r="CH90" s="246" t="str">
        <f>IFERROR(__xludf.DUMMYFUNCTION("IF(REGEXMATCH(C90, ""d""), ""o"",""x"")"),"x")</f>
        <v>x</v>
      </c>
      <c r="CI90" s="245" t="str">
        <f>IFERROR(__xludf.DUMMYFUNCTION("IF(REGEXMATCH(C90, ""D""), ""o"",""x"")"),"o")</f>
        <v>o</v>
      </c>
      <c r="CJ90" s="245" t="str">
        <f>IFERROR(__xludf.DUMMYFUNCTION("IF(REGEXMATCH(C90, ""n""), ""o"",""x"")"),"o")</f>
        <v>o</v>
      </c>
      <c r="CK90" s="245" t="str">
        <f>IFERROR(__xludf.DUMMYFUNCTION("IF(REGEXMATCH(C90, ""N""), ""o"",""x"")"),"o")</f>
        <v>o</v>
      </c>
      <c r="CL90" s="356" t="str">
        <f>IFERROR(__xludf.DUMMYFUNCTION("IF(REGEXMATCH(C90, ""S""), ""x"",""x"")"),"x")</f>
        <v>x</v>
      </c>
      <c r="CM90" s="357" t="str">
        <f t="shared" si="33"/>
        <v>xxoxooxoxooo</v>
      </c>
      <c r="CN90" s="358">
        <f t="shared" si="34"/>
        <v>1</v>
      </c>
      <c r="CO90" s="246" t="str">
        <f>IFERROR(__xludf.DUMMYFUNCTION("IF(REGEXMATCH($C90, ""S""), ""S"",""S"")"),"S")</f>
        <v>S</v>
      </c>
      <c r="CP90" s="246" t="str">
        <f>IFERROR(__xludf.DUMMYFUNCTION("IF(REGEXMATCH($C90, ""r""), """",""r"")"),"r")</f>
        <v>r</v>
      </c>
      <c r="CQ90" s="246" t="str">
        <f>IFERROR(__xludf.DUMMYFUNCTION("IF(REGEXMATCH($C90, ""R""), """",""R"")"),"")</f>
        <v/>
      </c>
      <c r="CR90" s="246" t="str">
        <f>IFERROR(__xludf.DUMMYFUNCTION("IF(REGEXMATCH($C90, ""g""), """",""g"")"),"g")</f>
        <v>g</v>
      </c>
      <c r="CS90" s="246" t="str">
        <f>IFERROR(__xludf.DUMMYFUNCTION("IF(REGEXMATCH($C90, ""G""), """",""G"")"),"")</f>
        <v/>
      </c>
      <c r="CT90" s="246" t="str">
        <f>IFERROR(__xludf.DUMMYFUNCTION("IF(REGEXMATCH($C90, ""m""), """",""m"")"),"")</f>
        <v/>
      </c>
      <c r="CU90" s="246" t="str">
        <f>IFERROR(__xludf.DUMMYFUNCTION("IF(REGEXMATCH($C90, ""M""), """",""M"")"),"M")</f>
        <v>M</v>
      </c>
      <c r="CV90" s="246" t="str">
        <f>IFERROR(__xludf.DUMMYFUNCTION("IF(REGEXMATCH($C90, ""P""), """",""P"")"),"")</f>
        <v/>
      </c>
      <c r="CW90" s="246" t="str">
        <f>IFERROR(__xludf.DUMMYFUNCTION("IF(REGEXMATCH($C90, ""d""), """",""d"")"),"d")</f>
        <v>d</v>
      </c>
      <c r="CX90" s="246" t="str">
        <f>IFERROR(__xludf.DUMMYFUNCTION("IF(REGEXMATCH($C90, ""D""), """",""D"")"),"")</f>
        <v/>
      </c>
      <c r="CY90" s="246" t="str">
        <f>IFERROR(__xludf.DUMMYFUNCTION("IF(REGEXMATCH($C90, ""n""), """",""n"")"),"")</f>
        <v/>
      </c>
      <c r="CZ90" s="246" t="str">
        <f>IFERROR(__xludf.DUMMYFUNCTION("IF(REGEXMATCH($C90, ""N""), """",""N"")"),"")</f>
        <v/>
      </c>
      <c r="DA90" s="246" t="str">
        <f>IFERROR(__xludf.DUMMYFUNCTION("IF(REGEXMATCH($C90, ""S""), ""S"",""S"")"),"S")</f>
        <v>S</v>
      </c>
      <c r="DB90" s="362" t="str">
        <f>IFERROR(__xludf.DUMMYFUNCTION("JOIN("""",CO90:DA90,"""","""")"),"SrgMdS")</f>
        <v>SrgMdS</v>
      </c>
      <c r="DC90" s="363"/>
      <c r="DD90" s="301" t="str">
        <f t="shared" si="35"/>
        <v>#REF!</v>
      </c>
      <c r="DE90" s="302" t="str">
        <f t="shared" si="36"/>
        <v>#REF!</v>
      </c>
      <c r="DF90" s="301" t="str">
        <f t="shared" ref="DF90:DG90" si="379">SUBSTITUTE(S90,"-","")</f>
        <v>SRGM</v>
      </c>
      <c r="DG90" s="301" t="str">
        <f t="shared" si="379"/>
        <v>PDNS</v>
      </c>
      <c r="DH90" s="302" t="str">
        <f t="shared" si="38"/>
        <v>Bihag</v>
      </c>
      <c r="DI90" s="301" t="str">
        <f t="shared" si="39"/>
        <v>Hemi.</v>
      </c>
      <c r="DJ90" s="364" t="str">
        <f t="shared" si="40"/>
        <v>Co-Co.</v>
      </c>
      <c r="DK90" s="306" t="str">
        <f t="shared" si="41"/>
        <v>-</v>
      </c>
      <c r="DL90" s="366" t="str">
        <f t="shared" si="42"/>
        <v>-</v>
      </c>
      <c r="DM90" s="308" t="str">
        <f t="shared" si="43"/>
        <v>✔</v>
      </c>
      <c r="DN90" s="306" t="str">
        <f t="shared" si="44"/>
        <v>-</v>
      </c>
      <c r="DO90" s="306" t="str">
        <f t="shared" si="45"/>
        <v>-</v>
      </c>
      <c r="DP90" s="367" t="str">
        <f t="shared" si="46"/>
        <v>-</v>
      </c>
      <c r="DQ90" s="310" t="str">
        <f t="shared" si="47"/>
        <v>-</v>
      </c>
      <c r="DR90" s="310" t="str">
        <f t="shared" si="48"/>
        <v>-</v>
      </c>
      <c r="DS90" s="310" t="str">
        <f t="shared" si="49"/>
        <v>-</v>
      </c>
      <c r="DT90" s="310" t="str">
        <f t="shared" si="50"/>
        <v>-</v>
      </c>
      <c r="DU90" s="370" t="str">
        <f t="shared" si="51"/>
        <v>✔</v>
      </c>
      <c r="DV90" s="306" t="str">
        <f t="shared" si="52"/>
        <v>-</v>
      </c>
      <c r="DW90" s="306" t="str">
        <f t="shared" si="53"/>
        <v>-</v>
      </c>
      <c r="DX90" s="306" t="str">
        <f t="shared" si="54"/>
        <v>-</v>
      </c>
      <c r="DY90" s="306" t="str">
        <f t="shared" si="55"/>
        <v>-</v>
      </c>
      <c r="DZ90" s="306" t="str">
        <f t="shared" si="56"/>
        <v>-</v>
      </c>
      <c r="EA90" s="367" t="str">
        <f t="shared" si="57"/>
        <v>-</v>
      </c>
      <c r="EB90" s="310" t="str">
        <f>IFERROR(__xludf.DUMMYFUNCTION("IF(REGEXMATCH(AW90,AS90),""✔"",""-"")"),"✔")</f>
        <v>✔</v>
      </c>
      <c r="EC90" s="310" t="str">
        <f t="shared" si="58"/>
        <v>#REF!</v>
      </c>
      <c r="ED90" s="370" t="str">
        <f t="shared" si="59"/>
        <v>-</v>
      </c>
      <c r="EE90" s="340" t="str">
        <f t="shared" si="60"/>
        <v>S-R-G-m-P-D-nN-S</v>
      </c>
      <c r="EF90" s="371" t="str">
        <f>IFERROR(__xludf.DUMMYFUNCTION("CONCATENATE(JOIN("""",HC90:HO90))"),"SrRgmPdnS")</f>
        <v>SrRgmPdnS</v>
      </c>
      <c r="EG90" s="372">
        <f t="shared" si="61"/>
        <v>1</v>
      </c>
      <c r="EH90" s="373" t="str">
        <f>IFERROR(__xludf.DUMMYFUNCTION("CONCATENATE(JOIN("""",JC90:JO90))"),"Ni, ")</f>
        <v>Ni, </v>
      </c>
      <c r="EI90" s="322">
        <f t="shared" si="62"/>
        <v>0</v>
      </c>
      <c r="EJ90" s="374" t="str">
        <f>IFERROR(__xludf.DUMMYFUNCTION("CONCATENATE(JOIN("""",KC90:KO90))"),"")</f>
        <v/>
      </c>
      <c r="EK90" s="325" t="str">
        <f t="shared" si="63"/>
        <v>S-R2-G3-M1-P-D2-N2-N3-S</v>
      </c>
      <c r="EL90" s="326" t="str">
        <f t="shared" si="64"/>
        <v>1-2-3-4-5-6-b7-7-8</v>
      </c>
      <c r="EM90" s="318" t="str">
        <f t="shared" si="65"/>
        <v>#REF!</v>
      </c>
      <c r="EN90" s="328" t="str">
        <f>IFERROR(__xludf.DUMMYFUNCTION("SUBSTITUTE(SUBSTITUTE(SUBSTITUTE(SUBSTITUTE(CONCATENATE(JOIN("" "",HP90:IB90)),""  "","" ""),""  "","" ""),""  "","" ""),""  "","" "")"),"o • o • o o • o • o o o o")</f>
        <v>o • o • o o • o • o o o o</v>
      </c>
      <c r="EO90" s="368" t="str">
        <f t="shared" si="66"/>
        <v>-</v>
      </c>
      <c r="EP90" s="339" t="str">
        <f t="shared" si="67"/>
        <v>-</v>
      </c>
      <c r="EQ90" s="339" t="str">
        <f t="shared" si="68"/>
        <v>Sa-Pa</v>
      </c>
      <c r="ER90" s="339" t="str">
        <f t="shared" si="69"/>
        <v>-</v>
      </c>
      <c r="ES90" s="340" t="str">
        <f t="shared" si="70"/>
        <v>-</v>
      </c>
      <c r="ET90" s="363"/>
      <c r="EU90" s="376" t="b">
        <f>IFERROR(__xludf.DUMMYFUNCTION("arrayformula(sum(--REGEXMATCH(""SRGMPDNS"",split(REGEXREPLACE(C90,""(.)"",""$1~""),""~""))))=len(C90)
"),FALSE)</f>
        <v>0</v>
      </c>
      <c r="EV90" s="290" t="b">
        <f>IFERROR(__xludf.DUMMYFUNCTION("arrayformula(sum(--REGEXMATCH(""SRGmPDNS"",split(REGEXREPLACE(C90,""(.)"",""$1~""),""~""))))=len(C90)"),FALSE)</f>
        <v>0</v>
      </c>
      <c r="EW90" s="290" t="b">
        <f>IFERROR(__xludf.DUMMYFUNCTION("arrayformula(sum(--REGEXMATCH(""SRGmPDnS"",split(REGEXREPLACE(C90,""(.)"",""$1~""),""~""))))=len(C90)"),FALSE)</f>
        <v>0</v>
      </c>
      <c r="EX90" s="290" t="b">
        <f>IFERROR(__xludf.DUMMYFUNCTION("arrayformula(sum(--REGEXMATCH(""SRgmPDnS"",split(REGEXREPLACE(C90,""(.)"",""$1~""),""~""))))=len(C90)"),FALSE)</f>
        <v>0</v>
      </c>
      <c r="EY90" s="290" t="b">
        <f>IFERROR(__xludf.DUMMYFUNCTION("arrayformula(sum(--REGEXMATCH(""SRgmPdnS"",split(REGEXREPLACE(C90,""(.)"",""$1~""),""~""))))=len(C90)"),FALSE)</f>
        <v>0</v>
      </c>
      <c r="EZ90" s="290" t="b">
        <f>IFERROR(__xludf.DUMMYFUNCTION("arrayformula(sum(--REGEXMATCH(""SrgmPdnS"",split(REGEXREPLACE(C90,""(.)"",""$1~""),""~""))))=len(C90)"),FALSE)</f>
        <v>0</v>
      </c>
      <c r="FA90" s="290" t="b">
        <f>IFERROR(__xludf.DUMMYFUNCTION("arrayformula(sum(--REGEXMATCH(""SrGmPdNS"",split(REGEXREPLACE(C90,""(.)"",""$1~""),""~""))))=len(C90)"),FALSE)</f>
        <v>0</v>
      </c>
      <c r="FB90" s="290" t="b">
        <f>IFERROR(__xludf.DUMMYFUNCTION("arrayformula(sum(--REGEXMATCH(""SrGMPDNS"",split(REGEXREPLACE(C90,""(.)"",""$1~""),""~""))))=len(C90)"),FALSE)</f>
        <v>0</v>
      </c>
      <c r="FC90" s="290" t="b">
        <f>IFERROR(__xludf.DUMMYFUNCTION("arrayformula(sum(--REGEXMATCH(""SrGMPdNS"",split(REGEXREPLACE(C90,""(.)"",""$1~""),""~""))))=len(C90)"),FALSE)</f>
        <v>0</v>
      </c>
      <c r="FD90" s="377" t="b">
        <f>IFERROR(__xludf.DUMMYFUNCTION("arrayformula(sum(--REGEXMATCH(""SrgMPdNS"",split(REGEXREPLACE(C90,""(.)"",""$1~""),""~""))))=len(C90)"),FALSE)</f>
        <v>0</v>
      </c>
      <c r="FE90" s="269" t="str">
        <f t="shared" si="71"/>
        <v>-</v>
      </c>
      <c r="FF90" s="269" t="str">
        <f t="shared" si="72"/>
        <v>xoxxoxoxxxx</v>
      </c>
      <c r="FG90" s="271" t="str">
        <f t="shared" si="73"/>
        <v>-</v>
      </c>
      <c r="FH90" s="269" t="str">
        <f t="shared" si="74"/>
        <v>xxoxoxxxxox</v>
      </c>
      <c r="FI90" s="271" t="str">
        <f t="shared" si="75"/>
        <v>xoxoxxxxoxo</v>
      </c>
      <c r="FJ90" s="271" t="str">
        <f t="shared" si="76"/>
        <v>-</v>
      </c>
      <c r="FK90" s="271" t="str">
        <f t="shared" si="77"/>
        <v>xoxxxxoxoxx</v>
      </c>
      <c r="FL90" s="271" t="str">
        <f t="shared" si="78"/>
        <v>-</v>
      </c>
      <c r="FM90" s="271" t="str">
        <f t="shared" si="79"/>
        <v>xxxxoxoxxox</v>
      </c>
      <c r="FN90" s="271" t="str">
        <f t="shared" si="80"/>
        <v>xxxoxoxxoxo</v>
      </c>
      <c r="FO90" s="274" t="str">
        <f t="shared" si="81"/>
        <v>xxoxoxxoxox</v>
      </c>
      <c r="FP90" s="234" t="str">
        <f t="shared" si="82"/>
        <v>|</v>
      </c>
      <c r="FQ90" s="236" t="str">
        <f t="shared" si="83"/>
        <v>-</v>
      </c>
      <c r="FR90" s="237" t="str">
        <f t="shared" si="84"/>
        <v>|</v>
      </c>
      <c r="FS90" s="236" t="str">
        <f t="shared" si="85"/>
        <v>-</v>
      </c>
      <c r="FT90" s="237" t="str">
        <f t="shared" si="86"/>
        <v>|</v>
      </c>
      <c r="FU90" s="236" t="str">
        <f t="shared" si="87"/>
        <v>|</v>
      </c>
      <c r="FV90" s="237" t="str">
        <f t="shared" si="88"/>
        <v>-</v>
      </c>
      <c r="FW90" s="236" t="str">
        <f t="shared" si="89"/>
        <v>|</v>
      </c>
      <c r="FX90" s="237" t="str">
        <f t="shared" si="90"/>
        <v>-</v>
      </c>
      <c r="FY90" s="236" t="str">
        <f t="shared" si="91"/>
        <v>|</v>
      </c>
      <c r="FZ90" s="237" t="str">
        <f t="shared" si="92"/>
        <v>|</v>
      </c>
      <c r="GA90" s="236" t="str">
        <f t="shared" si="93"/>
        <v>|</v>
      </c>
      <c r="GB90" s="238" t="str">
        <f t="shared" si="94"/>
        <v>|</v>
      </c>
      <c r="GC90" s="244" t="str">
        <f>IFERROR(__xludf.DUMMYFUNCTION("IF(REGEXMATCH(C90, ""S""), ""1"","""")"),"1")</f>
        <v>1</v>
      </c>
      <c r="GD90" s="245" t="str">
        <f>IFERROR(__xludf.DUMMYFUNCTION("IF(REGEXMATCH(C90, ""r""), ""b2"","""")"),"")</f>
        <v/>
      </c>
      <c r="GE90" s="246" t="str">
        <f>IFERROR(__xludf.DUMMYFUNCTION("IF(REGEXMATCH(C90, ""R""), ""2"","""")"),"2")</f>
        <v>2</v>
      </c>
      <c r="GF90" s="246" t="str">
        <f>IFERROR(__xludf.DUMMYFUNCTION("IF(REGEXMATCH(C90, ""g""), ""b3"","""")"),"")</f>
        <v/>
      </c>
      <c r="GG90" s="245" t="str">
        <f>IFERROR(__xludf.DUMMYFUNCTION("IF(REGEXMATCH(C90, ""G""), ""3"","""")"),"3")</f>
        <v>3</v>
      </c>
      <c r="GH90" s="245" t="str">
        <f>IFERROR(__xludf.DUMMYFUNCTION("IF(REGEXMATCH(C90, ""m""), ""4"","""")"),"4")</f>
        <v>4</v>
      </c>
      <c r="GI90" s="246" t="str">
        <f>IFERROR(__xludf.DUMMYFUNCTION("IF(REGEXMATCH(C90, ""M""), ""#4"","""")"),"")</f>
        <v/>
      </c>
      <c r="GJ90" s="245" t="str">
        <f>IFERROR(__xludf.DUMMYFUNCTION("IF(REGEXMATCH(C90, ""P""), ""5"","""")"),"5")</f>
        <v>5</v>
      </c>
      <c r="GK90" s="246" t="str">
        <f>IFERROR(__xludf.DUMMYFUNCTION("IF(REGEXMATCH(C90, ""d""), ""b6"","""")"),"")</f>
        <v/>
      </c>
      <c r="GL90" s="245" t="str">
        <f>IFERROR(__xludf.DUMMYFUNCTION("IF(REGEXMATCH(C90, ""D""), ""6"","""")"),"6")</f>
        <v>6</v>
      </c>
      <c r="GM90" s="245" t="str">
        <f>IFERROR(__xludf.DUMMYFUNCTION("IF(REGEXMATCH(C90, ""n""), ""b7"","""")"),"b7")</f>
        <v>b7</v>
      </c>
      <c r="GN90" s="246" t="str">
        <f>IFERROR(__xludf.DUMMYFUNCTION("IF(REGEXMATCH(C90, ""N""), ""7"","""")"),"7")</f>
        <v>7</v>
      </c>
      <c r="GO90" s="249" t="str">
        <f>IFERROR(__xludf.DUMMYFUNCTION("IF(REGEXMATCH(C90, ""S""), ""8"","""")"),"8")</f>
        <v>8</v>
      </c>
      <c r="GP90" s="244" t="str">
        <f>IFERROR(__xludf.DUMMYFUNCTION("IF(REGEXMATCH(C90, ""S""), ""S"","""")"),"S")</f>
        <v>S</v>
      </c>
      <c r="GQ90" s="294" t="str">
        <f>IFERROR(__xludf.DUMMYFUNCTION("IF(REGEXMATCH(C90, ""r""), ""R1"","""")"),"")</f>
        <v/>
      </c>
      <c r="GR90" s="295" t="str">
        <f>IFERROR(__xludf.DUMMYFUNCTION("IF(REGEXMATCH(C90, ""R""), ""R2"","""")"),"R2")</f>
        <v>R2</v>
      </c>
      <c r="GS90" s="295" t="str">
        <f>IFERROR(__xludf.DUMMYFUNCTION("IF(REGEXMATCH(C90, ""g""), ""G2"","""")"),"")</f>
        <v/>
      </c>
      <c r="GT90" s="294" t="str">
        <f>IFERROR(__xludf.DUMMYFUNCTION("IF(REGEXMATCH(C90, ""G""), ""G3"","""")"),"G3")</f>
        <v>G3</v>
      </c>
      <c r="GU90" s="294" t="str">
        <f>IFERROR(__xludf.DUMMYFUNCTION("IF(REGEXMATCH(C90, ""m""), ""M1"","""")"),"M1")</f>
        <v>M1</v>
      </c>
      <c r="GV90" s="295" t="str">
        <f>IFERROR(__xludf.DUMMYFUNCTION("IF(REGEXMATCH(C90, ""M""), ""M2"","""")"),"")</f>
        <v/>
      </c>
      <c r="GW90" s="294" t="str">
        <f>IFERROR(__xludf.DUMMYFUNCTION("IF(REGEXMATCH(C90, ""P""), ""P"","""")"),"P")</f>
        <v>P</v>
      </c>
      <c r="GX90" s="295" t="str">
        <f>IFERROR(__xludf.DUMMYFUNCTION("IF(REGEXMATCH(C90, ""d""), ""D1"","""")"),"")</f>
        <v/>
      </c>
      <c r="GY90" s="294" t="str">
        <f>IFERROR(__xludf.DUMMYFUNCTION("IF(REGEXMATCH(C90, ""D""), ""D2"","""")"),"D2")</f>
        <v>D2</v>
      </c>
      <c r="GZ90" s="294" t="str">
        <f>IFERROR(__xludf.DUMMYFUNCTION("IF(REGEXMATCH(C90, ""n""), ""N2"","""")"),"N2")</f>
        <v>N2</v>
      </c>
      <c r="HA90" s="295" t="str">
        <f>IFERROR(__xludf.DUMMYFUNCTION("IF(REGEXMATCH(C90, ""N""), ""N3"","""")"),"N3")</f>
        <v>N3</v>
      </c>
      <c r="HB90" s="249" t="str">
        <f>IFERROR(__xludf.DUMMYFUNCTION("IF(REGEXMATCH(C90, ""S""), ""S"","""")"),"S")</f>
        <v>S</v>
      </c>
      <c r="HC90" s="331" t="str">
        <f t="shared" si="95"/>
        <v>S</v>
      </c>
      <c r="HD90" s="332" t="str">
        <f t="shared" si="96"/>
        <v>r</v>
      </c>
      <c r="HE90" s="332" t="str">
        <f t="shared" si="97"/>
        <v>R</v>
      </c>
      <c r="HF90" s="332" t="str">
        <f t="shared" si="98"/>
        <v>g</v>
      </c>
      <c r="HG90" s="332" t="str">
        <f t="shared" si="99"/>
        <v/>
      </c>
      <c r="HH90" s="332" t="str">
        <f t="shared" si="100"/>
        <v>m</v>
      </c>
      <c r="HI90" s="332" t="str">
        <f t="shared" si="101"/>
        <v/>
      </c>
      <c r="HJ90" s="332" t="str">
        <f t="shared" si="102"/>
        <v>P</v>
      </c>
      <c r="HK90" s="332" t="str">
        <f t="shared" si="103"/>
        <v>d</v>
      </c>
      <c r="HL90" s="332" t="str">
        <f t="shared" si="104"/>
        <v/>
      </c>
      <c r="HM90" s="332" t="str">
        <f t="shared" si="105"/>
        <v>n</v>
      </c>
      <c r="HN90" s="332" t="str">
        <f t="shared" si="106"/>
        <v/>
      </c>
      <c r="HO90" s="343" t="str">
        <f t="shared" si="107"/>
        <v>S</v>
      </c>
      <c r="HP90" s="331" t="str">
        <f t="shared" si="108"/>
        <v>o</v>
      </c>
      <c r="HQ90" s="332" t="str">
        <f t="shared" si="109"/>
        <v>•</v>
      </c>
      <c r="HR90" s="332" t="str">
        <f t="shared" si="110"/>
        <v>o</v>
      </c>
      <c r="HS90" s="332" t="str">
        <f t="shared" si="111"/>
        <v>•</v>
      </c>
      <c r="HT90" s="332" t="str">
        <f t="shared" si="112"/>
        <v>o</v>
      </c>
      <c r="HU90" s="332" t="str">
        <f t="shared" si="113"/>
        <v>o</v>
      </c>
      <c r="HV90" s="332" t="str">
        <f t="shared" si="114"/>
        <v>•</v>
      </c>
      <c r="HW90" s="332" t="str">
        <f t="shared" si="115"/>
        <v>o</v>
      </c>
      <c r="HX90" s="332" t="str">
        <f t="shared" si="116"/>
        <v>•</v>
      </c>
      <c r="HY90" s="332" t="str">
        <f t="shared" si="117"/>
        <v>o</v>
      </c>
      <c r="HZ90" s="332" t="str">
        <f t="shared" si="118"/>
        <v>o</v>
      </c>
      <c r="IA90" s="332" t="str">
        <f t="shared" si="119"/>
        <v>o</v>
      </c>
      <c r="IB90" s="338" t="str">
        <f t="shared" si="120"/>
        <v>o</v>
      </c>
      <c r="IC90" s="331" t="str">
        <f t="shared" si="121"/>
        <v>•</v>
      </c>
      <c r="ID90" s="332" t="str">
        <f t="shared" si="122"/>
        <v>o</v>
      </c>
      <c r="IE90" s="332" t="str">
        <f t="shared" si="123"/>
        <v>•</v>
      </c>
      <c r="IF90" s="332" t="str">
        <f t="shared" si="124"/>
        <v>o</v>
      </c>
      <c r="IG90" s="332" t="str">
        <f t="shared" si="125"/>
        <v>•</v>
      </c>
      <c r="IH90" s="332" t="str">
        <f t="shared" si="126"/>
        <v>•</v>
      </c>
      <c r="II90" s="332" t="str">
        <f t="shared" si="127"/>
        <v>o</v>
      </c>
      <c r="IJ90" s="332" t="str">
        <f t="shared" si="128"/>
        <v>•</v>
      </c>
      <c r="IK90" s="332" t="str">
        <f t="shared" si="129"/>
        <v>o</v>
      </c>
      <c r="IL90" s="332" t="str">
        <f t="shared" si="130"/>
        <v>•</v>
      </c>
      <c r="IM90" s="332" t="str">
        <f t="shared" si="131"/>
        <v>•</v>
      </c>
      <c r="IN90" s="332" t="str">
        <f t="shared" si="132"/>
        <v>•</v>
      </c>
      <c r="IO90" s="338" t="str">
        <f t="shared" si="133"/>
        <v>•</v>
      </c>
      <c r="IP90" s="346" t="b">
        <f t="shared" si="134"/>
        <v>0</v>
      </c>
      <c r="IQ90" s="347" t="b">
        <f t="shared" si="135"/>
        <v>0</v>
      </c>
      <c r="IR90" s="347" t="b">
        <f t="shared" si="136"/>
        <v>0</v>
      </c>
      <c r="IS90" s="347" t="b">
        <f t="shared" si="137"/>
        <v>0</v>
      </c>
      <c r="IT90" s="347" t="b">
        <f t="shared" si="138"/>
        <v>0</v>
      </c>
      <c r="IU90" s="347" t="b">
        <f t="shared" si="139"/>
        <v>0</v>
      </c>
      <c r="IV90" s="347" t="b">
        <f t="shared" si="140"/>
        <v>0</v>
      </c>
      <c r="IW90" s="347" t="b">
        <f t="shared" si="141"/>
        <v>0</v>
      </c>
      <c r="IX90" s="347" t="b">
        <f t="shared" si="142"/>
        <v>0</v>
      </c>
      <c r="IY90" s="347" t="b">
        <f t="shared" si="143"/>
        <v>0</v>
      </c>
      <c r="IZ90" s="347" t="b">
        <f t="shared" si="144"/>
        <v>0</v>
      </c>
      <c r="JA90" s="347" t="b">
        <f t="shared" si="145"/>
        <v>1</v>
      </c>
      <c r="JB90" s="353" t="b">
        <f t="shared" si="146"/>
        <v>0</v>
      </c>
      <c r="JC90" s="354" t="str">
        <f t="shared" si="147"/>
        <v/>
      </c>
      <c r="JD90" s="355" t="str">
        <f t="shared" si="148"/>
        <v/>
      </c>
      <c r="JE90" s="355" t="str">
        <f t="shared" si="149"/>
        <v/>
      </c>
      <c r="JF90" s="355" t="str">
        <f t="shared" si="150"/>
        <v/>
      </c>
      <c r="JG90" s="355" t="str">
        <f t="shared" si="151"/>
        <v/>
      </c>
      <c r="JH90" s="355" t="str">
        <f t="shared" si="152"/>
        <v/>
      </c>
      <c r="JI90" s="355" t="str">
        <f t="shared" si="153"/>
        <v/>
      </c>
      <c r="JJ90" s="355" t="str">
        <f t="shared" si="154"/>
        <v/>
      </c>
      <c r="JK90" s="355" t="str">
        <f t="shared" si="155"/>
        <v/>
      </c>
      <c r="JL90" s="355" t="str">
        <f t="shared" si="156"/>
        <v/>
      </c>
      <c r="JM90" s="355" t="str">
        <f t="shared" si="157"/>
        <v/>
      </c>
      <c r="JN90" s="355" t="str">
        <f t="shared" si="158"/>
        <v>Ni, </v>
      </c>
      <c r="JO90" s="359" t="str">
        <f t="shared" si="159"/>
        <v/>
      </c>
      <c r="JP90" s="346" t="b">
        <f t="shared" si="160"/>
        <v>0</v>
      </c>
      <c r="JQ90" s="347" t="b">
        <f t="shared" si="161"/>
        <v>0</v>
      </c>
      <c r="JR90" s="347" t="b">
        <f t="shared" si="162"/>
        <v>0</v>
      </c>
      <c r="JS90" s="347" t="b">
        <f t="shared" si="163"/>
        <v>0</v>
      </c>
      <c r="JT90" s="347" t="b">
        <f t="shared" si="164"/>
        <v>0</v>
      </c>
      <c r="JU90" s="347" t="b">
        <f t="shared" si="165"/>
        <v>0</v>
      </c>
      <c r="JV90" s="347" t="b">
        <f t="shared" si="166"/>
        <v>0</v>
      </c>
      <c r="JW90" s="347" t="b">
        <f t="shared" si="167"/>
        <v>0</v>
      </c>
      <c r="JX90" s="347" t="b">
        <f t="shared" si="168"/>
        <v>0</v>
      </c>
      <c r="JY90" s="347" t="b">
        <f t="shared" si="169"/>
        <v>0</v>
      </c>
      <c r="JZ90" s="347" t="b">
        <f t="shared" si="170"/>
        <v>0</v>
      </c>
      <c r="KA90" s="347" t="b">
        <f t="shared" si="171"/>
        <v>0</v>
      </c>
      <c r="KB90" s="365" t="b">
        <f t="shared" si="172"/>
        <v>0</v>
      </c>
      <c r="KC90" s="354" t="str">
        <f t="shared" si="173"/>
        <v/>
      </c>
      <c r="KD90" s="355" t="str">
        <f t="shared" si="174"/>
        <v/>
      </c>
      <c r="KE90" s="355" t="str">
        <f t="shared" si="175"/>
        <v/>
      </c>
      <c r="KF90" s="355" t="str">
        <f t="shared" si="176"/>
        <v/>
      </c>
      <c r="KG90" s="355" t="str">
        <f t="shared" si="177"/>
        <v/>
      </c>
      <c r="KH90" s="355" t="str">
        <f t="shared" si="178"/>
        <v/>
      </c>
      <c r="KI90" s="355" t="str">
        <f t="shared" si="179"/>
        <v/>
      </c>
      <c r="KJ90" s="355" t="str">
        <f t="shared" si="180"/>
        <v/>
      </c>
      <c r="KK90" s="355" t="str">
        <f t="shared" si="181"/>
        <v/>
      </c>
      <c r="KL90" s="355" t="str">
        <f t="shared" si="182"/>
        <v/>
      </c>
      <c r="KM90" s="355" t="str">
        <f t="shared" si="183"/>
        <v/>
      </c>
      <c r="KN90" s="355" t="str">
        <f t="shared" si="184"/>
        <v/>
      </c>
      <c r="KO90" s="359"/>
      <c r="KP90" s="378"/>
      <c r="KQ90" s="379" t="s">
        <v>721</v>
      </c>
      <c r="KR90" s="380" t="s">
        <v>1284</v>
      </c>
      <c r="KS90" s="381" t="str">
        <f t="shared" si="380"/>
        <v>S-R-m-P-D-n-S</v>
      </c>
      <c r="KT90" s="382">
        <f t="shared" si="186"/>
        <v>6</v>
      </c>
      <c r="KU90" s="383">
        <f t="shared" si="187"/>
        <v>6</v>
      </c>
      <c r="KV90" s="381" t="str">
        <f t="shared" si="205"/>
        <v>S-Nn-D-P-m-G-R-S</v>
      </c>
      <c r="KW90" s="382">
        <f t="shared" si="189"/>
        <v>7</v>
      </c>
      <c r="KX90" s="384">
        <f t="shared" si="190"/>
        <v>8</v>
      </c>
      <c r="KY90" s="382">
        <f t="shared" ref="KY90:KZ90" si="381">KW90-KT90</f>
        <v>1</v>
      </c>
      <c r="KZ90" s="369">
        <f t="shared" si="381"/>
        <v>2</v>
      </c>
      <c r="LA90" s="385" t="str">
        <f t="shared" si="192"/>
        <v>-</v>
      </c>
      <c r="LB90" s="340" t="str">
        <f>IFERROR(__xludf.DUMMYFUNCTION("JOIN("""",ArrayFormula(MID(KS90,LEN(KS90)-SEQUENCE(1,LEN(KS90))+1,1)))"),"S-n-D-P-m-R-S")</f>
        <v>S-n-D-P-m-R-S</v>
      </c>
      <c r="LC90" s="373" t="str">
        <f>IFERROR(__xludf.DUMMYFUNCTION("JOIN("""",ArrayFormula(MID(KV90,LEN(KV90)-SEQUENCE(1,LEN(KV90))+1,1)))"),"S-R-G-m-P-D-nN-S")</f>
        <v>S-R-G-m-P-D-nN-S</v>
      </c>
      <c r="LD90" s="373" t="str">
        <f t="shared" si="193"/>
        <v>SRmPDnS</v>
      </c>
      <c r="LE90" s="339" t="str">
        <f t="shared" si="194"/>
        <v>SRGmPDnNS</v>
      </c>
      <c r="LF90" s="386" t="str">
        <f>IFERROR(__xludf.DUMMYFUNCTION("SUBSTITUTE(SUBSTITUTE(CONCATENATE(JOIN("""",LH90:LT90)),""1"",""""),""2"","""")"),"SRGmPDnNS")</f>
        <v>SRGmPDnNS</v>
      </c>
      <c r="LG90" s="369" t="str">
        <f t="shared" si="195"/>
        <v>✔</v>
      </c>
      <c r="LH90" s="387" t="str">
        <f>IFERROR(__xludf.DUMMYFUNCTION("IF(REGEXMATCH(LD90, ""S""), ""S"",IF(REGEXMATCH(LE90, ""S""), ""S"",""""))"),"S")</f>
        <v>S</v>
      </c>
      <c r="LI90" s="299" t="str">
        <f>IFERROR(__xludf.DUMMYFUNCTION("IF(REGEXMATCH(LD90, ""r""), ""r1"",IF(REGEXMATCH(LE90, ""r""), ""r2"",""""))"),"")</f>
        <v/>
      </c>
      <c r="LJ90" s="299" t="str">
        <f>IFERROR(__xludf.DUMMYFUNCTION("IF(REGEXMATCH(LD90, ""R""), ""R1"",IF(REGEXMATCH(LE90, ""R""), ""R2"",""""))"),"R1")</f>
        <v>R1</v>
      </c>
      <c r="LK90" s="299" t="str">
        <f>IFERROR(__xludf.DUMMYFUNCTION("IF(REGEXMATCH(LD90, ""g""), ""g1"",IF(REGEXMATCH(LE90, ""g""), ""g2"",""""))"),"")</f>
        <v/>
      </c>
      <c r="LL90" s="299" t="str">
        <f>IFERROR(__xludf.DUMMYFUNCTION("IF(REGEXMATCH(LD90, ""G""), ""G1"",IF(REGEXMATCH(LE90, ""G""), ""G2"",""""))"),"G2")</f>
        <v>G2</v>
      </c>
      <c r="LM90" s="299" t="str">
        <f>IFERROR(__xludf.DUMMYFUNCTION("IF(REGEXMATCH(LD90, ""m""), ""m1"",IF(REGEXMATCH(LE90, ""m""), ""m2"",""""))"),"m1")</f>
        <v>m1</v>
      </c>
      <c r="LN90" s="299" t="str">
        <f>IFERROR(__xludf.DUMMYFUNCTION("IF(REGEXMATCH(LD90, ""M""), ""M1"",IF(REGEXMATCH(LE90, ""M""), ""M2"",""""))"),"")</f>
        <v/>
      </c>
      <c r="LO90" s="299" t="str">
        <f>IFERROR(__xludf.DUMMYFUNCTION("IF(REGEXMATCH(LD90, ""P""), ""P1"",IF(REGEXMATCH(LE90, ""P""), ""P2"",""""))"),"P1")</f>
        <v>P1</v>
      </c>
      <c r="LP90" s="299" t="str">
        <f>IFERROR(__xludf.DUMMYFUNCTION("IF(REGEXMATCH(LD90, ""d""), ""d1"",IF(REGEXMATCH(LE90, ""d""), ""d2"",""""))"),"")</f>
        <v/>
      </c>
      <c r="LQ90" s="299" t="str">
        <f>IFERROR(__xludf.DUMMYFUNCTION("IF(REGEXMATCH(LD90, ""D""), ""D1"",IF(REGEXMATCH(LE90, ""D""), ""D2"",""""))"),"D1")</f>
        <v>D1</v>
      </c>
      <c r="LR90" s="299" t="str">
        <f>IFERROR(__xludf.DUMMYFUNCTION("IF(REGEXMATCH(LD90, ""n""), ""n1"",IF(REGEXMATCH(LE90, ""n""), ""n2"",""""))"),"n1")</f>
        <v>n1</v>
      </c>
      <c r="LS90" s="299" t="str">
        <f>IFERROR(__xludf.DUMMYFUNCTION("IF(REGEXMATCH(LD90, ""N""), ""N1"",IF(REGEXMATCH(LE90, ""N""), ""N2"",""""))"),"N2")</f>
        <v>N2</v>
      </c>
      <c r="LT90" s="388" t="str">
        <f>IFERROR(__xludf.DUMMYFUNCTION("IF(REGEXMATCH(LD90, ""S""), ""S"",IF(REGEXMATCH(LE90, ""S""), ""S"",""""))"),"S")</f>
        <v>S</v>
      </c>
      <c r="LU90" s="389">
        <f t="shared" si="196"/>
        <v>-2</v>
      </c>
      <c r="LV90" s="378"/>
      <c r="LW90" s="369"/>
      <c r="LX90" s="369"/>
    </row>
    <row r="91" ht="18.0" customHeight="1">
      <c r="A91" s="298" t="s">
        <v>683</v>
      </c>
      <c r="B91" s="222" t="s">
        <v>619</v>
      </c>
      <c r="C91" s="233" t="str">
        <f t="shared" si="7"/>
        <v>SRGPDS</v>
      </c>
      <c r="D91" s="234" t="str">
        <f>IFERROR(__xludf.DUMMYFUNCTION("IF(REGEXMATCH(C91, ""S""), ""S"","""")"),"S")</f>
        <v>S</v>
      </c>
      <c r="E91" s="236" t="str">
        <f>IFERROR(__xludf.DUMMYFUNCTION("IF(REGEXMATCH(C91, ""r""), ""r"","""")"),"")</f>
        <v/>
      </c>
      <c r="F91" s="237" t="str">
        <f>IFERROR(__xludf.DUMMYFUNCTION("IF(REGEXMATCH(C91, ""R""), ""R"","""")"),"R")</f>
        <v>R</v>
      </c>
      <c r="G91" s="237" t="str">
        <f>IFERROR(__xludf.DUMMYFUNCTION("IF(REGEXMATCH(C91, ""g""), ""g"","""")"),"")</f>
        <v/>
      </c>
      <c r="H91" s="236" t="str">
        <f>IFERROR(__xludf.DUMMYFUNCTION("IF(REGEXMATCH(C91, ""G""), ""G"","""")"),"G")</f>
        <v>G</v>
      </c>
      <c r="I91" s="236" t="str">
        <f>IFERROR(__xludf.DUMMYFUNCTION("IF(REGEXMATCH(C91, ""m""), ""m"","""")"),"")</f>
        <v/>
      </c>
      <c r="J91" s="237" t="str">
        <f>IFERROR(__xludf.DUMMYFUNCTION("IF(REGEXMATCH(C91, ""M""), ""M"","""")"),"")</f>
        <v/>
      </c>
      <c r="K91" s="236" t="str">
        <f>IFERROR(__xludf.DUMMYFUNCTION("IF(REGEXMATCH(C91, ""P""), ""P"","""")"),"P")</f>
        <v>P</v>
      </c>
      <c r="L91" s="237" t="str">
        <f>IFERROR(__xludf.DUMMYFUNCTION("IF(REGEXMATCH(C91, ""d""), ""d"","""")"),"")</f>
        <v/>
      </c>
      <c r="M91" s="236" t="str">
        <f>IFERROR(__xludf.DUMMYFUNCTION("IF(REGEXMATCH(C91, ""D""), ""D"","""")"),"D")</f>
        <v>D</v>
      </c>
      <c r="N91" s="236" t="str">
        <f>IFERROR(__xludf.DUMMYFUNCTION("IF(REGEXMATCH(C91, ""n""), ""n"","""")"),"")</f>
        <v/>
      </c>
      <c r="O91" s="237" t="str">
        <f>IFERROR(__xludf.DUMMYFUNCTION("IF(REGEXMATCH(C91, ""N""), ""N"","""")"),"")</f>
        <v/>
      </c>
      <c r="P91" s="238" t="str">
        <f>IFERROR(__xludf.DUMMYFUNCTION("IF(REGEXMATCH(C91, ""S""), ""S"","""")"),"S")</f>
        <v>S</v>
      </c>
      <c r="Q91" s="239" t="str">
        <f>IFERROR(__xludf.DUMMYFUNCTION("SUBSTITUTE(CONCATENATE(JOIN(""-"",D91:J91)),""-"","""")"),"SRG")</f>
        <v>SRG</v>
      </c>
      <c r="R91" s="229" t="str">
        <f>IFERROR(__xludf.DUMMYFUNCTION("SUBSTITUTE(CONCATENATE(JOIN(""-"",K91:P91)),""-"","""")"),"PDS")</f>
        <v>PDS</v>
      </c>
      <c r="S91" s="282" t="str">
        <f t="shared" si="8"/>
        <v>S-R-G-</v>
      </c>
      <c r="T91" s="282" t="str">
        <f t="shared" si="9"/>
        <v>P-D-S</v>
      </c>
      <c r="U91" s="237" t="str">
        <f>IFERROR(__xludf.DUMMYFUNCTION("SUBSTITUTE(JOIN(""-"",S91,T91),""--"",""-"")"),"S-R-G-P-D-S")</f>
        <v>S-R-G-P-D-S</v>
      </c>
      <c r="V91" s="309" t="str">
        <f t="shared" si="10"/>
        <v>RGD</v>
      </c>
      <c r="W91" s="244" t="str">
        <f>IFERROR(__xludf.DUMMYFUNCTION("IF(REGEXMATCH(C91, ""S""), ""0"","""")"),"0")</f>
        <v>0</v>
      </c>
      <c r="X91" s="245" t="str">
        <f>IFERROR(__xludf.DUMMYFUNCTION("IF(REGEXMATCH(C91, ""r""), ""1"","""")"),"")</f>
        <v/>
      </c>
      <c r="Y91" s="246" t="str">
        <f>IFERROR(__xludf.DUMMYFUNCTION("IF(REGEXMATCH(C91, ""R""), ""2"","""")"),"2")</f>
        <v>2</v>
      </c>
      <c r="Z91" s="246" t="str">
        <f>IFERROR(__xludf.DUMMYFUNCTION("IF(REGEXMATCH(C91, ""g""), ""3"","""")"),"")</f>
        <v/>
      </c>
      <c r="AA91" s="245" t="str">
        <f>IFERROR(__xludf.DUMMYFUNCTION("IF(REGEXMATCH(C91, ""G""), ""4"","""")"),"4")</f>
        <v>4</v>
      </c>
      <c r="AB91" s="245" t="str">
        <f>IFERROR(__xludf.DUMMYFUNCTION("IF(REGEXMATCH(C91, ""m""), ""5"","""")"),"")</f>
        <v/>
      </c>
      <c r="AC91" s="246" t="str">
        <f>IFERROR(__xludf.DUMMYFUNCTION("IF(REGEXMATCH(C91, ""M""), ""6"","""")"),"")</f>
        <v/>
      </c>
      <c r="AD91" s="245" t="str">
        <f>IFERROR(__xludf.DUMMYFUNCTION("IF(REGEXMATCH(C91, ""P""), ""7"","""")"),"7")</f>
        <v>7</v>
      </c>
      <c r="AE91" s="246" t="str">
        <f>IFERROR(__xludf.DUMMYFUNCTION("IF(REGEXMATCH(C91, ""d""), ""8"","""")"),"")</f>
        <v/>
      </c>
      <c r="AF91" s="245" t="str">
        <f>IFERROR(__xludf.DUMMYFUNCTION("IF(REGEXMATCH(C91, ""D""), ""9"","""")"),"9")</f>
        <v>9</v>
      </c>
      <c r="AG91" s="245" t="str">
        <f>IFERROR(__xludf.DUMMYFUNCTION("IF(REGEXMATCH(C91, ""n""), ""10"","""")"),"")</f>
        <v/>
      </c>
      <c r="AH91" s="246" t="str">
        <f>IFERROR(__xludf.DUMMYFUNCTION("IF(REGEXMATCH(C91, ""N""), ""11"","""")"),"")</f>
        <v/>
      </c>
      <c r="AI91" s="249" t="str">
        <f>IFERROR(__xludf.DUMMYFUNCTION("IF(REGEXMATCH(C91, ""S""), ""0"","""")"),"0")</f>
        <v>0</v>
      </c>
      <c r="AJ91" s="313" t="str">
        <f t="shared" si="11"/>
        <v>-</v>
      </c>
      <c r="AK91" s="313" t="str">
        <f t="shared" si="12"/>
        <v>-</v>
      </c>
      <c r="AL91" s="313" t="str">
        <f t="shared" si="13"/>
        <v>-</v>
      </c>
      <c r="AM91" s="313" t="str">
        <f t="shared" si="14"/>
        <v>-</v>
      </c>
      <c r="AN91" s="313" t="str">
        <f t="shared" si="15"/>
        <v>-</v>
      </c>
      <c r="AO91" s="314" t="str">
        <f t="shared" si="16"/>
        <v>-</v>
      </c>
      <c r="AP91" s="316">
        <f t="shared" si="17"/>
        <v>0</v>
      </c>
      <c r="AQ91" s="319" t="str">
        <f t="shared" si="18"/>
        <v>-</v>
      </c>
      <c r="AR91" s="320">
        <f t="shared" si="19"/>
        <v>0</v>
      </c>
      <c r="AS91" s="250" t="str">
        <f>IFERROR(__xludf.DUMMYFUNCTION("SUBSTITUTE(SUBSTITUTE(CONCATENATE(JOIN("""",FP91:GA91)),""|"",""x""),""-"",""o"")"),"xoxoxooxoxoo")</f>
        <v>xoxoxooxoxoo</v>
      </c>
      <c r="AT91" s="323" t="str">
        <f>IFERROR(__xludf.DUMMYFUNCTION("JOIN("""",AS91,AS91)"),"xoxoxooxoxooxoxoxooxoxoo")</f>
        <v>xoxoxooxoxooxoxoxooxoxoo</v>
      </c>
      <c r="AU91" s="256" t="str">
        <f>IFERROR(__xludf.DUMMYFUNCTION("JOIN("""",ArrayFormula(MID(AS91,LEN(AS91)-SEQUENCE(1,LEN(AS91))+1,1)))"),"ooxoxooxoxox")</f>
        <v>ooxoxooxoxox</v>
      </c>
      <c r="AV91" s="256" t="str">
        <f>IFERROR(__xludf.DUMMYFUNCTION("LEFT(CONCATENATE(""x"",JOIN("""",ArrayFormula(MID(AS91,LEN(AS91)-SEQUENCE(1,LEN(AS91))+1,1)))),12)"),"xooxoxooxoxo")</f>
        <v>xooxoxooxoxo</v>
      </c>
      <c r="AW91" s="327" t="str">
        <f>IFERROR(__xludf.DUMMYFUNCTION("JOIN("""",AU91,AU91)"),"ooxoxooxoxoxooxoxooxoxox")</f>
        <v>ooxoxooxoxoxooxoxooxoxox</v>
      </c>
      <c r="AX91" s="239" t="str">
        <f>IFERROR(__xludf.DUMMYFUNCTION("IF(REGEXMATCH(AW91,AS91),""✔"",""-"")"),"✔")</f>
        <v>✔</v>
      </c>
      <c r="AY91" s="330" t="str">
        <f t="shared" si="20"/>
        <v>-</v>
      </c>
      <c r="AZ91" s="260" t="str">
        <f t="shared" si="21"/>
        <v>#REF!</v>
      </c>
      <c r="BA91" s="333" t="str">
        <f t="shared" si="22"/>
        <v>xoxoxoo</v>
      </c>
      <c r="BB91" s="334" t="str">
        <f t="shared" si="23"/>
        <v>xoxoox</v>
      </c>
      <c r="BC91" s="335" t="str">
        <f t="shared" si="236"/>
        <v>-</v>
      </c>
      <c r="BD91" s="336" t="str">
        <f t="shared" si="25"/>
        <v>Deshkar: 'xoxoxoo' + 'xoxoox'</v>
      </c>
      <c r="BE91" s="337">
        <f>IFERROR(__xludf.DUMMYFUNCTION("COUNTUNIQUE(FILTER(AT:AT,REGEXMATCH(AT:AT,AS91)))-1"),4.0)</f>
        <v>4</v>
      </c>
      <c r="BF91" s="261" t="str">
        <f>IFERROR(__xludf.DUMMYFUNCTION("IF(BI91=0,""(n/a)"",IF(BJ91=2,""(PAIR)"",IF(REGEXMATCH(AT91,""xoxoxxoxoxox""),""Bilawal"",IF(REGEXMATCH(AT91,""xoxoxooxoxoo""),""Bhupali"",IF(REGEXMATCH(AT91,""xoxoxxoxxoxo""),""Charukeshi"",IF(REGEXMATCH(AT91,""xoxoooxxoxxo""),""Kameshwari"",IF(REGEXMATC"&amp;"H(AT91,""xoxoxooxoxox""),""Shankara"",IF(REGEXMATCH(AT91,""xxooxoxxxoox""),""Basant"",IF(REGEXMATCH(AT91,""xoxoxxxxoxox""),""Bihag"",IF(REGEXMATCH(AT91,""xoxxxxoxoxxx""),""Pilu"",IF(REGEXMATCH(AT91,""xoxxoxoxxoox""),""Kirwani"",IF(REGEXMATCH(AT91,""xoxxox"&amp;"oxoxxx""),""Mk.Malhar"",IF(REGEXMATCH(AT91,""xxooxxoxxoox""),""Bhairav"",IF(REGEXMATCH(AT91,""xxoxooxxxoox""),""Todi"",IF(REGEXMATCH(AT91,""xxooxoxooxox""),""Marwa"",IF(REGEXMATCH(AT91,""xxoooxoxxooo""),""Gunkali"",IF(REGEXMATCH(AT91,""xoxoxxoxxoox""),""N"&amp;"at Bhairav"",IF(REGEXMATCH(AT91,""xoxxoooxoxoo""),""Shivranjani"",IF(REGEXMATCH(AT91,""xooxxxoxooxo""),""Jog"",IF(REGEXMATCH(AT91,""xxooxoxoxoox""),""Hemshri"",IF(REGEXMATCH(AT91,""xoooxooxoxxo""),""Kalavati"",IF(REGEXMATCH(AT91,""xxoxoxxoxoox""),""Kedar"&amp;""",IF(REGEXMATCH(AT91,""xoxxxxoxooxx""),""Gara"",IF(REGEXMATCH(AT91,""xooxoxooxoox""),""Chandrakauns"",IF(REGEXMATCH(AT91,""xoxxxxoxxxox""),""Mand"",IF(REGEXMATCH(AT91,""xoxxxxoxoxox""),""Hanskinkini"",IF(REGEXMATCH(AT91,""xxooxxoxooxo""),""Lilavati"",IF("&amp;"REGEXMATCH(AT91,""xooxoxoooxox""),""Rajeshwari"",IF(REGEXMATCH(AT91,""xoooxxoxoxxx""),""Khokar"",IF(REGEXMATCH(AT91,""xxooxoxxxxox""),""Maligoura"",""-""))))))))))))))))))))))))))))))"),"Bhupali")</f>
        <v>Bhupali</v>
      </c>
      <c r="BG91" s="239" t="str">
        <f t="shared" si="26"/>
        <v>#REF!</v>
      </c>
      <c r="BH91" s="239">
        <f>IFERROR(__xludf.DUMMYFUNCTION("COUNTUNIQUE(FE91:FO91)-1"),4.0)</f>
        <v>4</v>
      </c>
      <c r="BI91" s="239">
        <f>IFERROR(__xludf.DUMMYFUNCTION("COUNTUNIQUE(FILTER(AT:AT,REGEXMATCH(AT:AT,AS91)))-1"),4.0)</f>
        <v>4</v>
      </c>
      <c r="BJ91" s="239">
        <f>IFERROR(__xludf.DUMMYFUNCTION("COUNTA(FILTER(AT:AT,REGEXMATCH(AT:AT,AS91)))"),11.0)</f>
        <v>11</v>
      </c>
      <c r="BK91" s="341">
        <f>IFERROR(__xludf.DUMMYFUNCTION("COUNTA(FILTER(AT:AT,REGEXMATCH(AT:AT,AS91)))-AR91"),11.0)</f>
        <v>11</v>
      </c>
      <c r="BL91" s="276" t="str">
        <f>IFERROR(__xludf.DUMMYFUNCTION("IF(AS91=""oooooooooooo"",""-"",IF(REGEXMATCH(AT91,""xx""), ""Hemi."", ""Anhemi.""))"),"Anhemi.")</f>
        <v>Anhemi.</v>
      </c>
      <c r="BM91" s="282" t="str">
        <f>IFERROR(__xludf.DUMMYFUNCTION("IF(AS91=""oooooooooooo"",""-"",IF(REGEXMATCH(AT91,""xxx""), ""Cohem."", ""-""))"),"-")</f>
        <v>-</v>
      </c>
      <c r="BN91" s="282" t="str">
        <f>IFERROR(__xludf.DUMMYFUNCTION("IF(AS91=""oooooooooooo"",""-"",IF(REGEXMATCH(AT91,""xxxx""), ""Co-Co."", ""-""))"),"-")</f>
        <v>-</v>
      </c>
      <c r="BO91" s="342" t="str">
        <f>IFERROR(__xludf.DUMMYFUNCTION("IF(AS91=""oooooooooooo"",""-"",IF(REGEXMATCH(AT91,""xxxxx""), ""CCC."", ""-""))"),"-")</f>
        <v>-</v>
      </c>
      <c r="BP91" s="344" t="str">
        <f t="shared" si="27"/>
        <v>-</v>
      </c>
      <c r="BQ91" s="282" t="str">
        <f>IFERROR(__xludf.DUMMYFUNCTION("IF(REGEXMATCH(JOIN(""-"",EU91:FD91),""TRUE""),""✔"",""-"")"),"✔")</f>
        <v>✔</v>
      </c>
      <c r="BR91" s="225">
        <f t="shared" si="28"/>
        <v>3</v>
      </c>
      <c r="BS91" s="345" t="str">
        <f>IFERROR(__xludf.DUMMYFUNCTION("SUBSTITUTE(SUBSTITUTE(SUBSTITUTE(SUBSTITUTE(CONCATENATE(JOIN(""-"",GC91:GO91)),""--"",""-""),""--"",""-""),""--"",""-""),""--"",""-"")"),"1-2-3-5-6-8")</f>
        <v>1-2-3-5-6-8</v>
      </c>
      <c r="BT91" s="299" t="str">
        <f>IFERROR(__xludf.DUMMYFUNCTION("SUBSTITUTE(SUBSTITUTE(SUBSTITUTE(SUBSTITUTE(CONCATENATE(JOIN(""-"",GP91:HB91)),""--"",""-""),""--"",""-""),""--"",""-""),""--"",""-"")"),"S-R2-G3-P-D2-S")</f>
        <v>S-R2-G3-P-D2-S</v>
      </c>
      <c r="BU91" s="348" t="str">
        <f t="shared" si="29"/>
        <v>C-D-E-G-A-C</v>
      </c>
      <c r="BV91" s="349" t="str">
        <f t="shared" si="30"/>
        <v>SrgmMdnNS</v>
      </c>
      <c r="BW91" s="350">
        <f t="shared" si="31"/>
        <v>0</v>
      </c>
      <c r="BX91" s="351">
        <f t="shared" si="32"/>
        <v>4</v>
      </c>
      <c r="BY91" s="392"/>
      <c r="BZ91" s="309" t="str">
        <f>IFERROR(__xludf.DUMMYFUNCTION("IF(REGEXMATCH(C91, ""S""), ""x"",""x"")"),"x")</f>
        <v>x</v>
      </c>
      <c r="CA91" s="245" t="str">
        <f>IFERROR(__xludf.DUMMYFUNCTION("IF(REGEXMATCH(C91, ""r""), ""o"",""x"")"),"x")</f>
        <v>x</v>
      </c>
      <c r="CB91" s="246" t="str">
        <f>IFERROR(__xludf.DUMMYFUNCTION("IF(REGEXMATCH(C91, ""R""), ""o"",""x"")"),"o")</f>
        <v>o</v>
      </c>
      <c r="CC91" s="246" t="str">
        <f>IFERROR(__xludf.DUMMYFUNCTION("IF(REGEXMATCH(C91, ""g""), ""o"",""x"")"),"x")</f>
        <v>x</v>
      </c>
      <c r="CD91" s="245" t="str">
        <f>IFERROR(__xludf.DUMMYFUNCTION("IF(REGEXMATCH(C91, ""G""), ""o"",""x"")"),"o")</f>
        <v>o</v>
      </c>
      <c r="CE91" s="245" t="str">
        <f>IFERROR(__xludf.DUMMYFUNCTION("IF(REGEXMATCH(C91, ""m""), ""o"",""x"")"),"x")</f>
        <v>x</v>
      </c>
      <c r="CF91" s="246" t="str">
        <f>IFERROR(__xludf.DUMMYFUNCTION("IF(REGEXMATCH(C91, ""M""), ""o"",""x"")"),"x")</f>
        <v>x</v>
      </c>
      <c r="CG91" s="245" t="str">
        <f>IFERROR(__xludf.DUMMYFUNCTION("IF(REGEXMATCH(C91, ""P""), ""o"",""x"")"),"o")</f>
        <v>o</v>
      </c>
      <c r="CH91" s="246" t="str">
        <f>IFERROR(__xludf.DUMMYFUNCTION("IF(REGEXMATCH(C91, ""d""), ""o"",""x"")"),"x")</f>
        <v>x</v>
      </c>
      <c r="CI91" s="245" t="str">
        <f>IFERROR(__xludf.DUMMYFUNCTION("IF(REGEXMATCH(C91, ""D""), ""o"",""x"")"),"o")</f>
        <v>o</v>
      </c>
      <c r="CJ91" s="245" t="str">
        <f>IFERROR(__xludf.DUMMYFUNCTION("IF(REGEXMATCH(C91, ""n""), ""o"",""x"")"),"x")</f>
        <v>x</v>
      </c>
      <c r="CK91" s="245" t="str">
        <f>IFERROR(__xludf.DUMMYFUNCTION("IF(REGEXMATCH(C91, ""N""), ""o"",""x"")"),"x")</f>
        <v>x</v>
      </c>
      <c r="CL91" s="356" t="str">
        <f>IFERROR(__xludf.DUMMYFUNCTION("IF(REGEXMATCH(C91, ""S""), ""x"",""x"")"),"x")</f>
        <v>x</v>
      </c>
      <c r="CM91" s="357" t="str">
        <f t="shared" si="33"/>
        <v>xxoxoxxoxoxx</v>
      </c>
      <c r="CN91" s="358">
        <f t="shared" si="34"/>
        <v>0</v>
      </c>
      <c r="CO91" s="246" t="str">
        <f>IFERROR(__xludf.DUMMYFUNCTION("IF(REGEXMATCH($C91, ""S""), ""S"",""S"")"),"S")</f>
        <v>S</v>
      </c>
      <c r="CP91" s="246" t="str">
        <f>IFERROR(__xludf.DUMMYFUNCTION("IF(REGEXMATCH($C91, ""r""), """",""r"")"),"r")</f>
        <v>r</v>
      </c>
      <c r="CQ91" s="246" t="str">
        <f>IFERROR(__xludf.DUMMYFUNCTION("IF(REGEXMATCH($C91, ""R""), """",""R"")"),"")</f>
        <v/>
      </c>
      <c r="CR91" s="246" t="str">
        <f>IFERROR(__xludf.DUMMYFUNCTION("IF(REGEXMATCH($C91, ""g""), """",""g"")"),"g")</f>
        <v>g</v>
      </c>
      <c r="CS91" s="246" t="str">
        <f>IFERROR(__xludf.DUMMYFUNCTION("IF(REGEXMATCH($C91, ""G""), """",""G"")"),"")</f>
        <v/>
      </c>
      <c r="CT91" s="246" t="str">
        <f>IFERROR(__xludf.DUMMYFUNCTION("IF(REGEXMATCH($C91, ""m""), """",""m"")"),"m")</f>
        <v>m</v>
      </c>
      <c r="CU91" s="246" t="str">
        <f>IFERROR(__xludf.DUMMYFUNCTION("IF(REGEXMATCH($C91, ""M""), """",""M"")"),"M")</f>
        <v>M</v>
      </c>
      <c r="CV91" s="246" t="str">
        <f>IFERROR(__xludf.DUMMYFUNCTION("IF(REGEXMATCH($C91, ""P""), """",""P"")"),"")</f>
        <v/>
      </c>
      <c r="CW91" s="246" t="str">
        <f>IFERROR(__xludf.DUMMYFUNCTION("IF(REGEXMATCH($C91, ""d""), """",""d"")"),"d")</f>
        <v>d</v>
      </c>
      <c r="CX91" s="246" t="str">
        <f>IFERROR(__xludf.DUMMYFUNCTION("IF(REGEXMATCH($C91, ""D""), """",""D"")"),"")</f>
        <v/>
      </c>
      <c r="CY91" s="246" t="str">
        <f>IFERROR(__xludf.DUMMYFUNCTION("IF(REGEXMATCH($C91, ""n""), """",""n"")"),"n")</f>
        <v>n</v>
      </c>
      <c r="CZ91" s="246" t="str">
        <f>IFERROR(__xludf.DUMMYFUNCTION("IF(REGEXMATCH($C91, ""N""), """",""N"")"),"N")</f>
        <v>N</v>
      </c>
      <c r="DA91" s="246" t="str">
        <f>IFERROR(__xludf.DUMMYFUNCTION("IF(REGEXMATCH($C91, ""S""), ""S"",""S"")"),"S")</f>
        <v>S</v>
      </c>
      <c r="DB91" s="362" t="str">
        <f>IFERROR(__xludf.DUMMYFUNCTION("JOIN("""",CO91:DA91,"""","""")"),"SrgmMdnNS")</f>
        <v>SrgmMdnNS</v>
      </c>
      <c r="DC91" s="363"/>
      <c r="DD91" s="301" t="str">
        <f t="shared" si="35"/>
        <v>#REF!</v>
      </c>
      <c r="DE91" s="302" t="str">
        <f t="shared" si="36"/>
        <v>#REF!</v>
      </c>
      <c r="DF91" s="301" t="str">
        <f t="shared" ref="DF91:DG91" si="382">SUBSTITUTE(S91,"-","")</f>
        <v>SRG</v>
      </c>
      <c r="DG91" s="301" t="str">
        <f t="shared" si="382"/>
        <v>PDS</v>
      </c>
      <c r="DH91" s="302" t="str">
        <f t="shared" si="38"/>
        <v>Bhupali</v>
      </c>
      <c r="DI91" s="301" t="str">
        <f t="shared" si="39"/>
        <v>Anhemi.</v>
      </c>
      <c r="DJ91" s="364" t="str">
        <f t="shared" si="40"/>
        <v>-</v>
      </c>
      <c r="DK91" s="306" t="str">
        <f t="shared" si="41"/>
        <v>-</v>
      </c>
      <c r="DL91" s="366" t="str">
        <f t="shared" si="42"/>
        <v>✔</v>
      </c>
      <c r="DM91" s="308" t="str">
        <f t="shared" si="43"/>
        <v>-</v>
      </c>
      <c r="DN91" s="306" t="str">
        <f t="shared" si="44"/>
        <v>✔</v>
      </c>
      <c r="DO91" s="306" t="str">
        <f t="shared" si="45"/>
        <v>-</v>
      </c>
      <c r="DP91" s="367" t="str">
        <f t="shared" si="46"/>
        <v>-</v>
      </c>
      <c r="DQ91" s="310" t="str">
        <f t="shared" si="47"/>
        <v>-</v>
      </c>
      <c r="DR91" s="310" t="str">
        <f t="shared" si="48"/>
        <v>-</v>
      </c>
      <c r="DS91" s="310" t="str">
        <f t="shared" si="49"/>
        <v>-</v>
      </c>
      <c r="DT91" s="310" t="str">
        <f t="shared" si="50"/>
        <v>-</v>
      </c>
      <c r="DU91" s="370" t="str">
        <f t="shared" si="51"/>
        <v>-</v>
      </c>
      <c r="DV91" s="306" t="str">
        <f t="shared" si="52"/>
        <v>-</v>
      </c>
      <c r="DW91" s="306" t="str">
        <f t="shared" si="53"/>
        <v>-</v>
      </c>
      <c r="DX91" s="306" t="str">
        <f t="shared" si="54"/>
        <v>✔</v>
      </c>
      <c r="DY91" s="306" t="str">
        <f t="shared" si="55"/>
        <v>-</v>
      </c>
      <c r="DZ91" s="306" t="str">
        <f t="shared" si="56"/>
        <v>-</v>
      </c>
      <c r="EA91" s="367" t="str">
        <f t="shared" si="57"/>
        <v>✔</v>
      </c>
      <c r="EB91" s="310" t="str">
        <f>IFERROR(__xludf.DUMMYFUNCTION("IF(REGEXMATCH(AW91,AS91),""✔"",""-"")"),"✔")</f>
        <v>✔</v>
      </c>
      <c r="EC91" s="310" t="str">
        <f t="shared" si="58"/>
        <v>#REF!</v>
      </c>
      <c r="ED91" s="370" t="str">
        <f t="shared" si="59"/>
        <v>-</v>
      </c>
      <c r="EE91" s="340" t="str">
        <f t="shared" si="60"/>
        <v>S-R-G-P-D-S</v>
      </c>
      <c r="EF91" s="371" t="str">
        <f>IFERROR(__xludf.DUMMYFUNCTION("CONCATENATE(JOIN("""",HC91:HO91))"),"SgmdnS")</f>
        <v>SgmdnS</v>
      </c>
      <c r="EG91" s="372">
        <f t="shared" si="61"/>
        <v>1</v>
      </c>
      <c r="EH91" s="373" t="str">
        <f>IFERROR(__xludf.DUMMYFUNCTION("CONCATENATE(JOIN("""",JC91:JO91))"),"Ga, ")</f>
        <v>Ga, </v>
      </c>
      <c r="EI91" s="322">
        <f t="shared" si="62"/>
        <v>0</v>
      </c>
      <c r="EJ91" s="374" t="str">
        <f>IFERROR(__xludf.DUMMYFUNCTION("CONCATENATE(JOIN("""",KC91:KO91))"),"")</f>
        <v/>
      </c>
      <c r="EK91" s="325" t="str">
        <f t="shared" si="63"/>
        <v>S-R2-G3-P-D2-S</v>
      </c>
      <c r="EL91" s="326" t="str">
        <f t="shared" si="64"/>
        <v>1-2-3-5-6-8</v>
      </c>
      <c r="EM91" s="318" t="str">
        <f t="shared" si="65"/>
        <v>#REF!</v>
      </c>
      <c r="EN91" s="328" t="str">
        <f>IFERROR(__xludf.DUMMYFUNCTION("SUBSTITUTE(SUBSTITUTE(SUBSTITUTE(SUBSTITUTE(CONCATENATE(JOIN("" "",HP91:IB91)),""  "","" ""),""  "","" ""),""  "","" ""),""  "","" "")"),"o • o • o • • o • o • • o")</f>
        <v>o • o • o • • o • o • • o</v>
      </c>
      <c r="EO91" s="368" t="str">
        <f t="shared" si="66"/>
        <v>Sa-Pa</v>
      </c>
      <c r="EP91" s="339" t="str">
        <f t="shared" si="67"/>
        <v>-</v>
      </c>
      <c r="EQ91" s="339" t="str">
        <f t="shared" si="68"/>
        <v>Sa-Pa</v>
      </c>
      <c r="ER91" s="339" t="str">
        <f t="shared" si="69"/>
        <v>Sa-Pa</v>
      </c>
      <c r="ES91" s="340" t="str">
        <f t="shared" si="70"/>
        <v>-</v>
      </c>
      <c r="ET91" s="363"/>
      <c r="EU91" s="376" t="b">
        <f>IFERROR(__xludf.DUMMYFUNCTION("arrayformula(sum(--REGEXMATCH(""SRGMPDNS"",split(REGEXREPLACE(C91,""(.)"",""$1~""),""~""))))=len(C91)
"),TRUE)</f>
        <v>1</v>
      </c>
      <c r="EV91" s="290" t="b">
        <f>IFERROR(__xludf.DUMMYFUNCTION("arrayformula(sum(--REGEXMATCH(""SRGmPDNS"",split(REGEXREPLACE(C91,""(.)"",""$1~""),""~""))))=len(C91)"),TRUE)</f>
        <v>1</v>
      </c>
      <c r="EW91" s="290" t="b">
        <f>IFERROR(__xludf.DUMMYFUNCTION("arrayformula(sum(--REGEXMATCH(""SRGmPDnS"",split(REGEXREPLACE(C91,""(.)"",""$1~""),""~""))))=len(C91)"),TRUE)</f>
        <v>1</v>
      </c>
      <c r="EX91" s="290" t="b">
        <f>IFERROR(__xludf.DUMMYFUNCTION("arrayformula(sum(--REGEXMATCH(""SRgmPDnS"",split(REGEXREPLACE(C91,""(.)"",""$1~""),""~""))))=len(C91)"),FALSE)</f>
        <v>0</v>
      </c>
      <c r="EY91" s="290" t="b">
        <f>IFERROR(__xludf.DUMMYFUNCTION("arrayformula(sum(--REGEXMATCH(""SRgmPdnS"",split(REGEXREPLACE(C91,""(.)"",""$1~""),""~""))))=len(C91)"),FALSE)</f>
        <v>0</v>
      </c>
      <c r="EZ91" s="290" t="b">
        <f>IFERROR(__xludf.DUMMYFUNCTION("arrayformula(sum(--REGEXMATCH(""SrgmPdnS"",split(REGEXREPLACE(C91,""(.)"",""$1~""),""~""))))=len(C91)"),FALSE)</f>
        <v>0</v>
      </c>
      <c r="FA91" s="290" t="b">
        <f>IFERROR(__xludf.DUMMYFUNCTION("arrayformula(sum(--REGEXMATCH(""SrGmPdNS"",split(REGEXREPLACE(C91,""(.)"",""$1~""),""~""))))=len(C91)"),FALSE)</f>
        <v>0</v>
      </c>
      <c r="FB91" s="290" t="b">
        <f>IFERROR(__xludf.DUMMYFUNCTION("arrayformula(sum(--REGEXMATCH(""SrGMPDNS"",split(REGEXREPLACE(C91,""(.)"",""$1~""),""~""))))=len(C91)"),FALSE)</f>
        <v>0</v>
      </c>
      <c r="FC91" s="290" t="b">
        <f>IFERROR(__xludf.DUMMYFUNCTION("arrayformula(sum(--REGEXMATCH(""SrGMPdNS"",split(REGEXREPLACE(C91,""(.)"",""$1~""),""~""))))=len(C91)"),FALSE)</f>
        <v>0</v>
      </c>
      <c r="FD91" s="377" t="b">
        <f>IFERROR(__xludf.DUMMYFUNCTION("arrayformula(sum(--REGEXMATCH(""SrgMPdNS"",split(REGEXREPLACE(C91,""(.)"",""$1~""),""~""))))=len(C91)"),FALSE)</f>
        <v>0</v>
      </c>
      <c r="FE91" s="269" t="str">
        <f t="shared" si="71"/>
        <v>-</v>
      </c>
      <c r="FF91" s="269" t="str">
        <f t="shared" si="72"/>
        <v>xoxooxoxoox</v>
      </c>
      <c r="FG91" s="271" t="str">
        <f t="shared" si="73"/>
        <v>-</v>
      </c>
      <c r="FH91" s="269" t="str">
        <f t="shared" si="74"/>
        <v>xooxoxooxox</v>
      </c>
      <c r="FI91" s="271" t="str">
        <f t="shared" si="75"/>
        <v>-</v>
      </c>
      <c r="FJ91" s="271" t="str">
        <f t="shared" si="76"/>
        <v>-</v>
      </c>
      <c r="FK91" s="271" t="str">
        <f t="shared" si="77"/>
        <v>xoxooxoxoxo</v>
      </c>
      <c r="FL91" s="271" t="str">
        <f t="shared" si="78"/>
        <v>-</v>
      </c>
      <c r="FM91" s="271" t="str">
        <f t="shared" si="79"/>
        <v>xooxoxoxoox</v>
      </c>
      <c r="FN91" s="271" t="str">
        <f t="shared" si="80"/>
        <v>-</v>
      </c>
      <c r="FO91" s="274" t="str">
        <f t="shared" si="81"/>
        <v>-</v>
      </c>
      <c r="FP91" s="234" t="str">
        <f t="shared" si="82"/>
        <v>|</v>
      </c>
      <c r="FQ91" s="236" t="str">
        <f t="shared" si="83"/>
        <v>-</v>
      </c>
      <c r="FR91" s="237" t="str">
        <f t="shared" si="84"/>
        <v>|</v>
      </c>
      <c r="FS91" s="236" t="str">
        <f t="shared" si="85"/>
        <v>-</v>
      </c>
      <c r="FT91" s="237" t="str">
        <f t="shared" si="86"/>
        <v>|</v>
      </c>
      <c r="FU91" s="236" t="str">
        <f t="shared" si="87"/>
        <v>-</v>
      </c>
      <c r="FV91" s="237" t="str">
        <f t="shared" si="88"/>
        <v>-</v>
      </c>
      <c r="FW91" s="236" t="str">
        <f t="shared" si="89"/>
        <v>|</v>
      </c>
      <c r="FX91" s="237" t="str">
        <f t="shared" si="90"/>
        <v>-</v>
      </c>
      <c r="FY91" s="236" t="str">
        <f t="shared" si="91"/>
        <v>|</v>
      </c>
      <c r="FZ91" s="237" t="str">
        <f t="shared" si="92"/>
        <v>-</v>
      </c>
      <c r="GA91" s="236" t="str">
        <f t="shared" si="93"/>
        <v>-</v>
      </c>
      <c r="GB91" s="238" t="str">
        <f t="shared" si="94"/>
        <v>|</v>
      </c>
      <c r="GC91" s="244" t="str">
        <f>IFERROR(__xludf.DUMMYFUNCTION("IF(REGEXMATCH(C91, ""S""), ""1"","""")"),"1")</f>
        <v>1</v>
      </c>
      <c r="GD91" s="245" t="str">
        <f>IFERROR(__xludf.DUMMYFUNCTION("IF(REGEXMATCH(C91, ""r""), ""b2"","""")"),"")</f>
        <v/>
      </c>
      <c r="GE91" s="246" t="str">
        <f>IFERROR(__xludf.DUMMYFUNCTION("IF(REGEXMATCH(C91, ""R""), ""2"","""")"),"2")</f>
        <v>2</v>
      </c>
      <c r="GF91" s="246" t="str">
        <f>IFERROR(__xludf.DUMMYFUNCTION("IF(REGEXMATCH(C91, ""g""), ""b3"","""")"),"")</f>
        <v/>
      </c>
      <c r="GG91" s="245" t="str">
        <f>IFERROR(__xludf.DUMMYFUNCTION("IF(REGEXMATCH(C91, ""G""), ""3"","""")"),"3")</f>
        <v>3</v>
      </c>
      <c r="GH91" s="245" t="str">
        <f>IFERROR(__xludf.DUMMYFUNCTION("IF(REGEXMATCH(C91, ""m""), ""4"","""")"),"")</f>
        <v/>
      </c>
      <c r="GI91" s="246" t="str">
        <f>IFERROR(__xludf.DUMMYFUNCTION("IF(REGEXMATCH(C91, ""M""), ""#4"","""")"),"")</f>
        <v/>
      </c>
      <c r="GJ91" s="245" t="str">
        <f>IFERROR(__xludf.DUMMYFUNCTION("IF(REGEXMATCH(C91, ""P""), ""5"","""")"),"5")</f>
        <v>5</v>
      </c>
      <c r="GK91" s="246" t="str">
        <f>IFERROR(__xludf.DUMMYFUNCTION("IF(REGEXMATCH(C91, ""d""), ""b6"","""")"),"")</f>
        <v/>
      </c>
      <c r="GL91" s="245" t="str">
        <f>IFERROR(__xludf.DUMMYFUNCTION("IF(REGEXMATCH(C91, ""D""), ""6"","""")"),"6")</f>
        <v>6</v>
      </c>
      <c r="GM91" s="245" t="str">
        <f>IFERROR(__xludf.DUMMYFUNCTION("IF(REGEXMATCH(C91, ""n""), ""b7"","""")"),"")</f>
        <v/>
      </c>
      <c r="GN91" s="246" t="str">
        <f>IFERROR(__xludf.DUMMYFUNCTION("IF(REGEXMATCH(C91, ""N""), ""7"","""")"),"")</f>
        <v/>
      </c>
      <c r="GO91" s="249" t="str">
        <f>IFERROR(__xludf.DUMMYFUNCTION("IF(REGEXMATCH(C91, ""S""), ""8"","""")"),"8")</f>
        <v>8</v>
      </c>
      <c r="GP91" s="244" t="str">
        <f>IFERROR(__xludf.DUMMYFUNCTION("IF(REGEXMATCH(C91, ""S""), ""S"","""")"),"S")</f>
        <v>S</v>
      </c>
      <c r="GQ91" s="294" t="str">
        <f>IFERROR(__xludf.DUMMYFUNCTION("IF(REGEXMATCH(C91, ""r""), ""R1"","""")"),"")</f>
        <v/>
      </c>
      <c r="GR91" s="295" t="str">
        <f>IFERROR(__xludf.DUMMYFUNCTION("IF(REGEXMATCH(C91, ""R""), ""R2"","""")"),"R2")</f>
        <v>R2</v>
      </c>
      <c r="GS91" s="295" t="str">
        <f>IFERROR(__xludf.DUMMYFUNCTION("IF(REGEXMATCH(C91, ""g""), ""G2"","""")"),"")</f>
        <v/>
      </c>
      <c r="GT91" s="294" t="str">
        <f>IFERROR(__xludf.DUMMYFUNCTION("IF(REGEXMATCH(C91, ""G""), ""G3"","""")"),"G3")</f>
        <v>G3</v>
      </c>
      <c r="GU91" s="294" t="str">
        <f>IFERROR(__xludf.DUMMYFUNCTION("IF(REGEXMATCH(C91, ""m""), ""M1"","""")"),"")</f>
        <v/>
      </c>
      <c r="GV91" s="295" t="str">
        <f>IFERROR(__xludf.DUMMYFUNCTION("IF(REGEXMATCH(C91, ""M""), ""M2"","""")"),"")</f>
        <v/>
      </c>
      <c r="GW91" s="294" t="str">
        <f>IFERROR(__xludf.DUMMYFUNCTION("IF(REGEXMATCH(C91, ""P""), ""P"","""")"),"P")</f>
        <v>P</v>
      </c>
      <c r="GX91" s="295" t="str">
        <f>IFERROR(__xludf.DUMMYFUNCTION("IF(REGEXMATCH(C91, ""d""), ""D1"","""")"),"")</f>
        <v/>
      </c>
      <c r="GY91" s="294" t="str">
        <f>IFERROR(__xludf.DUMMYFUNCTION("IF(REGEXMATCH(C91, ""D""), ""D2"","""")"),"D2")</f>
        <v>D2</v>
      </c>
      <c r="GZ91" s="294" t="str">
        <f>IFERROR(__xludf.DUMMYFUNCTION("IF(REGEXMATCH(C91, ""n""), ""N2"","""")"),"")</f>
        <v/>
      </c>
      <c r="HA91" s="295" t="str">
        <f>IFERROR(__xludf.DUMMYFUNCTION("IF(REGEXMATCH(C91, ""N""), ""N3"","""")"),"")</f>
        <v/>
      </c>
      <c r="HB91" s="249" t="str">
        <f>IFERROR(__xludf.DUMMYFUNCTION("IF(REGEXMATCH(C91, ""S""), ""S"","""")"),"S")</f>
        <v>S</v>
      </c>
      <c r="HC91" s="331" t="str">
        <f t="shared" si="95"/>
        <v>S</v>
      </c>
      <c r="HD91" s="332" t="str">
        <f t="shared" si="96"/>
        <v/>
      </c>
      <c r="HE91" s="332" t="str">
        <f t="shared" si="97"/>
        <v/>
      </c>
      <c r="HF91" s="332" t="str">
        <f t="shared" si="98"/>
        <v>g</v>
      </c>
      <c r="HG91" s="332" t="str">
        <f t="shared" si="99"/>
        <v/>
      </c>
      <c r="HH91" s="332" t="str">
        <f t="shared" si="100"/>
        <v>m</v>
      </c>
      <c r="HI91" s="332" t="str">
        <f t="shared" si="101"/>
        <v/>
      </c>
      <c r="HJ91" s="332" t="str">
        <f t="shared" si="102"/>
        <v/>
      </c>
      <c r="HK91" s="332" t="str">
        <f t="shared" si="103"/>
        <v>d</v>
      </c>
      <c r="HL91" s="332" t="str">
        <f t="shared" si="104"/>
        <v/>
      </c>
      <c r="HM91" s="332" t="str">
        <f t="shared" si="105"/>
        <v>n</v>
      </c>
      <c r="HN91" s="332" t="str">
        <f t="shared" si="106"/>
        <v/>
      </c>
      <c r="HO91" s="343" t="str">
        <f t="shared" si="107"/>
        <v>S</v>
      </c>
      <c r="HP91" s="331" t="str">
        <f t="shared" si="108"/>
        <v>o</v>
      </c>
      <c r="HQ91" s="332" t="str">
        <f t="shared" si="109"/>
        <v>•</v>
      </c>
      <c r="HR91" s="332" t="str">
        <f t="shared" si="110"/>
        <v>o</v>
      </c>
      <c r="HS91" s="332" t="str">
        <f t="shared" si="111"/>
        <v>•</v>
      </c>
      <c r="HT91" s="332" t="str">
        <f t="shared" si="112"/>
        <v>o</v>
      </c>
      <c r="HU91" s="332" t="str">
        <f t="shared" si="113"/>
        <v>•</v>
      </c>
      <c r="HV91" s="332" t="str">
        <f t="shared" si="114"/>
        <v>•</v>
      </c>
      <c r="HW91" s="332" t="str">
        <f t="shared" si="115"/>
        <v>o</v>
      </c>
      <c r="HX91" s="332" t="str">
        <f t="shared" si="116"/>
        <v>•</v>
      </c>
      <c r="HY91" s="332" t="str">
        <f t="shared" si="117"/>
        <v>o</v>
      </c>
      <c r="HZ91" s="332" t="str">
        <f t="shared" si="118"/>
        <v>•</v>
      </c>
      <c r="IA91" s="332" t="str">
        <f t="shared" si="119"/>
        <v>•</v>
      </c>
      <c r="IB91" s="338" t="str">
        <f t="shared" si="120"/>
        <v>o</v>
      </c>
      <c r="IC91" s="331" t="str">
        <f t="shared" si="121"/>
        <v>•</v>
      </c>
      <c r="ID91" s="332" t="str">
        <f t="shared" si="122"/>
        <v>o</v>
      </c>
      <c r="IE91" s="332" t="str">
        <f t="shared" si="123"/>
        <v>•</v>
      </c>
      <c r="IF91" s="332" t="str">
        <f t="shared" si="124"/>
        <v>o</v>
      </c>
      <c r="IG91" s="332" t="str">
        <f t="shared" si="125"/>
        <v>•</v>
      </c>
      <c r="IH91" s="332" t="str">
        <f t="shared" si="126"/>
        <v>o</v>
      </c>
      <c r="II91" s="332" t="str">
        <f t="shared" si="127"/>
        <v>o</v>
      </c>
      <c r="IJ91" s="332" t="str">
        <f t="shared" si="128"/>
        <v>•</v>
      </c>
      <c r="IK91" s="332" t="str">
        <f t="shared" si="129"/>
        <v>o</v>
      </c>
      <c r="IL91" s="332" t="str">
        <f t="shared" si="130"/>
        <v>•</v>
      </c>
      <c r="IM91" s="332" t="str">
        <f t="shared" si="131"/>
        <v>o</v>
      </c>
      <c r="IN91" s="332" t="str">
        <f t="shared" si="132"/>
        <v>o</v>
      </c>
      <c r="IO91" s="338" t="str">
        <f t="shared" si="133"/>
        <v>•</v>
      </c>
      <c r="IP91" s="346" t="b">
        <f t="shared" si="134"/>
        <v>0</v>
      </c>
      <c r="IQ91" s="347" t="b">
        <f t="shared" si="135"/>
        <v>0</v>
      </c>
      <c r="IR91" s="347" t="b">
        <f t="shared" si="136"/>
        <v>0</v>
      </c>
      <c r="IS91" s="347" t="b">
        <f t="shared" si="137"/>
        <v>0</v>
      </c>
      <c r="IT91" s="347" t="b">
        <f t="shared" si="138"/>
        <v>1</v>
      </c>
      <c r="IU91" s="347" t="b">
        <f t="shared" si="139"/>
        <v>0</v>
      </c>
      <c r="IV91" s="347" t="b">
        <f t="shared" si="140"/>
        <v>0</v>
      </c>
      <c r="IW91" s="347" t="b">
        <f t="shared" si="141"/>
        <v>0</v>
      </c>
      <c r="IX91" s="347" t="b">
        <f t="shared" si="142"/>
        <v>0</v>
      </c>
      <c r="IY91" s="347" t="b">
        <f t="shared" si="143"/>
        <v>0</v>
      </c>
      <c r="IZ91" s="347" t="b">
        <f t="shared" si="144"/>
        <v>0</v>
      </c>
      <c r="JA91" s="347" t="b">
        <f t="shared" si="145"/>
        <v>0</v>
      </c>
      <c r="JB91" s="353" t="b">
        <f t="shared" si="146"/>
        <v>0</v>
      </c>
      <c r="JC91" s="354" t="str">
        <f t="shared" si="147"/>
        <v/>
      </c>
      <c r="JD91" s="355" t="str">
        <f t="shared" si="148"/>
        <v/>
      </c>
      <c r="JE91" s="355" t="str">
        <f t="shared" si="149"/>
        <v/>
      </c>
      <c r="JF91" s="355" t="str">
        <f t="shared" si="150"/>
        <v/>
      </c>
      <c r="JG91" s="355" t="str">
        <f t="shared" si="151"/>
        <v>Ga, </v>
      </c>
      <c r="JH91" s="355" t="str">
        <f t="shared" si="152"/>
        <v/>
      </c>
      <c r="JI91" s="355" t="str">
        <f t="shared" si="153"/>
        <v/>
      </c>
      <c r="JJ91" s="355" t="str">
        <f t="shared" si="154"/>
        <v/>
      </c>
      <c r="JK91" s="355" t="str">
        <f t="shared" si="155"/>
        <v/>
      </c>
      <c r="JL91" s="355" t="str">
        <f t="shared" si="156"/>
        <v/>
      </c>
      <c r="JM91" s="355" t="str">
        <f t="shared" si="157"/>
        <v/>
      </c>
      <c r="JN91" s="355" t="str">
        <f t="shared" si="158"/>
        <v/>
      </c>
      <c r="JO91" s="359" t="str">
        <f t="shared" si="159"/>
        <v/>
      </c>
      <c r="JP91" s="346" t="b">
        <f t="shared" si="160"/>
        <v>0</v>
      </c>
      <c r="JQ91" s="347" t="b">
        <f t="shared" si="161"/>
        <v>0</v>
      </c>
      <c r="JR91" s="347" t="b">
        <f t="shared" si="162"/>
        <v>0</v>
      </c>
      <c r="JS91" s="347" t="b">
        <f t="shared" si="163"/>
        <v>0</v>
      </c>
      <c r="JT91" s="347" t="b">
        <f t="shared" si="164"/>
        <v>0</v>
      </c>
      <c r="JU91" s="347" t="b">
        <f t="shared" si="165"/>
        <v>0</v>
      </c>
      <c r="JV91" s="347" t="b">
        <f t="shared" si="166"/>
        <v>0</v>
      </c>
      <c r="JW91" s="347" t="b">
        <f t="shared" si="167"/>
        <v>0</v>
      </c>
      <c r="JX91" s="347" t="b">
        <f t="shared" si="168"/>
        <v>0</v>
      </c>
      <c r="JY91" s="347" t="b">
        <f t="shared" si="169"/>
        <v>0</v>
      </c>
      <c r="JZ91" s="347" t="b">
        <f t="shared" si="170"/>
        <v>0</v>
      </c>
      <c r="KA91" s="347" t="b">
        <f t="shared" si="171"/>
        <v>0</v>
      </c>
      <c r="KB91" s="365" t="b">
        <f t="shared" si="172"/>
        <v>0</v>
      </c>
      <c r="KC91" s="354" t="str">
        <f t="shared" si="173"/>
        <v/>
      </c>
      <c r="KD91" s="355" t="str">
        <f t="shared" si="174"/>
        <v/>
      </c>
      <c r="KE91" s="355" t="str">
        <f t="shared" si="175"/>
        <v/>
      </c>
      <c r="KF91" s="355" t="str">
        <f t="shared" si="176"/>
        <v/>
      </c>
      <c r="KG91" s="355" t="str">
        <f t="shared" si="177"/>
        <v/>
      </c>
      <c r="KH91" s="355" t="str">
        <f t="shared" si="178"/>
        <v/>
      </c>
      <c r="KI91" s="355" t="str">
        <f t="shared" si="179"/>
        <v/>
      </c>
      <c r="KJ91" s="355" t="str">
        <f t="shared" si="180"/>
        <v/>
      </c>
      <c r="KK91" s="355" t="str">
        <f t="shared" si="181"/>
        <v/>
      </c>
      <c r="KL91" s="355" t="str">
        <f t="shared" si="182"/>
        <v/>
      </c>
      <c r="KM91" s="355" t="str">
        <f t="shared" si="183"/>
        <v/>
      </c>
      <c r="KN91" s="355" t="str">
        <f t="shared" si="184"/>
        <v/>
      </c>
      <c r="KO91" s="359"/>
      <c r="KP91" s="378"/>
      <c r="KQ91" s="379" t="s">
        <v>619</v>
      </c>
      <c r="KR91" s="380" t="s">
        <v>1343</v>
      </c>
      <c r="KS91" s="381" t="str">
        <f t="shared" si="380"/>
        <v>S-R-G-P-D-S</v>
      </c>
      <c r="KT91" s="382">
        <f t="shared" si="186"/>
        <v>5</v>
      </c>
      <c r="KU91" s="383">
        <f t="shared" si="187"/>
        <v>5</v>
      </c>
      <c r="KV91" s="381" t="str">
        <f t="shared" si="205"/>
        <v>S-D-P-G-R-S</v>
      </c>
      <c r="KW91" s="382">
        <f t="shared" si="189"/>
        <v>5</v>
      </c>
      <c r="KX91" s="384">
        <f t="shared" si="190"/>
        <v>5</v>
      </c>
      <c r="KY91" s="382">
        <f t="shared" ref="KY91:KZ91" si="383">KW91-KT91</f>
        <v>0</v>
      </c>
      <c r="KZ91" s="369">
        <f t="shared" si="383"/>
        <v>0</v>
      </c>
      <c r="LA91" s="385" t="str">
        <f t="shared" si="192"/>
        <v>✔</v>
      </c>
      <c r="LB91" s="340" t="str">
        <f>IFERROR(__xludf.DUMMYFUNCTION("JOIN("""",ArrayFormula(MID(KS91,LEN(KS91)-SEQUENCE(1,LEN(KS91))+1,1)))"),"S-D-P-G-R-S")</f>
        <v>S-D-P-G-R-S</v>
      </c>
      <c r="LC91" s="373" t="str">
        <f>IFERROR(__xludf.DUMMYFUNCTION("JOIN("""",ArrayFormula(MID(KV91,LEN(KV91)-SEQUENCE(1,LEN(KV91))+1,1)))"),"S-R-G-P-D-S")</f>
        <v>S-R-G-P-D-S</v>
      </c>
      <c r="LD91" s="373" t="str">
        <f t="shared" si="193"/>
        <v>SRGPDS</v>
      </c>
      <c r="LE91" s="339" t="str">
        <f t="shared" si="194"/>
        <v>SRGPDS</v>
      </c>
      <c r="LF91" s="386" t="str">
        <f>IFERROR(__xludf.DUMMYFUNCTION("SUBSTITUTE(SUBSTITUTE(CONCATENATE(JOIN("""",LH91:LT91)),""1"",""""),""2"","""")"),"SRGPDS")</f>
        <v>SRGPDS</v>
      </c>
      <c r="LG91" s="369" t="str">
        <f t="shared" si="195"/>
        <v>✔</v>
      </c>
      <c r="LH91" s="387" t="str">
        <f>IFERROR(__xludf.DUMMYFUNCTION("IF(REGEXMATCH(LD91, ""S""), ""S"",IF(REGEXMATCH(LE91, ""S""), ""S"",""""))"),"S")</f>
        <v>S</v>
      </c>
      <c r="LI91" s="299" t="str">
        <f>IFERROR(__xludf.DUMMYFUNCTION("IF(REGEXMATCH(LD91, ""r""), ""r1"",IF(REGEXMATCH(LE91, ""r""), ""r2"",""""))"),"")</f>
        <v/>
      </c>
      <c r="LJ91" s="299" t="str">
        <f>IFERROR(__xludf.DUMMYFUNCTION("IF(REGEXMATCH(LD91, ""R""), ""R1"",IF(REGEXMATCH(LE91, ""R""), ""R2"",""""))"),"R1")</f>
        <v>R1</v>
      </c>
      <c r="LK91" s="299" t="str">
        <f>IFERROR(__xludf.DUMMYFUNCTION("IF(REGEXMATCH(LD91, ""g""), ""g1"",IF(REGEXMATCH(LE91, ""g""), ""g2"",""""))"),"")</f>
        <v/>
      </c>
      <c r="LL91" s="299" t="str">
        <f>IFERROR(__xludf.DUMMYFUNCTION("IF(REGEXMATCH(LD91, ""G""), ""G1"",IF(REGEXMATCH(LE91, ""G""), ""G2"",""""))"),"G1")</f>
        <v>G1</v>
      </c>
      <c r="LM91" s="299" t="str">
        <f>IFERROR(__xludf.DUMMYFUNCTION("IF(REGEXMATCH(LD91, ""m""), ""m1"",IF(REGEXMATCH(LE91, ""m""), ""m2"",""""))"),"")</f>
        <v/>
      </c>
      <c r="LN91" s="299" t="str">
        <f>IFERROR(__xludf.DUMMYFUNCTION("IF(REGEXMATCH(LD91, ""M""), ""M1"",IF(REGEXMATCH(LE91, ""M""), ""M2"",""""))"),"")</f>
        <v/>
      </c>
      <c r="LO91" s="299" t="str">
        <f>IFERROR(__xludf.DUMMYFUNCTION("IF(REGEXMATCH(LD91, ""P""), ""P1"",IF(REGEXMATCH(LE91, ""P""), ""P2"",""""))"),"P1")</f>
        <v>P1</v>
      </c>
      <c r="LP91" s="299" t="str">
        <f>IFERROR(__xludf.DUMMYFUNCTION("IF(REGEXMATCH(LD91, ""d""), ""d1"",IF(REGEXMATCH(LE91, ""d""), ""d2"",""""))"),"")</f>
        <v/>
      </c>
      <c r="LQ91" s="299" t="str">
        <f>IFERROR(__xludf.DUMMYFUNCTION("IF(REGEXMATCH(LD91, ""D""), ""D1"",IF(REGEXMATCH(LE91, ""D""), ""D2"",""""))"),"D1")</f>
        <v>D1</v>
      </c>
      <c r="LR91" s="299" t="str">
        <f>IFERROR(__xludf.DUMMYFUNCTION("IF(REGEXMATCH(LD91, ""n""), ""n1"",IF(REGEXMATCH(LE91, ""n""), ""n2"",""""))"),"")</f>
        <v/>
      </c>
      <c r="LS91" s="299" t="str">
        <f>IFERROR(__xludf.DUMMYFUNCTION("IF(REGEXMATCH(LD91, ""N""), ""N1"",IF(REGEXMATCH(LE91, ""N""), ""N2"",""""))"),"")</f>
        <v/>
      </c>
      <c r="LT91" s="388" t="str">
        <f>IFERROR(__xludf.DUMMYFUNCTION("IF(REGEXMATCH(LD91, ""S""), ""S"",IF(REGEXMATCH(LE91, ""S""), ""S"",""""))"),"S")</f>
        <v>S</v>
      </c>
      <c r="LU91" s="389">
        <f t="shared" si="196"/>
        <v>1</v>
      </c>
      <c r="LV91" s="378"/>
      <c r="LW91" s="369"/>
      <c r="LX91" s="369"/>
    </row>
    <row r="92" ht="18.0" customHeight="1">
      <c r="A92" s="298" t="s">
        <v>685</v>
      </c>
      <c r="B92" s="222" t="s">
        <v>561</v>
      </c>
      <c r="C92" s="233" t="str">
        <f t="shared" si="7"/>
        <v>SRgmPDnS</v>
      </c>
      <c r="D92" s="234" t="str">
        <f>IFERROR(__xludf.DUMMYFUNCTION("IF(REGEXMATCH(C92, ""S""), ""S"","""")"),"S")</f>
        <v>S</v>
      </c>
      <c r="E92" s="236" t="str">
        <f>IFERROR(__xludf.DUMMYFUNCTION("IF(REGEXMATCH(C92, ""r""), ""r"","""")"),"")</f>
        <v/>
      </c>
      <c r="F92" s="237" t="str">
        <f>IFERROR(__xludf.DUMMYFUNCTION("IF(REGEXMATCH(C92, ""R""), ""R"","""")"),"R")</f>
        <v>R</v>
      </c>
      <c r="G92" s="237" t="str">
        <f>IFERROR(__xludf.DUMMYFUNCTION("IF(REGEXMATCH(C92, ""g""), ""g"","""")"),"g")</f>
        <v>g</v>
      </c>
      <c r="H92" s="236" t="str">
        <f>IFERROR(__xludf.DUMMYFUNCTION("IF(REGEXMATCH(C92, ""G""), ""G"","""")"),"")</f>
        <v/>
      </c>
      <c r="I92" s="236" t="str">
        <f>IFERROR(__xludf.DUMMYFUNCTION("IF(REGEXMATCH(C92, ""m""), ""m"","""")"),"m")</f>
        <v>m</v>
      </c>
      <c r="J92" s="237" t="str">
        <f>IFERROR(__xludf.DUMMYFUNCTION("IF(REGEXMATCH(C92, ""M""), ""M"","""")"),"")</f>
        <v/>
      </c>
      <c r="K92" s="236" t="str">
        <f>IFERROR(__xludf.DUMMYFUNCTION("IF(REGEXMATCH(C92, ""P""), ""P"","""")"),"P")</f>
        <v>P</v>
      </c>
      <c r="L92" s="237" t="str">
        <f>IFERROR(__xludf.DUMMYFUNCTION("IF(REGEXMATCH(C92, ""d""), ""d"","""")"),"")</f>
        <v/>
      </c>
      <c r="M92" s="236" t="str">
        <f>IFERROR(__xludf.DUMMYFUNCTION("IF(REGEXMATCH(C92, ""D""), ""D"","""")"),"D")</f>
        <v>D</v>
      </c>
      <c r="N92" s="236" t="str">
        <f>IFERROR(__xludf.DUMMYFUNCTION("IF(REGEXMATCH(C92, ""n""), ""n"","""")"),"n")</f>
        <v>n</v>
      </c>
      <c r="O92" s="237" t="str">
        <f>IFERROR(__xludf.DUMMYFUNCTION("IF(REGEXMATCH(C92, ""N""), ""N"","""")"),"")</f>
        <v/>
      </c>
      <c r="P92" s="238" t="str">
        <f>IFERROR(__xludf.DUMMYFUNCTION("IF(REGEXMATCH(C92, ""S""), ""S"","""")"),"S")</f>
        <v>S</v>
      </c>
      <c r="Q92" s="239" t="str">
        <f>IFERROR(__xludf.DUMMYFUNCTION("SUBSTITUTE(CONCATENATE(JOIN(""-"",D92:J92)),""-"","""")"),"SRgm")</f>
        <v>SRgm</v>
      </c>
      <c r="R92" s="229" t="str">
        <f>IFERROR(__xludf.DUMMYFUNCTION("SUBSTITUTE(CONCATENATE(JOIN(""-"",K92:P92)),""-"","""")"),"PDnS")</f>
        <v>PDnS</v>
      </c>
      <c r="S92" s="282" t="str">
        <f t="shared" si="8"/>
        <v>S-R-G-M</v>
      </c>
      <c r="T92" s="282" t="str">
        <f t="shared" si="9"/>
        <v>P-D-N-S</v>
      </c>
      <c r="U92" s="237" t="str">
        <f>IFERROR(__xludf.DUMMYFUNCTION("SUBSTITUTE(JOIN(""-"",S92,T92),""--"",""-"")"),"S-R-G-M-P-D-N-S")</f>
        <v>S-R-G-M-P-D-N-S</v>
      </c>
      <c r="V92" s="309" t="str">
        <f t="shared" si="10"/>
        <v>RgmDn</v>
      </c>
      <c r="W92" s="244" t="str">
        <f>IFERROR(__xludf.DUMMYFUNCTION("IF(REGEXMATCH(C92, ""S""), ""0"","""")"),"0")</f>
        <v>0</v>
      </c>
      <c r="X92" s="245" t="str">
        <f>IFERROR(__xludf.DUMMYFUNCTION("IF(REGEXMATCH(C92, ""r""), ""1"","""")"),"")</f>
        <v/>
      </c>
      <c r="Y92" s="246" t="str">
        <f>IFERROR(__xludf.DUMMYFUNCTION("IF(REGEXMATCH(C92, ""R""), ""2"","""")"),"2")</f>
        <v>2</v>
      </c>
      <c r="Z92" s="246" t="str">
        <f>IFERROR(__xludf.DUMMYFUNCTION("IF(REGEXMATCH(C92, ""g""), ""3"","""")"),"3")</f>
        <v>3</v>
      </c>
      <c r="AA92" s="245" t="str">
        <f>IFERROR(__xludf.DUMMYFUNCTION("IF(REGEXMATCH(C92, ""G""), ""4"","""")"),"")</f>
        <v/>
      </c>
      <c r="AB92" s="245" t="str">
        <f>IFERROR(__xludf.DUMMYFUNCTION("IF(REGEXMATCH(C92, ""m""), ""5"","""")"),"5")</f>
        <v>5</v>
      </c>
      <c r="AC92" s="246" t="str">
        <f>IFERROR(__xludf.DUMMYFUNCTION("IF(REGEXMATCH(C92, ""M""), ""6"","""")"),"")</f>
        <v/>
      </c>
      <c r="AD92" s="245" t="str">
        <f>IFERROR(__xludf.DUMMYFUNCTION("IF(REGEXMATCH(C92, ""P""), ""7"","""")"),"7")</f>
        <v>7</v>
      </c>
      <c r="AE92" s="246" t="str">
        <f>IFERROR(__xludf.DUMMYFUNCTION("IF(REGEXMATCH(C92, ""d""), ""8"","""")"),"")</f>
        <v/>
      </c>
      <c r="AF92" s="245" t="str">
        <f>IFERROR(__xludf.DUMMYFUNCTION("IF(REGEXMATCH(C92, ""D""), ""9"","""")"),"9")</f>
        <v>9</v>
      </c>
      <c r="AG92" s="245" t="str">
        <f>IFERROR(__xludf.DUMMYFUNCTION("IF(REGEXMATCH(C92, ""n""), ""10"","""")"),"10")</f>
        <v>10</v>
      </c>
      <c r="AH92" s="246" t="str">
        <f>IFERROR(__xludf.DUMMYFUNCTION("IF(REGEXMATCH(C92, ""N""), ""11"","""")"),"")</f>
        <v/>
      </c>
      <c r="AI92" s="249" t="str">
        <f>IFERROR(__xludf.DUMMYFUNCTION("IF(REGEXMATCH(C92, ""S""), ""0"","""")"),"0")</f>
        <v>0</v>
      </c>
      <c r="AJ92" s="313" t="str">
        <f t="shared" si="11"/>
        <v>-</v>
      </c>
      <c r="AK92" s="313" t="str">
        <f t="shared" si="12"/>
        <v>-</v>
      </c>
      <c r="AL92" s="313" t="str">
        <f t="shared" si="13"/>
        <v>-</v>
      </c>
      <c r="AM92" s="313" t="str">
        <f t="shared" si="14"/>
        <v>T</v>
      </c>
      <c r="AN92" s="313" t="str">
        <f t="shared" si="15"/>
        <v>-</v>
      </c>
      <c r="AO92" s="314" t="str">
        <f t="shared" si="16"/>
        <v>-</v>
      </c>
      <c r="AP92" s="316">
        <f t="shared" si="17"/>
        <v>1</v>
      </c>
      <c r="AQ92" s="319" t="str">
        <f t="shared" si="18"/>
        <v>-</v>
      </c>
      <c r="AR92" s="320">
        <f t="shared" si="19"/>
        <v>0</v>
      </c>
      <c r="AS92" s="250" t="str">
        <f>IFERROR(__xludf.DUMMYFUNCTION("SUBSTITUTE(SUBSTITUTE(CONCATENATE(JOIN("""",FP92:GA92)),""|"",""x""),""-"",""o"")"),"xoxxoxoxoxxo")</f>
        <v>xoxxoxoxoxxo</v>
      </c>
      <c r="AT92" s="323" t="str">
        <f>IFERROR(__xludf.DUMMYFUNCTION("JOIN("""",AS92,AS92)"),"xoxxoxoxoxxoxoxxoxoxoxxo")</f>
        <v>xoxxoxoxoxxoxoxxoxoxoxxo</v>
      </c>
      <c r="AU92" s="256" t="str">
        <f>IFERROR(__xludf.DUMMYFUNCTION("JOIN("""",ArrayFormula(MID(AS92,LEN(AS92)-SEQUENCE(1,LEN(AS92))+1,1)))"),"oxxoxoxoxxox")</f>
        <v>oxxoxoxoxxox</v>
      </c>
      <c r="AV92" s="256" t="str">
        <f>IFERROR(__xludf.DUMMYFUNCTION("LEFT(CONCATENATE(""x"",JOIN("""",ArrayFormula(MID(AS92,LEN(AS92)-SEQUENCE(1,LEN(AS92))+1,1)))),12)"),"xoxxoxoxoxxo")</f>
        <v>xoxxoxoxoxxo</v>
      </c>
      <c r="AW92" s="327" t="str">
        <f>IFERROR(__xludf.DUMMYFUNCTION("JOIN("""",AU92,AU92)"),"oxxoxoxoxxoxoxxoxoxoxxox")</f>
        <v>oxxoxoxoxxoxoxxoxoxoxxox</v>
      </c>
      <c r="AX92" s="239" t="str">
        <f>IFERROR(__xludf.DUMMYFUNCTION("IF(REGEXMATCH(AW92,AS92),""✔"",""-"")"),"✔")</f>
        <v>✔</v>
      </c>
      <c r="AY92" s="330" t="str">
        <f t="shared" si="20"/>
        <v>✔</v>
      </c>
      <c r="AZ92" s="260" t="str">
        <f t="shared" si="21"/>
        <v>#REF!</v>
      </c>
      <c r="BA92" s="333" t="str">
        <f t="shared" si="22"/>
        <v>xoxxoxo</v>
      </c>
      <c r="BB92" s="334" t="str">
        <f t="shared" si="23"/>
        <v>xoxxox</v>
      </c>
      <c r="BC92" s="335" t="str">
        <f t="shared" si="236"/>
        <v>✔</v>
      </c>
      <c r="BD92" s="336" t="str">
        <f t="shared" si="25"/>
        <v>Desi: 'xoxxoxo' + 'xoxxox'</v>
      </c>
      <c r="BE92" s="337">
        <f>IFERROR(__xludf.DUMMYFUNCTION("COUNTUNIQUE(FILTER(AT:AT,REGEXMATCH(AT:AT,AS92)))-1"),6.0)</f>
        <v>6</v>
      </c>
      <c r="BF92" s="261" t="str">
        <f>IFERROR(__xludf.DUMMYFUNCTION("IF(BI92=0,""(n/a)"",IF(BJ92=2,""(PAIR)"",IF(REGEXMATCH(AT92,""xoxoxxoxoxox""),""Bilawal"",IF(REGEXMATCH(AT92,""xoxoxooxoxoo""),""Bhupali"",IF(REGEXMATCH(AT92,""xoxoxxoxxoxo""),""Charukeshi"",IF(REGEXMATCH(AT92,""xoxoooxxoxxo""),""Kameshwari"",IF(REGEXMATC"&amp;"H(AT92,""xoxoxooxoxox""),""Shankara"",IF(REGEXMATCH(AT92,""xxooxoxxxoox""),""Basant"",IF(REGEXMATCH(AT92,""xoxoxxxxoxox""),""Bihag"",IF(REGEXMATCH(AT92,""xoxxxxoxoxxx""),""Pilu"",IF(REGEXMATCH(AT92,""xoxxoxoxxoox""),""Kirwani"",IF(REGEXMATCH(AT92,""xoxxox"&amp;"oxoxxx""),""Mk.Malhar"",IF(REGEXMATCH(AT92,""xxooxxoxxoox""),""Bhairav"",IF(REGEXMATCH(AT92,""xxoxooxxxoox""),""Todi"",IF(REGEXMATCH(AT92,""xxooxoxooxox""),""Marwa"",IF(REGEXMATCH(AT92,""xxoooxoxxooo""),""Gunkali"",IF(REGEXMATCH(AT92,""xoxoxxoxxoox""),""N"&amp;"at Bhairav"",IF(REGEXMATCH(AT92,""xoxxoooxoxoo""),""Shivranjani"",IF(REGEXMATCH(AT92,""xooxxxoxooxo""),""Jog"",IF(REGEXMATCH(AT92,""xxooxoxoxoox""),""Hemshri"",IF(REGEXMATCH(AT92,""xoooxooxoxxo""),""Kalavati"",IF(REGEXMATCH(AT92,""xxoxoxxoxoox""),""Kedar"&amp;""",IF(REGEXMATCH(AT92,""xoxxxxoxooxx""),""Gara"",IF(REGEXMATCH(AT92,""xooxoxooxoox""),""Chandrakauns"",IF(REGEXMATCH(AT92,""xoxxxxoxxxox""),""Mand"",IF(REGEXMATCH(AT92,""xoxxxxoxoxox""),""Hanskinkini"",IF(REGEXMATCH(AT92,""xxooxxoxooxo""),""Lilavati"",IF("&amp;"REGEXMATCH(AT92,""xooxoxoooxox""),""Rajeshwari"",IF(REGEXMATCH(AT92,""xoooxxoxoxxx""),""Khokar"",IF(REGEXMATCH(AT92,""xxooxoxxxxox""),""Maligoura"",""-""))))))))))))))))))))))))))))))"),"Bilawal")</f>
        <v>Bilawal</v>
      </c>
      <c r="BG92" s="239" t="str">
        <f t="shared" si="26"/>
        <v>#REF!</v>
      </c>
      <c r="BH92" s="239">
        <f>IFERROR(__xludf.DUMMYFUNCTION("COUNTUNIQUE(FE92:FO92)-1"),6.0)</f>
        <v>6</v>
      </c>
      <c r="BI92" s="239">
        <f>IFERROR(__xludf.DUMMYFUNCTION("COUNTUNIQUE(FILTER(AT:AT,REGEXMATCH(AT:AT,AS92)))-1"),6.0)</f>
        <v>6</v>
      </c>
      <c r="BJ92" s="239">
        <f>IFERROR(__xludf.DUMMYFUNCTION("COUNTA(FILTER(AT:AT,REGEXMATCH(AT:AT,AS92)))"),48.0)</f>
        <v>48</v>
      </c>
      <c r="BK92" s="341">
        <f>IFERROR(__xludf.DUMMYFUNCTION("COUNTA(FILTER(AT:AT,REGEXMATCH(AT:AT,AS92)))-AR92"),48.0)</f>
        <v>48</v>
      </c>
      <c r="BL92" s="276" t="str">
        <f>IFERROR(__xludf.DUMMYFUNCTION("IF(AS92=""oooooooooooo"",""-"",IF(REGEXMATCH(AT92,""xx""), ""Hemi."", ""Anhemi.""))"),"Hemi.")</f>
        <v>Hemi.</v>
      </c>
      <c r="BM92" s="282" t="str">
        <f>IFERROR(__xludf.DUMMYFUNCTION("IF(AS92=""oooooooooooo"",""-"",IF(REGEXMATCH(AT92,""xxx""), ""Cohem."", ""-""))"),"-")</f>
        <v>-</v>
      </c>
      <c r="BN92" s="282" t="str">
        <f>IFERROR(__xludf.DUMMYFUNCTION("IF(AS92=""oooooooooooo"",""-"",IF(REGEXMATCH(AT92,""xxxx""), ""Co-Co."", ""-""))"),"-")</f>
        <v>-</v>
      </c>
      <c r="BO92" s="342" t="str">
        <f>IFERROR(__xludf.DUMMYFUNCTION("IF(AS92=""oooooooooooo"",""-"",IF(REGEXMATCH(AT92,""xxxxx""), ""CCC."", ""-""))"),"-")</f>
        <v>-</v>
      </c>
      <c r="BP92" s="344" t="str">
        <f t="shared" si="27"/>
        <v>Kafi</v>
      </c>
      <c r="BQ92" s="282" t="str">
        <f>IFERROR(__xludf.DUMMYFUNCTION("IF(REGEXMATCH(JOIN(""-"",EU92:FD92),""TRUE""),""✔"",""-"")"),"✔")</f>
        <v>✔</v>
      </c>
      <c r="BR92" s="225">
        <f t="shared" si="28"/>
        <v>1</v>
      </c>
      <c r="BS92" s="345" t="str">
        <f>IFERROR(__xludf.DUMMYFUNCTION("SUBSTITUTE(SUBSTITUTE(SUBSTITUTE(SUBSTITUTE(CONCATENATE(JOIN(""-"",GC92:GO92)),""--"",""-""),""--"",""-""),""--"",""-""),""--"",""-"")"),"1-2-b3-4-5-6-b7-8")</f>
        <v>1-2-b3-4-5-6-b7-8</v>
      </c>
      <c r="BT92" s="299" t="str">
        <f>IFERROR(__xludf.DUMMYFUNCTION("SUBSTITUTE(SUBSTITUTE(SUBSTITUTE(SUBSTITUTE(CONCATENATE(JOIN(""-"",GP92:HB92)),""--"",""-""),""--"",""-""),""--"",""-""),""--"",""-"")"),"S-R2-G2-M1-P-D2-N2-S")</f>
        <v>S-R2-G2-M1-P-D2-N2-S</v>
      </c>
      <c r="BU92" s="348" t="str">
        <f t="shared" si="29"/>
        <v>C-D-Eb-F-G-A-Bb-C</v>
      </c>
      <c r="BV92" s="349" t="str">
        <f t="shared" si="30"/>
        <v>SrGMdNS</v>
      </c>
      <c r="BW92" s="350">
        <f t="shared" si="31"/>
        <v>1</v>
      </c>
      <c r="BX92" s="351">
        <f t="shared" si="32"/>
        <v>9</v>
      </c>
      <c r="BY92" s="392"/>
      <c r="BZ92" s="309" t="str">
        <f>IFERROR(__xludf.DUMMYFUNCTION("IF(REGEXMATCH(C92, ""S""), ""x"",""x"")"),"x")</f>
        <v>x</v>
      </c>
      <c r="CA92" s="245" t="str">
        <f>IFERROR(__xludf.DUMMYFUNCTION("IF(REGEXMATCH(C92, ""r""), ""o"",""x"")"),"x")</f>
        <v>x</v>
      </c>
      <c r="CB92" s="246" t="str">
        <f>IFERROR(__xludf.DUMMYFUNCTION("IF(REGEXMATCH(C92, ""R""), ""o"",""x"")"),"o")</f>
        <v>o</v>
      </c>
      <c r="CC92" s="246" t="str">
        <f>IFERROR(__xludf.DUMMYFUNCTION("IF(REGEXMATCH(C92, ""g""), ""o"",""x"")"),"o")</f>
        <v>o</v>
      </c>
      <c r="CD92" s="245" t="str">
        <f>IFERROR(__xludf.DUMMYFUNCTION("IF(REGEXMATCH(C92, ""G""), ""o"",""x"")"),"x")</f>
        <v>x</v>
      </c>
      <c r="CE92" s="245" t="str">
        <f>IFERROR(__xludf.DUMMYFUNCTION("IF(REGEXMATCH(C92, ""m""), ""o"",""x"")"),"o")</f>
        <v>o</v>
      </c>
      <c r="CF92" s="246" t="str">
        <f>IFERROR(__xludf.DUMMYFUNCTION("IF(REGEXMATCH(C92, ""M""), ""o"",""x"")"),"x")</f>
        <v>x</v>
      </c>
      <c r="CG92" s="245" t="str">
        <f>IFERROR(__xludf.DUMMYFUNCTION("IF(REGEXMATCH(C92, ""P""), ""o"",""x"")"),"o")</f>
        <v>o</v>
      </c>
      <c r="CH92" s="246" t="str">
        <f>IFERROR(__xludf.DUMMYFUNCTION("IF(REGEXMATCH(C92, ""d""), ""o"",""x"")"),"x")</f>
        <v>x</v>
      </c>
      <c r="CI92" s="245" t="str">
        <f>IFERROR(__xludf.DUMMYFUNCTION("IF(REGEXMATCH(C92, ""D""), ""o"",""x"")"),"o")</f>
        <v>o</v>
      </c>
      <c r="CJ92" s="245" t="str">
        <f>IFERROR(__xludf.DUMMYFUNCTION("IF(REGEXMATCH(C92, ""n""), ""o"",""x"")"),"o")</f>
        <v>o</v>
      </c>
      <c r="CK92" s="245" t="str">
        <f>IFERROR(__xludf.DUMMYFUNCTION("IF(REGEXMATCH(C92, ""N""), ""o"",""x"")"),"x")</f>
        <v>x</v>
      </c>
      <c r="CL92" s="356" t="str">
        <f>IFERROR(__xludf.DUMMYFUNCTION("IF(REGEXMATCH(C92, ""S""), ""x"",""x"")"),"x")</f>
        <v>x</v>
      </c>
      <c r="CM92" s="357" t="str">
        <f t="shared" si="33"/>
        <v>xxooxoxoxoox</v>
      </c>
      <c r="CN92" s="358">
        <f t="shared" si="34"/>
        <v>1</v>
      </c>
      <c r="CO92" s="246" t="str">
        <f>IFERROR(__xludf.DUMMYFUNCTION("IF(REGEXMATCH($C92, ""S""), ""S"",""S"")"),"S")</f>
        <v>S</v>
      </c>
      <c r="CP92" s="246" t="str">
        <f>IFERROR(__xludf.DUMMYFUNCTION("IF(REGEXMATCH($C92, ""r""), """",""r"")"),"r")</f>
        <v>r</v>
      </c>
      <c r="CQ92" s="246" t="str">
        <f>IFERROR(__xludf.DUMMYFUNCTION("IF(REGEXMATCH($C92, ""R""), """",""R"")"),"")</f>
        <v/>
      </c>
      <c r="CR92" s="246" t="str">
        <f>IFERROR(__xludf.DUMMYFUNCTION("IF(REGEXMATCH($C92, ""g""), """",""g"")"),"")</f>
        <v/>
      </c>
      <c r="CS92" s="246" t="str">
        <f>IFERROR(__xludf.DUMMYFUNCTION("IF(REGEXMATCH($C92, ""G""), """",""G"")"),"G")</f>
        <v>G</v>
      </c>
      <c r="CT92" s="246" t="str">
        <f>IFERROR(__xludf.DUMMYFUNCTION("IF(REGEXMATCH($C92, ""m""), """",""m"")"),"")</f>
        <v/>
      </c>
      <c r="CU92" s="246" t="str">
        <f>IFERROR(__xludf.DUMMYFUNCTION("IF(REGEXMATCH($C92, ""M""), """",""M"")"),"M")</f>
        <v>M</v>
      </c>
      <c r="CV92" s="246" t="str">
        <f>IFERROR(__xludf.DUMMYFUNCTION("IF(REGEXMATCH($C92, ""P""), """",""P"")"),"")</f>
        <v/>
      </c>
      <c r="CW92" s="246" t="str">
        <f>IFERROR(__xludf.DUMMYFUNCTION("IF(REGEXMATCH($C92, ""d""), """",""d"")"),"d")</f>
        <v>d</v>
      </c>
      <c r="CX92" s="246" t="str">
        <f>IFERROR(__xludf.DUMMYFUNCTION("IF(REGEXMATCH($C92, ""D""), """",""D"")"),"")</f>
        <v/>
      </c>
      <c r="CY92" s="246" t="str">
        <f>IFERROR(__xludf.DUMMYFUNCTION("IF(REGEXMATCH($C92, ""n""), """",""n"")"),"")</f>
        <v/>
      </c>
      <c r="CZ92" s="246" t="str">
        <f>IFERROR(__xludf.DUMMYFUNCTION("IF(REGEXMATCH($C92, ""N""), """",""N"")"),"N")</f>
        <v>N</v>
      </c>
      <c r="DA92" s="246" t="str">
        <f>IFERROR(__xludf.DUMMYFUNCTION("IF(REGEXMATCH($C92, ""S""), ""S"",""S"")"),"S")</f>
        <v>S</v>
      </c>
      <c r="DB92" s="362" t="str">
        <f>IFERROR(__xludf.DUMMYFUNCTION("JOIN("""",CO92:DA92,"""","""")"),"SrGMdNS")</f>
        <v>SrGMdNS</v>
      </c>
      <c r="DC92" s="363"/>
      <c r="DD92" s="301" t="str">
        <f t="shared" si="35"/>
        <v>#REF!</v>
      </c>
      <c r="DE92" s="302" t="str">
        <f t="shared" si="36"/>
        <v>#REF!</v>
      </c>
      <c r="DF92" s="301" t="str">
        <f t="shared" ref="DF92:DG92" si="384">SUBSTITUTE(S92,"-","")</f>
        <v>SRGM</v>
      </c>
      <c r="DG92" s="301" t="str">
        <f t="shared" si="384"/>
        <v>PDNS</v>
      </c>
      <c r="DH92" s="302" t="str">
        <f t="shared" si="38"/>
        <v>Bilawal</v>
      </c>
      <c r="DI92" s="301" t="str">
        <f t="shared" si="39"/>
        <v>Hemi.</v>
      </c>
      <c r="DJ92" s="364" t="str">
        <f t="shared" si="40"/>
        <v>-</v>
      </c>
      <c r="DK92" s="306" t="str">
        <f t="shared" si="41"/>
        <v>Kafi</v>
      </c>
      <c r="DL92" s="366" t="str">
        <f t="shared" si="42"/>
        <v>-</v>
      </c>
      <c r="DM92" s="308" t="str">
        <f t="shared" si="43"/>
        <v>-</v>
      </c>
      <c r="DN92" s="306" t="str">
        <f t="shared" si="44"/>
        <v>-</v>
      </c>
      <c r="DO92" s="306" t="str">
        <f t="shared" si="45"/>
        <v>-</v>
      </c>
      <c r="DP92" s="367" t="str">
        <f t="shared" si="46"/>
        <v>-</v>
      </c>
      <c r="DQ92" s="310" t="str">
        <f t="shared" si="47"/>
        <v>-</v>
      </c>
      <c r="DR92" s="310" t="str">
        <f t="shared" si="48"/>
        <v>-</v>
      </c>
      <c r="DS92" s="310" t="str">
        <f t="shared" si="49"/>
        <v>-</v>
      </c>
      <c r="DT92" s="310" t="str">
        <f t="shared" si="50"/>
        <v>-</v>
      </c>
      <c r="DU92" s="370" t="str">
        <f t="shared" si="51"/>
        <v>-</v>
      </c>
      <c r="DV92" s="306" t="str">
        <f t="shared" si="52"/>
        <v>-</v>
      </c>
      <c r="DW92" s="306" t="str">
        <f t="shared" si="53"/>
        <v>-</v>
      </c>
      <c r="DX92" s="306" t="str">
        <f t="shared" si="54"/>
        <v>-</v>
      </c>
      <c r="DY92" s="306" t="str">
        <f t="shared" si="55"/>
        <v>-</v>
      </c>
      <c r="DZ92" s="306" t="str">
        <f t="shared" si="56"/>
        <v>-</v>
      </c>
      <c r="EA92" s="367" t="str">
        <f t="shared" si="57"/>
        <v>-</v>
      </c>
      <c r="EB92" s="310" t="str">
        <f>IFERROR(__xludf.DUMMYFUNCTION("IF(REGEXMATCH(AW92,AS92),""✔"",""-"")"),"✔")</f>
        <v>✔</v>
      </c>
      <c r="EC92" s="310" t="str">
        <f t="shared" si="58"/>
        <v>#REF!</v>
      </c>
      <c r="ED92" s="370" t="str">
        <f t="shared" si="59"/>
        <v>✔</v>
      </c>
      <c r="EE92" s="340" t="str">
        <f t="shared" si="60"/>
        <v>S-R-g-m-P-D-n-S</v>
      </c>
      <c r="EF92" s="371" t="str">
        <f>IFERROR(__xludf.DUMMYFUNCTION("CONCATENATE(JOIN("""",HC92:HO92))"),"SRgmPDnS")</f>
        <v>SRgmPDnS</v>
      </c>
      <c r="EG92" s="372">
        <f t="shared" si="61"/>
        <v>1</v>
      </c>
      <c r="EH92" s="373" t="str">
        <f>IFERROR(__xludf.DUMMYFUNCTION("CONCATENATE(JOIN("""",JC92:JO92))"),"Dha, ")</f>
        <v>Dha, </v>
      </c>
      <c r="EI92" s="322">
        <f t="shared" si="62"/>
        <v>0</v>
      </c>
      <c r="EJ92" s="374" t="str">
        <f>IFERROR(__xludf.DUMMYFUNCTION("CONCATENATE(JOIN("""",KC92:KO92))"),"")</f>
        <v/>
      </c>
      <c r="EK92" s="325" t="str">
        <f t="shared" si="63"/>
        <v>S-R2-G2-M1-P-D2-N2-S</v>
      </c>
      <c r="EL92" s="326" t="str">
        <f t="shared" si="64"/>
        <v>1-2-b3-4-5-6-b7-8</v>
      </c>
      <c r="EM92" s="318" t="str">
        <f t="shared" si="65"/>
        <v>#REF!</v>
      </c>
      <c r="EN92" s="328" t="str">
        <f>IFERROR(__xludf.DUMMYFUNCTION("SUBSTITUTE(SUBSTITUTE(SUBSTITUTE(SUBSTITUTE(CONCATENATE(JOIN("" "",HP92:IB92)),""  "","" ""),""  "","" ""),""  "","" ""),""  "","" "")"),"o • o o • o • o • o o • o")</f>
        <v>o • o o • o • o • o o • o</v>
      </c>
      <c r="EO92" s="368" t="str">
        <f t="shared" si="66"/>
        <v>-</v>
      </c>
      <c r="EP92" s="339" t="str">
        <f t="shared" si="67"/>
        <v>-</v>
      </c>
      <c r="EQ92" s="339" t="str">
        <f t="shared" si="68"/>
        <v>Sa-Pa</v>
      </c>
      <c r="ER92" s="339" t="str">
        <f t="shared" si="69"/>
        <v>-</v>
      </c>
      <c r="ES92" s="340" t="str">
        <f t="shared" si="70"/>
        <v>-</v>
      </c>
      <c r="ET92" s="363"/>
      <c r="EU92" s="376" t="b">
        <f>IFERROR(__xludf.DUMMYFUNCTION("arrayformula(sum(--REGEXMATCH(""SRGMPDNS"",split(REGEXREPLACE(C92,""(.)"",""$1~""),""~""))))=len(C92)
"),FALSE)</f>
        <v>0</v>
      </c>
      <c r="EV92" s="290" t="b">
        <f>IFERROR(__xludf.DUMMYFUNCTION("arrayformula(sum(--REGEXMATCH(""SRGmPDNS"",split(REGEXREPLACE(C92,""(.)"",""$1~""),""~""))))=len(C92)"),FALSE)</f>
        <v>0</v>
      </c>
      <c r="EW92" s="290" t="b">
        <f>IFERROR(__xludf.DUMMYFUNCTION("arrayformula(sum(--REGEXMATCH(""SRGmPDnS"",split(REGEXREPLACE(C92,""(.)"",""$1~""),""~""))))=len(C92)"),FALSE)</f>
        <v>0</v>
      </c>
      <c r="EX92" s="290" t="b">
        <f>IFERROR(__xludf.DUMMYFUNCTION("arrayformula(sum(--REGEXMATCH(""SRgmPDnS"",split(REGEXREPLACE(C92,""(.)"",""$1~""),""~""))))=len(C92)"),TRUE)</f>
        <v>1</v>
      </c>
      <c r="EY92" s="290" t="b">
        <f>IFERROR(__xludf.DUMMYFUNCTION("arrayformula(sum(--REGEXMATCH(""SRgmPdnS"",split(REGEXREPLACE(C92,""(.)"",""$1~""),""~""))))=len(C92)"),FALSE)</f>
        <v>0</v>
      </c>
      <c r="EZ92" s="290" t="b">
        <f>IFERROR(__xludf.DUMMYFUNCTION("arrayformula(sum(--REGEXMATCH(""SrgmPdnS"",split(REGEXREPLACE(C92,""(.)"",""$1~""),""~""))))=len(C92)"),FALSE)</f>
        <v>0</v>
      </c>
      <c r="FA92" s="290" t="b">
        <f>IFERROR(__xludf.DUMMYFUNCTION("arrayformula(sum(--REGEXMATCH(""SrGmPdNS"",split(REGEXREPLACE(C92,""(.)"",""$1~""),""~""))))=len(C92)"),FALSE)</f>
        <v>0</v>
      </c>
      <c r="FB92" s="290" t="b">
        <f>IFERROR(__xludf.DUMMYFUNCTION("arrayformula(sum(--REGEXMATCH(""SrGMPDNS"",split(REGEXREPLACE(C92,""(.)"",""$1~""),""~""))))=len(C92)"),FALSE)</f>
        <v>0</v>
      </c>
      <c r="FC92" s="290" t="b">
        <f>IFERROR(__xludf.DUMMYFUNCTION("arrayformula(sum(--REGEXMATCH(""SrGMPdNS"",split(REGEXREPLACE(C92,""(.)"",""$1~""),""~""))))=len(C92)"),FALSE)</f>
        <v>0</v>
      </c>
      <c r="FD92" s="377" t="b">
        <f>IFERROR(__xludf.DUMMYFUNCTION("arrayformula(sum(--REGEXMATCH(""SrgMPdNS"",split(REGEXREPLACE(C92,""(.)"",""$1~""),""~""))))=len(C92)"),FALSE)</f>
        <v>0</v>
      </c>
      <c r="FE92" s="269" t="str">
        <f t="shared" si="71"/>
        <v>-</v>
      </c>
      <c r="FF92" s="269" t="str">
        <f t="shared" si="72"/>
        <v>xxoxoxoxxox</v>
      </c>
      <c r="FG92" s="271" t="str">
        <f t="shared" si="73"/>
        <v>xoxoxoxxoxo</v>
      </c>
      <c r="FH92" s="269" t="str">
        <f t="shared" si="74"/>
        <v>-</v>
      </c>
      <c r="FI92" s="271" t="str">
        <f t="shared" si="75"/>
        <v>xoxoxxoxoxx</v>
      </c>
      <c r="FJ92" s="271" t="str">
        <f t="shared" si="76"/>
        <v>-</v>
      </c>
      <c r="FK92" s="271" t="str">
        <f t="shared" si="77"/>
        <v>xoxxoxoxxox</v>
      </c>
      <c r="FL92" s="271" t="str">
        <f t="shared" si="78"/>
        <v>-</v>
      </c>
      <c r="FM92" s="271" t="str">
        <f t="shared" si="79"/>
        <v>xxoxoxxoxox</v>
      </c>
      <c r="FN92" s="271" t="str">
        <f t="shared" si="80"/>
        <v>xoxoxxoxoxo</v>
      </c>
      <c r="FO92" s="274" t="str">
        <f t="shared" si="81"/>
        <v>-</v>
      </c>
      <c r="FP92" s="234" t="str">
        <f t="shared" si="82"/>
        <v>|</v>
      </c>
      <c r="FQ92" s="236" t="str">
        <f t="shared" si="83"/>
        <v>-</v>
      </c>
      <c r="FR92" s="237" t="str">
        <f t="shared" si="84"/>
        <v>|</v>
      </c>
      <c r="FS92" s="236" t="str">
        <f t="shared" si="85"/>
        <v>|</v>
      </c>
      <c r="FT92" s="237" t="str">
        <f t="shared" si="86"/>
        <v>-</v>
      </c>
      <c r="FU92" s="236" t="str">
        <f t="shared" si="87"/>
        <v>|</v>
      </c>
      <c r="FV92" s="237" t="str">
        <f t="shared" si="88"/>
        <v>-</v>
      </c>
      <c r="FW92" s="236" t="str">
        <f t="shared" si="89"/>
        <v>|</v>
      </c>
      <c r="FX92" s="237" t="str">
        <f t="shared" si="90"/>
        <v>-</v>
      </c>
      <c r="FY92" s="236" t="str">
        <f t="shared" si="91"/>
        <v>|</v>
      </c>
      <c r="FZ92" s="237" t="str">
        <f t="shared" si="92"/>
        <v>|</v>
      </c>
      <c r="GA92" s="236" t="str">
        <f t="shared" si="93"/>
        <v>-</v>
      </c>
      <c r="GB92" s="238" t="str">
        <f t="shared" si="94"/>
        <v>|</v>
      </c>
      <c r="GC92" s="244" t="str">
        <f>IFERROR(__xludf.DUMMYFUNCTION("IF(REGEXMATCH(C92, ""S""), ""1"","""")"),"1")</f>
        <v>1</v>
      </c>
      <c r="GD92" s="245" t="str">
        <f>IFERROR(__xludf.DUMMYFUNCTION("IF(REGEXMATCH(C92, ""r""), ""b2"","""")"),"")</f>
        <v/>
      </c>
      <c r="GE92" s="246" t="str">
        <f>IFERROR(__xludf.DUMMYFUNCTION("IF(REGEXMATCH(C92, ""R""), ""2"","""")"),"2")</f>
        <v>2</v>
      </c>
      <c r="GF92" s="246" t="str">
        <f>IFERROR(__xludf.DUMMYFUNCTION("IF(REGEXMATCH(C92, ""g""), ""b3"","""")"),"b3")</f>
        <v>b3</v>
      </c>
      <c r="GG92" s="245" t="str">
        <f>IFERROR(__xludf.DUMMYFUNCTION("IF(REGEXMATCH(C92, ""G""), ""3"","""")"),"")</f>
        <v/>
      </c>
      <c r="GH92" s="245" t="str">
        <f>IFERROR(__xludf.DUMMYFUNCTION("IF(REGEXMATCH(C92, ""m""), ""4"","""")"),"4")</f>
        <v>4</v>
      </c>
      <c r="GI92" s="246" t="str">
        <f>IFERROR(__xludf.DUMMYFUNCTION("IF(REGEXMATCH(C92, ""M""), ""#4"","""")"),"")</f>
        <v/>
      </c>
      <c r="GJ92" s="245" t="str">
        <f>IFERROR(__xludf.DUMMYFUNCTION("IF(REGEXMATCH(C92, ""P""), ""5"","""")"),"5")</f>
        <v>5</v>
      </c>
      <c r="GK92" s="246" t="str">
        <f>IFERROR(__xludf.DUMMYFUNCTION("IF(REGEXMATCH(C92, ""d""), ""b6"","""")"),"")</f>
        <v/>
      </c>
      <c r="GL92" s="245" t="str">
        <f>IFERROR(__xludf.DUMMYFUNCTION("IF(REGEXMATCH(C92, ""D""), ""6"","""")"),"6")</f>
        <v>6</v>
      </c>
      <c r="GM92" s="245" t="str">
        <f>IFERROR(__xludf.DUMMYFUNCTION("IF(REGEXMATCH(C92, ""n""), ""b7"","""")"),"b7")</f>
        <v>b7</v>
      </c>
      <c r="GN92" s="246" t="str">
        <f>IFERROR(__xludf.DUMMYFUNCTION("IF(REGEXMATCH(C92, ""N""), ""7"","""")"),"")</f>
        <v/>
      </c>
      <c r="GO92" s="249" t="str">
        <f>IFERROR(__xludf.DUMMYFUNCTION("IF(REGEXMATCH(C92, ""S""), ""8"","""")"),"8")</f>
        <v>8</v>
      </c>
      <c r="GP92" s="244" t="str">
        <f>IFERROR(__xludf.DUMMYFUNCTION("IF(REGEXMATCH(C92, ""S""), ""S"","""")"),"S")</f>
        <v>S</v>
      </c>
      <c r="GQ92" s="294" t="str">
        <f>IFERROR(__xludf.DUMMYFUNCTION("IF(REGEXMATCH(C92, ""r""), ""R1"","""")"),"")</f>
        <v/>
      </c>
      <c r="GR92" s="295" t="str">
        <f>IFERROR(__xludf.DUMMYFUNCTION("IF(REGEXMATCH(C92, ""R""), ""R2"","""")"),"R2")</f>
        <v>R2</v>
      </c>
      <c r="GS92" s="295" t="str">
        <f>IFERROR(__xludf.DUMMYFUNCTION("IF(REGEXMATCH(C92, ""g""), ""G2"","""")"),"G2")</f>
        <v>G2</v>
      </c>
      <c r="GT92" s="294" t="str">
        <f>IFERROR(__xludf.DUMMYFUNCTION("IF(REGEXMATCH(C92, ""G""), ""G3"","""")"),"")</f>
        <v/>
      </c>
      <c r="GU92" s="294" t="str">
        <f>IFERROR(__xludf.DUMMYFUNCTION("IF(REGEXMATCH(C92, ""m""), ""M1"","""")"),"M1")</f>
        <v>M1</v>
      </c>
      <c r="GV92" s="295" t="str">
        <f>IFERROR(__xludf.DUMMYFUNCTION("IF(REGEXMATCH(C92, ""M""), ""M2"","""")"),"")</f>
        <v/>
      </c>
      <c r="GW92" s="294" t="str">
        <f>IFERROR(__xludf.DUMMYFUNCTION("IF(REGEXMATCH(C92, ""P""), ""P"","""")"),"P")</f>
        <v>P</v>
      </c>
      <c r="GX92" s="295" t="str">
        <f>IFERROR(__xludf.DUMMYFUNCTION("IF(REGEXMATCH(C92, ""d""), ""D1"","""")"),"")</f>
        <v/>
      </c>
      <c r="GY92" s="294" t="str">
        <f>IFERROR(__xludf.DUMMYFUNCTION("IF(REGEXMATCH(C92, ""D""), ""D2"","""")"),"D2")</f>
        <v>D2</v>
      </c>
      <c r="GZ92" s="294" t="str">
        <f>IFERROR(__xludf.DUMMYFUNCTION("IF(REGEXMATCH(C92, ""n""), ""N2"","""")"),"N2")</f>
        <v>N2</v>
      </c>
      <c r="HA92" s="295" t="str">
        <f>IFERROR(__xludf.DUMMYFUNCTION("IF(REGEXMATCH(C92, ""N""), ""N3"","""")"),"")</f>
        <v/>
      </c>
      <c r="HB92" s="249" t="str">
        <f>IFERROR(__xludf.DUMMYFUNCTION("IF(REGEXMATCH(C92, ""S""), ""S"","""")"),"S")</f>
        <v>S</v>
      </c>
      <c r="HC92" s="331" t="str">
        <f t="shared" si="95"/>
        <v>S</v>
      </c>
      <c r="HD92" s="332" t="str">
        <f t="shared" si="96"/>
        <v/>
      </c>
      <c r="HE92" s="332" t="str">
        <f t="shared" si="97"/>
        <v>R</v>
      </c>
      <c r="HF92" s="332" t="str">
        <f t="shared" si="98"/>
        <v>g</v>
      </c>
      <c r="HG92" s="332" t="str">
        <f t="shared" si="99"/>
        <v/>
      </c>
      <c r="HH92" s="332" t="str">
        <f t="shared" si="100"/>
        <v>m</v>
      </c>
      <c r="HI92" s="332" t="str">
        <f t="shared" si="101"/>
        <v/>
      </c>
      <c r="HJ92" s="332" t="str">
        <f t="shared" si="102"/>
        <v>P</v>
      </c>
      <c r="HK92" s="332" t="str">
        <f t="shared" si="103"/>
        <v/>
      </c>
      <c r="HL92" s="332" t="str">
        <f t="shared" si="104"/>
        <v>D</v>
      </c>
      <c r="HM92" s="332" t="str">
        <f t="shared" si="105"/>
        <v>n</v>
      </c>
      <c r="HN92" s="332" t="str">
        <f t="shared" si="106"/>
        <v/>
      </c>
      <c r="HO92" s="343" t="str">
        <f t="shared" si="107"/>
        <v>S</v>
      </c>
      <c r="HP92" s="331" t="str">
        <f t="shared" si="108"/>
        <v>o</v>
      </c>
      <c r="HQ92" s="332" t="str">
        <f t="shared" si="109"/>
        <v>•</v>
      </c>
      <c r="HR92" s="332" t="str">
        <f t="shared" si="110"/>
        <v>o</v>
      </c>
      <c r="HS92" s="332" t="str">
        <f t="shared" si="111"/>
        <v>o</v>
      </c>
      <c r="HT92" s="332" t="str">
        <f t="shared" si="112"/>
        <v>•</v>
      </c>
      <c r="HU92" s="332" t="str">
        <f t="shared" si="113"/>
        <v>o</v>
      </c>
      <c r="HV92" s="332" t="str">
        <f t="shared" si="114"/>
        <v>•</v>
      </c>
      <c r="HW92" s="332" t="str">
        <f t="shared" si="115"/>
        <v>o</v>
      </c>
      <c r="HX92" s="332" t="str">
        <f t="shared" si="116"/>
        <v>•</v>
      </c>
      <c r="HY92" s="332" t="str">
        <f t="shared" si="117"/>
        <v>o</v>
      </c>
      <c r="HZ92" s="332" t="str">
        <f t="shared" si="118"/>
        <v>o</v>
      </c>
      <c r="IA92" s="332" t="str">
        <f t="shared" si="119"/>
        <v>•</v>
      </c>
      <c r="IB92" s="338" t="str">
        <f t="shared" si="120"/>
        <v>o</v>
      </c>
      <c r="IC92" s="331" t="str">
        <f t="shared" si="121"/>
        <v>•</v>
      </c>
      <c r="ID92" s="332" t="str">
        <f t="shared" si="122"/>
        <v>o</v>
      </c>
      <c r="IE92" s="332" t="str">
        <f t="shared" si="123"/>
        <v>•</v>
      </c>
      <c r="IF92" s="332" t="str">
        <f t="shared" si="124"/>
        <v>•</v>
      </c>
      <c r="IG92" s="332" t="str">
        <f t="shared" si="125"/>
        <v>o</v>
      </c>
      <c r="IH92" s="332" t="str">
        <f t="shared" si="126"/>
        <v>•</v>
      </c>
      <c r="II92" s="332" t="str">
        <f t="shared" si="127"/>
        <v>o</v>
      </c>
      <c r="IJ92" s="332" t="str">
        <f t="shared" si="128"/>
        <v>•</v>
      </c>
      <c r="IK92" s="332" t="str">
        <f t="shared" si="129"/>
        <v>o</v>
      </c>
      <c r="IL92" s="332" t="str">
        <f t="shared" si="130"/>
        <v>•</v>
      </c>
      <c r="IM92" s="332" t="str">
        <f t="shared" si="131"/>
        <v>•</v>
      </c>
      <c r="IN92" s="332" t="str">
        <f t="shared" si="132"/>
        <v>o</v>
      </c>
      <c r="IO92" s="338" t="str">
        <f t="shared" si="133"/>
        <v>•</v>
      </c>
      <c r="IP92" s="346" t="b">
        <f t="shared" si="134"/>
        <v>0</v>
      </c>
      <c r="IQ92" s="347" t="b">
        <f t="shared" si="135"/>
        <v>0</v>
      </c>
      <c r="IR92" s="347" t="b">
        <f t="shared" si="136"/>
        <v>0</v>
      </c>
      <c r="IS92" s="347" t="b">
        <f t="shared" si="137"/>
        <v>0</v>
      </c>
      <c r="IT92" s="347" t="b">
        <f t="shared" si="138"/>
        <v>0</v>
      </c>
      <c r="IU92" s="347" t="b">
        <f t="shared" si="139"/>
        <v>0</v>
      </c>
      <c r="IV92" s="347" t="b">
        <f t="shared" si="140"/>
        <v>0</v>
      </c>
      <c r="IW92" s="347" t="b">
        <f t="shared" si="141"/>
        <v>0</v>
      </c>
      <c r="IX92" s="347" t="b">
        <f t="shared" si="142"/>
        <v>0</v>
      </c>
      <c r="IY92" s="347" t="b">
        <f t="shared" si="143"/>
        <v>1</v>
      </c>
      <c r="IZ92" s="347" t="b">
        <f t="shared" si="144"/>
        <v>0</v>
      </c>
      <c r="JA92" s="347" t="b">
        <f t="shared" si="145"/>
        <v>0</v>
      </c>
      <c r="JB92" s="353" t="b">
        <f t="shared" si="146"/>
        <v>0</v>
      </c>
      <c r="JC92" s="354" t="str">
        <f t="shared" si="147"/>
        <v/>
      </c>
      <c r="JD92" s="355" t="str">
        <f t="shared" si="148"/>
        <v/>
      </c>
      <c r="JE92" s="355" t="str">
        <f t="shared" si="149"/>
        <v/>
      </c>
      <c r="JF92" s="355" t="str">
        <f t="shared" si="150"/>
        <v/>
      </c>
      <c r="JG92" s="355" t="str">
        <f t="shared" si="151"/>
        <v/>
      </c>
      <c r="JH92" s="355" t="str">
        <f t="shared" si="152"/>
        <v/>
      </c>
      <c r="JI92" s="355" t="str">
        <f t="shared" si="153"/>
        <v/>
      </c>
      <c r="JJ92" s="355" t="str">
        <f t="shared" si="154"/>
        <v/>
      </c>
      <c r="JK92" s="355" t="str">
        <f t="shared" si="155"/>
        <v/>
      </c>
      <c r="JL92" s="355" t="str">
        <f t="shared" si="156"/>
        <v>Dha, </v>
      </c>
      <c r="JM92" s="355" t="str">
        <f t="shared" si="157"/>
        <v/>
      </c>
      <c r="JN92" s="355" t="str">
        <f t="shared" si="158"/>
        <v/>
      </c>
      <c r="JO92" s="359" t="str">
        <f t="shared" si="159"/>
        <v/>
      </c>
      <c r="JP92" s="346" t="b">
        <f t="shared" si="160"/>
        <v>0</v>
      </c>
      <c r="JQ92" s="347" t="b">
        <f t="shared" si="161"/>
        <v>0</v>
      </c>
      <c r="JR92" s="347" t="b">
        <f t="shared" si="162"/>
        <v>0</v>
      </c>
      <c r="JS92" s="347" t="b">
        <f t="shared" si="163"/>
        <v>0</v>
      </c>
      <c r="JT92" s="347" t="b">
        <f t="shared" si="164"/>
        <v>0</v>
      </c>
      <c r="JU92" s="347" t="b">
        <f t="shared" si="165"/>
        <v>0</v>
      </c>
      <c r="JV92" s="347" t="b">
        <f t="shared" si="166"/>
        <v>0</v>
      </c>
      <c r="JW92" s="347" t="b">
        <f t="shared" si="167"/>
        <v>0</v>
      </c>
      <c r="JX92" s="347" t="b">
        <f t="shared" si="168"/>
        <v>0</v>
      </c>
      <c r="JY92" s="347" t="b">
        <f t="shared" si="169"/>
        <v>0</v>
      </c>
      <c r="JZ92" s="347" t="b">
        <f t="shared" si="170"/>
        <v>0</v>
      </c>
      <c r="KA92" s="347" t="b">
        <f t="shared" si="171"/>
        <v>0</v>
      </c>
      <c r="KB92" s="365" t="b">
        <f t="shared" si="172"/>
        <v>0</v>
      </c>
      <c r="KC92" s="354" t="str">
        <f t="shared" si="173"/>
        <v/>
      </c>
      <c r="KD92" s="355" t="str">
        <f t="shared" si="174"/>
        <v/>
      </c>
      <c r="KE92" s="355" t="str">
        <f t="shared" si="175"/>
        <v/>
      </c>
      <c r="KF92" s="355" t="str">
        <f t="shared" si="176"/>
        <v/>
      </c>
      <c r="KG92" s="355" t="str">
        <f t="shared" si="177"/>
        <v/>
      </c>
      <c r="KH92" s="355" t="str">
        <f t="shared" si="178"/>
        <v/>
      </c>
      <c r="KI92" s="355" t="str">
        <f t="shared" si="179"/>
        <v/>
      </c>
      <c r="KJ92" s="355" t="str">
        <f t="shared" si="180"/>
        <v/>
      </c>
      <c r="KK92" s="355" t="str">
        <f t="shared" si="181"/>
        <v/>
      </c>
      <c r="KL92" s="355" t="str">
        <f t="shared" si="182"/>
        <v/>
      </c>
      <c r="KM92" s="355" t="str">
        <f t="shared" si="183"/>
        <v/>
      </c>
      <c r="KN92" s="355" t="str">
        <f t="shared" si="184"/>
        <v/>
      </c>
      <c r="KO92" s="359"/>
      <c r="KP92" s="378"/>
      <c r="KQ92" s="379" t="s">
        <v>721</v>
      </c>
      <c r="KR92" s="380" t="s">
        <v>1297</v>
      </c>
      <c r="KS92" s="381" t="str">
        <f t="shared" si="380"/>
        <v>S-R-m-P-D-n-S</v>
      </c>
      <c r="KT92" s="382">
        <f t="shared" si="186"/>
        <v>6</v>
      </c>
      <c r="KU92" s="383">
        <f t="shared" si="187"/>
        <v>6</v>
      </c>
      <c r="KV92" s="381" t="str">
        <f t="shared" si="205"/>
        <v>S-n-D-P-m-g-R-S</v>
      </c>
      <c r="KW92" s="382">
        <f t="shared" si="189"/>
        <v>7</v>
      </c>
      <c r="KX92" s="384">
        <f t="shared" si="190"/>
        <v>7</v>
      </c>
      <c r="KY92" s="382">
        <f t="shared" ref="KY92:KZ92" si="385">KW92-KT92</f>
        <v>1</v>
      </c>
      <c r="KZ92" s="369">
        <f t="shared" si="385"/>
        <v>1</v>
      </c>
      <c r="LA92" s="385" t="str">
        <f t="shared" si="192"/>
        <v>-</v>
      </c>
      <c r="LB92" s="340" t="str">
        <f>IFERROR(__xludf.DUMMYFUNCTION("JOIN("""",ArrayFormula(MID(KS92,LEN(KS92)-SEQUENCE(1,LEN(KS92))+1,1)))"),"S-n-D-P-m-R-S")</f>
        <v>S-n-D-P-m-R-S</v>
      </c>
      <c r="LC92" s="373" t="str">
        <f>IFERROR(__xludf.DUMMYFUNCTION("JOIN("""",ArrayFormula(MID(KV92,LEN(KV92)-SEQUENCE(1,LEN(KV92))+1,1)))"),"S-R-g-m-P-D-n-S")</f>
        <v>S-R-g-m-P-D-n-S</v>
      </c>
      <c r="LD92" s="373" t="str">
        <f t="shared" si="193"/>
        <v>SRmPDnS</v>
      </c>
      <c r="LE92" s="339" t="str">
        <f t="shared" si="194"/>
        <v>SRgmPDnS</v>
      </c>
      <c r="LF92" s="386" t="str">
        <f>IFERROR(__xludf.DUMMYFUNCTION("SUBSTITUTE(SUBSTITUTE(CONCATENATE(JOIN("""",LH92:LT92)),""1"",""""),""2"","""")"),"SRgmPDnS")</f>
        <v>SRgmPDnS</v>
      </c>
      <c r="LG92" s="369" t="str">
        <f t="shared" si="195"/>
        <v>✔</v>
      </c>
      <c r="LH92" s="387" t="str">
        <f>IFERROR(__xludf.DUMMYFUNCTION("IF(REGEXMATCH(LD92, ""S""), ""S"",IF(REGEXMATCH(LE92, ""S""), ""S"",""""))"),"S")</f>
        <v>S</v>
      </c>
      <c r="LI92" s="299" t="str">
        <f>IFERROR(__xludf.DUMMYFUNCTION("IF(REGEXMATCH(LD92, ""r""), ""r1"",IF(REGEXMATCH(LE92, ""r""), ""r2"",""""))"),"")</f>
        <v/>
      </c>
      <c r="LJ92" s="299" t="str">
        <f>IFERROR(__xludf.DUMMYFUNCTION("IF(REGEXMATCH(LD92, ""R""), ""R1"",IF(REGEXMATCH(LE92, ""R""), ""R2"",""""))"),"R1")</f>
        <v>R1</v>
      </c>
      <c r="LK92" s="299" t="str">
        <f>IFERROR(__xludf.DUMMYFUNCTION("IF(REGEXMATCH(LD92, ""g""), ""g1"",IF(REGEXMATCH(LE92, ""g""), ""g2"",""""))"),"g2")</f>
        <v>g2</v>
      </c>
      <c r="LL92" s="299" t="str">
        <f>IFERROR(__xludf.DUMMYFUNCTION("IF(REGEXMATCH(LD92, ""G""), ""G1"",IF(REGEXMATCH(LE92, ""G""), ""G2"",""""))"),"")</f>
        <v/>
      </c>
      <c r="LM92" s="299" t="str">
        <f>IFERROR(__xludf.DUMMYFUNCTION("IF(REGEXMATCH(LD92, ""m""), ""m1"",IF(REGEXMATCH(LE92, ""m""), ""m2"",""""))"),"m1")</f>
        <v>m1</v>
      </c>
      <c r="LN92" s="299" t="str">
        <f>IFERROR(__xludf.DUMMYFUNCTION("IF(REGEXMATCH(LD92, ""M""), ""M1"",IF(REGEXMATCH(LE92, ""M""), ""M2"",""""))"),"")</f>
        <v/>
      </c>
      <c r="LO92" s="299" t="str">
        <f>IFERROR(__xludf.DUMMYFUNCTION("IF(REGEXMATCH(LD92, ""P""), ""P1"",IF(REGEXMATCH(LE92, ""P""), ""P2"",""""))"),"P1")</f>
        <v>P1</v>
      </c>
      <c r="LP92" s="299" t="str">
        <f>IFERROR(__xludf.DUMMYFUNCTION("IF(REGEXMATCH(LD92, ""d""), ""d1"",IF(REGEXMATCH(LE92, ""d""), ""d2"",""""))"),"")</f>
        <v/>
      </c>
      <c r="LQ92" s="299" t="str">
        <f>IFERROR(__xludf.DUMMYFUNCTION("IF(REGEXMATCH(LD92, ""D""), ""D1"",IF(REGEXMATCH(LE92, ""D""), ""D2"",""""))"),"D1")</f>
        <v>D1</v>
      </c>
      <c r="LR92" s="299" t="str">
        <f>IFERROR(__xludf.DUMMYFUNCTION("IF(REGEXMATCH(LD92, ""n""), ""n1"",IF(REGEXMATCH(LE92, ""n""), ""n2"",""""))"),"n1")</f>
        <v>n1</v>
      </c>
      <c r="LS92" s="299" t="str">
        <f>IFERROR(__xludf.DUMMYFUNCTION("IF(REGEXMATCH(LD92, ""N""), ""N1"",IF(REGEXMATCH(LE92, ""N""), ""N2"",""""))"),"")</f>
        <v/>
      </c>
      <c r="LT92" s="388" t="str">
        <f>IFERROR(__xludf.DUMMYFUNCTION("IF(REGEXMATCH(LD92, ""S""), ""S"",IF(REGEXMATCH(LE92, ""S""), ""S"",""""))"),"S")</f>
        <v>S</v>
      </c>
      <c r="LU92" s="389">
        <f t="shared" si="196"/>
        <v>-1</v>
      </c>
      <c r="LV92" s="378"/>
      <c r="LW92" s="369"/>
      <c r="LX92" s="369"/>
    </row>
    <row r="93" ht="18.0" customHeight="1">
      <c r="A93" s="298" t="s">
        <v>687</v>
      </c>
      <c r="B93" s="222" t="s">
        <v>688</v>
      </c>
      <c r="C93" s="233" t="str">
        <f t="shared" si="7"/>
        <v>SRgGmPdnS</v>
      </c>
      <c r="D93" s="234" t="str">
        <f>IFERROR(__xludf.DUMMYFUNCTION("IF(REGEXMATCH(C93, ""S""), ""S"","""")"),"S")</f>
        <v>S</v>
      </c>
      <c r="E93" s="236" t="str">
        <f>IFERROR(__xludf.DUMMYFUNCTION("IF(REGEXMATCH(C93, ""r""), ""r"","""")"),"")</f>
        <v/>
      </c>
      <c r="F93" s="237" t="str">
        <f>IFERROR(__xludf.DUMMYFUNCTION("IF(REGEXMATCH(C93, ""R""), ""R"","""")"),"R")</f>
        <v>R</v>
      </c>
      <c r="G93" s="237" t="str">
        <f>IFERROR(__xludf.DUMMYFUNCTION("IF(REGEXMATCH(C93, ""g""), ""g"","""")"),"g")</f>
        <v>g</v>
      </c>
      <c r="H93" s="236" t="str">
        <f>IFERROR(__xludf.DUMMYFUNCTION("IF(REGEXMATCH(C93, ""G""), ""G"","""")"),"G")</f>
        <v>G</v>
      </c>
      <c r="I93" s="236" t="str">
        <f>IFERROR(__xludf.DUMMYFUNCTION("IF(REGEXMATCH(C93, ""m""), ""m"","""")"),"m")</f>
        <v>m</v>
      </c>
      <c r="J93" s="237" t="str">
        <f>IFERROR(__xludf.DUMMYFUNCTION("IF(REGEXMATCH(C93, ""M""), ""M"","""")"),"")</f>
        <v/>
      </c>
      <c r="K93" s="236" t="str">
        <f>IFERROR(__xludf.DUMMYFUNCTION("IF(REGEXMATCH(C93, ""P""), ""P"","""")"),"P")</f>
        <v>P</v>
      </c>
      <c r="L93" s="237" t="str">
        <f>IFERROR(__xludf.DUMMYFUNCTION("IF(REGEXMATCH(C93, ""d""), ""d"","""")"),"d")</f>
        <v>d</v>
      </c>
      <c r="M93" s="236" t="str">
        <f>IFERROR(__xludf.DUMMYFUNCTION("IF(REGEXMATCH(C93, ""D""), ""D"","""")"),"")</f>
        <v/>
      </c>
      <c r="N93" s="236" t="str">
        <f>IFERROR(__xludf.DUMMYFUNCTION("IF(REGEXMATCH(C93, ""n""), ""n"","""")"),"n")</f>
        <v>n</v>
      </c>
      <c r="O93" s="237" t="str">
        <f>IFERROR(__xludf.DUMMYFUNCTION("IF(REGEXMATCH(C93, ""N""), ""N"","""")"),"")</f>
        <v/>
      </c>
      <c r="P93" s="238" t="str">
        <f>IFERROR(__xludf.DUMMYFUNCTION("IF(REGEXMATCH(C93, ""S""), ""S"","""")"),"S")</f>
        <v>S</v>
      </c>
      <c r="Q93" s="239" t="str">
        <f>IFERROR(__xludf.DUMMYFUNCTION("SUBSTITUTE(CONCATENATE(JOIN(""-"",D93:J93)),""-"","""")"),"SRgGm")</f>
        <v>SRgGm</v>
      </c>
      <c r="R93" s="229" t="str">
        <f>IFERROR(__xludf.DUMMYFUNCTION("SUBSTITUTE(CONCATENATE(JOIN(""-"",K93:P93)),""-"","""")"),"PdnS")</f>
        <v>PdnS</v>
      </c>
      <c r="S93" s="282" t="str">
        <f t="shared" si="8"/>
        <v>S-R-G-M</v>
      </c>
      <c r="T93" s="282" t="str">
        <f t="shared" si="9"/>
        <v>P-D-N-S</v>
      </c>
      <c r="U93" s="237" t="str">
        <f>IFERROR(__xludf.DUMMYFUNCTION("SUBSTITUTE(JOIN(""-"",S93,T93),""--"",""-"")"),"S-R-G-M-P-D-N-S")</f>
        <v>S-R-G-M-P-D-N-S</v>
      </c>
      <c r="V93" s="309" t="str">
        <f t="shared" si="10"/>
        <v>RgGmdn</v>
      </c>
      <c r="W93" s="244" t="str">
        <f>IFERROR(__xludf.DUMMYFUNCTION("IF(REGEXMATCH(C93, ""S""), ""0"","""")"),"0")</f>
        <v>0</v>
      </c>
      <c r="X93" s="245" t="str">
        <f>IFERROR(__xludf.DUMMYFUNCTION("IF(REGEXMATCH(C93, ""r""), ""1"","""")"),"")</f>
        <v/>
      </c>
      <c r="Y93" s="246" t="str">
        <f>IFERROR(__xludf.DUMMYFUNCTION("IF(REGEXMATCH(C93, ""R""), ""2"","""")"),"2")</f>
        <v>2</v>
      </c>
      <c r="Z93" s="246" t="str">
        <f>IFERROR(__xludf.DUMMYFUNCTION("IF(REGEXMATCH(C93, ""g""), ""3"","""")"),"3")</f>
        <v>3</v>
      </c>
      <c r="AA93" s="245" t="str">
        <f>IFERROR(__xludf.DUMMYFUNCTION("IF(REGEXMATCH(C93, ""G""), ""4"","""")"),"4")</f>
        <v>4</v>
      </c>
      <c r="AB93" s="245" t="str">
        <f>IFERROR(__xludf.DUMMYFUNCTION("IF(REGEXMATCH(C93, ""m""), ""5"","""")"),"5")</f>
        <v>5</v>
      </c>
      <c r="AC93" s="246" t="str">
        <f>IFERROR(__xludf.DUMMYFUNCTION("IF(REGEXMATCH(C93, ""M""), ""6"","""")"),"")</f>
        <v/>
      </c>
      <c r="AD93" s="245" t="str">
        <f>IFERROR(__xludf.DUMMYFUNCTION("IF(REGEXMATCH(C93, ""P""), ""7"","""")"),"7")</f>
        <v>7</v>
      </c>
      <c r="AE93" s="246" t="str">
        <f>IFERROR(__xludf.DUMMYFUNCTION("IF(REGEXMATCH(C93, ""d""), ""8"","""")"),"8")</f>
        <v>8</v>
      </c>
      <c r="AF93" s="245" t="str">
        <f>IFERROR(__xludf.DUMMYFUNCTION("IF(REGEXMATCH(C93, ""D""), ""9"","""")"),"")</f>
        <v/>
      </c>
      <c r="AG93" s="245" t="str">
        <f>IFERROR(__xludf.DUMMYFUNCTION("IF(REGEXMATCH(C93, ""n""), ""10"","""")"),"10")</f>
        <v>10</v>
      </c>
      <c r="AH93" s="246" t="str">
        <f>IFERROR(__xludf.DUMMYFUNCTION("IF(REGEXMATCH(C93, ""N""), ""11"","""")"),"")</f>
        <v/>
      </c>
      <c r="AI93" s="249" t="str">
        <f>IFERROR(__xludf.DUMMYFUNCTION("IF(REGEXMATCH(C93, ""S""), ""0"","""")"),"0")</f>
        <v>0</v>
      </c>
      <c r="AJ93" s="313" t="str">
        <f t="shared" si="11"/>
        <v>-</v>
      </c>
      <c r="AK93" s="313" t="str">
        <f t="shared" si="12"/>
        <v>-</v>
      </c>
      <c r="AL93" s="313" t="str">
        <f t="shared" si="13"/>
        <v>T</v>
      </c>
      <c r="AM93" s="313" t="str">
        <f t="shared" si="14"/>
        <v>-</v>
      </c>
      <c r="AN93" s="313" t="str">
        <f t="shared" si="15"/>
        <v>T</v>
      </c>
      <c r="AO93" s="314" t="str">
        <f t="shared" si="16"/>
        <v>-</v>
      </c>
      <c r="AP93" s="316">
        <f t="shared" si="17"/>
        <v>2</v>
      </c>
      <c r="AQ93" s="319" t="str">
        <f t="shared" si="18"/>
        <v>#REF!</v>
      </c>
      <c r="AR93" s="320">
        <f t="shared" si="19"/>
        <v>0</v>
      </c>
      <c r="AS93" s="250" t="str">
        <f>IFERROR(__xludf.DUMMYFUNCTION("SUBSTITUTE(SUBSTITUTE(CONCATENATE(JOIN("""",FP93:GA93)),""|"",""x""),""-"",""o"")"),"xoxxxxoxxoxo")</f>
        <v>xoxxxxoxxoxo</v>
      </c>
      <c r="AT93" s="323" t="str">
        <f>IFERROR(__xludf.DUMMYFUNCTION("JOIN("""",AS93,AS93)"),"xoxxxxoxxoxoxoxxxxoxxoxo")</f>
        <v>xoxxxxoxxoxoxoxxxxoxxoxo</v>
      </c>
      <c r="AU93" s="256" t="str">
        <f>IFERROR(__xludf.DUMMYFUNCTION("JOIN("""",ArrayFormula(MID(AS93,LEN(AS93)-SEQUENCE(1,LEN(AS93))+1,1)))"),"oxoxxoxxxxox")</f>
        <v>oxoxxoxxxxox</v>
      </c>
      <c r="AV93" s="256" t="str">
        <f>IFERROR(__xludf.DUMMYFUNCTION("LEFT(CONCATENATE(""x"",JOIN("""",ArrayFormula(MID(AS93,LEN(AS93)-SEQUENCE(1,LEN(AS93))+1,1)))),12)"),"xoxoxxoxxxxo")</f>
        <v>xoxoxxoxxxxo</v>
      </c>
      <c r="AW93" s="327" t="str">
        <f>IFERROR(__xludf.DUMMYFUNCTION("JOIN("""",AU93,AU93)"),"oxoxxoxxxxoxoxoxxoxxxxox")</f>
        <v>oxoxxoxxxxoxoxoxxoxxxxox</v>
      </c>
      <c r="AX93" s="239" t="str">
        <f>IFERROR(__xludf.DUMMYFUNCTION("IF(REGEXMATCH(AW93,AS93),""✔"",""-"")"),"-")</f>
        <v>-</v>
      </c>
      <c r="AY93" s="330" t="str">
        <f t="shared" si="20"/>
        <v>-</v>
      </c>
      <c r="AZ93" s="260" t="str">
        <f t="shared" si="21"/>
        <v>#REF!</v>
      </c>
      <c r="BA93" s="333" t="str">
        <f t="shared" si="22"/>
        <v>xoxxxxo</v>
      </c>
      <c r="BB93" s="334" t="str">
        <f t="shared" si="23"/>
        <v>xxoxox</v>
      </c>
      <c r="BC93" s="335" t="str">
        <f t="shared" si="236"/>
        <v>-</v>
      </c>
      <c r="BD93" s="336" t="str">
        <f t="shared" si="25"/>
        <v>Dev Gandhar: 'xoxxxxo' + 'xxoxox'</v>
      </c>
      <c r="BE93" s="337">
        <f>IFERROR(__xludf.DUMMYFUNCTION("COUNTUNIQUE(FILTER(AT:AT,REGEXMATCH(AT:AT,AS93)))-1"),3.0)</f>
        <v>3</v>
      </c>
      <c r="BF93" s="261" t="str">
        <f>IFERROR(__xludf.DUMMYFUNCTION("IF(BI93=0,""(n/a)"",IF(BJ93=2,""(PAIR)"",IF(REGEXMATCH(AT93,""xoxoxxoxoxox""),""Bilawal"",IF(REGEXMATCH(AT93,""xoxoxooxoxoo""),""Bhupali"",IF(REGEXMATCH(AT93,""xoxoxxoxxoxo""),""Charukeshi"",IF(REGEXMATCH(AT93,""xoxoooxxoxxo""),""Kameshwari"",IF(REGEXMATC"&amp;"H(AT93,""xoxoxooxoxox""),""Shankara"",IF(REGEXMATCH(AT93,""xxooxoxxxoox""),""Basant"",IF(REGEXMATCH(AT93,""xoxoxxxxoxox""),""Bihag"",IF(REGEXMATCH(AT93,""xoxxxxoxoxxx""),""Pilu"",IF(REGEXMATCH(AT93,""xoxxoxoxxoox""),""Kirwani"",IF(REGEXMATCH(AT93,""xoxxox"&amp;"oxoxxx""),""Mk.Malhar"",IF(REGEXMATCH(AT93,""xxooxxoxxoox""),""Bhairav"",IF(REGEXMATCH(AT93,""xxoxooxxxoox""),""Todi"",IF(REGEXMATCH(AT93,""xxooxoxooxox""),""Marwa"",IF(REGEXMATCH(AT93,""xxoooxoxxooo""),""Gunkali"",IF(REGEXMATCH(AT93,""xoxoxxoxxoox""),""N"&amp;"at Bhairav"",IF(REGEXMATCH(AT93,""xoxxoooxoxoo""),""Shivranjani"",IF(REGEXMATCH(AT93,""xooxxxoxooxo""),""Jog"",IF(REGEXMATCH(AT93,""xxooxoxoxoox""),""Hemshri"",IF(REGEXMATCH(AT93,""xoooxooxoxxo""),""Kalavati"",IF(REGEXMATCH(AT93,""xxoxoxxoxoox""),""Kedar"&amp;""",IF(REGEXMATCH(AT93,""xoxxxxoxooxx""),""Gara"",IF(REGEXMATCH(AT93,""xooxoxooxoox""),""Chandrakauns"",IF(REGEXMATCH(AT93,""xoxxxxoxxxox""),""Mand"",IF(REGEXMATCH(AT93,""xoxxxxoxoxox""),""Hanskinkini"",IF(REGEXMATCH(AT93,""xxooxxoxooxo""),""Lilavati"",IF("&amp;"REGEXMATCH(AT93,""xooxoxoooxox""),""Rajeshwari"",IF(REGEXMATCH(AT93,""xoooxxoxoxxx""),""Khokar"",IF(REGEXMATCH(AT93,""xxooxoxxxxox""),""Maligoura"",""-""))))))))))))))))))))))))))))))"),"Mk.Malhar")</f>
        <v>Mk.Malhar</v>
      </c>
      <c r="BG93" s="239" t="str">
        <f t="shared" si="26"/>
        <v>#REF!</v>
      </c>
      <c r="BH93" s="239">
        <f>IFERROR(__xludf.DUMMYFUNCTION("COUNTUNIQUE(FE93:FO93)-1"),7.0)</f>
        <v>7</v>
      </c>
      <c r="BI93" s="239">
        <f>IFERROR(__xludf.DUMMYFUNCTION("COUNTUNIQUE(FILTER(AT:AT,REGEXMATCH(AT:AT,AS93)))-1"),3.0)</f>
        <v>3</v>
      </c>
      <c r="BJ93" s="239">
        <f>IFERROR(__xludf.DUMMYFUNCTION("COUNTA(FILTER(AT:AT,REGEXMATCH(AT:AT,AS93)))"),16.0)</f>
        <v>16</v>
      </c>
      <c r="BK93" s="341">
        <f>IFERROR(__xludf.DUMMYFUNCTION("COUNTA(FILTER(AT:AT,REGEXMATCH(AT:AT,AS93)))-AR93"),16.0)</f>
        <v>16</v>
      </c>
      <c r="BL93" s="276" t="str">
        <f>IFERROR(__xludf.DUMMYFUNCTION("IF(AS93=""oooooooooooo"",""-"",IF(REGEXMATCH(AT93,""xx""), ""Hemi."", ""Anhemi.""))"),"Hemi.")</f>
        <v>Hemi.</v>
      </c>
      <c r="BM93" s="282" t="str">
        <f>IFERROR(__xludf.DUMMYFUNCTION("IF(AS93=""oooooooooooo"",""-"",IF(REGEXMATCH(AT93,""xxx""), ""Cohem."", ""-""))"),"Cohem.")</f>
        <v>Cohem.</v>
      </c>
      <c r="BN93" s="282" t="str">
        <f>IFERROR(__xludf.DUMMYFUNCTION("IF(AS93=""oooooooooooo"",""-"",IF(REGEXMATCH(AT93,""xxxx""), ""Co-Co."", ""-""))"),"Co-Co.")</f>
        <v>Co-Co.</v>
      </c>
      <c r="BO93" s="342" t="str">
        <f>IFERROR(__xludf.DUMMYFUNCTION("IF(AS93=""oooooooooooo"",""-"",IF(REGEXMATCH(AT93,""xxxxx""), ""CCC."", ""-""))"),"-")</f>
        <v>-</v>
      </c>
      <c r="BP93" s="344" t="str">
        <f t="shared" si="27"/>
        <v>-</v>
      </c>
      <c r="BQ93" s="282" t="str">
        <f>IFERROR(__xludf.DUMMYFUNCTION("IF(REGEXMATCH(JOIN(""-"",EU93:FD93),""TRUE""),""✔"",""-"")"),"-")</f>
        <v>-</v>
      </c>
      <c r="BR93" s="225">
        <f t="shared" si="28"/>
        <v>0</v>
      </c>
      <c r="BS93" s="345" t="str">
        <f>IFERROR(__xludf.DUMMYFUNCTION("SUBSTITUTE(SUBSTITUTE(SUBSTITUTE(SUBSTITUTE(CONCATENATE(JOIN(""-"",GC93:GO93)),""--"",""-""),""--"",""-""),""--"",""-""),""--"",""-"")"),"1-2-b3-3-4-5-b6-b7-8")</f>
        <v>1-2-b3-3-4-5-b6-b7-8</v>
      </c>
      <c r="BT93" s="299" t="str">
        <f>IFERROR(__xludf.DUMMYFUNCTION("SUBSTITUTE(SUBSTITUTE(SUBSTITUTE(SUBSTITUTE(CONCATENATE(JOIN(""-"",GP93:HB93)),""--"",""-""),""--"",""-""),""--"",""-""),""--"",""-"")"),"S-R2-G2-G3-M1-P-D1-N2-S")</f>
        <v>S-R2-G2-G3-M1-P-D1-N2-S</v>
      </c>
      <c r="BU93" s="348" t="str">
        <f t="shared" si="29"/>
        <v>C-D-Eb-E-F-G-Ab-Bb-C</v>
      </c>
      <c r="BV93" s="349" t="str">
        <f t="shared" si="30"/>
        <v>SrMDNS</v>
      </c>
      <c r="BW93" s="350">
        <f t="shared" si="31"/>
        <v>0</v>
      </c>
      <c r="BX93" s="351">
        <f t="shared" si="32"/>
        <v>2</v>
      </c>
      <c r="BY93" s="392"/>
      <c r="BZ93" s="309" t="str">
        <f>IFERROR(__xludf.DUMMYFUNCTION("IF(REGEXMATCH(C93, ""S""), ""x"",""x"")"),"x")</f>
        <v>x</v>
      </c>
      <c r="CA93" s="245" t="str">
        <f>IFERROR(__xludf.DUMMYFUNCTION("IF(REGEXMATCH(C93, ""r""), ""o"",""x"")"),"x")</f>
        <v>x</v>
      </c>
      <c r="CB93" s="246" t="str">
        <f>IFERROR(__xludf.DUMMYFUNCTION("IF(REGEXMATCH(C93, ""R""), ""o"",""x"")"),"o")</f>
        <v>o</v>
      </c>
      <c r="CC93" s="246" t="str">
        <f>IFERROR(__xludf.DUMMYFUNCTION("IF(REGEXMATCH(C93, ""g""), ""o"",""x"")"),"o")</f>
        <v>o</v>
      </c>
      <c r="CD93" s="245" t="str">
        <f>IFERROR(__xludf.DUMMYFUNCTION("IF(REGEXMATCH(C93, ""G""), ""o"",""x"")"),"o")</f>
        <v>o</v>
      </c>
      <c r="CE93" s="245" t="str">
        <f>IFERROR(__xludf.DUMMYFUNCTION("IF(REGEXMATCH(C93, ""m""), ""o"",""x"")"),"o")</f>
        <v>o</v>
      </c>
      <c r="CF93" s="246" t="str">
        <f>IFERROR(__xludf.DUMMYFUNCTION("IF(REGEXMATCH(C93, ""M""), ""o"",""x"")"),"x")</f>
        <v>x</v>
      </c>
      <c r="CG93" s="245" t="str">
        <f>IFERROR(__xludf.DUMMYFUNCTION("IF(REGEXMATCH(C93, ""P""), ""o"",""x"")"),"o")</f>
        <v>o</v>
      </c>
      <c r="CH93" s="246" t="str">
        <f>IFERROR(__xludf.DUMMYFUNCTION("IF(REGEXMATCH(C93, ""d""), ""o"",""x"")"),"o")</f>
        <v>o</v>
      </c>
      <c r="CI93" s="245" t="str">
        <f>IFERROR(__xludf.DUMMYFUNCTION("IF(REGEXMATCH(C93, ""D""), ""o"",""x"")"),"x")</f>
        <v>x</v>
      </c>
      <c r="CJ93" s="245" t="str">
        <f>IFERROR(__xludf.DUMMYFUNCTION("IF(REGEXMATCH(C93, ""n""), ""o"",""x"")"),"o")</f>
        <v>o</v>
      </c>
      <c r="CK93" s="245" t="str">
        <f>IFERROR(__xludf.DUMMYFUNCTION("IF(REGEXMATCH(C93, ""N""), ""o"",""x"")"),"x")</f>
        <v>x</v>
      </c>
      <c r="CL93" s="356" t="str">
        <f>IFERROR(__xludf.DUMMYFUNCTION("IF(REGEXMATCH(C93, ""S""), ""x"",""x"")"),"x")</f>
        <v>x</v>
      </c>
      <c r="CM93" s="357" t="str">
        <f t="shared" si="33"/>
        <v>xxooooxooxox</v>
      </c>
      <c r="CN93" s="358">
        <f t="shared" si="34"/>
        <v>0</v>
      </c>
      <c r="CO93" s="246" t="str">
        <f>IFERROR(__xludf.DUMMYFUNCTION("IF(REGEXMATCH($C93, ""S""), ""S"",""S"")"),"S")</f>
        <v>S</v>
      </c>
      <c r="CP93" s="246" t="str">
        <f>IFERROR(__xludf.DUMMYFUNCTION("IF(REGEXMATCH($C93, ""r""), """",""r"")"),"r")</f>
        <v>r</v>
      </c>
      <c r="CQ93" s="246" t="str">
        <f>IFERROR(__xludf.DUMMYFUNCTION("IF(REGEXMATCH($C93, ""R""), """",""R"")"),"")</f>
        <v/>
      </c>
      <c r="CR93" s="246" t="str">
        <f>IFERROR(__xludf.DUMMYFUNCTION("IF(REGEXMATCH($C93, ""g""), """",""g"")"),"")</f>
        <v/>
      </c>
      <c r="CS93" s="246" t="str">
        <f>IFERROR(__xludf.DUMMYFUNCTION("IF(REGEXMATCH($C93, ""G""), """",""G"")"),"")</f>
        <v/>
      </c>
      <c r="CT93" s="246" t="str">
        <f>IFERROR(__xludf.DUMMYFUNCTION("IF(REGEXMATCH($C93, ""m""), """",""m"")"),"")</f>
        <v/>
      </c>
      <c r="CU93" s="246" t="str">
        <f>IFERROR(__xludf.DUMMYFUNCTION("IF(REGEXMATCH($C93, ""M""), """",""M"")"),"M")</f>
        <v>M</v>
      </c>
      <c r="CV93" s="246" t="str">
        <f>IFERROR(__xludf.DUMMYFUNCTION("IF(REGEXMATCH($C93, ""P""), """",""P"")"),"")</f>
        <v/>
      </c>
      <c r="CW93" s="246" t="str">
        <f>IFERROR(__xludf.DUMMYFUNCTION("IF(REGEXMATCH($C93, ""d""), """",""d"")"),"")</f>
        <v/>
      </c>
      <c r="CX93" s="246" t="str">
        <f>IFERROR(__xludf.DUMMYFUNCTION("IF(REGEXMATCH($C93, ""D""), """",""D"")"),"D")</f>
        <v>D</v>
      </c>
      <c r="CY93" s="246" t="str">
        <f>IFERROR(__xludf.DUMMYFUNCTION("IF(REGEXMATCH($C93, ""n""), """",""n"")"),"")</f>
        <v/>
      </c>
      <c r="CZ93" s="246" t="str">
        <f>IFERROR(__xludf.DUMMYFUNCTION("IF(REGEXMATCH($C93, ""N""), """",""N"")"),"N")</f>
        <v>N</v>
      </c>
      <c r="DA93" s="246" t="str">
        <f>IFERROR(__xludf.DUMMYFUNCTION("IF(REGEXMATCH($C93, ""S""), ""S"",""S"")"),"S")</f>
        <v>S</v>
      </c>
      <c r="DB93" s="362" t="str">
        <f>IFERROR(__xludf.DUMMYFUNCTION("JOIN("""",CO93:DA93,"""","""")"),"SrMDNS")</f>
        <v>SrMDNS</v>
      </c>
      <c r="DC93" s="363"/>
      <c r="DD93" s="301" t="str">
        <f t="shared" si="35"/>
        <v>#REF!</v>
      </c>
      <c r="DE93" s="302" t="str">
        <f t="shared" si="36"/>
        <v>#REF!</v>
      </c>
      <c r="DF93" s="301" t="str">
        <f t="shared" ref="DF93:DG93" si="386">SUBSTITUTE(S93,"-","")</f>
        <v>SRGM</v>
      </c>
      <c r="DG93" s="301" t="str">
        <f t="shared" si="386"/>
        <v>PDNS</v>
      </c>
      <c r="DH93" s="302" t="str">
        <f t="shared" si="38"/>
        <v>Mk.Malhar</v>
      </c>
      <c r="DI93" s="301" t="str">
        <f t="shared" si="39"/>
        <v>Hemi.</v>
      </c>
      <c r="DJ93" s="364" t="str">
        <f t="shared" si="40"/>
        <v>Co-Co.</v>
      </c>
      <c r="DK93" s="306" t="str">
        <f t="shared" si="41"/>
        <v>-</v>
      </c>
      <c r="DL93" s="366" t="str">
        <f t="shared" si="42"/>
        <v>-</v>
      </c>
      <c r="DM93" s="308" t="str">
        <f t="shared" si="43"/>
        <v>✔</v>
      </c>
      <c r="DN93" s="306" t="str">
        <f t="shared" si="44"/>
        <v>-</v>
      </c>
      <c r="DO93" s="306" t="str">
        <f t="shared" si="45"/>
        <v>-</v>
      </c>
      <c r="DP93" s="367" t="str">
        <f t="shared" si="46"/>
        <v>-</v>
      </c>
      <c r="DQ93" s="310" t="str">
        <f t="shared" si="47"/>
        <v>-</v>
      </c>
      <c r="DR93" s="310" t="str">
        <f t="shared" si="48"/>
        <v>✔</v>
      </c>
      <c r="DS93" s="310" t="str">
        <f t="shared" si="49"/>
        <v>-</v>
      </c>
      <c r="DT93" s="310" t="str">
        <f t="shared" si="50"/>
        <v>-</v>
      </c>
      <c r="DU93" s="370" t="str">
        <f t="shared" si="51"/>
        <v>-</v>
      </c>
      <c r="DV93" s="306" t="str">
        <f t="shared" si="52"/>
        <v>-</v>
      </c>
      <c r="DW93" s="306" t="str">
        <f t="shared" si="53"/>
        <v>-</v>
      </c>
      <c r="DX93" s="306" t="str">
        <f t="shared" si="54"/>
        <v>-</v>
      </c>
      <c r="DY93" s="306" t="str">
        <f t="shared" si="55"/>
        <v>-</v>
      </c>
      <c r="DZ93" s="306" t="str">
        <f t="shared" si="56"/>
        <v>-</v>
      </c>
      <c r="EA93" s="367" t="str">
        <f t="shared" si="57"/>
        <v>-</v>
      </c>
      <c r="EB93" s="310" t="str">
        <f>IFERROR(__xludf.DUMMYFUNCTION("IF(REGEXMATCH(AW93,AS93),""✔"",""-"")"),"-")</f>
        <v>-</v>
      </c>
      <c r="EC93" s="310" t="str">
        <f t="shared" si="58"/>
        <v>#REF!</v>
      </c>
      <c r="ED93" s="370" t="str">
        <f t="shared" si="59"/>
        <v>-</v>
      </c>
      <c r="EE93" s="340" t="str">
        <f t="shared" si="60"/>
        <v>S-R-gG-m-P-d-n-S</v>
      </c>
      <c r="EF93" s="371" t="str">
        <f>IFERROR(__xludf.DUMMYFUNCTION("CONCATENATE(JOIN("""",HC93:HO93))"),"SRGmPdDnS")</f>
        <v>SRGmPdDnS</v>
      </c>
      <c r="EG93" s="372">
        <f t="shared" si="61"/>
        <v>2</v>
      </c>
      <c r="EH93" s="373" t="str">
        <f>IFERROR(__xludf.DUMMYFUNCTION("CONCATENATE(JOIN("""",JC93:JO93))"),"Re, Ga, ")</f>
        <v>Re, Ga, </v>
      </c>
      <c r="EI93" s="322">
        <f t="shared" si="62"/>
        <v>1</v>
      </c>
      <c r="EJ93" s="374" t="str">
        <f>IFERROR(__xludf.DUMMYFUNCTION("CONCATENATE(JOIN("""",KC93:KO93))"),"Ga, ")</f>
        <v>Ga, </v>
      </c>
      <c r="EK93" s="325" t="str">
        <f t="shared" si="63"/>
        <v>S-R2-G2-G3-M1-P-D1-N2-S</v>
      </c>
      <c r="EL93" s="326" t="str">
        <f t="shared" si="64"/>
        <v>1-2-b3-3-4-5-b6-b7-8</v>
      </c>
      <c r="EM93" s="318" t="str">
        <f t="shared" si="65"/>
        <v>#REF!</v>
      </c>
      <c r="EN93" s="328" t="str">
        <f>IFERROR(__xludf.DUMMYFUNCTION("SUBSTITUTE(SUBSTITUTE(SUBSTITUTE(SUBSTITUTE(CONCATENATE(JOIN("" "",HP93:IB93)),""  "","" ""),""  "","" ""),""  "","" ""),""  "","" "")"),"o • o o o o • o o • o • o")</f>
        <v>o • o o o o • o o • o • o</v>
      </c>
      <c r="EO93" s="368" t="str">
        <f t="shared" si="66"/>
        <v>-</v>
      </c>
      <c r="EP93" s="339" t="str">
        <f t="shared" si="67"/>
        <v>-</v>
      </c>
      <c r="EQ93" s="339" t="str">
        <f t="shared" si="68"/>
        <v>Sa-Pa</v>
      </c>
      <c r="ER93" s="339" t="str">
        <f t="shared" si="69"/>
        <v>-</v>
      </c>
      <c r="ES93" s="340" t="str">
        <f t="shared" si="70"/>
        <v>-</v>
      </c>
      <c r="ET93" s="363"/>
      <c r="EU93" s="376" t="b">
        <f>IFERROR(__xludf.DUMMYFUNCTION("arrayformula(sum(--REGEXMATCH(""SRGMPDNS"",split(REGEXREPLACE(C93,""(.)"",""$1~""),""~""))))=len(C93)
"),FALSE)</f>
        <v>0</v>
      </c>
      <c r="EV93" s="290" t="b">
        <f>IFERROR(__xludf.DUMMYFUNCTION("arrayformula(sum(--REGEXMATCH(""SRGmPDNS"",split(REGEXREPLACE(C93,""(.)"",""$1~""),""~""))))=len(C93)"),FALSE)</f>
        <v>0</v>
      </c>
      <c r="EW93" s="290" t="b">
        <f>IFERROR(__xludf.DUMMYFUNCTION("arrayformula(sum(--REGEXMATCH(""SRGmPDnS"",split(REGEXREPLACE(C93,""(.)"",""$1~""),""~""))))=len(C93)"),FALSE)</f>
        <v>0</v>
      </c>
      <c r="EX93" s="290" t="b">
        <f>IFERROR(__xludf.DUMMYFUNCTION("arrayformula(sum(--REGEXMATCH(""SRgmPDnS"",split(REGEXREPLACE(C93,""(.)"",""$1~""),""~""))))=len(C93)"),FALSE)</f>
        <v>0</v>
      </c>
      <c r="EY93" s="290" t="b">
        <f>IFERROR(__xludf.DUMMYFUNCTION("arrayformula(sum(--REGEXMATCH(""SRgmPdnS"",split(REGEXREPLACE(C93,""(.)"",""$1~""),""~""))))=len(C93)"),FALSE)</f>
        <v>0</v>
      </c>
      <c r="EZ93" s="290" t="b">
        <f>IFERROR(__xludf.DUMMYFUNCTION("arrayformula(sum(--REGEXMATCH(""SrgmPdnS"",split(REGEXREPLACE(C93,""(.)"",""$1~""),""~""))))=len(C93)"),FALSE)</f>
        <v>0</v>
      </c>
      <c r="FA93" s="290" t="b">
        <f>IFERROR(__xludf.DUMMYFUNCTION("arrayformula(sum(--REGEXMATCH(""SrGmPdNS"",split(REGEXREPLACE(C93,""(.)"",""$1~""),""~""))))=len(C93)"),FALSE)</f>
        <v>0</v>
      </c>
      <c r="FB93" s="290" t="b">
        <f>IFERROR(__xludf.DUMMYFUNCTION("arrayformula(sum(--REGEXMATCH(""SrGMPDNS"",split(REGEXREPLACE(C93,""(.)"",""$1~""),""~""))))=len(C93)"),FALSE)</f>
        <v>0</v>
      </c>
      <c r="FC93" s="290" t="b">
        <f>IFERROR(__xludf.DUMMYFUNCTION("arrayformula(sum(--REGEXMATCH(""SrGMPdNS"",split(REGEXREPLACE(C93,""(.)"",""$1~""),""~""))))=len(C93)"),FALSE)</f>
        <v>0</v>
      </c>
      <c r="FD93" s="377" t="b">
        <f>IFERROR(__xludf.DUMMYFUNCTION("arrayformula(sum(--REGEXMATCH(""SrgMPdNS"",split(REGEXREPLACE(C93,""(.)"",""$1~""),""~""))))=len(C93)"),FALSE)</f>
        <v>0</v>
      </c>
      <c r="FE93" s="269" t="str">
        <f t="shared" si="71"/>
        <v>-</v>
      </c>
      <c r="FF93" s="269" t="str">
        <f t="shared" si="72"/>
        <v>xxxxoxxoxox</v>
      </c>
      <c r="FG93" s="271" t="str">
        <f t="shared" si="73"/>
        <v>xxxoxxoxoxo</v>
      </c>
      <c r="FH93" s="269" t="str">
        <f t="shared" si="74"/>
        <v>xxoxxoxoxox</v>
      </c>
      <c r="FI93" s="271" t="str">
        <f t="shared" si="75"/>
        <v>xoxxoxoxoxx</v>
      </c>
      <c r="FJ93" s="271" t="str">
        <f t="shared" si="76"/>
        <v>-</v>
      </c>
      <c r="FK93" s="271" t="str">
        <f t="shared" si="77"/>
        <v>xxoxoxoxxxx</v>
      </c>
      <c r="FL93" s="271" t="str">
        <f t="shared" si="78"/>
        <v>xoxoxoxxxxo</v>
      </c>
      <c r="FM93" s="271" t="str">
        <f t="shared" si="79"/>
        <v>-</v>
      </c>
      <c r="FN93" s="271" t="str">
        <f t="shared" si="80"/>
        <v>xoxoxxxxoxx</v>
      </c>
      <c r="FO93" s="274" t="str">
        <f t="shared" si="81"/>
        <v>-</v>
      </c>
      <c r="FP93" s="234" t="str">
        <f t="shared" si="82"/>
        <v>|</v>
      </c>
      <c r="FQ93" s="236" t="str">
        <f t="shared" si="83"/>
        <v>-</v>
      </c>
      <c r="FR93" s="237" t="str">
        <f t="shared" si="84"/>
        <v>|</v>
      </c>
      <c r="FS93" s="236" t="str">
        <f t="shared" si="85"/>
        <v>|</v>
      </c>
      <c r="FT93" s="237" t="str">
        <f t="shared" si="86"/>
        <v>|</v>
      </c>
      <c r="FU93" s="236" t="str">
        <f t="shared" si="87"/>
        <v>|</v>
      </c>
      <c r="FV93" s="237" t="str">
        <f t="shared" si="88"/>
        <v>-</v>
      </c>
      <c r="FW93" s="236" t="str">
        <f t="shared" si="89"/>
        <v>|</v>
      </c>
      <c r="FX93" s="237" t="str">
        <f t="shared" si="90"/>
        <v>|</v>
      </c>
      <c r="FY93" s="236" t="str">
        <f t="shared" si="91"/>
        <v>-</v>
      </c>
      <c r="FZ93" s="237" t="str">
        <f t="shared" si="92"/>
        <v>|</v>
      </c>
      <c r="GA93" s="236" t="str">
        <f t="shared" si="93"/>
        <v>-</v>
      </c>
      <c r="GB93" s="238" t="str">
        <f t="shared" si="94"/>
        <v>|</v>
      </c>
      <c r="GC93" s="244" t="str">
        <f>IFERROR(__xludf.DUMMYFUNCTION("IF(REGEXMATCH(C93, ""S""), ""1"","""")"),"1")</f>
        <v>1</v>
      </c>
      <c r="GD93" s="245" t="str">
        <f>IFERROR(__xludf.DUMMYFUNCTION("IF(REGEXMATCH(C93, ""r""), ""b2"","""")"),"")</f>
        <v/>
      </c>
      <c r="GE93" s="246" t="str">
        <f>IFERROR(__xludf.DUMMYFUNCTION("IF(REGEXMATCH(C93, ""R""), ""2"","""")"),"2")</f>
        <v>2</v>
      </c>
      <c r="GF93" s="246" t="str">
        <f>IFERROR(__xludf.DUMMYFUNCTION("IF(REGEXMATCH(C93, ""g""), ""b3"","""")"),"b3")</f>
        <v>b3</v>
      </c>
      <c r="GG93" s="245" t="str">
        <f>IFERROR(__xludf.DUMMYFUNCTION("IF(REGEXMATCH(C93, ""G""), ""3"","""")"),"3")</f>
        <v>3</v>
      </c>
      <c r="GH93" s="245" t="str">
        <f>IFERROR(__xludf.DUMMYFUNCTION("IF(REGEXMATCH(C93, ""m""), ""4"","""")"),"4")</f>
        <v>4</v>
      </c>
      <c r="GI93" s="246" t="str">
        <f>IFERROR(__xludf.DUMMYFUNCTION("IF(REGEXMATCH(C93, ""M""), ""#4"","""")"),"")</f>
        <v/>
      </c>
      <c r="GJ93" s="245" t="str">
        <f>IFERROR(__xludf.DUMMYFUNCTION("IF(REGEXMATCH(C93, ""P""), ""5"","""")"),"5")</f>
        <v>5</v>
      </c>
      <c r="GK93" s="246" t="str">
        <f>IFERROR(__xludf.DUMMYFUNCTION("IF(REGEXMATCH(C93, ""d""), ""b6"","""")"),"b6")</f>
        <v>b6</v>
      </c>
      <c r="GL93" s="245" t="str">
        <f>IFERROR(__xludf.DUMMYFUNCTION("IF(REGEXMATCH(C93, ""D""), ""6"","""")"),"")</f>
        <v/>
      </c>
      <c r="GM93" s="245" t="str">
        <f>IFERROR(__xludf.DUMMYFUNCTION("IF(REGEXMATCH(C93, ""n""), ""b7"","""")"),"b7")</f>
        <v>b7</v>
      </c>
      <c r="GN93" s="246" t="str">
        <f>IFERROR(__xludf.DUMMYFUNCTION("IF(REGEXMATCH(C93, ""N""), ""7"","""")"),"")</f>
        <v/>
      </c>
      <c r="GO93" s="249" t="str">
        <f>IFERROR(__xludf.DUMMYFUNCTION("IF(REGEXMATCH(C93, ""S""), ""8"","""")"),"8")</f>
        <v>8</v>
      </c>
      <c r="GP93" s="244" t="str">
        <f>IFERROR(__xludf.DUMMYFUNCTION("IF(REGEXMATCH(C93, ""S""), ""S"","""")"),"S")</f>
        <v>S</v>
      </c>
      <c r="GQ93" s="294" t="str">
        <f>IFERROR(__xludf.DUMMYFUNCTION("IF(REGEXMATCH(C93, ""r""), ""R1"","""")"),"")</f>
        <v/>
      </c>
      <c r="GR93" s="295" t="str">
        <f>IFERROR(__xludf.DUMMYFUNCTION("IF(REGEXMATCH(C93, ""R""), ""R2"","""")"),"R2")</f>
        <v>R2</v>
      </c>
      <c r="GS93" s="295" t="str">
        <f>IFERROR(__xludf.DUMMYFUNCTION("IF(REGEXMATCH(C93, ""g""), ""G2"","""")"),"G2")</f>
        <v>G2</v>
      </c>
      <c r="GT93" s="294" t="str">
        <f>IFERROR(__xludf.DUMMYFUNCTION("IF(REGEXMATCH(C93, ""G""), ""G3"","""")"),"G3")</f>
        <v>G3</v>
      </c>
      <c r="GU93" s="294" t="str">
        <f>IFERROR(__xludf.DUMMYFUNCTION("IF(REGEXMATCH(C93, ""m""), ""M1"","""")"),"M1")</f>
        <v>M1</v>
      </c>
      <c r="GV93" s="295" t="str">
        <f>IFERROR(__xludf.DUMMYFUNCTION("IF(REGEXMATCH(C93, ""M""), ""M2"","""")"),"")</f>
        <v/>
      </c>
      <c r="GW93" s="294" t="str">
        <f>IFERROR(__xludf.DUMMYFUNCTION("IF(REGEXMATCH(C93, ""P""), ""P"","""")"),"P")</f>
        <v>P</v>
      </c>
      <c r="GX93" s="295" t="str">
        <f>IFERROR(__xludf.DUMMYFUNCTION("IF(REGEXMATCH(C93, ""d""), ""D1"","""")"),"D1")</f>
        <v>D1</v>
      </c>
      <c r="GY93" s="294" t="str">
        <f>IFERROR(__xludf.DUMMYFUNCTION("IF(REGEXMATCH(C93, ""D""), ""D2"","""")"),"")</f>
        <v/>
      </c>
      <c r="GZ93" s="294" t="str">
        <f>IFERROR(__xludf.DUMMYFUNCTION("IF(REGEXMATCH(C93, ""n""), ""N2"","""")"),"N2")</f>
        <v>N2</v>
      </c>
      <c r="HA93" s="295" t="str">
        <f>IFERROR(__xludf.DUMMYFUNCTION("IF(REGEXMATCH(C93, ""N""), ""N3"","""")"),"")</f>
        <v/>
      </c>
      <c r="HB93" s="249" t="str">
        <f>IFERROR(__xludf.DUMMYFUNCTION("IF(REGEXMATCH(C93, ""S""), ""S"","""")"),"S")</f>
        <v>S</v>
      </c>
      <c r="HC93" s="331" t="str">
        <f t="shared" si="95"/>
        <v>S</v>
      </c>
      <c r="HD93" s="332" t="str">
        <f t="shared" si="96"/>
        <v/>
      </c>
      <c r="HE93" s="332" t="str">
        <f t="shared" si="97"/>
        <v>R</v>
      </c>
      <c r="HF93" s="332" t="str">
        <f t="shared" si="98"/>
        <v/>
      </c>
      <c r="HG93" s="332" t="str">
        <f t="shared" si="99"/>
        <v>G</v>
      </c>
      <c r="HH93" s="332" t="str">
        <f t="shared" si="100"/>
        <v>m</v>
      </c>
      <c r="HI93" s="332" t="str">
        <f t="shared" si="101"/>
        <v/>
      </c>
      <c r="HJ93" s="332" t="str">
        <f t="shared" si="102"/>
        <v>P</v>
      </c>
      <c r="HK93" s="332" t="str">
        <f t="shared" si="103"/>
        <v>d</v>
      </c>
      <c r="HL93" s="332" t="str">
        <f t="shared" si="104"/>
        <v>D</v>
      </c>
      <c r="HM93" s="332" t="str">
        <f t="shared" si="105"/>
        <v>n</v>
      </c>
      <c r="HN93" s="332" t="str">
        <f t="shared" si="106"/>
        <v/>
      </c>
      <c r="HO93" s="343" t="str">
        <f t="shared" si="107"/>
        <v>S</v>
      </c>
      <c r="HP93" s="331" t="str">
        <f t="shared" si="108"/>
        <v>o</v>
      </c>
      <c r="HQ93" s="332" t="str">
        <f t="shared" si="109"/>
        <v>•</v>
      </c>
      <c r="HR93" s="332" t="str">
        <f t="shared" si="110"/>
        <v>o</v>
      </c>
      <c r="HS93" s="332" t="str">
        <f t="shared" si="111"/>
        <v>o</v>
      </c>
      <c r="HT93" s="332" t="str">
        <f t="shared" si="112"/>
        <v>o</v>
      </c>
      <c r="HU93" s="332" t="str">
        <f t="shared" si="113"/>
        <v>o</v>
      </c>
      <c r="HV93" s="332" t="str">
        <f t="shared" si="114"/>
        <v>•</v>
      </c>
      <c r="HW93" s="332" t="str">
        <f t="shared" si="115"/>
        <v>o</v>
      </c>
      <c r="HX93" s="332" t="str">
        <f t="shared" si="116"/>
        <v>o</v>
      </c>
      <c r="HY93" s="332" t="str">
        <f t="shared" si="117"/>
        <v>•</v>
      </c>
      <c r="HZ93" s="332" t="str">
        <f t="shared" si="118"/>
        <v>o</v>
      </c>
      <c r="IA93" s="332" t="str">
        <f t="shared" si="119"/>
        <v>•</v>
      </c>
      <c r="IB93" s="338" t="str">
        <f t="shared" si="120"/>
        <v>o</v>
      </c>
      <c r="IC93" s="331" t="str">
        <f t="shared" si="121"/>
        <v>•</v>
      </c>
      <c r="ID93" s="332" t="str">
        <f t="shared" si="122"/>
        <v>o</v>
      </c>
      <c r="IE93" s="332" t="str">
        <f t="shared" si="123"/>
        <v>•</v>
      </c>
      <c r="IF93" s="332" t="str">
        <f t="shared" si="124"/>
        <v>•</v>
      </c>
      <c r="IG93" s="332" t="str">
        <f t="shared" si="125"/>
        <v>•</v>
      </c>
      <c r="IH93" s="332" t="str">
        <f t="shared" si="126"/>
        <v>•</v>
      </c>
      <c r="II93" s="332" t="str">
        <f t="shared" si="127"/>
        <v>o</v>
      </c>
      <c r="IJ93" s="332" t="str">
        <f t="shared" si="128"/>
        <v>•</v>
      </c>
      <c r="IK93" s="332" t="str">
        <f t="shared" si="129"/>
        <v>•</v>
      </c>
      <c r="IL93" s="332" t="str">
        <f t="shared" si="130"/>
        <v>o</v>
      </c>
      <c r="IM93" s="332" t="str">
        <f t="shared" si="131"/>
        <v>•</v>
      </c>
      <c r="IN93" s="332" t="str">
        <f t="shared" si="132"/>
        <v>o</v>
      </c>
      <c r="IO93" s="338" t="str">
        <f t="shared" si="133"/>
        <v>•</v>
      </c>
      <c r="IP93" s="346" t="b">
        <f t="shared" si="134"/>
        <v>0</v>
      </c>
      <c r="IQ93" s="347" t="b">
        <f t="shared" si="135"/>
        <v>0</v>
      </c>
      <c r="IR93" s="347" t="b">
        <f t="shared" si="136"/>
        <v>1</v>
      </c>
      <c r="IS93" s="347" t="b">
        <f t="shared" si="137"/>
        <v>0</v>
      </c>
      <c r="IT93" s="347" t="b">
        <f t="shared" si="138"/>
        <v>1</v>
      </c>
      <c r="IU93" s="347" t="b">
        <f t="shared" si="139"/>
        <v>0</v>
      </c>
      <c r="IV93" s="347" t="b">
        <f t="shared" si="140"/>
        <v>0</v>
      </c>
      <c r="IW93" s="347" t="b">
        <f t="shared" si="141"/>
        <v>0</v>
      </c>
      <c r="IX93" s="347" t="b">
        <f t="shared" si="142"/>
        <v>0</v>
      </c>
      <c r="IY93" s="347" t="b">
        <f t="shared" si="143"/>
        <v>0</v>
      </c>
      <c r="IZ93" s="347" t="b">
        <f t="shared" si="144"/>
        <v>0</v>
      </c>
      <c r="JA93" s="347" t="b">
        <f t="shared" si="145"/>
        <v>0</v>
      </c>
      <c r="JB93" s="353" t="b">
        <f t="shared" si="146"/>
        <v>0</v>
      </c>
      <c r="JC93" s="354" t="str">
        <f t="shared" si="147"/>
        <v/>
      </c>
      <c r="JD93" s="355" t="str">
        <f t="shared" si="148"/>
        <v/>
      </c>
      <c r="JE93" s="355" t="str">
        <f t="shared" si="149"/>
        <v>Re, </v>
      </c>
      <c r="JF93" s="355" t="str">
        <f t="shared" si="150"/>
        <v/>
      </c>
      <c r="JG93" s="355" t="str">
        <f t="shared" si="151"/>
        <v>Ga, </v>
      </c>
      <c r="JH93" s="355" t="str">
        <f t="shared" si="152"/>
        <v/>
      </c>
      <c r="JI93" s="355" t="str">
        <f t="shared" si="153"/>
        <v/>
      </c>
      <c r="JJ93" s="355" t="str">
        <f t="shared" si="154"/>
        <v/>
      </c>
      <c r="JK93" s="355" t="str">
        <f t="shared" si="155"/>
        <v/>
      </c>
      <c r="JL93" s="355" t="str">
        <f t="shared" si="156"/>
        <v/>
      </c>
      <c r="JM93" s="355" t="str">
        <f t="shared" si="157"/>
        <v/>
      </c>
      <c r="JN93" s="355" t="str">
        <f t="shared" si="158"/>
        <v/>
      </c>
      <c r="JO93" s="359" t="str">
        <f t="shared" si="159"/>
        <v/>
      </c>
      <c r="JP93" s="346" t="b">
        <f t="shared" si="160"/>
        <v>0</v>
      </c>
      <c r="JQ93" s="347" t="b">
        <f t="shared" si="161"/>
        <v>0</v>
      </c>
      <c r="JR93" s="347" t="b">
        <f t="shared" si="162"/>
        <v>0</v>
      </c>
      <c r="JS93" s="347" t="b">
        <f t="shared" si="163"/>
        <v>0</v>
      </c>
      <c r="JT93" s="347" t="b">
        <f t="shared" si="164"/>
        <v>1</v>
      </c>
      <c r="JU93" s="347" t="b">
        <f t="shared" si="165"/>
        <v>0</v>
      </c>
      <c r="JV93" s="347" t="b">
        <f t="shared" si="166"/>
        <v>0</v>
      </c>
      <c r="JW93" s="347" t="b">
        <f t="shared" si="167"/>
        <v>0</v>
      </c>
      <c r="JX93" s="347" t="b">
        <f t="shared" si="168"/>
        <v>0</v>
      </c>
      <c r="JY93" s="347" t="b">
        <f t="shared" si="169"/>
        <v>0</v>
      </c>
      <c r="JZ93" s="347" t="b">
        <f t="shared" si="170"/>
        <v>0</v>
      </c>
      <c r="KA93" s="347" t="b">
        <f t="shared" si="171"/>
        <v>0</v>
      </c>
      <c r="KB93" s="365" t="b">
        <f t="shared" si="172"/>
        <v>0</v>
      </c>
      <c r="KC93" s="354" t="str">
        <f t="shared" si="173"/>
        <v/>
      </c>
      <c r="KD93" s="355" t="str">
        <f t="shared" si="174"/>
        <v/>
      </c>
      <c r="KE93" s="355" t="str">
        <f t="shared" si="175"/>
        <v/>
      </c>
      <c r="KF93" s="355" t="str">
        <f t="shared" si="176"/>
        <v/>
      </c>
      <c r="KG93" s="355" t="str">
        <f t="shared" si="177"/>
        <v>Ga, </v>
      </c>
      <c r="KH93" s="355" t="str">
        <f t="shared" si="178"/>
        <v/>
      </c>
      <c r="KI93" s="355" t="str">
        <f t="shared" si="179"/>
        <v/>
      </c>
      <c r="KJ93" s="355" t="str">
        <f t="shared" si="180"/>
        <v/>
      </c>
      <c r="KK93" s="355" t="str">
        <f t="shared" si="181"/>
        <v/>
      </c>
      <c r="KL93" s="355" t="str">
        <f t="shared" si="182"/>
        <v/>
      </c>
      <c r="KM93" s="355" t="str">
        <f t="shared" si="183"/>
        <v/>
      </c>
      <c r="KN93" s="355" t="str">
        <f t="shared" si="184"/>
        <v/>
      </c>
      <c r="KO93" s="359"/>
      <c r="KP93" s="378"/>
      <c r="KQ93" s="379" t="s">
        <v>688</v>
      </c>
      <c r="KR93" s="380" t="s">
        <v>1376</v>
      </c>
      <c r="KS93" s="381" t="str">
        <f t="shared" si="380"/>
        <v>S-R-gG-m-P-d-n-S</v>
      </c>
      <c r="KT93" s="382">
        <f t="shared" si="186"/>
        <v>7</v>
      </c>
      <c r="KU93" s="383">
        <f t="shared" si="187"/>
        <v>8</v>
      </c>
      <c r="KV93" s="381" t="str">
        <f t="shared" si="205"/>
        <v>S-n-d-P-m-Gg-R-S</v>
      </c>
      <c r="KW93" s="382">
        <f t="shared" si="189"/>
        <v>7</v>
      </c>
      <c r="KX93" s="384">
        <f t="shared" si="190"/>
        <v>8</v>
      </c>
      <c r="KY93" s="382">
        <f t="shared" ref="KY93:KZ93" si="387">KW93-KT93</f>
        <v>0</v>
      </c>
      <c r="KZ93" s="369">
        <f t="shared" si="387"/>
        <v>0</v>
      </c>
      <c r="LA93" s="385" t="str">
        <f t="shared" si="192"/>
        <v>✔</v>
      </c>
      <c r="LB93" s="340" t="str">
        <f>IFERROR(__xludf.DUMMYFUNCTION("JOIN("""",ArrayFormula(MID(KS93,LEN(KS93)-SEQUENCE(1,LEN(KS93))+1,1)))"),"S-n-d-P-m-Gg-R-S")</f>
        <v>S-n-d-P-m-Gg-R-S</v>
      </c>
      <c r="LC93" s="373" t="str">
        <f>IFERROR(__xludf.DUMMYFUNCTION("JOIN("""",ArrayFormula(MID(KV93,LEN(KV93)-SEQUENCE(1,LEN(KV93))+1,1)))"),"S-R-gG-m-P-d-n-S")</f>
        <v>S-R-gG-m-P-d-n-S</v>
      </c>
      <c r="LD93" s="373" t="str">
        <f t="shared" si="193"/>
        <v>SRgGmPdnS</v>
      </c>
      <c r="LE93" s="339" t="str">
        <f t="shared" si="194"/>
        <v>SRgGmPdnS</v>
      </c>
      <c r="LF93" s="386" t="str">
        <f>IFERROR(__xludf.DUMMYFUNCTION("SUBSTITUTE(SUBSTITUTE(CONCATENATE(JOIN("""",LH93:LT93)),""1"",""""),""2"","""")"),"SRgGmPdnS")</f>
        <v>SRgGmPdnS</v>
      </c>
      <c r="LG93" s="369" t="str">
        <f t="shared" si="195"/>
        <v>✔</v>
      </c>
      <c r="LH93" s="387" t="str">
        <f>IFERROR(__xludf.DUMMYFUNCTION("IF(REGEXMATCH(LD93, ""S""), ""S"",IF(REGEXMATCH(LE93, ""S""), ""S"",""""))"),"S")</f>
        <v>S</v>
      </c>
      <c r="LI93" s="299" t="str">
        <f>IFERROR(__xludf.DUMMYFUNCTION("IF(REGEXMATCH(LD93, ""r""), ""r1"",IF(REGEXMATCH(LE93, ""r""), ""r2"",""""))"),"")</f>
        <v/>
      </c>
      <c r="LJ93" s="299" t="str">
        <f>IFERROR(__xludf.DUMMYFUNCTION("IF(REGEXMATCH(LD93, ""R""), ""R1"",IF(REGEXMATCH(LE93, ""R""), ""R2"",""""))"),"R1")</f>
        <v>R1</v>
      </c>
      <c r="LK93" s="299" t="str">
        <f>IFERROR(__xludf.DUMMYFUNCTION("IF(REGEXMATCH(LD93, ""g""), ""g1"",IF(REGEXMATCH(LE93, ""g""), ""g2"",""""))"),"g1")</f>
        <v>g1</v>
      </c>
      <c r="LL93" s="299" t="str">
        <f>IFERROR(__xludf.DUMMYFUNCTION("IF(REGEXMATCH(LD93, ""G""), ""G1"",IF(REGEXMATCH(LE93, ""G""), ""G2"",""""))"),"G1")</f>
        <v>G1</v>
      </c>
      <c r="LM93" s="299" t="str">
        <f>IFERROR(__xludf.DUMMYFUNCTION("IF(REGEXMATCH(LD93, ""m""), ""m1"",IF(REGEXMATCH(LE93, ""m""), ""m2"",""""))"),"m1")</f>
        <v>m1</v>
      </c>
      <c r="LN93" s="299" t="str">
        <f>IFERROR(__xludf.DUMMYFUNCTION("IF(REGEXMATCH(LD93, ""M""), ""M1"",IF(REGEXMATCH(LE93, ""M""), ""M2"",""""))"),"")</f>
        <v/>
      </c>
      <c r="LO93" s="299" t="str">
        <f>IFERROR(__xludf.DUMMYFUNCTION("IF(REGEXMATCH(LD93, ""P""), ""P1"",IF(REGEXMATCH(LE93, ""P""), ""P2"",""""))"),"P1")</f>
        <v>P1</v>
      </c>
      <c r="LP93" s="299" t="str">
        <f>IFERROR(__xludf.DUMMYFUNCTION("IF(REGEXMATCH(LD93, ""d""), ""d1"",IF(REGEXMATCH(LE93, ""d""), ""d2"",""""))"),"d1")</f>
        <v>d1</v>
      </c>
      <c r="LQ93" s="299" t="str">
        <f>IFERROR(__xludf.DUMMYFUNCTION("IF(REGEXMATCH(LD93, ""D""), ""D1"",IF(REGEXMATCH(LE93, ""D""), ""D2"",""""))"),"")</f>
        <v/>
      </c>
      <c r="LR93" s="299" t="str">
        <f>IFERROR(__xludf.DUMMYFUNCTION("IF(REGEXMATCH(LD93, ""n""), ""n1"",IF(REGEXMATCH(LE93, ""n""), ""n2"",""""))"),"n1")</f>
        <v>n1</v>
      </c>
      <c r="LS93" s="299" t="str">
        <f>IFERROR(__xludf.DUMMYFUNCTION("IF(REGEXMATCH(LD93, ""N""), ""N1"",IF(REGEXMATCH(LE93, ""N""), ""N2"",""""))"),"")</f>
        <v/>
      </c>
      <c r="LT93" s="388" t="str">
        <f>IFERROR(__xludf.DUMMYFUNCTION("IF(REGEXMATCH(LD93, ""S""), ""S"",IF(REGEXMATCH(LE93, ""S""), ""S"",""""))"),"S")</f>
        <v>S</v>
      </c>
      <c r="LU93" s="389">
        <f t="shared" si="196"/>
        <v>1</v>
      </c>
      <c r="LV93" s="378"/>
      <c r="LW93" s="369"/>
      <c r="LX93" s="369"/>
    </row>
    <row r="94" ht="18.0" customHeight="1">
      <c r="A94" s="298" t="s">
        <v>690</v>
      </c>
      <c r="B94" s="222" t="s">
        <v>691</v>
      </c>
      <c r="C94" s="233" t="str">
        <f t="shared" si="7"/>
        <v>SrgGmPdNS</v>
      </c>
      <c r="D94" s="234" t="str">
        <f>IFERROR(__xludf.DUMMYFUNCTION("IF(REGEXMATCH(C94, ""S""), ""S"","""")"),"S")</f>
        <v>S</v>
      </c>
      <c r="E94" s="236" t="str">
        <f>IFERROR(__xludf.DUMMYFUNCTION("IF(REGEXMATCH(C94, ""r""), ""r"","""")"),"r")</f>
        <v>r</v>
      </c>
      <c r="F94" s="237" t="str">
        <f>IFERROR(__xludf.DUMMYFUNCTION("IF(REGEXMATCH(C94, ""R""), ""R"","""")"),"")</f>
        <v/>
      </c>
      <c r="G94" s="237" t="str">
        <f>IFERROR(__xludf.DUMMYFUNCTION("IF(REGEXMATCH(C94, ""g""), ""g"","""")"),"g")</f>
        <v>g</v>
      </c>
      <c r="H94" s="236" t="str">
        <f>IFERROR(__xludf.DUMMYFUNCTION("IF(REGEXMATCH(C94, ""G""), ""G"","""")"),"G")</f>
        <v>G</v>
      </c>
      <c r="I94" s="236" t="str">
        <f>IFERROR(__xludf.DUMMYFUNCTION("IF(REGEXMATCH(C94, ""m""), ""m"","""")"),"m")</f>
        <v>m</v>
      </c>
      <c r="J94" s="237" t="str">
        <f>IFERROR(__xludf.DUMMYFUNCTION("IF(REGEXMATCH(C94, ""M""), ""M"","""")"),"")</f>
        <v/>
      </c>
      <c r="K94" s="236" t="str">
        <f>IFERROR(__xludf.DUMMYFUNCTION("IF(REGEXMATCH(C94, ""P""), ""P"","""")"),"P")</f>
        <v>P</v>
      </c>
      <c r="L94" s="237" t="str">
        <f>IFERROR(__xludf.DUMMYFUNCTION("IF(REGEXMATCH(C94, ""d""), ""d"","""")"),"d")</f>
        <v>d</v>
      </c>
      <c r="M94" s="236" t="str">
        <f>IFERROR(__xludf.DUMMYFUNCTION("IF(REGEXMATCH(C94, ""D""), ""D"","""")"),"")</f>
        <v/>
      </c>
      <c r="N94" s="236" t="str">
        <f>IFERROR(__xludf.DUMMYFUNCTION("IF(REGEXMATCH(C94, ""n""), ""n"","""")"),"")</f>
        <v/>
      </c>
      <c r="O94" s="237" t="str">
        <f>IFERROR(__xludf.DUMMYFUNCTION("IF(REGEXMATCH(C94, ""N""), ""N"","""")"),"N")</f>
        <v>N</v>
      </c>
      <c r="P94" s="238" t="str">
        <f>IFERROR(__xludf.DUMMYFUNCTION("IF(REGEXMATCH(C94, ""S""), ""S"","""")"),"S")</f>
        <v>S</v>
      </c>
      <c r="Q94" s="239" t="str">
        <f>IFERROR(__xludf.DUMMYFUNCTION("SUBSTITUTE(CONCATENATE(JOIN(""-"",D94:J94)),""-"","""")"),"SrgGm")</f>
        <v>SrgGm</v>
      </c>
      <c r="R94" s="229" t="str">
        <f>IFERROR(__xludf.DUMMYFUNCTION("SUBSTITUTE(CONCATENATE(JOIN(""-"",K94:P94)),""-"","""")"),"PdNS")</f>
        <v>PdNS</v>
      </c>
      <c r="S94" s="282" t="str">
        <f t="shared" si="8"/>
        <v>S-R-G-M</v>
      </c>
      <c r="T94" s="282" t="str">
        <f t="shared" si="9"/>
        <v>P-D-N-S</v>
      </c>
      <c r="U94" s="237" t="str">
        <f>IFERROR(__xludf.DUMMYFUNCTION("SUBSTITUTE(JOIN(""-"",S94,T94),""--"",""-"")"),"S-R-G-M-P-D-N-S")</f>
        <v>S-R-G-M-P-D-N-S</v>
      </c>
      <c r="V94" s="309" t="str">
        <f t="shared" si="10"/>
        <v>rgGmdN</v>
      </c>
      <c r="W94" s="244" t="str">
        <f>IFERROR(__xludf.DUMMYFUNCTION("IF(REGEXMATCH(C94, ""S""), ""0"","""")"),"0")</f>
        <v>0</v>
      </c>
      <c r="X94" s="245" t="str">
        <f>IFERROR(__xludf.DUMMYFUNCTION("IF(REGEXMATCH(C94, ""r""), ""1"","""")"),"1")</f>
        <v>1</v>
      </c>
      <c r="Y94" s="246" t="str">
        <f>IFERROR(__xludf.DUMMYFUNCTION("IF(REGEXMATCH(C94, ""R""), ""2"","""")"),"")</f>
        <v/>
      </c>
      <c r="Z94" s="246" t="str">
        <f>IFERROR(__xludf.DUMMYFUNCTION("IF(REGEXMATCH(C94, ""g""), ""3"","""")"),"3")</f>
        <v>3</v>
      </c>
      <c r="AA94" s="245" t="str">
        <f>IFERROR(__xludf.DUMMYFUNCTION("IF(REGEXMATCH(C94, ""G""), ""4"","""")"),"4")</f>
        <v>4</v>
      </c>
      <c r="AB94" s="245" t="str">
        <f>IFERROR(__xludf.DUMMYFUNCTION("IF(REGEXMATCH(C94, ""m""), ""5"","""")"),"5")</f>
        <v>5</v>
      </c>
      <c r="AC94" s="246" t="str">
        <f>IFERROR(__xludf.DUMMYFUNCTION("IF(REGEXMATCH(C94, ""M""), ""6"","""")"),"")</f>
        <v/>
      </c>
      <c r="AD94" s="245" t="str">
        <f>IFERROR(__xludf.DUMMYFUNCTION("IF(REGEXMATCH(C94, ""P""), ""7"","""")"),"7")</f>
        <v>7</v>
      </c>
      <c r="AE94" s="246" t="str">
        <f>IFERROR(__xludf.DUMMYFUNCTION("IF(REGEXMATCH(C94, ""d""), ""8"","""")"),"8")</f>
        <v>8</v>
      </c>
      <c r="AF94" s="245" t="str">
        <f>IFERROR(__xludf.DUMMYFUNCTION("IF(REGEXMATCH(C94, ""D""), ""9"","""")"),"")</f>
        <v/>
      </c>
      <c r="AG94" s="245" t="str">
        <f>IFERROR(__xludf.DUMMYFUNCTION("IF(REGEXMATCH(C94, ""n""), ""10"","""")"),"")</f>
        <v/>
      </c>
      <c r="AH94" s="246" t="str">
        <f>IFERROR(__xludf.DUMMYFUNCTION("IF(REGEXMATCH(C94, ""N""), ""11"","""")"),"11")</f>
        <v>11</v>
      </c>
      <c r="AI94" s="249" t="str">
        <f>IFERROR(__xludf.DUMMYFUNCTION("IF(REGEXMATCH(C94, ""S""), ""0"","""")"),"0")</f>
        <v>0</v>
      </c>
      <c r="AJ94" s="313" t="str">
        <f t="shared" si="11"/>
        <v>-</v>
      </c>
      <c r="AK94" s="313" t="str">
        <f t="shared" si="12"/>
        <v>T</v>
      </c>
      <c r="AL94" s="313" t="str">
        <f t="shared" si="13"/>
        <v>-</v>
      </c>
      <c r="AM94" s="313" t="str">
        <f t="shared" si="14"/>
        <v>-</v>
      </c>
      <c r="AN94" s="313" t="str">
        <f t="shared" si="15"/>
        <v>-</v>
      </c>
      <c r="AO94" s="314" t="str">
        <f t="shared" si="16"/>
        <v>T</v>
      </c>
      <c r="AP94" s="316">
        <f t="shared" si="17"/>
        <v>2</v>
      </c>
      <c r="AQ94" s="319" t="str">
        <f t="shared" si="18"/>
        <v>-</v>
      </c>
      <c r="AR94" s="320">
        <f t="shared" si="19"/>
        <v>0</v>
      </c>
      <c r="AS94" s="250" t="str">
        <f>IFERROR(__xludf.DUMMYFUNCTION("SUBSTITUTE(SUBSTITUTE(CONCATENATE(JOIN("""",FP94:GA94)),""|"",""x""),""-"",""o"")"),"xxoxxxoxxoox")</f>
        <v>xxoxxxoxxoox</v>
      </c>
      <c r="AT94" s="323" t="str">
        <f>IFERROR(__xludf.DUMMYFUNCTION("JOIN("""",AS94,AS94)"),"xxoxxxoxxooxxxoxxxoxxoox")</f>
        <v>xxoxxxoxxooxxxoxxxoxxoox</v>
      </c>
      <c r="AU94" s="256" t="str">
        <f>IFERROR(__xludf.DUMMYFUNCTION("JOIN("""",ArrayFormula(MID(AS94,LEN(AS94)-SEQUENCE(1,LEN(AS94))+1,1)))"),"xooxxoxxxoxx")</f>
        <v>xooxxoxxxoxx</v>
      </c>
      <c r="AV94" s="256" t="str">
        <f>IFERROR(__xludf.DUMMYFUNCTION("LEFT(CONCATENATE(""x"",JOIN("""",ArrayFormula(MID(AS94,LEN(AS94)-SEQUENCE(1,LEN(AS94))+1,1)))),12)"),"xxooxxoxxxox")</f>
        <v>xxooxxoxxxox</v>
      </c>
      <c r="AW94" s="327" t="str">
        <f>IFERROR(__xludf.DUMMYFUNCTION("JOIN("""",AU94,AU94)"),"xooxxoxxxoxxxooxxoxxxoxx")</f>
        <v>xooxxoxxxoxxxooxxoxxxoxx</v>
      </c>
      <c r="AX94" s="239" t="str">
        <f>IFERROR(__xludf.DUMMYFUNCTION("IF(REGEXMATCH(AW94,AS94),""✔"",""-"")"),"-")</f>
        <v>-</v>
      </c>
      <c r="AY94" s="330" t="str">
        <f t="shared" si="20"/>
        <v>-</v>
      </c>
      <c r="AZ94" s="260" t="str">
        <f t="shared" si="21"/>
        <v>#REF!</v>
      </c>
      <c r="BA94" s="333" t="str">
        <f t="shared" si="22"/>
        <v>xxoxxxo</v>
      </c>
      <c r="BB94" s="334" t="str">
        <f t="shared" si="23"/>
        <v>xxooxx</v>
      </c>
      <c r="BC94" s="335" t="str">
        <f t="shared" si="236"/>
        <v>-</v>
      </c>
      <c r="BD94" s="336" t="str">
        <f t="shared" si="25"/>
        <v>Devata Bhairav: 'xxoxxxo' + 'xxooxx'</v>
      </c>
      <c r="BE94" s="337">
        <f>IFERROR(__xludf.DUMMYFUNCTION("COUNTUNIQUE(FILTER(AT:AT,REGEXMATCH(AT:AT,AS94)))-1"),0.0)</f>
        <v>0</v>
      </c>
      <c r="BF94" s="261" t="str">
        <f>IFERROR(__xludf.DUMMYFUNCTION("IF(BI94=0,""(n/a)"",IF(BJ94=2,""(PAIR)"",IF(REGEXMATCH(AT94,""xoxoxxoxoxox""),""Bilawal"",IF(REGEXMATCH(AT94,""xoxoxooxoxoo""),""Bhupali"",IF(REGEXMATCH(AT94,""xoxoxxoxxoxo""),""Charukeshi"",IF(REGEXMATCH(AT94,""xoxoooxxoxxo""),""Kameshwari"",IF(REGEXMATC"&amp;"H(AT94,""xoxoxooxoxox""),""Shankara"",IF(REGEXMATCH(AT94,""xxooxoxxxoox""),""Basant"",IF(REGEXMATCH(AT94,""xoxoxxxxoxox""),""Bihag"",IF(REGEXMATCH(AT94,""xoxxxxoxoxxx""),""Pilu"",IF(REGEXMATCH(AT94,""xoxxoxoxxoox""),""Kirwani"",IF(REGEXMATCH(AT94,""xoxxox"&amp;"oxoxxx""),""Mk.Malhar"",IF(REGEXMATCH(AT94,""xxooxxoxxoox""),""Bhairav"",IF(REGEXMATCH(AT94,""xxoxooxxxoox""),""Todi"",IF(REGEXMATCH(AT94,""xxooxoxooxox""),""Marwa"",IF(REGEXMATCH(AT94,""xxoooxoxxooo""),""Gunkali"",IF(REGEXMATCH(AT94,""xoxoxxoxxoox""),""N"&amp;"at Bhairav"",IF(REGEXMATCH(AT94,""xoxxoooxoxoo""),""Shivranjani"",IF(REGEXMATCH(AT94,""xooxxxoxooxo""),""Jog"",IF(REGEXMATCH(AT94,""xxooxoxoxoox""),""Hemshri"",IF(REGEXMATCH(AT94,""xoooxooxoxxo""),""Kalavati"",IF(REGEXMATCH(AT94,""xxoxoxxoxoox""),""Kedar"&amp;""",IF(REGEXMATCH(AT94,""xoxxxxoxooxx""),""Gara"",IF(REGEXMATCH(AT94,""xooxoxooxoox""),""Chandrakauns"",IF(REGEXMATCH(AT94,""xoxxxxoxxxox""),""Mand"",IF(REGEXMATCH(AT94,""xoxxxxoxoxox""),""Hanskinkini"",IF(REGEXMATCH(AT94,""xxooxxoxooxo""),""Lilavati"",IF("&amp;"REGEXMATCH(AT94,""xooxoxoooxox""),""Rajeshwari"",IF(REGEXMATCH(AT94,""xoooxxoxoxxx""),""Khokar"",IF(REGEXMATCH(AT94,""xxooxoxxxxox""),""Maligoura"",""-""))))))))))))))))))))))))))))))"),"(n/a)")</f>
        <v>(n/a)</v>
      </c>
      <c r="BG94" s="239" t="str">
        <f t="shared" si="26"/>
        <v>#REF!</v>
      </c>
      <c r="BH94" s="239">
        <f>IFERROR(__xludf.DUMMYFUNCTION("COUNTUNIQUE(FE94:FO94)-1"),7.0)</f>
        <v>7</v>
      </c>
      <c r="BI94" s="239">
        <f>IFERROR(__xludf.DUMMYFUNCTION("COUNTUNIQUE(FILTER(AT:AT,REGEXMATCH(AT:AT,AS94)))-1"),0.0)</f>
        <v>0</v>
      </c>
      <c r="BJ94" s="239">
        <f>IFERROR(__xludf.DUMMYFUNCTION("COUNTA(FILTER(AT:AT,REGEXMATCH(AT:AT,AS94)))"),1.0)</f>
        <v>1</v>
      </c>
      <c r="BK94" s="341">
        <f>IFERROR(__xludf.DUMMYFUNCTION("COUNTA(FILTER(AT:AT,REGEXMATCH(AT:AT,AS94)))-AR94"),1.0)</f>
        <v>1</v>
      </c>
      <c r="BL94" s="276" t="str">
        <f>IFERROR(__xludf.DUMMYFUNCTION("IF(AS94=""oooooooooooo"",""-"",IF(REGEXMATCH(AT94,""xx""), ""Hemi."", ""Anhemi.""))"),"Hemi.")</f>
        <v>Hemi.</v>
      </c>
      <c r="BM94" s="282" t="str">
        <f>IFERROR(__xludf.DUMMYFUNCTION("IF(AS94=""oooooooooooo"",""-"",IF(REGEXMATCH(AT94,""xxx""), ""Cohem."", ""-""))"),"Cohem.")</f>
        <v>Cohem.</v>
      </c>
      <c r="BN94" s="282" t="str">
        <f>IFERROR(__xludf.DUMMYFUNCTION("IF(AS94=""oooooooooooo"",""-"",IF(REGEXMATCH(AT94,""xxxx""), ""Co-Co."", ""-""))"),"-")</f>
        <v>-</v>
      </c>
      <c r="BO94" s="342" t="str">
        <f>IFERROR(__xludf.DUMMYFUNCTION("IF(AS94=""oooooooooooo"",""-"",IF(REGEXMATCH(AT94,""xxxxx""), ""CCC."", ""-""))"),"-")</f>
        <v>-</v>
      </c>
      <c r="BP94" s="344" t="str">
        <f t="shared" si="27"/>
        <v>-</v>
      </c>
      <c r="BQ94" s="282" t="str">
        <f>IFERROR(__xludf.DUMMYFUNCTION("IF(REGEXMATCH(JOIN(""-"",EU94:FD94),""TRUE""),""✔"",""-"")"),"-")</f>
        <v>-</v>
      </c>
      <c r="BR94" s="225">
        <f t="shared" si="28"/>
        <v>0</v>
      </c>
      <c r="BS94" s="345" t="str">
        <f>IFERROR(__xludf.DUMMYFUNCTION("SUBSTITUTE(SUBSTITUTE(SUBSTITUTE(SUBSTITUTE(CONCATENATE(JOIN(""-"",GC94:GO94)),""--"",""-""),""--"",""-""),""--"",""-""),""--"",""-"")"),"1-b2-b3-3-4-5-b6-7-8")</f>
        <v>1-b2-b3-3-4-5-b6-7-8</v>
      </c>
      <c r="BT94" s="299" t="str">
        <f>IFERROR(__xludf.DUMMYFUNCTION("SUBSTITUTE(SUBSTITUTE(SUBSTITUTE(SUBSTITUTE(CONCATENATE(JOIN(""-"",GP94:HB94)),""--"",""-""),""--"",""-""),""--"",""-""),""--"",""-"")"),"S-R1-G2-G3-M1-P-D1-N3-S")</f>
        <v>S-R1-G2-G3-M1-P-D1-N3-S</v>
      </c>
      <c r="BU94" s="348" t="str">
        <f t="shared" si="29"/>
        <v>C-Db-Eb-E-F-G-Ab-B-C</v>
      </c>
      <c r="BV94" s="349" t="str">
        <f t="shared" si="30"/>
        <v>SRMDnS</v>
      </c>
      <c r="BW94" s="350">
        <f t="shared" si="31"/>
        <v>0</v>
      </c>
      <c r="BX94" s="351">
        <f t="shared" si="32"/>
        <v>1</v>
      </c>
      <c r="BY94" s="352" t="s">
        <v>275</v>
      </c>
      <c r="BZ94" s="309" t="str">
        <f>IFERROR(__xludf.DUMMYFUNCTION("IF(REGEXMATCH(C94, ""S""), ""x"",""x"")"),"x")</f>
        <v>x</v>
      </c>
      <c r="CA94" s="245" t="str">
        <f>IFERROR(__xludf.DUMMYFUNCTION("IF(REGEXMATCH(C94, ""r""), ""o"",""x"")"),"o")</f>
        <v>o</v>
      </c>
      <c r="CB94" s="246" t="str">
        <f>IFERROR(__xludf.DUMMYFUNCTION("IF(REGEXMATCH(C94, ""R""), ""o"",""x"")"),"x")</f>
        <v>x</v>
      </c>
      <c r="CC94" s="246" t="str">
        <f>IFERROR(__xludf.DUMMYFUNCTION("IF(REGEXMATCH(C94, ""g""), ""o"",""x"")"),"o")</f>
        <v>o</v>
      </c>
      <c r="CD94" s="245" t="str">
        <f>IFERROR(__xludf.DUMMYFUNCTION("IF(REGEXMATCH(C94, ""G""), ""o"",""x"")"),"o")</f>
        <v>o</v>
      </c>
      <c r="CE94" s="245" t="str">
        <f>IFERROR(__xludf.DUMMYFUNCTION("IF(REGEXMATCH(C94, ""m""), ""o"",""x"")"),"o")</f>
        <v>o</v>
      </c>
      <c r="CF94" s="246" t="str">
        <f>IFERROR(__xludf.DUMMYFUNCTION("IF(REGEXMATCH(C94, ""M""), ""o"",""x"")"),"x")</f>
        <v>x</v>
      </c>
      <c r="CG94" s="245" t="str">
        <f>IFERROR(__xludf.DUMMYFUNCTION("IF(REGEXMATCH(C94, ""P""), ""o"",""x"")"),"o")</f>
        <v>o</v>
      </c>
      <c r="CH94" s="246" t="str">
        <f>IFERROR(__xludf.DUMMYFUNCTION("IF(REGEXMATCH(C94, ""d""), ""o"",""x"")"),"o")</f>
        <v>o</v>
      </c>
      <c r="CI94" s="245" t="str">
        <f>IFERROR(__xludf.DUMMYFUNCTION("IF(REGEXMATCH(C94, ""D""), ""o"",""x"")"),"x")</f>
        <v>x</v>
      </c>
      <c r="CJ94" s="245" t="str">
        <f>IFERROR(__xludf.DUMMYFUNCTION("IF(REGEXMATCH(C94, ""n""), ""o"",""x"")"),"x")</f>
        <v>x</v>
      </c>
      <c r="CK94" s="245" t="str">
        <f>IFERROR(__xludf.DUMMYFUNCTION("IF(REGEXMATCH(C94, ""N""), ""o"",""x"")"),"o")</f>
        <v>o</v>
      </c>
      <c r="CL94" s="356" t="str">
        <f>IFERROR(__xludf.DUMMYFUNCTION("IF(REGEXMATCH(C94, ""S""), ""x"",""x"")"),"x")</f>
        <v>x</v>
      </c>
      <c r="CM94" s="357" t="str">
        <f t="shared" si="33"/>
        <v>xoxoooxooxxo</v>
      </c>
      <c r="CN94" s="358">
        <f t="shared" si="34"/>
        <v>0</v>
      </c>
      <c r="CO94" s="246" t="str">
        <f>IFERROR(__xludf.DUMMYFUNCTION("IF(REGEXMATCH($C94, ""S""), ""S"",""S"")"),"S")</f>
        <v>S</v>
      </c>
      <c r="CP94" s="246" t="str">
        <f>IFERROR(__xludf.DUMMYFUNCTION("IF(REGEXMATCH($C94, ""r""), """",""r"")"),"")</f>
        <v/>
      </c>
      <c r="CQ94" s="246" t="str">
        <f>IFERROR(__xludf.DUMMYFUNCTION("IF(REGEXMATCH($C94, ""R""), """",""R"")"),"R")</f>
        <v>R</v>
      </c>
      <c r="CR94" s="246" t="str">
        <f>IFERROR(__xludf.DUMMYFUNCTION("IF(REGEXMATCH($C94, ""g""), """",""g"")"),"")</f>
        <v/>
      </c>
      <c r="CS94" s="246" t="str">
        <f>IFERROR(__xludf.DUMMYFUNCTION("IF(REGEXMATCH($C94, ""G""), """",""G"")"),"")</f>
        <v/>
      </c>
      <c r="CT94" s="246" t="str">
        <f>IFERROR(__xludf.DUMMYFUNCTION("IF(REGEXMATCH($C94, ""m""), """",""m"")"),"")</f>
        <v/>
      </c>
      <c r="CU94" s="246" t="str">
        <f>IFERROR(__xludf.DUMMYFUNCTION("IF(REGEXMATCH($C94, ""M""), """",""M"")"),"M")</f>
        <v>M</v>
      </c>
      <c r="CV94" s="246" t="str">
        <f>IFERROR(__xludf.DUMMYFUNCTION("IF(REGEXMATCH($C94, ""P""), """",""P"")"),"")</f>
        <v/>
      </c>
      <c r="CW94" s="246" t="str">
        <f>IFERROR(__xludf.DUMMYFUNCTION("IF(REGEXMATCH($C94, ""d""), """",""d"")"),"")</f>
        <v/>
      </c>
      <c r="CX94" s="246" t="str">
        <f>IFERROR(__xludf.DUMMYFUNCTION("IF(REGEXMATCH($C94, ""D""), """",""D"")"),"D")</f>
        <v>D</v>
      </c>
      <c r="CY94" s="246" t="str">
        <f>IFERROR(__xludf.DUMMYFUNCTION("IF(REGEXMATCH($C94, ""n""), """",""n"")"),"n")</f>
        <v>n</v>
      </c>
      <c r="CZ94" s="246" t="str">
        <f>IFERROR(__xludf.DUMMYFUNCTION("IF(REGEXMATCH($C94, ""N""), """",""N"")"),"")</f>
        <v/>
      </c>
      <c r="DA94" s="246" t="str">
        <f>IFERROR(__xludf.DUMMYFUNCTION("IF(REGEXMATCH($C94, ""S""), ""S"",""S"")"),"S")</f>
        <v>S</v>
      </c>
      <c r="DB94" s="362" t="str">
        <f>IFERROR(__xludf.DUMMYFUNCTION("JOIN("""",CO94:DA94,"""","""")"),"SRMDnS")</f>
        <v>SRMDnS</v>
      </c>
      <c r="DC94" s="363"/>
      <c r="DD94" s="301" t="str">
        <f t="shared" si="35"/>
        <v>#REF!</v>
      </c>
      <c r="DE94" s="302" t="str">
        <f t="shared" si="36"/>
        <v>#REF!</v>
      </c>
      <c r="DF94" s="301" t="str">
        <f t="shared" ref="DF94:DG94" si="388">SUBSTITUTE(S94,"-","")</f>
        <v>SRGM</v>
      </c>
      <c r="DG94" s="301" t="str">
        <f t="shared" si="388"/>
        <v>PDNS</v>
      </c>
      <c r="DH94" s="302" t="str">
        <f t="shared" si="38"/>
        <v>(n/a)</v>
      </c>
      <c r="DI94" s="301" t="str">
        <f t="shared" si="39"/>
        <v>Hemi.</v>
      </c>
      <c r="DJ94" s="364" t="str">
        <f t="shared" si="40"/>
        <v>Cohem.</v>
      </c>
      <c r="DK94" s="306" t="str">
        <f t="shared" si="41"/>
        <v>-</v>
      </c>
      <c r="DL94" s="366" t="str">
        <f t="shared" si="42"/>
        <v>-</v>
      </c>
      <c r="DM94" s="308" t="str">
        <f t="shared" si="43"/>
        <v>✔</v>
      </c>
      <c r="DN94" s="306" t="str">
        <f t="shared" si="44"/>
        <v>-</v>
      </c>
      <c r="DO94" s="306" t="str">
        <f t="shared" si="45"/>
        <v>-</v>
      </c>
      <c r="DP94" s="367" t="str">
        <f t="shared" si="46"/>
        <v>-</v>
      </c>
      <c r="DQ94" s="310" t="str">
        <f t="shared" si="47"/>
        <v>-</v>
      </c>
      <c r="DR94" s="310" t="str">
        <f t="shared" si="48"/>
        <v>✔</v>
      </c>
      <c r="DS94" s="310" t="str">
        <f t="shared" si="49"/>
        <v>-</v>
      </c>
      <c r="DT94" s="310" t="str">
        <f t="shared" si="50"/>
        <v>-</v>
      </c>
      <c r="DU94" s="370" t="str">
        <f t="shared" si="51"/>
        <v>-</v>
      </c>
      <c r="DV94" s="306" t="str">
        <f t="shared" si="52"/>
        <v>-</v>
      </c>
      <c r="DW94" s="306" t="str">
        <f t="shared" si="53"/>
        <v>-</v>
      </c>
      <c r="DX94" s="306" t="str">
        <f t="shared" si="54"/>
        <v>-</v>
      </c>
      <c r="DY94" s="306" t="str">
        <f t="shared" si="55"/>
        <v>-</v>
      </c>
      <c r="DZ94" s="306" t="str">
        <f t="shared" si="56"/>
        <v>-</v>
      </c>
      <c r="EA94" s="367" t="str">
        <f t="shared" si="57"/>
        <v>-</v>
      </c>
      <c r="EB94" s="310" t="str">
        <f>IFERROR(__xludf.DUMMYFUNCTION("IF(REGEXMATCH(AW94,AS94),""✔"",""-"")"),"-")</f>
        <v>-</v>
      </c>
      <c r="EC94" s="310" t="str">
        <f t="shared" si="58"/>
        <v>#REF!</v>
      </c>
      <c r="ED94" s="370" t="str">
        <f t="shared" si="59"/>
        <v>-</v>
      </c>
      <c r="EE94" s="340" t="str">
        <f t="shared" si="60"/>
        <v>S-r-gG-m-P-d-N-S</v>
      </c>
      <c r="EF94" s="371" t="str">
        <f>IFERROR(__xludf.DUMMYFUNCTION("CONCATENATE(JOIN("""",HC94:HO94))"),"SrGmPdDNS")</f>
        <v>SrGmPdDNS</v>
      </c>
      <c r="EG94" s="372">
        <f t="shared" si="61"/>
        <v>3</v>
      </c>
      <c r="EH94" s="373" t="str">
        <f>IFERROR(__xludf.DUMMYFUNCTION("CONCATENATE(JOIN("""",JC94:JO94))"),"ga, Pa, Ni, ")</f>
        <v>ga, Pa, Ni, </v>
      </c>
      <c r="EI94" s="322">
        <f t="shared" si="62"/>
        <v>0</v>
      </c>
      <c r="EJ94" s="374" t="str">
        <f>IFERROR(__xludf.DUMMYFUNCTION("CONCATENATE(JOIN("""",KC94:KO94))"),"")</f>
        <v/>
      </c>
      <c r="EK94" s="325" t="str">
        <f t="shared" si="63"/>
        <v>S-R1-G2-G3-M1-P-D1-N3-S</v>
      </c>
      <c r="EL94" s="326" t="str">
        <f t="shared" si="64"/>
        <v>1-b2-b3-3-4-5-b6-7-8</v>
      </c>
      <c r="EM94" s="318" t="str">
        <f t="shared" si="65"/>
        <v>#REF!</v>
      </c>
      <c r="EN94" s="328" t="str">
        <f>IFERROR(__xludf.DUMMYFUNCTION("SUBSTITUTE(SUBSTITUTE(SUBSTITUTE(SUBSTITUTE(CONCATENATE(JOIN("" "",HP94:IB94)),""  "","" ""),""  "","" ""),""  "","" ""),""  "","" "")"),"o o • o o o • o o • • o o")</f>
        <v>o o • o o o • o o • • o o</v>
      </c>
      <c r="EO94" s="368" t="str">
        <f t="shared" si="66"/>
        <v>-</v>
      </c>
      <c r="EP94" s="339" t="str">
        <f t="shared" si="67"/>
        <v>-</v>
      </c>
      <c r="EQ94" s="339" t="str">
        <f t="shared" si="68"/>
        <v>Sa-Pa</v>
      </c>
      <c r="ER94" s="339" t="str">
        <f t="shared" si="69"/>
        <v>-</v>
      </c>
      <c r="ES94" s="340" t="str">
        <f t="shared" si="70"/>
        <v>-</v>
      </c>
      <c r="ET94" s="363"/>
      <c r="EU94" s="376" t="b">
        <f>IFERROR(__xludf.DUMMYFUNCTION("arrayformula(sum(--REGEXMATCH(""SRGMPDNS"",split(REGEXREPLACE(C94,""(.)"",""$1~""),""~""))))=len(C94)
"),FALSE)</f>
        <v>0</v>
      </c>
      <c r="EV94" s="290" t="b">
        <f>IFERROR(__xludf.DUMMYFUNCTION("arrayformula(sum(--REGEXMATCH(""SRGmPDNS"",split(REGEXREPLACE(C94,""(.)"",""$1~""),""~""))))=len(C94)"),FALSE)</f>
        <v>0</v>
      </c>
      <c r="EW94" s="290" t="b">
        <f>IFERROR(__xludf.DUMMYFUNCTION("arrayformula(sum(--REGEXMATCH(""SRGmPDnS"",split(REGEXREPLACE(C94,""(.)"",""$1~""),""~""))))=len(C94)"),FALSE)</f>
        <v>0</v>
      </c>
      <c r="EX94" s="290" t="b">
        <f>IFERROR(__xludf.DUMMYFUNCTION("arrayformula(sum(--REGEXMATCH(""SRgmPDnS"",split(REGEXREPLACE(C94,""(.)"",""$1~""),""~""))))=len(C94)"),FALSE)</f>
        <v>0</v>
      </c>
      <c r="EY94" s="290" t="b">
        <f>IFERROR(__xludf.DUMMYFUNCTION("arrayformula(sum(--REGEXMATCH(""SRgmPdnS"",split(REGEXREPLACE(C94,""(.)"",""$1~""),""~""))))=len(C94)"),FALSE)</f>
        <v>0</v>
      </c>
      <c r="EZ94" s="290" t="b">
        <f>IFERROR(__xludf.DUMMYFUNCTION("arrayformula(sum(--REGEXMATCH(""SrgmPdnS"",split(REGEXREPLACE(C94,""(.)"",""$1~""),""~""))))=len(C94)"),FALSE)</f>
        <v>0</v>
      </c>
      <c r="FA94" s="290" t="b">
        <f>IFERROR(__xludf.DUMMYFUNCTION("arrayformula(sum(--REGEXMATCH(""SrGmPdNS"",split(REGEXREPLACE(C94,""(.)"",""$1~""),""~""))))=len(C94)"),FALSE)</f>
        <v>0</v>
      </c>
      <c r="FB94" s="290" t="b">
        <f>IFERROR(__xludf.DUMMYFUNCTION("arrayformula(sum(--REGEXMATCH(""SrGMPDNS"",split(REGEXREPLACE(C94,""(.)"",""$1~""),""~""))))=len(C94)"),FALSE)</f>
        <v>0</v>
      </c>
      <c r="FC94" s="290" t="b">
        <f>IFERROR(__xludf.DUMMYFUNCTION("arrayformula(sum(--REGEXMATCH(""SrGMPdNS"",split(REGEXREPLACE(C94,""(.)"",""$1~""),""~""))))=len(C94)"),FALSE)</f>
        <v>0</v>
      </c>
      <c r="FD94" s="377" t="b">
        <f>IFERROR(__xludf.DUMMYFUNCTION("arrayformula(sum(--REGEXMATCH(""SrgMPdNS"",split(REGEXREPLACE(C94,""(.)"",""$1~""),""~""))))=len(C94)"),FALSE)</f>
        <v>0</v>
      </c>
      <c r="FE94" s="269" t="str">
        <f t="shared" si="71"/>
        <v>xoxxxoxxoox</v>
      </c>
      <c r="FF94" s="269" t="str">
        <f t="shared" si="72"/>
        <v>-</v>
      </c>
      <c r="FG94" s="271" t="str">
        <f t="shared" si="73"/>
        <v>xxxoxxooxxx</v>
      </c>
      <c r="FH94" s="269" t="str">
        <f t="shared" si="74"/>
        <v>xxoxxooxxxo</v>
      </c>
      <c r="FI94" s="271" t="str">
        <f t="shared" si="75"/>
        <v>xoxxooxxxox</v>
      </c>
      <c r="FJ94" s="271" t="str">
        <f t="shared" si="76"/>
        <v>-</v>
      </c>
      <c r="FK94" s="271" t="str">
        <f t="shared" si="77"/>
        <v>xxooxxxoxxx</v>
      </c>
      <c r="FL94" s="271" t="str">
        <f t="shared" si="78"/>
        <v>xooxxxoxxxo</v>
      </c>
      <c r="FM94" s="271" t="str">
        <f t="shared" si="79"/>
        <v>-</v>
      </c>
      <c r="FN94" s="271" t="str">
        <f t="shared" si="80"/>
        <v>-</v>
      </c>
      <c r="FO94" s="274" t="str">
        <f t="shared" si="81"/>
        <v>xxxoxxxoxxo</v>
      </c>
      <c r="FP94" s="234" t="str">
        <f t="shared" si="82"/>
        <v>|</v>
      </c>
      <c r="FQ94" s="236" t="str">
        <f t="shared" si="83"/>
        <v>|</v>
      </c>
      <c r="FR94" s="237" t="str">
        <f t="shared" si="84"/>
        <v>-</v>
      </c>
      <c r="FS94" s="236" t="str">
        <f t="shared" si="85"/>
        <v>|</v>
      </c>
      <c r="FT94" s="237" t="str">
        <f t="shared" si="86"/>
        <v>|</v>
      </c>
      <c r="FU94" s="236" t="str">
        <f t="shared" si="87"/>
        <v>|</v>
      </c>
      <c r="FV94" s="237" t="str">
        <f t="shared" si="88"/>
        <v>-</v>
      </c>
      <c r="FW94" s="236" t="str">
        <f t="shared" si="89"/>
        <v>|</v>
      </c>
      <c r="FX94" s="237" t="str">
        <f t="shared" si="90"/>
        <v>|</v>
      </c>
      <c r="FY94" s="236" t="str">
        <f t="shared" si="91"/>
        <v>-</v>
      </c>
      <c r="FZ94" s="237" t="str">
        <f t="shared" si="92"/>
        <v>-</v>
      </c>
      <c r="GA94" s="236" t="str">
        <f t="shared" si="93"/>
        <v>|</v>
      </c>
      <c r="GB94" s="238" t="str">
        <f t="shared" si="94"/>
        <v>|</v>
      </c>
      <c r="GC94" s="244" t="str">
        <f>IFERROR(__xludf.DUMMYFUNCTION("IF(REGEXMATCH(C94, ""S""), ""1"","""")"),"1")</f>
        <v>1</v>
      </c>
      <c r="GD94" s="245" t="str">
        <f>IFERROR(__xludf.DUMMYFUNCTION("IF(REGEXMATCH(C94, ""r""), ""b2"","""")"),"b2")</f>
        <v>b2</v>
      </c>
      <c r="GE94" s="246" t="str">
        <f>IFERROR(__xludf.DUMMYFUNCTION("IF(REGEXMATCH(C94, ""R""), ""2"","""")"),"")</f>
        <v/>
      </c>
      <c r="GF94" s="246" t="str">
        <f>IFERROR(__xludf.DUMMYFUNCTION("IF(REGEXMATCH(C94, ""g""), ""b3"","""")"),"b3")</f>
        <v>b3</v>
      </c>
      <c r="GG94" s="245" t="str">
        <f>IFERROR(__xludf.DUMMYFUNCTION("IF(REGEXMATCH(C94, ""G""), ""3"","""")"),"3")</f>
        <v>3</v>
      </c>
      <c r="GH94" s="245" t="str">
        <f>IFERROR(__xludf.DUMMYFUNCTION("IF(REGEXMATCH(C94, ""m""), ""4"","""")"),"4")</f>
        <v>4</v>
      </c>
      <c r="GI94" s="246" t="str">
        <f>IFERROR(__xludf.DUMMYFUNCTION("IF(REGEXMATCH(C94, ""M""), ""#4"","""")"),"")</f>
        <v/>
      </c>
      <c r="GJ94" s="245" t="str">
        <f>IFERROR(__xludf.DUMMYFUNCTION("IF(REGEXMATCH(C94, ""P""), ""5"","""")"),"5")</f>
        <v>5</v>
      </c>
      <c r="GK94" s="246" t="str">
        <f>IFERROR(__xludf.DUMMYFUNCTION("IF(REGEXMATCH(C94, ""d""), ""b6"","""")"),"b6")</f>
        <v>b6</v>
      </c>
      <c r="GL94" s="245" t="str">
        <f>IFERROR(__xludf.DUMMYFUNCTION("IF(REGEXMATCH(C94, ""D""), ""6"","""")"),"")</f>
        <v/>
      </c>
      <c r="GM94" s="245" t="str">
        <f>IFERROR(__xludf.DUMMYFUNCTION("IF(REGEXMATCH(C94, ""n""), ""b7"","""")"),"")</f>
        <v/>
      </c>
      <c r="GN94" s="246" t="str">
        <f>IFERROR(__xludf.DUMMYFUNCTION("IF(REGEXMATCH(C94, ""N""), ""7"","""")"),"7")</f>
        <v>7</v>
      </c>
      <c r="GO94" s="249" t="str">
        <f>IFERROR(__xludf.DUMMYFUNCTION("IF(REGEXMATCH(C94, ""S""), ""8"","""")"),"8")</f>
        <v>8</v>
      </c>
      <c r="GP94" s="244" t="str">
        <f>IFERROR(__xludf.DUMMYFUNCTION("IF(REGEXMATCH(C94, ""S""), ""S"","""")"),"S")</f>
        <v>S</v>
      </c>
      <c r="GQ94" s="294" t="str">
        <f>IFERROR(__xludf.DUMMYFUNCTION("IF(REGEXMATCH(C94, ""r""), ""R1"","""")"),"R1")</f>
        <v>R1</v>
      </c>
      <c r="GR94" s="295" t="str">
        <f>IFERROR(__xludf.DUMMYFUNCTION("IF(REGEXMATCH(C94, ""R""), ""R2"","""")"),"")</f>
        <v/>
      </c>
      <c r="GS94" s="295" t="str">
        <f>IFERROR(__xludf.DUMMYFUNCTION("IF(REGEXMATCH(C94, ""g""), ""G2"","""")"),"G2")</f>
        <v>G2</v>
      </c>
      <c r="GT94" s="294" t="str">
        <f>IFERROR(__xludf.DUMMYFUNCTION("IF(REGEXMATCH(C94, ""G""), ""G3"","""")"),"G3")</f>
        <v>G3</v>
      </c>
      <c r="GU94" s="294" t="str">
        <f>IFERROR(__xludf.DUMMYFUNCTION("IF(REGEXMATCH(C94, ""m""), ""M1"","""")"),"M1")</f>
        <v>M1</v>
      </c>
      <c r="GV94" s="295" t="str">
        <f>IFERROR(__xludf.DUMMYFUNCTION("IF(REGEXMATCH(C94, ""M""), ""M2"","""")"),"")</f>
        <v/>
      </c>
      <c r="GW94" s="294" t="str">
        <f>IFERROR(__xludf.DUMMYFUNCTION("IF(REGEXMATCH(C94, ""P""), ""P"","""")"),"P")</f>
        <v>P</v>
      </c>
      <c r="GX94" s="295" t="str">
        <f>IFERROR(__xludf.DUMMYFUNCTION("IF(REGEXMATCH(C94, ""d""), ""D1"","""")"),"D1")</f>
        <v>D1</v>
      </c>
      <c r="GY94" s="294" t="str">
        <f>IFERROR(__xludf.DUMMYFUNCTION("IF(REGEXMATCH(C94, ""D""), ""D2"","""")"),"")</f>
        <v/>
      </c>
      <c r="GZ94" s="294" t="str">
        <f>IFERROR(__xludf.DUMMYFUNCTION("IF(REGEXMATCH(C94, ""n""), ""N2"","""")"),"")</f>
        <v/>
      </c>
      <c r="HA94" s="295" t="str">
        <f>IFERROR(__xludf.DUMMYFUNCTION("IF(REGEXMATCH(C94, ""N""), ""N3"","""")"),"N3")</f>
        <v>N3</v>
      </c>
      <c r="HB94" s="249" t="str">
        <f>IFERROR(__xludf.DUMMYFUNCTION("IF(REGEXMATCH(C94, ""S""), ""S"","""")"),"S")</f>
        <v>S</v>
      </c>
      <c r="HC94" s="331" t="str">
        <f t="shared" si="95"/>
        <v>S</v>
      </c>
      <c r="HD94" s="332" t="str">
        <f t="shared" si="96"/>
        <v>r</v>
      </c>
      <c r="HE94" s="332" t="str">
        <f t="shared" si="97"/>
        <v/>
      </c>
      <c r="HF94" s="332" t="str">
        <f t="shared" si="98"/>
        <v/>
      </c>
      <c r="HG94" s="332" t="str">
        <f t="shared" si="99"/>
        <v>G</v>
      </c>
      <c r="HH94" s="332" t="str">
        <f t="shared" si="100"/>
        <v>m</v>
      </c>
      <c r="HI94" s="332" t="str">
        <f t="shared" si="101"/>
        <v/>
      </c>
      <c r="HJ94" s="332" t="str">
        <f t="shared" si="102"/>
        <v>P</v>
      </c>
      <c r="HK94" s="332" t="str">
        <f t="shared" si="103"/>
        <v>d</v>
      </c>
      <c r="HL94" s="332" t="str">
        <f t="shared" si="104"/>
        <v>D</v>
      </c>
      <c r="HM94" s="332" t="str">
        <f t="shared" si="105"/>
        <v/>
      </c>
      <c r="HN94" s="332" t="str">
        <f t="shared" si="106"/>
        <v>N</v>
      </c>
      <c r="HO94" s="343" t="str">
        <f t="shared" si="107"/>
        <v>S</v>
      </c>
      <c r="HP94" s="331" t="str">
        <f t="shared" si="108"/>
        <v>o</v>
      </c>
      <c r="HQ94" s="332" t="str">
        <f t="shared" si="109"/>
        <v>o</v>
      </c>
      <c r="HR94" s="332" t="str">
        <f t="shared" si="110"/>
        <v>•</v>
      </c>
      <c r="HS94" s="332" t="str">
        <f t="shared" si="111"/>
        <v>o</v>
      </c>
      <c r="HT94" s="332" t="str">
        <f t="shared" si="112"/>
        <v>o</v>
      </c>
      <c r="HU94" s="332" t="str">
        <f t="shared" si="113"/>
        <v>o</v>
      </c>
      <c r="HV94" s="332" t="str">
        <f t="shared" si="114"/>
        <v>•</v>
      </c>
      <c r="HW94" s="332" t="str">
        <f t="shared" si="115"/>
        <v>o</v>
      </c>
      <c r="HX94" s="332" t="str">
        <f t="shared" si="116"/>
        <v>o</v>
      </c>
      <c r="HY94" s="332" t="str">
        <f t="shared" si="117"/>
        <v>•</v>
      </c>
      <c r="HZ94" s="332" t="str">
        <f t="shared" si="118"/>
        <v>•</v>
      </c>
      <c r="IA94" s="332" t="str">
        <f t="shared" si="119"/>
        <v>o</v>
      </c>
      <c r="IB94" s="338" t="str">
        <f t="shared" si="120"/>
        <v>o</v>
      </c>
      <c r="IC94" s="331" t="str">
        <f t="shared" si="121"/>
        <v>•</v>
      </c>
      <c r="ID94" s="332" t="str">
        <f t="shared" si="122"/>
        <v>•</v>
      </c>
      <c r="IE94" s="332" t="str">
        <f t="shared" si="123"/>
        <v>o</v>
      </c>
      <c r="IF94" s="332" t="str">
        <f t="shared" si="124"/>
        <v>•</v>
      </c>
      <c r="IG94" s="332" t="str">
        <f t="shared" si="125"/>
        <v>•</v>
      </c>
      <c r="IH94" s="332" t="str">
        <f t="shared" si="126"/>
        <v>•</v>
      </c>
      <c r="II94" s="332" t="str">
        <f t="shared" si="127"/>
        <v>o</v>
      </c>
      <c r="IJ94" s="332" t="str">
        <f t="shared" si="128"/>
        <v>•</v>
      </c>
      <c r="IK94" s="332" t="str">
        <f t="shared" si="129"/>
        <v>•</v>
      </c>
      <c r="IL94" s="332" t="str">
        <f t="shared" si="130"/>
        <v>o</v>
      </c>
      <c r="IM94" s="332" t="str">
        <f t="shared" si="131"/>
        <v>o</v>
      </c>
      <c r="IN94" s="332" t="str">
        <f t="shared" si="132"/>
        <v>•</v>
      </c>
      <c r="IO94" s="338" t="str">
        <f t="shared" si="133"/>
        <v>•</v>
      </c>
      <c r="IP94" s="346" t="b">
        <f t="shared" si="134"/>
        <v>0</v>
      </c>
      <c r="IQ94" s="347" t="b">
        <f t="shared" si="135"/>
        <v>0</v>
      </c>
      <c r="IR94" s="347" t="b">
        <f t="shared" si="136"/>
        <v>0</v>
      </c>
      <c r="IS94" s="347" t="b">
        <f t="shared" si="137"/>
        <v>1</v>
      </c>
      <c r="IT94" s="347" t="b">
        <f t="shared" si="138"/>
        <v>0</v>
      </c>
      <c r="IU94" s="347" t="b">
        <f t="shared" si="139"/>
        <v>0</v>
      </c>
      <c r="IV94" s="347" t="b">
        <f t="shared" si="140"/>
        <v>0</v>
      </c>
      <c r="IW94" s="347" t="b">
        <f t="shared" si="141"/>
        <v>1</v>
      </c>
      <c r="IX94" s="347" t="b">
        <f t="shared" si="142"/>
        <v>0</v>
      </c>
      <c r="IY94" s="347" t="b">
        <f t="shared" si="143"/>
        <v>0</v>
      </c>
      <c r="IZ94" s="347" t="b">
        <f t="shared" si="144"/>
        <v>0</v>
      </c>
      <c r="JA94" s="347" t="b">
        <f t="shared" si="145"/>
        <v>1</v>
      </c>
      <c r="JB94" s="353" t="b">
        <f t="shared" si="146"/>
        <v>0</v>
      </c>
      <c r="JC94" s="354" t="str">
        <f t="shared" si="147"/>
        <v/>
      </c>
      <c r="JD94" s="355" t="str">
        <f t="shared" si="148"/>
        <v/>
      </c>
      <c r="JE94" s="355" t="str">
        <f t="shared" si="149"/>
        <v/>
      </c>
      <c r="JF94" s="355" t="str">
        <f t="shared" si="150"/>
        <v>ga, </v>
      </c>
      <c r="JG94" s="355" t="str">
        <f t="shared" si="151"/>
        <v/>
      </c>
      <c r="JH94" s="355" t="str">
        <f t="shared" si="152"/>
        <v/>
      </c>
      <c r="JI94" s="355" t="str">
        <f t="shared" si="153"/>
        <v/>
      </c>
      <c r="JJ94" s="355" t="str">
        <f t="shared" si="154"/>
        <v>Pa, </v>
      </c>
      <c r="JK94" s="355" t="str">
        <f t="shared" si="155"/>
        <v/>
      </c>
      <c r="JL94" s="355" t="str">
        <f t="shared" si="156"/>
        <v/>
      </c>
      <c r="JM94" s="355" t="str">
        <f t="shared" si="157"/>
        <v/>
      </c>
      <c r="JN94" s="355" t="str">
        <f t="shared" si="158"/>
        <v>Ni, </v>
      </c>
      <c r="JO94" s="359" t="str">
        <f t="shared" si="159"/>
        <v/>
      </c>
      <c r="JP94" s="346" t="b">
        <f t="shared" si="160"/>
        <v>0</v>
      </c>
      <c r="JQ94" s="347" t="b">
        <f t="shared" si="161"/>
        <v>0</v>
      </c>
      <c r="JR94" s="347" t="b">
        <f t="shared" si="162"/>
        <v>0</v>
      </c>
      <c r="JS94" s="347" t="b">
        <f t="shared" si="163"/>
        <v>0</v>
      </c>
      <c r="JT94" s="347" t="b">
        <f t="shared" si="164"/>
        <v>0</v>
      </c>
      <c r="JU94" s="347" t="b">
        <f t="shared" si="165"/>
        <v>0</v>
      </c>
      <c r="JV94" s="347" t="b">
        <f t="shared" si="166"/>
        <v>0</v>
      </c>
      <c r="JW94" s="347" t="b">
        <f t="shared" si="167"/>
        <v>0</v>
      </c>
      <c r="JX94" s="347" t="b">
        <f t="shared" si="168"/>
        <v>0</v>
      </c>
      <c r="JY94" s="347" t="b">
        <f t="shared" si="169"/>
        <v>0</v>
      </c>
      <c r="JZ94" s="347" t="b">
        <f t="shared" si="170"/>
        <v>0</v>
      </c>
      <c r="KA94" s="347" t="b">
        <f t="shared" si="171"/>
        <v>0</v>
      </c>
      <c r="KB94" s="365" t="b">
        <f t="shared" si="172"/>
        <v>0</v>
      </c>
      <c r="KC94" s="354" t="str">
        <f t="shared" si="173"/>
        <v/>
      </c>
      <c r="KD94" s="355" t="str">
        <f t="shared" si="174"/>
        <v/>
      </c>
      <c r="KE94" s="355" t="str">
        <f t="shared" si="175"/>
        <v/>
      </c>
      <c r="KF94" s="355" t="str">
        <f t="shared" si="176"/>
        <v/>
      </c>
      <c r="KG94" s="355" t="str">
        <f t="shared" si="177"/>
        <v/>
      </c>
      <c r="KH94" s="355" t="str">
        <f t="shared" si="178"/>
        <v/>
      </c>
      <c r="KI94" s="355" t="str">
        <f t="shared" si="179"/>
        <v/>
      </c>
      <c r="KJ94" s="355" t="str">
        <f t="shared" si="180"/>
        <v/>
      </c>
      <c r="KK94" s="355" t="str">
        <f t="shared" si="181"/>
        <v/>
      </c>
      <c r="KL94" s="355" t="str">
        <f t="shared" si="182"/>
        <v/>
      </c>
      <c r="KM94" s="355" t="str">
        <f t="shared" si="183"/>
        <v/>
      </c>
      <c r="KN94" s="355" t="str">
        <f t="shared" si="184"/>
        <v/>
      </c>
      <c r="KO94" s="359"/>
      <c r="KP94" s="378"/>
      <c r="KQ94" s="379" t="s">
        <v>591</v>
      </c>
      <c r="KR94" s="380" t="s">
        <v>1377</v>
      </c>
      <c r="KS94" s="381" t="str">
        <f t="shared" si="380"/>
        <v>S-r-G-m-P-d-N-S</v>
      </c>
      <c r="KT94" s="382">
        <f t="shared" si="186"/>
        <v>7</v>
      </c>
      <c r="KU94" s="383">
        <f t="shared" si="187"/>
        <v>7</v>
      </c>
      <c r="KV94" s="381" t="str">
        <f t="shared" si="205"/>
        <v>S-N-d-P-m-g-r-S</v>
      </c>
      <c r="KW94" s="382">
        <f t="shared" si="189"/>
        <v>7</v>
      </c>
      <c r="KX94" s="384">
        <f t="shared" si="190"/>
        <v>7</v>
      </c>
      <c r="KY94" s="382">
        <f t="shared" ref="KY94:KZ94" si="389">KW94-KT94</f>
        <v>0</v>
      </c>
      <c r="KZ94" s="369">
        <f t="shared" si="389"/>
        <v>0</v>
      </c>
      <c r="LA94" s="385" t="str">
        <f t="shared" si="192"/>
        <v>✔</v>
      </c>
      <c r="LB94" s="340" t="str">
        <f>IFERROR(__xludf.DUMMYFUNCTION("JOIN("""",ArrayFormula(MID(KS94,LEN(KS94)-SEQUENCE(1,LEN(KS94))+1,1)))"),"S-N-d-P-m-G-r-S")</f>
        <v>S-N-d-P-m-G-r-S</v>
      </c>
      <c r="LC94" s="373" t="str">
        <f>IFERROR(__xludf.DUMMYFUNCTION("JOIN("""",ArrayFormula(MID(KV94,LEN(KV94)-SEQUENCE(1,LEN(KV94))+1,1)))"),"S-r-g-m-P-d-N-S")</f>
        <v>S-r-g-m-P-d-N-S</v>
      </c>
      <c r="LD94" s="373" t="str">
        <f t="shared" si="193"/>
        <v>SrGmPdNS</v>
      </c>
      <c r="LE94" s="339" t="str">
        <f t="shared" si="194"/>
        <v>SrgmPdNS</v>
      </c>
      <c r="LF94" s="386" t="str">
        <f>IFERROR(__xludf.DUMMYFUNCTION("SUBSTITUTE(SUBSTITUTE(CONCATENATE(JOIN("""",LH94:LT94)),""1"",""""),""2"","""")"),"SrgGmPdNS")</f>
        <v>SrgGmPdNS</v>
      </c>
      <c r="LG94" s="369" t="str">
        <f t="shared" si="195"/>
        <v>✔</v>
      </c>
      <c r="LH94" s="387" t="str">
        <f>IFERROR(__xludf.DUMMYFUNCTION("IF(REGEXMATCH(LD94, ""S""), ""S"",IF(REGEXMATCH(LE94, ""S""), ""S"",""""))"),"S")</f>
        <v>S</v>
      </c>
      <c r="LI94" s="299" t="str">
        <f>IFERROR(__xludf.DUMMYFUNCTION("IF(REGEXMATCH(LD94, ""r""), ""r1"",IF(REGEXMATCH(LE94, ""r""), ""r2"",""""))"),"r1")</f>
        <v>r1</v>
      </c>
      <c r="LJ94" s="299" t="str">
        <f>IFERROR(__xludf.DUMMYFUNCTION("IF(REGEXMATCH(LD94, ""R""), ""R1"",IF(REGEXMATCH(LE94, ""R""), ""R2"",""""))"),"")</f>
        <v/>
      </c>
      <c r="LK94" s="299" t="str">
        <f>IFERROR(__xludf.DUMMYFUNCTION("IF(REGEXMATCH(LD94, ""g""), ""g1"",IF(REGEXMATCH(LE94, ""g""), ""g2"",""""))"),"g2")</f>
        <v>g2</v>
      </c>
      <c r="LL94" s="299" t="str">
        <f>IFERROR(__xludf.DUMMYFUNCTION("IF(REGEXMATCH(LD94, ""G""), ""G1"",IF(REGEXMATCH(LE94, ""G""), ""G2"",""""))"),"G1")</f>
        <v>G1</v>
      </c>
      <c r="LM94" s="299" t="str">
        <f>IFERROR(__xludf.DUMMYFUNCTION("IF(REGEXMATCH(LD94, ""m""), ""m1"",IF(REGEXMATCH(LE94, ""m""), ""m2"",""""))"),"m1")</f>
        <v>m1</v>
      </c>
      <c r="LN94" s="299" t="str">
        <f>IFERROR(__xludf.DUMMYFUNCTION("IF(REGEXMATCH(LD94, ""M""), ""M1"",IF(REGEXMATCH(LE94, ""M""), ""M2"",""""))"),"")</f>
        <v/>
      </c>
      <c r="LO94" s="299" t="str">
        <f>IFERROR(__xludf.DUMMYFUNCTION("IF(REGEXMATCH(LD94, ""P""), ""P1"",IF(REGEXMATCH(LE94, ""P""), ""P2"",""""))"),"P1")</f>
        <v>P1</v>
      </c>
      <c r="LP94" s="299" t="str">
        <f>IFERROR(__xludf.DUMMYFUNCTION("IF(REGEXMATCH(LD94, ""d""), ""d1"",IF(REGEXMATCH(LE94, ""d""), ""d2"",""""))"),"d1")</f>
        <v>d1</v>
      </c>
      <c r="LQ94" s="299" t="str">
        <f>IFERROR(__xludf.DUMMYFUNCTION("IF(REGEXMATCH(LD94, ""D""), ""D1"",IF(REGEXMATCH(LE94, ""D""), ""D2"",""""))"),"")</f>
        <v/>
      </c>
      <c r="LR94" s="299" t="str">
        <f>IFERROR(__xludf.DUMMYFUNCTION("IF(REGEXMATCH(LD94, ""n""), ""n1"",IF(REGEXMATCH(LE94, ""n""), ""n2"",""""))"),"")</f>
        <v/>
      </c>
      <c r="LS94" s="299" t="str">
        <f>IFERROR(__xludf.DUMMYFUNCTION("IF(REGEXMATCH(LD94, ""N""), ""N1"",IF(REGEXMATCH(LE94, ""N""), ""N2"",""""))"),"N1")</f>
        <v>N1</v>
      </c>
      <c r="LT94" s="388" t="str">
        <f>IFERROR(__xludf.DUMMYFUNCTION("IF(REGEXMATCH(LD94, ""S""), ""S"",IF(REGEXMATCH(LE94, ""S""), ""S"",""""))"),"S")</f>
        <v>S</v>
      </c>
      <c r="LU94" s="389">
        <f t="shared" si="196"/>
        <v>1</v>
      </c>
      <c r="LV94" s="378"/>
      <c r="LW94" s="369"/>
      <c r="LX94" s="369"/>
    </row>
    <row r="95" ht="18.0" customHeight="1">
      <c r="A95" s="298" t="s">
        <v>693</v>
      </c>
      <c r="B95" s="222" t="s">
        <v>245</v>
      </c>
      <c r="C95" s="233" t="str">
        <f t="shared" si="7"/>
        <v>SrRgGmPdnS</v>
      </c>
      <c r="D95" s="234" t="str">
        <f>IFERROR(__xludf.DUMMYFUNCTION("IF(REGEXMATCH(C95, ""S""), ""S"","""")"),"S")</f>
        <v>S</v>
      </c>
      <c r="E95" s="236" t="str">
        <f>IFERROR(__xludf.DUMMYFUNCTION("IF(REGEXMATCH(C95, ""r""), ""r"","""")"),"r")</f>
        <v>r</v>
      </c>
      <c r="F95" s="237" t="str">
        <f>IFERROR(__xludf.DUMMYFUNCTION("IF(REGEXMATCH(C95, ""R""), ""R"","""")"),"R")</f>
        <v>R</v>
      </c>
      <c r="G95" s="237" t="str">
        <f>IFERROR(__xludf.DUMMYFUNCTION("IF(REGEXMATCH(C95, ""g""), ""g"","""")"),"g")</f>
        <v>g</v>
      </c>
      <c r="H95" s="236" t="str">
        <f>IFERROR(__xludf.DUMMYFUNCTION("IF(REGEXMATCH(C95, ""G""), ""G"","""")"),"G")</f>
        <v>G</v>
      </c>
      <c r="I95" s="236" t="str">
        <f>IFERROR(__xludf.DUMMYFUNCTION("IF(REGEXMATCH(C95, ""m""), ""m"","""")"),"m")</f>
        <v>m</v>
      </c>
      <c r="J95" s="237" t="str">
        <f>IFERROR(__xludf.DUMMYFUNCTION("IF(REGEXMATCH(C95, ""M""), ""M"","""")"),"")</f>
        <v/>
      </c>
      <c r="K95" s="236" t="str">
        <f>IFERROR(__xludf.DUMMYFUNCTION("IF(REGEXMATCH(C95, ""P""), ""P"","""")"),"P")</f>
        <v>P</v>
      </c>
      <c r="L95" s="237" t="str">
        <f>IFERROR(__xludf.DUMMYFUNCTION("IF(REGEXMATCH(C95, ""d""), ""d"","""")"),"d")</f>
        <v>d</v>
      </c>
      <c r="M95" s="236" t="str">
        <f>IFERROR(__xludf.DUMMYFUNCTION("IF(REGEXMATCH(C95, ""D""), ""D"","""")"),"")</f>
        <v/>
      </c>
      <c r="N95" s="236" t="str">
        <f>IFERROR(__xludf.DUMMYFUNCTION("IF(REGEXMATCH(C95, ""n""), ""n"","""")"),"n")</f>
        <v>n</v>
      </c>
      <c r="O95" s="237" t="str">
        <f>IFERROR(__xludf.DUMMYFUNCTION("IF(REGEXMATCH(C95, ""N""), ""N"","""")"),"")</f>
        <v/>
      </c>
      <c r="P95" s="238" t="str">
        <f>IFERROR(__xludf.DUMMYFUNCTION("IF(REGEXMATCH(C95, ""S""), ""S"","""")"),"S")</f>
        <v>S</v>
      </c>
      <c r="Q95" s="239" t="str">
        <f>IFERROR(__xludf.DUMMYFUNCTION("SUBSTITUTE(CONCATENATE(JOIN(""-"",D95:J95)),""-"","""")"),"SrRgGm")</f>
        <v>SrRgGm</v>
      </c>
      <c r="R95" s="229" t="str">
        <f>IFERROR(__xludf.DUMMYFUNCTION("SUBSTITUTE(CONCATENATE(JOIN(""-"",K95:P95)),""-"","""")"),"PdnS")</f>
        <v>PdnS</v>
      </c>
      <c r="S95" s="282" t="str">
        <f t="shared" si="8"/>
        <v>S-R-G-M</v>
      </c>
      <c r="T95" s="282" t="str">
        <f t="shared" si="9"/>
        <v>P-D-N-S</v>
      </c>
      <c r="U95" s="237" t="str">
        <f>IFERROR(__xludf.DUMMYFUNCTION("SUBSTITUTE(JOIN(""-"",S95,T95),""--"",""-"")"),"S-R-G-M-P-D-N-S")</f>
        <v>S-R-G-M-P-D-N-S</v>
      </c>
      <c r="V95" s="309" t="str">
        <f t="shared" si="10"/>
        <v>rRgGmdn</v>
      </c>
      <c r="W95" s="244" t="str">
        <f>IFERROR(__xludf.DUMMYFUNCTION("IF(REGEXMATCH(C95, ""S""), ""0"","""")"),"0")</f>
        <v>0</v>
      </c>
      <c r="X95" s="245" t="str">
        <f>IFERROR(__xludf.DUMMYFUNCTION("IF(REGEXMATCH(C95, ""r""), ""1"","""")"),"1")</f>
        <v>1</v>
      </c>
      <c r="Y95" s="246" t="str">
        <f>IFERROR(__xludf.DUMMYFUNCTION("IF(REGEXMATCH(C95, ""R""), ""2"","""")"),"2")</f>
        <v>2</v>
      </c>
      <c r="Z95" s="246" t="str">
        <f>IFERROR(__xludf.DUMMYFUNCTION("IF(REGEXMATCH(C95, ""g""), ""3"","""")"),"3")</f>
        <v>3</v>
      </c>
      <c r="AA95" s="245" t="str">
        <f>IFERROR(__xludf.DUMMYFUNCTION("IF(REGEXMATCH(C95, ""G""), ""4"","""")"),"4")</f>
        <v>4</v>
      </c>
      <c r="AB95" s="245" t="str">
        <f>IFERROR(__xludf.DUMMYFUNCTION("IF(REGEXMATCH(C95, ""m""), ""5"","""")"),"5")</f>
        <v>5</v>
      </c>
      <c r="AC95" s="246" t="str">
        <f>IFERROR(__xludf.DUMMYFUNCTION("IF(REGEXMATCH(C95, ""M""), ""6"","""")"),"")</f>
        <v/>
      </c>
      <c r="AD95" s="245" t="str">
        <f>IFERROR(__xludf.DUMMYFUNCTION("IF(REGEXMATCH(C95, ""P""), ""7"","""")"),"7")</f>
        <v>7</v>
      </c>
      <c r="AE95" s="246" t="str">
        <f>IFERROR(__xludf.DUMMYFUNCTION("IF(REGEXMATCH(C95, ""d""), ""8"","""")"),"8")</f>
        <v>8</v>
      </c>
      <c r="AF95" s="245" t="str">
        <f>IFERROR(__xludf.DUMMYFUNCTION("IF(REGEXMATCH(C95, ""D""), ""9"","""")"),"")</f>
        <v/>
      </c>
      <c r="AG95" s="245" t="str">
        <f>IFERROR(__xludf.DUMMYFUNCTION("IF(REGEXMATCH(C95, ""n""), ""10"","""")"),"10")</f>
        <v>10</v>
      </c>
      <c r="AH95" s="246" t="str">
        <f>IFERROR(__xludf.DUMMYFUNCTION("IF(REGEXMATCH(C95, ""N""), ""11"","""")"),"")</f>
        <v/>
      </c>
      <c r="AI95" s="249" t="str">
        <f>IFERROR(__xludf.DUMMYFUNCTION("IF(REGEXMATCH(C95, ""S""), ""0"","""")"),"0")</f>
        <v>0</v>
      </c>
      <c r="AJ95" s="313" t="str">
        <f t="shared" si="11"/>
        <v>-</v>
      </c>
      <c r="AK95" s="313" t="str">
        <f t="shared" si="12"/>
        <v>T</v>
      </c>
      <c r="AL95" s="313" t="str">
        <f t="shared" si="13"/>
        <v>T</v>
      </c>
      <c r="AM95" s="313" t="str">
        <f t="shared" si="14"/>
        <v>-</v>
      </c>
      <c r="AN95" s="313" t="str">
        <f t="shared" si="15"/>
        <v>T</v>
      </c>
      <c r="AO95" s="314" t="str">
        <f t="shared" si="16"/>
        <v>-</v>
      </c>
      <c r="AP95" s="316">
        <f t="shared" si="17"/>
        <v>3</v>
      </c>
      <c r="AQ95" s="319" t="str">
        <f t="shared" si="18"/>
        <v>#REF!</v>
      </c>
      <c r="AR95" s="320">
        <f t="shared" si="19"/>
        <v>0</v>
      </c>
      <c r="AS95" s="250" t="str">
        <f>IFERROR(__xludf.DUMMYFUNCTION("SUBSTITUTE(SUBSTITUTE(CONCATENATE(JOIN("""",FP95:GA95)),""|"",""x""),""-"",""o"")"),"xxxxxxoxxoxo")</f>
        <v>xxxxxxoxxoxo</v>
      </c>
      <c r="AT95" s="323" t="str">
        <f>IFERROR(__xludf.DUMMYFUNCTION("JOIN("""",AS95,AS95)"),"xxxxxxoxxoxoxxxxxxoxxoxo")</f>
        <v>xxxxxxoxxoxoxxxxxxoxxoxo</v>
      </c>
      <c r="AU95" s="256" t="str">
        <f>IFERROR(__xludf.DUMMYFUNCTION("JOIN("""",ArrayFormula(MID(AS95,LEN(AS95)-SEQUENCE(1,LEN(AS95))+1,1)))"),"oxoxxoxxxxxx")</f>
        <v>oxoxxoxxxxxx</v>
      </c>
      <c r="AV95" s="256" t="str">
        <f>IFERROR(__xludf.DUMMYFUNCTION("LEFT(CONCATENATE(""x"",JOIN("""",ArrayFormula(MID(AS95,LEN(AS95)-SEQUENCE(1,LEN(AS95))+1,1)))),12)"),"xoxoxxoxxxxx")</f>
        <v>xoxoxxoxxxxx</v>
      </c>
      <c r="AW95" s="327" t="str">
        <f>IFERROR(__xludf.DUMMYFUNCTION("JOIN("""",AU95,AU95)"),"oxoxxoxxxxxxoxoxxoxxxxxx")</f>
        <v>oxoxxoxxxxxxoxoxxoxxxxxx</v>
      </c>
      <c r="AX95" s="239" t="str">
        <f>IFERROR(__xludf.DUMMYFUNCTION("IF(REGEXMATCH(AW95,AS95),""✔"",""-"")"),"-")</f>
        <v>-</v>
      </c>
      <c r="AY95" s="330" t="str">
        <f t="shared" si="20"/>
        <v>-</v>
      </c>
      <c r="AZ95" s="260" t="str">
        <f t="shared" si="21"/>
        <v>#REF!</v>
      </c>
      <c r="BA95" s="333" t="str">
        <f t="shared" si="22"/>
        <v>xxxxxxo</v>
      </c>
      <c r="BB95" s="334" t="str">
        <f t="shared" si="23"/>
        <v>xxoxox</v>
      </c>
      <c r="BC95" s="335" t="str">
        <f t="shared" si="236"/>
        <v>-</v>
      </c>
      <c r="BD95" s="336" t="str">
        <f t="shared" si="25"/>
        <v>Devgandhari Todi: 'xxxxxxo' + 'xxoxox'</v>
      </c>
      <c r="BE95" s="337">
        <f>IFERROR(__xludf.DUMMYFUNCTION("COUNTUNIQUE(FILTER(AT:AT,REGEXMATCH(AT:AT,AS95)))-1"),0.0)</f>
        <v>0</v>
      </c>
      <c r="BF95" s="261" t="str">
        <f>IFERROR(__xludf.DUMMYFUNCTION("IF(BI95=0,""(n/a)"",IF(BJ95=2,""(PAIR)"",IF(REGEXMATCH(AT95,""xoxoxxoxoxox""),""Bilawal"",IF(REGEXMATCH(AT95,""xoxoxooxoxoo""),""Bhupali"",IF(REGEXMATCH(AT95,""xoxoxxoxxoxo""),""Charukeshi"",IF(REGEXMATCH(AT95,""xoxoooxxoxxo""),""Kameshwari"",IF(REGEXMATC"&amp;"H(AT95,""xoxoxooxoxox""),""Shankara"",IF(REGEXMATCH(AT95,""xxooxoxxxoox""),""Basant"",IF(REGEXMATCH(AT95,""xoxoxxxxoxox""),""Bihag"",IF(REGEXMATCH(AT95,""xoxxxxoxoxxx""),""Pilu"",IF(REGEXMATCH(AT95,""xoxxoxoxxoox""),""Kirwani"",IF(REGEXMATCH(AT95,""xoxxox"&amp;"oxoxxx""),""Mk.Malhar"",IF(REGEXMATCH(AT95,""xxooxxoxxoox""),""Bhairav"",IF(REGEXMATCH(AT95,""xxoxooxxxoox""),""Todi"",IF(REGEXMATCH(AT95,""xxooxoxooxox""),""Marwa"",IF(REGEXMATCH(AT95,""xxoooxoxxooo""),""Gunkali"",IF(REGEXMATCH(AT95,""xoxoxxoxxoox""),""N"&amp;"at Bhairav"",IF(REGEXMATCH(AT95,""xoxxoooxoxoo""),""Shivranjani"",IF(REGEXMATCH(AT95,""xooxxxoxooxo""),""Jog"",IF(REGEXMATCH(AT95,""xxooxoxoxoox""),""Hemshri"",IF(REGEXMATCH(AT95,""xoooxooxoxxo""),""Kalavati"",IF(REGEXMATCH(AT95,""xxoxoxxoxoox""),""Kedar"&amp;""",IF(REGEXMATCH(AT95,""xoxxxxoxooxx""),""Gara"",IF(REGEXMATCH(AT95,""xooxoxooxoox""),""Chandrakauns"",IF(REGEXMATCH(AT95,""xoxxxxoxxxox""),""Mand"",IF(REGEXMATCH(AT95,""xoxxxxoxoxox""),""Hanskinkini"",IF(REGEXMATCH(AT95,""xxooxxoxooxo""),""Lilavati"",IF("&amp;"REGEXMATCH(AT95,""xooxoxoooxox""),""Rajeshwari"",IF(REGEXMATCH(AT95,""xoooxxoxoxxx""),""Khokar"",IF(REGEXMATCH(AT95,""xxooxoxxxxox""),""Maligoura"",""-""))))))))))))))))))))))))))))))"),"(n/a)")</f>
        <v>(n/a)</v>
      </c>
      <c r="BG95" s="239" t="str">
        <f t="shared" si="26"/>
        <v>#REF!</v>
      </c>
      <c r="BH95" s="239">
        <f>IFERROR(__xludf.DUMMYFUNCTION("COUNTUNIQUE(FE95:FO95)-1"),8.0)</f>
        <v>8</v>
      </c>
      <c r="BI95" s="239">
        <f>IFERROR(__xludf.DUMMYFUNCTION("COUNTUNIQUE(FILTER(AT:AT,REGEXMATCH(AT:AT,AS95)))-1"),0.0)</f>
        <v>0</v>
      </c>
      <c r="BJ95" s="239">
        <f>IFERROR(__xludf.DUMMYFUNCTION("COUNTA(FILTER(AT:AT,REGEXMATCH(AT:AT,AS95)))"),2.0)</f>
        <v>2</v>
      </c>
      <c r="BK95" s="341">
        <f>IFERROR(__xludf.DUMMYFUNCTION("COUNTA(FILTER(AT:AT,REGEXMATCH(AT:AT,AS95)))-AR95"),2.0)</f>
        <v>2</v>
      </c>
      <c r="BL95" s="276" t="str">
        <f>IFERROR(__xludf.DUMMYFUNCTION("IF(AS95=""oooooooooooo"",""-"",IF(REGEXMATCH(AT95,""xx""), ""Hemi."", ""Anhemi.""))"),"Hemi.")</f>
        <v>Hemi.</v>
      </c>
      <c r="BM95" s="282" t="str">
        <f>IFERROR(__xludf.DUMMYFUNCTION("IF(AS95=""oooooooooooo"",""-"",IF(REGEXMATCH(AT95,""xxx""), ""Cohem."", ""-""))"),"Cohem.")</f>
        <v>Cohem.</v>
      </c>
      <c r="BN95" s="282" t="str">
        <f>IFERROR(__xludf.DUMMYFUNCTION("IF(AS95=""oooooooooooo"",""-"",IF(REGEXMATCH(AT95,""xxxx""), ""Co-Co."", ""-""))"),"Co-Co.")</f>
        <v>Co-Co.</v>
      </c>
      <c r="BO95" s="342" t="str">
        <f>IFERROR(__xludf.DUMMYFUNCTION("IF(AS95=""oooooooooooo"",""-"",IF(REGEXMATCH(AT95,""xxxxx""), ""CCC."", ""-""))"),"CCC.")</f>
        <v>CCC.</v>
      </c>
      <c r="BP95" s="344" t="str">
        <f t="shared" si="27"/>
        <v>-</v>
      </c>
      <c r="BQ95" s="282" t="str">
        <f>IFERROR(__xludf.DUMMYFUNCTION("IF(REGEXMATCH(JOIN(""-"",EU95:FD95),""TRUE""),""✔"",""-"")"),"-")</f>
        <v>-</v>
      </c>
      <c r="BR95" s="225">
        <f t="shared" si="28"/>
        <v>0</v>
      </c>
      <c r="BS95" s="345" t="str">
        <f>IFERROR(__xludf.DUMMYFUNCTION("SUBSTITUTE(SUBSTITUTE(SUBSTITUTE(SUBSTITUTE(CONCATENATE(JOIN(""-"",GC95:GO95)),""--"",""-""),""--"",""-""),""--"",""-""),""--"",""-"")"),"1-b2-2-b3-3-4-5-b6-b7-8")</f>
        <v>1-b2-2-b3-3-4-5-b6-b7-8</v>
      </c>
      <c r="BT95" s="299" t="str">
        <f>IFERROR(__xludf.DUMMYFUNCTION("SUBSTITUTE(SUBSTITUTE(SUBSTITUTE(SUBSTITUTE(CONCATENATE(JOIN(""-"",GP95:HB95)),""--"",""-""),""--"",""-""),""--"",""-""),""--"",""-"")"),"S-R1-R2-G2-G3-M1-P-D1-N2-S")</f>
        <v>S-R1-R2-G2-G3-M1-P-D1-N2-S</v>
      </c>
      <c r="BU95" s="348" t="str">
        <f t="shared" si="29"/>
        <v>C-Db-D-Eb-E-F-G-Ab-Bb-C</v>
      </c>
      <c r="BV95" s="349" t="str">
        <f t="shared" si="30"/>
        <v>SMDNS</v>
      </c>
      <c r="BW95" s="350">
        <f t="shared" si="31"/>
        <v>0</v>
      </c>
      <c r="BX95" s="351">
        <f t="shared" si="32"/>
        <v>2</v>
      </c>
      <c r="BY95" s="352" t="s">
        <v>275</v>
      </c>
      <c r="BZ95" s="309" t="str">
        <f>IFERROR(__xludf.DUMMYFUNCTION("IF(REGEXMATCH(C95, ""S""), ""x"",""x"")"),"x")</f>
        <v>x</v>
      </c>
      <c r="CA95" s="245" t="str">
        <f>IFERROR(__xludf.DUMMYFUNCTION("IF(REGEXMATCH(C95, ""r""), ""o"",""x"")"),"o")</f>
        <v>o</v>
      </c>
      <c r="CB95" s="246" t="str">
        <f>IFERROR(__xludf.DUMMYFUNCTION("IF(REGEXMATCH(C95, ""R""), ""o"",""x"")"),"o")</f>
        <v>o</v>
      </c>
      <c r="CC95" s="246" t="str">
        <f>IFERROR(__xludf.DUMMYFUNCTION("IF(REGEXMATCH(C95, ""g""), ""o"",""x"")"),"o")</f>
        <v>o</v>
      </c>
      <c r="CD95" s="245" t="str">
        <f>IFERROR(__xludf.DUMMYFUNCTION("IF(REGEXMATCH(C95, ""G""), ""o"",""x"")"),"o")</f>
        <v>o</v>
      </c>
      <c r="CE95" s="245" t="str">
        <f>IFERROR(__xludf.DUMMYFUNCTION("IF(REGEXMATCH(C95, ""m""), ""o"",""x"")"),"o")</f>
        <v>o</v>
      </c>
      <c r="CF95" s="246" t="str">
        <f>IFERROR(__xludf.DUMMYFUNCTION("IF(REGEXMATCH(C95, ""M""), ""o"",""x"")"),"x")</f>
        <v>x</v>
      </c>
      <c r="CG95" s="245" t="str">
        <f>IFERROR(__xludf.DUMMYFUNCTION("IF(REGEXMATCH(C95, ""P""), ""o"",""x"")"),"o")</f>
        <v>o</v>
      </c>
      <c r="CH95" s="246" t="str">
        <f>IFERROR(__xludf.DUMMYFUNCTION("IF(REGEXMATCH(C95, ""d""), ""o"",""x"")"),"o")</f>
        <v>o</v>
      </c>
      <c r="CI95" s="245" t="str">
        <f>IFERROR(__xludf.DUMMYFUNCTION("IF(REGEXMATCH(C95, ""D""), ""o"",""x"")"),"x")</f>
        <v>x</v>
      </c>
      <c r="CJ95" s="245" t="str">
        <f>IFERROR(__xludf.DUMMYFUNCTION("IF(REGEXMATCH(C95, ""n""), ""o"",""x"")"),"o")</f>
        <v>o</v>
      </c>
      <c r="CK95" s="245" t="str">
        <f>IFERROR(__xludf.DUMMYFUNCTION("IF(REGEXMATCH(C95, ""N""), ""o"",""x"")"),"x")</f>
        <v>x</v>
      </c>
      <c r="CL95" s="356" t="str">
        <f>IFERROR(__xludf.DUMMYFUNCTION("IF(REGEXMATCH(C95, ""S""), ""x"",""x"")"),"x")</f>
        <v>x</v>
      </c>
      <c r="CM95" s="357" t="str">
        <f t="shared" si="33"/>
        <v>xoooooxooxox</v>
      </c>
      <c r="CN95" s="358">
        <f t="shared" si="34"/>
        <v>0</v>
      </c>
      <c r="CO95" s="246" t="str">
        <f>IFERROR(__xludf.DUMMYFUNCTION("IF(REGEXMATCH($C95, ""S""), ""S"",""S"")"),"S")</f>
        <v>S</v>
      </c>
      <c r="CP95" s="246" t="str">
        <f>IFERROR(__xludf.DUMMYFUNCTION("IF(REGEXMATCH($C95, ""r""), """",""r"")"),"")</f>
        <v/>
      </c>
      <c r="CQ95" s="246" t="str">
        <f>IFERROR(__xludf.DUMMYFUNCTION("IF(REGEXMATCH($C95, ""R""), """",""R"")"),"")</f>
        <v/>
      </c>
      <c r="CR95" s="246" t="str">
        <f>IFERROR(__xludf.DUMMYFUNCTION("IF(REGEXMATCH($C95, ""g""), """",""g"")"),"")</f>
        <v/>
      </c>
      <c r="CS95" s="246" t="str">
        <f>IFERROR(__xludf.DUMMYFUNCTION("IF(REGEXMATCH($C95, ""G""), """",""G"")"),"")</f>
        <v/>
      </c>
      <c r="CT95" s="246" t="str">
        <f>IFERROR(__xludf.DUMMYFUNCTION("IF(REGEXMATCH($C95, ""m""), """",""m"")"),"")</f>
        <v/>
      </c>
      <c r="CU95" s="246" t="str">
        <f>IFERROR(__xludf.DUMMYFUNCTION("IF(REGEXMATCH($C95, ""M""), """",""M"")"),"M")</f>
        <v>M</v>
      </c>
      <c r="CV95" s="246" t="str">
        <f>IFERROR(__xludf.DUMMYFUNCTION("IF(REGEXMATCH($C95, ""P""), """",""P"")"),"")</f>
        <v/>
      </c>
      <c r="CW95" s="246" t="str">
        <f>IFERROR(__xludf.DUMMYFUNCTION("IF(REGEXMATCH($C95, ""d""), """",""d"")"),"")</f>
        <v/>
      </c>
      <c r="CX95" s="246" t="str">
        <f>IFERROR(__xludf.DUMMYFUNCTION("IF(REGEXMATCH($C95, ""D""), """",""D"")"),"D")</f>
        <v>D</v>
      </c>
      <c r="CY95" s="246" t="str">
        <f>IFERROR(__xludf.DUMMYFUNCTION("IF(REGEXMATCH($C95, ""n""), """",""n"")"),"")</f>
        <v/>
      </c>
      <c r="CZ95" s="246" t="str">
        <f>IFERROR(__xludf.DUMMYFUNCTION("IF(REGEXMATCH($C95, ""N""), """",""N"")"),"N")</f>
        <v>N</v>
      </c>
      <c r="DA95" s="246" t="str">
        <f>IFERROR(__xludf.DUMMYFUNCTION("IF(REGEXMATCH($C95, ""S""), ""S"",""S"")"),"S")</f>
        <v>S</v>
      </c>
      <c r="DB95" s="362" t="str">
        <f>IFERROR(__xludf.DUMMYFUNCTION("JOIN("""",CO95:DA95,"""","""")"),"SMDNS")</f>
        <v>SMDNS</v>
      </c>
      <c r="DC95" s="363"/>
      <c r="DD95" s="301" t="str">
        <f t="shared" si="35"/>
        <v>#REF!</v>
      </c>
      <c r="DE95" s="302" t="str">
        <f t="shared" si="36"/>
        <v>#REF!</v>
      </c>
      <c r="DF95" s="301" t="str">
        <f t="shared" ref="DF95:DG95" si="390">SUBSTITUTE(S95,"-","")</f>
        <v>SRGM</v>
      </c>
      <c r="DG95" s="301" t="str">
        <f t="shared" si="390"/>
        <v>PDNS</v>
      </c>
      <c r="DH95" s="302" t="str">
        <f t="shared" si="38"/>
        <v>(n/a)</v>
      </c>
      <c r="DI95" s="301" t="str">
        <f t="shared" si="39"/>
        <v>Hemi.</v>
      </c>
      <c r="DJ95" s="364" t="str">
        <f t="shared" si="40"/>
        <v>CCC.</v>
      </c>
      <c r="DK95" s="306" t="str">
        <f t="shared" si="41"/>
        <v>-</v>
      </c>
      <c r="DL95" s="366" t="str">
        <f t="shared" si="42"/>
        <v>-</v>
      </c>
      <c r="DM95" s="308" t="str">
        <f t="shared" si="43"/>
        <v>✔</v>
      </c>
      <c r="DN95" s="306" t="str">
        <f t="shared" si="44"/>
        <v>-</v>
      </c>
      <c r="DO95" s="306" t="str">
        <f t="shared" si="45"/>
        <v>-</v>
      </c>
      <c r="DP95" s="367" t="str">
        <f t="shared" si="46"/>
        <v>-</v>
      </c>
      <c r="DQ95" s="310" t="str">
        <f t="shared" si="47"/>
        <v>✔</v>
      </c>
      <c r="DR95" s="310" t="str">
        <f t="shared" si="48"/>
        <v>✔</v>
      </c>
      <c r="DS95" s="310" t="str">
        <f t="shared" si="49"/>
        <v>-</v>
      </c>
      <c r="DT95" s="310" t="str">
        <f t="shared" si="50"/>
        <v>-</v>
      </c>
      <c r="DU95" s="370" t="str">
        <f t="shared" si="51"/>
        <v>-</v>
      </c>
      <c r="DV95" s="306" t="str">
        <f t="shared" si="52"/>
        <v>-</v>
      </c>
      <c r="DW95" s="306" t="str">
        <f t="shared" si="53"/>
        <v>-</v>
      </c>
      <c r="DX95" s="306" t="str">
        <f t="shared" si="54"/>
        <v>-</v>
      </c>
      <c r="DY95" s="306" t="str">
        <f t="shared" si="55"/>
        <v>-</v>
      </c>
      <c r="DZ95" s="306" t="str">
        <f t="shared" si="56"/>
        <v>-</v>
      </c>
      <c r="EA95" s="367" t="str">
        <f t="shared" si="57"/>
        <v>-</v>
      </c>
      <c r="EB95" s="310" t="str">
        <f>IFERROR(__xludf.DUMMYFUNCTION("IF(REGEXMATCH(AW95,AS95),""✔"",""-"")"),"-")</f>
        <v>-</v>
      </c>
      <c r="EC95" s="310" t="str">
        <f t="shared" si="58"/>
        <v>#REF!</v>
      </c>
      <c r="ED95" s="370" t="str">
        <f t="shared" si="59"/>
        <v>-</v>
      </c>
      <c r="EE95" s="340" t="str">
        <f t="shared" si="60"/>
        <v>S-rR-gG-m-P-d-n-S</v>
      </c>
      <c r="EF95" s="371" t="str">
        <f>IFERROR(__xludf.DUMMYFUNCTION("CONCATENATE(JOIN("""",HC95:HO95))"),"SRGmPdDnNS")</f>
        <v>SRGmPdDnNS</v>
      </c>
      <c r="EG95" s="372">
        <f t="shared" si="61"/>
        <v>2</v>
      </c>
      <c r="EH95" s="373" t="str">
        <f>IFERROR(__xludf.DUMMYFUNCTION("CONCATENATE(JOIN("""",JC95:JO95))"),"Re, Ga, ")</f>
        <v>Re, Ga, </v>
      </c>
      <c r="EI95" s="322">
        <f t="shared" si="62"/>
        <v>1</v>
      </c>
      <c r="EJ95" s="374" t="str">
        <f>IFERROR(__xludf.DUMMYFUNCTION("CONCATENATE(JOIN("""",KC95:KO95))"),"Ga, ")</f>
        <v>Ga, </v>
      </c>
      <c r="EK95" s="325" t="str">
        <f t="shared" si="63"/>
        <v>S-R1-R2-G2-G3-M1-P-D1-N2-S</v>
      </c>
      <c r="EL95" s="326" t="str">
        <f t="shared" si="64"/>
        <v>1-b2-2-b3-3-4-5-b6-b7-8</v>
      </c>
      <c r="EM95" s="318" t="str">
        <f t="shared" si="65"/>
        <v>#REF!</v>
      </c>
      <c r="EN95" s="328" t="str">
        <f>IFERROR(__xludf.DUMMYFUNCTION("SUBSTITUTE(SUBSTITUTE(SUBSTITUTE(SUBSTITUTE(CONCATENATE(JOIN("" "",HP95:IB95)),""  "","" ""),""  "","" ""),""  "","" ""),""  "","" "")"),"o o o o o o • o o • o • o")</f>
        <v>o o o o o o • o o • o • o</v>
      </c>
      <c r="EO95" s="368" t="str">
        <f t="shared" si="66"/>
        <v>-</v>
      </c>
      <c r="EP95" s="339" t="str">
        <f t="shared" si="67"/>
        <v>-</v>
      </c>
      <c r="EQ95" s="339" t="str">
        <f t="shared" si="68"/>
        <v>Sa-Pa</v>
      </c>
      <c r="ER95" s="339" t="str">
        <f t="shared" si="69"/>
        <v>-</v>
      </c>
      <c r="ES95" s="340" t="str">
        <f t="shared" si="70"/>
        <v>-</v>
      </c>
      <c r="ET95" s="363"/>
      <c r="EU95" s="376" t="b">
        <f>IFERROR(__xludf.DUMMYFUNCTION("arrayformula(sum(--REGEXMATCH(""SRGMPDNS"",split(REGEXREPLACE(C95,""(.)"",""$1~""),""~""))))=len(C95)
"),FALSE)</f>
        <v>0</v>
      </c>
      <c r="EV95" s="290" t="b">
        <f>IFERROR(__xludf.DUMMYFUNCTION("arrayformula(sum(--REGEXMATCH(""SRGmPDNS"",split(REGEXREPLACE(C95,""(.)"",""$1~""),""~""))))=len(C95)"),FALSE)</f>
        <v>0</v>
      </c>
      <c r="EW95" s="290" t="b">
        <f>IFERROR(__xludf.DUMMYFUNCTION("arrayformula(sum(--REGEXMATCH(""SRGmPDnS"",split(REGEXREPLACE(C95,""(.)"",""$1~""),""~""))))=len(C95)"),FALSE)</f>
        <v>0</v>
      </c>
      <c r="EX95" s="290" t="b">
        <f>IFERROR(__xludf.DUMMYFUNCTION("arrayformula(sum(--REGEXMATCH(""SRgmPDnS"",split(REGEXREPLACE(C95,""(.)"",""$1~""),""~""))))=len(C95)"),FALSE)</f>
        <v>0</v>
      </c>
      <c r="EY95" s="290" t="b">
        <f>IFERROR(__xludf.DUMMYFUNCTION("arrayformula(sum(--REGEXMATCH(""SRgmPdnS"",split(REGEXREPLACE(C95,""(.)"",""$1~""),""~""))))=len(C95)"),FALSE)</f>
        <v>0</v>
      </c>
      <c r="EZ95" s="290" t="b">
        <f>IFERROR(__xludf.DUMMYFUNCTION("arrayformula(sum(--REGEXMATCH(""SrgmPdnS"",split(REGEXREPLACE(C95,""(.)"",""$1~""),""~""))))=len(C95)"),FALSE)</f>
        <v>0</v>
      </c>
      <c r="FA95" s="290" t="b">
        <f>IFERROR(__xludf.DUMMYFUNCTION("arrayformula(sum(--REGEXMATCH(""SrGmPdNS"",split(REGEXREPLACE(C95,""(.)"",""$1~""),""~""))))=len(C95)"),FALSE)</f>
        <v>0</v>
      </c>
      <c r="FB95" s="290" t="b">
        <f>IFERROR(__xludf.DUMMYFUNCTION("arrayformula(sum(--REGEXMATCH(""SrGMPDNS"",split(REGEXREPLACE(C95,""(.)"",""$1~""),""~""))))=len(C95)"),FALSE)</f>
        <v>0</v>
      </c>
      <c r="FC95" s="290" t="b">
        <f>IFERROR(__xludf.DUMMYFUNCTION("arrayformula(sum(--REGEXMATCH(""SrGMPdNS"",split(REGEXREPLACE(C95,""(.)"",""$1~""),""~""))))=len(C95)"),FALSE)</f>
        <v>0</v>
      </c>
      <c r="FD95" s="377" t="b">
        <f>IFERROR(__xludf.DUMMYFUNCTION("arrayformula(sum(--REGEXMATCH(""SrgMPdNS"",split(REGEXREPLACE(C95,""(.)"",""$1~""),""~""))))=len(C95)"),FALSE)</f>
        <v>0</v>
      </c>
      <c r="FE95" s="269" t="str">
        <f t="shared" si="71"/>
        <v>xxxxxoxxoxo</v>
      </c>
      <c r="FF95" s="269" t="str">
        <f t="shared" si="72"/>
        <v>xxxxoxxoxox</v>
      </c>
      <c r="FG95" s="271" t="str">
        <f t="shared" si="73"/>
        <v>xxxoxxoxoxx</v>
      </c>
      <c r="FH95" s="269" t="str">
        <f t="shared" si="74"/>
        <v>xxoxxoxoxxx</v>
      </c>
      <c r="FI95" s="271" t="str">
        <f t="shared" si="75"/>
        <v>xoxxoxoxxxx</v>
      </c>
      <c r="FJ95" s="271" t="str">
        <f t="shared" si="76"/>
        <v>-</v>
      </c>
      <c r="FK95" s="271" t="str">
        <f t="shared" si="77"/>
        <v>xxoxoxxxxxx</v>
      </c>
      <c r="FL95" s="271" t="str">
        <f t="shared" si="78"/>
        <v>xoxoxxxxxxo</v>
      </c>
      <c r="FM95" s="271" t="str">
        <f t="shared" si="79"/>
        <v>-</v>
      </c>
      <c r="FN95" s="271" t="str">
        <f t="shared" si="80"/>
        <v>xoxxxxxxoxx</v>
      </c>
      <c r="FO95" s="274" t="str">
        <f t="shared" si="81"/>
        <v>-</v>
      </c>
      <c r="FP95" s="234" t="str">
        <f t="shared" si="82"/>
        <v>|</v>
      </c>
      <c r="FQ95" s="236" t="str">
        <f t="shared" si="83"/>
        <v>|</v>
      </c>
      <c r="FR95" s="237" t="str">
        <f t="shared" si="84"/>
        <v>|</v>
      </c>
      <c r="FS95" s="236" t="str">
        <f t="shared" si="85"/>
        <v>|</v>
      </c>
      <c r="FT95" s="237" t="str">
        <f t="shared" si="86"/>
        <v>|</v>
      </c>
      <c r="FU95" s="236" t="str">
        <f t="shared" si="87"/>
        <v>|</v>
      </c>
      <c r="FV95" s="237" t="str">
        <f t="shared" si="88"/>
        <v>-</v>
      </c>
      <c r="FW95" s="236" t="str">
        <f t="shared" si="89"/>
        <v>|</v>
      </c>
      <c r="FX95" s="237" t="str">
        <f t="shared" si="90"/>
        <v>|</v>
      </c>
      <c r="FY95" s="236" t="str">
        <f t="shared" si="91"/>
        <v>-</v>
      </c>
      <c r="FZ95" s="237" t="str">
        <f t="shared" si="92"/>
        <v>|</v>
      </c>
      <c r="GA95" s="236" t="str">
        <f t="shared" si="93"/>
        <v>-</v>
      </c>
      <c r="GB95" s="238" t="str">
        <f t="shared" si="94"/>
        <v>|</v>
      </c>
      <c r="GC95" s="244" t="str">
        <f>IFERROR(__xludf.DUMMYFUNCTION("IF(REGEXMATCH(C95, ""S""), ""1"","""")"),"1")</f>
        <v>1</v>
      </c>
      <c r="GD95" s="245" t="str">
        <f>IFERROR(__xludf.DUMMYFUNCTION("IF(REGEXMATCH(C95, ""r""), ""b2"","""")"),"b2")</f>
        <v>b2</v>
      </c>
      <c r="GE95" s="246" t="str">
        <f>IFERROR(__xludf.DUMMYFUNCTION("IF(REGEXMATCH(C95, ""R""), ""2"","""")"),"2")</f>
        <v>2</v>
      </c>
      <c r="GF95" s="246" t="str">
        <f>IFERROR(__xludf.DUMMYFUNCTION("IF(REGEXMATCH(C95, ""g""), ""b3"","""")"),"b3")</f>
        <v>b3</v>
      </c>
      <c r="GG95" s="245" t="str">
        <f>IFERROR(__xludf.DUMMYFUNCTION("IF(REGEXMATCH(C95, ""G""), ""3"","""")"),"3")</f>
        <v>3</v>
      </c>
      <c r="GH95" s="245" t="str">
        <f>IFERROR(__xludf.DUMMYFUNCTION("IF(REGEXMATCH(C95, ""m""), ""4"","""")"),"4")</f>
        <v>4</v>
      </c>
      <c r="GI95" s="246" t="str">
        <f>IFERROR(__xludf.DUMMYFUNCTION("IF(REGEXMATCH(C95, ""M""), ""#4"","""")"),"")</f>
        <v/>
      </c>
      <c r="GJ95" s="245" t="str">
        <f>IFERROR(__xludf.DUMMYFUNCTION("IF(REGEXMATCH(C95, ""P""), ""5"","""")"),"5")</f>
        <v>5</v>
      </c>
      <c r="GK95" s="246" t="str">
        <f>IFERROR(__xludf.DUMMYFUNCTION("IF(REGEXMATCH(C95, ""d""), ""b6"","""")"),"b6")</f>
        <v>b6</v>
      </c>
      <c r="GL95" s="245" t="str">
        <f>IFERROR(__xludf.DUMMYFUNCTION("IF(REGEXMATCH(C95, ""D""), ""6"","""")"),"")</f>
        <v/>
      </c>
      <c r="GM95" s="245" t="str">
        <f>IFERROR(__xludf.DUMMYFUNCTION("IF(REGEXMATCH(C95, ""n""), ""b7"","""")"),"b7")</f>
        <v>b7</v>
      </c>
      <c r="GN95" s="246" t="str">
        <f>IFERROR(__xludf.DUMMYFUNCTION("IF(REGEXMATCH(C95, ""N""), ""7"","""")"),"")</f>
        <v/>
      </c>
      <c r="GO95" s="249" t="str">
        <f>IFERROR(__xludf.DUMMYFUNCTION("IF(REGEXMATCH(C95, ""S""), ""8"","""")"),"8")</f>
        <v>8</v>
      </c>
      <c r="GP95" s="244" t="str">
        <f>IFERROR(__xludf.DUMMYFUNCTION("IF(REGEXMATCH(C95, ""S""), ""S"","""")"),"S")</f>
        <v>S</v>
      </c>
      <c r="GQ95" s="294" t="str">
        <f>IFERROR(__xludf.DUMMYFUNCTION("IF(REGEXMATCH(C95, ""r""), ""R1"","""")"),"R1")</f>
        <v>R1</v>
      </c>
      <c r="GR95" s="295" t="str">
        <f>IFERROR(__xludf.DUMMYFUNCTION("IF(REGEXMATCH(C95, ""R""), ""R2"","""")"),"R2")</f>
        <v>R2</v>
      </c>
      <c r="GS95" s="295" t="str">
        <f>IFERROR(__xludf.DUMMYFUNCTION("IF(REGEXMATCH(C95, ""g""), ""G2"","""")"),"G2")</f>
        <v>G2</v>
      </c>
      <c r="GT95" s="294" t="str">
        <f>IFERROR(__xludf.DUMMYFUNCTION("IF(REGEXMATCH(C95, ""G""), ""G3"","""")"),"G3")</f>
        <v>G3</v>
      </c>
      <c r="GU95" s="294" t="str">
        <f>IFERROR(__xludf.DUMMYFUNCTION("IF(REGEXMATCH(C95, ""m""), ""M1"","""")"),"M1")</f>
        <v>M1</v>
      </c>
      <c r="GV95" s="295" t="str">
        <f>IFERROR(__xludf.DUMMYFUNCTION("IF(REGEXMATCH(C95, ""M""), ""M2"","""")"),"")</f>
        <v/>
      </c>
      <c r="GW95" s="294" t="str">
        <f>IFERROR(__xludf.DUMMYFUNCTION("IF(REGEXMATCH(C95, ""P""), ""P"","""")"),"P")</f>
        <v>P</v>
      </c>
      <c r="GX95" s="295" t="str">
        <f>IFERROR(__xludf.DUMMYFUNCTION("IF(REGEXMATCH(C95, ""d""), ""D1"","""")"),"D1")</f>
        <v>D1</v>
      </c>
      <c r="GY95" s="294" t="str">
        <f>IFERROR(__xludf.DUMMYFUNCTION("IF(REGEXMATCH(C95, ""D""), ""D2"","""")"),"")</f>
        <v/>
      </c>
      <c r="GZ95" s="294" t="str">
        <f>IFERROR(__xludf.DUMMYFUNCTION("IF(REGEXMATCH(C95, ""n""), ""N2"","""")"),"N2")</f>
        <v>N2</v>
      </c>
      <c r="HA95" s="295" t="str">
        <f>IFERROR(__xludf.DUMMYFUNCTION("IF(REGEXMATCH(C95, ""N""), ""N3"","""")"),"")</f>
        <v/>
      </c>
      <c r="HB95" s="249" t="str">
        <f>IFERROR(__xludf.DUMMYFUNCTION("IF(REGEXMATCH(C95, ""S""), ""S"","""")"),"S")</f>
        <v>S</v>
      </c>
      <c r="HC95" s="331" t="str">
        <f t="shared" si="95"/>
        <v>S</v>
      </c>
      <c r="HD95" s="332" t="str">
        <f t="shared" si="96"/>
        <v/>
      </c>
      <c r="HE95" s="332" t="str">
        <f t="shared" si="97"/>
        <v>R</v>
      </c>
      <c r="HF95" s="332" t="str">
        <f t="shared" si="98"/>
        <v/>
      </c>
      <c r="HG95" s="332" t="str">
        <f t="shared" si="99"/>
        <v>G</v>
      </c>
      <c r="HH95" s="332" t="str">
        <f t="shared" si="100"/>
        <v>m</v>
      </c>
      <c r="HI95" s="332" t="str">
        <f t="shared" si="101"/>
        <v/>
      </c>
      <c r="HJ95" s="332" t="str">
        <f t="shared" si="102"/>
        <v>P</v>
      </c>
      <c r="HK95" s="332" t="str">
        <f t="shared" si="103"/>
        <v>d</v>
      </c>
      <c r="HL95" s="332" t="str">
        <f t="shared" si="104"/>
        <v>D</v>
      </c>
      <c r="HM95" s="332" t="str">
        <f t="shared" si="105"/>
        <v>n</v>
      </c>
      <c r="HN95" s="332" t="str">
        <f t="shared" si="106"/>
        <v>N</v>
      </c>
      <c r="HO95" s="343" t="str">
        <f t="shared" si="107"/>
        <v>S</v>
      </c>
      <c r="HP95" s="331" t="str">
        <f t="shared" si="108"/>
        <v>o</v>
      </c>
      <c r="HQ95" s="332" t="str">
        <f t="shared" si="109"/>
        <v>o</v>
      </c>
      <c r="HR95" s="332" t="str">
        <f t="shared" si="110"/>
        <v>o</v>
      </c>
      <c r="HS95" s="332" t="str">
        <f t="shared" si="111"/>
        <v>o</v>
      </c>
      <c r="HT95" s="332" t="str">
        <f t="shared" si="112"/>
        <v>o</v>
      </c>
      <c r="HU95" s="332" t="str">
        <f t="shared" si="113"/>
        <v>o</v>
      </c>
      <c r="HV95" s="332" t="str">
        <f t="shared" si="114"/>
        <v>•</v>
      </c>
      <c r="HW95" s="332" t="str">
        <f t="shared" si="115"/>
        <v>o</v>
      </c>
      <c r="HX95" s="332" t="str">
        <f t="shared" si="116"/>
        <v>o</v>
      </c>
      <c r="HY95" s="332" t="str">
        <f t="shared" si="117"/>
        <v>•</v>
      </c>
      <c r="HZ95" s="332" t="str">
        <f t="shared" si="118"/>
        <v>o</v>
      </c>
      <c r="IA95" s="332" t="str">
        <f t="shared" si="119"/>
        <v>•</v>
      </c>
      <c r="IB95" s="338" t="str">
        <f t="shared" si="120"/>
        <v>o</v>
      </c>
      <c r="IC95" s="331" t="str">
        <f t="shared" si="121"/>
        <v>•</v>
      </c>
      <c r="ID95" s="332" t="str">
        <f t="shared" si="122"/>
        <v>•</v>
      </c>
      <c r="IE95" s="332" t="str">
        <f t="shared" si="123"/>
        <v>•</v>
      </c>
      <c r="IF95" s="332" t="str">
        <f t="shared" si="124"/>
        <v>•</v>
      </c>
      <c r="IG95" s="332" t="str">
        <f t="shared" si="125"/>
        <v>•</v>
      </c>
      <c r="IH95" s="332" t="str">
        <f t="shared" si="126"/>
        <v>•</v>
      </c>
      <c r="II95" s="332" t="str">
        <f t="shared" si="127"/>
        <v>o</v>
      </c>
      <c r="IJ95" s="332" t="str">
        <f t="shared" si="128"/>
        <v>•</v>
      </c>
      <c r="IK95" s="332" t="str">
        <f t="shared" si="129"/>
        <v>•</v>
      </c>
      <c r="IL95" s="332" t="str">
        <f t="shared" si="130"/>
        <v>o</v>
      </c>
      <c r="IM95" s="332" t="str">
        <f t="shared" si="131"/>
        <v>•</v>
      </c>
      <c r="IN95" s="332" t="str">
        <f t="shared" si="132"/>
        <v>o</v>
      </c>
      <c r="IO95" s="338" t="str">
        <f t="shared" si="133"/>
        <v>•</v>
      </c>
      <c r="IP95" s="346" t="b">
        <f t="shared" si="134"/>
        <v>0</v>
      </c>
      <c r="IQ95" s="347" t="b">
        <f t="shared" si="135"/>
        <v>0</v>
      </c>
      <c r="IR95" s="347" t="b">
        <f t="shared" si="136"/>
        <v>1</v>
      </c>
      <c r="IS95" s="347" t="b">
        <f t="shared" si="137"/>
        <v>0</v>
      </c>
      <c r="IT95" s="347" t="b">
        <f t="shared" si="138"/>
        <v>1</v>
      </c>
      <c r="IU95" s="347" t="b">
        <f t="shared" si="139"/>
        <v>0</v>
      </c>
      <c r="IV95" s="347" t="b">
        <f t="shared" si="140"/>
        <v>0</v>
      </c>
      <c r="IW95" s="347" t="b">
        <f t="shared" si="141"/>
        <v>0</v>
      </c>
      <c r="IX95" s="347" t="b">
        <f t="shared" si="142"/>
        <v>0</v>
      </c>
      <c r="IY95" s="347" t="b">
        <f t="shared" si="143"/>
        <v>0</v>
      </c>
      <c r="IZ95" s="347" t="b">
        <f t="shared" si="144"/>
        <v>0</v>
      </c>
      <c r="JA95" s="347" t="b">
        <f t="shared" si="145"/>
        <v>0</v>
      </c>
      <c r="JB95" s="353" t="b">
        <f t="shared" si="146"/>
        <v>0</v>
      </c>
      <c r="JC95" s="354" t="str">
        <f t="shared" si="147"/>
        <v/>
      </c>
      <c r="JD95" s="355" t="str">
        <f t="shared" si="148"/>
        <v/>
      </c>
      <c r="JE95" s="355" t="str">
        <f t="shared" si="149"/>
        <v>Re, </v>
      </c>
      <c r="JF95" s="355" t="str">
        <f t="shared" si="150"/>
        <v/>
      </c>
      <c r="JG95" s="355" t="str">
        <f t="shared" si="151"/>
        <v>Ga, </v>
      </c>
      <c r="JH95" s="355" t="str">
        <f t="shared" si="152"/>
        <v/>
      </c>
      <c r="JI95" s="355" t="str">
        <f t="shared" si="153"/>
        <v/>
      </c>
      <c r="JJ95" s="355" t="str">
        <f t="shared" si="154"/>
        <v/>
      </c>
      <c r="JK95" s="355" t="str">
        <f t="shared" si="155"/>
        <v/>
      </c>
      <c r="JL95" s="355" t="str">
        <f t="shared" si="156"/>
        <v/>
      </c>
      <c r="JM95" s="355" t="str">
        <f t="shared" si="157"/>
        <v/>
      </c>
      <c r="JN95" s="355" t="str">
        <f t="shared" si="158"/>
        <v/>
      </c>
      <c r="JO95" s="359" t="str">
        <f t="shared" si="159"/>
        <v/>
      </c>
      <c r="JP95" s="346" t="b">
        <f t="shared" si="160"/>
        <v>0</v>
      </c>
      <c r="JQ95" s="347" t="b">
        <f t="shared" si="161"/>
        <v>0</v>
      </c>
      <c r="JR95" s="347" t="b">
        <f t="shared" si="162"/>
        <v>0</v>
      </c>
      <c r="JS95" s="347" t="b">
        <f t="shared" si="163"/>
        <v>0</v>
      </c>
      <c r="JT95" s="347" t="b">
        <f t="shared" si="164"/>
        <v>1</v>
      </c>
      <c r="JU95" s="347" t="b">
        <f t="shared" si="165"/>
        <v>0</v>
      </c>
      <c r="JV95" s="347" t="b">
        <f t="shared" si="166"/>
        <v>0</v>
      </c>
      <c r="JW95" s="347" t="b">
        <f t="shared" si="167"/>
        <v>0</v>
      </c>
      <c r="JX95" s="347" t="b">
        <f t="shared" si="168"/>
        <v>0</v>
      </c>
      <c r="JY95" s="347" t="b">
        <f t="shared" si="169"/>
        <v>0</v>
      </c>
      <c r="JZ95" s="347" t="b">
        <f t="shared" si="170"/>
        <v>0</v>
      </c>
      <c r="KA95" s="347" t="b">
        <f t="shared" si="171"/>
        <v>0</v>
      </c>
      <c r="KB95" s="365" t="b">
        <f t="shared" si="172"/>
        <v>0</v>
      </c>
      <c r="KC95" s="354" t="str">
        <f t="shared" si="173"/>
        <v/>
      </c>
      <c r="KD95" s="355" t="str">
        <f t="shared" si="174"/>
        <v/>
      </c>
      <c r="KE95" s="355" t="str">
        <f t="shared" si="175"/>
        <v/>
      </c>
      <c r="KF95" s="355" t="str">
        <f t="shared" si="176"/>
        <v/>
      </c>
      <c r="KG95" s="355" t="str">
        <f t="shared" si="177"/>
        <v>Ga, </v>
      </c>
      <c r="KH95" s="355" t="str">
        <f t="shared" si="178"/>
        <v/>
      </c>
      <c r="KI95" s="355" t="str">
        <f t="shared" si="179"/>
        <v/>
      </c>
      <c r="KJ95" s="355" t="str">
        <f t="shared" si="180"/>
        <v/>
      </c>
      <c r="KK95" s="355" t="str">
        <f t="shared" si="181"/>
        <v/>
      </c>
      <c r="KL95" s="355" t="str">
        <f t="shared" si="182"/>
        <v/>
      </c>
      <c r="KM95" s="355" t="str">
        <f t="shared" si="183"/>
        <v/>
      </c>
      <c r="KN95" s="355" t="str">
        <f t="shared" si="184"/>
        <v/>
      </c>
      <c r="KO95" s="359"/>
      <c r="KP95" s="378"/>
      <c r="KQ95" s="379" t="s">
        <v>353</v>
      </c>
      <c r="KR95" s="380" t="s">
        <v>1378</v>
      </c>
      <c r="KS95" s="381" t="str">
        <f t="shared" si="380"/>
        <v>S-R-G-m-P-d-n-S</v>
      </c>
      <c r="KT95" s="382">
        <f t="shared" si="186"/>
        <v>7</v>
      </c>
      <c r="KU95" s="383">
        <f t="shared" si="187"/>
        <v>7</v>
      </c>
      <c r="KV95" s="381" t="str">
        <f t="shared" si="205"/>
        <v>S-n-D-P-m-g-Rr-S</v>
      </c>
      <c r="KW95" s="382">
        <f t="shared" si="189"/>
        <v>7</v>
      </c>
      <c r="KX95" s="384">
        <f t="shared" si="190"/>
        <v>8</v>
      </c>
      <c r="KY95" s="382">
        <f t="shared" ref="KY95:KZ95" si="391">KW95-KT95</f>
        <v>0</v>
      </c>
      <c r="KZ95" s="369">
        <f t="shared" si="391"/>
        <v>1</v>
      </c>
      <c r="LA95" s="385" t="str">
        <f t="shared" si="192"/>
        <v>-</v>
      </c>
      <c r="LB95" s="340" t="str">
        <f>IFERROR(__xludf.DUMMYFUNCTION("JOIN("""",ArrayFormula(MID(KS95,LEN(KS95)-SEQUENCE(1,LEN(KS95))+1,1)))"),"S-n-d-P-m-G-R-S")</f>
        <v>S-n-d-P-m-G-R-S</v>
      </c>
      <c r="LC95" s="373" t="str">
        <f>IFERROR(__xludf.DUMMYFUNCTION("JOIN("""",ArrayFormula(MID(KV95,LEN(KV95)-SEQUENCE(1,LEN(KV95))+1,1)))"),"S-rR-g-m-P-D-n-S")</f>
        <v>S-rR-g-m-P-D-n-S</v>
      </c>
      <c r="LD95" s="373" t="str">
        <f t="shared" si="193"/>
        <v>SRGmPdnS</v>
      </c>
      <c r="LE95" s="339" t="str">
        <f t="shared" si="194"/>
        <v>SrRgmPDnS</v>
      </c>
      <c r="LF95" s="386" t="str">
        <f>IFERROR(__xludf.DUMMYFUNCTION("SUBSTITUTE(SUBSTITUTE(CONCATENATE(JOIN("""",LH95:LT95)),""1"",""""),""2"","""")"),"SrRgGmPdDnS")</f>
        <v>SrRgGmPdDnS</v>
      </c>
      <c r="LG95" s="369" t="str">
        <f t="shared" si="195"/>
        <v>-</v>
      </c>
      <c r="LH95" s="387" t="str">
        <f>IFERROR(__xludf.DUMMYFUNCTION("IF(REGEXMATCH(LD95, ""S""), ""S"",IF(REGEXMATCH(LE95, ""S""), ""S"",""""))"),"S")</f>
        <v>S</v>
      </c>
      <c r="LI95" s="299" t="str">
        <f>IFERROR(__xludf.DUMMYFUNCTION("IF(REGEXMATCH(LD95, ""r""), ""r1"",IF(REGEXMATCH(LE95, ""r""), ""r2"",""""))"),"r2")</f>
        <v>r2</v>
      </c>
      <c r="LJ95" s="299" t="str">
        <f>IFERROR(__xludf.DUMMYFUNCTION("IF(REGEXMATCH(LD95, ""R""), ""R1"",IF(REGEXMATCH(LE95, ""R""), ""R2"",""""))"),"R1")</f>
        <v>R1</v>
      </c>
      <c r="LK95" s="299" t="str">
        <f>IFERROR(__xludf.DUMMYFUNCTION("IF(REGEXMATCH(LD95, ""g""), ""g1"",IF(REGEXMATCH(LE95, ""g""), ""g2"",""""))"),"g2")</f>
        <v>g2</v>
      </c>
      <c r="LL95" s="299" t="str">
        <f>IFERROR(__xludf.DUMMYFUNCTION("IF(REGEXMATCH(LD95, ""G""), ""G1"",IF(REGEXMATCH(LE95, ""G""), ""G2"",""""))"),"G1")</f>
        <v>G1</v>
      </c>
      <c r="LM95" s="299" t="str">
        <f>IFERROR(__xludf.DUMMYFUNCTION("IF(REGEXMATCH(LD95, ""m""), ""m1"",IF(REGEXMATCH(LE95, ""m""), ""m2"",""""))"),"m1")</f>
        <v>m1</v>
      </c>
      <c r="LN95" s="299" t="str">
        <f>IFERROR(__xludf.DUMMYFUNCTION("IF(REGEXMATCH(LD95, ""M""), ""M1"",IF(REGEXMATCH(LE95, ""M""), ""M2"",""""))"),"")</f>
        <v/>
      </c>
      <c r="LO95" s="299" t="str">
        <f>IFERROR(__xludf.DUMMYFUNCTION("IF(REGEXMATCH(LD95, ""P""), ""P1"",IF(REGEXMATCH(LE95, ""P""), ""P2"",""""))"),"P1")</f>
        <v>P1</v>
      </c>
      <c r="LP95" s="299" t="str">
        <f>IFERROR(__xludf.DUMMYFUNCTION("IF(REGEXMATCH(LD95, ""d""), ""d1"",IF(REGEXMATCH(LE95, ""d""), ""d2"",""""))"),"d1")</f>
        <v>d1</v>
      </c>
      <c r="LQ95" s="299" t="str">
        <f>IFERROR(__xludf.DUMMYFUNCTION("IF(REGEXMATCH(LD95, ""D""), ""D1"",IF(REGEXMATCH(LE95, ""D""), ""D2"",""""))"),"D2")</f>
        <v>D2</v>
      </c>
      <c r="LR95" s="299" t="str">
        <f>IFERROR(__xludf.DUMMYFUNCTION("IF(REGEXMATCH(LD95, ""n""), ""n1"",IF(REGEXMATCH(LE95, ""n""), ""n2"",""""))"),"n1")</f>
        <v>n1</v>
      </c>
      <c r="LS95" s="299" t="str">
        <f>IFERROR(__xludf.DUMMYFUNCTION("IF(REGEXMATCH(LD95, ""N""), ""N1"",IF(REGEXMATCH(LE95, ""N""), ""N2"",""""))"),"")</f>
        <v/>
      </c>
      <c r="LT95" s="388" t="str">
        <f>IFERROR(__xludf.DUMMYFUNCTION("IF(REGEXMATCH(LD95, ""S""), ""S"",IF(REGEXMATCH(LE95, ""S""), ""S"",""""))"),"S")</f>
        <v>S</v>
      </c>
      <c r="LU95" s="389">
        <f t="shared" si="196"/>
        <v>0</v>
      </c>
      <c r="LV95" s="378"/>
      <c r="LW95" s="369"/>
      <c r="LX95" s="369"/>
    </row>
    <row r="96" ht="18.0" customHeight="1">
      <c r="A96" s="298" t="s">
        <v>696</v>
      </c>
      <c r="B96" s="222" t="s">
        <v>530</v>
      </c>
      <c r="C96" s="233" t="str">
        <f t="shared" si="7"/>
        <v>SRGmPDnNS</v>
      </c>
      <c r="D96" s="234" t="str">
        <f>IFERROR(__xludf.DUMMYFUNCTION("IF(REGEXMATCH(C96, ""S""), ""S"","""")"),"S")</f>
        <v>S</v>
      </c>
      <c r="E96" s="236" t="str">
        <f>IFERROR(__xludf.DUMMYFUNCTION("IF(REGEXMATCH(C96, ""r""), ""r"","""")"),"")</f>
        <v/>
      </c>
      <c r="F96" s="237" t="str">
        <f>IFERROR(__xludf.DUMMYFUNCTION("IF(REGEXMATCH(C96, ""R""), ""R"","""")"),"R")</f>
        <v>R</v>
      </c>
      <c r="G96" s="237" t="str">
        <f>IFERROR(__xludf.DUMMYFUNCTION("IF(REGEXMATCH(C96, ""g""), ""g"","""")"),"")</f>
        <v/>
      </c>
      <c r="H96" s="236" t="str">
        <f>IFERROR(__xludf.DUMMYFUNCTION("IF(REGEXMATCH(C96, ""G""), ""G"","""")"),"G")</f>
        <v>G</v>
      </c>
      <c r="I96" s="236" t="str">
        <f>IFERROR(__xludf.DUMMYFUNCTION("IF(REGEXMATCH(C96, ""m""), ""m"","""")"),"m")</f>
        <v>m</v>
      </c>
      <c r="J96" s="237" t="str">
        <f>IFERROR(__xludf.DUMMYFUNCTION("IF(REGEXMATCH(C96, ""M""), ""M"","""")"),"")</f>
        <v/>
      </c>
      <c r="K96" s="236" t="str">
        <f>IFERROR(__xludf.DUMMYFUNCTION("IF(REGEXMATCH(C96, ""P""), ""P"","""")"),"P")</f>
        <v>P</v>
      </c>
      <c r="L96" s="237" t="str">
        <f>IFERROR(__xludf.DUMMYFUNCTION("IF(REGEXMATCH(C96, ""d""), ""d"","""")"),"")</f>
        <v/>
      </c>
      <c r="M96" s="236" t="str">
        <f>IFERROR(__xludf.DUMMYFUNCTION("IF(REGEXMATCH(C96, ""D""), ""D"","""")"),"D")</f>
        <v>D</v>
      </c>
      <c r="N96" s="236" t="str">
        <f>IFERROR(__xludf.DUMMYFUNCTION("IF(REGEXMATCH(C96, ""n""), ""n"","""")"),"n")</f>
        <v>n</v>
      </c>
      <c r="O96" s="237" t="str">
        <f>IFERROR(__xludf.DUMMYFUNCTION("IF(REGEXMATCH(C96, ""N""), ""N"","""")"),"N")</f>
        <v>N</v>
      </c>
      <c r="P96" s="238" t="str">
        <f>IFERROR(__xludf.DUMMYFUNCTION("IF(REGEXMATCH(C96, ""S""), ""S"","""")"),"S")</f>
        <v>S</v>
      </c>
      <c r="Q96" s="239" t="str">
        <f>IFERROR(__xludf.DUMMYFUNCTION("SUBSTITUTE(CONCATENATE(JOIN(""-"",D96:J96)),""-"","""")"),"SRGm")</f>
        <v>SRGm</v>
      </c>
      <c r="R96" s="229" t="str">
        <f>IFERROR(__xludf.DUMMYFUNCTION("SUBSTITUTE(CONCATENATE(JOIN(""-"",K96:P96)),""-"","""")"),"PDnNS")</f>
        <v>PDnNS</v>
      </c>
      <c r="S96" s="282" t="str">
        <f t="shared" si="8"/>
        <v>S-R-G-M</v>
      </c>
      <c r="T96" s="282" t="str">
        <f t="shared" si="9"/>
        <v>P-D-N-S</v>
      </c>
      <c r="U96" s="237" t="str">
        <f>IFERROR(__xludf.DUMMYFUNCTION("SUBSTITUTE(JOIN(""-"",S96,T96),""--"",""-"")"),"S-R-G-M-P-D-N-S")</f>
        <v>S-R-G-M-P-D-N-S</v>
      </c>
      <c r="V96" s="309" t="str">
        <f t="shared" si="10"/>
        <v>RGmDnN</v>
      </c>
      <c r="W96" s="244" t="str">
        <f>IFERROR(__xludf.DUMMYFUNCTION("IF(REGEXMATCH(C96, ""S""), ""0"","""")"),"0")</f>
        <v>0</v>
      </c>
      <c r="X96" s="245" t="str">
        <f>IFERROR(__xludf.DUMMYFUNCTION("IF(REGEXMATCH(C96, ""r""), ""1"","""")"),"")</f>
        <v/>
      </c>
      <c r="Y96" s="246" t="str">
        <f>IFERROR(__xludf.DUMMYFUNCTION("IF(REGEXMATCH(C96, ""R""), ""2"","""")"),"2")</f>
        <v>2</v>
      </c>
      <c r="Z96" s="246" t="str">
        <f>IFERROR(__xludf.DUMMYFUNCTION("IF(REGEXMATCH(C96, ""g""), ""3"","""")"),"")</f>
        <v/>
      </c>
      <c r="AA96" s="245" t="str">
        <f>IFERROR(__xludf.DUMMYFUNCTION("IF(REGEXMATCH(C96, ""G""), ""4"","""")"),"4")</f>
        <v>4</v>
      </c>
      <c r="AB96" s="245" t="str">
        <f>IFERROR(__xludf.DUMMYFUNCTION("IF(REGEXMATCH(C96, ""m""), ""5"","""")"),"5")</f>
        <v>5</v>
      </c>
      <c r="AC96" s="246" t="str">
        <f>IFERROR(__xludf.DUMMYFUNCTION("IF(REGEXMATCH(C96, ""M""), ""6"","""")"),"")</f>
        <v/>
      </c>
      <c r="AD96" s="245" t="str">
        <f>IFERROR(__xludf.DUMMYFUNCTION("IF(REGEXMATCH(C96, ""P""), ""7"","""")"),"7")</f>
        <v>7</v>
      </c>
      <c r="AE96" s="246" t="str">
        <f>IFERROR(__xludf.DUMMYFUNCTION("IF(REGEXMATCH(C96, ""d""), ""8"","""")"),"")</f>
        <v/>
      </c>
      <c r="AF96" s="245" t="str">
        <f>IFERROR(__xludf.DUMMYFUNCTION("IF(REGEXMATCH(C96, ""D""), ""9"","""")"),"9")</f>
        <v>9</v>
      </c>
      <c r="AG96" s="245" t="str">
        <f>IFERROR(__xludf.DUMMYFUNCTION("IF(REGEXMATCH(C96, ""n""), ""10"","""")"),"10")</f>
        <v>10</v>
      </c>
      <c r="AH96" s="246" t="str">
        <f>IFERROR(__xludf.DUMMYFUNCTION("IF(REGEXMATCH(C96, ""N""), ""11"","""")"),"11")</f>
        <v>11</v>
      </c>
      <c r="AI96" s="249" t="str">
        <f>IFERROR(__xludf.DUMMYFUNCTION("IF(REGEXMATCH(C96, ""S""), ""0"","""")"),"0")</f>
        <v>0</v>
      </c>
      <c r="AJ96" s="313" t="str">
        <f t="shared" si="11"/>
        <v>-</v>
      </c>
      <c r="AK96" s="313" t="str">
        <f t="shared" si="12"/>
        <v>-</v>
      </c>
      <c r="AL96" s="313" t="str">
        <f t="shared" si="13"/>
        <v>-</v>
      </c>
      <c r="AM96" s="313" t="str">
        <f t="shared" si="14"/>
        <v>-</v>
      </c>
      <c r="AN96" s="313" t="str">
        <f t="shared" si="15"/>
        <v>T</v>
      </c>
      <c r="AO96" s="314" t="str">
        <f t="shared" si="16"/>
        <v>T</v>
      </c>
      <c r="AP96" s="316">
        <f t="shared" si="17"/>
        <v>2</v>
      </c>
      <c r="AQ96" s="319" t="str">
        <f t="shared" si="18"/>
        <v>-</v>
      </c>
      <c r="AR96" s="320">
        <f t="shared" si="19"/>
        <v>0</v>
      </c>
      <c r="AS96" s="250" t="str">
        <f>IFERROR(__xludf.DUMMYFUNCTION("SUBSTITUTE(SUBSTITUTE(CONCATENATE(JOIN("""",FP96:GA96)),""|"",""x""),""-"",""o"")"),"xoxoxxoxoxxx")</f>
        <v>xoxoxxoxoxxx</v>
      </c>
      <c r="AT96" s="323" t="str">
        <f>IFERROR(__xludf.DUMMYFUNCTION("JOIN("""",AS96,AS96)"),"xoxoxxoxoxxxxoxoxxoxoxxx")</f>
        <v>xoxoxxoxoxxxxoxoxxoxoxxx</v>
      </c>
      <c r="AU96" s="256" t="str">
        <f>IFERROR(__xludf.DUMMYFUNCTION("JOIN("""",ArrayFormula(MID(AS96,LEN(AS96)-SEQUENCE(1,LEN(AS96))+1,1)))"),"xxxoxoxxoxox")</f>
        <v>xxxoxoxxoxox</v>
      </c>
      <c r="AV96" s="256" t="str">
        <f>IFERROR(__xludf.DUMMYFUNCTION("LEFT(CONCATENATE(""x"",JOIN("""",ArrayFormula(MID(AS96,LEN(AS96)-SEQUENCE(1,LEN(AS96))+1,1)))),12)"),"xxxxoxoxxoxo")</f>
        <v>xxxxoxoxxoxo</v>
      </c>
      <c r="AW96" s="327" t="str">
        <f>IFERROR(__xludf.DUMMYFUNCTION("JOIN("""",AU96,AU96)"),"xxxoxoxxoxoxxxxoxoxxoxox")</f>
        <v>xxxoxoxxoxoxxxxoxoxxoxox</v>
      </c>
      <c r="AX96" s="239" t="str">
        <f>IFERROR(__xludf.DUMMYFUNCTION("IF(REGEXMATCH(AW96,AS96),""✔"",""-"")"),"✔")</f>
        <v>✔</v>
      </c>
      <c r="AY96" s="330" t="str">
        <f t="shared" si="20"/>
        <v>-</v>
      </c>
      <c r="AZ96" s="260" t="str">
        <f t="shared" si="21"/>
        <v>#REF!</v>
      </c>
      <c r="BA96" s="333" t="str">
        <f t="shared" si="22"/>
        <v>xoxoxxo</v>
      </c>
      <c r="BB96" s="334" t="str">
        <f t="shared" si="23"/>
        <v>xoxxxx</v>
      </c>
      <c r="BC96" s="335" t="str">
        <f t="shared" si="236"/>
        <v>-</v>
      </c>
      <c r="BD96" s="336" t="str">
        <f t="shared" si="25"/>
        <v>Devgiri Bilawal: 'xoxoxxo' + 'xoxxxx'</v>
      </c>
      <c r="BE96" s="337">
        <f>IFERROR(__xludf.DUMMYFUNCTION("COUNTUNIQUE(FILTER(AT:AT,REGEXMATCH(AT:AT,AS96)))-1"),3.0)</f>
        <v>3</v>
      </c>
      <c r="BF96" s="261" t="str">
        <f>IFERROR(__xludf.DUMMYFUNCTION("IF(BI96=0,""(n/a)"",IF(BJ96=2,""(PAIR)"",IF(REGEXMATCH(AT96,""xoxoxxoxoxox""),""Bilawal"",IF(REGEXMATCH(AT96,""xoxoxooxoxoo""),""Bhupali"",IF(REGEXMATCH(AT96,""xoxoxxoxxoxo""),""Charukeshi"",IF(REGEXMATCH(AT96,""xoxoooxxoxxo""),""Kameshwari"",IF(REGEXMATC"&amp;"H(AT96,""xoxoxooxoxox""),""Shankara"",IF(REGEXMATCH(AT96,""xxooxoxxxoox""),""Basant"",IF(REGEXMATCH(AT96,""xoxoxxxxoxox""),""Bihag"",IF(REGEXMATCH(AT96,""xoxxxxoxoxxx""),""Pilu"",IF(REGEXMATCH(AT96,""xoxxoxoxxoox""),""Kirwani"",IF(REGEXMATCH(AT96,""xoxxox"&amp;"oxoxxx""),""Mk.Malhar"",IF(REGEXMATCH(AT96,""xxooxxoxxoox""),""Bhairav"",IF(REGEXMATCH(AT96,""xxoxooxxxoox""),""Todi"",IF(REGEXMATCH(AT96,""xxooxoxooxox""),""Marwa"",IF(REGEXMATCH(AT96,""xxoooxoxxooo""),""Gunkali"",IF(REGEXMATCH(AT96,""xoxoxxoxxoox""),""N"&amp;"at Bhairav"",IF(REGEXMATCH(AT96,""xoxxoooxoxoo""),""Shivranjani"",IF(REGEXMATCH(AT96,""xooxxxoxooxo""),""Jog"",IF(REGEXMATCH(AT96,""xxooxoxoxoox""),""Hemshri"",IF(REGEXMATCH(AT96,""xoooxooxoxxo""),""Kalavati"",IF(REGEXMATCH(AT96,""xxoxoxxoxoox""),""Kedar"&amp;""",IF(REGEXMATCH(AT96,""xoxxxxoxooxx""),""Gara"",IF(REGEXMATCH(AT96,""xooxoxooxoox""),""Chandrakauns"",IF(REGEXMATCH(AT96,""xoxxxxoxxxox""),""Mand"",IF(REGEXMATCH(AT96,""xoxxxxoxoxox""),""Hanskinkini"",IF(REGEXMATCH(AT96,""xxooxxoxooxo""),""Lilavati"",IF("&amp;"REGEXMATCH(AT96,""xooxoxoooxox""),""Rajeshwari"",IF(REGEXMATCH(AT96,""xoooxxoxoxxx""),""Khokar"",IF(REGEXMATCH(AT96,""xxooxoxxxxox""),""Maligoura"",""-""))))))))))))))))))))))))))))))"),"Bihag")</f>
        <v>Bihag</v>
      </c>
      <c r="BG96" s="239" t="str">
        <f t="shared" si="26"/>
        <v>#REF!</v>
      </c>
      <c r="BH96" s="239">
        <f>IFERROR(__xludf.DUMMYFUNCTION("COUNTUNIQUE(FE96:FO96)-1"),7.0)</f>
        <v>7</v>
      </c>
      <c r="BI96" s="239">
        <f>IFERROR(__xludf.DUMMYFUNCTION("COUNTUNIQUE(FILTER(AT:AT,REGEXMATCH(AT:AT,AS96)))-1"),3.0)</f>
        <v>3</v>
      </c>
      <c r="BJ96" s="239">
        <f>IFERROR(__xludf.DUMMYFUNCTION("COUNTA(FILTER(AT:AT,REGEXMATCH(AT:AT,AS96)))"),36.0)</f>
        <v>36</v>
      </c>
      <c r="BK96" s="341">
        <f>IFERROR(__xludf.DUMMYFUNCTION("COUNTA(FILTER(AT:AT,REGEXMATCH(AT:AT,AS96)))-AR96"),36.0)</f>
        <v>36</v>
      </c>
      <c r="BL96" s="276" t="str">
        <f>IFERROR(__xludf.DUMMYFUNCTION("IF(AS96=""oooooooooooo"",""-"",IF(REGEXMATCH(AT96,""xx""), ""Hemi."", ""Anhemi.""))"),"Hemi.")</f>
        <v>Hemi.</v>
      </c>
      <c r="BM96" s="282" t="str">
        <f>IFERROR(__xludf.DUMMYFUNCTION("IF(AS96=""oooooooooooo"",""-"",IF(REGEXMATCH(AT96,""xxx""), ""Cohem."", ""-""))"),"Cohem.")</f>
        <v>Cohem.</v>
      </c>
      <c r="BN96" s="282" t="str">
        <f>IFERROR(__xludf.DUMMYFUNCTION("IF(AS96=""oooooooooooo"",""-"",IF(REGEXMATCH(AT96,""xxxx""), ""Co-Co."", ""-""))"),"Co-Co.")</f>
        <v>Co-Co.</v>
      </c>
      <c r="BO96" s="342" t="str">
        <f>IFERROR(__xludf.DUMMYFUNCTION("IF(AS96=""oooooooooooo"",""-"",IF(REGEXMATCH(AT96,""xxxxx""), ""CCC."", ""-""))"),"-")</f>
        <v>-</v>
      </c>
      <c r="BP96" s="344" t="str">
        <f t="shared" si="27"/>
        <v>-</v>
      </c>
      <c r="BQ96" s="282" t="str">
        <f>IFERROR(__xludf.DUMMYFUNCTION("IF(REGEXMATCH(JOIN(""-"",EU96:FD96),""TRUE""),""✔"",""-"")"),"-")</f>
        <v>-</v>
      </c>
      <c r="BR96" s="225">
        <f t="shared" si="28"/>
        <v>0</v>
      </c>
      <c r="BS96" s="345" t="str">
        <f>IFERROR(__xludf.DUMMYFUNCTION("SUBSTITUTE(SUBSTITUTE(SUBSTITUTE(SUBSTITUTE(CONCATENATE(JOIN(""-"",GC96:GO96)),""--"",""-""),""--"",""-""),""--"",""-""),""--"",""-"")"),"1-2-3-4-5-6-b7-7-8")</f>
        <v>1-2-3-4-5-6-b7-7-8</v>
      </c>
      <c r="BT96" s="299" t="str">
        <f>IFERROR(__xludf.DUMMYFUNCTION("SUBSTITUTE(SUBSTITUTE(SUBSTITUTE(SUBSTITUTE(CONCATENATE(JOIN(""-"",GP96:HB96)),""--"",""-""),""--"",""-""),""--"",""-""),""--"",""-"")"),"S-R2-G3-M1-P-D2-N2-N3-S")</f>
        <v>S-R2-G3-M1-P-D2-N2-N3-S</v>
      </c>
      <c r="BU96" s="348" t="str">
        <f t="shared" si="29"/>
        <v>C-D-E-F-G-A-Bb-B-C</v>
      </c>
      <c r="BV96" s="349" t="str">
        <f t="shared" si="30"/>
        <v>SrgMdS</v>
      </c>
      <c r="BW96" s="350">
        <f t="shared" si="31"/>
        <v>1</v>
      </c>
      <c r="BX96" s="351">
        <f t="shared" si="32"/>
        <v>15</v>
      </c>
      <c r="BY96" s="392"/>
      <c r="BZ96" s="309" t="str">
        <f>IFERROR(__xludf.DUMMYFUNCTION("IF(REGEXMATCH(C96, ""S""), ""x"",""x"")"),"x")</f>
        <v>x</v>
      </c>
      <c r="CA96" s="245" t="str">
        <f>IFERROR(__xludf.DUMMYFUNCTION("IF(REGEXMATCH(C96, ""r""), ""o"",""x"")"),"x")</f>
        <v>x</v>
      </c>
      <c r="CB96" s="246" t="str">
        <f>IFERROR(__xludf.DUMMYFUNCTION("IF(REGEXMATCH(C96, ""R""), ""o"",""x"")"),"o")</f>
        <v>o</v>
      </c>
      <c r="CC96" s="246" t="str">
        <f>IFERROR(__xludf.DUMMYFUNCTION("IF(REGEXMATCH(C96, ""g""), ""o"",""x"")"),"x")</f>
        <v>x</v>
      </c>
      <c r="CD96" s="245" t="str">
        <f>IFERROR(__xludf.DUMMYFUNCTION("IF(REGEXMATCH(C96, ""G""), ""o"",""x"")"),"o")</f>
        <v>o</v>
      </c>
      <c r="CE96" s="245" t="str">
        <f>IFERROR(__xludf.DUMMYFUNCTION("IF(REGEXMATCH(C96, ""m""), ""o"",""x"")"),"o")</f>
        <v>o</v>
      </c>
      <c r="CF96" s="246" t="str">
        <f>IFERROR(__xludf.DUMMYFUNCTION("IF(REGEXMATCH(C96, ""M""), ""o"",""x"")"),"x")</f>
        <v>x</v>
      </c>
      <c r="CG96" s="245" t="str">
        <f>IFERROR(__xludf.DUMMYFUNCTION("IF(REGEXMATCH(C96, ""P""), ""o"",""x"")"),"o")</f>
        <v>o</v>
      </c>
      <c r="CH96" s="246" t="str">
        <f>IFERROR(__xludf.DUMMYFUNCTION("IF(REGEXMATCH(C96, ""d""), ""o"",""x"")"),"x")</f>
        <v>x</v>
      </c>
      <c r="CI96" s="245" t="str">
        <f>IFERROR(__xludf.DUMMYFUNCTION("IF(REGEXMATCH(C96, ""D""), ""o"",""x"")"),"o")</f>
        <v>o</v>
      </c>
      <c r="CJ96" s="245" t="str">
        <f>IFERROR(__xludf.DUMMYFUNCTION("IF(REGEXMATCH(C96, ""n""), ""o"",""x"")"),"o")</f>
        <v>o</v>
      </c>
      <c r="CK96" s="245" t="str">
        <f>IFERROR(__xludf.DUMMYFUNCTION("IF(REGEXMATCH(C96, ""N""), ""o"",""x"")"),"o")</f>
        <v>o</v>
      </c>
      <c r="CL96" s="356" t="str">
        <f>IFERROR(__xludf.DUMMYFUNCTION("IF(REGEXMATCH(C96, ""S""), ""x"",""x"")"),"x")</f>
        <v>x</v>
      </c>
      <c r="CM96" s="357" t="str">
        <f t="shared" si="33"/>
        <v>xxoxooxoxooo</v>
      </c>
      <c r="CN96" s="358">
        <f t="shared" si="34"/>
        <v>1</v>
      </c>
      <c r="CO96" s="246" t="str">
        <f>IFERROR(__xludf.DUMMYFUNCTION("IF(REGEXMATCH($C96, ""S""), ""S"",""S"")"),"S")</f>
        <v>S</v>
      </c>
      <c r="CP96" s="246" t="str">
        <f>IFERROR(__xludf.DUMMYFUNCTION("IF(REGEXMATCH($C96, ""r""), """",""r"")"),"r")</f>
        <v>r</v>
      </c>
      <c r="CQ96" s="246" t="str">
        <f>IFERROR(__xludf.DUMMYFUNCTION("IF(REGEXMATCH($C96, ""R""), """",""R"")"),"")</f>
        <v/>
      </c>
      <c r="CR96" s="246" t="str">
        <f>IFERROR(__xludf.DUMMYFUNCTION("IF(REGEXMATCH($C96, ""g""), """",""g"")"),"g")</f>
        <v>g</v>
      </c>
      <c r="CS96" s="246" t="str">
        <f>IFERROR(__xludf.DUMMYFUNCTION("IF(REGEXMATCH($C96, ""G""), """",""G"")"),"")</f>
        <v/>
      </c>
      <c r="CT96" s="246" t="str">
        <f>IFERROR(__xludf.DUMMYFUNCTION("IF(REGEXMATCH($C96, ""m""), """",""m"")"),"")</f>
        <v/>
      </c>
      <c r="CU96" s="246" t="str">
        <f>IFERROR(__xludf.DUMMYFUNCTION("IF(REGEXMATCH($C96, ""M""), """",""M"")"),"M")</f>
        <v>M</v>
      </c>
      <c r="CV96" s="246" t="str">
        <f>IFERROR(__xludf.DUMMYFUNCTION("IF(REGEXMATCH($C96, ""P""), """",""P"")"),"")</f>
        <v/>
      </c>
      <c r="CW96" s="246" t="str">
        <f>IFERROR(__xludf.DUMMYFUNCTION("IF(REGEXMATCH($C96, ""d""), """",""d"")"),"d")</f>
        <v>d</v>
      </c>
      <c r="CX96" s="246" t="str">
        <f>IFERROR(__xludf.DUMMYFUNCTION("IF(REGEXMATCH($C96, ""D""), """",""D"")"),"")</f>
        <v/>
      </c>
      <c r="CY96" s="246" t="str">
        <f>IFERROR(__xludf.DUMMYFUNCTION("IF(REGEXMATCH($C96, ""n""), """",""n"")"),"")</f>
        <v/>
      </c>
      <c r="CZ96" s="246" t="str">
        <f>IFERROR(__xludf.DUMMYFUNCTION("IF(REGEXMATCH($C96, ""N""), """",""N"")"),"")</f>
        <v/>
      </c>
      <c r="DA96" s="246" t="str">
        <f>IFERROR(__xludf.DUMMYFUNCTION("IF(REGEXMATCH($C96, ""S""), ""S"",""S"")"),"S")</f>
        <v>S</v>
      </c>
      <c r="DB96" s="362" t="str">
        <f>IFERROR(__xludf.DUMMYFUNCTION("JOIN("""",CO96:DA96,"""","""")"),"SrgMdS")</f>
        <v>SrgMdS</v>
      </c>
      <c r="DC96" s="363"/>
      <c r="DD96" s="301" t="str">
        <f t="shared" si="35"/>
        <v>#REF!</v>
      </c>
      <c r="DE96" s="302" t="str">
        <f t="shared" si="36"/>
        <v>#REF!</v>
      </c>
      <c r="DF96" s="301" t="str">
        <f t="shared" ref="DF96:DG96" si="392">SUBSTITUTE(S96,"-","")</f>
        <v>SRGM</v>
      </c>
      <c r="DG96" s="301" t="str">
        <f t="shared" si="392"/>
        <v>PDNS</v>
      </c>
      <c r="DH96" s="302" t="str">
        <f t="shared" si="38"/>
        <v>Bihag</v>
      </c>
      <c r="DI96" s="301" t="str">
        <f t="shared" si="39"/>
        <v>Hemi.</v>
      </c>
      <c r="DJ96" s="364" t="str">
        <f t="shared" si="40"/>
        <v>Co-Co.</v>
      </c>
      <c r="DK96" s="306" t="str">
        <f t="shared" si="41"/>
        <v>-</v>
      </c>
      <c r="DL96" s="366" t="str">
        <f t="shared" si="42"/>
        <v>-</v>
      </c>
      <c r="DM96" s="308" t="str">
        <f t="shared" si="43"/>
        <v>✔</v>
      </c>
      <c r="DN96" s="306" t="str">
        <f t="shared" si="44"/>
        <v>-</v>
      </c>
      <c r="DO96" s="306" t="str">
        <f t="shared" si="45"/>
        <v>-</v>
      </c>
      <c r="DP96" s="367" t="str">
        <f t="shared" si="46"/>
        <v>-</v>
      </c>
      <c r="DQ96" s="310" t="str">
        <f t="shared" si="47"/>
        <v>-</v>
      </c>
      <c r="DR96" s="310" t="str">
        <f t="shared" si="48"/>
        <v>-</v>
      </c>
      <c r="DS96" s="310" t="str">
        <f t="shared" si="49"/>
        <v>-</v>
      </c>
      <c r="DT96" s="310" t="str">
        <f t="shared" si="50"/>
        <v>-</v>
      </c>
      <c r="DU96" s="370" t="str">
        <f t="shared" si="51"/>
        <v>✔</v>
      </c>
      <c r="DV96" s="306" t="str">
        <f t="shared" si="52"/>
        <v>-</v>
      </c>
      <c r="DW96" s="306" t="str">
        <f t="shared" si="53"/>
        <v>-</v>
      </c>
      <c r="DX96" s="306" t="str">
        <f t="shared" si="54"/>
        <v>-</v>
      </c>
      <c r="DY96" s="306" t="str">
        <f t="shared" si="55"/>
        <v>-</v>
      </c>
      <c r="DZ96" s="306" t="str">
        <f t="shared" si="56"/>
        <v>-</v>
      </c>
      <c r="EA96" s="367" t="str">
        <f t="shared" si="57"/>
        <v>-</v>
      </c>
      <c r="EB96" s="310" t="str">
        <f>IFERROR(__xludf.DUMMYFUNCTION("IF(REGEXMATCH(AW96,AS96),""✔"",""-"")"),"✔")</f>
        <v>✔</v>
      </c>
      <c r="EC96" s="310" t="str">
        <f t="shared" si="58"/>
        <v>#REF!</v>
      </c>
      <c r="ED96" s="370" t="str">
        <f t="shared" si="59"/>
        <v>-</v>
      </c>
      <c r="EE96" s="340" t="str">
        <f t="shared" si="60"/>
        <v>S-R-G-m-P-D-nN-S</v>
      </c>
      <c r="EF96" s="371" t="str">
        <f>IFERROR(__xludf.DUMMYFUNCTION("CONCATENATE(JOIN("""",HC96:HO96))"),"SrRgmPdnS")</f>
        <v>SrRgmPdnS</v>
      </c>
      <c r="EG96" s="372">
        <f t="shared" si="61"/>
        <v>1</v>
      </c>
      <c r="EH96" s="373" t="str">
        <f>IFERROR(__xludf.DUMMYFUNCTION("CONCATENATE(JOIN("""",JC96:JO96))"),"Ni, ")</f>
        <v>Ni, </v>
      </c>
      <c r="EI96" s="322">
        <f t="shared" si="62"/>
        <v>0</v>
      </c>
      <c r="EJ96" s="374" t="str">
        <f>IFERROR(__xludf.DUMMYFUNCTION("CONCATENATE(JOIN("""",KC96:KO96))"),"")</f>
        <v/>
      </c>
      <c r="EK96" s="325" t="str">
        <f t="shared" si="63"/>
        <v>S-R2-G3-M1-P-D2-N2-N3-S</v>
      </c>
      <c r="EL96" s="326" t="str">
        <f t="shared" si="64"/>
        <v>1-2-3-4-5-6-b7-7-8</v>
      </c>
      <c r="EM96" s="318" t="str">
        <f t="shared" si="65"/>
        <v>#REF!</v>
      </c>
      <c r="EN96" s="328" t="str">
        <f>IFERROR(__xludf.DUMMYFUNCTION("SUBSTITUTE(SUBSTITUTE(SUBSTITUTE(SUBSTITUTE(CONCATENATE(JOIN("" "",HP96:IB96)),""  "","" ""),""  "","" ""),""  "","" ""),""  "","" "")"),"o • o • o o • o • o o o o")</f>
        <v>o • o • o o • o • o o o o</v>
      </c>
      <c r="EO96" s="368" t="str">
        <f t="shared" si="66"/>
        <v>-</v>
      </c>
      <c r="EP96" s="339" t="str">
        <f t="shared" si="67"/>
        <v>-</v>
      </c>
      <c r="EQ96" s="339" t="str">
        <f t="shared" si="68"/>
        <v>Sa-Pa</v>
      </c>
      <c r="ER96" s="339" t="str">
        <f t="shared" si="69"/>
        <v>-</v>
      </c>
      <c r="ES96" s="340" t="str">
        <f t="shared" si="70"/>
        <v>-</v>
      </c>
      <c r="ET96" s="363"/>
      <c r="EU96" s="376" t="b">
        <f>IFERROR(__xludf.DUMMYFUNCTION("arrayformula(sum(--REGEXMATCH(""SRGMPDNS"",split(REGEXREPLACE(C96,""(.)"",""$1~""),""~""))))=len(C96)
"),FALSE)</f>
        <v>0</v>
      </c>
      <c r="EV96" s="290" t="b">
        <f>IFERROR(__xludf.DUMMYFUNCTION("arrayformula(sum(--REGEXMATCH(""SRGmPDNS"",split(REGEXREPLACE(C96,""(.)"",""$1~""),""~""))))=len(C96)"),FALSE)</f>
        <v>0</v>
      </c>
      <c r="EW96" s="290" t="b">
        <f>IFERROR(__xludf.DUMMYFUNCTION("arrayformula(sum(--REGEXMATCH(""SRGmPDnS"",split(REGEXREPLACE(C96,""(.)"",""$1~""),""~""))))=len(C96)"),FALSE)</f>
        <v>0</v>
      </c>
      <c r="EX96" s="290" t="b">
        <f>IFERROR(__xludf.DUMMYFUNCTION("arrayformula(sum(--REGEXMATCH(""SRgmPDnS"",split(REGEXREPLACE(C96,""(.)"",""$1~""),""~""))))=len(C96)"),FALSE)</f>
        <v>0</v>
      </c>
      <c r="EY96" s="290" t="b">
        <f>IFERROR(__xludf.DUMMYFUNCTION("arrayformula(sum(--REGEXMATCH(""SRgmPdnS"",split(REGEXREPLACE(C96,""(.)"",""$1~""),""~""))))=len(C96)"),FALSE)</f>
        <v>0</v>
      </c>
      <c r="EZ96" s="290" t="b">
        <f>IFERROR(__xludf.DUMMYFUNCTION("arrayformula(sum(--REGEXMATCH(""SrgmPdnS"",split(REGEXREPLACE(C96,""(.)"",""$1~""),""~""))))=len(C96)"),FALSE)</f>
        <v>0</v>
      </c>
      <c r="FA96" s="290" t="b">
        <f>IFERROR(__xludf.DUMMYFUNCTION("arrayformula(sum(--REGEXMATCH(""SrGmPdNS"",split(REGEXREPLACE(C96,""(.)"",""$1~""),""~""))))=len(C96)"),FALSE)</f>
        <v>0</v>
      </c>
      <c r="FB96" s="290" t="b">
        <f>IFERROR(__xludf.DUMMYFUNCTION("arrayformula(sum(--REGEXMATCH(""SrGMPDNS"",split(REGEXREPLACE(C96,""(.)"",""$1~""),""~""))))=len(C96)"),FALSE)</f>
        <v>0</v>
      </c>
      <c r="FC96" s="290" t="b">
        <f>IFERROR(__xludf.DUMMYFUNCTION("arrayformula(sum(--REGEXMATCH(""SrGMPdNS"",split(REGEXREPLACE(C96,""(.)"",""$1~""),""~""))))=len(C96)"),FALSE)</f>
        <v>0</v>
      </c>
      <c r="FD96" s="377" t="b">
        <f>IFERROR(__xludf.DUMMYFUNCTION("arrayformula(sum(--REGEXMATCH(""SrgMPdNS"",split(REGEXREPLACE(C96,""(.)"",""$1~""),""~""))))=len(C96)"),FALSE)</f>
        <v>0</v>
      </c>
      <c r="FE96" s="269" t="str">
        <f t="shared" si="71"/>
        <v>-</v>
      </c>
      <c r="FF96" s="269" t="str">
        <f t="shared" si="72"/>
        <v>xoxxoxoxxxx</v>
      </c>
      <c r="FG96" s="271" t="str">
        <f t="shared" si="73"/>
        <v>-</v>
      </c>
      <c r="FH96" s="269" t="str">
        <f t="shared" si="74"/>
        <v>xxoxoxxxxox</v>
      </c>
      <c r="FI96" s="271" t="str">
        <f t="shared" si="75"/>
        <v>xoxoxxxxoxo</v>
      </c>
      <c r="FJ96" s="271" t="str">
        <f t="shared" si="76"/>
        <v>-</v>
      </c>
      <c r="FK96" s="271" t="str">
        <f t="shared" si="77"/>
        <v>xoxxxxoxoxx</v>
      </c>
      <c r="FL96" s="271" t="str">
        <f t="shared" si="78"/>
        <v>-</v>
      </c>
      <c r="FM96" s="271" t="str">
        <f t="shared" si="79"/>
        <v>xxxxoxoxxox</v>
      </c>
      <c r="FN96" s="271" t="str">
        <f t="shared" si="80"/>
        <v>xxxoxoxxoxo</v>
      </c>
      <c r="FO96" s="274" t="str">
        <f t="shared" si="81"/>
        <v>xxoxoxxoxox</v>
      </c>
      <c r="FP96" s="234" t="str">
        <f t="shared" si="82"/>
        <v>|</v>
      </c>
      <c r="FQ96" s="236" t="str">
        <f t="shared" si="83"/>
        <v>-</v>
      </c>
      <c r="FR96" s="237" t="str">
        <f t="shared" si="84"/>
        <v>|</v>
      </c>
      <c r="FS96" s="236" t="str">
        <f t="shared" si="85"/>
        <v>-</v>
      </c>
      <c r="FT96" s="237" t="str">
        <f t="shared" si="86"/>
        <v>|</v>
      </c>
      <c r="FU96" s="236" t="str">
        <f t="shared" si="87"/>
        <v>|</v>
      </c>
      <c r="FV96" s="237" t="str">
        <f t="shared" si="88"/>
        <v>-</v>
      </c>
      <c r="FW96" s="236" t="str">
        <f t="shared" si="89"/>
        <v>|</v>
      </c>
      <c r="FX96" s="237" t="str">
        <f t="shared" si="90"/>
        <v>-</v>
      </c>
      <c r="FY96" s="236" t="str">
        <f t="shared" si="91"/>
        <v>|</v>
      </c>
      <c r="FZ96" s="237" t="str">
        <f t="shared" si="92"/>
        <v>|</v>
      </c>
      <c r="GA96" s="236" t="str">
        <f t="shared" si="93"/>
        <v>|</v>
      </c>
      <c r="GB96" s="238" t="str">
        <f t="shared" si="94"/>
        <v>|</v>
      </c>
      <c r="GC96" s="244" t="str">
        <f>IFERROR(__xludf.DUMMYFUNCTION("IF(REGEXMATCH(C96, ""S""), ""1"","""")"),"1")</f>
        <v>1</v>
      </c>
      <c r="GD96" s="245" t="str">
        <f>IFERROR(__xludf.DUMMYFUNCTION("IF(REGEXMATCH(C96, ""r""), ""b2"","""")"),"")</f>
        <v/>
      </c>
      <c r="GE96" s="246" t="str">
        <f>IFERROR(__xludf.DUMMYFUNCTION("IF(REGEXMATCH(C96, ""R""), ""2"","""")"),"2")</f>
        <v>2</v>
      </c>
      <c r="GF96" s="246" t="str">
        <f>IFERROR(__xludf.DUMMYFUNCTION("IF(REGEXMATCH(C96, ""g""), ""b3"","""")"),"")</f>
        <v/>
      </c>
      <c r="GG96" s="245" t="str">
        <f>IFERROR(__xludf.DUMMYFUNCTION("IF(REGEXMATCH(C96, ""G""), ""3"","""")"),"3")</f>
        <v>3</v>
      </c>
      <c r="GH96" s="245" t="str">
        <f>IFERROR(__xludf.DUMMYFUNCTION("IF(REGEXMATCH(C96, ""m""), ""4"","""")"),"4")</f>
        <v>4</v>
      </c>
      <c r="GI96" s="246" t="str">
        <f>IFERROR(__xludf.DUMMYFUNCTION("IF(REGEXMATCH(C96, ""M""), ""#4"","""")"),"")</f>
        <v/>
      </c>
      <c r="GJ96" s="245" t="str">
        <f>IFERROR(__xludf.DUMMYFUNCTION("IF(REGEXMATCH(C96, ""P""), ""5"","""")"),"5")</f>
        <v>5</v>
      </c>
      <c r="GK96" s="246" t="str">
        <f>IFERROR(__xludf.DUMMYFUNCTION("IF(REGEXMATCH(C96, ""d""), ""b6"","""")"),"")</f>
        <v/>
      </c>
      <c r="GL96" s="245" t="str">
        <f>IFERROR(__xludf.DUMMYFUNCTION("IF(REGEXMATCH(C96, ""D""), ""6"","""")"),"6")</f>
        <v>6</v>
      </c>
      <c r="GM96" s="245" t="str">
        <f>IFERROR(__xludf.DUMMYFUNCTION("IF(REGEXMATCH(C96, ""n""), ""b7"","""")"),"b7")</f>
        <v>b7</v>
      </c>
      <c r="GN96" s="246" t="str">
        <f>IFERROR(__xludf.DUMMYFUNCTION("IF(REGEXMATCH(C96, ""N""), ""7"","""")"),"7")</f>
        <v>7</v>
      </c>
      <c r="GO96" s="249" t="str">
        <f>IFERROR(__xludf.DUMMYFUNCTION("IF(REGEXMATCH(C96, ""S""), ""8"","""")"),"8")</f>
        <v>8</v>
      </c>
      <c r="GP96" s="244" t="str">
        <f>IFERROR(__xludf.DUMMYFUNCTION("IF(REGEXMATCH(C96, ""S""), ""S"","""")"),"S")</f>
        <v>S</v>
      </c>
      <c r="GQ96" s="294" t="str">
        <f>IFERROR(__xludf.DUMMYFUNCTION("IF(REGEXMATCH(C96, ""r""), ""R1"","""")"),"")</f>
        <v/>
      </c>
      <c r="GR96" s="295" t="str">
        <f>IFERROR(__xludf.DUMMYFUNCTION("IF(REGEXMATCH(C96, ""R""), ""R2"","""")"),"R2")</f>
        <v>R2</v>
      </c>
      <c r="GS96" s="295" t="str">
        <f>IFERROR(__xludf.DUMMYFUNCTION("IF(REGEXMATCH(C96, ""g""), ""G2"","""")"),"")</f>
        <v/>
      </c>
      <c r="GT96" s="294" t="str">
        <f>IFERROR(__xludf.DUMMYFUNCTION("IF(REGEXMATCH(C96, ""G""), ""G3"","""")"),"G3")</f>
        <v>G3</v>
      </c>
      <c r="GU96" s="294" t="str">
        <f>IFERROR(__xludf.DUMMYFUNCTION("IF(REGEXMATCH(C96, ""m""), ""M1"","""")"),"M1")</f>
        <v>M1</v>
      </c>
      <c r="GV96" s="295" t="str">
        <f>IFERROR(__xludf.DUMMYFUNCTION("IF(REGEXMATCH(C96, ""M""), ""M2"","""")"),"")</f>
        <v/>
      </c>
      <c r="GW96" s="294" t="str">
        <f>IFERROR(__xludf.DUMMYFUNCTION("IF(REGEXMATCH(C96, ""P""), ""P"","""")"),"P")</f>
        <v>P</v>
      </c>
      <c r="GX96" s="295" t="str">
        <f>IFERROR(__xludf.DUMMYFUNCTION("IF(REGEXMATCH(C96, ""d""), ""D1"","""")"),"")</f>
        <v/>
      </c>
      <c r="GY96" s="294" t="str">
        <f>IFERROR(__xludf.DUMMYFUNCTION("IF(REGEXMATCH(C96, ""D""), ""D2"","""")"),"D2")</f>
        <v>D2</v>
      </c>
      <c r="GZ96" s="294" t="str">
        <f>IFERROR(__xludf.DUMMYFUNCTION("IF(REGEXMATCH(C96, ""n""), ""N2"","""")"),"N2")</f>
        <v>N2</v>
      </c>
      <c r="HA96" s="295" t="str">
        <f>IFERROR(__xludf.DUMMYFUNCTION("IF(REGEXMATCH(C96, ""N""), ""N3"","""")"),"N3")</f>
        <v>N3</v>
      </c>
      <c r="HB96" s="249" t="str">
        <f>IFERROR(__xludf.DUMMYFUNCTION("IF(REGEXMATCH(C96, ""S""), ""S"","""")"),"S")</f>
        <v>S</v>
      </c>
      <c r="HC96" s="331" t="str">
        <f t="shared" si="95"/>
        <v>S</v>
      </c>
      <c r="HD96" s="332" t="str">
        <f t="shared" si="96"/>
        <v>r</v>
      </c>
      <c r="HE96" s="332" t="str">
        <f t="shared" si="97"/>
        <v>R</v>
      </c>
      <c r="HF96" s="332" t="str">
        <f t="shared" si="98"/>
        <v>g</v>
      </c>
      <c r="HG96" s="332" t="str">
        <f t="shared" si="99"/>
        <v/>
      </c>
      <c r="HH96" s="332" t="str">
        <f t="shared" si="100"/>
        <v>m</v>
      </c>
      <c r="HI96" s="332" t="str">
        <f t="shared" si="101"/>
        <v/>
      </c>
      <c r="HJ96" s="332" t="str">
        <f t="shared" si="102"/>
        <v>P</v>
      </c>
      <c r="HK96" s="332" t="str">
        <f t="shared" si="103"/>
        <v>d</v>
      </c>
      <c r="HL96" s="332" t="str">
        <f t="shared" si="104"/>
        <v/>
      </c>
      <c r="HM96" s="332" t="str">
        <f t="shared" si="105"/>
        <v>n</v>
      </c>
      <c r="HN96" s="332" t="str">
        <f t="shared" si="106"/>
        <v/>
      </c>
      <c r="HO96" s="343" t="str">
        <f t="shared" si="107"/>
        <v>S</v>
      </c>
      <c r="HP96" s="331" t="str">
        <f t="shared" si="108"/>
        <v>o</v>
      </c>
      <c r="HQ96" s="332" t="str">
        <f t="shared" si="109"/>
        <v>•</v>
      </c>
      <c r="HR96" s="332" t="str">
        <f t="shared" si="110"/>
        <v>o</v>
      </c>
      <c r="HS96" s="332" t="str">
        <f t="shared" si="111"/>
        <v>•</v>
      </c>
      <c r="HT96" s="332" t="str">
        <f t="shared" si="112"/>
        <v>o</v>
      </c>
      <c r="HU96" s="332" t="str">
        <f t="shared" si="113"/>
        <v>o</v>
      </c>
      <c r="HV96" s="332" t="str">
        <f t="shared" si="114"/>
        <v>•</v>
      </c>
      <c r="HW96" s="332" t="str">
        <f t="shared" si="115"/>
        <v>o</v>
      </c>
      <c r="HX96" s="332" t="str">
        <f t="shared" si="116"/>
        <v>•</v>
      </c>
      <c r="HY96" s="332" t="str">
        <f t="shared" si="117"/>
        <v>o</v>
      </c>
      <c r="HZ96" s="332" t="str">
        <f t="shared" si="118"/>
        <v>o</v>
      </c>
      <c r="IA96" s="332" t="str">
        <f t="shared" si="119"/>
        <v>o</v>
      </c>
      <c r="IB96" s="338" t="str">
        <f t="shared" si="120"/>
        <v>o</v>
      </c>
      <c r="IC96" s="331" t="str">
        <f t="shared" si="121"/>
        <v>•</v>
      </c>
      <c r="ID96" s="332" t="str">
        <f t="shared" si="122"/>
        <v>o</v>
      </c>
      <c r="IE96" s="332" t="str">
        <f t="shared" si="123"/>
        <v>•</v>
      </c>
      <c r="IF96" s="332" t="str">
        <f t="shared" si="124"/>
        <v>o</v>
      </c>
      <c r="IG96" s="332" t="str">
        <f t="shared" si="125"/>
        <v>•</v>
      </c>
      <c r="IH96" s="332" t="str">
        <f t="shared" si="126"/>
        <v>•</v>
      </c>
      <c r="II96" s="332" t="str">
        <f t="shared" si="127"/>
        <v>o</v>
      </c>
      <c r="IJ96" s="332" t="str">
        <f t="shared" si="128"/>
        <v>•</v>
      </c>
      <c r="IK96" s="332" t="str">
        <f t="shared" si="129"/>
        <v>o</v>
      </c>
      <c r="IL96" s="332" t="str">
        <f t="shared" si="130"/>
        <v>•</v>
      </c>
      <c r="IM96" s="332" t="str">
        <f t="shared" si="131"/>
        <v>•</v>
      </c>
      <c r="IN96" s="332" t="str">
        <f t="shared" si="132"/>
        <v>•</v>
      </c>
      <c r="IO96" s="338" t="str">
        <f t="shared" si="133"/>
        <v>•</v>
      </c>
      <c r="IP96" s="346" t="b">
        <f t="shared" si="134"/>
        <v>0</v>
      </c>
      <c r="IQ96" s="347" t="b">
        <f t="shared" si="135"/>
        <v>0</v>
      </c>
      <c r="IR96" s="347" t="b">
        <f t="shared" si="136"/>
        <v>0</v>
      </c>
      <c r="IS96" s="347" t="b">
        <f t="shared" si="137"/>
        <v>0</v>
      </c>
      <c r="IT96" s="347" t="b">
        <f t="shared" si="138"/>
        <v>0</v>
      </c>
      <c r="IU96" s="347" t="b">
        <f t="shared" si="139"/>
        <v>0</v>
      </c>
      <c r="IV96" s="347" t="b">
        <f t="shared" si="140"/>
        <v>0</v>
      </c>
      <c r="IW96" s="347" t="b">
        <f t="shared" si="141"/>
        <v>0</v>
      </c>
      <c r="IX96" s="347" t="b">
        <f t="shared" si="142"/>
        <v>0</v>
      </c>
      <c r="IY96" s="347" t="b">
        <f t="shared" si="143"/>
        <v>0</v>
      </c>
      <c r="IZ96" s="347" t="b">
        <f t="shared" si="144"/>
        <v>0</v>
      </c>
      <c r="JA96" s="347" t="b">
        <f t="shared" si="145"/>
        <v>1</v>
      </c>
      <c r="JB96" s="353" t="b">
        <f t="shared" si="146"/>
        <v>0</v>
      </c>
      <c r="JC96" s="354" t="str">
        <f t="shared" si="147"/>
        <v/>
      </c>
      <c r="JD96" s="355" t="str">
        <f t="shared" si="148"/>
        <v/>
      </c>
      <c r="JE96" s="355" t="str">
        <f t="shared" si="149"/>
        <v/>
      </c>
      <c r="JF96" s="355" t="str">
        <f t="shared" si="150"/>
        <v/>
      </c>
      <c r="JG96" s="355" t="str">
        <f t="shared" si="151"/>
        <v/>
      </c>
      <c r="JH96" s="355" t="str">
        <f t="shared" si="152"/>
        <v/>
      </c>
      <c r="JI96" s="355" t="str">
        <f t="shared" si="153"/>
        <v/>
      </c>
      <c r="JJ96" s="355" t="str">
        <f t="shared" si="154"/>
        <v/>
      </c>
      <c r="JK96" s="355" t="str">
        <f t="shared" si="155"/>
        <v/>
      </c>
      <c r="JL96" s="355" t="str">
        <f t="shared" si="156"/>
        <v/>
      </c>
      <c r="JM96" s="355" t="str">
        <f t="shared" si="157"/>
        <v/>
      </c>
      <c r="JN96" s="355" t="str">
        <f t="shared" si="158"/>
        <v>Ni, </v>
      </c>
      <c r="JO96" s="359" t="str">
        <f t="shared" si="159"/>
        <v/>
      </c>
      <c r="JP96" s="346" t="b">
        <f t="shared" si="160"/>
        <v>0</v>
      </c>
      <c r="JQ96" s="347" t="b">
        <f t="shared" si="161"/>
        <v>0</v>
      </c>
      <c r="JR96" s="347" t="b">
        <f t="shared" si="162"/>
        <v>0</v>
      </c>
      <c r="JS96" s="347" t="b">
        <f t="shared" si="163"/>
        <v>0</v>
      </c>
      <c r="JT96" s="347" t="b">
        <f t="shared" si="164"/>
        <v>0</v>
      </c>
      <c r="JU96" s="347" t="b">
        <f t="shared" si="165"/>
        <v>0</v>
      </c>
      <c r="JV96" s="347" t="b">
        <f t="shared" si="166"/>
        <v>0</v>
      </c>
      <c r="JW96" s="347" t="b">
        <f t="shared" si="167"/>
        <v>0</v>
      </c>
      <c r="JX96" s="347" t="b">
        <f t="shared" si="168"/>
        <v>0</v>
      </c>
      <c r="JY96" s="347" t="b">
        <f t="shared" si="169"/>
        <v>0</v>
      </c>
      <c r="JZ96" s="347" t="b">
        <f t="shared" si="170"/>
        <v>0</v>
      </c>
      <c r="KA96" s="347" t="b">
        <f t="shared" si="171"/>
        <v>0</v>
      </c>
      <c r="KB96" s="365" t="b">
        <f t="shared" si="172"/>
        <v>0</v>
      </c>
      <c r="KC96" s="354" t="str">
        <f t="shared" si="173"/>
        <v/>
      </c>
      <c r="KD96" s="355" t="str">
        <f t="shared" si="174"/>
        <v/>
      </c>
      <c r="KE96" s="355" t="str">
        <f t="shared" si="175"/>
        <v/>
      </c>
      <c r="KF96" s="355" t="str">
        <f t="shared" si="176"/>
        <v/>
      </c>
      <c r="KG96" s="355" t="str">
        <f t="shared" si="177"/>
        <v/>
      </c>
      <c r="KH96" s="355" t="str">
        <f t="shared" si="178"/>
        <v/>
      </c>
      <c r="KI96" s="355" t="str">
        <f t="shared" si="179"/>
        <v/>
      </c>
      <c r="KJ96" s="355" t="str">
        <f t="shared" si="180"/>
        <v/>
      </c>
      <c r="KK96" s="355" t="str">
        <f t="shared" si="181"/>
        <v/>
      </c>
      <c r="KL96" s="355" t="str">
        <f t="shared" si="182"/>
        <v/>
      </c>
      <c r="KM96" s="355" t="str">
        <f t="shared" si="183"/>
        <v/>
      </c>
      <c r="KN96" s="355" t="str">
        <f t="shared" si="184"/>
        <v/>
      </c>
      <c r="KO96" s="359"/>
      <c r="KP96" s="378"/>
      <c r="KQ96" s="379" t="s">
        <v>871</v>
      </c>
      <c r="KR96" s="380" t="s">
        <v>1284</v>
      </c>
      <c r="KS96" s="381" t="str">
        <f t="shared" si="380"/>
        <v>S-R-G-P-D-N-S</v>
      </c>
      <c r="KT96" s="382">
        <f t="shared" si="186"/>
        <v>6</v>
      </c>
      <c r="KU96" s="383">
        <f t="shared" si="187"/>
        <v>6</v>
      </c>
      <c r="KV96" s="381" t="str">
        <f t="shared" si="205"/>
        <v>S-Nn-D-P-m-G-R-S</v>
      </c>
      <c r="KW96" s="382">
        <f t="shared" si="189"/>
        <v>7</v>
      </c>
      <c r="KX96" s="384">
        <f t="shared" si="190"/>
        <v>8</v>
      </c>
      <c r="KY96" s="382">
        <f t="shared" ref="KY96:KZ96" si="393">KW96-KT96</f>
        <v>1</v>
      </c>
      <c r="KZ96" s="369">
        <f t="shared" si="393"/>
        <v>2</v>
      </c>
      <c r="LA96" s="385" t="str">
        <f t="shared" si="192"/>
        <v>-</v>
      </c>
      <c r="LB96" s="340" t="str">
        <f>IFERROR(__xludf.DUMMYFUNCTION("JOIN("""",ArrayFormula(MID(KS96,LEN(KS96)-SEQUENCE(1,LEN(KS96))+1,1)))"),"S-N-D-P-G-R-S")</f>
        <v>S-N-D-P-G-R-S</v>
      </c>
      <c r="LC96" s="373" t="str">
        <f>IFERROR(__xludf.DUMMYFUNCTION("JOIN("""",ArrayFormula(MID(KV96,LEN(KV96)-SEQUENCE(1,LEN(KV96))+1,1)))"),"S-R-G-m-P-D-nN-S")</f>
        <v>S-R-G-m-P-D-nN-S</v>
      </c>
      <c r="LD96" s="373" t="str">
        <f t="shared" si="193"/>
        <v>SRGPDNS</v>
      </c>
      <c r="LE96" s="339" t="str">
        <f t="shared" si="194"/>
        <v>SRGmPDnNS</v>
      </c>
      <c r="LF96" s="386" t="str">
        <f>IFERROR(__xludf.DUMMYFUNCTION("SUBSTITUTE(SUBSTITUTE(CONCATENATE(JOIN("""",LH96:LT96)),""1"",""""),""2"","""")"),"SRGmPDnNS")</f>
        <v>SRGmPDnNS</v>
      </c>
      <c r="LG96" s="369" t="str">
        <f t="shared" si="195"/>
        <v>✔</v>
      </c>
      <c r="LH96" s="387" t="str">
        <f>IFERROR(__xludf.DUMMYFUNCTION("IF(REGEXMATCH(LD96, ""S""), ""S"",IF(REGEXMATCH(LE96, ""S""), ""S"",""""))"),"S")</f>
        <v>S</v>
      </c>
      <c r="LI96" s="299" t="str">
        <f>IFERROR(__xludf.DUMMYFUNCTION("IF(REGEXMATCH(LD96, ""r""), ""r1"",IF(REGEXMATCH(LE96, ""r""), ""r2"",""""))"),"")</f>
        <v/>
      </c>
      <c r="LJ96" s="299" t="str">
        <f>IFERROR(__xludf.DUMMYFUNCTION("IF(REGEXMATCH(LD96, ""R""), ""R1"",IF(REGEXMATCH(LE96, ""R""), ""R2"",""""))"),"R1")</f>
        <v>R1</v>
      </c>
      <c r="LK96" s="299" t="str">
        <f>IFERROR(__xludf.DUMMYFUNCTION("IF(REGEXMATCH(LD96, ""g""), ""g1"",IF(REGEXMATCH(LE96, ""g""), ""g2"",""""))"),"")</f>
        <v/>
      </c>
      <c r="LL96" s="299" t="str">
        <f>IFERROR(__xludf.DUMMYFUNCTION("IF(REGEXMATCH(LD96, ""G""), ""G1"",IF(REGEXMATCH(LE96, ""G""), ""G2"",""""))"),"G1")</f>
        <v>G1</v>
      </c>
      <c r="LM96" s="299" t="str">
        <f>IFERROR(__xludf.DUMMYFUNCTION("IF(REGEXMATCH(LD96, ""m""), ""m1"",IF(REGEXMATCH(LE96, ""m""), ""m2"",""""))"),"m2")</f>
        <v>m2</v>
      </c>
      <c r="LN96" s="299" t="str">
        <f>IFERROR(__xludf.DUMMYFUNCTION("IF(REGEXMATCH(LD96, ""M""), ""M1"",IF(REGEXMATCH(LE96, ""M""), ""M2"",""""))"),"")</f>
        <v/>
      </c>
      <c r="LO96" s="299" t="str">
        <f>IFERROR(__xludf.DUMMYFUNCTION("IF(REGEXMATCH(LD96, ""P""), ""P1"",IF(REGEXMATCH(LE96, ""P""), ""P2"",""""))"),"P1")</f>
        <v>P1</v>
      </c>
      <c r="LP96" s="299" t="str">
        <f>IFERROR(__xludf.DUMMYFUNCTION("IF(REGEXMATCH(LD96, ""d""), ""d1"",IF(REGEXMATCH(LE96, ""d""), ""d2"",""""))"),"")</f>
        <v/>
      </c>
      <c r="LQ96" s="299" t="str">
        <f>IFERROR(__xludf.DUMMYFUNCTION("IF(REGEXMATCH(LD96, ""D""), ""D1"",IF(REGEXMATCH(LE96, ""D""), ""D2"",""""))"),"D1")</f>
        <v>D1</v>
      </c>
      <c r="LR96" s="299" t="str">
        <f>IFERROR(__xludf.DUMMYFUNCTION("IF(REGEXMATCH(LD96, ""n""), ""n1"",IF(REGEXMATCH(LE96, ""n""), ""n2"",""""))"),"n2")</f>
        <v>n2</v>
      </c>
      <c r="LS96" s="299" t="str">
        <f>IFERROR(__xludf.DUMMYFUNCTION("IF(REGEXMATCH(LD96, ""N""), ""N1"",IF(REGEXMATCH(LE96, ""N""), ""N2"",""""))"),"N1")</f>
        <v>N1</v>
      </c>
      <c r="LT96" s="388" t="str">
        <f>IFERROR(__xludf.DUMMYFUNCTION("IF(REGEXMATCH(LD96, ""S""), ""S"",IF(REGEXMATCH(LE96, ""S""), ""S"",""""))"),"S")</f>
        <v>S</v>
      </c>
      <c r="LU96" s="389">
        <f t="shared" si="196"/>
        <v>-2</v>
      </c>
      <c r="LV96" s="378"/>
      <c r="LW96" s="369"/>
      <c r="LX96" s="369"/>
    </row>
    <row r="97" ht="18.0" customHeight="1">
      <c r="A97" s="298" t="s">
        <v>701</v>
      </c>
      <c r="B97" s="222" t="s">
        <v>702</v>
      </c>
      <c r="C97" s="233" t="str">
        <f t="shared" si="7"/>
        <v>SmPdNS</v>
      </c>
      <c r="D97" s="234" t="str">
        <f>IFERROR(__xludf.DUMMYFUNCTION("IF(REGEXMATCH(C97, ""S""), ""S"","""")"),"S")</f>
        <v>S</v>
      </c>
      <c r="E97" s="236" t="str">
        <f>IFERROR(__xludf.DUMMYFUNCTION("IF(REGEXMATCH(C97, ""r""), ""r"","""")"),"")</f>
        <v/>
      </c>
      <c r="F97" s="237" t="str">
        <f>IFERROR(__xludf.DUMMYFUNCTION("IF(REGEXMATCH(C97, ""R""), ""R"","""")"),"")</f>
        <v/>
      </c>
      <c r="G97" s="237" t="str">
        <f>IFERROR(__xludf.DUMMYFUNCTION("IF(REGEXMATCH(C97, ""g""), ""g"","""")"),"")</f>
        <v/>
      </c>
      <c r="H97" s="236" t="str">
        <f>IFERROR(__xludf.DUMMYFUNCTION("IF(REGEXMATCH(C97, ""G""), ""G"","""")"),"")</f>
        <v/>
      </c>
      <c r="I97" s="236" t="str">
        <f>IFERROR(__xludf.DUMMYFUNCTION("IF(REGEXMATCH(C97, ""m""), ""m"","""")"),"m")</f>
        <v>m</v>
      </c>
      <c r="J97" s="237" t="str">
        <f>IFERROR(__xludf.DUMMYFUNCTION("IF(REGEXMATCH(C97, ""M""), ""M"","""")"),"")</f>
        <v/>
      </c>
      <c r="K97" s="236" t="str">
        <f>IFERROR(__xludf.DUMMYFUNCTION("IF(REGEXMATCH(C97, ""P""), ""P"","""")"),"P")</f>
        <v>P</v>
      </c>
      <c r="L97" s="237" t="str">
        <f>IFERROR(__xludf.DUMMYFUNCTION("IF(REGEXMATCH(C97, ""d""), ""d"","""")"),"d")</f>
        <v>d</v>
      </c>
      <c r="M97" s="236" t="str">
        <f>IFERROR(__xludf.DUMMYFUNCTION("IF(REGEXMATCH(C97, ""D""), ""D"","""")"),"")</f>
        <v/>
      </c>
      <c r="N97" s="236" t="str">
        <f>IFERROR(__xludf.DUMMYFUNCTION("IF(REGEXMATCH(C97, ""n""), ""n"","""")"),"")</f>
        <v/>
      </c>
      <c r="O97" s="237" t="str">
        <f>IFERROR(__xludf.DUMMYFUNCTION("IF(REGEXMATCH(C97, ""N""), ""N"","""")"),"N")</f>
        <v>N</v>
      </c>
      <c r="P97" s="238" t="str">
        <f>IFERROR(__xludf.DUMMYFUNCTION("IF(REGEXMATCH(C97, ""S""), ""S"","""")"),"S")</f>
        <v>S</v>
      </c>
      <c r="Q97" s="239" t="str">
        <f>IFERROR(__xludf.DUMMYFUNCTION("SUBSTITUTE(CONCATENATE(JOIN(""-"",D97:J97)),""-"","""")"),"Sm")</f>
        <v>Sm</v>
      </c>
      <c r="R97" s="229" t="str">
        <f>IFERROR(__xludf.DUMMYFUNCTION("SUBSTITUTE(CONCATENATE(JOIN(""-"",K97:P97)),""-"","""")"),"PdNS")</f>
        <v>PdNS</v>
      </c>
      <c r="S97" s="282" t="str">
        <f t="shared" si="8"/>
        <v>S-M</v>
      </c>
      <c r="T97" s="282" t="str">
        <f t="shared" si="9"/>
        <v>P-D-N-S</v>
      </c>
      <c r="U97" s="237" t="str">
        <f>IFERROR(__xludf.DUMMYFUNCTION("SUBSTITUTE(JOIN(""-"",S97,T97),""--"",""-"")"),"S-M-P-D-N-S")</f>
        <v>S-M-P-D-N-S</v>
      </c>
      <c r="V97" s="309" t="str">
        <f t="shared" si="10"/>
        <v>mdN</v>
      </c>
      <c r="W97" s="244" t="str">
        <f>IFERROR(__xludf.DUMMYFUNCTION("IF(REGEXMATCH(C97, ""S""), ""0"","""")"),"0")</f>
        <v>0</v>
      </c>
      <c r="X97" s="245" t="str">
        <f>IFERROR(__xludf.DUMMYFUNCTION("IF(REGEXMATCH(C97, ""r""), ""1"","""")"),"")</f>
        <v/>
      </c>
      <c r="Y97" s="246" t="str">
        <f>IFERROR(__xludf.DUMMYFUNCTION("IF(REGEXMATCH(C97, ""R""), ""2"","""")"),"")</f>
        <v/>
      </c>
      <c r="Z97" s="246" t="str">
        <f>IFERROR(__xludf.DUMMYFUNCTION("IF(REGEXMATCH(C97, ""g""), ""3"","""")"),"")</f>
        <v/>
      </c>
      <c r="AA97" s="245" t="str">
        <f>IFERROR(__xludf.DUMMYFUNCTION("IF(REGEXMATCH(C97, ""G""), ""4"","""")"),"")</f>
        <v/>
      </c>
      <c r="AB97" s="245" t="str">
        <f>IFERROR(__xludf.DUMMYFUNCTION("IF(REGEXMATCH(C97, ""m""), ""5"","""")"),"5")</f>
        <v>5</v>
      </c>
      <c r="AC97" s="246" t="str">
        <f>IFERROR(__xludf.DUMMYFUNCTION("IF(REGEXMATCH(C97, ""M""), ""6"","""")"),"")</f>
        <v/>
      </c>
      <c r="AD97" s="245" t="str">
        <f>IFERROR(__xludf.DUMMYFUNCTION("IF(REGEXMATCH(C97, ""P""), ""7"","""")"),"7")</f>
        <v>7</v>
      </c>
      <c r="AE97" s="246" t="str">
        <f>IFERROR(__xludf.DUMMYFUNCTION("IF(REGEXMATCH(C97, ""d""), ""8"","""")"),"8")</f>
        <v>8</v>
      </c>
      <c r="AF97" s="245" t="str">
        <f>IFERROR(__xludf.DUMMYFUNCTION("IF(REGEXMATCH(C97, ""D""), ""9"","""")"),"")</f>
        <v/>
      </c>
      <c r="AG97" s="245" t="str">
        <f>IFERROR(__xludf.DUMMYFUNCTION("IF(REGEXMATCH(C97, ""n""), ""10"","""")"),"")</f>
        <v/>
      </c>
      <c r="AH97" s="246" t="str">
        <f>IFERROR(__xludf.DUMMYFUNCTION("IF(REGEXMATCH(C97, ""N""), ""11"","""")"),"11")</f>
        <v>11</v>
      </c>
      <c r="AI97" s="249" t="str">
        <f>IFERROR(__xludf.DUMMYFUNCTION("IF(REGEXMATCH(C97, ""S""), ""0"","""")"),"0")</f>
        <v>0</v>
      </c>
      <c r="AJ97" s="313" t="str">
        <f t="shared" si="11"/>
        <v>-</v>
      </c>
      <c r="AK97" s="313" t="str">
        <f t="shared" si="12"/>
        <v>-</v>
      </c>
      <c r="AL97" s="313" t="str">
        <f t="shared" si="13"/>
        <v>-</v>
      </c>
      <c r="AM97" s="313" t="str">
        <f t="shared" si="14"/>
        <v>-</v>
      </c>
      <c r="AN97" s="313" t="str">
        <f t="shared" si="15"/>
        <v>-</v>
      </c>
      <c r="AO97" s="314" t="str">
        <f t="shared" si="16"/>
        <v>T</v>
      </c>
      <c r="AP97" s="316">
        <f t="shared" si="17"/>
        <v>1</v>
      </c>
      <c r="AQ97" s="319" t="str">
        <f t="shared" si="18"/>
        <v>#REF!</v>
      </c>
      <c r="AR97" s="320">
        <f t="shared" si="19"/>
        <v>0</v>
      </c>
      <c r="AS97" s="250" t="str">
        <f>IFERROR(__xludf.DUMMYFUNCTION("SUBSTITUTE(SUBSTITUTE(CONCATENATE(JOIN("""",FP97:GA97)),""|"",""x""),""-"",""o"")"),"xooooxoxxoox")</f>
        <v>xooooxoxxoox</v>
      </c>
      <c r="AT97" s="323" t="str">
        <f>IFERROR(__xludf.DUMMYFUNCTION("JOIN("""",AS97,AS97)"),"xooooxoxxooxxooooxoxxoox")</f>
        <v>xooooxoxxooxxooooxoxxoox</v>
      </c>
      <c r="AU97" s="256" t="str">
        <f>IFERROR(__xludf.DUMMYFUNCTION("JOIN("""",ArrayFormula(MID(AS97,LEN(AS97)-SEQUENCE(1,LEN(AS97))+1,1)))"),"xooxxoxoooox")</f>
        <v>xooxxoxoooox</v>
      </c>
      <c r="AV97" s="256" t="str">
        <f>IFERROR(__xludf.DUMMYFUNCTION("LEFT(CONCATENATE(""x"",JOIN("""",ArrayFormula(MID(AS97,LEN(AS97)-SEQUENCE(1,LEN(AS97))+1,1)))),12)"),"xxooxxoxoooo")</f>
        <v>xxooxxoxoooo</v>
      </c>
      <c r="AW97" s="327" t="str">
        <f>IFERROR(__xludf.DUMMYFUNCTION("JOIN("""",AU97,AU97)"),"xooxxoxooooxxooxxoxoooox")</f>
        <v>xooxxoxooooxxooxxoxoooox</v>
      </c>
      <c r="AX97" s="239" t="str">
        <f>IFERROR(__xludf.DUMMYFUNCTION("IF(REGEXMATCH(AW97,AS97),""✔"",""-"")"),"-")</f>
        <v>-</v>
      </c>
      <c r="AY97" s="330" t="str">
        <f t="shared" si="20"/>
        <v>-</v>
      </c>
      <c r="AZ97" s="260" t="str">
        <f t="shared" si="21"/>
        <v>#REF!</v>
      </c>
      <c r="BA97" s="333" t="str">
        <f t="shared" si="22"/>
        <v>xooooxo</v>
      </c>
      <c r="BB97" s="334" t="str">
        <f t="shared" si="23"/>
        <v>xxooxx</v>
      </c>
      <c r="BC97" s="335" t="str">
        <f t="shared" si="236"/>
        <v>-</v>
      </c>
      <c r="BD97" s="336" t="str">
        <f t="shared" si="25"/>
        <v>Devranjani: 'xooooxo' + 'xxooxx'</v>
      </c>
      <c r="BE97" s="337">
        <f>IFERROR(__xludf.DUMMYFUNCTION("COUNTUNIQUE(FILTER(AT:AT,REGEXMATCH(AT:AT,AS97)))-1"),0.0)</f>
        <v>0</v>
      </c>
      <c r="BF97" s="261" t="str">
        <f>IFERROR(__xludf.DUMMYFUNCTION("IF(BI97=0,""(n/a)"",IF(BJ97=2,""(PAIR)"",IF(REGEXMATCH(AT97,""xoxoxxoxoxox""),""Bilawal"",IF(REGEXMATCH(AT97,""xoxoxooxoxoo""),""Bhupali"",IF(REGEXMATCH(AT97,""xoxoxxoxxoxo""),""Charukeshi"",IF(REGEXMATCH(AT97,""xoxoooxxoxxo""),""Kameshwari"",IF(REGEXMATC"&amp;"H(AT97,""xoxoxooxoxox""),""Shankara"",IF(REGEXMATCH(AT97,""xxooxoxxxoox""),""Basant"",IF(REGEXMATCH(AT97,""xoxoxxxxoxox""),""Bihag"",IF(REGEXMATCH(AT97,""xoxxxxoxoxxx""),""Pilu"",IF(REGEXMATCH(AT97,""xoxxoxoxxoox""),""Kirwani"",IF(REGEXMATCH(AT97,""xoxxox"&amp;"oxoxxx""),""Mk.Malhar"",IF(REGEXMATCH(AT97,""xxooxxoxxoox""),""Bhairav"",IF(REGEXMATCH(AT97,""xxoxooxxxoox""),""Todi"",IF(REGEXMATCH(AT97,""xxooxoxooxox""),""Marwa"",IF(REGEXMATCH(AT97,""xxoooxoxxooo""),""Gunkali"",IF(REGEXMATCH(AT97,""xoxoxxoxxoox""),""N"&amp;"at Bhairav"",IF(REGEXMATCH(AT97,""xoxxoooxoxoo""),""Shivranjani"",IF(REGEXMATCH(AT97,""xooxxxoxooxo""),""Jog"",IF(REGEXMATCH(AT97,""xxooxoxoxoox""),""Hemshri"",IF(REGEXMATCH(AT97,""xoooxooxoxxo""),""Kalavati"",IF(REGEXMATCH(AT97,""xxoxoxxoxoox""),""Kedar"&amp;""",IF(REGEXMATCH(AT97,""xoxxxxoxooxx""),""Gara"",IF(REGEXMATCH(AT97,""xooxoxooxoox""),""Chandrakauns"",IF(REGEXMATCH(AT97,""xoxxxxoxxxox""),""Mand"",IF(REGEXMATCH(AT97,""xoxxxxoxoxox""),""Hanskinkini"",IF(REGEXMATCH(AT97,""xxooxxoxooxo""),""Lilavati"",IF("&amp;"REGEXMATCH(AT97,""xooxoxoooxox""),""Rajeshwari"",IF(REGEXMATCH(AT97,""xoooxxoxoxxx""),""Khokar"",IF(REGEXMATCH(AT97,""xxooxoxxxxox""),""Maligoura"",""-""))))))))))))))))))))))))))))))"),"(n/a)")</f>
        <v>(n/a)</v>
      </c>
      <c r="BG97" s="239" t="str">
        <f t="shared" si="26"/>
        <v>#REF!</v>
      </c>
      <c r="BH97" s="239">
        <f>IFERROR(__xludf.DUMMYFUNCTION("COUNTUNIQUE(FE97:FO97)-1"),4.0)</f>
        <v>4</v>
      </c>
      <c r="BI97" s="239">
        <f>IFERROR(__xludf.DUMMYFUNCTION("COUNTUNIQUE(FILTER(AT:AT,REGEXMATCH(AT:AT,AS97)))-1"),0.0)</f>
        <v>0</v>
      </c>
      <c r="BJ97" s="239">
        <f>IFERROR(__xludf.DUMMYFUNCTION("COUNTA(FILTER(AT:AT,REGEXMATCH(AT:AT,AS97)))"),1.0)</f>
        <v>1</v>
      </c>
      <c r="BK97" s="341">
        <f>IFERROR(__xludf.DUMMYFUNCTION("COUNTA(FILTER(AT:AT,REGEXMATCH(AT:AT,AS97)))-AR97"),1.0)</f>
        <v>1</v>
      </c>
      <c r="BL97" s="276" t="str">
        <f>IFERROR(__xludf.DUMMYFUNCTION("IF(AS97=""oooooooooooo"",""-"",IF(REGEXMATCH(AT97,""xx""), ""Hemi."", ""Anhemi.""))"),"Hemi.")</f>
        <v>Hemi.</v>
      </c>
      <c r="BM97" s="282" t="str">
        <f>IFERROR(__xludf.DUMMYFUNCTION("IF(AS97=""oooooooooooo"",""-"",IF(REGEXMATCH(AT97,""xxx""), ""Cohem."", ""-""))"),"-")</f>
        <v>-</v>
      </c>
      <c r="BN97" s="282" t="str">
        <f>IFERROR(__xludf.DUMMYFUNCTION("IF(AS97=""oooooooooooo"",""-"",IF(REGEXMATCH(AT97,""xxxx""), ""Co-Co."", ""-""))"),"-")</f>
        <v>-</v>
      </c>
      <c r="BO97" s="342" t="str">
        <f>IFERROR(__xludf.DUMMYFUNCTION("IF(AS97=""oooooooooooo"",""-"",IF(REGEXMATCH(AT97,""xxxxx""), ""CCC."", ""-""))"),"-")</f>
        <v>-</v>
      </c>
      <c r="BP97" s="344" t="str">
        <f t="shared" si="27"/>
        <v>-</v>
      </c>
      <c r="BQ97" s="282" t="str">
        <f>IFERROR(__xludf.DUMMYFUNCTION("IF(REGEXMATCH(JOIN(""-"",EU97:FD97),""TRUE""),""✔"",""-"")"),"✔")</f>
        <v>✔</v>
      </c>
      <c r="BR97" s="225">
        <f t="shared" si="28"/>
        <v>1</v>
      </c>
      <c r="BS97" s="345" t="str">
        <f>IFERROR(__xludf.DUMMYFUNCTION("SUBSTITUTE(SUBSTITUTE(SUBSTITUTE(SUBSTITUTE(CONCATENATE(JOIN(""-"",GC97:GO97)),""--"",""-""),""--"",""-""),""--"",""-""),""--"",""-"")"),"1-4-5-b6-7-8")</f>
        <v>1-4-5-b6-7-8</v>
      </c>
      <c r="BT97" s="299" t="str">
        <f>IFERROR(__xludf.DUMMYFUNCTION("SUBSTITUTE(SUBSTITUTE(SUBSTITUTE(SUBSTITUTE(CONCATENATE(JOIN(""-"",GP97:HB97)),""--"",""-""),""--"",""-""),""--"",""-""),""--"",""-"")"),"S-M1-P-D1-N3-S")</f>
        <v>S-M1-P-D1-N3-S</v>
      </c>
      <c r="BU97" s="348" t="str">
        <f t="shared" si="29"/>
        <v>C-F-G-Ab-B-C</v>
      </c>
      <c r="BV97" s="349" t="str">
        <f t="shared" si="30"/>
        <v>SrRgGMDnS</v>
      </c>
      <c r="BW97" s="350">
        <f t="shared" si="31"/>
        <v>0</v>
      </c>
      <c r="BX97" s="351">
        <f t="shared" si="32"/>
        <v>1</v>
      </c>
      <c r="BY97" s="392"/>
      <c r="BZ97" s="309" t="str">
        <f>IFERROR(__xludf.DUMMYFUNCTION("IF(REGEXMATCH(C97, ""S""), ""x"",""x"")"),"x")</f>
        <v>x</v>
      </c>
      <c r="CA97" s="245" t="str">
        <f>IFERROR(__xludf.DUMMYFUNCTION("IF(REGEXMATCH(C97, ""r""), ""o"",""x"")"),"x")</f>
        <v>x</v>
      </c>
      <c r="CB97" s="246" t="str">
        <f>IFERROR(__xludf.DUMMYFUNCTION("IF(REGEXMATCH(C97, ""R""), ""o"",""x"")"),"x")</f>
        <v>x</v>
      </c>
      <c r="CC97" s="246" t="str">
        <f>IFERROR(__xludf.DUMMYFUNCTION("IF(REGEXMATCH(C97, ""g""), ""o"",""x"")"),"x")</f>
        <v>x</v>
      </c>
      <c r="CD97" s="245" t="str">
        <f>IFERROR(__xludf.DUMMYFUNCTION("IF(REGEXMATCH(C97, ""G""), ""o"",""x"")"),"x")</f>
        <v>x</v>
      </c>
      <c r="CE97" s="245" t="str">
        <f>IFERROR(__xludf.DUMMYFUNCTION("IF(REGEXMATCH(C97, ""m""), ""o"",""x"")"),"o")</f>
        <v>o</v>
      </c>
      <c r="CF97" s="246" t="str">
        <f>IFERROR(__xludf.DUMMYFUNCTION("IF(REGEXMATCH(C97, ""M""), ""o"",""x"")"),"x")</f>
        <v>x</v>
      </c>
      <c r="CG97" s="245" t="str">
        <f>IFERROR(__xludf.DUMMYFUNCTION("IF(REGEXMATCH(C97, ""P""), ""o"",""x"")"),"o")</f>
        <v>o</v>
      </c>
      <c r="CH97" s="246" t="str">
        <f>IFERROR(__xludf.DUMMYFUNCTION("IF(REGEXMATCH(C97, ""d""), ""o"",""x"")"),"o")</f>
        <v>o</v>
      </c>
      <c r="CI97" s="245" t="str">
        <f>IFERROR(__xludf.DUMMYFUNCTION("IF(REGEXMATCH(C97, ""D""), ""o"",""x"")"),"x")</f>
        <v>x</v>
      </c>
      <c r="CJ97" s="245" t="str">
        <f>IFERROR(__xludf.DUMMYFUNCTION("IF(REGEXMATCH(C97, ""n""), ""o"",""x"")"),"x")</f>
        <v>x</v>
      </c>
      <c r="CK97" s="245" t="str">
        <f>IFERROR(__xludf.DUMMYFUNCTION("IF(REGEXMATCH(C97, ""N""), ""o"",""x"")"),"o")</f>
        <v>o</v>
      </c>
      <c r="CL97" s="356" t="str">
        <f>IFERROR(__xludf.DUMMYFUNCTION("IF(REGEXMATCH(C97, ""S""), ""x"",""x"")"),"x")</f>
        <v>x</v>
      </c>
      <c r="CM97" s="357" t="str">
        <f t="shared" si="33"/>
        <v>xxxxxoxooxxo</v>
      </c>
      <c r="CN97" s="358">
        <f t="shared" si="34"/>
        <v>0</v>
      </c>
      <c r="CO97" s="246" t="str">
        <f>IFERROR(__xludf.DUMMYFUNCTION("IF(REGEXMATCH($C97, ""S""), ""S"",""S"")"),"S")</f>
        <v>S</v>
      </c>
      <c r="CP97" s="246" t="str">
        <f>IFERROR(__xludf.DUMMYFUNCTION("IF(REGEXMATCH($C97, ""r""), """",""r"")"),"r")</f>
        <v>r</v>
      </c>
      <c r="CQ97" s="246" t="str">
        <f>IFERROR(__xludf.DUMMYFUNCTION("IF(REGEXMATCH($C97, ""R""), """",""R"")"),"R")</f>
        <v>R</v>
      </c>
      <c r="CR97" s="246" t="str">
        <f>IFERROR(__xludf.DUMMYFUNCTION("IF(REGEXMATCH($C97, ""g""), """",""g"")"),"g")</f>
        <v>g</v>
      </c>
      <c r="CS97" s="246" t="str">
        <f>IFERROR(__xludf.DUMMYFUNCTION("IF(REGEXMATCH($C97, ""G""), """",""G"")"),"G")</f>
        <v>G</v>
      </c>
      <c r="CT97" s="246" t="str">
        <f>IFERROR(__xludf.DUMMYFUNCTION("IF(REGEXMATCH($C97, ""m""), """",""m"")"),"")</f>
        <v/>
      </c>
      <c r="CU97" s="246" t="str">
        <f>IFERROR(__xludf.DUMMYFUNCTION("IF(REGEXMATCH($C97, ""M""), """",""M"")"),"M")</f>
        <v>M</v>
      </c>
      <c r="CV97" s="246" t="str">
        <f>IFERROR(__xludf.DUMMYFUNCTION("IF(REGEXMATCH($C97, ""P""), """",""P"")"),"")</f>
        <v/>
      </c>
      <c r="CW97" s="246" t="str">
        <f>IFERROR(__xludf.DUMMYFUNCTION("IF(REGEXMATCH($C97, ""d""), """",""d"")"),"")</f>
        <v/>
      </c>
      <c r="CX97" s="246" t="str">
        <f>IFERROR(__xludf.DUMMYFUNCTION("IF(REGEXMATCH($C97, ""D""), """",""D"")"),"D")</f>
        <v>D</v>
      </c>
      <c r="CY97" s="246" t="str">
        <f>IFERROR(__xludf.DUMMYFUNCTION("IF(REGEXMATCH($C97, ""n""), """",""n"")"),"n")</f>
        <v>n</v>
      </c>
      <c r="CZ97" s="246" t="str">
        <f>IFERROR(__xludf.DUMMYFUNCTION("IF(REGEXMATCH($C97, ""N""), """",""N"")"),"")</f>
        <v/>
      </c>
      <c r="DA97" s="246" t="str">
        <f>IFERROR(__xludf.DUMMYFUNCTION("IF(REGEXMATCH($C97, ""S""), ""S"",""S"")"),"S")</f>
        <v>S</v>
      </c>
      <c r="DB97" s="362" t="str">
        <f>IFERROR(__xludf.DUMMYFUNCTION("JOIN("""",CO97:DA97,"""","""")"),"SrRgGMDnS")</f>
        <v>SrRgGMDnS</v>
      </c>
      <c r="DC97" s="363"/>
      <c r="DD97" s="301" t="str">
        <f t="shared" si="35"/>
        <v>#REF!</v>
      </c>
      <c r="DE97" s="302" t="str">
        <f t="shared" si="36"/>
        <v>#REF!</v>
      </c>
      <c r="DF97" s="301" t="str">
        <f t="shared" ref="DF97:DG97" si="394">SUBSTITUTE(S97,"-","")</f>
        <v>SM</v>
      </c>
      <c r="DG97" s="301" t="str">
        <f t="shared" si="394"/>
        <v>PDNS</v>
      </c>
      <c r="DH97" s="302" t="str">
        <f t="shared" si="38"/>
        <v>(n/a)</v>
      </c>
      <c r="DI97" s="301" t="str">
        <f t="shared" si="39"/>
        <v>Hemi.</v>
      </c>
      <c r="DJ97" s="364" t="str">
        <f t="shared" si="40"/>
        <v>-</v>
      </c>
      <c r="DK97" s="306" t="str">
        <f t="shared" si="41"/>
        <v>-</v>
      </c>
      <c r="DL97" s="366" t="str">
        <f t="shared" si="42"/>
        <v>✔</v>
      </c>
      <c r="DM97" s="308" t="str">
        <f t="shared" si="43"/>
        <v>-</v>
      </c>
      <c r="DN97" s="306" t="str">
        <f t="shared" si="44"/>
        <v>-</v>
      </c>
      <c r="DO97" s="306" t="str">
        <f t="shared" si="45"/>
        <v>-</v>
      </c>
      <c r="DP97" s="367" t="str">
        <f t="shared" si="46"/>
        <v>-</v>
      </c>
      <c r="DQ97" s="310" t="str">
        <f t="shared" si="47"/>
        <v>-</v>
      </c>
      <c r="DR97" s="310" t="str">
        <f t="shared" si="48"/>
        <v>-</v>
      </c>
      <c r="DS97" s="310" t="str">
        <f t="shared" si="49"/>
        <v>-</v>
      </c>
      <c r="DT97" s="310" t="str">
        <f t="shared" si="50"/>
        <v>-</v>
      </c>
      <c r="DU97" s="370" t="str">
        <f t="shared" si="51"/>
        <v>-</v>
      </c>
      <c r="DV97" s="306" t="str">
        <f t="shared" si="52"/>
        <v>✔</v>
      </c>
      <c r="DW97" s="306" t="str">
        <f t="shared" si="53"/>
        <v>✔</v>
      </c>
      <c r="DX97" s="306" t="str">
        <f t="shared" si="54"/>
        <v>-</v>
      </c>
      <c r="DY97" s="306" t="str">
        <f t="shared" si="55"/>
        <v>-</v>
      </c>
      <c r="DZ97" s="306" t="str">
        <f t="shared" si="56"/>
        <v>-</v>
      </c>
      <c r="EA97" s="367" t="str">
        <f t="shared" si="57"/>
        <v>-</v>
      </c>
      <c r="EB97" s="310" t="str">
        <f>IFERROR(__xludf.DUMMYFUNCTION("IF(REGEXMATCH(AW97,AS97),""✔"",""-"")"),"-")</f>
        <v>-</v>
      </c>
      <c r="EC97" s="310" t="str">
        <f t="shared" si="58"/>
        <v>#REF!</v>
      </c>
      <c r="ED97" s="370" t="str">
        <f t="shared" si="59"/>
        <v>-</v>
      </c>
      <c r="EE97" s="340" t="str">
        <f t="shared" si="60"/>
        <v>S-m-P-d-N-S</v>
      </c>
      <c r="EF97" s="371" t="str">
        <f>IFERROR(__xludf.DUMMYFUNCTION("CONCATENATE(JOIN("""",HC97:HO97))"),"SrGmPS")</f>
        <v>SrGmPS</v>
      </c>
      <c r="EG97" s="372">
        <f t="shared" si="61"/>
        <v>3</v>
      </c>
      <c r="EH97" s="373" t="str">
        <f>IFERROR(__xludf.DUMMYFUNCTION("CONCATENATE(JOIN("""",JC97:JO97))"),"Pa, dha, Ni, ")</f>
        <v>Pa, dha, Ni, </v>
      </c>
      <c r="EI97" s="322">
        <f t="shared" si="62"/>
        <v>2</v>
      </c>
      <c r="EJ97" s="374" t="str">
        <f>IFERROR(__xludf.DUMMYFUNCTION("CONCATENATE(JOIN("""",KC97:KO97))"),"dha, Ni, ")</f>
        <v>dha, Ni, </v>
      </c>
      <c r="EK97" s="325" t="str">
        <f t="shared" si="63"/>
        <v>S-M1-P-D1-N3-S</v>
      </c>
      <c r="EL97" s="326" t="str">
        <f t="shared" si="64"/>
        <v>1-4-5-b6-7-8</v>
      </c>
      <c r="EM97" s="318" t="str">
        <f t="shared" si="65"/>
        <v>#REF!</v>
      </c>
      <c r="EN97" s="328" t="str">
        <f>IFERROR(__xludf.DUMMYFUNCTION("SUBSTITUTE(SUBSTITUTE(SUBSTITUTE(SUBSTITUTE(CONCATENATE(JOIN("" "",HP97:IB97)),""  "","" ""),""  "","" ""),""  "","" ""),""  "","" "")"),"o • • • • o • o o • • o o")</f>
        <v>o • • • • o • o o • • o o</v>
      </c>
      <c r="EO97" s="368" t="str">
        <f t="shared" si="66"/>
        <v>-</v>
      </c>
      <c r="EP97" s="339" t="str">
        <f t="shared" si="67"/>
        <v>-</v>
      </c>
      <c r="EQ97" s="339" t="str">
        <f t="shared" si="68"/>
        <v>Sa-Pa</v>
      </c>
      <c r="ER97" s="339" t="str">
        <f t="shared" si="69"/>
        <v>-</v>
      </c>
      <c r="ES97" s="340" t="str">
        <f t="shared" si="70"/>
        <v>-</v>
      </c>
      <c r="ET97" s="363"/>
      <c r="EU97" s="376" t="b">
        <f>IFERROR(__xludf.DUMMYFUNCTION("arrayformula(sum(--REGEXMATCH(""SRGMPDNS"",split(REGEXREPLACE(C97,""(.)"",""$1~""),""~""))))=len(C97)
"),FALSE)</f>
        <v>0</v>
      </c>
      <c r="EV97" s="290" t="b">
        <f>IFERROR(__xludf.DUMMYFUNCTION("arrayformula(sum(--REGEXMATCH(""SRGmPDNS"",split(REGEXREPLACE(C97,""(.)"",""$1~""),""~""))))=len(C97)"),FALSE)</f>
        <v>0</v>
      </c>
      <c r="EW97" s="290" t="b">
        <f>IFERROR(__xludf.DUMMYFUNCTION("arrayformula(sum(--REGEXMATCH(""SRGmPDnS"",split(REGEXREPLACE(C97,""(.)"",""$1~""),""~""))))=len(C97)"),FALSE)</f>
        <v>0</v>
      </c>
      <c r="EX97" s="290" t="b">
        <f>IFERROR(__xludf.DUMMYFUNCTION("arrayformula(sum(--REGEXMATCH(""SRgmPDnS"",split(REGEXREPLACE(C97,""(.)"",""$1~""),""~""))))=len(C97)"),FALSE)</f>
        <v>0</v>
      </c>
      <c r="EY97" s="290" t="b">
        <f>IFERROR(__xludf.DUMMYFUNCTION("arrayformula(sum(--REGEXMATCH(""SRgmPdnS"",split(REGEXREPLACE(C97,""(.)"",""$1~""),""~""))))=len(C97)"),FALSE)</f>
        <v>0</v>
      </c>
      <c r="EZ97" s="290" t="b">
        <f>IFERROR(__xludf.DUMMYFUNCTION("arrayformula(sum(--REGEXMATCH(""SrgmPdnS"",split(REGEXREPLACE(C97,""(.)"",""$1~""),""~""))))=len(C97)"),FALSE)</f>
        <v>0</v>
      </c>
      <c r="FA97" s="290" t="b">
        <f>IFERROR(__xludf.DUMMYFUNCTION("arrayformula(sum(--REGEXMATCH(""SrGmPdNS"",split(REGEXREPLACE(C97,""(.)"",""$1~""),""~""))))=len(C97)"),TRUE)</f>
        <v>1</v>
      </c>
      <c r="FB97" s="290" t="b">
        <f>IFERROR(__xludf.DUMMYFUNCTION("arrayformula(sum(--REGEXMATCH(""SrGMPDNS"",split(REGEXREPLACE(C97,""(.)"",""$1~""),""~""))))=len(C97)"),FALSE)</f>
        <v>0</v>
      </c>
      <c r="FC97" s="290" t="b">
        <f>IFERROR(__xludf.DUMMYFUNCTION("arrayformula(sum(--REGEXMATCH(""SrGMPdNS"",split(REGEXREPLACE(C97,""(.)"",""$1~""),""~""))))=len(C97)"),FALSE)</f>
        <v>0</v>
      </c>
      <c r="FD97" s="377" t="b">
        <f>IFERROR(__xludf.DUMMYFUNCTION("arrayformula(sum(--REGEXMATCH(""SrgMPdNS"",split(REGEXREPLACE(C97,""(.)"",""$1~""),""~""))))=len(C97)"),FALSE)</f>
        <v>0</v>
      </c>
      <c r="FE97" s="269" t="str">
        <f t="shared" si="71"/>
        <v>-</v>
      </c>
      <c r="FF97" s="269" t="str">
        <f t="shared" si="72"/>
        <v>-</v>
      </c>
      <c r="FG97" s="271" t="str">
        <f t="shared" si="73"/>
        <v>-</v>
      </c>
      <c r="FH97" s="269" t="str">
        <f t="shared" si="74"/>
        <v>-</v>
      </c>
      <c r="FI97" s="271" t="str">
        <f t="shared" si="75"/>
        <v>xoxxooxxooo</v>
      </c>
      <c r="FJ97" s="271" t="str">
        <f t="shared" si="76"/>
        <v>-</v>
      </c>
      <c r="FK97" s="271" t="str">
        <f t="shared" si="77"/>
        <v>xxooxxoooox</v>
      </c>
      <c r="FL97" s="271" t="str">
        <f t="shared" si="78"/>
        <v>xooxxooooxo</v>
      </c>
      <c r="FM97" s="271" t="str">
        <f t="shared" si="79"/>
        <v>-</v>
      </c>
      <c r="FN97" s="271" t="str">
        <f t="shared" si="80"/>
        <v>-</v>
      </c>
      <c r="FO97" s="274" t="str">
        <f t="shared" si="81"/>
        <v>xxooooxoxxo</v>
      </c>
      <c r="FP97" s="234" t="str">
        <f t="shared" si="82"/>
        <v>|</v>
      </c>
      <c r="FQ97" s="236" t="str">
        <f t="shared" si="83"/>
        <v>-</v>
      </c>
      <c r="FR97" s="237" t="str">
        <f t="shared" si="84"/>
        <v>-</v>
      </c>
      <c r="FS97" s="236" t="str">
        <f t="shared" si="85"/>
        <v>-</v>
      </c>
      <c r="FT97" s="237" t="str">
        <f t="shared" si="86"/>
        <v>-</v>
      </c>
      <c r="FU97" s="236" t="str">
        <f t="shared" si="87"/>
        <v>|</v>
      </c>
      <c r="FV97" s="237" t="str">
        <f t="shared" si="88"/>
        <v>-</v>
      </c>
      <c r="FW97" s="236" t="str">
        <f t="shared" si="89"/>
        <v>|</v>
      </c>
      <c r="FX97" s="237" t="str">
        <f t="shared" si="90"/>
        <v>|</v>
      </c>
      <c r="FY97" s="236" t="str">
        <f t="shared" si="91"/>
        <v>-</v>
      </c>
      <c r="FZ97" s="237" t="str">
        <f t="shared" si="92"/>
        <v>-</v>
      </c>
      <c r="GA97" s="236" t="str">
        <f t="shared" si="93"/>
        <v>|</v>
      </c>
      <c r="GB97" s="238" t="str">
        <f t="shared" si="94"/>
        <v>|</v>
      </c>
      <c r="GC97" s="244" t="str">
        <f>IFERROR(__xludf.DUMMYFUNCTION("IF(REGEXMATCH(C97, ""S""), ""1"","""")"),"1")</f>
        <v>1</v>
      </c>
      <c r="GD97" s="245" t="str">
        <f>IFERROR(__xludf.DUMMYFUNCTION("IF(REGEXMATCH(C97, ""r""), ""b2"","""")"),"")</f>
        <v/>
      </c>
      <c r="GE97" s="246" t="str">
        <f>IFERROR(__xludf.DUMMYFUNCTION("IF(REGEXMATCH(C97, ""R""), ""2"","""")"),"")</f>
        <v/>
      </c>
      <c r="GF97" s="246" t="str">
        <f>IFERROR(__xludf.DUMMYFUNCTION("IF(REGEXMATCH(C97, ""g""), ""b3"","""")"),"")</f>
        <v/>
      </c>
      <c r="GG97" s="245" t="str">
        <f>IFERROR(__xludf.DUMMYFUNCTION("IF(REGEXMATCH(C97, ""G""), ""3"","""")"),"")</f>
        <v/>
      </c>
      <c r="GH97" s="245" t="str">
        <f>IFERROR(__xludf.DUMMYFUNCTION("IF(REGEXMATCH(C97, ""m""), ""4"","""")"),"4")</f>
        <v>4</v>
      </c>
      <c r="GI97" s="246" t="str">
        <f>IFERROR(__xludf.DUMMYFUNCTION("IF(REGEXMATCH(C97, ""M""), ""#4"","""")"),"")</f>
        <v/>
      </c>
      <c r="GJ97" s="245" t="str">
        <f>IFERROR(__xludf.DUMMYFUNCTION("IF(REGEXMATCH(C97, ""P""), ""5"","""")"),"5")</f>
        <v>5</v>
      </c>
      <c r="GK97" s="246" t="str">
        <f>IFERROR(__xludf.DUMMYFUNCTION("IF(REGEXMATCH(C97, ""d""), ""b6"","""")"),"b6")</f>
        <v>b6</v>
      </c>
      <c r="GL97" s="245" t="str">
        <f>IFERROR(__xludf.DUMMYFUNCTION("IF(REGEXMATCH(C97, ""D""), ""6"","""")"),"")</f>
        <v/>
      </c>
      <c r="GM97" s="245" t="str">
        <f>IFERROR(__xludf.DUMMYFUNCTION("IF(REGEXMATCH(C97, ""n""), ""b7"","""")"),"")</f>
        <v/>
      </c>
      <c r="GN97" s="246" t="str">
        <f>IFERROR(__xludf.DUMMYFUNCTION("IF(REGEXMATCH(C97, ""N""), ""7"","""")"),"7")</f>
        <v>7</v>
      </c>
      <c r="GO97" s="249" t="str">
        <f>IFERROR(__xludf.DUMMYFUNCTION("IF(REGEXMATCH(C97, ""S""), ""8"","""")"),"8")</f>
        <v>8</v>
      </c>
      <c r="GP97" s="244" t="str">
        <f>IFERROR(__xludf.DUMMYFUNCTION("IF(REGEXMATCH(C97, ""S""), ""S"","""")"),"S")</f>
        <v>S</v>
      </c>
      <c r="GQ97" s="294" t="str">
        <f>IFERROR(__xludf.DUMMYFUNCTION("IF(REGEXMATCH(C97, ""r""), ""R1"","""")"),"")</f>
        <v/>
      </c>
      <c r="GR97" s="295" t="str">
        <f>IFERROR(__xludf.DUMMYFUNCTION("IF(REGEXMATCH(C97, ""R""), ""R2"","""")"),"")</f>
        <v/>
      </c>
      <c r="GS97" s="295" t="str">
        <f>IFERROR(__xludf.DUMMYFUNCTION("IF(REGEXMATCH(C97, ""g""), ""G2"","""")"),"")</f>
        <v/>
      </c>
      <c r="GT97" s="294" t="str">
        <f>IFERROR(__xludf.DUMMYFUNCTION("IF(REGEXMATCH(C97, ""G""), ""G3"","""")"),"")</f>
        <v/>
      </c>
      <c r="GU97" s="294" t="str">
        <f>IFERROR(__xludf.DUMMYFUNCTION("IF(REGEXMATCH(C97, ""m""), ""M1"","""")"),"M1")</f>
        <v>M1</v>
      </c>
      <c r="GV97" s="295" t="str">
        <f>IFERROR(__xludf.DUMMYFUNCTION("IF(REGEXMATCH(C97, ""M""), ""M2"","""")"),"")</f>
        <v/>
      </c>
      <c r="GW97" s="294" t="str">
        <f>IFERROR(__xludf.DUMMYFUNCTION("IF(REGEXMATCH(C97, ""P""), ""P"","""")"),"P")</f>
        <v>P</v>
      </c>
      <c r="GX97" s="295" t="str">
        <f>IFERROR(__xludf.DUMMYFUNCTION("IF(REGEXMATCH(C97, ""d""), ""D1"","""")"),"D1")</f>
        <v>D1</v>
      </c>
      <c r="GY97" s="294" t="str">
        <f>IFERROR(__xludf.DUMMYFUNCTION("IF(REGEXMATCH(C97, ""D""), ""D2"","""")"),"")</f>
        <v/>
      </c>
      <c r="GZ97" s="294" t="str">
        <f>IFERROR(__xludf.DUMMYFUNCTION("IF(REGEXMATCH(C97, ""n""), ""N2"","""")"),"")</f>
        <v/>
      </c>
      <c r="HA97" s="295" t="str">
        <f>IFERROR(__xludf.DUMMYFUNCTION("IF(REGEXMATCH(C97, ""N""), ""N3"","""")"),"N3")</f>
        <v>N3</v>
      </c>
      <c r="HB97" s="249" t="str">
        <f>IFERROR(__xludf.DUMMYFUNCTION("IF(REGEXMATCH(C97, ""S""), ""S"","""")"),"S")</f>
        <v>S</v>
      </c>
      <c r="HC97" s="331" t="str">
        <f t="shared" si="95"/>
        <v>S</v>
      </c>
      <c r="HD97" s="332" t="str">
        <f t="shared" si="96"/>
        <v>r</v>
      </c>
      <c r="HE97" s="332" t="str">
        <f t="shared" si="97"/>
        <v/>
      </c>
      <c r="HF97" s="332" t="str">
        <f t="shared" si="98"/>
        <v/>
      </c>
      <c r="HG97" s="332" t="str">
        <f t="shared" si="99"/>
        <v>G</v>
      </c>
      <c r="HH97" s="332" t="str">
        <f t="shared" si="100"/>
        <v>m</v>
      </c>
      <c r="HI97" s="332" t="str">
        <f t="shared" si="101"/>
        <v/>
      </c>
      <c r="HJ97" s="332" t="str">
        <f t="shared" si="102"/>
        <v>P</v>
      </c>
      <c r="HK97" s="332" t="str">
        <f t="shared" si="103"/>
        <v/>
      </c>
      <c r="HL97" s="332" t="str">
        <f t="shared" si="104"/>
        <v/>
      </c>
      <c r="HM97" s="332" t="str">
        <f t="shared" si="105"/>
        <v/>
      </c>
      <c r="HN97" s="332" t="str">
        <f t="shared" si="106"/>
        <v/>
      </c>
      <c r="HO97" s="343" t="str">
        <f t="shared" si="107"/>
        <v>S</v>
      </c>
      <c r="HP97" s="331" t="str">
        <f t="shared" si="108"/>
        <v>o</v>
      </c>
      <c r="HQ97" s="332" t="str">
        <f t="shared" si="109"/>
        <v>•</v>
      </c>
      <c r="HR97" s="332" t="str">
        <f t="shared" si="110"/>
        <v>•</v>
      </c>
      <c r="HS97" s="332" t="str">
        <f t="shared" si="111"/>
        <v>•</v>
      </c>
      <c r="HT97" s="332" t="str">
        <f t="shared" si="112"/>
        <v>•</v>
      </c>
      <c r="HU97" s="332" t="str">
        <f t="shared" si="113"/>
        <v>o</v>
      </c>
      <c r="HV97" s="332" t="str">
        <f t="shared" si="114"/>
        <v>•</v>
      </c>
      <c r="HW97" s="332" t="str">
        <f t="shared" si="115"/>
        <v>o</v>
      </c>
      <c r="HX97" s="332" t="str">
        <f t="shared" si="116"/>
        <v>o</v>
      </c>
      <c r="HY97" s="332" t="str">
        <f t="shared" si="117"/>
        <v>•</v>
      </c>
      <c r="HZ97" s="332" t="str">
        <f t="shared" si="118"/>
        <v>•</v>
      </c>
      <c r="IA97" s="332" t="str">
        <f t="shared" si="119"/>
        <v>o</v>
      </c>
      <c r="IB97" s="338" t="str">
        <f t="shared" si="120"/>
        <v>o</v>
      </c>
      <c r="IC97" s="331" t="str">
        <f t="shared" si="121"/>
        <v>•</v>
      </c>
      <c r="ID97" s="332" t="str">
        <f t="shared" si="122"/>
        <v>o</v>
      </c>
      <c r="IE97" s="332" t="str">
        <f t="shared" si="123"/>
        <v>o</v>
      </c>
      <c r="IF97" s="332" t="str">
        <f t="shared" si="124"/>
        <v>o</v>
      </c>
      <c r="IG97" s="332" t="str">
        <f t="shared" si="125"/>
        <v>o</v>
      </c>
      <c r="IH97" s="332" t="str">
        <f t="shared" si="126"/>
        <v>•</v>
      </c>
      <c r="II97" s="332" t="str">
        <f t="shared" si="127"/>
        <v>o</v>
      </c>
      <c r="IJ97" s="332" t="str">
        <f t="shared" si="128"/>
        <v>•</v>
      </c>
      <c r="IK97" s="332" t="str">
        <f t="shared" si="129"/>
        <v>•</v>
      </c>
      <c r="IL97" s="332" t="str">
        <f t="shared" si="130"/>
        <v>o</v>
      </c>
      <c r="IM97" s="332" t="str">
        <f t="shared" si="131"/>
        <v>o</v>
      </c>
      <c r="IN97" s="332" t="str">
        <f t="shared" si="132"/>
        <v>•</v>
      </c>
      <c r="IO97" s="338" t="str">
        <f t="shared" si="133"/>
        <v>•</v>
      </c>
      <c r="IP97" s="346" t="b">
        <f t="shared" si="134"/>
        <v>0</v>
      </c>
      <c r="IQ97" s="347" t="b">
        <f t="shared" si="135"/>
        <v>0</v>
      </c>
      <c r="IR97" s="347" t="b">
        <f t="shared" si="136"/>
        <v>0</v>
      </c>
      <c r="IS97" s="347" t="b">
        <f t="shared" si="137"/>
        <v>0</v>
      </c>
      <c r="IT97" s="347" t="b">
        <f t="shared" si="138"/>
        <v>0</v>
      </c>
      <c r="IU97" s="347" t="b">
        <f t="shared" si="139"/>
        <v>0</v>
      </c>
      <c r="IV97" s="347" t="b">
        <f t="shared" si="140"/>
        <v>0</v>
      </c>
      <c r="IW97" s="347" t="b">
        <f t="shared" si="141"/>
        <v>1</v>
      </c>
      <c r="IX97" s="347" t="b">
        <f t="shared" si="142"/>
        <v>1</v>
      </c>
      <c r="IY97" s="347" t="b">
        <f t="shared" si="143"/>
        <v>0</v>
      </c>
      <c r="IZ97" s="347" t="b">
        <f t="shared" si="144"/>
        <v>0</v>
      </c>
      <c r="JA97" s="347" t="b">
        <f t="shared" si="145"/>
        <v>1</v>
      </c>
      <c r="JB97" s="353" t="b">
        <f t="shared" si="146"/>
        <v>0</v>
      </c>
      <c r="JC97" s="354" t="str">
        <f t="shared" si="147"/>
        <v/>
      </c>
      <c r="JD97" s="355" t="str">
        <f t="shared" si="148"/>
        <v/>
      </c>
      <c r="JE97" s="355" t="str">
        <f t="shared" si="149"/>
        <v/>
      </c>
      <c r="JF97" s="355" t="str">
        <f t="shared" si="150"/>
        <v/>
      </c>
      <c r="JG97" s="355" t="str">
        <f t="shared" si="151"/>
        <v/>
      </c>
      <c r="JH97" s="355" t="str">
        <f t="shared" si="152"/>
        <v/>
      </c>
      <c r="JI97" s="355" t="str">
        <f t="shared" si="153"/>
        <v/>
      </c>
      <c r="JJ97" s="355" t="str">
        <f t="shared" si="154"/>
        <v>Pa, </v>
      </c>
      <c r="JK97" s="355" t="str">
        <f t="shared" si="155"/>
        <v>dha, </v>
      </c>
      <c r="JL97" s="355" t="str">
        <f t="shared" si="156"/>
        <v/>
      </c>
      <c r="JM97" s="355" t="str">
        <f t="shared" si="157"/>
        <v/>
      </c>
      <c r="JN97" s="355" t="str">
        <f t="shared" si="158"/>
        <v>Ni, </v>
      </c>
      <c r="JO97" s="359" t="str">
        <f t="shared" si="159"/>
        <v/>
      </c>
      <c r="JP97" s="346" t="b">
        <f t="shared" si="160"/>
        <v>0</v>
      </c>
      <c r="JQ97" s="347" t="b">
        <f t="shared" si="161"/>
        <v>0</v>
      </c>
      <c r="JR97" s="347" t="b">
        <f t="shared" si="162"/>
        <v>0</v>
      </c>
      <c r="JS97" s="347" t="b">
        <f t="shared" si="163"/>
        <v>0</v>
      </c>
      <c r="JT97" s="347" t="b">
        <f t="shared" si="164"/>
        <v>0</v>
      </c>
      <c r="JU97" s="347" t="b">
        <f t="shared" si="165"/>
        <v>0</v>
      </c>
      <c r="JV97" s="347" t="b">
        <f t="shared" si="166"/>
        <v>0</v>
      </c>
      <c r="JW97" s="347" t="b">
        <f t="shared" si="167"/>
        <v>0</v>
      </c>
      <c r="JX97" s="347" t="b">
        <f t="shared" si="168"/>
        <v>1</v>
      </c>
      <c r="JY97" s="347" t="b">
        <f t="shared" si="169"/>
        <v>0</v>
      </c>
      <c r="JZ97" s="347" t="b">
        <f t="shared" si="170"/>
        <v>0</v>
      </c>
      <c r="KA97" s="347" t="b">
        <f t="shared" si="171"/>
        <v>1</v>
      </c>
      <c r="KB97" s="365" t="b">
        <f t="shared" si="172"/>
        <v>0</v>
      </c>
      <c r="KC97" s="354" t="str">
        <f t="shared" si="173"/>
        <v/>
      </c>
      <c r="KD97" s="355" t="str">
        <f t="shared" si="174"/>
        <v/>
      </c>
      <c r="KE97" s="355" t="str">
        <f t="shared" si="175"/>
        <v/>
      </c>
      <c r="KF97" s="355" t="str">
        <f t="shared" si="176"/>
        <v/>
      </c>
      <c r="KG97" s="355" t="str">
        <f t="shared" si="177"/>
        <v/>
      </c>
      <c r="KH97" s="355" t="str">
        <f t="shared" si="178"/>
        <v/>
      </c>
      <c r="KI97" s="355" t="str">
        <f t="shared" si="179"/>
        <v/>
      </c>
      <c r="KJ97" s="355" t="str">
        <f t="shared" si="180"/>
        <v/>
      </c>
      <c r="KK97" s="355" t="str">
        <f t="shared" si="181"/>
        <v>dha, </v>
      </c>
      <c r="KL97" s="355" t="str">
        <f t="shared" si="182"/>
        <v/>
      </c>
      <c r="KM97" s="355" t="str">
        <f t="shared" si="183"/>
        <v/>
      </c>
      <c r="KN97" s="355" t="str">
        <f t="shared" si="184"/>
        <v>Ni, </v>
      </c>
      <c r="KO97" s="359"/>
      <c r="KP97" s="378"/>
      <c r="KQ97" s="379" t="s">
        <v>702</v>
      </c>
      <c r="KR97" s="380" t="s">
        <v>1379</v>
      </c>
      <c r="KS97" s="381" t="str">
        <f t="shared" si="380"/>
        <v>S-m-P-d-N-S</v>
      </c>
      <c r="KT97" s="382">
        <f t="shared" si="186"/>
        <v>5</v>
      </c>
      <c r="KU97" s="383">
        <f t="shared" si="187"/>
        <v>5</v>
      </c>
      <c r="KV97" s="381" t="str">
        <f t="shared" si="205"/>
        <v>S-N-d-P-m-S</v>
      </c>
      <c r="KW97" s="382">
        <f t="shared" si="189"/>
        <v>5</v>
      </c>
      <c r="KX97" s="384">
        <f t="shared" si="190"/>
        <v>5</v>
      </c>
      <c r="KY97" s="382">
        <f t="shared" ref="KY97:KZ97" si="395">KW97-KT97</f>
        <v>0</v>
      </c>
      <c r="KZ97" s="369">
        <f t="shared" si="395"/>
        <v>0</v>
      </c>
      <c r="LA97" s="385" t="str">
        <f t="shared" si="192"/>
        <v>✔</v>
      </c>
      <c r="LB97" s="340" t="str">
        <f>IFERROR(__xludf.DUMMYFUNCTION("JOIN("""",ArrayFormula(MID(KS97,LEN(KS97)-SEQUENCE(1,LEN(KS97))+1,1)))"),"S-N-d-P-m-S")</f>
        <v>S-N-d-P-m-S</v>
      </c>
      <c r="LC97" s="373" t="str">
        <f>IFERROR(__xludf.DUMMYFUNCTION("JOIN("""",ArrayFormula(MID(KV97,LEN(KV97)-SEQUENCE(1,LEN(KV97))+1,1)))"),"S-m-P-d-N-S")</f>
        <v>S-m-P-d-N-S</v>
      </c>
      <c r="LD97" s="373" t="str">
        <f t="shared" si="193"/>
        <v>SmPdNS</v>
      </c>
      <c r="LE97" s="339" t="str">
        <f t="shared" si="194"/>
        <v>SmPdNS</v>
      </c>
      <c r="LF97" s="386" t="str">
        <f>IFERROR(__xludf.DUMMYFUNCTION("SUBSTITUTE(SUBSTITUTE(CONCATENATE(JOIN("""",LH97:LT97)),""1"",""""),""2"","""")"),"SmPdNS")</f>
        <v>SmPdNS</v>
      </c>
      <c r="LG97" s="369" t="str">
        <f t="shared" si="195"/>
        <v>✔</v>
      </c>
      <c r="LH97" s="387" t="str">
        <f>IFERROR(__xludf.DUMMYFUNCTION("IF(REGEXMATCH(LD97, ""S""), ""S"",IF(REGEXMATCH(LE97, ""S""), ""S"",""""))"),"S")</f>
        <v>S</v>
      </c>
      <c r="LI97" s="299" t="str">
        <f>IFERROR(__xludf.DUMMYFUNCTION("IF(REGEXMATCH(LD97, ""r""), ""r1"",IF(REGEXMATCH(LE97, ""r""), ""r2"",""""))"),"")</f>
        <v/>
      </c>
      <c r="LJ97" s="299" t="str">
        <f>IFERROR(__xludf.DUMMYFUNCTION("IF(REGEXMATCH(LD97, ""R""), ""R1"",IF(REGEXMATCH(LE97, ""R""), ""R2"",""""))"),"")</f>
        <v/>
      </c>
      <c r="LK97" s="299" t="str">
        <f>IFERROR(__xludf.DUMMYFUNCTION("IF(REGEXMATCH(LD97, ""g""), ""g1"",IF(REGEXMATCH(LE97, ""g""), ""g2"",""""))"),"")</f>
        <v/>
      </c>
      <c r="LL97" s="299" t="str">
        <f>IFERROR(__xludf.DUMMYFUNCTION("IF(REGEXMATCH(LD97, ""G""), ""G1"",IF(REGEXMATCH(LE97, ""G""), ""G2"",""""))"),"")</f>
        <v/>
      </c>
      <c r="LM97" s="299" t="str">
        <f>IFERROR(__xludf.DUMMYFUNCTION("IF(REGEXMATCH(LD97, ""m""), ""m1"",IF(REGEXMATCH(LE97, ""m""), ""m2"",""""))"),"m1")</f>
        <v>m1</v>
      </c>
      <c r="LN97" s="299" t="str">
        <f>IFERROR(__xludf.DUMMYFUNCTION("IF(REGEXMATCH(LD97, ""M""), ""M1"",IF(REGEXMATCH(LE97, ""M""), ""M2"",""""))"),"")</f>
        <v/>
      </c>
      <c r="LO97" s="299" t="str">
        <f>IFERROR(__xludf.DUMMYFUNCTION("IF(REGEXMATCH(LD97, ""P""), ""P1"",IF(REGEXMATCH(LE97, ""P""), ""P2"",""""))"),"P1")</f>
        <v>P1</v>
      </c>
      <c r="LP97" s="299" t="str">
        <f>IFERROR(__xludf.DUMMYFUNCTION("IF(REGEXMATCH(LD97, ""d""), ""d1"",IF(REGEXMATCH(LE97, ""d""), ""d2"",""""))"),"d1")</f>
        <v>d1</v>
      </c>
      <c r="LQ97" s="299" t="str">
        <f>IFERROR(__xludf.DUMMYFUNCTION("IF(REGEXMATCH(LD97, ""D""), ""D1"",IF(REGEXMATCH(LE97, ""D""), ""D2"",""""))"),"")</f>
        <v/>
      </c>
      <c r="LR97" s="299" t="str">
        <f>IFERROR(__xludf.DUMMYFUNCTION("IF(REGEXMATCH(LD97, ""n""), ""n1"",IF(REGEXMATCH(LE97, ""n""), ""n2"",""""))"),"")</f>
        <v/>
      </c>
      <c r="LS97" s="299" t="str">
        <f>IFERROR(__xludf.DUMMYFUNCTION("IF(REGEXMATCH(LD97, ""N""), ""N1"",IF(REGEXMATCH(LE97, ""N""), ""N2"",""""))"),"N1")</f>
        <v>N1</v>
      </c>
      <c r="LT97" s="388" t="str">
        <f>IFERROR(__xludf.DUMMYFUNCTION("IF(REGEXMATCH(LD97, ""S""), ""S"",IF(REGEXMATCH(LE97, ""S""), ""S"",""""))"),"S")</f>
        <v>S</v>
      </c>
      <c r="LU97" s="389">
        <f t="shared" si="196"/>
        <v>1</v>
      </c>
      <c r="LV97" s="378"/>
      <c r="LW97" s="369"/>
      <c r="LX97" s="369"/>
    </row>
    <row r="98" ht="18.0" customHeight="1">
      <c r="A98" s="298" t="s">
        <v>704</v>
      </c>
      <c r="B98" s="222" t="s">
        <v>705</v>
      </c>
      <c r="C98" s="233" t="str">
        <f t="shared" si="7"/>
        <v>SRMPnS</v>
      </c>
      <c r="D98" s="234" t="str">
        <f>IFERROR(__xludf.DUMMYFUNCTION("IF(REGEXMATCH(C98, ""S""), ""S"","""")"),"S")</f>
        <v>S</v>
      </c>
      <c r="E98" s="236" t="str">
        <f>IFERROR(__xludf.DUMMYFUNCTION("IF(REGEXMATCH(C98, ""r""), ""r"","""")"),"")</f>
        <v/>
      </c>
      <c r="F98" s="237" t="str">
        <f>IFERROR(__xludf.DUMMYFUNCTION("IF(REGEXMATCH(C98, ""R""), ""R"","""")"),"R")</f>
        <v>R</v>
      </c>
      <c r="G98" s="237" t="str">
        <f>IFERROR(__xludf.DUMMYFUNCTION("IF(REGEXMATCH(C98, ""g""), ""g"","""")"),"")</f>
        <v/>
      </c>
      <c r="H98" s="236" t="str">
        <f>IFERROR(__xludf.DUMMYFUNCTION("IF(REGEXMATCH(C98, ""G""), ""G"","""")"),"")</f>
        <v/>
      </c>
      <c r="I98" s="236" t="str">
        <f>IFERROR(__xludf.DUMMYFUNCTION("IF(REGEXMATCH(C98, ""m""), ""m"","""")"),"")</f>
        <v/>
      </c>
      <c r="J98" s="237" t="str">
        <f>IFERROR(__xludf.DUMMYFUNCTION("IF(REGEXMATCH(C98, ""M""), ""M"","""")"),"M")</f>
        <v>M</v>
      </c>
      <c r="K98" s="236" t="str">
        <f>IFERROR(__xludf.DUMMYFUNCTION("IF(REGEXMATCH(C98, ""P""), ""P"","""")"),"P")</f>
        <v>P</v>
      </c>
      <c r="L98" s="237" t="str">
        <f>IFERROR(__xludf.DUMMYFUNCTION("IF(REGEXMATCH(C98, ""d""), ""d"","""")"),"")</f>
        <v/>
      </c>
      <c r="M98" s="236" t="str">
        <f>IFERROR(__xludf.DUMMYFUNCTION("IF(REGEXMATCH(C98, ""D""), ""D"","""")"),"")</f>
        <v/>
      </c>
      <c r="N98" s="236" t="str">
        <f>IFERROR(__xludf.DUMMYFUNCTION("IF(REGEXMATCH(C98, ""n""), ""n"","""")"),"n")</f>
        <v>n</v>
      </c>
      <c r="O98" s="237" t="str">
        <f>IFERROR(__xludf.DUMMYFUNCTION("IF(REGEXMATCH(C98, ""N""), ""N"","""")"),"")</f>
        <v/>
      </c>
      <c r="P98" s="238" t="str">
        <f>IFERROR(__xludf.DUMMYFUNCTION("IF(REGEXMATCH(C98, ""S""), ""S"","""")"),"S")</f>
        <v>S</v>
      </c>
      <c r="Q98" s="239" t="str">
        <f>IFERROR(__xludf.DUMMYFUNCTION("SUBSTITUTE(CONCATENATE(JOIN(""-"",D98:J98)),""-"","""")"),"SRM")</f>
        <v>SRM</v>
      </c>
      <c r="R98" s="229" t="str">
        <f>IFERROR(__xludf.DUMMYFUNCTION("SUBSTITUTE(CONCATENATE(JOIN(""-"",K98:P98)),""-"","""")"),"PnS")</f>
        <v>PnS</v>
      </c>
      <c r="S98" s="282" t="str">
        <f t="shared" si="8"/>
        <v>S-R-M</v>
      </c>
      <c r="T98" s="282" t="str">
        <f t="shared" si="9"/>
        <v>P-N-S</v>
      </c>
      <c r="U98" s="237" t="str">
        <f>IFERROR(__xludf.DUMMYFUNCTION("SUBSTITUTE(JOIN(""-"",S98,T98),""--"",""-"")"),"S-R-M-P-N-S")</f>
        <v>S-R-M-P-N-S</v>
      </c>
      <c r="V98" s="309" t="str">
        <f t="shared" si="10"/>
        <v>RMn</v>
      </c>
      <c r="W98" s="244" t="str">
        <f>IFERROR(__xludf.DUMMYFUNCTION("IF(REGEXMATCH(C98, ""S""), ""0"","""")"),"0")</f>
        <v>0</v>
      </c>
      <c r="X98" s="245" t="str">
        <f>IFERROR(__xludf.DUMMYFUNCTION("IF(REGEXMATCH(C98, ""r""), ""1"","""")"),"")</f>
        <v/>
      </c>
      <c r="Y98" s="246" t="str">
        <f>IFERROR(__xludf.DUMMYFUNCTION("IF(REGEXMATCH(C98, ""R""), ""2"","""")"),"2")</f>
        <v>2</v>
      </c>
      <c r="Z98" s="246" t="str">
        <f>IFERROR(__xludf.DUMMYFUNCTION("IF(REGEXMATCH(C98, ""g""), ""3"","""")"),"")</f>
        <v/>
      </c>
      <c r="AA98" s="245" t="str">
        <f>IFERROR(__xludf.DUMMYFUNCTION("IF(REGEXMATCH(C98, ""G""), ""4"","""")"),"")</f>
        <v/>
      </c>
      <c r="AB98" s="245" t="str">
        <f>IFERROR(__xludf.DUMMYFUNCTION("IF(REGEXMATCH(C98, ""m""), ""5"","""")"),"")</f>
        <v/>
      </c>
      <c r="AC98" s="246" t="str">
        <f>IFERROR(__xludf.DUMMYFUNCTION("IF(REGEXMATCH(C98, ""M""), ""6"","""")"),"6")</f>
        <v>6</v>
      </c>
      <c r="AD98" s="245" t="str">
        <f>IFERROR(__xludf.DUMMYFUNCTION("IF(REGEXMATCH(C98, ""P""), ""7"","""")"),"7")</f>
        <v>7</v>
      </c>
      <c r="AE98" s="246" t="str">
        <f>IFERROR(__xludf.DUMMYFUNCTION("IF(REGEXMATCH(C98, ""d""), ""8"","""")"),"")</f>
        <v/>
      </c>
      <c r="AF98" s="245" t="str">
        <f>IFERROR(__xludf.DUMMYFUNCTION("IF(REGEXMATCH(C98, ""D""), ""9"","""")"),"")</f>
        <v/>
      </c>
      <c r="AG98" s="245" t="str">
        <f>IFERROR(__xludf.DUMMYFUNCTION("IF(REGEXMATCH(C98, ""n""), ""10"","""")"),"10")</f>
        <v>10</v>
      </c>
      <c r="AH98" s="246" t="str">
        <f>IFERROR(__xludf.DUMMYFUNCTION("IF(REGEXMATCH(C98, ""N""), ""11"","""")"),"")</f>
        <v/>
      </c>
      <c r="AI98" s="249" t="str">
        <f>IFERROR(__xludf.DUMMYFUNCTION("IF(REGEXMATCH(C98, ""S""), ""0"","""")"),"0")</f>
        <v>0</v>
      </c>
      <c r="AJ98" s="313" t="str">
        <f t="shared" si="11"/>
        <v>T</v>
      </c>
      <c r="AK98" s="313" t="str">
        <f t="shared" si="12"/>
        <v>-</v>
      </c>
      <c r="AL98" s="313" t="str">
        <f t="shared" si="13"/>
        <v>-</v>
      </c>
      <c r="AM98" s="313" t="str">
        <f t="shared" si="14"/>
        <v>-</v>
      </c>
      <c r="AN98" s="313" t="str">
        <f t="shared" si="15"/>
        <v>-</v>
      </c>
      <c r="AO98" s="314" t="str">
        <f t="shared" si="16"/>
        <v>-</v>
      </c>
      <c r="AP98" s="316">
        <f t="shared" si="17"/>
        <v>1</v>
      </c>
      <c r="AQ98" s="319" t="str">
        <f t="shared" si="18"/>
        <v>#REF!</v>
      </c>
      <c r="AR98" s="320">
        <f t="shared" si="19"/>
        <v>0</v>
      </c>
      <c r="AS98" s="250" t="str">
        <f>IFERROR(__xludf.DUMMYFUNCTION("SUBSTITUTE(SUBSTITUTE(CONCATENATE(JOIN("""",FP98:GA98)),""|"",""x""),""-"",""o"")"),"xoxoooxxooxo")</f>
        <v>xoxoooxxooxo</v>
      </c>
      <c r="AT98" s="323" t="str">
        <f>IFERROR(__xludf.DUMMYFUNCTION("JOIN("""",AS98,AS98)"),"xoxoooxxooxoxoxoooxxooxo")</f>
        <v>xoxoooxxooxoxoxoooxxooxo</v>
      </c>
      <c r="AU98" s="256" t="str">
        <f>IFERROR(__xludf.DUMMYFUNCTION("JOIN("""",ArrayFormula(MID(AS98,LEN(AS98)-SEQUENCE(1,LEN(AS98))+1,1)))"),"oxooxxoooxox")</f>
        <v>oxooxxoooxox</v>
      </c>
      <c r="AV98" s="256" t="str">
        <f>IFERROR(__xludf.DUMMYFUNCTION("LEFT(CONCATENATE(""x"",JOIN("""",ArrayFormula(MID(AS98,LEN(AS98)-SEQUENCE(1,LEN(AS98))+1,1)))),12)"),"xoxooxxoooxo")</f>
        <v>xoxooxxoooxo</v>
      </c>
      <c r="AW98" s="327" t="str">
        <f>IFERROR(__xludf.DUMMYFUNCTION("JOIN("""",AU98,AU98)"),"oxooxxoooxoxoxooxxoooxox")</f>
        <v>oxooxxoooxoxoxooxxoooxox</v>
      </c>
      <c r="AX98" s="239" t="str">
        <f>IFERROR(__xludf.DUMMYFUNCTION("IF(REGEXMATCH(AW98,AS98),""✔"",""-"")"),"-")</f>
        <v>-</v>
      </c>
      <c r="AY98" s="330" t="str">
        <f t="shared" si="20"/>
        <v>-</v>
      </c>
      <c r="AZ98" s="260" t="str">
        <f t="shared" si="21"/>
        <v>#REF!</v>
      </c>
      <c r="BA98" s="333" t="str">
        <f t="shared" si="22"/>
        <v>xoxooox</v>
      </c>
      <c r="BB98" s="334" t="str">
        <f t="shared" si="23"/>
        <v>xooxox</v>
      </c>
      <c r="BC98" s="335" t="str">
        <f t="shared" si="236"/>
        <v>-</v>
      </c>
      <c r="BD98" s="336" t="str">
        <f t="shared" si="25"/>
        <v>Devshri: 'xoxooox' + 'xooxox'</v>
      </c>
      <c r="BE98" s="337">
        <f>IFERROR(__xludf.DUMMYFUNCTION("COUNTUNIQUE(FILTER(AT:AT,REGEXMATCH(AT:AT,AS98)))-1"),1.0)</f>
        <v>1</v>
      </c>
      <c r="BF98" s="261" t="str">
        <f>IFERROR(__xludf.DUMMYFUNCTION("IF(BI98=0,""(n/a)"",IF(BJ98=2,""(PAIR)"",IF(REGEXMATCH(AT98,""xoxoxxoxoxox""),""Bilawal"",IF(REGEXMATCH(AT98,""xoxoxooxoxoo""),""Bhupali"",IF(REGEXMATCH(AT98,""xoxoxxoxxoxo""),""Charukeshi"",IF(REGEXMATCH(AT98,""xoxoooxxoxxo""),""Kameshwari"",IF(REGEXMATC"&amp;"H(AT98,""xoxoxooxoxox""),""Shankara"",IF(REGEXMATCH(AT98,""xxooxoxxxoox""),""Basant"",IF(REGEXMATCH(AT98,""xoxoxxxxoxox""),""Bihag"",IF(REGEXMATCH(AT98,""xoxxxxoxoxxx""),""Pilu"",IF(REGEXMATCH(AT98,""xoxxoxoxxoox""),""Kirwani"",IF(REGEXMATCH(AT98,""xoxxox"&amp;"oxoxxx""),""Mk.Malhar"",IF(REGEXMATCH(AT98,""xxooxxoxxoox""),""Bhairav"",IF(REGEXMATCH(AT98,""xxoxooxxxoox""),""Todi"",IF(REGEXMATCH(AT98,""xxooxoxooxox""),""Marwa"",IF(REGEXMATCH(AT98,""xxoooxoxxooo""),""Gunkali"",IF(REGEXMATCH(AT98,""xoxoxxoxxoox""),""N"&amp;"at Bhairav"",IF(REGEXMATCH(AT98,""xoxxoooxoxoo""),""Shivranjani"",IF(REGEXMATCH(AT98,""xooxxxoxooxo""),""Jog"",IF(REGEXMATCH(AT98,""xxooxoxoxoox""),""Hemshri"",IF(REGEXMATCH(AT98,""xoooxooxoxxo""),""Kalavati"",IF(REGEXMATCH(AT98,""xxoxoxxoxoox""),""Kedar"&amp;""",IF(REGEXMATCH(AT98,""xoxxxxoxooxx""),""Gara"",IF(REGEXMATCH(AT98,""xooxoxooxoox""),""Chandrakauns"",IF(REGEXMATCH(AT98,""xoxxxxoxxxox""),""Mand"",IF(REGEXMATCH(AT98,""xoxxxxoxoxox""),""Hanskinkini"",IF(REGEXMATCH(AT98,""xxooxxoxooxo""),""Lilavati"",IF("&amp;"REGEXMATCH(AT98,""xooxoxoooxox""),""Rajeshwari"",IF(REGEXMATCH(AT98,""xoooxxoxoxxx""),""Khokar"",IF(REGEXMATCH(AT98,""xxooxoxxxxox""),""Maligoura"",""-""))))))))))))))))))))))))))))))"),"(PAIR)")</f>
        <v>(PAIR)</v>
      </c>
      <c r="BG98" s="239" t="str">
        <f t="shared" si="26"/>
        <v>#REF!</v>
      </c>
      <c r="BH98" s="239">
        <f>IFERROR(__xludf.DUMMYFUNCTION("COUNTUNIQUE(FE98:FO98)-1"),4.0)</f>
        <v>4</v>
      </c>
      <c r="BI98" s="239">
        <f>IFERROR(__xludf.DUMMYFUNCTION("COUNTUNIQUE(FILTER(AT:AT,REGEXMATCH(AT:AT,AS98)))-1"),1.0)</f>
        <v>1</v>
      </c>
      <c r="BJ98" s="239">
        <f>IFERROR(__xludf.DUMMYFUNCTION("COUNTA(FILTER(AT:AT,REGEXMATCH(AT:AT,AS98)))"),2.0)</f>
        <v>2</v>
      </c>
      <c r="BK98" s="341">
        <f>IFERROR(__xludf.DUMMYFUNCTION("COUNTA(FILTER(AT:AT,REGEXMATCH(AT:AT,AS98)))-AR98"),2.0)</f>
        <v>2</v>
      </c>
      <c r="BL98" s="276" t="str">
        <f>IFERROR(__xludf.DUMMYFUNCTION("IF(AS98=""oooooooooooo"",""-"",IF(REGEXMATCH(AT98,""xx""), ""Hemi."", ""Anhemi.""))"),"Hemi.")</f>
        <v>Hemi.</v>
      </c>
      <c r="BM98" s="282" t="str">
        <f>IFERROR(__xludf.DUMMYFUNCTION("IF(AS98=""oooooooooooo"",""-"",IF(REGEXMATCH(AT98,""xxx""), ""Cohem."", ""-""))"),"-")</f>
        <v>-</v>
      </c>
      <c r="BN98" s="282" t="str">
        <f>IFERROR(__xludf.DUMMYFUNCTION("IF(AS98=""oooooooooooo"",""-"",IF(REGEXMATCH(AT98,""xxxx""), ""Co-Co."", ""-""))"),"-")</f>
        <v>-</v>
      </c>
      <c r="BO98" s="342" t="str">
        <f>IFERROR(__xludf.DUMMYFUNCTION("IF(AS98=""oooooooooooo"",""-"",IF(REGEXMATCH(AT98,""xxxxx""), ""CCC."", ""-""))"),"-")</f>
        <v>-</v>
      </c>
      <c r="BP98" s="344" t="str">
        <f t="shared" si="27"/>
        <v>-</v>
      </c>
      <c r="BQ98" s="282" t="str">
        <f>IFERROR(__xludf.DUMMYFUNCTION("IF(REGEXMATCH(JOIN(""-"",EU98:FD98),""TRUE""),""✔"",""-"")"),"-")</f>
        <v>-</v>
      </c>
      <c r="BR98" s="225">
        <f t="shared" si="28"/>
        <v>0</v>
      </c>
      <c r="BS98" s="345" t="str">
        <f>IFERROR(__xludf.DUMMYFUNCTION("SUBSTITUTE(SUBSTITUTE(SUBSTITUTE(SUBSTITUTE(CONCATENATE(JOIN(""-"",GC98:GO98)),""--"",""-""),""--"",""-""),""--"",""-""),""--"",""-"")"),"1-2-#4-5-b7-8")</f>
        <v>1-2-#4-5-b7-8</v>
      </c>
      <c r="BT98" s="299" t="str">
        <f>IFERROR(__xludf.DUMMYFUNCTION("SUBSTITUTE(SUBSTITUTE(SUBSTITUTE(SUBSTITUTE(CONCATENATE(JOIN(""-"",GP98:HB98)),""--"",""-""),""--"",""-""),""--"",""-""),""--"",""-"")"),"S-R2-M2-P-N2-S")</f>
        <v>S-R2-M2-P-N2-S</v>
      </c>
      <c r="BU98" s="348" t="str">
        <f t="shared" si="29"/>
        <v>C-D-F#-G-Bb-C</v>
      </c>
      <c r="BV98" s="349" t="str">
        <f t="shared" si="30"/>
        <v>SrgGmdDNS</v>
      </c>
      <c r="BW98" s="350">
        <f t="shared" si="31"/>
        <v>0</v>
      </c>
      <c r="BX98" s="351">
        <f t="shared" si="32"/>
        <v>1</v>
      </c>
      <c r="BY98" s="392"/>
      <c r="BZ98" s="309" t="str">
        <f>IFERROR(__xludf.DUMMYFUNCTION("IF(REGEXMATCH(C98, ""S""), ""x"",""x"")"),"x")</f>
        <v>x</v>
      </c>
      <c r="CA98" s="245" t="str">
        <f>IFERROR(__xludf.DUMMYFUNCTION("IF(REGEXMATCH(C98, ""r""), ""o"",""x"")"),"x")</f>
        <v>x</v>
      </c>
      <c r="CB98" s="246" t="str">
        <f>IFERROR(__xludf.DUMMYFUNCTION("IF(REGEXMATCH(C98, ""R""), ""o"",""x"")"),"o")</f>
        <v>o</v>
      </c>
      <c r="CC98" s="246" t="str">
        <f>IFERROR(__xludf.DUMMYFUNCTION("IF(REGEXMATCH(C98, ""g""), ""o"",""x"")"),"x")</f>
        <v>x</v>
      </c>
      <c r="CD98" s="245" t="str">
        <f>IFERROR(__xludf.DUMMYFUNCTION("IF(REGEXMATCH(C98, ""G""), ""o"",""x"")"),"x")</f>
        <v>x</v>
      </c>
      <c r="CE98" s="245" t="str">
        <f>IFERROR(__xludf.DUMMYFUNCTION("IF(REGEXMATCH(C98, ""m""), ""o"",""x"")"),"x")</f>
        <v>x</v>
      </c>
      <c r="CF98" s="246" t="str">
        <f>IFERROR(__xludf.DUMMYFUNCTION("IF(REGEXMATCH(C98, ""M""), ""o"",""x"")"),"o")</f>
        <v>o</v>
      </c>
      <c r="CG98" s="245" t="str">
        <f>IFERROR(__xludf.DUMMYFUNCTION("IF(REGEXMATCH(C98, ""P""), ""o"",""x"")"),"o")</f>
        <v>o</v>
      </c>
      <c r="CH98" s="246" t="str">
        <f>IFERROR(__xludf.DUMMYFUNCTION("IF(REGEXMATCH(C98, ""d""), ""o"",""x"")"),"x")</f>
        <v>x</v>
      </c>
      <c r="CI98" s="245" t="str">
        <f>IFERROR(__xludf.DUMMYFUNCTION("IF(REGEXMATCH(C98, ""D""), ""o"",""x"")"),"x")</f>
        <v>x</v>
      </c>
      <c r="CJ98" s="245" t="str">
        <f>IFERROR(__xludf.DUMMYFUNCTION("IF(REGEXMATCH(C98, ""n""), ""o"",""x"")"),"o")</f>
        <v>o</v>
      </c>
      <c r="CK98" s="245" t="str">
        <f>IFERROR(__xludf.DUMMYFUNCTION("IF(REGEXMATCH(C98, ""N""), ""o"",""x"")"),"x")</f>
        <v>x</v>
      </c>
      <c r="CL98" s="356" t="str">
        <f>IFERROR(__xludf.DUMMYFUNCTION("IF(REGEXMATCH(C98, ""S""), ""x"",""x"")"),"x")</f>
        <v>x</v>
      </c>
      <c r="CM98" s="357" t="str">
        <f t="shared" si="33"/>
        <v>xxoxxxooxxox</v>
      </c>
      <c r="CN98" s="358">
        <f t="shared" si="34"/>
        <v>0</v>
      </c>
      <c r="CO98" s="246" t="str">
        <f>IFERROR(__xludf.DUMMYFUNCTION("IF(REGEXMATCH($C98, ""S""), ""S"",""S"")"),"S")</f>
        <v>S</v>
      </c>
      <c r="CP98" s="246" t="str">
        <f>IFERROR(__xludf.DUMMYFUNCTION("IF(REGEXMATCH($C98, ""r""), """",""r"")"),"r")</f>
        <v>r</v>
      </c>
      <c r="CQ98" s="246" t="str">
        <f>IFERROR(__xludf.DUMMYFUNCTION("IF(REGEXMATCH($C98, ""R""), """",""R"")"),"")</f>
        <v/>
      </c>
      <c r="CR98" s="246" t="str">
        <f>IFERROR(__xludf.DUMMYFUNCTION("IF(REGEXMATCH($C98, ""g""), """",""g"")"),"g")</f>
        <v>g</v>
      </c>
      <c r="CS98" s="246" t="str">
        <f>IFERROR(__xludf.DUMMYFUNCTION("IF(REGEXMATCH($C98, ""G""), """",""G"")"),"G")</f>
        <v>G</v>
      </c>
      <c r="CT98" s="246" t="str">
        <f>IFERROR(__xludf.DUMMYFUNCTION("IF(REGEXMATCH($C98, ""m""), """",""m"")"),"m")</f>
        <v>m</v>
      </c>
      <c r="CU98" s="246" t="str">
        <f>IFERROR(__xludf.DUMMYFUNCTION("IF(REGEXMATCH($C98, ""M""), """",""M"")"),"")</f>
        <v/>
      </c>
      <c r="CV98" s="246" t="str">
        <f>IFERROR(__xludf.DUMMYFUNCTION("IF(REGEXMATCH($C98, ""P""), """",""P"")"),"")</f>
        <v/>
      </c>
      <c r="CW98" s="246" t="str">
        <f>IFERROR(__xludf.DUMMYFUNCTION("IF(REGEXMATCH($C98, ""d""), """",""d"")"),"d")</f>
        <v>d</v>
      </c>
      <c r="CX98" s="246" t="str">
        <f>IFERROR(__xludf.DUMMYFUNCTION("IF(REGEXMATCH($C98, ""D""), """",""D"")"),"D")</f>
        <v>D</v>
      </c>
      <c r="CY98" s="246" t="str">
        <f>IFERROR(__xludf.DUMMYFUNCTION("IF(REGEXMATCH($C98, ""n""), """",""n"")"),"")</f>
        <v/>
      </c>
      <c r="CZ98" s="246" t="str">
        <f>IFERROR(__xludf.DUMMYFUNCTION("IF(REGEXMATCH($C98, ""N""), """",""N"")"),"N")</f>
        <v>N</v>
      </c>
      <c r="DA98" s="246" t="str">
        <f>IFERROR(__xludf.DUMMYFUNCTION("IF(REGEXMATCH($C98, ""S""), ""S"",""S"")"),"S")</f>
        <v>S</v>
      </c>
      <c r="DB98" s="362" t="str">
        <f>IFERROR(__xludf.DUMMYFUNCTION("JOIN("""",CO98:DA98,"""","""")"),"SrgGmdDNS")</f>
        <v>SrgGmdDNS</v>
      </c>
      <c r="DC98" s="363"/>
      <c r="DD98" s="301" t="str">
        <f t="shared" si="35"/>
        <v>#REF!</v>
      </c>
      <c r="DE98" s="302" t="str">
        <f t="shared" si="36"/>
        <v>#REF!</v>
      </c>
      <c r="DF98" s="301" t="str">
        <f t="shared" ref="DF98:DG98" si="396">SUBSTITUTE(S98,"-","")</f>
        <v>SRM</v>
      </c>
      <c r="DG98" s="301" t="str">
        <f t="shared" si="396"/>
        <v>PNS</v>
      </c>
      <c r="DH98" s="302" t="str">
        <f t="shared" si="38"/>
        <v>(PAIR)</v>
      </c>
      <c r="DI98" s="301" t="str">
        <f t="shared" si="39"/>
        <v>Hemi.</v>
      </c>
      <c r="DJ98" s="364" t="str">
        <f t="shared" si="40"/>
        <v>-</v>
      </c>
      <c r="DK98" s="306" t="str">
        <f t="shared" si="41"/>
        <v>-</v>
      </c>
      <c r="DL98" s="366" t="str">
        <f t="shared" si="42"/>
        <v>-</v>
      </c>
      <c r="DM98" s="308" t="str">
        <f t="shared" si="43"/>
        <v>✔</v>
      </c>
      <c r="DN98" s="306" t="str">
        <f t="shared" si="44"/>
        <v>-</v>
      </c>
      <c r="DO98" s="306" t="str">
        <f t="shared" si="45"/>
        <v>-</v>
      </c>
      <c r="DP98" s="367" t="str">
        <f t="shared" si="46"/>
        <v>✔</v>
      </c>
      <c r="DQ98" s="310" t="str">
        <f t="shared" si="47"/>
        <v>-</v>
      </c>
      <c r="DR98" s="310" t="str">
        <f t="shared" si="48"/>
        <v>-</v>
      </c>
      <c r="DS98" s="310" t="str">
        <f t="shared" si="49"/>
        <v>-</v>
      </c>
      <c r="DT98" s="310" t="str">
        <f t="shared" si="50"/>
        <v>-</v>
      </c>
      <c r="DU98" s="370" t="str">
        <f t="shared" si="51"/>
        <v>-</v>
      </c>
      <c r="DV98" s="306" t="str">
        <f t="shared" si="52"/>
        <v>-</v>
      </c>
      <c r="DW98" s="306" t="str">
        <f t="shared" si="53"/>
        <v>✔</v>
      </c>
      <c r="DX98" s="306" t="str">
        <f t="shared" si="54"/>
        <v>-</v>
      </c>
      <c r="DY98" s="306" t="str">
        <f t="shared" si="55"/>
        <v>-</v>
      </c>
      <c r="DZ98" s="306" t="str">
        <f t="shared" si="56"/>
        <v>✔</v>
      </c>
      <c r="EA98" s="367" t="str">
        <f t="shared" si="57"/>
        <v>-</v>
      </c>
      <c r="EB98" s="310" t="str">
        <f>IFERROR(__xludf.DUMMYFUNCTION("IF(REGEXMATCH(AW98,AS98),""✔"",""-"")"),"-")</f>
        <v>-</v>
      </c>
      <c r="EC98" s="310" t="str">
        <f t="shared" si="58"/>
        <v>#REF!</v>
      </c>
      <c r="ED98" s="370" t="str">
        <f t="shared" si="59"/>
        <v>-</v>
      </c>
      <c r="EE98" s="340" t="str">
        <f t="shared" si="60"/>
        <v>S-R-M-P-n-S</v>
      </c>
      <c r="EF98" s="371" t="str">
        <f>IFERROR(__xludf.DUMMYFUNCTION("CONCATENATE(JOIN("""",HC98:HO98))"),"SRmMnS")</f>
        <v>SRmMnS</v>
      </c>
      <c r="EG98" s="372">
        <f t="shared" si="61"/>
        <v>3</v>
      </c>
      <c r="EH98" s="373" t="str">
        <f>IFERROR(__xludf.DUMMYFUNCTION("CONCATENATE(JOIN("""",JC98:JO98))"),"Re, Ma, ni, ")</f>
        <v>Re, Ma, ni, </v>
      </c>
      <c r="EI98" s="322">
        <f t="shared" si="62"/>
        <v>2</v>
      </c>
      <c r="EJ98" s="374" t="str">
        <f>IFERROR(__xludf.DUMMYFUNCTION("CONCATENATE(JOIN("""",KC98:KO98))"),"Ma, ni, ")</f>
        <v>Ma, ni, </v>
      </c>
      <c r="EK98" s="325" t="str">
        <f t="shared" si="63"/>
        <v>S-R2-M2-P-N2-S</v>
      </c>
      <c r="EL98" s="326" t="str">
        <f t="shared" si="64"/>
        <v>1-2-#4-5-b7-8</v>
      </c>
      <c r="EM98" s="318" t="str">
        <f t="shared" si="65"/>
        <v>#REF!</v>
      </c>
      <c r="EN98" s="328" t="str">
        <f>IFERROR(__xludf.DUMMYFUNCTION("SUBSTITUTE(SUBSTITUTE(SUBSTITUTE(SUBSTITUTE(CONCATENATE(JOIN("" "",HP98:IB98)),""  "","" ""),""  "","" ""),""  "","" ""),""  "","" "")"),"o • o • • • o o • • o • o")</f>
        <v>o • o • • • o o • • o • o</v>
      </c>
      <c r="EO98" s="368" t="str">
        <f t="shared" si="66"/>
        <v>Sa-Pa</v>
      </c>
      <c r="EP98" s="339" t="str">
        <f t="shared" si="67"/>
        <v>Sa-Pa</v>
      </c>
      <c r="EQ98" s="339" t="str">
        <f t="shared" si="68"/>
        <v>Sa-Pa</v>
      </c>
      <c r="ER98" s="339" t="str">
        <f t="shared" si="69"/>
        <v>-</v>
      </c>
      <c r="ES98" s="340" t="str">
        <f t="shared" si="70"/>
        <v>-</v>
      </c>
      <c r="ET98" s="363"/>
      <c r="EU98" s="376" t="b">
        <f>IFERROR(__xludf.DUMMYFUNCTION("arrayformula(sum(--REGEXMATCH(""SRGMPDNS"",split(REGEXREPLACE(C98,""(.)"",""$1~""),""~""))))=len(C98)
"),FALSE)</f>
        <v>0</v>
      </c>
      <c r="EV98" s="290" t="b">
        <f>IFERROR(__xludf.DUMMYFUNCTION("arrayformula(sum(--REGEXMATCH(""SRGmPDNS"",split(REGEXREPLACE(C98,""(.)"",""$1~""),""~""))))=len(C98)"),FALSE)</f>
        <v>0</v>
      </c>
      <c r="EW98" s="290" t="b">
        <f>IFERROR(__xludf.DUMMYFUNCTION("arrayformula(sum(--REGEXMATCH(""SRGmPDnS"",split(REGEXREPLACE(C98,""(.)"",""$1~""),""~""))))=len(C98)"),FALSE)</f>
        <v>0</v>
      </c>
      <c r="EX98" s="290" t="b">
        <f>IFERROR(__xludf.DUMMYFUNCTION("arrayformula(sum(--REGEXMATCH(""SRgmPDnS"",split(REGEXREPLACE(C98,""(.)"",""$1~""),""~""))))=len(C98)"),FALSE)</f>
        <v>0</v>
      </c>
      <c r="EY98" s="290" t="b">
        <f>IFERROR(__xludf.DUMMYFUNCTION("arrayformula(sum(--REGEXMATCH(""SRgmPdnS"",split(REGEXREPLACE(C98,""(.)"",""$1~""),""~""))))=len(C98)"),FALSE)</f>
        <v>0</v>
      </c>
      <c r="EZ98" s="290" t="b">
        <f>IFERROR(__xludf.DUMMYFUNCTION("arrayformula(sum(--REGEXMATCH(""SrgmPdnS"",split(REGEXREPLACE(C98,""(.)"",""$1~""),""~""))))=len(C98)"),FALSE)</f>
        <v>0</v>
      </c>
      <c r="FA98" s="290" t="b">
        <f>IFERROR(__xludf.DUMMYFUNCTION("arrayformula(sum(--REGEXMATCH(""SrGmPdNS"",split(REGEXREPLACE(C98,""(.)"",""$1~""),""~""))))=len(C98)"),FALSE)</f>
        <v>0</v>
      </c>
      <c r="FB98" s="290" t="b">
        <f>IFERROR(__xludf.DUMMYFUNCTION("arrayformula(sum(--REGEXMATCH(""SrGMPDNS"",split(REGEXREPLACE(C98,""(.)"",""$1~""),""~""))))=len(C98)"),FALSE)</f>
        <v>0</v>
      </c>
      <c r="FC98" s="290" t="b">
        <f>IFERROR(__xludf.DUMMYFUNCTION("arrayformula(sum(--REGEXMATCH(""SrGMPdNS"",split(REGEXREPLACE(C98,""(.)"",""$1~""),""~""))))=len(C98)"),FALSE)</f>
        <v>0</v>
      </c>
      <c r="FD98" s="377" t="b">
        <f>IFERROR(__xludf.DUMMYFUNCTION("arrayformula(sum(--REGEXMATCH(""SrgMPdNS"",split(REGEXREPLACE(C98,""(.)"",""$1~""),""~""))))=len(C98)"),FALSE)</f>
        <v>0</v>
      </c>
      <c r="FE98" s="269" t="str">
        <f t="shared" si="71"/>
        <v>-</v>
      </c>
      <c r="FF98" s="269" t="str">
        <f t="shared" si="72"/>
        <v>xoooxxooxox</v>
      </c>
      <c r="FG98" s="271" t="str">
        <f t="shared" si="73"/>
        <v>-</v>
      </c>
      <c r="FH98" s="269" t="str">
        <f t="shared" si="74"/>
        <v>-</v>
      </c>
      <c r="FI98" s="271" t="str">
        <f t="shared" si="75"/>
        <v>-</v>
      </c>
      <c r="FJ98" s="271" t="str">
        <f t="shared" si="76"/>
        <v>xxooxoxoxoo</v>
      </c>
      <c r="FK98" s="271" t="str">
        <f t="shared" si="77"/>
        <v>xooxoxoxooo</v>
      </c>
      <c r="FL98" s="271" t="str">
        <f t="shared" si="78"/>
        <v>-</v>
      </c>
      <c r="FM98" s="271" t="str">
        <f t="shared" si="79"/>
        <v>-</v>
      </c>
      <c r="FN98" s="271" t="str">
        <f t="shared" si="80"/>
        <v>xoxoxoooxxo</v>
      </c>
      <c r="FO98" s="274" t="str">
        <f t="shared" si="81"/>
        <v>-</v>
      </c>
      <c r="FP98" s="234" t="str">
        <f t="shared" si="82"/>
        <v>|</v>
      </c>
      <c r="FQ98" s="236" t="str">
        <f t="shared" si="83"/>
        <v>-</v>
      </c>
      <c r="FR98" s="237" t="str">
        <f t="shared" si="84"/>
        <v>|</v>
      </c>
      <c r="FS98" s="236" t="str">
        <f t="shared" si="85"/>
        <v>-</v>
      </c>
      <c r="FT98" s="237" t="str">
        <f t="shared" si="86"/>
        <v>-</v>
      </c>
      <c r="FU98" s="236" t="str">
        <f t="shared" si="87"/>
        <v>-</v>
      </c>
      <c r="FV98" s="237" t="str">
        <f t="shared" si="88"/>
        <v>|</v>
      </c>
      <c r="FW98" s="236" t="str">
        <f t="shared" si="89"/>
        <v>|</v>
      </c>
      <c r="FX98" s="237" t="str">
        <f t="shared" si="90"/>
        <v>-</v>
      </c>
      <c r="FY98" s="236" t="str">
        <f t="shared" si="91"/>
        <v>-</v>
      </c>
      <c r="FZ98" s="237" t="str">
        <f t="shared" si="92"/>
        <v>|</v>
      </c>
      <c r="GA98" s="236" t="str">
        <f t="shared" si="93"/>
        <v>-</v>
      </c>
      <c r="GB98" s="238" t="str">
        <f t="shared" si="94"/>
        <v>|</v>
      </c>
      <c r="GC98" s="244" t="str">
        <f>IFERROR(__xludf.DUMMYFUNCTION("IF(REGEXMATCH(C98, ""S""), ""1"","""")"),"1")</f>
        <v>1</v>
      </c>
      <c r="GD98" s="245" t="str">
        <f>IFERROR(__xludf.DUMMYFUNCTION("IF(REGEXMATCH(C98, ""r""), ""b2"","""")"),"")</f>
        <v/>
      </c>
      <c r="GE98" s="246" t="str">
        <f>IFERROR(__xludf.DUMMYFUNCTION("IF(REGEXMATCH(C98, ""R""), ""2"","""")"),"2")</f>
        <v>2</v>
      </c>
      <c r="GF98" s="246" t="str">
        <f>IFERROR(__xludf.DUMMYFUNCTION("IF(REGEXMATCH(C98, ""g""), ""b3"","""")"),"")</f>
        <v/>
      </c>
      <c r="GG98" s="245" t="str">
        <f>IFERROR(__xludf.DUMMYFUNCTION("IF(REGEXMATCH(C98, ""G""), ""3"","""")"),"")</f>
        <v/>
      </c>
      <c r="GH98" s="245" t="str">
        <f>IFERROR(__xludf.DUMMYFUNCTION("IF(REGEXMATCH(C98, ""m""), ""4"","""")"),"")</f>
        <v/>
      </c>
      <c r="GI98" s="246" t="str">
        <f>IFERROR(__xludf.DUMMYFUNCTION("IF(REGEXMATCH(C98, ""M""), ""#4"","""")"),"#4")</f>
        <v>#4</v>
      </c>
      <c r="GJ98" s="245" t="str">
        <f>IFERROR(__xludf.DUMMYFUNCTION("IF(REGEXMATCH(C98, ""P""), ""5"","""")"),"5")</f>
        <v>5</v>
      </c>
      <c r="GK98" s="246" t="str">
        <f>IFERROR(__xludf.DUMMYFUNCTION("IF(REGEXMATCH(C98, ""d""), ""b6"","""")"),"")</f>
        <v/>
      </c>
      <c r="GL98" s="245" t="str">
        <f>IFERROR(__xludf.DUMMYFUNCTION("IF(REGEXMATCH(C98, ""D""), ""6"","""")"),"")</f>
        <v/>
      </c>
      <c r="GM98" s="245" t="str">
        <f>IFERROR(__xludf.DUMMYFUNCTION("IF(REGEXMATCH(C98, ""n""), ""b7"","""")"),"b7")</f>
        <v>b7</v>
      </c>
      <c r="GN98" s="246" t="str">
        <f>IFERROR(__xludf.DUMMYFUNCTION("IF(REGEXMATCH(C98, ""N""), ""7"","""")"),"")</f>
        <v/>
      </c>
      <c r="GO98" s="249" t="str">
        <f>IFERROR(__xludf.DUMMYFUNCTION("IF(REGEXMATCH(C98, ""S""), ""8"","""")"),"8")</f>
        <v>8</v>
      </c>
      <c r="GP98" s="244" t="str">
        <f>IFERROR(__xludf.DUMMYFUNCTION("IF(REGEXMATCH(C98, ""S""), ""S"","""")"),"S")</f>
        <v>S</v>
      </c>
      <c r="GQ98" s="294" t="str">
        <f>IFERROR(__xludf.DUMMYFUNCTION("IF(REGEXMATCH(C98, ""r""), ""R1"","""")"),"")</f>
        <v/>
      </c>
      <c r="GR98" s="295" t="str">
        <f>IFERROR(__xludf.DUMMYFUNCTION("IF(REGEXMATCH(C98, ""R""), ""R2"","""")"),"R2")</f>
        <v>R2</v>
      </c>
      <c r="GS98" s="295" t="str">
        <f>IFERROR(__xludf.DUMMYFUNCTION("IF(REGEXMATCH(C98, ""g""), ""G2"","""")"),"")</f>
        <v/>
      </c>
      <c r="GT98" s="294" t="str">
        <f>IFERROR(__xludf.DUMMYFUNCTION("IF(REGEXMATCH(C98, ""G""), ""G3"","""")"),"")</f>
        <v/>
      </c>
      <c r="GU98" s="294" t="str">
        <f>IFERROR(__xludf.DUMMYFUNCTION("IF(REGEXMATCH(C98, ""m""), ""M1"","""")"),"")</f>
        <v/>
      </c>
      <c r="GV98" s="295" t="str">
        <f>IFERROR(__xludf.DUMMYFUNCTION("IF(REGEXMATCH(C98, ""M""), ""M2"","""")"),"M2")</f>
        <v>M2</v>
      </c>
      <c r="GW98" s="294" t="str">
        <f>IFERROR(__xludf.DUMMYFUNCTION("IF(REGEXMATCH(C98, ""P""), ""P"","""")"),"P")</f>
        <v>P</v>
      </c>
      <c r="GX98" s="295" t="str">
        <f>IFERROR(__xludf.DUMMYFUNCTION("IF(REGEXMATCH(C98, ""d""), ""D1"","""")"),"")</f>
        <v/>
      </c>
      <c r="GY98" s="294" t="str">
        <f>IFERROR(__xludf.DUMMYFUNCTION("IF(REGEXMATCH(C98, ""D""), ""D2"","""")"),"")</f>
        <v/>
      </c>
      <c r="GZ98" s="294" t="str">
        <f>IFERROR(__xludf.DUMMYFUNCTION("IF(REGEXMATCH(C98, ""n""), ""N2"","""")"),"N2")</f>
        <v>N2</v>
      </c>
      <c r="HA98" s="295" t="str">
        <f>IFERROR(__xludf.DUMMYFUNCTION("IF(REGEXMATCH(C98, ""N""), ""N3"","""")"),"")</f>
        <v/>
      </c>
      <c r="HB98" s="249" t="str">
        <f>IFERROR(__xludf.DUMMYFUNCTION("IF(REGEXMATCH(C98, ""S""), ""S"","""")"),"S")</f>
        <v>S</v>
      </c>
      <c r="HC98" s="331" t="str">
        <f t="shared" si="95"/>
        <v>S</v>
      </c>
      <c r="HD98" s="332" t="str">
        <f t="shared" si="96"/>
        <v/>
      </c>
      <c r="HE98" s="332" t="str">
        <f t="shared" si="97"/>
        <v>R</v>
      </c>
      <c r="HF98" s="332" t="str">
        <f t="shared" si="98"/>
        <v/>
      </c>
      <c r="HG98" s="332" t="str">
        <f t="shared" si="99"/>
        <v/>
      </c>
      <c r="HH98" s="332" t="str">
        <f t="shared" si="100"/>
        <v>m</v>
      </c>
      <c r="HI98" s="332" t="str">
        <f t="shared" si="101"/>
        <v>M</v>
      </c>
      <c r="HJ98" s="332" t="str">
        <f t="shared" si="102"/>
        <v/>
      </c>
      <c r="HK98" s="332" t="str">
        <f t="shared" si="103"/>
        <v/>
      </c>
      <c r="HL98" s="332" t="str">
        <f t="shared" si="104"/>
        <v/>
      </c>
      <c r="HM98" s="332" t="str">
        <f t="shared" si="105"/>
        <v>n</v>
      </c>
      <c r="HN98" s="332" t="str">
        <f t="shared" si="106"/>
        <v/>
      </c>
      <c r="HO98" s="343" t="str">
        <f t="shared" si="107"/>
        <v>S</v>
      </c>
      <c r="HP98" s="331" t="str">
        <f t="shared" si="108"/>
        <v>o</v>
      </c>
      <c r="HQ98" s="332" t="str">
        <f t="shared" si="109"/>
        <v>•</v>
      </c>
      <c r="HR98" s="332" t="str">
        <f t="shared" si="110"/>
        <v>o</v>
      </c>
      <c r="HS98" s="332" t="str">
        <f t="shared" si="111"/>
        <v>•</v>
      </c>
      <c r="HT98" s="332" t="str">
        <f t="shared" si="112"/>
        <v>•</v>
      </c>
      <c r="HU98" s="332" t="str">
        <f t="shared" si="113"/>
        <v>•</v>
      </c>
      <c r="HV98" s="332" t="str">
        <f t="shared" si="114"/>
        <v>o</v>
      </c>
      <c r="HW98" s="332" t="str">
        <f t="shared" si="115"/>
        <v>o</v>
      </c>
      <c r="HX98" s="332" t="str">
        <f t="shared" si="116"/>
        <v>•</v>
      </c>
      <c r="HY98" s="332" t="str">
        <f t="shared" si="117"/>
        <v>•</v>
      </c>
      <c r="HZ98" s="332" t="str">
        <f t="shared" si="118"/>
        <v>o</v>
      </c>
      <c r="IA98" s="332" t="str">
        <f t="shared" si="119"/>
        <v>•</v>
      </c>
      <c r="IB98" s="338" t="str">
        <f t="shared" si="120"/>
        <v>o</v>
      </c>
      <c r="IC98" s="331" t="str">
        <f t="shared" si="121"/>
        <v>•</v>
      </c>
      <c r="ID98" s="332" t="str">
        <f t="shared" si="122"/>
        <v>o</v>
      </c>
      <c r="IE98" s="332" t="str">
        <f t="shared" si="123"/>
        <v>•</v>
      </c>
      <c r="IF98" s="332" t="str">
        <f t="shared" si="124"/>
        <v>o</v>
      </c>
      <c r="IG98" s="332" t="str">
        <f t="shared" si="125"/>
        <v>o</v>
      </c>
      <c r="IH98" s="332" t="str">
        <f t="shared" si="126"/>
        <v>o</v>
      </c>
      <c r="II98" s="332" t="str">
        <f t="shared" si="127"/>
        <v>•</v>
      </c>
      <c r="IJ98" s="332" t="str">
        <f t="shared" si="128"/>
        <v>•</v>
      </c>
      <c r="IK98" s="332" t="str">
        <f t="shared" si="129"/>
        <v>o</v>
      </c>
      <c r="IL98" s="332" t="str">
        <f t="shared" si="130"/>
        <v>o</v>
      </c>
      <c r="IM98" s="332" t="str">
        <f t="shared" si="131"/>
        <v>•</v>
      </c>
      <c r="IN98" s="332" t="str">
        <f t="shared" si="132"/>
        <v>o</v>
      </c>
      <c r="IO98" s="338" t="str">
        <f t="shared" si="133"/>
        <v>•</v>
      </c>
      <c r="IP98" s="346" t="b">
        <f t="shared" si="134"/>
        <v>0</v>
      </c>
      <c r="IQ98" s="347" t="b">
        <f t="shared" si="135"/>
        <v>0</v>
      </c>
      <c r="IR98" s="347" t="b">
        <f t="shared" si="136"/>
        <v>1</v>
      </c>
      <c r="IS98" s="347" t="b">
        <f t="shared" si="137"/>
        <v>0</v>
      </c>
      <c r="IT98" s="347" t="b">
        <f t="shared" si="138"/>
        <v>0</v>
      </c>
      <c r="IU98" s="347" t="b">
        <f t="shared" si="139"/>
        <v>0</v>
      </c>
      <c r="IV98" s="347" t="b">
        <f t="shared" si="140"/>
        <v>1</v>
      </c>
      <c r="IW98" s="347" t="b">
        <f t="shared" si="141"/>
        <v>0</v>
      </c>
      <c r="IX98" s="347" t="b">
        <f t="shared" si="142"/>
        <v>0</v>
      </c>
      <c r="IY98" s="347" t="b">
        <f t="shared" si="143"/>
        <v>0</v>
      </c>
      <c r="IZ98" s="347" t="b">
        <f t="shared" si="144"/>
        <v>1</v>
      </c>
      <c r="JA98" s="347" t="b">
        <f t="shared" si="145"/>
        <v>0</v>
      </c>
      <c r="JB98" s="353" t="b">
        <f t="shared" si="146"/>
        <v>0</v>
      </c>
      <c r="JC98" s="354" t="str">
        <f t="shared" si="147"/>
        <v/>
      </c>
      <c r="JD98" s="355" t="str">
        <f t="shared" si="148"/>
        <v/>
      </c>
      <c r="JE98" s="355" t="str">
        <f t="shared" si="149"/>
        <v>Re, </v>
      </c>
      <c r="JF98" s="355" t="str">
        <f t="shared" si="150"/>
        <v/>
      </c>
      <c r="JG98" s="355" t="str">
        <f t="shared" si="151"/>
        <v/>
      </c>
      <c r="JH98" s="355" t="str">
        <f t="shared" si="152"/>
        <v/>
      </c>
      <c r="JI98" s="355" t="str">
        <f t="shared" si="153"/>
        <v>Ma, </v>
      </c>
      <c r="JJ98" s="355" t="str">
        <f t="shared" si="154"/>
        <v/>
      </c>
      <c r="JK98" s="355" t="str">
        <f t="shared" si="155"/>
        <v/>
      </c>
      <c r="JL98" s="355" t="str">
        <f t="shared" si="156"/>
        <v/>
      </c>
      <c r="JM98" s="355" t="str">
        <f t="shared" si="157"/>
        <v>ni, </v>
      </c>
      <c r="JN98" s="355" t="str">
        <f t="shared" si="158"/>
        <v/>
      </c>
      <c r="JO98" s="359" t="str">
        <f t="shared" si="159"/>
        <v/>
      </c>
      <c r="JP98" s="346" t="b">
        <f t="shared" si="160"/>
        <v>0</v>
      </c>
      <c r="JQ98" s="347" t="b">
        <f t="shared" si="161"/>
        <v>0</v>
      </c>
      <c r="JR98" s="347" t="b">
        <f t="shared" si="162"/>
        <v>0</v>
      </c>
      <c r="JS98" s="347" t="b">
        <f t="shared" si="163"/>
        <v>0</v>
      </c>
      <c r="JT98" s="347" t="b">
        <f t="shared" si="164"/>
        <v>0</v>
      </c>
      <c r="JU98" s="347" t="b">
        <f t="shared" si="165"/>
        <v>0</v>
      </c>
      <c r="JV98" s="347" t="b">
        <f t="shared" si="166"/>
        <v>1</v>
      </c>
      <c r="JW98" s="347" t="b">
        <f t="shared" si="167"/>
        <v>0</v>
      </c>
      <c r="JX98" s="347" t="b">
        <f t="shared" si="168"/>
        <v>0</v>
      </c>
      <c r="JY98" s="347" t="b">
        <f t="shared" si="169"/>
        <v>0</v>
      </c>
      <c r="JZ98" s="347" t="b">
        <f t="shared" si="170"/>
        <v>1</v>
      </c>
      <c r="KA98" s="347" t="b">
        <f t="shared" si="171"/>
        <v>0</v>
      </c>
      <c r="KB98" s="365" t="b">
        <f t="shared" si="172"/>
        <v>0</v>
      </c>
      <c r="KC98" s="354" t="str">
        <f t="shared" si="173"/>
        <v/>
      </c>
      <c r="KD98" s="355" t="str">
        <f t="shared" si="174"/>
        <v/>
      </c>
      <c r="KE98" s="355" t="str">
        <f t="shared" si="175"/>
        <v/>
      </c>
      <c r="KF98" s="355" t="str">
        <f t="shared" si="176"/>
        <v/>
      </c>
      <c r="KG98" s="355" t="str">
        <f t="shared" si="177"/>
        <v/>
      </c>
      <c r="KH98" s="355" t="str">
        <f t="shared" si="178"/>
        <v/>
      </c>
      <c r="KI98" s="355" t="str">
        <f t="shared" si="179"/>
        <v>Ma, </v>
      </c>
      <c r="KJ98" s="355" t="str">
        <f t="shared" si="180"/>
        <v/>
      </c>
      <c r="KK98" s="355" t="str">
        <f t="shared" si="181"/>
        <v/>
      </c>
      <c r="KL98" s="355" t="str">
        <f t="shared" si="182"/>
        <v/>
      </c>
      <c r="KM98" s="355" t="str">
        <f t="shared" si="183"/>
        <v>ni, </v>
      </c>
      <c r="KN98" s="355" t="str">
        <f t="shared" si="184"/>
        <v/>
      </c>
      <c r="KO98" s="359"/>
      <c r="KP98" s="378"/>
      <c r="KQ98" s="379" t="s">
        <v>705</v>
      </c>
      <c r="KR98" s="380" t="s">
        <v>1380</v>
      </c>
      <c r="KS98" s="381" t="str">
        <f t="shared" si="380"/>
        <v>S-R-M-P-n-S</v>
      </c>
      <c r="KT98" s="382">
        <f t="shared" si="186"/>
        <v>5</v>
      </c>
      <c r="KU98" s="383">
        <f t="shared" si="187"/>
        <v>5</v>
      </c>
      <c r="KV98" s="381" t="str">
        <f t="shared" si="205"/>
        <v>S-n-P-M-R-S</v>
      </c>
      <c r="KW98" s="382">
        <f t="shared" si="189"/>
        <v>5</v>
      </c>
      <c r="KX98" s="384">
        <f t="shared" si="190"/>
        <v>5</v>
      </c>
      <c r="KY98" s="382">
        <f t="shared" ref="KY98:KZ98" si="397">KW98-KT98</f>
        <v>0</v>
      </c>
      <c r="KZ98" s="369">
        <f t="shared" si="397"/>
        <v>0</v>
      </c>
      <c r="LA98" s="385" t="str">
        <f t="shared" si="192"/>
        <v>✔</v>
      </c>
      <c r="LB98" s="340" t="str">
        <f>IFERROR(__xludf.DUMMYFUNCTION("JOIN("""",ArrayFormula(MID(KS98,LEN(KS98)-SEQUENCE(1,LEN(KS98))+1,1)))"),"S-n-P-M-R-S")</f>
        <v>S-n-P-M-R-S</v>
      </c>
      <c r="LC98" s="373" t="str">
        <f>IFERROR(__xludf.DUMMYFUNCTION("JOIN("""",ArrayFormula(MID(KV98,LEN(KV98)-SEQUENCE(1,LEN(KV98))+1,1)))"),"S-R-M-P-n-S")</f>
        <v>S-R-M-P-n-S</v>
      </c>
      <c r="LD98" s="373" t="str">
        <f t="shared" si="193"/>
        <v>SRMPnS</v>
      </c>
      <c r="LE98" s="339" t="str">
        <f t="shared" si="194"/>
        <v>SRMPnS</v>
      </c>
      <c r="LF98" s="386" t="str">
        <f>IFERROR(__xludf.DUMMYFUNCTION("SUBSTITUTE(SUBSTITUTE(CONCATENATE(JOIN("""",LH98:LT98)),""1"",""""),""2"","""")"),"SRMPnS")</f>
        <v>SRMPnS</v>
      </c>
      <c r="LG98" s="369" t="str">
        <f t="shared" si="195"/>
        <v>✔</v>
      </c>
      <c r="LH98" s="387" t="str">
        <f>IFERROR(__xludf.DUMMYFUNCTION("IF(REGEXMATCH(LD98, ""S""), ""S"",IF(REGEXMATCH(LE98, ""S""), ""S"",""""))"),"S")</f>
        <v>S</v>
      </c>
      <c r="LI98" s="299" t="str">
        <f>IFERROR(__xludf.DUMMYFUNCTION("IF(REGEXMATCH(LD98, ""r""), ""r1"",IF(REGEXMATCH(LE98, ""r""), ""r2"",""""))"),"")</f>
        <v/>
      </c>
      <c r="LJ98" s="299" t="str">
        <f>IFERROR(__xludf.DUMMYFUNCTION("IF(REGEXMATCH(LD98, ""R""), ""R1"",IF(REGEXMATCH(LE98, ""R""), ""R2"",""""))"),"R1")</f>
        <v>R1</v>
      </c>
      <c r="LK98" s="299" t="str">
        <f>IFERROR(__xludf.DUMMYFUNCTION("IF(REGEXMATCH(LD98, ""g""), ""g1"",IF(REGEXMATCH(LE98, ""g""), ""g2"",""""))"),"")</f>
        <v/>
      </c>
      <c r="LL98" s="299" t="str">
        <f>IFERROR(__xludf.DUMMYFUNCTION("IF(REGEXMATCH(LD98, ""G""), ""G1"",IF(REGEXMATCH(LE98, ""G""), ""G2"",""""))"),"")</f>
        <v/>
      </c>
      <c r="LM98" s="299" t="str">
        <f>IFERROR(__xludf.DUMMYFUNCTION("IF(REGEXMATCH(LD98, ""m""), ""m1"",IF(REGEXMATCH(LE98, ""m""), ""m2"",""""))"),"")</f>
        <v/>
      </c>
      <c r="LN98" s="299" t="str">
        <f>IFERROR(__xludf.DUMMYFUNCTION("IF(REGEXMATCH(LD98, ""M""), ""M1"",IF(REGEXMATCH(LE98, ""M""), ""M2"",""""))"),"M1")</f>
        <v>M1</v>
      </c>
      <c r="LO98" s="299" t="str">
        <f>IFERROR(__xludf.DUMMYFUNCTION("IF(REGEXMATCH(LD98, ""P""), ""P1"",IF(REGEXMATCH(LE98, ""P""), ""P2"",""""))"),"P1")</f>
        <v>P1</v>
      </c>
      <c r="LP98" s="299" t="str">
        <f>IFERROR(__xludf.DUMMYFUNCTION("IF(REGEXMATCH(LD98, ""d""), ""d1"",IF(REGEXMATCH(LE98, ""d""), ""d2"",""""))"),"")</f>
        <v/>
      </c>
      <c r="LQ98" s="299" t="str">
        <f>IFERROR(__xludf.DUMMYFUNCTION("IF(REGEXMATCH(LD98, ""D""), ""D1"",IF(REGEXMATCH(LE98, ""D""), ""D2"",""""))"),"")</f>
        <v/>
      </c>
      <c r="LR98" s="299" t="str">
        <f>IFERROR(__xludf.DUMMYFUNCTION("IF(REGEXMATCH(LD98, ""n""), ""n1"",IF(REGEXMATCH(LE98, ""n""), ""n2"",""""))"),"n1")</f>
        <v>n1</v>
      </c>
      <c r="LS98" s="299" t="str">
        <f>IFERROR(__xludf.DUMMYFUNCTION("IF(REGEXMATCH(LD98, ""N""), ""N1"",IF(REGEXMATCH(LE98, ""N""), ""N2"",""""))"),"")</f>
        <v/>
      </c>
      <c r="LT98" s="388" t="str">
        <f>IFERROR(__xludf.DUMMYFUNCTION("IF(REGEXMATCH(LD98, ""S""), ""S"",IF(REGEXMATCH(LE98, ""S""), ""S"",""""))"),"S")</f>
        <v>S</v>
      </c>
      <c r="LU98" s="389">
        <f t="shared" si="196"/>
        <v>1</v>
      </c>
      <c r="LV98" s="378"/>
      <c r="LW98" s="369"/>
      <c r="LX98" s="369"/>
    </row>
    <row r="99" ht="18.0" customHeight="1">
      <c r="A99" s="298" t="s">
        <v>707</v>
      </c>
      <c r="B99" s="222" t="s">
        <v>561</v>
      </c>
      <c r="C99" s="233" t="str">
        <f t="shared" si="7"/>
        <v>SRgmPDnS</v>
      </c>
      <c r="D99" s="234" t="str">
        <f>IFERROR(__xludf.DUMMYFUNCTION("IF(REGEXMATCH(C99, ""S""), ""S"","""")"),"S")</f>
        <v>S</v>
      </c>
      <c r="E99" s="236" t="str">
        <f>IFERROR(__xludf.DUMMYFUNCTION("IF(REGEXMATCH(C99, ""r""), ""r"","""")"),"")</f>
        <v/>
      </c>
      <c r="F99" s="237" t="str">
        <f>IFERROR(__xludf.DUMMYFUNCTION("IF(REGEXMATCH(C99, ""R""), ""R"","""")"),"R")</f>
        <v>R</v>
      </c>
      <c r="G99" s="237" t="str">
        <f>IFERROR(__xludf.DUMMYFUNCTION("IF(REGEXMATCH(C99, ""g""), ""g"","""")"),"g")</f>
        <v>g</v>
      </c>
      <c r="H99" s="236" t="str">
        <f>IFERROR(__xludf.DUMMYFUNCTION("IF(REGEXMATCH(C99, ""G""), ""G"","""")"),"")</f>
        <v/>
      </c>
      <c r="I99" s="236" t="str">
        <f>IFERROR(__xludf.DUMMYFUNCTION("IF(REGEXMATCH(C99, ""m""), ""m"","""")"),"m")</f>
        <v>m</v>
      </c>
      <c r="J99" s="237" t="str">
        <f>IFERROR(__xludf.DUMMYFUNCTION("IF(REGEXMATCH(C99, ""M""), ""M"","""")"),"")</f>
        <v/>
      </c>
      <c r="K99" s="236" t="str">
        <f>IFERROR(__xludf.DUMMYFUNCTION("IF(REGEXMATCH(C99, ""P""), ""P"","""")"),"P")</f>
        <v>P</v>
      </c>
      <c r="L99" s="237" t="str">
        <f>IFERROR(__xludf.DUMMYFUNCTION("IF(REGEXMATCH(C99, ""d""), ""d"","""")"),"")</f>
        <v/>
      </c>
      <c r="M99" s="236" t="str">
        <f>IFERROR(__xludf.DUMMYFUNCTION("IF(REGEXMATCH(C99, ""D""), ""D"","""")"),"D")</f>
        <v>D</v>
      </c>
      <c r="N99" s="236" t="str">
        <f>IFERROR(__xludf.DUMMYFUNCTION("IF(REGEXMATCH(C99, ""n""), ""n"","""")"),"n")</f>
        <v>n</v>
      </c>
      <c r="O99" s="237" t="str">
        <f>IFERROR(__xludf.DUMMYFUNCTION("IF(REGEXMATCH(C99, ""N""), ""N"","""")"),"")</f>
        <v/>
      </c>
      <c r="P99" s="238" t="str">
        <f>IFERROR(__xludf.DUMMYFUNCTION("IF(REGEXMATCH(C99, ""S""), ""S"","""")"),"S")</f>
        <v>S</v>
      </c>
      <c r="Q99" s="239" t="str">
        <f>IFERROR(__xludf.DUMMYFUNCTION("SUBSTITUTE(CONCATENATE(JOIN(""-"",D99:J99)),""-"","""")"),"SRgm")</f>
        <v>SRgm</v>
      </c>
      <c r="R99" s="229" t="str">
        <f>IFERROR(__xludf.DUMMYFUNCTION("SUBSTITUTE(CONCATENATE(JOIN(""-"",K99:P99)),""-"","""")"),"PDnS")</f>
        <v>PDnS</v>
      </c>
      <c r="S99" s="282" t="str">
        <f t="shared" si="8"/>
        <v>S-R-G-M</v>
      </c>
      <c r="T99" s="282" t="str">
        <f t="shared" si="9"/>
        <v>P-D-N-S</v>
      </c>
      <c r="U99" s="237" t="str">
        <f>IFERROR(__xludf.DUMMYFUNCTION("SUBSTITUTE(JOIN(""-"",S99,T99),""--"",""-"")"),"S-R-G-M-P-D-N-S")</f>
        <v>S-R-G-M-P-D-N-S</v>
      </c>
      <c r="V99" s="309" t="str">
        <f t="shared" si="10"/>
        <v>RgmDn</v>
      </c>
      <c r="W99" s="244" t="str">
        <f>IFERROR(__xludf.DUMMYFUNCTION("IF(REGEXMATCH(C99, ""S""), ""0"","""")"),"0")</f>
        <v>0</v>
      </c>
      <c r="X99" s="245" t="str">
        <f>IFERROR(__xludf.DUMMYFUNCTION("IF(REGEXMATCH(C99, ""r""), ""1"","""")"),"")</f>
        <v/>
      </c>
      <c r="Y99" s="246" t="str">
        <f>IFERROR(__xludf.DUMMYFUNCTION("IF(REGEXMATCH(C99, ""R""), ""2"","""")"),"2")</f>
        <v>2</v>
      </c>
      <c r="Z99" s="246" t="str">
        <f>IFERROR(__xludf.DUMMYFUNCTION("IF(REGEXMATCH(C99, ""g""), ""3"","""")"),"3")</f>
        <v>3</v>
      </c>
      <c r="AA99" s="245" t="str">
        <f>IFERROR(__xludf.DUMMYFUNCTION("IF(REGEXMATCH(C99, ""G""), ""4"","""")"),"")</f>
        <v/>
      </c>
      <c r="AB99" s="245" t="str">
        <f>IFERROR(__xludf.DUMMYFUNCTION("IF(REGEXMATCH(C99, ""m""), ""5"","""")"),"5")</f>
        <v>5</v>
      </c>
      <c r="AC99" s="246" t="str">
        <f>IFERROR(__xludf.DUMMYFUNCTION("IF(REGEXMATCH(C99, ""M""), ""6"","""")"),"")</f>
        <v/>
      </c>
      <c r="AD99" s="245" t="str">
        <f>IFERROR(__xludf.DUMMYFUNCTION("IF(REGEXMATCH(C99, ""P""), ""7"","""")"),"7")</f>
        <v>7</v>
      </c>
      <c r="AE99" s="246" t="str">
        <f>IFERROR(__xludf.DUMMYFUNCTION("IF(REGEXMATCH(C99, ""d""), ""8"","""")"),"")</f>
        <v/>
      </c>
      <c r="AF99" s="245" t="str">
        <f>IFERROR(__xludf.DUMMYFUNCTION("IF(REGEXMATCH(C99, ""D""), ""9"","""")"),"9")</f>
        <v>9</v>
      </c>
      <c r="AG99" s="245" t="str">
        <f>IFERROR(__xludf.DUMMYFUNCTION("IF(REGEXMATCH(C99, ""n""), ""10"","""")"),"10")</f>
        <v>10</v>
      </c>
      <c r="AH99" s="246" t="str">
        <f>IFERROR(__xludf.DUMMYFUNCTION("IF(REGEXMATCH(C99, ""N""), ""11"","""")"),"")</f>
        <v/>
      </c>
      <c r="AI99" s="249" t="str">
        <f>IFERROR(__xludf.DUMMYFUNCTION("IF(REGEXMATCH(C99, ""S""), ""0"","""")"),"0")</f>
        <v>0</v>
      </c>
      <c r="AJ99" s="313" t="str">
        <f t="shared" si="11"/>
        <v>-</v>
      </c>
      <c r="AK99" s="313" t="str">
        <f t="shared" si="12"/>
        <v>-</v>
      </c>
      <c r="AL99" s="313" t="str">
        <f t="shared" si="13"/>
        <v>-</v>
      </c>
      <c r="AM99" s="313" t="str">
        <f t="shared" si="14"/>
        <v>T</v>
      </c>
      <c r="AN99" s="313" t="str">
        <f t="shared" si="15"/>
        <v>-</v>
      </c>
      <c r="AO99" s="314" t="str">
        <f t="shared" si="16"/>
        <v>-</v>
      </c>
      <c r="AP99" s="316">
        <f t="shared" si="17"/>
        <v>1</v>
      </c>
      <c r="AQ99" s="319" t="str">
        <f t="shared" si="18"/>
        <v>-</v>
      </c>
      <c r="AR99" s="320">
        <f t="shared" si="19"/>
        <v>0</v>
      </c>
      <c r="AS99" s="250" t="str">
        <f>IFERROR(__xludf.DUMMYFUNCTION("SUBSTITUTE(SUBSTITUTE(CONCATENATE(JOIN("""",FP99:GA99)),""|"",""x""),""-"",""o"")"),"xoxxoxoxoxxo")</f>
        <v>xoxxoxoxoxxo</v>
      </c>
      <c r="AT99" s="323" t="str">
        <f>IFERROR(__xludf.DUMMYFUNCTION("JOIN("""",AS99,AS99)"),"xoxxoxoxoxxoxoxxoxoxoxxo")</f>
        <v>xoxxoxoxoxxoxoxxoxoxoxxo</v>
      </c>
      <c r="AU99" s="256" t="str">
        <f>IFERROR(__xludf.DUMMYFUNCTION("JOIN("""",ArrayFormula(MID(AS99,LEN(AS99)-SEQUENCE(1,LEN(AS99))+1,1)))"),"oxxoxoxoxxox")</f>
        <v>oxxoxoxoxxox</v>
      </c>
      <c r="AV99" s="256" t="str">
        <f>IFERROR(__xludf.DUMMYFUNCTION("LEFT(CONCATENATE(""x"",JOIN("""",ArrayFormula(MID(AS99,LEN(AS99)-SEQUENCE(1,LEN(AS99))+1,1)))),12)"),"xoxxoxoxoxxo")</f>
        <v>xoxxoxoxoxxo</v>
      </c>
      <c r="AW99" s="327" t="str">
        <f>IFERROR(__xludf.DUMMYFUNCTION("JOIN("""",AU99,AU99)"),"oxxoxoxoxxoxoxxoxoxoxxox")</f>
        <v>oxxoxoxoxxoxoxxoxoxoxxox</v>
      </c>
      <c r="AX99" s="239" t="str">
        <f>IFERROR(__xludf.DUMMYFUNCTION("IF(REGEXMATCH(AW99,AS99),""✔"",""-"")"),"✔")</f>
        <v>✔</v>
      </c>
      <c r="AY99" s="330" t="str">
        <f t="shared" si="20"/>
        <v>✔</v>
      </c>
      <c r="AZ99" s="260" t="str">
        <f t="shared" si="21"/>
        <v>#REF!</v>
      </c>
      <c r="BA99" s="333" t="str">
        <f t="shared" si="22"/>
        <v>xoxxoxo</v>
      </c>
      <c r="BB99" s="334" t="str">
        <f t="shared" si="23"/>
        <v>xoxxox</v>
      </c>
      <c r="BC99" s="335" t="str">
        <f t="shared" si="236"/>
        <v>✔</v>
      </c>
      <c r="BD99" s="336" t="str">
        <f t="shared" si="25"/>
        <v>Dhanashree: 'xoxxoxo' + 'xoxxox'</v>
      </c>
      <c r="BE99" s="337">
        <f>IFERROR(__xludf.DUMMYFUNCTION("COUNTUNIQUE(FILTER(AT:AT,REGEXMATCH(AT:AT,AS99)))-1"),6.0)</f>
        <v>6</v>
      </c>
      <c r="BF99" s="261" t="str">
        <f>IFERROR(__xludf.DUMMYFUNCTION("IF(BI99=0,""(n/a)"",IF(BJ99=2,""(PAIR)"",IF(REGEXMATCH(AT99,""xoxoxxoxoxox""),""Bilawal"",IF(REGEXMATCH(AT99,""xoxoxooxoxoo""),""Bhupali"",IF(REGEXMATCH(AT99,""xoxoxxoxxoxo""),""Charukeshi"",IF(REGEXMATCH(AT99,""xoxoooxxoxxo""),""Kameshwari"",IF(REGEXMATC"&amp;"H(AT99,""xoxoxooxoxox""),""Shankara"",IF(REGEXMATCH(AT99,""xxooxoxxxoox""),""Basant"",IF(REGEXMATCH(AT99,""xoxoxxxxoxox""),""Bihag"",IF(REGEXMATCH(AT99,""xoxxxxoxoxxx""),""Pilu"",IF(REGEXMATCH(AT99,""xoxxoxoxxoox""),""Kirwani"",IF(REGEXMATCH(AT99,""xoxxox"&amp;"oxoxxx""),""Mk.Malhar"",IF(REGEXMATCH(AT99,""xxooxxoxxoox""),""Bhairav"",IF(REGEXMATCH(AT99,""xxoxooxxxoox""),""Todi"",IF(REGEXMATCH(AT99,""xxooxoxooxox""),""Marwa"",IF(REGEXMATCH(AT99,""xxoooxoxxooo""),""Gunkali"",IF(REGEXMATCH(AT99,""xoxoxxoxxoox""),""N"&amp;"at Bhairav"",IF(REGEXMATCH(AT99,""xoxxoooxoxoo""),""Shivranjani"",IF(REGEXMATCH(AT99,""xooxxxoxooxo""),""Jog"",IF(REGEXMATCH(AT99,""xxooxoxoxoox""),""Hemshri"",IF(REGEXMATCH(AT99,""xoooxooxoxxo""),""Kalavati"",IF(REGEXMATCH(AT99,""xxoxoxxoxoox""),""Kedar"&amp;""",IF(REGEXMATCH(AT99,""xoxxxxoxooxx""),""Gara"",IF(REGEXMATCH(AT99,""xooxoxooxoox""),""Chandrakauns"",IF(REGEXMATCH(AT99,""xoxxxxoxxxox""),""Mand"",IF(REGEXMATCH(AT99,""xoxxxxoxoxox""),""Hanskinkini"",IF(REGEXMATCH(AT99,""xxooxxoxooxo""),""Lilavati"",IF("&amp;"REGEXMATCH(AT99,""xooxoxoooxox""),""Rajeshwari"",IF(REGEXMATCH(AT99,""xoooxxoxoxxx""),""Khokar"",IF(REGEXMATCH(AT99,""xxooxoxxxxox""),""Maligoura"",""-""))))))))))))))))))))))))))))))"),"Bilawal")</f>
        <v>Bilawal</v>
      </c>
      <c r="BG99" s="239" t="str">
        <f t="shared" si="26"/>
        <v>#REF!</v>
      </c>
      <c r="BH99" s="239">
        <f>IFERROR(__xludf.DUMMYFUNCTION("COUNTUNIQUE(FE99:FO99)-1"),6.0)</f>
        <v>6</v>
      </c>
      <c r="BI99" s="239">
        <f>IFERROR(__xludf.DUMMYFUNCTION("COUNTUNIQUE(FILTER(AT:AT,REGEXMATCH(AT:AT,AS99)))-1"),6.0)</f>
        <v>6</v>
      </c>
      <c r="BJ99" s="239">
        <f>IFERROR(__xludf.DUMMYFUNCTION("COUNTA(FILTER(AT:AT,REGEXMATCH(AT:AT,AS99)))"),48.0)</f>
        <v>48</v>
      </c>
      <c r="BK99" s="341">
        <f>IFERROR(__xludf.DUMMYFUNCTION("COUNTA(FILTER(AT:AT,REGEXMATCH(AT:AT,AS99)))-AR99"),48.0)</f>
        <v>48</v>
      </c>
      <c r="BL99" s="276" t="str">
        <f>IFERROR(__xludf.DUMMYFUNCTION("IF(AS99=""oooooooooooo"",""-"",IF(REGEXMATCH(AT99,""xx""), ""Hemi."", ""Anhemi.""))"),"Hemi.")</f>
        <v>Hemi.</v>
      </c>
      <c r="BM99" s="282" t="str">
        <f>IFERROR(__xludf.DUMMYFUNCTION("IF(AS99=""oooooooooooo"",""-"",IF(REGEXMATCH(AT99,""xxx""), ""Cohem."", ""-""))"),"-")</f>
        <v>-</v>
      </c>
      <c r="BN99" s="282" t="str">
        <f>IFERROR(__xludf.DUMMYFUNCTION("IF(AS99=""oooooooooooo"",""-"",IF(REGEXMATCH(AT99,""xxxx""), ""Co-Co."", ""-""))"),"-")</f>
        <v>-</v>
      </c>
      <c r="BO99" s="342" t="str">
        <f>IFERROR(__xludf.DUMMYFUNCTION("IF(AS99=""oooooooooooo"",""-"",IF(REGEXMATCH(AT99,""xxxxx""), ""CCC."", ""-""))"),"-")</f>
        <v>-</v>
      </c>
      <c r="BP99" s="344" t="str">
        <f t="shared" si="27"/>
        <v>Kafi</v>
      </c>
      <c r="BQ99" s="282" t="str">
        <f>IFERROR(__xludf.DUMMYFUNCTION("IF(REGEXMATCH(JOIN(""-"",EU99:FD99),""TRUE""),""✔"",""-"")"),"✔")</f>
        <v>✔</v>
      </c>
      <c r="BR99" s="225">
        <f t="shared" si="28"/>
        <v>1</v>
      </c>
      <c r="BS99" s="345" t="str">
        <f>IFERROR(__xludf.DUMMYFUNCTION("SUBSTITUTE(SUBSTITUTE(SUBSTITUTE(SUBSTITUTE(CONCATENATE(JOIN(""-"",GC99:GO99)),""--"",""-""),""--"",""-""),""--"",""-""),""--"",""-"")"),"1-2-b3-4-5-6-b7-8")</f>
        <v>1-2-b3-4-5-6-b7-8</v>
      </c>
      <c r="BT99" s="299" t="str">
        <f>IFERROR(__xludf.DUMMYFUNCTION("SUBSTITUTE(SUBSTITUTE(SUBSTITUTE(SUBSTITUTE(CONCATENATE(JOIN(""-"",GP99:HB99)),""--"",""-""),""--"",""-""),""--"",""-""),""--"",""-"")"),"S-R2-G2-M1-P-D2-N2-S")</f>
        <v>S-R2-G2-M1-P-D2-N2-S</v>
      </c>
      <c r="BU99" s="348" t="str">
        <f t="shared" si="29"/>
        <v>C-D-Eb-F-G-A-Bb-C</v>
      </c>
      <c r="BV99" s="349" t="str">
        <f t="shared" si="30"/>
        <v>SrGMdNS</v>
      </c>
      <c r="BW99" s="350">
        <f t="shared" si="31"/>
        <v>1</v>
      </c>
      <c r="BX99" s="351">
        <f t="shared" si="32"/>
        <v>9</v>
      </c>
      <c r="BY99" s="392"/>
      <c r="BZ99" s="309" t="str">
        <f>IFERROR(__xludf.DUMMYFUNCTION("IF(REGEXMATCH(C99, ""S""), ""x"",""x"")"),"x")</f>
        <v>x</v>
      </c>
      <c r="CA99" s="245" t="str">
        <f>IFERROR(__xludf.DUMMYFUNCTION("IF(REGEXMATCH(C99, ""r""), ""o"",""x"")"),"x")</f>
        <v>x</v>
      </c>
      <c r="CB99" s="246" t="str">
        <f>IFERROR(__xludf.DUMMYFUNCTION("IF(REGEXMATCH(C99, ""R""), ""o"",""x"")"),"o")</f>
        <v>o</v>
      </c>
      <c r="CC99" s="246" t="str">
        <f>IFERROR(__xludf.DUMMYFUNCTION("IF(REGEXMATCH(C99, ""g""), ""o"",""x"")"),"o")</f>
        <v>o</v>
      </c>
      <c r="CD99" s="245" t="str">
        <f>IFERROR(__xludf.DUMMYFUNCTION("IF(REGEXMATCH(C99, ""G""), ""o"",""x"")"),"x")</f>
        <v>x</v>
      </c>
      <c r="CE99" s="245" t="str">
        <f>IFERROR(__xludf.DUMMYFUNCTION("IF(REGEXMATCH(C99, ""m""), ""o"",""x"")"),"o")</f>
        <v>o</v>
      </c>
      <c r="CF99" s="246" t="str">
        <f>IFERROR(__xludf.DUMMYFUNCTION("IF(REGEXMATCH(C99, ""M""), ""o"",""x"")"),"x")</f>
        <v>x</v>
      </c>
      <c r="CG99" s="245" t="str">
        <f>IFERROR(__xludf.DUMMYFUNCTION("IF(REGEXMATCH(C99, ""P""), ""o"",""x"")"),"o")</f>
        <v>o</v>
      </c>
      <c r="CH99" s="246" t="str">
        <f>IFERROR(__xludf.DUMMYFUNCTION("IF(REGEXMATCH(C99, ""d""), ""o"",""x"")"),"x")</f>
        <v>x</v>
      </c>
      <c r="CI99" s="245" t="str">
        <f>IFERROR(__xludf.DUMMYFUNCTION("IF(REGEXMATCH(C99, ""D""), ""o"",""x"")"),"o")</f>
        <v>o</v>
      </c>
      <c r="CJ99" s="245" t="str">
        <f>IFERROR(__xludf.DUMMYFUNCTION("IF(REGEXMATCH(C99, ""n""), ""o"",""x"")"),"o")</f>
        <v>o</v>
      </c>
      <c r="CK99" s="245" t="str">
        <f>IFERROR(__xludf.DUMMYFUNCTION("IF(REGEXMATCH(C99, ""N""), ""o"",""x"")"),"x")</f>
        <v>x</v>
      </c>
      <c r="CL99" s="356" t="str">
        <f>IFERROR(__xludf.DUMMYFUNCTION("IF(REGEXMATCH(C99, ""S""), ""x"",""x"")"),"x")</f>
        <v>x</v>
      </c>
      <c r="CM99" s="357" t="str">
        <f t="shared" si="33"/>
        <v>xxooxoxoxoox</v>
      </c>
      <c r="CN99" s="358">
        <f t="shared" si="34"/>
        <v>1</v>
      </c>
      <c r="CO99" s="246" t="str">
        <f>IFERROR(__xludf.DUMMYFUNCTION("IF(REGEXMATCH($C99, ""S""), ""S"",""S"")"),"S")</f>
        <v>S</v>
      </c>
      <c r="CP99" s="246" t="str">
        <f>IFERROR(__xludf.DUMMYFUNCTION("IF(REGEXMATCH($C99, ""r""), """",""r"")"),"r")</f>
        <v>r</v>
      </c>
      <c r="CQ99" s="246" t="str">
        <f>IFERROR(__xludf.DUMMYFUNCTION("IF(REGEXMATCH($C99, ""R""), """",""R"")"),"")</f>
        <v/>
      </c>
      <c r="CR99" s="246" t="str">
        <f>IFERROR(__xludf.DUMMYFUNCTION("IF(REGEXMATCH($C99, ""g""), """",""g"")"),"")</f>
        <v/>
      </c>
      <c r="CS99" s="246" t="str">
        <f>IFERROR(__xludf.DUMMYFUNCTION("IF(REGEXMATCH($C99, ""G""), """",""G"")"),"G")</f>
        <v>G</v>
      </c>
      <c r="CT99" s="246" t="str">
        <f>IFERROR(__xludf.DUMMYFUNCTION("IF(REGEXMATCH($C99, ""m""), """",""m"")"),"")</f>
        <v/>
      </c>
      <c r="CU99" s="246" t="str">
        <f>IFERROR(__xludf.DUMMYFUNCTION("IF(REGEXMATCH($C99, ""M""), """",""M"")"),"M")</f>
        <v>M</v>
      </c>
      <c r="CV99" s="246" t="str">
        <f>IFERROR(__xludf.DUMMYFUNCTION("IF(REGEXMATCH($C99, ""P""), """",""P"")"),"")</f>
        <v/>
      </c>
      <c r="CW99" s="246" t="str">
        <f>IFERROR(__xludf.DUMMYFUNCTION("IF(REGEXMATCH($C99, ""d""), """",""d"")"),"d")</f>
        <v>d</v>
      </c>
      <c r="CX99" s="246" t="str">
        <f>IFERROR(__xludf.DUMMYFUNCTION("IF(REGEXMATCH($C99, ""D""), """",""D"")"),"")</f>
        <v/>
      </c>
      <c r="CY99" s="246" t="str">
        <f>IFERROR(__xludf.DUMMYFUNCTION("IF(REGEXMATCH($C99, ""n""), """",""n"")"),"")</f>
        <v/>
      </c>
      <c r="CZ99" s="246" t="str">
        <f>IFERROR(__xludf.DUMMYFUNCTION("IF(REGEXMATCH($C99, ""N""), """",""N"")"),"N")</f>
        <v>N</v>
      </c>
      <c r="DA99" s="246" t="str">
        <f>IFERROR(__xludf.DUMMYFUNCTION("IF(REGEXMATCH($C99, ""S""), ""S"",""S"")"),"S")</f>
        <v>S</v>
      </c>
      <c r="DB99" s="362" t="str">
        <f>IFERROR(__xludf.DUMMYFUNCTION("JOIN("""",CO99:DA99,"""","""")"),"SrGMdNS")</f>
        <v>SrGMdNS</v>
      </c>
      <c r="DC99" s="363"/>
      <c r="DD99" s="301" t="str">
        <f t="shared" si="35"/>
        <v>#REF!</v>
      </c>
      <c r="DE99" s="302" t="str">
        <f t="shared" si="36"/>
        <v>#REF!</v>
      </c>
      <c r="DF99" s="301" t="str">
        <f t="shared" ref="DF99:DG99" si="398">SUBSTITUTE(S99,"-","")</f>
        <v>SRGM</v>
      </c>
      <c r="DG99" s="301" t="str">
        <f t="shared" si="398"/>
        <v>PDNS</v>
      </c>
      <c r="DH99" s="302" t="str">
        <f t="shared" si="38"/>
        <v>Bilawal</v>
      </c>
      <c r="DI99" s="301" t="str">
        <f t="shared" si="39"/>
        <v>Hemi.</v>
      </c>
      <c r="DJ99" s="364" t="str">
        <f t="shared" si="40"/>
        <v>-</v>
      </c>
      <c r="DK99" s="306" t="str">
        <f t="shared" si="41"/>
        <v>Kafi</v>
      </c>
      <c r="DL99" s="366" t="str">
        <f t="shared" si="42"/>
        <v>-</v>
      </c>
      <c r="DM99" s="308" t="str">
        <f t="shared" si="43"/>
        <v>-</v>
      </c>
      <c r="DN99" s="306" t="str">
        <f t="shared" si="44"/>
        <v>-</v>
      </c>
      <c r="DO99" s="306" t="str">
        <f t="shared" si="45"/>
        <v>-</v>
      </c>
      <c r="DP99" s="367" t="str">
        <f t="shared" si="46"/>
        <v>-</v>
      </c>
      <c r="DQ99" s="310" t="str">
        <f t="shared" si="47"/>
        <v>-</v>
      </c>
      <c r="DR99" s="310" t="str">
        <f t="shared" si="48"/>
        <v>-</v>
      </c>
      <c r="DS99" s="310" t="str">
        <f t="shared" si="49"/>
        <v>-</v>
      </c>
      <c r="DT99" s="310" t="str">
        <f t="shared" si="50"/>
        <v>-</v>
      </c>
      <c r="DU99" s="370" t="str">
        <f t="shared" si="51"/>
        <v>-</v>
      </c>
      <c r="DV99" s="306" t="str">
        <f t="shared" si="52"/>
        <v>-</v>
      </c>
      <c r="DW99" s="306" t="str">
        <f t="shared" si="53"/>
        <v>-</v>
      </c>
      <c r="DX99" s="306" t="str">
        <f t="shared" si="54"/>
        <v>-</v>
      </c>
      <c r="DY99" s="306" t="str">
        <f t="shared" si="55"/>
        <v>-</v>
      </c>
      <c r="DZ99" s="306" t="str">
        <f t="shared" si="56"/>
        <v>-</v>
      </c>
      <c r="EA99" s="367" t="str">
        <f t="shared" si="57"/>
        <v>-</v>
      </c>
      <c r="EB99" s="310" t="str">
        <f>IFERROR(__xludf.DUMMYFUNCTION("IF(REGEXMATCH(AW99,AS99),""✔"",""-"")"),"✔")</f>
        <v>✔</v>
      </c>
      <c r="EC99" s="310" t="str">
        <f t="shared" si="58"/>
        <v>#REF!</v>
      </c>
      <c r="ED99" s="370" t="str">
        <f t="shared" si="59"/>
        <v>✔</v>
      </c>
      <c r="EE99" s="340" t="str">
        <f t="shared" si="60"/>
        <v>S-R-g-m-P-D-n-S</v>
      </c>
      <c r="EF99" s="371" t="str">
        <f>IFERROR(__xludf.DUMMYFUNCTION("CONCATENATE(JOIN("""",HC99:HO99))"),"SRgmPDnS")</f>
        <v>SRgmPDnS</v>
      </c>
      <c r="EG99" s="372">
        <f t="shared" si="61"/>
        <v>1</v>
      </c>
      <c r="EH99" s="373" t="str">
        <f>IFERROR(__xludf.DUMMYFUNCTION("CONCATENATE(JOIN("""",JC99:JO99))"),"Dha, ")</f>
        <v>Dha, </v>
      </c>
      <c r="EI99" s="322">
        <f t="shared" si="62"/>
        <v>0</v>
      </c>
      <c r="EJ99" s="374" t="str">
        <f>IFERROR(__xludf.DUMMYFUNCTION("CONCATENATE(JOIN("""",KC99:KO99))"),"")</f>
        <v/>
      </c>
      <c r="EK99" s="325" t="str">
        <f t="shared" si="63"/>
        <v>S-R2-G2-M1-P-D2-N2-S</v>
      </c>
      <c r="EL99" s="326" t="str">
        <f t="shared" si="64"/>
        <v>1-2-b3-4-5-6-b7-8</v>
      </c>
      <c r="EM99" s="318" t="str">
        <f t="shared" si="65"/>
        <v>#REF!</v>
      </c>
      <c r="EN99" s="328" t="str">
        <f>IFERROR(__xludf.DUMMYFUNCTION("SUBSTITUTE(SUBSTITUTE(SUBSTITUTE(SUBSTITUTE(CONCATENATE(JOIN("" "",HP99:IB99)),""  "","" ""),""  "","" ""),""  "","" ""),""  "","" "")"),"o • o o • o • o • o o • o")</f>
        <v>o • o o • o • o • o o • o</v>
      </c>
      <c r="EO99" s="368" t="str">
        <f t="shared" si="66"/>
        <v>-</v>
      </c>
      <c r="EP99" s="339" t="str">
        <f t="shared" si="67"/>
        <v>-</v>
      </c>
      <c r="EQ99" s="339" t="str">
        <f t="shared" si="68"/>
        <v>Sa-Pa</v>
      </c>
      <c r="ER99" s="339" t="str">
        <f t="shared" si="69"/>
        <v>-</v>
      </c>
      <c r="ES99" s="340" t="str">
        <f t="shared" si="70"/>
        <v>-</v>
      </c>
      <c r="ET99" s="363"/>
      <c r="EU99" s="376" t="b">
        <f>IFERROR(__xludf.DUMMYFUNCTION("arrayformula(sum(--REGEXMATCH(""SRGMPDNS"",split(REGEXREPLACE(C99,""(.)"",""$1~""),""~""))))=len(C99)
"),FALSE)</f>
        <v>0</v>
      </c>
      <c r="EV99" s="290" t="b">
        <f>IFERROR(__xludf.DUMMYFUNCTION("arrayformula(sum(--REGEXMATCH(""SRGmPDNS"",split(REGEXREPLACE(C99,""(.)"",""$1~""),""~""))))=len(C99)"),FALSE)</f>
        <v>0</v>
      </c>
      <c r="EW99" s="290" t="b">
        <f>IFERROR(__xludf.DUMMYFUNCTION("arrayformula(sum(--REGEXMATCH(""SRGmPDnS"",split(REGEXREPLACE(C99,""(.)"",""$1~""),""~""))))=len(C99)"),FALSE)</f>
        <v>0</v>
      </c>
      <c r="EX99" s="290" t="b">
        <f>IFERROR(__xludf.DUMMYFUNCTION("arrayformula(sum(--REGEXMATCH(""SRgmPDnS"",split(REGEXREPLACE(C99,""(.)"",""$1~""),""~""))))=len(C99)"),TRUE)</f>
        <v>1</v>
      </c>
      <c r="EY99" s="290" t="b">
        <f>IFERROR(__xludf.DUMMYFUNCTION("arrayformula(sum(--REGEXMATCH(""SRgmPdnS"",split(REGEXREPLACE(C99,""(.)"",""$1~""),""~""))))=len(C99)"),FALSE)</f>
        <v>0</v>
      </c>
      <c r="EZ99" s="290" t="b">
        <f>IFERROR(__xludf.DUMMYFUNCTION("arrayformula(sum(--REGEXMATCH(""SrgmPdnS"",split(REGEXREPLACE(C99,""(.)"",""$1~""),""~""))))=len(C99)"),FALSE)</f>
        <v>0</v>
      </c>
      <c r="FA99" s="290" t="b">
        <f>IFERROR(__xludf.DUMMYFUNCTION("arrayformula(sum(--REGEXMATCH(""SrGmPdNS"",split(REGEXREPLACE(C99,""(.)"",""$1~""),""~""))))=len(C99)"),FALSE)</f>
        <v>0</v>
      </c>
      <c r="FB99" s="290" t="b">
        <f>IFERROR(__xludf.DUMMYFUNCTION("arrayformula(sum(--REGEXMATCH(""SrGMPDNS"",split(REGEXREPLACE(C99,""(.)"",""$1~""),""~""))))=len(C99)"),FALSE)</f>
        <v>0</v>
      </c>
      <c r="FC99" s="290" t="b">
        <f>IFERROR(__xludf.DUMMYFUNCTION("arrayformula(sum(--REGEXMATCH(""SrGMPdNS"",split(REGEXREPLACE(C99,""(.)"",""$1~""),""~""))))=len(C99)"),FALSE)</f>
        <v>0</v>
      </c>
      <c r="FD99" s="377" t="b">
        <f>IFERROR(__xludf.DUMMYFUNCTION("arrayformula(sum(--REGEXMATCH(""SrgMPdNS"",split(REGEXREPLACE(C99,""(.)"",""$1~""),""~""))))=len(C99)"),FALSE)</f>
        <v>0</v>
      </c>
      <c r="FE99" s="269" t="str">
        <f t="shared" si="71"/>
        <v>-</v>
      </c>
      <c r="FF99" s="269" t="str">
        <f t="shared" si="72"/>
        <v>xxoxoxoxxox</v>
      </c>
      <c r="FG99" s="271" t="str">
        <f t="shared" si="73"/>
        <v>xoxoxoxxoxo</v>
      </c>
      <c r="FH99" s="269" t="str">
        <f t="shared" si="74"/>
        <v>-</v>
      </c>
      <c r="FI99" s="271" t="str">
        <f t="shared" si="75"/>
        <v>xoxoxxoxoxx</v>
      </c>
      <c r="FJ99" s="271" t="str">
        <f t="shared" si="76"/>
        <v>-</v>
      </c>
      <c r="FK99" s="271" t="str">
        <f t="shared" si="77"/>
        <v>xoxxoxoxxox</v>
      </c>
      <c r="FL99" s="271" t="str">
        <f t="shared" si="78"/>
        <v>-</v>
      </c>
      <c r="FM99" s="271" t="str">
        <f t="shared" si="79"/>
        <v>xxoxoxxoxox</v>
      </c>
      <c r="FN99" s="271" t="str">
        <f t="shared" si="80"/>
        <v>xoxoxxoxoxo</v>
      </c>
      <c r="FO99" s="274" t="str">
        <f t="shared" si="81"/>
        <v>-</v>
      </c>
      <c r="FP99" s="234" t="str">
        <f t="shared" si="82"/>
        <v>|</v>
      </c>
      <c r="FQ99" s="236" t="str">
        <f t="shared" si="83"/>
        <v>-</v>
      </c>
      <c r="FR99" s="237" t="str">
        <f t="shared" si="84"/>
        <v>|</v>
      </c>
      <c r="FS99" s="236" t="str">
        <f t="shared" si="85"/>
        <v>|</v>
      </c>
      <c r="FT99" s="237" t="str">
        <f t="shared" si="86"/>
        <v>-</v>
      </c>
      <c r="FU99" s="236" t="str">
        <f t="shared" si="87"/>
        <v>|</v>
      </c>
      <c r="FV99" s="237" t="str">
        <f t="shared" si="88"/>
        <v>-</v>
      </c>
      <c r="FW99" s="236" t="str">
        <f t="shared" si="89"/>
        <v>|</v>
      </c>
      <c r="FX99" s="237" t="str">
        <f t="shared" si="90"/>
        <v>-</v>
      </c>
      <c r="FY99" s="236" t="str">
        <f t="shared" si="91"/>
        <v>|</v>
      </c>
      <c r="FZ99" s="237" t="str">
        <f t="shared" si="92"/>
        <v>|</v>
      </c>
      <c r="GA99" s="236" t="str">
        <f t="shared" si="93"/>
        <v>-</v>
      </c>
      <c r="GB99" s="238" t="str">
        <f t="shared" si="94"/>
        <v>|</v>
      </c>
      <c r="GC99" s="244" t="str">
        <f>IFERROR(__xludf.DUMMYFUNCTION("IF(REGEXMATCH(C99, ""S""), ""1"","""")"),"1")</f>
        <v>1</v>
      </c>
      <c r="GD99" s="245" t="str">
        <f>IFERROR(__xludf.DUMMYFUNCTION("IF(REGEXMATCH(C99, ""r""), ""b2"","""")"),"")</f>
        <v/>
      </c>
      <c r="GE99" s="246" t="str">
        <f>IFERROR(__xludf.DUMMYFUNCTION("IF(REGEXMATCH(C99, ""R""), ""2"","""")"),"2")</f>
        <v>2</v>
      </c>
      <c r="GF99" s="246" t="str">
        <f>IFERROR(__xludf.DUMMYFUNCTION("IF(REGEXMATCH(C99, ""g""), ""b3"","""")"),"b3")</f>
        <v>b3</v>
      </c>
      <c r="GG99" s="245" t="str">
        <f>IFERROR(__xludf.DUMMYFUNCTION("IF(REGEXMATCH(C99, ""G""), ""3"","""")"),"")</f>
        <v/>
      </c>
      <c r="GH99" s="245" t="str">
        <f>IFERROR(__xludf.DUMMYFUNCTION("IF(REGEXMATCH(C99, ""m""), ""4"","""")"),"4")</f>
        <v>4</v>
      </c>
      <c r="GI99" s="246" t="str">
        <f>IFERROR(__xludf.DUMMYFUNCTION("IF(REGEXMATCH(C99, ""M""), ""#4"","""")"),"")</f>
        <v/>
      </c>
      <c r="GJ99" s="245" t="str">
        <f>IFERROR(__xludf.DUMMYFUNCTION("IF(REGEXMATCH(C99, ""P""), ""5"","""")"),"5")</f>
        <v>5</v>
      </c>
      <c r="GK99" s="246" t="str">
        <f>IFERROR(__xludf.DUMMYFUNCTION("IF(REGEXMATCH(C99, ""d""), ""b6"","""")"),"")</f>
        <v/>
      </c>
      <c r="GL99" s="245" t="str">
        <f>IFERROR(__xludf.DUMMYFUNCTION("IF(REGEXMATCH(C99, ""D""), ""6"","""")"),"6")</f>
        <v>6</v>
      </c>
      <c r="GM99" s="245" t="str">
        <f>IFERROR(__xludf.DUMMYFUNCTION("IF(REGEXMATCH(C99, ""n""), ""b7"","""")"),"b7")</f>
        <v>b7</v>
      </c>
      <c r="GN99" s="246" t="str">
        <f>IFERROR(__xludf.DUMMYFUNCTION("IF(REGEXMATCH(C99, ""N""), ""7"","""")"),"")</f>
        <v/>
      </c>
      <c r="GO99" s="249" t="str">
        <f>IFERROR(__xludf.DUMMYFUNCTION("IF(REGEXMATCH(C99, ""S""), ""8"","""")"),"8")</f>
        <v>8</v>
      </c>
      <c r="GP99" s="244" t="str">
        <f>IFERROR(__xludf.DUMMYFUNCTION("IF(REGEXMATCH(C99, ""S""), ""S"","""")"),"S")</f>
        <v>S</v>
      </c>
      <c r="GQ99" s="294" t="str">
        <f>IFERROR(__xludf.DUMMYFUNCTION("IF(REGEXMATCH(C99, ""r""), ""R1"","""")"),"")</f>
        <v/>
      </c>
      <c r="GR99" s="295" t="str">
        <f>IFERROR(__xludf.DUMMYFUNCTION("IF(REGEXMATCH(C99, ""R""), ""R2"","""")"),"R2")</f>
        <v>R2</v>
      </c>
      <c r="GS99" s="295" t="str">
        <f>IFERROR(__xludf.DUMMYFUNCTION("IF(REGEXMATCH(C99, ""g""), ""G2"","""")"),"G2")</f>
        <v>G2</v>
      </c>
      <c r="GT99" s="294" t="str">
        <f>IFERROR(__xludf.DUMMYFUNCTION("IF(REGEXMATCH(C99, ""G""), ""G3"","""")"),"")</f>
        <v/>
      </c>
      <c r="GU99" s="294" t="str">
        <f>IFERROR(__xludf.DUMMYFUNCTION("IF(REGEXMATCH(C99, ""m""), ""M1"","""")"),"M1")</f>
        <v>M1</v>
      </c>
      <c r="GV99" s="295" t="str">
        <f>IFERROR(__xludf.DUMMYFUNCTION("IF(REGEXMATCH(C99, ""M""), ""M2"","""")"),"")</f>
        <v/>
      </c>
      <c r="GW99" s="294" t="str">
        <f>IFERROR(__xludf.DUMMYFUNCTION("IF(REGEXMATCH(C99, ""P""), ""P"","""")"),"P")</f>
        <v>P</v>
      </c>
      <c r="GX99" s="295" t="str">
        <f>IFERROR(__xludf.DUMMYFUNCTION("IF(REGEXMATCH(C99, ""d""), ""D1"","""")"),"")</f>
        <v/>
      </c>
      <c r="GY99" s="294" t="str">
        <f>IFERROR(__xludf.DUMMYFUNCTION("IF(REGEXMATCH(C99, ""D""), ""D2"","""")"),"D2")</f>
        <v>D2</v>
      </c>
      <c r="GZ99" s="294" t="str">
        <f>IFERROR(__xludf.DUMMYFUNCTION("IF(REGEXMATCH(C99, ""n""), ""N2"","""")"),"N2")</f>
        <v>N2</v>
      </c>
      <c r="HA99" s="295" t="str">
        <f>IFERROR(__xludf.DUMMYFUNCTION("IF(REGEXMATCH(C99, ""N""), ""N3"","""")"),"")</f>
        <v/>
      </c>
      <c r="HB99" s="249" t="str">
        <f>IFERROR(__xludf.DUMMYFUNCTION("IF(REGEXMATCH(C99, ""S""), ""S"","""")"),"S")</f>
        <v>S</v>
      </c>
      <c r="HC99" s="331" t="str">
        <f t="shared" si="95"/>
        <v>S</v>
      </c>
      <c r="HD99" s="332" t="str">
        <f t="shared" si="96"/>
        <v/>
      </c>
      <c r="HE99" s="332" t="str">
        <f t="shared" si="97"/>
        <v>R</v>
      </c>
      <c r="HF99" s="332" t="str">
        <f t="shared" si="98"/>
        <v>g</v>
      </c>
      <c r="HG99" s="332" t="str">
        <f t="shared" si="99"/>
        <v/>
      </c>
      <c r="HH99" s="332" t="str">
        <f t="shared" si="100"/>
        <v>m</v>
      </c>
      <c r="HI99" s="332" t="str">
        <f t="shared" si="101"/>
        <v/>
      </c>
      <c r="HJ99" s="332" t="str">
        <f t="shared" si="102"/>
        <v>P</v>
      </c>
      <c r="HK99" s="332" t="str">
        <f t="shared" si="103"/>
        <v/>
      </c>
      <c r="HL99" s="332" t="str">
        <f t="shared" si="104"/>
        <v>D</v>
      </c>
      <c r="HM99" s="332" t="str">
        <f t="shared" si="105"/>
        <v>n</v>
      </c>
      <c r="HN99" s="332" t="str">
        <f t="shared" si="106"/>
        <v/>
      </c>
      <c r="HO99" s="343" t="str">
        <f t="shared" si="107"/>
        <v>S</v>
      </c>
      <c r="HP99" s="331" t="str">
        <f t="shared" si="108"/>
        <v>o</v>
      </c>
      <c r="HQ99" s="332" t="str">
        <f t="shared" si="109"/>
        <v>•</v>
      </c>
      <c r="HR99" s="332" t="str">
        <f t="shared" si="110"/>
        <v>o</v>
      </c>
      <c r="HS99" s="332" t="str">
        <f t="shared" si="111"/>
        <v>o</v>
      </c>
      <c r="HT99" s="332" t="str">
        <f t="shared" si="112"/>
        <v>•</v>
      </c>
      <c r="HU99" s="332" t="str">
        <f t="shared" si="113"/>
        <v>o</v>
      </c>
      <c r="HV99" s="332" t="str">
        <f t="shared" si="114"/>
        <v>•</v>
      </c>
      <c r="HW99" s="332" t="str">
        <f t="shared" si="115"/>
        <v>o</v>
      </c>
      <c r="HX99" s="332" t="str">
        <f t="shared" si="116"/>
        <v>•</v>
      </c>
      <c r="HY99" s="332" t="str">
        <f t="shared" si="117"/>
        <v>o</v>
      </c>
      <c r="HZ99" s="332" t="str">
        <f t="shared" si="118"/>
        <v>o</v>
      </c>
      <c r="IA99" s="332" t="str">
        <f t="shared" si="119"/>
        <v>•</v>
      </c>
      <c r="IB99" s="338" t="str">
        <f t="shared" si="120"/>
        <v>o</v>
      </c>
      <c r="IC99" s="331" t="str">
        <f t="shared" si="121"/>
        <v>•</v>
      </c>
      <c r="ID99" s="332" t="str">
        <f t="shared" si="122"/>
        <v>o</v>
      </c>
      <c r="IE99" s="332" t="str">
        <f t="shared" si="123"/>
        <v>•</v>
      </c>
      <c r="IF99" s="332" t="str">
        <f t="shared" si="124"/>
        <v>•</v>
      </c>
      <c r="IG99" s="332" t="str">
        <f t="shared" si="125"/>
        <v>o</v>
      </c>
      <c r="IH99" s="332" t="str">
        <f t="shared" si="126"/>
        <v>•</v>
      </c>
      <c r="II99" s="332" t="str">
        <f t="shared" si="127"/>
        <v>o</v>
      </c>
      <c r="IJ99" s="332" t="str">
        <f t="shared" si="128"/>
        <v>•</v>
      </c>
      <c r="IK99" s="332" t="str">
        <f t="shared" si="129"/>
        <v>o</v>
      </c>
      <c r="IL99" s="332" t="str">
        <f t="shared" si="130"/>
        <v>•</v>
      </c>
      <c r="IM99" s="332" t="str">
        <f t="shared" si="131"/>
        <v>•</v>
      </c>
      <c r="IN99" s="332" t="str">
        <f t="shared" si="132"/>
        <v>o</v>
      </c>
      <c r="IO99" s="338" t="str">
        <f t="shared" si="133"/>
        <v>•</v>
      </c>
      <c r="IP99" s="346" t="b">
        <f t="shared" si="134"/>
        <v>0</v>
      </c>
      <c r="IQ99" s="347" t="b">
        <f t="shared" si="135"/>
        <v>0</v>
      </c>
      <c r="IR99" s="347" t="b">
        <f t="shared" si="136"/>
        <v>0</v>
      </c>
      <c r="IS99" s="347" t="b">
        <f t="shared" si="137"/>
        <v>0</v>
      </c>
      <c r="IT99" s="347" t="b">
        <f t="shared" si="138"/>
        <v>0</v>
      </c>
      <c r="IU99" s="347" t="b">
        <f t="shared" si="139"/>
        <v>0</v>
      </c>
      <c r="IV99" s="347" t="b">
        <f t="shared" si="140"/>
        <v>0</v>
      </c>
      <c r="IW99" s="347" t="b">
        <f t="shared" si="141"/>
        <v>0</v>
      </c>
      <c r="IX99" s="347" t="b">
        <f t="shared" si="142"/>
        <v>0</v>
      </c>
      <c r="IY99" s="347" t="b">
        <f t="shared" si="143"/>
        <v>1</v>
      </c>
      <c r="IZ99" s="347" t="b">
        <f t="shared" si="144"/>
        <v>0</v>
      </c>
      <c r="JA99" s="347" t="b">
        <f t="shared" si="145"/>
        <v>0</v>
      </c>
      <c r="JB99" s="353" t="b">
        <f t="shared" si="146"/>
        <v>0</v>
      </c>
      <c r="JC99" s="354" t="str">
        <f t="shared" si="147"/>
        <v/>
      </c>
      <c r="JD99" s="355" t="str">
        <f t="shared" si="148"/>
        <v/>
      </c>
      <c r="JE99" s="355" t="str">
        <f t="shared" si="149"/>
        <v/>
      </c>
      <c r="JF99" s="355" t="str">
        <f t="shared" si="150"/>
        <v/>
      </c>
      <c r="JG99" s="355" t="str">
        <f t="shared" si="151"/>
        <v/>
      </c>
      <c r="JH99" s="355" t="str">
        <f t="shared" si="152"/>
        <v/>
      </c>
      <c r="JI99" s="355" t="str">
        <f t="shared" si="153"/>
        <v/>
      </c>
      <c r="JJ99" s="355" t="str">
        <f t="shared" si="154"/>
        <v/>
      </c>
      <c r="JK99" s="355" t="str">
        <f t="shared" si="155"/>
        <v/>
      </c>
      <c r="JL99" s="355" t="str">
        <f t="shared" si="156"/>
        <v>Dha, </v>
      </c>
      <c r="JM99" s="355" t="str">
        <f t="shared" si="157"/>
        <v/>
      </c>
      <c r="JN99" s="355" t="str">
        <f t="shared" si="158"/>
        <v/>
      </c>
      <c r="JO99" s="359" t="str">
        <f t="shared" si="159"/>
        <v/>
      </c>
      <c r="JP99" s="346" t="b">
        <f t="shared" si="160"/>
        <v>0</v>
      </c>
      <c r="JQ99" s="347" t="b">
        <f t="shared" si="161"/>
        <v>0</v>
      </c>
      <c r="JR99" s="347" t="b">
        <f t="shared" si="162"/>
        <v>0</v>
      </c>
      <c r="JS99" s="347" t="b">
        <f t="shared" si="163"/>
        <v>0</v>
      </c>
      <c r="JT99" s="347" t="b">
        <f t="shared" si="164"/>
        <v>0</v>
      </c>
      <c r="JU99" s="347" t="b">
        <f t="shared" si="165"/>
        <v>0</v>
      </c>
      <c r="JV99" s="347" t="b">
        <f t="shared" si="166"/>
        <v>0</v>
      </c>
      <c r="JW99" s="347" t="b">
        <f t="shared" si="167"/>
        <v>0</v>
      </c>
      <c r="JX99" s="347" t="b">
        <f t="shared" si="168"/>
        <v>0</v>
      </c>
      <c r="JY99" s="347" t="b">
        <f t="shared" si="169"/>
        <v>0</v>
      </c>
      <c r="JZ99" s="347" t="b">
        <f t="shared" si="170"/>
        <v>0</v>
      </c>
      <c r="KA99" s="347" t="b">
        <f t="shared" si="171"/>
        <v>0</v>
      </c>
      <c r="KB99" s="365" t="b">
        <f t="shared" si="172"/>
        <v>0</v>
      </c>
      <c r="KC99" s="354" t="str">
        <f t="shared" si="173"/>
        <v/>
      </c>
      <c r="KD99" s="355" t="str">
        <f t="shared" si="174"/>
        <v/>
      </c>
      <c r="KE99" s="355" t="str">
        <f t="shared" si="175"/>
        <v/>
      </c>
      <c r="KF99" s="355" t="str">
        <f t="shared" si="176"/>
        <v/>
      </c>
      <c r="KG99" s="355" t="str">
        <f t="shared" si="177"/>
        <v/>
      </c>
      <c r="KH99" s="355" t="str">
        <f t="shared" si="178"/>
        <v/>
      </c>
      <c r="KI99" s="355" t="str">
        <f t="shared" si="179"/>
        <v/>
      </c>
      <c r="KJ99" s="355" t="str">
        <f t="shared" si="180"/>
        <v/>
      </c>
      <c r="KK99" s="355" t="str">
        <f t="shared" si="181"/>
        <v/>
      </c>
      <c r="KL99" s="355" t="str">
        <f t="shared" si="182"/>
        <v/>
      </c>
      <c r="KM99" s="355" t="str">
        <f t="shared" si="183"/>
        <v/>
      </c>
      <c r="KN99" s="355" t="str">
        <f t="shared" si="184"/>
        <v/>
      </c>
      <c r="KO99" s="359"/>
      <c r="KP99" s="378"/>
      <c r="KQ99" s="379" t="s">
        <v>9</v>
      </c>
      <c r="KR99" s="380" t="s">
        <v>1297</v>
      </c>
      <c r="KS99" s="381" t="s">
        <v>9</v>
      </c>
      <c r="KT99" s="382">
        <f t="shared" si="186"/>
        <v>0</v>
      </c>
      <c r="KU99" s="383">
        <f t="shared" si="187"/>
        <v>0</v>
      </c>
      <c r="KV99" s="381" t="str">
        <f t="shared" si="205"/>
        <v>S-n-D-P-m-g-R-S</v>
      </c>
      <c r="KW99" s="382">
        <f t="shared" si="189"/>
        <v>7</v>
      </c>
      <c r="KX99" s="384">
        <f t="shared" si="190"/>
        <v>7</v>
      </c>
      <c r="KY99" s="382">
        <f t="shared" ref="KY99:KZ99" si="399">KW99-KT99</f>
        <v>7</v>
      </c>
      <c r="KZ99" s="369">
        <f t="shared" si="399"/>
        <v>7</v>
      </c>
      <c r="LA99" s="385" t="str">
        <f t="shared" si="192"/>
        <v>-</v>
      </c>
      <c r="LB99" s="340" t="str">
        <f>IFERROR(__xludf.DUMMYFUNCTION("JOIN("""",ArrayFormula(MID(KS99,LEN(KS99)-SEQUENCE(1,LEN(KS99))+1,1)))"),"S")</f>
        <v>S</v>
      </c>
      <c r="LC99" s="373" t="str">
        <f>IFERROR(__xludf.DUMMYFUNCTION("JOIN("""",ArrayFormula(MID(KV99,LEN(KV99)-SEQUENCE(1,LEN(KV99))+1,1)))"),"S-R-g-m-P-D-n-S")</f>
        <v>S-R-g-m-P-D-n-S</v>
      </c>
      <c r="LD99" s="373" t="str">
        <f t="shared" si="193"/>
        <v>S</v>
      </c>
      <c r="LE99" s="339" t="str">
        <f t="shared" si="194"/>
        <v>SRgmPDnS</v>
      </c>
      <c r="LF99" s="386" t="str">
        <f>IFERROR(__xludf.DUMMYFUNCTION("SUBSTITUTE(SUBSTITUTE(CONCATENATE(JOIN("""",LH99:LT99)),""1"",""""),""2"","""")"),"SRgmPDnS")</f>
        <v>SRgmPDnS</v>
      </c>
      <c r="LG99" s="369" t="str">
        <f t="shared" si="195"/>
        <v>✔</v>
      </c>
      <c r="LH99" s="387" t="str">
        <f>IFERROR(__xludf.DUMMYFUNCTION("IF(REGEXMATCH(LD99, ""S""), ""S"",IF(REGEXMATCH(LE99, ""S""), ""S"",""""))"),"S")</f>
        <v>S</v>
      </c>
      <c r="LI99" s="299" t="str">
        <f>IFERROR(__xludf.DUMMYFUNCTION("IF(REGEXMATCH(LD99, ""r""), ""r1"",IF(REGEXMATCH(LE99, ""r""), ""r2"",""""))"),"")</f>
        <v/>
      </c>
      <c r="LJ99" s="299" t="str">
        <f>IFERROR(__xludf.DUMMYFUNCTION("IF(REGEXMATCH(LD99, ""R""), ""R1"",IF(REGEXMATCH(LE99, ""R""), ""R2"",""""))"),"R2")</f>
        <v>R2</v>
      </c>
      <c r="LK99" s="299" t="str">
        <f>IFERROR(__xludf.DUMMYFUNCTION("IF(REGEXMATCH(LD99, ""g""), ""g1"",IF(REGEXMATCH(LE99, ""g""), ""g2"",""""))"),"g2")</f>
        <v>g2</v>
      </c>
      <c r="LL99" s="299" t="str">
        <f>IFERROR(__xludf.DUMMYFUNCTION("IF(REGEXMATCH(LD99, ""G""), ""G1"",IF(REGEXMATCH(LE99, ""G""), ""G2"",""""))"),"")</f>
        <v/>
      </c>
      <c r="LM99" s="299" t="str">
        <f>IFERROR(__xludf.DUMMYFUNCTION("IF(REGEXMATCH(LD99, ""m""), ""m1"",IF(REGEXMATCH(LE99, ""m""), ""m2"",""""))"),"m2")</f>
        <v>m2</v>
      </c>
      <c r="LN99" s="299" t="str">
        <f>IFERROR(__xludf.DUMMYFUNCTION("IF(REGEXMATCH(LD99, ""M""), ""M1"",IF(REGEXMATCH(LE99, ""M""), ""M2"",""""))"),"")</f>
        <v/>
      </c>
      <c r="LO99" s="299" t="str">
        <f>IFERROR(__xludf.DUMMYFUNCTION("IF(REGEXMATCH(LD99, ""P""), ""P1"",IF(REGEXMATCH(LE99, ""P""), ""P2"",""""))"),"P2")</f>
        <v>P2</v>
      </c>
      <c r="LP99" s="299" t="str">
        <f>IFERROR(__xludf.DUMMYFUNCTION("IF(REGEXMATCH(LD99, ""d""), ""d1"",IF(REGEXMATCH(LE99, ""d""), ""d2"",""""))"),"")</f>
        <v/>
      </c>
      <c r="LQ99" s="299" t="str">
        <f>IFERROR(__xludf.DUMMYFUNCTION("IF(REGEXMATCH(LD99, ""D""), ""D1"",IF(REGEXMATCH(LE99, ""D""), ""D2"",""""))"),"D2")</f>
        <v>D2</v>
      </c>
      <c r="LR99" s="299" t="str">
        <f>IFERROR(__xludf.DUMMYFUNCTION("IF(REGEXMATCH(LD99, ""n""), ""n1"",IF(REGEXMATCH(LE99, ""n""), ""n2"",""""))"),"n2")</f>
        <v>n2</v>
      </c>
      <c r="LS99" s="299" t="str">
        <f>IFERROR(__xludf.DUMMYFUNCTION("IF(REGEXMATCH(LD99, ""N""), ""N1"",IF(REGEXMATCH(LE99, ""N""), ""N2"",""""))"),"")</f>
        <v/>
      </c>
      <c r="LT99" s="388" t="str">
        <f>IFERROR(__xludf.DUMMYFUNCTION("IF(REGEXMATCH(LD99, ""S""), ""S"",IF(REGEXMATCH(LE99, ""S""), ""S"",""""))"),"S")</f>
        <v>S</v>
      </c>
      <c r="LU99" s="389">
        <f t="shared" si="196"/>
        <v>-13</v>
      </c>
      <c r="LV99" s="378"/>
      <c r="LW99" s="369"/>
      <c r="LX99" s="369"/>
    </row>
    <row r="100" ht="18.0" customHeight="1">
      <c r="A100" s="298" t="s">
        <v>709</v>
      </c>
      <c r="B100" s="222" t="s">
        <v>710</v>
      </c>
      <c r="C100" s="233" t="str">
        <f t="shared" si="7"/>
        <v>SgmPnS</v>
      </c>
      <c r="D100" s="234" t="str">
        <f>IFERROR(__xludf.DUMMYFUNCTION("IF(REGEXMATCH(C100, ""S""), ""S"","""")"),"S")</f>
        <v>S</v>
      </c>
      <c r="E100" s="236" t="str">
        <f>IFERROR(__xludf.DUMMYFUNCTION("IF(REGEXMATCH(C100, ""r""), ""r"","""")"),"")</f>
        <v/>
      </c>
      <c r="F100" s="237" t="str">
        <f>IFERROR(__xludf.DUMMYFUNCTION("IF(REGEXMATCH(C100, ""R""), ""R"","""")"),"")</f>
        <v/>
      </c>
      <c r="G100" s="237" t="str">
        <f>IFERROR(__xludf.DUMMYFUNCTION("IF(REGEXMATCH(C100, ""g""), ""g"","""")"),"g")</f>
        <v>g</v>
      </c>
      <c r="H100" s="236" t="str">
        <f>IFERROR(__xludf.DUMMYFUNCTION("IF(REGEXMATCH(C100, ""G""), ""G"","""")"),"")</f>
        <v/>
      </c>
      <c r="I100" s="236" t="str">
        <f>IFERROR(__xludf.DUMMYFUNCTION("IF(REGEXMATCH(C100, ""m""), ""m"","""")"),"m")</f>
        <v>m</v>
      </c>
      <c r="J100" s="237" t="str">
        <f>IFERROR(__xludf.DUMMYFUNCTION("IF(REGEXMATCH(C100, ""M""), ""M"","""")"),"")</f>
        <v/>
      </c>
      <c r="K100" s="236" t="str">
        <f>IFERROR(__xludf.DUMMYFUNCTION("IF(REGEXMATCH(C100, ""P""), ""P"","""")"),"P")</f>
        <v>P</v>
      </c>
      <c r="L100" s="237" t="str">
        <f>IFERROR(__xludf.DUMMYFUNCTION("IF(REGEXMATCH(C100, ""d""), ""d"","""")"),"")</f>
        <v/>
      </c>
      <c r="M100" s="236" t="str">
        <f>IFERROR(__xludf.DUMMYFUNCTION("IF(REGEXMATCH(C100, ""D""), ""D"","""")"),"")</f>
        <v/>
      </c>
      <c r="N100" s="236" t="str">
        <f>IFERROR(__xludf.DUMMYFUNCTION("IF(REGEXMATCH(C100, ""n""), ""n"","""")"),"n")</f>
        <v>n</v>
      </c>
      <c r="O100" s="237" t="str">
        <f>IFERROR(__xludf.DUMMYFUNCTION("IF(REGEXMATCH(C100, ""N""), ""N"","""")"),"")</f>
        <v/>
      </c>
      <c r="P100" s="238" t="str">
        <f>IFERROR(__xludf.DUMMYFUNCTION("IF(REGEXMATCH(C100, ""S""), ""S"","""")"),"S")</f>
        <v>S</v>
      </c>
      <c r="Q100" s="239" t="str">
        <f>IFERROR(__xludf.DUMMYFUNCTION("SUBSTITUTE(CONCATENATE(JOIN(""-"",D100:J100)),""-"","""")"),"Sgm")</f>
        <v>Sgm</v>
      </c>
      <c r="R100" s="229" t="str">
        <f>IFERROR(__xludf.DUMMYFUNCTION("SUBSTITUTE(CONCATENATE(JOIN(""-"",K100:P100)),""-"","""")"),"PnS")</f>
        <v>PnS</v>
      </c>
      <c r="S100" s="282" t="str">
        <f t="shared" si="8"/>
        <v>S-G-M</v>
      </c>
      <c r="T100" s="282" t="str">
        <f t="shared" si="9"/>
        <v>P-N-S</v>
      </c>
      <c r="U100" s="237" t="str">
        <f>IFERROR(__xludf.DUMMYFUNCTION("SUBSTITUTE(JOIN(""-"",S100,T100),""--"",""-"")"),"S-G-M-P-N-S")</f>
        <v>S-G-M-P-N-S</v>
      </c>
      <c r="V100" s="309" t="str">
        <f t="shared" si="10"/>
        <v>gmn</v>
      </c>
      <c r="W100" s="244" t="str">
        <f>IFERROR(__xludf.DUMMYFUNCTION("IF(REGEXMATCH(C100, ""S""), ""0"","""")"),"0")</f>
        <v>0</v>
      </c>
      <c r="X100" s="245" t="str">
        <f>IFERROR(__xludf.DUMMYFUNCTION("IF(REGEXMATCH(C100, ""r""), ""1"","""")"),"")</f>
        <v/>
      </c>
      <c r="Y100" s="246" t="str">
        <f>IFERROR(__xludf.DUMMYFUNCTION("IF(REGEXMATCH(C100, ""R""), ""2"","""")"),"")</f>
        <v/>
      </c>
      <c r="Z100" s="246" t="str">
        <f>IFERROR(__xludf.DUMMYFUNCTION("IF(REGEXMATCH(C100, ""g""), ""3"","""")"),"3")</f>
        <v>3</v>
      </c>
      <c r="AA100" s="245" t="str">
        <f>IFERROR(__xludf.DUMMYFUNCTION("IF(REGEXMATCH(C100, ""G""), ""4"","""")"),"")</f>
        <v/>
      </c>
      <c r="AB100" s="245" t="str">
        <f>IFERROR(__xludf.DUMMYFUNCTION("IF(REGEXMATCH(C100, ""m""), ""5"","""")"),"5")</f>
        <v>5</v>
      </c>
      <c r="AC100" s="246" t="str">
        <f>IFERROR(__xludf.DUMMYFUNCTION("IF(REGEXMATCH(C100, ""M""), ""6"","""")"),"")</f>
        <v/>
      </c>
      <c r="AD100" s="245" t="str">
        <f>IFERROR(__xludf.DUMMYFUNCTION("IF(REGEXMATCH(C100, ""P""), ""7"","""")"),"7")</f>
        <v>7</v>
      </c>
      <c r="AE100" s="246" t="str">
        <f>IFERROR(__xludf.DUMMYFUNCTION("IF(REGEXMATCH(C100, ""d""), ""8"","""")"),"")</f>
        <v/>
      </c>
      <c r="AF100" s="245" t="str">
        <f>IFERROR(__xludf.DUMMYFUNCTION("IF(REGEXMATCH(C100, ""D""), ""9"","""")"),"")</f>
        <v/>
      </c>
      <c r="AG100" s="245" t="str">
        <f>IFERROR(__xludf.DUMMYFUNCTION("IF(REGEXMATCH(C100, ""n""), ""10"","""")"),"10")</f>
        <v>10</v>
      </c>
      <c r="AH100" s="246" t="str">
        <f>IFERROR(__xludf.DUMMYFUNCTION("IF(REGEXMATCH(C100, ""N""), ""11"","""")"),"")</f>
        <v/>
      </c>
      <c r="AI100" s="249" t="str">
        <f>IFERROR(__xludf.DUMMYFUNCTION("IF(REGEXMATCH(C100, ""S""), ""0"","""")"),"0")</f>
        <v>0</v>
      </c>
      <c r="AJ100" s="313" t="str">
        <f t="shared" si="11"/>
        <v>-</v>
      </c>
      <c r="AK100" s="313" t="str">
        <f t="shared" si="12"/>
        <v>-</v>
      </c>
      <c r="AL100" s="313" t="str">
        <f t="shared" si="13"/>
        <v>-</v>
      </c>
      <c r="AM100" s="313" t="str">
        <f t="shared" si="14"/>
        <v>-</v>
      </c>
      <c r="AN100" s="313" t="str">
        <f t="shared" si="15"/>
        <v>-</v>
      </c>
      <c r="AO100" s="314" t="str">
        <f t="shared" si="16"/>
        <v>-</v>
      </c>
      <c r="AP100" s="316">
        <f t="shared" si="17"/>
        <v>0</v>
      </c>
      <c r="AQ100" s="319" t="str">
        <f t="shared" si="18"/>
        <v>-</v>
      </c>
      <c r="AR100" s="320">
        <f t="shared" si="19"/>
        <v>0</v>
      </c>
      <c r="AS100" s="250" t="str">
        <f>IFERROR(__xludf.DUMMYFUNCTION("SUBSTITUTE(SUBSTITUTE(CONCATENATE(JOIN("""",FP100:GA100)),""|"",""x""),""-"",""o"")"),"xooxoxoxooxo")</f>
        <v>xooxoxoxooxo</v>
      </c>
      <c r="AT100" s="323" t="str">
        <f>IFERROR(__xludf.DUMMYFUNCTION("JOIN("""",AS100,AS100)"),"xooxoxoxooxoxooxoxoxooxo")</f>
        <v>xooxoxoxooxoxooxoxoxooxo</v>
      </c>
      <c r="AU100" s="256" t="str">
        <f>IFERROR(__xludf.DUMMYFUNCTION("JOIN("""",ArrayFormula(MID(AS100,LEN(AS100)-SEQUENCE(1,LEN(AS100))+1,1)))"),"oxooxoxoxoox")</f>
        <v>oxooxoxoxoox</v>
      </c>
      <c r="AV100" s="256" t="str">
        <f>IFERROR(__xludf.DUMMYFUNCTION("LEFT(CONCATENATE(""x"",JOIN("""",ArrayFormula(MID(AS100,LEN(AS100)-SEQUENCE(1,LEN(AS100))+1,1)))),12)"),"xoxooxoxoxoo")</f>
        <v>xoxooxoxoxoo</v>
      </c>
      <c r="AW100" s="327" t="str">
        <f>IFERROR(__xludf.DUMMYFUNCTION("JOIN("""",AU100,AU100)"),"oxooxoxoxooxoxooxoxoxoox")</f>
        <v>oxooxoxoxooxoxooxoxoxoox</v>
      </c>
      <c r="AX100" s="239" t="str">
        <f>IFERROR(__xludf.DUMMYFUNCTION("IF(REGEXMATCH(AW100,AS100),""✔"",""-"")"),"✔")</f>
        <v>✔</v>
      </c>
      <c r="AY100" s="330" t="str">
        <f t="shared" si="20"/>
        <v>-</v>
      </c>
      <c r="AZ100" s="260" t="str">
        <f t="shared" si="21"/>
        <v>#REF!</v>
      </c>
      <c r="BA100" s="333" t="str">
        <f t="shared" si="22"/>
        <v>xooxoxo</v>
      </c>
      <c r="BB100" s="334" t="str">
        <f t="shared" si="23"/>
        <v>xooxox</v>
      </c>
      <c r="BC100" s="335" t="str">
        <f t="shared" si="236"/>
        <v>✔</v>
      </c>
      <c r="BD100" s="336" t="str">
        <f t="shared" si="25"/>
        <v>Dhani: 'xooxoxo' + 'xooxox'</v>
      </c>
      <c r="BE100" s="337">
        <f>IFERROR(__xludf.DUMMYFUNCTION("COUNTUNIQUE(FILTER(AT:AT,REGEXMATCH(AT:AT,AS100)))-1"),4.0)</f>
        <v>4</v>
      </c>
      <c r="BF100" s="261" t="str">
        <f>IFERROR(__xludf.DUMMYFUNCTION("IF(BI100=0,""(n/a)"",IF(BJ100=2,""(PAIR)"",IF(REGEXMATCH(AT100,""xoxoxxoxoxox""),""Bilawal"",IF(REGEXMATCH(AT100,""xoxoxooxoxoo""),""Bhupali"",IF(REGEXMATCH(AT100,""xoxoxxoxxoxo""),""Charukeshi"",IF(REGEXMATCH(AT100,""xoxoooxxoxxo""),""Kameshwari"",IF(REG"&amp;"EXMATCH(AT100,""xoxoxooxoxox""),""Shankara"",IF(REGEXMATCH(AT100,""xxooxoxxxoox""),""Basant"",IF(REGEXMATCH(AT100,""xoxoxxxxoxox""),""Bihag"",IF(REGEXMATCH(AT100,""xoxxxxoxoxxx""),""Pilu"",IF(REGEXMATCH(AT100,""xoxxoxoxxoox""),""Kirwani"",IF(REGEXMATCH(AT"&amp;"100,""xoxxoxoxoxxx""),""Mk.Malhar"",IF(REGEXMATCH(AT100,""xxooxxoxxoox""),""Bhairav"",IF(REGEXMATCH(AT100,""xxoxooxxxoox""),""Todi"",IF(REGEXMATCH(AT100,""xxooxoxooxox""),""Marwa"",IF(REGEXMATCH(AT100,""xxoooxoxxooo""),""Gunkali"",IF(REGEXMATCH(AT100,""xo"&amp;"xoxxoxxoox""),""Nat Bhairav"",IF(REGEXMATCH(AT100,""xoxxoooxoxoo""),""Shivranjani"",IF(REGEXMATCH(AT100,""xooxxxoxooxo""),""Jog"",IF(REGEXMATCH(AT100,""xxooxoxoxoox""),""Hemshri"",IF(REGEXMATCH(AT100,""xoooxooxoxxo""),""Kalavati"",IF(REGEXMATCH(AT100,""xx"&amp;"oxoxxoxoox""),""Kedar"",IF(REGEXMATCH(AT100,""xoxxxxoxooxx""),""Gara"",IF(REGEXMATCH(AT100,""xooxoxooxoox""),""Chandrakauns"",IF(REGEXMATCH(AT100,""xoxxxxoxxxox""),""Mand"",IF(REGEXMATCH(AT100,""xoxxxxoxoxox""),""Hanskinkini"",IF(REGEXMATCH(AT100,""xxooxx"&amp;"oxooxo""),""Lilavati"",IF(REGEXMATCH(AT100,""xooxoxoooxox""),""Rajeshwari"",IF(REGEXMATCH(AT100,""xoooxxoxoxxx""),""Khokar"",IF(REGEXMATCH(AT100,""xxooxoxxxxox""),""Maligoura"",""-""))))))))))))))))))))))))))))))"),"Bhupali")</f>
        <v>Bhupali</v>
      </c>
      <c r="BG100" s="239" t="str">
        <f t="shared" si="26"/>
        <v>#REF!</v>
      </c>
      <c r="BH100" s="239">
        <f>IFERROR(__xludf.DUMMYFUNCTION("COUNTUNIQUE(FE100:FO100)-1"),4.0)</f>
        <v>4</v>
      </c>
      <c r="BI100" s="239">
        <f>IFERROR(__xludf.DUMMYFUNCTION("COUNTUNIQUE(FILTER(AT:AT,REGEXMATCH(AT:AT,AS100)))-1"),4.0)</f>
        <v>4</v>
      </c>
      <c r="BJ100" s="239">
        <f>IFERROR(__xludf.DUMMYFUNCTION("COUNTA(FILTER(AT:AT,REGEXMATCH(AT:AT,AS100)))"),11.0)</f>
        <v>11</v>
      </c>
      <c r="BK100" s="341">
        <f>IFERROR(__xludf.DUMMYFUNCTION("COUNTA(FILTER(AT:AT,REGEXMATCH(AT:AT,AS100)))-AR100"),11.0)</f>
        <v>11</v>
      </c>
      <c r="BL100" s="276" t="str">
        <f>IFERROR(__xludf.DUMMYFUNCTION("IF(AS100=""oooooooooooo"",""-"",IF(REGEXMATCH(AT100,""xx""), ""Hemi."", ""Anhemi.""))"),"Anhemi.")</f>
        <v>Anhemi.</v>
      </c>
      <c r="BM100" s="282" t="str">
        <f>IFERROR(__xludf.DUMMYFUNCTION("IF(AS100=""oooooooooooo"",""-"",IF(REGEXMATCH(AT100,""xxx""), ""Cohem."", ""-""))"),"-")</f>
        <v>-</v>
      </c>
      <c r="BN100" s="282" t="str">
        <f>IFERROR(__xludf.DUMMYFUNCTION("IF(AS100=""oooooooooooo"",""-"",IF(REGEXMATCH(AT100,""xxxx""), ""Co-Co."", ""-""))"),"-")</f>
        <v>-</v>
      </c>
      <c r="BO100" s="342" t="str">
        <f>IFERROR(__xludf.DUMMYFUNCTION("IF(AS100=""oooooooooooo"",""-"",IF(REGEXMATCH(AT100,""xxxxx""), ""CCC."", ""-""))"),"-")</f>
        <v>-</v>
      </c>
      <c r="BP100" s="344" t="str">
        <f t="shared" si="27"/>
        <v>-</v>
      </c>
      <c r="BQ100" s="282" t="str">
        <f>IFERROR(__xludf.DUMMYFUNCTION("IF(REGEXMATCH(JOIN(""-"",EU100:FD100),""TRUE""),""✔"",""-"")"),"✔")</f>
        <v>✔</v>
      </c>
      <c r="BR100" s="225">
        <f t="shared" si="28"/>
        <v>3</v>
      </c>
      <c r="BS100" s="345" t="str">
        <f>IFERROR(__xludf.DUMMYFUNCTION("SUBSTITUTE(SUBSTITUTE(SUBSTITUTE(SUBSTITUTE(CONCATENATE(JOIN(""-"",GC100:GO100)),""--"",""-""),""--"",""-""),""--"",""-""),""--"",""-"")"),"1-b3-4-5-b7-8")</f>
        <v>1-b3-4-5-b7-8</v>
      </c>
      <c r="BT100" s="299" t="str">
        <f>IFERROR(__xludf.DUMMYFUNCTION("SUBSTITUTE(SUBSTITUTE(SUBSTITUTE(SUBSTITUTE(CONCATENATE(JOIN(""-"",GP100:HB100)),""--"",""-""),""--"",""-""),""--"",""-""),""--"",""-"")"),"S-G2-M1-P-N2-S")</f>
        <v>S-G2-M1-P-N2-S</v>
      </c>
      <c r="BU100" s="348" t="str">
        <f t="shared" si="29"/>
        <v>C-Eb-F-G-Bb-C</v>
      </c>
      <c r="BV100" s="349" t="str">
        <f t="shared" si="30"/>
        <v>SrRGMdDNS</v>
      </c>
      <c r="BW100" s="350">
        <f t="shared" si="31"/>
        <v>0</v>
      </c>
      <c r="BX100" s="351">
        <f t="shared" si="32"/>
        <v>1</v>
      </c>
      <c r="BY100" s="392"/>
      <c r="BZ100" s="309" t="str">
        <f>IFERROR(__xludf.DUMMYFUNCTION("IF(REGEXMATCH(C100, ""S""), ""x"",""x"")"),"x")</f>
        <v>x</v>
      </c>
      <c r="CA100" s="245" t="str">
        <f>IFERROR(__xludf.DUMMYFUNCTION("IF(REGEXMATCH(C100, ""r""), ""o"",""x"")"),"x")</f>
        <v>x</v>
      </c>
      <c r="CB100" s="246" t="str">
        <f>IFERROR(__xludf.DUMMYFUNCTION("IF(REGEXMATCH(C100, ""R""), ""o"",""x"")"),"x")</f>
        <v>x</v>
      </c>
      <c r="CC100" s="246" t="str">
        <f>IFERROR(__xludf.DUMMYFUNCTION("IF(REGEXMATCH(C100, ""g""), ""o"",""x"")"),"o")</f>
        <v>o</v>
      </c>
      <c r="CD100" s="245" t="str">
        <f>IFERROR(__xludf.DUMMYFUNCTION("IF(REGEXMATCH(C100, ""G""), ""o"",""x"")"),"x")</f>
        <v>x</v>
      </c>
      <c r="CE100" s="245" t="str">
        <f>IFERROR(__xludf.DUMMYFUNCTION("IF(REGEXMATCH(C100, ""m""), ""o"",""x"")"),"o")</f>
        <v>o</v>
      </c>
      <c r="CF100" s="246" t="str">
        <f>IFERROR(__xludf.DUMMYFUNCTION("IF(REGEXMATCH(C100, ""M""), ""o"",""x"")"),"x")</f>
        <v>x</v>
      </c>
      <c r="CG100" s="245" t="str">
        <f>IFERROR(__xludf.DUMMYFUNCTION("IF(REGEXMATCH(C100, ""P""), ""o"",""x"")"),"o")</f>
        <v>o</v>
      </c>
      <c r="CH100" s="246" t="str">
        <f>IFERROR(__xludf.DUMMYFUNCTION("IF(REGEXMATCH(C100, ""d""), ""o"",""x"")"),"x")</f>
        <v>x</v>
      </c>
      <c r="CI100" s="245" t="str">
        <f>IFERROR(__xludf.DUMMYFUNCTION("IF(REGEXMATCH(C100, ""D""), ""o"",""x"")"),"x")</f>
        <v>x</v>
      </c>
      <c r="CJ100" s="245" t="str">
        <f>IFERROR(__xludf.DUMMYFUNCTION("IF(REGEXMATCH(C100, ""n""), ""o"",""x"")"),"o")</f>
        <v>o</v>
      </c>
      <c r="CK100" s="245" t="str">
        <f>IFERROR(__xludf.DUMMYFUNCTION("IF(REGEXMATCH(C100, ""N""), ""o"",""x"")"),"x")</f>
        <v>x</v>
      </c>
      <c r="CL100" s="356" t="str">
        <f>IFERROR(__xludf.DUMMYFUNCTION("IF(REGEXMATCH(C100, ""S""), ""x"",""x"")"),"x")</f>
        <v>x</v>
      </c>
      <c r="CM100" s="357" t="str">
        <f t="shared" si="33"/>
        <v>xxxoxoxoxxox</v>
      </c>
      <c r="CN100" s="358">
        <f t="shared" si="34"/>
        <v>0</v>
      </c>
      <c r="CO100" s="246" t="str">
        <f>IFERROR(__xludf.DUMMYFUNCTION("IF(REGEXMATCH($C100, ""S""), ""S"",""S"")"),"S")</f>
        <v>S</v>
      </c>
      <c r="CP100" s="246" t="str">
        <f>IFERROR(__xludf.DUMMYFUNCTION("IF(REGEXMATCH($C100, ""r""), """",""r"")"),"r")</f>
        <v>r</v>
      </c>
      <c r="CQ100" s="246" t="str">
        <f>IFERROR(__xludf.DUMMYFUNCTION("IF(REGEXMATCH($C100, ""R""), """",""R"")"),"R")</f>
        <v>R</v>
      </c>
      <c r="CR100" s="246" t="str">
        <f>IFERROR(__xludf.DUMMYFUNCTION("IF(REGEXMATCH($C100, ""g""), """",""g"")"),"")</f>
        <v/>
      </c>
      <c r="CS100" s="246" t="str">
        <f>IFERROR(__xludf.DUMMYFUNCTION("IF(REGEXMATCH($C100, ""G""), """",""G"")"),"G")</f>
        <v>G</v>
      </c>
      <c r="CT100" s="246" t="str">
        <f>IFERROR(__xludf.DUMMYFUNCTION("IF(REGEXMATCH($C100, ""m""), """",""m"")"),"")</f>
        <v/>
      </c>
      <c r="CU100" s="246" t="str">
        <f>IFERROR(__xludf.DUMMYFUNCTION("IF(REGEXMATCH($C100, ""M""), """",""M"")"),"M")</f>
        <v>M</v>
      </c>
      <c r="CV100" s="246" t="str">
        <f>IFERROR(__xludf.DUMMYFUNCTION("IF(REGEXMATCH($C100, ""P""), """",""P"")"),"")</f>
        <v/>
      </c>
      <c r="CW100" s="246" t="str">
        <f>IFERROR(__xludf.DUMMYFUNCTION("IF(REGEXMATCH($C100, ""d""), """",""d"")"),"d")</f>
        <v>d</v>
      </c>
      <c r="CX100" s="246" t="str">
        <f>IFERROR(__xludf.DUMMYFUNCTION("IF(REGEXMATCH($C100, ""D""), """",""D"")"),"D")</f>
        <v>D</v>
      </c>
      <c r="CY100" s="246" t="str">
        <f>IFERROR(__xludf.DUMMYFUNCTION("IF(REGEXMATCH($C100, ""n""), """",""n"")"),"")</f>
        <v/>
      </c>
      <c r="CZ100" s="246" t="str">
        <f>IFERROR(__xludf.DUMMYFUNCTION("IF(REGEXMATCH($C100, ""N""), """",""N"")"),"N")</f>
        <v>N</v>
      </c>
      <c r="DA100" s="246" t="str">
        <f>IFERROR(__xludf.DUMMYFUNCTION("IF(REGEXMATCH($C100, ""S""), ""S"",""S"")"),"S")</f>
        <v>S</v>
      </c>
      <c r="DB100" s="362" t="str">
        <f>IFERROR(__xludf.DUMMYFUNCTION("JOIN("""",CO100:DA100,"""","""")"),"SrRGMdDNS")</f>
        <v>SrRGMdDNS</v>
      </c>
      <c r="DC100" s="363"/>
      <c r="DD100" s="301" t="str">
        <f t="shared" si="35"/>
        <v>#REF!</v>
      </c>
      <c r="DE100" s="302" t="str">
        <f t="shared" si="36"/>
        <v>#REF!</v>
      </c>
      <c r="DF100" s="301" t="str">
        <f t="shared" ref="DF100:DG100" si="400">SUBSTITUTE(S100,"-","")</f>
        <v>SGM</v>
      </c>
      <c r="DG100" s="301" t="str">
        <f t="shared" si="400"/>
        <v>PNS</v>
      </c>
      <c r="DH100" s="302" t="str">
        <f t="shared" si="38"/>
        <v>Bhupali</v>
      </c>
      <c r="DI100" s="301" t="str">
        <f t="shared" si="39"/>
        <v>Anhemi.</v>
      </c>
      <c r="DJ100" s="364" t="str">
        <f t="shared" si="40"/>
        <v>-</v>
      </c>
      <c r="DK100" s="306" t="str">
        <f t="shared" si="41"/>
        <v>-</v>
      </c>
      <c r="DL100" s="366" t="str">
        <f t="shared" si="42"/>
        <v>✔</v>
      </c>
      <c r="DM100" s="308" t="str">
        <f t="shared" si="43"/>
        <v>-</v>
      </c>
      <c r="DN100" s="306" t="str">
        <f t="shared" si="44"/>
        <v>-</v>
      </c>
      <c r="DO100" s="306" t="str">
        <f t="shared" si="45"/>
        <v>✔</v>
      </c>
      <c r="DP100" s="367" t="str">
        <f t="shared" si="46"/>
        <v>-</v>
      </c>
      <c r="DQ100" s="310" t="str">
        <f t="shared" si="47"/>
        <v>-</v>
      </c>
      <c r="DR100" s="310" t="str">
        <f t="shared" si="48"/>
        <v>-</v>
      </c>
      <c r="DS100" s="310" t="str">
        <f t="shared" si="49"/>
        <v>-</v>
      </c>
      <c r="DT100" s="310" t="str">
        <f t="shared" si="50"/>
        <v>-</v>
      </c>
      <c r="DU100" s="370" t="str">
        <f t="shared" si="51"/>
        <v>-</v>
      </c>
      <c r="DV100" s="306" t="str">
        <f t="shared" si="52"/>
        <v>✔</v>
      </c>
      <c r="DW100" s="306" t="str">
        <f t="shared" si="53"/>
        <v>-</v>
      </c>
      <c r="DX100" s="306" t="str">
        <f t="shared" si="54"/>
        <v>-</v>
      </c>
      <c r="DY100" s="306" t="str">
        <f t="shared" si="55"/>
        <v>-</v>
      </c>
      <c r="DZ100" s="306" t="str">
        <f t="shared" si="56"/>
        <v>✔</v>
      </c>
      <c r="EA100" s="367" t="str">
        <f t="shared" si="57"/>
        <v>-</v>
      </c>
      <c r="EB100" s="310" t="str">
        <f>IFERROR(__xludf.DUMMYFUNCTION("IF(REGEXMATCH(AW100,AS100),""✔"",""-"")"),"✔")</f>
        <v>✔</v>
      </c>
      <c r="EC100" s="310" t="str">
        <f t="shared" si="58"/>
        <v>#REF!</v>
      </c>
      <c r="ED100" s="370" t="str">
        <f t="shared" si="59"/>
        <v>-</v>
      </c>
      <c r="EE100" s="340" t="str">
        <f t="shared" si="60"/>
        <v>S-g-m-P-n-S</v>
      </c>
      <c r="EF100" s="371" t="str">
        <f>IFERROR(__xludf.DUMMYFUNCTION("CONCATENATE(JOIN("""",HC100:HO100))"),"SRmPDS")</f>
        <v>SRmPDS</v>
      </c>
      <c r="EG100" s="372">
        <f t="shared" si="61"/>
        <v>1</v>
      </c>
      <c r="EH100" s="373" t="str">
        <f>IFERROR(__xludf.DUMMYFUNCTION("CONCATENATE(JOIN("""",JC100:JO100))"),"Pa, ")</f>
        <v>Pa, </v>
      </c>
      <c r="EI100" s="322">
        <f t="shared" si="62"/>
        <v>0</v>
      </c>
      <c r="EJ100" s="374" t="str">
        <f>IFERROR(__xludf.DUMMYFUNCTION("CONCATENATE(JOIN("""",KC100:KO100))"),"")</f>
        <v/>
      </c>
      <c r="EK100" s="325" t="str">
        <f t="shared" si="63"/>
        <v>S-G2-M1-P-N2-S</v>
      </c>
      <c r="EL100" s="326" t="str">
        <f t="shared" si="64"/>
        <v>1-b3-4-5-b7-8</v>
      </c>
      <c r="EM100" s="318" t="str">
        <f t="shared" si="65"/>
        <v>#REF!</v>
      </c>
      <c r="EN100" s="328" t="str">
        <f>IFERROR(__xludf.DUMMYFUNCTION("SUBSTITUTE(SUBSTITUTE(SUBSTITUTE(SUBSTITUTE(CONCATENATE(JOIN("" "",HP100:IB100)),""  "","" ""),""  "","" ""),""  "","" ""),""  "","" "")"),"o • • o • o • o • • o • o")</f>
        <v>o • • o • o • o • • o • o</v>
      </c>
      <c r="EO100" s="368" t="str">
        <f t="shared" si="66"/>
        <v>-</v>
      </c>
      <c r="EP100" s="339" t="str">
        <f t="shared" si="67"/>
        <v>-</v>
      </c>
      <c r="EQ100" s="339" t="str">
        <f t="shared" si="68"/>
        <v>Sa-Pa</v>
      </c>
      <c r="ER100" s="339" t="str">
        <f t="shared" si="69"/>
        <v>-</v>
      </c>
      <c r="ES100" s="340" t="str">
        <f t="shared" si="70"/>
        <v>-</v>
      </c>
      <c r="ET100" s="363"/>
      <c r="EU100" s="376" t="b">
        <f>IFERROR(__xludf.DUMMYFUNCTION("arrayformula(sum(--REGEXMATCH(""SRGMPDNS"",split(REGEXREPLACE(C100,""(.)"",""$1~""),""~""))))=len(C100)
"),FALSE)</f>
        <v>0</v>
      </c>
      <c r="EV100" s="290" t="b">
        <f>IFERROR(__xludf.DUMMYFUNCTION("arrayformula(sum(--REGEXMATCH(""SRGmPDNS"",split(REGEXREPLACE(C100,""(.)"",""$1~""),""~""))))=len(C100)"),FALSE)</f>
        <v>0</v>
      </c>
      <c r="EW100" s="290" t="b">
        <f>IFERROR(__xludf.DUMMYFUNCTION("arrayformula(sum(--REGEXMATCH(""SRGmPDnS"",split(REGEXREPLACE(C100,""(.)"",""$1~""),""~""))))=len(C100)"),FALSE)</f>
        <v>0</v>
      </c>
      <c r="EX100" s="290" t="b">
        <f>IFERROR(__xludf.DUMMYFUNCTION("arrayformula(sum(--REGEXMATCH(""SRgmPDnS"",split(REGEXREPLACE(C100,""(.)"",""$1~""),""~""))))=len(C100)"),TRUE)</f>
        <v>1</v>
      </c>
      <c r="EY100" s="290" t="b">
        <f>IFERROR(__xludf.DUMMYFUNCTION("arrayformula(sum(--REGEXMATCH(""SRgmPdnS"",split(REGEXREPLACE(C100,""(.)"",""$1~""),""~""))))=len(C100)"),TRUE)</f>
        <v>1</v>
      </c>
      <c r="EZ100" s="290" t="b">
        <f>IFERROR(__xludf.DUMMYFUNCTION("arrayformula(sum(--REGEXMATCH(""SrgmPdnS"",split(REGEXREPLACE(C100,""(.)"",""$1~""),""~""))))=len(C100)"),TRUE)</f>
        <v>1</v>
      </c>
      <c r="FA100" s="290" t="b">
        <f>IFERROR(__xludf.DUMMYFUNCTION("arrayformula(sum(--REGEXMATCH(""SrGmPdNS"",split(REGEXREPLACE(C100,""(.)"",""$1~""),""~""))))=len(C100)"),FALSE)</f>
        <v>0</v>
      </c>
      <c r="FB100" s="290" t="b">
        <f>IFERROR(__xludf.DUMMYFUNCTION("arrayformula(sum(--REGEXMATCH(""SrGMPDNS"",split(REGEXREPLACE(C100,""(.)"",""$1~""),""~""))))=len(C100)"),FALSE)</f>
        <v>0</v>
      </c>
      <c r="FC100" s="290" t="b">
        <f>IFERROR(__xludf.DUMMYFUNCTION("arrayformula(sum(--REGEXMATCH(""SrGMPdNS"",split(REGEXREPLACE(C100,""(.)"",""$1~""),""~""))))=len(C100)"),FALSE)</f>
        <v>0</v>
      </c>
      <c r="FD100" s="377" t="b">
        <f>IFERROR(__xludf.DUMMYFUNCTION("arrayformula(sum(--REGEXMATCH(""SrgMPdNS"",split(REGEXREPLACE(C100,""(.)"",""$1~""),""~""))))=len(C100)"),FALSE)</f>
        <v>0</v>
      </c>
      <c r="FE100" s="269" t="str">
        <f t="shared" si="71"/>
        <v>-</v>
      </c>
      <c r="FF100" s="269" t="str">
        <f t="shared" si="72"/>
        <v>-</v>
      </c>
      <c r="FG100" s="271" t="str">
        <f t="shared" si="73"/>
        <v>xoxoxooxoxo</v>
      </c>
      <c r="FH100" s="269" t="str">
        <f t="shared" si="74"/>
        <v>-</v>
      </c>
      <c r="FI100" s="271" t="str">
        <f t="shared" si="75"/>
        <v>xoxooxoxoox</v>
      </c>
      <c r="FJ100" s="271" t="str">
        <f t="shared" si="76"/>
        <v>-</v>
      </c>
      <c r="FK100" s="271" t="str">
        <f t="shared" si="77"/>
        <v>xooxoxooxox</v>
      </c>
      <c r="FL100" s="271" t="str">
        <f t="shared" si="78"/>
        <v>-</v>
      </c>
      <c r="FM100" s="271" t="str">
        <f t="shared" si="79"/>
        <v>-</v>
      </c>
      <c r="FN100" s="271" t="str">
        <f t="shared" si="80"/>
        <v>xoxooxoxoxo</v>
      </c>
      <c r="FO100" s="274" t="str">
        <f t="shared" si="81"/>
        <v>-</v>
      </c>
      <c r="FP100" s="234" t="str">
        <f t="shared" si="82"/>
        <v>|</v>
      </c>
      <c r="FQ100" s="236" t="str">
        <f t="shared" si="83"/>
        <v>-</v>
      </c>
      <c r="FR100" s="237" t="str">
        <f t="shared" si="84"/>
        <v>-</v>
      </c>
      <c r="FS100" s="236" t="str">
        <f t="shared" si="85"/>
        <v>|</v>
      </c>
      <c r="FT100" s="237" t="str">
        <f t="shared" si="86"/>
        <v>-</v>
      </c>
      <c r="FU100" s="236" t="str">
        <f t="shared" si="87"/>
        <v>|</v>
      </c>
      <c r="FV100" s="237" t="str">
        <f t="shared" si="88"/>
        <v>-</v>
      </c>
      <c r="FW100" s="236" t="str">
        <f t="shared" si="89"/>
        <v>|</v>
      </c>
      <c r="FX100" s="237" t="str">
        <f t="shared" si="90"/>
        <v>-</v>
      </c>
      <c r="FY100" s="236" t="str">
        <f t="shared" si="91"/>
        <v>-</v>
      </c>
      <c r="FZ100" s="237" t="str">
        <f t="shared" si="92"/>
        <v>|</v>
      </c>
      <c r="GA100" s="236" t="str">
        <f t="shared" si="93"/>
        <v>-</v>
      </c>
      <c r="GB100" s="238" t="str">
        <f t="shared" si="94"/>
        <v>|</v>
      </c>
      <c r="GC100" s="244" t="str">
        <f>IFERROR(__xludf.DUMMYFUNCTION("IF(REGEXMATCH(C100, ""S""), ""1"","""")"),"1")</f>
        <v>1</v>
      </c>
      <c r="GD100" s="245" t="str">
        <f>IFERROR(__xludf.DUMMYFUNCTION("IF(REGEXMATCH(C100, ""r""), ""b2"","""")"),"")</f>
        <v/>
      </c>
      <c r="GE100" s="246" t="str">
        <f>IFERROR(__xludf.DUMMYFUNCTION("IF(REGEXMATCH(C100, ""R""), ""2"","""")"),"")</f>
        <v/>
      </c>
      <c r="GF100" s="246" t="str">
        <f>IFERROR(__xludf.DUMMYFUNCTION("IF(REGEXMATCH(C100, ""g""), ""b3"","""")"),"b3")</f>
        <v>b3</v>
      </c>
      <c r="GG100" s="245" t="str">
        <f>IFERROR(__xludf.DUMMYFUNCTION("IF(REGEXMATCH(C100, ""G""), ""3"","""")"),"")</f>
        <v/>
      </c>
      <c r="GH100" s="245" t="str">
        <f>IFERROR(__xludf.DUMMYFUNCTION("IF(REGEXMATCH(C100, ""m""), ""4"","""")"),"4")</f>
        <v>4</v>
      </c>
      <c r="GI100" s="246" t="str">
        <f>IFERROR(__xludf.DUMMYFUNCTION("IF(REGEXMATCH(C100, ""M""), ""#4"","""")"),"")</f>
        <v/>
      </c>
      <c r="GJ100" s="245" t="str">
        <f>IFERROR(__xludf.DUMMYFUNCTION("IF(REGEXMATCH(C100, ""P""), ""5"","""")"),"5")</f>
        <v>5</v>
      </c>
      <c r="GK100" s="246" t="str">
        <f>IFERROR(__xludf.DUMMYFUNCTION("IF(REGEXMATCH(C100, ""d""), ""b6"","""")"),"")</f>
        <v/>
      </c>
      <c r="GL100" s="245" t="str">
        <f>IFERROR(__xludf.DUMMYFUNCTION("IF(REGEXMATCH(C100, ""D""), ""6"","""")"),"")</f>
        <v/>
      </c>
      <c r="GM100" s="245" t="str">
        <f>IFERROR(__xludf.DUMMYFUNCTION("IF(REGEXMATCH(C100, ""n""), ""b7"","""")"),"b7")</f>
        <v>b7</v>
      </c>
      <c r="GN100" s="246" t="str">
        <f>IFERROR(__xludf.DUMMYFUNCTION("IF(REGEXMATCH(C100, ""N""), ""7"","""")"),"")</f>
        <v/>
      </c>
      <c r="GO100" s="249" t="str">
        <f>IFERROR(__xludf.DUMMYFUNCTION("IF(REGEXMATCH(C100, ""S""), ""8"","""")"),"8")</f>
        <v>8</v>
      </c>
      <c r="GP100" s="244" t="str">
        <f>IFERROR(__xludf.DUMMYFUNCTION("IF(REGEXMATCH(C100, ""S""), ""S"","""")"),"S")</f>
        <v>S</v>
      </c>
      <c r="GQ100" s="294" t="str">
        <f>IFERROR(__xludf.DUMMYFUNCTION("IF(REGEXMATCH(C100, ""r""), ""R1"","""")"),"")</f>
        <v/>
      </c>
      <c r="GR100" s="295" t="str">
        <f>IFERROR(__xludf.DUMMYFUNCTION("IF(REGEXMATCH(C100, ""R""), ""R2"","""")"),"")</f>
        <v/>
      </c>
      <c r="GS100" s="295" t="str">
        <f>IFERROR(__xludf.DUMMYFUNCTION("IF(REGEXMATCH(C100, ""g""), ""G2"","""")"),"G2")</f>
        <v>G2</v>
      </c>
      <c r="GT100" s="294" t="str">
        <f>IFERROR(__xludf.DUMMYFUNCTION("IF(REGEXMATCH(C100, ""G""), ""G3"","""")"),"")</f>
        <v/>
      </c>
      <c r="GU100" s="294" t="str">
        <f>IFERROR(__xludf.DUMMYFUNCTION("IF(REGEXMATCH(C100, ""m""), ""M1"","""")"),"M1")</f>
        <v>M1</v>
      </c>
      <c r="GV100" s="295" t="str">
        <f>IFERROR(__xludf.DUMMYFUNCTION("IF(REGEXMATCH(C100, ""M""), ""M2"","""")"),"")</f>
        <v/>
      </c>
      <c r="GW100" s="294" t="str">
        <f>IFERROR(__xludf.DUMMYFUNCTION("IF(REGEXMATCH(C100, ""P""), ""P"","""")"),"P")</f>
        <v>P</v>
      </c>
      <c r="GX100" s="295" t="str">
        <f>IFERROR(__xludf.DUMMYFUNCTION("IF(REGEXMATCH(C100, ""d""), ""D1"","""")"),"")</f>
        <v/>
      </c>
      <c r="GY100" s="294" t="str">
        <f>IFERROR(__xludf.DUMMYFUNCTION("IF(REGEXMATCH(C100, ""D""), ""D2"","""")"),"")</f>
        <v/>
      </c>
      <c r="GZ100" s="294" t="str">
        <f>IFERROR(__xludf.DUMMYFUNCTION("IF(REGEXMATCH(C100, ""n""), ""N2"","""")"),"N2")</f>
        <v>N2</v>
      </c>
      <c r="HA100" s="295" t="str">
        <f>IFERROR(__xludf.DUMMYFUNCTION("IF(REGEXMATCH(C100, ""N""), ""N3"","""")"),"")</f>
        <v/>
      </c>
      <c r="HB100" s="249" t="str">
        <f>IFERROR(__xludf.DUMMYFUNCTION("IF(REGEXMATCH(C100, ""S""), ""S"","""")"),"S")</f>
        <v>S</v>
      </c>
      <c r="HC100" s="331" t="str">
        <f t="shared" si="95"/>
        <v>S</v>
      </c>
      <c r="HD100" s="332" t="str">
        <f t="shared" si="96"/>
        <v/>
      </c>
      <c r="HE100" s="332" t="str">
        <f t="shared" si="97"/>
        <v>R</v>
      </c>
      <c r="HF100" s="332" t="str">
        <f t="shared" si="98"/>
        <v/>
      </c>
      <c r="HG100" s="332" t="str">
        <f t="shared" si="99"/>
        <v/>
      </c>
      <c r="HH100" s="332" t="str">
        <f t="shared" si="100"/>
        <v>m</v>
      </c>
      <c r="HI100" s="332" t="str">
        <f t="shared" si="101"/>
        <v/>
      </c>
      <c r="HJ100" s="332" t="str">
        <f t="shared" si="102"/>
        <v>P</v>
      </c>
      <c r="HK100" s="332" t="str">
        <f t="shared" si="103"/>
        <v/>
      </c>
      <c r="HL100" s="332" t="str">
        <f t="shared" si="104"/>
        <v>D</v>
      </c>
      <c r="HM100" s="332" t="str">
        <f t="shared" si="105"/>
        <v/>
      </c>
      <c r="HN100" s="332" t="str">
        <f t="shared" si="106"/>
        <v/>
      </c>
      <c r="HO100" s="343" t="str">
        <f t="shared" si="107"/>
        <v>S</v>
      </c>
      <c r="HP100" s="331" t="str">
        <f t="shared" si="108"/>
        <v>o</v>
      </c>
      <c r="HQ100" s="332" t="str">
        <f t="shared" si="109"/>
        <v>•</v>
      </c>
      <c r="HR100" s="332" t="str">
        <f t="shared" si="110"/>
        <v>•</v>
      </c>
      <c r="HS100" s="332" t="str">
        <f t="shared" si="111"/>
        <v>o</v>
      </c>
      <c r="HT100" s="332" t="str">
        <f t="shared" si="112"/>
        <v>•</v>
      </c>
      <c r="HU100" s="332" t="str">
        <f t="shared" si="113"/>
        <v>o</v>
      </c>
      <c r="HV100" s="332" t="str">
        <f t="shared" si="114"/>
        <v>•</v>
      </c>
      <c r="HW100" s="332" t="str">
        <f t="shared" si="115"/>
        <v>o</v>
      </c>
      <c r="HX100" s="332" t="str">
        <f t="shared" si="116"/>
        <v>•</v>
      </c>
      <c r="HY100" s="332" t="str">
        <f t="shared" si="117"/>
        <v>•</v>
      </c>
      <c r="HZ100" s="332" t="str">
        <f t="shared" si="118"/>
        <v>o</v>
      </c>
      <c r="IA100" s="332" t="str">
        <f t="shared" si="119"/>
        <v>•</v>
      </c>
      <c r="IB100" s="338" t="str">
        <f t="shared" si="120"/>
        <v>o</v>
      </c>
      <c r="IC100" s="331" t="str">
        <f t="shared" si="121"/>
        <v>•</v>
      </c>
      <c r="ID100" s="332" t="str">
        <f t="shared" si="122"/>
        <v>o</v>
      </c>
      <c r="IE100" s="332" t="str">
        <f t="shared" si="123"/>
        <v>o</v>
      </c>
      <c r="IF100" s="332" t="str">
        <f t="shared" si="124"/>
        <v>•</v>
      </c>
      <c r="IG100" s="332" t="str">
        <f t="shared" si="125"/>
        <v>o</v>
      </c>
      <c r="IH100" s="332" t="str">
        <f t="shared" si="126"/>
        <v>•</v>
      </c>
      <c r="II100" s="332" t="str">
        <f t="shared" si="127"/>
        <v>o</v>
      </c>
      <c r="IJ100" s="332" t="str">
        <f t="shared" si="128"/>
        <v>•</v>
      </c>
      <c r="IK100" s="332" t="str">
        <f t="shared" si="129"/>
        <v>o</v>
      </c>
      <c r="IL100" s="332" t="str">
        <f t="shared" si="130"/>
        <v>o</v>
      </c>
      <c r="IM100" s="332" t="str">
        <f t="shared" si="131"/>
        <v>•</v>
      </c>
      <c r="IN100" s="332" t="str">
        <f t="shared" si="132"/>
        <v>o</v>
      </c>
      <c r="IO100" s="338" t="str">
        <f t="shared" si="133"/>
        <v>•</v>
      </c>
      <c r="IP100" s="346" t="b">
        <f t="shared" si="134"/>
        <v>0</v>
      </c>
      <c r="IQ100" s="347" t="b">
        <f t="shared" si="135"/>
        <v>0</v>
      </c>
      <c r="IR100" s="347" t="b">
        <f t="shared" si="136"/>
        <v>0</v>
      </c>
      <c r="IS100" s="347" t="b">
        <f t="shared" si="137"/>
        <v>0</v>
      </c>
      <c r="IT100" s="347" t="b">
        <f t="shared" si="138"/>
        <v>0</v>
      </c>
      <c r="IU100" s="347" t="b">
        <f t="shared" si="139"/>
        <v>0</v>
      </c>
      <c r="IV100" s="347" t="b">
        <f t="shared" si="140"/>
        <v>0</v>
      </c>
      <c r="IW100" s="347" t="b">
        <f t="shared" si="141"/>
        <v>1</v>
      </c>
      <c r="IX100" s="347" t="b">
        <f t="shared" si="142"/>
        <v>0</v>
      </c>
      <c r="IY100" s="347" t="b">
        <f t="shared" si="143"/>
        <v>0</v>
      </c>
      <c r="IZ100" s="347" t="b">
        <f t="shared" si="144"/>
        <v>0</v>
      </c>
      <c r="JA100" s="347" t="b">
        <f t="shared" si="145"/>
        <v>0</v>
      </c>
      <c r="JB100" s="353" t="b">
        <f t="shared" si="146"/>
        <v>0</v>
      </c>
      <c r="JC100" s="354" t="str">
        <f t="shared" si="147"/>
        <v/>
      </c>
      <c r="JD100" s="355" t="str">
        <f t="shared" si="148"/>
        <v/>
      </c>
      <c r="JE100" s="355" t="str">
        <f t="shared" si="149"/>
        <v/>
      </c>
      <c r="JF100" s="355" t="str">
        <f t="shared" si="150"/>
        <v/>
      </c>
      <c r="JG100" s="355" t="str">
        <f t="shared" si="151"/>
        <v/>
      </c>
      <c r="JH100" s="355" t="str">
        <f t="shared" si="152"/>
        <v/>
      </c>
      <c r="JI100" s="355" t="str">
        <f t="shared" si="153"/>
        <v/>
      </c>
      <c r="JJ100" s="355" t="str">
        <f t="shared" si="154"/>
        <v>Pa, </v>
      </c>
      <c r="JK100" s="355" t="str">
        <f t="shared" si="155"/>
        <v/>
      </c>
      <c r="JL100" s="355" t="str">
        <f t="shared" si="156"/>
        <v/>
      </c>
      <c r="JM100" s="355" t="str">
        <f t="shared" si="157"/>
        <v/>
      </c>
      <c r="JN100" s="355" t="str">
        <f t="shared" si="158"/>
        <v/>
      </c>
      <c r="JO100" s="359" t="str">
        <f t="shared" si="159"/>
        <v/>
      </c>
      <c r="JP100" s="346" t="b">
        <f t="shared" si="160"/>
        <v>0</v>
      </c>
      <c r="JQ100" s="347" t="b">
        <f t="shared" si="161"/>
        <v>0</v>
      </c>
      <c r="JR100" s="347" t="b">
        <f t="shared" si="162"/>
        <v>0</v>
      </c>
      <c r="JS100" s="347" t="b">
        <f t="shared" si="163"/>
        <v>0</v>
      </c>
      <c r="JT100" s="347" t="b">
        <f t="shared" si="164"/>
        <v>0</v>
      </c>
      <c r="JU100" s="347" t="b">
        <f t="shared" si="165"/>
        <v>0</v>
      </c>
      <c r="JV100" s="347" t="b">
        <f t="shared" si="166"/>
        <v>0</v>
      </c>
      <c r="JW100" s="347" t="b">
        <f t="shared" si="167"/>
        <v>0</v>
      </c>
      <c r="JX100" s="347" t="b">
        <f t="shared" si="168"/>
        <v>0</v>
      </c>
      <c r="JY100" s="347" t="b">
        <f t="shared" si="169"/>
        <v>0</v>
      </c>
      <c r="JZ100" s="347" t="b">
        <f t="shared" si="170"/>
        <v>0</v>
      </c>
      <c r="KA100" s="347" t="b">
        <f t="shared" si="171"/>
        <v>0</v>
      </c>
      <c r="KB100" s="365" t="b">
        <f t="shared" si="172"/>
        <v>0</v>
      </c>
      <c r="KC100" s="354" t="str">
        <f t="shared" si="173"/>
        <v/>
      </c>
      <c r="KD100" s="355" t="str">
        <f t="shared" si="174"/>
        <v/>
      </c>
      <c r="KE100" s="355" t="str">
        <f t="shared" si="175"/>
        <v/>
      </c>
      <c r="KF100" s="355" t="str">
        <f t="shared" si="176"/>
        <v/>
      </c>
      <c r="KG100" s="355" t="str">
        <f t="shared" si="177"/>
        <v/>
      </c>
      <c r="KH100" s="355" t="str">
        <f t="shared" si="178"/>
        <v/>
      </c>
      <c r="KI100" s="355" t="str">
        <f t="shared" si="179"/>
        <v/>
      </c>
      <c r="KJ100" s="355" t="str">
        <f t="shared" si="180"/>
        <v/>
      </c>
      <c r="KK100" s="355" t="str">
        <f t="shared" si="181"/>
        <v/>
      </c>
      <c r="KL100" s="355" t="str">
        <f t="shared" si="182"/>
        <v/>
      </c>
      <c r="KM100" s="355" t="str">
        <f t="shared" si="183"/>
        <v/>
      </c>
      <c r="KN100" s="355" t="str">
        <f t="shared" si="184"/>
        <v/>
      </c>
      <c r="KO100" s="359"/>
      <c r="KP100" s="378"/>
      <c r="KQ100" s="379" t="s">
        <v>710</v>
      </c>
      <c r="KR100" s="380" t="s">
        <v>1381</v>
      </c>
      <c r="KS100" s="381" t="str">
        <f>KQ100</f>
        <v>S-g-m-P-n-S</v>
      </c>
      <c r="KT100" s="382">
        <f t="shared" si="186"/>
        <v>5</v>
      </c>
      <c r="KU100" s="383">
        <f t="shared" si="187"/>
        <v>5</v>
      </c>
      <c r="KV100" s="381" t="str">
        <f t="shared" si="205"/>
        <v>S-n-P-m-g-S</v>
      </c>
      <c r="KW100" s="382">
        <f t="shared" si="189"/>
        <v>5</v>
      </c>
      <c r="KX100" s="384">
        <f t="shared" si="190"/>
        <v>5</v>
      </c>
      <c r="KY100" s="382">
        <f t="shared" ref="KY100:KZ100" si="401">KW100-KT100</f>
        <v>0</v>
      </c>
      <c r="KZ100" s="369">
        <f t="shared" si="401"/>
        <v>0</v>
      </c>
      <c r="LA100" s="385" t="str">
        <f t="shared" si="192"/>
        <v>✔</v>
      </c>
      <c r="LB100" s="340" t="str">
        <f>IFERROR(__xludf.DUMMYFUNCTION("JOIN("""",ArrayFormula(MID(KS100,LEN(KS100)-SEQUENCE(1,LEN(KS100))+1,1)))"),"S-n-P-m-g-S")</f>
        <v>S-n-P-m-g-S</v>
      </c>
      <c r="LC100" s="373" t="str">
        <f>IFERROR(__xludf.DUMMYFUNCTION("JOIN("""",ArrayFormula(MID(KV100,LEN(KV100)-SEQUENCE(1,LEN(KV100))+1,1)))"),"S-g-m-P-n-S")</f>
        <v>S-g-m-P-n-S</v>
      </c>
      <c r="LD100" s="373" t="str">
        <f t="shared" si="193"/>
        <v>SgmPnS</v>
      </c>
      <c r="LE100" s="339" t="str">
        <f t="shared" si="194"/>
        <v>SgmPnS</v>
      </c>
      <c r="LF100" s="386" t="str">
        <f>IFERROR(__xludf.DUMMYFUNCTION("SUBSTITUTE(SUBSTITUTE(CONCATENATE(JOIN("""",LH100:LT100)),""1"",""""),""2"","""")"),"SgmPnS")</f>
        <v>SgmPnS</v>
      </c>
      <c r="LG100" s="369" t="str">
        <f t="shared" si="195"/>
        <v>✔</v>
      </c>
      <c r="LH100" s="387" t="str">
        <f>IFERROR(__xludf.DUMMYFUNCTION("IF(REGEXMATCH(LD100, ""S""), ""S"",IF(REGEXMATCH(LE100, ""S""), ""S"",""""))"),"S")</f>
        <v>S</v>
      </c>
      <c r="LI100" s="299" t="str">
        <f>IFERROR(__xludf.DUMMYFUNCTION("IF(REGEXMATCH(LD100, ""r""), ""r1"",IF(REGEXMATCH(LE100, ""r""), ""r2"",""""))"),"")</f>
        <v/>
      </c>
      <c r="LJ100" s="299" t="str">
        <f>IFERROR(__xludf.DUMMYFUNCTION("IF(REGEXMATCH(LD100, ""R""), ""R1"",IF(REGEXMATCH(LE100, ""R""), ""R2"",""""))"),"")</f>
        <v/>
      </c>
      <c r="LK100" s="299" t="str">
        <f>IFERROR(__xludf.DUMMYFUNCTION("IF(REGEXMATCH(LD100, ""g""), ""g1"",IF(REGEXMATCH(LE100, ""g""), ""g2"",""""))"),"g1")</f>
        <v>g1</v>
      </c>
      <c r="LL100" s="299" t="str">
        <f>IFERROR(__xludf.DUMMYFUNCTION("IF(REGEXMATCH(LD100, ""G""), ""G1"",IF(REGEXMATCH(LE100, ""G""), ""G2"",""""))"),"")</f>
        <v/>
      </c>
      <c r="LM100" s="299" t="str">
        <f>IFERROR(__xludf.DUMMYFUNCTION("IF(REGEXMATCH(LD100, ""m""), ""m1"",IF(REGEXMATCH(LE100, ""m""), ""m2"",""""))"),"m1")</f>
        <v>m1</v>
      </c>
      <c r="LN100" s="299" t="str">
        <f>IFERROR(__xludf.DUMMYFUNCTION("IF(REGEXMATCH(LD100, ""M""), ""M1"",IF(REGEXMATCH(LE100, ""M""), ""M2"",""""))"),"")</f>
        <v/>
      </c>
      <c r="LO100" s="299" t="str">
        <f>IFERROR(__xludf.DUMMYFUNCTION("IF(REGEXMATCH(LD100, ""P""), ""P1"",IF(REGEXMATCH(LE100, ""P""), ""P2"",""""))"),"P1")</f>
        <v>P1</v>
      </c>
      <c r="LP100" s="299" t="str">
        <f>IFERROR(__xludf.DUMMYFUNCTION("IF(REGEXMATCH(LD100, ""d""), ""d1"",IF(REGEXMATCH(LE100, ""d""), ""d2"",""""))"),"")</f>
        <v/>
      </c>
      <c r="LQ100" s="299" t="str">
        <f>IFERROR(__xludf.DUMMYFUNCTION("IF(REGEXMATCH(LD100, ""D""), ""D1"",IF(REGEXMATCH(LE100, ""D""), ""D2"",""""))"),"")</f>
        <v/>
      </c>
      <c r="LR100" s="299" t="str">
        <f>IFERROR(__xludf.DUMMYFUNCTION("IF(REGEXMATCH(LD100, ""n""), ""n1"",IF(REGEXMATCH(LE100, ""n""), ""n2"",""""))"),"n1")</f>
        <v>n1</v>
      </c>
      <c r="LS100" s="299" t="str">
        <f>IFERROR(__xludf.DUMMYFUNCTION("IF(REGEXMATCH(LD100, ""N""), ""N1"",IF(REGEXMATCH(LE100, ""N""), ""N2"",""""))"),"")</f>
        <v/>
      </c>
      <c r="LT100" s="388" t="str">
        <f>IFERROR(__xludf.DUMMYFUNCTION("IF(REGEXMATCH(LD100, ""S""), ""S"",IF(REGEXMATCH(LE100, ""S""), ""S"",""""))"),"S")</f>
        <v>S</v>
      </c>
      <c r="LU100" s="389">
        <f t="shared" si="196"/>
        <v>1</v>
      </c>
      <c r="LV100" s="378"/>
      <c r="LW100" s="369"/>
      <c r="LX100" s="369"/>
    </row>
    <row r="101" ht="18.0" customHeight="1">
      <c r="A101" s="298" t="s">
        <v>712</v>
      </c>
      <c r="B101" s="222" t="s">
        <v>713</v>
      </c>
      <c r="C101" s="233" t="str">
        <f t="shared" si="7"/>
        <v>SrGMPdDNS</v>
      </c>
      <c r="D101" s="234" t="str">
        <f>IFERROR(__xludf.DUMMYFUNCTION("IF(REGEXMATCH(C101, ""S""), ""S"","""")"),"S")</f>
        <v>S</v>
      </c>
      <c r="E101" s="236" t="str">
        <f>IFERROR(__xludf.DUMMYFUNCTION("IF(REGEXMATCH(C101, ""r""), ""r"","""")"),"r")</f>
        <v>r</v>
      </c>
      <c r="F101" s="237" t="str">
        <f>IFERROR(__xludf.DUMMYFUNCTION("IF(REGEXMATCH(C101, ""R""), ""R"","""")"),"")</f>
        <v/>
      </c>
      <c r="G101" s="237" t="str">
        <f>IFERROR(__xludf.DUMMYFUNCTION("IF(REGEXMATCH(C101, ""g""), ""g"","""")"),"")</f>
        <v/>
      </c>
      <c r="H101" s="236" t="str">
        <f>IFERROR(__xludf.DUMMYFUNCTION("IF(REGEXMATCH(C101, ""G""), ""G"","""")"),"G")</f>
        <v>G</v>
      </c>
      <c r="I101" s="236" t="str">
        <f>IFERROR(__xludf.DUMMYFUNCTION("IF(REGEXMATCH(C101, ""m""), ""m"","""")"),"")</f>
        <v/>
      </c>
      <c r="J101" s="237" t="str">
        <f>IFERROR(__xludf.DUMMYFUNCTION("IF(REGEXMATCH(C101, ""M""), ""M"","""")"),"M")</f>
        <v>M</v>
      </c>
      <c r="K101" s="236" t="str">
        <f>IFERROR(__xludf.DUMMYFUNCTION("IF(REGEXMATCH(C101, ""P""), ""P"","""")"),"P")</f>
        <v>P</v>
      </c>
      <c r="L101" s="237" t="str">
        <f>IFERROR(__xludf.DUMMYFUNCTION("IF(REGEXMATCH(C101, ""d""), ""d"","""")"),"d")</f>
        <v>d</v>
      </c>
      <c r="M101" s="236" t="str">
        <f>IFERROR(__xludf.DUMMYFUNCTION("IF(REGEXMATCH(C101, ""D""), ""D"","""")"),"D")</f>
        <v>D</v>
      </c>
      <c r="N101" s="236" t="str">
        <f>IFERROR(__xludf.DUMMYFUNCTION("IF(REGEXMATCH(C101, ""n""), ""n"","""")"),"")</f>
        <v/>
      </c>
      <c r="O101" s="237" t="str">
        <f>IFERROR(__xludf.DUMMYFUNCTION("IF(REGEXMATCH(C101, ""N""), ""N"","""")"),"N")</f>
        <v>N</v>
      </c>
      <c r="P101" s="238" t="str">
        <f>IFERROR(__xludf.DUMMYFUNCTION("IF(REGEXMATCH(C101, ""S""), ""S"","""")"),"S")</f>
        <v>S</v>
      </c>
      <c r="Q101" s="239" t="str">
        <f>IFERROR(__xludf.DUMMYFUNCTION("SUBSTITUTE(CONCATENATE(JOIN(""-"",D101:J101)),""-"","""")"),"SrGM")</f>
        <v>SrGM</v>
      </c>
      <c r="R101" s="229" t="str">
        <f>IFERROR(__xludf.DUMMYFUNCTION("SUBSTITUTE(CONCATENATE(JOIN(""-"",K101:P101)),""-"","""")"),"PdDNS")</f>
        <v>PdDNS</v>
      </c>
      <c r="S101" s="282" t="str">
        <f t="shared" si="8"/>
        <v>S-R-G-M</v>
      </c>
      <c r="T101" s="282" t="str">
        <f t="shared" si="9"/>
        <v>P-D-N-S</v>
      </c>
      <c r="U101" s="237" t="str">
        <f>IFERROR(__xludf.DUMMYFUNCTION("SUBSTITUTE(JOIN(""-"",S101,T101),""--"",""-"")"),"S-R-G-M-P-D-N-S")</f>
        <v>S-R-G-M-P-D-N-S</v>
      </c>
      <c r="V101" s="309" t="str">
        <f t="shared" si="10"/>
        <v>rGMdDN</v>
      </c>
      <c r="W101" s="244" t="str">
        <f>IFERROR(__xludf.DUMMYFUNCTION("IF(REGEXMATCH(C101, ""S""), ""0"","""")"),"0")</f>
        <v>0</v>
      </c>
      <c r="X101" s="245" t="str">
        <f>IFERROR(__xludf.DUMMYFUNCTION("IF(REGEXMATCH(C101, ""r""), ""1"","""")"),"1")</f>
        <v>1</v>
      </c>
      <c r="Y101" s="246" t="str">
        <f>IFERROR(__xludf.DUMMYFUNCTION("IF(REGEXMATCH(C101, ""R""), ""2"","""")"),"")</f>
        <v/>
      </c>
      <c r="Z101" s="246" t="str">
        <f>IFERROR(__xludf.DUMMYFUNCTION("IF(REGEXMATCH(C101, ""g""), ""3"","""")"),"")</f>
        <v/>
      </c>
      <c r="AA101" s="245" t="str">
        <f>IFERROR(__xludf.DUMMYFUNCTION("IF(REGEXMATCH(C101, ""G""), ""4"","""")"),"4")</f>
        <v>4</v>
      </c>
      <c r="AB101" s="245" t="str">
        <f>IFERROR(__xludf.DUMMYFUNCTION("IF(REGEXMATCH(C101, ""m""), ""5"","""")"),"")</f>
        <v/>
      </c>
      <c r="AC101" s="246" t="str">
        <f>IFERROR(__xludf.DUMMYFUNCTION("IF(REGEXMATCH(C101, ""M""), ""6"","""")"),"6")</f>
        <v>6</v>
      </c>
      <c r="AD101" s="245" t="str">
        <f>IFERROR(__xludf.DUMMYFUNCTION("IF(REGEXMATCH(C101, ""P""), ""7"","""")"),"7")</f>
        <v>7</v>
      </c>
      <c r="AE101" s="246" t="str">
        <f>IFERROR(__xludf.DUMMYFUNCTION("IF(REGEXMATCH(C101, ""d""), ""8"","""")"),"8")</f>
        <v>8</v>
      </c>
      <c r="AF101" s="245" t="str">
        <f>IFERROR(__xludf.DUMMYFUNCTION("IF(REGEXMATCH(C101, ""D""), ""9"","""")"),"9")</f>
        <v>9</v>
      </c>
      <c r="AG101" s="245" t="str">
        <f>IFERROR(__xludf.DUMMYFUNCTION("IF(REGEXMATCH(C101, ""n""), ""10"","""")"),"")</f>
        <v/>
      </c>
      <c r="AH101" s="246" t="str">
        <f>IFERROR(__xludf.DUMMYFUNCTION("IF(REGEXMATCH(C101, ""N""), ""11"","""")"),"11")</f>
        <v>11</v>
      </c>
      <c r="AI101" s="249" t="str">
        <f>IFERROR(__xludf.DUMMYFUNCTION("IF(REGEXMATCH(C101, ""S""), ""0"","""")"),"0")</f>
        <v>0</v>
      </c>
      <c r="AJ101" s="313" t="str">
        <f t="shared" si="11"/>
        <v>T</v>
      </c>
      <c r="AK101" s="313" t="str">
        <f t="shared" si="12"/>
        <v>T</v>
      </c>
      <c r="AL101" s="313" t="str">
        <f t="shared" si="13"/>
        <v>-</v>
      </c>
      <c r="AM101" s="313" t="str">
        <f t="shared" si="14"/>
        <v>-</v>
      </c>
      <c r="AN101" s="313" t="str">
        <f t="shared" si="15"/>
        <v>-</v>
      </c>
      <c r="AO101" s="314" t="str">
        <f t="shared" si="16"/>
        <v>-</v>
      </c>
      <c r="AP101" s="316">
        <f t="shared" si="17"/>
        <v>2</v>
      </c>
      <c r="AQ101" s="319" t="str">
        <f t="shared" si="18"/>
        <v>-</v>
      </c>
      <c r="AR101" s="320">
        <f t="shared" si="19"/>
        <v>0</v>
      </c>
      <c r="AS101" s="250" t="str">
        <f>IFERROR(__xludf.DUMMYFUNCTION("SUBSTITUTE(SUBSTITUTE(CONCATENATE(JOIN("""",FP101:GA101)),""|"",""x""),""-"",""o"")"),"xxooxoxxxxox")</f>
        <v>xxooxoxxxxox</v>
      </c>
      <c r="AT101" s="323" t="str">
        <f>IFERROR(__xludf.DUMMYFUNCTION("JOIN("""",AS101,AS101)"),"xxooxoxxxxoxxxooxoxxxxox")</f>
        <v>xxooxoxxxxoxxxooxoxxxxox</v>
      </c>
      <c r="AU101" s="256" t="str">
        <f>IFERROR(__xludf.DUMMYFUNCTION("JOIN("""",ArrayFormula(MID(AS101,LEN(AS101)-SEQUENCE(1,LEN(AS101))+1,1)))"),"xoxxxxoxooxx")</f>
        <v>xoxxxxoxooxx</v>
      </c>
      <c r="AV101" s="256" t="str">
        <f>IFERROR(__xludf.DUMMYFUNCTION("LEFT(CONCATENATE(""x"",JOIN("""",ArrayFormula(MID(AS101,LEN(AS101)-SEQUENCE(1,LEN(AS101))+1,1)))),12)"),"xxoxxxxoxoox")</f>
        <v>xxoxxxxoxoox</v>
      </c>
      <c r="AW101" s="327" t="str">
        <f>IFERROR(__xludf.DUMMYFUNCTION("JOIN("""",AU101,AU101)"),"xoxxxxoxooxxxoxxxxoxooxx")</f>
        <v>xoxxxxoxooxxxoxxxxoxooxx</v>
      </c>
      <c r="AX101" s="239" t="str">
        <f>IFERROR(__xludf.DUMMYFUNCTION("IF(REGEXMATCH(AW101,AS101),""✔"",""-"")"),"-")</f>
        <v>-</v>
      </c>
      <c r="AY101" s="330" t="str">
        <f t="shared" si="20"/>
        <v>-</v>
      </c>
      <c r="AZ101" s="260" t="str">
        <f t="shared" si="21"/>
        <v>#REF!</v>
      </c>
      <c r="BA101" s="333" t="str">
        <f t="shared" si="22"/>
        <v>xxooxox</v>
      </c>
      <c r="BB101" s="334" t="str">
        <f t="shared" si="23"/>
        <v>xxxoxx</v>
      </c>
      <c r="BC101" s="335" t="str">
        <f t="shared" si="236"/>
        <v>-</v>
      </c>
      <c r="BD101" s="336" t="str">
        <f t="shared" si="25"/>
        <v>Dhavalshree: 'xxooxox' + 'xxxoxx'</v>
      </c>
      <c r="BE101" s="337">
        <f>IFERROR(__xludf.DUMMYFUNCTION("COUNTUNIQUE(FILTER(AT:AT,REGEXMATCH(AT:AT,AS101)))-1"),0.0)</f>
        <v>0</v>
      </c>
      <c r="BF101" s="261" t="str">
        <f>IFERROR(__xludf.DUMMYFUNCTION("IF(BI101=0,""(n/a)"",IF(BJ101=2,""(PAIR)"",IF(REGEXMATCH(AT101,""xoxoxxoxoxox""),""Bilawal"",IF(REGEXMATCH(AT101,""xoxoxooxoxoo""),""Bhupali"",IF(REGEXMATCH(AT101,""xoxoxxoxxoxo""),""Charukeshi"",IF(REGEXMATCH(AT101,""xoxoooxxoxxo""),""Kameshwari"",IF(REG"&amp;"EXMATCH(AT101,""xoxoxooxoxox""),""Shankara"",IF(REGEXMATCH(AT101,""xxooxoxxxoox""),""Basant"",IF(REGEXMATCH(AT101,""xoxoxxxxoxox""),""Bihag"",IF(REGEXMATCH(AT101,""xoxxxxoxoxxx""),""Pilu"",IF(REGEXMATCH(AT101,""xoxxoxoxxoox""),""Kirwani"",IF(REGEXMATCH(AT"&amp;"101,""xoxxoxoxoxxx""),""Mk.Malhar"",IF(REGEXMATCH(AT101,""xxooxxoxxoox""),""Bhairav"",IF(REGEXMATCH(AT101,""xxoxooxxxoox""),""Todi"",IF(REGEXMATCH(AT101,""xxooxoxooxox""),""Marwa"",IF(REGEXMATCH(AT101,""xxoooxoxxooo""),""Gunkali"",IF(REGEXMATCH(AT101,""xo"&amp;"xoxxoxxoox""),""Nat Bhairav"",IF(REGEXMATCH(AT101,""xoxxoooxoxoo""),""Shivranjani"",IF(REGEXMATCH(AT101,""xooxxxoxooxo""),""Jog"",IF(REGEXMATCH(AT101,""xxooxoxoxoox""),""Hemshri"",IF(REGEXMATCH(AT101,""xoooxooxoxxo""),""Kalavati"",IF(REGEXMATCH(AT101,""xx"&amp;"oxoxxoxoox""),""Kedar"",IF(REGEXMATCH(AT101,""xoxxxxoxooxx""),""Gara"",IF(REGEXMATCH(AT101,""xooxoxooxoox""),""Chandrakauns"",IF(REGEXMATCH(AT101,""xoxxxxoxxxox""),""Mand"",IF(REGEXMATCH(AT101,""xoxxxxoxoxox""),""Hanskinkini"",IF(REGEXMATCH(AT101,""xxooxx"&amp;"oxooxo""),""Lilavati"",IF(REGEXMATCH(AT101,""xooxoxoooxox""),""Rajeshwari"",IF(REGEXMATCH(AT101,""xoooxxoxoxxx""),""Khokar"",IF(REGEXMATCH(AT101,""xxooxoxxxxox""),""Maligoura"",""-""))))))))))))))))))))))))))))))"),"(n/a)")</f>
        <v>(n/a)</v>
      </c>
      <c r="BG101" s="239" t="str">
        <f t="shared" si="26"/>
        <v>#REF!</v>
      </c>
      <c r="BH101" s="239">
        <f>IFERROR(__xludf.DUMMYFUNCTION("COUNTUNIQUE(FE101:FO101)-1"),7.0)</f>
        <v>7</v>
      </c>
      <c r="BI101" s="239">
        <f>IFERROR(__xludf.DUMMYFUNCTION("COUNTUNIQUE(FILTER(AT:AT,REGEXMATCH(AT:AT,AS101)))-1"),0.0)</f>
        <v>0</v>
      </c>
      <c r="BJ101" s="239">
        <f>IFERROR(__xludf.DUMMYFUNCTION("COUNTA(FILTER(AT:AT,REGEXMATCH(AT:AT,AS101)))"),2.0)</f>
        <v>2</v>
      </c>
      <c r="BK101" s="341">
        <f>IFERROR(__xludf.DUMMYFUNCTION("COUNTA(FILTER(AT:AT,REGEXMATCH(AT:AT,AS101)))-AR101"),2.0)</f>
        <v>2</v>
      </c>
      <c r="BL101" s="276" t="str">
        <f>IFERROR(__xludf.DUMMYFUNCTION("IF(AS101=""oooooooooooo"",""-"",IF(REGEXMATCH(AT101,""xx""), ""Hemi."", ""Anhemi.""))"),"Hemi.")</f>
        <v>Hemi.</v>
      </c>
      <c r="BM101" s="282" t="str">
        <f>IFERROR(__xludf.DUMMYFUNCTION("IF(AS101=""oooooooooooo"",""-"",IF(REGEXMATCH(AT101,""xxx""), ""Cohem."", ""-""))"),"Cohem.")</f>
        <v>Cohem.</v>
      </c>
      <c r="BN101" s="282" t="str">
        <f>IFERROR(__xludf.DUMMYFUNCTION("IF(AS101=""oooooooooooo"",""-"",IF(REGEXMATCH(AT101,""xxxx""), ""Co-Co."", ""-""))"),"Co-Co.")</f>
        <v>Co-Co.</v>
      </c>
      <c r="BO101" s="342" t="str">
        <f>IFERROR(__xludf.DUMMYFUNCTION("IF(AS101=""oooooooooooo"",""-"",IF(REGEXMATCH(AT101,""xxxxx""), ""CCC."", ""-""))"),"-")</f>
        <v>-</v>
      </c>
      <c r="BP101" s="344" t="str">
        <f t="shared" si="27"/>
        <v>-</v>
      </c>
      <c r="BQ101" s="282" t="str">
        <f>IFERROR(__xludf.DUMMYFUNCTION("IF(REGEXMATCH(JOIN(""-"",EU101:FD101),""TRUE""),""✔"",""-"")"),"-")</f>
        <v>-</v>
      </c>
      <c r="BR101" s="225">
        <f t="shared" si="28"/>
        <v>0</v>
      </c>
      <c r="BS101" s="345" t="str">
        <f>IFERROR(__xludf.DUMMYFUNCTION("SUBSTITUTE(SUBSTITUTE(SUBSTITUTE(SUBSTITUTE(CONCATENATE(JOIN(""-"",GC101:GO101)),""--"",""-""),""--"",""-""),""--"",""-""),""--"",""-"")"),"1-b2-3-#4-5-b6-6-7-8")</f>
        <v>1-b2-3-#4-5-b6-6-7-8</v>
      </c>
      <c r="BT101" s="299" t="str">
        <f>IFERROR(__xludf.DUMMYFUNCTION("SUBSTITUTE(SUBSTITUTE(SUBSTITUTE(SUBSTITUTE(CONCATENATE(JOIN(""-"",GP101:HB101)),""--"",""-""),""--"",""-""),""--"",""-""),""--"",""-"")"),"S-R1-G3-M2-P-D1-D2-N3-S")</f>
        <v>S-R1-G3-M2-P-D1-D2-N3-S</v>
      </c>
      <c r="BU101" s="348" t="str">
        <f t="shared" si="29"/>
        <v>C-Db-E-F#-G-Ab-A-B-C</v>
      </c>
      <c r="BV101" s="349" t="str">
        <f t="shared" si="30"/>
        <v>SRgmnS</v>
      </c>
      <c r="BW101" s="350">
        <f t="shared" si="31"/>
        <v>0</v>
      </c>
      <c r="BX101" s="351">
        <f t="shared" si="32"/>
        <v>2</v>
      </c>
      <c r="BY101" s="392"/>
      <c r="BZ101" s="309" t="str">
        <f>IFERROR(__xludf.DUMMYFUNCTION("IF(REGEXMATCH(C101, ""S""), ""x"",""x"")"),"x")</f>
        <v>x</v>
      </c>
      <c r="CA101" s="245" t="str">
        <f>IFERROR(__xludf.DUMMYFUNCTION("IF(REGEXMATCH(C101, ""r""), ""o"",""x"")"),"o")</f>
        <v>o</v>
      </c>
      <c r="CB101" s="246" t="str">
        <f>IFERROR(__xludf.DUMMYFUNCTION("IF(REGEXMATCH(C101, ""R""), ""o"",""x"")"),"x")</f>
        <v>x</v>
      </c>
      <c r="CC101" s="246" t="str">
        <f>IFERROR(__xludf.DUMMYFUNCTION("IF(REGEXMATCH(C101, ""g""), ""o"",""x"")"),"x")</f>
        <v>x</v>
      </c>
      <c r="CD101" s="245" t="str">
        <f>IFERROR(__xludf.DUMMYFUNCTION("IF(REGEXMATCH(C101, ""G""), ""o"",""x"")"),"o")</f>
        <v>o</v>
      </c>
      <c r="CE101" s="245" t="str">
        <f>IFERROR(__xludf.DUMMYFUNCTION("IF(REGEXMATCH(C101, ""m""), ""o"",""x"")"),"x")</f>
        <v>x</v>
      </c>
      <c r="CF101" s="246" t="str">
        <f>IFERROR(__xludf.DUMMYFUNCTION("IF(REGEXMATCH(C101, ""M""), ""o"",""x"")"),"o")</f>
        <v>o</v>
      </c>
      <c r="CG101" s="245" t="str">
        <f>IFERROR(__xludf.DUMMYFUNCTION("IF(REGEXMATCH(C101, ""P""), ""o"",""x"")"),"o")</f>
        <v>o</v>
      </c>
      <c r="CH101" s="246" t="str">
        <f>IFERROR(__xludf.DUMMYFUNCTION("IF(REGEXMATCH(C101, ""d""), ""o"",""x"")"),"o")</f>
        <v>o</v>
      </c>
      <c r="CI101" s="245" t="str">
        <f>IFERROR(__xludf.DUMMYFUNCTION("IF(REGEXMATCH(C101, ""D""), ""o"",""x"")"),"o")</f>
        <v>o</v>
      </c>
      <c r="CJ101" s="245" t="str">
        <f>IFERROR(__xludf.DUMMYFUNCTION("IF(REGEXMATCH(C101, ""n""), ""o"",""x"")"),"x")</f>
        <v>x</v>
      </c>
      <c r="CK101" s="245" t="str">
        <f>IFERROR(__xludf.DUMMYFUNCTION("IF(REGEXMATCH(C101, ""N""), ""o"",""x"")"),"o")</f>
        <v>o</v>
      </c>
      <c r="CL101" s="356" t="str">
        <f>IFERROR(__xludf.DUMMYFUNCTION("IF(REGEXMATCH(C101, ""S""), ""x"",""x"")"),"x")</f>
        <v>x</v>
      </c>
      <c r="CM101" s="357" t="str">
        <f t="shared" si="33"/>
        <v>xoxxoxooooxo</v>
      </c>
      <c r="CN101" s="358">
        <f t="shared" si="34"/>
        <v>0</v>
      </c>
      <c r="CO101" s="246" t="str">
        <f>IFERROR(__xludf.DUMMYFUNCTION("IF(REGEXMATCH($C101, ""S""), ""S"",""S"")"),"S")</f>
        <v>S</v>
      </c>
      <c r="CP101" s="246" t="str">
        <f>IFERROR(__xludf.DUMMYFUNCTION("IF(REGEXMATCH($C101, ""r""), """",""r"")"),"")</f>
        <v/>
      </c>
      <c r="CQ101" s="246" t="str">
        <f>IFERROR(__xludf.DUMMYFUNCTION("IF(REGEXMATCH($C101, ""R""), """",""R"")"),"R")</f>
        <v>R</v>
      </c>
      <c r="CR101" s="246" t="str">
        <f>IFERROR(__xludf.DUMMYFUNCTION("IF(REGEXMATCH($C101, ""g""), """",""g"")"),"g")</f>
        <v>g</v>
      </c>
      <c r="CS101" s="246" t="str">
        <f>IFERROR(__xludf.DUMMYFUNCTION("IF(REGEXMATCH($C101, ""G""), """",""G"")"),"")</f>
        <v/>
      </c>
      <c r="CT101" s="246" t="str">
        <f>IFERROR(__xludf.DUMMYFUNCTION("IF(REGEXMATCH($C101, ""m""), """",""m"")"),"m")</f>
        <v>m</v>
      </c>
      <c r="CU101" s="246" t="str">
        <f>IFERROR(__xludf.DUMMYFUNCTION("IF(REGEXMATCH($C101, ""M""), """",""M"")"),"")</f>
        <v/>
      </c>
      <c r="CV101" s="246" t="str">
        <f>IFERROR(__xludf.DUMMYFUNCTION("IF(REGEXMATCH($C101, ""P""), """",""P"")"),"")</f>
        <v/>
      </c>
      <c r="CW101" s="246" t="str">
        <f>IFERROR(__xludf.DUMMYFUNCTION("IF(REGEXMATCH($C101, ""d""), """",""d"")"),"")</f>
        <v/>
      </c>
      <c r="CX101" s="246" t="str">
        <f>IFERROR(__xludf.DUMMYFUNCTION("IF(REGEXMATCH($C101, ""D""), """",""D"")"),"")</f>
        <v/>
      </c>
      <c r="CY101" s="246" t="str">
        <f>IFERROR(__xludf.DUMMYFUNCTION("IF(REGEXMATCH($C101, ""n""), """",""n"")"),"n")</f>
        <v>n</v>
      </c>
      <c r="CZ101" s="246" t="str">
        <f>IFERROR(__xludf.DUMMYFUNCTION("IF(REGEXMATCH($C101, ""N""), """",""N"")"),"")</f>
        <v/>
      </c>
      <c r="DA101" s="246" t="str">
        <f>IFERROR(__xludf.DUMMYFUNCTION("IF(REGEXMATCH($C101, ""S""), ""S"",""S"")"),"S")</f>
        <v>S</v>
      </c>
      <c r="DB101" s="362" t="str">
        <f>IFERROR(__xludf.DUMMYFUNCTION("JOIN("""",CO101:DA101,"""","""")"),"SRgmnS")</f>
        <v>SRgmnS</v>
      </c>
      <c r="DC101" s="363"/>
      <c r="DD101" s="301" t="str">
        <f t="shared" si="35"/>
        <v>#REF!</v>
      </c>
      <c r="DE101" s="302" t="str">
        <f t="shared" si="36"/>
        <v>#REF!</v>
      </c>
      <c r="DF101" s="301" t="str">
        <f t="shared" ref="DF101:DG101" si="402">SUBSTITUTE(S101,"-","")</f>
        <v>SRGM</v>
      </c>
      <c r="DG101" s="301" t="str">
        <f t="shared" si="402"/>
        <v>PDNS</v>
      </c>
      <c r="DH101" s="302" t="str">
        <f t="shared" si="38"/>
        <v>(n/a)</v>
      </c>
      <c r="DI101" s="301" t="str">
        <f t="shared" si="39"/>
        <v>Hemi.</v>
      </c>
      <c r="DJ101" s="364" t="str">
        <f t="shared" si="40"/>
        <v>Co-Co.</v>
      </c>
      <c r="DK101" s="306" t="str">
        <f t="shared" si="41"/>
        <v>-</v>
      </c>
      <c r="DL101" s="366" t="str">
        <f t="shared" si="42"/>
        <v>-</v>
      </c>
      <c r="DM101" s="308" t="str">
        <f t="shared" si="43"/>
        <v>✔</v>
      </c>
      <c r="DN101" s="306" t="str">
        <f t="shared" si="44"/>
        <v>-</v>
      </c>
      <c r="DO101" s="306" t="str">
        <f t="shared" si="45"/>
        <v>-</v>
      </c>
      <c r="DP101" s="367" t="str">
        <f t="shared" si="46"/>
        <v>✔</v>
      </c>
      <c r="DQ101" s="310" t="str">
        <f t="shared" si="47"/>
        <v>-</v>
      </c>
      <c r="DR101" s="310" t="str">
        <f t="shared" si="48"/>
        <v>-</v>
      </c>
      <c r="DS101" s="310" t="str">
        <f t="shared" si="49"/>
        <v>-</v>
      </c>
      <c r="DT101" s="310" t="str">
        <f t="shared" si="50"/>
        <v>✔</v>
      </c>
      <c r="DU101" s="370" t="str">
        <f t="shared" si="51"/>
        <v>-</v>
      </c>
      <c r="DV101" s="306" t="str">
        <f t="shared" si="52"/>
        <v>-</v>
      </c>
      <c r="DW101" s="306" t="str">
        <f t="shared" si="53"/>
        <v>-</v>
      </c>
      <c r="DX101" s="306" t="str">
        <f t="shared" si="54"/>
        <v>-</v>
      </c>
      <c r="DY101" s="306" t="str">
        <f t="shared" si="55"/>
        <v>-</v>
      </c>
      <c r="DZ101" s="306" t="str">
        <f t="shared" si="56"/>
        <v>-</v>
      </c>
      <c r="EA101" s="367" t="str">
        <f t="shared" si="57"/>
        <v>-</v>
      </c>
      <c r="EB101" s="310" t="str">
        <f>IFERROR(__xludf.DUMMYFUNCTION("IF(REGEXMATCH(AW101,AS101),""✔"",""-"")"),"-")</f>
        <v>-</v>
      </c>
      <c r="EC101" s="310" t="str">
        <f t="shared" si="58"/>
        <v>#REF!</v>
      </c>
      <c r="ED101" s="370" t="str">
        <f t="shared" si="59"/>
        <v>-</v>
      </c>
      <c r="EE101" s="340" t="str">
        <f t="shared" si="60"/>
        <v>S-r-G-M-P-dD-N-S</v>
      </c>
      <c r="EF101" s="371" t="str">
        <f>IFERROR(__xludf.DUMMYFUNCTION("CONCATENATE(JOIN("""",HC101:HO101))"),"SrgGmMdNS")</f>
        <v>SrgGmMdNS</v>
      </c>
      <c r="EG101" s="372">
        <f t="shared" si="61"/>
        <v>2</v>
      </c>
      <c r="EH101" s="373" t="str">
        <f>IFERROR(__xludf.DUMMYFUNCTION("CONCATENATE(JOIN("""",JC101:JO101))"),"Pa, dha, ")</f>
        <v>Pa, dha, </v>
      </c>
      <c r="EI101" s="322">
        <f t="shared" si="62"/>
        <v>0</v>
      </c>
      <c r="EJ101" s="374" t="str">
        <f>IFERROR(__xludf.DUMMYFUNCTION("CONCATENATE(JOIN("""",KC101:KO101))"),"")</f>
        <v/>
      </c>
      <c r="EK101" s="325" t="str">
        <f t="shared" si="63"/>
        <v>S-R1-G3-M2-P-D1-D2-N3-S</v>
      </c>
      <c r="EL101" s="326" t="str">
        <f t="shared" si="64"/>
        <v>1-b2-3-#4-5-b6-6-7-8</v>
      </c>
      <c r="EM101" s="318" t="str">
        <f t="shared" si="65"/>
        <v>#REF!</v>
      </c>
      <c r="EN101" s="328" t="str">
        <f>IFERROR(__xludf.DUMMYFUNCTION("SUBSTITUTE(SUBSTITUTE(SUBSTITUTE(SUBSTITUTE(CONCATENATE(JOIN("" "",HP101:IB101)),""  "","" ""),""  "","" ""),""  "","" ""),""  "","" "")"),"o o • • o • o o o o • o o")</f>
        <v>o o • • o • o o o o • o o</v>
      </c>
      <c r="EO101" s="368" t="str">
        <f t="shared" si="66"/>
        <v>Sa-Pa</v>
      </c>
      <c r="EP101" s="339" t="str">
        <f t="shared" si="67"/>
        <v>Sa-Pa</v>
      </c>
      <c r="EQ101" s="339" t="str">
        <f t="shared" si="68"/>
        <v>Sa-Pa</v>
      </c>
      <c r="ER101" s="339" t="str">
        <f t="shared" si="69"/>
        <v>-</v>
      </c>
      <c r="ES101" s="340" t="str">
        <f t="shared" si="70"/>
        <v>-</v>
      </c>
      <c r="ET101" s="363"/>
      <c r="EU101" s="376" t="b">
        <f>IFERROR(__xludf.DUMMYFUNCTION("arrayformula(sum(--REGEXMATCH(""SRGMPDNS"",split(REGEXREPLACE(C101,""(.)"",""$1~""),""~""))))=len(C101)
"),FALSE)</f>
        <v>0</v>
      </c>
      <c r="EV101" s="290" t="b">
        <f>IFERROR(__xludf.DUMMYFUNCTION("arrayformula(sum(--REGEXMATCH(""SRGmPDNS"",split(REGEXREPLACE(C101,""(.)"",""$1~""),""~""))))=len(C101)"),FALSE)</f>
        <v>0</v>
      </c>
      <c r="EW101" s="290" t="b">
        <f>IFERROR(__xludf.DUMMYFUNCTION("arrayformula(sum(--REGEXMATCH(""SRGmPDnS"",split(REGEXREPLACE(C101,""(.)"",""$1~""),""~""))))=len(C101)"),FALSE)</f>
        <v>0</v>
      </c>
      <c r="EX101" s="290" t="b">
        <f>IFERROR(__xludf.DUMMYFUNCTION("arrayformula(sum(--REGEXMATCH(""SRgmPDnS"",split(REGEXREPLACE(C101,""(.)"",""$1~""),""~""))))=len(C101)"),FALSE)</f>
        <v>0</v>
      </c>
      <c r="EY101" s="290" t="b">
        <f>IFERROR(__xludf.DUMMYFUNCTION("arrayformula(sum(--REGEXMATCH(""SRgmPdnS"",split(REGEXREPLACE(C101,""(.)"",""$1~""),""~""))))=len(C101)"),FALSE)</f>
        <v>0</v>
      </c>
      <c r="EZ101" s="290" t="b">
        <f>IFERROR(__xludf.DUMMYFUNCTION("arrayformula(sum(--REGEXMATCH(""SrgmPdnS"",split(REGEXREPLACE(C101,""(.)"",""$1~""),""~""))))=len(C101)"),FALSE)</f>
        <v>0</v>
      </c>
      <c r="FA101" s="290" t="b">
        <f>IFERROR(__xludf.DUMMYFUNCTION("arrayformula(sum(--REGEXMATCH(""SrGmPdNS"",split(REGEXREPLACE(C101,""(.)"",""$1~""),""~""))))=len(C101)"),FALSE)</f>
        <v>0</v>
      </c>
      <c r="FB101" s="290" t="b">
        <f>IFERROR(__xludf.DUMMYFUNCTION("arrayformula(sum(--REGEXMATCH(""SrGMPDNS"",split(REGEXREPLACE(C101,""(.)"",""$1~""),""~""))))=len(C101)"),FALSE)</f>
        <v>0</v>
      </c>
      <c r="FC101" s="290" t="b">
        <f>IFERROR(__xludf.DUMMYFUNCTION("arrayformula(sum(--REGEXMATCH(""SrGMPdNS"",split(REGEXREPLACE(C101,""(.)"",""$1~""),""~""))))=len(C101)"),FALSE)</f>
        <v>0</v>
      </c>
      <c r="FD101" s="377" t="b">
        <f>IFERROR(__xludf.DUMMYFUNCTION("arrayformula(sum(--REGEXMATCH(""SrgMPdNS"",split(REGEXREPLACE(C101,""(.)"",""$1~""),""~""))))=len(C101)"),FALSE)</f>
        <v>0</v>
      </c>
      <c r="FE101" s="269" t="str">
        <f t="shared" si="71"/>
        <v>xooxoxxxxox</v>
      </c>
      <c r="FF101" s="269" t="str">
        <f t="shared" si="72"/>
        <v>-</v>
      </c>
      <c r="FG101" s="271" t="str">
        <f t="shared" si="73"/>
        <v>-</v>
      </c>
      <c r="FH101" s="269" t="str">
        <f t="shared" si="74"/>
        <v>xoxxxxoxxxo</v>
      </c>
      <c r="FI101" s="271" t="str">
        <f t="shared" si="75"/>
        <v>-</v>
      </c>
      <c r="FJ101" s="271" t="str">
        <f t="shared" si="76"/>
        <v>xxxxoxxxoox</v>
      </c>
      <c r="FK101" s="271" t="str">
        <f t="shared" si="77"/>
        <v>xxxoxxxooxo</v>
      </c>
      <c r="FL101" s="271" t="str">
        <f t="shared" si="78"/>
        <v>xxoxxxooxox</v>
      </c>
      <c r="FM101" s="271" t="str">
        <f t="shared" si="79"/>
        <v>xoxxxooxoxx</v>
      </c>
      <c r="FN101" s="271" t="str">
        <f t="shared" si="80"/>
        <v>-</v>
      </c>
      <c r="FO101" s="274" t="str">
        <f t="shared" si="81"/>
        <v>xxxooxoxxxx</v>
      </c>
      <c r="FP101" s="234" t="str">
        <f t="shared" si="82"/>
        <v>|</v>
      </c>
      <c r="FQ101" s="236" t="str">
        <f t="shared" si="83"/>
        <v>|</v>
      </c>
      <c r="FR101" s="237" t="str">
        <f t="shared" si="84"/>
        <v>-</v>
      </c>
      <c r="FS101" s="236" t="str">
        <f t="shared" si="85"/>
        <v>-</v>
      </c>
      <c r="FT101" s="237" t="str">
        <f t="shared" si="86"/>
        <v>|</v>
      </c>
      <c r="FU101" s="236" t="str">
        <f t="shared" si="87"/>
        <v>-</v>
      </c>
      <c r="FV101" s="237" t="str">
        <f t="shared" si="88"/>
        <v>|</v>
      </c>
      <c r="FW101" s="236" t="str">
        <f t="shared" si="89"/>
        <v>|</v>
      </c>
      <c r="FX101" s="237" t="str">
        <f t="shared" si="90"/>
        <v>|</v>
      </c>
      <c r="FY101" s="236" t="str">
        <f t="shared" si="91"/>
        <v>|</v>
      </c>
      <c r="FZ101" s="237" t="str">
        <f t="shared" si="92"/>
        <v>-</v>
      </c>
      <c r="GA101" s="236" t="str">
        <f t="shared" si="93"/>
        <v>|</v>
      </c>
      <c r="GB101" s="238" t="str">
        <f t="shared" si="94"/>
        <v>|</v>
      </c>
      <c r="GC101" s="244" t="str">
        <f>IFERROR(__xludf.DUMMYFUNCTION("IF(REGEXMATCH(C101, ""S""), ""1"","""")"),"1")</f>
        <v>1</v>
      </c>
      <c r="GD101" s="245" t="str">
        <f>IFERROR(__xludf.DUMMYFUNCTION("IF(REGEXMATCH(C101, ""r""), ""b2"","""")"),"b2")</f>
        <v>b2</v>
      </c>
      <c r="GE101" s="246" t="str">
        <f>IFERROR(__xludf.DUMMYFUNCTION("IF(REGEXMATCH(C101, ""R""), ""2"","""")"),"")</f>
        <v/>
      </c>
      <c r="GF101" s="246" t="str">
        <f>IFERROR(__xludf.DUMMYFUNCTION("IF(REGEXMATCH(C101, ""g""), ""b3"","""")"),"")</f>
        <v/>
      </c>
      <c r="GG101" s="245" t="str">
        <f>IFERROR(__xludf.DUMMYFUNCTION("IF(REGEXMATCH(C101, ""G""), ""3"","""")"),"3")</f>
        <v>3</v>
      </c>
      <c r="GH101" s="245" t="str">
        <f>IFERROR(__xludf.DUMMYFUNCTION("IF(REGEXMATCH(C101, ""m""), ""4"","""")"),"")</f>
        <v/>
      </c>
      <c r="GI101" s="246" t="str">
        <f>IFERROR(__xludf.DUMMYFUNCTION("IF(REGEXMATCH(C101, ""M""), ""#4"","""")"),"#4")</f>
        <v>#4</v>
      </c>
      <c r="GJ101" s="245" t="str">
        <f>IFERROR(__xludf.DUMMYFUNCTION("IF(REGEXMATCH(C101, ""P""), ""5"","""")"),"5")</f>
        <v>5</v>
      </c>
      <c r="GK101" s="246" t="str">
        <f>IFERROR(__xludf.DUMMYFUNCTION("IF(REGEXMATCH(C101, ""d""), ""b6"","""")"),"b6")</f>
        <v>b6</v>
      </c>
      <c r="GL101" s="245" t="str">
        <f>IFERROR(__xludf.DUMMYFUNCTION("IF(REGEXMATCH(C101, ""D""), ""6"","""")"),"6")</f>
        <v>6</v>
      </c>
      <c r="GM101" s="245" t="str">
        <f>IFERROR(__xludf.DUMMYFUNCTION("IF(REGEXMATCH(C101, ""n""), ""b7"","""")"),"")</f>
        <v/>
      </c>
      <c r="GN101" s="246" t="str">
        <f>IFERROR(__xludf.DUMMYFUNCTION("IF(REGEXMATCH(C101, ""N""), ""7"","""")"),"7")</f>
        <v>7</v>
      </c>
      <c r="GO101" s="249" t="str">
        <f>IFERROR(__xludf.DUMMYFUNCTION("IF(REGEXMATCH(C101, ""S""), ""8"","""")"),"8")</f>
        <v>8</v>
      </c>
      <c r="GP101" s="244" t="str">
        <f>IFERROR(__xludf.DUMMYFUNCTION("IF(REGEXMATCH(C101, ""S""), ""S"","""")"),"S")</f>
        <v>S</v>
      </c>
      <c r="GQ101" s="294" t="str">
        <f>IFERROR(__xludf.DUMMYFUNCTION("IF(REGEXMATCH(C101, ""r""), ""R1"","""")"),"R1")</f>
        <v>R1</v>
      </c>
      <c r="GR101" s="295" t="str">
        <f>IFERROR(__xludf.DUMMYFUNCTION("IF(REGEXMATCH(C101, ""R""), ""R2"","""")"),"")</f>
        <v/>
      </c>
      <c r="GS101" s="295" t="str">
        <f>IFERROR(__xludf.DUMMYFUNCTION("IF(REGEXMATCH(C101, ""g""), ""G2"","""")"),"")</f>
        <v/>
      </c>
      <c r="GT101" s="294" t="str">
        <f>IFERROR(__xludf.DUMMYFUNCTION("IF(REGEXMATCH(C101, ""G""), ""G3"","""")"),"G3")</f>
        <v>G3</v>
      </c>
      <c r="GU101" s="294" t="str">
        <f>IFERROR(__xludf.DUMMYFUNCTION("IF(REGEXMATCH(C101, ""m""), ""M1"","""")"),"")</f>
        <v/>
      </c>
      <c r="GV101" s="295" t="str">
        <f>IFERROR(__xludf.DUMMYFUNCTION("IF(REGEXMATCH(C101, ""M""), ""M2"","""")"),"M2")</f>
        <v>M2</v>
      </c>
      <c r="GW101" s="294" t="str">
        <f>IFERROR(__xludf.DUMMYFUNCTION("IF(REGEXMATCH(C101, ""P""), ""P"","""")"),"P")</f>
        <v>P</v>
      </c>
      <c r="GX101" s="295" t="str">
        <f>IFERROR(__xludf.DUMMYFUNCTION("IF(REGEXMATCH(C101, ""d""), ""D1"","""")"),"D1")</f>
        <v>D1</v>
      </c>
      <c r="GY101" s="294" t="str">
        <f>IFERROR(__xludf.DUMMYFUNCTION("IF(REGEXMATCH(C101, ""D""), ""D2"","""")"),"D2")</f>
        <v>D2</v>
      </c>
      <c r="GZ101" s="294" t="str">
        <f>IFERROR(__xludf.DUMMYFUNCTION("IF(REGEXMATCH(C101, ""n""), ""N2"","""")"),"")</f>
        <v/>
      </c>
      <c r="HA101" s="295" t="str">
        <f>IFERROR(__xludf.DUMMYFUNCTION("IF(REGEXMATCH(C101, ""N""), ""N3"","""")"),"N3")</f>
        <v>N3</v>
      </c>
      <c r="HB101" s="249" t="str">
        <f>IFERROR(__xludf.DUMMYFUNCTION("IF(REGEXMATCH(C101, ""S""), ""S"","""")"),"S")</f>
        <v>S</v>
      </c>
      <c r="HC101" s="331" t="str">
        <f t="shared" si="95"/>
        <v>S</v>
      </c>
      <c r="HD101" s="332" t="str">
        <f t="shared" si="96"/>
        <v>r</v>
      </c>
      <c r="HE101" s="332" t="str">
        <f t="shared" si="97"/>
        <v/>
      </c>
      <c r="HF101" s="332" t="str">
        <f t="shared" si="98"/>
        <v>g</v>
      </c>
      <c r="HG101" s="332" t="str">
        <f t="shared" si="99"/>
        <v>G</v>
      </c>
      <c r="HH101" s="332" t="str">
        <f t="shared" si="100"/>
        <v>m</v>
      </c>
      <c r="HI101" s="332" t="str">
        <f t="shared" si="101"/>
        <v>M</v>
      </c>
      <c r="HJ101" s="332" t="str">
        <f t="shared" si="102"/>
        <v/>
      </c>
      <c r="HK101" s="332" t="str">
        <f t="shared" si="103"/>
        <v>d</v>
      </c>
      <c r="HL101" s="332" t="str">
        <f t="shared" si="104"/>
        <v/>
      </c>
      <c r="HM101" s="332" t="str">
        <f t="shared" si="105"/>
        <v/>
      </c>
      <c r="HN101" s="332" t="str">
        <f t="shared" si="106"/>
        <v>N</v>
      </c>
      <c r="HO101" s="343" t="str">
        <f t="shared" si="107"/>
        <v>S</v>
      </c>
      <c r="HP101" s="331" t="str">
        <f t="shared" si="108"/>
        <v>o</v>
      </c>
      <c r="HQ101" s="332" t="str">
        <f t="shared" si="109"/>
        <v>o</v>
      </c>
      <c r="HR101" s="332" t="str">
        <f t="shared" si="110"/>
        <v>•</v>
      </c>
      <c r="HS101" s="332" t="str">
        <f t="shared" si="111"/>
        <v>•</v>
      </c>
      <c r="HT101" s="332" t="str">
        <f t="shared" si="112"/>
        <v>o</v>
      </c>
      <c r="HU101" s="332" t="str">
        <f t="shared" si="113"/>
        <v>•</v>
      </c>
      <c r="HV101" s="332" t="str">
        <f t="shared" si="114"/>
        <v>o</v>
      </c>
      <c r="HW101" s="332" t="str">
        <f t="shared" si="115"/>
        <v>o</v>
      </c>
      <c r="HX101" s="332" t="str">
        <f t="shared" si="116"/>
        <v>o</v>
      </c>
      <c r="HY101" s="332" t="str">
        <f t="shared" si="117"/>
        <v>o</v>
      </c>
      <c r="HZ101" s="332" t="str">
        <f t="shared" si="118"/>
        <v>•</v>
      </c>
      <c r="IA101" s="332" t="str">
        <f t="shared" si="119"/>
        <v>o</v>
      </c>
      <c r="IB101" s="338" t="str">
        <f t="shared" si="120"/>
        <v>o</v>
      </c>
      <c r="IC101" s="331" t="str">
        <f t="shared" si="121"/>
        <v>•</v>
      </c>
      <c r="ID101" s="332" t="str">
        <f t="shared" si="122"/>
        <v>•</v>
      </c>
      <c r="IE101" s="332" t="str">
        <f t="shared" si="123"/>
        <v>o</v>
      </c>
      <c r="IF101" s="332" t="str">
        <f t="shared" si="124"/>
        <v>o</v>
      </c>
      <c r="IG101" s="332" t="str">
        <f t="shared" si="125"/>
        <v>•</v>
      </c>
      <c r="IH101" s="332" t="str">
        <f t="shared" si="126"/>
        <v>o</v>
      </c>
      <c r="II101" s="332" t="str">
        <f t="shared" si="127"/>
        <v>•</v>
      </c>
      <c r="IJ101" s="332" t="str">
        <f t="shared" si="128"/>
        <v>•</v>
      </c>
      <c r="IK101" s="332" t="str">
        <f t="shared" si="129"/>
        <v>•</v>
      </c>
      <c r="IL101" s="332" t="str">
        <f t="shared" si="130"/>
        <v>•</v>
      </c>
      <c r="IM101" s="332" t="str">
        <f t="shared" si="131"/>
        <v>o</v>
      </c>
      <c r="IN101" s="332" t="str">
        <f t="shared" si="132"/>
        <v>•</v>
      </c>
      <c r="IO101" s="338" t="str">
        <f t="shared" si="133"/>
        <v>•</v>
      </c>
      <c r="IP101" s="346" t="b">
        <f t="shared" si="134"/>
        <v>0</v>
      </c>
      <c r="IQ101" s="347" t="b">
        <f t="shared" si="135"/>
        <v>0</v>
      </c>
      <c r="IR101" s="347" t="b">
        <f t="shared" si="136"/>
        <v>0</v>
      </c>
      <c r="IS101" s="347" t="b">
        <f t="shared" si="137"/>
        <v>0</v>
      </c>
      <c r="IT101" s="347" t="b">
        <f t="shared" si="138"/>
        <v>0</v>
      </c>
      <c r="IU101" s="347" t="b">
        <f t="shared" si="139"/>
        <v>0</v>
      </c>
      <c r="IV101" s="347" t="b">
        <f t="shared" si="140"/>
        <v>0</v>
      </c>
      <c r="IW101" s="347" t="b">
        <f t="shared" si="141"/>
        <v>1</v>
      </c>
      <c r="IX101" s="347" t="b">
        <f t="shared" si="142"/>
        <v>1</v>
      </c>
      <c r="IY101" s="347" t="b">
        <f t="shared" si="143"/>
        <v>0</v>
      </c>
      <c r="IZ101" s="347" t="b">
        <f t="shared" si="144"/>
        <v>0</v>
      </c>
      <c r="JA101" s="347" t="b">
        <f t="shared" si="145"/>
        <v>0</v>
      </c>
      <c r="JB101" s="353" t="b">
        <f t="shared" si="146"/>
        <v>0</v>
      </c>
      <c r="JC101" s="354" t="str">
        <f t="shared" si="147"/>
        <v/>
      </c>
      <c r="JD101" s="355" t="str">
        <f t="shared" si="148"/>
        <v/>
      </c>
      <c r="JE101" s="355" t="str">
        <f t="shared" si="149"/>
        <v/>
      </c>
      <c r="JF101" s="355" t="str">
        <f t="shared" si="150"/>
        <v/>
      </c>
      <c r="JG101" s="355" t="str">
        <f t="shared" si="151"/>
        <v/>
      </c>
      <c r="JH101" s="355" t="str">
        <f t="shared" si="152"/>
        <v/>
      </c>
      <c r="JI101" s="355" t="str">
        <f t="shared" si="153"/>
        <v/>
      </c>
      <c r="JJ101" s="355" t="str">
        <f t="shared" si="154"/>
        <v>Pa, </v>
      </c>
      <c r="JK101" s="355" t="str">
        <f t="shared" si="155"/>
        <v>dha, </v>
      </c>
      <c r="JL101" s="355" t="str">
        <f t="shared" si="156"/>
        <v/>
      </c>
      <c r="JM101" s="355" t="str">
        <f t="shared" si="157"/>
        <v/>
      </c>
      <c r="JN101" s="355" t="str">
        <f t="shared" si="158"/>
        <v/>
      </c>
      <c r="JO101" s="359" t="str">
        <f t="shared" si="159"/>
        <v/>
      </c>
      <c r="JP101" s="346" t="b">
        <f t="shared" si="160"/>
        <v>0</v>
      </c>
      <c r="JQ101" s="347" t="b">
        <f t="shared" si="161"/>
        <v>0</v>
      </c>
      <c r="JR101" s="347" t="b">
        <f t="shared" si="162"/>
        <v>0</v>
      </c>
      <c r="JS101" s="347" t="b">
        <f t="shared" si="163"/>
        <v>0</v>
      </c>
      <c r="JT101" s="347" t="b">
        <f t="shared" si="164"/>
        <v>0</v>
      </c>
      <c r="JU101" s="347" t="b">
        <f t="shared" si="165"/>
        <v>0</v>
      </c>
      <c r="JV101" s="347" t="b">
        <f t="shared" si="166"/>
        <v>0</v>
      </c>
      <c r="JW101" s="347" t="b">
        <f t="shared" si="167"/>
        <v>0</v>
      </c>
      <c r="JX101" s="347" t="b">
        <f t="shared" si="168"/>
        <v>0</v>
      </c>
      <c r="JY101" s="347" t="b">
        <f t="shared" si="169"/>
        <v>0</v>
      </c>
      <c r="JZ101" s="347" t="b">
        <f t="shared" si="170"/>
        <v>0</v>
      </c>
      <c r="KA101" s="347" t="b">
        <f t="shared" si="171"/>
        <v>0</v>
      </c>
      <c r="KB101" s="365" t="b">
        <f t="shared" si="172"/>
        <v>0</v>
      </c>
      <c r="KC101" s="354" t="str">
        <f t="shared" si="173"/>
        <v/>
      </c>
      <c r="KD101" s="355" t="str">
        <f t="shared" si="174"/>
        <v/>
      </c>
      <c r="KE101" s="355" t="str">
        <f t="shared" si="175"/>
        <v/>
      </c>
      <c r="KF101" s="355" t="str">
        <f t="shared" si="176"/>
        <v/>
      </c>
      <c r="KG101" s="355" t="str">
        <f t="shared" si="177"/>
        <v/>
      </c>
      <c r="KH101" s="355" t="str">
        <f t="shared" si="178"/>
        <v/>
      </c>
      <c r="KI101" s="355" t="str">
        <f t="shared" si="179"/>
        <v/>
      </c>
      <c r="KJ101" s="355" t="str">
        <f t="shared" si="180"/>
        <v/>
      </c>
      <c r="KK101" s="355" t="str">
        <f t="shared" si="181"/>
        <v/>
      </c>
      <c r="KL101" s="355" t="str">
        <f t="shared" si="182"/>
        <v/>
      </c>
      <c r="KM101" s="355" t="str">
        <f t="shared" si="183"/>
        <v/>
      </c>
      <c r="KN101" s="355" t="str">
        <f t="shared" si="184"/>
        <v/>
      </c>
      <c r="KO101" s="359"/>
      <c r="KP101" s="378"/>
      <c r="KQ101" s="379" t="s">
        <v>9</v>
      </c>
      <c r="KR101" s="380" t="s">
        <v>9</v>
      </c>
      <c r="KS101" s="381" t="s">
        <v>9</v>
      </c>
      <c r="KT101" s="382">
        <f t="shared" si="186"/>
        <v>0</v>
      </c>
      <c r="KU101" s="383">
        <f t="shared" si="187"/>
        <v>0</v>
      </c>
      <c r="KV101" s="381" t="str">
        <f t="shared" si="205"/>
        <v>S</v>
      </c>
      <c r="KW101" s="382">
        <f t="shared" si="189"/>
        <v>0</v>
      </c>
      <c r="KX101" s="384">
        <f t="shared" si="190"/>
        <v>0</v>
      </c>
      <c r="KY101" s="382">
        <f t="shared" ref="KY101:KZ101" si="403">KW101-KT101</f>
        <v>0</v>
      </c>
      <c r="KZ101" s="369">
        <f t="shared" si="403"/>
        <v>0</v>
      </c>
      <c r="LA101" s="385" t="str">
        <f t="shared" si="192"/>
        <v>✔</v>
      </c>
      <c r="LB101" s="340" t="str">
        <f>IFERROR(__xludf.DUMMYFUNCTION("JOIN("""",ArrayFormula(MID(KS101,LEN(KS101)-SEQUENCE(1,LEN(KS101))+1,1)))"),"S")</f>
        <v>S</v>
      </c>
      <c r="LC101" s="373" t="str">
        <f>IFERROR(__xludf.DUMMYFUNCTION("JOIN("""",ArrayFormula(MID(KV101,LEN(KV101)-SEQUENCE(1,LEN(KV101))+1,1)))"),"S")</f>
        <v>S</v>
      </c>
      <c r="LD101" s="373" t="str">
        <f t="shared" si="193"/>
        <v>S</v>
      </c>
      <c r="LE101" s="339" t="str">
        <f t="shared" si="194"/>
        <v>S</v>
      </c>
      <c r="LF101" s="386" t="str">
        <f>IFERROR(__xludf.DUMMYFUNCTION("SUBSTITUTE(SUBSTITUTE(CONCATENATE(JOIN("""",LH101:LT101)),""1"",""""),""2"","""")"),"SS")</f>
        <v>SS</v>
      </c>
      <c r="LG101" s="369" t="str">
        <f t="shared" si="195"/>
        <v>-</v>
      </c>
      <c r="LH101" s="387" t="str">
        <f>IFERROR(__xludf.DUMMYFUNCTION("IF(REGEXMATCH(LD101, ""S""), ""S"",IF(REGEXMATCH(LE101, ""S""), ""S"",""""))"),"S")</f>
        <v>S</v>
      </c>
      <c r="LI101" s="299" t="str">
        <f>IFERROR(__xludf.DUMMYFUNCTION("IF(REGEXMATCH(LD101, ""r""), ""r1"",IF(REGEXMATCH(LE101, ""r""), ""r2"",""""))"),"")</f>
        <v/>
      </c>
      <c r="LJ101" s="299" t="str">
        <f>IFERROR(__xludf.DUMMYFUNCTION("IF(REGEXMATCH(LD101, ""R""), ""R1"",IF(REGEXMATCH(LE101, ""R""), ""R2"",""""))"),"")</f>
        <v/>
      </c>
      <c r="LK101" s="299" t="str">
        <f>IFERROR(__xludf.DUMMYFUNCTION("IF(REGEXMATCH(LD101, ""g""), ""g1"",IF(REGEXMATCH(LE101, ""g""), ""g2"",""""))"),"")</f>
        <v/>
      </c>
      <c r="LL101" s="299" t="str">
        <f>IFERROR(__xludf.DUMMYFUNCTION("IF(REGEXMATCH(LD101, ""G""), ""G1"",IF(REGEXMATCH(LE101, ""G""), ""G2"",""""))"),"")</f>
        <v/>
      </c>
      <c r="LM101" s="299" t="str">
        <f>IFERROR(__xludf.DUMMYFUNCTION("IF(REGEXMATCH(LD101, ""m""), ""m1"",IF(REGEXMATCH(LE101, ""m""), ""m2"",""""))"),"")</f>
        <v/>
      </c>
      <c r="LN101" s="299" t="str">
        <f>IFERROR(__xludf.DUMMYFUNCTION("IF(REGEXMATCH(LD101, ""M""), ""M1"",IF(REGEXMATCH(LE101, ""M""), ""M2"",""""))"),"")</f>
        <v/>
      </c>
      <c r="LO101" s="299" t="str">
        <f>IFERROR(__xludf.DUMMYFUNCTION("IF(REGEXMATCH(LD101, ""P""), ""P1"",IF(REGEXMATCH(LE101, ""P""), ""P2"",""""))"),"")</f>
        <v/>
      </c>
      <c r="LP101" s="299" t="str">
        <f>IFERROR(__xludf.DUMMYFUNCTION("IF(REGEXMATCH(LD101, ""d""), ""d1"",IF(REGEXMATCH(LE101, ""d""), ""d2"",""""))"),"")</f>
        <v/>
      </c>
      <c r="LQ101" s="299" t="str">
        <f>IFERROR(__xludf.DUMMYFUNCTION("IF(REGEXMATCH(LD101, ""D""), ""D1"",IF(REGEXMATCH(LE101, ""D""), ""D2"",""""))"),"")</f>
        <v/>
      </c>
      <c r="LR101" s="299" t="str">
        <f>IFERROR(__xludf.DUMMYFUNCTION("IF(REGEXMATCH(LD101, ""n""), ""n1"",IF(REGEXMATCH(LE101, ""n""), ""n2"",""""))"),"")</f>
        <v/>
      </c>
      <c r="LS101" s="299" t="str">
        <f>IFERROR(__xludf.DUMMYFUNCTION("IF(REGEXMATCH(LD101, ""N""), ""N1"",IF(REGEXMATCH(LE101, ""N""), ""N2"",""""))"),"")</f>
        <v/>
      </c>
      <c r="LT101" s="388" t="str">
        <f>IFERROR(__xludf.DUMMYFUNCTION("IF(REGEXMATCH(LD101, ""S""), ""S"",IF(REGEXMATCH(LE101, ""S""), ""S"",""""))"),"S")</f>
        <v>S</v>
      </c>
      <c r="LU101" s="389">
        <f t="shared" si="196"/>
        <v>1</v>
      </c>
      <c r="LV101" s="378"/>
      <c r="LW101" s="369"/>
      <c r="LX101" s="369"/>
    </row>
    <row r="102" ht="18.0" customHeight="1">
      <c r="A102" s="298" t="s">
        <v>1382</v>
      </c>
      <c r="B102" s="222" t="s">
        <v>527</v>
      </c>
      <c r="C102" s="233" t="str">
        <f t="shared" si="7"/>
        <v>SRgmPDnNS</v>
      </c>
      <c r="D102" s="234" t="str">
        <f>IFERROR(__xludf.DUMMYFUNCTION("IF(REGEXMATCH(C102, ""S""), ""S"","""")"),"S")</f>
        <v>S</v>
      </c>
      <c r="E102" s="236" t="str">
        <f>IFERROR(__xludf.DUMMYFUNCTION("IF(REGEXMATCH(C102, ""r""), ""r"","""")"),"")</f>
        <v/>
      </c>
      <c r="F102" s="237" t="str">
        <f>IFERROR(__xludf.DUMMYFUNCTION("IF(REGEXMATCH(C102, ""R""), ""R"","""")"),"R")</f>
        <v>R</v>
      </c>
      <c r="G102" s="237" t="str">
        <f>IFERROR(__xludf.DUMMYFUNCTION("IF(REGEXMATCH(C102, ""g""), ""g"","""")"),"g")</f>
        <v>g</v>
      </c>
      <c r="H102" s="236" t="str">
        <f>IFERROR(__xludf.DUMMYFUNCTION("IF(REGEXMATCH(C102, ""G""), ""G"","""")"),"")</f>
        <v/>
      </c>
      <c r="I102" s="236" t="str">
        <f>IFERROR(__xludf.DUMMYFUNCTION("IF(REGEXMATCH(C102, ""m""), ""m"","""")"),"m")</f>
        <v>m</v>
      </c>
      <c r="J102" s="237" t="str">
        <f>IFERROR(__xludf.DUMMYFUNCTION("IF(REGEXMATCH(C102, ""M""), ""M"","""")"),"")</f>
        <v/>
      </c>
      <c r="K102" s="236" t="str">
        <f>IFERROR(__xludf.DUMMYFUNCTION("IF(REGEXMATCH(C102, ""P""), ""P"","""")"),"P")</f>
        <v>P</v>
      </c>
      <c r="L102" s="237" t="str">
        <f>IFERROR(__xludf.DUMMYFUNCTION("IF(REGEXMATCH(C102, ""d""), ""d"","""")"),"")</f>
        <v/>
      </c>
      <c r="M102" s="236" t="str">
        <f>IFERROR(__xludf.DUMMYFUNCTION("IF(REGEXMATCH(C102, ""D""), ""D"","""")"),"D")</f>
        <v>D</v>
      </c>
      <c r="N102" s="236" t="str">
        <f>IFERROR(__xludf.DUMMYFUNCTION("IF(REGEXMATCH(C102, ""n""), ""n"","""")"),"n")</f>
        <v>n</v>
      </c>
      <c r="O102" s="237" t="str">
        <f>IFERROR(__xludf.DUMMYFUNCTION("IF(REGEXMATCH(C102, ""N""), ""N"","""")"),"N")</f>
        <v>N</v>
      </c>
      <c r="P102" s="238" t="str">
        <f>IFERROR(__xludf.DUMMYFUNCTION("IF(REGEXMATCH(C102, ""S""), ""S"","""")"),"S")</f>
        <v>S</v>
      </c>
      <c r="Q102" s="239" t="str">
        <f>IFERROR(__xludf.DUMMYFUNCTION("SUBSTITUTE(CONCATENATE(JOIN(""-"",D102:J102)),""-"","""")"),"SRgm")</f>
        <v>SRgm</v>
      </c>
      <c r="R102" s="229" t="str">
        <f>IFERROR(__xludf.DUMMYFUNCTION("SUBSTITUTE(CONCATENATE(JOIN(""-"",K102:P102)),""-"","""")"),"PDnNS")</f>
        <v>PDnNS</v>
      </c>
      <c r="S102" s="282" t="str">
        <f t="shared" si="8"/>
        <v>S-R-G-M</v>
      </c>
      <c r="T102" s="282" t="str">
        <f t="shared" si="9"/>
        <v>P-D-N-S</v>
      </c>
      <c r="U102" s="237" t="str">
        <f>IFERROR(__xludf.DUMMYFUNCTION("SUBSTITUTE(JOIN(""-"",S102,T102),""--"",""-"")"),"S-R-G-M-P-D-N-S")</f>
        <v>S-R-G-M-P-D-N-S</v>
      </c>
      <c r="V102" s="309" t="str">
        <f t="shared" si="10"/>
        <v>RgmDnN</v>
      </c>
      <c r="W102" s="244" t="str">
        <f>IFERROR(__xludf.DUMMYFUNCTION("IF(REGEXMATCH(C102, ""S""), ""0"","""")"),"0")</f>
        <v>0</v>
      </c>
      <c r="X102" s="245" t="str">
        <f>IFERROR(__xludf.DUMMYFUNCTION("IF(REGEXMATCH(C102, ""r""), ""1"","""")"),"")</f>
        <v/>
      </c>
      <c r="Y102" s="246" t="str">
        <f>IFERROR(__xludf.DUMMYFUNCTION("IF(REGEXMATCH(C102, ""R""), ""2"","""")"),"2")</f>
        <v>2</v>
      </c>
      <c r="Z102" s="246" t="str">
        <f>IFERROR(__xludf.DUMMYFUNCTION("IF(REGEXMATCH(C102, ""g""), ""3"","""")"),"3")</f>
        <v>3</v>
      </c>
      <c r="AA102" s="245" t="str">
        <f>IFERROR(__xludf.DUMMYFUNCTION("IF(REGEXMATCH(C102, ""G""), ""4"","""")"),"")</f>
        <v/>
      </c>
      <c r="AB102" s="245" t="str">
        <f>IFERROR(__xludf.DUMMYFUNCTION("IF(REGEXMATCH(C102, ""m""), ""5"","""")"),"5")</f>
        <v>5</v>
      </c>
      <c r="AC102" s="246" t="str">
        <f>IFERROR(__xludf.DUMMYFUNCTION("IF(REGEXMATCH(C102, ""M""), ""6"","""")"),"")</f>
        <v/>
      </c>
      <c r="AD102" s="245" t="str">
        <f>IFERROR(__xludf.DUMMYFUNCTION("IF(REGEXMATCH(C102, ""P""), ""7"","""")"),"7")</f>
        <v>7</v>
      </c>
      <c r="AE102" s="246" t="str">
        <f>IFERROR(__xludf.DUMMYFUNCTION("IF(REGEXMATCH(C102, ""d""), ""8"","""")"),"")</f>
        <v/>
      </c>
      <c r="AF102" s="245" t="str">
        <f>IFERROR(__xludf.DUMMYFUNCTION("IF(REGEXMATCH(C102, ""D""), ""9"","""")"),"9")</f>
        <v>9</v>
      </c>
      <c r="AG102" s="245" t="str">
        <f>IFERROR(__xludf.DUMMYFUNCTION("IF(REGEXMATCH(C102, ""n""), ""10"","""")"),"10")</f>
        <v>10</v>
      </c>
      <c r="AH102" s="246" t="str">
        <f>IFERROR(__xludf.DUMMYFUNCTION("IF(REGEXMATCH(C102, ""N""), ""11"","""")"),"11")</f>
        <v>11</v>
      </c>
      <c r="AI102" s="249" t="str">
        <f>IFERROR(__xludf.DUMMYFUNCTION("IF(REGEXMATCH(C102, ""S""), ""0"","""")"),"0")</f>
        <v>0</v>
      </c>
      <c r="AJ102" s="313" t="str">
        <f t="shared" si="11"/>
        <v>-</v>
      </c>
      <c r="AK102" s="313" t="str">
        <f t="shared" si="12"/>
        <v>-</v>
      </c>
      <c r="AL102" s="313" t="str">
        <f t="shared" si="13"/>
        <v>-</v>
      </c>
      <c r="AM102" s="313" t="str">
        <f t="shared" si="14"/>
        <v>T</v>
      </c>
      <c r="AN102" s="313" t="str">
        <f t="shared" si="15"/>
        <v>-</v>
      </c>
      <c r="AO102" s="314" t="str">
        <f t="shared" si="16"/>
        <v>T</v>
      </c>
      <c r="AP102" s="316">
        <f t="shared" si="17"/>
        <v>2</v>
      </c>
      <c r="AQ102" s="319" t="str">
        <f t="shared" si="18"/>
        <v>#REF!</v>
      </c>
      <c r="AR102" s="320">
        <f t="shared" si="19"/>
        <v>0</v>
      </c>
      <c r="AS102" s="250" t="str">
        <f>IFERROR(__xludf.DUMMYFUNCTION("SUBSTITUTE(SUBSTITUTE(CONCATENATE(JOIN("""",FP102:GA102)),""|"",""x""),""-"",""o"")"),"xoxxoxoxoxxx")</f>
        <v>xoxxoxoxoxxx</v>
      </c>
      <c r="AT102" s="323" t="str">
        <f>IFERROR(__xludf.DUMMYFUNCTION("JOIN("""",AS102,AS102)"),"xoxxoxoxoxxxxoxxoxoxoxxx")</f>
        <v>xoxxoxoxoxxxxoxxoxoxoxxx</v>
      </c>
      <c r="AU102" s="256" t="str">
        <f>IFERROR(__xludf.DUMMYFUNCTION("JOIN("""",ArrayFormula(MID(AS102,LEN(AS102)-SEQUENCE(1,LEN(AS102))+1,1)))"),"xxxoxoxoxxox")</f>
        <v>xxxoxoxoxxox</v>
      </c>
      <c r="AV102" s="256" t="str">
        <f>IFERROR(__xludf.DUMMYFUNCTION("LEFT(CONCATENATE(""x"",JOIN("""",ArrayFormula(MID(AS102,LEN(AS102)-SEQUENCE(1,LEN(AS102))+1,1)))),12)"),"xxxxoxoxoxxo")</f>
        <v>xxxxoxoxoxxo</v>
      </c>
      <c r="AW102" s="327" t="str">
        <f>IFERROR(__xludf.DUMMYFUNCTION("JOIN("""",AU102,AU102)"),"xxxoxoxoxxoxxxxoxoxoxxox")</f>
        <v>xxxoxoxoxxoxxxxoxoxoxxox</v>
      </c>
      <c r="AX102" s="239" t="str">
        <f>IFERROR(__xludf.DUMMYFUNCTION("IF(REGEXMATCH(AW102,AS102),""✔"",""-"")"),"-")</f>
        <v>-</v>
      </c>
      <c r="AY102" s="330" t="str">
        <f t="shared" si="20"/>
        <v>-</v>
      </c>
      <c r="AZ102" s="260" t="str">
        <f t="shared" si="21"/>
        <v>#REF!</v>
      </c>
      <c r="BA102" s="333" t="str">
        <f t="shared" si="22"/>
        <v>xoxxoxo</v>
      </c>
      <c r="BB102" s="334" t="str">
        <f t="shared" si="23"/>
        <v>xoxxxx</v>
      </c>
      <c r="BC102" s="335" t="str">
        <f t="shared" si="236"/>
        <v>-</v>
      </c>
      <c r="BD102" s="336" t="str">
        <f t="shared" si="25"/>
        <v>Dhuliya Malhar: 'xoxxoxo' + 'xoxxxx'</v>
      </c>
      <c r="BE102" s="337">
        <f>IFERROR(__xludf.DUMMYFUNCTION("COUNTUNIQUE(FILTER(AT:AT,REGEXMATCH(AT:AT,AS102)))-1"),3.0)</f>
        <v>3</v>
      </c>
      <c r="BF102" s="261" t="str">
        <f>IFERROR(__xludf.DUMMYFUNCTION("IF(BI102=0,""(n/a)"",IF(BJ102=2,""(PAIR)"",IF(REGEXMATCH(AT102,""xoxoxxoxoxox""),""Bilawal"",IF(REGEXMATCH(AT102,""xoxoxooxoxoo""),""Bhupali"",IF(REGEXMATCH(AT102,""xoxoxxoxxoxo""),""Charukeshi"",IF(REGEXMATCH(AT102,""xoxoooxxoxxo""),""Kameshwari"",IF(REG"&amp;"EXMATCH(AT102,""xoxoxooxoxox""),""Shankara"",IF(REGEXMATCH(AT102,""xxooxoxxxoox""),""Basant"",IF(REGEXMATCH(AT102,""xoxoxxxxoxox""),""Bihag"",IF(REGEXMATCH(AT102,""xoxxxxoxoxxx""),""Pilu"",IF(REGEXMATCH(AT102,""xoxxoxoxxoox""),""Kirwani"",IF(REGEXMATCH(AT"&amp;"102,""xoxxoxoxoxxx""),""Mk.Malhar"",IF(REGEXMATCH(AT102,""xxooxxoxxoox""),""Bhairav"",IF(REGEXMATCH(AT102,""xxoxooxxxoox""),""Todi"",IF(REGEXMATCH(AT102,""xxooxoxooxox""),""Marwa"",IF(REGEXMATCH(AT102,""xxoooxoxxooo""),""Gunkali"",IF(REGEXMATCH(AT102,""xo"&amp;"xoxxoxxoox""),""Nat Bhairav"",IF(REGEXMATCH(AT102,""xoxxoooxoxoo""),""Shivranjani"",IF(REGEXMATCH(AT102,""xooxxxoxooxo""),""Jog"",IF(REGEXMATCH(AT102,""xxooxoxoxoox""),""Hemshri"",IF(REGEXMATCH(AT102,""xoooxooxoxxo""),""Kalavati"",IF(REGEXMATCH(AT102,""xx"&amp;"oxoxxoxoox""),""Kedar"",IF(REGEXMATCH(AT102,""xoxxxxoxooxx""),""Gara"",IF(REGEXMATCH(AT102,""xooxoxooxoox""),""Chandrakauns"",IF(REGEXMATCH(AT102,""xoxxxxoxxxox""),""Mand"",IF(REGEXMATCH(AT102,""xoxxxxoxoxox""),""Hanskinkini"",IF(REGEXMATCH(AT102,""xxooxx"&amp;"oxooxo""),""Lilavati"",IF(REGEXMATCH(AT102,""xooxoxoooxox""),""Rajeshwari"",IF(REGEXMATCH(AT102,""xoooxxoxoxxx""),""Khokar"",IF(REGEXMATCH(AT102,""xxooxoxxxxox""),""Maligoura"",""-""))))))))))))))))))))))))))))))"),"Mk.Malhar")</f>
        <v>Mk.Malhar</v>
      </c>
      <c r="BG102" s="239" t="str">
        <f t="shared" si="26"/>
        <v>#REF!</v>
      </c>
      <c r="BH102" s="239">
        <f>IFERROR(__xludf.DUMMYFUNCTION("COUNTUNIQUE(FE102:FO102)-1"),7.0)</f>
        <v>7</v>
      </c>
      <c r="BI102" s="239">
        <f>IFERROR(__xludf.DUMMYFUNCTION("COUNTUNIQUE(FILTER(AT:AT,REGEXMATCH(AT:AT,AS102)))-1"),3.0)</f>
        <v>3</v>
      </c>
      <c r="BJ102" s="239">
        <f>IFERROR(__xludf.DUMMYFUNCTION("COUNTA(FILTER(AT:AT,REGEXMATCH(AT:AT,AS102)))"),16.0)</f>
        <v>16</v>
      </c>
      <c r="BK102" s="341">
        <f>IFERROR(__xludf.DUMMYFUNCTION("COUNTA(FILTER(AT:AT,REGEXMATCH(AT:AT,AS102)))-AR102"),16.0)</f>
        <v>16</v>
      </c>
      <c r="BL102" s="276" t="str">
        <f>IFERROR(__xludf.DUMMYFUNCTION("IF(AS102=""oooooooooooo"",""-"",IF(REGEXMATCH(AT102,""xx""), ""Hemi."", ""Anhemi.""))"),"Hemi.")</f>
        <v>Hemi.</v>
      </c>
      <c r="BM102" s="282" t="str">
        <f>IFERROR(__xludf.DUMMYFUNCTION("IF(AS102=""oooooooooooo"",""-"",IF(REGEXMATCH(AT102,""xxx""), ""Cohem."", ""-""))"),"Cohem.")</f>
        <v>Cohem.</v>
      </c>
      <c r="BN102" s="282" t="str">
        <f>IFERROR(__xludf.DUMMYFUNCTION("IF(AS102=""oooooooooooo"",""-"",IF(REGEXMATCH(AT102,""xxxx""), ""Co-Co."", ""-""))"),"Co-Co.")</f>
        <v>Co-Co.</v>
      </c>
      <c r="BO102" s="342" t="str">
        <f>IFERROR(__xludf.DUMMYFUNCTION("IF(AS102=""oooooooooooo"",""-"",IF(REGEXMATCH(AT102,""xxxxx""), ""CCC."", ""-""))"),"-")</f>
        <v>-</v>
      </c>
      <c r="BP102" s="344" t="str">
        <f t="shared" si="27"/>
        <v>-</v>
      </c>
      <c r="BQ102" s="282" t="str">
        <f>IFERROR(__xludf.DUMMYFUNCTION("IF(REGEXMATCH(JOIN(""-"",EU102:FD102),""TRUE""),""✔"",""-"")"),"-")</f>
        <v>-</v>
      </c>
      <c r="BR102" s="225">
        <f t="shared" si="28"/>
        <v>0</v>
      </c>
      <c r="BS102" s="345" t="str">
        <f>IFERROR(__xludf.DUMMYFUNCTION("SUBSTITUTE(SUBSTITUTE(SUBSTITUTE(SUBSTITUTE(CONCATENATE(JOIN(""-"",GC102:GO102)),""--"",""-""),""--"",""-""),""--"",""-""),""--"",""-"")"),"1-2-b3-4-5-6-b7-7-8")</f>
        <v>1-2-b3-4-5-6-b7-7-8</v>
      </c>
      <c r="BT102" s="299" t="str">
        <f>IFERROR(__xludf.DUMMYFUNCTION("SUBSTITUTE(SUBSTITUTE(SUBSTITUTE(SUBSTITUTE(CONCATENATE(JOIN(""-"",GP102:HB102)),""--"",""-""),""--"",""-""),""--"",""-""),""--"",""-"")"),"S-R2-G2-M1-P-D2-N2-N3-S")</f>
        <v>S-R2-G2-M1-P-D2-N2-N3-S</v>
      </c>
      <c r="BU102" s="348" t="str">
        <f t="shared" si="29"/>
        <v>C-D-Eb-F-G-A-Bb-B-C</v>
      </c>
      <c r="BV102" s="349" t="str">
        <f t="shared" si="30"/>
        <v>SrGMdS</v>
      </c>
      <c r="BW102" s="350">
        <f t="shared" si="31"/>
        <v>0</v>
      </c>
      <c r="BX102" s="351">
        <f t="shared" si="32"/>
        <v>11</v>
      </c>
      <c r="BY102" s="392"/>
      <c r="BZ102" s="309" t="str">
        <f>IFERROR(__xludf.DUMMYFUNCTION("IF(REGEXMATCH(C102, ""S""), ""x"",""x"")"),"x")</f>
        <v>x</v>
      </c>
      <c r="CA102" s="245" t="str">
        <f>IFERROR(__xludf.DUMMYFUNCTION("IF(REGEXMATCH(C102, ""r""), ""o"",""x"")"),"x")</f>
        <v>x</v>
      </c>
      <c r="CB102" s="246" t="str">
        <f>IFERROR(__xludf.DUMMYFUNCTION("IF(REGEXMATCH(C102, ""R""), ""o"",""x"")"),"o")</f>
        <v>o</v>
      </c>
      <c r="CC102" s="246" t="str">
        <f>IFERROR(__xludf.DUMMYFUNCTION("IF(REGEXMATCH(C102, ""g""), ""o"",""x"")"),"o")</f>
        <v>o</v>
      </c>
      <c r="CD102" s="245" t="str">
        <f>IFERROR(__xludf.DUMMYFUNCTION("IF(REGEXMATCH(C102, ""G""), ""o"",""x"")"),"x")</f>
        <v>x</v>
      </c>
      <c r="CE102" s="245" t="str">
        <f>IFERROR(__xludf.DUMMYFUNCTION("IF(REGEXMATCH(C102, ""m""), ""o"",""x"")"),"o")</f>
        <v>o</v>
      </c>
      <c r="CF102" s="246" t="str">
        <f>IFERROR(__xludf.DUMMYFUNCTION("IF(REGEXMATCH(C102, ""M""), ""o"",""x"")"),"x")</f>
        <v>x</v>
      </c>
      <c r="CG102" s="245" t="str">
        <f>IFERROR(__xludf.DUMMYFUNCTION("IF(REGEXMATCH(C102, ""P""), ""o"",""x"")"),"o")</f>
        <v>o</v>
      </c>
      <c r="CH102" s="246" t="str">
        <f>IFERROR(__xludf.DUMMYFUNCTION("IF(REGEXMATCH(C102, ""d""), ""o"",""x"")"),"x")</f>
        <v>x</v>
      </c>
      <c r="CI102" s="245" t="str">
        <f>IFERROR(__xludf.DUMMYFUNCTION("IF(REGEXMATCH(C102, ""D""), ""o"",""x"")"),"o")</f>
        <v>o</v>
      </c>
      <c r="CJ102" s="245" t="str">
        <f>IFERROR(__xludf.DUMMYFUNCTION("IF(REGEXMATCH(C102, ""n""), ""o"",""x"")"),"o")</f>
        <v>o</v>
      </c>
      <c r="CK102" s="245" t="str">
        <f>IFERROR(__xludf.DUMMYFUNCTION("IF(REGEXMATCH(C102, ""N""), ""o"",""x"")"),"o")</f>
        <v>o</v>
      </c>
      <c r="CL102" s="356" t="str">
        <f>IFERROR(__xludf.DUMMYFUNCTION("IF(REGEXMATCH(C102, ""S""), ""x"",""x"")"),"x")</f>
        <v>x</v>
      </c>
      <c r="CM102" s="357" t="str">
        <f t="shared" si="33"/>
        <v>xxooxoxoxooo</v>
      </c>
      <c r="CN102" s="358">
        <f t="shared" si="34"/>
        <v>0</v>
      </c>
      <c r="CO102" s="246" t="str">
        <f>IFERROR(__xludf.DUMMYFUNCTION("IF(REGEXMATCH($C102, ""S""), ""S"",""S"")"),"S")</f>
        <v>S</v>
      </c>
      <c r="CP102" s="246" t="str">
        <f>IFERROR(__xludf.DUMMYFUNCTION("IF(REGEXMATCH($C102, ""r""), """",""r"")"),"r")</f>
        <v>r</v>
      </c>
      <c r="CQ102" s="246" t="str">
        <f>IFERROR(__xludf.DUMMYFUNCTION("IF(REGEXMATCH($C102, ""R""), """",""R"")"),"")</f>
        <v/>
      </c>
      <c r="CR102" s="246" t="str">
        <f>IFERROR(__xludf.DUMMYFUNCTION("IF(REGEXMATCH($C102, ""g""), """",""g"")"),"")</f>
        <v/>
      </c>
      <c r="CS102" s="246" t="str">
        <f>IFERROR(__xludf.DUMMYFUNCTION("IF(REGEXMATCH($C102, ""G""), """",""G"")"),"G")</f>
        <v>G</v>
      </c>
      <c r="CT102" s="246" t="str">
        <f>IFERROR(__xludf.DUMMYFUNCTION("IF(REGEXMATCH($C102, ""m""), """",""m"")"),"")</f>
        <v/>
      </c>
      <c r="CU102" s="246" t="str">
        <f>IFERROR(__xludf.DUMMYFUNCTION("IF(REGEXMATCH($C102, ""M""), """",""M"")"),"M")</f>
        <v>M</v>
      </c>
      <c r="CV102" s="246" t="str">
        <f>IFERROR(__xludf.DUMMYFUNCTION("IF(REGEXMATCH($C102, ""P""), """",""P"")"),"")</f>
        <v/>
      </c>
      <c r="CW102" s="246" t="str">
        <f>IFERROR(__xludf.DUMMYFUNCTION("IF(REGEXMATCH($C102, ""d""), """",""d"")"),"d")</f>
        <v>d</v>
      </c>
      <c r="CX102" s="246" t="str">
        <f>IFERROR(__xludf.DUMMYFUNCTION("IF(REGEXMATCH($C102, ""D""), """",""D"")"),"")</f>
        <v/>
      </c>
      <c r="CY102" s="246" t="str">
        <f>IFERROR(__xludf.DUMMYFUNCTION("IF(REGEXMATCH($C102, ""n""), """",""n"")"),"")</f>
        <v/>
      </c>
      <c r="CZ102" s="246" t="str">
        <f>IFERROR(__xludf.DUMMYFUNCTION("IF(REGEXMATCH($C102, ""N""), """",""N"")"),"")</f>
        <v/>
      </c>
      <c r="DA102" s="246" t="str">
        <f>IFERROR(__xludf.DUMMYFUNCTION("IF(REGEXMATCH($C102, ""S""), ""S"",""S"")"),"S")</f>
        <v>S</v>
      </c>
      <c r="DB102" s="362" t="str">
        <f>IFERROR(__xludf.DUMMYFUNCTION("JOIN("""",CO102:DA102,"""","""")"),"SrGMdS")</f>
        <v>SrGMdS</v>
      </c>
      <c r="DC102" s="363"/>
      <c r="DD102" s="301" t="str">
        <f t="shared" si="35"/>
        <v>#REF!</v>
      </c>
      <c r="DE102" s="302" t="str">
        <f t="shared" si="36"/>
        <v>#REF!</v>
      </c>
      <c r="DF102" s="301" t="str">
        <f t="shared" ref="DF102:DG102" si="404">SUBSTITUTE(S102,"-","")</f>
        <v>SRGM</v>
      </c>
      <c r="DG102" s="301" t="str">
        <f t="shared" si="404"/>
        <v>PDNS</v>
      </c>
      <c r="DH102" s="302" t="str">
        <f t="shared" si="38"/>
        <v>Mk.Malhar</v>
      </c>
      <c r="DI102" s="301" t="str">
        <f t="shared" si="39"/>
        <v>Hemi.</v>
      </c>
      <c r="DJ102" s="364" t="str">
        <f t="shared" si="40"/>
        <v>Co-Co.</v>
      </c>
      <c r="DK102" s="306" t="str">
        <f t="shared" si="41"/>
        <v>-</v>
      </c>
      <c r="DL102" s="366" t="str">
        <f t="shared" si="42"/>
        <v>-</v>
      </c>
      <c r="DM102" s="308" t="str">
        <f t="shared" si="43"/>
        <v>✔</v>
      </c>
      <c r="DN102" s="306" t="str">
        <f t="shared" si="44"/>
        <v>-</v>
      </c>
      <c r="DO102" s="306" t="str">
        <f t="shared" si="45"/>
        <v>-</v>
      </c>
      <c r="DP102" s="367" t="str">
        <f t="shared" si="46"/>
        <v>-</v>
      </c>
      <c r="DQ102" s="310" t="str">
        <f t="shared" si="47"/>
        <v>-</v>
      </c>
      <c r="DR102" s="310" t="str">
        <f t="shared" si="48"/>
        <v>-</v>
      </c>
      <c r="DS102" s="310" t="str">
        <f t="shared" si="49"/>
        <v>-</v>
      </c>
      <c r="DT102" s="310" t="str">
        <f t="shared" si="50"/>
        <v>-</v>
      </c>
      <c r="DU102" s="370" t="str">
        <f t="shared" si="51"/>
        <v>✔</v>
      </c>
      <c r="DV102" s="306" t="str">
        <f t="shared" si="52"/>
        <v>-</v>
      </c>
      <c r="DW102" s="306" t="str">
        <f t="shared" si="53"/>
        <v>-</v>
      </c>
      <c r="DX102" s="306" t="str">
        <f t="shared" si="54"/>
        <v>-</v>
      </c>
      <c r="DY102" s="306" t="str">
        <f t="shared" si="55"/>
        <v>-</v>
      </c>
      <c r="DZ102" s="306" t="str">
        <f t="shared" si="56"/>
        <v>-</v>
      </c>
      <c r="EA102" s="367" t="str">
        <f t="shared" si="57"/>
        <v>-</v>
      </c>
      <c r="EB102" s="310" t="str">
        <f>IFERROR(__xludf.DUMMYFUNCTION("IF(REGEXMATCH(AW102,AS102),""✔"",""-"")"),"-")</f>
        <v>-</v>
      </c>
      <c r="EC102" s="310" t="str">
        <f t="shared" si="58"/>
        <v>#REF!</v>
      </c>
      <c r="ED102" s="370" t="str">
        <f t="shared" si="59"/>
        <v>-</v>
      </c>
      <c r="EE102" s="340" t="str">
        <f t="shared" si="60"/>
        <v>S-R-g-m-P-D-nN-S</v>
      </c>
      <c r="EF102" s="371" t="str">
        <f>IFERROR(__xludf.DUMMYFUNCTION("CONCATENATE(JOIN("""",HC102:HO102))"),"SrRgmPDnS")</f>
        <v>SrRgmPDnS</v>
      </c>
      <c r="EG102" s="372">
        <f t="shared" si="61"/>
        <v>2</v>
      </c>
      <c r="EH102" s="373" t="str">
        <f>IFERROR(__xludf.DUMMYFUNCTION("CONCATENATE(JOIN("""",JC102:JO102))"),"Dha, Ni, ")</f>
        <v>Dha, Ni, </v>
      </c>
      <c r="EI102" s="322">
        <f t="shared" si="62"/>
        <v>1</v>
      </c>
      <c r="EJ102" s="374" t="str">
        <f>IFERROR(__xludf.DUMMYFUNCTION("CONCATENATE(JOIN("""",KC102:KO102))"),"Ni, ")</f>
        <v>Ni, </v>
      </c>
      <c r="EK102" s="325" t="str">
        <f t="shared" si="63"/>
        <v>S-R2-G2-M1-P-D2-N2-N3-S</v>
      </c>
      <c r="EL102" s="326" t="str">
        <f t="shared" si="64"/>
        <v>1-2-b3-4-5-6-b7-7-8</v>
      </c>
      <c r="EM102" s="318" t="str">
        <f t="shared" si="65"/>
        <v>#REF!</v>
      </c>
      <c r="EN102" s="328" t="str">
        <f>IFERROR(__xludf.DUMMYFUNCTION("SUBSTITUTE(SUBSTITUTE(SUBSTITUTE(SUBSTITUTE(CONCATENATE(JOIN("" "",HP102:IB102)),""  "","" ""),""  "","" ""),""  "","" ""),""  "","" "")"),"o • o o • o • o • o o o o")</f>
        <v>o • o o • o • o • o o o o</v>
      </c>
      <c r="EO102" s="368" t="str">
        <f t="shared" si="66"/>
        <v>-</v>
      </c>
      <c r="EP102" s="339" t="str">
        <f t="shared" si="67"/>
        <v>-</v>
      </c>
      <c r="EQ102" s="339" t="str">
        <f t="shared" si="68"/>
        <v>Sa-Pa</v>
      </c>
      <c r="ER102" s="339" t="str">
        <f t="shared" si="69"/>
        <v>-</v>
      </c>
      <c r="ES102" s="340" t="str">
        <f t="shared" si="70"/>
        <v>-</v>
      </c>
      <c r="ET102" s="363"/>
      <c r="EU102" s="376" t="b">
        <f>IFERROR(__xludf.DUMMYFUNCTION("arrayformula(sum(--REGEXMATCH(""SRGMPDNS"",split(REGEXREPLACE(C102,""(.)"",""$1~""),""~""))))=len(C102)
"),FALSE)</f>
        <v>0</v>
      </c>
      <c r="EV102" s="290" t="b">
        <f>IFERROR(__xludf.DUMMYFUNCTION("arrayformula(sum(--REGEXMATCH(""SRGmPDNS"",split(REGEXREPLACE(C102,""(.)"",""$1~""),""~""))))=len(C102)"),FALSE)</f>
        <v>0</v>
      </c>
      <c r="EW102" s="290" t="b">
        <f>IFERROR(__xludf.DUMMYFUNCTION("arrayformula(sum(--REGEXMATCH(""SRGmPDnS"",split(REGEXREPLACE(C102,""(.)"",""$1~""),""~""))))=len(C102)"),FALSE)</f>
        <v>0</v>
      </c>
      <c r="EX102" s="290" t="b">
        <f>IFERROR(__xludf.DUMMYFUNCTION("arrayformula(sum(--REGEXMATCH(""SRgmPDnS"",split(REGEXREPLACE(C102,""(.)"",""$1~""),""~""))))=len(C102)"),FALSE)</f>
        <v>0</v>
      </c>
      <c r="EY102" s="290" t="b">
        <f>IFERROR(__xludf.DUMMYFUNCTION("arrayformula(sum(--REGEXMATCH(""SRgmPdnS"",split(REGEXREPLACE(C102,""(.)"",""$1~""),""~""))))=len(C102)"),FALSE)</f>
        <v>0</v>
      </c>
      <c r="EZ102" s="290" t="b">
        <f>IFERROR(__xludf.DUMMYFUNCTION("arrayformula(sum(--REGEXMATCH(""SrgmPdnS"",split(REGEXREPLACE(C102,""(.)"",""$1~""),""~""))))=len(C102)"),FALSE)</f>
        <v>0</v>
      </c>
      <c r="FA102" s="290" t="b">
        <f>IFERROR(__xludf.DUMMYFUNCTION("arrayformula(sum(--REGEXMATCH(""SrGmPdNS"",split(REGEXREPLACE(C102,""(.)"",""$1~""),""~""))))=len(C102)"),FALSE)</f>
        <v>0</v>
      </c>
      <c r="FB102" s="290" t="b">
        <f>IFERROR(__xludf.DUMMYFUNCTION("arrayformula(sum(--REGEXMATCH(""SrGMPDNS"",split(REGEXREPLACE(C102,""(.)"",""$1~""),""~""))))=len(C102)"),FALSE)</f>
        <v>0</v>
      </c>
      <c r="FC102" s="290" t="b">
        <f>IFERROR(__xludf.DUMMYFUNCTION("arrayformula(sum(--REGEXMATCH(""SrGMPdNS"",split(REGEXREPLACE(C102,""(.)"",""$1~""),""~""))))=len(C102)"),FALSE)</f>
        <v>0</v>
      </c>
      <c r="FD102" s="377" t="b">
        <f>IFERROR(__xludf.DUMMYFUNCTION("arrayformula(sum(--REGEXMATCH(""SrgMPdNS"",split(REGEXREPLACE(C102,""(.)"",""$1~""),""~""))))=len(C102)"),FALSE)</f>
        <v>0</v>
      </c>
      <c r="FE102" s="269" t="str">
        <f t="shared" si="71"/>
        <v>-</v>
      </c>
      <c r="FF102" s="269" t="str">
        <f t="shared" si="72"/>
        <v>xxoxoxoxxxx</v>
      </c>
      <c r="FG102" s="271" t="str">
        <f t="shared" si="73"/>
        <v>xoxoxoxxxxo</v>
      </c>
      <c r="FH102" s="269" t="str">
        <f t="shared" si="74"/>
        <v>-</v>
      </c>
      <c r="FI102" s="271" t="str">
        <f t="shared" si="75"/>
        <v>xoxoxxxxoxx</v>
      </c>
      <c r="FJ102" s="271" t="str">
        <f t="shared" si="76"/>
        <v>-</v>
      </c>
      <c r="FK102" s="271" t="str">
        <f t="shared" si="77"/>
        <v>xoxxxxoxxox</v>
      </c>
      <c r="FL102" s="271" t="str">
        <f t="shared" si="78"/>
        <v>-</v>
      </c>
      <c r="FM102" s="271" t="str">
        <f t="shared" si="79"/>
        <v>xxxxoxxoxox</v>
      </c>
      <c r="FN102" s="271" t="str">
        <f t="shared" si="80"/>
        <v>xxxoxxoxoxo</v>
      </c>
      <c r="FO102" s="274" t="str">
        <f t="shared" si="81"/>
        <v>xxoxxoxoxox</v>
      </c>
      <c r="FP102" s="234" t="str">
        <f t="shared" si="82"/>
        <v>|</v>
      </c>
      <c r="FQ102" s="236" t="str">
        <f t="shared" si="83"/>
        <v>-</v>
      </c>
      <c r="FR102" s="237" t="str">
        <f t="shared" si="84"/>
        <v>|</v>
      </c>
      <c r="FS102" s="236" t="str">
        <f t="shared" si="85"/>
        <v>|</v>
      </c>
      <c r="FT102" s="237" t="str">
        <f t="shared" si="86"/>
        <v>-</v>
      </c>
      <c r="FU102" s="236" t="str">
        <f t="shared" si="87"/>
        <v>|</v>
      </c>
      <c r="FV102" s="237" t="str">
        <f t="shared" si="88"/>
        <v>-</v>
      </c>
      <c r="FW102" s="236" t="str">
        <f t="shared" si="89"/>
        <v>|</v>
      </c>
      <c r="FX102" s="237" t="str">
        <f t="shared" si="90"/>
        <v>-</v>
      </c>
      <c r="FY102" s="236" t="str">
        <f t="shared" si="91"/>
        <v>|</v>
      </c>
      <c r="FZ102" s="237" t="str">
        <f t="shared" si="92"/>
        <v>|</v>
      </c>
      <c r="GA102" s="236" t="str">
        <f t="shared" si="93"/>
        <v>|</v>
      </c>
      <c r="GB102" s="238" t="str">
        <f t="shared" si="94"/>
        <v>|</v>
      </c>
      <c r="GC102" s="244" t="str">
        <f>IFERROR(__xludf.DUMMYFUNCTION("IF(REGEXMATCH(C102, ""S""), ""1"","""")"),"1")</f>
        <v>1</v>
      </c>
      <c r="GD102" s="245" t="str">
        <f>IFERROR(__xludf.DUMMYFUNCTION("IF(REGEXMATCH(C102, ""r""), ""b2"","""")"),"")</f>
        <v/>
      </c>
      <c r="GE102" s="246" t="str">
        <f>IFERROR(__xludf.DUMMYFUNCTION("IF(REGEXMATCH(C102, ""R""), ""2"","""")"),"2")</f>
        <v>2</v>
      </c>
      <c r="GF102" s="246" t="str">
        <f>IFERROR(__xludf.DUMMYFUNCTION("IF(REGEXMATCH(C102, ""g""), ""b3"","""")"),"b3")</f>
        <v>b3</v>
      </c>
      <c r="GG102" s="245" t="str">
        <f>IFERROR(__xludf.DUMMYFUNCTION("IF(REGEXMATCH(C102, ""G""), ""3"","""")"),"")</f>
        <v/>
      </c>
      <c r="GH102" s="245" t="str">
        <f>IFERROR(__xludf.DUMMYFUNCTION("IF(REGEXMATCH(C102, ""m""), ""4"","""")"),"4")</f>
        <v>4</v>
      </c>
      <c r="GI102" s="246" t="str">
        <f>IFERROR(__xludf.DUMMYFUNCTION("IF(REGEXMATCH(C102, ""M""), ""#4"","""")"),"")</f>
        <v/>
      </c>
      <c r="GJ102" s="245" t="str">
        <f>IFERROR(__xludf.DUMMYFUNCTION("IF(REGEXMATCH(C102, ""P""), ""5"","""")"),"5")</f>
        <v>5</v>
      </c>
      <c r="GK102" s="246" t="str">
        <f>IFERROR(__xludf.DUMMYFUNCTION("IF(REGEXMATCH(C102, ""d""), ""b6"","""")"),"")</f>
        <v/>
      </c>
      <c r="GL102" s="245" t="str">
        <f>IFERROR(__xludf.DUMMYFUNCTION("IF(REGEXMATCH(C102, ""D""), ""6"","""")"),"6")</f>
        <v>6</v>
      </c>
      <c r="GM102" s="245" t="str">
        <f>IFERROR(__xludf.DUMMYFUNCTION("IF(REGEXMATCH(C102, ""n""), ""b7"","""")"),"b7")</f>
        <v>b7</v>
      </c>
      <c r="GN102" s="246" t="str">
        <f>IFERROR(__xludf.DUMMYFUNCTION("IF(REGEXMATCH(C102, ""N""), ""7"","""")"),"7")</f>
        <v>7</v>
      </c>
      <c r="GO102" s="249" t="str">
        <f>IFERROR(__xludf.DUMMYFUNCTION("IF(REGEXMATCH(C102, ""S""), ""8"","""")"),"8")</f>
        <v>8</v>
      </c>
      <c r="GP102" s="244" t="str">
        <f>IFERROR(__xludf.DUMMYFUNCTION("IF(REGEXMATCH(C102, ""S""), ""S"","""")"),"S")</f>
        <v>S</v>
      </c>
      <c r="GQ102" s="294" t="str">
        <f>IFERROR(__xludf.DUMMYFUNCTION("IF(REGEXMATCH(C102, ""r""), ""R1"","""")"),"")</f>
        <v/>
      </c>
      <c r="GR102" s="295" t="str">
        <f>IFERROR(__xludf.DUMMYFUNCTION("IF(REGEXMATCH(C102, ""R""), ""R2"","""")"),"R2")</f>
        <v>R2</v>
      </c>
      <c r="GS102" s="295" t="str">
        <f>IFERROR(__xludf.DUMMYFUNCTION("IF(REGEXMATCH(C102, ""g""), ""G2"","""")"),"G2")</f>
        <v>G2</v>
      </c>
      <c r="GT102" s="294" t="str">
        <f>IFERROR(__xludf.DUMMYFUNCTION("IF(REGEXMATCH(C102, ""G""), ""G3"","""")"),"")</f>
        <v/>
      </c>
      <c r="GU102" s="294" t="str">
        <f>IFERROR(__xludf.DUMMYFUNCTION("IF(REGEXMATCH(C102, ""m""), ""M1"","""")"),"M1")</f>
        <v>M1</v>
      </c>
      <c r="GV102" s="295" t="str">
        <f>IFERROR(__xludf.DUMMYFUNCTION("IF(REGEXMATCH(C102, ""M""), ""M2"","""")"),"")</f>
        <v/>
      </c>
      <c r="GW102" s="294" t="str">
        <f>IFERROR(__xludf.DUMMYFUNCTION("IF(REGEXMATCH(C102, ""P""), ""P"","""")"),"P")</f>
        <v>P</v>
      </c>
      <c r="GX102" s="295" t="str">
        <f>IFERROR(__xludf.DUMMYFUNCTION("IF(REGEXMATCH(C102, ""d""), ""D1"","""")"),"")</f>
        <v/>
      </c>
      <c r="GY102" s="294" t="str">
        <f>IFERROR(__xludf.DUMMYFUNCTION("IF(REGEXMATCH(C102, ""D""), ""D2"","""")"),"D2")</f>
        <v>D2</v>
      </c>
      <c r="GZ102" s="294" t="str">
        <f>IFERROR(__xludf.DUMMYFUNCTION("IF(REGEXMATCH(C102, ""n""), ""N2"","""")"),"N2")</f>
        <v>N2</v>
      </c>
      <c r="HA102" s="295" t="str">
        <f>IFERROR(__xludf.DUMMYFUNCTION("IF(REGEXMATCH(C102, ""N""), ""N3"","""")"),"N3")</f>
        <v>N3</v>
      </c>
      <c r="HB102" s="249" t="str">
        <f>IFERROR(__xludf.DUMMYFUNCTION("IF(REGEXMATCH(C102, ""S""), ""S"","""")"),"S")</f>
        <v>S</v>
      </c>
      <c r="HC102" s="331" t="str">
        <f t="shared" si="95"/>
        <v>S</v>
      </c>
      <c r="HD102" s="332" t="str">
        <f t="shared" si="96"/>
        <v>r</v>
      </c>
      <c r="HE102" s="332" t="str">
        <f t="shared" si="97"/>
        <v>R</v>
      </c>
      <c r="HF102" s="332" t="str">
        <f t="shared" si="98"/>
        <v>g</v>
      </c>
      <c r="HG102" s="332" t="str">
        <f t="shared" si="99"/>
        <v/>
      </c>
      <c r="HH102" s="332" t="str">
        <f t="shared" si="100"/>
        <v>m</v>
      </c>
      <c r="HI102" s="332" t="str">
        <f t="shared" si="101"/>
        <v/>
      </c>
      <c r="HJ102" s="332" t="str">
        <f t="shared" si="102"/>
        <v>P</v>
      </c>
      <c r="HK102" s="332" t="str">
        <f t="shared" si="103"/>
        <v/>
      </c>
      <c r="HL102" s="332" t="str">
        <f t="shared" si="104"/>
        <v>D</v>
      </c>
      <c r="HM102" s="332" t="str">
        <f t="shared" si="105"/>
        <v>n</v>
      </c>
      <c r="HN102" s="332" t="str">
        <f t="shared" si="106"/>
        <v/>
      </c>
      <c r="HO102" s="343" t="str">
        <f t="shared" si="107"/>
        <v>S</v>
      </c>
      <c r="HP102" s="331" t="str">
        <f t="shared" si="108"/>
        <v>o</v>
      </c>
      <c r="HQ102" s="332" t="str">
        <f t="shared" si="109"/>
        <v>•</v>
      </c>
      <c r="HR102" s="332" t="str">
        <f t="shared" si="110"/>
        <v>o</v>
      </c>
      <c r="HS102" s="332" t="str">
        <f t="shared" si="111"/>
        <v>o</v>
      </c>
      <c r="HT102" s="332" t="str">
        <f t="shared" si="112"/>
        <v>•</v>
      </c>
      <c r="HU102" s="332" t="str">
        <f t="shared" si="113"/>
        <v>o</v>
      </c>
      <c r="HV102" s="332" t="str">
        <f t="shared" si="114"/>
        <v>•</v>
      </c>
      <c r="HW102" s="332" t="str">
        <f t="shared" si="115"/>
        <v>o</v>
      </c>
      <c r="HX102" s="332" t="str">
        <f t="shared" si="116"/>
        <v>•</v>
      </c>
      <c r="HY102" s="332" t="str">
        <f t="shared" si="117"/>
        <v>o</v>
      </c>
      <c r="HZ102" s="332" t="str">
        <f t="shared" si="118"/>
        <v>o</v>
      </c>
      <c r="IA102" s="332" t="str">
        <f t="shared" si="119"/>
        <v>o</v>
      </c>
      <c r="IB102" s="338" t="str">
        <f t="shared" si="120"/>
        <v>o</v>
      </c>
      <c r="IC102" s="331" t="str">
        <f t="shared" si="121"/>
        <v>•</v>
      </c>
      <c r="ID102" s="332" t="str">
        <f t="shared" si="122"/>
        <v>o</v>
      </c>
      <c r="IE102" s="332" t="str">
        <f t="shared" si="123"/>
        <v>•</v>
      </c>
      <c r="IF102" s="332" t="str">
        <f t="shared" si="124"/>
        <v>•</v>
      </c>
      <c r="IG102" s="332" t="str">
        <f t="shared" si="125"/>
        <v>o</v>
      </c>
      <c r="IH102" s="332" t="str">
        <f t="shared" si="126"/>
        <v>•</v>
      </c>
      <c r="II102" s="332" t="str">
        <f t="shared" si="127"/>
        <v>o</v>
      </c>
      <c r="IJ102" s="332" t="str">
        <f t="shared" si="128"/>
        <v>•</v>
      </c>
      <c r="IK102" s="332" t="str">
        <f t="shared" si="129"/>
        <v>o</v>
      </c>
      <c r="IL102" s="332" t="str">
        <f t="shared" si="130"/>
        <v>•</v>
      </c>
      <c r="IM102" s="332" t="str">
        <f t="shared" si="131"/>
        <v>•</v>
      </c>
      <c r="IN102" s="332" t="str">
        <f t="shared" si="132"/>
        <v>•</v>
      </c>
      <c r="IO102" s="338" t="str">
        <f t="shared" si="133"/>
        <v>•</v>
      </c>
      <c r="IP102" s="346" t="b">
        <f t="shared" si="134"/>
        <v>0</v>
      </c>
      <c r="IQ102" s="347" t="b">
        <f t="shared" si="135"/>
        <v>0</v>
      </c>
      <c r="IR102" s="347" t="b">
        <f t="shared" si="136"/>
        <v>0</v>
      </c>
      <c r="IS102" s="347" t="b">
        <f t="shared" si="137"/>
        <v>0</v>
      </c>
      <c r="IT102" s="347" t="b">
        <f t="shared" si="138"/>
        <v>0</v>
      </c>
      <c r="IU102" s="347" t="b">
        <f t="shared" si="139"/>
        <v>0</v>
      </c>
      <c r="IV102" s="347" t="b">
        <f t="shared" si="140"/>
        <v>0</v>
      </c>
      <c r="IW102" s="347" t="b">
        <f t="shared" si="141"/>
        <v>0</v>
      </c>
      <c r="IX102" s="347" t="b">
        <f t="shared" si="142"/>
        <v>0</v>
      </c>
      <c r="IY102" s="347" t="b">
        <f t="shared" si="143"/>
        <v>1</v>
      </c>
      <c r="IZ102" s="347" t="b">
        <f t="shared" si="144"/>
        <v>0</v>
      </c>
      <c r="JA102" s="347" t="b">
        <f t="shared" si="145"/>
        <v>1</v>
      </c>
      <c r="JB102" s="353" t="b">
        <f t="shared" si="146"/>
        <v>0</v>
      </c>
      <c r="JC102" s="354" t="str">
        <f t="shared" si="147"/>
        <v/>
      </c>
      <c r="JD102" s="355" t="str">
        <f t="shared" si="148"/>
        <v/>
      </c>
      <c r="JE102" s="355" t="str">
        <f t="shared" si="149"/>
        <v/>
      </c>
      <c r="JF102" s="355" t="str">
        <f t="shared" si="150"/>
        <v/>
      </c>
      <c r="JG102" s="355" t="str">
        <f t="shared" si="151"/>
        <v/>
      </c>
      <c r="JH102" s="355" t="str">
        <f t="shared" si="152"/>
        <v/>
      </c>
      <c r="JI102" s="355" t="str">
        <f t="shared" si="153"/>
        <v/>
      </c>
      <c r="JJ102" s="355" t="str">
        <f t="shared" si="154"/>
        <v/>
      </c>
      <c r="JK102" s="355" t="str">
        <f t="shared" si="155"/>
        <v/>
      </c>
      <c r="JL102" s="355" t="str">
        <f t="shared" si="156"/>
        <v>Dha, </v>
      </c>
      <c r="JM102" s="355" t="str">
        <f t="shared" si="157"/>
        <v/>
      </c>
      <c r="JN102" s="355" t="str">
        <f t="shared" si="158"/>
        <v>Ni, </v>
      </c>
      <c r="JO102" s="359" t="str">
        <f t="shared" si="159"/>
        <v/>
      </c>
      <c r="JP102" s="346" t="b">
        <f t="shared" si="160"/>
        <v>0</v>
      </c>
      <c r="JQ102" s="347" t="b">
        <f t="shared" si="161"/>
        <v>0</v>
      </c>
      <c r="JR102" s="347" t="b">
        <f t="shared" si="162"/>
        <v>0</v>
      </c>
      <c r="JS102" s="347" t="b">
        <f t="shared" si="163"/>
        <v>0</v>
      </c>
      <c r="JT102" s="347" t="b">
        <f t="shared" si="164"/>
        <v>0</v>
      </c>
      <c r="JU102" s="347" t="b">
        <f t="shared" si="165"/>
        <v>0</v>
      </c>
      <c r="JV102" s="347" t="b">
        <f t="shared" si="166"/>
        <v>0</v>
      </c>
      <c r="JW102" s="347" t="b">
        <f t="shared" si="167"/>
        <v>0</v>
      </c>
      <c r="JX102" s="347" t="b">
        <f t="shared" si="168"/>
        <v>0</v>
      </c>
      <c r="JY102" s="347" t="b">
        <f t="shared" si="169"/>
        <v>0</v>
      </c>
      <c r="JZ102" s="347" t="b">
        <f t="shared" si="170"/>
        <v>0</v>
      </c>
      <c r="KA102" s="347" t="b">
        <f t="shared" si="171"/>
        <v>1</v>
      </c>
      <c r="KB102" s="365" t="b">
        <f t="shared" si="172"/>
        <v>0</v>
      </c>
      <c r="KC102" s="354" t="str">
        <f t="shared" si="173"/>
        <v/>
      </c>
      <c r="KD102" s="355" t="str">
        <f t="shared" si="174"/>
        <v/>
      </c>
      <c r="KE102" s="355" t="str">
        <f t="shared" si="175"/>
        <v/>
      </c>
      <c r="KF102" s="355" t="str">
        <f t="shared" si="176"/>
        <v/>
      </c>
      <c r="KG102" s="355" t="str">
        <f t="shared" si="177"/>
        <v/>
      </c>
      <c r="KH102" s="355" t="str">
        <f t="shared" si="178"/>
        <v/>
      </c>
      <c r="KI102" s="355" t="str">
        <f t="shared" si="179"/>
        <v/>
      </c>
      <c r="KJ102" s="355" t="str">
        <f t="shared" si="180"/>
        <v/>
      </c>
      <c r="KK102" s="355" t="str">
        <f t="shared" si="181"/>
        <v/>
      </c>
      <c r="KL102" s="355" t="str">
        <f t="shared" si="182"/>
        <v/>
      </c>
      <c r="KM102" s="355" t="str">
        <f t="shared" si="183"/>
        <v/>
      </c>
      <c r="KN102" s="355" t="str">
        <f t="shared" si="184"/>
        <v>Ni, </v>
      </c>
      <c r="KO102" s="359"/>
      <c r="KP102" s="378"/>
      <c r="KQ102" s="379" t="s">
        <v>9</v>
      </c>
      <c r="KR102" s="380" t="s">
        <v>9</v>
      </c>
      <c r="KS102" s="381" t="s">
        <v>9</v>
      </c>
      <c r="KT102" s="382">
        <f t="shared" si="186"/>
        <v>0</v>
      </c>
      <c r="KU102" s="383">
        <f t="shared" si="187"/>
        <v>0</v>
      </c>
      <c r="KV102" s="381" t="str">
        <f t="shared" si="205"/>
        <v>S</v>
      </c>
      <c r="KW102" s="382">
        <f t="shared" si="189"/>
        <v>0</v>
      </c>
      <c r="KX102" s="384">
        <f t="shared" si="190"/>
        <v>0</v>
      </c>
      <c r="KY102" s="382">
        <f t="shared" ref="KY102:KZ102" si="405">KW102-KT102</f>
        <v>0</v>
      </c>
      <c r="KZ102" s="369">
        <f t="shared" si="405"/>
        <v>0</v>
      </c>
      <c r="LA102" s="385" t="str">
        <f t="shared" si="192"/>
        <v>✔</v>
      </c>
      <c r="LB102" s="340" t="str">
        <f>IFERROR(__xludf.DUMMYFUNCTION("JOIN("""",ArrayFormula(MID(KS102,LEN(KS102)-SEQUENCE(1,LEN(KS102))+1,1)))"),"S")</f>
        <v>S</v>
      </c>
      <c r="LC102" s="373" t="str">
        <f>IFERROR(__xludf.DUMMYFUNCTION("JOIN("""",ArrayFormula(MID(KV102,LEN(KV102)-SEQUENCE(1,LEN(KV102))+1,1)))"),"S")</f>
        <v>S</v>
      </c>
      <c r="LD102" s="373" t="str">
        <f t="shared" si="193"/>
        <v>S</v>
      </c>
      <c r="LE102" s="339" t="str">
        <f t="shared" si="194"/>
        <v>S</v>
      </c>
      <c r="LF102" s="386" t="str">
        <f>IFERROR(__xludf.DUMMYFUNCTION("SUBSTITUTE(SUBSTITUTE(CONCATENATE(JOIN("""",LH102:LT102)),""1"",""""),""2"","""")"),"SS")</f>
        <v>SS</v>
      </c>
      <c r="LG102" s="369" t="str">
        <f t="shared" si="195"/>
        <v>-</v>
      </c>
      <c r="LH102" s="387" t="str">
        <f>IFERROR(__xludf.DUMMYFUNCTION("IF(REGEXMATCH(LD102, ""S""), ""S"",IF(REGEXMATCH(LE102, ""S""), ""S"",""""))"),"S")</f>
        <v>S</v>
      </c>
      <c r="LI102" s="299" t="str">
        <f>IFERROR(__xludf.DUMMYFUNCTION("IF(REGEXMATCH(LD102, ""r""), ""r1"",IF(REGEXMATCH(LE102, ""r""), ""r2"",""""))"),"")</f>
        <v/>
      </c>
      <c r="LJ102" s="299" t="str">
        <f>IFERROR(__xludf.DUMMYFUNCTION("IF(REGEXMATCH(LD102, ""R""), ""R1"",IF(REGEXMATCH(LE102, ""R""), ""R2"",""""))"),"")</f>
        <v/>
      </c>
      <c r="LK102" s="299" t="str">
        <f>IFERROR(__xludf.DUMMYFUNCTION("IF(REGEXMATCH(LD102, ""g""), ""g1"",IF(REGEXMATCH(LE102, ""g""), ""g2"",""""))"),"")</f>
        <v/>
      </c>
      <c r="LL102" s="299" t="str">
        <f>IFERROR(__xludf.DUMMYFUNCTION("IF(REGEXMATCH(LD102, ""G""), ""G1"",IF(REGEXMATCH(LE102, ""G""), ""G2"",""""))"),"")</f>
        <v/>
      </c>
      <c r="LM102" s="299" t="str">
        <f>IFERROR(__xludf.DUMMYFUNCTION("IF(REGEXMATCH(LD102, ""m""), ""m1"",IF(REGEXMATCH(LE102, ""m""), ""m2"",""""))"),"")</f>
        <v/>
      </c>
      <c r="LN102" s="299" t="str">
        <f>IFERROR(__xludf.DUMMYFUNCTION("IF(REGEXMATCH(LD102, ""M""), ""M1"",IF(REGEXMATCH(LE102, ""M""), ""M2"",""""))"),"")</f>
        <v/>
      </c>
      <c r="LO102" s="299" t="str">
        <f>IFERROR(__xludf.DUMMYFUNCTION("IF(REGEXMATCH(LD102, ""P""), ""P1"",IF(REGEXMATCH(LE102, ""P""), ""P2"",""""))"),"")</f>
        <v/>
      </c>
      <c r="LP102" s="299" t="str">
        <f>IFERROR(__xludf.DUMMYFUNCTION("IF(REGEXMATCH(LD102, ""d""), ""d1"",IF(REGEXMATCH(LE102, ""d""), ""d2"",""""))"),"")</f>
        <v/>
      </c>
      <c r="LQ102" s="299" t="str">
        <f>IFERROR(__xludf.DUMMYFUNCTION("IF(REGEXMATCH(LD102, ""D""), ""D1"",IF(REGEXMATCH(LE102, ""D""), ""D2"",""""))"),"")</f>
        <v/>
      </c>
      <c r="LR102" s="299" t="str">
        <f>IFERROR(__xludf.DUMMYFUNCTION("IF(REGEXMATCH(LD102, ""n""), ""n1"",IF(REGEXMATCH(LE102, ""n""), ""n2"",""""))"),"")</f>
        <v/>
      </c>
      <c r="LS102" s="299" t="str">
        <f>IFERROR(__xludf.DUMMYFUNCTION("IF(REGEXMATCH(LD102, ""N""), ""N1"",IF(REGEXMATCH(LE102, ""N""), ""N2"",""""))"),"")</f>
        <v/>
      </c>
      <c r="LT102" s="388" t="str">
        <f>IFERROR(__xludf.DUMMYFUNCTION("IF(REGEXMATCH(LD102, ""S""), ""S"",IF(REGEXMATCH(LE102, ""S""), ""S"",""""))"),"S")</f>
        <v>S</v>
      </c>
      <c r="LU102" s="389">
        <f t="shared" si="196"/>
        <v>1</v>
      </c>
      <c r="LV102" s="378"/>
      <c r="LW102" s="369"/>
      <c r="LX102" s="369"/>
    </row>
    <row r="103" ht="18.0" customHeight="1">
      <c r="A103" s="298" t="s">
        <v>715</v>
      </c>
      <c r="B103" s="222" t="s">
        <v>716</v>
      </c>
      <c r="C103" s="233" t="str">
        <f t="shared" si="7"/>
        <v>SrGMdNS</v>
      </c>
      <c r="D103" s="234" t="str">
        <f>IFERROR(__xludf.DUMMYFUNCTION("IF(REGEXMATCH(C103, ""S""), ""S"","""")"),"S")</f>
        <v>S</v>
      </c>
      <c r="E103" s="236" t="str">
        <f>IFERROR(__xludf.DUMMYFUNCTION("IF(REGEXMATCH(C103, ""r""), ""r"","""")"),"r")</f>
        <v>r</v>
      </c>
      <c r="F103" s="237" t="str">
        <f>IFERROR(__xludf.DUMMYFUNCTION("IF(REGEXMATCH(C103, ""R""), ""R"","""")"),"")</f>
        <v/>
      </c>
      <c r="G103" s="237" t="str">
        <f>IFERROR(__xludf.DUMMYFUNCTION("IF(REGEXMATCH(C103, ""g""), ""g"","""")"),"")</f>
        <v/>
      </c>
      <c r="H103" s="236" t="str">
        <f>IFERROR(__xludf.DUMMYFUNCTION("IF(REGEXMATCH(C103, ""G""), ""G"","""")"),"G")</f>
        <v>G</v>
      </c>
      <c r="I103" s="236" t="str">
        <f>IFERROR(__xludf.DUMMYFUNCTION("IF(REGEXMATCH(C103, ""m""), ""m"","""")"),"")</f>
        <v/>
      </c>
      <c r="J103" s="237" t="str">
        <f>IFERROR(__xludf.DUMMYFUNCTION("IF(REGEXMATCH(C103, ""M""), ""M"","""")"),"M")</f>
        <v>M</v>
      </c>
      <c r="K103" s="236" t="str">
        <f>IFERROR(__xludf.DUMMYFUNCTION("IF(REGEXMATCH(C103, ""P""), ""P"","""")"),"")</f>
        <v/>
      </c>
      <c r="L103" s="237" t="str">
        <f>IFERROR(__xludf.DUMMYFUNCTION("IF(REGEXMATCH(C103, ""d""), ""d"","""")"),"d")</f>
        <v>d</v>
      </c>
      <c r="M103" s="236" t="str">
        <f>IFERROR(__xludf.DUMMYFUNCTION("IF(REGEXMATCH(C103, ""D""), ""D"","""")"),"")</f>
        <v/>
      </c>
      <c r="N103" s="236" t="str">
        <f>IFERROR(__xludf.DUMMYFUNCTION("IF(REGEXMATCH(C103, ""n""), ""n"","""")"),"")</f>
        <v/>
      </c>
      <c r="O103" s="237" t="str">
        <f>IFERROR(__xludf.DUMMYFUNCTION("IF(REGEXMATCH(C103, ""N""), ""N"","""")"),"N")</f>
        <v>N</v>
      </c>
      <c r="P103" s="238" t="str">
        <f>IFERROR(__xludf.DUMMYFUNCTION("IF(REGEXMATCH(C103, ""S""), ""S"","""")"),"S")</f>
        <v>S</v>
      </c>
      <c r="Q103" s="239" t="str">
        <f>IFERROR(__xludf.DUMMYFUNCTION("SUBSTITUTE(CONCATENATE(JOIN(""-"",D103:J103)),""-"","""")"),"SrGM")</f>
        <v>SrGM</v>
      </c>
      <c r="R103" s="229" t="str">
        <f>IFERROR(__xludf.DUMMYFUNCTION("SUBSTITUTE(CONCATENATE(JOIN(""-"",K103:P103)),""-"","""")"),"dNS")</f>
        <v>dNS</v>
      </c>
      <c r="S103" s="282" t="str">
        <f t="shared" si="8"/>
        <v>S-R-G-M</v>
      </c>
      <c r="T103" s="282" t="str">
        <f t="shared" si="9"/>
        <v>D-N-S</v>
      </c>
      <c r="U103" s="237" t="str">
        <f>IFERROR(__xludf.DUMMYFUNCTION("SUBSTITUTE(JOIN(""-"",S103,T103),""--"",""-"")"),"S-R-G-M-D-N-S")</f>
        <v>S-R-G-M-D-N-S</v>
      </c>
      <c r="V103" s="309" t="str">
        <f t="shared" si="10"/>
        <v>rGMdN</v>
      </c>
      <c r="W103" s="244" t="str">
        <f>IFERROR(__xludf.DUMMYFUNCTION("IF(REGEXMATCH(C103, ""S""), ""0"","""")"),"0")</f>
        <v>0</v>
      </c>
      <c r="X103" s="245" t="str">
        <f>IFERROR(__xludf.DUMMYFUNCTION("IF(REGEXMATCH(C103, ""r""), ""1"","""")"),"1")</f>
        <v>1</v>
      </c>
      <c r="Y103" s="246" t="str">
        <f>IFERROR(__xludf.DUMMYFUNCTION("IF(REGEXMATCH(C103, ""R""), ""2"","""")"),"")</f>
        <v/>
      </c>
      <c r="Z103" s="246" t="str">
        <f>IFERROR(__xludf.DUMMYFUNCTION("IF(REGEXMATCH(C103, ""g""), ""3"","""")"),"")</f>
        <v/>
      </c>
      <c r="AA103" s="245" t="str">
        <f>IFERROR(__xludf.DUMMYFUNCTION("IF(REGEXMATCH(C103, ""G""), ""4"","""")"),"4")</f>
        <v>4</v>
      </c>
      <c r="AB103" s="245" t="str">
        <f>IFERROR(__xludf.DUMMYFUNCTION("IF(REGEXMATCH(C103, ""m""), ""5"","""")"),"")</f>
        <v/>
      </c>
      <c r="AC103" s="246" t="str">
        <f>IFERROR(__xludf.DUMMYFUNCTION("IF(REGEXMATCH(C103, ""M""), ""6"","""")"),"6")</f>
        <v>6</v>
      </c>
      <c r="AD103" s="245" t="str">
        <f>IFERROR(__xludf.DUMMYFUNCTION("IF(REGEXMATCH(C103, ""P""), ""7"","""")"),"")</f>
        <v/>
      </c>
      <c r="AE103" s="246" t="str">
        <f>IFERROR(__xludf.DUMMYFUNCTION("IF(REGEXMATCH(C103, ""d""), ""8"","""")"),"8")</f>
        <v>8</v>
      </c>
      <c r="AF103" s="245" t="str">
        <f>IFERROR(__xludf.DUMMYFUNCTION("IF(REGEXMATCH(C103, ""D""), ""9"","""")"),"")</f>
        <v/>
      </c>
      <c r="AG103" s="245" t="str">
        <f>IFERROR(__xludf.DUMMYFUNCTION("IF(REGEXMATCH(C103, ""n""), ""10"","""")"),"")</f>
        <v/>
      </c>
      <c r="AH103" s="246" t="str">
        <f>IFERROR(__xludf.DUMMYFUNCTION("IF(REGEXMATCH(C103, ""N""), ""11"","""")"),"11")</f>
        <v>11</v>
      </c>
      <c r="AI103" s="249" t="str">
        <f>IFERROR(__xludf.DUMMYFUNCTION("IF(REGEXMATCH(C103, ""S""), ""0"","""")"),"0")</f>
        <v>0</v>
      </c>
      <c r="AJ103" s="313" t="str">
        <f t="shared" si="11"/>
        <v>T</v>
      </c>
      <c r="AK103" s="313" t="str">
        <f t="shared" si="12"/>
        <v>-</v>
      </c>
      <c r="AL103" s="313" t="str">
        <f t="shared" si="13"/>
        <v>-</v>
      </c>
      <c r="AM103" s="313" t="str">
        <f t="shared" si="14"/>
        <v>-</v>
      </c>
      <c r="AN103" s="313" t="str">
        <f t="shared" si="15"/>
        <v>-</v>
      </c>
      <c r="AO103" s="314" t="str">
        <f t="shared" si="16"/>
        <v>-</v>
      </c>
      <c r="AP103" s="316">
        <f t="shared" si="17"/>
        <v>1</v>
      </c>
      <c r="AQ103" s="319" t="str">
        <f t="shared" si="18"/>
        <v>#REF!</v>
      </c>
      <c r="AR103" s="320">
        <f t="shared" si="19"/>
        <v>0</v>
      </c>
      <c r="AS103" s="250" t="str">
        <f>IFERROR(__xludf.DUMMYFUNCTION("SUBSTITUTE(SUBSTITUTE(CONCATENATE(JOIN("""",FP103:GA103)),""|"",""x""),""-"",""o"")"),"xxooxoxoxoox")</f>
        <v>xxooxoxoxoox</v>
      </c>
      <c r="AT103" s="323" t="str">
        <f>IFERROR(__xludf.DUMMYFUNCTION("JOIN("""",AS103,AS103)"),"xxooxoxoxooxxxooxoxoxoox")</f>
        <v>xxooxoxoxooxxxooxoxoxoox</v>
      </c>
      <c r="AU103" s="256" t="str">
        <f>IFERROR(__xludf.DUMMYFUNCTION("JOIN("""",ArrayFormula(MID(AS103,LEN(AS103)-SEQUENCE(1,LEN(AS103))+1,1)))"),"xooxoxoxooxx")</f>
        <v>xooxoxoxooxx</v>
      </c>
      <c r="AV103" s="256" t="str">
        <f>IFERROR(__xludf.DUMMYFUNCTION("LEFT(CONCATENATE(""x"",JOIN("""",ArrayFormula(MID(AS103,LEN(AS103)-SEQUENCE(1,LEN(AS103))+1,1)))),12)"),"xxooxoxoxoox")</f>
        <v>xxooxoxoxoox</v>
      </c>
      <c r="AW103" s="327" t="str">
        <f>IFERROR(__xludf.DUMMYFUNCTION("JOIN("""",AU103,AU103)"),"xooxoxoxooxxxooxoxoxooxx")</f>
        <v>xooxoxoxooxxxooxoxoxooxx</v>
      </c>
      <c r="AX103" s="239" t="str">
        <f>IFERROR(__xludf.DUMMYFUNCTION("IF(REGEXMATCH(AW103,AS103),""✔"",""-"")"),"✔")</f>
        <v>✔</v>
      </c>
      <c r="AY103" s="330" t="str">
        <f t="shared" si="20"/>
        <v>✔</v>
      </c>
      <c r="AZ103" s="260" t="str">
        <f t="shared" si="21"/>
        <v>#REF!</v>
      </c>
      <c r="BA103" s="333" t="str">
        <f t="shared" si="22"/>
        <v>xxooxox</v>
      </c>
      <c r="BB103" s="334" t="str">
        <f t="shared" si="23"/>
        <v>oxooxx</v>
      </c>
      <c r="BC103" s="335" t="str">
        <f t="shared" si="236"/>
        <v>-</v>
      </c>
      <c r="BD103" s="336" t="str">
        <f t="shared" si="25"/>
        <v>Din ki Puriya: 'xxooxox' + 'oxooxx'</v>
      </c>
      <c r="BE103" s="337">
        <f>IFERROR(__xludf.DUMMYFUNCTION("COUNTUNIQUE(FILTER(AT:AT,REGEXMATCH(AT:AT,AS103)))-1"),2.0)</f>
        <v>2</v>
      </c>
      <c r="BF103" s="261" t="str">
        <f>IFERROR(__xludf.DUMMYFUNCTION("IF(BI103=0,""(n/a)"",IF(BJ103=2,""(PAIR)"",IF(REGEXMATCH(AT103,""xoxoxxoxoxox""),""Bilawal"",IF(REGEXMATCH(AT103,""xoxoxooxoxoo""),""Bhupali"",IF(REGEXMATCH(AT103,""xoxoxxoxxoxo""),""Charukeshi"",IF(REGEXMATCH(AT103,""xoxoooxxoxxo""),""Kameshwari"",IF(REG"&amp;"EXMATCH(AT103,""xoxoxooxoxox""),""Shankara"",IF(REGEXMATCH(AT103,""xxooxoxxxoox""),""Basant"",IF(REGEXMATCH(AT103,""xoxoxxxxoxox""),""Bihag"",IF(REGEXMATCH(AT103,""xoxxxxoxoxxx""),""Pilu"",IF(REGEXMATCH(AT103,""xoxxoxoxxoox""),""Kirwani"",IF(REGEXMATCH(AT"&amp;"103,""xoxxoxoxoxxx""),""Mk.Malhar"",IF(REGEXMATCH(AT103,""xxooxxoxxoox""),""Bhairav"",IF(REGEXMATCH(AT103,""xxoxooxxxoox""),""Todi"",IF(REGEXMATCH(AT103,""xxooxoxooxox""),""Marwa"",IF(REGEXMATCH(AT103,""xxoooxoxxooo""),""Gunkali"",IF(REGEXMATCH(AT103,""xo"&amp;"xoxxoxxoox""),""Nat Bhairav"",IF(REGEXMATCH(AT103,""xoxxoooxoxoo""),""Shivranjani"",IF(REGEXMATCH(AT103,""xooxxxoxooxo""),""Jog"",IF(REGEXMATCH(AT103,""xxooxoxoxoox""),""Hemshri"",IF(REGEXMATCH(AT103,""xoooxooxoxxo""),""Kalavati"",IF(REGEXMATCH(AT103,""xx"&amp;"oxoxxoxoox""),""Kedar"",IF(REGEXMATCH(AT103,""xoxxxxoxooxx""),""Gara"",IF(REGEXMATCH(AT103,""xooxoxooxoox""),""Chandrakauns"",IF(REGEXMATCH(AT103,""xoxxxxoxxxox""),""Mand"",IF(REGEXMATCH(AT103,""xoxxxxoxoxox""),""Hanskinkini"",IF(REGEXMATCH(AT103,""xxooxx"&amp;"oxooxo""),""Lilavati"",IF(REGEXMATCH(AT103,""xooxoxoooxox""),""Rajeshwari"",IF(REGEXMATCH(AT103,""xoooxxoxoxxx""),""Khokar"",IF(REGEXMATCH(AT103,""xxooxoxxxxox""),""Maligoura"",""-""))))))))))))))))))))))))))))))"),"Hemshri")</f>
        <v>Hemshri</v>
      </c>
      <c r="BG103" s="239" t="str">
        <f t="shared" si="26"/>
        <v>#REF!</v>
      </c>
      <c r="BH103" s="239">
        <f>IFERROR(__xludf.DUMMYFUNCTION("COUNTUNIQUE(FE103:FO103)-1"),5.0)</f>
        <v>5</v>
      </c>
      <c r="BI103" s="239">
        <f>IFERROR(__xludf.DUMMYFUNCTION("COUNTUNIQUE(FILTER(AT:AT,REGEXMATCH(AT:AT,AS103)))-1"),2.0)</f>
        <v>2</v>
      </c>
      <c r="BJ103" s="239">
        <f>IFERROR(__xludf.DUMMYFUNCTION("COUNTA(FILTER(AT:AT,REGEXMATCH(AT:AT,AS103)))"),4.0)</f>
        <v>4</v>
      </c>
      <c r="BK103" s="341">
        <f>IFERROR(__xludf.DUMMYFUNCTION("COUNTA(FILTER(AT:AT,REGEXMATCH(AT:AT,AS103)))-AR103"),4.0)</f>
        <v>4</v>
      </c>
      <c r="BL103" s="276" t="str">
        <f>IFERROR(__xludf.DUMMYFUNCTION("IF(AS103=""oooooooooooo"",""-"",IF(REGEXMATCH(AT103,""xx""), ""Hemi."", ""Anhemi.""))"),"Hemi.")</f>
        <v>Hemi.</v>
      </c>
      <c r="BM103" s="282" t="str">
        <f>IFERROR(__xludf.DUMMYFUNCTION("IF(AS103=""oooooooooooo"",""-"",IF(REGEXMATCH(AT103,""xxx""), ""Cohem."", ""-""))"),"Cohem.")</f>
        <v>Cohem.</v>
      </c>
      <c r="BN103" s="282" t="str">
        <f>IFERROR(__xludf.DUMMYFUNCTION("IF(AS103=""oooooooooooo"",""-"",IF(REGEXMATCH(AT103,""xxxx""), ""Co-Co."", ""-""))"),"-")</f>
        <v>-</v>
      </c>
      <c r="BO103" s="342" t="str">
        <f>IFERROR(__xludf.DUMMYFUNCTION("IF(AS103=""oooooooooooo"",""-"",IF(REGEXMATCH(AT103,""xxxxx""), ""CCC."", ""-""))"),"-")</f>
        <v>-</v>
      </c>
      <c r="BP103" s="344" t="str">
        <f t="shared" si="27"/>
        <v>-</v>
      </c>
      <c r="BQ103" s="282" t="str">
        <f>IFERROR(__xludf.DUMMYFUNCTION("IF(REGEXMATCH(JOIN(""-"",EU103:FD103),""TRUE""),""✔"",""-"")"),"✔")</f>
        <v>✔</v>
      </c>
      <c r="BR103" s="225">
        <f t="shared" si="28"/>
        <v>1</v>
      </c>
      <c r="BS103" s="345" t="str">
        <f>IFERROR(__xludf.DUMMYFUNCTION("SUBSTITUTE(SUBSTITUTE(SUBSTITUTE(SUBSTITUTE(CONCATENATE(JOIN(""-"",GC103:GO103)),""--"",""-""),""--"",""-""),""--"",""-""),""--"",""-"")"),"1-b2-3-#4-b6-7-8")</f>
        <v>1-b2-3-#4-b6-7-8</v>
      </c>
      <c r="BT103" s="299" t="str">
        <f>IFERROR(__xludf.DUMMYFUNCTION("SUBSTITUTE(SUBSTITUTE(SUBSTITUTE(SUBSTITUTE(CONCATENATE(JOIN(""-"",GP103:HB103)),""--"",""-""),""--"",""-""),""--"",""-""),""--"",""-"")"),"S-R1-G3-M2-D1-N3-S")</f>
        <v>S-R1-G3-M2-D1-N3-S</v>
      </c>
      <c r="BU103" s="348" t="str">
        <f t="shared" si="29"/>
        <v>C-Db-E-F#-Ab-B-C</v>
      </c>
      <c r="BV103" s="349" t="str">
        <f t="shared" si="30"/>
        <v>SRgmPDnS</v>
      </c>
      <c r="BW103" s="350">
        <f t="shared" si="31"/>
        <v>9</v>
      </c>
      <c r="BX103" s="351">
        <f t="shared" si="32"/>
        <v>1</v>
      </c>
      <c r="BY103" s="392"/>
      <c r="BZ103" s="309" t="str">
        <f>IFERROR(__xludf.DUMMYFUNCTION("IF(REGEXMATCH(C103, ""S""), ""x"",""x"")"),"x")</f>
        <v>x</v>
      </c>
      <c r="CA103" s="245" t="str">
        <f>IFERROR(__xludf.DUMMYFUNCTION("IF(REGEXMATCH(C103, ""r""), ""o"",""x"")"),"o")</f>
        <v>o</v>
      </c>
      <c r="CB103" s="246" t="str">
        <f>IFERROR(__xludf.DUMMYFUNCTION("IF(REGEXMATCH(C103, ""R""), ""o"",""x"")"),"x")</f>
        <v>x</v>
      </c>
      <c r="CC103" s="246" t="str">
        <f>IFERROR(__xludf.DUMMYFUNCTION("IF(REGEXMATCH(C103, ""g""), ""o"",""x"")"),"x")</f>
        <v>x</v>
      </c>
      <c r="CD103" s="245" t="str">
        <f>IFERROR(__xludf.DUMMYFUNCTION("IF(REGEXMATCH(C103, ""G""), ""o"",""x"")"),"o")</f>
        <v>o</v>
      </c>
      <c r="CE103" s="245" t="str">
        <f>IFERROR(__xludf.DUMMYFUNCTION("IF(REGEXMATCH(C103, ""m""), ""o"",""x"")"),"x")</f>
        <v>x</v>
      </c>
      <c r="CF103" s="246" t="str">
        <f>IFERROR(__xludf.DUMMYFUNCTION("IF(REGEXMATCH(C103, ""M""), ""o"",""x"")"),"o")</f>
        <v>o</v>
      </c>
      <c r="CG103" s="245" t="str">
        <f>IFERROR(__xludf.DUMMYFUNCTION("IF(REGEXMATCH(C103, ""P""), ""o"",""x"")"),"x")</f>
        <v>x</v>
      </c>
      <c r="CH103" s="246" t="str">
        <f>IFERROR(__xludf.DUMMYFUNCTION("IF(REGEXMATCH(C103, ""d""), ""o"",""x"")"),"o")</f>
        <v>o</v>
      </c>
      <c r="CI103" s="245" t="str">
        <f>IFERROR(__xludf.DUMMYFUNCTION("IF(REGEXMATCH(C103, ""D""), ""o"",""x"")"),"x")</f>
        <v>x</v>
      </c>
      <c r="CJ103" s="245" t="str">
        <f>IFERROR(__xludf.DUMMYFUNCTION("IF(REGEXMATCH(C103, ""n""), ""o"",""x"")"),"x")</f>
        <v>x</v>
      </c>
      <c r="CK103" s="245" t="str">
        <f>IFERROR(__xludf.DUMMYFUNCTION("IF(REGEXMATCH(C103, ""N""), ""o"",""x"")"),"o")</f>
        <v>o</v>
      </c>
      <c r="CL103" s="356" t="str">
        <f>IFERROR(__xludf.DUMMYFUNCTION("IF(REGEXMATCH(C103, ""S""), ""x"",""x"")"),"x")</f>
        <v>x</v>
      </c>
      <c r="CM103" s="357" t="str">
        <f t="shared" si="33"/>
        <v>xoxxoxoxoxxo</v>
      </c>
      <c r="CN103" s="358">
        <f t="shared" si="34"/>
        <v>9</v>
      </c>
      <c r="CO103" s="246" t="str">
        <f>IFERROR(__xludf.DUMMYFUNCTION("IF(REGEXMATCH($C103, ""S""), ""S"",""S"")"),"S")</f>
        <v>S</v>
      </c>
      <c r="CP103" s="246" t="str">
        <f>IFERROR(__xludf.DUMMYFUNCTION("IF(REGEXMATCH($C103, ""r""), """",""r"")"),"")</f>
        <v/>
      </c>
      <c r="CQ103" s="246" t="str">
        <f>IFERROR(__xludf.DUMMYFUNCTION("IF(REGEXMATCH($C103, ""R""), """",""R"")"),"R")</f>
        <v>R</v>
      </c>
      <c r="CR103" s="246" t="str">
        <f>IFERROR(__xludf.DUMMYFUNCTION("IF(REGEXMATCH($C103, ""g""), """",""g"")"),"g")</f>
        <v>g</v>
      </c>
      <c r="CS103" s="246" t="str">
        <f>IFERROR(__xludf.DUMMYFUNCTION("IF(REGEXMATCH($C103, ""G""), """",""G"")"),"")</f>
        <v/>
      </c>
      <c r="CT103" s="246" t="str">
        <f>IFERROR(__xludf.DUMMYFUNCTION("IF(REGEXMATCH($C103, ""m""), """",""m"")"),"m")</f>
        <v>m</v>
      </c>
      <c r="CU103" s="246" t="str">
        <f>IFERROR(__xludf.DUMMYFUNCTION("IF(REGEXMATCH($C103, ""M""), """",""M"")"),"")</f>
        <v/>
      </c>
      <c r="CV103" s="246" t="str">
        <f>IFERROR(__xludf.DUMMYFUNCTION("IF(REGEXMATCH($C103, ""P""), """",""P"")"),"P")</f>
        <v>P</v>
      </c>
      <c r="CW103" s="246" t="str">
        <f>IFERROR(__xludf.DUMMYFUNCTION("IF(REGEXMATCH($C103, ""d""), """",""d"")"),"")</f>
        <v/>
      </c>
      <c r="CX103" s="246" t="str">
        <f>IFERROR(__xludf.DUMMYFUNCTION("IF(REGEXMATCH($C103, ""D""), """",""D"")"),"D")</f>
        <v>D</v>
      </c>
      <c r="CY103" s="246" t="str">
        <f>IFERROR(__xludf.DUMMYFUNCTION("IF(REGEXMATCH($C103, ""n""), """",""n"")"),"n")</f>
        <v>n</v>
      </c>
      <c r="CZ103" s="246" t="str">
        <f>IFERROR(__xludf.DUMMYFUNCTION("IF(REGEXMATCH($C103, ""N""), """",""N"")"),"")</f>
        <v/>
      </c>
      <c r="DA103" s="246" t="str">
        <f>IFERROR(__xludf.DUMMYFUNCTION("IF(REGEXMATCH($C103, ""S""), ""S"",""S"")"),"S")</f>
        <v>S</v>
      </c>
      <c r="DB103" s="362" t="str">
        <f>IFERROR(__xludf.DUMMYFUNCTION("JOIN("""",CO103:DA103,"""","""")"),"SRgmPDnS")</f>
        <v>SRgmPDnS</v>
      </c>
      <c r="DC103" s="363"/>
      <c r="DD103" s="301" t="str">
        <f t="shared" si="35"/>
        <v>#REF!</v>
      </c>
      <c r="DE103" s="302" t="str">
        <f t="shared" si="36"/>
        <v>#REF!</v>
      </c>
      <c r="DF103" s="301" t="str">
        <f t="shared" ref="DF103:DG103" si="406">SUBSTITUTE(S103,"-","")</f>
        <v>SRGM</v>
      </c>
      <c r="DG103" s="301" t="str">
        <f t="shared" si="406"/>
        <v>DNS</v>
      </c>
      <c r="DH103" s="302" t="str">
        <f t="shared" si="38"/>
        <v>Hemshri</v>
      </c>
      <c r="DI103" s="301" t="str">
        <f t="shared" si="39"/>
        <v>Hemi.</v>
      </c>
      <c r="DJ103" s="364" t="str">
        <f t="shared" si="40"/>
        <v>Cohem.</v>
      </c>
      <c r="DK103" s="306" t="str">
        <f t="shared" si="41"/>
        <v>-</v>
      </c>
      <c r="DL103" s="366" t="str">
        <f t="shared" si="42"/>
        <v>✔</v>
      </c>
      <c r="DM103" s="308" t="str">
        <f t="shared" si="43"/>
        <v>-</v>
      </c>
      <c r="DN103" s="306" t="str">
        <f t="shared" si="44"/>
        <v>-</v>
      </c>
      <c r="DO103" s="306" t="str">
        <f t="shared" si="45"/>
        <v>-</v>
      </c>
      <c r="DP103" s="367" t="str">
        <f t="shared" si="46"/>
        <v>✔</v>
      </c>
      <c r="DQ103" s="310" t="str">
        <f t="shared" si="47"/>
        <v>-</v>
      </c>
      <c r="DR103" s="310" t="str">
        <f t="shared" si="48"/>
        <v>-</v>
      </c>
      <c r="DS103" s="310" t="str">
        <f t="shared" si="49"/>
        <v>-</v>
      </c>
      <c r="DT103" s="310" t="str">
        <f t="shared" si="50"/>
        <v>-</v>
      </c>
      <c r="DU103" s="370" t="str">
        <f t="shared" si="51"/>
        <v>-</v>
      </c>
      <c r="DV103" s="306" t="str">
        <f t="shared" si="52"/>
        <v>-</v>
      </c>
      <c r="DW103" s="306" t="str">
        <f t="shared" si="53"/>
        <v>-</v>
      </c>
      <c r="DX103" s="306" t="str">
        <f t="shared" si="54"/>
        <v>-</v>
      </c>
      <c r="DY103" s="306" t="str">
        <f t="shared" si="55"/>
        <v>✔</v>
      </c>
      <c r="DZ103" s="306" t="str">
        <f t="shared" si="56"/>
        <v>-</v>
      </c>
      <c r="EA103" s="367" t="str">
        <f t="shared" si="57"/>
        <v>-</v>
      </c>
      <c r="EB103" s="310" t="str">
        <f>IFERROR(__xludf.DUMMYFUNCTION("IF(REGEXMATCH(AW103,AS103),""✔"",""-"")"),"✔")</f>
        <v>✔</v>
      </c>
      <c r="EC103" s="310" t="str">
        <f t="shared" si="58"/>
        <v>#REF!</v>
      </c>
      <c r="ED103" s="370" t="str">
        <f t="shared" si="59"/>
        <v>✔</v>
      </c>
      <c r="EE103" s="340" t="str">
        <f t="shared" si="60"/>
        <v>S-r-G-M-d-N-S</v>
      </c>
      <c r="EF103" s="371" t="str">
        <f>IFERROR(__xludf.DUMMYFUNCTION("CONCATENATE(JOIN("""",HC103:HO103))"),"SrGMdNS")</f>
        <v>SrGMdNS</v>
      </c>
      <c r="EG103" s="372">
        <f t="shared" si="61"/>
        <v>2</v>
      </c>
      <c r="EH103" s="373" t="str">
        <f>IFERROR(__xludf.DUMMYFUNCTION("CONCATENATE(JOIN("""",JC103:JO103))"),"Sa, dha, ")</f>
        <v>Sa, dha, </v>
      </c>
      <c r="EI103" s="322">
        <f t="shared" si="62"/>
        <v>1</v>
      </c>
      <c r="EJ103" s="374" t="str">
        <f>IFERROR(__xludf.DUMMYFUNCTION("CONCATENATE(JOIN("""",KC103:KO103))"),"Sa, ")</f>
        <v>Sa, </v>
      </c>
      <c r="EK103" s="325" t="str">
        <f t="shared" si="63"/>
        <v>S-R1-G3-M2-D1-N3-S</v>
      </c>
      <c r="EL103" s="326" t="str">
        <f t="shared" si="64"/>
        <v>1-b2-3-#4-b6-7-8</v>
      </c>
      <c r="EM103" s="318" t="str">
        <f t="shared" si="65"/>
        <v>#REF!</v>
      </c>
      <c r="EN103" s="328" t="str">
        <f>IFERROR(__xludf.DUMMYFUNCTION("SUBSTITUTE(SUBSTITUTE(SUBSTITUTE(SUBSTITUTE(CONCATENATE(JOIN("" "",HP103:IB103)),""  "","" ""),""  "","" ""),""  "","" ""),""  "","" "")"),"o o • • o • o • o • • o o")</f>
        <v>o o • • o • o • o • • o o</v>
      </c>
      <c r="EO103" s="368" t="str">
        <f t="shared" si="66"/>
        <v>Sa-Pa</v>
      </c>
      <c r="EP103" s="339" t="str">
        <f t="shared" si="67"/>
        <v>Sa-Pa</v>
      </c>
      <c r="EQ103" s="339" t="str">
        <f t="shared" si="68"/>
        <v>-</v>
      </c>
      <c r="ER103" s="339" t="str">
        <f t="shared" si="69"/>
        <v>-</v>
      </c>
      <c r="ES103" s="340" t="str">
        <f t="shared" si="70"/>
        <v>-</v>
      </c>
      <c r="ET103" s="363"/>
      <c r="EU103" s="376" t="b">
        <f>IFERROR(__xludf.DUMMYFUNCTION("arrayformula(sum(--REGEXMATCH(""SRGMPDNS"",split(REGEXREPLACE(C103,""(.)"",""$1~""),""~""))))=len(C103)
"),FALSE)</f>
        <v>0</v>
      </c>
      <c r="EV103" s="290" t="b">
        <f>IFERROR(__xludf.DUMMYFUNCTION("arrayformula(sum(--REGEXMATCH(""SRGmPDNS"",split(REGEXREPLACE(C103,""(.)"",""$1~""),""~""))))=len(C103)"),FALSE)</f>
        <v>0</v>
      </c>
      <c r="EW103" s="290" t="b">
        <f>IFERROR(__xludf.DUMMYFUNCTION("arrayformula(sum(--REGEXMATCH(""SRGmPDnS"",split(REGEXREPLACE(C103,""(.)"",""$1~""),""~""))))=len(C103)"),FALSE)</f>
        <v>0</v>
      </c>
      <c r="EX103" s="290" t="b">
        <f>IFERROR(__xludf.DUMMYFUNCTION("arrayformula(sum(--REGEXMATCH(""SRgmPDnS"",split(REGEXREPLACE(C103,""(.)"",""$1~""),""~""))))=len(C103)"),FALSE)</f>
        <v>0</v>
      </c>
      <c r="EY103" s="290" t="b">
        <f>IFERROR(__xludf.DUMMYFUNCTION("arrayformula(sum(--REGEXMATCH(""SRgmPdnS"",split(REGEXREPLACE(C103,""(.)"",""$1~""),""~""))))=len(C103)"),FALSE)</f>
        <v>0</v>
      </c>
      <c r="EZ103" s="290" t="b">
        <f>IFERROR(__xludf.DUMMYFUNCTION("arrayformula(sum(--REGEXMATCH(""SrgmPdnS"",split(REGEXREPLACE(C103,""(.)"",""$1~""),""~""))))=len(C103)"),FALSE)</f>
        <v>0</v>
      </c>
      <c r="FA103" s="290" t="b">
        <f>IFERROR(__xludf.DUMMYFUNCTION("arrayformula(sum(--REGEXMATCH(""SrGmPdNS"",split(REGEXREPLACE(C103,""(.)"",""$1~""),""~""))))=len(C103)"),FALSE)</f>
        <v>0</v>
      </c>
      <c r="FB103" s="290" t="b">
        <f>IFERROR(__xludf.DUMMYFUNCTION("arrayformula(sum(--REGEXMATCH(""SrGMPDNS"",split(REGEXREPLACE(C103,""(.)"",""$1~""),""~""))))=len(C103)"),FALSE)</f>
        <v>0</v>
      </c>
      <c r="FC103" s="290" t="b">
        <f>IFERROR(__xludf.DUMMYFUNCTION("arrayformula(sum(--REGEXMATCH(""SrGMPdNS"",split(REGEXREPLACE(C103,""(.)"",""$1~""),""~""))))=len(C103)"),TRUE)</f>
        <v>1</v>
      </c>
      <c r="FD103" s="377" t="b">
        <f>IFERROR(__xludf.DUMMYFUNCTION("arrayformula(sum(--REGEXMATCH(""SrgMPdNS"",split(REGEXREPLACE(C103,""(.)"",""$1~""),""~""))))=len(C103)"),FALSE)</f>
        <v>0</v>
      </c>
      <c r="FE103" s="269" t="str">
        <f t="shared" si="71"/>
        <v>xooxoxoxoox</v>
      </c>
      <c r="FF103" s="269" t="str">
        <f t="shared" si="72"/>
        <v>-</v>
      </c>
      <c r="FG103" s="271" t="str">
        <f t="shared" si="73"/>
        <v>-</v>
      </c>
      <c r="FH103" s="269" t="str">
        <f t="shared" si="74"/>
        <v>xoxoxooxxxo</v>
      </c>
      <c r="FI103" s="271" t="str">
        <f t="shared" si="75"/>
        <v>-</v>
      </c>
      <c r="FJ103" s="271" t="str">
        <f t="shared" si="76"/>
        <v>xoxooxxxoox</v>
      </c>
      <c r="FK103" s="271" t="str">
        <f t="shared" si="77"/>
        <v>-</v>
      </c>
      <c r="FL103" s="271" t="str">
        <f t="shared" si="78"/>
        <v>xooxxxooxox</v>
      </c>
      <c r="FM103" s="271" t="str">
        <f t="shared" si="79"/>
        <v>-</v>
      </c>
      <c r="FN103" s="271" t="str">
        <f t="shared" si="80"/>
        <v>-</v>
      </c>
      <c r="FO103" s="274" t="str">
        <f t="shared" si="81"/>
        <v>xxxooxoxoxo</v>
      </c>
      <c r="FP103" s="234" t="str">
        <f t="shared" si="82"/>
        <v>|</v>
      </c>
      <c r="FQ103" s="236" t="str">
        <f t="shared" si="83"/>
        <v>|</v>
      </c>
      <c r="FR103" s="237" t="str">
        <f t="shared" si="84"/>
        <v>-</v>
      </c>
      <c r="FS103" s="236" t="str">
        <f t="shared" si="85"/>
        <v>-</v>
      </c>
      <c r="FT103" s="237" t="str">
        <f t="shared" si="86"/>
        <v>|</v>
      </c>
      <c r="FU103" s="236" t="str">
        <f t="shared" si="87"/>
        <v>-</v>
      </c>
      <c r="FV103" s="237" t="str">
        <f t="shared" si="88"/>
        <v>|</v>
      </c>
      <c r="FW103" s="236" t="str">
        <f t="shared" si="89"/>
        <v>-</v>
      </c>
      <c r="FX103" s="237" t="str">
        <f t="shared" si="90"/>
        <v>|</v>
      </c>
      <c r="FY103" s="236" t="str">
        <f t="shared" si="91"/>
        <v>-</v>
      </c>
      <c r="FZ103" s="237" t="str">
        <f t="shared" si="92"/>
        <v>-</v>
      </c>
      <c r="GA103" s="236" t="str">
        <f t="shared" si="93"/>
        <v>|</v>
      </c>
      <c r="GB103" s="238" t="str">
        <f t="shared" si="94"/>
        <v>|</v>
      </c>
      <c r="GC103" s="244" t="str">
        <f>IFERROR(__xludf.DUMMYFUNCTION("IF(REGEXMATCH(C103, ""S""), ""1"","""")"),"1")</f>
        <v>1</v>
      </c>
      <c r="GD103" s="245" t="str">
        <f>IFERROR(__xludf.DUMMYFUNCTION("IF(REGEXMATCH(C103, ""r""), ""b2"","""")"),"b2")</f>
        <v>b2</v>
      </c>
      <c r="GE103" s="246" t="str">
        <f>IFERROR(__xludf.DUMMYFUNCTION("IF(REGEXMATCH(C103, ""R""), ""2"","""")"),"")</f>
        <v/>
      </c>
      <c r="GF103" s="246" t="str">
        <f>IFERROR(__xludf.DUMMYFUNCTION("IF(REGEXMATCH(C103, ""g""), ""b3"","""")"),"")</f>
        <v/>
      </c>
      <c r="GG103" s="245" t="str">
        <f>IFERROR(__xludf.DUMMYFUNCTION("IF(REGEXMATCH(C103, ""G""), ""3"","""")"),"3")</f>
        <v>3</v>
      </c>
      <c r="GH103" s="245" t="str">
        <f>IFERROR(__xludf.DUMMYFUNCTION("IF(REGEXMATCH(C103, ""m""), ""4"","""")"),"")</f>
        <v/>
      </c>
      <c r="GI103" s="246" t="str">
        <f>IFERROR(__xludf.DUMMYFUNCTION("IF(REGEXMATCH(C103, ""M""), ""#4"","""")"),"#4")</f>
        <v>#4</v>
      </c>
      <c r="GJ103" s="245" t="str">
        <f>IFERROR(__xludf.DUMMYFUNCTION("IF(REGEXMATCH(C103, ""P""), ""5"","""")"),"")</f>
        <v/>
      </c>
      <c r="GK103" s="246" t="str">
        <f>IFERROR(__xludf.DUMMYFUNCTION("IF(REGEXMATCH(C103, ""d""), ""b6"","""")"),"b6")</f>
        <v>b6</v>
      </c>
      <c r="GL103" s="245" t="str">
        <f>IFERROR(__xludf.DUMMYFUNCTION("IF(REGEXMATCH(C103, ""D""), ""6"","""")"),"")</f>
        <v/>
      </c>
      <c r="GM103" s="245" t="str">
        <f>IFERROR(__xludf.DUMMYFUNCTION("IF(REGEXMATCH(C103, ""n""), ""b7"","""")"),"")</f>
        <v/>
      </c>
      <c r="GN103" s="246" t="str">
        <f>IFERROR(__xludf.DUMMYFUNCTION("IF(REGEXMATCH(C103, ""N""), ""7"","""")"),"7")</f>
        <v>7</v>
      </c>
      <c r="GO103" s="249" t="str">
        <f>IFERROR(__xludf.DUMMYFUNCTION("IF(REGEXMATCH(C103, ""S""), ""8"","""")"),"8")</f>
        <v>8</v>
      </c>
      <c r="GP103" s="244" t="str">
        <f>IFERROR(__xludf.DUMMYFUNCTION("IF(REGEXMATCH(C103, ""S""), ""S"","""")"),"S")</f>
        <v>S</v>
      </c>
      <c r="GQ103" s="294" t="str">
        <f>IFERROR(__xludf.DUMMYFUNCTION("IF(REGEXMATCH(C103, ""r""), ""R1"","""")"),"R1")</f>
        <v>R1</v>
      </c>
      <c r="GR103" s="295" t="str">
        <f>IFERROR(__xludf.DUMMYFUNCTION("IF(REGEXMATCH(C103, ""R""), ""R2"","""")"),"")</f>
        <v/>
      </c>
      <c r="GS103" s="295" t="str">
        <f>IFERROR(__xludf.DUMMYFUNCTION("IF(REGEXMATCH(C103, ""g""), ""G2"","""")"),"")</f>
        <v/>
      </c>
      <c r="GT103" s="294" t="str">
        <f>IFERROR(__xludf.DUMMYFUNCTION("IF(REGEXMATCH(C103, ""G""), ""G3"","""")"),"G3")</f>
        <v>G3</v>
      </c>
      <c r="GU103" s="294" t="str">
        <f>IFERROR(__xludf.DUMMYFUNCTION("IF(REGEXMATCH(C103, ""m""), ""M1"","""")"),"")</f>
        <v/>
      </c>
      <c r="GV103" s="295" t="str">
        <f>IFERROR(__xludf.DUMMYFUNCTION("IF(REGEXMATCH(C103, ""M""), ""M2"","""")"),"M2")</f>
        <v>M2</v>
      </c>
      <c r="GW103" s="294" t="str">
        <f>IFERROR(__xludf.DUMMYFUNCTION("IF(REGEXMATCH(C103, ""P""), ""P"","""")"),"")</f>
        <v/>
      </c>
      <c r="GX103" s="295" t="str">
        <f>IFERROR(__xludf.DUMMYFUNCTION("IF(REGEXMATCH(C103, ""d""), ""D1"","""")"),"D1")</f>
        <v>D1</v>
      </c>
      <c r="GY103" s="294" t="str">
        <f>IFERROR(__xludf.DUMMYFUNCTION("IF(REGEXMATCH(C103, ""D""), ""D2"","""")"),"")</f>
        <v/>
      </c>
      <c r="GZ103" s="294" t="str">
        <f>IFERROR(__xludf.DUMMYFUNCTION("IF(REGEXMATCH(C103, ""n""), ""N2"","""")"),"")</f>
        <v/>
      </c>
      <c r="HA103" s="295" t="str">
        <f>IFERROR(__xludf.DUMMYFUNCTION("IF(REGEXMATCH(C103, ""N""), ""N3"","""")"),"N3")</f>
        <v>N3</v>
      </c>
      <c r="HB103" s="249" t="str">
        <f>IFERROR(__xludf.DUMMYFUNCTION("IF(REGEXMATCH(C103, ""S""), ""S"","""")"),"S")</f>
        <v>S</v>
      </c>
      <c r="HC103" s="331" t="str">
        <f t="shared" si="95"/>
        <v>S</v>
      </c>
      <c r="HD103" s="332" t="str">
        <f t="shared" si="96"/>
        <v>r</v>
      </c>
      <c r="HE103" s="332" t="str">
        <f t="shared" si="97"/>
        <v/>
      </c>
      <c r="HF103" s="332" t="str">
        <f t="shared" si="98"/>
        <v/>
      </c>
      <c r="HG103" s="332" t="str">
        <f t="shared" si="99"/>
        <v>G</v>
      </c>
      <c r="HH103" s="332" t="str">
        <f t="shared" si="100"/>
        <v/>
      </c>
      <c r="HI103" s="332" t="str">
        <f t="shared" si="101"/>
        <v>M</v>
      </c>
      <c r="HJ103" s="332" t="str">
        <f t="shared" si="102"/>
        <v/>
      </c>
      <c r="HK103" s="332" t="str">
        <f t="shared" si="103"/>
        <v>d</v>
      </c>
      <c r="HL103" s="332" t="str">
        <f t="shared" si="104"/>
        <v/>
      </c>
      <c r="HM103" s="332" t="str">
        <f t="shared" si="105"/>
        <v/>
      </c>
      <c r="HN103" s="332" t="str">
        <f t="shared" si="106"/>
        <v>N</v>
      </c>
      <c r="HO103" s="343" t="str">
        <f t="shared" si="107"/>
        <v>S</v>
      </c>
      <c r="HP103" s="331" t="str">
        <f t="shared" si="108"/>
        <v>o</v>
      </c>
      <c r="HQ103" s="332" t="str">
        <f t="shared" si="109"/>
        <v>o</v>
      </c>
      <c r="HR103" s="332" t="str">
        <f t="shared" si="110"/>
        <v>•</v>
      </c>
      <c r="HS103" s="332" t="str">
        <f t="shared" si="111"/>
        <v>•</v>
      </c>
      <c r="HT103" s="332" t="str">
        <f t="shared" si="112"/>
        <v>o</v>
      </c>
      <c r="HU103" s="332" t="str">
        <f t="shared" si="113"/>
        <v>•</v>
      </c>
      <c r="HV103" s="332" t="str">
        <f t="shared" si="114"/>
        <v>o</v>
      </c>
      <c r="HW103" s="332" t="str">
        <f t="shared" si="115"/>
        <v>•</v>
      </c>
      <c r="HX103" s="332" t="str">
        <f t="shared" si="116"/>
        <v>o</v>
      </c>
      <c r="HY103" s="332" t="str">
        <f t="shared" si="117"/>
        <v>•</v>
      </c>
      <c r="HZ103" s="332" t="str">
        <f t="shared" si="118"/>
        <v>•</v>
      </c>
      <c r="IA103" s="332" t="str">
        <f t="shared" si="119"/>
        <v>o</v>
      </c>
      <c r="IB103" s="338" t="str">
        <f t="shared" si="120"/>
        <v>o</v>
      </c>
      <c r="IC103" s="331" t="str">
        <f t="shared" si="121"/>
        <v>•</v>
      </c>
      <c r="ID103" s="332" t="str">
        <f t="shared" si="122"/>
        <v>•</v>
      </c>
      <c r="IE103" s="332" t="str">
        <f t="shared" si="123"/>
        <v>o</v>
      </c>
      <c r="IF103" s="332" t="str">
        <f t="shared" si="124"/>
        <v>o</v>
      </c>
      <c r="IG103" s="332" t="str">
        <f t="shared" si="125"/>
        <v>•</v>
      </c>
      <c r="IH103" s="332" t="str">
        <f t="shared" si="126"/>
        <v>o</v>
      </c>
      <c r="II103" s="332" t="str">
        <f t="shared" si="127"/>
        <v>•</v>
      </c>
      <c r="IJ103" s="332" t="str">
        <f t="shared" si="128"/>
        <v>o</v>
      </c>
      <c r="IK103" s="332" t="str">
        <f t="shared" si="129"/>
        <v>•</v>
      </c>
      <c r="IL103" s="332" t="str">
        <f t="shared" si="130"/>
        <v>o</v>
      </c>
      <c r="IM103" s="332" t="str">
        <f t="shared" si="131"/>
        <v>o</v>
      </c>
      <c r="IN103" s="332" t="str">
        <f t="shared" si="132"/>
        <v>•</v>
      </c>
      <c r="IO103" s="338" t="str">
        <f t="shared" si="133"/>
        <v>•</v>
      </c>
      <c r="IP103" s="346" t="b">
        <f t="shared" si="134"/>
        <v>1</v>
      </c>
      <c r="IQ103" s="347" t="b">
        <f t="shared" si="135"/>
        <v>0</v>
      </c>
      <c r="IR103" s="347" t="b">
        <f t="shared" si="136"/>
        <v>0</v>
      </c>
      <c r="IS103" s="347" t="b">
        <f t="shared" si="137"/>
        <v>0</v>
      </c>
      <c r="IT103" s="347" t="b">
        <f t="shared" si="138"/>
        <v>0</v>
      </c>
      <c r="IU103" s="347" t="b">
        <f t="shared" si="139"/>
        <v>0</v>
      </c>
      <c r="IV103" s="347" t="b">
        <f t="shared" si="140"/>
        <v>0</v>
      </c>
      <c r="IW103" s="347" t="b">
        <f t="shared" si="141"/>
        <v>0</v>
      </c>
      <c r="IX103" s="347" t="b">
        <f t="shared" si="142"/>
        <v>1</v>
      </c>
      <c r="IY103" s="347" t="b">
        <f t="shared" si="143"/>
        <v>0</v>
      </c>
      <c r="IZ103" s="347" t="b">
        <f t="shared" si="144"/>
        <v>0</v>
      </c>
      <c r="JA103" s="347" t="b">
        <f t="shared" si="145"/>
        <v>0</v>
      </c>
      <c r="JB103" s="353" t="b">
        <f t="shared" si="146"/>
        <v>1</v>
      </c>
      <c r="JC103" s="354" t="str">
        <f t="shared" si="147"/>
        <v>Sa, </v>
      </c>
      <c r="JD103" s="355" t="str">
        <f t="shared" si="148"/>
        <v/>
      </c>
      <c r="JE103" s="355" t="str">
        <f t="shared" si="149"/>
        <v/>
      </c>
      <c r="JF103" s="355" t="str">
        <f t="shared" si="150"/>
        <v/>
      </c>
      <c r="JG103" s="355" t="str">
        <f t="shared" si="151"/>
        <v/>
      </c>
      <c r="JH103" s="355" t="str">
        <f t="shared" si="152"/>
        <v/>
      </c>
      <c r="JI103" s="355" t="str">
        <f t="shared" si="153"/>
        <v/>
      </c>
      <c r="JJ103" s="355" t="str">
        <f t="shared" si="154"/>
        <v/>
      </c>
      <c r="JK103" s="355" t="str">
        <f t="shared" si="155"/>
        <v>dha, </v>
      </c>
      <c r="JL103" s="355" t="str">
        <f t="shared" si="156"/>
        <v/>
      </c>
      <c r="JM103" s="355" t="str">
        <f t="shared" si="157"/>
        <v/>
      </c>
      <c r="JN103" s="355" t="str">
        <f t="shared" si="158"/>
        <v/>
      </c>
      <c r="JO103" s="359" t="str">
        <f t="shared" si="159"/>
        <v/>
      </c>
      <c r="JP103" s="346" t="b">
        <f t="shared" si="160"/>
        <v>1</v>
      </c>
      <c r="JQ103" s="347" t="b">
        <f t="shared" si="161"/>
        <v>0</v>
      </c>
      <c r="JR103" s="347" t="b">
        <f t="shared" si="162"/>
        <v>0</v>
      </c>
      <c r="JS103" s="347" t="b">
        <f t="shared" si="163"/>
        <v>0</v>
      </c>
      <c r="JT103" s="347" t="b">
        <f t="shared" si="164"/>
        <v>0</v>
      </c>
      <c r="JU103" s="347" t="b">
        <f t="shared" si="165"/>
        <v>0</v>
      </c>
      <c r="JV103" s="347" t="b">
        <f t="shared" si="166"/>
        <v>0</v>
      </c>
      <c r="JW103" s="347" t="b">
        <f t="shared" si="167"/>
        <v>0</v>
      </c>
      <c r="JX103" s="347" t="b">
        <f t="shared" si="168"/>
        <v>0</v>
      </c>
      <c r="JY103" s="347" t="b">
        <f t="shared" si="169"/>
        <v>0</v>
      </c>
      <c r="JZ103" s="347" t="b">
        <f t="shared" si="170"/>
        <v>0</v>
      </c>
      <c r="KA103" s="347" t="b">
        <f t="shared" si="171"/>
        <v>0</v>
      </c>
      <c r="KB103" s="365" t="b">
        <f t="shared" si="172"/>
        <v>1</v>
      </c>
      <c r="KC103" s="354" t="str">
        <f t="shared" si="173"/>
        <v>Sa, </v>
      </c>
      <c r="KD103" s="355" t="str">
        <f t="shared" si="174"/>
        <v/>
      </c>
      <c r="KE103" s="355" t="str">
        <f t="shared" si="175"/>
        <v/>
      </c>
      <c r="KF103" s="355" t="str">
        <f t="shared" si="176"/>
        <v/>
      </c>
      <c r="KG103" s="355" t="str">
        <f t="shared" si="177"/>
        <v/>
      </c>
      <c r="KH103" s="355" t="str">
        <f t="shared" si="178"/>
        <v/>
      </c>
      <c r="KI103" s="355" t="str">
        <f t="shared" si="179"/>
        <v/>
      </c>
      <c r="KJ103" s="355" t="str">
        <f t="shared" si="180"/>
        <v/>
      </c>
      <c r="KK103" s="355" t="str">
        <f t="shared" si="181"/>
        <v/>
      </c>
      <c r="KL103" s="355" t="str">
        <f t="shared" si="182"/>
        <v/>
      </c>
      <c r="KM103" s="355" t="str">
        <f t="shared" si="183"/>
        <v/>
      </c>
      <c r="KN103" s="355" t="str">
        <f t="shared" si="184"/>
        <v/>
      </c>
      <c r="KO103" s="359"/>
      <c r="KP103" s="378"/>
      <c r="KQ103" s="379" t="s">
        <v>716</v>
      </c>
      <c r="KR103" s="380" t="s">
        <v>1383</v>
      </c>
      <c r="KS103" s="381" t="str">
        <f>KQ103</f>
        <v>S-r-G-M-d-N-S</v>
      </c>
      <c r="KT103" s="382">
        <f t="shared" si="186"/>
        <v>6</v>
      </c>
      <c r="KU103" s="383">
        <f t="shared" si="187"/>
        <v>6</v>
      </c>
      <c r="KV103" s="381" t="str">
        <f t="shared" si="205"/>
        <v>S-N-d-M-G-r-S</v>
      </c>
      <c r="KW103" s="382">
        <f t="shared" si="189"/>
        <v>6</v>
      </c>
      <c r="KX103" s="384">
        <f t="shared" si="190"/>
        <v>6</v>
      </c>
      <c r="KY103" s="382">
        <f t="shared" ref="KY103:KZ103" si="407">KW103-KT103</f>
        <v>0</v>
      </c>
      <c r="KZ103" s="369">
        <f t="shared" si="407"/>
        <v>0</v>
      </c>
      <c r="LA103" s="385" t="str">
        <f t="shared" si="192"/>
        <v>✔</v>
      </c>
      <c r="LB103" s="340" t="str">
        <f>IFERROR(__xludf.DUMMYFUNCTION("JOIN("""",ArrayFormula(MID(KS103,LEN(KS103)-SEQUENCE(1,LEN(KS103))+1,1)))"),"S-N-d-M-G-r-S")</f>
        <v>S-N-d-M-G-r-S</v>
      </c>
      <c r="LC103" s="373" t="str">
        <f>IFERROR(__xludf.DUMMYFUNCTION("JOIN("""",ArrayFormula(MID(KV103,LEN(KV103)-SEQUENCE(1,LEN(KV103))+1,1)))"),"S-r-G-M-d-N-S")</f>
        <v>S-r-G-M-d-N-S</v>
      </c>
      <c r="LD103" s="373" t="str">
        <f t="shared" si="193"/>
        <v>SrGMdNS</v>
      </c>
      <c r="LE103" s="339" t="str">
        <f t="shared" si="194"/>
        <v>SrGMdNS</v>
      </c>
      <c r="LF103" s="386" t="str">
        <f>IFERROR(__xludf.DUMMYFUNCTION("SUBSTITUTE(SUBSTITUTE(CONCATENATE(JOIN("""",LH103:LT103)),""1"",""""),""2"","""")"),"SrGMdNS")</f>
        <v>SrGMdNS</v>
      </c>
      <c r="LG103" s="369" t="str">
        <f t="shared" si="195"/>
        <v>✔</v>
      </c>
      <c r="LH103" s="387" t="str">
        <f>IFERROR(__xludf.DUMMYFUNCTION("IF(REGEXMATCH(LD103, ""S""), ""S"",IF(REGEXMATCH(LE103, ""S""), ""S"",""""))"),"S")</f>
        <v>S</v>
      </c>
      <c r="LI103" s="299" t="str">
        <f>IFERROR(__xludf.DUMMYFUNCTION("IF(REGEXMATCH(LD103, ""r""), ""r1"",IF(REGEXMATCH(LE103, ""r""), ""r2"",""""))"),"r1")</f>
        <v>r1</v>
      </c>
      <c r="LJ103" s="299" t="str">
        <f>IFERROR(__xludf.DUMMYFUNCTION("IF(REGEXMATCH(LD103, ""R""), ""R1"",IF(REGEXMATCH(LE103, ""R""), ""R2"",""""))"),"")</f>
        <v/>
      </c>
      <c r="LK103" s="299" t="str">
        <f>IFERROR(__xludf.DUMMYFUNCTION("IF(REGEXMATCH(LD103, ""g""), ""g1"",IF(REGEXMATCH(LE103, ""g""), ""g2"",""""))"),"")</f>
        <v/>
      </c>
      <c r="LL103" s="299" t="str">
        <f>IFERROR(__xludf.DUMMYFUNCTION("IF(REGEXMATCH(LD103, ""G""), ""G1"",IF(REGEXMATCH(LE103, ""G""), ""G2"",""""))"),"G1")</f>
        <v>G1</v>
      </c>
      <c r="LM103" s="299" t="str">
        <f>IFERROR(__xludf.DUMMYFUNCTION("IF(REGEXMATCH(LD103, ""m""), ""m1"",IF(REGEXMATCH(LE103, ""m""), ""m2"",""""))"),"")</f>
        <v/>
      </c>
      <c r="LN103" s="299" t="str">
        <f>IFERROR(__xludf.DUMMYFUNCTION("IF(REGEXMATCH(LD103, ""M""), ""M1"",IF(REGEXMATCH(LE103, ""M""), ""M2"",""""))"),"M1")</f>
        <v>M1</v>
      </c>
      <c r="LO103" s="299" t="str">
        <f>IFERROR(__xludf.DUMMYFUNCTION("IF(REGEXMATCH(LD103, ""P""), ""P1"",IF(REGEXMATCH(LE103, ""P""), ""P2"",""""))"),"")</f>
        <v/>
      </c>
      <c r="LP103" s="299" t="str">
        <f>IFERROR(__xludf.DUMMYFUNCTION("IF(REGEXMATCH(LD103, ""d""), ""d1"",IF(REGEXMATCH(LE103, ""d""), ""d2"",""""))"),"d1")</f>
        <v>d1</v>
      </c>
      <c r="LQ103" s="299" t="str">
        <f>IFERROR(__xludf.DUMMYFUNCTION("IF(REGEXMATCH(LD103, ""D""), ""D1"",IF(REGEXMATCH(LE103, ""D""), ""D2"",""""))"),"")</f>
        <v/>
      </c>
      <c r="LR103" s="299" t="str">
        <f>IFERROR(__xludf.DUMMYFUNCTION("IF(REGEXMATCH(LD103, ""n""), ""n1"",IF(REGEXMATCH(LE103, ""n""), ""n2"",""""))"),"")</f>
        <v/>
      </c>
      <c r="LS103" s="299" t="str">
        <f>IFERROR(__xludf.DUMMYFUNCTION("IF(REGEXMATCH(LD103, ""N""), ""N1"",IF(REGEXMATCH(LE103, ""N""), ""N2"",""""))"),"N1")</f>
        <v>N1</v>
      </c>
      <c r="LT103" s="388" t="str">
        <f>IFERROR(__xludf.DUMMYFUNCTION("IF(REGEXMATCH(LD103, ""S""), ""S"",IF(REGEXMATCH(LE103, ""S""), ""S"",""""))"),"S")</f>
        <v>S</v>
      </c>
      <c r="LU103" s="389">
        <f t="shared" si="196"/>
        <v>1</v>
      </c>
      <c r="LV103" s="378"/>
      <c r="LW103" s="369"/>
      <c r="LX103" s="369"/>
    </row>
    <row r="104" ht="18.0" customHeight="1">
      <c r="A104" s="298" t="s">
        <v>1384</v>
      </c>
      <c r="B104" s="222" t="s">
        <v>1385</v>
      </c>
      <c r="C104" s="233" t="str">
        <f t="shared" si="7"/>
        <v>SgGMPDNS</v>
      </c>
      <c r="D104" s="234" t="str">
        <f>IFERROR(__xludf.DUMMYFUNCTION("IF(REGEXMATCH(C104, ""S""), ""S"","""")"),"S")</f>
        <v>S</v>
      </c>
      <c r="E104" s="236" t="str">
        <f>IFERROR(__xludf.DUMMYFUNCTION("IF(REGEXMATCH(C104, ""r""), ""r"","""")"),"")</f>
        <v/>
      </c>
      <c r="F104" s="237" t="str">
        <f>IFERROR(__xludf.DUMMYFUNCTION("IF(REGEXMATCH(C104, ""R""), ""R"","""")"),"")</f>
        <v/>
      </c>
      <c r="G104" s="237" t="str">
        <f>IFERROR(__xludf.DUMMYFUNCTION("IF(REGEXMATCH(C104, ""g""), ""g"","""")"),"g")</f>
        <v>g</v>
      </c>
      <c r="H104" s="236" t="str">
        <f>IFERROR(__xludf.DUMMYFUNCTION("IF(REGEXMATCH(C104, ""G""), ""G"","""")"),"G")</f>
        <v>G</v>
      </c>
      <c r="I104" s="236" t="str">
        <f>IFERROR(__xludf.DUMMYFUNCTION("IF(REGEXMATCH(C104, ""m""), ""m"","""")"),"")</f>
        <v/>
      </c>
      <c r="J104" s="237" t="str">
        <f>IFERROR(__xludf.DUMMYFUNCTION("IF(REGEXMATCH(C104, ""M""), ""M"","""")"),"M")</f>
        <v>M</v>
      </c>
      <c r="K104" s="236" t="str">
        <f>IFERROR(__xludf.DUMMYFUNCTION("IF(REGEXMATCH(C104, ""P""), ""P"","""")"),"P")</f>
        <v>P</v>
      </c>
      <c r="L104" s="237" t="str">
        <f>IFERROR(__xludf.DUMMYFUNCTION("IF(REGEXMATCH(C104, ""d""), ""d"","""")"),"")</f>
        <v/>
      </c>
      <c r="M104" s="236" t="str">
        <f>IFERROR(__xludf.DUMMYFUNCTION("IF(REGEXMATCH(C104, ""D""), ""D"","""")"),"D")</f>
        <v>D</v>
      </c>
      <c r="N104" s="236" t="str">
        <f>IFERROR(__xludf.DUMMYFUNCTION("IF(REGEXMATCH(C104, ""n""), ""n"","""")"),"")</f>
        <v/>
      </c>
      <c r="O104" s="237" t="str">
        <f>IFERROR(__xludf.DUMMYFUNCTION("IF(REGEXMATCH(C104, ""N""), ""N"","""")"),"N")</f>
        <v>N</v>
      </c>
      <c r="P104" s="238" t="str">
        <f>IFERROR(__xludf.DUMMYFUNCTION("IF(REGEXMATCH(C104, ""S""), ""S"","""")"),"S")</f>
        <v>S</v>
      </c>
      <c r="Q104" s="239" t="str">
        <f>IFERROR(__xludf.DUMMYFUNCTION("SUBSTITUTE(CONCATENATE(JOIN(""-"",D104:J104)),""-"","""")"),"SgGM")</f>
        <v>SgGM</v>
      </c>
      <c r="R104" s="229" t="str">
        <f>IFERROR(__xludf.DUMMYFUNCTION("SUBSTITUTE(CONCATENATE(JOIN(""-"",K104:P104)),""-"","""")"),"PDNS")</f>
        <v>PDNS</v>
      </c>
      <c r="S104" s="282" t="str">
        <f t="shared" si="8"/>
        <v>S-G-M</v>
      </c>
      <c r="T104" s="282" t="str">
        <f t="shared" si="9"/>
        <v>P-D-N-S</v>
      </c>
      <c r="U104" s="237" t="str">
        <f>IFERROR(__xludf.DUMMYFUNCTION("SUBSTITUTE(JOIN(""-"",S104,T104),""--"",""-"")"),"S-G-M-P-D-N-S")</f>
        <v>S-G-M-P-D-N-S</v>
      </c>
      <c r="V104" s="309" t="str">
        <f t="shared" si="10"/>
        <v>gGMDN</v>
      </c>
      <c r="W104" s="244" t="str">
        <f>IFERROR(__xludf.DUMMYFUNCTION("IF(REGEXMATCH(C104, ""S""), ""0"","""")"),"0")</f>
        <v>0</v>
      </c>
      <c r="X104" s="245" t="str">
        <f>IFERROR(__xludf.DUMMYFUNCTION("IF(REGEXMATCH(C104, ""r""), ""1"","""")"),"")</f>
        <v/>
      </c>
      <c r="Y104" s="246" t="str">
        <f>IFERROR(__xludf.DUMMYFUNCTION("IF(REGEXMATCH(C104, ""R""), ""2"","""")"),"")</f>
        <v/>
      </c>
      <c r="Z104" s="246" t="str">
        <f>IFERROR(__xludf.DUMMYFUNCTION("IF(REGEXMATCH(C104, ""g""), ""3"","""")"),"3")</f>
        <v>3</v>
      </c>
      <c r="AA104" s="245" t="str">
        <f>IFERROR(__xludf.DUMMYFUNCTION("IF(REGEXMATCH(C104, ""G""), ""4"","""")"),"4")</f>
        <v>4</v>
      </c>
      <c r="AB104" s="245" t="str">
        <f>IFERROR(__xludf.DUMMYFUNCTION("IF(REGEXMATCH(C104, ""m""), ""5"","""")"),"")</f>
        <v/>
      </c>
      <c r="AC104" s="246" t="str">
        <f>IFERROR(__xludf.DUMMYFUNCTION("IF(REGEXMATCH(C104, ""M""), ""6"","""")"),"6")</f>
        <v>6</v>
      </c>
      <c r="AD104" s="245" t="str">
        <f>IFERROR(__xludf.DUMMYFUNCTION("IF(REGEXMATCH(C104, ""P""), ""7"","""")"),"7")</f>
        <v>7</v>
      </c>
      <c r="AE104" s="246" t="str">
        <f>IFERROR(__xludf.DUMMYFUNCTION("IF(REGEXMATCH(C104, ""d""), ""8"","""")"),"")</f>
        <v/>
      </c>
      <c r="AF104" s="245" t="str">
        <f>IFERROR(__xludf.DUMMYFUNCTION("IF(REGEXMATCH(C104, ""D""), ""9"","""")"),"9")</f>
        <v>9</v>
      </c>
      <c r="AG104" s="245" t="str">
        <f>IFERROR(__xludf.DUMMYFUNCTION("IF(REGEXMATCH(C104, ""n""), ""10"","""")"),"")</f>
        <v/>
      </c>
      <c r="AH104" s="246" t="str">
        <f>IFERROR(__xludf.DUMMYFUNCTION("IF(REGEXMATCH(C104, ""N""), ""11"","""")"),"11")</f>
        <v>11</v>
      </c>
      <c r="AI104" s="249" t="str">
        <f>IFERROR(__xludf.DUMMYFUNCTION("IF(REGEXMATCH(C104, ""S""), ""0"","""")"),"0")</f>
        <v>0</v>
      </c>
      <c r="AJ104" s="313" t="str">
        <f t="shared" si="11"/>
        <v>T</v>
      </c>
      <c r="AK104" s="313" t="str">
        <f t="shared" si="12"/>
        <v>-</v>
      </c>
      <c r="AL104" s="313" t="str">
        <f t="shared" si="13"/>
        <v>-</v>
      </c>
      <c r="AM104" s="313" t="str">
        <f t="shared" si="14"/>
        <v>T</v>
      </c>
      <c r="AN104" s="313" t="str">
        <f t="shared" si="15"/>
        <v>-</v>
      </c>
      <c r="AO104" s="314" t="str">
        <f t="shared" si="16"/>
        <v>-</v>
      </c>
      <c r="AP104" s="316">
        <f t="shared" si="17"/>
        <v>2</v>
      </c>
      <c r="AQ104" s="319" t="str">
        <f t="shared" si="18"/>
        <v>#REF!</v>
      </c>
      <c r="AR104" s="320">
        <f t="shared" si="19"/>
        <v>0</v>
      </c>
      <c r="AS104" s="250" t="str">
        <f>IFERROR(__xludf.DUMMYFUNCTION("SUBSTITUTE(SUBSTITUTE(CONCATENATE(JOIN("""",FP104:GA104)),""|"",""x""),""-"",""o"")"),"xooxxoxxoxox")</f>
        <v>xooxxoxxoxox</v>
      </c>
      <c r="AT104" s="323" t="str">
        <f>IFERROR(__xludf.DUMMYFUNCTION("JOIN("""",AS104,AS104)"),"xooxxoxxoxoxxooxxoxxoxox")</f>
        <v>xooxxoxxoxoxxooxxoxxoxox</v>
      </c>
      <c r="AU104" s="256" t="str">
        <f>IFERROR(__xludf.DUMMYFUNCTION("JOIN("""",ArrayFormula(MID(AS104,LEN(AS104)-SEQUENCE(1,LEN(AS104))+1,1)))"),"xoxoxxoxxoox")</f>
        <v>xoxoxxoxxoox</v>
      </c>
      <c r="AV104" s="256" t="str">
        <f>IFERROR(__xludf.DUMMYFUNCTION("LEFT(CONCATENATE(""x"",JOIN("""",ArrayFormula(MID(AS104,LEN(AS104)-SEQUENCE(1,LEN(AS104))+1,1)))),12)"),"xxoxoxxoxxoo")</f>
        <v>xxoxoxxoxxoo</v>
      </c>
      <c r="AW104" s="327" t="str">
        <f>IFERROR(__xludf.DUMMYFUNCTION("JOIN("""",AU104,AU104)"),"xoxoxxoxxooxxoxoxxoxxoox")</f>
        <v>xoxoxxoxxooxxoxoxxoxxoox</v>
      </c>
      <c r="AX104" s="239" t="str">
        <f>IFERROR(__xludf.DUMMYFUNCTION("IF(REGEXMATCH(AW104,AS104),""✔"",""-"")"),"-")</f>
        <v>-</v>
      </c>
      <c r="AY104" s="330" t="str">
        <f t="shared" si="20"/>
        <v>-</v>
      </c>
      <c r="AZ104" s="260" t="str">
        <f t="shared" si="21"/>
        <v>#REF!</v>
      </c>
      <c r="BA104" s="333" t="str">
        <f t="shared" si="22"/>
        <v>xooxxox</v>
      </c>
      <c r="BB104" s="334" t="str">
        <f t="shared" si="23"/>
        <v>xoxoxx</v>
      </c>
      <c r="BC104" s="335" t="str">
        <f t="shared" si="236"/>
        <v>-</v>
      </c>
      <c r="BD104" s="336" t="str">
        <f t="shared" si="25"/>
        <v>DoGa Kalyan: 'xooxxox' + 'xoxoxx'</v>
      </c>
      <c r="BE104" s="337">
        <f>IFERROR(__xludf.DUMMYFUNCTION("COUNTUNIQUE(FILTER(AT:AT,REGEXMATCH(AT:AT,AS104)))-1"),3.0)</f>
        <v>3</v>
      </c>
      <c r="BF104" s="261" t="str">
        <f>IFERROR(__xludf.DUMMYFUNCTION("IF(BI104=0,""(n/a)"",IF(BJ104=2,""(PAIR)"",IF(REGEXMATCH(AT104,""xoxoxxoxoxox""),""Bilawal"",IF(REGEXMATCH(AT104,""xoxoxooxoxoo""),""Bhupali"",IF(REGEXMATCH(AT104,""xoxoxxoxxoxo""),""Charukeshi"",IF(REGEXMATCH(AT104,""xoxoooxxoxxo""),""Kameshwari"",IF(REG"&amp;"EXMATCH(AT104,""xoxoxooxoxox""),""Shankara"",IF(REGEXMATCH(AT104,""xxooxoxxxoox""),""Basant"",IF(REGEXMATCH(AT104,""xoxoxxxxoxox""),""Bihag"",IF(REGEXMATCH(AT104,""xoxxxxoxoxxx""),""Pilu"",IF(REGEXMATCH(AT104,""xoxxoxoxxoox""),""Kirwani"",IF(REGEXMATCH(AT"&amp;"104,""xoxxoxoxoxxx""),""Mk.Malhar"",IF(REGEXMATCH(AT104,""xxooxxoxxoox""),""Bhairav"",IF(REGEXMATCH(AT104,""xxoxooxxxoox""),""Todi"",IF(REGEXMATCH(AT104,""xxooxoxooxox""),""Marwa"",IF(REGEXMATCH(AT104,""xxoooxoxxooo""),""Gunkali"",IF(REGEXMATCH(AT104,""xo"&amp;"xoxxoxxoox""),""Nat Bhairav"",IF(REGEXMATCH(AT104,""xoxxoooxoxoo""),""Shivranjani"",IF(REGEXMATCH(AT104,""xooxxxoxooxo""),""Jog"",IF(REGEXMATCH(AT104,""xxooxoxoxoox""),""Hemshri"",IF(REGEXMATCH(AT104,""xoooxooxoxxo""),""Kalavati"",IF(REGEXMATCH(AT104,""xx"&amp;"oxoxxoxoox""),""Kedar"",IF(REGEXMATCH(AT104,""xoxxxxoxooxx""),""Gara"",IF(REGEXMATCH(AT104,""xooxoxooxoox""),""Chandrakauns"",IF(REGEXMATCH(AT104,""xoxxxxoxxxox""),""Mand"",IF(REGEXMATCH(AT104,""xoxxxxoxoxox""),""Hanskinkini"",IF(REGEXMATCH(AT104,""xxooxx"&amp;"oxooxo""),""Lilavati"",IF(REGEXMATCH(AT104,""xooxoxoooxox""),""Rajeshwari"",IF(REGEXMATCH(AT104,""xoooxxoxoxxx""),""Khokar"",IF(REGEXMATCH(AT104,""xxooxoxxxxox""),""Maligoura"",""-""))))))))))))))))))))))))))))))"),"Kirwani")</f>
        <v>Kirwani</v>
      </c>
      <c r="BG104" s="239" t="str">
        <f t="shared" si="26"/>
        <v>#REF!</v>
      </c>
      <c r="BH104" s="239">
        <f>IFERROR(__xludf.DUMMYFUNCTION("COUNTUNIQUE(FE104:FO104)-1"),6.0)</f>
        <v>6</v>
      </c>
      <c r="BI104" s="239">
        <f>IFERROR(__xludf.DUMMYFUNCTION("COUNTUNIQUE(FILTER(AT:AT,REGEXMATCH(AT:AT,AS104)))-1"),3.0)</f>
        <v>3</v>
      </c>
      <c r="BJ104" s="239">
        <f>IFERROR(__xludf.DUMMYFUNCTION("COUNTA(FILTER(AT:AT,REGEXMATCH(AT:AT,AS104)))"),6.0)</f>
        <v>6</v>
      </c>
      <c r="BK104" s="341">
        <f>IFERROR(__xludf.DUMMYFUNCTION("COUNTA(FILTER(AT:AT,REGEXMATCH(AT:AT,AS104)))-AR104"),6.0)</f>
        <v>6</v>
      </c>
      <c r="BL104" s="276" t="str">
        <f>IFERROR(__xludf.DUMMYFUNCTION("IF(AS104=""oooooooooooo"",""-"",IF(REGEXMATCH(AT104,""xx""), ""Hemi."", ""Anhemi.""))"),"Hemi.")</f>
        <v>Hemi.</v>
      </c>
      <c r="BM104" s="282" t="str">
        <f>IFERROR(__xludf.DUMMYFUNCTION("IF(AS104=""oooooooooooo"",""-"",IF(REGEXMATCH(AT104,""xxx""), ""Cohem."", ""-""))"),"-")</f>
        <v>-</v>
      </c>
      <c r="BN104" s="282" t="str">
        <f>IFERROR(__xludf.DUMMYFUNCTION("IF(AS104=""oooooooooooo"",""-"",IF(REGEXMATCH(AT104,""xxxx""), ""Co-Co."", ""-""))"),"-")</f>
        <v>-</v>
      </c>
      <c r="BO104" s="342" t="str">
        <f>IFERROR(__xludf.DUMMYFUNCTION("IF(AS104=""oooooooooooo"",""-"",IF(REGEXMATCH(AT104,""xxxxx""), ""CCC."", ""-""))"),"-")</f>
        <v>-</v>
      </c>
      <c r="BP104" s="344" t="str">
        <f t="shared" si="27"/>
        <v>-</v>
      </c>
      <c r="BQ104" s="282" t="str">
        <f>IFERROR(__xludf.DUMMYFUNCTION("IF(REGEXMATCH(JOIN(""-"",EU104:FD104),""TRUE""),""✔"",""-"")"),"-")</f>
        <v>-</v>
      </c>
      <c r="BR104" s="225">
        <f t="shared" si="28"/>
        <v>0</v>
      </c>
      <c r="BS104" s="345" t="str">
        <f>IFERROR(__xludf.DUMMYFUNCTION("SUBSTITUTE(SUBSTITUTE(SUBSTITUTE(SUBSTITUTE(CONCATENATE(JOIN(""-"",GC104:GO104)),""--"",""-""),""--"",""-""),""--"",""-""),""--"",""-"")"),"1-b3-3-#4-5-6-7-8")</f>
        <v>1-b3-3-#4-5-6-7-8</v>
      </c>
      <c r="BT104" s="299" t="str">
        <f>IFERROR(__xludf.DUMMYFUNCTION("SUBSTITUTE(SUBSTITUTE(SUBSTITUTE(SUBSTITUTE(CONCATENATE(JOIN(""-"",GP104:HB104)),""--"",""-""),""--"",""-""),""--"",""-""),""--"",""-"")"),"S-G2-G3-M2-P-D2-N3-S")</f>
        <v>S-G2-G3-M2-P-D2-N3-S</v>
      </c>
      <c r="BU104" s="348" t="str">
        <f t="shared" si="29"/>
        <v>C-Eb-E-F#-G-A-B-C</v>
      </c>
      <c r="BV104" s="349" t="str">
        <f t="shared" si="30"/>
        <v>SrRmdnS</v>
      </c>
      <c r="BW104" s="350">
        <f t="shared" si="31"/>
        <v>0</v>
      </c>
      <c r="BX104" s="351">
        <f t="shared" si="32"/>
        <v>1</v>
      </c>
      <c r="BY104" s="392"/>
      <c r="BZ104" s="309" t="str">
        <f>IFERROR(__xludf.DUMMYFUNCTION("IF(REGEXMATCH(C104, ""S""), ""x"",""x"")"),"x")</f>
        <v>x</v>
      </c>
      <c r="CA104" s="245" t="str">
        <f>IFERROR(__xludf.DUMMYFUNCTION("IF(REGEXMATCH(C104, ""r""), ""o"",""x"")"),"x")</f>
        <v>x</v>
      </c>
      <c r="CB104" s="246" t="str">
        <f>IFERROR(__xludf.DUMMYFUNCTION("IF(REGEXMATCH(C104, ""R""), ""o"",""x"")"),"x")</f>
        <v>x</v>
      </c>
      <c r="CC104" s="246" t="str">
        <f>IFERROR(__xludf.DUMMYFUNCTION("IF(REGEXMATCH(C104, ""g""), ""o"",""x"")"),"o")</f>
        <v>o</v>
      </c>
      <c r="CD104" s="245" t="str">
        <f>IFERROR(__xludf.DUMMYFUNCTION("IF(REGEXMATCH(C104, ""G""), ""o"",""x"")"),"o")</f>
        <v>o</v>
      </c>
      <c r="CE104" s="245" t="str">
        <f>IFERROR(__xludf.DUMMYFUNCTION("IF(REGEXMATCH(C104, ""m""), ""o"",""x"")"),"x")</f>
        <v>x</v>
      </c>
      <c r="CF104" s="246" t="str">
        <f>IFERROR(__xludf.DUMMYFUNCTION("IF(REGEXMATCH(C104, ""M""), ""o"",""x"")"),"o")</f>
        <v>o</v>
      </c>
      <c r="CG104" s="245" t="str">
        <f>IFERROR(__xludf.DUMMYFUNCTION("IF(REGEXMATCH(C104, ""P""), ""o"",""x"")"),"o")</f>
        <v>o</v>
      </c>
      <c r="CH104" s="246" t="str">
        <f>IFERROR(__xludf.DUMMYFUNCTION("IF(REGEXMATCH(C104, ""d""), ""o"",""x"")"),"x")</f>
        <v>x</v>
      </c>
      <c r="CI104" s="245" t="str">
        <f>IFERROR(__xludf.DUMMYFUNCTION("IF(REGEXMATCH(C104, ""D""), ""o"",""x"")"),"o")</f>
        <v>o</v>
      </c>
      <c r="CJ104" s="245" t="str">
        <f>IFERROR(__xludf.DUMMYFUNCTION("IF(REGEXMATCH(C104, ""n""), ""o"",""x"")"),"x")</f>
        <v>x</v>
      </c>
      <c r="CK104" s="245" t="str">
        <f>IFERROR(__xludf.DUMMYFUNCTION("IF(REGEXMATCH(C104, ""N""), ""o"",""x"")"),"o")</f>
        <v>o</v>
      </c>
      <c r="CL104" s="356" t="str">
        <f>IFERROR(__xludf.DUMMYFUNCTION("IF(REGEXMATCH(C104, ""S""), ""x"",""x"")"),"x")</f>
        <v>x</v>
      </c>
      <c r="CM104" s="357" t="str">
        <f t="shared" si="33"/>
        <v>xxxooxooxoxo</v>
      </c>
      <c r="CN104" s="358">
        <f t="shared" si="34"/>
        <v>0</v>
      </c>
      <c r="CO104" s="246" t="str">
        <f>IFERROR(__xludf.DUMMYFUNCTION("IF(REGEXMATCH($C104, ""S""), ""S"",""S"")"),"S")</f>
        <v>S</v>
      </c>
      <c r="CP104" s="246" t="str">
        <f>IFERROR(__xludf.DUMMYFUNCTION("IF(REGEXMATCH($C104, ""r""), """",""r"")"),"r")</f>
        <v>r</v>
      </c>
      <c r="CQ104" s="246" t="str">
        <f>IFERROR(__xludf.DUMMYFUNCTION("IF(REGEXMATCH($C104, ""R""), """",""R"")"),"R")</f>
        <v>R</v>
      </c>
      <c r="CR104" s="246" t="str">
        <f>IFERROR(__xludf.DUMMYFUNCTION("IF(REGEXMATCH($C104, ""g""), """",""g"")"),"")</f>
        <v/>
      </c>
      <c r="CS104" s="246" t="str">
        <f>IFERROR(__xludf.DUMMYFUNCTION("IF(REGEXMATCH($C104, ""G""), """",""G"")"),"")</f>
        <v/>
      </c>
      <c r="CT104" s="246" t="str">
        <f>IFERROR(__xludf.DUMMYFUNCTION("IF(REGEXMATCH($C104, ""m""), """",""m"")"),"m")</f>
        <v>m</v>
      </c>
      <c r="CU104" s="246" t="str">
        <f>IFERROR(__xludf.DUMMYFUNCTION("IF(REGEXMATCH($C104, ""M""), """",""M"")"),"")</f>
        <v/>
      </c>
      <c r="CV104" s="246" t="str">
        <f>IFERROR(__xludf.DUMMYFUNCTION("IF(REGEXMATCH($C104, ""P""), """",""P"")"),"")</f>
        <v/>
      </c>
      <c r="CW104" s="246" t="str">
        <f>IFERROR(__xludf.DUMMYFUNCTION("IF(REGEXMATCH($C104, ""d""), """",""d"")"),"d")</f>
        <v>d</v>
      </c>
      <c r="CX104" s="246" t="str">
        <f>IFERROR(__xludf.DUMMYFUNCTION("IF(REGEXMATCH($C104, ""D""), """",""D"")"),"")</f>
        <v/>
      </c>
      <c r="CY104" s="246" t="str">
        <f>IFERROR(__xludf.DUMMYFUNCTION("IF(REGEXMATCH($C104, ""n""), """",""n"")"),"n")</f>
        <v>n</v>
      </c>
      <c r="CZ104" s="246" t="str">
        <f>IFERROR(__xludf.DUMMYFUNCTION("IF(REGEXMATCH($C104, ""N""), """",""N"")"),"")</f>
        <v/>
      </c>
      <c r="DA104" s="246" t="str">
        <f>IFERROR(__xludf.DUMMYFUNCTION("IF(REGEXMATCH($C104, ""S""), ""S"",""S"")"),"S")</f>
        <v>S</v>
      </c>
      <c r="DB104" s="362" t="str">
        <f>IFERROR(__xludf.DUMMYFUNCTION("JOIN("""",CO104:DA104,"""","""")"),"SrRmdnS")</f>
        <v>SrRmdnS</v>
      </c>
      <c r="DC104" s="363"/>
      <c r="DD104" s="301" t="str">
        <f t="shared" si="35"/>
        <v>#REF!</v>
      </c>
      <c r="DE104" s="302" t="str">
        <f t="shared" si="36"/>
        <v>#REF!</v>
      </c>
      <c r="DF104" s="301" t="str">
        <f t="shared" ref="DF104:DG104" si="408">SUBSTITUTE(S104,"-","")</f>
        <v>SGM</v>
      </c>
      <c r="DG104" s="301" t="str">
        <f t="shared" si="408"/>
        <v>PDNS</v>
      </c>
      <c r="DH104" s="302" t="str">
        <f t="shared" si="38"/>
        <v>Kirwani</v>
      </c>
      <c r="DI104" s="301" t="str">
        <f t="shared" si="39"/>
        <v>Hemi.</v>
      </c>
      <c r="DJ104" s="364" t="str">
        <f t="shared" si="40"/>
        <v>-</v>
      </c>
      <c r="DK104" s="306" t="str">
        <f t="shared" si="41"/>
        <v>-</v>
      </c>
      <c r="DL104" s="366" t="str">
        <f t="shared" si="42"/>
        <v>-</v>
      </c>
      <c r="DM104" s="308" t="str">
        <f t="shared" si="43"/>
        <v>✔</v>
      </c>
      <c r="DN104" s="306" t="str">
        <f t="shared" si="44"/>
        <v>-</v>
      </c>
      <c r="DO104" s="306" t="str">
        <f t="shared" si="45"/>
        <v>-</v>
      </c>
      <c r="DP104" s="367" t="str">
        <f t="shared" si="46"/>
        <v>✔</v>
      </c>
      <c r="DQ104" s="310" t="str">
        <f t="shared" si="47"/>
        <v>-</v>
      </c>
      <c r="DR104" s="310" t="str">
        <f t="shared" si="48"/>
        <v>✔</v>
      </c>
      <c r="DS104" s="310" t="str">
        <f t="shared" si="49"/>
        <v>-</v>
      </c>
      <c r="DT104" s="310" t="str">
        <f t="shared" si="50"/>
        <v>-</v>
      </c>
      <c r="DU104" s="370" t="str">
        <f t="shared" si="51"/>
        <v>-</v>
      </c>
      <c r="DV104" s="306" t="str">
        <f t="shared" si="52"/>
        <v>✔</v>
      </c>
      <c r="DW104" s="306" t="str">
        <f t="shared" si="53"/>
        <v>-</v>
      </c>
      <c r="DX104" s="306" t="str">
        <f t="shared" si="54"/>
        <v>-</v>
      </c>
      <c r="DY104" s="306" t="str">
        <f t="shared" si="55"/>
        <v>-</v>
      </c>
      <c r="DZ104" s="306" t="str">
        <f t="shared" si="56"/>
        <v>-</v>
      </c>
      <c r="EA104" s="367" t="str">
        <f t="shared" si="57"/>
        <v>-</v>
      </c>
      <c r="EB104" s="310" t="str">
        <f>IFERROR(__xludf.DUMMYFUNCTION("IF(REGEXMATCH(AW104,AS104),""✔"",""-"")"),"-")</f>
        <v>-</v>
      </c>
      <c r="EC104" s="310" t="str">
        <f t="shared" si="58"/>
        <v>#REF!</v>
      </c>
      <c r="ED104" s="370" t="str">
        <f t="shared" si="59"/>
        <v>-</v>
      </c>
      <c r="EE104" s="340" t="str">
        <f t="shared" si="60"/>
        <v>S-gG-M-P-D-N-S</v>
      </c>
      <c r="EF104" s="371" t="str">
        <f>IFERROR(__xludf.DUMMYFUNCTION("CONCATENATE(JOIN("""",HC104:HO104))"),"SrgmMdDS")</f>
        <v>SrgmMdDS</v>
      </c>
      <c r="EG104" s="372">
        <f t="shared" si="61"/>
        <v>3</v>
      </c>
      <c r="EH104" s="373" t="str">
        <f>IFERROR(__xludf.DUMMYFUNCTION("CONCATENATE(JOIN("""",JC104:JO104))"),"ga, Ma, Pa, ")</f>
        <v>ga, Ma, Pa, </v>
      </c>
      <c r="EI104" s="322">
        <f t="shared" si="62"/>
        <v>1</v>
      </c>
      <c r="EJ104" s="374" t="str">
        <f>IFERROR(__xludf.DUMMYFUNCTION("CONCATENATE(JOIN("""",KC104:KO104))"),"ga, ")</f>
        <v>ga, </v>
      </c>
      <c r="EK104" s="325" t="str">
        <f t="shared" si="63"/>
        <v>S-G2-G3-M2-P-D2-N3-S</v>
      </c>
      <c r="EL104" s="326" t="str">
        <f t="shared" si="64"/>
        <v>1-b3-3-#4-5-6-7-8</v>
      </c>
      <c r="EM104" s="318" t="str">
        <f t="shared" si="65"/>
        <v>#REF!</v>
      </c>
      <c r="EN104" s="328" t="str">
        <f>IFERROR(__xludf.DUMMYFUNCTION("SUBSTITUTE(SUBSTITUTE(SUBSTITUTE(SUBSTITUTE(CONCATENATE(JOIN("" "",HP104:IB104)),""  "","" ""),""  "","" ""),""  "","" ""),""  "","" "")"),"o • • o o • o o • o • o o")</f>
        <v>o • • o o • o o • o • o o</v>
      </c>
      <c r="EO104" s="368" t="str">
        <f t="shared" si="66"/>
        <v>Sa-Pa</v>
      </c>
      <c r="EP104" s="339" t="str">
        <f t="shared" si="67"/>
        <v>Sa-Pa</v>
      </c>
      <c r="EQ104" s="339" t="str">
        <f t="shared" si="68"/>
        <v>Sa-Pa</v>
      </c>
      <c r="ER104" s="339" t="str">
        <f t="shared" si="69"/>
        <v>-</v>
      </c>
      <c r="ES104" s="340" t="str">
        <f t="shared" si="70"/>
        <v>-</v>
      </c>
      <c r="ET104" s="363"/>
      <c r="EU104" s="376" t="b">
        <f>IFERROR(__xludf.DUMMYFUNCTION("arrayformula(sum(--REGEXMATCH(""SRGMPDNS"",split(REGEXREPLACE(C104,""(.)"",""$1~""),""~""))))=len(C104)
"),FALSE)</f>
        <v>0</v>
      </c>
      <c r="EV104" s="290" t="b">
        <f>IFERROR(__xludf.DUMMYFUNCTION("arrayformula(sum(--REGEXMATCH(""SRGmPDNS"",split(REGEXREPLACE(C104,""(.)"",""$1~""),""~""))))=len(C104)"),FALSE)</f>
        <v>0</v>
      </c>
      <c r="EW104" s="290" t="b">
        <f>IFERROR(__xludf.DUMMYFUNCTION("arrayformula(sum(--REGEXMATCH(""SRGmPDnS"",split(REGEXREPLACE(C104,""(.)"",""$1~""),""~""))))=len(C104)"),FALSE)</f>
        <v>0</v>
      </c>
      <c r="EX104" s="290" t="b">
        <f>IFERROR(__xludf.DUMMYFUNCTION("arrayformula(sum(--REGEXMATCH(""SRgmPDnS"",split(REGEXREPLACE(C104,""(.)"",""$1~""),""~""))))=len(C104)"),FALSE)</f>
        <v>0</v>
      </c>
      <c r="EY104" s="290" t="b">
        <f>IFERROR(__xludf.DUMMYFUNCTION("arrayformula(sum(--REGEXMATCH(""SRgmPdnS"",split(REGEXREPLACE(C104,""(.)"",""$1~""),""~""))))=len(C104)"),FALSE)</f>
        <v>0</v>
      </c>
      <c r="EZ104" s="290" t="b">
        <f>IFERROR(__xludf.DUMMYFUNCTION("arrayformula(sum(--REGEXMATCH(""SrgmPdnS"",split(REGEXREPLACE(C104,""(.)"",""$1~""),""~""))))=len(C104)"),FALSE)</f>
        <v>0</v>
      </c>
      <c r="FA104" s="290" t="b">
        <f>IFERROR(__xludf.DUMMYFUNCTION("arrayformula(sum(--REGEXMATCH(""SrGmPdNS"",split(REGEXREPLACE(C104,""(.)"",""$1~""),""~""))))=len(C104)"),FALSE)</f>
        <v>0</v>
      </c>
      <c r="FB104" s="290" t="b">
        <f>IFERROR(__xludf.DUMMYFUNCTION("arrayformula(sum(--REGEXMATCH(""SrGMPDNS"",split(REGEXREPLACE(C104,""(.)"",""$1~""),""~""))))=len(C104)"),FALSE)</f>
        <v>0</v>
      </c>
      <c r="FC104" s="290" t="b">
        <f>IFERROR(__xludf.DUMMYFUNCTION("arrayformula(sum(--REGEXMATCH(""SrGMPdNS"",split(REGEXREPLACE(C104,""(.)"",""$1~""),""~""))))=len(C104)"),FALSE)</f>
        <v>0</v>
      </c>
      <c r="FD104" s="377" t="b">
        <f>IFERROR(__xludf.DUMMYFUNCTION("arrayformula(sum(--REGEXMATCH(""SrgMPdNS"",split(REGEXREPLACE(C104,""(.)"",""$1~""),""~""))))=len(C104)"),FALSE)</f>
        <v>0</v>
      </c>
      <c r="FE104" s="269" t="str">
        <f t="shared" si="71"/>
        <v>-</v>
      </c>
      <c r="FF104" s="269" t="str">
        <f t="shared" si="72"/>
        <v>-</v>
      </c>
      <c r="FG104" s="271" t="str">
        <f t="shared" si="73"/>
        <v>xxoxxoxoxxo</v>
      </c>
      <c r="FH104" s="269" t="str">
        <f t="shared" si="74"/>
        <v>xoxxoxoxxoo</v>
      </c>
      <c r="FI104" s="271" t="str">
        <f t="shared" si="75"/>
        <v>-</v>
      </c>
      <c r="FJ104" s="271" t="str">
        <f t="shared" si="76"/>
        <v>xxoxoxxooxx</v>
      </c>
      <c r="FK104" s="271" t="str">
        <f t="shared" si="77"/>
        <v>xoxoxxooxxo</v>
      </c>
      <c r="FL104" s="271" t="str">
        <f t="shared" si="78"/>
        <v>-</v>
      </c>
      <c r="FM104" s="271" t="str">
        <f t="shared" si="79"/>
        <v>xoxxooxxoxx</v>
      </c>
      <c r="FN104" s="271" t="str">
        <f t="shared" si="80"/>
        <v>-</v>
      </c>
      <c r="FO104" s="274" t="str">
        <f t="shared" si="81"/>
        <v>xxooxxoxxox</v>
      </c>
      <c r="FP104" s="234" t="str">
        <f t="shared" si="82"/>
        <v>|</v>
      </c>
      <c r="FQ104" s="236" t="str">
        <f t="shared" si="83"/>
        <v>-</v>
      </c>
      <c r="FR104" s="237" t="str">
        <f t="shared" si="84"/>
        <v>-</v>
      </c>
      <c r="FS104" s="236" t="str">
        <f t="shared" si="85"/>
        <v>|</v>
      </c>
      <c r="FT104" s="237" t="str">
        <f t="shared" si="86"/>
        <v>|</v>
      </c>
      <c r="FU104" s="236" t="str">
        <f t="shared" si="87"/>
        <v>-</v>
      </c>
      <c r="FV104" s="237" t="str">
        <f t="shared" si="88"/>
        <v>|</v>
      </c>
      <c r="FW104" s="236" t="str">
        <f t="shared" si="89"/>
        <v>|</v>
      </c>
      <c r="FX104" s="237" t="str">
        <f t="shared" si="90"/>
        <v>-</v>
      </c>
      <c r="FY104" s="236" t="str">
        <f t="shared" si="91"/>
        <v>|</v>
      </c>
      <c r="FZ104" s="237" t="str">
        <f t="shared" si="92"/>
        <v>-</v>
      </c>
      <c r="GA104" s="236" t="str">
        <f t="shared" si="93"/>
        <v>|</v>
      </c>
      <c r="GB104" s="238" t="str">
        <f t="shared" si="94"/>
        <v>|</v>
      </c>
      <c r="GC104" s="244" t="str">
        <f>IFERROR(__xludf.DUMMYFUNCTION("IF(REGEXMATCH(C104, ""S""), ""1"","""")"),"1")</f>
        <v>1</v>
      </c>
      <c r="GD104" s="245" t="str">
        <f>IFERROR(__xludf.DUMMYFUNCTION("IF(REGEXMATCH(C104, ""r""), ""b2"","""")"),"")</f>
        <v/>
      </c>
      <c r="GE104" s="246" t="str">
        <f>IFERROR(__xludf.DUMMYFUNCTION("IF(REGEXMATCH(C104, ""R""), ""2"","""")"),"")</f>
        <v/>
      </c>
      <c r="GF104" s="246" t="str">
        <f>IFERROR(__xludf.DUMMYFUNCTION("IF(REGEXMATCH(C104, ""g""), ""b3"","""")"),"b3")</f>
        <v>b3</v>
      </c>
      <c r="GG104" s="245" t="str">
        <f>IFERROR(__xludf.DUMMYFUNCTION("IF(REGEXMATCH(C104, ""G""), ""3"","""")"),"3")</f>
        <v>3</v>
      </c>
      <c r="GH104" s="245" t="str">
        <f>IFERROR(__xludf.DUMMYFUNCTION("IF(REGEXMATCH(C104, ""m""), ""4"","""")"),"")</f>
        <v/>
      </c>
      <c r="GI104" s="246" t="str">
        <f>IFERROR(__xludf.DUMMYFUNCTION("IF(REGEXMATCH(C104, ""M""), ""#4"","""")"),"#4")</f>
        <v>#4</v>
      </c>
      <c r="GJ104" s="245" t="str">
        <f>IFERROR(__xludf.DUMMYFUNCTION("IF(REGEXMATCH(C104, ""P""), ""5"","""")"),"5")</f>
        <v>5</v>
      </c>
      <c r="GK104" s="246" t="str">
        <f>IFERROR(__xludf.DUMMYFUNCTION("IF(REGEXMATCH(C104, ""d""), ""b6"","""")"),"")</f>
        <v/>
      </c>
      <c r="GL104" s="245" t="str">
        <f>IFERROR(__xludf.DUMMYFUNCTION("IF(REGEXMATCH(C104, ""D""), ""6"","""")"),"6")</f>
        <v>6</v>
      </c>
      <c r="GM104" s="245" t="str">
        <f>IFERROR(__xludf.DUMMYFUNCTION("IF(REGEXMATCH(C104, ""n""), ""b7"","""")"),"")</f>
        <v/>
      </c>
      <c r="GN104" s="246" t="str">
        <f>IFERROR(__xludf.DUMMYFUNCTION("IF(REGEXMATCH(C104, ""N""), ""7"","""")"),"7")</f>
        <v>7</v>
      </c>
      <c r="GO104" s="249" t="str">
        <f>IFERROR(__xludf.DUMMYFUNCTION("IF(REGEXMATCH(C104, ""S""), ""8"","""")"),"8")</f>
        <v>8</v>
      </c>
      <c r="GP104" s="244" t="str">
        <f>IFERROR(__xludf.DUMMYFUNCTION("IF(REGEXMATCH(C104, ""S""), ""S"","""")"),"S")</f>
        <v>S</v>
      </c>
      <c r="GQ104" s="294" t="str">
        <f>IFERROR(__xludf.DUMMYFUNCTION("IF(REGEXMATCH(C104, ""r""), ""R1"","""")"),"")</f>
        <v/>
      </c>
      <c r="GR104" s="295" t="str">
        <f>IFERROR(__xludf.DUMMYFUNCTION("IF(REGEXMATCH(C104, ""R""), ""R2"","""")"),"")</f>
        <v/>
      </c>
      <c r="GS104" s="295" t="str">
        <f>IFERROR(__xludf.DUMMYFUNCTION("IF(REGEXMATCH(C104, ""g""), ""G2"","""")"),"G2")</f>
        <v>G2</v>
      </c>
      <c r="GT104" s="294" t="str">
        <f>IFERROR(__xludf.DUMMYFUNCTION("IF(REGEXMATCH(C104, ""G""), ""G3"","""")"),"G3")</f>
        <v>G3</v>
      </c>
      <c r="GU104" s="294" t="str">
        <f>IFERROR(__xludf.DUMMYFUNCTION("IF(REGEXMATCH(C104, ""m""), ""M1"","""")"),"")</f>
        <v/>
      </c>
      <c r="GV104" s="295" t="str">
        <f>IFERROR(__xludf.DUMMYFUNCTION("IF(REGEXMATCH(C104, ""M""), ""M2"","""")"),"M2")</f>
        <v>M2</v>
      </c>
      <c r="GW104" s="294" t="str">
        <f>IFERROR(__xludf.DUMMYFUNCTION("IF(REGEXMATCH(C104, ""P""), ""P"","""")"),"P")</f>
        <v>P</v>
      </c>
      <c r="GX104" s="295" t="str">
        <f>IFERROR(__xludf.DUMMYFUNCTION("IF(REGEXMATCH(C104, ""d""), ""D1"","""")"),"")</f>
        <v/>
      </c>
      <c r="GY104" s="294" t="str">
        <f>IFERROR(__xludf.DUMMYFUNCTION("IF(REGEXMATCH(C104, ""D""), ""D2"","""")"),"D2")</f>
        <v>D2</v>
      </c>
      <c r="GZ104" s="294" t="str">
        <f>IFERROR(__xludf.DUMMYFUNCTION("IF(REGEXMATCH(C104, ""n""), ""N2"","""")"),"")</f>
        <v/>
      </c>
      <c r="HA104" s="295" t="str">
        <f>IFERROR(__xludf.DUMMYFUNCTION("IF(REGEXMATCH(C104, ""N""), ""N3"","""")"),"N3")</f>
        <v>N3</v>
      </c>
      <c r="HB104" s="249" t="str">
        <f>IFERROR(__xludf.DUMMYFUNCTION("IF(REGEXMATCH(C104, ""S""), ""S"","""")"),"S")</f>
        <v>S</v>
      </c>
      <c r="HC104" s="331" t="str">
        <f t="shared" si="95"/>
        <v>S</v>
      </c>
      <c r="HD104" s="332" t="str">
        <f t="shared" si="96"/>
        <v>r</v>
      </c>
      <c r="HE104" s="332" t="str">
        <f t="shared" si="97"/>
        <v/>
      </c>
      <c r="HF104" s="332" t="str">
        <f t="shared" si="98"/>
        <v>g</v>
      </c>
      <c r="HG104" s="332" t="str">
        <f t="shared" si="99"/>
        <v/>
      </c>
      <c r="HH104" s="332" t="str">
        <f t="shared" si="100"/>
        <v>m</v>
      </c>
      <c r="HI104" s="332" t="str">
        <f t="shared" si="101"/>
        <v>M</v>
      </c>
      <c r="HJ104" s="332" t="str">
        <f t="shared" si="102"/>
        <v/>
      </c>
      <c r="HK104" s="332" t="str">
        <f t="shared" si="103"/>
        <v>d</v>
      </c>
      <c r="HL104" s="332" t="str">
        <f t="shared" si="104"/>
        <v>D</v>
      </c>
      <c r="HM104" s="332" t="str">
        <f t="shared" si="105"/>
        <v/>
      </c>
      <c r="HN104" s="332" t="str">
        <f t="shared" si="106"/>
        <v/>
      </c>
      <c r="HO104" s="343" t="str">
        <f t="shared" si="107"/>
        <v>S</v>
      </c>
      <c r="HP104" s="331" t="str">
        <f t="shared" si="108"/>
        <v>o</v>
      </c>
      <c r="HQ104" s="332" t="str">
        <f t="shared" si="109"/>
        <v>•</v>
      </c>
      <c r="HR104" s="332" t="str">
        <f t="shared" si="110"/>
        <v>•</v>
      </c>
      <c r="HS104" s="332" t="str">
        <f t="shared" si="111"/>
        <v>o</v>
      </c>
      <c r="HT104" s="332" t="str">
        <f t="shared" si="112"/>
        <v>o</v>
      </c>
      <c r="HU104" s="332" t="str">
        <f t="shared" si="113"/>
        <v>•</v>
      </c>
      <c r="HV104" s="332" t="str">
        <f t="shared" si="114"/>
        <v>o</v>
      </c>
      <c r="HW104" s="332" t="str">
        <f t="shared" si="115"/>
        <v>o</v>
      </c>
      <c r="HX104" s="332" t="str">
        <f t="shared" si="116"/>
        <v>•</v>
      </c>
      <c r="HY104" s="332" t="str">
        <f t="shared" si="117"/>
        <v>o</v>
      </c>
      <c r="HZ104" s="332" t="str">
        <f t="shared" si="118"/>
        <v>•</v>
      </c>
      <c r="IA104" s="332" t="str">
        <f t="shared" si="119"/>
        <v>o</v>
      </c>
      <c r="IB104" s="338" t="str">
        <f t="shared" si="120"/>
        <v>o</v>
      </c>
      <c r="IC104" s="331" t="str">
        <f t="shared" si="121"/>
        <v>•</v>
      </c>
      <c r="ID104" s="332" t="str">
        <f t="shared" si="122"/>
        <v>o</v>
      </c>
      <c r="IE104" s="332" t="str">
        <f t="shared" si="123"/>
        <v>o</v>
      </c>
      <c r="IF104" s="332" t="str">
        <f t="shared" si="124"/>
        <v>•</v>
      </c>
      <c r="IG104" s="332" t="str">
        <f t="shared" si="125"/>
        <v>•</v>
      </c>
      <c r="IH104" s="332" t="str">
        <f t="shared" si="126"/>
        <v>o</v>
      </c>
      <c r="II104" s="332" t="str">
        <f t="shared" si="127"/>
        <v>•</v>
      </c>
      <c r="IJ104" s="332" t="str">
        <f t="shared" si="128"/>
        <v>•</v>
      </c>
      <c r="IK104" s="332" t="str">
        <f t="shared" si="129"/>
        <v>o</v>
      </c>
      <c r="IL104" s="332" t="str">
        <f t="shared" si="130"/>
        <v>•</v>
      </c>
      <c r="IM104" s="332" t="str">
        <f t="shared" si="131"/>
        <v>o</v>
      </c>
      <c r="IN104" s="332" t="str">
        <f t="shared" si="132"/>
        <v>•</v>
      </c>
      <c r="IO104" s="338" t="str">
        <f t="shared" si="133"/>
        <v>•</v>
      </c>
      <c r="IP104" s="346" t="b">
        <f t="shared" si="134"/>
        <v>0</v>
      </c>
      <c r="IQ104" s="347" t="b">
        <f t="shared" si="135"/>
        <v>0</v>
      </c>
      <c r="IR104" s="347" t="b">
        <f t="shared" si="136"/>
        <v>0</v>
      </c>
      <c r="IS104" s="347" t="b">
        <f t="shared" si="137"/>
        <v>1</v>
      </c>
      <c r="IT104" s="347" t="b">
        <f t="shared" si="138"/>
        <v>0</v>
      </c>
      <c r="IU104" s="347" t="b">
        <f t="shared" si="139"/>
        <v>0</v>
      </c>
      <c r="IV104" s="347" t="b">
        <f t="shared" si="140"/>
        <v>1</v>
      </c>
      <c r="IW104" s="347" t="b">
        <f t="shared" si="141"/>
        <v>1</v>
      </c>
      <c r="IX104" s="347" t="b">
        <f t="shared" si="142"/>
        <v>0</v>
      </c>
      <c r="IY104" s="347" t="b">
        <f t="shared" si="143"/>
        <v>0</v>
      </c>
      <c r="IZ104" s="347" t="b">
        <f t="shared" si="144"/>
        <v>0</v>
      </c>
      <c r="JA104" s="347" t="b">
        <f t="shared" si="145"/>
        <v>0</v>
      </c>
      <c r="JB104" s="353" t="b">
        <f t="shared" si="146"/>
        <v>0</v>
      </c>
      <c r="JC104" s="354" t="str">
        <f t="shared" si="147"/>
        <v/>
      </c>
      <c r="JD104" s="355" t="str">
        <f t="shared" si="148"/>
        <v/>
      </c>
      <c r="JE104" s="355" t="str">
        <f t="shared" si="149"/>
        <v/>
      </c>
      <c r="JF104" s="355" t="str">
        <f t="shared" si="150"/>
        <v>ga, </v>
      </c>
      <c r="JG104" s="355" t="str">
        <f t="shared" si="151"/>
        <v/>
      </c>
      <c r="JH104" s="355" t="str">
        <f t="shared" si="152"/>
        <v/>
      </c>
      <c r="JI104" s="355" t="str">
        <f t="shared" si="153"/>
        <v>Ma, </v>
      </c>
      <c r="JJ104" s="355" t="str">
        <f t="shared" si="154"/>
        <v>Pa, </v>
      </c>
      <c r="JK104" s="355" t="str">
        <f t="shared" si="155"/>
        <v/>
      </c>
      <c r="JL104" s="355" t="str">
        <f t="shared" si="156"/>
        <v/>
      </c>
      <c r="JM104" s="355" t="str">
        <f t="shared" si="157"/>
        <v/>
      </c>
      <c r="JN104" s="355" t="str">
        <f t="shared" si="158"/>
        <v/>
      </c>
      <c r="JO104" s="359" t="str">
        <f t="shared" si="159"/>
        <v/>
      </c>
      <c r="JP104" s="346" t="b">
        <f t="shared" si="160"/>
        <v>0</v>
      </c>
      <c r="JQ104" s="347" t="b">
        <f t="shared" si="161"/>
        <v>0</v>
      </c>
      <c r="JR104" s="347" t="b">
        <f t="shared" si="162"/>
        <v>0</v>
      </c>
      <c r="JS104" s="347" t="b">
        <f t="shared" si="163"/>
        <v>1</v>
      </c>
      <c r="JT104" s="347" t="b">
        <f t="shared" si="164"/>
        <v>0</v>
      </c>
      <c r="JU104" s="347" t="b">
        <f t="shared" si="165"/>
        <v>0</v>
      </c>
      <c r="JV104" s="347" t="b">
        <f t="shared" si="166"/>
        <v>0</v>
      </c>
      <c r="JW104" s="347" t="b">
        <f t="shared" si="167"/>
        <v>0</v>
      </c>
      <c r="JX104" s="347" t="b">
        <f t="shared" si="168"/>
        <v>0</v>
      </c>
      <c r="JY104" s="347" t="b">
        <f t="shared" si="169"/>
        <v>0</v>
      </c>
      <c r="JZ104" s="347" t="b">
        <f t="shared" si="170"/>
        <v>0</v>
      </c>
      <c r="KA104" s="347" t="b">
        <f t="shared" si="171"/>
        <v>0</v>
      </c>
      <c r="KB104" s="365" t="b">
        <f t="shared" si="172"/>
        <v>0</v>
      </c>
      <c r="KC104" s="354" t="str">
        <f t="shared" si="173"/>
        <v/>
      </c>
      <c r="KD104" s="355" t="str">
        <f t="shared" si="174"/>
        <v/>
      </c>
      <c r="KE104" s="355" t="str">
        <f t="shared" si="175"/>
        <v/>
      </c>
      <c r="KF104" s="355" t="str">
        <f t="shared" si="176"/>
        <v>ga, </v>
      </c>
      <c r="KG104" s="355" t="str">
        <f t="shared" si="177"/>
        <v/>
      </c>
      <c r="KH104" s="355" t="str">
        <f t="shared" si="178"/>
        <v/>
      </c>
      <c r="KI104" s="355" t="str">
        <f t="shared" si="179"/>
        <v/>
      </c>
      <c r="KJ104" s="355" t="str">
        <f t="shared" si="180"/>
        <v/>
      </c>
      <c r="KK104" s="355" t="str">
        <f t="shared" si="181"/>
        <v/>
      </c>
      <c r="KL104" s="355" t="str">
        <f t="shared" si="182"/>
        <v/>
      </c>
      <c r="KM104" s="355" t="str">
        <f t="shared" si="183"/>
        <v/>
      </c>
      <c r="KN104" s="355" t="str">
        <f t="shared" si="184"/>
        <v/>
      </c>
      <c r="KO104" s="359"/>
      <c r="KP104" s="378"/>
      <c r="KQ104" s="379" t="s">
        <v>9</v>
      </c>
      <c r="KR104" s="380" t="s">
        <v>9</v>
      </c>
      <c r="KS104" s="381" t="s">
        <v>9</v>
      </c>
      <c r="KT104" s="382">
        <f t="shared" si="186"/>
        <v>0</v>
      </c>
      <c r="KU104" s="383">
        <f t="shared" si="187"/>
        <v>0</v>
      </c>
      <c r="KV104" s="381" t="str">
        <f t="shared" si="205"/>
        <v>S</v>
      </c>
      <c r="KW104" s="382">
        <f t="shared" si="189"/>
        <v>0</v>
      </c>
      <c r="KX104" s="384">
        <f t="shared" si="190"/>
        <v>0</v>
      </c>
      <c r="KY104" s="382">
        <f t="shared" ref="KY104:KZ104" si="409">KW104-KT104</f>
        <v>0</v>
      </c>
      <c r="KZ104" s="369">
        <f t="shared" si="409"/>
        <v>0</v>
      </c>
      <c r="LA104" s="385" t="str">
        <f t="shared" si="192"/>
        <v>✔</v>
      </c>
      <c r="LB104" s="340" t="str">
        <f>IFERROR(__xludf.DUMMYFUNCTION("JOIN("""",ArrayFormula(MID(KS104,LEN(KS104)-SEQUENCE(1,LEN(KS104))+1,1)))"),"S")</f>
        <v>S</v>
      </c>
      <c r="LC104" s="373" t="str">
        <f>IFERROR(__xludf.DUMMYFUNCTION("JOIN("""",ArrayFormula(MID(KV104,LEN(KV104)-SEQUENCE(1,LEN(KV104))+1,1)))"),"S")</f>
        <v>S</v>
      </c>
      <c r="LD104" s="373" t="str">
        <f t="shared" si="193"/>
        <v>S</v>
      </c>
      <c r="LE104" s="339" t="str">
        <f t="shared" si="194"/>
        <v>S</v>
      </c>
      <c r="LF104" s="386" t="str">
        <f>IFERROR(__xludf.DUMMYFUNCTION("SUBSTITUTE(SUBSTITUTE(CONCATENATE(JOIN("""",LH104:LT104)),""1"",""""),""2"","""")"),"SS")</f>
        <v>SS</v>
      </c>
      <c r="LG104" s="369" t="str">
        <f t="shared" si="195"/>
        <v>-</v>
      </c>
      <c r="LH104" s="387" t="str">
        <f>IFERROR(__xludf.DUMMYFUNCTION("IF(REGEXMATCH(LD104, ""S""), ""S"",IF(REGEXMATCH(LE104, ""S""), ""S"",""""))"),"S")</f>
        <v>S</v>
      </c>
      <c r="LI104" s="299" t="str">
        <f>IFERROR(__xludf.DUMMYFUNCTION("IF(REGEXMATCH(LD104, ""r""), ""r1"",IF(REGEXMATCH(LE104, ""r""), ""r2"",""""))"),"")</f>
        <v/>
      </c>
      <c r="LJ104" s="299" t="str">
        <f>IFERROR(__xludf.DUMMYFUNCTION("IF(REGEXMATCH(LD104, ""R""), ""R1"",IF(REGEXMATCH(LE104, ""R""), ""R2"",""""))"),"")</f>
        <v/>
      </c>
      <c r="LK104" s="299" t="str">
        <f>IFERROR(__xludf.DUMMYFUNCTION("IF(REGEXMATCH(LD104, ""g""), ""g1"",IF(REGEXMATCH(LE104, ""g""), ""g2"",""""))"),"")</f>
        <v/>
      </c>
      <c r="LL104" s="299" t="str">
        <f>IFERROR(__xludf.DUMMYFUNCTION("IF(REGEXMATCH(LD104, ""G""), ""G1"",IF(REGEXMATCH(LE104, ""G""), ""G2"",""""))"),"")</f>
        <v/>
      </c>
      <c r="LM104" s="299" t="str">
        <f>IFERROR(__xludf.DUMMYFUNCTION("IF(REGEXMATCH(LD104, ""m""), ""m1"",IF(REGEXMATCH(LE104, ""m""), ""m2"",""""))"),"")</f>
        <v/>
      </c>
      <c r="LN104" s="299" t="str">
        <f>IFERROR(__xludf.DUMMYFUNCTION("IF(REGEXMATCH(LD104, ""M""), ""M1"",IF(REGEXMATCH(LE104, ""M""), ""M2"",""""))"),"")</f>
        <v/>
      </c>
      <c r="LO104" s="299" t="str">
        <f>IFERROR(__xludf.DUMMYFUNCTION("IF(REGEXMATCH(LD104, ""P""), ""P1"",IF(REGEXMATCH(LE104, ""P""), ""P2"",""""))"),"")</f>
        <v/>
      </c>
      <c r="LP104" s="299" t="str">
        <f>IFERROR(__xludf.DUMMYFUNCTION("IF(REGEXMATCH(LD104, ""d""), ""d1"",IF(REGEXMATCH(LE104, ""d""), ""d2"",""""))"),"")</f>
        <v/>
      </c>
      <c r="LQ104" s="299" t="str">
        <f>IFERROR(__xludf.DUMMYFUNCTION("IF(REGEXMATCH(LD104, ""D""), ""D1"",IF(REGEXMATCH(LE104, ""D""), ""D2"",""""))"),"")</f>
        <v/>
      </c>
      <c r="LR104" s="299" t="str">
        <f>IFERROR(__xludf.DUMMYFUNCTION("IF(REGEXMATCH(LD104, ""n""), ""n1"",IF(REGEXMATCH(LE104, ""n""), ""n2"",""""))"),"")</f>
        <v/>
      </c>
      <c r="LS104" s="299" t="str">
        <f>IFERROR(__xludf.DUMMYFUNCTION("IF(REGEXMATCH(LD104, ""N""), ""N1"",IF(REGEXMATCH(LE104, ""N""), ""N2"",""""))"),"")</f>
        <v/>
      </c>
      <c r="LT104" s="388" t="str">
        <f>IFERROR(__xludf.DUMMYFUNCTION("IF(REGEXMATCH(LD104, ""S""), ""S"",IF(REGEXMATCH(LE104, ""S""), ""S"",""""))"),"S")</f>
        <v>S</v>
      </c>
      <c r="LU104" s="389">
        <f t="shared" si="196"/>
        <v>1</v>
      </c>
      <c r="LV104" s="378"/>
      <c r="LW104" s="369"/>
      <c r="LX104" s="369"/>
    </row>
    <row r="105" ht="18.0" customHeight="1">
      <c r="A105" s="298" t="s">
        <v>718</v>
      </c>
      <c r="B105" s="222" t="s">
        <v>719</v>
      </c>
      <c r="C105" s="233" t="str">
        <f t="shared" si="7"/>
        <v>SRmPDS</v>
      </c>
      <c r="D105" s="234" t="str">
        <f>IFERROR(__xludf.DUMMYFUNCTION("IF(REGEXMATCH(C105, ""S""), ""S"","""")"),"S")</f>
        <v>S</v>
      </c>
      <c r="E105" s="236" t="str">
        <f>IFERROR(__xludf.DUMMYFUNCTION("IF(REGEXMATCH(C105, ""r""), ""r"","""")"),"")</f>
        <v/>
      </c>
      <c r="F105" s="237" t="str">
        <f>IFERROR(__xludf.DUMMYFUNCTION("IF(REGEXMATCH(C105, ""R""), ""R"","""")"),"R")</f>
        <v>R</v>
      </c>
      <c r="G105" s="237" t="str">
        <f>IFERROR(__xludf.DUMMYFUNCTION("IF(REGEXMATCH(C105, ""g""), ""g"","""")"),"")</f>
        <v/>
      </c>
      <c r="H105" s="236" t="str">
        <f>IFERROR(__xludf.DUMMYFUNCTION("IF(REGEXMATCH(C105, ""G""), ""G"","""")"),"")</f>
        <v/>
      </c>
      <c r="I105" s="236" t="str">
        <f>IFERROR(__xludf.DUMMYFUNCTION("IF(REGEXMATCH(C105, ""m""), ""m"","""")"),"m")</f>
        <v>m</v>
      </c>
      <c r="J105" s="237" t="str">
        <f>IFERROR(__xludf.DUMMYFUNCTION("IF(REGEXMATCH(C105, ""M""), ""M"","""")"),"")</f>
        <v/>
      </c>
      <c r="K105" s="236" t="str">
        <f>IFERROR(__xludf.DUMMYFUNCTION("IF(REGEXMATCH(C105, ""P""), ""P"","""")"),"P")</f>
        <v>P</v>
      </c>
      <c r="L105" s="237" t="str">
        <f>IFERROR(__xludf.DUMMYFUNCTION("IF(REGEXMATCH(C105, ""d""), ""d"","""")"),"")</f>
        <v/>
      </c>
      <c r="M105" s="236" t="str">
        <f>IFERROR(__xludf.DUMMYFUNCTION("IF(REGEXMATCH(C105, ""D""), ""D"","""")"),"D")</f>
        <v>D</v>
      </c>
      <c r="N105" s="236" t="str">
        <f>IFERROR(__xludf.DUMMYFUNCTION("IF(REGEXMATCH(C105, ""n""), ""n"","""")"),"")</f>
        <v/>
      </c>
      <c r="O105" s="237" t="str">
        <f>IFERROR(__xludf.DUMMYFUNCTION("IF(REGEXMATCH(C105, ""N""), ""N"","""")"),"")</f>
        <v/>
      </c>
      <c r="P105" s="238" t="str">
        <f>IFERROR(__xludf.DUMMYFUNCTION("IF(REGEXMATCH(C105, ""S""), ""S"","""")"),"S")</f>
        <v>S</v>
      </c>
      <c r="Q105" s="239" t="str">
        <f>IFERROR(__xludf.DUMMYFUNCTION("SUBSTITUTE(CONCATENATE(JOIN(""-"",D105:J105)),""-"","""")"),"SRm")</f>
        <v>SRm</v>
      </c>
      <c r="R105" s="229" t="str">
        <f>IFERROR(__xludf.DUMMYFUNCTION("SUBSTITUTE(CONCATENATE(JOIN(""-"",K105:P105)),""-"","""")"),"PDS")</f>
        <v>PDS</v>
      </c>
      <c r="S105" s="282" t="str">
        <f t="shared" si="8"/>
        <v>S-R-M</v>
      </c>
      <c r="T105" s="282" t="str">
        <f t="shared" si="9"/>
        <v>P-D-S</v>
      </c>
      <c r="U105" s="237" t="str">
        <f>IFERROR(__xludf.DUMMYFUNCTION("SUBSTITUTE(JOIN(""-"",S105,T105),""--"",""-"")"),"S-R-M-P-D-S")</f>
        <v>S-R-M-P-D-S</v>
      </c>
      <c r="V105" s="309" t="str">
        <f t="shared" si="10"/>
        <v>RmD</v>
      </c>
      <c r="W105" s="244" t="str">
        <f>IFERROR(__xludf.DUMMYFUNCTION("IF(REGEXMATCH(C105, ""S""), ""0"","""")"),"0")</f>
        <v>0</v>
      </c>
      <c r="X105" s="245" t="str">
        <f>IFERROR(__xludf.DUMMYFUNCTION("IF(REGEXMATCH(C105, ""r""), ""1"","""")"),"")</f>
        <v/>
      </c>
      <c r="Y105" s="246" t="str">
        <f>IFERROR(__xludf.DUMMYFUNCTION("IF(REGEXMATCH(C105, ""R""), ""2"","""")"),"2")</f>
        <v>2</v>
      </c>
      <c r="Z105" s="246" t="str">
        <f>IFERROR(__xludf.DUMMYFUNCTION("IF(REGEXMATCH(C105, ""g""), ""3"","""")"),"")</f>
        <v/>
      </c>
      <c r="AA105" s="245" t="str">
        <f>IFERROR(__xludf.DUMMYFUNCTION("IF(REGEXMATCH(C105, ""G""), ""4"","""")"),"")</f>
        <v/>
      </c>
      <c r="AB105" s="245" t="str">
        <f>IFERROR(__xludf.DUMMYFUNCTION("IF(REGEXMATCH(C105, ""m""), ""5"","""")"),"5")</f>
        <v>5</v>
      </c>
      <c r="AC105" s="246" t="str">
        <f>IFERROR(__xludf.DUMMYFUNCTION("IF(REGEXMATCH(C105, ""M""), ""6"","""")"),"")</f>
        <v/>
      </c>
      <c r="AD105" s="245" t="str">
        <f>IFERROR(__xludf.DUMMYFUNCTION("IF(REGEXMATCH(C105, ""P""), ""7"","""")"),"7")</f>
        <v>7</v>
      </c>
      <c r="AE105" s="246" t="str">
        <f>IFERROR(__xludf.DUMMYFUNCTION("IF(REGEXMATCH(C105, ""d""), ""8"","""")"),"")</f>
        <v/>
      </c>
      <c r="AF105" s="245" t="str">
        <f>IFERROR(__xludf.DUMMYFUNCTION("IF(REGEXMATCH(C105, ""D""), ""9"","""")"),"9")</f>
        <v>9</v>
      </c>
      <c r="AG105" s="245" t="str">
        <f>IFERROR(__xludf.DUMMYFUNCTION("IF(REGEXMATCH(C105, ""n""), ""10"","""")"),"")</f>
        <v/>
      </c>
      <c r="AH105" s="246" t="str">
        <f>IFERROR(__xludf.DUMMYFUNCTION("IF(REGEXMATCH(C105, ""N""), ""11"","""")"),"")</f>
        <v/>
      </c>
      <c r="AI105" s="249" t="str">
        <f>IFERROR(__xludf.DUMMYFUNCTION("IF(REGEXMATCH(C105, ""S""), ""0"","""")"),"0")</f>
        <v>0</v>
      </c>
      <c r="AJ105" s="313" t="str">
        <f t="shared" si="11"/>
        <v>-</v>
      </c>
      <c r="AK105" s="313" t="str">
        <f t="shared" si="12"/>
        <v>-</v>
      </c>
      <c r="AL105" s="313" t="str">
        <f t="shared" si="13"/>
        <v>-</v>
      </c>
      <c r="AM105" s="313" t="str">
        <f t="shared" si="14"/>
        <v>-</v>
      </c>
      <c r="AN105" s="313" t="str">
        <f t="shared" si="15"/>
        <v>-</v>
      </c>
      <c r="AO105" s="314" t="str">
        <f t="shared" si="16"/>
        <v>-</v>
      </c>
      <c r="AP105" s="316">
        <f t="shared" si="17"/>
        <v>0</v>
      </c>
      <c r="AQ105" s="319" t="str">
        <f t="shared" si="18"/>
        <v>-</v>
      </c>
      <c r="AR105" s="320">
        <f t="shared" si="19"/>
        <v>0</v>
      </c>
      <c r="AS105" s="250" t="str">
        <f>IFERROR(__xludf.DUMMYFUNCTION("SUBSTITUTE(SUBSTITUTE(CONCATENATE(JOIN("""",FP105:GA105)),""|"",""x""),""-"",""o"")"),"xoxooxoxoxoo")</f>
        <v>xoxooxoxoxoo</v>
      </c>
      <c r="AT105" s="323" t="str">
        <f>IFERROR(__xludf.DUMMYFUNCTION("JOIN("""",AS105,AS105)"),"xoxooxoxoxooxoxooxoxoxoo")</f>
        <v>xoxooxoxoxooxoxooxoxoxoo</v>
      </c>
      <c r="AU105" s="256" t="str">
        <f>IFERROR(__xludf.DUMMYFUNCTION("JOIN("""",ArrayFormula(MID(AS105,LEN(AS105)-SEQUENCE(1,LEN(AS105))+1,1)))"),"ooxoxoxooxox")</f>
        <v>ooxoxoxooxox</v>
      </c>
      <c r="AV105" s="256" t="str">
        <f>IFERROR(__xludf.DUMMYFUNCTION("LEFT(CONCATENATE(""x"",JOIN("""",ArrayFormula(MID(AS105,LEN(AS105)-SEQUENCE(1,LEN(AS105))+1,1)))),12)"),"xooxoxoxooxo")</f>
        <v>xooxoxoxooxo</v>
      </c>
      <c r="AW105" s="327" t="str">
        <f>IFERROR(__xludf.DUMMYFUNCTION("JOIN("""",AU105,AU105)"),"ooxoxoxooxoxooxoxoxooxox")</f>
        <v>ooxoxoxooxoxooxoxoxooxox</v>
      </c>
      <c r="AX105" s="239" t="str">
        <f>IFERROR(__xludf.DUMMYFUNCTION("IF(REGEXMATCH(AW105,AS105),""✔"",""-"")"),"✔")</f>
        <v>✔</v>
      </c>
      <c r="AY105" s="330" t="str">
        <f t="shared" si="20"/>
        <v>-</v>
      </c>
      <c r="AZ105" s="260" t="str">
        <f t="shared" si="21"/>
        <v>#REF!</v>
      </c>
      <c r="BA105" s="333" t="str">
        <f t="shared" si="22"/>
        <v>xoxooxo</v>
      </c>
      <c r="BB105" s="334" t="str">
        <f t="shared" si="23"/>
        <v>xoxoox</v>
      </c>
      <c r="BC105" s="335" t="str">
        <f t="shared" si="236"/>
        <v>✔</v>
      </c>
      <c r="BD105" s="336" t="str">
        <f t="shared" si="25"/>
        <v>Durga: 'xoxooxo' + 'xoxoox'</v>
      </c>
      <c r="BE105" s="337">
        <f>IFERROR(__xludf.DUMMYFUNCTION("COUNTUNIQUE(FILTER(AT:AT,REGEXMATCH(AT:AT,AS105)))-1"),4.0)</f>
        <v>4</v>
      </c>
      <c r="BF105" s="261" t="str">
        <f>IFERROR(__xludf.DUMMYFUNCTION("IF(BI105=0,""(n/a)"",IF(BJ105=2,""(PAIR)"",IF(REGEXMATCH(AT105,""xoxoxxoxoxox""),""Bilawal"",IF(REGEXMATCH(AT105,""xoxoxooxoxoo""),""Bhupali"",IF(REGEXMATCH(AT105,""xoxoxxoxxoxo""),""Charukeshi"",IF(REGEXMATCH(AT105,""xoxoooxxoxxo""),""Kameshwari"",IF(REG"&amp;"EXMATCH(AT105,""xoxoxooxoxox""),""Shankara"",IF(REGEXMATCH(AT105,""xxooxoxxxoox""),""Basant"",IF(REGEXMATCH(AT105,""xoxoxxxxoxox""),""Bihag"",IF(REGEXMATCH(AT105,""xoxxxxoxoxxx""),""Pilu"",IF(REGEXMATCH(AT105,""xoxxoxoxxoox""),""Kirwani"",IF(REGEXMATCH(AT"&amp;"105,""xoxxoxoxoxxx""),""Mk.Malhar"",IF(REGEXMATCH(AT105,""xxooxxoxxoox""),""Bhairav"",IF(REGEXMATCH(AT105,""xxoxooxxxoox""),""Todi"",IF(REGEXMATCH(AT105,""xxooxoxooxox""),""Marwa"",IF(REGEXMATCH(AT105,""xxoooxoxxooo""),""Gunkali"",IF(REGEXMATCH(AT105,""xo"&amp;"xoxxoxxoox""),""Nat Bhairav"",IF(REGEXMATCH(AT105,""xoxxoooxoxoo""),""Shivranjani"",IF(REGEXMATCH(AT105,""xooxxxoxooxo""),""Jog"",IF(REGEXMATCH(AT105,""xxooxoxoxoox""),""Hemshri"",IF(REGEXMATCH(AT105,""xoooxooxoxxo""),""Kalavati"",IF(REGEXMATCH(AT105,""xx"&amp;"oxoxxoxoox""),""Kedar"",IF(REGEXMATCH(AT105,""xoxxxxoxooxx""),""Gara"",IF(REGEXMATCH(AT105,""xooxoxooxoox""),""Chandrakauns"",IF(REGEXMATCH(AT105,""xoxxxxoxxxox""),""Mand"",IF(REGEXMATCH(AT105,""xoxxxxoxoxox""),""Hanskinkini"",IF(REGEXMATCH(AT105,""xxooxx"&amp;"oxooxo""),""Lilavati"",IF(REGEXMATCH(AT105,""xooxoxoooxox""),""Rajeshwari"",IF(REGEXMATCH(AT105,""xoooxxoxoxxx""),""Khokar"",IF(REGEXMATCH(AT105,""xxooxoxxxxox""),""Maligoura"",""-""))))))))))))))))))))))))))))))"),"Bhupali")</f>
        <v>Bhupali</v>
      </c>
      <c r="BG105" s="239" t="str">
        <f t="shared" si="26"/>
        <v>#REF!</v>
      </c>
      <c r="BH105" s="239">
        <f>IFERROR(__xludf.DUMMYFUNCTION("COUNTUNIQUE(FE105:FO105)-1"),4.0)</f>
        <v>4</v>
      </c>
      <c r="BI105" s="239">
        <f>IFERROR(__xludf.DUMMYFUNCTION("COUNTUNIQUE(FILTER(AT:AT,REGEXMATCH(AT:AT,AS105)))-1"),4.0)</f>
        <v>4</v>
      </c>
      <c r="BJ105" s="239">
        <f>IFERROR(__xludf.DUMMYFUNCTION("COUNTA(FILTER(AT:AT,REGEXMATCH(AT:AT,AS105)))"),11.0)</f>
        <v>11</v>
      </c>
      <c r="BK105" s="341">
        <f>IFERROR(__xludf.DUMMYFUNCTION("COUNTA(FILTER(AT:AT,REGEXMATCH(AT:AT,AS105)))-AR105"),11.0)</f>
        <v>11</v>
      </c>
      <c r="BL105" s="276" t="str">
        <f>IFERROR(__xludf.DUMMYFUNCTION("IF(AS105=""oooooooooooo"",""-"",IF(REGEXMATCH(AT105,""xx""), ""Hemi."", ""Anhemi.""))"),"Anhemi.")</f>
        <v>Anhemi.</v>
      </c>
      <c r="BM105" s="282" t="str">
        <f>IFERROR(__xludf.DUMMYFUNCTION("IF(AS105=""oooooooooooo"",""-"",IF(REGEXMATCH(AT105,""xxx""), ""Cohem."", ""-""))"),"-")</f>
        <v>-</v>
      </c>
      <c r="BN105" s="282" t="str">
        <f>IFERROR(__xludf.DUMMYFUNCTION("IF(AS105=""oooooooooooo"",""-"",IF(REGEXMATCH(AT105,""xxxx""), ""Co-Co."", ""-""))"),"-")</f>
        <v>-</v>
      </c>
      <c r="BO105" s="342" t="str">
        <f>IFERROR(__xludf.DUMMYFUNCTION("IF(AS105=""oooooooooooo"",""-"",IF(REGEXMATCH(AT105,""xxxxx""), ""CCC."", ""-""))"),"-")</f>
        <v>-</v>
      </c>
      <c r="BP105" s="344" t="str">
        <f t="shared" si="27"/>
        <v>-</v>
      </c>
      <c r="BQ105" s="282" t="str">
        <f>IFERROR(__xludf.DUMMYFUNCTION("IF(REGEXMATCH(JOIN(""-"",EU105:FD105),""TRUE""),""✔"",""-"")"),"✔")</f>
        <v>✔</v>
      </c>
      <c r="BR105" s="225">
        <f t="shared" si="28"/>
        <v>3</v>
      </c>
      <c r="BS105" s="345" t="str">
        <f>IFERROR(__xludf.DUMMYFUNCTION("SUBSTITUTE(SUBSTITUTE(SUBSTITUTE(SUBSTITUTE(CONCATENATE(JOIN(""-"",GC105:GO105)),""--"",""-""),""--"",""-""),""--"",""-""),""--"",""-"")"),"1-2-4-5-6-8")</f>
        <v>1-2-4-5-6-8</v>
      </c>
      <c r="BT105" s="299" t="str">
        <f>IFERROR(__xludf.DUMMYFUNCTION("SUBSTITUTE(SUBSTITUTE(SUBSTITUTE(SUBSTITUTE(CONCATENATE(JOIN(""-"",GP105:HB105)),""--"",""-""),""--"",""-""),""--"",""-""),""--"",""-"")"),"S-R2-M1-P-D2-S")</f>
        <v>S-R2-M1-P-D2-S</v>
      </c>
      <c r="BU105" s="348" t="str">
        <f t="shared" si="29"/>
        <v>C-D-F-G-A-C</v>
      </c>
      <c r="BV105" s="349" t="str">
        <f t="shared" si="30"/>
        <v>SrgGMdnNS</v>
      </c>
      <c r="BW105" s="350">
        <f t="shared" si="31"/>
        <v>0</v>
      </c>
      <c r="BX105" s="351">
        <f t="shared" si="32"/>
        <v>3</v>
      </c>
      <c r="BY105" s="392"/>
      <c r="BZ105" s="309" t="str">
        <f>IFERROR(__xludf.DUMMYFUNCTION("IF(REGEXMATCH(C105, ""S""), ""x"",""x"")"),"x")</f>
        <v>x</v>
      </c>
      <c r="CA105" s="245" t="str">
        <f>IFERROR(__xludf.DUMMYFUNCTION("IF(REGEXMATCH(C105, ""r""), ""o"",""x"")"),"x")</f>
        <v>x</v>
      </c>
      <c r="CB105" s="246" t="str">
        <f>IFERROR(__xludf.DUMMYFUNCTION("IF(REGEXMATCH(C105, ""R""), ""o"",""x"")"),"o")</f>
        <v>o</v>
      </c>
      <c r="CC105" s="246" t="str">
        <f>IFERROR(__xludf.DUMMYFUNCTION("IF(REGEXMATCH(C105, ""g""), ""o"",""x"")"),"x")</f>
        <v>x</v>
      </c>
      <c r="CD105" s="245" t="str">
        <f>IFERROR(__xludf.DUMMYFUNCTION("IF(REGEXMATCH(C105, ""G""), ""o"",""x"")"),"x")</f>
        <v>x</v>
      </c>
      <c r="CE105" s="245" t="str">
        <f>IFERROR(__xludf.DUMMYFUNCTION("IF(REGEXMATCH(C105, ""m""), ""o"",""x"")"),"o")</f>
        <v>o</v>
      </c>
      <c r="CF105" s="246" t="str">
        <f>IFERROR(__xludf.DUMMYFUNCTION("IF(REGEXMATCH(C105, ""M""), ""o"",""x"")"),"x")</f>
        <v>x</v>
      </c>
      <c r="CG105" s="245" t="str">
        <f>IFERROR(__xludf.DUMMYFUNCTION("IF(REGEXMATCH(C105, ""P""), ""o"",""x"")"),"o")</f>
        <v>o</v>
      </c>
      <c r="CH105" s="246" t="str">
        <f>IFERROR(__xludf.DUMMYFUNCTION("IF(REGEXMATCH(C105, ""d""), ""o"",""x"")"),"x")</f>
        <v>x</v>
      </c>
      <c r="CI105" s="245" t="str">
        <f>IFERROR(__xludf.DUMMYFUNCTION("IF(REGEXMATCH(C105, ""D""), ""o"",""x"")"),"o")</f>
        <v>o</v>
      </c>
      <c r="CJ105" s="245" t="str">
        <f>IFERROR(__xludf.DUMMYFUNCTION("IF(REGEXMATCH(C105, ""n""), ""o"",""x"")"),"x")</f>
        <v>x</v>
      </c>
      <c r="CK105" s="245" t="str">
        <f>IFERROR(__xludf.DUMMYFUNCTION("IF(REGEXMATCH(C105, ""N""), ""o"",""x"")"),"x")</f>
        <v>x</v>
      </c>
      <c r="CL105" s="356" t="str">
        <f>IFERROR(__xludf.DUMMYFUNCTION("IF(REGEXMATCH(C105, ""S""), ""x"",""x"")"),"x")</f>
        <v>x</v>
      </c>
      <c r="CM105" s="357" t="str">
        <f t="shared" si="33"/>
        <v>xxoxxoxoxoxx</v>
      </c>
      <c r="CN105" s="358">
        <f t="shared" si="34"/>
        <v>0</v>
      </c>
      <c r="CO105" s="246" t="str">
        <f>IFERROR(__xludf.DUMMYFUNCTION("IF(REGEXMATCH($C105, ""S""), ""S"",""S"")"),"S")</f>
        <v>S</v>
      </c>
      <c r="CP105" s="246" t="str">
        <f>IFERROR(__xludf.DUMMYFUNCTION("IF(REGEXMATCH($C105, ""r""), """",""r"")"),"r")</f>
        <v>r</v>
      </c>
      <c r="CQ105" s="246" t="str">
        <f>IFERROR(__xludf.DUMMYFUNCTION("IF(REGEXMATCH($C105, ""R""), """",""R"")"),"")</f>
        <v/>
      </c>
      <c r="CR105" s="246" t="str">
        <f>IFERROR(__xludf.DUMMYFUNCTION("IF(REGEXMATCH($C105, ""g""), """",""g"")"),"g")</f>
        <v>g</v>
      </c>
      <c r="CS105" s="246" t="str">
        <f>IFERROR(__xludf.DUMMYFUNCTION("IF(REGEXMATCH($C105, ""G""), """",""G"")"),"G")</f>
        <v>G</v>
      </c>
      <c r="CT105" s="246" t="str">
        <f>IFERROR(__xludf.DUMMYFUNCTION("IF(REGEXMATCH($C105, ""m""), """",""m"")"),"")</f>
        <v/>
      </c>
      <c r="CU105" s="246" t="str">
        <f>IFERROR(__xludf.DUMMYFUNCTION("IF(REGEXMATCH($C105, ""M""), """",""M"")"),"M")</f>
        <v>M</v>
      </c>
      <c r="CV105" s="246" t="str">
        <f>IFERROR(__xludf.DUMMYFUNCTION("IF(REGEXMATCH($C105, ""P""), """",""P"")"),"")</f>
        <v/>
      </c>
      <c r="CW105" s="246" t="str">
        <f>IFERROR(__xludf.DUMMYFUNCTION("IF(REGEXMATCH($C105, ""d""), """",""d"")"),"d")</f>
        <v>d</v>
      </c>
      <c r="CX105" s="246" t="str">
        <f>IFERROR(__xludf.DUMMYFUNCTION("IF(REGEXMATCH($C105, ""D""), """",""D"")"),"")</f>
        <v/>
      </c>
      <c r="CY105" s="246" t="str">
        <f>IFERROR(__xludf.DUMMYFUNCTION("IF(REGEXMATCH($C105, ""n""), """",""n"")"),"n")</f>
        <v>n</v>
      </c>
      <c r="CZ105" s="246" t="str">
        <f>IFERROR(__xludf.DUMMYFUNCTION("IF(REGEXMATCH($C105, ""N""), """",""N"")"),"N")</f>
        <v>N</v>
      </c>
      <c r="DA105" s="246" t="str">
        <f>IFERROR(__xludf.DUMMYFUNCTION("IF(REGEXMATCH($C105, ""S""), ""S"",""S"")"),"S")</f>
        <v>S</v>
      </c>
      <c r="DB105" s="362" t="str">
        <f>IFERROR(__xludf.DUMMYFUNCTION("JOIN("""",CO105:DA105,"""","""")"),"SrgGMdnNS")</f>
        <v>SrgGMdnNS</v>
      </c>
      <c r="DC105" s="363"/>
      <c r="DD105" s="301" t="str">
        <f t="shared" si="35"/>
        <v>#REF!</v>
      </c>
      <c r="DE105" s="302" t="str">
        <f t="shared" si="36"/>
        <v>#REF!</v>
      </c>
      <c r="DF105" s="301" t="str">
        <f t="shared" ref="DF105:DG105" si="410">SUBSTITUTE(S105,"-","")</f>
        <v>SRM</v>
      </c>
      <c r="DG105" s="301" t="str">
        <f t="shared" si="410"/>
        <v>PDS</v>
      </c>
      <c r="DH105" s="302" t="str">
        <f t="shared" si="38"/>
        <v>Bhupali</v>
      </c>
      <c r="DI105" s="301" t="str">
        <f t="shared" si="39"/>
        <v>Anhemi.</v>
      </c>
      <c r="DJ105" s="364" t="str">
        <f t="shared" si="40"/>
        <v>-</v>
      </c>
      <c r="DK105" s="306" t="str">
        <f t="shared" si="41"/>
        <v>-</v>
      </c>
      <c r="DL105" s="366" t="str">
        <f t="shared" si="42"/>
        <v>✔</v>
      </c>
      <c r="DM105" s="308" t="str">
        <f t="shared" si="43"/>
        <v>-</v>
      </c>
      <c r="DN105" s="306" t="str">
        <f t="shared" si="44"/>
        <v>✔</v>
      </c>
      <c r="DO105" s="306" t="str">
        <f t="shared" si="45"/>
        <v>-</v>
      </c>
      <c r="DP105" s="367" t="str">
        <f t="shared" si="46"/>
        <v>-</v>
      </c>
      <c r="DQ105" s="310" t="str">
        <f t="shared" si="47"/>
        <v>-</v>
      </c>
      <c r="DR105" s="310" t="str">
        <f t="shared" si="48"/>
        <v>-</v>
      </c>
      <c r="DS105" s="310" t="str">
        <f t="shared" si="49"/>
        <v>-</v>
      </c>
      <c r="DT105" s="310" t="str">
        <f t="shared" si="50"/>
        <v>-</v>
      </c>
      <c r="DU105" s="370" t="str">
        <f t="shared" si="51"/>
        <v>-</v>
      </c>
      <c r="DV105" s="306" t="str">
        <f t="shared" si="52"/>
        <v>-</v>
      </c>
      <c r="DW105" s="306" t="str">
        <f t="shared" si="53"/>
        <v>✔</v>
      </c>
      <c r="DX105" s="306" t="str">
        <f t="shared" si="54"/>
        <v>-</v>
      </c>
      <c r="DY105" s="306" t="str">
        <f t="shared" si="55"/>
        <v>-</v>
      </c>
      <c r="DZ105" s="306" t="str">
        <f t="shared" si="56"/>
        <v>-</v>
      </c>
      <c r="EA105" s="367" t="str">
        <f t="shared" si="57"/>
        <v>✔</v>
      </c>
      <c r="EB105" s="310" t="str">
        <f>IFERROR(__xludf.DUMMYFUNCTION("IF(REGEXMATCH(AW105,AS105),""✔"",""-"")"),"✔")</f>
        <v>✔</v>
      </c>
      <c r="EC105" s="310" t="str">
        <f t="shared" si="58"/>
        <v>#REF!</v>
      </c>
      <c r="ED105" s="370" t="str">
        <f t="shared" si="59"/>
        <v>-</v>
      </c>
      <c r="EE105" s="340" t="str">
        <f t="shared" si="60"/>
        <v>S-R-m-P-D-S</v>
      </c>
      <c r="EF105" s="371" t="str">
        <f>IFERROR(__xludf.DUMMYFUNCTION("CONCATENATE(JOIN("""",HC105:HO105))"),"SgmPnS")</f>
        <v>SgmPnS</v>
      </c>
      <c r="EG105" s="372">
        <f t="shared" si="61"/>
        <v>1</v>
      </c>
      <c r="EH105" s="373" t="str">
        <f>IFERROR(__xludf.DUMMYFUNCTION("CONCATENATE(JOIN("""",JC105:JO105))"),"Dha, ")</f>
        <v>Dha, </v>
      </c>
      <c r="EI105" s="322">
        <f t="shared" si="62"/>
        <v>0</v>
      </c>
      <c r="EJ105" s="374" t="str">
        <f>IFERROR(__xludf.DUMMYFUNCTION("CONCATENATE(JOIN("""",KC105:KO105))"),"")</f>
        <v/>
      </c>
      <c r="EK105" s="325" t="str">
        <f t="shared" si="63"/>
        <v>S-R2-M1-P-D2-S</v>
      </c>
      <c r="EL105" s="326" t="str">
        <f t="shared" si="64"/>
        <v>1-2-4-5-6-8</v>
      </c>
      <c r="EM105" s="318" t="str">
        <f t="shared" si="65"/>
        <v>#REF!</v>
      </c>
      <c r="EN105" s="328" t="str">
        <f>IFERROR(__xludf.DUMMYFUNCTION("SUBSTITUTE(SUBSTITUTE(SUBSTITUTE(SUBSTITUTE(CONCATENATE(JOIN("" "",HP105:IB105)),""  "","" ""),""  "","" ""),""  "","" ""),""  "","" "")"),"o • o • • o • o • o • • o")</f>
        <v>o • o • • o • o • o • • o</v>
      </c>
      <c r="EO105" s="368" t="str">
        <f t="shared" si="66"/>
        <v>-</v>
      </c>
      <c r="EP105" s="339" t="str">
        <f t="shared" si="67"/>
        <v>-</v>
      </c>
      <c r="EQ105" s="339" t="str">
        <f t="shared" si="68"/>
        <v>Sa-Pa</v>
      </c>
      <c r="ER105" s="339" t="str">
        <f t="shared" si="69"/>
        <v>-</v>
      </c>
      <c r="ES105" s="340" t="str">
        <f t="shared" si="70"/>
        <v>-</v>
      </c>
      <c r="ET105" s="363"/>
      <c r="EU105" s="376" t="b">
        <f>IFERROR(__xludf.DUMMYFUNCTION("arrayformula(sum(--REGEXMATCH(""SRGMPDNS"",split(REGEXREPLACE(C105,""(.)"",""$1~""),""~""))))=len(C105)
"),FALSE)</f>
        <v>0</v>
      </c>
      <c r="EV105" s="290" t="b">
        <f>IFERROR(__xludf.DUMMYFUNCTION("arrayformula(sum(--REGEXMATCH(""SRGmPDNS"",split(REGEXREPLACE(C105,""(.)"",""$1~""),""~""))))=len(C105)"),TRUE)</f>
        <v>1</v>
      </c>
      <c r="EW105" s="290" t="b">
        <f>IFERROR(__xludf.DUMMYFUNCTION("arrayformula(sum(--REGEXMATCH(""SRGmPDnS"",split(REGEXREPLACE(C105,""(.)"",""$1~""),""~""))))=len(C105)"),TRUE)</f>
        <v>1</v>
      </c>
      <c r="EX105" s="290" t="b">
        <f>IFERROR(__xludf.DUMMYFUNCTION("arrayformula(sum(--REGEXMATCH(""SRgmPDnS"",split(REGEXREPLACE(C105,""(.)"",""$1~""),""~""))))=len(C105)"),TRUE)</f>
        <v>1</v>
      </c>
      <c r="EY105" s="290" t="b">
        <f>IFERROR(__xludf.DUMMYFUNCTION("arrayformula(sum(--REGEXMATCH(""SRgmPdnS"",split(REGEXREPLACE(C105,""(.)"",""$1~""),""~""))))=len(C105)"),FALSE)</f>
        <v>0</v>
      </c>
      <c r="EZ105" s="290" t="b">
        <f>IFERROR(__xludf.DUMMYFUNCTION("arrayformula(sum(--REGEXMATCH(""SrgmPdnS"",split(REGEXREPLACE(C105,""(.)"",""$1~""),""~""))))=len(C105)"),FALSE)</f>
        <v>0</v>
      </c>
      <c r="FA105" s="290" t="b">
        <f>IFERROR(__xludf.DUMMYFUNCTION("arrayformula(sum(--REGEXMATCH(""SrGmPdNS"",split(REGEXREPLACE(C105,""(.)"",""$1~""),""~""))))=len(C105)"),FALSE)</f>
        <v>0</v>
      </c>
      <c r="FB105" s="290" t="b">
        <f>IFERROR(__xludf.DUMMYFUNCTION("arrayformula(sum(--REGEXMATCH(""SrGMPDNS"",split(REGEXREPLACE(C105,""(.)"",""$1~""),""~""))))=len(C105)"),FALSE)</f>
        <v>0</v>
      </c>
      <c r="FC105" s="290" t="b">
        <f>IFERROR(__xludf.DUMMYFUNCTION("arrayformula(sum(--REGEXMATCH(""SrGMPdNS"",split(REGEXREPLACE(C105,""(.)"",""$1~""),""~""))))=len(C105)"),FALSE)</f>
        <v>0</v>
      </c>
      <c r="FD105" s="377" t="b">
        <f>IFERROR(__xludf.DUMMYFUNCTION("arrayformula(sum(--REGEXMATCH(""SrgMPdNS"",split(REGEXREPLACE(C105,""(.)"",""$1~""),""~""))))=len(C105)"),FALSE)</f>
        <v>0</v>
      </c>
      <c r="FE105" s="269" t="str">
        <f t="shared" si="71"/>
        <v>-</v>
      </c>
      <c r="FF105" s="269" t="str">
        <f t="shared" si="72"/>
        <v>xooxoxoxoox</v>
      </c>
      <c r="FG105" s="271" t="str">
        <f t="shared" si="73"/>
        <v>-</v>
      </c>
      <c r="FH105" s="269" t="str">
        <f t="shared" si="74"/>
        <v>-</v>
      </c>
      <c r="FI105" s="271" t="str">
        <f t="shared" si="75"/>
        <v>xoxoxooxoxo</v>
      </c>
      <c r="FJ105" s="271" t="str">
        <f t="shared" si="76"/>
        <v>-</v>
      </c>
      <c r="FK105" s="271" t="str">
        <f t="shared" si="77"/>
        <v>xoxooxoxoox</v>
      </c>
      <c r="FL105" s="271" t="str">
        <f t="shared" si="78"/>
        <v>-</v>
      </c>
      <c r="FM105" s="271" t="str">
        <f t="shared" si="79"/>
        <v>xooxoxooxox</v>
      </c>
      <c r="FN105" s="271" t="str">
        <f t="shared" si="80"/>
        <v>-</v>
      </c>
      <c r="FO105" s="274" t="str">
        <f t="shared" si="81"/>
        <v>-</v>
      </c>
      <c r="FP105" s="234" t="str">
        <f t="shared" si="82"/>
        <v>|</v>
      </c>
      <c r="FQ105" s="236" t="str">
        <f t="shared" si="83"/>
        <v>-</v>
      </c>
      <c r="FR105" s="237" t="str">
        <f t="shared" si="84"/>
        <v>|</v>
      </c>
      <c r="FS105" s="236" t="str">
        <f t="shared" si="85"/>
        <v>-</v>
      </c>
      <c r="FT105" s="237" t="str">
        <f t="shared" si="86"/>
        <v>-</v>
      </c>
      <c r="FU105" s="236" t="str">
        <f t="shared" si="87"/>
        <v>|</v>
      </c>
      <c r="FV105" s="237" t="str">
        <f t="shared" si="88"/>
        <v>-</v>
      </c>
      <c r="FW105" s="236" t="str">
        <f t="shared" si="89"/>
        <v>|</v>
      </c>
      <c r="FX105" s="237" t="str">
        <f t="shared" si="90"/>
        <v>-</v>
      </c>
      <c r="FY105" s="236" t="str">
        <f t="shared" si="91"/>
        <v>|</v>
      </c>
      <c r="FZ105" s="237" t="str">
        <f t="shared" si="92"/>
        <v>-</v>
      </c>
      <c r="GA105" s="236" t="str">
        <f t="shared" si="93"/>
        <v>-</v>
      </c>
      <c r="GB105" s="238" t="str">
        <f t="shared" si="94"/>
        <v>|</v>
      </c>
      <c r="GC105" s="244" t="str">
        <f>IFERROR(__xludf.DUMMYFUNCTION("IF(REGEXMATCH(C105, ""S""), ""1"","""")"),"1")</f>
        <v>1</v>
      </c>
      <c r="GD105" s="245" t="str">
        <f>IFERROR(__xludf.DUMMYFUNCTION("IF(REGEXMATCH(C105, ""r""), ""b2"","""")"),"")</f>
        <v/>
      </c>
      <c r="GE105" s="246" t="str">
        <f>IFERROR(__xludf.DUMMYFUNCTION("IF(REGEXMATCH(C105, ""R""), ""2"","""")"),"2")</f>
        <v>2</v>
      </c>
      <c r="GF105" s="246" t="str">
        <f>IFERROR(__xludf.DUMMYFUNCTION("IF(REGEXMATCH(C105, ""g""), ""b3"","""")"),"")</f>
        <v/>
      </c>
      <c r="GG105" s="245" t="str">
        <f>IFERROR(__xludf.DUMMYFUNCTION("IF(REGEXMATCH(C105, ""G""), ""3"","""")"),"")</f>
        <v/>
      </c>
      <c r="GH105" s="245" t="str">
        <f>IFERROR(__xludf.DUMMYFUNCTION("IF(REGEXMATCH(C105, ""m""), ""4"","""")"),"4")</f>
        <v>4</v>
      </c>
      <c r="GI105" s="246" t="str">
        <f>IFERROR(__xludf.DUMMYFUNCTION("IF(REGEXMATCH(C105, ""M""), ""#4"","""")"),"")</f>
        <v/>
      </c>
      <c r="GJ105" s="245" t="str">
        <f>IFERROR(__xludf.DUMMYFUNCTION("IF(REGEXMATCH(C105, ""P""), ""5"","""")"),"5")</f>
        <v>5</v>
      </c>
      <c r="GK105" s="246" t="str">
        <f>IFERROR(__xludf.DUMMYFUNCTION("IF(REGEXMATCH(C105, ""d""), ""b6"","""")"),"")</f>
        <v/>
      </c>
      <c r="GL105" s="245" t="str">
        <f>IFERROR(__xludf.DUMMYFUNCTION("IF(REGEXMATCH(C105, ""D""), ""6"","""")"),"6")</f>
        <v>6</v>
      </c>
      <c r="GM105" s="245" t="str">
        <f>IFERROR(__xludf.DUMMYFUNCTION("IF(REGEXMATCH(C105, ""n""), ""b7"","""")"),"")</f>
        <v/>
      </c>
      <c r="GN105" s="246" t="str">
        <f>IFERROR(__xludf.DUMMYFUNCTION("IF(REGEXMATCH(C105, ""N""), ""7"","""")"),"")</f>
        <v/>
      </c>
      <c r="GO105" s="249" t="str">
        <f>IFERROR(__xludf.DUMMYFUNCTION("IF(REGEXMATCH(C105, ""S""), ""8"","""")"),"8")</f>
        <v>8</v>
      </c>
      <c r="GP105" s="244" t="str">
        <f>IFERROR(__xludf.DUMMYFUNCTION("IF(REGEXMATCH(C105, ""S""), ""S"","""")"),"S")</f>
        <v>S</v>
      </c>
      <c r="GQ105" s="294" t="str">
        <f>IFERROR(__xludf.DUMMYFUNCTION("IF(REGEXMATCH(C105, ""r""), ""R1"","""")"),"")</f>
        <v/>
      </c>
      <c r="GR105" s="295" t="str">
        <f>IFERROR(__xludf.DUMMYFUNCTION("IF(REGEXMATCH(C105, ""R""), ""R2"","""")"),"R2")</f>
        <v>R2</v>
      </c>
      <c r="GS105" s="295" t="str">
        <f>IFERROR(__xludf.DUMMYFUNCTION("IF(REGEXMATCH(C105, ""g""), ""G2"","""")"),"")</f>
        <v/>
      </c>
      <c r="GT105" s="294" t="str">
        <f>IFERROR(__xludf.DUMMYFUNCTION("IF(REGEXMATCH(C105, ""G""), ""G3"","""")"),"")</f>
        <v/>
      </c>
      <c r="GU105" s="294" t="str">
        <f>IFERROR(__xludf.DUMMYFUNCTION("IF(REGEXMATCH(C105, ""m""), ""M1"","""")"),"M1")</f>
        <v>M1</v>
      </c>
      <c r="GV105" s="295" t="str">
        <f>IFERROR(__xludf.DUMMYFUNCTION("IF(REGEXMATCH(C105, ""M""), ""M2"","""")"),"")</f>
        <v/>
      </c>
      <c r="GW105" s="294" t="str">
        <f>IFERROR(__xludf.DUMMYFUNCTION("IF(REGEXMATCH(C105, ""P""), ""P"","""")"),"P")</f>
        <v>P</v>
      </c>
      <c r="GX105" s="295" t="str">
        <f>IFERROR(__xludf.DUMMYFUNCTION("IF(REGEXMATCH(C105, ""d""), ""D1"","""")"),"")</f>
        <v/>
      </c>
      <c r="GY105" s="294" t="str">
        <f>IFERROR(__xludf.DUMMYFUNCTION("IF(REGEXMATCH(C105, ""D""), ""D2"","""")"),"D2")</f>
        <v>D2</v>
      </c>
      <c r="GZ105" s="294" t="str">
        <f>IFERROR(__xludf.DUMMYFUNCTION("IF(REGEXMATCH(C105, ""n""), ""N2"","""")"),"")</f>
        <v/>
      </c>
      <c r="HA105" s="295" t="str">
        <f>IFERROR(__xludf.DUMMYFUNCTION("IF(REGEXMATCH(C105, ""N""), ""N3"","""")"),"")</f>
        <v/>
      </c>
      <c r="HB105" s="249" t="str">
        <f>IFERROR(__xludf.DUMMYFUNCTION("IF(REGEXMATCH(C105, ""S""), ""S"","""")"),"S")</f>
        <v>S</v>
      </c>
      <c r="HC105" s="331" t="str">
        <f t="shared" si="95"/>
        <v>S</v>
      </c>
      <c r="HD105" s="332" t="str">
        <f t="shared" si="96"/>
        <v/>
      </c>
      <c r="HE105" s="332" t="str">
        <f t="shared" si="97"/>
        <v/>
      </c>
      <c r="HF105" s="332" t="str">
        <f t="shared" si="98"/>
        <v>g</v>
      </c>
      <c r="HG105" s="332" t="str">
        <f t="shared" si="99"/>
        <v/>
      </c>
      <c r="HH105" s="332" t="str">
        <f t="shared" si="100"/>
        <v>m</v>
      </c>
      <c r="HI105" s="332" t="str">
        <f t="shared" si="101"/>
        <v/>
      </c>
      <c r="HJ105" s="332" t="str">
        <f t="shared" si="102"/>
        <v>P</v>
      </c>
      <c r="HK105" s="332" t="str">
        <f t="shared" si="103"/>
        <v/>
      </c>
      <c r="HL105" s="332" t="str">
        <f t="shared" si="104"/>
        <v/>
      </c>
      <c r="HM105" s="332" t="str">
        <f t="shared" si="105"/>
        <v>n</v>
      </c>
      <c r="HN105" s="332" t="str">
        <f t="shared" si="106"/>
        <v/>
      </c>
      <c r="HO105" s="343" t="str">
        <f t="shared" si="107"/>
        <v>S</v>
      </c>
      <c r="HP105" s="331" t="str">
        <f t="shared" si="108"/>
        <v>o</v>
      </c>
      <c r="HQ105" s="332" t="str">
        <f t="shared" si="109"/>
        <v>•</v>
      </c>
      <c r="HR105" s="332" t="str">
        <f t="shared" si="110"/>
        <v>o</v>
      </c>
      <c r="HS105" s="332" t="str">
        <f t="shared" si="111"/>
        <v>•</v>
      </c>
      <c r="HT105" s="332" t="str">
        <f t="shared" si="112"/>
        <v>•</v>
      </c>
      <c r="HU105" s="332" t="str">
        <f t="shared" si="113"/>
        <v>o</v>
      </c>
      <c r="HV105" s="332" t="str">
        <f t="shared" si="114"/>
        <v>•</v>
      </c>
      <c r="HW105" s="332" t="str">
        <f t="shared" si="115"/>
        <v>o</v>
      </c>
      <c r="HX105" s="332" t="str">
        <f t="shared" si="116"/>
        <v>•</v>
      </c>
      <c r="HY105" s="332" t="str">
        <f t="shared" si="117"/>
        <v>o</v>
      </c>
      <c r="HZ105" s="332" t="str">
        <f t="shared" si="118"/>
        <v>•</v>
      </c>
      <c r="IA105" s="332" t="str">
        <f t="shared" si="119"/>
        <v>•</v>
      </c>
      <c r="IB105" s="338" t="str">
        <f t="shared" si="120"/>
        <v>o</v>
      </c>
      <c r="IC105" s="331" t="str">
        <f t="shared" si="121"/>
        <v>•</v>
      </c>
      <c r="ID105" s="332" t="str">
        <f t="shared" si="122"/>
        <v>o</v>
      </c>
      <c r="IE105" s="332" t="str">
        <f t="shared" si="123"/>
        <v>•</v>
      </c>
      <c r="IF105" s="332" t="str">
        <f t="shared" si="124"/>
        <v>o</v>
      </c>
      <c r="IG105" s="332" t="str">
        <f t="shared" si="125"/>
        <v>o</v>
      </c>
      <c r="IH105" s="332" t="str">
        <f t="shared" si="126"/>
        <v>•</v>
      </c>
      <c r="II105" s="332" t="str">
        <f t="shared" si="127"/>
        <v>o</v>
      </c>
      <c r="IJ105" s="332" t="str">
        <f t="shared" si="128"/>
        <v>•</v>
      </c>
      <c r="IK105" s="332" t="str">
        <f t="shared" si="129"/>
        <v>o</v>
      </c>
      <c r="IL105" s="332" t="str">
        <f t="shared" si="130"/>
        <v>•</v>
      </c>
      <c r="IM105" s="332" t="str">
        <f t="shared" si="131"/>
        <v>o</v>
      </c>
      <c r="IN105" s="332" t="str">
        <f t="shared" si="132"/>
        <v>o</v>
      </c>
      <c r="IO105" s="338" t="str">
        <f t="shared" si="133"/>
        <v>•</v>
      </c>
      <c r="IP105" s="346" t="b">
        <f t="shared" si="134"/>
        <v>0</v>
      </c>
      <c r="IQ105" s="347" t="b">
        <f t="shared" si="135"/>
        <v>0</v>
      </c>
      <c r="IR105" s="347" t="b">
        <f t="shared" si="136"/>
        <v>0</v>
      </c>
      <c r="IS105" s="347" t="b">
        <f t="shared" si="137"/>
        <v>0</v>
      </c>
      <c r="IT105" s="347" t="b">
        <f t="shared" si="138"/>
        <v>0</v>
      </c>
      <c r="IU105" s="347" t="b">
        <f t="shared" si="139"/>
        <v>0</v>
      </c>
      <c r="IV105" s="347" t="b">
        <f t="shared" si="140"/>
        <v>0</v>
      </c>
      <c r="IW105" s="347" t="b">
        <f t="shared" si="141"/>
        <v>0</v>
      </c>
      <c r="IX105" s="347" t="b">
        <f t="shared" si="142"/>
        <v>0</v>
      </c>
      <c r="IY105" s="347" t="b">
        <f t="shared" si="143"/>
        <v>1</v>
      </c>
      <c r="IZ105" s="347" t="b">
        <f t="shared" si="144"/>
        <v>0</v>
      </c>
      <c r="JA105" s="347" t="b">
        <f t="shared" si="145"/>
        <v>0</v>
      </c>
      <c r="JB105" s="353" t="b">
        <f t="shared" si="146"/>
        <v>0</v>
      </c>
      <c r="JC105" s="354" t="str">
        <f t="shared" si="147"/>
        <v/>
      </c>
      <c r="JD105" s="355" t="str">
        <f t="shared" si="148"/>
        <v/>
      </c>
      <c r="JE105" s="355" t="str">
        <f t="shared" si="149"/>
        <v/>
      </c>
      <c r="JF105" s="355" t="str">
        <f t="shared" si="150"/>
        <v/>
      </c>
      <c r="JG105" s="355" t="str">
        <f t="shared" si="151"/>
        <v/>
      </c>
      <c r="JH105" s="355" t="str">
        <f t="shared" si="152"/>
        <v/>
      </c>
      <c r="JI105" s="355" t="str">
        <f t="shared" si="153"/>
        <v/>
      </c>
      <c r="JJ105" s="355" t="str">
        <f t="shared" si="154"/>
        <v/>
      </c>
      <c r="JK105" s="355" t="str">
        <f t="shared" si="155"/>
        <v/>
      </c>
      <c r="JL105" s="355" t="str">
        <f t="shared" si="156"/>
        <v>Dha, </v>
      </c>
      <c r="JM105" s="355" t="str">
        <f t="shared" si="157"/>
        <v/>
      </c>
      <c r="JN105" s="355" t="str">
        <f t="shared" si="158"/>
        <v/>
      </c>
      <c r="JO105" s="359" t="str">
        <f t="shared" si="159"/>
        <v/>
      </c>
      <c r="JP105" s="346" t="b">
        <f t="shared" si="160"/>
        <v>0</v>
      </c>
      <c r="JQ105" s="347" t="b">
        <f t="shared" si="161"/>
        <v>0</v>
      </c>
      <c r="JR105" s="347" t="b">
        <f t="shared" si="162"/>
        <v>0</v>
      </c>
      <c r="JS105" s="347" t="b">
        <f t="shared" si="163"/>
        <v>0</v>
      </c>
      <c r="JT105" s="347" t="b">
        <f t="shared" si="164"/>
        <v>0</v>
      </c>
      <c r="JU105" s="347" t="b">
        <f t="shared" si="165"/>
        <v>0</v>
      </c>
      <c r="JV105" s="347" t="b">
        <f t="shared" si="166"/>
        <v>0</v>
      </c>
      <c r="JW105" s="347" t="b">
        <f t="shared" si="167"/>
        <v>0</v>
      </c>
      <c r="JX105" s="347" t="b">
        <f t="shared" si="168"/>
        <v>0</v>
      </c>
      <c r="JY105" s="347" t="b">
        <f t="shared" si="169"/>
        <v>0</v>
      </c>
      <c r="JZ105" s="347" t="b">
        <f t="shared" si="170"/>
        <v>0</v>
      </c>
      <c r="KA105" s="347" t="b">
        <f t="shared" si="171"/>
        <v>0</v>
      </c>
      <c r="KB105" s="365" t="b">
        <f t="shared" si="172"/>
        <v>0</v>
      </c>
      <c r="KC105" s="354" t="str">
        <f t="shared" si="173"/>
        <v/>
      </c>
      <c r="KD105" s="355" t="str">
        <f t="shared" si="174"/>
        <v/>
      </c>
      <c r="KE105" s="355" t="str">
        <f t="shared" si="175"/>
        <v/>
      </c>
      <c r="KF105" s="355" t="str">
        <f t="shared" si="176"/>
        <v/>
      </c>
      <c r="KG105" s="355" t="str">
        <f t="shared" si="177"/>
        <v/>
      </c>
      <c r="KH105" s="355" t="str">
        <f t="shared" si="178"/>
        <v/>
      </c>
      <c r="KI105" s="355" t="str">
        <f t="shared" si="179"/>
        <v/>
      </c>
      <c r="KJ105" s="355" t="str">
        <f t="shared" si="180"/>
        <v/>
      </c>
      <c r="KK105" s="355" t="str">
        <f t="shared" si="181"/>
        <v/>
      </c>
      <c r="KL105" s="355" t="str">
        <f t="shared" si="182"/>
        <v/>
      </c>
      <c r="KM105" s="355" t="str">
        <f t="shared" si="183"/>
        <v/>
      </c>
      <c r="KN105" s="355" t="str">
        <f t="shared" si="184"/>
        <v/>
      </c>
      <c r="KO105" s="359"/>
      <c r="KP105" s="378"/>
      <c r="KQ105" s="379" t="s">
        <v>719</v>
      </c>
      <c r="KR105" s="380" t="s">
        <v>1386</v>
      </c>
      <c r="KS105" s="381" t="str">
        <f t="shared" ref="KS105:KS106" si="413">KQ105</f>
        <v>S-R-m-P-D-S</v>
      </c>
      <c r="KT105" s="382">
        <f t="shared" si="186"/>
        <v>5</v>
      </c>
      <c r="KU105" s="383">
        <f t="shared" si="187"/>
        <v>5</v>
      </c>
      <c r="KV105" s="381" t="str">
        <f t="shared" si="205"/>
        <v>S-D-P-m-R-S</v>
      </c>
      <c r="KW105" s="382">
        <f t="shared" si="189"/>
        <v>5</v>
      </c>
      <c r="KX105" s="384">
        <f t="shared" si="190"/>
        <v>5</v>
      </c>
      <c r="KY105" s="382">
        <f t="shared" ref="KY105:KZ105" si="411">KW105-KT105</f>
        <v>0</v>
      </c>
      <c r="KZ105" s="369">
        <f t="shared" si="411"/>
        <v>0</v>
      </c>
      <c r="LA105" s="385" t="str">
        <f t="shared" si="192"/>
        <v>✔</v>
      </c>
      <c r="LB105" s="340" t="str">
        <f>IFERROR(__xludf.DUMMYFUNCTION("JOIN("""",ArrayFormula(MID(KS105,LEN(KS105)-SEQUENCE(1,LEN(KS105))+1,1)))"),"S-D-P-m-R-S")</f>
        <v>S-D-P-m-R-S</v>
      </c>
      <c r="LC105" s="373" t="str">
        <f>IFERROR(__xludf.DUMMYFUNCTION("JOIN("""",ArrayFormula(MID(KV105,LEN(KV105)-SEQUENCE(1,LEN(KV105))+1,1)))"),"S-R-m-P-D-S")</f>
        <v>S-R-m-P-D-S</v>
      </c>
      <c r="LD105" s="373" t="str">
        <f t="shared" si="193"/>
        <v>SRmPDS</v>
      </c>
      <c r="LE105" s="339" t="str">
        <f t="shared" si="194"/>
        <v>SRmPDS</v>
      </c>
      <c r="LF105" s="386" t="str">
        <f>IFERROR(__xludf.DUMMYFUNCTION("SUBSTITUTE(SUBSTITUTE(CONCATENATE(JOIN("""",LH105:LT105)),""1"",""""),""2"","""")"),"SRmPDS")</f>
        <v>SRmPDS</v>
      </c>
      <c r="LG105" s="369" t="str">
        <f t="shared" si="195"/>
        <v>✔</v>
      </c>
      <c r="LH105" s="387" t="str">
        <f>IFERROR(__xludf.DUMMYFUNCTION("IF(REGEXMATCH(LD105, ""S""), ""S"",IF(REGEXMATCH(LE105, ""S""), ""S"",""""))"),"S")</f>
        <v>S</v>
      </c>
      <c r="LI105" s="299" t="str">
        <f>IFERROR(__xludf.DUMMYFUNCTION("IF(REGEXMATCH(LD105, ""r""), ""r1"",IF(REGEXMATCH(LE105, ""r""), ""r2"",""""))"),"")</f>
        <v/>
      </c>
      <c r="LJ105" s="299" t="str">
        <f>IFERROR(__xludf.DUMMYFUNCTION("IF(REGEXMATCH(LD105, ""R""), ""R1"",IF(REGEXMATCH(LE105, ""R""), ""R2"",""""))"),"R1")</f>
        <v>R1</v>
      </c>
      <c r="LK105" s="299" t="str">
        <f>IFERROR(__xludf.DUMMYFUNCTION("IF(REGEXMATCH(LD105, ""g""), ""g1"",IF(REGEXMATCH(LE105, ""g""), ""g2"",""""))"),"")</f>
        <v/>
      </c>
      <c r="LL105" s="299" t="str">
        <f>IFERROR(__xludf.DUMMYFUNCTION("IF(REGEXMATCH(LD105, ""G""), ""G1"",IF(REGEXMATCH(LE105, ""G""), ""G2"",""""))"),"")</f>
        <v/>
      </c>
      <c r="LM105" s="299" t="str">
        <f>IFERROR(__xludf.DUMMYFUNCTION("IF(REGEXMATCH(LD105, ""m""), ""m1"",IF(REGEXMATCH(LE105, ""m""), ""m2"",""""))"),"m1")</f>
        <v>m1</v>
      </c>
      <c r="LN105" s="299" t="str">
        <f>IFERROR(__xludf.DUMMYFUNCTION("IF(REGEXMATCH(LD105, ""M""), ""M1"",IF(REGEXMATCH(LE105, ""M""), ""M2"",""""))"),"")</f>
        <v/>
      </c>
      <c r="LO105" s="299" t="str">
        <f>IFERROR(__xludf.DUMMYFUNCTION("IF(REGEXMATCH(LD105, ""P""), ""P1"",IF(REGEXMATCH(LE105, ""P""), ""P2"",""""))"),"P1")</f>
        <v>P1</v>
      </c>
      <c r="LP105" s="299" t="str">
        <f>IFERROR(__xludf.DUMMYFUNCTION("IF(REGEXMATCH(LD105, ""d""), ""d1"",IF(REGEXMATCH(LE105, ""d""), ""d2"",""""))"),"")</f>
        <v/>
      </c>
      <c r="LQ105" s="299" t="str">
        <f>IFERROR(__xludf.DUMMYFUNCTION("IF(REGEXMATCH(LD105, ""D""), ""D1"",IF(REGEXMATCH(LE105, ""D""), ""D2"",""""))"),"D1")</f>
        <v>D1</v>
      </c>
      <c r="LR105" s="299" t="str">
        <f>IFERROR(__xludf.DUMMYFUNCTION("IF(REGEXMATCH(LD105, ""n""), ""n1"",IF(REGEXMATCH(LE105, ""n""), ""n2"",""""))"),"")</f>
        <v/>
      </c>
      <c r="LS105" s="299" t="str">
        <f>IFERROR(__xludf.DUMMYFUNCTION("IF(REGEXMATCH(LD105, ""N""), ""N1"",IF(REGEXMATCH(LE105, ""N""), ""N2"",""""))"),"")</f>
        <v/>
      </c>
      <c r="LT105" s="388" t="str">
        <f>IFERROR(__xludf.DUMMYFUNCTION("IF(REGEXMATCH(LD105, ""S""), ""S"",IF(REGEXMATCH(LE105, ""S""), ""S"",""""))"),"S")</f>
        <v>S</v>
      </c>
      <c r="LU105" s="389">
        <f t="shared" si="196"/>
        <v>1</v>
      </c>
      <c r="LV105" s="378"/>
      <c r="LW105" s="369"/>
      <c r="LX105" s="369"/>
    </row>
    <row r="106" ht="18.0" customHeight="1">
      <c r="A106" s="298" t="s">
        <v>720</v>
      </c>
      <c r="B106" s="222" t="s">
        <v>721</v>
      </c>
      <c r="C106" s="233" t="str">
        <f t="shared" si="7"/>
        <v>SRmPDnS</v>
      </c>
      <c r="D106" s="234" t="str">
        <f>IFERROR(__xludf.DUMMYFUNCTION("IF(REGEXMATCH(C106, ""S""), ""S"","""")"),"S")</f>
        <v>S</v>
      </c>
      <c r="E106" s="236" t="str">
        <f>IFERROR(__xludf.DUMMYFUNCTION("IF(REGEXMATCH(C106, ""r""), ""r"","""")"),"")</f>
        <v/>
      </c>
      <c r="F106" s="237" t="str">
        <f>IFERROR(__xludf.DUMMYFUNCTION("IF(REGEXMATCH(C106, ""R""), ""R"","""")"),"R")</f>
        <v>R</v>
      </c>
      <c r="G106" s="237" t="str">
        <f>IFERROR(__xludf.DUMMYFUNCTION("IF(REGEXMATCH(C106, ""g""), ""g"","""")"),"")</f>
        <v/>
      </c>
      <c r="H106" s="236" t="str">
        <f>IFERROR(__xludf.DUMMYFUNCTION("IF(REGEXMATCH(C106, ""G""), ""G"","""")"),"")</f>
        <v/>
      </c>
      <c r="I106" s="236" t="str">
        <f>IFERROR(__xludf.DUMMYFUNCTION("IF(REGEXMATCH(C106, ""m""), ""m"","""")"),"m")</f>
        <v>m</v>
      </c>
      <c r="J106" s="237" t="str">
        <f>IFERROR(__xludf.DUMMYFUNCTION("IF(REGEXMATCH(C106, ""M""), ""M"","""")"),"")</f>
        <v/>
      </c>
      <c r="K106" s="236" t="str">
        <f>IFERROR(__xludf.DUMMYFUNCTION("IF(REGEXMATCH(C106, ""P""), ""P"","""")"),"P")</f>
        <v>P</v>
      </c>
      <c r="L106" s="237" t="str">
        <f>IFERROR(__xludf.DUMMYFUNCTION("IF(REGEXMATCH(C106, ""d""), ""d"","""")"),"")</f>
        <v/>
      </c>
      <c r="M106" s="236" t="str">
        <f>IFERROR(__xludf.DUMMYFUNCTION("IF(REGEXMATCH(C106, ""D""), ""D"","""")"),"D")</f>
        <v>D</v>
      </c>
      <c r="N106" s="236" t="str">
        <f>IFERROR(__xludf.DUMMYFUNCTION("IF(REGEXMATCH(C106, ""n""), ""n"","""")"),"n")</f>
        <v>n</v>
      </c>
      <c r="O106" s="237" t="str">
        <f>IFERROR(__xludf.DUMMYFUNCTION("IF(REGEXMATCH(C106, ""N""), ""N"","""")"),"")</f>
        <v/>
      </c>
      <c r="P106" s="238" t="str">
        <f>IFERROR(__xludf.DUMMYFUNCTION("IF(REGEXMATCH(C106, ""S""), ""S"","""")"),"S")</f>
        <v>S</v>
      </c>
      <c r="Q106" s="239" t="str">
        <f>IFERROR(__xludf.DUMMYFUNCTION("SUBSTITUTE(CONCATENATE(JOIN(""-"",D106:J106)),""-"","""")"),"SRm")</f>
        <v>SRm</v>
      </c>
      <c r="R106" s="229" t="str">
        <f>IFERROR(__xludf.DUMMYFUNCTION("SUBSTITUTE(CONCATENATE(JOIN(""-"",K106:P106)),""-"","""")"),"PDnS")</f>
        <v>PDnS</v>
      </c>
      <c r="S106" s="282" t="str">
        <f t="shared" si="8"/>
        <v>S-R-M</v>
      </c>
      <c r="T106" s="282" t="str">
        <f t="shared" si="9"/>
        <v>P-D-N-S</v>
      </c>
      <c r="U106" s="237" t="str">
        <f>IFERROR(__xludf.DUMMYFUNCTION("SUBSTITUTE(JOIN(""-"",S106,T106),""--"",""-"")"),"S-R-M-P-D-N-S")</f>
        <v>S-R-M-P-D-N-S</v>
      </c>
      <c r="V106" s="309" t="str">
        <f t="shared" si="10"/>
        <v>RmDn</v>
      </c>
      <c r="W106" s="244" t="str">
        <f>IFERROR(__xludf.DUMMYFUNCTION("IF(REGEXMATCH(C106, ""S""), ""0"","""")"),"0")</f>
        <v>0</v>
      </c>
      <c r="X106" s="245" t="str">
        <f>IFERROR(__xludf.DUMMYFUNCTION("IF(REGEXMATCH(C106, ""r""), ""1"","""")"),"")</f>
        <v/>
      </c>
      <c r="Y106" s="246" t="str">
        <f>IFERROR(__xludf.DUMMYFUNCTION("IF(REGEXMATCH(C106, ""R""), ""2"","""")"),"2")</f>
        <v>2</v>
      </c>
      <c r="Z106" s="246" t="str">
        <f>IFERROR(__xludf.DUMMYFUNCTION("IF(REGEXMATCH(C106, ""g""), ""3"","""")"),"")</f>
        <v/>
      </c>
      <c r="AA106" s="245" t="str">
        <f>IFERROR(__xludf.DUMMYFUNCTION("IF(REGEXMATCH(C106, ""G""), ""4"","""")"),"")</f>
        <v/>
      </c>
      <c r="AB106" s="245" t="str">
        <f>IFERROR(__xludf.DUMMYFUNCTION("IF(REGEXMATCH(C106, ""m""), ""5"","""")"),"5")</f>
        <v>5</v>
      </c>
      <c r="AC106" s="246" t="str">
        <f>IFERROR(__xludf.DUMMYFUNCTION("IF(REGEXMATCH(C106, ""M""), ""6"","""")"),"")</f>
        <v/>
      </c>
      <c r="AD106" s="245" t="str">
        <f>IFERROR(__xludf.DUMMYFUNCTION("IF(REGEXMATCH(C106, ""P""), ""7"","""")"),"7")</f>
        <v>7</v>
      </c>
      <c r="AE106" s="246" t="str">
        <f>IFERROR(__xludf.DUMMYFUNCTION("IF(REGEXMATCH(C106, ""d""), ""8"","""")"),"")</f>
        <v/>
      </c>
      <c r="AF106" s="245" t="str">
        <f>IFERROR(__xludf.DUMMYFUNCTION("IF(REGEXMATCH(C106, ""D""), ""9"","""")"),"9")</f>
        <v>9</v>
      </c>
      <c r="AG106" s="245" t="str">
        <f>IFERROR(__xludf.DUMMYFUNCTION("IF(REGEXMATCH(C106, ""n""), ""10"","""")"),"10")</f>
        <v>10</v>
      </c>
      <c r="AH106" s="246" t="str">
        <f>IFERROR(__xludf.DUMMYFUNCTION("IF(REGEXMATCH(C106, ""N""), ""11"","""")"),"")</f>
        <v/>
      </c>
      <c r="AI106" s="249" t="str">
        <f>IFERROR(__xludf.DUMMYFUNCTION("IF(REGEXMATCH(C106, ""S""), ""0"","""")"),"0")</f>
        <v>0</v>
      </c>
      <c r="AJ106" s="313" t="str">
        <f t="shared" si="11"/>
        <v>-</v>
      </c>
      <c r="AK106" s="313" t="str">
        <f t="shared" si="12"/>
        <v>-</v>
      </c>
      <c r="AL106" s="313" t="str">
        <f t="shared" si="13"/>
        <v>-</v>
      </c>
      <c r="AM106" s="313" t="str">
        <f t="shared" si="14"/>
        <v>-</v>
      </c>
      <c r="AN106" s="313" t="str">
        <f t="shared" si="15"/>
        <v>-</v>
      </c>
      <c r="AO106" s="314" t="str">
        <f t="shared" si="16"/>
        <v>-</v>
      </c>
      <c r="AP106" s="316">
        <f t="shared" si="17"/>
        <v>0</v>
      </c>
      <c r="AQ106" s="319" t="str">
        <f t="shared" si="18"/>
        <v>-</v>
      </c>
      <c r="AR106" s="320">
        <f t="shared" si="19"/>
        <v>0</v>
      </c>
      <c r="AS106" s="250" t="str">
        <f>IFERROR(__xludf.DUMMYFUNCTION("SUBSTITUTE(SUBSTITUTE(CONCATENATE(JOIN("""",FP106:GA106)),""|"",""x""),""-"",""o"")"),"xoxooxoxoxxo")</f>
        <v>xoxooxoxoxxo</v>
      </c>
      <c r="AT106" s="323" t="str">
        <f>IFERROR(__xludf.DUMMYFUNCTION("JOIN("""",AS106,AS106)"),"xoxooxoxoxxoxoxooxoxoxxo")</f>
        <v>xoxooxoxoxxoxoxooxoxoxxo</v>
      </c>
      <c r="AU106" s="256" t="str">
        <f>IFERROR(__xludf.DUMMYFUNCTION("JOIN("""",ArrayFormula(MID(AS106,LEN(AS106)-SEQUENCE(1,LEN(AS106))+1,1)))"),"oxxoxoxooxox")</f>
        <v>oxxoxoxooxox</v>
      </c>
      <c r="AV106" s="256" t="str">
        <f>IFERROR(__xludf.DUMMYFUNCTION("LEFT(CONCATENATE(""x"",JOIN("""",ArrayFormula(MID(AS106,LEN(AS106)-SEQUENCE(1,LEN(AS106))+1,1)))),12)"),"xoxxoxoxooxo")</f>
        <v>xoxxoxoxooxo</v>
      </c>
      <c r="AW106" s="327" t="str">
        <f>IFERROR(__xludf.DUMMYFUNCTION("JOIN("""",AU106,AU106)"),"oxxoxoxooxoxoxxoxoxooxox")</f>
        <v>oxxoxoxooxoxoxxoxoxooxox</v>
      </c>
      <c r="AX106" s="239" t="str">
        <f>IFERROR(__xludf.DUMMYFUNCTION("IF(REGEXMATCH(AW106,AS106),""✔"",""-"")"),"✔")</f>
        <v>✔</v>
      </c>
      <c r="AY106" s="330" t="str">
        <f t="shared" si="20"/>
        <v>-</v>
      </c>
      <c r="AZ106" s="260" t="str">
        <f t="shared" si="21"/>
        <v>#REF!</v>
      </c>
      <c r="BA106" s="333" t="str">
        <f t="shared" si="22"/>
        <v>xoxooxo</v>
      </c>
      <c r="BB106" s="334" t="str">
        <f t="shared" si="23"/>
        <v>xoxxox</v>
      </c>
      <c r="BC106" s="335" t="str">
        <f t="shared" si="236"/>
        <v>-</v>
      </c>
      <c r="BD106" s="336" t="str">
        <f t="shared" si="25"/>
        <v>Durgawati: 'xoxooxo' + 'xoxxox'</v>
      </c>
      <c r="BE106" s="337">
        <f>IFERROR(__xludf.DUMMYFUNCTION("COUNTUNIQUE(FILTER(AT:AT,REGEXMATCH(AT:AT,AS106)))-1"),3.0)</f>
        <v>3</v>
      </c>
      <c r="BF106" s="261" t="str">
        <f>IFERROR(__xludf.DUMMYFUNCTION("IF(BI106=0,""(n/a)"",IF(BJ106=2,""(PAIR)"",IF(REGEXMATCH(AT106,""xoxoxxoxoxox""),""Bilawal"",IF(REGEXMATCH(AT106,""xoxoxooxoxoo""),""Bhupali"",IF(REGEXMATCH(AT106,""xoxoxxoxxoxo""),""Charukeshi"",IF(REGEXMATCH(AT106,""xoxoooxxoxxo""),""Kameshwari"",IF(REG"&amp;"EXMATCH(AT106,""xoxoxooxoxox""),""Shankara"",IF(REGEXMATCH(AT106,""xxooxoxxxoox""),""Basant"",IF(REGEXMATCH(AT106,""xoxoxxxxoxox""),""Bihag"",IF(REGEXMATCH(AT106,""xoxxxxoxoxxx""),""Pilu"",IF(REGEXMATCH(AT106,""xoxxoxoxxoox""),""Kirwani"",IF(REGEXMATCH(AT"&amp;"106,""xoxxoxoxoxxx""),""Mk.Malhar"",IF(REGEXMATCH(AT106,""xxooxxoxxoox""),""Bhairav"",IF(REGEXMATCH(AT106,""xxoxooxxxoox""),""Todi"",IF(REGEXMATCH(AT106,""xxooxoxooxox""),""Marwa"",IF(REGEXMATCH(AT106,""xxoooxoxxooo""),""Gunkali"",IF(REGEXMATCH(AT106,""xo"&amp;"xoxxoxxoox""),""Nat Bhairav"",IF(REGEXMATCH(AT106,""xoxxoooxoxoo""),""Shivranjani"",IF(REGEXMATCH(AT106,""xooxxxoxooxo""),""Jog"",IF(REGEXMATCH(AT106,""xxooxoxoxoox""),""Hemshri"",IF(REGEXMATCH(AT106,""xoooxooxoxxo""),""Kalavati"",IF(REGEXMATCH(AT106,""xx"&amp;"oxoxxoxoox""),""Kedar"",IF(REGEXMATCH(AT106,""xoxxxxoxooxx""),""Gara"",IF(REGEXMATCH(AT106,""xooxoxooxoox""),""Chandrakauns"",IF(REGEXMATCH(AT106,""xoxxxxoxxxox""),""Mand"",IF(REGEXMATCH(AT106,""xoxxxxoxoxox""),""Hanskinkini"",IF(REGEXMATCH(AT106,""xxooxx"&amp;"oxooxo""),""Lilavati"",IF(REGEXMATCH(AT106,""xooxoxoooxox""),""Rajeshwari"",IF(REGEXMATCH(AT106,""xoooxxoxoxxx""),""Khokar"",IF(REGEXMATCH(AT106,""xxooxoxxxxox""),""Maligoura"",""-""))))))))))))))))))))))))))))))"),"Shankara")</f>
        <v>Shankara</v>
      </c>
      <c r="BG106" s="239" t="str">
        <f t="shared" si="26"/>
        <v>#REF!</v>
      </c>
      <c r="BH106" s="239">
        <f>IFERROR(__xludf.DUMMYFUNCTION("COUNTUNIQUE(FE106:FO106)-1"),5.0)</f>
        <v>5</v>
      </c>
      <c r="BI106" s="239">
        <f>IFERROR(__xludf.DUMMYFUNCTION("COUNTUNIQUE(FILTER(AT:AT,REGEXMATCH(AT:AT,AS106)))-1"),3.0)</f>
        <v>3</v>
      </c>
      <c r="BJ106" s="239">
        <f>IFERROR(__xludf.DUMMYFUNCTION("COUNTA(FILTER(AT:AT,REGEXMATCH(AT:AT,AS106)))"),11.0)</f>
        <v>11</v>
      </c>
      <c r="BK106" s="341">
        <f>IFERROR(__xludf.DUMMYFUNCTION("COUNTA(FILTER(AT:AT,REGEXMATCH(AT:AT,AS106)))-AR106"),11.0)</f>
        <v>11</v>
      </c>
      <c r="BL106" s="276" t="str">
        <f>IFERROR(__xludf.DUMMYFUNCTION("IF(AS106=""oooooooooooo"",""-"",IF(REGEXMATCH(AT106,""xx""), ""Hemi."", ""Anhemi.""))"),"Hemi.")</f>
        <v>Hemi.</v>
      </c>
      <c r="BM106" s="282" t="str">
        <f>IFERROR(__xludf.DUMMYFUNCTION("IF(AS106=""oooooooooooo"",""-"",IF(REGEXMATCH(AT106,""xxx""), ""Cohem."", ""-""))"),"-")</f>
        <v>-</v>
      </c>
      <c r="BN106" s="282" t="str">
        <f>IFERROR(__xludf.DUMMYFUNCTION("IF(AS106=""oooooooooooo"",""-"",IF(REGEXMATCH(AT106,""xxxx""), ""Co-Co."", ""-""))"),"-")</f>
        <v>-</v>
      </c>
      <c r="BO106" s="342" t="str">
        <f>IFERROR(__xludf.DUMMYFUNCTION("IF(AS106=""oooooooooooo"",""-"",IF(REGEXMATCH(AT106,""xxxxx""), ""CCC."", ""-""))"),"-")</f>
        <v>-</v>
      </c>
      <c r="BP106" s="344" t="str">
        <f t="shared" si="27"/>
        <v>-</v>
      </c>
      <c r="BQ106" s="282" t="str">
        <f>IFERROR(__xludf.DUMMYFUNCTION("IF(REGEXMATCH(JOIN(""-"",EU106:FD106),""TRUE""),""✔"",""-"")"),"✔")</f>
        <v>✔</v>
      </c>
      <c r="BR106" s="225">
        <f t="shared" si="28"/>
        <v>2</v>
      </c>
      <c r="BS106" s="345" t="str">
        <f>IFERROR(__xludf.DUMMYFUNCTION("SUBSTITUTE(SUBSTITUTE(SUBSTITUTE(SUBSTITUTE(CONCATENATE(JOIN(""-"",GC106:GO106)),""--"",""-""),""--"",""-""),""--"",""-""),""--"",""-"")"),"1-2-4-5-6-b7-8")</f>
        <v>1-2-4-5-6-b7-8</v>
      </c>
      <c r="BT106" s="299" t="str">
        <f>IFERROR(__xludf.DUMMYFUNCTION("SUBSTITUTE(SUBSTITUTE(SUBSTITUTE(SUBSTITUTE(CONCATENATE(JOIN(""-"",GP106:HB106)),""--"",""-""),""--"",""-""),""--"",""-""),""--"",""-"")"),"S-R2-M1-P-D2-N2-S")</f>
        <v>S-R2-M1-P-D2-N2-S</v>
      </c>
      <c r="BU106" s="348" t="str">
        <f t="shared" si="29"/>
        <v>C-D-F-G-A-Bb-C</v>
      </c>
      <c r="BV106" s="349" t="str">
        <f t="shared" si="30"/>
        <v>SrgGMdNS</v>
      </c>
      <c r="BW106" s="350">
        <f t="shared" si="31"/>
        <v>0</v>
      </c>
      <c r="BX106" s="351">
        <f t="shared" si="32"/>
        <v>3</v>
      </c>
      <c r="BY106" s="392"/>
      <c r="BZ106" s="309" t="str">
        <f>IFERROR(__xludf.DUMMYFUNCTION("IF(REGEXMATCH(C106, ""S""), ""x"",""x"")"),"x")</f>
        <v>x</v>
      </c>
      <c r="CA106" s="245" t="str">
        <f>IFERROR(__xludf.DUMMYFUNCTION("IF(REGEXMATCH(C106, ""r""), ""o"",""x"")"),"x")</f>
        <v>x</v>
      </c>
      <c r="CB106" s="246" t="str">
        <f>IFERROR(__xludf.DUMMYFUNCTION("IF(REGEXMATCH(C106, ""R""), ""o"",""x"")"),"o")</f>
        <v>o</v>
      </c>
      <c r="CC106" s="246" t="str">
        <f>IFERROR(__xludf.DUMMYFUNCTION("IF(REGEXMATCH(C106, ""g""), ""o"",""x"")"),"x")</f>
        <v>x</v>
      </c>
      <c r="CD106" s="245" t="str">
        <f>IFERROR(__xludf.DUMMYFUNCTION("IF(REGEXMATCH(C106, ""G""), ""o"",""x"")"),"x")</f>
        <v>x</v>
      </c>
      <c r="CE106" s="245" t="str">
        <f>IFERROR(__xludf.DUMMYFUNCTION("IF(REGEXMATCH(C106, ""m""), ""o"",""x"")"),"o")</f>
        <v>o</v>
      </c>
      <c r="CF106" s="246" t="str">
        <f>IFERROR(__xludf.DUMMYFUNCTION("IF(REGEXMATCH(C106, ""M""), ""o"",""x"")"),"x")</f>
        <v>x</v>
      </c>
      <c r="CG106" s="245" t="str">
        <f>IFERROR(__xludf.DUMMYFUNCTION("IF(REGEXMATCH(C106, ""P""), ""o"",""x"")"),"o")</f>
        <v>o</v>
      </c>
      <c r="CH106" s="246" t="str">
        <f>IFERROR(__xludf.DUMMYFUNCTION("IF(REGEXMATCH(C106, ""d""), ""o"",""x"")"),"x")</f>
        <v>x</v>
      </c>
      <c r="CI106" s="245" t="str">
        <f>IFERROR(__xludf.DUMMYFUNCTION("IF(REGEXMATCH(C106, ""D""), ""o"",""x"")"),"o")</f>
        <v>o</v>
      </c>
      <c r="CJ106" s="245" t="str">
        <f>IFERROR(__xludf.DUMMYFUNCTION("IF(REGEXMATCH(C106, ""n""), ""o"",""x"")"),"o")</f>
        <v>o</v>
      </c>
      <c r="CK106" s="245" t="str">
        <f>IFERROR(__xludf.DUMMYFUNCTION("IF(REGEXMATCH(C106, ""N""), ""o"",""x"")"),"x")</f>
        <v>x</v>
      </c>
      <c r="CL106" s="356" t="str">
        <f>IFERROR(__xludf.DUMMYFUNCTION("IF(REGEXMATCH(C106, ""S""), ""x"",""x"")"),"x")</f>
        <v>x</v>
      </c>
      <c r="CM106" s="357" t="str">
        <f t="shared" si="33"/>
        <v>xxoxxoxoxoox</v>
      </c>
      <c r="CN106" s="358">
        <f t="shared" si="34"/>
        <v>0</v>
      </c>
      <c r="CO106" s="246" t="str">
        <f>IFERROR(__xludf.DUMMYFUNCTION("IF(REGEXMATCH($C106, ""S""), ""S"",""S"")"),"S")</f>
        <v>S</v>
      </c>
      <c r="CP106" s="246" t="str">
        <f>IFERROR(__xludf.DUMMYFUNCTION("IF(REGEXMATCH($C106, ""r""), """",""r"")"),"r")</f>
        <v>r</v>
      </c>
      <c r="CQ106" s="246" t="str">
        <f>IFERROR(__xludf.DUMMYFUNCTION("IF(REGEXMATCH($C106, ""R""), """",""R"")"),"")</f>
        <v/>
      </c>
      <c r="CR106" s="246" t="str">
        <f>IFERROR(__xludf.DUMMYFUNCTION("IF(REGEXMATCH($C106, ""g""), """",""g"")"),"g")</f>
        <v>g</v>
      </c>
      <c r="CS106" s="246" t="str">
        <f>IFERROR(__xludf.DUMMYFUNCTION("IF(REGEXMATCH($C106, ""G""), """",""G"")"),"G")</f>
        <v>G</v>
      </c>
      <c r="CT106" s="246" t="str">
        <f>IFERROR(__xludf.DUMMYFUNCTION("IF(REGEXMATCH($C106, ""m""), """",""m"")"),"")</f>
        <v/>
      </c>
      <c r="CU106" s="246" t="str">
        <f>IFERROR(__xludf.DUMMYFUNCTION("IF(REGEXMATCH($C106, ""M""), """",""M"")"),"M")</f>
        <v>M</v>
      </c>
      <c r="CV106" s="246" t="str">
        <f>IFERROR(__xludf.DUMMYFUNCTION("IF(REGEXMATCH($C106, ""P""), """",""P"")"),"")</f>
        <v/>
      </c>
      <c r="CW106" s="246" t="str">
        <f>IFERROR(__xludf.DUMMYFUNCTION("IF(REGEXMATCH($C106, ""d""), """",""d"")"),"d")</f>
        <v>d</v>
      </c>
      <c r="CX106" s="246" t="str">
        <f>IFERROR(__xludf.DUMMYFUNCTION("IF(REGEXMATCH($C106, ""D""), """",""D"")"),"")</f>
        <v/>
      </c>
      <c r="CY106" s="246" t="str">
        <f>IFERROR(__xludf.DUMMYFUNCTION("IF(REGEXMATCH($C106, ""n""), """",""n"")"),"")</f>
        <v/>
      </c>
      <c r="CZ106" s="246" t="str">
        <f>IFERROR(__xludf.DUMMYFUNCTION("IF(REGEXMATCH($C106, ""N""), """",""N"")"),"N")</f>
        <v>N</v>
      </c>
      <c r="DA106" s="246" t="str">
        <f>IFERROR(__xludf.DUMMYFUNCTION("IF(REGEXMATCH($C106, ""S""), ""S"",""S"")"),"S")</f>
        <v>S</v>
      </c>
      <c r="DB106" s="362" t="str">
        <f>IFERROR(__xludf.DUMMYFUNCTION("JOIN("""",CO106:DA106,"""","""")"),"SrgGMdNS")</f>
        <v>SrgGMdNS</v>
      </c>
      <c r="DC106" s="363"/>
      <c r="DD106" s="301" t="str">
        <f t="shared" si="35"/>
        <v>#REF!</v>
      </c>
      <c r="DE106" s="302" t="str">
        <f t="shared" si="36"/>
        <v>#REF!</v>
      </c>
      <c r="DF106" s="301" t="str">
        <f t="shared" ref="DF106:DG106" si="412">SUBSTITUTE(S106,"-","")</f>
        <v>SRM</v>
      </c>
      <c r="DG106" s="301" t="str">
        <f t="shared" si="412"/>
        <v>PDNS</v>
      </c>
      <c r="DH106" s="302" t="str">
        <f t="shared" si="38"/>
        <v>Shankara</v>
      </c>
      <c r="DI106" s="301" t="str">
        <f t="shared" si="39"/>
        <v>Hemi.</v>
      </c>
      <c r="DJ106" s="364" t="str">
        <f t="shared" si="40"/>
        <v>-</v>
      </c>
      <c r="DK106" s="306" t="str">
        <f t="shared" si="41"/>
        <v>-</v>
      </c>
      <c r="DL106" s="366" t="str">
        <f t="shared" si="42"/>
        <v>✔</v>
      </c>
      <c r="DM106" s="308" t="str">
        <f t="shared" si="43"/>
        <v>-</v>
      </c>
      <c r="DN106" s="306" t="str">
        <f t="shared" si="44"/>
        <v>-</v>
      </c>
      <c r="DO106" s="306" t="str">
        <f t="shared" si="45"/>
        <v>-</v>
      </c>
      <c r="DP106" s="367" t="str">
        <f t="shared" si="46"/>
        <v>-</v>
      </c>
      <c r="DQ106" s="310" t="str">
        <f t="shared" si="47"/>
        <v>-</v>
      </c>
      <c r="DR106" s="310" t="str">
        <f t="shared" si="48"/>
        <v>-</v>
      </c>
      <c r="DS106" s="310" t="str">
        <f t="shared" si="49"/>
        <v>-</v>
      </c>
      <c r="DT106" s="310" t="str">
        <f t="shared" si="50"/>
        <v>-</v>
      </c>
      <c r="DU106" s="370" t="str">
        <f t="shared" si="51"/>
        <v>-</v>
      </c>
      <c r="DV106" s="306" t="str">
        <f t="shared" si="52"/>
        <v>-</v>
      </c>
      <c r="DW106" s="306" t="str">
        <f t="shared" si="53"/>
        <v>✔</v>
      </c>
      <c r="DX106" s="306" t="str">
        <f t="shared" si="54"/>
        <v>-</v>
      </c>
      <c r="DY106" s="306" t="str">
        <f t="shared" si="55"/>
        <v>-</v>
      </c>
      <c r="DZ106" s="306" t="str">
        <f t="shared" si="56"/>
        <v>-</v>
      </c>
      <c r="EA106" s="367" t="str">
        <f t="shared" si="57"/>
        <v>-</v>
      </c>
      <c r="EB106" s="310" t="str">
        <f>IFERROR(__xludf.DUMMYFUNCTION("IF(REGEXMATCH(AW106,AS106),""✔"",""-"")"),"✔")</f>
        <v>✔</v>
      </c>
      <c r="EC106" s="310" t="str">
        <f t="shared" si="58"/>
        <v>#REF!</v>
      </c>
      <c r="ED106" s="370" t="str">
        <f t="shared" si="59"/>
        <v>-</v>
      </c>
      <c r="EE106" s="340" t="str">
        <f t="shared" si="60"/>
        <v>S-R-m-P-D-n-S</v>
      </c>
      <c r="EF106" s="371" t="str">
        <f>IFERROR(__xludf.DUMMYFUNCTION("CONCATENATE(JOIN("""",HC106:HO106))"),"SRgmPnS")</f>
        <v>SRgmPnS</v>
      </c>
      <c r="EG106" s="372">
        <f t="shared" si="61"/>
        <v>1</v>
      </c>
      <c r="EH106" s="373" t="str">
        <f>IFERROR(__xludf.DUMMYFUNCTION("CONCATENATE(JOIN("""",JC106:JO106))"),"Dha, ")</f>
        <v>Dha, </v>
      </c>
      <c r="EI106" s="322">
        <f t="shared" si="62"/>
        <v>0</v>
      </c>
      <c r="EJ106" s="374" t="str">
        <f>IFERROR(__xludf.DUMMYFUNCTION("CONCATENATE(JOIN("""",KC106:KO106))"),"")</f>
        <v/>
      </c>
      <c r="EK106" s="325" t="str">
        <f t="shared" si="63"/>
        <v>S-R2-M1-P-D2-N2-S</v>
      </c>
      <c r="EL106" s="326" t="str">
        <f t="shared" si="64"/>
        <v>1-2-4-5-6-b7-8</v>
      </c>
      <c r="EM106" s="318" t="str">
        <f t="shared" si="65"/>
        <v>#REF!</v>
      </c>
      <c r="EN106" s="328" t="str">
        <f>IFERROR(__xludf.DUMMYFUNCTION("SUBSTITUTE(SUBSTITUTE(SUBSTITUTE(SUBSTITUTE(CONCATENATE(JOIN("" "",HP106:IB106)),""  "","" ""),""  "","" ""),""  "","" ""),""  "","" "")"),"o • o • • o • o • o o • o")</f>
        <v>o • o • • o • o • o o • o</v>
      </c>
      <c r="EO106" s="368" t="str">
        <f t="shared" si="66"/>
        <v>-</v>
      </c>
      <c r="EP106" s="339" t="str">
        <f t="shared" si="67"/>
        <v>-</v>
      </c>
      <c r="EQ106" s="339" t="str">
        <f t="shared" si="68"/>
        <v>Sa-Pa</v>
      </c>
      <c r="ER106" s="339" t="str">
        <f t="shared" si="69"/>
        <v>-</v>
      </c>
      <c r="ES106" s="340" t="str">
        <f t="shared" si="70"/>
        <v>-</v>
      </c>
      <c r="ET106" s="363"/>
      <c r="EU106" s="376" t="b">
        <f>IFERROR(__xludf.DUMMYFUNCTION("arrayformula(sum(--REGEXMATCH(""SRGMPDNS"",split(REGEXREPLACE(C106,""(.)"",""$1~""),""~""))))=len(C106)
"),FALSE)</f>
        <v>0</v>
      </c>
      <c r="EV106" s="290" t="b">
        <f>IFERROR(__xludf.DUMMYFUNCTION("arrayformula(sum(--REGEXMATCH(""SRGmPDNS"",split(REGEXREPLACE(C106,""(.)"",""$1~""),""~""))))=len(C106)"),FALSE)</f>
        <v>0</v>
      </c>
      <c r="EW106" s="290" t="b">
        <f>IFERROR(__xludf.DUMMYFUNCTION("arrayformula(sum(--REGEXMATCH(""SRGmPDnS"",split(REGEXREPLACE(C106,""(.)"",""$1~""),""~""))))=len(C106)"),TRUE)</f>
        <v>1</v>
      </c>
      <c r="EX106" s="290" t="b">
        <f>IFERROR(__xludf.DUMMYFUNCTION("arrayformula(sum(--REGEXMATCH(""SRgmPDnS"",split(REGEXREPLACE(C106,""(.)"",""$1~""),""~""))))=len(C106)"),TRUE)</f>
        <v>1</v>
      </c>
      <c r="EY106" s="290" t="b">
        <f>IFERROR(__xludf.DUMMYFUNCTION("arrayformula(sum(--REGEXMATCH(""SRgmPdnS"",split(REGEXREPLACE(C106,""(.)"",""$1~""),""~""))))=len(C106)"),FALSE)</f>
        <v>0</v>
      </c>
      <c r="EZ106" s="290" t="b">
        <f>IFERROR(__xludf.DUMMYFUNCTION("arrayformula(sum(--REGEXMATCH(""SrgmPdnS"",split(REGEXREPLACE(C106,""(.)"",""$1~""),""~""))))=len(C106)"),FALSE)</f>
        <v>0</v>
      </c>
      <c r="FA106" s="290" t="b">
        <f>IFERROR(__xludf.DUMMYFUNCTION("arrayformula(sum(--REGEXMATCH(""SrGmPdNS"",split(REGEXREPLACE(C106,""(.)"",""$1~""),""~""))))=len(C106)"),FALSE)</f>
        <v>0</v>
      </c>
      <c r="FB106" s="290" t="b">
        <f>IFERROR(__xludf.DUMMYFUNCTION("arrayformula(sum(--REGEXMATCH(""SrGMPDNS"",split(REGEXREPLACE(C106,""(.)"",""$1~""),""~""))))=len(C106)"),FALSE)</f>
        <v>0</v>
      </c>
      <c r="FC106" s="290" t="b">
        <f>IFERROR(__xludf.DUMMYFUNCTION("arrayformula(sum(--REGEXMATCH(""SrGMPdNS"",split(REGEXREPLACE(C106,""(.)"",""$1~""),""~""))))=len(C106)"),FALSE)</f>
        <v>0</v>
      </c>
      <c r="FD106" s="377" t="b">
        <f>IFERROR(__xludf.DUMMYFUNCTION("arrayformula(sum(--REGEXMATCH(""SrgMPdNS"",split(REGEXREPLACE(C106,""(.)"",""$1~""),""~""))))=len(C106)"),FALSE)</f>
        <v>0</v>
      </c>
      <c r="FE106" s="269" t="str">
        <f t="shared" si="71"/>
        <v>-</v>
      </c>
      <c r="FF106" s="269" t="str">
        <f t="shared" si="72"/>
        <v>xooxoxoxxox</v>
      </c>
      <c r="FG106" s="271" t="str">
        <f t="shared" si="73"/>
        <v>-</v>
      </c>
      <c r="FH106" s="269" t="str">
        <f t="shared" si="74"/>
        <v>-</v>
      </c>
      <c r="FI106" s="271" t="str">
        <f t="shared" si="75"/>
        <v>xoxoxxoxoxo</v>
      </c>
      <c r="FJ106" s="271" t="str">
        <f t="shared" si="76"/>
        <v>-</v>
      </c>
      <c r="FK106" s="271" t="str">
        <f t="shared" si="77"/>
        <v>xoxxoxoxoox</v>
      </c>
      <c r="FL106" s="271" t="str">
        <f t="shared" si="78"/>
        <v>-</v>
      </c>
      <c r="FM106" s="271" t="str">
        <f t="shared" si="79"/>
        <v>xxoxoxooxox</v>
      </c>
      <c r="FN106" s="271" t="str">
        <f t="shared" si="80"/>
        <v>xoxoxooxoxo</v>
      </c>
      <c r="FO106" s="274" t="str">
        <f t="shared" si="81"/>
        <v>-</v>
      </c>
      <c r="FP106" s="234" t="str">
        <f t="shared" si="82"/>
        <v>|</v>
      </c>
      <c r="FQ106" s="236" t="str">
        <f t="shared" si="83"/>
        <v>-</v>
      </c>
      <c r="FR106" s="237" t="str">
        <f t="shared" si="84"/>
        <v>|</v>
      </c>
      <c r="FS106" s="236" t="str">
        <f t="shared" si="85"/>
        <v>-</v>
      </c>
      <c r="FT106" s="237" t="str">
        <f t="shared" si="86"/>
        <v>-</v>
      </c>
      <c r="FU106" s="236" t="str">
        <f t="shared" si="87"/>
        <v>|</v>
      </c>
      <c r="FV106" s="237" t="str">
        <f t="shared" si="88"/>
        <v>-</v>
      </c>
      <c r="FW106" s="236" t="str">
        <f t="shared" si="89"/>
        <v>|</v>
      </c>
      <c r="FX106" s="237" t="str">
        <f t="shared" si="90"/>
        <v>-</v>
      </c>
      <c r="FY106" s="236" t="str">
        <f t="shared" si="91"/>
        <v>|</v>
      </c>
      <c r="FZ106" s="237" t="str">
        <f t="shared" si="92"/>
        <v>|</v>
      </c>
      <c r="GA106" s="236" t="str">
        <f t="shared" si="93"/>
        <v>-</v>
      </c>
      <c r="GB106" s="238" t="str">
        <f t="shared" si="94"/>
        <v>|</v>
      </c>
      <c r="GC106" s="244" t="str">
        <f>IFERROR(__xludf.DUMMYFUNCTION("IF(REGEXMATCH(C106, ""S""), ""1"","""")"),"1")</f>
        <v>1</v>
      </c>
      <c r="GD106" s="245" t="str">
        <f>IFERROR(__xludf.DUMMYFUNCTION("IF(REGEXMATCH(C106, ""r""), ""b2"","""")"),"")</f>
        <v/>
      </c>
      <c r="GE106" s="246" t="str">
        <f>IFERROR(__xludf.DUMMYFUNCTION("IF(REGEXMATCH(C106, ""R""), ""2"","""")"),"2")</f>
        <v>2</v>
      </c>
      <c r="GF106" s="246" t="str">
        <f>IFERROR(__xludf.DUMMYFUNCTION("IF(REGEXMATCH(C106, ""g""), ""b3"","""")"),"")</f>
        <v/>
      </c>
      <c r="GG106" s="245" t="str">
        <f>IFERROR(__xludf.DUMMYFUNCTION("IF(REGEXMATCH(C106, ""G""), ""3"","""")"),"")</f>
        <v/>
      </c>
      <c r="GH106" s="245" t="str">
        <f>IFERROR(__xludf.DUMMYFUNCTION("IF(REGEXMATCH(C106, ""m""), ""4"","""")"),"4")</f>
        <v>4</v>
      </c>
      <c r="GI106" s="246" t="str">
        <f>IFERROR(__xludf.DUMMYFUNCTION("IF(REGEXMATCH(C106, ""M""), ""#4"","""")"),"")</f>
        <v/>
      </c>
      <c r="GJ106" s="245" t="str">
        <f>IFERROR(__xludf.DUMMYFUNCTION("IF(REGEXMATCH(C106, ""P""), ""5"","""")"),"5")</f>
        <v>5</v>
      </c>
      <c r="GK106" s="246" t="str">
        <f>IFERROR(__xludf.DUMMYFUNCTION("IF(REGEXMATCH(C106, ""d""), ""b6"","""")"),"")</f>
        <v/>
      </c>
      <c r="GL106" s="245" t="str">
        <f>IFERROR(__xludf.DUMMYFUNCTION("IF(REGEXMATCH(C106, ""D""), ""6"","""")"),"6")</f>
        <v>6</v>
      </c>
      <c r="GM106" s="245" t="str">
        <f>IFERROR(__xludf.DUMMYFUNCTION("IF(REGEXMATCH(C106, ""n""), ""b7"","""")"),"b7")</f>
        <v>b7</v>
      </c>
      <c r="GN106" s="246" t="str">
        <f>IFERROR(__xludf.DUMMYFUNCTION("IF(REGEXMATCH(C106, ""N""), ""7"","""")"),"")</f>
        <v/>
      </c>
      <c r="GO106" s="249" t="str">
        <f>IFERROR(__xludf.DUMMYFUNCTION("IF(REGEXMATCH(C106, ""S""), ""8"","""")"),"8")</f>
        <v>8</v>
      </c>
      <c r="GP106" s="244" t="str">
        <f>IFERROR(__xludf.DUMMYFUNCTION("IF(REGEXMATCH(C106, ""S""), ""S"","""")"),"S")</f>
        <v>S</v>
      </c>
      <c r="GQ106" s="294" t="str">
        <f>IFERROR(__xludf.DUMMYFUNCTION("IF(REGEXMATCH(C106, ""r""), ""R1"","""")"),"")</f>
        <v/>
      </c>
      <c r="GR106" s="295" t="str">
        <f>IFERROR(__xludf.DUMMYFUNCTION("IF(REGEXMATCH(C106, ""R""), ""R2"","""")"),"R2")</f>
        <v>R2</v>
      </c>
      <c r="GS106" s="295" t="str">
        <f>IFERROR(__xludf.DUMMYFUNCTION("IF(REGEXMATCH(C106, ""g""), ""G2"","""")"),"")</f>
        <v/>
      </c>
      <c r="GT106" s="294" t="str">
        <f>IFERROR(__xludf.DUMMYFUNCTION("IF(REGEXMATCH(C106, ""G""), ""G3"","""")"),"")</f>
        <v/>
      </c>
      <c r="GU106" s="294" t="str">
        <f>IFERROR(__xludf.DUMMYFUNCTION("IF(REGEXMATCH(C106, ""m""), ""M1"","""")"),"M1")</f>
        <v>M1</v>
      </c>
      <c r="GV106" s="295" t="str">
        <f>IFERROR(__xludf.DUMMYFUNCTION("IF(REGEXMATCH(C106, ""M""), ""M2"","""")"),"")</f>
        <v/>
      </c>
      <c r="GW106" s="294" t="str">
        <f>IFERROR(__xludf.DUMMYFUNCTION("IF(REGEXMATCH(C106, ""P""), ""P"","""")"),"P")</f>
        <v>P</v>
      </c>
      <c r="GX106" s="295" t="str">
        <f>IFERROR(__xludf.DUMMYFUNCTION("IF(REGEXMATCH(C106, ""d""), ""D1"","""")"),"")</f>
        <v/>
      </c>
      <c r="GY106" s="294" t="str">
        <f>IFERROR(__xludf.DUMMYFUNCTION("IF(REGEXMATCH(C106, ""D""), ""D2"","""")"),"D2")</f>
        <v>D2</v>
      </c>
      <c r="GZ106" s="294" t="str">
        <f>IFERROR(__xludf.DUMMYFUNCTION("IF(REGEXMATCH(C106, ""n""), ""N2"","""")"),"N2")</f>
        <v>N2</v>
      </c>
      <c r="HA106" s="295" t="str">
        <f>IFERROR(__xludf.DUMMYFUNCTION("IF(REGEXMATCH(C106, ""N""), ""N3"","""")"),"")</f>
        <v/>
      </c>
      <c r="HB106" s="249" t="str">
        <f>IFERROR(__xludf.DUMMYFUNCTION("IF(REGEXMATCH(C106, ""S""), ""S"","""")"),"S")</f>
        <v>S</v>
      </c>
      <c r="HC106" s="331" t="str">
        <f t="shared" si="95"/>
        <v>S</v>
      </c>
      <c r="HD106" s="332" t="str">
        <f t="shared" si="96"/>
        <v/>
      </c>
      <c r="HE106" s="332" t="str">
        <f t="shared" si="97"/>
        <v>R</v>
      </c>
      <c r="HF106" s="332" t="str">
        <f t="shared" si="98"/>
        <v>g</v>
      </c>
      <c r="HG106" s="332" t="str">
        <f t="shared" si="99"/>
        <v/>
      </c>
      <c r="HH106" s="332" t="str">
        <f t="shared" si="100"/>
        <v>m</v>
      </c>
      <c r="HI106" s="332" t="str">
        <f t="shared" si="101"/>
        <v/>
      </c>
      <c r="HJ106" s="332" t="str">
        <f t="shared" si="102"/>
        <v>P</v>
      </c>
      <c r="HK106" s="332" t="str">
        <f t="shared" si="103"/>
        <v/>
      </c>
      <c r="HL106" s="332" t="str">
        <f t="shared" si="104"/>
        <v/>
      </c>
      <c r="HM106" s="332" t="str">
        <f t="shared" si="105"/>
        <v>n</v>
      </c>
      <c r="HN106" s="332" t="str">
        <f t="shared" si="106"/>
        <v/>
      </c>
      <c r="HO106" s="343" t="str">
        <f t="shared" si="107"/>
        <v>S</v>
      </c>
      <c r="HP106" s="331" t="str">
        <f t="shared" si="108"/>
        <v>o</v>
      </c>
      <c r="HQ106" s="332" t="str">
        <f t="shared" si="109"/>
        <v>•</v>
      </c>
      <c r="HR106" s="332" t="str">
        <f t="shared" si="110"/>
        <v>o</v>
      </c>
      <c r="HS106" s="332" t="str">
        <f t="shared" si="111"/>
        <v>•</v>
      </c>
      <c r="HT106" s="332" t="str">
        <f t="shared" si="112"/>
        <v>•</v>
      </c>
      <c r="HU106" s="332" t="str">
        <f t="shared" si="113"/>
        <v>o</v>
      </c>
      <c r="HV106" s="332" t="str">
        <f t="shared" si="114"/>
        <v>•</v>
      </c>
      <c r="HW106" s="332" t="str">
        <f t="shared" si="115"/>
        <v>o</v>
      </c>
      <c r="HX106" s="332" t="str">
        <f t="shared" si="116"/>
        <v>•</v>
      </c>
      <c r="HY106" s="332" t="str">
        <f t="shared" si="117"/>
        <v>o</v>
      </c>
      <c r="HZ106" s="332" t="str">
        <f t="shared" si="118"/>
        <v>o</v>
      </c>
      <c r="IA106" s="332" t="str">
        <f t="shared" si="119"/>
        <v>•</v>
      </c>
      <c r="IB106" s="338" t="str">
        <f t="shared" si="120"/>
        <v>o</v>
      </c>
      <c r="IC106" s="331" t="str">
        <f t="shared" si="121"/>
        <v>•</v>
      </c>
      <c r="ID106" s="332" t="str">
        <f t="shared" si="122"/>
        <v>o</v>
      </c>
      <c r="IE106" s="332" t="str">
        <f t="shared" si="123"/>
        <v>•</v>
      </c>
      <c r="IF106" s="332" t="str">
        <f t="shared" si="124"/>
        <v>o</v>
      </c>
      <c r="IG106" s="332" t="str">
        <f t="shared" si="125"/>
        <v>o</v>
      </c>
      <c r="IH106" s="332" t="str">
        <f t="shared" si="126"/>
        <v>•</v>
      </c>
      <c r="II106" s="332" t="str">
        <f t="shared" si="127"/>
        <v>o</v>
      </c>
      <c r="IJ106" s="332" t="str">
        <f t="shared" si="128"/>
        <v>•</v>
      </c>
      <c r="IK106" s="332" t="str">
        <f t="shared" si="129"/>
        <v>o</v>
      </c>
      <c r="IL106" s="332" t="str">
        <f t="shared" si="130"/>
        <v>•</v>
      </c>
      <c r="IM106" s="332" t="str">
        <f t="shared" si="131"/>
        <v>•</v>
      </c>
      <c r="IN106" s="332" t="str">
        <f t="shared" si="132"/>
        <v>o</v>
      </c>
      <c r="IO106" s="338" t="str">
        <f t="shared" si="133"/>
        <v>•</v>
      </c>
      <c r="IP106" s="346" t="b">
        <f t="shared" si="134"/>
        <v>0</v>
      </c>
      <c r="IQ106" s="347" t="b">
        <f t="shared" si="135"/>
        <v>0</v>
      </c>
      <c r="IR106" s="347" t="b">
        <f t="shared" si="136"/>
        <v>0</v>
      </c>
      <c r="IS106" s="347" t="b">
        <f t="shared" si="137"/>
        <v>0</v>
      </c>
      <c r="IT106" s="347" t="b">
        <f t="shared" si="138"/>
        <v>0</v>
      </c>
      <c r="IU106" s="347" t="b">
        <f t="shared" si="139"/>
        <v>0</v>
      </c>
      <c r="IV106" s="347" t="b">
        <f t="shared" si="140"/>
        <v>0</v>
      </c>
      <c r="IW106" s="347" t="b">
        <f t="shared" si="141"/>
        <v>0</v>
      </c>
      <c r="IX106" s="347" t="b">
        <f t="shared" si="142"/>
        <v>0</v>
      </c>
      <c r="IY106" s="347" t="b">
        <f t="shared" si="143"/>
        <v>1</v>
      </c>
      <c r="IZ106" s="347" t="b">
        <f t="shared" si="144"/>
        <v>0</v>
      </c>
      <c r="JA106" s="347" t="b">
        <f t="shared" si="145"/>
        <v>0</v>
      </c>
      <c r="JB106" s="353" t="b">
        <f t="shared" si="146"/>
        <v>0</v>
      </c>
      <c r="JC106" s="354" t="str">
        <f t="shared" si="147"/>
        <v/>
      </c>
      <c r="JD106" s="355" t="str">
        <f t="shared" si="148"/>
        <v/>
      </c>
      <c r="JE106" s="355" t="str">
        <f t="shared" si="149"/>
        <v/>
      </c>
      <c r="JF106" s="355" t="str">
        <f t="shared" si="150"/>
        <v/>
      </c>
      <c r="JG106" s="355" t="str">
        <f t="shared" si="151"/>
        <v/>
      </c>
      <c r="JH106" s="355" t="str">
        <f t="shared" si="152"/>
        <v/>
      </c>
      <c r="JI106" s="355" t="str">
        <f t="shared" si="153"/>
        <v/>
      </c>
      <c r="JJ106" s="355" t="str">
        <f t="shared" si="154"/>
        <v/>
      </c>
      <c r="JK106" s="355" t="str">
        <f t="shared" si="155"/>
        <v/>
      </c>
      <c r="JL106" s="355" t="str">
        <f t="shared" si="156"/>
        <v>Dha, </v>
      </c>
      <c r="JM106" s="355" t="str">
        <f t="shared" si="157"/>
        <v/>
      </c>
      <c r="JN106" s="355" t="str">
        <f t="shared" si="158"/>
        <v/>
      </c>
      <c r="JO106" s="359" t="str">
        <f t="shared" si="159"/>
        <v/>
      </c>
      <c r="JP106" s="346" t="b">
        <f t="shared" si="160"/>
        <v>0</v>
      </c>
      <c r="JQ106" s="347" t="b">
        <f t="shared" si="161"/>
        <v>0</v>
      </c>
      <c r="JR106" s="347" t="b">
        <f t="shared" si="162"/>
        <v>0</v>
      </c>
      <c r="JS106" s="347" t="b">
        <f t="shared" si="163"/>
        <v>0</v>
      </c>
      <c r="JT106" s="347" t="b">
        <f t="shared" si="164"/>
        <v>0</v>
      </c>
      <c r="JU106" s="347" t="b">
        <f t="shared" si="165"/>
        <v>0</v>
      </c>
      <c r="JV106" s="347" t="b">
        <f t="shared" si="166"/>
        <v>0</v>
      </c>
      <c r="JW106" s="347" t="b">
        <f t="shared" si="167"/>
        <v>0</v>
      </c>
      <c r="JX106" s="347" t="b">
        <f t="shared" si="168"/>
        <v>0</v>
      </c>
      <c r="JY106" s="347" t="b">
        <f t="shared" si="169"/>
        <v>0</v>
      </c>
      <c r="JZ106" s="347" t="b">
        <f t="shared" si="170"/>
        <v>0</v>
      </c>
      <c r="KA106" s="347" t="b">
        <f t="shared" si="171"/>
        <v>0</v>
      </c>
      <c r="KB106" s="365" t="b">
        <f t="shared" si="172"/>
        <v>0</v>
      </c>
      <c r="KC106" s="354" t="str">
        <f t="shared" si="173"/>
        <v/>
      </c>
      <c r="KD106" s="355" t="str">
        <f t="shared" si="174"/>
        <v/>
      </c>
      <c r="KE106" s="355" t="str">
        <f t="shared" si="175"/>
        <v/>
      </c>
      <c r="KF106" s="355" t="str">
        <f t="shared" si="176"/>
        <v/>
      </c>
      <c r="KG106" s="355" t="str">
        <f t="shared" si="177"/>
        <v/>
      </c>
      <c r="KH106" s="355" t="str">
        <f t="shared" si="178"/>
        <v/>
      </c>
      <c r="KI106" s="355" t="str">
        <f t="shared" si="179"/>
        <v/>
      </c>
      <c r="KJ106" s="355" t="str">
        <f t="shared" si="180"/>
        <v/>
      </c>
      <c r="KK106" s="355" t="str">
        <f t="shared" si="181"/>
        <v/>
      </c>
      <c r="KL106" s="355" t="str">
        <f t="shared" si="182"/>
        <v/>
      </c>
      <c r="KM106" s="355" t="str">
        <f t="shared" si="183"/>
        <v/>
      </c>
      <c r="KN106" s="355" t="str">
        <f t="shared" si="184"/>
        <v/>
      </c>
      <c r="KO106" s="359"/>
      <c r="KP106" s="378"/>
      <c r="KQ106" s="379" t="s">
        <v>719</v>
      </c>
      <c r="KR106" s="380" t="s">
        <v>1387</v>
      </c>
      <c r="KS106" s="381" t="str">
        <f t="shared" si="413"/>
        <v>S-R-m-P-D-S</v>
      </c>
      <c r="KT106" s="382">
        <f t="shared" si="186"/>
        <v>5</v>
      </c>
      <c r="KU106" s="383">
        <f t="shared" si="187"/>
        <v>5</v>
      </c>
      <c r="KV106" s="381" t="str">
        <f t="shared" si="205"/>
        <v>S-n-D-P-m-R-S</v>
      </c>
      <c r="KW106" s="382">
        <f t="shared" si="189"/>
        <v>6</v>
      </c>
      <c r="KX106" s="384">
        <f t="shared" si="190"/>
        <v>6</v>
      </c>
      <c r="KY106" s="382">
        <f t="shared" ref="KY106:KZ106" si="414">KW106-KT106</f>
        <v>1</v>
      </c>
      <c r="KZ106" s="369">
        <f t="shared" si="414"/>
        <v>1</v>
      </c>
      <c r="LA106" s="385" t="str">
        <f t="shared" si="192"/>
        <v>-</v>
      </c>
      <c r="LB106" s="340" t="str">
        <f>IFERROR(__xludf.DUMMYFUNCTION("JOIN("""",ArrayFormula(MID(KS106,LEN(KS106)-SEQUENCE(1,LEN(KS106))+1,1)))"),"S-D-P-m-R-S")</f>
        <v>S-D-P-m-R-S</v>
      </c>
      <c r="LC106" s="373" t="str">
        <f>IFERROR(__xludf.DUMMYFUNCTION("JOIN("""",ArrayFormula(MID(KV106,LEN(KV106)-SEQUENCE(1,LEN(KV106))+1,1)))"),"S-R-m-P-D-n-S")</f>
        <v>S-R-m-P-D-n-S</v>
      </c>
      <c r="LD106" s="373" t="str">
        <f t="shared" si="193"/>
        <v>SRmPDS</v>
      </c>
      <c r="LE106" s="339" t="str">
        <f t="shared" si="194"/>
        <v>SRmPDnS</v>
      </c>
      <c r="LF106" s="386" t="str">
        <f>IFERROR(__xludf.DUMMYFUNCTION("SUBSTITUTE(SUBSTITUTE(CONCATENATE(JOIN("""",LH106:LT106)),""1"",""""),""2"","""")"),"SRmPDnS")</f>
        <v>SRmPDnS</v>
      </c>
      <c r="LG106" s="369" t="str">
        <f t="shared" si="195"/>
        <v>✔</v>
      </c>
      <c r="LH106" s="387" t="str">
        <f>IFERROR(__xludf.DUMMYFUNCTION("IF(REGEXMATCH(LD106, ""S""), ""S"",IF(REGEXMATCH(LE106, ""S""), ""S"",""""))"),"S")</f>
        <v>S</v>
      </c>
      <c r="LI106" s="299" t="str">
        <f>IFERROR(__xludf.DUMMYFUNCTION("IF(REGEXMATCH(LD106, ""r""), ""r1"",IF(REGEXMATCH(LE106, ""r""), ""r2"",""""))"),"")</f>
        <v/>
      </c>
      <c r="LJ106" s="299" t="str">
        <f>IFERROR(__xludf.DUMMYFUNCTION("IF(REGEXMATCH(LD106, ""R""), ""R1"",IF(REGEXMATCH(LE106, ""R""), ""R2"",""""))"),"R1")</f>
        <v>R1</v>
      </c>
      <c r="LK106" s="299" t="str">
        <f>IFERROR(__xludf.DUMMYFUNCTION("IF(REGEXMATCH(LD106, ""g""), ""g1"",IF(REGEXMATCH(LE106, ""g""), ""g2"",""""))"),"")</f>
        <v/>
      </c>
      <c r="LL106" s="299" t="str">
        <f>IFERROR(__xludf.DUMMYFUNCTION("IF(REGEXMATCH(LD106, ""G""), ""G1"",IF(REGEXMATCH(LE106, ""G""), ""G2"",""""))"),"")</f>
        <v/>
      </c>
      <c r="LM106" s="299" t="str">
        <f>IFERROR(__xludf.DUMMYFUNCTION("IF(REGEXMATCH(LD106, ""m""), ""m1"",IF(REGEXMATCH(LE106, ""m""), ""m2"",""""))"),"m1")</f>
        <v>m1</v>
      </c>
      <c r="LN106" s="299" t="str">
        <f>IFERROR(__xludf.DUMMYFUNCTION("IF(REGEXMATCH(LD106, ""M""), ""M1"",IF(REGEXMATCH(LE106, ""M""), ""M2"",""""))"),"")</f>
        <v/>
      </c>
      <c r="LO106" s="299" t="str">
        <f>IFERROR(__xludf.DUMMYFUNCTION("IF(REGEXMATCH(LD106, ""P""), ""P1"",IF(REGEXMATCH(LE106, ""P""), ""P2"",""""))"),"P1")</f>
        <v>P1</v>
      </c>
      <c r="LP106" s="299" t="str">
        <f>IFERROR(__xludf.DUMMYFUNCTION("IF(REGEXMATCH(LD106, ""d""), ""d1"",IF(REGEXMATCH(LE106, ""d""), ""d2"",""""))"),"")</f>
        <v/>
      </c>
      <c r="LQ106" s="299" t="str">
        <f>IFERROR(__xludf.DUMMYFUNCTION("IF(REGEXMATCH(LD106, ""D""), ""D1"",IF(REGEXMATCH(LE106, ""D""), ""D2"",""""))"),"D1")</f>
        <v>D1</v>
      </c>
      <c r="LR106" s="299" t="str">
        <f>IFERROR(__xludf.DUMMYFUNCTION("IF(REGEXMATCH(LD106, ""n""), ""n1"",IF(REGEXMATCH(LE106, ""n""), ""n2"",""""))"),"n2")</f>
        <v>n2</v>
      </c>
      <c r="LS106" s="299" t="str">
        <f>IFERROR(__xludf.DUMMYFUNCTION("IF(REGEXMATCH(LD106, ""N""), ""N1"",IF(REGEXMATCH(LE106, ""N""), ""N2"",""""))"),"")</f>
        <v/>
      </c>
      <c r="LT106" s="388" t="str">
        <f>IFERROR(__xludf.DUMMYFUNCTION("IF(REGEXMATCH(LD106, ""S""), ""S"",IF(REGEXMATCH(LE106, ""S""), ""S"",""""))"),"S")</f>
        <v>S</v>
      </c>
      <c r="LU106" s="389">
        <f t="shared" si="196"/>
        <v>-1</v>
      </c>
      <c r="LV106" s="378"/>
      <c r="LW106" s="369"/>
      <c r="LX106" s="369"/>
    </row>
    <row r="107" ht="18.0" customHeight="1">
      <c r="A107" s="298" t="s">
        <v>723</v>
      </c>
      <c r="B107" s="222" t="s">
        <v>724</v>
      </c>
      <c r="C107" s="233" t="str">
        <f t="shared" si="7"/>
        <v>SgGmdnNS</v>
      </c>
      <c r="D107" s="234" t="str">
        <f>IFERROR(__xludf.DUMMYFUNCTION("IF(REGEXMATCH(C107, ""S""), ""S"","""")"),"S")</f>
        <v>S</v>
      </c>
      <c r="E107" s="236" t="str">
        <f>IFERROR(__xludf.DUMMYFUNCTION("IF(REGEXMATCH(C107, ""r""), ""r"","""")"),"")</f>
        <v/>
      </c>
      <c r="F107" s="237" t="str">
        <f>IFERROR(__xludf.DUMMYFUNCTION("IF(REGEXMATCH(C107, ""R""), ""R"","""")"),"")</f>
        <v/>
      </c>
      <c r="G107" s="237" t="str">
        <f>IFERROR(__xludf.DUMMYFUNCTION("IF(REGEXMATCH(C107, ""g""), ""g"","""")"),"g")</f>
        <v>g</v>
      </c>
      <c r="H107" s="236" t="str">
        <f>IFERROR(__xludf.DUMMYFUNCTION("IF(REGEXMATCH(C107, ""G""), ""G"","""")"),"G")</f>
        <v>G</v>
      </c>
      <c r="I107" s="236" t="str">
        <f>IFERROR(__xludf.DUMMYFUNCTION("IF(REGEXMATCH(C107, ""m""), ""m"","""")"),"m")</f>
        <v>m</v>
      </c>
      <c r="J107" s="237" t="str">
        <f>IFERROR(__xludf.DUMMYFUNCTION("IF(REGEXMATCH(C107, ""M""), ""M"","""")"),"")</f>
        <v/>
      </c>
      <c r="K107" s="236" t="str">
        <f>IFERROR(__xludf.DUMMYFUNCTION("IF(REGEXMATCH(C107, ""P""), ""P"","""")"),"")</f>
        <v/>
      </c>
      <c r="L107" s="237" t="str">
        <f>IFERROR(__xludf.DUMMYFUNCTION("IF(REGEXMATCH(C107, ""d""), ""d"","""")"),"d")</f>
        <v>d</v>
      </c>
      <c r="M107" s="236" t="str">
        <f>IFERROR(__xludf.DUMMYFUNCTION("IF(REGEXMATCH(C107, ""D""), ""D"","""")"),"")</f>
        <v/>
      </c>
      <c r="N107" s="236" t="str">
        <f>IFERROR(__xludf.DUMMYFUNCTION("IF(REGEXMATCH(C107, ""n""), ""n"","""")"),"n")</f>
        <v>n</v>
      </c>
      <c r="O107" s="237" t="str">
        <f>IFERROR(__xludf.DUMMYFUNCTION("IF(REGEXMATCH(C107, ""N""), ""N"","""")"),"N")</f>
        <v>N</v>
      </c>
      <c r="P107" s="238" t="str">
        <f>IFERROR(__xludf.DUMMYFUNCTION("IF(REGEXMATCH(C107, ""S""), ""S"","""")"),"S")</f>
        <v>S</v>
      </c>
      <c r="Q107" s="239" t="str">
        <f>IFERROR(__xludf.DUMMYFUNCTION("SUBSTITUTE(CONCATENATE(JOIN(""-"",D107:J107)),""-"","""")"),"SgGm")</f>
        <v>SgGm</v>
      </c>
      <c r="R107" s="229" t="str">
        <f>IFERROR(__xludf.DUMMYFUNCTION("SUBSTITUTE(CONCATENATE(JOIN(""-"",K107:P107)),""-"","""")"),"dnNS")</f>
        <v>dnNS</v>
      </c>
      <c r="S107" s="282" t="str">
        <f t="shared" si="8"/>
        <v>S-G-M</v>
      </c>
      <c r="T107" s="282" t="str">
        <f t="shared" si="9"/>
        <v>D-N-S</v>
      </c>
      <c r="U107" s="237" t="str">
        <f>IFERROR(__xludf.DUMMYFUNCTION("SUBSTITUTE(JOIN(""-"",S107,T107),""--"",""-"")"),"S-G-M-D-N-S")</f>
        <v>S-G-M-D-N-S</v>
      </c>
      <c r="V107" s="309" t="str">
        <f t="shared" si="10"/>
        <v>gGmdnN</v>
      </c>
      <c r="W107" s="244" t="str">
        <f>IFERROR(__xludf.DUMMYFUNCTION("IF(REGEXMATCH(C107, ""S""), ""0"","""")"),"0")</f>
        <v>0</v>
      </c>
      <c r="X107" s="245" t="str">
        <f>IFERROR(__xludf.DUMMYFUNCTION("IF(REGEXMATCH(C107, ""r""), ""1"","""")"),"")</f>
        <v/>
      </c>
      <c r="Y107" s="246" t="str">
        <f>IFERROR(__xludf.DUMMYFUNCTION("IF(REGEXMATCH(C107, ""R""), ""2"","""")"),"")</f>
        <v/>
      </c>
      <c r="Z107" s="246" t="str">
        <f>IFERROR(__xludf.DUMMYFUNCTION("IF(REGEXMATCH(C107, ""g""), ""3"","""")"),"3")</f>
        <v>3</v>
      </c>
      <c r="AA107" s="245" t="str">
        <f>IFERROR(__xludf.DUMMYFUNCTION("IF(REGEXMATCH(C107, ""G""), ""4"","""")"),"4")</f>
        <v>4</v>
      </c>
      <c r="AB107" s="245" t="str">
        <f>IFERROR(__xludf.DUMMYFUNCTION("IF(REGEXMATCH(C107, ""m""), ""5"","""")"),"5")</f>
        <v>5</v>
      </c>
      <c r="AC107" s="246" t="str">
        <f>IFERROR(__xludf.DUMMYFUNCTION("IF(REGEXMATCH(C107, ""M""), ""6"","""")"),"")</f>
        <v/>
      </c>
      <c r="AD107" s="245" t="str">
        <f>IFERROR(__xludf.DUMMYFUNCTION("IF(REGEXMATCH(C107, ""P""), ""7"","""")"),"")</f>
        <v/>
      </c>
      <c r="AE107" s="246" t="str">
        <f>IFERROR(__xludf.DUMMYFUNCTION("IF(REGEXMATCH(C107, ""d""), ""8"","""")"),"8")</f>
        <v>8</v>
      </c>
      <c r="AF107" s="245" t="str">
        <f>IFERROR(__xludf.DUMMYFUNCTION("IF(REGEXMATCH(C107, ""D""), ""9"","""")"),"")</f>
        <v/>
      </c>
      <c r="AG107" s="245" t="str">
        <f>IFERROR(__xludf.DUMMYFUNCTION("IF(REGEXMATCH(C107, ""n""), ""10"","""")"),"10")</f>
        <v>10</v>
      </c>
      <c r="AH107" s="246" t="str">
        <f>IFERROR(__xludf.DUMMYFUNCTION("IF(REGEXMATCH(C107, ""N""), ""11"","""")"),"11")</f>
        <v>11</v>
      </c>
      <c r="AI107" s="249" t="str">
        <f>IFERROR(__xludf.DUMMYFUNCTION("IF(REGEXMATCH(C107, ""S""), ""0"","""")"),"0")</f>
        <v>0</v>
      </c>
      <c r="AJ107" s="313" t="str">
        <f t="shared" si="11"/>
        <v>-</v>
      </c>
      <c r="AK107" s="313" t="str">
        <f t="shared" si="12"/>
        <v>-</v>
      </c>
      <c r="AL107" s="313" t="str">
        <f t="shared" si="13"/>
        <v>-</v>
      </c>
      <c r="AM107" s="313" t="str">
        <f t="shared" si="14"/>
        <v>-</v>
      </c>
      <c r="AN107" s="313" t="str">
        <f t="shared" si="15"/>
        <v>T</v>
      </c>
      <c r="AO107" s="314" t="str">
        <f t="shared" si="16"/>
        <v>T</v>
      </c>
      <c r="AP107" s="316">
        <f t="shared" si="17"/>
        <v>2</v>
      </c>
      <c r="AQ107" s="319" t="str">
        <f t="shared" si="18"/>
        <v>-</v>
      </c>
      <c r="AR107" s="320">
        <f t="shared" si="19"/>
        <v>0</v>
      </c>
      <c r="AS107" s="250" t="str">
        <f>IFERROR(__xludf.DUMMYFUNCTION("SUBSTITUTE(SUBSTITUTE(CONCATENATE(JOIN("""",FP107:GA107)),""|"",""x""),""-"",""o"")"),"xooxxxooxoxx")</f>
        <v>xooxxxooxoxx</v>
      </c>
      <c r="AT107" s="323" t="str">
        <f>IFERROR(__xludf.DUMMYFUNCTION("JOIN("""",AS107,AS107)"),"xooxxxooxoxxxooxxxooxoxx")</f>
        <v>xooxxxooxoxxxooxxxooxoxx</v>
      </c>
      <c r="AU107" s="256" t="str">
        <f>IFERROR(__xludf.DUMMYFUNCTION("JOIN("""",ArrayFormula(MID(AS107,LEN(AS107)-SEQUENCE(1,LEN(AS107))+1,1)))"),"xxoxooxxxoox")</f>
        <v>xxoxooxxxoox</v>
      </c>
      <c r="AV107" s="256" t="str">
        <f>IFERROR(__xludf.DUMMYFUNCTION("LEFT(CONCATENATE(""x"",JOIN("""",ArrayFormula(MID(AS107,LEN(AS107)-SEQUENCE(1,LEN(AS107))+1,1)))),12)"),"xxxoxooxxxoo")</f>
        <v>xxxoxooxxxoo</v>
      </c>
      <c r="AW107" s="327" t="str">
        <f>IFERROR(__xludf.DUMMYFUNCTION("JOIN("""",AU107,AU107)"),"xxoxooxxxooxxxoxooxxxoox")</f>
        <v>xxoxooxxxooxxxoxooxxxoox</v>
      </c>
      <c r="AX107" s="239" t="str">
        <f>IFERROR(__xludf.DUMMYFUNCTION("IF(REGEXMATCH(AW107,AS107),""✔"",""-"")"),"-")</f>
        <v>-</v>
      </c>
      <c r="AY107" s="330" t="str">
        <f t="shared" si="20"/>
        <v>-</v>
      </c>
      <c r="AZ107" s="260" t="str">
        <f t="shared" si="21"/>
        <v>#REF!</v>
      </c>
      <c r="BA107" s="333" t="str">
        <f t="shared" si="22"/>
        <v>xooxxxo</v>
      </c>
      <c r="BB107" s="334" t="str">
        <f t="shared" si="23"/>
        <v>oxoxxx</v>
      </c>
      <c r="BC107" s="335" t="str">
        <f t="shared" si="236"/>
        <v>-</v>
      </c>
      <c r="BD107" s="336" t="str">
        <f t="shared" si="25"/>
        <v>Ek Prakar ki Kauns: 'xooxxxo' + 'oxoxxx'</v>
      </c>
      <c r="BE107" s="337">
        <f>IFERROR(__xludf.DUMMYFUNCTION("COUNTUNIQUE(FILTER(AT:AT,REGEXMATCH(AT:AT,AS107)))-1"),5.0)</f>
        <v>5</v>
      </c>
      <c r="BF107" s="261" t="str">
        <f>IFERROR(__xludf.DUMMYFUNCTION("IF(BI107=0,""(n/a)"",IF(BJ107=2,""(PAIR)"",IF(REGEXMATCH(AT107,""xoxoxxoxoxox""),""Bilawal"",IF(REGEXMATCH(AT107,""xoxoxooxoxoo""),""Bhupali"",IF(REGEXMATCH(AT107,""xoxoxxoxxoxo""),""Charukeshi"",IF(REGEXMATCH(AT107,""xoxoooxxoxxo""),""Kameshwari"",IF(REG"&amp;"EXMATCH(AT107,""xoxoxooxoxox""),""Shankara"",IF(REGEXMATCH(AT107,""xxooxoxxxoox""),""Basant"",IF(REGEXMATCH(AT107,""xoxoxxxxoxox""),""Bihag"",IF(REGEXMATCH(AT107,""xoxxxxoxoxxx""),""Pilu"",IF(REGEXMATCH(AT107,""xoxxoxoxxoox""),""Kirwani"",IF(REGEXMATCH(AT"&amp;"107,""xoxxoxoxoxxx""),""Mk.Malhar"",IF(REGEXMATCH(AT107,""xxooxxoxxoox""),""Bhairav"",IF(REGEXMATCH(AT107,""xxoxooxxxoox""),""Todi"",IF(REGEXMATCH(AT107,""xxooxoxooxox""),""Marwa"",IF(REGEXMATCH(AT107,""xxoooxoxxooo""),""Gunkali"",IF(REGEXMATCH(AT107,""xo"&amp;"xoxxoxxoox""),""Nat Bhairav"",IF(REGEXMATCH(AT107,""xoxxoooxoxoo""),""Shivranjani"",IF(REGEXMATCH(AT107,""xooxxxoxooxo""),""Jog"",IF(REGEXMATCH(AT107,""xxooxoxoxoox""),""Hemshri"",IF(REGEXMATCH(AT107,""xoooxooxoxxo""),""Kalavati"",IF(REGEXMATCH(AT107,""xx"&amp;"oxoxxoxoox""),""Kedar"",IF(REGEXMATCH(AT107,""xoxxxxoxooxx""),""Gara"",IF(REGEXMATCH(AT107,""xooxoxooxoox""),""Chandrakauns"",IF(REGEXMATCH(AT107,""xoxxxxoxxxox""),""Mand"",IF(REGEXMATCH(AT107,""xoxxxxoxoxox""),""Hanskinkini"",IF(REGEXMATCH(AT107,""xxooxx"&amp;"oxooxo""),""Lilavati"",IF(REGEXMATCH(AT107,""xooxoxoooxox""),""Rajeshwari"",IF(REGEXMATCH(AT107,""xoooxxoxoxxx""),""Khokar"",IF(REGEXMATCH(AT107,""xxooxoxxxxox""),""Maligoura"",""-""))))))))))))))))))))))))))))))"),"Basant")</f>
        <v>Basant</v>
      </c>
      <c r="BG107" s="239" t="str">
        <f t="shared" si="26"/>
        <v>#REF!</v>
      </c>
      <c r="BH107" s="239">
        <f>IFERROR(__xludf.DUMMYFUNCTION("COUNTUNIQUE(FE107:FO107)-1"),6.0)</f>
        <v>6</v>
      </c>
      <c r="BI107" s="239">
        <f>IFERROR(__xludf.DUMMYFUNCTION("COUNTUNIQUE(FILTER(AT:AT,REGEXMATCH(AT:AT,AS107)))-1"),5.0)</f>
        <v>5</v>
      </c>
      <c r="BJ107" s="239">
        <f>IFERROR(__xludf.DUMMYFUNCTION("COUNTA(FILTER(AT:AT,REGEXMATCH(AT:AT,AS107)))"),12.0)</f>
        <v>12</v>
      </c>
      <c r="BK107" s="341">
        <f>IFERROR(__xludf.DUMMYFUNCTION("COUNTA(FILTER(AT:AT,REGEXMATCH(AT:AT,AS107)))-AR107"),12.0)</f>
        <v>12</v>
      </c>
      <c r="BL107" s="276" t="str">
        <f>IFERROR(__xludf.DUMMYFUNCTION("IF(AS107=""oooooooooooo"",""-"",IF(REGEXMATCH(AT107,""xx""), ""Hemi."", ""Anhemi.""))"),"Hemi.")</f>
        <v>Hemi.</v>
      </c>
      <c r="BM107" s="282" t="str">
        <f>IFERROR(__xludf.DUMMYFUNCTION("IF(AS107=""oooooooooooo"",""-"",IF(REGEXMATCH(AT107,""xxx""), ""Cohem."", ""-""))"),"Cohem.")</f>
        <v>Cohem.</v>
      </c>
      <c r="BN107" s="282" t="str">
        <f>IFERROR(__xludf.DUMMYFUNCTION("IF(AS107=""oooooooooooo"",""-"",IF(REGEXMATCH(AT107,""xxxx""), ""Co-Co."", ""-""))"),"-")</f>
        <v>-</v>
      </c>
      <c r="BO107" s="342" t="str">
        <f>IFERROR(__xludf.DUMMYFUNCTION("IF(AS107=""oooooooooooo"",""-"",IF(REGEXMATCH(AT107,""xxxxx""), ""CCC."", ""-""))"),"-")</f>
        <v>-</v>
      </c>
      <c r="BP107" s="344" t="str">
        <f t="shared" si="27"/>
        <v>-</v>
      </c>
      <c r="BQ107" s="282" t="str">
        <f>IFERROR(__xludf.DUMMYFUNCTION("IF(REGEXMATCH(JOIN(""-"",EU107:FD107),""TRUE""),""✔"",""-"")"),"-")</f>
        <v>-</v>
      </c>
      <c r="BR107" s="225">
        <f t="shared" si="28"/>
        <v>0</v>
      </c>
      <c r="BS107" s="345" t="str">
        <f>IFERROR(__xludf.DUMMYFUNCTION("SUBSTITUTE(SUBSTITUTE(SUBSTITUTE(SUBSTITUTE(CONCATENATE(JOIN(""-"",GC107:GO107)),""--"",""-""),""--"",""-""),""--"",""-""),""--"",""-"")"),"1-b3-3-4-b6-b7-7-8")</f>
        <v>1-b3-3-4-b6-b7-7-8</v>
      </c>
      <c r="BT107" s="299" t="str">
        <f>IFERROR(__xludf.DUMMYFUNCTION("SUBSTITUTE(SUBSTITUTE(SUBSTITUTE(SUBSTITUTE(CONCATENATE(JOIN(""-"",GP107:HB107)),""--"",""-""),""--"",""-""),""--"",""-""),""--"",""-"")"),"S-G2-G3-M1-D1-N2-N3-S")</f>
        <v>S-G2-G3-M1-D1-N2-N3-S</v>
      </c>
      <c r="BU107" s="348" t="str">
        <f t="shared" si="29"/>
        <v>C-Eb-E-F-Ab-Bb-B-C</v>
      </c>
      <c r="BV107" s="349" t="str">
        <f t="shared" si="30"/>
        <v>SrRMPDS</v>
      </c>
      <c r="BW107" s="350">
        <f t="shared" si="31"/>
        <v>0</v>
      </c>
      <c r="BX107" s="351">
        <f t="shared" si="32"/>
        <v>1</v>
      </c>
      <c r="BY107" s="392"/>
      <c r="BZ107" s="309" t="str">
        <f>IFERROR(__xludf.DUMMYFUNCTION("IF(REGEXMATCH(C107, ""S""), ""x"",""x"")"),"x")</f>
        <v>x</v>
      </c>
      <c r="CA107" s="245" t="str">
        <f>IFERROR(__xludf.DUMMYFUNCTION("IF(REGEXMATCH(C107, ""r""), ""o"",""x"")"),"x")</f>
        <v>x</v>
      </c>
      <c r="CB107" s="246" t="str">
        <f>IFERROR(__xludf.DUMMYFUNCTION("IF(REGEXMATCH(C107, ""R""), ""o"",""x"")"),"x")</f>
        <v>x</v>
      </c>
      <c r="CC107" s="246" t="str">
        <f>IFERROR(__xludf.DUMMYFUNCTION("IF(REGEXMATCH(C107, ""g""), ""o"",""x"")"),"o")</f>
        <v>o</v>
      </c>
      <c r="CD107" s="245" t="str">
        <f>IFERROR(__xludf.DUMMYFUNCTION("IF(REGEXMATCH(C107, ""G""), ""o"",""x"")"),"o")</f>
        <v>o</v>
      </c>
      <c r="CE107" s="245" t="str">
        <f>IFERROR(__xludf.DUMMYFUNCTION("IF(REGEXMATCH(C107, ""m""), ""o"",""x"")"),"o")</f>
        <v>o</v>
      </c>
      <c r="CF107" s="246" t="str">
        <f>IFERROR(__xludf.DUMMYFUNCTION("IF(REGEXMATCH(C107, ""M""), ""o"",""x"")"),"x")</f>
        <v>x</v>
      </c>
      <c r="CG107" s="245" t="str">
        <f>IFERROR(__xludf.DUMMYFUNCTION("IF(REGEXMATCH(C107, ""P""), ""o"",""x"")"),"x")</f>
        <v>x</v>
      </c>
      <c r="CH107" s="246" t="str">
        <f>IFERROR(__xludf.DUMMYFUNCTION("IF(REGEXMATCH(C107, ""d""), ""o"",""x"")"),"o")</f>
        <v>o</v>
      </c>
      <c r="CI107" s="245" t="str">
        <f>IFERROR(__xludf.DUMMYFUNCTION("IF(REGEXMATCH(C107, ""D""), ""o"",""x"")"),"x")</f>
        <v>x</v>
      </c>
      <c r="CJ107" s="245" t="str">
        <f>IFERROR(__xludf.DUMMYFUNCTION("IF(REGEXMATCH(C107, ""n""), ""o"",""x"")"),"o")</f>
        <v>o</v>
      </c>
      <c r="CK107" s="245" t="str">
        <f>IFERROR(__xludf.DUMMYFUNCTION("IF(REGEXMATCH(C107, ""N""), ""o"",""x"")"),"o")</f>
        <v>o</v>
      </c>
      <c r="CL107" s="356" t="str">
        <f>IFERROR(__xludf.DUMMYFUNCTION("IF(REGEXMATCH(C107, ""S""), ""x"",""x"")"),"x")</f>
        <v>x</v>
      </c>
      <c r="CM107" s="357" t="str">
        <f t="shared" si="33"/>
        <v>xxxoooxxoxoo</v>
      </c>
      <c r="CN107" s="358">
        <f t="shared" si="34"/>
        <v>0</v>
      </c>
      <c r="CO107" s="246" t="str">
        <f>IFERROR(__xludf.DUMMYFUNCTION("IF(REGEXMATCH($C107, ""S""), ""S"",""S"")"),"S")</f>
        <v>S</v>
      </c>
      <c r="CP107" s="246" t="str">
        <f>IFERROR(__xludf.DUMMYFUNCTION("IF(REGEXMATCH($C107, ""r""), """",""r"")"),"r")</f>
        <v>r</v>
      </c>
      <c r="CQ107" s="246" t="str">
        <f>IFERROR(__xludf.DUMMYFUNCTION("IF(REGEXMATCH($C107, ""R""), """",""R"")"),"R")</f>
        <v>R</v>
      </c>
      <c r="CR107" s="246" t="str">
        <f>IFERROR(__xludf.DUMMYFUNCTION("IF(REGEXMATCH($C107, ""g""), """",""g"")"),"")</f>
        <v/>
      </c>
      <c r="CS107" s="246" t="str">
        <f>IFERROR(__xludf.DUMMYFUNCTION("IF(REGEXMATCH($C107, ""G""), """",""G"")"),"")</f>
        <v/>
      </c>
      <c r="CT107" s="246" t="str">
        <f>IFERROR(__xludf.DUMMYFUNCTION("IF(REGEXMATCH($C107, ""m""), """",""m"")"),"")</f>
        <v/>
      </c>
      <c r="CU107" s="246" t="str">
        <f>IFERROR(__xludf.DUMMYFUNCTION("IF(REGEXMATCH($C107, ""M""), """",""M"")"),"M")</f>
        <v>M</v>
      </c>
      <c r="CV107" s="246" t="str">
        <f>IFERROR(__xludf.DUMMYFUNCTION("IF(REGEXMATCH($C107, ""P""), """",""P"")"),"P")</f>
        <v>P</v>
      </c>
      <c r="CW107" s="246" t="str">
        <f>IFERROR(__xludf.DUMMYFUNCTION("IF(REGEXMATCH($C107, ""d""), """",""d"")"),"")</f>
        <v/>
      </c>
      <c r="CX107" s="246" t="str">
        <f>IFERROR(__xludf.DUMMYFUNCTION("IF(REGEXMATCH($C107, ""D""), """",""D"")"),"D")</f>
        <v>D</v>
      </c>
      <c r="CY107" s="246" t="str">
        <f>IFERROR(__xludf.DUMMYFUNCTION("IF(REGEXMATCH($C107, ""n""), """",""n"")"),"")</f>
        <v/>
      </c>
      <c r="CZ107" s="246" t="str">
        <f>IFERROR(__xludf.DUMMYFUNCTION("IF(REGEXMATCH($C107, ""N""), """",""N"")"),"")</f>
        <v/>
      </c>
      <c r="DA107" s="246" t="str">
        <f>IFERROR(__xludf.DUMMYFUNCTION("IF(REGEXMATCH($C107, ""S""), ""S"",""S"")"),"S")</f>
        <v>S</v>
      </c>
      <c r="DB107" s="362" t="str">
        <f>IFERROR(__xludf.DUMMYFUNCTION("JOIN("""",CO107:DA107,"""","""")"),"SrRMPDS")</f>
        <v>SrRMPDS</v>
      </c>
      <c r="DC107" s="363"/>
      <c r="DD107" s="301" t="str">
        <f t="shared" si="35"/>
        <v>#REF!</v>
      </c>
      <c r="DE107" s="302" t="str">
        <f t="shared" si="36"/>
        <v>#REF!</v>
      </c>
      <c r="DF107" s="301" t="str">
        <f t="shared" ref="DF107:DG107" si="415">SUBSTITUTE(S107,"-","")</f>
        <v>SGM</v>
      </c>
      <c r="DG107" s="301" t="str">
        <f t="shared" si="415"/>
        <v>DNS</v>
      </c>
      <c r="DH107" s="302" t="str">
        <f t="shared" si="38"/>
        <v>Basant</v>
      </c>
      <c r="DI107" s="301" t="str">
        <f t="shared" si="39"/>
        <v>Hemi.</v>
      </c>
      <c r="DJ107" s="364" t="str">
        <f t="shared" si="40"/>
        <v>Cohem.</v>
      </c>
      <c r="DK107" s="306" t="str">
        <f t="shared" si="41"/>
        <v>-</v>
      </c>
      <c r="DL107" s="366" t="str">
        <f t="shared" si="42"/>
        <v>-</v>
      </c>
      <c r="DM107" s="308" t="str">
        <f t="shared" si="43"/>
        <v>✔</v>
      </c>
      <c r="DN107" s="306" t="str">
        <f t="shared" si="44"/>
        <v>-</v>
      </c>
      <c r="DO107" s="306" t="str">
        <f t="shared" si="45"/>
        <v>-</v>
      </c>
      <c r="DP107" s="367" t="str">
        <f t="shared" si="46"/>
        <v>-</v>
      </c>
      <c r="DQ107" s="310" t="str">
        <f t="shared" si="47"/>
        <v>-</v>
      </c>
      <c r="DR107" s="310" t="str">
        <f t="shared" si="48"/>
        <v>✔</v>
      </c>
      <c r="DS107" s="310" t="str">
        <f t="shared" si="49"/>
        <v>-</v>
      </c>
      <c r="DT107" s="310" t="str">
        <f t="shared" si="50"/>
        <v>-</v>
      </c>
      <c r="DU107" s="370" t="str">
        <f t="shared" si="51"/>
        <v>✔</v>
      </c>
      <c r="DV107" s="306" t="str">
        <f t="shared" si="52"/>
        <v>✔</v>
      </c>
      <c r="DW107" s="306" t="str">
        <f t="shared" si="53"/>
        <v>-</v>
      </c>
      <c r="DX107" s="306" t="str">
        <f t="shared" si="54"/>
        <v>-</v>
      </c>
      <c r="DY107" s="306" t="str">
        <f t="shared" si="55"/>
        <v>✔</v>
      </c>
      <c r="DZ107" s="306" t="str">
        <f t="shared" si="56"/>
        <v>-</v>
      </c>
      <c r="EA107" s="367" t="str">
        <f t="shared" si="57"/>
        <v>-</v>
      </c>
      <c r="EB107" s="310" t="str">
        <f>IFERROR(__xludf.DUMMYFUNCTION("IF(REGEXMATCH(AW107,AS107),""✔"",""-"")"),"-")</f>
        <v>-</v>
      </c>
      <c r="EC107" s="310" t="str">
        <f t="shared" si="58"/>
        <v>#REF!</v>
      </c>
      <c r="ED107" s="370" t="str">
        <f t="shared" si="59"/>
        <v>-</v>
      </c>
      <c r="EE107" s="340" t="str">
        <f t="shared" si="60"/>
        <v>S-gG-m-d-nN-S</v>
      </c>
      <c r="EF107" s="371" t="str">
        <f>IFERROR(__xludf.DUMMYFUNCTION("CONCATENATE(JOIN("""",HC107:HO107))"),"SrRGPdDS")</f>
        <v>SrRGPdDS</v>
      </c>
      <c r="EG107" s="372">
        <f t="shared" si="61"/>
        <v>2</v>
      </c>
      <c r="EH107" s="373" t="str">
        <f>IFERROR(__xludf.DUMMYFUNCTION("CONCATENATE(JOIN("""",JC107:JO107))"),"Sa, Ni, ")</f>
        <v>Sa, Ni, </v>
      </c>
      <c r="EI107" s="322">
        <f t="shared" si="62"/>
        <v>0</v>
      </c>
      <c r="EJ107" s="374" t="str">
        <f>IFERROR(__xludf.DUMMYFUNCTION("CONCATENATE(JOIN("""",KC107:KO107))"),"")</f>
        <v/>
      </c>
      <c r="EK107" s="325" t="str">
        <f t="shared" si="63"/>
        <v>S-G2-G3-M1-D1-N2-N3-S</v>
      </c>
      <c r="EL107" s="326" t="str">
        <f t="shared" si="64"/>
        <v>1-b3-3-4-b6-b7-7-8</v>
      </c>
      <c r="EM107" s="318" t="str">
        <f t="shared" si="65"/>
        <v>#REF!</v>
      </c>
      <c r="EN107" s="328" t="str">
        <f>IFERROR(__xludf.DUMMYFUNCTION("SUBSTITUTE(SUBSTITUTE(SUBSTITUTE(SUBSTITUTE(CONCATENATE(JOIN("" "",HP107:IB107)),""  "","" ""),""  "","" ""),""  "","" ""),""  "","" "")"),"o • • o o o • • o • o o o")</f>
        <v>o • • o o o • • o • o o o</v>
      </c>
      <c r="EO107" s="368" t="str">
        <f t="shared" si="66"/>
        <v>Sa-ma</v>
      </c>
      <c r="EP107" s="339" t="str">
        <f t="shared" si="67"/>
        <v>-</v>
      </c>
      <c r="EQ107" s="339" t="str">
        <f t="shared" si="68"/>
        <v>-</v>
      </c>
      <c r="ER107" s="339" t="str">
        <f t="shared" si="69"/>
        <v>-</v>
      </c>
      <c r="ES107" s="340" t="str">
        <f t="shared" si="70"/>
        <v>Sa-ma</v>
      </c>
      <c r="ET107" s="363"/>
      <c r="EU107" s="376" t="b">
        <f>IFERROR(__xludf.DUMMYFUNCTION("arrayformula(sum(--REGEXMATCH(""SRGMPDNS"",split(REGEXREPLACE(C107,""(.)"",""$1~""),""~""))))=len(C107)
"),FALSE)</f>
        <v>0</v>
      </c>
      <c r="EV107" s="290" t="b">
        <f>IFERROR(__xludf.DUMMYFUNCTION("arrayformula(sum(--REGEXMATCH(""SRGmPDNS"",split(REGEXREPLACE(C107,""(.)"",""$1~""),""~""))))=len(C107)"),FALSE)</f>
        <v>0</v>
      </c>
      <c r="EW107" s="290" t="b">
        <f>IFERROR(__xludf.DUMMYFUNCTION("arrayformula(sum(--REGEXMATCH(""SRGmPDnS"",split(REGEXREPLACE(C107,""(.)"",""$1~""),""~""))))=len(C107)"),FALSE)</f>
        <v>0</v>
      </c>
      <c r="EX107" s="290" t="b">
        <f>IFERROR(__xludf.DUMMYFUNCTION("arrayformula(sum(--REGEXMATCH(""SRgmPDnS"",split(REGEXREPLACE(C107,""(.)"",""$1~""),""~""))))=len(C107)"),FALSE)</f>
        <v>0</v>
      </c>
      <c r="EY107" s="290" t="b">
        <f>IFERROR(__xludf.DUMMYFUNCTION("arrayformula(sum(--REGEXMATCH(""SRgmPdnS"",split(REGEXREPLACE(C107,""(.)"",""$1~""),""~""))))=len(C107)"),FALSE)</f>
        <v>0</v>
      </c>
      <c r="EZ107" s="290" t="b">
        <f>IFERROR(__xludf.DUMMYFUNCTION("arrayformula(sum(--REGEXMATCH(""SrgmPdnS"",split(REGEXREPLACE(C107,""(.)"",""$1~""),""~""))))=len(C107)"),FALSE)</f>
        <v>0</v>
      </c>
      <c r="FA107" s="290" t="b">
        <f>IFERROR(__xludf.DUMMYFUNCTION("arrayformula(sum(--REGEXMATCH(""SrGmPdNS"",split(REGEXREPLACE(C107,""(.)"",""$1~""),""~""))))=len(C107)"),FALSE)</f>
        <v>0</v>
      </c>
      <c r="FB107" s="290" t="b">
        <f>IFERROR(__xludf.DUMMYFUNCTION("arrayformula(sum(--REGEXMATCH(""SrGMPDNS"",split(REGEXREPLACE(C107,""(.)"",""$1~""),""~""))))=len(C107)"),FALSE)</f>
        <v>0</v>
      </c>
      <c r="FC107" s="290" t="b">
        <f>IFERROR(__xludf.DUMMYFUNCTION("arrayformula(sum(--REGEXMATCH(""SrGMPdNS"",split(REGEXREPLACE(C107,""(.)"",""$1~""),""~""))))=len(C107)"),FALSE)</f>
        <v>0</v>
      </c>
      <c r="FD107" s="377" t="b">
        <f>IFERROR(__xludf.DUMMYFUNCTION("arrayformula(sum(--REGEXMATCH(""SrgMPdNS"",split(REGEXREPLACE(C107,""(.)"",""$1~""),""~""))))=len(C107)"),FALSE)</f>
        <v>0</v>
      </c>
      <c r="FE107" s="269" t="str">
        <f t="shared" si="71"/>
        <v>-</v>
      </c>
      <c r="FF107" s="269" t="str">
        <f t="shared" si="72"/>
        <v>-</v>
      </c>
      <c r="FG107" s="271" t="str">
        <f t="shared" si="73"/>
        <v>xxxooxoxxxo</v>
      </c>
      <c r="FH107" s="269" t="str">
        <f t="shared" si="74"/>
        <v>xxooxoxxxoo</v>
      </c>
      <c r="FI107" s="271" t="str">
        <f t="shared" si="75"/>
        <v>xooxoxxxoox</v>
      </c>
      <c r="FJ107" s="271" t="str">
        <f t="shared" si="76"/>
        <v>-</v>
      </c>
      <c r="FK107" s="271" t="str">
        <f t="shared" si="77"/>
        <v>-</v>
      </c>
      <c r="FL107" s="271" t="str">
        <f t="shared" si="78"/>
        <v>xoxxxooxxxo</v>
      </c>
      <c r="FM107" s="271" t="str">
        <f t="shared" si="79"/>
        <v>-</v>
      </c>
      <c r="FN107" s="271" t="str">
        <f t="shared" si="80"/>
        <v>xxxooxxxoox</v>
      </c>
      <c r="FO107" s="274" t="str">
        <f t="shared" si="81"/>
        <v>xxooxxxooxo</v>
      </c>
      <c r="FP107" s="234" t="str">
        <f t="shared" si="82"/>
        <v>|</v>
      </c>
      <c r="FQ107" s="236" t="str">
        <f t="shared" si="83"/>
        <v>-</v>
      </c>
      <c r="FR107" s="237" t="str">
        <f t="shared" si="84"/>
        <v>-</v>
      </c>
      <c r="FS107" s="236" t="str">
        <f t="shared" si="85"/>
        <v>|</v>
      </c>
      <c r="FT107" s="237" t="str">
        <f t="shared" si="86"/>
        <v>|</v>
      </c>
      <c r="FU107" s="236" t="str">
        <f t="shared" si="87"/>
        <v>|</v>
      </c>
      <c r="FV107" s="237" t="str">
        <f t="shared" si="88"/>
        <v>-</v>
      </c>
      <c r="FW107" s="236" t="str">
        <f t="shared" si="89"/>
        <v>-</v>
      </c>
      <c r="FX107" s="237" t="str">
        <f t="shared" si="90"/>
        <v>|</v>
      </c>
      <c r="FY107" s="236" t="str">
        <f t="shared" si="91"/>
        <v>-</v>
      </c>
      <c r="FZ107" s="237" t="str">
        <f t="shared" si="92"/>
        <v>|</v>
      </c>
      <c r="GA107" s="236" t="str">
        <f t="shared" si="93"/>
        <v>|</v>
      </c>
      <c r="GB107" s="238" t="str">
        <f t="shared" si="94"/>
        <v>|</v>
      </c>
      <c r="GC107" s="244" t="str">
        <f>IFERROR(__xludf.DUMMYFUNCTION("IF(REGEXMATCH(C107, ""S""), ""1"","""")"),"1")</f>
        <v>1</v>
      </c>
      <c r="GD107" s="245" t="str">
        <f>IFERROR(__xludf.DUMMYFUNCTION("IF(REGEXMATCH(C107, ""r""), ""b2"","""")"),"")</f>
        <v/>
      </c>
      <c r="GE107" s="246" t="str">
        <f>IFERROR(__xludf.DUMMYFUNCTION("IF(REGEXMATCH(C107, ""R""), ""2"","""")"),"")</f>
        <v/>
      </c>
      <c r="GF107" s="246" t="str">
        <f>IFERROR(__xludf.DUMMYFUNCTION("IF(REGEXMATCH(C107, ""g""), ""b3"","""")"),"b3")</f>
        <v>b3</v>
      </c>
      <c r="GG107" s="245" t="str">
        <f>IFERROR(__xludf.DUMMYFUNCTION("IF(REGEXMATCH(C107, ""G""), ""3"","""")"),"3")</f>
        <v>3</v>
      </c>
      <c r="GH107" s="245" t="str">
        <f>IFERROR(__xludf.DUMMYFUNCTION("IF(REGEXMATCH(C107, ""m""), ""4"","""")"),"4")</f>
        <v>4</v>
      </c>
      <c r="GI107" s="246" t="str">
        <f>IFERROR(__xludf.DUMMYFUNCTION("IF(REGEXMATCH(C107, ""M""), ""#4"","""")"),"")</f>
        <v/>
      </c>
      <c r="GJ107" s="245" t="str">
        <f>IFERROR(__xludf.DUMMYFUNCTION("IF(REGEXMATCH(C107, ""P""), ""5"","""")"),"")</f>
        <v/>
      </c>
      <c r="GK107" s="246" t="str">
        <f>IFERROR(__xludf.DUMMYFUNCTION("IF(REGEXMATCH(C107, ""d""), ""b6"","""")"),"b6")</f>
        <v>b6</v>
      </c>
      <c r="GL107" s="245" t="str">
        <f>IFERROR(__xludf.DUMMYFUNCTION("IF(REGEXMATCH(C107, ""D""), ""6"","""")"),"")</f>
        <v/>
      </c>
      <c r="GM107" s="245" t="str">
        <f>IFERROR(__xludf.DUMMYFUNCTION("IF(REGEXMATCH(C107, ""n""), ""b7"","""")"),"b7")</f>
        <v>b7</v>
      </c>
      <c r="GN107" s="246" t="str">
        <f>IFERROR(__xludf.DUMMYFUNCTION("IF(REGEXMATCH(C107, ""N""), ""7"","""")"),"7")</f>
        <v>7</v>
      </c>
      <c r="GO107" s="249" t="str">
        <f>IFERROR(__xludf.DUMMYFUNCTION("IF(REGEXMATCH(C107, ""S""), ""8"","""")"),"8")</f>
        <v>8</v>
      </c>
      <c r="GP107" s="244" t="str">
        <f>IFERROR(__xludf.DUMMYFUNCTION("IF(REGEXMATCH(C107, ""S""), ""S"","""")"),"S")</f>
        <v>S</v>
      </c>
      <c r="GQ107" s="294" t="str">
        <f>IFERROR(__xludf.DUMMYFUNCTION("IF(REGEXMATCH(C107, ""r""), ""R1"","""")"),"")</f>
        <v/>
      </c>
      <c r="GR107" s="295" t="str">
        <f>IFERROR(__xludf.DUMMYFUNCTION("IF(REGEXMATCH(C107, ""R""), ""R2"","""")"),"")</f>
        <v/>
      </c>
      <c r="GS107" s="295" t="str">
        <f>IFERROR(__xludf.DUMMYFUNCTION("IF(REGEXMATCH(C107, ""g""), ""G2"","""")"),"G2")</f>
        <v>G2</v>
      </c>
      <c r="GT107" s="294" t="str">
        <f>IFERROR(__xludf.DUMMYFUNCTION("IF(REGEXMATCH(C107, ""G""), ""G3"","""")"),"G3")</f>
        <v>G3</v>
      </c>
      <c r="GU107" s="294" t="str">
        <f>IFERROR(__xludf.DUMMYFUNCTION("IF(REGEXMATCH(C107, ""m""), ""M1"","""")"),"M1")</f>
        <v>M1</v>
      </c>
      <c r="GV107" s="295" t="str">
        <f>IFERROR(__xludf.DUMMYFUNCTION("IF(REGEXMATCH(C107, ""M""), ""M2"","""")"),"")</f>
        <v/>
      </c>
      <c r="GW107" s="294" t="str">
        <f>IFERROR(__xludf.DUMMYFUNCTION("IF(REGEXMATCH(C107, ""P""), ""P"","""")"),"")</f>
        <v/>
      </c>
      <c r="GX107" s="295" t="str">
        <f>IFERROR(__xludf.DUMMYFUNCTION("IF(REGEXMATCH(C107, ""d""), ""D1"","""")"),"D1")</f>
        <v>D1</v>
      </c>
      <c r="GY107" s="294" t="str">
        <f>IFERROR(__xludf.DUMMYFUNCTION("IF(REGEXMATCH(C107, ""D""), ""D2"","""")"),"")</f>
        <v/>
      </c>
      <c r="GZ107" s="294" t="str">
        <f>IFERROR(__xludf.DUMMYFUNCTION("IF(REGEXMATCH(C107, ""n""), ""N2"","""")"),"N2")</f>
        <v>N2</v>
      </c>
      <c r="HA107" s="295" t="str">
        <f>IFERROR(__xludf.DUMMYFUNCTION("IF(REGEXMATCH(C107, ""N""), ""N3"","""")"),"N3")</f>
        <v>N3</v>
      </c>
      <c r="HB107" s="249" t="str">
        <f>IFERROR(__xludf.DUMMYFUNCTION("IF(REGEXMATCH(C107, ""S""), ""S"","""")"),"S")</f>
        <v>S</v>
      </c>
      <c r="HC107" s="331" t="str">
        <f t="shared" si="95"/>
        <v>S</v>
      </c>
      <c r="HD107" s="332" t="str">
        <f t="shared" si="96"/>
        <v>r</v>
      </c>
      <c r="HE107" s="332" t="str">
        <f t="shared" si="97"/>
        <v>R</v>
      </c>
      <c r="HF107" s="332" t="str">
        <f t="shared" si="98"/>
        <v/>
      </c>
      <c r="HG107" s="332" t="str">
        <f t="shared" si="99"/>
        <v>G</v>
      </c>
      <c r="HH107" s="332" t="str">
        <f t="shared" si="100"/>
        <v/>
      </c>
      <c r="HI107" s="332" t="str">
        <f t="shared" si="101"/>
        <v/>
      </c>
      <c r="HJ107" s="332" t="str">
        <f t="shared" si="102"/>
        <v>P</v>
      </c>
      <c r="HK107" s="332" t="str">
        <f t="shared" si="103"/>
        <v>d</v>
      </c>
      <c r="HL107" s="332" t="str">
        <f t="shared" si="104"/>
        <v>D</v>
      </c>
      <c r="HM107" s="332" t="str">
        <f t="shared" si="105"/>
        <v/>
      </c>
      <c r="HN107" s="332" t="str">
        <f t="shared" si="106"/>
        <v/>
      </c>
      <c r="HO107" s="343" t="str">
        <f t="shared" si="107"/>
        <v>S</v>
      </c>
      <c r="HP107" s="331" t="str">
        <f t="shared" si="108"/>
        <v>o</v>
      </c>
      <c r="HQ107" s="332" t="str">
        <f t="shared" si="109"/>
        <v>•</v>
      </c>
      <c r="HR107" s="332" t="str">
        <f t="shared" si="110"/>
        <v>•</v>
      </c>
      <c r="HS107" s="332" t="str">
        <f t="shared" si="111"/>
        <v>o</v>
      </c>
      <c r="HT107" s="332" t="str">
        <f t="shared" si="112"/>
        <v>o</v>
      </c>
      <c r="HU107" s="332" t="str">
        <f t="shared" si="113"/>
        <v>o</v>
      </c>
      <c r="HV107" s="332" t="str">
        <f t="shared" si="114"/>
        <v>•</v>
      </c>
      <c r="HW107" s="332" t="str">
        <f t="shared" si="115"/>
        <v>•</v>
      </c>
      <c r="HX107" s="332" t="str">
        <f t="shared" si="116"/>
        <v>o</v>
      </c>
      <c r="HY107" s="332" t="str">
        <f t="shared" si="117"/>
        <v>•</v>
      </c>
      <c r="HZ107" s="332" t="str">
        <f t="shared" si="118"/>
        <v>o</v>
      </c>
      <c r="IA107" s="332" t="str">
        <f t="shared" si="119"/>
        <v>o</v>
      </c>
      <c r="IB107" s="338" t="str">
        <f t="shared" si="120"/>
        <v>o</v>
      </c>
      <c r="IC107" s="331" t="str">
        <f t="shared" si="121"/>
        <v>•</v>
      </c>
      <c r="ID107" s="332" t="str">
        <f t="shared" si="122"/>
        <v>o</v>
      </c>
      <c r="IE107" s="332" t="str">
        <f t="shared" si="123"/>
        <v>o</v>
      </c>
      <c r="IF107" s="332" t="str">
        <f t="shared" si="124"/>
        <v>•</v>
      </c>
      <c r="IG107" s="332" t="str">
        <f t="shared" si="125"/>
        <v>•</v>
      </c>
      <c r="IH107" s="332" t="str">
        <f t="shared" si="126"/>
        <v>•</v>
      </c>
      <c r="II107" s="332" t="str">
        <f t="shared" si="127"/>
        <v>o</v>
      </c>
      <c r="IJ107" s="332" t="str">
        <f t="shared" si="128"/>
        <v>o</v>
      </c>
      <c r="IK107" s="332" t="str">
        <f t="shared" si="129"/>
        <v>•</v>
      </c>
      <c r="IL107" s="332" t="str">
        <f t="shared" si="130"/>
        <v>o</v>
      </c>
      <c r="IM107" s="332" t="str">
        <f t="shared" si="131"/>
        <v>•</v>
      </c>
      <c r="IN107" s="332" t="str">
        <f t="shared" si="132"/>
        <v>•</v>
      </c>
      <c r="IO107" s="338" t="str">
        <f t="shared" si="133"/>
        <v>•</v>
      </c>
      <c r="IP107" s="346" t="b">
        <f t="shared" si="134"/>
        <v>1</v>
      </c>
      <c r="IQ107" s="347" t="b">
        <f t="shared" si="135"/>
        <v>0</v>
      </c>
      <c r="IR107" s="347" t="b">
        <f t="shared" si="136"/>
        <v>0</v>
      </c>
      <c r="IS107" s="347" t="b">
        <f t="shared" si="137"/>
        <v>0</v>
      </c>
      <c r="IT107" s="347" t="b">
        <f t="shared" si="138"/>
        <v>0</v>
      </c>
      <c r="IU107" s="347" t="b">
        <f t="shared" si="139"/>
        <v>0</v>
      </c>
      <c r="IV107" s="347" t="b">
        <f t="shared" si="140"/>
        <v>0</v>
      </c>
      <c r="IW107" s="347" t="b">
        <f t="shared" si="141"/>
        <v>0</v>
      </c>
      <c r="IX107" s="347" t="b">
        <f t="shared" si="142"/>
        <v>0</v>
      </c>
      <c r="IY107" s="347" t="b">
        <f t="shared" si="143"/>
        <v>0</v>
      </c>
      <c r="IZ107" s="347" t="b">
        <f t="shared" si="144"/>
        <v>0</v>
      </c>
      <c r="JA107" s="347" t="b">
        <f t="shared" si="145"/>
        <v>1</v>
      </c>
      <c r="JB107" s="353" t="b">
        <f t="shared" si="146"/>
        <v>1</v>
      </c>
      <c r="JC107" s="354" t="str">
        <f t="shared" si="147"/>
        <v>Sa, </v>
      </c>
      <c r="JD107" s="355" t="str">
        <f t="shared" si="148"/>
        <v/>
      </c>
      <c r="JE107" s="355" t="str">
        <f t="shared" si="149"/>
        <v/>
      </c>
      <c r="JF107" s="355" t="str">
        <f t="shared" si="150"/>
        <v/>
      </c>
      <c r="JG107" s="355" t="str">
        <f t="shared" si="151"/>
        <v/>
      </c>
      <c r="JH107" s="355" t="str">
        <f t="shared" si="152"/>
        <v/>
      </c>
      <c r="JI107" s="355" t="str">
        <f t="shared" si="153"/>
        <v/>
      </c>
      <c r="JJ107" s="355" t="str">
        <f t="shared" si="154"/>
        <v/>
      </c>
      <c r="JK107" s="355" t="str">
        <f t="shared" si="155"/>
        <v/>
      </c>
      <c r="JL107" s="355" t="str">
        <f t="shared" si="156"/>
        <v/>
      </c>
      <c r="JM107" s="355" t="str">
        <f t="shared" si="157"/>
        <v/>
      </c>
      <c r="JN107" s="355" t="str">
        <f t="shared" si="158"/>
        <v>Ni, </v>
      </c>
      <c r="JO107" s="359" t="str">
        <f t="shared" si="159"/>
        <v/>
      </c>
      <c r="JP107" s="346" t="b">
        <f t="shared" si="160"/>
        <v>0</v>
      </c>
      <c r="JQ107" s="347" t="b">
        <f t="shared" si="161"/>
        <v>0</v>
      </c>
      <c r="JR107" s="347" t="b">
        <f t="shared" si="162"/>
        <v>0</v>
      </c>
      <c r="JS107" s="347" t="b">
        <f t="shared" si="163"/>
        <v>0</v>
      </c>
      <c r="JT107" s="347" t="b">
        <f t="shared" si="164"/>
        <v>0</v>
      </c>
      <c r="JU107" s="347" t="b">
        <f t="shared" si="165"/>
        <v>0</v>
      </c>
      <c r="JV107" s="347" t="b">
        <f t="shared" si="166"/>
        <v>0</v>
      </c>
      <c r="JW107" s="347" t="b">
        <f t="shared" si="167"/>
        <v>0</v>
      </c>
      <c r="JX107" s="347" t="b">
        <f t="shared" si="168"/>
        <v>0</v>
      </c>
      <c r="JY107" s="347" t="b">
        <f t="shared" si="169"/>
        <v>0</v>
      </c>
      <c r="JZ107" s="347" t="b">
        <f t="shared" si="170"/>
        <v>0</v>
      </c>
      <c r="KA107" s="347" t="b">
        <f t="shared" si="171"/>
        <v>0</v>
      </c>
      <c r="KB107" s="365" t="b">
        <f t="shared" si="172"/>
        <v>0</v>
      </c>
      <c r="KC107" s="354" t="str">
        <f t="shared" si="173"/>
        <v/>
      </c>
      <c r="KD107" s="355" t="str">
        <f t="shared" si="174"/>
        <v/>
      </c>
      <c r="KE107" s="355" t="str">
        <f t="shared" si="175"/>
        <v/>
      </c>
      <c r="KF107" s="355" t="str">
        <f t="shared" si="176"/>
        <v/>
      </c>
      <c r="KG107" s="355" t="str">
        <f t="shared" si="177"/>
        <v/>
      </c>
      <c r="KH107" s="355" t="str">
        <f t="shared" si="178"/>
        <v/>
      </c>
      <c r="KI107" s="355" t="str">
        <f t="shared" si="179"/>
        <v/>
      </c>
      <c r="KJ107" s="355" t="str">
        <f t="shared" si="180"/>
        <v/>
      </c>
      <c r="KK107" s="355" t="str">
        <f t="shared" si="181"/>
        <v/>
      </c>
      <c r="KL107" s="355" t="str">
        <f t="shared" si="182"/>
        <v/>
      </c>
      <c r="KM107" s="355" t="str">
        <f t="shared" si="183"/>
        <v/>
      </c>
      <c r="KN107" s="355" t="str">
        <f t="shared" si="184"/>
        <v/>
      </c>
      <c r="KO107" s="359"/>
      <c r="KP107" s="378"/>
      <c r="KQ107" s="379" t="s">
        <v>9</v>
      </c>
      <c r="KR107" s="380" t="s">
        <v>9</v>
      </c>
      <c r="KS107" s="381" t="s">
        <v>9</v>
      </c>
      <c r="KT107" s="382">
        <f t="shared" si="186"/>
        <v>0</v>
      </c>
      <c r="KU107" s="383">
        <f t="shared" si="187"/>
        <v>0</v>
      </c>
      <c r="KV107" s="381" t="str">
        <f t="shared" si="205"/>
        <v>S</v>
      </c>
      <c r="KW107" s="382">
        <f t="shared" si="189"/>
        <v>0</v>
      </c>
      <c r="KX107" s="384">
        <f t="shared" si="190"/>
        <v>0</v>
      </c>
      <c r="KY107" s="382">
        <f t="shared" ref="KY107:KZ107" si="416">KW107-KT107</f>
        <v>0</v>
      </c>
      <c r="KZ107" s="369">
        <f t="shared" si="416"/>
        <v>0</v>
      </c>
      <c r="LA107" s="385" t="str">
        <f t="shared" si="192"/>
        <v>✔</v>
      </c>
      <c r="LB107" s="340" t="str">
        <f>IFERROR(__xludf.DUMMYFUNCTION("JOIN("""",ArrayFormula(MID(KS107,LEN(KS107)-SEQUENCE(1,LEN(KS107))+1,1)))"),"S")</f>
        <v>S</v>
      </c>
      <c r="LC107" s="373" t="str">
        <f>IFERROR(__xludf.DUMMYFUNCTION("JOIN("""",ArrayFormula(MID(KV107,LEN(KV107)-SEQUENCE(1,LEN(KV107))+1,1)))"),"S")</f>
        <v>S</v>
      </c>
      <c r="LD107" s="373" t="str">
        <f t="shared" si="193"/>
        <v>S</v>
      </c>
      <c r="LE107" s="339" t="str">
        <f t="shared" si="194"/>
        <v>S</v>
      </c>
      <c r="LF107" s="386" t="str">
        <f>IFERROR(__xludf.DUMMYFUNCTION("SUBSTITUTE(SUBSTITUTE(CONCATENATE(JOIN("""",LH107:LT107)),""1"",""""),""2"","""")"),"SS")</f>
        <v>SS</v>
      </c>
      <c r="LG107" s="369" t="str">
        <f t="shared" si="195"/>
        <v>-</v>
      </c>
      <c r="LH107" s="387" t="str">
        <f>IFERROR(__xludf.DUMMYFUNCTION("IF(REGEXMATCH(LD107, ""S""), ""S"",IF(REGEXMATCH(LE107, ""S""), ""S"",""""))"),"S")</f>
        <v>S</v>
      </c>
      <c r="LI107" s="299" t="str">
        <f>IFERROR(__xludf.DUMMYFUNCTION("IF(REGEXMATCH(LD107, ""r""), ""r1"",IF(REGEXMATCH(LE107, ""r""), ""r2"",""""))"),"")</f>
        <v/>
      </c>
      <c r="LJ107" s="299" t="str">
        <f>IFERROR(__xludf.DUMMYFUNCTION("IF(REGEXMATCH(LD107, ""R""), ""R1"",IF(REGEXMATCH(LE107, ""R""), ""R2"",""""))"),"")</f>
        <v/>
      </c>
      <c r="LK107" s="299" t="str">
        <f>IFERROR(__xludf.DUMMYFUNCTION("IF(REGEXMATCH(LD107, ""g""), ""g1"",IF(REGEXMATCH(LE107, ""g""), ""g2"",""""))"),"")</f>
        <v/>
      </c>
      <c r="LL107" s="299" t="str">
        <f>IFERROR(__xludf.DUMMYFUNCTION("IF(REGEXMATCH(LD107, ""G""), ""G1"",IF(REGEXMATCH(LE107, ""G""), ""G2"",""""))"),"")</f>
        <v/>
      </c>
      <c r="LM107" s="299" t="str">
        <f>IFERROR(__xludf.DUMMYFUNCTION("IF(REGEXMATCH(LD107, ""m""), ""m1"",IF(REGEXMATCH(LE107, ""m""), ""m2"",""""))"),"")</f>
        <v/>
      </c>
      <c r="LN107" s="299" t="str">
        <f>IFERROR(__xludf.DUMMYFUNCTION("IF(REGEXMATCH(LD107, ""M""), ""M1"",IF(REGEXMATCH(LE107, ""M""), ""M2"",""""))"),"")</f>
        <v/>
      </c>
      <c r="LO107" s="299" t="str">
        <f>IFERROR(__xludf.DUMMYFUNCTION("IF(REGEXMATCH(LD107, ""P""), ""P1"",IF(REGEXMATCH(LE107, ""P""), ""P2"",""""))"),"")</f>
        <v/>
      </c>
      <c r="LP107" s="299" t="str">
        <f>IFERROR(__xludf.DUMMYFUNCTION("IF(REGEXMATCH(LD107, ""d""), ""d1"",IF(REGEXMATCH(LE107, ""d""), ""d2"",""""))"),"")</f>
        <v/>
      </c>
      <c r="LQ107" s="299" t="str">
        <f>IFERROR(__xludf.DUMMYFUNCTION("IF(REGEXMATCH(LD107, ""D""), ""D1"",IF(REGEXMATCH(LE107, ""D""), ""D2"",""""))"),"")</f>
        <v/>
      </c>
      <c r="LR107" s="299" t="str">
        <f>IFERROR(__xludf.DUMMYFUNCTION("IF(REGEXMATCH(LD107, ""n""), ""n1"",IF(REGEXMATCH(LE107, ""n""), ""n2"",""""))"),"")</f>
        <v/>
      </c>
      <c r="LS107" s="299" t="str">
        <f>IFERROR(__xludf.DUMMYFUNCTION("IF(REGEXMATCH(LD107, ""N""), ""N1"",IF(REGEXMATCH(LE107, ""N""), ""N2"",""""))"),"")</f>
        <v/>
      </c>
      <c r="LT107" s="388" t="str">
        <f>IFERROR(__xludf.DUMMYFUNCTION("IF(REGEXMATCH(LD107, ""S""), ""S"",IF(REGEXMATCH(LE107, ""S""), ""S"",""""))"),"S")</f>
        <v>S</v>
      </c>
      <c r="LU107" s="389">
        <f t="shared" si="196"/>
        <v>1</v>
      </c>
      <c r="LV107" s="378"/>
      <c r="LW107" s="369"/>
      <c r="LX107" s="369"/>
    </row>
    <row r="108" ht="18.0" customHeight="1">
      <c r="A108" s="298" t="s">
        <v>726</v>
      </c>
      <c r="B108" s="222" t="s">
        <v>727</v>
      </c>
      <c r="C108" s="233" t="str">
        <f t="shared" si="7"/>
        <v>SRgGmPdnNS</v>
      </c>
      <c r="D108" s="234" t="str">
        <f>IFERROR(__xludf.DUMMYFUNCTION("IF(REGEXMATCH(C108, ""S""), ""S"","""")"),"S")</f>
        <v>S</v>
      </c>
      <c r="E108" s="236" t="str">
        <f>IFERROR(__xludf.DUMMYFUNCTION("IF(REGEXMATCH(C108, ""r""), ""r"","""")"),"")</f>
        <v/>
      </c>
      <c r="F108" s="237" t="str">
        <f>IFERROR(__xludf.DUMMYFUNCTION("IF(REGEXMATCH(C108, ""R""), ""R"","""")"),"R")</f>
        <v>R</v>
      </c>
      <c r="G108" s="237" t="str">
        <f>IFERROR(__xludf.DUMMYFUNCTION("IF(REGEXMATCH(C108, ""g""), ""g"","""")"),"g")</f>
        <v>g</v>
      </c>
      <c r="H108" s="236" t="str">
        <f>IFERROR(__xludf.DUMMYFUNCTION("IF(REGEXMATCH(C108, ""G""), ""G"","""")"),"G")</f>
        <v>G</v>
      </c>
      <c r="I108" s="236" t="str">
        <f>IFERROR(__xludf.DUMMYFUNCTION("IF(REGEXMATCH(C108, ""m""), ""m"","""")"),"m")</f>
        <v>m</v>
      </c>
      <c r="J108" s="237" t="str">
        <f>IFERROR(__xludf.DUMMYFUNCTION("IF(REGEXMATCH(C108, ""M""), ""M"","""")"),"")</f>
        <v/>
      </c>
      <c r="K108" s="236" t="str">
        <f>IFERROR(__xludf.DUMMYFUNCTION("IF(REGEXMATCH(C108, ""P""), ""P"","""")"),"P")</f>
        <v>P</v>
      </c>
      <c r="L108" s="237" t="str">
        <f>IFERROR(__xludf.DUMMYFUNCTION("IF(REGEXMATCH(C108, ""d""), ""d"","""")"),"d")</f>
        <v>d</v>
      </c>
      <c r="M108" s="236" t="str">
        <f>IFERROR(__xludf.DUMMYFUNCTION("IF(REGEXMATCH(C108, ""D""), ""D"","""")"),"")</f>
        <v/>
      </c>
      <c r="N108" s="236" t="str">
        <f>IFERROR(__xludf.DUMMYFUNCTION("IF(REGEXMATCH(C108, ""n""), ""n"","""")"),"n")</f>
        <v>n</v>
      </c>
      <c r="O108" s="237" t="str">
        <f>IFERROR(__xludf.DUMMYFUNCTION("IF(REGEXMATCH(C108, ""N""), ""N"","""")"),"N")</f>
        <v>N</v>
      </c>
      <c r="P108" s="238" t="str">
        <f>IFERROR(__xludf.DUMMYFUNCTION("IF(REGEXMATCH(C108, ""S""), ""S"","""")"),"S")</f>
        <v>S</v>
      </c>
      <c r="Q108" s="239" t="str">
        <f>IFERROR(__xludf.DUMMYFUNCTION("SUBSTITUTE(CONCATENATE(JOIN(""-"",D108:J108)),""-"","""")"),"SRgGm")</f>
        <v>SRgGm</v>
      </c>
      <c r="R108" s="229" t="str">
        <f>IFERROR(__xludf.DUMMYFUNCTION("SUBSTITUTE(CONCATENATE(JOIN(""-"",K108:P108)),""-"","""")"),"PdnNS")</f>
        <v>PdnNS</v>
      </c>
      <c r="S108" s="282" t="str">
        <f t="shared" si="8"/>
        <v>S-R-G-M</v>
      </c>
      <c r="T108" s="282" t="str">
        <f t="shared" si="9"/>
        <v>P-D-N-S</v>
      </c>
      <c r="U108" s="237" t="str">
        <f>IFERROR(__xludf.DUMMYFUNCTION("SUBSTITUTE(JOIN(""-"",S108,T108),""--"",""-"")"),"S-R-G-M-P-D-N-S")</f>
        <v>S-R-G-M-P-D-N-S</v>
      </c>
      <c r="V108" s="309" t="str">
        <f t="shared" si="10"/>
        <v>RgGmdnN</v>
      </c>
      <c r="W108" s="244" t="str">
        <f>IFERROR(__xludf.DUMMYFUNCTION("IF(REGEXMATCH(C108, ""S""), ""0"","""")"),"0")</f>
        <v>0</v>
      </c>
      <c r="X108" s="245" t="str">
        <f>IFERROR(__xludf.DUMMYFUNCTION("IF(REGEXMATCH(C108, ""r""), ""1"","""")"),"")</f>
        <v/>
      </c>
      <c r="Y108" s="246" t="str">
        <f>IFERROR(__xludf.DUMMYFUNCTION("IF(REGEXMATCH(C108, ""R""), ""2"","""")"),"2")</f>
        <v>2</v>
      </c>
      <c r="Z108" s="246" t="str">
        <f>IFERROR(__xludf.DUMMYFUNCTION("IF(REGEXMATCH(C108, ""g""), ""3"","""")"),"3")</f>
        <v>3</v>
      </c>
      <c r="AA108" s="245" t="str">
        <f>IFERROR(__xludf.DUMMYFUNCTION("IF(REGEXMATCH(C108, ""G""), ""4"","""")"),"4")</f>
        <v>4</v>
      </c>
      <c r="AB108" s="245" t="str">
        <f>IFERROR(__xludf.DUMMYFUNCTION("IF(REGEXMATCH(C108, ""m""), ""5"","""")"),"5")</f>
        <v>5</v>
      </c>
      <c r="AC108" s="246" t="str">
        <f>IFERROR(__xludf.DUMMYFUNCTION("IF(REGEXMATCH(C108, ""M""), ""6"","""")"),"")</f>
        <v/>
      </c>
      <c r="AD108" s="245" t="str">
        <f>IFERROR(__xludf.DUMMYFUNCTION("IF(REGEXMATCH(C108, ""P""), ""7"","""")"),"7")</f>
        <v>7</v>
      </c>
      <c r="AE108" s="246" t="str">
        <f>IFERROR(__xludf.DUMMYFUNCTION("IF(REGEXMATCH(C108, ""d""), ""8"","""")"),"8")</f>
        <v>8</v>
      </c>
      <c r="AF108" s="245" t="str">
        <f>IFERROR(__xludf.DUMMYFUNCTION("IF(REGEXMATCH(C108, ""D""), ""9"","""")"),"")</f>
        <v/>
      </c>
      <c r="AG108" s="245" t="str">
        <f>IFERROR(__xludf.DUMMYFUNCTION("IF(REGEXMATCH(C108, ""n""), ""10"","""")"),"10")</f>
        <v>10</v>
      </c>
      <c r="AH108" s="246" t="str">
        <f>IFERROR(__xludf.DUMMYFUNCTION("IF(REGEXMATCH(C108, ""N""), ""11"","""")"),"11")</f>
        <v>11</v>
      </c>
      <c r="AI108" s="249" t="str">
        <f>IFERROR(__xludf.DUMMYFUNCTION("IF(REGEXMATCH(C108, ""S""), ""0"","""")"),"0")</f>
        <v>0</v>
      </c>
      <c r="AJ108" s="313" t="str">
        <f t="shared" si="11"/>
        <v>-</v>
      </c>
      <c r="AK108" s="313" t="str">
        <f t="shared" si="12"/>
        <v>-</v>
      </c>
      <c r="AL108" s="313" t="str">
        <f t="shared" si="13"/>
        <v>T</v>
      </c>
      <c r="AM108" s="313" t="str">
        <f t="shared" si="14"/>
        <v>-</v>
      </c>
      <c r="AN108" s="313" t="str">
        <f t="shared" si="15"/>
        <v>T</v>
      </c>
      <c r="AO108" s="314" t="str">
        <f t="shared" si="16"/>
        <v>T</v>
      </c>
      <c r="AP108" s="316">
        <f t="shared" si="17"/>
        <v>3</v>
      </c>
      <c r="AQ108" s="319" t="str">
        <f t="shared" si="18"/>
        <v>-</v>
      </c>
      <c r="AR108" s="320">
        <f t="shared" si="19"/>
        <v>0</v>
      </c>
      <c r="AS108" s="250" t="str">
        <f>IFERROR(__xludf.DUMMYFUNCTION("SUBSTITUTE(SUBSTITUTE(CONCATENATE(JOIN("""",FP108:GA108)),""|"",""x""),""-"",""o"")"),"xoxxxxoxxoxx")</f>
        <v>xoxxxxoxxoxx</v>
      </c>
      <c r="AT108" s="323" t="str">
        <f>IFERROR(__xludf.DUMMYFUNCTION("JOIN("""",AS108,AS108)"),"xoxxxxoxxoxxxoxxxxoxxoxx")</f>
        <v>xoxxxxoxxoxxxoxxxxoxxoxx</v>
      </c>
      <c r="AU108" s="256" t="str">
        <f>IFERROR(__xludf.DUMMYFUNCTION("JOIN("""",ArrayFormula(MID(AS108,LEN(AS108)-SEQUENCE(1,LEN(AS108))+1,1)))"),"xxoxxoxxxxox")</f>
        <v>xxoxxoxxxxox</v>
      </c>
      <c r="AV108" s="256" t="str">
        <f>IFERROR(__xludf.DUMMYFUNCTION("LEFT(CONCATENATE(""x"",JOIN("""",ArrayFormula(MID(AS108,LEN(AS108)-SEQUENCE(1,LEN(AS108))+1,1)))),12)"),"xxxoxxoxxxxo")</f>
        <v>xxxoxxoxxxxo</v>
      </c>
      <c r="AW108" s="327" t="str">
        <f>IFERROR(__xludf.DUMMYFUNCTION("JOIN("""",AU108,AU108)"),"xxoxxoxxxxoxxxoxxoxxxxox")</f>
        <v>xxoxxoxxxxoxxxoxxoxxxxox</v>
      </c>
      <c r="AX108" s="239" t="str">
        <f>IFERROR(__xludf.DUMMYFUNCTION("IF(REGEXMATCH(AW108,AS108),""✔"",""-"")"),"-")</f>
        <v>-</v>
      </c>
      <c r="AY108" s="330" t="str">
        <f t="shared" si="20"/>
        <v>-</v>
      </c>
      <c r="AZ108" s="260" t="str">
        <f t="shared" si="21"/>
        <v>#REF!</v>
      </c>
      <c r="BA108" s="333" t="str">
        <f t="shared" si="22"/>
        <v>xoxxxxo</v>
      </c>
      <c r="BB108" s="334" t="str">
        <f t="shared" si="23"/>
        <v>xxoxxx</v>
      </c>
      <c r="BC108" s="335" t="str">
        <f t="shared" si="236"/>
        <v>-</v>
      </c>
      <c r="BD108" s="336" t="str">
        <f t="shared" si="25"/>
        <v>Enayetkhani Kanada: 'xoxxxxo' + 'xxoxxx'</v>
      </c>
      <c r="BE108" s="337">
        <f>IFERROR(__xludf.DUMMYFUNCTION("COUNTUNIQUE(FILTER(AT:AT,REGEXMATCH(AT:AT,AS108)))-1"),1.0)</f>
        <v>1</v>
      </c>
      <c r="BF108" s="261" t="str">
        <f>IFERROR(__xludf.DUMMYFUNCTION("IF(BI108=0,""(n/a)"",IF(BJ108=2,""(PAIR)"",IF(REGEXMATCH(AT108,""xoxoxxoxoxox""),""Bilawal"",IF(REGEXMATCH(AT108,""xoxoxooxoxoo""),""Bhupali"",IF(REGEXMATCH(AT108,""xoxoxxoxxoxo""),""Charukeshi"",IF(REGEXMATCH(AT108,""xoxoooxxoxxo""),""Kameshwari"",IF(REG"&amp;"EXMATCH(AT108,""xoxoxooxoxox""),""Shankara"",IF(REGEXMATCH(AT108,""xxooxoxxxoox""),""Basant"",IF(REGEXMATCH(AT108,""xoxoxxxxoxox""),""Bihag"",IF(REGEXMATCH(AT108,""xoxxxxoxoxxx""),""Pilu"",IF(REGEXMATCH(AT108,""xoxxoxoxxoox""),""Kirwani"",IF(REGEXMATCH(AT"&amp;"108,""xoxxoxoxoxxx""),""Mk.Malhar"",IF(REGEXMATCH(AT108,""xxooxxoxxoox""),""Bhairav"",IF(REGEXMATCH(AT108,""xxoxooxxxoox""),""Todi"",IF(REGEXMATCH(AT108,""xxooxoxooxox""),""Marwa"",IF(REGEXMATCH(AT108,""xxoooxoxxooo""),""Gunkali"",IF(REGEXMATCH(AT108,""xo"&amp;"xoxxoxxoox""),""Nat Bhairav"",IF(REGEXMATCH(AT108,""xoxxoooxoxoo""),""Shivranjani"",IF(REGEXMATCH(AT108,""xooxxxoxooxo""),""Jog"",IF(REGEXMATCH(AT108,""xxooxoxoxoox""),""Hemshri"",IF(REGEXMATCH(AT108,""xoooxooxoxxo""),""Kalavati"",IF(REGEXMATCH(AT108,""xx"&amp;"oxoxxoxoox""),""Kedar"",IF(REGEXMATCH(AT108,""xoxxxxoxooxx""),""Gara"",IF(REGEXMATCH(AT108,""xooxoxooxoox""),""Chandrakauns"",IF(REGEXMATCH(AT108,""xoxxxxoxxxox""),""Mand"",IF(REGEXMATCH(AT108,""xoxxxxoxoxox""),""Hanskinkini"",IF(REGEXMATCH(AT108,""xxooxx"&amp;"oxooxo""),""Lilavati"",IF(REGEXMATCH(AT108,""xooxoxoooxox""),""Rajeshwari"",IF(REGEXMATCH(AT108,""xoooxxoxoxxx""),""Khokar"",IF(REGEXMATCH(AT108,""xxooxoxxxxox""),""Maligoura"",""-""))))))))))))))))))))))))))))))"),"-")</f>
        <v>-</v>
      </c>
      <c r="BG108" s="239" t="str">
        <f t="shared" si="26"/>
        <v>#REF!</v>
      </c>
      <c r="BH108" s="239">
        <f>IFERROR(__xludf.DUMMYFUNCTION("COUNTUNIQUE(FE108:FO108)-1"),8.0)</f>
        <v>8</v>
      </c>
      <c r="BI108" s="239">
        <f>IFERROR(__xludf.DUMMYFUNCTION("COUNTUNIQUE(FILTER(AT:AT,REGEXMATCH(AT:AT,AS108)))-1"),1.0)</f>
        <v>1</v>
      </c>
      <c r="BJ108" s="239">
        <f>IFERROR(__xludf.DUMMYFUNCTION("COUNTA(FILTER(AT:AT,REGEXMATCH(AT:AT,AS108)))"),3.0)</f>
        <v>3</v>
      </c>
      <c r="BK108" s="341">
        <f>IFERROR(__xludf.DUMMYFUNCTION("COUNTA(FILTER(AT:AT,REGEXMATCH(AT:AT,AS108)))-AR108"),3.0)</f>
        <v>3</v>
      </c>
      <c r="BL108" s="276" t="str">
        <f>IFERROR(__xludf.DUMMYFUNCTION("IF(AS108=""oooooooooooo"",""-"",IF(REGEXMATCH(AT108,""xx""), ""Hemi."", ""Anhemi.""))"),"Hemi.")</f>
        <v>Hemi.</v>
      </c>
      <c r="BM108" s="282" t="str">
        <f>IFERROR(__xludf.DUMMYFUNCTION("IF(AS108=""oooooooooooo"",""-"",IF(REGEXMATCH(AT108,""xxx""), ""Cohem."", ""-""))"),"Cohem.")</f>
        <v>Cohem.</v>
      </c>
      <c r="BN108" s="282" t="str">
        <f>IFERROR(__xludf.DUMMYFUNCTION("IF(AS108=""oooooooooooo"",""-"",IF(REGEXMATCH(AT108,""xxxx""), ""Co-Co."", ""-""))"),"Co-Co.")</f>
        <v>Co-Co.</v>
      </c>
      <c r="BO108" s="342" t="str">
        <f>IFERROR(__xludf.DUMMYFUNCTION("IF(AS108=""oooooooooooo"",""-"",IF(REGEXMATCH(AT108,""xxxxx""), ""CCC."", ""-""))"),"-")</f>
        <v>-</v>
      </c>
      <c r="BP108" s="344" t="str">
        <f t="shared" si="27"/>
        <v>-</v>
      </c>
      <c r="BQ108" s="282" t="str">
        <f>IFERROR(__xludf.DUMMYFUNCTION("IF(REGEXMATCH(JOIN(""-"",EU108:FD108),""TRUE""),""✔"",""-"")"),"-")</f>
        <v>-</v>
      </c>
      <c r="BR108" s="225">
        <f t="shared" si="28"/>
        <v>0</v>
      </c>
      <c r="BS108" s="345" t="str">
        <f>IFERROR(__xludf.DUMMYFUNCTION("SUBSTITUTE(SUBSTITUTE(SUBSTITUTE(SUBSTITUTE(CONCATENATE(JOIN(""-"",GC108:GO108)),""--"",""-""),""--"",""-""),""--"",""-""),""--"",""-"")"),"1-2-b3-3-4-5-b6-b7-7-8")</f>
        <v>1-2-b3-3-4-5-b6-b7-7-8</v>
      </c>
      <c r="BT108" s="299" t="str">
        <f>IFERROR(__xludf.DUMMYFUNCTION("SUBSTITUTE(SUBSTITUTE(SUBSTITUTE(SUBSTITUTE(CONCATENATE(JOIN(""-"",GP108:HB108)),""--"",""-""),""--"",""-""),""--"",""-""),""--"",""-"")"),"S-R2-G2-G3-M1-P-D1-N2-N3-S")</f>
        <v>S-R2-G2-G3-M1-P-D1-N2-N3-S</v>
      </c>
      <c r="BU108" s="348" t="str">
        <f t="shared" si="29"/>
        <v>C-D-Eb-E-F-G-Ab-Bb-B-C</v>
      </c>
      <c r="BV108" s="349" t="str">
        <f t="shared" si="30"/>
        <v>SrMDS</v>
      </c>
      <c r="BW108" s="350">
        <f t="shared" si="31"/>
        <v>0</v>
      </c>
      <c r="BX108" s="351">
        <f t="shared" si="32"/>
        <v>2</v>
      </c>
      <c r="BY108" s="392"/>
      <c r="BZ108" s="309" t="str">
        <f>IFERROR(__xludf.DUMMYFUNCTION("IF(REGEXMATCH(C108, ""S""), ""x"",""x"")"),"x")</f>
        <v>x</v>
      </c>
      <c r="CA108" s="245" t="str">
        <f>IFERROR(__xludf.DUMMYFUNCTION("IF(REGEXMATCH(C108, ""r""), ""o"",""x"")"),"x")</f>
        <v>x</v>
      </c>
      <c r="CB108" s="246" t="str">
        <f>IFERROR(__xludf.DUMMYFUNCTION("IF(REGEXMATCH(C108, ""R""), ""o"",""x"")"),"o")</f>
        <v>o</v>
      </c>
      <c r="CC108" s="246" t="str">
        <f>IFERROR(__xludf.DUMMYFUNCTION("IF(REGEXMATCH(C108, ""g""), ""o"",""x"")"),"o")</f>
        <v>o</v>
      </c>
      <c r="CD108" s="245" t="str">
        <f>IFERROR(__xludf.DUMMYFUNCTION("IF(REGEXMATCH(C108, ""G""), ""o"",""x"")"),"o")</f>
        <v>o</v>
      </c>
      <c r="CE108" s="245" t="str">
        <f>IFERROR(__xludf.DUMMYFUNCTION("IF(REGEXMATCH(C108, ""m""), ""o"",""x"")"),"o")</f>
        <v>o</v>
      </c>
      <c r="CF108" s="246" t="str">
        <f>IFERROR(__xludf.DUMMYFUNCTION("IF(REGEXMATCH(C108, ""M""), ""o"",""x"")"),"x")</f>
        <v>x</v>
      </c>
      <c r="CG108" s="245" t="str">
        <f>IFERROR(__xludf.DUMMYFUNCTION("IF(REGEXMATCH(C108, ""P""), ""o"",""x"")"),"o")</f>
        <v>o</v>
      </c>
      <c r="CH108" s="246" t="str">
        <f>IFERROR(__xludf.DUMMYFUNCTION("IF(REGEXMATCH(C108, ""d""), ""o"",""x"")"),"o")</f>
        <v>o</v>
      </c>
      <c r="CI108" s="245" t="str">
        <f>IFERROR(__xludf.DUMMYFUNCTION("IF(REGEXMATCH(C108, ""D""), ""o"",""x"")"),"x")</f>
        <v>x</v>
      </c>
      <c r="CJ108" s="245" t="str">
        <f>IFERROR(__xludf.DUMMYFUNCTION("IF(REGEXMATCH(C108, ""n""), ""o"",""x"")"),"o")</f>
        <v>o</v>
      </c>
      <c r="CK108" s="245" t="str">
        <f>IFERROR(__xludf.DUMMYFUNCTION("IF(REGEXMATCH(C108, ""N""), ""o"",""x"")"),"o")</f>
        <v>o</v>
      </c>
      <c r="CL108" s="356" t="str">
        <f>IFERROR(__xludf.DUMMYFUNCTION("IF(REGEXMATCH(C108, ""S""), ""x"",""x"")"),"x")</f>
        <v>x</v>
      </c>
      <c r="CM108" s="357" t="str">
        <f t="shared" si="33"/>
        <v>xxooooxooxoo</v>
      </c>
      <c r="CN108" s="358">
        <f t="shared" si="34"/>
        <v>0</v>
      </c>
      <c r="CO108" s="246" t="str">
        <f>IFERROR(__xludf.DUMMYFUNCTION("IF(REGEXMATCH($C108, ""S""), ""S"",""S"")"),"S")</f>
        <v>S</v>
      </c>
      <c r="CP108" s="246" t="str">
        <f>IFERROR(__xludf.DUMMYFUNCTION("IF(REGEXMATCH($C108, ""r""), """",""r"")"),"r")</f>
        <v>r</v>
      </c>
      <c r="CQ108" s="246" t="str">
        <f>IFERROR(__xludf.DUMMYFUNCTION("IF(REGEXMATCH($C108, ""R""), """",""R"")"),"")</f>
        <v/>
      </c>
      <c r="CR108" s="246" t="str">
        <f>IFERROR(__xludf.DUMMYFUNCTION("IF(REGEXMATCH($C108, ""g""), """",""g"")"),"")</f>
        <v/>
      </c>
      <c r="CS108" s="246" t="str">
        <f>IFERROR(__xludf.DUMMYFUNCTION("IF(REGEXMATCH($C108, ""G""), """",""G"")"),"")</f>
        <v/>
      </c>
      <c r="CT108" s="246" t="str">
        <f>IFERROR(__xludf.DUMMYFUNCTION("IF(REGEXMATCH($C108, ""m""), """",""m"")"),"")</f>
        <v/>
      </c>
      <c r="CU108" s="246" t="str">
        <f>IFERROR(__xludf.DUMMYFUNCTION("IF(REGEXMATCH($C108, ""M""), """",""M"")"),"M")</f>
        <v>M</v>
      </c>
      <c r="CV108" s="246" t="str">
        <f>IFERROR(__xludf.DUMMYFUNCTION("IF(REGEXMATCH($C108, ""P""), """",""P"")"),"")</f>
        <v/>
      </c>
      <c r="CW108" s="246" t="str">
        <f>IFERROR(__xludf.DUMMYFUNCTION("IF(REGEXMATCH($C108, ""d""), """",""d"")"),"")</f>
        <v/>
      </c>
      <c r="CX108" s="246" t="str">
        <f>IFERROR(__xludf.DUMMYFUNCTION("IF(REGEXMATCH($C108, ""D""), """",""D"")"),"D")</f>
        <v>D</v>
      </c>
      <c r="CY108" s="246" t="str">
        <f>IFERROR(__xludf.DUMMYFUNCTION("IF(REGEXMATCH($C108, ""n""), """",""n"")"),"")</f>
        <v/>
      </c>
      <c r="CZ108" s="246" t="str">
        <f>IFERROR(__xludf.DUMMYFUNCTION("IF(REGEXMATCH($C108, ""N""), """",""N"")"),"")</f>
        <v/>
      </c>
      <c r="DA108" s="246" t="str">
        <f>IFERROR(__xludf.DUMMYFUNCTION("IF(REGEXMATCH($C108, ""S""), ""S"",""S"")"),"S")</f>
        <v>S</v>
      </c>
      <c r="DB108" s="362" t="str">
        <f>IFERROR(__xludf.DUMMYFUNCTION("JOIN("""",CO108:DA108,"""","""")"),"SrMDS")</f>
        <v>SrMDS</v>
      </c>
      <c r="DC108" s="363"/>
      <c r="DD108" s="301" t="str">
        <f t="shared" si="35"/>
        <v>#REF!</v>
      </c>
      <c r="DE108" s="302" t="str">
        <f t="shared" si="36"/>
        <v>#REF!</v>
      </c>
      <c r="DF108" s="301" t="str">
        <f t="shared" ref="DF108:DG108" si="417">SUBSTITUTE(S108,"-","")</f>
        <v>SRGM</v>
      </c>
      <c r="DG108" s="301" t="str">
        <f t="shared" si="417"/>
        <v>PDNS</v>
      </c>
      <c r="DH108" s="302" t="str">
        <f t="shared" si="38"/>
        <v>-</v>
      </c>
      <c r="DI108" s="301" t="str">
        <f t="shared" si="39"/>
        <v>Hemi.</v>
      </c>
      <c r="DJ108" s="364" t="str">
        <f t="shared" si="40"/>
        <v>Co-Co.</v>
      </c>
      <c r="DK108" s="306" t="str">
        <f t="shared" si="41"/>
        <v>-</v>
      </c>
      <c r="DL108" s="366" t="str">
        <f t="shared" si="42"/>
        <v>-</v>
      </c>
      <c r="DM108" s="308" t="str">
        <f t="shared" si="43"/>
        <v>✔</v>
      </c>
      <c r="DN108" s="306" t="str">
        <f t="shared" si="44"/>
        <v>-</v>
      </c>
      <c r="DO108" s="306" t="str">
        <f t="shared" si="45"/>
        <v>-</v>
      </c>
      <c r="DP108" s="367" t="str">
        <f t="shared" si="46"/>
        <v>-</v>
      </c>
      <c r="DQ108" s="310" t="str">
        <f t="shared" si="47"/>
        <v>-</v>
      </c>
      <c r="DR108" s="310" t="str">
        <f t="shared" si="48"/>
        <v>✔</v>
      </c>
      <c r="DS108" s="310" t="str">
        <f t="shared" si="49"/>
        <v>-</v>
      </c>
      <c r="DT108" s="310" t="str">
        <f t="shared" si="50"/>
        <v>-</v>
      </c>
      <c r="DU108" s="370" t="str">
        <f t="shared" si="51"/>
        <v>✔</v>
      </c>
      <c r="DV108" s="306" t="str">
        <f t="shared" si="52"/>
        <v>-</v>
      </c>
      <c r="DW108" s="306" t="str">
        <f t="shared" si="53"/>
        <v>-</v>
      </c>
      <c r="DX108" s="306" t="str">
        <f t="shared" si="54"/>
        <v>-</v>
      </c>
      <c r="DY108" s="306" t="str">
        <f t="shared" si="55"/>
        <v>-</v>
      </c>
      <c r="DZ108" s="306" t="str">
        <f t="shared" si="56"/>
        <v>-</v>
      </c>
      <c r="EA108" s="367" t="str">
        <f t="shared" si="57"/>
        <v>-</v>
      </c>
      <c r="EB108" s="310" t="str">
        <f>IFERROR(__xludf.DUMMYFUNCTION("IF(REGEXMATCH(AW108,AS108),""✔"",""-"")"),"-")</f>
        <v>-</v>
      </c>
      <c r="EC108" s="310" t="str">
        <f t="shared" si="58"/>
        <v>#REF!</v>
      </c>
      <c r="ED108" s="370" t="str">
        <f t="shared" si="59"/>
        <v>-</v>
      </c>
      <c r="EE108" s="340" t="str">
        <f t="shared" si="60"/>
        <v>S-R-gG-m-P-d-nN-S</v>
      </c>
      <c r="EF108" s="371" t="str">
        <f>IFERROR(__xludf.DUMMYFUNCTION("CONCATENATE(JOIN("""",HC108:HO108))"),"SrRGmPdDnS")</f>
        <v>SrRGmPdDnS</v>
      </c>
      <c r="EG108" s="372">
        <f t="shared" si="61"/>
        <v>2</v>
      </c>
      <c r="EH108" s="373" t="str">
        <f>IFERROR(__xludf.DUMMYFUNCTION("CONCATENATE(JOIN("""",JC108:JO108))"),"Re, Ni, ")</f>
        <v>Re, Ni, </v>
      </c>
      <c r="EI108" s="322">
        <f t="shared" si="62"/>
        <v>0</v>
      </c>
      <c r="EJ108" s="374" t="str">
        <f>IFERROR(__xludf.DUMMYFUNCTION("CONCATENATE(JOIN("""",KC108:KO108))"),"")</f>
        <v/>
      </c>
      <c r="EK108" s="325" t="str">
        <f t="shared" si="63"/>
        <v>S-R2-G2-G3-M1-P-D1-N2-N3-S</v>
      </c>
      <c r="EL108" s="326" t="str">
        <f t="shared" si="64"/>
        <v>1-2-b3-3-4-5-b6-b7-7-8</v>
      </c>
      <c r="EM108" s="318" t="str">
        <f t="shared" si="65"/>
        <v>#REF!</v>
      </c>
      <c r="EN108" s="328" t="str">
        <f>IFERROR(__xludf.DUMMYFUNCTION("SUBSTITUTE(SUBSTITUTE(SUBSTITUTE(SUBSTITUTE(CONCATENATE(JOIN("" "",HP108:IB108)),""  "","" ""),""  "","" ""),""  "","" ""),""  "","" "")"),"o • o o o o • o o • o o o")</f>
        <v>o • o o o o • o o • o o o</v>
      </c>
      <c r="EO108" s="368" t="str">
        <f t="shared" si="66"/>
        <v>-</v>
      </c>
      <c r="EP108" s="339" t="str">
        <f t="shared" si="67"/>
        <v>-</v>
      </c>
      <c r="EQ108" s="339" t="str">
        <f t="shared" si="68"/>
        <v>Sa-Pa</v>
      </c>
      <c r="ER108" s="339" t="str">
        <f t="shared" si="69"/>
        <v>-</v>
      </c>
      <c r="ES108" s="340" t="str">
        <f t="shared" si="70"/>
        <v>-</v>
      </c>
      <c r="ET108" s="363"/>
      <c r="EU108" s="376" t="b">
        <f>IFERROR(__xludf.DUMMYFUNCTION("arrayformula(sum(--REGEXMATCH(""SRGMPDNS"",split(REGEXREPLACE(C108,""(.)"",""$1~""),""~""))))=len(C108)
"),FALSE)</f>
        <v>0</v>
      </c>
      <c r="EV108" s="290" t="b">
        <f>IFERROR(__xludf.DUMMYFUNCTION("arrayformula(sum(--REGEXMATCH(""SRGmPDNS"",split(REGEXREPLACE(C108,""(.)"",""$1~""),""~""))))=len(C108)"),FALSE)</f>
        <v>0</v>
      </c>
      <c r="EW108" s="290" t="b">
        <f>IFERROR(__xludf.DUMMYFUNCTION("arrayformula(sum(--REGEXMATCH(""SRGmPDnS"",split(REGEXREPLACE(C108,""(.)"",""$1~""),""~""))))=len(C108)"),FALSE)</f>
        <v>0</v>
      </c>
      <c r="EX108" s="290" t="b">
        <f>IFERROR(__xludf.DUMMYFUNCTION("arrayformula(sum(--REGEXMATCH(""SRgmPDnS"",split(REGEXREPLACE(C108,""(.)"",""$1~""),""~""))))=len(C108)"),FALSE)</f>
        <v>0</v>
      </c>
      <c r="EY108" s="290" t="b">
        <f>IFERROR(__xludf.DUMMYFUNCTION("arrayformula(sum(--REGEXMATCH(""SRgmPdnS"",split(REGEXREPLACE(C108,""(.)"",""$1~""),""~""))))=len(C108)"),FALSE)</f>
        <v>0</v>
      </c>
      <c r="EZ108" s="290" t="b">
        <f>IFERROR(__xludf.DUMMYFUNCTION("arrayformula(sum(--REGEXMATCH(""SrgmPdnS"",split(REGEXREPLACE(C108,""(.)"",""$1~""),""~""))))=len(C108)"),FALSE)</f>
        <v>0</v>
      </c>
      <c r="FA108" s="290" t="b">
        <f>IFERROR(__xludf.DUMMYFUNCTION("arrayformula(sum(--REGEXMATCH(""SrGmPdNS"",split(REGEXREPLACE(C108,""(.)"",""$1~""),""~""))))=len(C108)"),FALSE)</f>
        <v>0</v>
      </c>
      <c r="FB108" s="290" t="b">
        <f>IFERROR(__xludf.DUMMYFUNCTION("arrayformula(sum(--REGEXMATCH(""SrGMPDNS"",split(REGEXREPLACE(C108,""(.)"",""$1~""),""~""))))=len(C108)"),FALSE)</f>
        <v>0</v>
      </c>
      <c r="FC108" s="290" t="b">
        <f>IFERROR(__xludf.DUMMYFUNCTION("arrayformula(sum(--REGEXMATCH(""SrGMPdNS"",split(REGEXREPLACE(C108,""(.)"",""$1~""),""~""))))=len(C108)"),FALSE)</f>
        <v>0</v>
      </c>
      <c r="FD108" s="377" t="b">
        <f>IFERROR(__xludf.DUMMYFUNCTION("arrayformula(sum(--REGEXMATCH(""SrgMPdNS"",split(REGEXREPLACE(C108,""(.)"",""$1~""),""~""))))=len(C108)"),FALSE)</f>
        <v>0</v>
      </c>
      <c r="FE108" s="269" t="str">
        <f t="shared" si="71"/>
        <v>-</v>
      </c>
      <c r="FF108" s="269" t="str">
        <f t="shared" si="72"/>
        <v>xxxxoxxoxxx</v>
      </c>
      <c r="FG108" s="271" t="str">
        <f t="shared" si="73"/>
        <v>xxxoxxoxxxo</v>
      </c>
      <c r="FH108" s="269" t="str">
        <f t="shared" si="74"/>
        <v>xxoxxoxxxox</v>
      </c>
      <c r="FI108" s="271" t="str">
        <f t="shared" si="75"/>
        <v>xoxxoxxxoxx</v>
      </c>
      <c r="FJ108" s="271" t="str">
        <f t="shared" si="76"/>
        <v>-</v>
      </c>
      <c r="FK108" s="271" t="str">
        <f t="shared" si="77"/>
        <v>xxoxxxoxxxx</v>
      </c>
      <c r="FL108" s="271" t="str">
        <f t="shared" si="78"/>
        <v>xoxxxoxxxxo</v>
      </c>
      <c r="FM108" s="271" t="str">
        <f t="shared" si="79"/>
        <v>-</v>
      </c>
      <c r="FN108" s="271" t="str">
        <f t="shared" si="80"/>
        <v>xxxoxxxxoxx</v>
      </c>
      <c r="FO108" s="274" t="str">
        <f t="shared" si="81"/>
        <v>xxoxxxxoxxo</v>
      </c>
      <c r="FP108" s="234" t="str">
        <f t="shared" si="82"/>
        <v>|</v>
      </c>
      <c r="FQ108" s="236" t="str">
        <f t="shared" si="83"/>
        <v>-</v>
      </c>
      <c r="FR108" s="237" t="str">
        <f t="shared" si="84"/>
        <v>|</v>
      </c>
      <c r="FS108" s="236" t="str">
        <f t="shared" si="85"/>
        <v>|</v>
      </c>
      <c r="FT108" s="237" t="str">
        <f t="shared" si="86"/>
        <v>|</v>
      </c>
      <c r="FU108" s="236" t="str">
        <f t="shared" si="87"/>
        <v>|</v>
      </c>
      <c r="FV108" s="237" t="str">
        <f t="shared" si="88"/>
        <v>-</v>
      </c>
      <c r="FW108" s="236" t="str">
        <f t="shared" si="89"/>
        <v>|</v>
      </c>
      <c r="FX108" s="237" t="str">
        <f t="shared" si="90"/>
        <v>|</v>
      </c>
      <c r="FY108" s="236" t="str">
        <f t="shared" si="91"/>
        <v>-</v>
      </c>
      <c r="FZ108" s="237" t="str">
        <f t="shared" si="92"/>
        <v>|</v>
      </c>
      <c r="GA108" s="236" t="str">
        <f t="shared" si="93"/>
        <v>|</v>
      </c>
      <c r="GB108" s="238" t="str">
        <f t="shared" si="94"/>
        <v>|</v>
      </c>
      <c r="GC108" s="244" t="str">
        <f>IFERROR(__xludf.DUMMYFUNCTION("IF(REGEXMATCH(C108, ""S""), ""1"","""")"),"1")</f>
        <v>1</v>
      </c>
      <c r="GD108" s="245" t="str">
        <f>IFERROR(__xludf.DUMMYFUNCTION("IF(REGEXMATCH(C108, ""r""), ""b2"","""")"),"")</f>
        <v/>
      </c>
      <c r="GE108" s="246" t="str">
        <f>IFERROR(__xludf.DUMMYFUNCTION("IF(REGEXMATCH(C108, ""R""), ""2"","""")"),"2")</f>
        <v>2</v>
      </c>
      <c r="GF108" s="246" t="str">
        <f>IFERROR(__xludf.DUMMYFUNCTION("IF(REGEXMATCH(C108, ""g""), ""b3"","""")"),"b3")</f>
        <v>b3</v>
      </c>
      <c r="GG108" s="245" t="str">
        <f>IFERROR(__xludf.DUMMYFUNCTION("IF(REGEXMATCH(C108, ""G""), ""3"","""")"),"3")</f>
        <v>3</v>
      </c>
      <c r="GH108" s="245" t="str">
        <f>IFERROR(__xludf.DUMMYFUNCTION("IF(REGEXMATCH(C108, ""m""), ""4"","""")"),"4")</f>
        <v>4</v>
      </c>
      <c r="GI108" s="246" t="str">
        <f>IFERROR(__xludf.DUMMYFUNCTION("IF(REGEXMATCH(C108, ""M""), ""#4"","""")"),"")</f>
        <v/>
      </c>
      <c r="GJ108" s="245" t="str">
        <f>IFERROR(__xludf.DUMMYFUNCTION("IF(REGEXMATCH(C108, ""P""), ""5"","""")"),"5")</f>
        <v>5</v>
      </c>
      <c r="GK108" s="246" t="str">
        <f>IFERROR(__xludf.DUMMYFUNCTION("IF(REGEXMATCH(C108, ""d""), ""b6"","""")"),"b6")</f>
        <v>b6</v>
      </c>
      <c r="GL108" s="245" t="str">
        <f>IFERROR(__xludf.DUMMYFUNCTION("IF(REGEXMATCH(C108, ""D""), ""6"","""")"),"")</f>
        <v/>
      </c>
      <c r="GM108" s="245" t="str">
        <f>IFERROR(__xludf.DUMMYFUNCTION("IF(REGEXMATCH(C108, ""n""), ""b7"","""")"),"b7")</f>
        <v>b7</v>
      </c>
      <c r="GN108" s="246" t="str">
        <f>IFERROR(__xludf.DUMMYFUNCTION("IF(REGEXMATCH(C108, ""N""), ""7"","""")"),"7")</f>
        <v>7</v>
      </c>
      <c r="GO108" s="249" t="str">
        <f>IFERROR(__xludf.DUMMYFUNCTION("IF(REGEXMATCH(C108, ""S""), ""8"","""")"),"8")</f>
        <v>8</v>
      </c>
      <c r="GP108" s="244" t="str">
        <f>IFERROR(__xludf.DUMMYFUNCTION("IF(REGEXMATCH(C108, ""S""), ""S"","""")"),"S")</f>
        <v>S</v>
      </c>
      <c r="GQ108" s="294" t="str">
        <f>IFERROR(__xludf.DUMMYFUNCTION("IF(REGEXMATCH(C108, ""r""), ""R1"","""")"),"")</f>
        <v/>
      </c>
      <c r="GR108" s="295" t="str">
        <f>IFERROR(__xludf.DUMMYFUNCTION("IF(REGEXMATCH(C108, ""R""), ""R2"","""")"),"R2")</f>
        <v>R2</v>
      </c>
      <c r="GS108" s="295" t="str">
        <f>IFERROR(__xludf.DUMMYFUNCTION("IF(REGEXMATCH(C108, ""g""), ""G2"","""")"),"G2")</f>
        <v>G2</v>
      </c>
      <c r="GT108" s="294" t="str">
        <f>IFERROR(__xludf.DUMMYFUNCTION("IF(REGEXMATCH(C108, ""G""), ""G3"","""")"),"G3")</f>
        <v>G3</v>
      </c>
      <c r="GU108" s="294" t="str">
        <f>IFERROR(__xludf.DUMMYFUNCTION("IF(REGEXMATCH(C108, ""m""), ""M1"","""")"),"M1")</f>
        <v>M1</v>
      </c>
      <c r="GV108" s="295" t="str">
        <f>IFERROR(__xludf.DUMMYFUNCTION("IF(REGEXMATCH(C108, ""M""), ""M2"","""")"),"")</f>
        <v/>
      </c>
      <c r="GW108" s="294" t="str">
        <f>IFERROR(__xludf.DUMMYFUNCTION("IF(REGEXMATCH(C108, ""P""), ""P"","""")"),"P")</f>
        <v>P</v>
      </c>
      <c r="GX108" s="295" t="str">
        <f>IFERROR(__xludf.DUMMYFUNCTION("IF(REGEXMATCH(C108, ""d""), ""D1"","""")"),"D1")</f>
        <v>D1</v>
      </c>
      <c r="GY108" s="294" t="str">
        <f>IFERROR(__xludf.DUMMYFUNCTION("IF(REGEXMATCH(C108, ""D""), ""D2"","""")"),"")</f>
        <v/>
      </c>
      <c r="GZ108" s="294" t="str">
        <f>IFERROR(__xludf.DUMMYFUNCTION("IF(REGEXMATCH(C108, ""n""), ""N2"","""")"),"N2")</f>
        <v>N2</v>
      </c>
      <c r="HA108" s="295" t="str">
        <f>IFERROR(__xludf.DUMMYFUNCTION("IF(REGEXMATCH(C108, ""N""), ""N3"","""")"),"N3")</f>
        <v>N3</v>
      </c>
      <c r="HB108" s="249" t="str">
        <f>IFERROR(__xludf.DUMMYFUNCTION("IF(REGEXMATCH(C108, ""S""), ""S"","""")"),"S")</f>
        <v>S</v>
      </c>
      <c r="HC108" s="331" t="str">
        <f t="shared" si="95"/>
        <v>S</v>
      </c>
      <c r="HD108" s="332" t="str">
        <f t="shared" si="96"/>
        <v>r</v>
      </c>
      <c r="HE108" s="332" t="str">
        <f t="shared" si="97"/>
        <v>R</v>
      </c>
      <c r="HF108" s="332" t="str">
        <f t="shared" si="98"/>
        <v/>
      </c>
      <c r="HG108" s="332" t="str">
        <f t="shared" si="99"/>
        <v>G</v>
      </c>
      <c r="HH108" s="332" t="str">
        <f t="shared" si="100"/>
        <v>m</v>
      </c>
      <c r="HI108" s="332" t="str">
        <f t="shared" si="101"/>
        <v/>
      </c>
      <c r="HJ108" s="332" t="str">
        <f t="shared" si="102"/>
        <v>P</v>
      </c>
      <c r="HK108" s="332" t="str">
        <f t="shared" si="103"/>
        <v>d</v>
      </c>
      <c r="HL108" s="332" t="str">
        <f t="shared" si="104"/>
        <v>D</v>
      </c>
      <c r="HM108" s="332" t="str">
        <f t="shared" si="105"/>
        <v>n</v>
      </c>
      <c r="HN108" s="332" t="str">
        <f t="shared" si="106"/>
        <v/>
      </c>
      <c r="HO108" s="343" t="str">
        <f t="shared" si="107"/>
        <v>S</v>
      </c>
      <c r="HP108" s="331" t="str">
        <f t="shared" si="108"/>
        <v>o</v>
      </c>
      <c r="HQ108" s="332" t="str">
        <f t="shared" si="109"/>
        <v>•</v>
      </c>
      <c r="HR108" s="332" t="str">
        <f t="shared" si="110"/>
        <v>o</v>
      </c>
      <c r="HS108" s="332" t="str">
        <f t="shared" si="111"/>
        <v>o</v>
      </c>
      <c r="HT108" s="332" t="str">
        <f t="shared" si="112"/>
        <v>o</v>
      </c>
      <c r="HU108" s="332" t="str">
        <f t="shared" si="113"/>
        <v>o</v>
      </c>
      <c r="HV108" s="332" t="str">
        <f t="shared" si="114"/>
        <v>•</v>
      </c>
      <c r="HW108" s="332" t="str">
        <f t="shared" si="115"/>
        <v>o</v>
      </c>
      <c r="HX108" s="332" t="str">
        <f t="shared" si="116"/>
        <v>o</v>
      </c>
      <c r="HY108" s="332" t="str">
        <f t="shared" si="117"/>
        <v>•</v>
      </c>
      <c r="HZ108" s="332" t="str">
        <f t="shared" si="118"/>
        <v>o</v>
      </c>
      <c r="IA108" s="332" t="str">
        <f t="shared" si="119"/>
        <v>o</v>
      </c>
      <c r="IB108" s="338" t="str">
        <f t="shared" si="120"/>
        <v>o</v>
      </c>
      <c r="IC108" s="331" t="str">
        <f t="shared" si="121"/>
        <v>•</v>
      </c>
      <c r="ID108" s="332" t="str">
        <f t="shared" si="122"/>
        <v>o</v>
      </c>
      <c r="IE108" s="332" t="str">
        <f t="shared" si="123"/>
        <v>•</v>
      </c>
      <c r="IF108" s="332" t="str">
        <f t="shared" si="124"/>
        <v>•</v>
      </c>
      <c r="IG108" s="332" t="str">
        <f t="shared" si="125"/>
        <v>•</v>
      </c>
      <c r="IH108" s="332" t="str">
        <f t="shared" si="126"/>
        <v>•</v>
      </c>
      <c r="II108" s="332" t="str">
        <f t="shared" si="127"/>
        <v>o</v>
      </c>
      <c r="IJ108" s="332" t="str">
        <f t="shared" si="128"/>
        <v>•</v>
      </c>
      <c r="IK108" s="332" t="str">
        <f t="shared" si="129"/>
        <v>•</v>
      </c>
      <c r="IL108" s="332" t="str">
        <f t="shared" si="130"/>
        <v>o</v>
      </c>
      <c r="IM108" s="332" t="str">
        <f t="shared" si="131"/>
        <v>•</v>
      </c>
      <c r="IN108" s="332" t="str">
        <f t="shared" si="132"/>
        <v>•</v>
      </c>
      <c r="IO108" s="338" t="str">
        <f t="shared" si="133"/>
        <v>•</v>
      </c>
      <c r="IP108" s="346" t="b">
        <f t="shared" si="134"/>
        <v>0</v>
      </c>
      <c r="IQ108" s="347" t="b">
        <f t="shared" si="135"/>
        <v>0</v>
      </c>
      <c r="IR108" s="347" t="b">
        <f t="shared" si="136"/>
        <v>1</v>
      </c>
      <c r="IS108" s="347" t="b">
        <f t="shared" si="137"/>
        <v>0</v>
      </c>
      <c r="IT108" s="347" t="b">
        <f t="shared" si="138"/>
        <v>0</v>
      </c>
      <c r="IU108" s="347" t="b">
        <f t="shared" si="139"/>
        <v>0</v>
      </c>
      <c r="IV108" s="347" t="b">
        <f t="shared" si="140"/>
        <v>0</v>
      </c>
      <c r="IW108" s="347" t="b">
        <f t="shared" si="141"/>
        <v>0</v>
      </c>
      <c r="IX108" s="347" t="b">
        <f t="shared" si="142"/>
        <v>0</v>
      </c>
      <c r="IY108" s="347" t="b">
        <f t="shared" si="143"/>
        <v>0</v>
      </c>
      <c r="IZ108" s="347" t="b">
        <f t="shared" si="144"/>
        <v>0</v>
      </c>
      <c r="JA108" s="347" t="b">
        <f t="shared" si="145"/>
        <v>1</v>
      </c>
      <c r="JB108" s="353" t="b">
        <f t="shared" si="146"/>
        <v>0</v>
      </c>
      <c r="JC108" s="354" t="str">
        <f t="shared" si="147"/>
        <v/>
      </c>
      <c r="JD108" s="355" t="str">
        <f t="shared" si="148"/>
        <v/>
      </c>
      <c r="JE108" s="355" t="str">
        <f t="shared" si="149"/>
        <v>Re, </v>
      </c>
      <c r="JF108" s="355" t="str">
        <f t="shared" si="150"/>
        <v/>
      </c>
      <c r="JG108" s="355" t="str">
        <f t="shared" si="151"/>
        <v/>
      </c>
      <c r="JH108" s="355" t="str">
        <f t="shared" si="152"/>
        <v/>
      </c>
      <c r="JI108" s="355" t="str">
        <f t="shared" si="153"/>
        <v/>
      </c>
      <c r="JJ108" s="355" t="str">
        <f t="shared" si="154"/>
        <v/>
      </c>
      <c r="JK108" s="355" t="str">
        <f t="shared" si="155"/>
        <v/>
      </c>
      <c r="JL108" s="355" t="str">
        <f t="shared" si="156"/>
        <v/>
      </c>
      <c r="JM108" s="355" t="str">
        <f t="shared" si="157"/>
        <v/>
      </c>
      <c r="JN108" s="355" t="str">
        <f t="shared" si="158"/>
        <v>Ni, </v>
      </c>
      <c r="JO108" s="359" t="str">
        <f t="shared" si="159"/>
        <v/>
      </c>
      <c r="JP108" s="346" t="b">
        <f t="shared" si="160"/>
        <v>0</v>
      </c>
      <c r="JQ108" s="347" t="b">
        <f t="shared" si="161"/>
        <v>0</v>
      </c>
      <c r="JR108" s="347" t="b">
        <f t="shared" si="162"/>
        <v>0</v>
      </c>
      <c r="JS108" s="347" t="b">
        <f t="shared" si="163"/>
        <v>0</v>
      </c>
      <c r="JT108" s="347" t="b">
        <f t="shared" si="164"/>
        <v>0</v>
      </c>
      <c r="JU108" s="347" t="b">
        <f t="shared" si="165"/>
        <v>0</v>
      </c>
      <c r="JV108" s="347" t="b">
        <f t="shared" si="166"/>
        <v>0</v>
      </c>
      <c r="JW108" s="347" t="b">
        <f t="shared" si="167"/>
        <v>0</v>
      </c>
      <c r="JX108" s="347" t="b">
        <f t="shared" si="168"/>
        <v>0</v>
      </c>
      <c r="JY108" s="347" t="b">
        <f t="shared" si="169"/>
        <v>0</v>
      </c>
      <c r="JZ108" s="347" t="b">
        <f t="shared" si="170"/>
        <v>0</v>
      </c>
      <c r="KA108" s="347" t="b">
        <f t="shared" si="171"/>
        <v>0</v>
      </c>
      <c r="KB108" s="365" t="b">
        <f t="shared" si="172"/>
        <v>0</v>
      </c>
      <c r="KC108" s="354" t="str">
        <f t="shared" si="173"/>
        <v/>
      </c>
      <c r="KD108" s="355" t="str">
        <f t="shared" si="174"/>
        <v/>
      </c>
      <c r="KE108" s="355" t="str">
        <f t="shared" si="175"/>
        <v/>
      </c>
      <c r="KF108" s="355" t="str">
        <f t="shared" si="176"/>
        <v/>
      </c>
      <c r="KG108" s="355" t="str">
        <f t="shared" si="177"/>
        <v/>
      </c>
      <c r="KH108" s="355" t="str">
        <f t="shared" si="178"/>
        <v/>
      </c>
      <c r="KI108" s="355" t="str">
        <f t="shared" si="179"/>
        <v/>
      </c>
      <c r="KJ108" s="355" t="str">
        <f t="shared" si="180"/>
        <v/>
      </c>
      <c r="KK108" s="355" t="str">
        <f t="shared" si="181"/>
        <v/>
      </c>
      <c r="KL108" s="355" t="str">
        <f t="shared" si="182"/>
        <v/>
      </c>
      <c r="KM108" s="355" t="str">
        <f t="shared" si="183"/>
        <v/>
      </c>
      <c r="KN108" s="355" t="str">
        <f t="shared" si="184"/>
        <v/>
      </c>
      <c r="KO108" s="359"/>
      <c r="KP108" s="378"/>
      <c r="KQ108" s="379" t="s">
        <v>727</v>
      </c>
      <c r="KR108" s="380" t="s">
        <v>431</v>
      </c>
      <c r="KS108" s="381" t="s">
        <v>9</v>
      </c>
      <c r="KT108" s="382">
        <f t="shared" si="186"/>
        <v>0</v>
      </c>
      <c r="KU108" s="383">
        <f t="shared" si="187"/>
        <v>0</v>
      </c>
      <c r="KV108" s="381" t="str">
        <f t="shared" si="205"/>
        <v>S-n-d-P-m-g-R-S</v>
      </c>
      <c r="KW108" s="382">
        <f t="shared" si="189"/>
        <v>7</v>
      </c>
      <c r="KX108" s="384">
        <f t="shared" si="190"/>
        <v>7</v>
      </c>
      <c r="KY108" s="382">
        <f t="shared" ref="KY108:KZ108" si="418">KW108-KT108</f>
        <v>7</v>
      </c>
      <c r="KZ108" s="369">
        <f t="shared" si="418"/>
        <v>7</v>
      </c>
      <c r="LA108" s="385" t="str">
        <f t="shared" si="192"/>
        <v>-</v>
      </c>
      <c r="LB108" s="340" t="str">
        <f>IFERROR(__xludf.DUMMYFUNCTION("JOIN("""",ArrayFormula(MID(KS108,LEN(KS108)-SEQUENCE(1,LEN(KS108))+1,1)))"),"S")</f>
        <v>S</v>
      </c>
      <c r="LC108" s="373" t="str">
        <f>IFERROR(__xludf.DUMMYFUNCTION("JOIN("""",ArrayFormula(MID(KV108,LEN(KV108)-SEQUENCE(1,LEN(KV108))+1,1)))"),"S-R-g-m-P-d-n-S")</f>
        <v>S-R-g-m-P-d-n-S</v>
      </c>
      <c r="LD108" s="373" t="str">
        <f t="shared" si="193"/>
        <v>S</v>
      </c>
      <c r="LE108" s="339" t="str">
        <f t="shared" si="194"/>
        <v>SRgmPdnS</v>
      </c>
      <c r="LF108" s="386" t="str">
        <f>IFERROR(__xludf.DUMMYFUNCTION("SUBSTITUTE(SUBSTITUTE(CONCATENATE(JOIN("""",LH108:LT108)),""1"",""""),""2"","""")"),"SRgmPdnS")</f>
        <v>SRgmPdnS</v>
      </c>
      <c r="LG108" s="369" t="str">
        <f t="shared" si="195"/>
        <v>-</v>
      </c>
      <c r="LH108" s="387" t="str">
        <f>IFERROR(__xludf.DUMMYFUNCTION("IF(REGEXMATCH(LD108, ""S""), ""S"",IF(REGEXMATCH(LE108, ""S""), ""S"",""""))"),"S")</f>
        <v>S</v>
      </c>
      <c r="LI108" s="299" t="str">
        <f>IFERROR(__xludf.DUMMYFUNCTION("IF(REGEXMATCH(LD108, ""r""), ""r1"",IF(REGEXMATCH(LE108, ""r""), ""r2"",""""))"),"")</f>
        <v/>
      </c>
      <c r="LJ108" s="299" t="str">
        <f>IFERROR(__xludf.DUMMYFUNCTION("IF(REGEXMATCH(LD108, ""R""), ""R1"",IF(REGEXMATCH(LE108, ""R""), ""R2"",""""))"),"R2")</f>
        <v>R2</v>
      </c>
      <c r="LK108" s="299" t="str">
        <f>IFERROR(__xludf.DUMMYFUNCTION("IF(REGEXMATCH(LD108, ""g""), ""g1"",IF(REGEXMATCH(LE108, ""g""), ""g2"",""""))"),"g2")</f>
        <v>g2</v>
      </c>
      <c r="LL108" s="299" t="str">
        <f>IFERROR(__xludf.DUMMYFUNCTION("IF(REGEXMATCH(LD108, ""G""), ""G1"",IF(REGEXMATCH(LE108, ""G""), ""G2"",""""))"),"")</f>
        <v/>
      </c>
      <c r="LM108" s="299" t="str">
        <f>IFERROR(__xludf.DUMMYFUNCTION("IF(REGEXMATCH(LD108, ""m""), ""m1"",IF(REGEXMATCH(LE108, ""m""), ""m2"",""""))"),"m2")</f>
        <v>m2</v>
      </c>
      <c r="LN108" s="299" t="str">
        <f>IFERROR(__xludf.DUMMYFUNCTION("IF(REGEXMATCH(LD108, ""M""), ""M1"",IF(REGEXMATCH(LE108, ""M""), ""M2"",""""))"),"")</f>
        <v/>
      </c>
      <c r="LO108" s="299" t="str">
        <f>IFERROR(__xludf.DUMMYFUNCTION("IF(REGEXMATCH(LD108, ""P""), ""P1"",IF(REGEXMATCH(LE108, ""P""), ""P2"",""""))"),"P2")</f>
        <v>P2</v>
      </c>
      <c r="LP108" s="299" t="str">
        <f>IFERROR(__xludf.DUMMYFUNCTION("IF(REGEXMATCH(LD108, ""d""), ""d1"",IF(REGEXMATCH(LE108, ""d""), ""d2"",""""))"),"d2")</f>
        <v>d2</v>
      </c>
      <c r="LQ108" s="299" t="str">
        <f>IFERROR(__xludf.DUMMYFUNCTION("IF(REGEXMATCH(LD108, ""D""), ""D1"",IF(REGEXMATCH(LE108, ""D""), ""D2"",""""))"),"")</f>
        <v/>
      </c>
      <c r="LR108" s="299" t="str">
        <f>IFERROR(__xludf.DUMMYFUNCTION("IF(REGEXMATCH(LD108, ""n""), ""n1"",IF(REGEXMATCH(LE108, ""n""), ""n2"",""""))"),"n2")</f>
        <v>n2</v>
      </c>
      <c r="LS108" s="299" t="str">
        <f>IFERROR(__xludf.DUMMYFUNCTION("IF(REGEXMATCH(LD108, ""N""), ""N1"",IF(REGEXMATCH(LE108, ""N""), ""N2"",""""))"),"")</f>
        <v/>
      </c>
      <c r="LT108" s="388" t="str">
        <f>IFERROR(__xludf.DUMMYFUNCTION("IF(REGEXMATCH(LD108, ""S""), ""S"",IF(REGEXMATCH(LE108, ""S""), ""S"",""""))"),"S")</f>
        <v>S</v>
      </c>
      <c r="LU108" s="389">
        <f t="shared" si="196"/>
        <v>-13</v>
      </c>
      <c r="LV108" s="378"/>
      <c r="LW108" s="369"/>
      <c r="LX108" s="369"/>
    </row>
    <row r="109" ht="18.0" customHeight="1">
      <c r="A109" s="298" t="s">
        <v>1388</v>
      </c>
      <c r="B109" s="222" t="s">
        <v>1389</v>
      </c>
      <c r="C109" s="233" t="str">
        <f t="shared" si="7"/>
        <v>SrgGMdnS</v>
      </c>
      <c r="D109" s="234" t="str">
        <f>IFERROR(__xludf.DUMMYFUNCTION("IF(REGEXMATCH(C109, ""S""), ""S"","""")"),"S")</f>
        <v>S</v>
      </c>
      <c r="E109" s="236" t="str">
        <f>IFERROR(__xludf.DUMMYFUNCTION("IF(REGEXMATCH(C109, ""r""), ""r"","""")"),"r")</f>
        <v>r</v>
      </c>
      <c r="F109" s="237" t="str">
        <f>IFERROR(__xludf.DUMMYFUNCTION("IF(REGEXMATCH(C109, ""R""), ""R"","""")"),"")</f>
        <v/>
      </c>
      <c r="G109" s="237" t="str">
        <f>IFERROR(__xludf.DUMMYFUNCTION("IF(REGEXMATCH(C109, ""g""), ""g"","""")"),"g")</f>
        <v>g</v>
      </c>
      <c r="H109" s="236" t="str">
        <f>IFERROR(__xludf.DUMMYFUNCTION("IF(REGEXMATCH(C109, ""G""), ""G"","""")"),"G")</f>
        <v>G</v>
      </c>
      <c r="I109" s="236" t="str">
        <f>IFERROR(__xludf.DUMMYFUNCTION("IF(REGEXMATCH(C109, ""m""), ""m"","""")"),"")</f>
        <v/>
      </c>
      <c r="J109" s="237" t="str">
        <f>IFERROR(__xludf.DUMMYFUNCTION("IF(REGEXMATCH(C109, ""M""), ""M"","""")"),"M")</f>
        <v>M</v>
      </c>
      <c r="K109" s="236" t="str">
        <f>IFERROR(__xludf.DUMMYFUNCTION("IF(REGEXMATCH(C109, ""P""), ""P"","""")"),"")</f>
        <v/>
      </c>
      <c r="L109" s="237" t="str">
        <f>IFERROR(__xludf.DUMMYFUNCTION("IF(REGEXMATCH(C109, ""d""), ""d"","""")"),"d")</f>
        <v>d</v>
      </c>
      <c r="M109" s="236" t="str">
        <f>IFERROR(__xludf.DUMMYFUNCTION("IF(REGEXMATCH(C109, ""D""), ""D"","""")"),"")</f>
        <v/>
      </c>
      <c r="N109" s="236" t="str">
        <f>IFERROR(__xludf.DUMMYFUNCTION("IF(REGEXMATCH(C109, ""n""), ""n"","""")"),"n")</f>
        <v>n</v>
      </c>
      <c r="O109" s="237" t="str">
        <f>IFERROR(__xludf.DUMMYFUNCTION("IF(REGEXMATCH(C109, ""N""), ""N"","""")"),"")</f>
        <v/>
      </c>
      <c r="P109" s="238" t="str">
        <f>IFERROR(__xludf.DUMMYFUNCTION("IF(REGEXMATCH(C109, ""S""), ""S"","""")"),"S")</f>
        <v>S</v>
      </c>
      <c r="Q109" s="239" t="str">
        <f>IFERROR(__xludf.DUMMYFUNCTION("SUBSTITUTE(CONCATENATE(JOIN(""-"",D109:J109)),""-"","""")"),"SrgGM")</f>
        <v>SrgGM</v>
      </c>
      <c r="R109" s="229" t="str">
        <f>IFERROR(__xludf.DUMMYFUNCTION("SUBSTITUTE(CONCATENATE(JOIN(""-"",K109:P109)),""-"","""")"),"dnS")</f>
        <v>dnS</v>
      </c>
      <c r="S109" s="282" t="str">
        <f t="shared" si="8"/>
        <v>S-R-G-M</v>
      </c>
      <c r="T109" s="282" t="str">
        <f t="shared" si="9"/>
        <v>D-N-S</v>
      </c>
      <c r="U109" s="237" t="str">
        <f>IFERROR(__xludf.DUMMYFUNCTION("SUBSTITUTE(JOIN(""-"",S109,T109),""--"",""-"")"),"S-R-G-M-D-N-S")</f>
        <v>S-R-G-M-D-N-S</v>
      </c>
      <c r="V109" s="309" t="str">
        <f t="shared" si="10"/>
        <v>rgGMdn</v>
      </c>
      <c r="W109" s="244" t="str">
        <f>IFERROR(__xludf.DUMMYFUNCTION("IF(REGEXMATCH(C109, ""S""), ""0"","""")"),"0")</f>
        <v>0</v>
      </c>
      <c r="X109" s="245" t="str">
        <f>IFERROR(__xludf.DUMMYFUNCTION("IF(REGEXMATCH(C109, ""r""), ""1"","""")"),"1")</f>
        <v>1</v>
      </c>
      <c r="Y109" s="246" t="str">
        <f>IFERROR(__xludf.DUMMYFUNCTION("IF(REGEXMATCH(C109, ""R""), ""2"","""")"),"")</f>
        <v/>
      </c>
      <c r="Z109" s="246" t="str">
        <f>IFERROR(__xludf.DUMMYFUNCTION("IF(REGEXMATCH(C109, ""g""), ""3"","""")"),"3")</f>
        <v>3</v>
      </c>
      <c r="AA109" s="245" t="str">
        <f>IFERROR(__xludf.DUMMYFUNCTION("IF(REGEXMATCH(C109, ""G""), ""4"","""")"),"4")</f>
        <v>4</v>
      </c>
      <c r="AB109" s="245" t="str">
        <f>IFERROR(__xludf.DUMMYFUNCTION("IF(REGEXMATCH(C109, ""m""), ""5"","""")"),"")</f>
        <v/>
      </c>
      <c r="AC109" s="246" t="str">
        <f>IFERROR(__xludf.DUMMYFUNCTION("IF(REGEXMATCH(C109, ""M""), ""6"","""")"),"6")</f>
        <v>6</v>
      </c>
      <c r="AD109" s="245" t="str">
        <f>IFERROR(__xludf.DUMMYFUNCTION("IF(REGEXMATCH(C109, ""P""), ""7"","""")"),"")</f>
        <v/>
      </c>
      <c r="AE109" s="246" t="str">
        <f>IFERROR(__xludf.DUMMYFUNCTION("IF(REGEXMATCH(C109, ""d""), ""8"","""")"),"8")</f>
        <v>8</v>
      </c>
      <c r="AF109" s="245" t="str">
        <f>IFERROR(__xludf.DUMMYFUNCTION("IF(REGEXMATCH(C109, ""D""), ""9"","""")"),"")</f>
        <v/>
      </c>
      <c r="AG109" s="245" t="str">
        <f>IFERROR(__xludf.DUMMYFUNCTION("IF(REGEXMATCH(C109, ""n""), ""10"","""")"),"10")</f>
        <v>10</v>
      </c>
      <c r="AH109" s="246" t="str">
        <f>IFERROR(__xludf.DUMMYFUNCTION("IF(REGEXMATCH(C109, ""N""), ""11"","""")"),"")</f>
        <v/>
      </c>
      <c r="AI109" s="249" t="str">
        <f>IFERROR(__xludf.DUMMYFUNCTION("IF(REGEXMATCH(C109, ""S""), ""0"","""")"),"0")</f>
        <v>0</v>
      </c>
      <c r="AJ109" s="313" t="str">
        <f t="shared" si="11"/>
        <v>T</v>
      </c>
      <c r="AK109" s="313" t="str">
        <f t="shared" si="12"/>
        <v>-</v>
      </c>
      <c r="AL109" s="313" t="str">
        <f t="shared" si="13"/>
        <v>-</v>
      </c>
      <c r="AM109" s="313" t="str">
        <f t="shared" si="14"/>
        <v>-</v>
      </c>
      <c r="AN109" s="313" t="str">
        <f t="shared" si="15"/>
        <v>T</v>
      </c>
      <c r="AO109" s="314" t="str">
        <f t="shared" si="16"/>
        <v>-</v>
      </c>
      <c r="AP109" s="316">
        <f t="shared" si="17"/>
        <v>2</v>
      </c>
      <c r="AQ109" s="319" t="str">
        <f t="shared" si="18"/>
        <v>#REF!</v>
      </c>
      <c r="AR109" s="320">
        <f t="shared" si="19"/>
        <v>0</v>
      </c>
      <c r="AS109" s="250" t="str">
        <f>IFERROR(__xludf.DUMMYFUNCTION("SUBSTITUTE(SUBSTITUTE(CONCATENATE(JOIN("""",FP109:GA109)),""|"",""x""),""-"",""o"")"),"xxoxxoxoxoxo")</f>
        <v>xxoxxoxoxoxo</v>
      </c>
      <c r="AT109" s="323" t="str">
        <f>IFERROR(__xludf.DUMMYFUNCTION("JOIN("""",AS109,AS109)"),"xxoxxoxoxoxoxxoxxoxoxoxo")</f>
        <v>xxoxxoxoxoxoxxoxxoxoxoxo</v>
      </c>
      <c r="AU109" s="256" t="str">
        <f>IFERROR(__xludf.DUMMYFUNCTION("JOIN("""",ArrayFormula(MID(AS109,LEN(AS109)-SEQUENCE(1,LEN(AS109))+1,1)))"),"oxoxoxoxxoxx")</f>
        <v>oxoxoxoxxoxx</v>
      </c>
      <c r="AV109" s="256" t="str">
        <f>IFERROR(__xludf.DUMMYFUNCTION("LEFT(CONCATENATE(""x"",JOIN("""",ArrayFormula(MID(AS109,LEN(AS109)-SEQUENCE(1,LEN(AS109))+1,1)))),12)"),"xoxoxoxoxxox")</f>
        <v>xoxoxoxoxxox</v>
      </c>
      <c r="AW109" s="327" t="str">
        <f>IFERROR(__xludf.DUMMYFUNCTION("JOIN("""",AU109,AU109)"),"oxoxoxoxxoxxoxoxoxoxxoxx")</f>
        <v>oxoxoxoxxoxxoxoxoxoxxoxx</v>
      </c>
      <c r="AX109" s="239" t="str">
        <f>IFERROR(__xludf.DUMMYFUNCTION("IF(REGEXMATCH(AW109,AS109),""✔"",""-"")"),"✔")</f>
        <v>✔</v>
      </c>
      <c r="AY109" s="330" t="str">
        <f t="shared" si="20"/>
        <v>-</v>
      </c>
      <c r="AZ109" s="260" t="str">
        <f t="shared" si="21"/>
        <v>#REF!</v>
      </c>
      <c r="BA109" s="333" t="str">
        <f t="shared" si="22"/>
        <v>xxoxxox</v>
      </c>
      <c r="BB109" s="334" t="str">
        <f t="shared" si="23"/>
        <v>oxoxox</v>
      </c>
      <c r="BC109" s="335" t="str">
        <f t="shared" si="236"/>
        <v>-</v>
      </c>
      <c r="BD109" s="336" t="str">
        <f t="shared" si="25"/>
        <v>Faridi Todi: 'xxoxxox' + 'oxoxox'</v>
      </c>
      <c r="BE109" s="337">
        <f>IFERROR(__xludf.DUMMYFUNCTION("COUNTUNIQUE(FILTER(AT:AT,REGEXMATCH(AT:AT,AS109)))-1"),4.0)</f>
        <v>4</v>
      </c>
      <c r="BF109" s="261" t="str">
        <f>IFERROR(__xludf.DUMMYFUNCTION("IF(BI109=0,""(n/a)"",IF(BJ109=2,""(PAIR)"",IF(REGEXMATCH(AT109,""xoxoxxoxoxox""),""Bilawal"",IF(REGEXMATCH(AT109,""xoxoxooxoxoo""),""Bhupali"",IF(REGEXMATCH(AT109,""xoxoxxoxxoxo""),""Charukeshi"",IF(REGEXMATCH(AT109,""xoxoooxxoxxo""),""Kameshwari"",IF(REG"&amp;"EXMATCH(AT109,""xoxoxooxoxox""),""Shankara"",IF(REGEXMATCH(AT109,""xxooxoxxxoox""),""Basant"",IF(REGEXMATCH(AT109,""xoxoxxxxoxox""),""Bihag"",IF(REGEXMATCH(AT109,""xoxxxxoxoxxx""),""Pilu"",IF(REGEXMATCH(AT109,""xoxxoxoxxoox""),""Kirwani"",IF(REGEXMATCH(AT"&amp;"109,""xoxxoxoxoxxx""),""Mk.Malhar"",IF(REGEXMATCH(AT109,""xxooxxoxxoox""),""Bhairav"",IF(REGEXMATCH(AT109,""xxoxooxxxoox""),""Todi"",IF(REGEXMATCH(AT109,""xxooxoxooxox""),""Marwa"",IF(REGEXMATCH(AT109,""xxoooxoxxooo""),""Gunkali"",IF(REGEXMATCH(AT109,""xo"&amp;"xoxxoxxoox""),""Nat Bhairav"",IF(REGEXMATCH(AT109,""xoxxoooxoxoo""),""Shivranjani"",IF(REGEXMATCH(AT109,""xooxxxoxooxo""),""Jog"",IF(REGEXMATCH(AT109,""xxooxoxoxoox""),""Hemshri"",IF(REGEXMATCH(AT109,""xoooxooxoxxo""),""Kalavati"",IF(REGEXMATCH(AT109,""xx"&amp;"oxoxxoxoox""),""Kedar"",IF(REGEXMATCH(AT109,""xoxxxxoxooxx""),""Gara"",IF(REGEXMATCH(AT109,""xooxoxooxoox""),""Chandrakauns"",IF(REGEXMATCH(AT109,""xoxxxxoxxxox""),""Mand"",IF(REGEXMATCH(AT109,""xoxxxxoxoxox""),""Hanskinkini"",IF(REGEXMATCH(AT109,""xxooxx"&amp;"oxooxo""),""Lilavati"",IF(REGEXMATCH(AT109,""xooxoxoooxox""),""Rajeshwari"",IF(REGEXMATCH(AT109,""xoooxxoxoxxx""),""Khokar"",IF(REGEXMATCH(AT109,""xxooxoxxxxox""),""Maligoura"",""-""))))))))))))))))))))))))))))))"),"Charukeshi")</f>
        <v>Charukeshi</v>
      </c>
      <c r="BG109" s="239" t="str">
        <f t="shared" si="26"/>
        <v>#REF!</v>
      </c>
      <c r="BH109" s="239">
        <f>IFERROR(__xludf.DUMMYFUNCTION("COUNTUNIQUE(FE109:FO109)-1"),6.0)</f>
        <v>6</v>
      </c>
      <c r="BI109" s="239">
        <f>IFERROR(__xludf.DUMMYFUNCTION("COUNTUNIQUE(FILTER(AT:AT,REGEXMATCH(AT:AT,AS109)))-1"),4.0)</f>
        <v>4</v>
      </c>
      <c r="BJ109" s="239">
        <f>IFERROR(__xludf.DUMMYFUNCTION("COUNTA(FILTER(AT:AT,REGEXMATCH(AT:AT,AS109)))"),8.0)</f>
        <v>8</v>
      </c>
      <c r="BK109" s="341">
        <f>IFERROR(__xludf.DUMMYFUNCTION("COUNTA(FILTER(AT:AT,REGEXMATCH(AT:AT,AS109)))-AR109"),8.0)</f>
        <v>8</v>
      </c>
      <c r="BL109" s="276" t="str">
        <f>IFERROR(__xludf.DUMMYFUNCTION("IF(AS109=""oooooooooooo"",""-"",IF(REGEXMATCH(AT109,""xx""), ""Hemi."", ""Anhemi.""))"),"Hemi.")</f>
        <v>Hemi.</v>
      </c>
      <c r="BM109" s="282" t="str">
        <f>IFERROR(__xludf.DUMMYFUNCTION("IF(AS109=""oooooooooooo"",""-"",IF(REGEXMATCH(AT109,""xxx""), ""Cohem."", ""-""))"),"-")</f>
        <v>-</v>
      </c>
      <c r="BN109" s="282" t="str">
        <f>IFERROR(__xludf.DUMMYFUNCTION("IF(AS109=""oooooooooooo"",""-"",IF(REGEXMATCH(AT109,""xxxx""), ""Co-Co."", ""-""))"),"-")</f>
        <v>-</v>
      </c>
      <c r="BO109" s="342" t="str">
        <f>IFERROR(__xludf.DUMMYFUNCTION("IF(AS109=""oooooooooooo"",""-"",IF(REGEXMATCH(AT109,""xxxxx""), ""CCC."", ""-""))"),"-")</f>
        <v>-</v>
      </c>
      <c r="BP109" s="344" t="str">
        <f t="shared" si="27"/>
        <v>-</v>
      </c>
      <c r="BQ109" s="282" t="str">
        <f>IFERROR(__xludf.DUMMYFUNCTION("IF(REGEXMATCH(JOIN(""-"",EU109:FD109),""TRUE""),""✔"",""-"")"),"-")</f>
        <v>-</v>
      </c>
      <c r="BR109" s="225">
        <f t="shared" si="28"/>
        <v>0</v>
      </c>
      <c r="BS109" s="345" t="str">
        <f>IFERROR(__xludf.DUMMYFUNCTION("SUBSTITUTE(SUBSTITUTE(SUBSTITUTE(SUBSTITUTE(CONCATENATE(JOIN(""-"",GC109:GO109)),""--"",""-""),""--"",""-""),""--"",""-""),""--"",""-"")"),"1-b2-b3-3-#4-b6-b7-8")</f>
        <v>1-b2-b3-3-#4-b6-b7-8</v>
      </c>
      <c r="BT109" s="299" t="str">
        <f>IFERROR(__xludf.DUMMYFUNCTION("SUBSTITUTE(SUBSTITUTE(SUBSTITUTE(SUBSTITUTE(CONCATENATE(JOIN(""-"",GP109:HB109)),""--"",""-""),""--"",""-""),""--"",""-""),""--"",""-"")"),"S-R1-G2-G3-M2-D1-N2-S")</f>
        <v>S-R1-G2-G3-M2-D1-N2-S</v>
      </c>
      <c r="BU109" s="348" t="str">
        <f t="shared" si="29"/>
        <v>C-Db-Eb-E-F#-Ab-Bb-C</v>
      </c>
      <c r="BV109" s="349" t="str">
        <f t="shared" si="30"/>
        <v>SRmPDNS</v>
      </c>
      <c r="BW109" s="350">
        <f t="shared" si="31"/>
        <v>0</v>
      </c>
      <c r="BX109" s="351">
        <f t="shared" si="32"/>
        <v>1</v>
      </c>
      <c r="BY109" s="352" t="s">
        <v>275</v>
      </c>
      <c r="BZ109" s="309" t="str">
        <f>IFERROR(__xludf.DUMMYFUNCTION("IF(REGEXMATCH(C109, ""S""), ""x"",""x"")"),"x")</f>
        <v>x</v>
      </c>
      <c r="CA109" s="245" t="str">
        <f>IFERROR(__xludf.DUMMYFUNCTION("IF(REGEXMATCH(C109, ""r""), ""o"",""x"")"),"o")</f>
        <v>o</v>
      </c>
      <c r="CB109" s="246" t="str">
        <f>IFERROR(__xludf.DUMMYFUNCTION("IF(REGEXMATCH(C109, ""R""), ""o"",""x"")"),"x")</f>
        <v>x</v>
      </c>
      <c r="CC109" s="246" t="str">
        <f>IFERROR(__xludf.DUMMYFUNCTION("IF(REGEXMATCH(C109, ""g""), ""o"",""x"")"),"o")</f>
        <v>o</v>
      </c>
      <c r="CD109" s="245" t="str">
        <f>IFERROR(__xludf.DUMMYFUNCTION("IF(REGEXMATCH(C109, ""G""), ""o"",""x"")"),"o")</f>
        <v>o</v>
      </c>
      <c r="CE109" s="245" t="str">
        <f>IFERROR(__xludf.DUMMYFUNCTION("IF(REGEXMATCH(C109, ""m""), ""o"",""x"")"),"x")</f>
        <v>x</v>
      </c>
      <c r="CF109" s="246" t="str">
        <f>IFERROR(__xludf.DUMMYFUNCTION("IF(REGEXMATCH(C109, ""M""), ""o"",""x"")"),"o")</f>
        <v>o</v>
      </c>
      <c r="CG109" s="245" t="str">
        <f>IFERROR(__xludf.DUMMYFUNCTION("IF(REGEXMATCH(C109, ""P""), ""o"",""x"")"),"x")</f>
        <v>x</v>
      </c>
      <c r="CH109" s="246" t="str">
        <f>IFERROR(__xludf.DUMMYFUNCTION("IF(REGEXMATCH(C109, ""d""), ""o"",""x"")"),"o")</f>
        <v>o</v>
      </c>
      <c r="CI109" s="245" t="str">
        <f>IFERROR(__xludf.DUMMYFUNCTION("IF(REGEXMATCH(C109, ""D""), ""o"",""x"")"),"x")</f>
        <v>x</v>
      </c>
      <c r="CJ109" s="245" t="str">
        <f>IFERROR(__xludf.DUMMYFUNCTION("IF(REGEXMATCH(C109, ""n""), ""o"",""x"")"),"o")</f>
        <v>o</v>
      </c>
      <c r="CK109" s="245" t="str">
        <f>IFERROR(__xludf.DUMMYFUNCTION("IF(REGEXMATCH(C109, ""N""), ""o"",""x"")"),"x")</f>
        <v>x</v>
      </c>
      <c r="CL109" s="356" t="str">
        <f>IFERROR(__xludf.DUMMYFUNCTION("IF(REGEXMATCH(C109, ""S""), ""x"",""x"")"),"x")</f>
        <v>x</v>
      </c>
      <c r="CM109" s="357" t="str">
        <f t="shared" si="33"/>
        <v>xoxooxoxoxox</v>
      </c>
      <c r="CN109" s="358">
        <f t="shared" si="34"/>
        <v>0</v>
      </c>
      <c r="CO109" s="246" t="str">
        <f>IFERROR(__xludf.DUMMYFUNCTION("IF(REGEXMATCH($C109, ""S""), ""S"",""S"")"),"S")</f>
        <v>S</v>
      </c>
      <c r="CP109" s="246" t="str">
        <f>IFERROR(__xludf.DUMMYFUNCTION("IF(REGEXMATCH($C109, ""r""), """",""r"")"),"")</f>
        <v/>
      </c>
      <c r="CQ109" s="246" t="str">
        <f>IFERROR(__xludf.DUMMYFUNCTION("IF(REGEXMATCH($C109, ""R""), """",""R"")"),"R")</f>
        <v>R</v>
      </c>
      <c r="CR109" s="246" t="str">
        <f>IFERROR(__xludf.DUMMYFUNCTION("IF(REGEXMATCH($C109, ""g""), """",""g"")"),"")</f>
        <v/>
      </c>
      <c r="CS109" s="246" t="str">
        <f>IFERROR(__xludf.DUMMYFUNCTION("IF(REGEXMATCH($C109, ""G""), """",""G"")"),"")</f>
        <v/>
      </c>
      <c r="CT109" s="246" t="str">
        <f>IFERROR(__xludf.DUMMYFUNCTION("IF(REGEXMATCH($C109, ""m""), """",""m"")"),"m")</f>
        <v>m</v>
      </c>
      <c r="CU109" s="246" t="str">
        <f>IFERROR(__xludf.DUMMYFUNCTION("IF(REGEXMATCH($C109, ""M""), """",""M"")"),"")</f>
        <v/>
      </c>
      <c r="CV109" s="246" t="str">
        <f>IFERROR(__xludf.DUMMYFUNCTION("IF(REGEXMATCH($C109, ""P""), """",""P"")"),"P")</f>
        <v>P</v>
      </c>
      <c r="CW109" s="246" t="str">
        <f>IFERROR(__xludf.DUMMYFUNCTION("IF(REGEXMATCH($C109, ""d""), """",""d"")"),"")</f>
        <v/>
      </c>
      <c r="CX109" s="246" t="str">
        <f>IFERROR(__xludf.DUMMYFUNCTION("IF(REGEXMATCH($C109, ""D""), """",""D"")"),"D")</f>
        <v>D</v>
      </c>
      <c r="CY109" s="246" t="str">
        <f>IFERROR(__xludf.DUMMYFUNCTION("IF(REGEXMATCH($C109, ""n""), """",""n"")"),"")</f>
        <v/>
      </c>
      <c r="CZ109" s="246" t="str">
        <f>IFERROR(__xludf.DUMMYFUNCTION("IF(REGEXMATCH($C109, ""N""), """",""N"")"),"N")</f>
        <v>N</v>
      </c>
      <c r="DA109" s="246" t="str">
        <f>IFERROR(__xludf.DUMMYFUNCTION("IF(REGEXMATCH($C109, ""S""), ""S"",""S"")"),"S")</f>
        <v>S</v>
      </c>
      <c r="DB109" s="362" t="str">
        <f>IFERROR(__xludf.DUMMYFUNCTION("JOIN("""",CO109:DA109,"""","""")"),"SRmPDNS")</f>
        <v>SRmPDNS</v>
      </c>
      <c r="DC109" s="363"/>
      <c r="DD109" s="301" t="str">
        <f t="shared" si="35"/>
        <v>#REF!</v>
      </c>
      <c r="DE109" s="302" t="str">
        <f t="shared" si="36"/>
        <v>#REF!</v>
      </c>
      <c r="DF109" s="301" t="str">
        <f t="shared" ref="DF109:DG109" si="419">SUBSTITUTE(S109,"-","")</f>
        <v>SRGM</v>
      </c>
      <c r="DG109" s="301" t="str">
        <f t="shared" si="419"/>
        <v>DNS</v>
      </c>
      <c r="DH109" s="302" t="str">
        <f t="shared" si="38"/>
        <v>Charukeshi</v>
      </c>
      <c r="DI109" s="301" t="str">
        <f t="shared" si="39"/>
        <v>Hemi.</v>
      </c>
      <c r="DJ109" s="364" t="str">
        <f t="shared" si="40"/>
        <v>-</v>
      </c>
      <c r="DK109" s="306" t="str">
        <f t="shared" si="41"/>
        <v>-</v>
      </c>
      <c r="DL109" s="366" t="str">
        <f t="shared" si="42"/>
        <v>-</v>
      </c>
      <c r="DM109" s="308" t="str">
        <f t="shared" si="43"/>
        <v>✔</v>
      </c>
      <c r="DN109" s="306" t="str">
        <f t="shared" si="44"/>
        <v>-</v>
      </c>
      <c r="DO109" s="306" t="str">
        <f t="shared" si="45"/>
        <v>-</v>
      </c>
      <c r="DP109" s="367" t="str">
        <f t="shared" si="46"/>
        <v>✔</v>
      </c>
      <c r="DQ109" s="310" t="str">
        <f t="shared" si="47"/>
        <v>-</v>
      </c>
      <c r="DR109" s="310" t="str">
        <f t="shared" si="48"/>
        <v>✔</v>
      </c>
      <c r="DS109" s="310" t="str">
        <f t="shared" si="49"/>
        <v>-</v>
      </c>
      <c r="DT109" s="310" t="str">
        <f t="shared" si="50"/>
        <v>-</v>
      </c>
      <c r="DU109" s="370" t="str">
        <f t="shared" si="51"/>
        <v>-</v>
      </c>
      <c r="DV109" s="306" t="str">
        <f t="shared" si="52"/>
        <v>-</v>
      </c>
      <c r="DW109" s="306" t="str">
        <f t="shared" si="53"/>
        <v>-</v>
      </c>
      <c r="DX109" s="306" t="str">
        <f t="shared" si="54"/>
        <v>-</v>
      </c>
      <c r="DY109" s="306" t="str">
        <f t="shared" si="55"/>
        <v>✔</v>
      </c>
      <c r="DZ109" s="306" t="str">
        <f t="shared" si="56"/>
        <v>-</v>
      </c>
      <c r="EA109" s="367" t="str">
        <f t="shared" si="57"/>
        <v>-</v>
      </c>
      <c r="EB109" s="310" t="str">
        <f>IFERROR(__xludf.DUMMYFUNCTION("IF(REGEXMATCH(AW109,AS109),""✔"",""-"")"),"✔")</f>
        <v>✔</v>
      </c>
      <c r="EC109" s="310" t="str">
        <f t="shared" si="58"/>
        <v>#REF!</v>
      </c>
      <c r="ED109" s="370" t="str">
        <f t="shared" si="59"/>
        <v>-</v>
      </c>
      <c r="EE109" s="340" t="str">
        <f t="shared" si="60"/>
        <v>S-r-gG-M-d-n-S</v>
      </c>
      <c r="EF109" s="371" t="str">
        <f>IFERROR(__xludf.DUMMYFUNCTION("CONCATENATE(JOIN("""",HC109:HO109))"),"SRGMdDNS")</f>
        <v>SRGMdDNS</v>
      </c>
      <c r="EG109" s="372">
        <f t="shared" si="61"/>
        <v>3</v>
      </c>
      <c r="EH109" s="373" t="str">
        <f>IFERROR(__xludf.DUMMYFUNCTION("CONCATENATE(JOIN("""",JC109:JO109))"),"Sa, Ga, ni, ")</f>
        <v>Sa, Ga, ni, </v>
      </c>
      <c r="EI109" s="322">
        <f t="shared" si="62"/>
        <v>2</v>
      </c>
      <c r="EJ109" s="374" t="str">
        <f>IFERROR(__xludf.DUMMYFUNCTION("CONCATENATE(JOIN("""",KC109:KO109))"),"Sa, Ga, ")</f>
        <v>Sa, Ga, </v>
      </c>
      <c r="EK109" s="325" t="str">
        <f t="shared" si="63"/>
        <v>S-R1-G2-G3-M2-D1-N2-S</v>
      </c>
      <c r="EL109" s="326" t="str">
        <f t="shared" si="64"/>
        <v>1-b2-b3-3-#4-b6-b7-8</v>
      </c>
      <c r="EM109" s="318" t="str">
        <f t="shared" si="65"/>
        <v>#REF!</v>
      </c>
      <c r="EN109" s="328" t="str">
        <f>IFERROR(__xludf.DUMMYFUNCTION("SUBSTITUTE(SUBSTITUTE(SUBSTITUTE(SUBSTITUTE(CONCATENATE(JOIN("" "",HP109:IB109)),""  "","" ""),""  "","" ""),""  "","" ""),""  "","" "")"),"o o • o o • o • o • o • o")</f>
        <v>o o • o o • o • o • o • o</v>
      </c>
      <c r="EO109" s="368" t="str">
        <f t="shared" si="66"/>
        <v>Sa-Pa</v>
      </c>
      <c r="EP109" s="339" t="str">
        <f t="shared" si="67"/>
        <v>Sa-Pa</v>
      </c>
      <c r="EQ109" s="339" t="str">
        <f t="shared" si="68"/>
        <v>-</v>
      </c>
      <c r="ER109" s="339" t="str">
        <f t="shared" si="69"/>
        <v>-</v>
      </c>
      <c r="ES109" s="340" t="str">
        <f t="shared" si="70"/>
        <v>-</v>
      </c>
      <c r="ET109" s="363"/>
      <c r="EU109" s="376" t="b">
        <f>IFERROR(__xludf.DUMMYFUNCTION("arrayformula(sum(--REGEXMATCH(""SRGMPDNS"",split(REGEXREPLACE(C109,""(.)"",""$1~""),""~""))))=len(C109)
"),FALSE)</f>
        <v>0</v>
      </c>
      <c r="EV109" s="290" t="b">
        <f>IFERROR(__xludf.DUMMYFUNCTION("arrayformula(sum(--REGEXMATCH(""SRGmPDNS"",split(REGEXREPLACE(C109,""(.)"",""$1~""),""~""))))=len(C109)"),FALSE)</f>
        <v>0</v>
      </c>
      <c r="EW109" s="290" t="b">
        <f>IFERROR(__xludf.DUMMYFUNCTION("arrayformula(sum(--REGEXMATCH(""SRGmPDnS"",split(REGEXREPLACE(C109,""(.)"",""$1~""),""~""))))=len(C109)"),FALSE)</f>
        <v>0</v>
      </c>
      <c r="EX109" s="290" t="b">
        <f>IFERROR(__xludf.DUMMYFUNCTION("arrayformula(sum(--REGEXMATCH(""SRgmPDnS"",split(REGEXREPLACE(C109,""(.)"",""$1~""),""~""))))=len(C109)"),FALSE)</f>
        <v>0</v>
      </c>
      <c r="EY109" s="290" t="b">
        <f>IFERROR(__xludf.DUMMYFUNCTION("arrayformula(sum(--REGEXMATCH(""SRgmPdnS"",split(REGEXREPLACE(C109,""(.)"",""$1~""),""~""))))=len(C109)"),FALSE)</f>
        <v>0</v>
      </c>
      <c r="EZ109" s="290" t="b">
        <f>IFERROR(__xludf.DUMMYFUNCTION("arrayformula(sum(--REGEXMATCH(""SrgmPdnS"",split(REGEXREPLACE(C109,""(.)"",""$1~""),""~""))))=len(C109)"),FALSE)</f>
        <v>0</v>
      </c>
      <c r="FA109" s="290" t="b">
        <f>IFERROR(__xludf.DUMMYFUNCTION("arrayformula(sum(--REGEXMATCH(""SrGmPdNS"",split(REGEXREPLACE(C109,""(.)"",""$1~""),""~""))))=len(C109)"),FALSE)</f>
        <v>0</v>
      </c>
      <c r="FB109" s="290" t="b">
        <f>IFERROR(__xludf.DUMMYFUNCTION("arrayformula(sum(--REGEXMATCH(""SrGMPDNS"",split(REGEXREPLACE(C109,""(.)"",""$1~""),""~""))))=len(C109)"),FALSE)</f>
        <v>0</v>
      </c>
      <c r="FC109" s="290" t="b">
        <f>IFERROR(__xludf.DUMMYFUNCTION("arrayformula(sum(--REGEXMATCH(""SrGMPdNS"",split(REGEXREPLACE(C109,""(.)"",""$1~""),""~""))))=len(C109)"),FALSE)</f>
        <v>0</v>
      </c>
      <c r="FD109" s="377" t="b">
        <f>IFERROR(__xludf.DUMMYFUNCTION("arrayformula(sum(--REGEXMATCH(""SrgMPdNS"",split(REGEXREPLACE(C109,""(.)"",""$1~""),""~""))))=len(C109)"),FALSE)</f>
        <v>0</v>
      </c>
      <c r="FE109" s="269" t="str">
        <f t="shared" si="71"/>
        <v>xoxxoxoxoxo</v>
      </c>
      <c r="FF109" s="269" t="str">
        <f t="shared" si="72"/>
        <v>-</v>
      </c>
      <c r="FG109" s="271" t="str">
        <f t="shared" si="73"/>
        <v>xxoxoxoxoxx</v>
      </c>
      <c r="FH109" s="269" t="str">
        <f t="shared" si="74"/>
        <v>xoxoxoxoxxo</v>
      </c>
      <c r="FI109" s="271" t="str">
        <f t="shared" si="75"/>
        <v>-</v>
      </c>
      <c r="FJ109" s="271" t="str">
        <f t="shared" si="76"/>
        <v>xoxoxoxxoxx</v>
      </c>
      <c r="FK109" s="271" t="str">
        <f t="shared" si="77"/>
        <v>-</v>
      </c>
      <c r="FL109" s="271" t="str">
        <f t="shared" si="78"/>
        <v>xoxoxxoxxox</v>
      </c>
      <c r="FM109" s="271" t="str">
        <f t="shared" si="79"/>
        <v>-</v>
      </c>
      <c r="FN109" s="271" t="str">
        <f t="shared" si="80"/>
        <v>xoxxoxxoxox</v>
      </c>
      <c r="FO109" s="274" t="str">
        <f t="shared" si="81"/>
        <v>-</v>
      </c>
      <c r="FP109" s="234" t="str">
        <f t="shared" si="82"/>
        <v>|</v>
      </c>
      <c r="FQ109" s="236" t="str">
        <f t="shared" si="83"/>
        <v>|</v>
      </c>
      <c r="FR109" s="237" t="str">
        <f t="shared" si="84"/>
        <v>-</v>
      </c>
      <c r="FS109" s="236" t="str">
        <f t="shared" si="85"/>
        <v>|</v>
      </c>
      <c r="FT109" s="237" t="str">
        <f t="shared" si="86"/>
        <v>|</v>
      </c>
      <c r="FU109" s="236" t="str">
        <f t="shared" si="87"/>
        <v>-</v>
      </c>
      <c r="FV109" s="237" t="str">
        <f t="shared" si="88"/>
        <v>|</v>
      </c>
      <c r="FW109" s="236" t="str">
        <f t="shared" si="89"/>
        <v>-</v>
      </c>
      <c r="FX109" s="237" t="str">
        <f t="shared" si="90"/>
        <v>|</v>
      </c>
      <c r="FY109" s="236" t="str">
        <f t="shared" si="91"/>
        <v>-</v>
      </c>
      <c r="FZ109" s="237" t="str">
        <f t="shared" si="92"/>
        <v>|</v>
      </c>
      <c r="GA109" s="236" t="str">
        <f t="shared" si="93"/>
        <v>-</v>
      </c>
      <c r="GB109" s="238" t="str">
        <f t="shared" si="94"/>
        <v>|</v>
      </c>
      <c r="GC109" s="244" t="str">
        <f>IFERROR(__xludf.DUMMYFUNCTION("IF(REGEXMATCH(C109, ""S""), ""1"","""")"),"1")</f>
        <v>1</v>
      </c>
      <c r="GD109" s="245" t="str">
        <f>IFERROR(__xludf.DUMMYFUNCTION("IF(REGEXMATCH(C109, ""r""), ""b2"","""")"),"b2")</f>
        <v>b2</v>
      </c>
      <c r="GE109" s="246" t="str">
        <f>IFERROR(__xludf.DUMMYFUNCTION("IF(REGEXMATCH(C109, ""R""), ""2"","""")"),"")</f>
        <v/>
      </c>
      <c r="GF109" s="246" t="str">
        <f>IFERROR(__xludf.DUMMYFUNCTION("IF(REGEXMATCH(C109, ""g""), ""b3"","""")"),"b3")</f>
        <v>b3</v>
      </c>
      <c r="GG109" s="245" t="str">
        <f>IFERROR(__xludf.DUMMYFUNCTION("IF(REGEXMATCH(C109, ""G""), ""3"","""")"),"3")</f>
        <v>3</v>
      </c>
      <c r="GH109" s="245" t="str">
        <f>IFERROR(__xludf.DUMMYFUNCTION("IF(REGEXMATCH(C109, ""m""), ""4"","""")"),"")</f>
        <v/>
      </c>
      <c r="GI109" s="246" t="str">
        <f>IFERROR(__xludf.DUMMYFUNCTION("IF(REGEXMATCH(C109, ""M""), ""#4"","""")"),"#4")</f>
        <v>#4</v>
      </c>
      <c r="GJ109" s="245" t="str">
        <f>IFERROR(__xludf.DUMMYFUNCTION("IF(REGEXMATCH(C109, ""P""), ""5"","""")"),"")</f>
        <v/>
      </c>
      <c r="GK109" s="246" t="str">
        <f>IFERROR(__xludf.DUMMYFUNCTION("IF(REGEXMATCH(C109, ""d""), ""b6"","""")"),"b6")</f>
        <v>b6</v>
      </c>
      <c r="GL109" s="245" t="str">
        <f>IFERROR(__xludf.DUMMYFUNCTION("IF(REGEXMATCH(C109, ""D""), ""6"","""")"),"")</f>
        <v/>
      </c>
      <c r="GM109" s="245" t="str">
        <f>IFERROR(__xludf.DUMMYFUNCTION("IF(REGEXMATCH(C109, ""n""), ""b7"","""")"),"b7")</f>
        <v>b7</v>
      </c>
      <c r="GN109" s="246" t="str">
        <f>IFERROR(__xludf.DUMMYFUNCTION("IF(REGEXMATCH(C109, ""N""), ""7"","""")"),"")</f>
        <v/>
      </c>
      <c r="GO109" s="249" t="str">
        <f>IFERROR(__xludf.DUMMYFUNCTION("IF(REGEXMATCH(C109, ""S""), ""8"","""")"),"8")</f>
        <v>8</v>
      </c>
      <c r="GP109" s="244" t="str">
        <f>IFERROR(__xludf.DUMMYFUNCTION("IF(REGEXMATCH(C109, ""S""), ""S"","""")"),"S")</f>
        <v>S</v>
      </c>
      <c r="GQ109" s="294" t="str">
        <f>IFERROR(__xludf.DUMMYFUNCTION("IF(REGEXMATCH(C109, ""r""), ""R1"","""")"),"R1")</f>
        <v>R1</v>
      </c>
      <c r="GR109" s="295" t="str">
        <f>IFERROR(__xludf.DUMMYFUNCTION("IF(REGEXMATCH(C109, ""R""), ""R2"","""")"),"")</f>
        <v/>
      </c>
      <c r="GS109" s="295" t="str">
        <f>IFERROR(__xludf.DUMMYFUNCTION("IF(REGEXMATCH(C109, ""g""), ""G2"","""")"),"G2")</f>
        <v>G2</v>
      </c>
      <c r="GT109" s="294" t="str">
        <f>IFERROR(__xludf.DUMMYFUNCTION("IF(REGEXMATCH(C109, ""G""), ""G3"","""")"),"G3")</f>
        <v>G3</v>
      </c>
      <c r="GU109" s="294" t="str">
        <f>IFERROR(__xludf.DUMMYFUNCTION("IF(REGEXMATCH(C109, ""m""), ""M1"","""")"),"")</f>
        <v/>
      </c>
      <c r="GV109" s="295" t="str">
        <f>IFERROR(__xludf.DUMMYFUNCTION("IF(REGEXMATCH(C109, ""M""), ""M2"","""")"),"M2")</f>
        <v>M2</v>
      </c>
      <c r="GW109" s="294" t="str">
        <f>IFERROR(__xludf.DUMMYFUNCTION("IF(REGEXMATCH(C109, ""P""), ""P"","""")"),"")</f>
        <v/>
      </c>
      <c r="GX109" s="295" t="str">
        <f>IFERROR(__xludf.DUMMYFUNCTION("IF(REGEXMATCH(C109, ""d""), ""D1"","""")"),"D1")</f>
        <v>D1</v>
      </c>
      <c r="GY109" s="294" t="str">
        <f>IFERROR(__xludf.DUMMYFUNCTION("IF(REGEXMATCH(C109, ""D""), ""D2"","""")"),"")</f>
        <v/>
      </c>
      <c r="GZ109" s="294" t="str">
        <f>IFERROR(__xludf.DUMMYFUNCTION("IF(REGEXMATCH(C109, ""n""), ""N2"","""")"),"N2")</f>
        <v>N2</v>
      </c>
      <c r="HA109" s="295" t="str">
        <f>IFERROR(__xludf.DUMMYFUNCTION("IF(REGEXMATCH(C109, ""N""), ""N3"","""")"),"")</f>
        <v/>
      </c>
      <c r="HB109" s="249" t="str">
        <f>IFERROR(__xludf.DUMMYFUNCTION("IF(REGEXMATCH(C109, ""S""), ""S"","""")"),"S")</f>
        <v>S</v>
      </c>
      <c r="HC109" s="331" t="str">
        <f t="shared" si="95"/>
        <v>S</v>
      </c>
      <c r="HD109" s="332" t="str">
        <f t="shared" si="96"/>
        <v/>
      </c>
      <c r="HE109" s="332" t="str">
        <f t="shared" si="97"/>
        <v>R</v>
      </c>
      <c r="HF109" s="332" t="str">
        <f t="shared" si="98"/>
        <v/>
      </c>
      <c r="HG109" s="332" t="str">
        <f t="shared" si="99"/>
        <v>G</v>
      </c>
      <c r="HH109" s="332" t="str">
        <f t="shared" si="100"/>
        <v/>
      </c>
      <c r="HI109" s="332" t="str">
        <f t="shared" si="101"/>
        <v>M</v>
      </c>
      <c r="HJ109" s="332" t="str">
        <f t="shared" si="102"/>
        <v/>
      </c>
      <c r="HK109" s="332" t="str">
        <f t="shared" si="103"/>
        <v>d</v>
      </c>
      <c r="HL109" s="332" t="str">
        <f t="shared" si="104"/>
        <v>D</v>
      </c>
      <c r="HM109" s="332" t="str">
        <f t="shared" si="105"/>
        <v/>
      </c>
      <c r="HN109" s="332" t="str">
        <f t="shared" si="106"/>
        <v>N</v>
      </c>
      <c r="HO109" s="343" t="str">
        <f t="shared" si="107"/>
        <v>S</v>
      </c>
      <c r="HP109" s="331" t="str">
        <f t="shared" si="108"/>
        <v>o</v>
      </c>
      <c r="HQ109" s="332" t="str">
        <f t="shared" si="109"/>
        <v>o</v>
      </c>
      <c r="HR109" s="332" t="str">
        <f t="shared" si="110"/>
        <v>•</v>
      </c>
      <c r="HS109" s="332" t="str">
        <f t="shared" si="111"/>
        <v>o</v>
      </c>
      <c r="HT109" s="332" t="str">
        <f t="shared" si="112"/>
        <v>o</v>
      </c>
      <c r="HU109" s="332" t="str">
        <f t="shared" si="113"/>
        <v>•</v>
      </c>
      <c r="HV109" s="332" t="str">
        <f t="shared" si="114"/>
        <v>o</v>
      </c>
      <c r="HW109" s="332" t="str">
        <f t="shared" si="115"/>
        <v>•</v>
      </c>
      <c r="HX109" s="332" t="str">
        <f t="shared" si="116"/>
        <v>o</v>
      </c>
      <c r="HY109" s="332" t="str">
        <f t="shared" si="117"/>
        <v>•</v>
      </c>
      <c r="HZ109" s="332" t="str">
        <f t="shared" si="118"/>
        <v>o</v>
      </c>
      <c r="IA109" s="332" t="str">
        <f t="shared" si="119"/>
        <v>•</v>
      </c>
      <c r="IB109" s="338" t="str">
        <f t="shared" si="120"/>
        <v>o</v>
      </c>
      <c r="IC109" s="331" t="str">
        <f t="shared" si="121"/>
        <v>•</v>
      </c>
      <c r="ID109" s="332" t="str">
        <f t="shared" si="122"/>
        <v>•</v>
      </c>
      <c r="IE109" s="332" t="str">
        <f t="shared" si="123"/>
        <v>o</v>
      </c>
      <c r="IF109" s="332" t="str">
        <f t="shared" si="124"/>
        <v>•</v>
      </c>
      <c r="IG109" s="332" t="str">
        <f t="shared" si="125"/>
        <v>•</v>
      </c>
      <c r="IH109" s="332" t="str">
        <f t="shared" si="126"/>
        <v>o</v>
      </c>
      <c r="II109" s="332" t="str">
        <f t="shared" si="127"/>
        <v>•</v>
      </c>
      <c r="IJ109" s="332" t="str">
        <f t="shared" si="128"/>
        <v>o</v>
      </c>
      <c r="IK109" s="332" t="str">
        <f t="shared" si="129"/>
        <v>•</v>
      </c>
      <c r="IL109" s="332" t="str">
        <f t="shared" si="130"/>
        <v>o</v>
      </c>
      <c r="IM109" s="332" t="str">
        <f t="shared" si="131"/>
        <v>•</v>
      </c>
      <c r="IN109" s="332" t="str">
        <f t="shared" si="132"/>
        <v>o</v>
      </c>
      <c r="IO109" s="338" t="str">
        <f t="shared" si="133"/>
        <v>•</v>
      </c>
      <c r="IP109" s="346" t="b">
        <f t="shared" si="134"/>
        <v>1</v>
      </c>
      <c r="IQ109" s="347" t="b">
        <f t="shared" si="135"/>
        <v>0</v>
      </c>
      <c r="IR109" s="347" t="b">
        <f t="shared" si="136"/>
        <v>0</v>
      </c>
      <c r="IS109" s="347" t="b">
        <f t="shared" si="137"/>
        <v>0</v>
      </c>
      <c r="IT109" s="347" t="b">
        <f t="shared" si="138"/>
        <v>1</v>
      </c>
      <c r="IU109" s="347" t="b">
        <f t="shared" si="139"/>
        <v>0</v>
      </c>
      <c r="IV109" s="347" t="b">
        <f t="shared" si="140"/>
        <v>0</v>
      </c>
      <c r="IW109" s="347" t="b">
        <f t="shared" si="141"/>
        <v>0</v>
      </c>
      <c r="IX109" s="347" t="b">
        <f t="shared" si="142"/>
        <v>0</v>
      </c>
      <c r="IY109" s="347" t="b">
        <f t="shared" si="143"/>
        <v>0</v>
      </c>
      <c r="IZ109" s="347" t="b">
        <f t="shared" si="144"/>
        <v>1</v>
      </c>
      <c r="JA109" s="347" t="b">
        <f t="shared" si="145"/>
        <v>0</v>
      </c>
      <c r="JB109" s="353" t="b">
        <f t="shared" si="146"/>
        <v>1</v>
      </c>
      <c r="JC109" s="354" t="str">
        <f t="shared" si="147"/>
        <v>Sa, </v>
      </c>
      <c r="JD109" s="355" t="str">
        <f t="shared" si="148"/>
        <v/>
      </c>
      <c r="JE109" s="355" t="str">
        <f t="shared" si="149"/>
        <v/>
      </c>
      <c r="JF109" s="355" t="str">
        <f t="shared" si="150"/>
        <v/>
      </c>
      <c r="JG109" s="355" t="str">
        <f t="shared" si="151"/>
        <v>Ga, </v>
      </c>
      <c r="JH109" s="355" t="str">
        <f t="shared" si="152"/>
        <v/>
      </c>
      <c r="JI109" s="355" t="str">
        <f t="shared" si="153"/>
        <v/>
      </c>
      <c r="JJ109" s="355" t="str">
        <f t="shared" si="154"/>
        <v/>
      </c>
      <c r="JK109" s="355" t="str">
        <f t="shared" si="155"/>
        <v/>
      </c>
      <c r="JL109" s="355" t="str">
        <f t="shared" si="156"/>
        <v/>
      </c>
      <c r="JM109" s="355" t="str">
        <f t="shared" si="157"/>
        <v>ni, </v>
      </c>
      <c r="JN109" s="355" t="str">
        <f t="shared" si="158"/>
        <v/>
      </c>
      <c r="JO109" s="359" t="str">
        <f t="shared" si="159"/>
        <v/>
      </c>
      <c r="JP109" s="346" t="b">
        <f t="shared" si="160"/>
        <v>1</v>
      </c>
      <c r="JQ109" s="347" t="b">
        <f t="shared" si="161"/>
        <v>0</v>
      </c>
      <c r="JR109" s="347" t="b">
        <f t="shared" si="162"/>
        <v>0</v>
      </c>
      <c r="JS109" s="347" t="b">
        <f t="shared" si="163"/>
        <v>0</v>
      </c>
      <c r="JT109" s="347" t="b">
        <f t="shared" si="164"/>
        <v>1</v>
      </c>
      <c r="JU109" s="347" t="b">
        <f t="shared" si="165"/>
        <v>0</v>
      </c>
      <c r="JV109" s="347" t="b">
        <f t="shared" si="166"/>
        <v>0</v>
      </c>
      <c r="JW109" s="347" t="b">
        <f t="shared" si="167"/>
        <v>0</v>
      </c>
      <c r="JX109" s="347" t="b">
        <f t="shared" si="168"/>
        <v>0</v>
      </c>
      <c r="JY109" s="347" t="b">
        <f t="shared" si="169"/>
        <v>0</v>
      </c>
      <c r="JZ109" s="347" t="b">
        <f t="shared" si="170"/>
        <v>0</v>
      </c>
      <c r="KA109" s="347" t="b">
        <f t="shared" si="171"/>
        <v>0</v>
      </c>
      <c r="KB109" s="365" t="b">
        <f t="shared" si="172"/>
        <v>1</v>
      </c>
      <c r="KC109" s="354" t="str">
        <f t="shared" si="173"/>
        <v>Sa, </v>
      </c>
      <c r="KD109" s="355" t="str">
        <f t="shared" si="174"/>
        <v/>
      </c>
      <c r="KE109" s="355" t="str">
        <f t="shared" si="175"/>
        <v/>
      </c>
      <c r="KF109" s="355" t="str">
        <f t="shared" si="176"/>
        <v/>
      </c>
      <c r="KG109" s="355" t="str">
        <f t="shared" si="177"/>
        <v>Ga, </v>
      </c>
      <c r="KH109" s="355" t="str">
        <f t="shared" si="178"/>
        <v/>
      </c>
      <c r="KI109" s="355" t="str">
        <f t="shared" si="179"/>
        <v/>
      </c>
      <c r="KJ109" s="355" t="str">
        <f t="shared" si="180"/>
        <v/>
      </c>
      <c r="KK109" s="355" t="str">
        <f t="shared" si="181"/>
        <v/>
      </c>
      <c r="KL109" s="355" t="str">
        <f t="shared" si="182"/>
        <v/>
      </c>
      <c r="KM109" s="355" t="str">
        <f t="shared" si="183"/>
        <v/>
      </c>
      <c r="KN109" s="355" t="str">
        <f t="shared" si="184"/>
        <v/>
      </c>
      <c r="KO109" s="359"/>
      <c r="KP109" s="378"/>
      <c r="KQ109" s="379" t="s">
        <v>9</v>
      </c>
      <c r="KR109" s="380" t="s">
        <v>9</v>
      </c>
      <c r="KS109" s="381" t="s">
        <v>9</v>
      </c>
      <c r="KT109" s="382">
        <f t="shared" si="186"/>
        <v>0</v>
      </c>
      <c r="KU109" s="383">
        <f t="shared" si="187"/>
        <v>0</v>
      </c>
      <c r="KV109" s="381" t="str">
        <f t="shared" si="205"/>
        <v>S</v>
      </c>
      <c r="KW109" s="382">
        <f t="shared" si="189"/>
        <v>0</v>
      </c>
      <c r="KX109" s="384">
        <f t="shared" si="190"/>
        <v>0</v>
      </c>
      <c r="KY109" s="382">
        <f t="shared" ref="KY109:KZ109" si="420">KW109-KT109</f>
        <v>0</v>
      </c>
      <c r="KZ109" s="369">
        <f t="shared" si="420"/>
        <v>0</v>
      </c>
      <c r="LA109" s="385" t="str">
        <f t="shared" si="192"/>
        <v>✔</v>
      </c>
      <c r="LB109" s="340" t="str">
        <f>IFERROR(__xludf.DUMMYFUNCTION("JOIN("""",ArrayFormula(MID(KS109,LEN(KS109)-SEQUENCE(1,LEN(KS109))+1,1)))"),"S")</f>
        <v>S</v>
      </c>
      <c r="LC109" s="373" t="str">
        <f>IFERROR(__xludf.DUMMYFUNCTION("JOIN("""",ArrayFormula(MID(KV109,LEN(KV109)-SEQUENCE(1,LEN(KV109))+1,1)))"),"S")</f>
        <v>S</v>
      </c>
      <c r="LD109" s="373" t="str">
        <f t="shared" si="193"/>
        <v>S</v>
      </c>
      <c r="LE109" s="339" t="str">
        <f t="shared" si="194"/>
        <v>S</v>
      </c>
      <c r="LF109" s="386" t="str">
        <f>IFERROR(__xludf.DUMMYFUNCTION("SUBSTITUTE(SUBSTITUTE(CONCATENATE(JOIN("""",LH109:LT109)),""1"",""""),""2"","""")"),"SS")</f>
        <v>SS</v>
      </c>
      <c r="LG109" s="369" t="str">
        <f t="shared" si="195"/>
        <v>-</v>
      </c>
      <c r="LH109" s="387" t="str">
        <f>IFERROR(__xludf.DUMMYFUNCTION("IF(REGEXMATCH(LD109, ""S""), ""S"",IF(REGEXMATCH(LE109, ""S""), ""S"",""""))"),"S")</f>
        <v>S</v>
      </c>
      <c r="LI109" s="299" t="str">
        <f>IFERROR(__xludf.DUMMYFUNCTION("IF(REGEXMATCH(LD109, ""r""), ""r1"",IF(REGEXMATCH(LE109, ""r""), ""r2"",""""))"),"")</f>
        <v/>
      </c>
      <c r="LJ109" s="299" t="str">
        <f>IFERROR(__xludf.DUMMYFUNCTION("IF(REGEXMATCH(LD109, ""R""), ""R1"",IF(REGEXMATCH(LE109, ""R""), ""R2"",""""))"),"")</f>
        <v/>
      </c>
      <c r="LK109" s="299" t="str">
        <f>IFERROR(__xludf.DUMMYFUNCTION("IF(REGEXMATCH(LD109, ""g""), ""g1"",IF(REGEXMATCH(LE109, ""g""), ""g2"",""""))"),"")</f>
        <v/>
      </c>
      <c r="LL109" s="299" t="str">
        <f>IFERROR(__xludf.DUMMYFUNCTION("IF(REGEXMATCH(LD109, ""G""), ""G1"",IF(REGEXMATCH(LE109, ""G""), ""G2"",""""))"),"")</f>
        <v/>
      </c>
      <c r="LM109" s="299" t="str">
        <f>IFERROR(__xludf.DUMMYFUNCTION("IF(REGEXMATCH(LD109, ""m""), ""m1"",IF(REGEXMATCH(LE109, ""m""), ""m2"",""""))"),"")</f>
        <v/>
      </c>
      <c r="LN109" s="299" t="str">
        <f>IFERROR(__xludf.DUMMYFUNCTION("IF(REGEXMATCH(LD109, ""M""), ""M1"",IF(REGEXMATCH(LE109, ""M""), ""M2"",""""))"),"")</f>
        <v/>
      </c>
      <c r="LO109" s="299" t="str">
        <f>IFERROR(__xludf.DUMMYFUNCTION("IF(REGEXMATCH(LD109, ""P""), ""P1"",IF(REGEXMATCH(LE109, ""P""), ""P2"",""""))"),"")</f>
        <v/>
      </c>
      <c r="LP109" s="299" t="str">
        <f>IFERROR(__xludf.DUMMYFUNCTION("IF(REGEXMATCH(LD109, ""d""), ""d1"",IF(REGEXMATCH(LE109, ""d""), ""d2"",""""))"),"")</f>
        <v/>
      </c>
      <c r="LQ109" s="299" t="str">
        <f>IFERROR(__xludf.DUMMYFUNCTION("IF(REGEXMATCH(LD109, ""D""), ""D1"",IF(REGEXMATCH(LE109, ""D""), ""D2"",""""))"),"")</f>
        <v/>
      </c>
      <c r="LR109" s="299" t="str">
        <f>IFERROR(__xludf.DUMMYFUNCTION("IF(REGEXMATCH(LD109, ""n""), ""n1"",IF(REGEXMATCH(LE109, ""n""), ""n2"",""""))"),"")</f>
        <v/>
      </c>
      <c r="LS109" s="299" t="str">
        <f>IFERROR(__xludf.DUMMYFUNCTION("IF(REGEXMATCH(LD109, ""N""), ""N1"",IF(REGEXMATCH(LE109, ""N""), ""N2"",""""))"),"")</f>
        <v/>
      </c>
      <c r="LT109" s="388" t="str">
        <f>IFERROR(__xludf.DUMMYFUNCTION("IF(REGEXMATCH(LD109, ""S""), ""S"",IF(REGEXMATCH(LE109, ""S""), ""S"",""""))"),"S")</f>
        <v>S</v>
      </c>
      <c r="LU109" s="389">
        <f t="shared" si="196"/>
        <v>1</v>
      </c>
      <c r="LV109" s="378"/>
      <c r="LW109" s="369"/>
      <c r="LX109" s="369"/>
    </row>
    <row r="110" ht="18.0" customHeight="1">
      <c r="A110" s="298" t="s">
        <v>1390</v>
      </c>
      <c r="B110" s="222" t="s">
        <v>1391</v>
      </c>
      <c r="C110" s="233" t="str">
        <f t="shared" si="7"/>
        <v>SrgMdS</v>
      </c>
      <c r="D110" s="234" t="str">
        <f>IFERROR(__xludf.DUMMYFUNCTION("IF(REGEXMATCH(C110, ""S""), ""S"","""")"),"S")</f>
        <v>S</v>
      </c>
      <c r="E110" s="236" t="str">
        <f>IFERROR(__xludf.DUMMYFUNCTION("IF(REGEXMATCH(C110, ""r""), ""r"","""")"),"r")</f>
        <v>r</v>
      </c>
      <c r="F110" s="237" t="str">
        <f>IFERROR(__xludf.DUMMYFUNCTION("IF(REGEXMATCH(C110, ""R""), ""R"","""")"),"")</f>
        <v/>
      </c>
      <c r="G110" s="237" t="str">
        <f>IFERROR(__xludf.DUMMYFUNCTION("IF(REGEXMATCH(C110, ""g""), ""g"","""")"),"g")</f>
        <v>g</v>
      </c>
      <c r="H110" s="236" t="str">
        <f>IFERROR(__xludf.DUMMYFUNCTION("IF(REGEXMATCH(C110, ""G""), ""G"","""")"),"")</f>
        <v/>
      </c>
      <c r="I110" s="236" t="str">
        <f>IFERROR(__xludf.DUMMYFUNCTION("IF(REGEXMATCH(C110, ""m""), ""m"","""")"),"")</f>
        <v/>
      </c>
      <c r="J110" s="237" t="str">
        <f>IFERROR(__xludf.DUMMYFUNCTION("IF(REGEXMATCH(C110, ""M""), ""M"","""")"),"M")</f>
        <v>M</v>
      </c>
      <c r="K110" s="236" t="str">
        <f>IFERROR(__xludf.DUMMYFUNCTION("IF(REGEXMATCH(C110, ""P""), ""P"","""")"),"")</f>
        <v/>
      </c>
      <c r="L110" s="237" t="str">
        <f>IFERROR(__xludf.DUMMYFUNCTION("IF(REGEXMATCH(C110, ""d""), ""d"","""")"),"d")</f>
        <v>d</v>
      </c>
      <c r="M110" s="236" t="str">
        <f>IFERROR(__xludf.DUMMYFUNCTION("IF(REGEXMATCH(C110, ""D""), ""D"","""")"),"")</f>
        <v/>
      </c>
      <c r="N110" s="236" t="str">
        <f>IFERROR(__xludf.DUMMYFUNCTION("IF(REGEXMATCH(C110, ""n""), ""n"","""")"),"")</f>
        <v/>
      </c>
      <c r="O110" s="237" t="str">
        <f>IFERROR(__xludf.DUMMYFUNCTION("IF(REGEXMATCH(C110, ""N""), ""N"","""")"),"")</f>
        <v/>
      </c>
      <c r="P110" s="238" t="str">
        <f>IFERROR(__xludf.DUMMYFUNCTION("IF(REGEXMATCH(C110, ""S""), ""S"","""")"),"S")</f>
        <v>S</v>
      </c>
      <c r="Q110" s="239" t="str">
        <f>IFERROR(__xludf.DUMMYFUNCTION("SUBSTITUTE(CONCATENATE(JOIN(""-"",D110:J110)),""-"","""")"),"SrgM")</f>
        <v>SrgM</v>
      </c>
      <c r="R110" s="229" t="str">
        <f>IFERROR(__xludf.DUMMYFUNCTION("SUBSTITUTE(CONCATENATE(JOIN(""-"",K110:P110)),""-"","""")"),"dS")</f>
        <v>dS</v>
      </c>
      <c r="S110" s="282" t="str">
        <f t="shared" si="8"/>
        <v>S-R-G-M</v>
      </c>
      <c r="T110" s="282" t="str">
        <f t="shared" si="9"/>
        <v>D-S</v>
      </c>
      <c r="U110" s="237" t="str">
        <f>IFERROR(__xludf.DUMMYFUNCTION("SUBSTITUTE(JOIN(""-"",S110,T110),""--"",""-"")"),"S-R-G-M-D-S")</f>
        <v>S-R-G-M-D-S</v>
      </c>
      <c r="V110" s="309" t="str">
        <f t="shared" si="10"/>
        <v>rgMd</v>
      </c>
      <c r="W110" s="244" t="str">
        <f>IFERROR(__xludf.DUMMYFUNCTION("IF(REGEXMATCH(C110, ""S""), ""0"","""")"),"0")</f>
        <v>0</v>
      </c>
      <c r="X110" s="245" t="str">
        <f>IFERROR(__xludf.DUMMYFUNCTION("IF(REGEXMATCH(C110, ""r""), ""1"","""")"),"1")</f>
        <v>1</v>
      </c>
      <c r="Y110" s="246" t="str">
        <f>IFERROR(__xludf.DUMMYFUNCTION("IF(REGEXMATCH(C110, ""R""), ""2"","""")"),"")</f>
        <v/>
      </c>
      <c r="Z110" s="246" t="str">
        <f>IFERROR(__xludf.DUMMYFUNCTION("IF(REGEXMATCH(C110, ""g""), ""3"","""")"),"3")</f>
        <v>3</v>
      </c>
      <c r="AA110" s="245" t="str">
        <f>IFERROR(__xludf.DUMMYFUNCTION("IF(REGEXMATCH(C110, ""G""), ""4"","""")"),"")</f>
        <v/>
      </c>
      <c r="AB110" s="245" t="str">
        <f>IFERROR(__xludf.DUMMYFUNCTION("IF(REGEXMATCH(C110, ""m""), ""5"","""")"),"")</f>
        <v/>
      </c>
      <c r="AC110" s="246" t="str">
        <f>IFERROR(__xludf.DUMMYFUNCTION("IF(REGEXMATCH(C110, ""M""), ""6"","""")"),"6")</f>
        <v>6</v>
      </c>
      <c r="AD110" s="245" t="str">
        <f>IFERROR(__xludf.DUMMYFUNCTION("IF(REGEXMATCH(C110, ""P""), ""7"","""")"),"")</f>
        <v/>
      </c>
      <c r="AE110" s="246" t="str">
        <f>IFERROR(__xludf.DUMMYFUNCTION("IF(REGEXMATCH(C110, ""d""), ""8"","""")"),"8")</f>
        <v>8</v>
      </c>
      <c r="AF110" s="245" t="str">
        <f>IFERROR(__xludf.DUMMYFUNCTION("IF(REGEXMATCH(C110, ""D""), ""9"","""")"),"")</f>
        <v/>
      </c>
      <c r="AG110" s="245" t="str">
        <f>IFERROR(__xludf.DUMMYFUNCTION("IF(REGEXMATCH(C110, ""n""), ""10"","""")"),"")</f>
        <v/>
      </c>
      <c r="AH110" s="246" t="str">
        <f>IFERROR(__xludf.DUMMYFUNCTION("IF(REGEXMATCH(C110, ""N""), ""11"","""")"),"")</f>
        <v/>
      </c>
      <c r="AI110" s="249" t="str">
        <f>IFERROR(__xludf.DUMMYFUNCTION("IF(REGEXMATCH(C110, ""S""), ""0"","""")"),"0")</f>
        <v>0</v>
      </c>
      <c r="AJ110" s="313" t="str">
        <f t="shared" si="11"/>
        <v>T</v>
      </c>
      <c r="AK110" s="313" t="str">
        <f t="shared" si="12"/>
        <v>-</v>
      </c>
      <c r="AL110" s="313" t="str">
        <f t="shared" si="13"/>
        <v>-</v>
      </c>
      <c r="AM110" s="313" t="str">
        <f t="shared" si="14"/>
        <v>-</v>
      </c>
      <c r="AN110" s="313" t="str">
        <f t="shared" si="15"/>
        <v>-</v>
      </c>
      <c r="AO110" s="314" t="str">
        <f t="shared" si="16"/>
        <v>-</v>
      </c>
      <c r="AP110" s="316">
        <f t="shared" si="17"/>
        <v>1</v>
      </c>
      <c r="AQ110" s="319" t="str">
        <f t="shared" si="18"/>
        <v>#REF!</v>
      </c>
      <c r="AR110" s="320">
        <f t="shared" si="19"/>
        <v>0</v>
      </c>
      <c r="AS110" s="250" t="str">
        <f>IFERROR(__xludf.DUMMYFUNCTION("SUBSTITUTE(SUBSTITUTE(CONCATENATE(JOIN("""",FP110:GA110)),""|"",""x""),""-"",""o"")"),"xxoxooxoxooo")</f>
        <v>xxoxooxoxooo</v>
      </c>
      <c r="AT110" s="323" t="str">
        <f>IFERROR(__xludf.DUMMYFUNCTION("JOIN("""",AS110,AS110)"),"xxoxooxoxoooxxoxooxoxooo")</f>
        <v>xxoxooxoxoooxxoxooxoxooo</v>
      </c>
      <c r="AU110" s="256" t="str">
        <f>IFERROR(__xludf.DUMMYFUNCTION("JOIN("""",ArrayFormula(MID(AS110,LEN(AS110)-SEQUENCE(1,LEN(AS110))+1,1)))"),"oooxoxooxoxx")</f>
        <v>oooxoxooxoxx</v>
      </c>
      <c r="AV110" s="256" t="str">
        <f>IFERROR(__xludf.DUMMYFUNCTION("LEFT(CONCATENATE(""x"",JOIN("""",ArrayFormula(MID(AS110,LEN(AS110)-SEQUENCE(1,LEN(AS110))+1,1)))),12)"),"xoooxoxooxox")</f>
        <v>xoooxoxooxox</v>
      </c>
      <c r="AW110" s="327" t="str">
        <f>IFERROR(__xludf.DUMMYFUNCTION("JOIN("""",AU110,AU110)"),"oooxoxooxoxxoooxoxooxoxx")</f>
        <v>oooxoxooxoxxoooxoxooxoxx</v>
      </c>
      <c r="AX110" s="239" t="str">
        <f>IFERROR(__xludf.DUMMYFUNCTION("IF(REGEXMATCH(AW110,AS110),""✔"",""-"")"),"-")</f>
        <v>-</v>
      </c>
      <c r="AY110" s="330" t="str">
        <f t="shared" si="20"/>
        <v>-</v>
      </c>
      <c r="AZ110" s="260" t="str">
        <f t="shared" si="21"/>
        <v>#REF!</v>
      </c>
      <c r="BA110" s="333" t="str">
        <f t="shared" si="22"/>
        <v>xxoxoox</v>
      </c>
      <c r="BB110" s="334" t="str">
        <f t="shared" si="23"/>
        <v>oxooox</v>
      </c>
      <c r="BC110" s="335" t="str">
        <f t="shared" si="236"/>
        <v>-</v>
      </c>
      <c r="BD110" s="336" t="str">
        <f t="shared" si="25"/>
        <v>Firozkhani Todi: 'xxoxoox' + 'oxooox'</v>
      </c>
      <c r="BE110" s="337">
        <f>IFERROR(__xludf.DUMMYFUNCTION("COUNTUNIQUE(FILTER(AT:AT,REGEXMATCH(AT:AT,AS110)))-1"),1.0)</f>
        <v>1</v>
      </c>
      <c r="BF110" s="261" t="str">
        <f>IFERROR(__xludf.DUMMYFUNCTION("IF(BI110=0,""(n/a)"",IF(BJ110=2,""(PAIR)"",IF(REGEXMATCH(AT110,""xoxoxxoxoxox""),""Bilawal"",IF(REGEXMATCH(AT110,""xoxoxooxoxoo""),""Bhupali"",IF(REGEXMATCH(AT110,""xoxoxxoxxoxo""),""Charukeshi"",IF(REGEXMATCH(AT110,""xoxoooxxoxxo""),""Kameshwari"",IF(REG"&amp;"EXMATCH(AT110,""xoxoxooxoxox""),""Shankara"",IF(REGEXMATCH(AT110,""xxooxoxxxoox""),""Basant"",IF(REGEXMATCH(AT110,""xoxoxxxxoxox""),""Bihag"",IF(REGEXMATCH(AT110,""xoxxxxoxoxxx""),""Pilu"",IF(REGEXMATCH(AT110,""xoxxoxoxxoox""),""Kirwani"",IF(REGEXMATCH(AT"&amp;"110,""xoxxoxoxoxxx""),""Mk.Malhar"",IF(REGEXMATCH(AT110,""xxooxxoxxoox""),""Bhairav"",IF(REGEXMATCH(AT110,""xxoxooxxxoox""),""Todi"",IF(REGEXMATCH(AT110,""xxooxoxooxox""),""Marwa"",IF(REGEXMATCH(AT110,""xxoooxoxxooo""),""Gunkali"",IF(REGEXMATCH(AT110,""xo"&amp;"xoxxoxxoox""),""Nat Bhairav"",IF(REGEXMATCH(AT110,""xoxxoooxoxoo""),""Shivranjani"",IF(REGEXMATCH(AT110,""xooxxxoxooxo""),""Jog"",IF(REGEXMATCH(AT110,""xxooxoxoxoox""),""Hemshri"",IF(REGEXMATCH(AT110,""xoooxooxoxxo""),""Kalavati"",IF(REGEXMATCH(AT110,""xx"&amp;"oxoxxoxoox""),""Kedar"",IF(REGEXMATCH(AT110,""xoxxxxoxooxx""),""Gara"",IF(REGEXMATCH(AT110,""xooxoxooxoox""),""Chandrakauns"",IF(REGEXMATCH(AT110,""xoxxxxoxxxox""),""Mand"",IF(REGEXMATCH(AT110,""xoxxxxoxoxox""),""Hanskinkini"",IF(REGEXMATCH(AT110,""xxooxx"&amp;"oxooxo""),""Lilavati"",IF(REGEXMATCH(AT110,""xooxoxoooxox""),""Rajeshwari"",IF(REGEXMATCH(AT110,""xoooxxoxoxxx""),""Khokar"",IF(REGEXMATCH(AT110,""xxooxoxxxxox""),""Maligoura"",""-""))))))))))))))))))))))))))))))"),"(PAIR)")</f>
        <v>(PAIR)</v>
      </c>
      <c r="BG110" s="239" t="str">
        <f t="shared" si="26"/>
        <v>#REF!</v>
      </c>
      <c r="BH110" s="239">
        <f>IFERROR(__xludf.DUMMYFUNCTION("COUNTUNIQUE(FE110:FO110)-1"),4.0)</f>
        <v>4</v>
      </c>
      <c r="BI110" s="239">
        <f>IFERROR(__xludf.DUMMYFUNCTION("COUNTUNIQUE(FILTER(AT:AT,REGEXMATCH(AT:AT,AS110)))-1"),1.0)</f>
        <v>1</v>
      </c>
      <c r="BJ110" s="239">
        <f>IFERROR(__xludf.DUMMYFUNCTION("COUNTA(FILTER(AT:AT,REGEXMATCH(AT:AT,AS110)))"),2.0)</f>
        <v>2</v>
      </c>
      <c r="BK110" s="341">
        <f>IFERROR(__xludf.DUMMYFUNCTION("COUNTA(FILTER(AT:AT,REGEXMATCH(AT:AT,AS110)))-AR110"),2.0)</f>
        <v>2</v>
      </c>
      <c r="BL110" s="276" t="str">
        <f>IFERROR(__xludf.DUMMYFUNCTION("IF(AS110=""oooooooooooo"",""-"",IF(REGEXMATCH(AT110,""xx""), ""Hemi."", ""Anhemi.""))"),"Hemi.")</f>
        <v>Hemi.</v>
      </c>
      <c r="BM110" s="282" t="str">
        <f>IFERROR(__xludf.DUMMYFUNCTION("IF(AS110=""oooooooooooo"",""-"",IF(REGEXMATCH(AT110,""xxx""), ""Cohem."", ""-""))"),"-")</f>
        <v>-</v>
      </c>
      <c r="BN110" s="282" t="str">
        <f>IFERROR(__xludf.DUMMYFUNCTION("IF(AS110=""oooooooooooo"",""-"",IF(REGEXMATCH(AT110,""xxxx""), ""Co-Co."", ""-""))"),"-")</f>
        <v>-</v>
      </c>
      <c r="BO110" s="342" t="str">
        <f>IFERROR(__xludf.DUMMYFUNCTION("IF(AS110=""oooooooooooo"",""-"",IF(REGEXMATCH(AT110,""xxxxx""), ""CCC."", ""-""))"),"-")</f>
        <v>-</v>
      </c>
      <c r="BP110" s="344" t="str">
        <f t="shared" si="27"/>
        <v>-</v>
      </c>
      <c r="BQ110" s="282" t="str">
        <f>IFERROR(__xludf.DUMMYFUNCTION("IF(REGEXMATCH(JOIN(""-"",EU110:FD110),""TRUE""),""✔"",""-"")"),"✔")</f>
        <v>✔</v>
      </c>
      <c r="BR110" s="225">
        <f t="shared" si="28"/>
        <v>1</v>
      </c>
      <c r="BS110" s="345" t="str">
        <f>IFERROR(__xludf.DUMMYFUNCTION("SUBSTITUTE(SUBSTITUTE(SUBSTITUTE(SUBSTITUTE(CONCATENATE(JOIN(""-"",GC110:GO110)),""--"",""-""),""--"",""-""),""--"",""-""),""--"",""-"")"),"1-b2-b3-#4-b6-8")</f>
        <v>1-b2-b3-#4-b6-8</v>
      </c>
      <c r="BT110" s="299" t="str">
        <f>IFERROR(__xludf.DUMMYFUNCTION("SUBSTITUTE(SUBSTITUTE(SUBSTITUTE(SUBSTITUTE(CONCATENATE(JOIN(""-"",GP110:HB110)),""--"",""-""),""--"",""-""),""--"",""-""),""--"",""-"")"),"S-R1-G2-M2-D1-S")</f>
        <v>S-R1-G2-M2-D1-S</v>
      </c>
      <c r="BU110" s="348" t="str">
        <f t="shared" si="29"/>
        <v>C-Db-Eb-F#-Ab-C</v>
      </c>
      <c r="BV110" s="349" t="str">
        <f t="shared" si="30"/>
        <v>SRGmPDnNS</v>
      </c>
      <c r="BW110" s="350">
        <f t="shared" si="31"/>
        <v>15</v>
      </c>
      <c r="BX110" s="351">
        <f t="shared" si="32"/>
        <v>1</v>
      </c>
      <c r="BY110" s="352" t="s">
        <v>275</v>
      </c>
      <c r="BZ110" s="309" t="str">
        <f>IFERROR(__xludf.DUMMYFUNCTION("IF(REGEXMATCH(C110, ""S""), ""x"",""x"")"),"x")</f>
        <v>x</v>
      </c>
      <c r="CA110" s="245" t="str">
        <f>IFERROR(__xludf.DUMMYFUNCTION("IF(REGEXMATCH(C110, ""r""), ""o"",""x"")"),"o")</f>
        <v>o</v>
      </c>
      <c r="CB110" s="246" t="str">
        <f>IFERROR(__xludf.DUMMYFUNCTION("IF(REGEXMATCH(C110, ""R""), ""o"",""x"")"),"x")</f>
        <v>x</v>
      </c>
      <c r="CC110" s="246" t="str">
        <f>IFERROR(__xludf.DUMMYFUNCTION("IF(REGEXMATCH(C110, ""g""), ""o"",""x"")"),"o")</f>
        <v>o</v>
      </c>
      <c r="CD110" s="245" t="str">
        <f>IFERROR(__xludf.DUMMYFUNCTION("IF(REGEXMATCH(C110, ""G""), ""o"",""x"")"),"x")</f>
        <v>x</v>
      </c>
      <c r="CE110" s="245" t="str">
        <f>IFERROR(__xludf.DUMMYFUNCTION("IF(REGEXMATCH(C110, ""m""), ""o"",""x"")"),"x")</f>
        <v>x</v>
      </c>
      <c r="CF110" s="246" t="str">
        <f>IFERROR(__xludf.DUMMYFUNCTION("IF(REGEXMATCH(C110, ""M""), ""o"",""x"")"),"o")</f>
        <v>o</v>
      </c>
      <c r="CG110" s="245" t="str">
        <f>IFERROR(__xludf.DUMMYFUNCTION("IF(REGEXMATCH(C110, ""P""), ""o"",""x"")"),"x")</f>
        <v>x</v>
      </c>
      <c r="CH110" s="246" t="str">
        <f>IFERROR(__xludf.DUMMYFUNCTION("IF(REGEXMATCH(C110, ""d""), ""o"",""x"")"),"o")</f>
        <v>o</v>
      </c>
      <c r="CI110" s="245" t="str">
        <f>IFERROR(__xludf.DUMMYFUNCTION("IF(REGEXMATCH(C110, ""D""), ""o"",""x"")"),"x")</f>
        <v>x</v>
      </c>
      <c r="CJ110" s="245" t="str">
        <f>IFERROR(__xludf.DUMMYFUNCTION("IF(REGEXMATCH(C110, ""n""), ""o"",""x"")"),"x")</f>
        <v>x</v>
      </c>
      <c r="CK110" s="245" t="str">
        <f>IFERROR(__xludf.DUMMYFUNCTION("IF(REGEXMATCH(C110, ""N""), ""o"",""x"")"),"x")</f>
        <v>x</v>
      </c>
      <c r="CL110" s="356" t="str">
        <f>IFERROR(__xludf.DUMMYFUNCTION("IF(REGEXMATCH(C110, ""S""), ""x"",""x"")"),"x")</f>
        <v>x</v>
      </c>
      <c r="CM110" s="357" t="str">
        <f t="shared" si="33"/>
        <v>xoxoxxoxoxxx</v>
      </c>
      <c r="CN110" s="358">
        <f t="shared" si="34"/>
        <v>15</v>
      </c>
      <c r="CO110" s="246" t="str">
        <f>IFERROR(__xludf.DUMMYFUNCTION("IF(REGEXMATCH($C110, ""S""), ""S"",""S"")"),"S")</f>
        <v>S</v>
      </c>
      <c r="CP110" s="246" t="str">
        <f>IFERROR(__xludf.DUMMYFUNCTION("IF(REGEXMATCH($C110, ""r""), """",""r"")"),"")</f>
        <v/>
      </c>
      <c r="CQ110" s="246" t="str">
        <f>IFERROR(__xludf.DUMMYFUNCTION("IF(REGEXMATCH($C110, ""R""), """",""R"")"),"R")</f>
        <v>R</v>
      </c>
      <c r="CR110" s="246" t="str">
        <f>IFERROR(__xludf.DUMMYFUNCTION("IF(REGEXMATCH($C110, ""g""), """",""g"")"),"")</f>
        <v/>
      </c>
      <c r="CS110" s="246" t="str">
        <f>IFERROR(__xludf.DUMMYFUNCTION("IF(REGEXMATCH($C110, ""G""), """",""G"")"),"G")</f>
        <v>G</v>
      </c>
      <c r="CT110" s="246" t="str">
        <f>IFERROR(__xludf.DUMMYFUNCTION("IF(REGEXMATCH($C110, ""m""), """",""m"")"),"m")</f>
        <v>m</v>
      </c>
      <c r="CU110" s="246" t="str">
        <f>IFERROR(__xludf.DUMMYFUNCTION("IF(REGEXMATCH($C110, ""M""), """",""M"")"),"")</f>
        <v/>
      </c>
      <c r="CV110" s="246" t="str">
        <f>IFERROR(__xludf.DUMMYFUNCTION("IF(REGEXMATCH($C110, ""P""), """",""P"")"),"P")</f>
        <v>P</v>
      </c>
      <c r="CW110" s="246" t="str">
        <f>IFERROR(__xludf.DUMMYFUNCTION("IF(REGEXMATCH($C110, ""d""), """",""d"")"),"")</f>
        <v/>
      </c>
      <c r="CX110" s="246" t="str">
        <f>IFERROR(__xludf.DUMMYFUNCTION("IF(REGEXMATCH($C110, ""D""), """",""D"")"),"D")</f>
        <v>D</v>
      </c>
      <c r="CY110" s="246" t="str">
        <f>IFERROR(__xludf.DUMMYFUNCTION("IF(REGEXMATCH($C110, ""n""), """",""n"")"),"n")</f>
        <v>n</v>
      </c>
      <c r="CZ110" s="246" t="str">
        <f>IFERROR(__xludf.DUMMYFUNCTION("IF(REGEXMATCH($C110, ""N""), """",""N"")"),"N")</f>
        <v>N</v>
      </c>
      <c r="DA110" s="246" t="str">
        <f>IFERROR(__xludf.DUMMYFUNCTION("IF(REGEXMATCH($C110, ""S""), ""S"",""S"")"),"S")</f>
        <v>S</v>
      </c>
      <c r="DB110" s="362" t="str">
        <f>IFERROR(__xludf.DUMMYFUNCTION("JOIN("""",CO110:DA110,"""","""")"),"SRGmPDnNS")</f>
        <v>SRGmPDnNS</v>
      </c>
      <c r="DC110" s="363"/>
      <c r="DD110" s="301" t="str">
        <f t="shared" si="35"/>
        <v>#REF!</v>
      </c>
      <c r="DE110" s="302" t="str">
        <f t="shared" si="36"/>
        <v>#REF!</v>
      </c>
      <c r="DF110" s="301" t="str">
        <f t="shared" ref="DF110:DG110" si="421">SUBSTITUTE(S110,"-","")</f>
        <v>SRGM</v>
      </c>
      <c r="DG110" s="301" t="str">
        <f t="shared" si="421"/>
        <v>DS</v>
      </c>
      <c r="DH110" s="302" t="str">
        <f t="shared" si="38"/>
        <v>(PAIR)</v>
      </c>
      <c r="DI110" s="301" t="str">
        <f t="shared" si="39"/>
        <v>Hemi.</v>
      </c>
      <c r="DJ110" s="364" t="str">
        <f t="shared" si="40"/>
        <v>-</v>
      </c>
      <c r="DK110" s="306" t="str">
        <f t="shared" si="41"/>
        <v>-</v>
      </c>
      <c r="DL110" s="366" t="str">
        <f t="shared" si="42"/>
        <v>✔</v>
      </c>
      <c r="DM110" s="308" t="str">
        <f t="shared" si="43"/>
        <v>-</v>
      </c>
      <c r="DN110" s="306" t="str">
        <f t="shared" si="44"/>
        <v>-</v>
      </c>
      <c r="DO110" s="306" t="str">
        <f t="shared" si="45"/>
        <v>✔</v>
      </c>
      <c r="DP110" s="367" t="str">
        <f t="shared" si="46"/>
        <v>✔</v>
      </c>
      <c r="DQ110" s="310" t="str">
        <f t="shared" si="47"/>
        <v>-</v>
      </c>
      <c r="DR110" s="310" t="str">
        <f t="shared" si="48"/>
        <v>-</v>
      </c>
      <c r="DS110" s="310" t="str">
        <f t="shared" si="49"/>
        <v>-</v>
      </c>
      <c r="DT110" s="310" t="str">
        <f t="shared" si="50"/>
        <v>-</v>
      </c>
      <c r="DU110" s="370" t="str">
        <f t="shared" si="51"/>
        <v>-</v>
      </c>
      <c r="DV110" s="306" t="str">
        <f t="shared" si="52"/>
        <v>-</v>
      </c>
      <c r="DW110" s="306" t="str">
        <f t="shared" si="53"/>
        <v>-</v>
      </c>
      <c r="DX110" s="306" t="str">
        <f t="shared" si="54"/>
        <v>-</v>
      </c>
      <c r="DY110" s="306" t="str">
        <f t="shared" si="55"/>
        <v>✔</v>
      </c>
      <c r="DZ110" s="306" t="str">
        <f t="shared" si="56"/>
        <v>-</v>
      </c>
      <c r="EA110" s="367" t="str">
        <f t="shared" si="57"/>
        <v>✔</v>
      </c>
      <c r="EB110" s="310" t="str">
        <f>IFERROR(__xludf.DUMMYFUNCTION("IF(REGEXMATCH(AW110,AS110),""✔"",""-"")"),"-")</f>
        <v>-</v>
      </c>
      <c r="EC110" s="310" t="str">
        <f t="shared" si="58"/>
        <v>#REF!</v>
      </c>
      <c r="ED110" s="370" t="str">
        <f t="shared" si="59"/>
        <v>-</v>
      </c>
      <c r="EE110" s="340" t="str">
        <f t="shared" si="60"/>
        <v>S-r-g-M-d-S</v>
      </c>
      <c r="EF110" s="371" t="str">
        <f>IFERROR(__xludf.DUMMYFUNCTION("CONCATENATE(JOIN("""",HC110:HO110))"),"SGMDNS")</f>
        <v>SGMDNS</v>
      </c>
      <c r="EG110" s="372">
        <f t="shared" si="61"/>
        <v>2</v>
      </c>
      <c r="EH110" s="373" t="str">
        <f>IFERROR(__xludf.DUMMYFUNCTION("CONCATENATE(JOIN("""",JC110:JO110))"),"Sa, ga, ")</f>
        <v>Sa, ga, </v>
      </c>
      <c r="EI110" s="322">
        <f t="shared" si="62"/>
        <v>1</v>
      </c>
      <c r="EJ110" s="374" t="str">
        <f>IFERROR(__xludf.DUMMYFUNCTION("CONCATENATE(JOIN("""",KC110:KO110))"),"Sa, ")</f>
        <v>Sa, </v>
      </c>
      <c r="EK110" s="325" t="str">
        <f t="shared" si="63"/>
        <v>S-R1-G2-M2-D1-S</v>
      </c>
      <c r="EL110" s="326" t="str">
        <f t="shared" si="64"/>
        <v>1-b2-b3-#4-b6-8</v>
      </c>
      <c r="EM110" s="318" t="str">
        <f t="shared" si="65"/>
        <v>#REF!</v>
      </c>
      <c r="EN110" s="328" t="str">
        <f>IFERROR(__xludf.DUMMYFUNCTION("SUBSTITUTE(SUBSTITUTE(SUBSTITUTE(SUBSTITUTE(CONCATENATE(JOIN("" "",HP110:IB110)),""  "","" ""),""  "","" ""),""  "","" ""),""  "","" "")"),"o o • o • • o • o • • • o")</f>
        <v>o o • o • • o • o • • • o</v>
      </c>
      <c r="EO110" s="368" t="str">
        <f t="shared" si="66"/>
        <v>Sa-Pa</v>
      </c>
      <c r="EP110" s="339" t="str">
        <f t="shared" si="67"/>
        <v>Sa-Pa</v>
      </c>
      <c r="EQ110" s="339" t="str">
        <f t="shared" si="68"/>
        <v>-</v>
      </c>
      <c r="ER110" s="339" t="str">
        <f t="shared" si="69"/>
        <v>-</v>
      </c>
      <c r="ES110" s="340" t="str">
        <f t="shared" si="70"/>
        <v>-</v>
      </c>
      <c r="ET110" s="363"/>
      <c r="EU110" s="376" t="b">
        <f>IFERROR(__xludf.DUMMYFUNCTION("arrayformula(sum(--REGEXMATCH(""SRGMPDNS"",split(REGEXREPLACE(C110,""(.)"",""$1~""),""~""))))=len(C110)
"),FALSE)</f>
        <v>0</v>
      </c>
      <c r="EV110" s="290" t="b">
        <f>IFERROR(__xludf.DUMMYFUNCTION("arrayformula(sum(--REGEXMATCH(""SRGmPDNS"",split(REGEXREPLACE(C110,""(.)"",""$1~""),""~""))))=len(C110)"),FALSE)</f>
        <v>0</v>
      </c>
      <c r="EW110" s="290" t="b">
        <f>IFERROR(__xludf.DUMMYFUNCTION("arrayformula(sum(--REGEXMATCH(""SRGmPDnS"",split(REGEXREPLACE(C110,""(.)"",""$1~""),""~""))))=len(C110)"),FALSE)</f>
        <v>0</v>
      </c>
      <c r="EX110" s="290" t="b">
        <f>IFERROR(__xludf.DUMMYFUNCTION("arrayformula(sum(--REGEXMATCH(""SRgmPDnS"",split(REGEXREPLACE(C110,""(.)"",""$1~""),""~""))))=len(C110)"),FALSE)</f>
        <v>0</v>
      </c>
      <c r="EY110" s="290" t="b">
        <f>IFERROR(__xludf.DUMMYFUNCTION("arrayformula(sum(--REGEXMATCH(""SRgmPdnS"",split(REGEXREPLACE(C110,""(.)"",""$1~""),""~""))))=len(C110)"),FALSE)</f>
        <v>0</v>
      </c>
      <c r="EZ110" s="290" t="b">
        <f>IFERROR(__xludf.DUMMYFUNCTION("arrayformula(sum(--REGEXMATCH(""SrgmPdnS"",split(REGEXREPLACE(C110,""(.)"",""$1~""),""~""))))=len(C110)"),FALSE)</f>
        <v>0</v>
      </c>
      <c r="FA110" s="290" t="b">
        <f>IFERROR(__xludf.DUMMYFUNCTION("arrayformula(sum(--REGEXMATCH(""SrGmPdNS"",split(REGEXREPLACE(C110,""(.)"",""$1~""),""~""))))=len(C110)"),FALSE)</f>
        <v>0</v>
      </c>
      <c r="FB110" s="290" t="b">
        <f>IFERROR(__xludf.DUMMYFUNCTION("arrayformula(sum(--REGEXMATCH(""SrGMPDNS"",split(REGEXREPLACE(C110,""(.)"",""$1~""),""~""))))=len(C110)"),FALSE)</f>
        <v>0</v>
      </c>
      <c r="FC110" s="290" t="b">
        <f>IFERROR(__xludf.DUMMYFUNCTION("arrayformula(sum(--REGEXMATCH(""SrGMPdNS"",split(REGEXREPLACE(C110,""(.)"",""$1~""),""~""))))=len(C110)"),FALSE)</f>
        <v>0</v>
      </c>
      <c r="FD110" s="377" t="b">
        <f>IFERROR(__xludf.DUMMYFUNCTION("arrayformula(sum(--REGEXMATCH(""SrgMPdNS"",split(REGEXREPLACE(C110,""(.)"",""$1~""),""~""))))=len(C110)"),TRUE)</f>
        <v>1</v>
      </c>
      <c r="FE110" s="269" t="str">
        <f t="shared" si="71"/>
        <v>xoxooxoxooo</v>
      </c>
      <c r="FF110" s="269" t="str">
        <f t="shared" si="72"/>
        <v>-</v>
      </c>
      <c r="FG110" s="271" t="str">
        <f t="shared" si="73"/>
        <v>xooxoxoooxx</v>
      </c>
      <c r="FH110" s="269" t="str">
        <f t="shared" si="74"/>
        <v>-</v>
      </c>
      <c r="FI110" s="271" t="str">
        <f t="shared" si="75"/>
        <v>-</v>
      </c>
      <c r="FJ110" s="271" t="str">
        <f t="shared" si="76"/>
        <v>xoxoooxxoxo</v>
      </c>
      <c r="FK110" s="271" t="str">
        <f t="shared" si="77"/>
        <v>-</v>
      </c>
      <c r="FL110" s="271" t="str">
        <f t="shared" si="78"/>
        <v>xoooxxoxoox</v>
      </c>
      <c r="FM110" s="271" t="str">
        <f t="shared" si="79"/>
        <v>-</v>
      </c>
      <c r="FN110" s="271" t="str">
        <f t="shared" si="80"/>
        <v>-</v>
      </c>
      <c r="FO110" s="274" t="str">
        <f t="shared" si="81"/>
        <v>-</v>
      </c>
      <c r="FP110" s="234" t="str">
        <f t="shared" si="82"/>
        <v>|</v>
      </c>
      <c r="FQ110" s="236" t="str">
        <f t="shared" si="83"/>
        <v>|</v>
      </c>
      <c r="FR110" s="237" t="str">
        <f t="shared" si="84"/>
        <v>-</v>
      </c>
      <c r="FS110" s="236" t="str">
        <f t="shared" si="85"/>
        <v>|</v>
      </c>
      <c r="FT110" s="237" t="str">
        <f t="shared" si="86"/>
        <v>-</v>
      </c>
      <c r="FU110" s="236" t="str">
        <f t="shared" si="87"/>
        <v>-</v>
      </c>
      <c r="FV110" s="237" t="str">
        <f t="shared" si="88"/>
        <v>|</v>
      </c>
      <c r="FW110" s="236" t="str">
        <f t="shared" si="89"/>
        <v>-</v>
      </c>
      <c r="FX110" s="237" t="str">
        <f t="shared" si="90"/>
        <v>|</v>
      </c>
      <c r="FY110" s="236" t="str">
        <f t="shared" si="91"/>
        <v>-</v>
      </c>
      <c r="FZ110" s="237" t="str">
        <f t="shared" si="92"/>
        <v>-</v>
      </c>
      <c r="GA110" s="236" t="str">
        <f t="shared" si="93"/>
        <v>-</v>
      </c>
      <c r="GB110" s="238" t="str">
        <f t="shared" si="94"/>
        <v>|</v>
      </c>
      <c r="GC110" s="244" t="str">
        <f>IFERROR(__xludf.DUMMYFUNCTION("IF(REGEXMATCH(C110, ""S""), ""1"","""")"),"1")</f>
        <v>1</v>
      </c>
      <c r="GD110" s="245" t="str">
        <f>IFERROR(__xludf.DUMMYFUNCTION("IF(REGEXMATCH(C110, ""r""), ""b2"","""")"),"b2")</f>
        <v>b2</v>
      </c>
      <c r="GE110" s="246" t="str">
        <f>IFERROR(__xludf.DUMMYFUNCTION("IF(REGEXMATCH(C110, ""R""), ""2"","""")"),"")</f>
        <v/>
      </c>
      <c r="GF110" s="246" t="str">
        <f>IFERROR(__xludf.DUMMYFUNCTION("IF(REGEXMATCH(C110, ""g""), ""b3"","""")"),"b3")</f>
        <v>b3</v>
      </c>
      <c r="GG110" s="245" t="str">
        <f>IFERROR(__xludf.DUMMYFUNCTION("IF(REGEXMATCH(C110, ""G""), ""3"","""")"),"")</f>
        <v/>
      </c>
      <c r="GH110" s="245" t="str">
        <f>IFERROR(__xludf.DUMMYFUNCTION("IF(REGEXMATCH(C110, ""m""), ""4"","""")"),"")</f>
        <v/>
      </c>
      <c r="GI110" s="246" t="str">
        <f>IFERROR(__xludf.DUMMYFUNCTION("IF(REGEXMATCH(C110, ""M""), ""#4"","""")"),"#4")</f>
        <v>#4</v>
      </c>
      <c r="GJ110" s="245" t="str">
        <f>IFERROR(__xludf.DUMMYFUNCTION("IF(REGEXMATCH(C110, ""P""), ""5"","""")"),"")</f>
        <v/>
      </c>
      <c r="GK110" s="246" t="str">
        <f>IFERROR(__xludf.DUMMYFUNCTION("IF(REGEXMATCH(C110, ""d""), ""b6"","""")"),"b6")</f>
        <v>b6</v>
      </c>
      <c r="GL110" s="245" t="str">
        <f>IFERROR(__xludf.DUMMYFUNCTION("IF(REGEXMATCH(C110, ""D""), ""6"","""")"),"")</f>
        <v/>
      </c>
      <c r="GM110" s="245" t="str">
        <f>IFERROR(__xludf.DUMMYFUNCTION("IF(REGEXMATCH(C110, ""n""), ""b7"","""")"),"")</f>
        <v/>
      </c>
      <c r="GN110" s="246" t="str">
        <f>IFERROR(__xludf.DUMMYFUNCTION("IF(REGEXMATCH(C110, ""N""), ""7"","""")"),"")</f>
        <v/>
      </c>
      <c r="GO110" s="249" t="str">
        <f>IFERROR(__xludf.DUMMYFUNCTION("IF(REGEXMATCH(C110, ""S""), ""8"","""")"),"8")</f>
        <v>8</v>
      </c>
      <c r="GP110" s="244" t="str">
        <f>IFERROR(__xludf.DUMMYFUNCTION("IF(REGEXMATCH(C110, ""S""), ""S"","""")"),"S")</f>
        <v>S</v>
      </c>
      <c r="GQ110" s="294" t="str">
        <f>IFERROR(__xludf.DUMMYFUNCTION("IF(REGEXMATCH(C110, ""r""), ""R1"","""")"),"R1")</f>
        <v>R1</v>
      </c>
      <c r="GR110" s="295" t="str">
        <f>IFERROR(__xludf.DUMMYFUNCTION("IF(REGEXMATCH(C110, ""R""), ""R2"","""")"),"")</f>
        <v/>
      </c>
      <c r="GS110" s="295" t="str">
        <f>IFERROR(__xludf.DUMMYFUNCTION("IF(REGEXMATCH(C110, ""g""), ""G2"","""")"),"G2")</f>
        <v>G2</v>
      </c>
      <c r="GT110" s="294" t="str">
        <f>IFERROR(__xludf.DUMMYFUNCTION("IF(REGEXMATCH(C110, ""G""), ""G3"","""")"),"")</f>
        <v/>
      </c>
      <c r="GU110" s="294" t="str">
        <f>IFERROR(__xludf.DUMMYFUNCTION("IF(REGEXMATCH(C110, ""m""), ""M1"","""")"),"")</f>
        <v/>
      </c>
      <c r="GV110" s="295" t="str">
        <f>IFERROR(__xludf.DUMMYFUNCTION("IF(REGEXMATCH(C110, ""M""), ""M2"","""")"),"M2")</f>
        <v>M2</v>
      </c>
      <c r="GW110" s="294" t="str">
        <f>IFERROR(__xludf.DUMMYFUNCTION("IF(REGEXMATCH(C110, ""P""), ""P"","""")"),"")</f>
        <v/>
      </c>
      <c r="GX110" s="295" t="str">
        <f>IFERROR(__xludf.DUMMYFUNCTION("IF(REGEXMATCH(C110, ""d""), ""D1"","""")"),"D1")</f>
        <v>D1</v>
      </c>
      <c r="GY110" s="294" t="str">
        <f>IFERROR(__xludf.DUMMYFUNCTION("IF(REGEXMATCH(C110, ""D""), ""D2"","""")"),"")</f>
        <v/>
      </c>
      <c r="GZ110" s="294" t="str">
        <f>IFERROR(__xludf.DUMMYFUNCTION("IF(REGEXMATCH(C110, ""n""), ""N2"","""")"),"")</f>
        <v/>
      </c>
      <c r="HA110" s="295" t="str">
        <f>IFERROR(__xludf.DUMMYFUNCTION("IF(REGEXMATCH(C110, ""N""), ""N3"","""")"),"")</f>
        <v/>
      </c>
      <c r="HB110" s="249" t="str">
        <f>IFERROR(__xludf.DUMMYFUNCTION("IF(REGEXMATCH(C110, ""S""), ""S"","""")"),"S")</f>
        <v>S</v>
      </c>
      <c r="HC110" s="331" t="str">
        <f t="shared" si="95"/>
        <v>S</v>
      </c>
      <c r="HD110" s="332" t="str">
        <f t="shared" si="96"/>
        <v/>
      </c>
      <c r="HE110" s="332" t="str">
        <f t="shared" si="97"/>
        <v/>
      </c>
      <c r="HF110" s="332" t="str">
        <f t="shared" si="98"/>
        <v/>
      </c>
      <c r="HG110" s="332" t="str">
        <f t="shared" si="99"/>
        <v>G</v>
      </c>
      <c r="HH110" s="332" t="str">
        <f t="shared" si="100"/>
        <v/>
      </c>
      <c r="HI110" s="332" t="str">
        <f t="shared" si="101"/>
        <v>M</v>
      </c>
      <c r="HJ110" s="332" t="str">
        <f t="shared" si="102"/>
        <v/>
      </c>
      <c r="HK110" s="332" t="str">
        <f t="shared" si="103"/>
        <v/>
      </c>
      <c r="HL110" s="332" t="str">
        <f t="shared" si="104"/>
        <v>D</v>
      </c>
      <c r="HM110" s="332" t="str">
        <f t="shared" si="105"/>
        <v/>
      </c>
      <c r="HN110" s="332" t="str">
        <f t="shared" si="106"/>
        <v>N</v>
      </c>
      <c r="HO110" s="343" t="str">
        <f t="shared" si="107"/>
        <v>S</v>
      </c>
      <c r="HP110" s="331" t="str">
        <f t="shared" si="108"/>
        <v>o</v>
      </c>
      <c r="HQ110" s="332" t="str">
        <f t="shared" si="109"/>
        <v>o</v>
      </c>
      <c r="HR110" s="332" t="str">
        <f t="shared" si="110"/>
        <v>•</v>
      </c>
      <c r="HS110" s="332" t="str">
        <f t="shared" si="111"/>
        <v>o</v>
      </c>
      <c r="HT110" s="332" t="str">
        <f t="shared" si="112"/>
        <v>•</v>
      </c>
      <c r="HU110" s="332" t="str">
        <f t="shared" si="113"/>
        <v>•</v>
      </c>
      <c r="HV110" s="332" t="str">
        <f t="shared" si="114"/>
        <v>o</v>
      </c>
      <c r="HW110" s="332" t="str">
        <f t="shared" si="115"/>
        <v>•</v>
      </c>
      <c r="HX110" s="332" t="str">
        <f t="shared" si="116"/>
        <v>o</v>
      </c>
      <c r="HY110" s="332" t="str">
        <f t="shared" si="117"/>
        <v>•</v>
      </c>
      <c r="HZ110" s="332" t="str">
        <f t="shared" si="118"/>
        <v>•</v>
      </c>
      <c r="IA110" s="332" t="str">
        <f t="shared" si="119"/>
        <v>•</v>
      </c>
      <c r="IB110" s="338" t="str">
        <f t="shared" si="120"/>
        <v>o</v>
      </c>
      <c r="IC110" s="331" t="str">
        <f t="shared" si="121"/>
        <v>•</v>
      </c>
      <c r="ID110" s="332" t="str">
        <f t="shared" si="122"/>
        <v>•</v>
      </c>
      <c r="IE110" s="332" t="str">
        <f t="shared" si="123"/>
        <v>o</v>
      </c>
      <c r="IF110" s="332" t="str">
        <f t="shared" si="124"/>
        <v>•</v>
      </c>
      <c r="IG110" s="332" t="str">
        <f t="shared" si="125"/>
        <v>o</v>
      </c>
      <c r="IH110" s="332" t="str">
        <f t="shared" si="126"/>
        <v>o</v>
      </c>
      <c r="II110" s="332" t="str">
        <f t="shared" si="127"/>
        <v>•</v>
      </c>
      <c r="IJ110" s="332" t="str">
        <f t="shared" si="128"/>
        <v>o</v>
      </c>
      <c r="IK110" s="332" t="str">
        <f t="shared" si="129"/>
        <v>•</v>
      </c>
      <c r="IL110" s="332" t="str">
        <f t="shared" si="130"/>
        <v>o</v>
      </c>
      <c r="IM110" s="332" t="str">
        <f t="shared" si="131"/>
        <v>o</v>
      </c>
      <c r="IN110" s="332" t="str">
        <f t="shared" si="132"/>
        <v>o</v>
      </c>
      <c r="IO110" s="338" t="str">
        <f t="shared" si="133"/>
        <v>•</v>
      </c>
      <c r="IP110" s="346" t="b">
        <f t="shared" si="134"/>
        <v>1</v>
      </c>
      <c r="IQ110" s="347" t="b">
        <f t="shared" si="135"/>
        <v>0</v>
      </c>
      <c r="IR110" s="347" t="b">
        <f t="shared" si="136"/>
        <v>0</v>
      </c>
      <c r="IS110" s="347" t="b">
        <f t="shared" si="137"/>
        <v>1</v>
      </c>
      <c r="IT110" s="347" t="b">
        <f t="shared" si="138"/>
        <v>0</v>
      </c>
      <c r="IU110" s="347" t="b">
        <f t="shared" si="139"/>
        <v>0</v>
      </c>
      <c r="IV110" s="347" t="b">
        <f t="shared" si="140"/>
        <v>0</v>
      </c>
      <c r="IW110" s="347" t="b">
        <f t="shared" si="141"/>
        <v>0</v>
      </c>
      <c r="IX110" s="347" t="b">
        <f t="shared" si="142"/>
        <v>0</v>
      </c>
      <c r="IY110" s="347" t="b">
        <f t="shared" si="143"/>
        <v>0</v>
      </c>
      <c r="IZ110" s="347" t="b">
        <f t="shared" si="144"/>
        <v>0</v>
      </c>
      <c r="JA110" s="347" t="b">
        <f t="shared" si="145"/>
        <v>0</v>
      </c>
      <c r="JB110" s="353" t="b">
        <f t="shared" si="146"/>
        <v>1</v>
      </c>
      <c r="JC110" s="354" t="str">
        <f t="shared" si="147"/>
        <v>Sa, </v>
      </c>
      <c r="JD110" s="355" t="str">
        <f t="shared" si="148"/>
        <v/>
      </c>
      <c r="JE110" s="355" t="str">
        <f t="shared" si="149"/>
        <v/>
      </c>
      <c r="JF110" s="355" t="str">
        <f t="shared" si="150"/>
        <v>ga, </v>
      </c>
      <c r="JG110" s="355" t="str">
        <f t="shared" si="151"/>
        <v/>
      </c>
      <c r="JH110" s="355" t="str">
        <f t="shared" si="152"/>
        <v/>
      </c>
      <c r="JI110" s="355" t="str">
        <f t="shared" si="153"/>
        <v/>
      </c>
      <c r="JJ110" s="355" t="str">
        <f t="shared" si="154"/>
        <v/>
      </c>
      <c r="JK110" s="355" t="str">
        <f t="shared" si="155"/>
        <v/>
      </c>
      <c r="JL110" s="355" t="str">
        <f t="shared" si="156"/>
        <v/>
      </c>
      <c r="JM110" s="355" t="str">
        <f t="shared" si="157"/>
        <v/>
      </c>
      <c r="JN110" s="355" t="str">
        <f t="shared" si="158"/>
        <v/>
      </c>
      <c r="JO110" s="359" t="str">
        <f t="shared" si="159"/>
        <v/>
      </c>
      <c r="JP110" s="346" t="b">
        <f t="shared" si="160"/>
        <v>1</v>
      </c>
      <c r="JQ110" s="347" t="b">
        <f t="shared" si="161"/>
        <v>0</v>
      </c>
      <c r="JR110" s="347" t="b">
        <f t="shared" si="162"/>
        <v>0</v>
      </c>
      <c r="JS110" s="347" t="b">
        <f t="shared" si="163"/>
        <v>0</v>
      </c>
      <c r="JT110" s="347" t="b">
        <f t="shared" si="164"/>
        <v>0</v>
      </c>
      <c r="JU110" s="347" t="b">
        <f t="shared" si="165"/>
        <v>0</v>
      </c>
      <c r="JV110" s="347" t="b">
        <f t="shared" si="166"/>
        <v>0</v>
      </c>
      <c r="JW110" s="347" t="b">
        <f t="shared" si="167"/>
        <v>0</v>
      </c>
      <c r="JX110" s="347" t="b">
        <f t="shared" si="168"/>
        <v>0</v>
      </c>
      <c r="JY110" s="347" t="b">
        <f t="shared" si="169"/>
        <v>0</v>
      </c>
      <c r="JZ110" s="347" t="b">
        <f t="shared" si="170"/>
        <v>0</v>
      </c>
      <c r="KA110" s="347" t="b">
        <f t="shared" si="171"/>
        <v>0</v>
      </c>
      <c r="KB110" s="365" t="b">
        <f t="shared" si="172"/>
        <v>1</v>
      </c>
      <c r="KC110" s="354" t="str">
        <f t="shared" si="173"/>
        <v>Sa, </v>
      </c>
      <c r="KD110" s="355" t="str">
        <f t="shared" si="174"/>
        <v/>
      </c>
      <c r="KE110" s="355" t="str">
        <f t="shared" si="175"/>
        <v/>
      </c>
      <c r="KF110" s="355" t="str">
        <f t="shared" si="176"/>
        <v/>
      </c>
      <c r="KG110" s="355" t="str">
        <f t="shared" si="177"/>
        <v/>
      </c>
      <c r="KH110" s="355" t="str">
        <f t="shared" si="178"/>
        <v/>
      </c>
      <c r="KI110" s="355" t="str">
        <f t="shared" si="179"/>
        <v/>
      </c>
      <c r="KJ110" s="355" t="str">
        <f t="shared" si="180"/>
        <v/>
      </c>
      <c r="KK110" s="355" t="str">
        <f t="shared" si="181"/>
        <v/>
      </c>
      <c r="KL110" s="355" t="str">
        <f t="shared" si="182"/>
        <v/>
      </c>
      <c r="KM110" s="355" t="str">
        <f t="shared" si="183"/>
        <v/>
      </c>
      <c r="KN110" s="355" t="str">
        <f t="shared" si="184"/>
        <v/>
      </c>
      <c r="KO110" s="359"/>
      <c r="KP110" s="378"/>
      <c r="KQ110" s="379" t="s">
        <v>9</v>
      </c>
      <c r="KR110" s="380" t="s">
        <v>9</v>
      </c>
      <c r="KS110" s="381" t="s">
        <v>9</v>
      </c>
      <c r="KT110" s="382">
        <f t="shared" si="186"/>
        <v>0</v>
      </c>
      <c r="KU110" s="383">
        <f t="shared" si="187"/>
        <v>0</v>
      </c>
      <c r="KV110" s="381" t="str">
        <f t="shared" si="205"/>
        <v>S</v>
      </c>
      <c r="KW110" s="382">
        <f t="shared" si="189"/>
        <v>0</v>
      </c>
      <c r="KX110" s="384">
        <f t="shared" si="190"/>
        <v>0</v>
      </c>
      <c r="KY110" s="382">
        <f t="shared" ref="KY110:KZ110" si="422">KW110-KT110</f>
        <v>0</v>
      </c>
      <c r="KZ110" s="369">
        <f t="shared" si="422"/>
        <v>0</v>
      </c>
      <c r="LA110" s="385" t="str">
        <f t="shared" si="192"/>
        <v>✔</v>
      </c>
      <c r="LB110" s="340" t="str">
        <f>IFERROR(__xludf.DUMMYFUNCTION("JOIN("""",ArrayFormula(MID(KS110,LEN(KS110)-SEQUENCE(1,LEN(KS110))+1,1)))"),"S")</f>
        <v>S</v>
      </c>
      <c r="LC110" s="373" t="str">
        <f>IFERROR(__xludf.DUMMYFUNCTION("JOIN("""",ArrayFormula(MID(KV110,LEN(KV110)-SEQUENCE(1,LEN(KV110))+1,1)))"),"S")</f>
        <v>S</v>
      </c>
      <c r="LD110" s="373" t="str">
        <f t="shared" si="193"/>
        <v>S</v>
      </c>
      <c r="LE110" s="339" t="str">
        <f t="shared" si="194"/>
        <v>S</v>
      </c>
      <c r="LF110" s="386" t="str">
        <f>IFERROR(__xludf.DUMMYFUNCTION("SUBSTITUTE(SUBSTITUTE(CONCATENATE(JOIN("""",LH110:LT110)),""1"",""""),""2"","""")"),"SS")</f>
        <v>SS</v>
      </c>
      <c r="LG110" s="369" t="str">
        <f t="shared" si="195"/>
        <v>-</v>
      </c>
      <c r="LH110" s="387" t="str">
        <f>IFERROR(__xludf.DUMMYFUNCTION("IF(REGEXMATCH(LD110, ""S""), ""S"",IF(REGEXMATCH(LE110, ""S""), ""S"",""""))"),"S")</f>
        <v>S</v>
      </c>
      <c r="LI110" s="299" t="str">
        <f>IFERROR(__xludf.DUMMYFUNCTION("IF(REGEXMATCH(LD110, ""r""), ""r1"",IF(REGEXMATCH(LE110, ""r""), ""r2"",""""))"),"")</f>
        <v/>
      </c>
      <c r="LJ110" s="299" t="str">
        <f>IFERROR(__xludf.DUMMYFUNCTION("IF(REGEXMATCH(LD110, ""R""), ""R1"",IF(REGEXMATCH(LE110, ""R""), ""R2"",""""))"),"")</f>
        <v/>
      </c>
      <c r="LK110" s="299" t="str">
        <f>IFERROR(__xludf.DUMMYFUNCTION("IF(REGEXMATCH(LD110, ""g""), ""g1"",IF(REGEXMATCH(LE110, ""g""), ""g2"",""""))"),"")</f>
        <v/>
      </c>
      <c r="LL110" s="299" t="str">
        <f>IFERROR(__xludf.DUMMYFUNCTION("IF(REGEXMATCH(LD110, ""G""), ""G1"",IF(REGEXMATCH(LE110, ""G""), ""G2"",""""))"),"")</f>
        <v/>
      </c>
      <c r="LM110" s="299" t="str">
        <f>IFERROR(__xludf.DUMMYFUNCTION("IF(REGEXMATCH(LD110, ""m""), ""m1"",IF(REGEXMATCH(LE110, ""m""), ""m2"",""""))"),"")</f>
        <v/>
      </c>
      <c r="LN110" s="299" t="str">
        <f>IFERROR(__xludf.DUMMYFUNCTION("IF(REGEXMATCH(LD110, ""M""), ""M1"",IF(REGEXMATCH(LE110, ""M""), ""M2"",""""))"),"")</f>
        <v/>
      </c>
      <c r="LO110" s="299" t="str">
        <f>IFERROR(__xludf.DUMMYFUNCTION("IF(REGEXMATCH(LD110, ""P""), ""P1"",IF(REGEXMATCH(LE110, ""P""), ""P2"",""""))"),"")</f>
        <v/>
      </c>
      <c r="LP110" s="299" t="str">
        <f>IFERROR(__xludf.DUMMYFUNCTION("IF(REGEXMATCH(LD110, ""d""), ""d1"",IF(REGEXMATCH(LE110, ""d""), ""d2"",""""))"),"")</f>
        <v/>
      </c>
      <c r="LQ110" s="299" t="str">
        <f>IFERROR(__xludf.DUMMYFUNCTION("IF(REGEXMATCH(LD110, ""D""), ""D1"",IF(REGEXMATCH(LE110, ""D""), ""D2"",""""))"),"")</f>
        <v/>
      </c>
      <c r="LR110" s="299" t="str">
        <f>IFERROR(__xludf.DUMMYFUNCTION("IF(REGEXMATCH(LD110, ""n""), ""n1"",IF(REGEXMATCH(LE110, ""n""), ""n2"",""""))"),"")</f>
        <v/>
      </c>
      <c r="LS110" s="299" t="str">
        <f>IFERROR(__xludf.DUMMYFUNCTION("IF(REGEXMATCH(LD110, ""N""), ""N1"",IF(REGEXMATCH(LE110, ""N""), ""N2"",""""))"),"")</f>
        <v/>
      </c>
      <c r="LT110" s="388" t="str">
        <f>IFERROR(__xludf.DUMMYFUNCTION("IF(REGEXMATCH(LD110, ""S""), ""S"",IF(REGEXMATCH(LE110, ""S""), ""S"",""""))"),"S")</f>
        <v>S</v>
      </c>
      <c r="LU110" s="389">
        <f t="shared" si="196"/>
        <v>1</v>
      </c>
      <c r="LV110" s="378"/>
      <c r="LW110" s="369"/>
      <c r="LX110" s="369"/>
    </row>
    <row r="111" ht="18.0" customHeight="1">
      <c r="A111" s="298" t="s">
        <v>729</v>
      </c>
      <c r="B111" s="222" t="s">
        <v>554</v>
      </c>
      <c r="C111" s="233" t="str">
        <f t="shared" si="7"/>
        <v>SRGmPDNS</v>
      </c>
      <c r="D111" s="234" t="str">
        <f>IFERROR(__xludf.DUMMYFUNCTION("IF(REGEXMATCH(C111, ""S""), ""S"","""")"),"S")</f>
        <v>S</v>
      </c>
      <c r="E111" s="236" t="str">
        <f>IFERROR(__xludf.DUMMYFUNCTION("IF(REGEXMATCH(C111, ""r""), ""r"","""")"),"")</f>
        <v/>
      </c>
      <c r="F111" s="237" t="str">
        <f>IFERROR(__xludf.DUMMYFUNCTION("IF(REGEXMATCH(C111, ""R""), ""R"","""")"),"R")</f>
        <v>R</v>
      </c>
      <c r="G111" s="237" t="str">
        <f>IFERROR(__xludf.DUMMYFUNCTION("IF(REGEXMATCH(C111, ""g""), ""g"","""")"),"")</f>
        <v/>
      </c>
      <c r="H111" s="236" t="str">
        <f>IFERROR(__xludf.DUMMYFUNCTION("IF(REGEXMATCH(C111, ""G""), ""G"","""")"),"G")</f>
        <v>G</v>
      </c>
      <c r="I111" s="236" t="str">
        <f>IFERROR(__xludf.DUMMYFUNCTION("IF(REGEXMATCH(C111, ""m""), ""m"","""")"),"m")</f>
        <v>m</v>
      </c>
      <c r="J111" s="237" t="str">
        <f>IFERROR(__xludf.DUMMYFUNCTION("IF(REGEXMATCH(C111, ""M""), ""M"","""")"),"")</f>
        <v/>
      </c>
      <c r="K111" s="236" t="str">
        <f>IFERROR(__xludf.DUMMYFUNCTION("IF(REGEXMATCH(C111, ""P""), ""P"","""")"),"P")</f>
        <v>P</v>
      </c>
      <c r="L111" s="237" t="str">
        <f>IFERROR(__xludf.DUMMYFUNCTION("IF(REGEXMATCH(C111, ""d""), ""d"","""")"),"")</f>
        <v/>
      </c>
      <c r="M111" s="236" t="str">
        <f>IFERROR(__xludf.DUMMYFUNCTION("IF(REGEXMATCH(C111, ""D""), ""D"","""")"),"D")</f>
        <v>D</v>
      </c>
      <c r="N111" s="236" t="str">
        <f>IFERROR(__xludf.DUMMYFUNCTION("IF(REGEXMATCH(C111, ""n""), ""n"","""")"),"")</f>
        <v/>
      </c>
      <c r="O111" s="237" t="str">
        <f>IFERROR(__xludf.DUMMYFUNCTION("IF(REGEXMATCH(C111, ""N""), ""N"","""")"),"N")</f>
        <v>N</v>
      </c>
      <c r="P111" s="238" t="str">
        <f>IFERROR(__xludf.DUMMYFUNCTION("IF(REGEXMATCH(C111, ""S""), ""S"","""")"),"S")</f>
        <v>S</v>
      </c>
      <c r="Q111" s="239" t="str">
        <f>IFERROR(__xludf.DUMMYFUNCTION("SUBSTITUTE(CONCATENATE(JOIN(""-"",D111:J111)),""-"","""")"),"SRGm")</f>
        <v>SRGm</v>
      </c>
      <c r="R111" s="229" t="str">
        <f>IFERROR(__xludf.DUMMYFUNCTION("SUBSTITUTE(CONCATENATE(JOIN(""-"",K111:P111)),""-"","""")"),"PDNS")</f>
        <v>PDNS</v>
      </c>
      <c r="S111" s="282" t="str">
        <f t="shared" si="8"/>
        <v>S-R-G-M</v>
      </c>
      <c r="T111" s="282" t="str">
        <f t="shared" si="9"/>
        <v>P-D-N-S</v>
      </c>
      <c r="U111" s="237" t="str">
        <f>IFERROR(__xludf.DUMMYFUNCTION("SUBSTITUTE(JOIN(""-"",S111,T111),""--"",""-"")"),"S-R-G-M-P-D-N-S")</f>
        <v>S-R-G-M-P-D-N-S</v>
      </c>
      <c r="V111" s="309" t="str">
        <f t="shared" si="10"/>
        <v>RGmDN</v>
      </c>
      <c r="W111" s="244" t="str">
        <f>IFERROR(__xludf.DUMMYFUNCTION("IF(REGEXMATCH(C111, ""S""), ""0"","""")"),"0")</f>
        <v>0</v>
      </c>
      <c r="X111" s="245" t="str">
        <f>IFERROR(__xludf.DUMMYFUNCTION("IF(REGEXMATCH(C111, ""r""), ""1"","""")"),"")</f>
        <v/>
      </c>
      <c r="Y111" s="246" t="str">
        <f>IFERROR(__xludf.DUMMYFUNCTION("IF(REGEXMATCH(C111, ""R""), ""2"","""")"),"2")</f>
        <v>2</v>
      </c>
      <c r="Z111" s="246" t="str">
        <f>IFERROR(__xludf.DUMMYFUNCTION("IF(REGEXMATCH(C111, ""g""), ""3"","""")"),"")</f>
        <v/>
      </c>
      <c r="AA111" s="245" t="str">
        <f>IFERROR(__xludf.DUMMYFUNCTION("IF(REGEXMATCH(C111, ""G""), ""4"","""")"),"4")</f>
        <v>4</v>
      </c>
      <c r="AB111" s="245" t="str">
        <f>IFERROR(__xludf.DUMMYFUNCTION("IF(REGEXMATCH(C111, ""m""), ""5"","""")"),"5")</f>
        <v>5</v>
      </c>
      <c r="AC111" s="246" t="str">
        <f>IFERROR(__xludf.DUMMYFUNCTION("IF(REGEXMATCH(C111, ""M""), ""6"","""")"),"")</f>
        <v/>
      </c>
      <c r="AD111" s="245" t="str">
        <f>IFERROR(__xludf.DUMMYFUNCTION("IF(REGEXMATCH(C111, ""P""), ""7"","""")"),"7")</f>
        <v>7</v>
      </c>
      <c r="AE111" s="246" t="str">
        <f>IFERROR(__xludf.DUMMYFUNCTION("IF(REGEXMATCH(C111, ""d""), ""8"","""")"),"")</f>
        <v/>
      </c>
      <c r="AF111" s="245" t="str">
        <f>IFERROR(__xludf.DUMMYFUNCTION("IF(REGEXMATCH(C111, ""D""), ""9"","""")"),"9")</f>
        <v>9</v>
      </c>
      <c r="AG111" s="245" t="str">
        <f>IFERROR(__xludf.DUMMYFUNCTION("IF(REGEXMATCH(C111, ""n""), ""10"","""")"),"")</f>
        <v/>
      </c>
      <c r="AH111" s="246" t="str">
        <f>IFERROR(__xludf.DUMMYFUNCTION("IF(REGEXMATCH(C111, ""N""), ""11"","""")"),"11")</f>
        <v>11</v>
      </c>
      <c r="AI111" s="249" t="str">
        <f>IFERROR(__xludf.DUMMYFUNCTION("IF(REGEXMATCH(C111, ""S""), ""0"","""")"),"0")</f>
        <v>0</v>
      </c>
      <c r="AJ111" s="313" t="str">
        <f t="shared" si="11"/>
        <v>-</v>
      </c>
      <c r="AK111" s="313" t="str">
        <f t="shared" si="12"/>
        <v>-</v>
      </c>
      <c r="AL111" s="313" t="str">
        <f t="shared" si="13"/>
        <v>-</v>
      </c>
      <c r="AM111" s="313" t="str">
        <f t="shared" si="14"/>
        <v>-</v>
      </c>
      <c r="AN111" s="313" t="str">
        <f t="shared" si="15"/>
        <v>-</v>
      </c>
      <c r="AO111" s="314" t="str">
        <f t="shared" si="16"/>
        <v>T</v>
      </c>
      <c r="AP111" s="316">
        <f t="shared" si="17"/>
        <v>1</v>
      </c>
      <c r="AQ111" s="319" t="str">
        <f t="shared" si="18"/>
        <v>-</v>
      </c>
      <c r="AR111" s="320">
        <f t="shared" si="19"/>
        <v>0</v>
      </c>
      <c r="AS111" s="250" t="str">
        <f>IFERROR(__xludf.DUMMYFUNCTION("SUBSTITUTE(SUBSTITUTE(CONCATENATE(JOIN("""",FP111:GA111)),""|"",""x""),""-"",""o"")"),"xoxoxxoxoxox")</f>
        <v>xoxoxxoxoxox</v>
      </c>
      <c r="AT111" s="323" t="str">
        <f>IFERROR(__xludf.DUMMYFUNCTION("JOIN("""",AS111,AS111)"),"xoxoxxoxoxoxxoxoxxoxoxox")</f>
        <v>xoxoxxoxoxoxxoxoxxoxoxox</v>
      </c>
      <c r="AU111" s="256" t="str">
        <f>IFERROR(__xludf.DUMMYFUNCTION("JOIN("""",ArrayFormula(MID(AS111,LEN(AS111)-SEQUENCE(1,LEN(AS111))+1,1)))"),"xoxoxoxxoxox")</f>
        <v>xoxoxoxxoxox</v>
      </c>
      <c r="AV111" s="256" t="str">
        <f>IFERROR(__xludf.DUMMYFUNCTION("LEFT(CONCATENATE(""x"",JOIN("""",ArrayFormula(MID(AS111,LEN(AS111)-SEQUENCE(1,LEN(AS111))+1,1)))),12)"),"xxoxoxoxxoxo")</f>
        <v>xxoxoxoxxoxo</v>
      </c>
      <c r="AW111" s="327" t="str">
        <f>IFERROR(__xludf.DUMMYFUNCTION("JOIN("""",AU111,AU111)"),"xoxoxoxxoxoxxoxoxoxxoxox")</f>
        <v>xoxoxoxxoxoxxoxoxoxxoxox</v>
      </c>
      <c r="AX111" s="239" t="str">
        <f>IFERROR(__xludf.DUMMYFUNCTION("IF(REGEXMATCH(AW111,AS111),""✔"",""-"")"),"✔")</f>
        <v>✔</v>
      </c>
      <c r="AY111" s="330" t="str">
        <f t="shared" si="20"/>
        <v>-</v>
      </c>
      <c r="AZ111" s="260" t="str">
        <f t="shared" si="21"/>
        <v>#REF!</v>
      </c>
      <c r="BA111" s="333" t="str">
        <f t="shared" si="22"/>
        <v>xoxoxxo</v>
      </c>
      <c r="BB111" s="334" t="str">
        <f t="shared" si="23"/>
        <v>xoxoxx</v>
      </c>
      <c r="BC111" s="335" t="str">
        <f t="shared" si="236"/>
        <v>✔</v>
      </c>
      <c r="BD111" s="336" t="str">
        <f t="shared" si="25"/>
        <v>Gagan Vihang: 'xoxoxxo' + 'xoxoxx'</v>
      </c>
      <c r="BE111" s="337">
        <f>IFERROR(__xludf.DUMMYFUNCTION("COUNTUNIQUE(FILTER(AT:AT,REGEXMATCH(AT:AT,AS111)))-1"),6.0)</f>
        <v>6</v>
      </c>
      <c r="BF111" s="261" t="str">
        <f>IFERROR(__xludf.DUMMYFUNCTION("IF(BI111=0,""(n/a)"",IF(BJ111=2,""(PAIR)"",IF(REGEXMATCH(AT111,""xoxoxxoxoxox""),""Bilawal"",IF(REGEXMATCH(AT111,""xoxoxooxoxoo""),""Bhupali"",IF(REGEXMATCH(AT111,""xoxoxxoxxoxo""),""Charukeshi"",IF(REGEXMATCH(AT111,""xoxoooxxoxxo""),""Kameshwari"",IF(REG"&amp;"EXMATCH(AT111,""xoxoxooxoxox""),""Shankara"",IF(REGEXMATCH(AT111,""xxooxoxxxoox""),""Basant"",IF(REGEXMATCH(AT111,""xoxoxxxxoxox""),""Bihag"",IF(REGEXMATCH(AT111,""xoxxxxoxoxxx""),""Pilu"",IF(REGEXMATCH(AT111,""xoxxoxoxxoox""),""Kirwani"",IF(REGEXMATCH(AT"&amp;"111,""xoxxoxoxoxxx""),""Mk.Malhar"",IF(REGEXMATCH(AT111,""xxooxxoxxoox""),""Bhairav"",IF(REGEXMATCH(AT111,""xxoxooxxxoox""),""Todi"",IF(REGEXMATCH(AT111,""xxooxoxooxox""),""Marwa"",IF(REGEXMATCH(AT111,""xxoooxoxxooo""),""Gunkali"",IF(REGEXMATCH(AT111,""xo"&amp;"xoxxoxxoox""),""Nat Bhairav"",IF(REGEXMATCH(AT111,""xoxxoooxoxoo""),""Shivranjani"",IF(REGEXMATCH(AT111,""xooxxxoxooxo""),""Jog"",IF(REGEXMATCH(AT111,""xxooxoxoxoox""),""Hemshri"",IF(REGEXMATCH(AT111,""xoooxooxoxxo""),""Kalavati"",IF(REGEXMATCH(AT111,""xx"&amp;"oxoxxoxoox""),""Kedar"",IF(REGEXMATCH(AT111,""xoxxxxoxooxx""),""Gara"",IF(REGEXMATCH(AT111,""xooxoxooxoox""),""Chandrakauns"",IF(REGEXMATCH(AT111,""xoxxxxoxxxox""),""Mand"",IF(REGEXMATCH(AT111,""xoxxxxoxoxox""),""Hanskinkini"",IF(REGEXMATCH(AT111,""xxooxx"&amp;"oxooxo""),""Lilavati"",IF(REGEXMATCH(AT111,""xooxoxoooxox""),""Rajeshwari"",IF(REGEXMATCH(AT111,""xoooxxoxoxxx""),""Khokar"",IF(REGEXMATCH(AT111,""xxooxoxxxxox""),""Maligoura"",""-""))))))))))))))))))))))))))))))"),"Bilawal")</f>
        <v>Bilawal</v>
      </c>
      <c r="BG111" s="239" t="str">
        <f t="shared" si="26"/>
        <v>#REF!</v>
      </c>
      <c r="BH111" s="239">
        <f>IFERROR(__xludf.DUMMYFUNCTION("COUNTUNIQUE(FE111:FO111)-1"),6.0)</f>
        <v>6</v>
      </c>
      <c r="BI111" s="239">
        <f>IFERROR(__xludf.DUMMYFUNCTION("COUNTUNIQUE(FILTER(AT:AT,REGEXMATCH(AT:AT,AS111)))-1"),6.0)</f>
        <v>6</v>
      </c>
      <c r="BJ111" s="239">
        <f>IFERROR(__xludf.DUMMYFUNCTION("COUNTA(FILTER(AT:AT,REGEXMATCH(AT:AT,AS111)))"),48.0)</f>
        <v>48</v>
      </c>
      <c r="BK111" s="341">
        <f>IFERROR(__xludf.DUMMYFUNCTION("COUNTA(FILTER(AT:AT,REGEXMATCH(AT:AT,AS111)))-AR111"),48.0)</f>
        <v>48</v>
      </c>
      <c r="BL111" s="276" t="str">
        <f>IFERROR(__xludf.DUMMYFUNCTION("IF(AS111=""oooooooooooo"",""-"",IF(REGEXMATCH(AT111,""xx""), ""Hemi."", ""Anhemi.""))"),"Hemi.")</f>
        <v>Hemi.</v>
      </c>
      <c r="BM111" s="282" t="str">
        <f>IFERROR(__xludf.DUMMYFUNCTION("IF(AS111=""oooooooooooo"",""-"",IF(REGEXMATCH(AT111,""xxx""), ""Cohem."", ""-""))"),"-")</f>
        <v>-</v>
      </c>
      <c r="BN111" s="282" t="str">
        <f>IFERROR(__xludf.DUMMYFUNCTION("IF(AS111=""oooooooooooo"",""-"",IF(REGEXMATCH(AT111,""xxxx""), ""Co-Co."", ""-""))"),"-")</f>
        <v>-</v>
      </c>
      <c r="BO111" s="342" t="str">
        <f>IFERROR(__xludf.DUMMYFUNCTION("IF(AS111=""oooooooooooo"",""-"",IF(REGEXMATCH(AT111,""xxxxx""), ""CCC."", ""-""))"),"-")</f>
        <v>-</v>
      </c>
      <c r="BP111" s="344" t="str">
        <f t="shared" si="27"/>
        <v>Bilawal</v>
      </c>
      <c r="BQ111" s="282" t="str">
        <f>IFERROR(__xludf.DUMMYFUNCTION("IF(REGEXMATCH(JOIN(""-"",EU111:FD111),""TRUE""),""✔"",""-"")"),"✔")</f>
        <v>✔</v>
      </c>
      <c r="BR111" s="225">
        <f t="shared" si="28"/>
        <v>1</v>
      </c>
      <c r="BS111" s="345" t="str">
        <f>IFERROR(__xludf.DUMMYFUNCTION("SUBSTITUTE(SUBSTITUTE(SUBSTITUTE(SUBSTITUTE(CONCATENATE(JOIN(""-"",GC111:GO111)),""--"",""-""),""--"",""-""),""--"",""-""),""--"",""-"")"),"1-2-3-4-5-6-7-8")</f>
        <v>1-2-3-4-5-6-7-8</v>
      </c>
      <c r="BT111" s="299" t="str">
        <f>IFERROR(__xludf.DUMMYFUNCTION("SUBSTITUTE(SUBSTITUTE(SUBSTITUTE(SUBSTITUTE(CONCATENATE(JOIN(""-"",GP111:HB111)),""--"",""-""),""--"",""-""),""--"",""-""),""--"",""-"")"),"S-R2-G3-M1-P-D2-N3-S")</f>
        <v>S-R2-G3-M1-P-D2-N3-S</v>
      </c>
      <c r="BU111" s="348" t="str">
        <f t="shared" si="29"/>
        <v>C-D-E-F-G-A-B-C</v>
      </c>
      <c r="BV111" s="349" t="str">
        <f t="shared" si="30"/>
        <v>SrgMdnS</v>
      </c>
      <c r="BW111" s="350">
        <f t="shared" si="31"/>
        <v>1</v>
      </c>
      <c r="BX111" s="351">
        <f t="shared" si="32"/>
        <v>17</v>
      </c>
      <c r="BY111" s="392"/>
      <c r="BZ111" s="309" t="str">
        <f>IFERROR(__xludf.DUMMYFUNCTION("IF(REGEXMATCH(C111, ""S""), ""x"",""x"")"),"x")</f>
        <v>x</v>
      </c>
      <c r="CA111" s="245" t="str">
        <f>IFERROR(__xludf.DUMMYFUNCTION("IF(REGEXMATCH(C111, ""r""), ""o"",""x"")"),"x")</f>
        <v>x</v>
      </c>
      <c r="CB111" s="246" t="str">
        <f>IFERROR(__xludf.DUMMYFUNCTION("IF(REGEXMATCH(C111, ""R""), ""o"",""x"")"),"o")</f>
        <v>o</v>
      </c>
      <c r="CC111" s="246" t="str">
        <f>IFERROR(__xludf.DUMMYFUNCTION("IF(REGEXMATCH(C111, ""g""), ""o"",""x"")"),"x")</f>
        <v>x</v>
      </c>
      <c r="CD111" s="245" t="str">
        <f>IFERROR(__xludf.DUMMYFUNCTION("IF(REGEXMATCH(C111, ""G""), ""o"",""x"")"),"o")</f>
        <v>o</v>
      </c>
      <c r="CE111" s="245" t="str">
        <f>IFERROR(__xludf.DUMMYFUNCTION("IF(REGEXMATCH(C111, ""m""), ""o"",""x"")"),"o")</f>
        <v>o</v>
      </c>
      <c r="CF111" s="246" t="str">
        <f>IFERROR(__xludf.DUMMYFUNCTION("IF(REGEXMATCH(C111, ""M""), ""o"",""x"")"),"x")</f>
        <v>x</v>
      </c>
      <c r="CG111" s="245" t="str">
        <f>IFERROR(__xludf.DUMMYFUNCTION("IF(REGEXMATCH(C111, ""P""), ""o"",""x"")"),"o")</f>
        <v>o</v>
      </c>
      <c r="CH111" s="246" t="str">
        <f>IFERROR(__xludf.DUMMYFUNCTION("IF(REGEXMATCH(C111, ""d""), ""o"",""x"")"),"x")</f>
        <v>x</v>
      </c>
      <c r="CI111" s="245" t="str">
        <f>IFERROR(__xludf.DUMMYFUNCTION("IF(REGEXMATCH(C111, ""D""), ""o"",""x"")"),"o")</f>
        <v>o</v>
      </c>
      <c r="CJ111" s="245" t="str">
        <f>IFERROR(__xludf.DUMMYFUNCTION("IF(REGEXMATCH(C111, ""n""), ""o"",""x"")"),"x")</f>
        <v>x</v>
      </c>
      <c r="CK111" s="245" t="str">
        <f>IFERROR(__xludf.DUMMYFUNCTION("IF(REGEXMATCH(C111, ""N""), ""o"",""x"")"),"o")</f>
        <v>o</v>
      </c>
      <c r="CL111" s="356" t="str">
        <f>IFERROR(__xludf.DUMMYFUNCTION("IF(REGEXMATCH(C111, ""S""), ""x"",""x"")"),"x")</f>
        <v>x</v>
      </c>
      <c r="CM111" s="357" t="str">
        <f t="shared" si="33"/>
        <v>xxoxooxoxoxo</v>
      </c>
      <c r="CN111" s="358">
        <f t="shared" si="34"/>
        <v>1</v>
      </c>
      <c r="CO111" s="246" t="str">
        <f>IFERROR(__xludf.DUMMYFUNCTION("IF(REGEXMATCH($C111, ""S""), ""S"",""S"")"),"S")</f>
        <v>S</v>
      </c>
      <c r="CP111" s="246" t="str">
        <f>IFERROR(__xludf.DUMMYFUNCTION("IF(REGEXMATCH($C111, ""r""), """",""r"")"),"r")</f>
        <v>r</v>
      </c>
      <c r="CQ111" s="246" t="str">
        <f>IFERROR(__xludf.DUMMYFUNCTION("IF(REGEXMATCH($C111, ""R""), """",""R"")"),"")</f>
        <v/>
      </c>
      <c r="CR111" s="246" t="str">
        <f>IFERROR(__xludf.DUMMYFUNCTION("IF(REGEXMATCH($C111, ""g""), """",""g"")"),"g")</f>
        <v>g</v>
      </c>
      <c r="CS111" s="246" t="str">
        <f>IFERROR(__xludf.DUMMYFUNCTION("IF(REGEXMATCH($C111, ""G""), """",""G"")"),"")</f>
        <v/>
      </c>
      <c r="CT111" s="246" t="str">
        <f>IFERROR(__xludf.DUMMYFUNCTION("IF(REGEXMATCH($C111, ""m""), """",""m"")"),"")</f>
        <v/>
      </c>
      <c r="CU111" s="246" t="str">
        <f>IFERROR(__xludf.DUMMYFUNCTION("IF(REGEXMATCH($C111, ""M""), """",""M"")"),"M")</f>
        <v>M</v>
      </c>
      <c r="CV111" s="246" t="str">
        <f>IFERROR(__xludf.DUMMYFUNCTION("IF(REGEXMATCH($C111, ""P""), """",""P"")"),"")</f>
        <v/>
      </c>
      <c r="CW111" s="246" t="str">
        <f>IFERROR(__xludf.DUMMYFUNCTION("IF(REGEXMATCH($C111, ""d""), """",""d"")"),"d")</f>
        <v>d</v>
      </c>
      <c r="CX111" s="246" t="str">
        <f>IFERROR(__xludf.DUMMYFUNCTION("IF(REGEXMATCH($C111, ""D""), """",""D"")"),"")</f>
        <v/>
      </c>
      <c r="CY111" s="246" t="str">
        <f>IFERROR(__xludf.DUMMYFUNCTION("IF(REGEXMATCH($C111, ""n""), """",""n"")"),"n")</f>
        <v>n</v>
      </c>
      <c r="CZ111" s="246" t="str">
        <f>IFERROR(__xludf.DUMMYFUNCTION("IF(REGEXMATCH($C111, ""N""), """",""N"")"),"")</f>
        <v/>
      </c>
      <c r="DA111" s="246" t="str">
        <f>IFERROR(__xludf.DUMMYFUNCTION("IF(REGEXMATCH($C111, ""S""), ""S"",""S"")"),"S")</f>
        <v>S</v>
      </c>
      <c r="DB111" s="362" t="str">
        <f>IFERROR(__xludf.DUMMYFUNCTION("JOIN("""",CO111:DA111,"""","""")"),"SrgMdnS")</f>
        <v>SrgMdnS</v>
      </c>
      <c r="DC111" s="363"/>
      <c r="DD111" s="301" t="str">
        <f t="shared" si="35"/>
        <v>#REF!</v>
      </c>
      <c r="DE111" s="302" t="str">
        <f t="shared" si="36"/>
        <v>#REF!</v>
      </c>
      <c r="DF111" s="301" t="str">
        <f t="shared" ref="DF111:DG111" si="423">SUBSTITUTE(S111,"-","")</f>
        <v>SRGM</v>
      </c>
      <c r="DG111" s="301" t="str">
        <f t="shared" si="423"/>
        <v>PDNS</v>
      </c>
      <c r="DH111" s="302" t="str">
        <f t="shared" si="38"/>
        <v>Bilawal</v>
      </c>
      <c r="DI111" s="301" t="str">
        <f t="shared" si="39"/>
        <v>Hemi.</v>
      </c>
      <c r="DJ111" s="364" t="str">
        <f t="shared" si="40"/>
        <v>-</v>
      </c>
      <c r="DK111" s="306" t="str">
        <f t="shared" si="41"/>
        <v>Bilawal</v>
      </c>
      <c r="DL111" s="366" t="str">
        <f t="shared" si="42"/>
        <v>-</v>
      </c>
      <c r="DM111" s="308" t="str">
        <f t="shared" si="43"/>
        <v>-</v>
      </c>
      <c r="DN111" s="306" t="str">
        <f t="shared" si="44"/>
        <v>✔</v>
      </c>
      <c r="DO111" s="306" t="str">
        <f t="shared" si="45"/>
        <v>-</v>
      </c>
      <c r="DP111" s="367" t="str">
        <f t="shared" si="46"/>
        <v>-</v>
      </c>
      <c r="DQ111" s="310" t="str">
        <f t="shared" si="47"/>
        <v>-</v>
      </c>
      <c r="DR111" s="310" t="str">
        <f t="shared" si="48"/>
        <v>-</v>
      </c>
      <c r="DS111" s="310" t="str">
        <f t="shared" si="49"/>
        <v>-</v>
      </c>
      <c r="DT111" s="310" t="str">
        <f t="shared" si="50"/>
        <v>-</v>
      </c>
      <c r="DU111" s="370" t="str">
        <f t="shared" si="51"/>
        <v>-</v>
      </c>
      <c r="DV111" s="306" t="str">
        <f t="shared" si="52"/>
        <v>-</v>
      </c>
      <c r="DW111" s="306" t="str">
        <f t="shared" si="53"/>
        <v>-</v>
      </c>
      <c r="DX111" s="306" t="str">
        <f t="shared" si="54"/>
        <v>-</v>
      </c>
      <c r="DY111" s="306" t="str">
        <f t="shared" si="55"/>
        <v>-</v>
      </c>
      <c r="DZ111" s="306" t="str">
        <f t="shared" si="56"/>
        <v>-</v>
      </c>
      <c r="EA111" s="367" t="str">
        <f t="shared" si="57"/>
        <v>-</v>
      </c>
      <c r="EB111" s="310" t="str">
        <f>IFERROR(__xludf.DUMMYFUNCTION("IF(REGEXMATCH(AW111,AS111),""✔"",""-"")"),"✔")</f>
        <v>✔</v>
      </c>
      <c r="EC111" s="310" t="str">
        <f t="shared" si="58"/>
        <v>#REF!</v>
      </c>
      <c r="ED111" s="370" t="str">
        <f t="shared" si="59"/>
        <v>-</v>
      </c>
      <c r="EE111" s="340" t="str">
        <f t="shared" si="60"/>
        <v>S-R-G-m-P-D-N-S</v>
      </c>
      <c r="EF111" s="371" t="str">
        <f>IFERROR(__xludf.DUMMYFUNCTION("CONCATENATE(JOIN("""",HC111:HO111))"),"SrgmPdnS")</f>
        <v>SrgmPdnS</v>
      </c>
      <c r="EG111" s="372">
        <f t="shared" si="61"/>
        <v>1</v>
      </c>
      <c r="EH111" s="373" t="str">
        <f>IFERROR(__xludf.DUMMYFUNCTION("CONCATENATE(JOIN("""",JC111:JO111))"),"Ni, ")</f>
        <v>Ni, </v>
      </c>
      <c r="EI111" s="322">
        <f t="shared" si="62"/>
        <v>0</v>
      </c>
      <c r="EJ111" s="374" t="str">
        <f>IFERROR(__xludf.DUMMYFUNCTION("CONCATENATE(JOIN("""",KC111:KO111))"),"")</f>
        <v/>
      </c>
      <c r="EK111" s="325" t="str">
        <f t="shared" si="63"/>
        <v>S-R2-G3-M1-P-D2-N3-S</v>
      </c>
      <c r="EL111" s="326" t="str">
        <f t="shared" si="64"/>
        <v>1-2-3-4-5-6-7-8</v>
      </c>
      <c r="EM111" s="318" t="str">
        <f t="shared" si="65"/>
        <v>#REF!</v>
      </c>
      <c r="EN111" s="328" t="str">
        <f>IFERROR(__xludf.DUMMYFUNCTION("SUBSTITUTE(SUBSTITUTE(SUBSTITUTE(SUBSTITUTE(CONCATENATE(JOIN("" "",HP111:IB111)),""  "","" ""),""  "","" ""),""  "","" ""),""  "","" "")"),"o • o • o o • o • o • o o")</f>
        <v>o • o • o o • o • o • o o</v>
      </c>
      <c r="EO111" s="368" t="str">
        <f t="shared" si="66"/>
        <v>-</v>
      </c>
      <c r="EP111" s="339" t="str">
        <f t="shared" si="67"/>
        <v>-</v>
      </c>
      <c r="EQ111" s="339" t="str">
        <f t="shared" si="68"/>
        <v>Sa-Pa</v>
      </c>
      <c r="ER111" s="339" t="str">
        <f t="shared" si="69"/>
        <v>-</v>
      </c>
      <c r="ES111" s="340" t="str">
        <f t="shared" si="70"/>
        <v>-</v>
      </c>
      <c r="ET111" s="363"/>
      <c r="EU111" s="376" t="b">
        <f>IFERROR(__xludf.DUMMYFUNCTION("arrayformula(sum(--REGEXMATCH(""SRGMPDNS"",split(REGEXREPLACE(C111,""(.)"",""$1~""),""~""))))=len(C111)
"),FALSE)</f>
        <v>0</v>
      </c>
      <c r="EV111" s="290" t="b">
        <f>IFERROR(__xludf.DUMMYFUNCTION("arrayformula(sum(--REGEXMATCH(""SRGmPDNS"",split(REGEXREPLACE(C111,""(.)"",""$1~""),""~""))))=len(C111)"),TRUE)</f>
        <v>1</v>
      </c>
      <c r="EW111" s="290" t="b">
        <f>IFERROR(__xludf.DUMMYFUNCTION("arrayformula(sum(--REGEXMATCH(""SRGmPDnS"",split(REGEXREPLACE(C111,""(.)"",""$1~""),""~""))))=len(C111)"),FALSE)</f>
        <v>0</v>
      </c>
      <c r="EX111" s="290" t="b">
        <f>IFERROR(__xludf.DUMMYFUNCTION("arrayformula(sum(--REGEXMATCH(""SRgmPDnS"",split(REGEXREPLACE(C111,""(.)"",""$1~""),""~""))))=len(C111)"),FALSE)</f>
        <v>0</v>
      </c>
      <c r="EY111" s="290" t="b">
        <f>IFERROR(__xludf.DUMMYFUNCTION("arrayformula(sum(--REGEXMATCH(""SRgmPdnS"",split(REGEXREPLACE(C111,""(.)"",""$1~""),""~""))))=len(C111)"),FALSE)</f>
        <v>0</v>
      </c>
      <c r="EZ111" s="290" t="b">
        <f>IFERROR(__xludf.DUMMYFUNCTION("arrayformula(sum(--REGEXMATCH(""SrgmPdnS"",split(REGEXREPLACE(C111,""(.)"",""$1~""),""~""))))=len(C111)"),FALSE)</f>
        <v>0</v>
      </c>
      <c r="FA111" s="290" t="b">
        <f>IFERROR(__xludf.DUMMYFUNCTION("arrayformula(sum(--REGEXMATCH(""SrGmPdNS"",split(REGEXREPLACE(C111,""(.)"",""$1~""),""~""))))=len(C111)"),FALSE)</f>
        <v>0</v>
      </c>
      <c r="FB111" s="290" t="b">
        <f>IFERROR(__xludf.DUMMYFUNCTION("arrayformula(sum(--REGEXMATCH(""SrGMPDNS"",split(REGEXREPLACE(C111,""(.)"",""$1~""),""~""))))=len(C111)"),FALSE)</f>
        <v>0</v>
      </c>
      <c r="FC111" s="290" t="b">
        <f>IFERROR(__xludf.DUMMYFUNCTION("arrayformula(sum(--REGEXMATCH(""SrGMPdNS"",split(REGEXREPLACE(C111,""(.)"",""$1~""),""~""))))=len(C111)"),FALSE)</f>
        <v>0</v>
      </c>
      <c r="FD111" s="377" t="b">
        <f>IFERROR(__xludf.DUMMYFUNCTION("arrayformula(sum(--REGEXMATCH(""SrgMPdNS"",split(REGEXREPLACE(C111,""(.)"",""$1~""),""~""))))=len(C111)"),FALSE)</f>
        <v>0</v>
      </c>
      <c r="FE111" s="269" t="str">
        <f t="shared" si="71"/>
        <v>-</v>
      </c>
      <c r="FF111" s="269" t="str">
        <f t="shared" si="72"/>
        <v>xoxxoxoxoxx</v>
      </c>
      <c r="FG111" s="271" t="str">
        <f t="shared" si="73"/>
        <v>-</v>
      </c>
      <c r="FH111" s="269" t="str">
        <f t="shared" si="74"/>
        <v>xxoxoxoxxox</v>
      </c>
      <c r="FI111" s="271" t="str">
        <f t="shared" si="75"/>
        <v>xoxoxoxxoxo</v>
      </c>
      <c r="FJ111" s="271" t="str">
        <f t="shared" si="76"/>
        <v>-</v>
      </c>
      <c r="FK111" s="271" t="str">
        <f t="shared" si="77"/>
        <v>xoxoxxoxoxx</v>
      </c>
      <c r="FL111" s="271" t="str">
        <f t="shared" si="78"/>
        <v>-</v>
      </c>
      <c r="FM111" s="271" t="str">
        <f t="shared" si="79"/>
        <v>xoxxoxoxxox</v>
      </c>
      <c r="FN111" s="271" t="str">
        <f t="shared" si="80"/>
        <v>-</v>
      </c>
      <c r="FO111" s="274" t="str">
        <f t="shared" si="81"/>
        <v>xxoxoxxoxox</v>
      </c>
      <c r="FP111" s="234" t="str">
        <f t="shared" si="82"/>
        <v>|</v>
      </c>
      <c r="FQ111" s="236" t="str">
        <f t="shared" si="83"/>
        <v>-</v>
      </c>
      <c r="FR111" s="237" t="str">
        <f t="shared" si="84"/>
        <v>|</v>
      </c>
      <c r="FS111" s="236" t="str">
        <f t="shared" si="85"/>
        <v>-</v>
      </c>
      <c r="FT111" s="237" t="str">
        <f t="shared" si="86"/>
        <v>|</v>
      </c>
      <c r="FU111" s="236" t="str">
        <f t="shared" si="87"/>
        <v>|</v>
      </c>
      <c r="FV111" s="237" t="str">
        <f t="shared" si="88"/>
        <v>-</v>
      </c>
      <c r="FW111" s="236" t="str">
        <f t="shared" si="89"/>
        <v>|</v>
      </c>
      <c r="FX111" s="237" t="str">
        <f t="shared" si="90"/>
        <v>-</v>
      </c>
      <c r="FY111" s="236" t="str">
        <f t="shared" si="91"/>
        <v>|</v>
      </c>
      <c r="FZ111" s="237" t="str">
        <f t="shared" si="92"/>
        <v>-</v>
      </c>
      <c r="GA111" s="236" t="str">
        <f t="shared" si="93"/>
        <v>|</v>
      </c>
      <c r="GB111" s="238" t="str">
        <f t="shared" si="94"/>
        <v>|</v>
      </c>
      <c r="GC111" s="244" t="str">
        <f>IFERROR(__xludf.DUMMYFUNCTION("IF(REGEXMATCH(C111, ""S""), ""1"","""")"),"1")</f>
        <v>1</v>
      </c>
      <c r="GD111" s="245" t="str">
        <f>IFERROR(__xludf.DUMMYFUNCTION("IF(REGEXMATCH(C111, ""r""), ""b2"","""")"),"")</f>
        <v/>
      </c>
      <c r="GE111" s="246" t="str">
        <f>IFERROR(__xludf.DUMMYFUNCTION("IF(REGEXMATCH(C111, ""R""), ""2"","""")"),"2")</f>
        <v>2</v>
      </c>
      <c r="GF111" s="246" t="str">
        <f>IFERROR(__xludf.DUMMYFUNCTION("IF(REGEXMATCH(C111, ""g""), ""b3"","""")"),"")</f>
        <v/>
      </c>
      <c r="GG111" s="245" t="str">
        <f>IFERROR(__xludf.DUMMYFUNCTION("IF(REGEXMATCH(C111, ""G""), ""3"","""")"),"3")</f>
        <v>3</v>
      </c>
      <c r="GH111" s="245" t="str">
        <f>IFERROR(__xludf.DUMMYFUNCTION("IF(REGEXMATCH(C111, ""m""), ""4"","""")"),"4")</f>
        <v>4</v>
      </c>
      <c r="GI111" s="246" t="str">
        <f>IFERROR(__xludf.DUMMYFUNCTION("IF(REGEXMATCH(C111, ""M""), ""#4"","""")"),"")</f>
        <v/>
      </c>
      <c r="GJ111" s="245" t="str">
        <f>IFERROR(__xludf.DUMMYFUNCTION("IF(REGEXMATCH(C111, ""P""), ""5"","""")"),"5")</f>
        <v>5</v>
      </c>
      <c r="GK111" s="246" t="str">
        <f>IFERROR(__xludf.DUMMYFUNCTION("IF(REGEXMATCH(C111, ""d""), ""b6"","""")"),"")</f>
        <v/>
      </c>
      <c r="GL111" s="245" t="str">
        <f>IFERROR(__xludf.DUMMYFUNCTION("IF(REGEXMATCH(C111, ""D""), ""6"","""")"),"6")</f>
        <v>6</v>
      </c>
      <c r="GM111" s="245" t="str">
        <f>IFERROR(__xludf.DUMMYFUNCTION("IF(REGEXMATCH(C111, ""n""), ""b7"","""")"),"")</f>
        <v/>
      </c>
      <c r="GN111" s="246" t="str">
        <f>IFERROR(__xludf.DUMMYFUNCTION("IF(REGEXMATCH(C111, ""N""), ""7"","""")"),"7")</f>
        <v>7</v>
      </c>
      <c r="GO111" s="249" t="str">
        <f>IFERROR(__xludf.DUMMYFUNCTION("IF(REGEXMATCH(C111, ""S""), ""8"","""")"),"8")</f>
        <v>8</v>
      </c>
      <c r="GP111" s="244" t="str">
        <f>IFERROR(__xludf.DUMMYFUNCTION("IF(REGEXMATCH(C111, ""S""), ""S"","""")"),"S")</f>
        <v>S</v>
      </c>
      <c r="GQ111" s="294" t="str">
        <f>IFERROR(__xludf.DUMMYFUNCTION("IF(REGEXMATCH(C111, ""r""), ""R1"","""")"),"")</f>
        <v/>
      </c>
      <c r="GR111" s="295" t="str">
        <f>IFERROR(__xludf.DUMMYFUNCTION("IF(REGEXMATCH(C111, ""R""), ""R2"","""")"),"R2")</f>
        <v>R2</v>
      </c>
      <c r="GS111" s="295" t="str">
        <f>IFERROR(__xludf.DUMMYFUNCTION("IF(REGEXMATCH(C111, ""g""), ""G2"","""")"),"")</f>
        <v/>
      </c>
      <c r="GT111" s="294" t="str">
        <f>IFERROR(__xludf.DUMMYFUNCTION("IF(REGEXMATCH(C111, ""G""), ""G3"","""")"),"G3")</f>
        <v>G3</v>
      </c>
      <c r="GU111" s="294" t="str">
        <f>IFERROR(__xludf.DUMMYFUNCTION("IF(REGEXMATCH(C111, ""m""), ""M1"","""")"),"M1")</f>
        <v>M1</v>
      </c>
      <c r="GV111" s="295" t="str">
        <f>IFERROR(__xludf.DUMMYFUNCTION("IF(REGEXMATCH(C111, ""M""), ""M2"","""")"),"")</f>
        <v/>
      </c>
      <c r="GW111" s="294" t="str">
        <f>IFERROR(__xludf.DUMMYFUNCTION("IF(REGEXMATCH(C111, ""P""), ""P"","""")"),"P")</f>
        <v>P</v>
      </c>
      <c r="GX111" s="295" t="str">
        <f>IFERROR(__xludf.DUMMYFUNCTION("IF(REGEXMATCH(C111, ""d""), ""D1"","""")"),"")</f>
        <v/>
      </c>
      <c r="GY111" s="294" t="str">
        <f>IFERROR(__xludf.DUMMYFUNCTION("IF(REGEXMATCH(C111, ""D""), ""D2"","""")"),"D2")</f>
        <v>D2</v>
      </c>
      <c r="GZ111" s="294" t="str">
        <f>IFERROR(__xludf.DUMMYFUNCTION("IF(REGEXMATCH(C111, ""n""), ""N2"","""")"),"")</f>
        <v/>
      </c>
      <c r="HA111" s="295" t="str">
        <f>IFERROR(__xludf.DUMMYFUNCTION("IF(REGEXMATCH(C111, ""N""), ""N3"","""")"),"N3")</f>
        <v>N3</v>
      </c>
      <c r="HB111" s="249" t="str">
        <f>IFERROR(__xludf.DUMMYFUNCTION("IF(REGEXMATCH(C111, ""S""), ""S"","""")"),"S")</f>
        <v>S</v>
      </c>
      <c r="HC111" s="331" t="str">
        <f t="shared" si="95"/>
        <v>S</v>
      </c>
      <c r="HD111" s="332" t="str">
        <f t="shared" si="96"/>
        <v>r</v>
      </c>
      <c r="HE111" s="332" t="str">
        <f t="shared" si="97"/>
        <v/>
      </c>
      <c r="HF111" s="332" t="str">
        <f t="shared" si="98"/>
        <v>g</v>
      </c>
      <c r="HG111" s="332" t="str">
        <f t="shared" si="99"/>
        <v/>
      </c>
      <c r="HH111" s="332" t="str">
        <f t="shared" si="100"/>
        <v>m</v>
      </c>
      <c r="HI111" s="332" t="str">
        <f t="shared" si="101"/>
        <v/>
      </c>
      <c r="HJ111" s="332" t="str">
        <f t="shared" si="102"/>
        <v>P</v>
      </c>
      <c r="HK111" s="332" t="str">
        <f t="shared" si="103"/>
        <v>d</v>
      </c>
      <c r="HL111" s="332" t="str">
        <f t="shared" si="104"/>
        <v/>
      </c>
      <c r="HM111" s="332" t="str">
        <f t="shared" si="105"/>
        <v>n</v>
      </c>
      <c r="HN111" s="332" t="str">
        <f t="shared" si="106"/>
        <v/>
      </c>
      <c r="HO111" s="343" t="str">
        <f t="shared" si="107"/>
        <v>S</v>
      </c>
      <c r="HP111" s="331" t="str">
        <f t="shared" si="108"/>
        <v>o</v>
      </c>
      <c r="HQ111" s="332" t="str">
        <f t="shared" si="109"/>
        <v>•</v>
      </c>
      <c r="HR111" s="332" t="str">
        <f t="shared" si="110"/>
        <v>o</v>
      </c>
      <c r="HS111" s="332" t="str">
        <f t="shared" si="111"/>
        <v>•</v>
      </c>
      <c r="HT111" s="332" t="str">
        <f t="shared" si="112"/>
        <v>o</v>
      </c>
      <c r="HU111" s="332" t="str">
        <f t="shared" si="113"/>
        <v>o</v>
      </c>
      <c r="HV111" s="332" t="str">
        <f t="shared" si="114"/>
        <v>•</v>
      </c>
      <c r="HW111" s="332" t="str">
        <f t="shared" si="115"/>
        <v>o</v>
      </c>
      <c r="HX111" s="332" t="str">
        <f t="shared" si="116"/>
        <v>•</v>
      </c>
      <c r="HY111" s="332" t="str">
        <f t="shared" si="117"/>
        <v>o</v>
      </c>
      <c r="HZ111" s="332" t="str">
        <f t="shared" si="118"/>
        <v>•</v>
      </c>
      <c r="IA111" s="332" t="str">
        <f t="shared" si="119"/>
        <v>o</v>
      </c>
      <c r="IB111" s="338" t="str">
        <f t="shared" si="120"/>
        <v>o</v>
      </c>
      <c r="IC111" s="331" t="str">
        <f t="shared" si="121"/>
        <v>•</v>
      </c>
      <c r="ID111" s="332" t="str">
        <f t="shared" si="122"/>
        <v>o</v>
      </c>
      <c r="IE111" s="332" t="str">
        <f t="shared" si="123"/>
        <v>•</v>
      </c>
      <c r="IF111" s="332" t="str">
        <f t="shared" si="124"/>
        <v>o</v>
      </c>
      <c r="IG111" s="332" t="str">
        <f t="shared" si="125"/>
        <v>•</v>
      </c>
      <c r="IH111" s="332" t="str">
        <f t="shared" si="126"/>
        <v>•</v>
      </c>
      <c r="II111" s="332" t="str">
        <f t="shared" si="127"/>
        <v>o</v>
      </c>
      <c r="IJ111" s="332" t="str">
        <f t="shared" si="128"/>
        <v>•</v>
      </c>
      <c r="IK111" s="332" t="str">
        <f t="shared" si="129"/>
        <v>o</v>
      </c>
      <c r="IL111" s="332" t="str">
        <f t="shared" si="130"/>
        <v>•</v>
      </c>
      <c r="IM111" s="332" t="str">
        <f t="shared" si="131"/>
        <v>o</v>
      </c>
      <c r="IN111" s="332" t="str">
        <f t="shared" si="132"/>
        <v>•</v>
      </c>
      <c r="IO111" s="338" t="str">
        <f t="shared" si="133"/>
        <v>•</v>
      </c>
      <c r="IP111" s="346" t="b">
        <f t="shared" si="134"/>
        <v>0</v>
      </c>
      <c r="IQ111" s="347" t="b">
        <f t="shared" si="135"/>
        <v>0</v>
      </c>
      <c r="IR111" s="347" t="b">
        <f t="shared" si="136"/>
        <v>0</v>
      </c>
      <c r="IS111" s="347" t="b">
        <f t="shared" si="137"/>
        <v>0</v>
      </c>
      <c r="IT111" s="347" t="b">
        <f t="shared" si="138"/>
        <v>0</v>
      </c>
      <c r="IU111" s="347" t="b">
        <f t="shared" si="139"/>
        <v>0</v>
      </c>
      <c r="IV111" s="347" t="b">
        <f t="shared" si="140"/>
        <v>0</v>
      </c>
      <c r="IW111" s="347" t="b">
        <f t="shared" si="141"/>
        <v>0</v>
      </c>
      <c r="IX111" s="347" t="b">
        <f t="shared" si="142"/>
        <v>0</v>
      </c>
      <c r="IY111" s="347" t="b">
        <f t="shared" si="143"/>
        <v>0</v>
      </c>
      <c r="IZ111" s="347" t="b">
        <f t="shared" si="144"/>
        <v>0</v>
      </c>
      <c r="JA111" s="347" t="b">
        <f t="shared" si="145"/>
        <v>1</v>
      </c>
      <c r="JB111" s="353" t="b">
        <f t="shared" si="146"/>
        <v>0</v>
      </c>
      <c r="JC111" s="354" t="str">
        <f t="shared" si="147"/>
        <v/>
      </c>
      <c r="JD111" s="355" t="str">
        <f t="shared" si="148"/>
        <v/>
      </c>
      <c r="JE111" s="355" t="str">
        <f t="shared" si="149"/>
        <v/>
      </c>
      <c r="JF111" s="355" t="str">
        <f t="shared" si="150"/>
        <v/>
      </c>
      <c r="JG111" s="355" t="str">
        <f t="shared" si="151"/>
        <v/>
      </c>
      <c r="JH111" s="355" t="str">
        <f t="shared" si="152"/>
        <v/>
      </c>
      <c r="JI111" s="355" t="str">
        <f t="shared" si="153"/>
        <v/>
      </c>
      <c r="JJ111" s="355" t="str">
        <f t="shared" si="154"/>
        <v/>
      </c>
      <c r="JK111" s="355" t="str">
        <f t="shared" si="155"/>
        <v/>
      </c>
      <c r="JL111" s="355" t="str">
        <f t="shared" si="156"/>
        <v/>
      </c>
      <c r="JM111" s="355" t="str">
        <f t="shared" si="157"/>
        <v/>
      </c>
      <c r="JN111" s="355" t="str">
        <f t="shared" si="158"/>
        <v>Ni, </v>
      </c>
      <c r="JO111" s="359" t="str">
        <f t="shared" si="159"/>
        <v/>
      </c>
      <c r="JP111" s="346" t="b">
        <f t="shared" si="160"/>
        <v>0</v>
      </c>
      <c r="JQ111" s="347" t="b">
        <f t="shared" si="161"/>
        <v>0</v>
      </c>
      <c r="JR111" s="347" t="b">
        <f t="shared" si="162"/>
        <v>0</v>
      </c>
      <c r="JS111" s="347" t="b">
        <f t="shared" si="163"/>
        <v>0</v>
      </c>
      <c r="JT111" s="347" t="b">
        <f t="shared" si="164"/>
        <v>0</v>
      </c>
      <c r="JU111" s="347" t="b">
        <f t="shared" si="165"/>
        <v>0</v>
      </c>
      <c r="JV111" s="347" t="b">
        <f t="shared" si="166"/>
        <v>0</v>
      </c>
      <c r="JW111" s="347" t="b">
        <f t="shared" si="167"/>
        <v>0</v>
      </c>
      <c r="JX111" s="347" t="b">
        <f t="shared" si="168"/>
        <v>0</v>
      </c>
      <c r="JY111" s="347" t="b">
        <f t="shared" si="169"/>
        <v>0</v>
      </c>
      <c r="JZ111" s="347" t="b">
        <f t="shared" si="170"/>
        <v>0</v>
      </c>
      <c r="KA111" s="347" t="b">
        <f t="shared" si="171"/>
        <v>0</v>
      </c>
      <c r="KB111" s="365" t="b">
        <f t="shared" si="172"/>
        <v>0</v>
      </c>
      <c r="KC111" s="354" t="str">
        <f t="shared" si="173"/>
        <v/>
      </c>
      <c r="KD111" s="355" t="str">
        <f t="shared" si="174"/>
        <v/>
      </c>
      <c r="KE111" s="355" t="str">
        <f t="shared" si="175"/>
        <v/>
      </c>
      <c r="KF111" s="355" t="str">
        <f t="shared" si="176"/>
        <v/>
      </c>
      <c r="KG111" s="355" t="str">
        <f t="shared" si="177"/>
        <v/>
      </c>
      <c r="KH111" s="355" t="str">
        <f t="shared" si="178"/>
        <v/>
      </c>
      <c r="KI111" s="355" t="str">
        <f t="shared" si="179"/>
        <v/>
      </c>
      <c r="KJ111" s="355" t="str">
        <f t="shared" si="180"/>
        <v/>
      </c>
      <c r="KK111" s="355" t="str">
        <f t="shared" si="181"/>
        <v/>
      </c>
      <c r="KL111" s="355" t="str">
        <f t="shared" si="182"/>
        <v/>
      </c>
      <c r="KM111" s="355" t="str">
        <f t="shared" si="183"/>
        <v/>
      </c>
      <c r="KN111" s="355" t="str">
        <f t="shared" si="184"/>
        <v/>
      </c>
      <c r="KO111" s="359"/>
      <c r="KP111" s="378"/>
      <c r="KQ111" s="379" t="s">
        <v>9</v>
      </c>
      <c r="KR111" s="380" t="s">
        <v>1357</v>
      </c>
      <c r="KS111" s="381" t="s">
        <v>9</v>
      </c>
      <c r="KT111" s="382">
        <f t="shared" si="186"/>
        <v>0</v>
      </c>
      <c r="KU111" s="383">
        <f t="shared" si="187"/>
        <v>0</v>
      </c>
      <c r="KV111" s="381" t="str">
        <f t="shared" si="205"/>
        <v>S-N-D-P-m-G-R-S</v>
      </c>
      <c r="KW111" s="382">
        <f t="shared" si="189"/>
        <v>7</v>
      </c>
      <c r="KX111" s="384">
        <f t="shared" si="190"/>
        <v>7</v>
      </c>
      <c r="KY111" s="382">
        <f t="shared" ref="KY111:KZ111" si="424">KW111-KT111</f>
        <v>7</v>
      </c>
      <c r="KZ111" s="369">
        <f t="shared" si="424"/>
        <v>7</v>
      </c>
      <c r="LA111" s="385" t="str">
        <f t="shared" si="192"/>
        <v>-</v>
      </c>
      <c r="LB111" s="340" t="str">
        <f>IFERROR(__xludf.DUMMYFUNCTION("JOIN("""",ArrayFormula(MID(KS111,LEN(KS111)-SEQUENCE(1,LEN(KS111))+1,1)))"),"S")</f>
        <v>S</v>
      </c>
      <c r="LC111" s="373" t="str">
        <f>IFERROR(__xludf.DUMMYFUNCTION("JOIN("""",ArrayFormula(MID(KV111,LEN(KV111)-SEQUENCE(1,LEN(KV111))+1,1)))"),"S-R-G-m-P-D-N-S")</f>
        <v>S-R-G-m-P-D-N-S</v>
      </c>
      <c r="LD111" s="373" t="str">
        <f t="shared" si="193"/>
        <v>S</v>
      </c>
      <c r="LE111" s="339" t="str">
        <f t="shared" si="194"/>
        <v>SRGmPDNS</v>
      </c>
      <c r="LF111" s="386" t="str">
        <f>IFERROR(__xludf.DUMMYFUNCTION("SUBSTITUTE(SUBSTITUTE(CONCATENATE(JOIN("""",LH111:LT111)),""1"",""""),""2"","""")"),"SRGmPDNS")</f>
        <v>SRGmPDNS</v>
      </c>
      <c r="LG111" s="369" t="str">
        <f t="shared" si="195"/>
        <v>✔</v>
      </c>
      <c r="LH111" s="387" t="str">
        <f>IFERROR(__xludf.DUMMYFUNCTION("IF(REGEXMATCH(LD111, ""S""), ""S"",IF(REGEXMATCH(LE111, ""S""), ""S"",""""))"),"S")</f>
        <v>S</v>
      </c>
      <c r="LI111" s="299" t="str">
        <f>IFERROR(__xludf.DUMMYFUNCTION("IF(REGEXMATCH(LD111, ""r""), ""r1"",IF(REGEXMATCH(LE111, ""r""), ""r2"",""""))"),"")</f>
        <v/>
      </c>
      <c r="LJ111" s="299" t="str">
        <f>IFERROR(__xludf.DUMMYFUNCTION("IF(REGEXMATCH(LD111, ""R""), ""R1"",IF(REGEXMATCH(LE111, ""R""), ""R2"",""""))"),"R2")</f>
        <v>R2</v>
      </c>
      <c r="LK111" s="299" t="str">
        <f>IFERROR(__xludf.DUMMYFUNCTION("IF(REGEXMATCH(LD111, ""g""), ""g1"",IF(REGEXMATCH(LE111, ""g""), ""g2"",""""))"),"")</f>
        <v/>
      </c>
      <c r="LL111" s="299" t="str">
        <f>IFERROR(__xludf.DUMMYFUNCTION("IF(REGEXMATCH(LD111, ""G""), ""G1"",IF(REGEXMATCH(LE111, ""G""), ""G2"",""""))"),"G2")</f>
        <v>G2</v>
      </c>
      <c r="LM111" s="299" t="str">
        <f>IFERROR(__xludf.DUMMYFUNCTION("IF(REGEXMATCH(LD111, ""m""), ""m1"",IF(REGEXMATCH(LE111, ""m""), ""m2"",""""))"),"m2")</f>
        <v>m2</v>
      </c>
      <c r="LN111" s="299" t="str">
        <f>IFERROR(__xludf.DUMMYFUNCTION("IF(REGEXMATCH(LD111, ""M""), ""M1"",IF(REGEXMATCH(LE111, ""M""), ""M2"",""""))"),"")</f>
        <v/>
      </c>
      <c r="LO111" s="299" t="str">
        <f>IFERROR(__xludf.DUMMYFUNCTION("IF(REGEXMATCH(LD111, ""P""), ""P1"",IF(REGEXMATCH(LE111, ""P""), ""P2"",""""))"),"P2")</f>
        <v>P2</v>
      </c>
      <c r="LP111" s="299" t="str">
        <f>IFERROR(__xludf.DUMMYFUNCTION("IF(REGEXMATCH(LD111, ""d""), ""d1"",IF(REGEXMATCH(LE111, ""d""), ""d2"",""""))"),"")</f>
        <v/>
      </c>
      <c r="LQ111" s="299" t="str">
        <f>IFERROR(__xludf.DUMMYFUNCTION("IF(REGEXMATCH(LD111, ""D""), ""D1"",IF(REGEXMATCH(LE111, ""D""), ""D2"",""""))"),"D2")</f>
        <v>D2</v>
      </c>
      <c r="LR111" s="299" t="str">
        <f>IFERROR(__xludf.DUMMYFUNCTION("IF(REGEXMATCH(LD111, ""n""), ""n1"",IF(REGEXMATCH(LE111, ""n""), ""n2"",""""))"),"")</f>
        <v/>
      </c>
      <c r="LS111" s="299" t="str">
        <f>IFERROR(__xludf.DUMMYFUNCTION("IF(REGEXMATCH(LD111, ""N""), ""N1"",IF(REGEXMATCH(LE111, ""N""), ""N2"",""""))"),"N2")</f>
        <v>N2</v>
      </c>
      <c r="LT111" s="388" t="str">
        <f>IFERROR(__xludf.DUMMYFUNCTION("IF(REGEXMATCH(LD111, ""S""), ""S"",IF(REGEXMATCH(LE111, ""S""), ""S"",""""))"),"S")</f>
        <v>S</v>
      </c>
      <c r="LU111" s="389">
        <f t="shared" si="196"/>
        <v>-13</v>
      </c>
      <c r="LV111" s="378"/>
      <c r="LW111" s="369"/>
      <c r="LX111" s="369"/>
    </row>
    <row r="112" ht="18.0" customHeight="1">
      <c r="A112" s="298" t="s">
        <v>731</v>
      </c>
      <c r="B112" s="222" t="s">
        <v>559</v>
      </c>
      <c r="C112" s="233" t="str">
        <f t="shared" si="7"/>
        <v>SrRgmPdnS</v>
      </c>
      <c r="D112" s="234" t="str">
        <f>IFERROR(__xludf.DUMMYFUNCTION("IF(REGEXMATCH(C112, ""S""), ""S"","""")"),"S")</f>
        <v>S</v>
      </c>
      <c r="E112" s="236" t="str">
        <f>IFERROR(__xludf.DUMMYFUNCTION("IF(REGEXMATCH(C112, ""r""), ""r"","""")"),"r")</f>
        <v>r</v>
      </c>
      <c r="F112" s="237" t="str">
        <f>IFERROR(__xludf.DUMMYFUNCTION("IF(REGEXMATCH(C112, ""R""), ""R"","""")"),"R")</f>
        <v>R</v>
      </c>
      <c r="G112" s="237" t="str">
        <f>IFERROR(__xludf.DUMMYFUNCTION("IF(REGEXMATCH(C112, ""g""), ""g"","""")"),"g")</f>
        <v>g</v>
      </c>
      <c r="H112" s="236" t="str">
        <f>IFERROR(__xludf.DUMMYFUNCTION("IF(REGEXMATCH(C112, ""G""), ""G"","""")"),"")</f>
        <v/>
      </c>
      <c r="I112" s="236" t="str">
        <f>IFERROR(__xludf.DUMMYFUNCTION("IF(REGEXMATCH(C112, ""m""), ""m"","""")"),"m")</f>
        <v>m</v>
      </c>
      <c r="J112" s="237" t="str">
        <f>IFERROR(__xludf.DUMMYFUNCTION("IF(REGEXMATCH(C112, ""M""), ""M"","""")"),"")</f>
        <v/>
      </c>
      <c r="K112" s="236" t="str">
        <f>IFERROR(__xludf.DUMMYFUNCTION("IF(REGEXMATCH(C112, ""P""), ""P"","""")"),"P")</f>
        <v>P</v>
      </c>
      <c r="L112" s="237" t="str">
        <f>IFERROR(__xludf.DUMMYFUNCTION("IF(REGEXMATCH(C112, ""d""), ""d"","""")"),"d")</f>
        <v>d</v>
      </c>
      <c r="M112" s="236" t="str">
        <f>IFERROR(__xludf.DUMMYFUNCTION("IF(REGEXMATCH(C112, ""D""), ""D"","""")"),"")</f>
        <v/>
      </c>
      <c r="N112" s="236" t="str">
        <f>IFERROR(__xludf.DUMMYFUNCTION("IF(REGEXMATCH(C112, ""n""), ""n"","""")"),"n")</f>
        <v>n</v>
      </c>
      <c r="O112" s="237" t="str">
        <f>IFERROR(__xludf.DUMMYFUNCTION("IF(REGEXMATCH(C112, ""N""), ""N"","""")"),"")</f>
        <v/>
      </c>
      <c r="P112" s="238" t="str">
        <f>IFERROR(__xludf.DUMMYFUNCTION("IF(REGEXMATCH(C112, ""S""), ""S"","""")"),"S")</f>
        <v>S</v>
      </c>
      <c r="Q112" s="239" t="str">
        <f>IFERROR(__xludf.DUMMYFUNCTION("SUBSTITUTE(CONCATENATE(JOIN(""-"",D112:J112)),""-"","""")"),"SrRgm")</f>
        <v>SrRgm</v>
      </c>
      <c r="R112" s="229" t="str">
        <f>IFERROR(__xludf.DUMMYFUNCTION("SUBSTITUTE(CONCATENATE(JOIN(""-"",K112:P112)),""-"","""")"),"PdnS")</f>
        <v>PdnS</v>
      </c>
      <c r="S112" s="282" t="str">
        <f t="shared" si="8"/>
        <v>S-R-G-M</v>
      </c>
      <c r="T112" s="282" t="str">
        <f t="shared" si="9"/>
        <v>P-D-N-S</v>
      </c>
      <c r="U112" s="237" t="str">
        <f>IFERROR(__xludf.DUMMYFUNCTION("SUBSTITUTE(JOIN(""-"",S112,T112),""--"",""-"")"),"S-R-G-M-P-D-N-S")</f>
        <v>S-R-G-M-P-D-N-S</v>
      </c>
      <c r="V112" s="309" t="str">
        <f t="shared" si="10"/>
        <v>rRgmdn</v>
      </c>
      <c r="W112" s="244" t="str">
        <f>IFERROR(__xludf.DUMMYFUNCTION("IF(REGEXMATCH(C112, ""S""), ""0"","""")"),"0")</f>
        <v>0</v>
      </c>
      <c r="X112" s="245" t="str">
        <f>IFERROR(__xludf.DUMMYFUNCTION("IF(REGEXMATCH(C112, ""r""), ""1"","""")"),"1")</f>
        <v>1</v>
      </c>
      <c r="Y112" s="246" t="str">
        <f>IFERROR(__xludf.DUMMYFUNCTION("IF(REGEXMATCH(C112, ""R""), ""2"","""")"),"2")</f>
        <v>2</v>
      </c>
      <c r="Z112" s="246" t="str">
        <f>IFERROR(__xludf.DUMMYFUNCTION("IF(REGEXMATCH(C112, ""g""), ""3"","""")"),"3")</f>
        <v>3</v>
      </c>
      <c r="AA112" s="245" t="str">
        <f>IFERROR(__xludf.DUMMYFUNCTION("IF(REGEXMATCH(C112, ""G""), ""4"","""")"),"")</f>
        <v/>
      </c>
      <c r="AB112" s="245" t="str">
        <f>IFERROR(__xludf.DUMMYFUNCTION("IF(REGEXMATCH(C112, ""m""), ""5"","""")"),"5")</f>
        <v>5</v>
      </c>
      <c r="AC112" s="246" t="str">
        <f>IFERROR(__xludf.DUMMYFUNCTION("IF(REGEXMATCH(C112, ""M""), ""6"","""")"),"")</f>
        <v/>
      </c>
      <c r="AD112" s="245" t="str">
        <f>IFERROR(__xludf.DUMMYFUNCTION("IF(REGEXMATCH(C112, ""P""), ""7"","""")"),"7")</f>
        <v>7</v>
      </c>
      <c r="AE112" s="246" t="str">
        <f>IFERROR(__xludf.DUMMYFUNCTION("IF(REGEXMATCH(C112, ""d""), ""8"","""")"),"8")</f>
        <v>8</v>
      </c>
      <c r="AF112" s="245" t="str">
        <f>IFERROR(__xludf.DUMMYFUNCTION("IF(REGEXMATCH(C112, ""D""), ""9"","""")"),"")</f>
        <v/>
      </c>
      <c r="AG112" s="245" t="str">
        <f>IFERROR(__xludf.DUMMYFUNCTION("IF(REGEXMATCH(C112, ""n""), ""10"","""")"),"10")</f>
        <v>10</v>
      </c>
      <c r="AH112" s="246" t="str">
        <f>IFERROR(__xludf.DUMMYFUNCTION("IF(REGEXMATCH(C112, ""N""), ""11"","""")"),"")</f>
        <v/>
      </c>
      <c r="AI112" s="249" t="str">
        <f>IFERROR(__xludf.DUMMYFUNCTION("IF(REGEXMATCH(C112, ""S""), ""0"","""")"),"0")</f>
        <v>0</v>
      </c>
      <c r="AJ112" s="313" t="str">
        <f t="shared" si="11"/>
        <v>-</v>
      </c>
      <c r="AK112" s="313" t="str">
        <f t="shared" si="12"/>
        <v>T</v>
      </c>
      <c r="AL112" s="313" t="str">
        <f t="shared" si="13"/>
        <v>T</v>
      </c>
      <c r="AM112" s="313" t="str">
        <f t="shared" si="14"/>
        <v>-</v>
      </c>
      <c r="AN112" s="313" t="str">
        <f t="shared" si="15"/>
        <v>-</v>
      </c>
      <c r="AO112" s="314" t="str">
        <f t="shared" si="16"/>
        <v>-</v>
      </c>
      <c r="AP112" s="316">
        <f t="shared" si="17"/>
        <v>2</v>
      </c>
      <c r="AQ112" s="319" t="str">
        <f t="shared" si="18"/>
        <v>-</v>
      </c>
      <c r="AR112" s="320">
        <f t="shared" si="19"/>
        <v>0</v>
      </c>
      <c r="AS112" s="250" t="str">
        <f>IFERROR(__xludf.DUMMYFUNCTION("SUBSTITUTE(SUBSTITUTE(CONCATENATE(JOIN("""",FP112:GA112)),""|"",""x""),""-"",""o"")"),"xxxxoxoxxoxo")</f>
        <v>xxxxoxoxxoxo</v>
      </c>
      <c r="AT112" s="323" t="str">
        <f>IFERROR(__xludf.DUMMYFUNCTION("JOIN("""",AS112,AS112)"),"xxxxoxoxxoxoxxxxoxoxxoxo")</f>
        <v>xxxxoxoxxoxoxxxxoxoxxoxo</v>
      </c>
      <c r="AU112" s="256" t="str">
        <f>IFERROR(__xludf.DUMMYFUNCTION("JOIN("""",ArrayFormula(MID(AS112,LEN(AS112)-SEQUENCE(1,LEN(AS112))+1,1)))"),"oxoxxoxoxxxx")</f>
        <v>oxoxxoxoxxxx</v>
      </c>
      <c r="AV112" s="256" t="str">
        <f>IFERROR(__xludf.DUMMYFUNCTION("LEFT(CONCATENATE(""x"",JOIN("""",ArrayFormula(MID(AS112,LEN(AS112)-SEQUENCE(1,LEN(AS112))+1,1)))),12)"),"xoxoxxoxoxxx")</f>
        <v>xoxoxxoxoxxx</v>
      </c>
      <c r="AW112" s="327" t="str">
        <f>IFERROR(__xludf.DUMMYFUNCTION("JOIN("""",AU112,AU112)"),"oxoxxoxoxxxxoxoxxoxoxxxx")</f>
        <v>oxoxxoxoxxxxoxoxxoxoxxxx</v>
      </c>
      <c r="AX112" s="239" t="str">
        <f>IFERROR(__xludf.DUMMYFUNCTION("IF(REGEXMATCH(AW112,AS112),""✔"",""-"")"),"✔")</f>
        <v>✔</v>
      </c>
      <c r="AY112" s="330" t="str">
        <f t="shared" si="20"/>
        <v>-</v>
      </c>
      <c r="AZ112" s="260" t="str">
        <f t="shared" si="21"/>
        <v>#REF!</v>
      </c>
      <c r="BA112" s="333" t="str">
        <f t="shared" si="22"/>
        <v>xxxxoxo</v>
      </c>
      <c r="BB112" s="334" t="str">
        <f t="shared" si="23"/>
        <v>xxoxox</v>
      </c>
      <c r="BC112" s="335" t="str">
        <f t="shared" si="236"/>
        <v>-</v>
      </c>
      <c r="BD112" s="336" t="str">
        <f t="shared" si="25"/>
        <v>Gandhari: 'xxxxoxo' + 'xxoxox'</v>
      </c>
      <c r="BE112" s="337">
        <f>IFERROR(__xludf.DUMMYFUNCTION("COUNTUNIQUE(FILTER(AT:AT,REGEXMATCH(AT:AT,AS112)))-1"),3.0)</f>
        <v>3</v>
      </c>
      <c r="BF112" s="261" t="str">
        <f>IFERROR(__xludf.DUMMYFUNCTION("IF(BI112=0,""(n/a)"",IF(BJ112=2,""(PAIR)"",IF(REGEXMATCH(AT112,""xoxoxxoxoxox""),""Bilawal"",IF(REGEXMATCH(AT112,""xoxoxooxoxoo""),""Bhupali"",IF(REGEXMATCH(AT112,""xoxoxxoxxoxo""),""Charukeshi"",IF(REGEXMATCH(AT112,""xoxoooxxoxxo""),""Kameshwari"",IF(REG"&amp;"EXMATCH(AT112,""xoxoxooxoxox""),""Shankara"",IF(REGEXMATCH(AT112,""xxooxoxxxoox""),""Basant"",IF(REGEXMATCH(AT112,""xoxoxxxxoxox""),""Bihag"",IF(REGEXMATCH(AT112,""xoxxxxoxoxxx""),""Pilu"",IF(REGEXMATCH(AT112,""xoxxoxoxxoox""),""Kirwani"",IF(REGEXMATCH(AT"&amp;"112,""xoxxoxoxoxxx""),""Mk.Malhar"",IF(REGEXMATCH(AT112,""xxooxxoxxoox""),""Bhairav"",IF(REGEXMATCH(AT112,""xxoxooxxxoox""),""Todi"",IF(REGEXMATCH(AT112,""xxooxoxooxox""),""Marwa"",IF(REGEXMATCH(AT112,""xxoooxoxxooo""),""Gunkali"",IF(REGEXMATCH(AT112,""xo"&amp;"xoxxoxxoox""),""Nat Bhairav"",IF(REGEXMATCH(AT112,""xoxxoooxoxoo""),""Shivranjani"",IF(REGEXMATCH(AT112,""xooxxxoxooxo""),""Jog"",IF(REGEXMATCH(AT112,""xxooxoxoxoox""),""Hemshri"",IF(REGEXMATCH(AT112,""xoooxooxoxxo""),""Kalavati"",IF(REGEXMATCH(AT112,""xx"&amp;"oxoxxoxoox""),""Kedar"",IF(REGEXMATCH(AT112,""xoxxxxoxooxx""),""Gara"",IF(REGEXMATCH(AT112,""xooxoxooxoox""),""Chandrakauns"",IF(REGEXMATCH(AT112,""xoxxxxoxxxox""),""Mand"",IF(REGEXMATCH(AT112,""xoxxxxoxoxox""),""Hanskinkini"",IF(REGEXMATCH(AT112,""xxooxx"&amp;"oxooxo""),""Lilavati"",IF(REGEXMATCH(AT112,""xooxoxoooxox""),""Rajeshwari"",IF(REGEXMATCH(AT112,""xoooxxoxoxxx""),""Khokar"",IF(REGEXMATCH(AT112,""xxooxoxxxxox""),""Maligoura"",""-""))))))))))))))))))))))))))))))"),"Bihag")</f>
        <v>Bihag</v>
      </c>
      <c r="BG112" s="239" t="str">
        <f t="shared" si="26"/>
        <v>#REF!</v>
      </c>
      <c r="BH112" s="239">
        <f>IFERROR(__xludf.DUMMYFUNCTION("COUNTUNIQUE(FE112:FO112)-1"),7.0)</f>
        <v>7</v>
      </c>
      <c r="BI112" s="239">
        <f>IFERROR(__xludf.DUMMYFUNCTION("COUNTUNIQUE(FILTER(AT:AT,REGEXMATCH(AT:AT,AS112)))-1"),3.0)</f>
        <v>3</v>
      </c>
      <c r="BJ112" s="239">
        <f>IFERROR(__xludf.DUMMYFUNCTION("COUNTA(FILTER(AT:AT,REGEXMATCH(AT:AT,AS112)))"),36.0)</f>
        <v>36</v>
      </c>
      <c r="BK112" s="341">
        <f>IFERROR(__xludf.DUMMYFUNCTION("COUNTA(FILTER(AT:AT,REGEXMATCH(AT:AT,AS112)))-AR112"),36.0)</f>
        <v>36</v>
      </c>
      <c r="BL112" s="276" t="str">
        <f>IFERROR(__xludf.DUMMYFUNCTION("IF(AS112=""oooooooooooo"",""-"",IF(REGEXMATCH(AT112,""xx""), ""Hemi."", ""Anhemi.""))"),"Hemi.")</f>
        <v>Hemi.</v>
      </c>
      <c r="BM112" s="282" t="str">
        <f>IFERROR(__xludf.DUMMYFUNCTION("IF(AS112=""oooooooooooo"",""-"",IF(REGEXMATCH(AT112,""xxx""), ""Cohem."", ""-""))"),"Cohem.")</f>
        <v>Cohem.</v>
      </c>
      <c r="BN112" s="282" t="str">
        <f>IFERROR(__xludf.DUMMYFUNCTION("IF(AS112=""oooooooooooo"",""-"",IF(REGEXMATCH(AT112,""xxxx""), ""Co-Co."", ""-""))"),"Co-Co.")</f>
        <v>Co-Co.</v>
      </c>
      <c r="BO112" s="342" t="str">
        <f>IFERROR(__xludf.DUMMYFUNCTION("IF(AS112=""oooooooooooo"",""-"",IF(REGEXMATCH(AT112,""xxxxx""), ""CCC."", ""-""))"),"-")</f>
        <v>-</v>
      </c>
      <c r="BP112" s="344" t="str">
        <f t="shared" si="27"/>
        <v>-</v>
      </c>
      <c r="BQ112" s="282" t="str">
        <f>IFERROR(__xludf.DUMMYFUNCTION("IF(REGEXMATCH(JOIN(""-"",EU112:FD112),""TRUE""),""✔"",""-"")"),"-")</f>
        <v>-</v>
      </c>
      <c r="BR112" s="225">
        <f t="shared" si="28"/>
        <v>0</v>
      </c>
      <c r="BS112" s="345" t="str">
        <f>IFERROR(__xludf.DUMMYFUNCTION("SUBSTITUTE(SUBSTITUTE(SUBSTITUTE(SUBSTITUTE(CONCATENATE(JOIN(""-"",GC112:GO112)),""--"",""-""),""--"",""-""),""--"",""-""),""--"",""-"")"),"1-b2-2-b3-4-5-b6-b7-8")</f>
        <v>1-b2-2-b3-4-5-b6-b7-8</v>
      </c>
      <c r="BT112" s="299" t="str">
        <f>IFERROR(__xludf.DUMMYFUNCTION("SUBSTITUTE(SUBSTITUTE(SUBSTITUTE(SUBSTITUTE(CONCATENATE(JOIN(""-"",GP112:HB112)),""--"",""-""),""--"",""-""),""--"",""-""),""--"",""-"")"),"S-R1-R2-G2-M1-P-D1-N2-S")</f>
        <v>S-R1-R2-G2-M1-P-D1-N2-S</v>
      </c>
      <c r="BU112" s="348" t="str">
        <f t="shared" si="29"/>
        <v>C-Db-D-Eb-F-G-Ab-Bb-C</v>
      </c>
      <c r="BV112" s="349" t="str">
        <f t="shared" si="30"/>
        <v>SGMDNS</v>
      </c>
      <c r="BW112" s="350">
        <f t="shared" si="31"/>
        <v>1</v>
      </c>
      <c r="BX112" s="351">
        <f t="shared" si="32"/>
        <v>3</v>
      </c>
      <c r="BY112" s="352" t="s">
        <v>275</v>
      </c>
      <c r="BZ112" s="309" t="str">
        <f>IFERROR(__xludf.DUMMYFUNCTION("IF(REGEXMATCH(C112, ""S""), ""x"",""x"")"),"x")</f>
        <v>x</v>
      </c>
      <c r="CA112" s="245" t="str">
        <f>IFERROR(__xludf.DUMMYFUNCTION("IF(REGEXMATCH(C112, ""r""), ""o"",""x"")"),"o")</f>
        <v>o</v>
      </c>
      <c r="CB112" s="246" t="str">
        <f>IFERROR(__xludf.DUMMYFUNCTION("IF(REGEXMATCH(C112, ""R""), ""o"",""x"")"),"o")</f>
        <v>o</v>
      </c>
      <c r="CC112" s="246" t="str">
        <f>IFERROR(__xludf.DUMMYFUNCTION("IF(REGEXMATCH(C112, ""g""), ""o"",""x"")"),"o")</f>
        <v>o</v>
      </c>
      <c r="CD112" s="245" t="str">
        <f>IFERROR(__xludf.DUMMYFUNCTION("IF(REGEXMATCH(C112, ""G""), ""o"",""x"")"),"x")</f>
        <v>x</v>
      </c>
      <c r="CE112" s="245" t="str">
        <f>IFERROR(__xludf.DUMMYFUNCTION("IF(REGEXMATCH(C112, ""m""), ""o"",""x"")"),"o")</f>
        <v>o</v>
      </c>
      <c r="CF112" s="246" t="str">
        <f>IFERROR(__xludf.DUMMYFUNCTION("IF(REGEXMATCH(C112, ""M""), ""o"",""x"")"),"x")</f>
        <v>x</v>
      </c>
      <c r="CG112" s="245" t="str">
        <f>IFERROR(__xludf.DUMMYFUNCTION("IF(REGEXMATCH(C112, ""P""), ""o"",""x"")"),"o")</f>
        <v>o</v>
      </c>
      <c r="CH112" s="246" t="str">
        <f>IFERROR(__xludf.DUMMYFUNCTION("IF(REGEXMATCH(C112, ""d""), ""o"",""x"")"),"o")</f>
        <v>o</v>
      </c>
      <c r="CI112" s="245" t="str">
        <f>IFERROR(__xludf.DUMMYFUNCTION("IF(REGEXMATCH(C112, ""D""), ""o"",""x"")"),"x")</f>
        <v>x</v>
      </c>
      <c r="CJ112" s="245" t="str">
        <f>IFERROR(__xludf.DUMMYFUNCTION("IF(REGEXMATCH(C112, ""n""), ""o"",""x"")"),"o")</f>
        <v>o</v>
      </c>
      <c r="CK112" s="245" t="str">
        <f>IFERROR(__xludf.DUMMYFUNCTION("IF(REGEXMATCH(C112, ""N""), ""o"",""x"")"),"x")</f>
        <v>x</v>
      </c>
      <c r="CL112" s="356" t="str">
        <f>IFERROR(__xludf.DUMMYFUNCTION("IF(REGEXMATCH(C112, ""S""), ""x"",""x"")"),"x")</f>
        <v>x</v>
      </c>
      <c r="CM112" s="357" t="str">
        <f t="shared" si="33"/>
        <v>xoooxoxooxox</v>
      </c>
      <c r="CN112" s="358">
        <f t="shared" si="34"/>
        <v>1</v>
      </c>
      <c r="CO112" s="246" t="str">
        <f>IFERROR(__xludf.DUMMYFUNCTION("IF(REGEXMATCH($C112, ""S""), ""S"",""S"")"),"S")</f>
        <v>S</v>
      </c>
      <c r="CP112" s="246" t="str">
        <f>IFERROR(__xludf.DUMMYFUNCTION("IF(REGEXMATCH($C112, ""r""), """",""r"")"),"")</f>
        <v/>
      </c>
      <c r="CQ112" s="246" t="str">
        <f>IFERROR(__xludf.DUMMYFUNCTION("IF(REGEXMATCH($C112, ""R""), """",""R"")"),"")</f>
        <v/>
      </c>
      <c r="CR112" s="246" t="str">
        <f>IFERROR(__xludf.DUMMYFUNCTION("IF(REGEXMATCH($C112, ""g""), """",""g"")"),"")</f>
        <v/>
      </c>
      <c r="CS112" s="246" t="str">
        <f>IFERROR(__xludf.DUMMYFUNCTION("IF(REGEXMATCH($C112, ""G""), """",""G"")"),"G")</f>
        <v>G</v>
      </c>
      <c r="CT112" s="246" t="str">
        <f>IFERROR(__xludf.DUMMYFUNCTION("IF(REGEXMATCH($C112, ""m""), """",""m"")"),"")</f>
        <v/>
      </c>
      <c r="CU112" s="246" t="str">
        <f>IFERROR(__xludf.DUMMYFUNCTION("IF(REGEXMATCH($C112, ""M""), """",""M"")"),"M")</f>
        <v>M</v>
      </c>
      <c r="CV112" s="246" t="str">
        <f>IFERROR(__xludf.DUMMYFUNCTION("IF(REGEXMATCH($C112, ""P""), """",""P"")"),"")</f>
        <v/>
      </c>
      <c r="CW112" s="246" t="str">
        <f>IFERROR(__xludf.DUMMYFUNCTION("IF(REGEXMATCH($C112, ""d""), """",""d"")"),"")</f>
        <v/>
      </c>
      <c r="CX112" s="246" t="str">
        <f>IFERROR(__xludf.DUMMYFUNCTION("IF(REGEXMATCH($C112, ""D""), """",""D"")"),"D")</f>
        <v>D</v>
      </c>
      <c r="CY112" s="246" t="str">
        <f>IFERROR(__xludf.DUMMYFUNCTION("IF(REGEXMATCH($C112, ""n""), """",""n"")"),"")</f>
        <v/>
      </c>
      <c r="CZ112" s="246" t="str">
        <f>IFERROR(__xludf.DUMMYFUNCTION("IF(REGEXMATCH($C112, ""N""), """",""N"")"),"N")</f>
        <v>N</v>
      </c>
      <c r="DA112" s="246" t="str">
        <f>IFERROR(__xludf.DUMMYFUNCTION("IF(REGEXMATCH($C112, ""S""), ""S"",""S"")"),"S")</f>
        <v>S</v>
      </c>
      <c r="DB112" s="362" t="str">
        <f>IFERROR(__xludf.DUMMYFUNCTION("JOIN("""",CO112:DA112,"""","""")"),"SGMDNS")</f>
        <v>SGMDNS</v>
      </c>
      <c r="DC112" s="363"/>
      <c r="DD112" s="301" t="str">
        <f t="shared" si="35"/>
        <v>#REF!</v>
      </c>
      <c r="DE112" s="302" t="str">
        <f t="shared" si="36"/>
        <v>#REF!</v>
      </c>
      <c r="DF112" s="301" t="str">
        <f t="shared" ref="DF112:DG112" si="425">SUBSTITUTE(S112,"-","")</f>
        <v>SRGM</v>
      </c>
      <c r="DG112" s="301" t="str">
        <f t="shared" si="425"/>
        <v>PDNS</v>
      </c>
      <c r="DH112" s="302" t="str">
        <f t="shared" si="38"/>
        <v>Bihag</v>
      </c>
      <c r="DI112" s="301" t="str">
        <f t="shared" si="39"/>
        <v>Hemi.</v>
      </c>
      <c r="DJ112" s="364" t="str">
        <f t="shared" si="40"/>
        <v>Co-Co.</v>
      </c>
      <c r="DK112" s="306" t="str">
        <f t="shared" si="41"/>
        <v>-</v>
      </c>
      <c r="DL112" s="366" t="str">
        <f t="shared" si="42"/>
        <v>-</v>
      </c>
      <c r="DM112" s="308" t="str">
        <f t="shared" si="43"/>
        <v>✔</v>
      </c>
      <c r="DN112" s="306" t="str">
        <f t="shared" si="44"/>
        <v>-</v>
      </c>
      <c r="DO112" s="306" t="str">
        <f t="shared" si="45"/>
        <v>-</v>
      </c>
      <c r="DP112" s="367" t="str">
        <f t="shared" si="46"/>
        <v>-</v>
      </c>
      <c r="DQ112" s="310" t="str">
        <f t="shared" si="47"/>
        <v>✔</v>
      </c>
      <c r="DR112" s="310" t="str">
        <f t="shared" si="48"/>
        <v>-</v>
      </c>
      <c r="DS112" s="310" t="str">
        <f t="shared" si="49"/>
        <v>-</v>
      </c>
      <c r="DT112" s="310" t="str">
        <f t="shared" si="50"/>
        <v>-</v>
      </c>
      <c r="DU112" s="370" t="str">
        <f t="shared" si="51"/>
        <v>-</v>
      </c>
      <c r="DV112" s="306" t="str">
        <f t="shared" si="52"/>
        <v>-</v>
      </c>
      <c r="DW112" s="306" t="str">
        <f t="shared" si="53"/>
        <v>-</v>
      </c>
      <c r="DX112" s="306" t="str">
        <f t="shared" si="54"/>
        <v>-</v>
      </c>
      <c r="DY112" s="306" t="str">
        <f t="shared" si="55"/>
        <v>-</v>
      </c>
      <c r="DZ112" s="306" t="str">
        <f t="shared" si="56"/>
        <v>-</v>
      </c>
      <c r="EA112" s="367" t="str">
        <f t="shared" si="57"/>
        <v>-</v>
      </c>
      <c r="EB112" s="310" t="str">
        <f>IFERROR(__xludf.DUMMYFUNCTION("IF(REGEXMATCH(AW112,AS112),""✔"",""-"")"),"✔")</f>
        <v>✔</v>
      </c>
      <c r="EC112" s="310" t="str">
        <f t="shared" si="58"/>
        <v>#REF!</v>
      </c>
      <c r="ED112" s="370" t="str">
        <f t="shared" si="59"/>
        <v>-</v>
      </c>
      <c r="EE112" s="340" t="str">
        <f t="shared" si="60"/>
        <v>S-rR-g-m-P-d-n-S</v>
      </c>
      <c r="EF112" s="371" t="str">
        <f>IFERROR(__xludf.DUMMYFUNCTION("CONCATENATE(JOIN("""",HC112:HO112))"),"SRGmPDnNS")</f>
        <v>SRGmPDnNS</v>
      </c>
      <c r="EG112" s="372">
        <f t="shared" si="61"/>
        <v>1</v>
      </c>
      <c r="EH112" s="373" t="str">
        <f>IFERROR(__xludf.DUMMYFUNCTION("CONCATENATE(JOIN("""",JC112:JO112))"),"Re, ")</f>
        <v>Re, </v>
      </c>
      <c r="EI112" s="322">
        <f t="shared" si="62"/>
        <v>0</v>
      </c>
      <c r="EJ112" s="374" t="str">
        <f>IFERROR(__xludf.DUMMYFUNCTION("CONCATENATE(JOIN("""",KC112:KO112))"),"")</f>
        <v/>
      </c>
      <c r="EK112" s="325" t="str">
        <f t="shared" si="63"/>
        <v>S-R1-R2-G2-M1-P-D1-N2-S</v>
      </c>
      <c r="EL112" s="326" t="str">
        <f t="shared" si="64"/>
        <v>1-b2-2-b3-4-5-b6-b7-8</v>
      </c>
      <c r="EM112" s="318" t="str">
        <f t="shared" si="65"/>
        <v>#REF!</v>
      </c>
      <c r="EN112" s="328" t="str">
        <f>IFERROR(__xludf.DUMMYFUNCTION("SUBSTITUTE(SUBSTITUTE(SUBSTITUTE(SUBSTITUTE(CONCATENATE(JOIN("" "",HP112:IB112)),""  "","" ""),""  "","" ""),""  "","" ""),""  "","" "")"),"o o o o • o • o o • o • o")</f>
        <v>o o o o • o • o o • o • o</v>
      </c>
      <c r="EO112" s="368" t="str">
        <f t="shared" si="66"/>
        <v>-</v>
      </c>
      <c r="EP112" s="339" t="str">
        <f t="shared" si="67"/>
        <v>-</v>
      </c>
      <c r="EQ112" s="339" t="str">
        <f t="shared" si="68"/>
        <v>Sa-Pa</v>
      </c>
      <c r="ER112" s="339" t="str">
        <f t="shared" si="69"/>
        <v>-</v>
      </c>
      <c r="ES112" s="340" t="str">
        <f t="shared" si="70"/>
        <v>-</v>
      </c>
      <c r="ET112" s="363"/>
      <c r="EU112" s="376" t="b">
        <f>IFERROR(__xludf.DUMMYFUNCTION("arrayformula(sum(--REGEXMATCH(""SRGMPDNS"",split(REGEXREPLACE(C112,""(.)"",""$1~""),""~""))))=len(C112)
"),FALSE)</f>
        <v>0</v>
      </c>
      <c r="EV112" s="290" t="b">
        <f>IFERROR(__xludf.DUMMYFUNCTION("arrayformula(sum(--REGEXMATCH(""SRGmPDNS"",split(REGEXREPLACE(C112,""(.)"",""$1~""),""~""))))=len(C112)"),FALSE)</f>
        <v>0</v>
      </c>
      <c r="EW112" s="290" t="b">
        <f>IFERROR(__xludf.DUMMYFUNCTION("arrayformula(sum(--REGEXMATCH(""SRGmPDnS"",split(REGEXREPLACE(C112,""(.)"",""$1~""),""~""))))=len(C112)"),FALSE)</f>
        <v>0</v>
      </c>
      <c r="EX112" s="290" t="b">
        <f>IFERROR(__xludf.DUMMYFUNCTION("arrayformula(sum(--REGEXMATCH(""SRgmPDnS"",split(REGEXREPLACE(C112,""(.)"",""$1~""),""~""))))=len(C112)"),FALSE)</f>
        <v>0</v>
      </c>
      <c r="EY112" s="290" t="b">
        <f>IFERROR(__xludf.DUMMYFUNCTION("arrayformula(sum(--REGEXMATCH(""SRgmPdnS"",split(REGEXREPLACE(C112,""(.)"",""$1~""),""~""))))=len(C112)"),FALSE)</f>
        <v>0</v>
      </c>
      <c r="EZ112" s="290" t="b">
        <f>IFERROR(__xludf.DUMMYFUNCTION("arrayformula(sum(--REGEXMATCH(""SrgmPdnS"",split(REGEXREPLACE(C112,""(.)"",""$1~""),""~""))))=len(C112)"),FALSE)</f>
        <v>0</v>
      </c>
      <c r="FA112" s="290" t="b">
        <f>IFERROR(__xludf.DUMMYFUNCTION("arrayformula(sum(--REGEXMATCH(""SrGmPdNS"",split(REGEXREPLACE(C112,""(.)"",""$1~""),""~""))))=len(C112)"),FALSE)</f>
        <v>0</v>
      </c>
      <c r="FB112" s="290" t="b">
        <f>IFERROR(__xludf.DUMMYFUNCTION("arrayformula(sum(--REGEXMATCH(""SrGMPDNS"",split(REGEXREPLACE(C112,""(.)"",""$1~""),""~""))))=len(C112)"),FALSE)</f>
        <v>0</v>
      </c>
      <c r="FC112" s="290" t="b">
        <f>IFERROR(__xludf.DUMMYFUNCTION("arrayformula(sum(--REGEXMATCH(""SrGMPdNS"",split(REGEXREPLACE(C112,""(.)"",""$1~""),""~""))))=len(C112)"),FALSE)</f>
        <v>0</v>
      </c>
      <c r="FD112" s="377" t="b">
        <f>IFERROR(__xludf.DUMMYFUNCTION("arrayformula(sum(--REGEXMATCH(""SrgMPdNS"",split(REGEXREPLACE(C112,""(.)"",""$1~""),""~""))))=len(C112)"),FALSE)</f>
        <v>0</v>
      </c>
      <c r="FE112" s="269" t="str">
        <f t="shared" si="71"/>
        <v>xxxoxoxxoxo</v>
      </c>
      <c r="FF112" s="269" t="str">
        <f t="shared" si="72"/>
        <v>xxoxoxxoxox</v>
      </c>
      <c r="FG112" s="271" t="str">
        <f t="shared" si="73"/>
        <v>xoxoxxoxoxx</v>
      </c>
      <c r="FH112" s="269" t="str">
        <f t="shared" si="74"/>
        <v>-</v>
      </c>
      <c r="FI112" s="271" t="str">
        <f t="shared" si="75"/>
        <v>xoxxoxoxxxx</v>
      </c>
      <c r="FJ112" s="271" t="str">
        <f t="shared" si="76"/>
        <v>-</v>
      </c>
      <c r="FK112" s="271" t="str">
        <f t="shared" si="77"/>
        <v>xxoxoxxxxox</v>
      </c>
      <c r="FL112" s="271" t="str">
        <f t="shared" si="78"/>
        <v>xoxoxxxxoxo</v>
      </c>
      <c r="FM112" s="271" t="str">
        <f t="shared" si="79"/>
        <v>-</v>
      </c>
      <c r="FN112" s="271" t="str">
        <f t="shared" si="80"/>
        <v>xoxxxxoxoxx</v>
      </c>
      <c r="FO112" s="274" t="str">
        <f t="shared" si="81"/>
        <v>-</v>
      </c>
      <c r="FP112" s="234" t="str">
        <f t="shared" si="82"/>
        <v>|</v>
      </c>
      <c r="FQ112" s="236" t="str">
        <f t="shared" si="83"/>
        <v>|</v>
      </c>
      <c r="FR112" s="237" t="str">
        <f t="shared" si="84"/>
        <v>|</v>
      </c>
      <c r="FS112" s="236" t="str">
        <f t="shared" si="85"/>
        <v>|</v>
      </c>
      <c r="FT112" s="237" t="str">
        <f t="shared" si="86"/>
        <v>-</v>
      </c>
      <c r="FU112" s="236" t="str">
        <f t="shared" si="87"/>
        <v>|</v>
      </c>
      <c r="FV112" s="237" t="str">
        <f t="shared" si="88"/>
        <v>-</v>
      </c>
      <c r="FW112" s="236" t="str">
        <f t="shared" si="89"/>
        <v>|</v>
      </c>
      <c r="FX112" s="237" t="str">
        <f t="shared" si="90"/>
        <v>|</v>
      </c>
      <c r="FY112" s="236" t="str">
        <f t="shared" si="91"/>
        <v>-</v>
      </c>
      <c r="FZ112" s="237" t="str">
        <f t="shared" si="92"/>
        <v>|</v>
      </c>
      <c r="GA112" s="236" t="str">
        <f t="shared" si="93"/>
        <v>-</v>
      </c>
      <c r="GB112" s="238" t="str">
        <f t="shared" si="94"/>
        <v>|</v>
      </c>
      <c r="GC112" s="244" t="str">
        <f>IFERROR(__xludf.DUMMYFUNCTION("IF(REGEXMATCH(C112, ""S""), ""1"","""")"),"1")</f>
        <v>1</v>
      </c>
      <c r="GD112" s="245" t="str">
        <f>IFERROR(__xludf.DUMMYFUNCTION("IF(REGEXMATCH(C112, ""r""), ""b2"","""")"),"b2")</f>
        <v>b2</v>
      </c>
      <c r="GE112" s="246" t="str">
        <f>IFERROR(__xludf.DUMMYFUNCTION("IF(REGEXMATCH(C112, ""R""), ""2"","""")"),"2")</f>
        <v>2</v>
      </c>
      <c r="GF112" s="246" t="str">
        <f>IFERROR(__xludf.DUMMYFUNCTION("IF(REGEXMATCH(C112, ""g""), ""b3"","""")"),"b3")</f>
        <v>b3</v>
      </c>
      <c r="GG112" s="245" t="str">
        <f>IFERROR(__xludf.DUMMYFUNCTION("IF(REGEXMATCH(C112, ""G""), ""3"","""")"),"")</f>
        <v/>
      </c>
      <c r="GH112" s="245" t="str">
        <f>IFERROR(__xludf.DUMMYFUNCTION("IF(REGEXMATCH(C112, ""m""), ""4"","""")"),"4")</f>
        <v>4</v>
      </c>
      <c r="GI112" s="246" t="str">
        <f>IFERROR(__xludf.DUMMYFUNCTION("IF(REGEXMATCH(C112, ""M""), ""#4"","""")"),"")</f>
        <v/>
      </c>
      <c r="GJ112" s="245" t="str">
        <f>IFERROR(__xludf.DUMMYFUNCTION("IF(REGEXMATCH(C112, ""P""), ""5"","""")"),"5")</f>
        <v>5</v>
      </c>
      <c r="GK112" s="246" t="str">
        <f>IFERROR(__xludf.DUMMYFUNCTION("IF(REGEXMATCH(C112, ""d""), ""b6"","""")"),"b6")</f>
        <v>b6</v>
      </c>
      <c r="GL112" s="245" t="str">
        <f>IFERROR(__xludf.DUMMYFUNCTION("IF(REGEXMATCH(C112, ""D""), ""6"","""")"),"")</f>
        <v/>
      </c>
      <c r="GM112" s="245" t="str">
        <f>IFERROR(__xludf.DUMMYFUNCTION("IF(REGEXMATCH(C112, ""n""), ""b7"","""")"),"b7")</f>
        <v>b7</v>
      </c>
      <c r="GN112" s="246" t="str">
        <f>IFERROR(__xludf.DUMMYFUNCTION("IF(REGEXMATCH(C112, ""N""), ""7"","""")"),"")</f>
        <v/>
      </c>
      <c r="GO112" s="249" t="str">
        <f>IFERROR(__xludf.DUMMYFUNCTION("IF(REGEXMATCH(C112, ""S""), ""8"","""")"),"8")</f>
        <v>8</v>
      </c>
      <c r="GP112" s="244" t="str">
        <f>IFERROR(__xludf.DUMMYFUNCTION("IF(REGEXMATCH(C112, ""S""), ""S"","""")"),"S")</f>
        <v>S</v>
      </c>
      <c r="GQ112" s="294" t="str">
        <f>IFERROR(__xludf.DUMMYFUNCTION("IF(REGEXMATCH(C112, ""r""), ""R1"","""")"),"R1")</f>
        <v>R1</v>
      </c>
      <c r="GR112" s="295" t="str">
        <f>IFERROR(__xludf.DUMMYFUNCTION("IF(REGEXMATCH(C112, ""R""), ""R2"","""")"),"R2")</f>
        <v>R2</v>
      </c>
      <c r="GS112" s="295" t="str">
        <f>IFERROR(__xludf.DUMMYFUNCTION("IF(REGEXMATCH(C112, ""g""), ""G2"","""")"),"G2")</f>
        <v>G2</v>
      </c>
      <c r="GT112" s="294" t="str">
        <f>IFERROR(__xludf.DUMMYFUNCTION("IF(REGEXMATCH(C112, ""G""), ""G3"","""")"),"")</f>
        <v/>
      </c>
      <c r="GU112" s="294" t="str">
        <f>IFERROR(__xludf.DUMMYFUNCTION("IF(REGEXMATCH(C112, ""m""), ""M1"","""")"),"M1")</f>
        <v>M1</v>
      </c>
      <c r="GV112" s="295" t="str">
        <f>IFERROR(__xludf.DUMMYFUNCTION("IF(REGEXMATCH(C112, ""M""), ""M2"","""")"),"")</f>
        <v/>
      </c>
      <c r="GW112" s="294" t="str">
        <f>IFERROR(__xludf.DUMMYFUNCTION("IF(REGEXMATCH(C112, ""P""), ""P"","""")"),"P")</f>
        <v>P</v>
      </c>
      <c r="GX112" s="295" t="str">
        <f>IFERROR(__xludf.DUMMYFUNCTION("IF(REGEXMATCH(C112, ""d""), ""D1"","""")"),"D1")</f>
        <v>D1</v>
      </c>
      <c r="GY112" s="294" t="str">
        <f>IFERROR(__xludf.DUMMYFUNCTION("IF(REGEXMATCH(C112, ""D""), ""D2"","""")"),"")</f>
        <v/>
      </c>
      <c r="GZ112" s="294" t="str">
        <f>IFERROR(__xludf.DUMMYFUNCTION("IF(REGEXMATCH(C112, ""n""), ""N2"","""")"),"N2")</f>
        <v>N2</v>
      </c>
      <c r="HA112" s="295" t="str">
        <f>IFERROR(__xludf.DUMMYFUNCTION("IF(REGEXMATCH(C112, ""N""), ""N3"","""")"),"")</f>
        <v/>
      </c>
      <c r="HB112" s="249" t="str">
        <f>IFERROR(__xludf.DUMMYFUNCTION("IF(REGEXMATCH(C112, ""S""), ""S"","""")"),"S")</f>
        <v>S</v>
      </c>
      <c r="HC112" s="331" t="str">
        <f t="shared" si="95"/>
        <v>S</v>
      </c>
      <c r="HD112" s="332" t="str">
        <f t="shared" si="96"/>
        <v/>
      </c>
      <c r="HE112" s="332" t="str">
        <f t="shared" si="97"/>
        <v>R</v>
      </c>
      <c r="HF112" s="332" t="str">
        <f t="shared" si="98"/>
        <v/>
      </c>
      <c r="HG112" s="332" t="str">
        <f t="shared" si="99"/>
        <v>G</v>
      </c>
      <c r="HH112" s="332" t="str">
        <f t="shared" si="100"/>
        <v>m</v>
      </c>
      <c r="HI112" s="332" t="str">
        <f t="shared" si="101"/>
        <v/>
      </c>
      <c r="HJ112" s="332" t="str">
        <f t="shared" si="102"/>
        <v>P</v>
      </c>
      <c r="HK112" s="332" t="str">
        <f t="shared" si="103"/>
        <v/>
      </c>
      <c r="HL112" s="332" t="str">
        <f t="shared" si="104"/>
        <v>D</v>
      </c>
      <c r="HM112" s="332" t="str">
        <f t="shared" si="105"/>
        <v>n</v>
      </c>
      <c r="HN112" s="332" t="str">
        <f t="shared" si="106"/>
        <v>N</v>
      </c>
      <c r="HO112" s="343" t="str">
        <f t="shared" si="107"/>
        <v>S</v>
      </c>
      <c r="HP112" s="331" t="str">
        <f t="shared" si="108"/>
        <v>o</v>
      </c>
      <c r="HQ112" s="332" t="str">
        <f t="shared" si="109"/>
        <v>o</v>
      </c>
      <c r="HR112" s="332" t="str">
        <f t="shared" si="110"/>
        <v>o</v>
      </c>
      <c r="HS112" s="332" t="str">
        <f t="shared" si="111"/>
        <v>o</v>
      </c>
      <c r="HT112" s="332" t="str">
        <f t="shared" si="112"/>
        <v>•</v>
      </c>
      <c r="HU112" s="332" t="str">
        <f t="shared" si="113"/>
        <v>o</v>
      </c>
      <c r="HV112" s="332" t="str">
        <f t="shared" si="114"/>
        <v>•</v>
      </c>
      <c r="HW112" s="332" t="str">
        <f t="shared" si="115"/>
        <v>o</v>
      </c>
      <c r="HX112" s="332" t="str">
        <f t="shared" si="116"/>
        <v>o</v>
      </c>
      <c r="HY112" s="332" t="str">
        <f t="shared" si="117"/>
        <v>•</v>
      </c>
      <c r="HZ112" s="332" t="str">
        <f t="shared" si="118"/>
        <v>o</v>
      </c>
      <c r="IA112" s="332" t="str">
        <f t="shared" si="119"/>
        <v>•</v>
      </c>
      <c r="IB112" s="338" t="str">
        <f t="shared" si="120"/>
        <v>o</v>
      </c>
      <c r="IC112" s="331" t="str">
        <f t="shared" si="121"/>
        <v>•</v>
      </c>
      <c r="ID112" s="332" t="str">
        <f t="shared" si="122"/>
        <v>•</v>
      </c>
      <c r="IE112" s="332" t="str">
        <f t="shared" si="123"/>
        <v>•</v>
      </c>
      <c r="IF112" s="332" t="str">
        <f t="shared" si="124"/>
        <v>•</v>
      </c>
      <c r="IG112" s="332" t="str">
        <f t="shared" si="125"/>
        <v>o</v>
      </c>
      <c r="IH112" s="332" t="str">
        <f t="shared" si="126"/>
        <v>•</v>
      </c>
      <c r="II112" s="332" t="str">
        <f t="shared" si="127"/>
        <v>o</v>
      </c>
      <c r="IJ112" s="332" t="str">
        <f t="shared" si="128"/>
        <v>•</v>
      </c>
      <c r="IK112" s="332" t="str">
        <f t="shared" si="129"/>
        <v>•</v>
      </c>
      <c r="IL112" s="332" t="str">
        <f t="shared" si="130"/>
        <v>o</v>
      </c>
      <c r="IM112" s="332" t="str">
        <f t="shared" si="131"/>
        <v>•</v>
      </c>
      <c r="IN112" s="332" t="str">
        <f t="shared" si="132"/>
        <v>o</v>
      </c>
      <c r="IO112" s="338" t="str">
        <f t="shared" si="133"/>
        <v>•</v>
      </c>
      <c r="IP112" s="346" t="b">
        <f t="shared" si="134"/>
        <v>0</v>
      </c>
      <c r="IQ112" s="347" t="b">
        <f t="shared" si="135"/>
        <v>0</v>
      </c>
      <c r="IR112" s="347" t="b">
        <f t="shared" si="136"/>
        <v>1</v>
      </c>
      <c r="IS112" s="347" t="b">
        <f t="shared" si="137"/>
        <v>0</v>
      </c>
      <c r="IT112" s="347" t="b">
        <f t="shared" si="138"/>
        <v>0</v>
      </c>
      <c r="IU112" s="347" t="b">
        <f t="shared" si="139"/>
        <v>0</v>
      </c>
      <c r="IV112" s="347" t="b">
        <f t="shared" si="140"/>
        <v>0</v>
      </c>
      <c r="IW112" s="347" t="b">
        <f t="shared" si="141"/>
        <v>0</v>
      </c>
      <c r="IX112" s="347" t="b">
        <f t="shared" si="142"/>
        <v>0</v>
      </c>
      <c r="IY112" s="347" t="b">
        <f t="shared" si="143"/>
        <v>0</v>
      </c>
      <c r="IZ112" s="347" t="b">
        <f t="shared" si="144"/>
        <v>0</v>
      </c>
      <c r="JA112" s="347" t="b">
        <f t="shared" si="145"/>
        <v>0</v>
      </c>
      <c r="JB112" s="353" t="b">
        <f t="shared" si="146"/>
        <v>0</v>
      </c>
      <c r="JC112" s="354" t="str">
        <f t="shared" si="147"/>
        <v/>
      </c>
      <c r="JD112" s="355" t="str">
        <f t="shared" si="148"/>
        <v/>
      </c>
      <c r="JE112" s="355" t="str">
        <f t="shared" si="149"/>
        <v>Re, </v>
      </c>
      <c r="JF112" s="355" t="str">
        <f t="shared" si="150"/>
        <v/>
      </c>
      <c r="JG112" s="355" t="str">
        <f t="shared" si="151"/>
        <v/>
      </c>
      <c r="JH112" s="355" t="str">
        <f t="shared" si="152"/>
        <v/>
      </c>
      <c r="JI112" s="355" t="str">
        <f t="shared" si="153"/>
        <v/>
      </c>
      <c r="JJ112" s="355" t="str">
        <f t="shared" si="154"/>
        <v/>
      </c>
      <c r="JK112" s="355" t="str">
        <f t="shared" si="155"/>
        <v/>
      </c>
      <c r="JL112" s="355" t="str">
        <f t="shared" si="156"/>
        <v/>
      </c>
      <c r="JM112" s="355" t="str">
        <f t="shared" si="157"/>
        <v/>
      </c>
      <c r="JN112" s="355" t="str">
        <f t="shared" si="158"/>
        <v/>
      </c>
      <c r="JO112" s="359" t="str">
        <f t="shared" si="159"/>
        <v/>
      </c>
      <c r="JP112" s="346" t="b">
        <f t="shared" si="160"/>
        <v>0</v>
      </c>
      <c r="JQ112" s="347" t="b">
        <f t="shared" si="161"/>
        <v>0</v>
      </c>
      <c r="JR112" s="347" t="b">
        <f t="shared" si="162"/>
        <v>0</v>
      </c>
      <c r="JS112" s="347" t="b">
        <f t="shared" si="163"/>
        <v>0</v>
      </c>
      <c r="JT112" s="347" t="b">
        <f t="shared" si="164"/>
        <v>0</v>
      </c>
      <c r="JU112" s="347" t="b">
        <f t="shared" si="165"/>
        <v>0</v>
      </c>
      <c r="JV112" s="347" t="b">
        <f t="shared" si="166"/>
        <v>0</v>
      </c>
      <c r="JW112" s="347" t="b">
        <f t="shared" si="167"/>
        <v>0</v>
      </c>
      <c r="JX112" s="347" t="b">
        <f t="shared" si="168"/>
        <v>0</v>
      </c>
      <c r="JY112" s="347" t="b">
        <f t="shared" si="169"/>
        <v>0</v>
      </c>
      <c r="JZ112" s="347" t="b">
        <f t="shared" si="170"/>
        <v>0</v>
      </c>
      <c r="KA112" s="347" t="b">
        <f t="shared" si="171"/>
        <v>0</v>
      </c>
      <c r="KB112" s="365" t="b">
        <f t="shared" si="172"/>
        <v>0</v>
      </c>
      <c r="KC112" s="354" t="str">
        <f t="shared" si="173"/>
        <v/>
      </c>
      <c r="KD112" s="355" t="str">
        <f t="shared" si="174"/>
        <v/>
      </c>
      <c r="KE112" s="355" t="str">
        <f t="shared" si="175"/>
        <v/>
      </c>
      <c r="KF112" s="355" t="str">
        <f t="shared" si="176"/>
        <v/>
      </c>
      <c r="KG112" s="355" t="str">
        <f t="shared" si="177"/>
        <v/>
      </c>
      <c r="KH112" s="355" t="str">
        <f t="shared" si="178"/>
        <v/>
      </c>
      <c r="KI112" s="355" t="str">
        <f t="shared" si="179"/>
        <v/>
      </c>
      <c r="KJ112" s="355" t="str">
        <f t="shared" si="180"/>
        <v/>
      </c>
      <c r="KK112" s="355" t="str">
        <f t="shared" si="181"/>
        <v/>
      </c>
      <c r="KL112" s="355" t="str">
        <f t="shared" si="182"/>
        <v/>
      </c>
      <c r="KM112" s="355" t="str">
        <f t="shared" si="183"/>
        <v/>
      </c>
      <c r="KN112" s="355" t="str">
        <f t="shared" si="184"/>
        <v/>
      </c>
      <c r="KO112" s="359"/>
      <c r="KP112" s="378"/>
      <c r="KQ112" s="379" t="s">
        <v>405</v>
      </c>
      <c r="KR112" s="380" t="s">
        <v>1325</v>
      </c>
      <c r="KS112" s="381" t="str">
        <f t="shared" ref="KS112:KS114" si="428">KQ112</f>
        <v>S-R-g-m-P-d-n-S</v>
      </c>
      <c r="KT112" s="382">
        <f t="shared" si="186"/>
        <v>7</v>
      </c>
      <c r="KU112" s="383">
        <f t="shared" si="187"/>
        <v>7</v>
      </c>
      <c r="KV112" s="381" t="str">
        <f t="shared" si="205"/>
        <v>S-n-d-P-m-g-r-S</v>
      </c>
      <c r="KW112" s="382">
        <f t="shared" si="189"/>
        <v>7</v>
      </c>
      <c r="KX112" s="384">
        <f t="shared" si="190"/>
        <v>7</v>
      </c>
      <c r="KY112" s="382">
        <f t="shared" ref="KY112:KZ112" si="426">KW112-KT112</f>
        <v>0</v>
      </c>
      <c r="KZ112" s="369">
        <f t="shared" si="426"/>
        <v>0</v>
      </c>
      <c r="LA112" s="385" t="str">
        <f t="shared" si="192"/>
        <v>✔</v>
      </c>
      <c r="LB112" s="340" t="str">
        <f>IFERROR(__xludf.DUMMYFUNCTION("JOIN("""",ArrayFormula(MID(KS112,LEN(KS112)-SEQUENCE(1,LEN(KS112))+1,1)))"),"S-n-d-P-m-g-R-S")</f>
        <v>S-n-d-P-m-g-R-S</v>
      </c>
      <c r="LC112" s="373" t="str">
        <f>IFERROR(__xludf.DUMMYFUNCTION("JOIN("""",ArrayFormula(MID(KV112,LEN(KV112)-SEQUENCE(1,LEN(KV112))+1,1)))"),"S-r-g-m-P-d-n-S")</f>
        <v>S-r-g-m-P-d-n-S</v>
      </c>
      <c r="LD112" s="373" t="str">
        <f t="shared" si="193"/>
        <v>SRgmPdnS</v>
      </c>
      <c r="LE112" s="339" t="str">
        <f t="shared" si="194"/>
        <v>SrgmPdnS</v>
      </c>
      <c r="LF112" s="386" t="str">
        <f>IFERROR(__xludf.DUMMYFUNCTION("SUBSTITUTE(SUBSTITUTE(CONCATENATE(JOIN("""",LH112:LT112)),""1"",""""),""2"","""")"),"SrRgmPdnS")</f>
        <v>SrRgmPdnS</v>
      </c>
      <c r="LG112" s="369" t="str">
        <f t="shared" si="195"/>
        <v>✔</v>
      </c>
      <c r="LH112" s="387" t="str">
        <f>IFERROR(__xludf.DUMMYFUNCTION("IF(REGEXMATCH(LD112, ""S""), ""S"",IF(REGEXMATCH(LE112, ""S""), ""S"",""""))"),"S")</f>
        <v>S</v>
      </c>
      <c r="LI112" s="299" t="str">
        <f>IFERROR(__xludf.DUMMYFUNCTION("IF(REGEXMATCH(LD112, ""r""), ""r1"",IF(REGEXMATCH(LE112, ""r""), ""r2"",""""))"),"r2")</f>
        <v>r2</v>
      </c>
      <c r="LJ112" s="299" t="str">
        <f>IFERROR(__xludf.DUMMYFUNCTION("IF(REGEXMATCH(LD112, ""R""), ""R1"",IF(REGEXMATCH(LE112, ""R""), ""R2"",""""))"),"R1")</f>
        <v>R1</v>
      </c>
      <c r="LK112" s="299" t="str">
        <f>IFERROR(__xludf.DUMMYFUNCTION("IF(REGEXMATCH(LD112, ""g""), ""g1"",IF(REGEXMATCH(LE112, ""g""), ""g2"",""""))"),"g1")</f>
        <v>g1</v>
      </c>
      <c r="LL112" s="299" t="str">
        <f>IFERROR(__xludf.DUMMYFUNCTION("IF(REGEXMATCH(LD112, ""G""), ""G1"",IF(REGEXMATCH(LE112, ""G""), ""G2"",""""))"),"")</f>
        <v/>
      </c>
      <c r="LM112" s="299" t="str">
        <f>IFERROR(__xludf.DUMMYFUNCTION("IF(REGEXMATCH(LD112, ""m""), ""m1"",IF(REGEXMATCH(LE112, ""m""), ""m2"",""""))"),"m1")</f>
        <v>m1</v>
      </c>
      <c r="LN112" s="299" t="str">
        <f>IFERROR(__xludf.DUMMYFUNCTION("IF(REGEXMATCH(LD112, ""M""), ""M1"",IF(REGEXMATCH(LE112, ""M""), ""M2"",""""))"),"")</f>
        <v/>
      </c>
      <c r="LO112" s="299" t="str">
        <f>IFERROR(__xludf.DUMMYFUNCTION("IF(REGEXMATCH(LD112, ""P""), ""P1"",IF(REGEXMATCH(LE112, ""P""), ""P2"",""""))"),"P1")</f>
        <v>P1</v>
      </c>
      <c r="LP112" s="299" t="str">
        <f>IFERROR(__xludf.DUMMYFUNCTION("IF(REGEXMATCH(LD112, ""d""), ""d1"",IF(REGEXMATCH(LE112, ""d""), ""d2"",""""))"),"d1")</f>
        <v>d1</v>
      </c>
      <c r="LQ112" s="299" t="str">
        <f>IFERROR(__xludf.DUMMYFUNCTION("IF(REGEXMATCH(LD112, ""D""), ""D1"",IF(REGEXMATCH(LE112, ""D""), ""D2"",""""))"),"")</f>
        <v/>
      </c>
      <c r="LR112" s="299" t="str">
        <f>IFERROR(__xludf.DUMMYFUNCTION("IF(REGEXMATCH(LD112, ""n""), ""n1"",IF(REGEXMATCH(LE112, ""n""), ""n2"",""""))"),"n1")</f>
        <v>n1</v>
      </c>
      <c r="LS112" s="299" t="str">
        <f>IFERROR(__xludf.DUMMYFUNCTION("IF(REGEXMATCH(LD112, ""N""), ""N1"",IF(REGEXMATCH(LE112, ""N""), ""N2"",""""))"),"")</f>
        <v/>
      </c>
      <c r="LT112" s="388" t="str">
        <f>IFERROR(__xludf.DUMMYFUNCTION("IF(REGEXMATCH(LD112, ""S""), ""S"",IF(REGEXMATCH(LE112, ""S""), ""S"",""""))"),"S")</f>
        <v>S</v>
      </c>
      <c r="LU112" s="389">
        <f t="shared" si="196"/>
        <v>1</v>
      </c>
      <c r="LV112" s="378"/>
      <c r="LW112" s="369"/>
      <c r="LX112" s="369"/>
    </row>
    <row r="113" ht="18.0" customHeight="1">
      <c r="A113" s="298" t="s">
        <v>734</v>
      </c>
      <c r="B113" s="222" t="s">
        <v>735</v>
      </c>
      <c r="C113" s="233" t="str">
        <f t="shared" si="7"/>
        <v>SGmPdnS</v>
      </c>
      <c r="D113" s="234" t="str">
        <f>IFERROR(__xludf.DUMMYFUNCTION("IF(REGEXMATCH(C113, ""S""), ""S"","""")"),"S")</f>
        <v>S</v>
      </c>
      <c r="E113" s="236" t="str">
        <f>IFERROR(__xludf.DUMMYFUNCTION("IF(REGEXMATCH(C113, ""r""), ""r"","""")"),"")</f>
        <v/>
      </c>
      <c r="F113" s="237" t="str">
        <f>IFERROR(__xludf.DUMMYFUNCTION("IF(REGEXMATCH(C113, ""R""), ""R"","""")"),"")</f>
        <v/>
      </c>
      <c r="G113" s="237" t="str">
        <f>IFERROR(__xludf.DUMMYFUNCTION("IF(REGEXMATCH(C113, ""g""), ""g"","""")"),"")</f>
        <v/>
      </c>
      <c r="H113" s="236" t="str">
        <f>IFERROR(__xludf.DUMMYFUNCTION("IF(REGEXMATCH(C113, ""G""), ""G"","""")"),"G")</f>
        <v>G</v>
      </c>
      <c r="I113" s="236" t="str">
        <f>IFERROR(__xludf.DUMMYFUNCTION("IF(REGEXMATCH(C113, ""m""), ""m"","""")"),"m")</f>
        <v>m</v>
      </c>
      <c r="J113" s="237" t="str">
        <f>IFERROR(__xludf.DUMMYFUNCTION("IF(REGEXMATCH(C113, ""M""), ""M"","""")"),"")</f>
        <v/>
      </c>
      <c r="K113" s="236" t="str">
        <f>IFERROR(__xludf.DUMMYFUNCTION("IF(REGEXMATCH(C113, ""P""), ""P"","""")"),"P")</f>
        <v>P</v>
      </c>
      <c r="L113" s="237" t="str">
        <f>IFERROR(__xludf.DUMMYFUNCTION("IF(REGEXMATCH(C113, ""d""), ""d"","""")"),"d")</f>
        <v>d</v>
      </c>
      <c r="M113" s="236" t="str">
        <f>IFERROR(__xludf.DUMMYFUNCTION("IF(REGEXMATCH(C113, ""D""), ""D"","""")"),"")</f>
        <v/>
      </c>
      <c r="N113" s="236" t="str">
        <f>IFERROR(__xludf.DUMMYFUNCTION("IF(REGEXMATCH(C113, ""n""), ""n"","""")"),"n")</f>
        <v>n</v>
      </c>
      <c r="O113" s="237" t="str">
        <f>IFERROR(__xludf.DUMMYFUNCTION("IF(REGEXMATCH(C113, ""N""), ""N"","""")"),"")</f>
        <v/>
      </c>
      <c r="P113" s="238" t="str">
        <f>IFERROR(__xludf.DUMMYFUNCTION("IF(REGEXMATCH(C113, ""S""), ""S"","""")"),"S")</f>
        <v>S</v>
      </c>
      <c r="Q113" s="239" t="str">
        <f>IFERROR(__xludf.DUMMYFUNCTION("SUBSTITUTE(CONCATENATE(JOIN(""-"",D113:J113)),""-"","""")"),"SGm")</f>
        <v>SGm</v>
      </c>
      <c r="R113" s="229" t="str">
        <f>IFERROR(__xludf.DUMMYFUNCTION("SUBSTITUTE(CONCATENATE(JOIN(""-"",K113:P113)),""-"","""")"),"PdnS")</f>
        <v>PdnS</v>
      </c>
      <c r="S113" s="282" t="str">
        <f t="shared" si="8"/>
        <v>S-G-M</v>
      </c>
      <c r="T113" s="282" t="str">
        <f t="shared" si="9"/>
        <v>P-D-N-S</v>
      </c>
      <c r="U113" s="237" t="str">
        <f>IFERROR(__xludf.DUMMYFUNCTION("SUBSTITUTE(JOIN(""-"",S113,T113),""--"",""-"")"),"S-G-M-P-D-N-S")</f>
        <v>S-G-M-P-D-N-S</v>
      </c>
      <c r="V113" s="309" t="str">
        <f t="shared" si="10"/>
        <v>Gmdn</v>
      </c>
      <c r="W113" s="244" t="str">
        <f>IFERROR(__xludf.DUMMYFUNCTION("IF(REGEXMATCH(C113, ""S""), ""0"","""")"),"0")</f>
        <v>0</v>
      </c>
      <c r="X113" s="245" t="str">
        <f>IFERROR(__xludf.DUMMYFUNCTION("IF(REGEXMATCH(C113, ""r""), ""1"","""")"),"")</f>
        <v/>
      </c>
      <c r="Y113" s="246" t="str">
        <f>IFERROR(__xludf.DUMMYFUNCTION("IF(REGEXMATCH(C113, ""R""), ""2"","""")"),"")</f>
        <v/>
      </c>
      <c r="Z113" s="246" t="str">
        <f>IFERROR(__xludf.DUMMYFUNCTION("IF(REGEXMATCH(C113, ""g""), ""3"","""")"),"")</f>
        <v/>
      </c>
      <c r="AA113" s="245" t="str">
        <f>IFERROR(__xludf.DUMMYFUNCTION("IF(REGEXMATCH(C113, ""G""), ""4"","""")"),"4")</f>
        <v>4</v>
      </c>
      <c r="AB113" s="245" t="str">
        <f>IFERROR(__xludf.DUMMYFUNCTION("IF(REGEXMATCH(C113, ""m""), ""5"","""")"),"5")</f>
        <v>5</v>
      </c>
      <c r="AC113" s="246" t="str">
        <f>IFERROR(__xludf.DUMMYFUNCTION("IF(REGEXMATCH(C113, ""M""), ""6"","""")"),"")</f>
        <v/>
      </c>
      <c r="AD113" s="245" t="str">
        <f>IFERROR(__xludf.DUMMYFUNCTION("IF(REGEXMATCH(C113, ""P""), ""7"","""")"),"7")</f>
        <v>7</v>
      </c>
      <c r="AE113" s="246" t="str">
        <f>IFERROR(__xludf.DUMMYFUNCTION("IF(REGEXMATCH(C113, ""d""), ""8"","""")"),"8")</f>
        <v>8</v>
      </c>
      <c r="AF113" s="245" t="str">
        <f>IFERROR(__xludf.DUMMYFUNCTION("IF(REGEXMATCH(C113, ""D""), ""9"","""")"),"")</f>
        <v/>
      </c>
      <c r="AG113" s="245" t="str">
        <f>IFERROR(__xludf.DUMMYFUNCTION("IF(REGEXMATCH(C113, ""n""), ""10"","""")"),"10")</f>
        <v>10</v>
      </c>
      <c r="AH113" s="246" t="str">
        <f>IFERROR(__xludf.DUMMYFUNCTION("IF(REGEXMATCH(C113, ""N""), ""11"","""")"),"")</f>
        <v/>
      </c>
      <c r="AI113" s="249" t="str">
        <f>IFERROR(__xludf.DUMMYFUNCTION("IF(REGEXMATCH(C113, ""S""), ""0"","""")"),"0")</f>
        <v>0</v>
      </c>
      <c r="AJ113" s="313" t="str">
        <f t="shared" si="11"/>
        <v>-</v>
      </c>
      <c r="AK113" s="313" t="str">
        <f t="shared" si="12"/>
        <v>-</v>
      </c>
      <c r="AL113" s="313" t="str">
        <f t="shared" si="13"/>
        <v>-</v>
      </c>
      <c r="AM113" s="313" t="str">
        <f t="shared" si="14"/>
        <v>-</v>
      </c>
      <c r="AN113" s="313" t="str">
        <f t="shared" si="15"/>
        <v>T</v>
      </c>
      <c r="AO113" s="314" t="str">
        <f t="shared" si="16"/>
        <v>-</v>
      </c>
      <c r="AP113" s="316">
        <f t="shared" si="17"/>
        <v>1</v>
      </c>
      <c r="AQ113" s="319" t="str">
        <f t="shared" si="18"/>
        <v>#REF!</v>
      </c>
      <c r="AR113" s="320">
        <f t="shared" si="19"/>
        <v>0</v>
      </c>
      <c r="AS113" s="250" t="str">
        <f>IFERROR(__xludf.DUMMYFUNCTION("SUBSTITUTE(SUBSTITUTE(CONCATENATE(JOIN("""",FP113:GA113)),""|"",""x""),""-"",""o"")"),"xoooxxoxxoxo")</f>
        <v>xoooxxoxxoxo</v>
      </c>
      <c r="AT113" s="323" t="str">
        <f>IFERROR(__xludf.DUMMYFUNCTION("JOIN("""",AS113,AS113)"),"xoooxxoxxoxoxoooxxoxxoxo")</f>
        <v>xoooxxoxxoxoxoooxxoxxoxo</v>
      </c>
      <c r="AU113" s="256" t="str">
        <f>IFERROR(__xludf.DUMMYFUNCTION("JOIN("""",ArrayFormula(MID(AS113,LEN(AS113)-SEQUENCE(1,LEN(AS113))+1,1)))"),"oxoxxoxxooox")</f>
        <v>oxoxxoxxooox</v>
      </c>
      <c r="AV113" s="256" t="str">
        <f>IFERROR(__xludf.DUMMYFUNCTION("LEFT(CONCATENATE(""x"",JOIN("""",ArrayFormula(MID(AS113,LEN(AS113)-SEQUENCE(1,LEN(AS113))+1,1)))),12)"),"xoxoxxoxxooo")</f>
        <v>xoxoxxoxxooo</v>
      </c>
      <c r="AW113" s="327" t="str">
        <f>IFERROR(__xludf.DUMMYFUNCTION("JOIN("""",AU113,AU113)"),"oxoxxoxxoooxoxoxxoxxooox")</f>
        <v>oxoxxoxxoooxoxoxxoxxooox</v>
      </c>
      <c r="AX113" s="239" t="str">
        <f>IFERROR(__xludf.DUMMYFUNCTION("IF(REGEXMATCH(AW113,AS113),""✔"",""-"")"),"-")</f>
        <v>-</v>
      </c>
      <c r="AY113" s="330" t="str">
        <f t="shared" si="20"/>
        <v>-</v>
      </c>
      <c r="AZ113" s="260" t="str">
        <f t="shared" si="21"/>
        <v>#REF!</v>
      </c>
      <c r="BA113" s="333" t="str">
        <f t="shared" si="22"/>
        <v>xoooxxo</v>
      </c>
      <c r="BB113" s="334" t="str">
        <f t="shared" si="23"/>
        <v>xxoxox</v>
      </c>
      <c r="BC113" s="335" t="str">
        <f t="shared" si="236"/>
        <v>-</v>
      </c>
      <c r="BD113" s="336" t="str">
        <f t="shared" si="25"/>
        <v>Gangeshwari: 'xoooxxo' + 'xxoxox'</v>
      </c>
      <c r="BE113" s="337">
        <f>IFERROR(__xludf.DUMMYFUNCTION("COUNTUNIQUE(FILTER(AT:AT,REGEXMATCH(AT:AT,AS113)))-1"),3.0)</f>
        <v>3</v>
      </c>
      <c r="BF113" s="261" t="str">
        <f>IFERROR(__xludf.DUMMYFUNCTION("IF(BI113=0,""(n/a)"",IF(BJ113=2,""(PAIR)"",IF(REGEXMATCH(AT113,""xoxoxxoxoxox""),""Bilawal"",IF(REGEXMATCH(AT113,""xoxoxooxoxoo""),""Bhupali"",IF(REGEXMATCH(AT113,""xoxoxxoxxoxo""),""Charukeshi"",IF(REGEXMATCH(AT113,""xoxoooxxoxxo""),""Kameshwari"",IF(REG"&amp;"EXMATCH(AT113,""xoxoxooxoxox""),""Shankara"",IF(REGEXMATCH(AT113,""xxooxoxxxoox""),""Basant"",IF(REGEXMATCH(AT113,""xoxoxxxxoxox""),""Bihag"",IF(REGEXMATCH(AT113,""xoxxxxoxoxxx""),""Pilu"",IF(REGEXMATCH(AT113,""xoxxoxoxxoox""),""Kirwani"",IF(REGEXMATCH(AT"&amp;"113,""xoxxoxoxoxxx""),""Mk.Malhar"",IF(REGEXMATCH(AT113,""xxooxxoxxoox""),""Bhairav"",IF(REGEXMATCH(AT113,""xxoxooxxxoox""),""Todi"",IF(REGEXMATCH(AT113,""xxooxoxooxox""),""Marwa"",IF(REGEXMATCH(AT113,""xxoooxoxxooo""),""Gunkali"",IF(REGEXMATCH(AT113,""xo"&amp;"xoxxoxxoox""),""Nat Bhairav"",IF(REGEXMATCH(AT113,""xoxxoooxoxoo""),""Shivranjani"",IF(REGEXMATCH(AT113,""xooxxxoxooxo""),""Jog"",IF(REGEXMATCH(AT113,""xxooxoxoxoox""),""Hemshri"",IF(REGEXMATCH(AT113,""xoooxooxoxxo""),""Kalavati"",IF(REGEXMATCH(AT113,""xx"&amp;"oxoxxoxoox""),""Kedar"",IF(REGEXMATCH(AT113,""xoxxxxoxooxx""),""Gara"",IF(REGEXMATCH(AT113,""xooxoxooxoox""),""Chandrakauns"",IF(REGEXMATCH(AT113,""xoxxxxoxxxox""),""Mand"",IF(REGEXMATCH(AT113,""xoxxxxoxoxox""),""Hanskinkini"",IF(REGEXMATCH(AT113,""xxooxx"&amp;"oxooxo""),""Lilavati"",IF(REGEXMATCH(AT113,""xooxoxoooxox""),""Rajeshwari"",IF(REGEXMATCH(AT113,""xoooxxoxoxxx""),""Khokar"",IF(REGEXMATCH(AT113,""xxooxoxxxxox""),""Maligoura"",""-""))))))))))))))))))))))))))))))"),"Kameshwari")</f>
        <v>Kameshwari</v>
      </c>
      <c r="BG113" s="239" t="str">
        <f t="shared" si="26"/>
        <v>#REF!</v>
      </c>
      <c r="BH113" s="239">
        <f>IFERROR(__xludf.DUMMYFUNCTION("COUNTUNIQUE(FE113:FO113)-1"),5.0)</f>
        <v>5</v>
      </c>
      <c r="BI113" s="239">
        <f>IFERROR(__xludf.DUMMYFUNCTION("COUNTUNIQUE(FILTER(AT:AT,REGEXMATCH(AT:AT,AS113)))-1"),3.0)</f>
        <v>3</v>
      </c>
      <c r="BJ113" s="239">
        <f>IFERROR(__xludf.DUMMYFUNCTION("COUNTA(FILTER(AT:AT,REGEXMATCH(AT:AT,AS113)))"),6.0)</f>
        <v>6</v>
      </c>
      <c r="BK113" s="341">
        <f>IFERROR(__xludf.DUMMYFUNCTION("COUNTA(FILTER(AT:AT,REGEXMATCH(AT:AT,AS113)))-AR113"),6.0)</f>
        <v>6</v>
      </c>
      <c r="BL113" s="276" t="str">
        <f>IFERROR(__xludf.DUMMYFUNCTION("IF(AS113=""oooooooooooo"",""-"",IF(REGEXMATCH(AT113,""xx""), ""Hemi."", ""Anhemi.""))"),"Hemi.")</f>
        <v>Hemi.</v>
      </c>
      <c r="BM113" s="282" t="str">
        <f>IFERROR(__xludf.DUMMYFUNCTION("IF(AS113=""oooooooooooo"",""-"",IF(REGEXMATCH(AT113,""xxx""), ""Cohem."", ""-""))"),"-")</f>
        <v>-</v>
      </c>
      <c r="BN113" s="282" t="str">
        <f>IFERROR(__xludf.DUMMYFUNCTION("IF(AS113=""oooooooooooo"",""-"",IF(REGEXMATCH(AT113,""xxxx""), ""Co-Co."", ""-""))"),"-")</f>
        <v>-</v>
      </c>
      <c r="BO113" s="342" t="str">
        <f>IFERROR(__xludf.DUMMYFUNCTION("IF(AS113=""oooooooooooo"",""-"",IF(REGEXMATCH(AT113,""xxxxx""), ""CCC."", ""-""))"),"-")</f>
        <v>-</v>
      </c>
      <c r="BP113" s="344" t="str">
        <f t="shared" si="27"/>
        <v>-</v>
      </c>
      <c r="BQ113" s="282" t="str">
        <f>IFERROR(__xludf.DUMMYFUNCTION("IF(REGEXMATCH(JOIN(""-"",EU113:FD113),""TRUE""),""✔"",""-"")"),"-")</f>
        <v>-</v>
      </c>
      <c r="BR113" s="225">
        <f t="shared" si="28"/>
        <v>0</v>
      </c>
      <c r="BS113" s="345" t="str">
        <f>IFERROR(__xludf.DUMMYFUNCTION("SUBSTITUTE(SUBSTITUTE(SUBSTITUTE(SUBSTITUTE(CONCATENATE(JOIN(""-"",GC113:GO113)),""--"",""-""),""--"",""-""),""--"",""-""),""--"",""-"")"),"1-3-4-5-b6-b7-8")</f>
        <v>1-3-4-5-b6-b7-8</v>
      </c>
      <c r="BT113" s="299" t="str">
        <f>IFERROR(__xludf.DUMMYFUNCTION("SUBSTITUTE(SUBSTITUTE(SUBSTITUTE(SUBSTITUTE(CONCATENATE(JOIN(""-"",GP113:HB113)),""--"",""-""),""--"",""-""),""--"",""-""),""--"",""-"")"),"S-G3-M1-P-D1-N2-S")</f>
        <v>S-G3-M1-P-D1-N2-S</v>
      </c>
      <c r="BU113" s="348" t="str">
        <f t="shared" si="29"/>
        <v>C-E-F-G-Ab-Bb-C</v>
      </c>
      <c r="BV113" s="349" t="str">
        <f t="shared" si="30"/>
        <v>SrRgMDNS</v>
      </c>
      <c r="BW113" s="350">
        <f t="shared" si="31"/>
        <v>0</v>
      </c>
      <c r="BX113" s="351">
        <f t="shared" si="32"/>
        <v>1</v>
      </c>
      <c r="BY113" s="392"/>
      <c r="BZ113" s="309" t="str">
        <f>IFERROR(__xludf.DUMMYFUNCTION("IF(REGEXMATCH(C113, ""S""), ""x"",""x"")"),"x")</f>
        <v>x</v>
      </c>
      <c r="CA113" s="245" t="str">
        <f>IFERROR(__xludf.DUMMYFUNCTION("IF(REGEXMATCH(C113, ""r""), ""o"",""x"")"),"x")</f>
        <v>x</v>
      </c>
      <c r="CB113" s="246" t="str">
        <f>IFERROR(__xludf.DUMMYFUNCTION("IF(REGEXMATCH(C113, ""R""), ""o"",""x"")"),"x")</f>
        <v>x</v>
      </c>
      <c r="CC113" s="246" t="str">
        <f>IFERROR(__xludf.DUMMYFUNCTION("IF(REGEXMATCH(C113, ""g""), ""o"",""x"")"),"x")</f>
        <v>x</v>
      </c>
      <c r="CD113" s="245" t="str">
        <f>IFERROR(__xludf.DUMMYFUNCTION("IF(REGEXMATCH(C113, ""G""), ""o"",""x"")"),"o")</f>
        <v>o</v>
      </c>
      <c r="CE113" s="245" t="str">
        <f>IFERROR(__xludf.DUMMYFUNCTION("IF(REGEXMATCH(C113, ""m""), ""o"",""x"")"),"o")</f>
        <v>o</v>
      </c>
      <c r="CF113" s="246" t="str">
        <f>IFERROR(__xludf.DUMMYFUNCTION("IF(REGEXMATCH(C113, ""M""), ""o"",""x"")"),"x")</f>
        <v>x</v>
      </c>
      <c r="CG113" s="245" t="str">
        <f>IFERROR(__xludf.DUMMYFUNCTION("IF(REGEXMATCH(C113, ""P""), ""o"",""x"")"),"o")</f>
        <v>o</v>
      </c>
      <c r="CH113" s="246" t="str">
        <f>IFERROR(__xludf.DUMMYFUNCTION("IF(REGEXMATCH(C113, ""d""), ""o"",""x"")"),"o")</f>
        <v>o</v>
      </c>
      <c r="CI113" s="245" t="str">
        <f>IFERROR(__xludf.DUMMYFUNCTION("IF(REGEXMATCH(C113, ""D""), ""o"",""x"")"),"x")</f>
        <v>x</v>
      </c>
      <c r="CJ113" s="245" t="str">
        <f>IFERROR(__xludf.DUMMYFUNCTION("IF(REGEXMATCH(C113, ""n""), ""o"",""x"")"),"o")</f>
        <v>o</v>
      </c>
      <c r="CK113" s="245" t="str">
        <f>IFERROR(__xludf.DUMMYFUNCTION("IF(REGEXMATCH(C113, ""N""), ""o"",""x"")"),"x")</f>
        <v>x</v>
      </c>
      <c r="CL113" s="356" t="str">
        <f>IFERROR(__xludf.DUMMYFUNCTION("IF(REGEXMATCH(C113, ""S""), ""x"",""x"")"),"x")</f>
        <v>x</v>
      </c>
      <c r="CM113" s="357" t="str">
        <f t="shared" si="33"/>
        <v>xxxxooxooxox</v>
      </c>
      <c r="CN113" s="358">
        <f t="shared" si="34"/>
        <v>0</v>
      </c>
      <c r="CO113" s="246" t="str">
        <f>IFERROR(__xludf.DUMMYFUNCTION("IF(REGEXMATCH($C113, ""S""), ""S"",""S"")"),"S")</f>
        <v>S</v>
      </c>
      <c r="CP113" s="246" t="str">
        <f>IFERROR(__xludf.DUMMYFUNCTION("IF(REGEXMATCH($C113, ""r""), """",""r"")"),"r")</f>
        <v>r</v>
      </c>
      <c r="CQ113" s="246" t="str">
        <f>IFERROR(__xludf.DUMMYFUNCTION("IF(REGEXMATCH($C113, ""R""), """",""R"")"),"R")</f>
        <v>R</v>
      </c>
      <c r="CR113" s="246" t="str">
        <f>IFERROR(__xludf.DUMMYFUNCTION("IF(REGEXMATCH($C113, ""g""), """",""g"")"),"g")</f>
        <v>g</v>
      </c>
      <c r="CS113" s="246" t="str">
        <f>IFERROR(__xludf.DUMMYFUNCTION("IF(REGEXMATCH($C113, ""G""), """",""G"")"),"")</f>
        <v/>
      </c>
      <c r="CT113" s="246" t="str">
        <f>IFERROR(__xludf.DUMMYFUNCTION("IF(REGEXMATCH($C113, ""m""), """",""m"")"),"")</f>
        <v/>
      </c>
      <c r="CU113" s="246" t="str">
        <f>IFERROR(__xludf.DUMMYFUNCTION("IF(REGEXMATCH($C113, ""M""), """",""M"")"),"M")</f>
        <v>M</v>
      </c>
      <c r="CV113" s="246" t="str">
        <f>IFERROR(__xludf.DUMMYFUNCTION("IF(REGEXMATCH($C113, ""P""), """",""P"")"),"")</f>
        <v/>
      </c>
      <c r="CW113" s="246" t="str">
        <f>IFERROR(__xludf.DUMMYFUNCTION("IF(REGEXMATCH($C113, ""d""), """",""d"")"),"")</f>
        <v/>
      </c>
      <c r="CX113" s="246" t="str">
        <f>IFERROR(__xludf.DUMMYFUNCTION("IF(REGEXMATCH($C113, ""D""), """",""D"")"),"D")</f>
        <v>D</v>
      </c>
      <c r="CY113" s="246" t="str">
        <f>IFERROR(__xludf.DUMMYFUNCTION("IF(REGEXMATCH($C113, ""n""), """",""n"")"),"")</f>
        <v/>
      </c>
      <c r="CZ113" s="246" t="str">
        <f>IFERROR(__xludf.DUMMYFUNCTION("IF(REGEXMATCH($C113, ""N""), """",""N"")"),"N")</f>
        <v>N</v>
      </c>
      <c r="DA113" s="246" t="str">
        <f>IFERROR(__xludf.DUMMYFUNCTION("IF(REGEXMATCH($C113, ""S""), ""S"",""S"")"),"S")</f>
        <v>S</v>
      </c>
      <c r="DB113" s="362" t="str">
        <f>IFERROR(__xludf.DUMMYFUNCTION("JOIN("""",CO113:DA113,"""","""")"),"SrRgMDNS")</f>
        <v>SrRgMDNS</v>
      </c>
      <c r="DC113" s="363"/>
      <c r="DD113" s="301" t="str">
        <f t="shared" si="35"/>
        <v>#REF!</v>
      </c>
      <c r="DE113" s="302" t="str">
        <f t="shared" si="36"/>
        <v>#REF!</v>
      </c>
      <c r="DF113" s="301" t="str">
        <f t="shared" ref="DF113:DG113" si="427">SUBSTITUTE(S113,"-","")</f>
        <v>SGM</v>
      </c>
      <c r="DG113" s="301" t="str">
        <f t="shared" si="427"/>
        <v>PDNS</v>
      </c>
      <c r="DH113" s="302" t="str">
        <f t="shared" si="38"/>
        <v>Kameshwari</v>
      </c>
      <c r="DI113" s="301" t="str">
        <f t="shared" si="39"/>
        <v>Hemi.</v>
      </c>
      <c r="DJ113" s="364" t="str">
        <f t="shared" si="40"/>
        <v>-</v>
      </c>
      <c r="DK113" s="306" t="str">
        <f t="shared" si="41"/>
        <v>-</v>
      </c>
      <c r="DL113" s="366" t="str">
        <f t="shared" si="42"/>
        <v>-</v>
      </c>
      <c r="DM113" s="308" t="str">
        <f t="shared" si="43"/>
        <v>✔</v>
      </c>
      <c r="DN113" s="306" t="str">
        <f t="shared" si="44"/>
        <v>-</v>
      </c>
      <c r="DO113" s="306" t="str">
        <f t="shared" si="45"/>
        <v>-</v>
      </c>
      <c r="DP113" s="367" t="str">
        <f t="shared" si="46"/>
        <v>-</v>
      </c>
      <c r="DQ113" s="310" t="str">
        <f t="shared" si="47"/>
        <v>-</v>
      </c>
      <c r="DR113" s="310" t="str">
        <f t="shared" si="48"/>
        <v>-</v>
      </c>
      <c r="DS113" s="310" t="str">
        <f t="shared" si="49"/>
        <v>-</v>
      </c>
      <c r="DT113" s="310" t="str">
        <f t="shared" si="50"/>
        <v>-</v>
      </c>
      <c r="DU113" s="370" t="str">
        <f t="shared" si="51"/>
        <v>-</v>
      </c>
      <c r="DV113" s="306" t="str">
        <f t="shared" si="52"/>
        <v>✔</v>
      </c>
      <c r="DW113" s="306" t="str">
        <f t="shared" si="53"/>
        <v>-</v>
      </c>
      <c r="DX113" s="306" t="str">
        <f t="shared" si="54"/>
        <v>-</v>
      </c>
      <c r="DY113" s="306" t="str">
        <f t="shared" si="55"/>
        <v>-</v>
      </c>
      <c r="DZ113" s="306" t="str">
        <f t="shared" si="56"/>
        <v>-</v>
      </c>
      <c r="EA113" s="367" t="str">
        <f t="shared" si="57"/>
        <v>-</v>
      </c>
      <c r="EB113" s="310" t="str">
        <f>IFERROR(__xludf.DUMMYFUNCTION("IF(REGEXMATCH(AW113,AS113),""✔"",""-"")"),"-")</f>
        <v>-</v>
      </c>
      <c r="EC113" s="310" t="str">
        <f t="shared" si="58"/>
        <v>#REF!</v>
      </c>
      <c r="ED113" s="370" t="str">
        <f t="shared" si="59"/>
        <v>-</v>
      </c>
      <c r="EE113" s="340" t="str">
        <f t="shared" si="60"/>
        <v>S-G-m-P-d-n-S</v>
      </c>
      <c r="EF113" s="371" t="str">
        <f>IFERROR(__xludf.DUMMYFUNCTION("CONCATENATE(JOIN("""",HC113:HO113))"),"SRGmPdS")</f>
        <v>SRGmPdS</v>
      </c>
      <c r="EG113" s="372">
        <f t="shared" si="61"/>
        <v>3</v>
      </c>
      <c r="EH113" s="373" t="str">
        <f>IFERROR(__xludf.DUMMYFUNCTION("CONCATENATE(JOIN("""",JC113:JO113))"),"Ga, Pa, dha, ")</f>
        <v>Ga, Pa, dha, </v>
      </c>
      <c r="EI113" s="322">
        <f t="shared" si="62"/>
        <v>2</v>
      </c>
      <c r="EJ113" s="374" t="str">
        <f>IFERROR(__xludf.DUMMYFUNCTION("CONCATENATE(JOIN("""",KC113:KO113))"),"Ga, dha, ")</f>
        <v>Ga, dha, </v>
      </c>
      <c r="EK113" s="325" t="str">
        <f t="shared" si="63"/>
        <v>S-G3-M1-P-D1-N2-S</v>
      </c>
      <c r="EL113" s="326" t="str">
        <f t="shared" si="64"/>
        <v>1-3-4-5-b6-b7-8</v>
      </c>
      <c r="EM113" s="318" t="str">
        <f t="shared" si="65"/>
        <v>#REF!</v>
      </c>
      <c r="EN113" s="328" t="str">
        <f>IFERROR(__xludf.DUMMYFUNCTION("SUBSTITUTE(SUBSTITUTE(SUBSTITUTE(SUBSTITUTE(CONCATENATE(JOIN("" "",HP113:IB113)),""  "","" ""),""  "","" ""),""  "","" ""),""  "","" "")"),"o • • • o o • o o • o • o")</f>
        <v>o • • • o o • o o • o • o</v>
      </c>
      <c r="EO113" s="368" t="str">
        <f t="shared" si="66"/>
        <v>-</v>
      </c>
      <c r="EP113" s="339" t="str">
        <f t="shared" si="67"/>
        <v>-</v>
      </c>
      <c r="EQ113" s="339" t="str">
        <f t="shared" si="68"/>
        <v>Sa-Pa</v>
      </c>
      <c r="ER113" s="339" t="str">
        <f t="shared" si="69"/>
        <v>-</v>
      </c>
      <c r="ES113" s="340" t="str">
        <f t="shared" si="70"/>
        <v>-</v>
      </c>
      <c r="ET113" s="363"/>
      <c r="EU113" s="376" t="b">
        <f>IFERROR(__xludf.DUMMYFUNCTION("arrayformula(sum(--REGEXMATCH(""SRGMPDNS"",split(REGEXREPLACE(C113,""(.)"",""$1~""),""~""))))=len(C113)
"),FALSE)</f>
        <v>0</v>
      </c>
      <c r="EV113" s="290" t="b">
        <f>IFERROR(__xludf.DUMMYFUNCTION("arrayformula(sum(--REGEXMATCH(""SRGmPDNS"",split(REGEXREPLACE(C113,""(.)"",""$1~""),""~""))))=len(C113)"),FALSE)</f>
        <v>0</v>
      </c>
      <c r="EW113" s="290" t="b">
        <f>IFERROR(__xludf.DUMMYFUNCTION("arrayformula(sum(--REGEXMATCH(""SRGmPDnS"",split(REGEXREPLACE(C113,""(.)"",""$1~""),""~""))))=len(C113)"),FALSE)</f>
        <v>0</v>
      </c>
      <c r="EX113" s="290" t="b">
        <f>IFERROR(__xludf.DUMMYFUNCTION("arrayformula(sum(--REGEXMATCH(""SRgmPDnS"",split(REGEXREPLACE(C113,""(.)"",""$1~""),""~""))))=len(C113)"),FALSE)</f>
        <v>0</v>
      </c>
      <c r="EY113" s="290" t="b">
        <f>IFERROR(__xludf.DUMMYFUNCTION("arrayformula(sum(--REGEXMATCH(""SRgmPdnS"",split(REGEXREPLACE(C113,""(.)"",""$1~""),""~""))))=len(C113)"),FALSE)</f>
        <v>0</v>
      </c>
      <c r="EZ113" s="290" t="b">
        <f>IFERROR(__xludf.DUMMYFUNCTION("arrayformula(sum(--REGEXMATCH(""SrgmPdnS"",split(REGEXREPLACE(C113,""(.)"",""$1~""),""~""))))=len(C113)"),FALSE)</f>
        <v>0</v>
      </c>
      <c r="FA113" s="290" t="b">
        <f>IFERROR(__xludf.DUMMYFUNCTION("arrayformula(sum(--REGEXMATCH(""SrGmPdNS"",split(REGEXREPLACE(C113,""(.)"",""$1~""),""~""))))=len(C113)"),FALSE)</f>
        <v>0</v>
      </c>
      <c r="FB113" s="290" t="b">
        <f>IFERROR(__xludf.DUMMYFUNCTION("arrayformula(sum(--REGEXMATCH(""SrGMPDNS"",split(REGEXREPLACE(C113,""(.)"",""$1~""),""~""))))=len(C113)"),FALSE)</f>
        <v>0</v>
      </c>
      <c r="FC113" s="290" t="b">
        <f>IFERROR(__xludf.DUMMYFUNCTION("arrayformula(sum(--REGEXMATCH(""SrGMPdNS"",split(REGEXREPLACE(C113,""(.)"",""$1~""),""~""))))=len(C113)"),FALSE)</f>
        <v>0</v>
      </c>
      <c r="FD113" s="377" t="b">
        <f>IFERROR(__xludf.DUMMYFUNCTION("arrayformula(sum(--REGEXMATCH(""SrgMPdNS"",split(REGEXREPLACE(C113,""(.)"",""$1~""),""~""))))=len(C113)"),FALSE)</f>
        <v>0</v>
      </c>
      <c r="FE113" s="269" t="str">
        <f t="shared" si="71"/>
        <v>-</v>
      </c>
      <c r="FF113" s="269" t="str">
        <f t="shared" si="72"/>
        <v>-</v>
      </c>
      <c r="FG113" s="271" t="str">
        <f t="shared" si="73"/>
        <v>-</v>
      </c>
      <c r="FH113" s="269" t="str">
        <f t="shared" si="74"/>
        <v>xxoxxoxoxoo</v>
      </c>
      <c r="FI113" s="271" t="str">
        <f t="shared" si="75"/>
        <v>xoxxoxoxooo</v>
      </c>
      <c r="FJ113" s="271" t="str">
        <f t="shared" si="76"/>
        <v>-</v>
      </c>
      <c r="FK113" s="271" t="str">
        <f t="shared" si="77"/>
        <v>xxoxoxoooxx</v>
      </c>
      <c r="FL113" s="271" t="str">
        <f t="shared" si="78"/>
        <v>xoxoxoooxxo</v>
      </c>
      <c r="FM113" s="271" t="str">
        <f t="shared" si="79"/>
        <v>-</v>
      </c>
      <c r="FN113" s="271" t="str">
        <f t="shared" si="80"/>
        <v>xoxoooxxoxx</v>
      </c>
      <c r="FO113" s="274" t="str">
        <f t="shared" si="81"/>
        <v>-</v>
      </c>
      <c r="FP113" s="234" t="str">
        <f t="shared" si="82"/>
        <v>|</v>
      </c>
      <c r="FQ113" s="236" t="str">
        <f t="shared" si="83"/>
        <v>-</v>
      </c>
      <c r="FR113" s="237" t="str">
        <f t="shared" si="84"/>
        <v>-</v>
      </c>
      <c r="FS113" s="236" t="str">
        <f t="shared" si="85"/>
        <v>-</v>
      </c>
      <c r="FT113" s="237" t="str">
        <f t="shared" si="86"/>
        <v>|</v>
      </c>
      <c r="FU113" s="236" t="str">
        <f t="shared" si="87"/>
        <v>|</v>
      </c>
      <c r="FV113" s="237" t="str">
        <f t="shared" si="88"/>
        <v>-</v>
      </c>
      <c r="FW113" s="236" t="str">
        <f t="shared" si="89"/>
        <v>|</v>
      </c>
      <c r="FX113" s="237" t="str">
        <f t="shared" si="90"/>
        <v>|</v>
      </c>
      <c r="FY113" s="236" t="str">
        <f t="shared" si="91"/>
        <v>-</v>
      </c>
      <c r="FZ113" s="237" t="str">
        <f t="shared" si="92"/>
        <v>|</v>
      </c>
      <c r="GA113" s="236" t="str">
        <f t="shared" si="93"/>
        <v>-</v>
      </c>
      <c r="GB113" s="238" t="str">
        <f t="shared" si="94"/>
        <v>|</v>
      </c>
      <c r="GC113" s="244" t="str">
        <f>IFERROR(__xludf.DUMMYFUNCTION("IF(REGEXMATCH(C113, ""S""), ""1"","""")"),"1")</f>
        <v>1</v>
      </c>
      <c r="GD113" s="245" t="str">
        <f>IFERROR(__xludf.DUMMYFUNCTION("IF(REGEXMATCH(C113, ""r""), ""b2"","""")"),"")</f>
        <v/>
      </c>
      <c r="GE113" s="246" t="str">
        <f>IFERROR(__xludf.DUMMYFUNCTION("IF(REGEXMATCH(C113, ""R""), ""2"","""")"),"")</f>
        <v/>
      </c>
      <c r="GF113" s="246" t="str">
        <f>IFERROR(__xludf.DUMMYFUNCTION("IF(REGEXMATCH(C113, ""g""), ""b3"","""")"),"")</f>
        <v/>
      </c>
      <c r="GG113" s="245" t="str">
        <f>IFERROR(__xludf.DUMMYFUNCTION("IF(REGEXMATCH(C113, ""G""), ""3"","""")"),"3")</f>
        <v>3</v>
      </c>
      <c r="GH113" s="245" t="str">
        <f>IFERROR(__xludf.DUMMYFUNCTION("IF(REGEXMATCH(C113, ""m""), ""4"","""")"),"4")</f>
        <v>4</v>
      </c>
      <c r="GI113" s="246" t="str">
        <f>IFERROR(__xludf.DUMMYFUNCTION("IF(REGEXMATCH(C113, ""M""), ""#4"","""")"),"")</f>
        <v/>
      </c>
      <c r="GJ113" s="245" t="str">
        <f>IFERROR(__xludf.DUMMYFUNCTION("IF(REGEXMATCH(C113, ""P""), ""5"","""")"),"5")</f>
        <v>5</v>
      </c>
      <c r="GK113" s="246" t="str">
        <f>IFERROR(__xludf.DUMMYFUNCTION("IF(REGEXMATCH(C113, ""d""), ""b6"","""")"),"b6")</f>
        <v>b6</v>
      </c>
      <c r="GL113" s="245" t="str">
        <f>IFERROR(__xludf.DUMMYFUNCTION("IF(REGEXMATCH(C113, ""D""), ""6"","""")"),"")</f>
        <v/>
      </c>
      <c r="GM113" s="245" t="str">
        <f>IFERROR(__xludf.DUMMYFUNCTION("IF(REGEXMATCH(C113, ""n""), ""b7"","""")"),"b7")</f>
        <v>b7</v>
      </c>
      <c r="GN113" s="246" t="str">
        <f>IFERROR(__xludf.DUMMYFUNCTION("IF(REGEXMATCH(C113, ""N""), ""7"","""")"),"")</f>
        <v/>
      </c>
      <c r="GO113" s="249" t="str">
        <f>IFERROR(__xludf.DUMMYFUNCTION("IF(REGEXMATCH(C113, ""S""), ""8"","""")"),"8")</f>
        <v>8</v>
      </c>
      <c r="GP113" s="244" t="str">
        <f>IFERROR(__xludf.DUMMYFUNCTION("IF(REGEXMATCH(C113, ""S""), ""S"","""")"),"S")</f>
        <v>S</v>
      </c>
      <c r="GQ113" s="294" t="str">
        <f>IFERROR(__xludf.DUMMYFUNCTION("IF(REGEXMATCH(C113, ""r""), ""R1"","""")"),"")</f>
        <v/>
      </c>
      <c r="GR113" s="295" t="str">
        <f>IFERROR(__xludf.DUMMYFUNCTION("IF(REGEXMATCH(C113, ""R""), ""R2"","""")"),"")</f>
        <v/>
      </c>
      <c r="GS113" s="295" t="str">
        <f>IFERROR(__xludf.DUMMYFUNCTION("IF(REGEXMATCH(C113, ""g""), ""G2"","""")"),"")</f>
        <v/>
      </c>
      <c r="GT113" s="294" t="str">
        <f>IFERROR(__xludf.DUMMYFUNCTION("IF(REGEXMATCH(C113, ""G""), ""G3"","""")"),"G3")</f>
        <v>G3</v>
      </c>
      <c r="GU113" s="294" t="str">
        <f>IFERROR(__xludf.DUMMYFUNCTION("IF(REGEXMATCH(C113, ""m""), ""M1"","""")"),"M1")</f>
        <v>M1</v>
      </c>
      <c r="GV113" s="295" t="str">
        <f>IFERROR(__xludf.DUMMYFUNCTION("IF(REGEXMATCH(C113, ""M""), ""M2"","""")"),"")</f>
        <v/>
      </c>
      <c r="GW113" s="294" t="str">
        <f>IFERROR(__xludf.DUMMYFUNCTION("IF(REGEXMATCH(C113, ""P""), ""P"","""")"),"P")</f>
        <v>P</v>
      </c>
      <c r="GX113" s="295" t="str">
        <f>IFERROR(__xludf.DUMMYFUNCTION("IF(REGEXMATCH(C113, ""d""), ""D1"","""")"),"D1")</f>
        <v>D1</v>
      </c>
      <c r="GY113" s="294" t="str">
        <f>IFERROR(__xludf.DUMMYFUNCTION("IF(REGEXMATCH(C113, ""D""), ""D2"","""")"),"")</f>
        <v/>
      </c>
      <c r="GZ113" s="294" t="str">
        <f>IFERROR(__xludf.DUMMYFUNCTION("IF(REGEXMATCH(C113, ""n""), ""N2"","""")"),"N2")</f>
        <v>N2</v>
      </c>
      <c r="HA113" s="295" t="str">
        <f>IFERROR(__xludf.DUMMYFUNCTION("IF(REGEXMATCH(C113, ""N""), ""N3"","""")"),"")</f>
        <v/>
      </c>
      <c r="HB113" s="249" t="str">
        <f>IFERROR(__xludf.DUMMYFUNCTION("IF(REGEXMATCH(C113, ""S""), ""S"","""")"),"S")</f>
        <v>S</v>
      </c>
      <c r="HC113" s="331" t="str">
        <f t="shared" si="95"/>
        <v>S</v>
      </c>
      <c r="HD113" s="332" t="str">
        <f t="shared" si="96"/>
        <v/>
      </c>
      <c r="HE113" s="332" t="str">
        <f t="shared" si="97"/>
        <v>R</v>
      </c>
      <c r="HF113" s="332" t="str">
        <f t="shared" si="98"/>
        <v/>
      </c>
      <c r="HG113" s="332" t="str">
        <f t="shared" si="99"/>
        <v>G</v>
      </c>
      <c r="HH113" s="332" t="str">
        <f t="shared" si="100"/>
        <v>m</v>
      </c>
      <c r="HI113" s="332" t="str">
        <f t="shared" si="101"/>
        <v/>
      </c>
      <c r="HJ113" s="332" t="str">
        <f t="shared" si="102"/>
        <v>P</v>
      </c>
      <c r="HK113" s="332" t="str">
        <f t="shared" si="103"/>
        <v>d</v>
      </c>
      <c r="HL113" s="332" t="str">
        <f t="shared" si="104"/>
        <v/>
      </c>
      <c r="HM113" s="332" t="str">
        <f t="shared" si="105"/>
        <v/>
      </c>
      <c r="HN113" s="332" t="str">
        <f t="shared" si="106"/>
        <v/>
      </c>
      <c r="HO113" s="343" t="str">
        <f t="shared" si="107"/>
        <v>S</v>
      </c>
      <c r="HP113" s="331" t="str">
        <f t="shared" si="108"/>
        <v>o</v>
      </c>
      <c r="HQ113" s="332" t="str">
        <f t="shared" si="109"/>
        <v>•</v>
      </c>
      <c r="HR113" s="332" t="str">
        <f t="shared" si="110"/>
        <v>•</v>
      </c>
      <c r="HS113" s="332" t="str">
        <f t="shared" si="111"/>
        <v>•</v>
      </c>
      <c r="HT113" s="332" t="str">
        <f t="shared" si="112"/>
        <v>o</v>
      </c>
      <c r="HU113" s="332" t="str">
        <f t="shared" si="113"/>
        <v>o</v>
      </c>
      <c r="HV113" s="332" t="str">
        <f t="shared" si="114"/>
        <v>•</v>
      </c>
      <c r="HW113" s="332" t="str">
        <f t="shared" si="115"/>
        <v>o</v>
      </c>
      <c r="HX113" s="332" t="str">
        <f t="shared" si="116"/>
        <v>o</v>
      </c>
      <c r="HY113" s="332" t="str">
        <f t="shared" si="117"/>
        <v>•</v>
      </c>
      <c r="HZ113" s="332" t="str">
        <f t="shared" si="118"/>
        <v>o</v>
      </c>
      <c r="IA113" s="332" t="str">
        <f t="shared" si="119"/>
        <v>•</v>
      </c>
      <c r="IB113" s="338" t="str">
        <f t="shared" si="120"/>
        <v>o</v>
      </c>
      <c r="IC113" s="331" t="str">
        <f t="shared" si="121"/>
        <v>•</v>
      </c>
      <c r="ID113" s="332" t="str">
        <f t="shared" si="122"/>
        <v>o</v>
      </c>
      <c r="IE113" s="332" t="str">
        <f t="shared" si="123"/>
        <v>o</v>
      </c>
      <c r="IF113" s="332" t="str">
        <f t="shared" si="124"/>
        <v>o</v>
      </c>
      <c r="IG113" s="332" t="str">
        <f t="shared" si="125"/>
        <v>•</v>
      </c>
      <c r="IH113" s="332" t="str">
        <f t="shared" si="126"/>
        <v>•</v>
      </c>
      <c r="II113" s="332" t="str">
        <f t="shared" si="127"/>
        <v>o</v>
      </c>
      <c r="IJ113" s="332" t="str">
        <f t="shared" si="128"/>
        <v>•</v>
      </c>
      <c r="IK113" s="332" t="str">
        <f t="shared" si="129"/>
        <v>•</v>
      </c>
      <c r="IL113" s="332" t="str">
        <f t="shared" si="130"/>
        <v>o</v>
      </c>
      <c r="IM113" s="332" t="str">
        <f t="shared" si="131"/>
        <v>•</v>
      </c>
      <c r="IN113" s="332" t="str">
        <f t="shared" si="132"/>
        <v>o</v>
      </c>
      <c r="IO113" s="338" t="str">
        <f t="shared" si="133"/>
        <v>•</v>
      </c>
      <c r="IP113" s="346" t="b">
        <f t="shared" si="134"/>
        <v>0</v>
      </c>
      <c r="IQ113" s="347" t="b">
        <f t="shared" si="135"/>
        <v>0</v>
      </c>
      <c r="IR113" s="347" t="b">
        <f t="shared" si="136"/>
        <v>0</v>
      </c>
      <c r="IS113" s="347" t="b">
        <f t="shared" si="137"/>
        <v>0</v>
      </c>
      <c r="IT113" s="347" t="b">
        <f t="shared" si="138"/>
        <v>1</v>
      </c>
      <c r="IU113" s="347" t="b">
        <f t="shared" si="139"/>
        <v>0</v>
      </c>
      <c r="IV113" s="347" t="b">
        <f t="shared" si="140"/>
        <v>0</v>
      </c>
      <c r="IW113" s="347" t="b">
        <f t="shared" si="141"/>
        <v>1</v>
      </c>
      <c r="IX113" s="347" t="b">
        <f t="shared" si="142"/>
        <v>1</v>
      </c>
      <c r="IY113" s="347" t="b">
        <f t="shared" si="143"/>
        <v>0</v>
      </c>
      <c r="IZ113" s="347" t="b">
        <f t="shared" si="144"/>
        <v>0</v>
      </c>
      <c r="JA113" s="347" t="b">
        <f t="shared" si="145"/>
        <v>0</v>
      </c>
      <c r="JB113" s="353" t="b">
        <f t="shared" si="146"/>
        <v>0</v>
      </c>
      <c r="JC113" s="354" t="str">
        <f t="shared" si="147"/>
        <v/>
      </c>
      <c r="JD113" s="355" t="str">
        <f t="shared" si="148"/>
        <v/>
      </c>
      <c r="JE113" s="355" t="str">
        <f t="shared" si="149"/>
        <v/>
      </c>
      <c r="JF113" s="355" t="str">
        <f t="shared" si="150"/>
        <v/>
      </c>
      <c r="JG113" s="355" t="str">
        <f t="shared" si="151"/>
        <v>Ga, </v>
      </c>
      <c r="JH113" s="355" t="str">
        <f t="shared" si="152"/>
        <v/>
      </c>
      <c r="JI113" s="355" t="str">
        <f t="shared" si="153"/>
        <v/>
      </c>
      <c r="JJ113" s="355" t="str">
        <f t="shared" si="154"/>
        <v>Pa, </v>
      </c>
      <c r="JK113" s="355" t="str">
        <f t="shared" si="155"/>
        <v>dha, </v>
      </c>
      <c r="JL113" s="355" t="str">
        <f t="shared" si="156"/>
        <v/>
      </c>
      <c r="JM113" s="355" t="str">
        <f t="shared" si="157"/>
        <v/>
      </c>
      <c r="JN113" s="355" t="str">
        <f t="shared" si="158"/>
        <v/>
      </c>
      <c r="JO113" s="359" t="str">
        <f t="shared" si="159"/>
        <v/>
      </c>
      <c r="JP113" s="346" t="b">
        <f t="shared" si="160"/>
        <v>0</v>
      </c>
      <c r="JQ113" s="347" t="b">
        <f t="shared" si="161"/>
        <v>0</v>
      </c>
      <c r="JR113" s="347" t="b">
        <f t="shared" si="162"/>
        <v>0</v>
      </c>
      <c r="JS113" s="347" t="b">
        <f t="shared" si="163"/>
        <v>0</v>
      </c>
      <c r="JT113" s="347" t="b">
        <f t="shared" si="164"/>
        <v>1</v>
      </c>
      <c r="JU113" s="347" t="b">
        <f t="shared" si="165"/>
        <v>0</v>
      </c>
      <c r="JV113" s="347" t="b">
        <f t="shared" si="166"/>
        <v>0</v>
      </c>
      <c r="JW113" s="347" t="b">
        <f t="shared" si="167"/>
        <v>0</v>
      </c>
      <c r="JX113" s="347" t="b">
        <f t="shared" si="168"/>
        <v>1</v>
      </c>
      <c r="JY113" s="347" t="b">
        <f t="shared" si="169"/>
        <v>0</v>
      </c>
      <c r="JZ113" s="347" t="b">
        <f t="shared" si="170"/>
        <v>0</v>
      </c>
      <c r="KA113" s="347" t="b">
        <f t="shared" si="171"/>
        <v>0</v>
      </c>
      <c r="KB113" s="365" t="b">
        <f t="shared" si="172"/>
        <v>0</v>
      </c>
      <c r="KC113" s="354" t="str">
        <f t="shared" si="173"/>
        <v/>
      </c>
      <c r="KD113" s="355" t="str">
        <f t="shared" si="174"/>
        <v/>
      </c>
      <c r="KE113" s="355" t="str">
        <f t="shared" si="175"/>
        <v/>
      </c>
      <c r="KF113" s="355" t="str">
        <f t="shared" si="176"/>
        <v/>
      </c>
      <c r="KG113" s="355" t="str">
        <f t="shared" si="177"/>
        <v>Ga, </v>
      </c>
      <c r="KH113" s="355" t="str">
        <f t="shared" si="178"/>
        <v/>
      </c>
      <c r="KI113" s="355" t="str">
        <f t="shared" si="179"/>
        <v/>
      </c>
      <c r="KJ113" s="355" t="str">
        <f t="shared" si="180"/>
        <v/>
      </c>
      <c r="KK113" s="355" t="str">
        <f t="shared" si="181"/>
        <v>dha, </v>
      </c>
      <c r="KL113" s="355" t="str">
        <f t="shared" si="182"/>
        <v/>
      </c>
      <c r="KM113" s="355" t="str">
        <f t="shared" si="183"/>
        <v/>
      </c>
      <c r="KN113" s="355" t="str">
        <f t="shared" si="184"/>
        <v/>
      </c>
      <c r="KO113" s="359"/>
      <c r="KP113" s="378"/>
      <c r="KQ113" s="379" t="s">
        <v>735</v>
      </c>
      <c r="KR113" s="380" t="s">
        <v>1392</v>
      </c>
      <c r="KS113" s="381" t="str">
        <f t="shared" si="428"/>
        <v>S-G-m-P-d-n-S</v>
      </c>
      <c r="KT113" s="382">
        <f t="shared" si="186"/>
        <v>6</v>
      </c>
      <c r="KU113" s="383">
        <f t="shared" si="187"/>
        <v>6</v>
      </c>
      <c r="KV113" s="381" t="str">
        <f t="shared" si="205"/>
        <v>S-n-d-P-m-G-S</v>
      </c>
      <c r="KW113" s="382">
        <f t="shared" si="189"/>
        <v>6</v>
      </c>
      <c r="KX113" s="384">
        <f t="shared" si="190"/>
        <v>6</v>
      </c>
      <c r="KY113" s="382">
        <f t="shared" ref="KY113:KZ113" si="429">KW113-KT113</f>
        <v>0</v>
      </c>
      <c r="KZ113" s="369">
        <f t="shared" si="429"/>
        <v>0</v>
      </c>
      <c r="LA113" s="385" t="str">
        <f t="shared" si="192"/>
        <v>✔</v>
      </c>
      <c r="LB113" s="340" t="str">
        <f>IFERROR(__xludf.DUMMYFUNCTION("JOIN("""",ArrayFormula(MID(KS113,LEN(KS113)-SEQUENCE(1,LEN(KS113))+1,1)))"),"S-n-d-P-m-G-S")</f>
        <v>S-n-d-P-m-G-S</v>
      </c>
      <c r="LC113" s="373" t="str">
        <f>IFERROR(__xludf.DUMMYFUNCTION("JOIN("""",ArrayFormula(MID(KV113,LEN(KV113)-SEQUENCE(1,LEN(KV113))+1,1)))"),"S-G-m-P-d-n-S")</f>
        <v>S-G-m-P-d-n-S</v>
      </c>
      <c r="LD113" s="373" t="str">
        <f t="shared" si="193"/>
        <v>SGmPdnS</v>
      </c>
      <c r="LE113" s="339" t="str">
        <f t="shared" si="194"/>
        <v>SGmPdnS</v>
      </c>
      <c r="LF113" s="386" t="str">
        <f>IFERROR(__xludf.DUMMYFUNCTION("SUBSTITUTE(SUBSTITUTE(CONCATENATE(JOIN("""",LH113:LT113)),""1"",""""),""2"","""")"),"SGmPdnS")</f>
        <v>SGmPdnS</v>
      </c>
      <c r="LG113" s="369" t="str">
        <f t="shared" si="195"/>
        <v>✔</v>
      </c>
      <c r="LH113" s="387" t="str">
        <f>IFERROR(__xludf.DUMMYFUNCTION("IF(REGEXMATCH(LD113, ""S""), ""S"",IF(REGEXMATCH(LE113, ""S""), ""S"",""""))"),"S")</f>
        <v>S</v>
      </c>
      <c r="LI113" s="299" t="str">
        <f>IFERROR(__xludf.DUMMYFUNCTION("IF(REGEXMATCH(LD113, ""r""), ""r1"",IF(REGEXMATCH(LE113, ""r""), ""r2"",""""))"),"")</f>
        <v/>
      </c>
      <c r="LJ113" s="299" t="str">
        <f>IFERROR(__xludf.DUMMYFUNCTION("IF(REGEXMATCH(LD113, ""R""), ""R1"",IF(REGEXMATCH(LE113, ""R""), ""R2"",""""))"),"")</f>
        <v/>
      </c>
      <c r="LK113" s="299" t="str">
        <f>IFERROR(__xludf.DUMMYFUNCTION("IF(REGEXMATCH(LD113, ""g""), ""g1"",IF(REGEXMATCH(LE113, ""g""), ""g2"",""""))"),"")</f>
        <v/>
      </c>
      <c r="LL113" s="299" t="str">
        <f>IFERROR(__xludf.DUMMYFUNCTION("IF(REGEXMATCH(LD113, ""G""), ""G1"",IF(REGEXMATCH(LE113, ""G""), ""G2"",""""))"),"G1")</f>
        <v>G1</v>
      </c>
      <c r="LM113" s="299" t="str">
        <f>IFERROR(__xludf.DUMMYFUNCTION("IF(REGEXMATCH(LD113, ""m""), ""m1"",IF(REGEXMATCH(LE113, ""m""), ""m2"",""""))"),"m1")</f>
        <v>m1</v>
      </c>
      <c r="LN113" s="299" t="str">
        <f>IFERROR(__xludf.DUMMYFUNCTION("IF(REGEXMATCH(LD113, ""M""), ""M1"",IF(REGEXMATCH(LE113, ""M""), ""M2"",""""))"),"")</f>
        <v/>
      </c>
      <c r="LO113" s="299" t="str">
        <f>IFERROR(__xludf.DUMMYFUNCTION("IF(REGEXMATCH(LD113, ""P""), ""P1"",IF(REGEXMATCH(LE113, ""P""), ""P2"",""""))"),"P1")</f>
        <v>P1</v>
      </c>
      <c r="LP113" s="299" t="str">
        <f>IFERROR(__xludf.DUMMYFUNCTION("IF(REGEXMATCH(LD113, ""d""), ""d1"",IF(REGEXMATCH(LE113, ""d""), ""d2"",""""))"),"d1")</f>
        <v>d1</v>
      </c>
      <c r="LQ113" s="299" t="str">
        <f>IFERROR(__xludf.DUMMYFUNCTION("IF(REGEXMATCH(LD113, ""D""), ""D1"",IF(REGEXMATCH(LE113, ""D""), ""D2"",""""))"),"")</f>
        <v/>
      </c>
      <c r="LR113" s="299" t="str">
        <f>IFERROR(__xludf.DUMMYFUNCTION("IF(REGEXMATCH(LD113, ""n""), ""n1"",IF(REGEXMATCH(LE113, ""n""), ""n2"",""""))"),"n1")</f>
        <v>n1</v>
      </c>
      <c r="LS113" s="299" t="str">
        <f>IFERROR(__xludf.DUMMYFUNCTION("IF(REGEXMATCH(LD113, ""N""), ""N1"",IF(REGEXMATCH(LE113, ""N""), ""N2"",""""))"),"")</f>
        <v/>
      </c>
      <c r="LT113" s="388" t="str">
        <f>IFERROR(__xludf.DUMMYFUNCTION("IF(REGEXMATCH(LD113, ""S""), ""S"",IF(REGEXMATCH(LE113, ""S""), ""S"",""""))"),"S")</f>
        <v>S</v>
      </c>
      <c r="LU113" s="389">
        <f t="shared" si="196"/>
        <v>1</v>
      </c>
      <c r="LV113" s="378"/>
      <c r="LW113" s="369"/>
      <c r="LX113" s="369"/>
    </row>
    <row r="114" ht="18.0" customHeight="1">
      <c r="A114" s="298" t="s">
        <v>737</v>
      </c>
      <c r="B114" s="222" t="s">
        <v>738</v>
      </c>
      <c r="C114" s="233" t="str">
        <f t="shared" si="7"/>
        <v>SRGmPDnS</v>
      </c>
      <c r="D114" s="234" t="str">
        <f>IFERROR(__xludf.DUMMYFUNCTION("IF(REGEXMATCH(C114, ""S""), ""S"","""")"),"S")</f>
        <v>S</v>
      </c>
      <c r="E114" s="236" t="str">
        <f>IFERROR(__xludf.DUMMYFUNCTION("IF(REGEXMATCH(C114, ""r""), ""r"","""")"),"")</f>
        <v/>
      </c>
      <c r="F114" s="237" t="str">
        <f>IFERROR(__xludf.DUMMYFUNCTION("IF(REGEXMATCH(C114, ""R""), ""R"","""")"),"R")</f>
        <v>R</v>
      </c>
      <c r="G114" s="237" t="str">
        <f>IFERROR(__xludf.DUMMYFUNCTION("IF(REGEXMATCH(C114, ""g""), ""g"","""")"),"")</f>
        <v/>
      </c>
      <c r="H114" s="236" t="str">
        <f>IFERROR(__xludf.DUMMYFUNCTION("IF(REGEXMATCH(C114, ""G""), ""G"","""")"),"G")</f>
        <v>G</v>
      </c>
      <c r="I114" s="236" t="str">
        <f>IFERROR(__xludf.DUMMYFUNCTION("IF(REGEXMATCH(C114, ""m""), ""m"","""")"),"m")</f>
        <v>m</v>
      </c>
      <c r="J114" s="237" t="str">
        <f>IFERROR(__xludf.DUMMYFUNCTION("IF(REGEXMATCH(C114, ""M""), ""M"","""")"),"")</f>
        <v/>
      </c>
      <c r="K114" s="236" t="str">
        <f>IFERROR(__xludf.DUMMYFUNCTION("IF(REGEXMATCH(C114, ""P""), ""P"","""")"),"P")</f>
        <v>P</v>
      </c>
      <c r="L114" s="237" t="str">
        <f>IFERROR(__xludf.DUMMYFUNCTION("IF(REGEXMATCH(C114, ""d""), ""d"","""")"),"")</f>
        <v/>
      </c>
      <c r="M114" s="236" t="str">
        <f>IFERROR(__xludf.DUMMYFUNCTION("IF(REGEXMATCH(C114, ""D""), ""D"","""")"),"D")</f>
        <v>D</v>
      </c>
      <c r="N114" s="236" t="str">
        <f>IFERROR(__xludf.DUMMYFUNCTION("IF(REGEXMATCH(C114, ""n""), ""n"","""")"),"n")</f>
        <v>n</v>
      </c>
      <c r="O114" s="237" t="str">
        <f>IFERROR(__xludf.DUMMYFUNCTION("IF(REGEXMATCH(C114, ""N""), ""N"","""")"),"")</f>
        <v/>
      </c>
      <c r="P114" s="238" t="str">
        <f>IFERROR(__xludf.DUMMYFUNCTION("IF(REGEXMATCH(C114, ""S""), ""S"","""")"),"S")</f>
        <v>S</v>
      </c>
      <c r="Q114" s="239" t="str">
        <f>IFERROR(__xludf.DUMMYFUNCTION("SUBSTITUTE(CONCATENATE(JOIN(""-"",D114:J114)),""-"","""")"),"SRGm")</f>
        <v>SRGm</v>
      </c>
      <c r="R114" s="229" t="str">
        <f>IFERROR(__xludf.DUMMYFUNCTION("SUBSTITUTE(CONCATENATE(JOIN(""-"",K114:P114)),""-"","""")"),"PDnS")</f>
        <v>PDnS</v>
      </c>
      <c r="S114" s="282" t="str">
        <f t="shared" si="8"/>
        <v>S-R-G-M</v>
      </c>
      <c r="T114" s="282" t="str">
        <f t="shared" si="9"/>
        <v>P-D-N-S</v>
      </c>
      <c r="U114" s="237" t="str">
        <f>IFERROR(__xludf.DUMMYFUNCTION("SUBSTITUTE(JOIN(""-"",S114,T114),""--"",""-"")"),"S-R-G-M-P-D-N-S")</f>
        <v>S-R-G-M-P-D-N-S</v>
      </c>
      <c r="V114" s="309" t="str">
        <f t="shared" si="10"/>
        <v>RGmDn</v>
      </c>
      <c r="W114" s="244" t="str">
        <f>IFERROR(__xludf.DUMMYFUNCTION("IF(REGEXMATCH(C114, ""S""), ""0"","""")"),"0")</f>
        <v>0</v>
      </c>
      <c r="X114" s="245" t="str">
        <f>IFERROR(__xludf.DUMMYFUNCTION("IF(REGEXMATCH(C114, ""r""), ""1"","""")"),"")</f>
        <v/>
      </c>
      <c r="Y114" s="246" t="str">
        <f>IFERROR(__xludf.DUMMYFUNCTION("IF(REGEXMATCH(C114, ""R""), ""2"","""")"),"2")</f>
        <v>2</v>
      </c>
      <c r="Z114" s="246" t="str">
        <f>IFERROR(__xludf.DUMMYFUNCTION("IF(REGEXMATCH(C114, ""g""), ""3"","""")"),"")</f>
        <v/>
      </c>
      <c r="AA114" s="245" t="str">
        <f>IFERROR(__xludf.DUMMYFUNCTION("IF(REGEXMATCH(C114, ""G""), ""4"","""")"),"4")</f>
        <v>4</v>
      </c>
      <c r="AB114" s="245" t="str">
        <f>IFERROR(__xludf.DUMMYFUNCTION("IF(REGEXMATCH(C114, ""m""), ""5"","""")"),"5")</f>
        <v>5</v>
      </c>
      <c r="AC114" s="246" t="str">
        <f>IFERROR(__xludf.DUMMYFUNCTION("IF(REGEXMATCH(C114, ""M""), ""6"","""")"),"")</f>
        <v/>
      </c>
      <c r="AD114" s="245" t="str">
        <f>IFERROR(__xludf.DUMMYFUNCTION("IF(REGEXMATCH(C114, ""P""), ""7"","""")"),"7")</f>
        <v>7</v>
      </c>
      <c r="AE114" s="246" t="str">
        <f>IFERROR(__xludf.DUMMYFUNCTION("IF(REGEXMATCH(C114, ""d""), ""8"","""")"),"")</f>
        <v/>
      </c>
      <c r="AF114" s="245" t="str">
        <f>IFERROR(__xludf.DUMMYFUNCTION("IF(REGEXMATCH(C114, ""D""), ""9"","""")"),"9")</f>
        <v>9</v>
      </c>
      <c r="AG114" s="245" t="str">
        <f>IFERROR(__xludf.DUMMYFUNCTION("IF(REGEXMATCH(C114, ""n""), ""10"","""")"),"10")</f>
        <v>10</v>
      </c>
      <c r="AH114" s="246" t="str">
        <f>IFERROR(__xludf.DUMMYFUNCTION("IF(REGEXMATCH(C114, ""N""), ""11"","""")"),"")</f>
        <v/>
      </c>
      <c r="AI114" s="249" t="str">
        <f>IFERROR(__xludf.DUMMYFUNCTION("IF(REGEXMATCH(C114, ""S""), ""0"","""")"),"0")</f>
        <v>0</v>
      </c>
      <c r="AJ114" s="313" t="str">
        <f t="shared" si="11"/>
        <v>-</v>
      </c>
      <c r="AK114" s="313" t="str">
        <f t="shared" si="12"/>
        <v>-</v>
      </c>
      <c r="AL114" s="313" t="str">
        <f t="shared" si="13"/>
        <v>-</v>
      </c>
      <c r="AM114" s="313" t="str">
        <f t="shared" si="14"/>
        <v>-</v>
      </c>
      <c r="AN114" s="313" t="str">
        <f t="shared" si="15"/>
        <v>T</v>
      </c>
      <c r="AO114" s="314" t="str">
        <f t="shared" si="16"/>
        <v>-</v>
      </c>
      <c r="AP114" s="316">
        <f t="shared" si="17"/>
        <v>1</v>
      </c>
      <c r="AQ114" s="319" t="str">
        <f t="shared" si="18"/>
        <v>-</v>
      </c>
      <c r="AR114" s="320">
        <f t="shared" si="19"/>
        <v>0</v>
      </c>
      <c r="AS114" s="250" t="str">
        <f>IFERROR(__xludf.DUMMYFUNCTION("SUBSTITUTE(SUBSTITUTE(CONCATENATE(JOIN("""",FP114:GA114)),""|"",""x""),""-"",""o"")"),"xoxoxxoxoxxo")</f>
        <v>xoxoxxoxoxxo</v>
      </c>
      <c r="AT114" s="323" t="str">
        <f>IFERROR(__xludf.DUMMYFUNCTION("JOIN("""",AS114,AS114)"),"xoxoxxoxoxxoxoxoxxoxoxxo")</f>
        <v>xoxoxxoxoxxoxoxoxxoxoxxo</v>
      </c>
      <c r="AU114" s="256" t="str">
        <f>IFERROR(__xludf.DUMMYFUNCTION("JOIN("""",ArrayFormula(MID(AS114,LEN(AS114)-SEQUENCE(1,LEN(AS114))+1,1)))"),"oxxoxoxxoxox")</f>
        <v>oxxoxoxxoxox</v>
      </c>
      <c r="AV114" s="256" t="str">
        <f>IFERROR(__xludf.DUMMYFUNCTION("LEFT(CONCATENATE(""x"",JOIN("""",ArrayFormula(MID(AS114,LEN(AS114)-SEQUENCE(1,LEN(AS114))+1,1)))),12)"),"xoxxoxoxxoxo")</f>
        <v>xoxxoxoxxoxo</v>
      </c>
      <c r="AW114" s="327" t="str">
        <f>IFERROR(__xludf.DUMMYFUNCTION("JOIN("""",AU114,AU114)"),"oxxoxoxxoxoxoxxoxoxxoxox")</f>
        <v>oxxoxoxxoxoxoxxoxoxxoxox</v>
      </c>
      <c r="AX114" s="239" t="str">
        <f>IFERROR(__xludf.DUMMYFUNCTION("IF(REGEXMATCH(AW114,AS114),""✔"",""-"")"),"✔")</f>
        <v>✔</v>
      </c>
      <c r="AY114" s="330" t="str">
        <f t="shared" si="20"/>
        <v>-</v>
      </c>
      <c r="AZ114" s="260" t="str">
        <f t="shared" si="21"/>
        <v>#REF!</v>
      </c>
      <c r="BA114" s="333" t="str">
        <f t="shared" si="22"/>
        <v>xoxoxxo</v>
      </c>
      <c r="BB114" s="334" t="str">
        <f t="shared" si="23"/>
        <v>xoxxox</v>
      </c>
      <c r="BC114" s="335" t="str">
        <f t="shared" si="236"/>
        <v>-</v>
      </c>
      <c r="BD114" s="336" t="str">
        <f t="shared" si="25"/>
        <v>Gaoti: 'xoxoxxo' + 'xoxxox'</v>
      </c>
      <c r="BE114" s="337">
        <f>IFERROR(__xludf.DUMMYFUNCTION("COUNTUNIQUE(FILTER(AT:AT,REGEXMATCH(AT:AT,AS114)))-1"),6.0)</f>
        <v>6</v>
      </c>
      <c r="BF114" s="261" t="str">
        <f>IFERROR(__xludf.DUMMYFUNCTION("IF(BI114=0,""(n/a)"",IF(BJ114=2,""(PAIR)"",IF(REGEXMATCH(AT114,""xoxoxxoxoxox""),""Bilawal"",IF(REGEXMATCH(AT114,""xoxoxooxoxoo""),""Bhupali"",IF(REGEXMATCH(AT114,""xoxoxxoxxoxo""),""Charukeshi"",IF(REGEXMATCH(AT114,""xoxoooxxoxxo""),""Kameshwari"",IF(REG"&amp;"EXMATCH(AT114,""xoxoxooxoxox""),""Shankara"",IF(REGEXMATCH(AT114,""xxooxoxxxoox""),""Basant"",IF(REGEXMATCH(AT114,""xoxoxxxxoxox""),""Bihag"",IF(REGEXMATCH(AT114,""xoxxxxoxoxxx""),""Pilu"",IF(REGEXMATCH(AT114,""xoxxoxoxxoox""),""Kirwani"",IF(REGEXMATCH(AT"&amp;"114,""xoxxoxoxoxxx""),""Mk.Malhar"",IF(REGEXMATCH(AT114,""xxooxxoxxoox""),""Bhairav"",IF(REGEXMATCH(AT114,""xxoxooxxxoox""),""Todi"",IF(REGEXMATCH(AT114,""xxooxoxooxox""),""Marwa"",IF(REGEXMATCH(AT114,""xxoooxoxxooo""),""Gunkali"",IF(REGEXMATCH(AT114,""xo"&amp;"xoxxoxxoox""),""Nat Bhairav"",IF(REGEXMATCH(AT114,""xoxxoooxoxoo""),""Shivranjani"",IF(REGEXMATCH(AT114,""xooxxxoxooxo""),""Jog"",IF(REGEXMATCH(AT114,""xxooxoxoxoox""),""Hemshri"",IF(REGEXMATCH(AT114,""xoooxooxoxxo""),""Kalavati"",IF(REGEXMATCH(AT114,""xx"&amp;"oxoxxoxoox""),""Kedar"",IF(REGEXMATCH(AT114,""xoxxxxoxooxx""),""Gara"",IF(REGEXMATCH(AT114,""xooxoxooxoox""),""Chandrakauns"",IF(REGEXMATCH(AT114,""xoxxxxoxxxox""),""Mand"",IF(REGEXMATCH(AT114,""xoxxxxoxoxox""),""Hanskinkini"",IF(REGEXMATCH(AT114,""xxooxx"&amp;"oxooxo""),""Lilavati"",IF(REGEXMATCH(AT114,""xooxoxoooxox""),""Rajeshwari"",IF(REGEXMATCH(AT114,""xoooxxoxoxxx""),""Khokar"",IF(REGEXMATCH(AT114,""xxooxoxxxxox""),""Maligoura"",""-""))))))))))))))))))))))))))))))"),"Bilawal")</f>
        <v>Bilawal</v>
      </c>
      <c r="BG114" s="239" t="str">
        <f t="shared" si="26"/>
        <v>#REF!</v>
      </c>
      <c r="BH114" s="239">
        <f>IFERROR(__xludf.DUMMYFUNCTION("COUNTUNIQUE(FE114:FO114)-1"),6.0)</f>
        <v>6</v>
      </c>
      <c r="BI114" s="239">
        <f>IFERROR(__xludf.DUMMYFUNCTION("COUNTUNIQUE(FILTER(AT:AT,REGEXMATCH(AT:AT,AS114)))-1"),6.0)</f>
        <v>6</v>
      </c>
      <c r="BJ114" s="239">
        <f>IFERROR(__xludf.DUMMYFUNCTION("COUNTA(FILTER(AT:AT,REGEXMATCH(AT:AT,AS114)))"),48.0)</f>
        <v>48</v>
      </c>
      <c r="BK114" s="341">
        <f>IFERROR(__xludf.DUMMYFUNCTION("COUNTA(FILTER(AT:AT,REGEXMATCH(AT:AT,AS114)))-AR114"),48.0)</f>
        <v>48</v>
      </c>
      <c r="BL114" s="276" t="str">
        <f>IFERROR(__xludf.DUMMYFUNCTION("IF(AS114=""oooooooooooo"",""-"",IF(REGEXMATCH(AT114,""xx""), ""Hemi."", ""Anhemi.""))"),"Hemi.")</f>
        <v>Hemi.</v>
      </c>
      <c r="BM114" s="282" t="str">
        <f>IFERROR(__xludf.DUMMYFUNCTION("IF(AS114=""oooooooooooo"",""-"",IF(REGEXMATCH(AT114,""xxx""), ""Cohem."", ""-""))"),"-")</f>
        <v>-</v>
      </c>
      <c r="BN114" s="282" t="str">
        <f>IFERROR(__xludf.DUMMYFUNCTION("IF(AS114=""oooooooooooo"",""-"",IF(REGEXMATCH(AT114,""xxxx""), ""Co-Co."", ""-""))"),"-")</f>
        <v>-</v>
      </c>
      <c r="BO114" s="342" t="str">
        <f>IFERROR(__xludf.DUMMYFUNCTION("IF(AS114=""oooooooooooo"",""-"",IF(REGEXMATCH(AT114,""xxxxx""), ""CCC."", ""-""))"),"-")</f>
        <v>-</v>
      </c>
      <c r="BP114" s="344" t="str">
        <f t="shared" si="27"/>
        <v>Khamaj</v>
      </c>
      <c r="BQ114" s="282" t="str">
        <f>IFERROR(__xludf.DUMMYFUNCTION("IF(REGEXMATCH(JOIN(""-"",EU114:FD114),""TRUE""),""✔"",""-"")"),"✔")</f>
        <v>✔</v>
      </c>
      <c r="BR114" s="225">
        <f t="shared" si="28"/>
        <v>1</v>
      </c>
      <c r="BS114" s="345" t="str">
        <f>IFERROR(__xludf.DUMMYFUNCTION("SUBSTITUTE(SUBSTITUTE(SUBSTITUTE(SUBSTITUTE(CONCATENATE(JOIN(""-"",GC114:GO114)),""--"",""-""),""--"",""-""),""--"",""-""),""--"",""-"")"),"1-2-3-4-5-6-b7-8")</f>
        <v>1-2-3-4-5-6-b7-8</v>
      </c>
      <c r="BT114" s="299" t="str">
        <f>IFERROR(__xludf.DUMMYFUNCTION("SUBSTITUTE(SUBSTITUTE(SUBSTITUTE(SUBSTITUTE(CONCATENATE(JOIN(""-"",GP114:HB114)),""--"",""-""),""--"",""-""),""--"",""-""),""--"",""-"")"),"S-R2-G3-M1-P-D2-N2-S")</f>
        <v>S-R2-G3-M1-P-D2-N2-S</v>
      </c>
      <c r="BU114" s="348" t="str">
        <f t="shared" si="29"/>
        <v>C-D-E-F-G-A-Bb-C</v>
      </c>
      <c r="BV114" s="349" t="str">
        <f t="shared" si="30"/>
        <v>SrgMdNS</v>
      </c>
      <c r="BW114" s="350">
        <f t="shared" si="31"/>
        <v>1</v>
      </c>
      <c r="BX114" s="351">
        <f t="shared" si="32"/>
        <v>8</v>
      </c>
      <c r="BY114" s="392"/>
      <c r="BZ114" s="309" t="str">
        <f>IFERROR(__xludf.DUMMYFUNCTION("IF(REGEXMATCH(C114, ""S""), ""x"",""x"")"),"x")</f>
        <v>x</v>
      </c>
      <c r="CA114" s="245" t="str">
        <f>IFERROR(__xludf.DUMMYFUNCTION("IF(REGEXMATCH(C114, ""r""), ""o"",""x"")"),"x")</f>
        <v>x</v>
      </c>
      <c r="CB114" s="246" t="str">
        <f>IFERROR(__xludf.DUMMYFUNCTION("IF(REGEXMATCH(C114, ""R""), ""o"",""x"")"),"o")</f>
        <v>o</v>
      </c>
      <c r="CC114" s="246" t="str">
        <f>IFERROR(__xludf.DUMMYFUNCTION("IF(REGEXMATCH(C114, ""g""), ""o"",""x"")"),"x")</f>
        <v>x</v>
      </c>
      <c r="CD114" s="245" t="str">
        <f>IFERROR(__xludf.DUMMYFUNCTION("IF(REGEXMATCH(C114, ""G""), ""o"",""x"")"),"o")</f>
        <v>o</v>
      </c>
      <c r="CE114" s="245" t="str">
        <f>IFERROR(__xludf.DUMMYFUNCTION("IF(REGEXMATCH(C114, ""m""), ""o"",""x"")"),"o")</f>
        <v>o</v>
      </c>
      <c r="CF114" s="246" t="str">
        <f>IFERROR(__xludf.DUMMYFUNCTION("IF(REGEXMATCH(C114, ""M""), ""o"",""x"")"),"x")</f>
        <v>x</v>
      </c>
      <c r="CG114" s="245" t="str">
        <f>IFERROR(__xludf.DUMMYFUNCTION("IF(REGEXMATCH(C114, ""P""), ""o"",""x"")"),"o")</f>
        <v>o</v>
      </c>
      <c r="CH114" s="246" t="str">
        <f>IFERROR(__xludf.DUMMYFUNCTION("IF(REGEXMATCH(C114, ""d""), ""o"",""x"")"),"x")</f>
        <v>x</v>
      </c>
      <c r="CI114" s="245" t="str">
        <f>IFERROR(__xludf.DUMMYFUNCTION("IF(REGEXMATCH(C114, ""D""), ""o"",""x"")"),"o")</f>
        <v>o</v>
      </c>
      <c r="CJ114" s="245" t="str">
        <f>IFERROR(__xludf.DUMMYFUNCTION("IF(REGEXMATCH(C114, ""n""), ""o"",""x"")"),"o")</f>
        <v>o</v>
      </c>
      <c r="CK114" s="245" t="str">
        <f>IFERROR(__xludf.DUMMYFUNCTION("IF(REGEXMATCH(C114, ""N""), ""o"",""x"")"),"x")</f>
        <v>x</v>
      </c>
      <c r="CL114" s="356" t="str">
        <f>IFERROR(__xludf.DUMMYFUNCTION("IF(REGEXMATCH(C114, ""S""), ""x"",""x"")"),"x")</f>
        <v>x</v>
      </c>
      <c r="CM114" s="357" t="str">
        <f t="shared" si="33"/>
        <v>xxoxooxoxoox</v>
      </c>
      <c r="CN114" s="358">
        <f t="shared" si="34"/>
        <v>1</v>
      </c>
      <c r="CO114" s="246" t="str">
        <f>IFERROR(__xludf.DUMMYFUNCTION("IF(REGEXMATCH($C114, ""S""), ""S"",""S"")"),"S")</f>
        <v>S</v>
      </c>
      <c r="CP114" s="246" t="str">
        <f>IFERROR(__xludf.DUMMYFUNCTION("IF(REGEXMATCH($C114, ""r""), """",""r"")"),"r")</f>
        <v>r</v>
      </c>
      <c r="CQ114" s="246" t="str">
        <f>IFERROR(__xludf.DUMMYFUNCTION("IF(REGEXMATCH($C114, ""R""), """",""R"")"),"")</f>
        <v/>
      </c>
      <c r="CR114" s="246" t="str">
        <f>IFERROR(__xludf.DUMMYFUNCTION("IF(REGEXMATCH($C114, ""g""), """",""g"")"),"g")</f>
        <v>g</v>
      </c>
      <c r="CS114" s="246" t="str">
        <f>IFERROR(__xludf.DUMMYFUNCTION("IF(REGEXMATCH($C114, ""G""), """",""G"")"),"")</f>
        <v/>
      </c>
      <c r="CT114" s="246" t="str">
        <f>IFERROR(__xludf.DUMMYFUNCTION("IF(REGEXMATCH($C114, ""m""), """",""m"")"),"")</f>
        <v/>
      </c>
      <c r="CU114" s="246" t="str">
        <f>IFERROR(__xludf.DUMMYFUNCTION("IF(REGEXMATCH($C114, ""M""), """",""M"")"),"M")</f>
        <v>M</v>
      </c>
      <c r="CV114" s="246" t="str">
        <f>IFERROR(__xludf.DUMMYFUNCTION("IF(REGEXMATCH($C114, ""P""), """",""P"")"),"")</f>
        <v/>
      </c>
      <c r="CW114" s="246" t="str">
        <f>IFERROR(__xludf.DUMMYFUNCTION("IF(REGEXMATCH($C114, ""d""), """",""d"")"),"d")</f>
        <v>d</v>
      </c>
      <c r="CX114" s="246" t="str">
        <f>IFERROR(__xludf.DUMMYFUNCTION("IF(REGEXMATCH($C114, ""D""), """",""D"")"),"")</f>
        <v/>
      </c>
      <c r="CY114" s="246" t="str">
        <f>IFERROR(__xludf.DUMMYFUNCTION("IF(REGEXMATCH($C114, ""n""), """",""n"")"),"")</f>
        <v/>
      </c>
      <c r="CZ114" s="246" t="str">
        <f>IFERROR(__xludf.DUMMYFUNCTION("IF(REGEXMATCH($C114, ""N""), """",""N"")"),"N")</f>
        <v>N</v>
      </c>
      <c r="DA114" s="246" t="str">
        <f>IFERROR(__xludf.DUMMYFUNCTION("IF(REGEXMATCH($C114, ""S""), ""S"",""S"")"),"S")</f>
        <v>S</v>
      </c>
      <c r="DB114" s="362" t="str">
        <f>IFERROR(__xludf.DUMMYFUNCTION("JOIN("""",CO114:DA114,"""","""")"),"SrgMdNS")</f>
        <v>SrgMdNS</v>
      </c>
      <c r="DC114" s="363"/>
      <c r="DD114" s="301" t="str">
        <f t="shared" si="35"/>
        <v>#REF!</v>
      </c>
      <c r="DE114" s="302" t="str">
        <f t="shared" si="36"/>
        <v>#REF!</v>
      </c>
      <c r="DF114" s="301" t="str">
        <f t="shared" ref="DF114:DG114" si="430">SUBSTITUTE(S114,"-","")</f>
        <v>SRGM</v>
      </c>
      <c r="DG114" s="301" t="str">
        <f t="shared" si="430"/>
        <v>PDNS</v>
      </c>
      <c r="DH114" s="302" t="str">
        <f t="shared" si="38"/>
        <v>Bilawal</v>
      </c>
      <c r="DI114" s="301" t="str">
        <f t="shared" si="39"/>
        <v>Hemi.</v>
      </c>
      <c r="DJ114" s="364" t="str">
        <f t="shared" si="40"/>
        <v>-</v>
      </c>
      <c r="DK114" s="306" t="str">
        <f t="shared" si="41"/>
        <v>Khamaj</v>
      </c>
      <c r="DL114" s="366" t="str">
        <f t="shared" si="42"/>
        <v>-</v>
      </c>
      <c r="DM114" s="308" t="str">
        <f t="shared" si="43"/>
        <v>-</v>
      </c>
      <c r="DN114" s="306" t="str">
        <f t="shared" si="44"/>
        <v>-</v>
      </c>
      <c r="DO114" s="306" t="str">
        <f t="shared" si="45"/>
        <v>-</v>
      </c>
      <c r="DP114" s="367" t="str">
        <f t="shared" si="46"/>
        <v>-</v>
      </c>
      <c r="DQ114" s="310" t="str">
        <f t="shared" si="47"/>
        <v>-</v>
      </c>
      <c r="DR114" s="310" t="str">
        <f t="shared" si="48"/>
        <v>-</v>
      </c>
      <c r="DS114" s="310" t="str">
        <f t="shared" si="49"/>
        <v>-</v>
      </c>
      <c r="DT114" s="310" t="str">
        <f t="shared" si="50"/>
        <v>-</v>
      </c>
      <c r="DU114" s="370" t="str">
        <f t="shared" si="51"/>
        <v>-</v>
      </c>
      <c r="DV114" s="306" t="str">
        <f t="shared" si="52"/>
        <v>-</v>
      </c>
      <c r="DW114" s="306" t="str">
        <f t="shared" si="53"/>
        <v>-</v>
      </c>
      <c r="DX114" s="306" t="str">
        <f t="shared" si="54"/>
        <v>-</v>
      </c>
      <c r="DY114" s="306" t="str">
        <f t="shared" si="55"/>
        <v>-</v>
      </c>
      <c r="DZ114" s="306" t="str">
        <f t="shared" si="56"/>
        <v>-</v>
      </c>
      <c r="EA114" s="367" t="str">
        <f t="shared" si="57"/>
        <v>-</v>
      </c>
      <c r="EB114" s="310" t="str">
        <f>IFERROR(__xludf.DUMMYFUNCTION("IF(REGEXMATCH(AW114,AS114),""✔"",""-"")"),"✔")</f>
        <v>✔</v>
      </c>
      <c r="EC114" s="310" t="str">
        <f t="shared" si="58"/>
        <v>#REF!</v>
      </c>
      <c r="ED114" s="370" t="str">
        <f t="shared" si="59"/>
        <v>-</v>
      </c>
      <c r="EE114" s="340" t="str">
        <f t="shared" si="60"/>
        <v>S-R-G-m-P-D-n-S</v>
      </c>
      <c r="EF114" s="371" t="str">
        <f>IFERROR(__xludf.DUMMYFUNCTION("CONCATENATE(JOIN("""",HC114:HO114))"),"SRgmPdnS")</f>
        <v>SRgmPdnS</v>
      </c>
      <c r="EG114" s="372">
        <f t="shared" si="61"/>
        <v>1</v>
      </c>
      <c r="EH114" s="373" t="str">
        <f>IFERROR(__xludf.DUMMYFUNCTION("CONCATENATE(JOIN("""",JC114:JO114))"),"Ga, ")</f>
        <v>Ga, </v>
      </c>
      <c r="EI114" s="322">
        <f t="shared" si="62"/>
        <v>0</v>
      </c>
      <c r="EJ114" s="374" t="str">
        <f>IFERROR(__xludf.DUMMYFUNCTION("CONCATENATE(JOIN("""",KC114:KO114))"),"")</f>
        <v/>
      </c>
      <c r="EK114" s="325" t="str">
        <f t="shared" si="63"/>
        <v>S-R2-G3-M1-P-D2-N2-S</v>
      </c>
      <c r="EL114" s="326" t="str">
        <f t="shared" si="64"/>
        <v>1-2-3-4-5-6-b7-8</v>
      </c>
      <c r="EM114" s="318" t="str">
        <f t="shared" si="65"/>
        <v>#REF!</v>
      </c>
      <c r="EN114" s="328" t="str">
        <f>IFERROR(__xludf.DUMMYFUNCTION("SUBSTITUTE(SUBSTITUTE(SUBSTITUTE(SUBSTITUTE(CONCATENATE(JOIN("" "",HP114:IB114)),""  "","" ""),""  "","" ""),""  "","" ""),""  "","" "")"),"o • o • o o • o • o o • o")</f>
        <v>o • o • o o • o • o o • o</v>
      </c>
      <c r="EO114" s="368" t="str">
        <f t="shared" si="66"/>
        <v>-</v>
      </c>
      <c r="EP114" s="339" t="str">
        <f t="shared" si="67"/>
        <v>-</v>
      </c>
      <c r="EQ114" s="339" t="str">
        <f t="shared" si="68"/>
        <v>Sa-Pa</v>
      </c>
      <c r="ER114" s="339" t="str">
        <f t="shared" si="69"/>
        <v>-</v>
      </c>
      <c r="ES114" s="340" t="str">
        <f t="shared" si="70"/>
        <v>-</v>
      </c>
      <c r="ET114" s="363"/>
      <c r="EU114" s="376" t="b">
        <f>IFERROR(__xludf.DUMMYFUNCTION("arrayformula(sum(--REGEXMATCH(""SRGMPDNS"",split(REGEXREPLACE(C114,""(.)"",""$1~""),""~""))))=len(C114)
"),FALSE)</f>
        <v>0</v>
      </c>
      <c r="EV114" s="290" t="b">
        <f>IFERROR(__xludf.DUMMYFUNCTION("arrayformula(sum(--REGEXMATCH(""SRGmPDNS"",split(REGEXREPLACE(C114,""(.)"",""$1~""),""~""))))=len(C114)"),FALSE)</f>
        <v>0</v>
      </c>
      <c r="EW114" s="290" t="b">
        <f>IFERROR(__xludf.DUMMYFUNCTION("arrayformula(sum(--REGEXMATCH(""SRGmPDnS"",split(REGEXREPLACE(C114,""(.)"",""$1~""),""~""))))=len(C114)"),TRUE)</f>
        <v>1</v>
      </c>
      <c r="EX114" s="290" t="b">
        <f>IFERROR(__xludf.DUMMYFUNCTION("arrayformula(sum(--REGEXMATCH(""SRgmPDnS"",split(REGEXREPLACE(C114,""(.)"",""$1~""),""~""))))=len(C114)"),FALSE)</f>
        <v>0</v>
      </c>
      <c r="EY114" s="290" t="b">
        <f>IFERROR(__xludf.DUMMYFUNCTION("arrayformula(sum(--REGEXMATCH(""SRgmPdnS"",split(REGEXREPLACE(C114,""(.)"",""$1~""),""~""))))=len(C114)"),FALSE)</f>
        <v>0</v>
      </c>
      <c r="EZ114" s="290" t="b">
        <f>IFERROR(__xludf.DUMMYFUNCTION("arrayformula(sum(--REGEXMATCH(""SrgmPdnS"",split(REGEXREPLACE(C114,""(.)"",""$1~""),""~""))))=len(C114)"),FALSE)</f>
        <v>0</v>
      </c>
      <c r="FA114" s="290" t="b">
        <f>IFERROR(__xludf.DUMMYFUNCTION("arrayformula(sum(--REGEXMATCH(""SrGmPdNS"",split(REGEXREPLACE(C114,""(.)"",""$1~""),""~""))))=len(C114)"),FALSE)</f>
        <v>0</v>
      </c>
      <c r="FB114" s="290" t="b">
        <f>IFERROR(__xludf.DUMMYFUNCTION("arrayformula(sum(--REGEXMATCH(""SrGMPDNS"",split(REGEXREPLACE(C114,""(.)"",""$1~""),""~""))))=len(C114)"),FALSE)</f>
        <v>0</v>
      </c>
      <c r="FC114" s="290" t="b">
        <f>IFERROR(__xludf.DUMMYFUNCTION("arrayformula(sum(--REGEXMATCH(""SrGMPdNS"",split(REGEXREPLACE(C114,""(.)"",""$1~""),""~""))))=len(C114)"),FALSE)</f>
        <v>0</v>
      </c>
      <c r="FD114" s="377" t="b">
        <f>IFERROR(__xludf.DUMMYFUNCTION("arrayformula(sum(--REGEXMATCH(""SrgMPdNS"",split(REGEXREPLACE(C114,""(.)"",""$1~""),""~""))))=len(C114)"),FALSE)</f>
        <v>0</v>
      </c>
      <c r="FE114" s="269" t="str">
        <f t="shared" si="71"/>
        <v>-</v>
      </c>
      <c r="FF114" s="269" t="str">
        <f t="shared" si="72"/>
        <v>xoxxoxoxxox</v>
      </c>
      <c r="FG114" s="271" t="str">
        <f t="shared" si="73"/>
        <v>-</v>
      </c>
      <c r="FH114" s="269" t="str">
        <f t="shared" si="74"/>
        <v>xxoxoxxoxox</v>
      </c>
      <c r="FI114" s="271" t="str">
        <f t="shared" si="75"/>
        <v>xoxoxxoxoxo</v>
      </c>
      <c r="FJ114" s="271" t="str">
        <f t="shared" si="76"/>
        <v>-</v>
      </c>
      <c r="FK114" s="271" t="str">
        <f t="shared" si="77"/>
        <v>xoxxoxoxoxx</v>
      </c>
      <c r="FL114" s="271" t="str">
        <f t="shared" si="78"/>
        <v>-</v>
      </c>
      <c r="FM114" s="271" t="str">
        <f t="shared" si="79"/>
        <v>xxoxoxoxxox</v>
      </c>
      <c r="FN114" s="271" t="str">
        <f t="shared" si="80"/>
        <v>xoxoxoxxoxo</v>
      </c>
      <c r="FO114" s="274" t="str">
        <f t="shared" si="81"/>
        <v>-</v>
      </c>
      <c r="FP114" s="234" t="str">
        <f t="shared" si="82"/>
        <v>|</v>
      </c>
      <c r="FQ114" s="236" t="str">
        <f t="shared" si="83"/>
        <v>-</v>
      </c>
      <c r="FR114" s="237" t="str">
        <f t="shared" si="84"/>
        <v>|</v>
      </c>
      <c r="FS114" s="236" t="str">
        <f t="shared" si="85"/>
        <v>-</v>
      </c>
      <c r="FT114" s="237" t="str">
        <f t="shared" si="86"/>
        <v>|</v>
      </c>
      <c r="FU114" s="236" t="str">
        <f t="shared" si="87"/>
        <v>|</v>
      </c>
      <c r="FV114" s="237" t="str">
        <f t="shared" si="88"/>
        <v>-</v>
      </c>
      <c r="FW114" s="236" t="str">
        <f t="shared" si="89"/>
        <v>|</v>
      </c>
      <c r="FX114" s="237" t="str">
        <f t="shared" si="90"/>
        <v>-</v>
      </c>
      <c r="FY114" s="236" t="str">
        <f t="shared" si="91"/>
        <v>|</v>
      </c>
      <c r="FZ114" s="237" t="str">
        <f t="shared" si="92"/>
        <v>|</v>
      </c>
      <c r="GA114" s="236" t="str">
        <f t="shared" si="93"/>
        <v>-</v>
      </c>
      <c r="GB114" s="238" t="str">
        <f t="shared" si="94"/>
        <v>|</v>
      </c>
      <c r="GC114" s="244" t="str">
        <f>IFERROR(__xludf.DUMMYFUNCTION("IF(REGEXMATCH(C114, ""S""), ""1"","""")"),"1")</f>
        <v>1</v>
      </c>
      <c r="GD114" s="245" t="str">
        <f>IFERROR(__xludf.DUMMYFUNCTION("IF(REGEXMATCH(C114, ""r""), ""b2"","""")"),"")</f>
        <v/>
      </c>
      <c r="GE114" s="246" t="str">
        <f>IFERROR(__xludf.DUMMYFUNCTION("IF(REGEXMATCH(C114, ""R""), ""2"","""")"),"2")</f>
        <v>2</v>
      </c>
      <c r="GF114" s="246" t="str">
        <f>IFERROR(__xludf.DUMMYFUNCTION("IF(REGEXMATCH(C114, ""g""), ""b3"","""")"),"")</f>
        <v/>
      </c>
      <c r="GG114" s="245" t="str">
        <f>IFERROR(__xludf.DUMMYFUNCTION("IF(REGEXMATCH(C114, ""G""), ""3"","""")"),"3")</f>
        <v>3</v>
      </c>
      <c r="GH114" s="245" t="str">
        <f>IFERROR(__xludf.DUMMYFUNCTION("IF(REGEXMATCH(C114, ""m""), ""4"","""")"),"4")</f>
        <v>4</v>
      </c>
      <c r="GI114" s="246" t="str">
        <f>IFERROR(__xludf.DUMMYFUNCTION("IF(REGEXMATCH(C114, ""M""), ""#4"","""")"),"")</f>
        <v/>
      </c>
      <c r="GJ114" s="245" t="str">
        <f>IFERROR(__xludf.DUMMYFUNCTION("IF(REGEXMATCH(C114, ""P""), ""5"","""")"),"5")</f>
        <v>5</v>
      </c>
      <c r="GK114" s="246" t="str">
        <f>IFERROR(__xludf.DUMMYFUNCTION("IF(REGEXMATCH(C114, ""d""), ""b6"","""")"),"")</f>
        <v/>
      </c>
      <c r="GL114" s="245" t="str">
        <f>IFERROR(__xludf.DUMMYFUNCTION("IF(REGEXMATCH(C114, ""D""), ""6"","""")"),"6")</f>
        <v>6</v>
      </c>
      <c r="GM114" s="245" t="str">
        <f>IFERROR(__xludf.DUMMYFUNCTION("IF(REGEXMATCH(C114, ""n""), ""b7"","""")"),"b7")</f>
        <v>b7</v>
      </c>
      <c r="GN114" s="246" t="str">
        <f>IFERROR(__xludf.DUMMYFUNCTION("IF(REGEXMATCH(C114, ""N""), ""7"","""")"),"")</f>
        <v/>
      </c>
      <c r="GO114" s="249" t="str">
        <f>IFERROR(__xludf.DUMMYFUNCTION("IF(REGEXMATCH(C114, ""S""), ""8"","""")"),"8")</f>
        <v>8</v>
      </c>
      <c r="GP114" s="244" t="str">
        <f>IFERROR(__xludf.DUMMYFUNCTION("IF(REGEXMATCH(C114, ""S""), ""S"","""")"),"S")</f>
        <v>S</v>
      </c>
      <c r="GQ114" s="294" t="str">
        <f>IFERROR(__xludf.DUMMYFUNCTION("IF(REGEXMATCH(C114, ""r""), ""R1"","""")"),"")</f>
        <v/>
      </c>
      <c r="GR114" s="295" t="str">
        <f>IFERROR(__xludf.DUMMYFUNCTION("IF(REGEXMATCH(C114, ""R""), ""R2"","""")"),"R2")</f>
        <v>R2</v>
      </c>
      <c r="GS114" s="295" t="str">
        <f>IFERROR(__xludf.DUMMYFUNCTION("IF(REGEXMATCH(C114, ""g""), ""G2"","""")"),"")</f>
        <v/>
      </c>
      <c r="GT114" s="294" t="str">
        <f>IFERROR(__xludf.DUMMYFUNCTION("IF(REGEXMATCH(C114, ""G""), ""G3"","""")"),"G3")</f>
        <v>G3</v>
      </c>
      <c r="GU114" s="294" t="str">
        <f>IFERROR(__xludf.DUMMYFUNCTION("IF(REGEXMATCH(C114, ""m""), ""M1"","""")"),"M1")</f>
        <v>M1</v>
      </c>
      <c r="GV114" s="295" t="str">
        <f>IFERROR(__xludf.DUMMYFUNCTION("IF(REGEXMATCH(C114, ""M""), ""M2"","""")"),"")</f>
        <v/>
      </c>
      <c r="GW114" s="294" t="str">
        <f>IFERROR(__xludf.DUMMYFUNCTION("IF(REGEXMATCH(C114, ""P""), ""P"","""")"),"P")</f>
        <v>P</v>
      </c>
      <c r="GX114" s="295" t="str">
        <f>IFERROR(__xludf.DUMMYFUNCTION("IF(REGEXMATCH(C114, ""d""), ""D1"","""")"),"")</f>
        <v/>
      </c>
      <c r="GY114" s="294" t="str">
        <f>IFERROR(__xludf.DUMMYFUNCTION("IF(REGEXMATCH(C114, ""D""), ""D2"","""")"),"D2")</f>
        <v>D2</v>
      </c>
      <c r="GZ114" s="294" t="str">
        <f>IFERROR(__xludf.DUMMYFUNCTION("IF(REGEXMATCH(C114, ""n""), ""N2"","""")"),"N2")</f>
        <v>N2</v>
      </c>
      <c r="HA114" s="295" t="str">
        <f>IFERROR(__xludf.DUMMYFUNCTION("IF(REGEXMATCH(C114, ""N""), ""N3"","""")"),"")</f>
        <v/>
      </c>
      <c r="HB114" s="249" t="str">
        <f>IFERROR(__xludf.DUMMYFUNCTION("IF(REGEXMATCH(C114, ""S""), ""S"","""")"),"S")</f>
        <v>S</v>
      </c>
      <c r="HC114" s="331" t="str">
        <f t="shared" si="95"/>
        <v>S</v>
      </c>
      <c r="HD114" s="332" t="str">
        <f t="shared" si="96"/>
        <v/>
      </c>
      <c r="HE114" s="332" t="str">
        <f t="shared" si="97"/>
        <v>R</v>
      </c>
      <c r="HF114" s="332" t="str">
        <f t="shared" si="98"/>
        <v>g</v>
      </c>
      <c r="HG114" s="332" t="str">
        <f t="shared" si="99"/>
        <v/>
      </c>
      <c r="HH114" s="332" t="str">
        <f t="shared" si="100"/>
        <v>m</v>
      </c>
      <c r="HI114" s="332" t="str">
        <f t="shared" si="101"/>
        <v/>
      </c>
      <c r="HJ114" s="332" t="str">
        <f t="shared" si="102"/>
        <v>P</v>
      </c>
      <c r="HK114" s="332" t="str">
        <f t="shared" si="103"/>
        <v>d</v>
      </c>
      <c r="HL114" s="332" t="str">
        <f t="shared" si="104"/>
        <v/>
      </c>
      <c r="HM114" s="332" t="str">
        <f t="shared" si="105"/>
        <v>n</v>
      </c>
      <c r="HN114" s="332" t="str">
        <f t="shared" si="106"/>
        <v/>
      </c>
      <c r="HO114" s="343" t="str">
        <f t="shared" si="107"/>
        <v>S</v>
      </c>
      <c r="HP114" s="331" t="str">
        <f t="shared" si="108"/>
        <v>o</v>
      </c>
      <c r="HQ114" s="332" t="str">
        <f t="shared" si="109"/>
        <v>•</v>
      </c>
      <c r="HR114" s="332" t="str">
        <f t="shared" si="110"/>
        <v>o</v>
      </c>
      <c r="HS114" s="332" t="str">
        <f t="shared" si="111"/>
        <v>•</v>
      </c>
      <c r="HT114" s="332" t="str">
        <f t="shared" si="112"/>
        <v>o</v>
      </c>
      <c r="HU114" s="332" t="str">
        <f t="shared" si="113"/>
        <v>o</v>
      </c>
      <c r="HV114" s="332" t="str">
        <f t="shared" si="114"/>
        <v>•</v>
      </c>
      <c r="HW114" s="332" t="str">
        <f t="shared" si="115"/>
        <v>o</v>
      </c>
      <c r="HX114" s="332" t="str">
        <f t="shared" si="116"/>
        <v>•</v>
      </c>
      <c r="HY114" s="332" t="str">
        <f t="shared" si="117"/>
        <v>o</v>
      </c>
      <c r="HZ114" s="332" t="str">
        <f t="shared" si="118"/>
        <v>o</v>
      </c>
      <c r="IA114" s="332" t="str">
        <f t="shared" si="119"/>
        <v>•</v>
      </c>
      <c r="IB114" s="338" t="str">
        <f t="shared" si="120"/>
        <v>o</v>
      </c>
      <c r="IC114" s="331" t="str">
        <f t="shared" si="121"/>
        <v>•</v>
      </c>
      <c r="ID114" s="332" t="str">
        <f t="shared" si="122"/>
        <v>o</v>
      </c>
      <c r="IE114" s="332" t="str">
        <f t="shared" si="123"/>
        <v>•</v>
      </c>
      <c r="IF114" s="332" t="str">
        <f t="shared" si="124"/>
        <v>o</v>
      </c>
      <c r="IG114" s="332" t="str">
        <f t="shared" si="125"/>
        <v>•</v>
      </c>
      <c r="IH114" s="332" t="str">
        <f t="shared" si="126"/>
        <v>•</v>
      </c>
      <c r="II114" s="332" t="str">
        <f t="shared" si="127"/>
        <v>o</v>
      </c>
      <c r="IJ114" s="332" t="str">
        <f t="shared" si="128"/>
        <v>•</v>
      </c>
      <c r="IK114" s="332" t="str">
        <f t="shared" si="129"/>
        <v>o</v>
      </c>
      <c r="IL114" s="332" t="str">
        <f t="shared" si="130"/>
        <v>•</v>
      </c>
      <c r="IM114" s="332" t="str">
        <f t="shared" si="131"/>
        <v>•</v>
      </c>
      <c r="IN114" s="332" t="str">
        <f t="shared" si="132"/>
        <v>o</v>
      </c>
      <c r="IO114" s="338" t="str">
        <f t="shared" si="133"/>
        <v>•</v>
      </c>
      <c r="IP114" s="346" t="b">
        <f t="shared" si="134"/>
        <v>0</v>
      </c>
      <c r="IQ114" s="347" t="b">
        <f t="shared" si="135"/>
        <v>0</v>
      </c>
      <c r="IR114" s="347" t="b">
        <f t="shared" si="136"/>
        <v>0</v>
      </c>
      <c r="IS114" s="347" t="b">
        <f t="shared" si="137"/>
        <v>0</v>
      </c>
      <c r="IT114" s="347" t="b">
        <f t="shared" si="138"/>
        <v>1</v>
      </c>
      <c r="IU114" s="347" t="b">
        <f t="shared" si="139"/>
        <v>0</v>
      </c>
      <c r="IV114" s="347" t="b">
        <f t="shared" si="140"/>
        <v>0</v>
      </c>
      <c r="IW114" s="347" t="b">
        <f t="shared" si="141"/>
        <v>0</v>
      </c>
      <c r="IX114" s="347" t="b">
        <f t="shared" si="142"/>
        <v>0</v>
      </c>
      <c r="IY114" s="347" t="b">
        <f t="shared" si="143"/>
        <v>0</v>
      </c>
      <c r="IZ114" s="347" t="b">
        <f t="shared" si="144"/>
        <v>0</v>
      </c>
      <c r="JA114" s="347" t="b">
        <f t="shared" si="145"/>
        <v>0</v>
      </c>
      <c r="JB114" s="353" t="b">
        <f t="shared" si="146"/>
        <v>0</v>
      </c>
      <c r="JC114" s="354" t="str">
        <f t="shared" si="147"/>
        <v/>
      </c>
      <c r="JD114" s="355" t="str">
        <f t="shared" si="148"/>
        <v/>
      </c>
      <c r="JE114" s="355" t="str">
        <f t="shared" si="149"/>
        <v/>
      </c>
      <c r="JF114" s="355" t="str">
        <f t="shared" si="150"/>
        <v/>
      </c>
      <c r="JG114" s="355" t="str">
        <f t="shared" si="151"/>
        <v>Ga, </v>
      </c>
      <c r="JH114" s="355" t="str">
        <f t="shared" si="152"/>
        <v/>
      </c>
      <c r="JI114" s="355" t="str">
        <f t="shared" si="153"/>
        <v/>
      </c>
      <c r="JJ114" s="355" t="str">
        <f t="shared" si="154"/>
        <v/>
      </c>
      <c r="JK114" s="355" t="str">
        <f t="shared" si="155"/>
        <v/>
      </c>
      <c r="JL114" s="355" t="str">
        <f t="shared" si="156"/>
        <v/>
      </c>
      <c r="JM114" s="355" t="str">
        <f t="shared" si="157"/>
        <v/>
      </c>
      <c r="JN114" s="355" t="str">
        <f t="shared" si="158"/>
        <v/>
      </c>
      <c r="JO114" s="359" t="str">
        <f t="shared" si="159"/>
        <v/>
      </c>
      <c r="JP114" s="346" t="b">
        <f t="shared" si="160"/>
        <v>0</v>
      </c>
      <c r="JQ114" s="347" t="b">
        <f t="shared" si="161"/>
        <v>0</v>
      </c>
      <c r="JR114" s="347" t="b">
        <f t="shared" si="162"/>
        <v>0</v>
      </c>
      <c r="JS114" s="347" t="b">
        <f t="shared" si="163"/>
        <v>0</v>
      </c>
      <c r="JT114" s="347" t="b">
        <f t="shared" si="164"/>
        <v>0</v>
      </c>
      <c r="JU114" s="347" t="b">
        <f t="shared" si="165"/>
        <v>0</v>
      </c>
      <c r="JV114" s="347" t="b">
        <f t="shared" si="166"/>
        <v>0</v>
      </c>
      <c r="JW114" s="347" t="b">
        <f t="shared" si="167"/>
        <v>0</v>
      </c>
      <c r="JX114" s="347" t="b">
        <f t="shared" si="168"/>
        <v>0</v>
      </c>
      <c r="JY114" s="347" t="b">
        <f t="shared" si="169"/>
        <v>0</v>
      </c>
      <c r="JZ114" s="347" t="b">
        <f t="shared" si="170"/>
        <v>0</v>
      </c>
      <c r="KA114" s="347" t="b">
        <f t="shared" si="171"/>
        <v>0</v>
      </c>
      <c r="KB114" s="365" t="b">
        <f t="shared" si="172"/>
        <v>0</v>
      </c>
      <c r="KC114" s="354" t="str">
        <f t="shared" si="173"/>
        <v/>
      </c>
      <c r="KD114" s="355" t="str">
        <f t="shared" si="174"/>
        <v/>
      </c>
      <c r="KE114" s="355" t="str">
        <f t="shared" si="175"/>
        <v/>
      </c>
      <c r="KF114" s="355" t="str">
        <f t="shared" si="176"/>
        <v/>
      </c>
      <c r="KG114" s="355" t="str">
        <f t="shared" si="177"/>
        <v/>
      </c>
      <c r="KH114" s="355" t="str">
        <f t="shared" si="178"/>
        <v/>
      </c>
      <c r="KI114" s="355" t="str">
        <f t="shared" si="179"/>
        <v/>
      </c>
      <c r="KJ114" s="355" t="str">
        <f t="shared" si="180"/>
        <v/>
      </c>
      <c r="KK114" s="355" t="str">
        <f t="shared" si="181"/>
        <v/>
      </c>
      <c r="KL114" s="355" t="str">
        <f t="shared" si="182"/>
        <v/>
      </c>
      <c r="KM114" s="355" t="str">
        <f t="shared" si="183"/>
        <v/>
      </c>
      <c r="KN114" s="355" t="str">
        <f t="shared" si="184"/>
        <v/>
      </c>
      <c r="KO114" s="359"/>
      <c r="KP114" s="378"/>
      <c r="KQ114" s="379" t="s">
        <v>1339</v>
      </c>
      <c r="KR114" s="380" t="s">
        <v>1256</v>
      </c>
      <c r="KS114" s="381" t="str">
        <f t="shared" si="428"/>
        <v>S-G-m-P-n-S</v>
      </c>
      <c r="KT114" s="382">
        <f t="shared" si="186"/>
        <v>5</v>
      </c>
      <c r="KU114" s="383">
        <f t="shared" si="187"/>
        <v>5</v>
      </c>
      <c r="KV114" s="381" t="str">
        <f t="shared" si="205"/>
        <v>S-n-D-P-m-G-R-S</v>
      </c>
      <c r="KW114" s="382">
        <f t="shared" si="189"/>
        <v>7</v>
      </c>
      <c r="KX114" s="384">
        <f t="shared" si="190"/>
        <v>7</v>
      </c>
      <c r="KY114" s="382">
        <f t="shared" ref="KY114:KZ114" si="431">KW114-KT114</f>
        <v>2</v>
      </c>
      <c r="KZ114" s="369">
        <f t="shared" si="431"/>
        <v>2</v>
      </c>
      <c r="LA114" s="385" t="str">
        <f t="shared" si="192"/>
        <v>-</v>
      </c>
      <c r="LB114" s="340" t="str">
        <f>IFERROR(__xludf.DUMMYFUNCTION("JOIN("""",ArrayFormula(MID(KS114,LEN(KS114)-SEQUENCE(1,LEN(KS114))+1,1)))"),"S-n-P-m-G-S")</f>
        <v>S-n-P-m-G-S</v>
      </c>
      <c r="LC114" s="373" t="str">
        <f>IFERROR(__xludf.DUMMYFUNCTION("JOIN("""",ArrayFormula(MID(KV114,LEN(KV114)-SEQUENCE(1,LEN(KV114))+1,1)))"),"S-R-G-m-P-D-n-S")</f>
        <v>S-R-G-m-P-D-n-S</v>
      </c>
      <c r="LD114" s="373" t="str">
        <f t="shared" si="193"/>
        <v>SGmPnS</v>
      </c>
      <c r="LE114" s="339" t="str">
        <f t="shared" si="194"/>
        <v>SRGmPDnS</v>
      </c>
      <c r="LF114" s="386" t="str">
        <f>IFERROR(__xludf.DUMMYFUNCTION("SUBSTITUTE(SUBSTITUTE(CONCATENATE(JOIN("""",LH114:LT114)),""1"",""""),""2"","""")"),"SRGmPDnS")</f>
        <v>SRGmPDnS</v>
      </c>
      <c r="LG114" s="369" t="str">
        <f t="shared" si="195"/>
        <v>✔</v>
      </c>
      <c r="LH114" s="387" t="str">
        <f>IFERROR(__xludf.DUMMYFUNCTION("IF(REGEXMATCH(LD114, ""S""), ""S"",IF(REGEXMATCH(LE114, ""S""), ""S"",""""))"),"S")</f>
        <v>S</v>
      </c>
      <c r="LI114" s="299" t="str">
        <f>IFERROR(__xludf.DUMMYFUNCTION("IF(REGEXMATCH(LD114, ""r""), ""r1"",IF(REGEXMATCH(LE114, ""r""), ""r2"",""""))"),"")</f>
        <v/>
      </c>
      <c r="LJ114" s="299" t="str">
        <f>IFERROR(__xludf.DUMMYFUNCTION("IF(REGEXMATCH(LD114, ""R""), ""R1"",IF(REGEXMATCH(LE114, ""R""), ""R2"",""""))"),"R2")</f>
        <v>R2</v>
      </c>
      <c r="LK114" s="299" t="str">
        <f>IFERROR(__xludf.DUMMYFUNCTION("IF(REGEXMATCH(LD114, ""g""), ""g1"",IF(REGEXMATCH(LE114, ""g""), ""g2"",""""))"),"")</f>
        <v/>
      </c>
      <c r="LL114" s="299" t="str">
        <f>IFERROR(__xludf.DUMMYFUNCTION("IF(REGEXMATCH(LD114, ""G""), ""G1"",IF(REGEXMATCH(LE114, ""G""), ""G2"",""""))"),"G1")</f>
        <v>G1</v>
      </c>
      <c r="LM114" s="299" t="str">
        <f>IFERROR(__xludf.DUMMYFUNCTION("IF(REGEXMATCH(LD114, ""m""), ""m1"",IF(REGEXMATCH(LE114, ""m""), ""m2"",""""))"),"m1")</f>
        <v>m1</v>
      </c>
      <c r="LN114" s="299" t="str">
        <f>IFERROR(__xludf.DUMMYFUNCTION("IF(REGEXMATCH(LD114, ""M""), ""M1"",IF(REGEXMATCH(LE114, ""M""), ""M2"",""""))"),"")</f>
        <v/>
      </c>
      <c r="LO114" s="299" t="str">
        <f>IFERROR(__xludf.DUMMYFUNCTION("IF(REGEXMATCH(LD114, ""P""), ""P1"",IF(REGEXMATCH(LE114, ""P""), ""P2"",""""))"),"P1")</f>
        <v>P1</v>
      </c>
      <c r="LP114" s="299" t="str">
        <f>IFERROR(__xludf.DUMMYFUNCTION("IF(REGEXMATCH(LD114, ""d""), ""d1"",IF(REGEXMATCH(LE114, ""d""), ""d2"",""""))"),"")</f>
        <v/>
      </c>
      <c r="LQ114" s="299" t="str">
        <f>IFERROR(__xludf.DUMMYFUNCTION("IF(REGEXMATCH(LD114, ""D""), ""D1"",IF(REGEXMATCH(LE114, ""D""), ""D2"",""""))"),"D2")</f>
        <v>D2</v>
      </c>
      <c r="LR114" s="299" t="str">
        <f>IFERROR(__xludf.DUMMYFUNCTION("IF(REGEXMATCH(LD114, ""n""), ""n1"",IF(REGEXMATCH(LE114, ""n""), ""n2"",""""))"),"n1")</f>
        <v>n1</v>
      </c>
      <c r="LS114" s="299" t="str">
        <f>IFERROR(__xludf.DUMMYFUNCTION("IF(REGEXMATCH(LD114, ""N""), ""N1"",IF(REGEXMATCH(LE114, ""N""), ""N2"",""""))"),"")</f>
        <v/>
      </c>
      <c r="LT114" s="388" t="str">
        <f>IFERROR(__xludf.DUMMYFUNCTION("IF(REGEXMATCH(LD114, ""S""), ""S"",IF(REGEXMATCH(LE114, ""S""), ""S"",""""))"),"S")</f>
        <v>S</v>
      </c>
      <c r="LU114" s="389">
        <f t="shared" si="196"/>
        <v>-3</v>
      </c>
      <c r="LV114" s="378"/>
      <c r="LW114" s="369"/>
      <c r="LX114" s="369"/>
    </row>
    <row r="115" ht="18.0" customHeight="1">
      <c r="A115" s="298" t="s">
        <v>740</v>
      </c>
      <c r="B115" s="222" t="s">
        <v>741</v>
      </c>
      <c r="C115" s="233" t="str">
        <f t="shared" si="7"/>
        <v>SRgGmPDnNS</v>
      </c>
      <c r="D115" s="234" t="str">
        <f>IFERROR(__xludf.DUMMYFUNCTION("IF(REGEXMATCH(C115, ""S""), ""S"","""")"),"S")</f>
        <v>S</v>
      </c>
      <c r="E115" s="236" t="str">
        <f>IFERROR(__xludf.DUMMYFUNCTION("IF(REGEXMATCH(C115, ""r""), ""r"","""")"),"")</f>
        <v/>
      </c>
      <c r="F115" s="237" t="str">
        <f>IFERROR(__xludf.DUMMYFUNCTION("IF(REGEXMATCH(C115, ""R""), ""R"","""")"),"R")</f>
        <v>R</v>
      </c>
      <c r="G115" s="237" t="str">
        <f>IFERROR(__xludf.DUMMYFUNCTION("IF(REGEXMATCH(C115, ""g""), ""g"","""")"),"g")</f>
        <v>g</v>
      </c>
      <c r="H115" s="236" t="str">
        <f>IFERROR(__xludf.DUMMYFUNCTION("IF(REGEXMATCH(C115, ""G""), ""G"","""")"),"G")</f>
        <v>G</v>
      </c>
      <c r="I115" s="236" t="str">
        <f>IFERROR(__xludf.DUMMYFUNCTION("IF(REGEXMATCH(C115, ""m""), ""m"","""")"),"m")</f>
        <v>m</v>
      </c>
      <c r="J115" s="237" t="str">
        <f>IFERROR(__xludf.DUMMYFUNCTION("IF(REGEXMATCH(C115, ""M""), ""M"","""")"),"")</f>
        <v/>
      </c>
      <c r="K115" s="236" t="str">
        <f>IFERROR(__xludf.DUMMYFUNCTION("IF(REGEXMATCH(C115, ""P""), ""P"","""")"),"P")</f>
        <v>P</v>
      </c>
      <c r="L115" s="237" t="str">
        <f>IFERROR(__xludf.DUMMYFUNCTION("IF(REGEXMATCH(C115, ""d""), ""d"","""")"),"")</f>
        <v/>
      </c>
      <c r="M115" s="236" t="str">
        <f>IFERROR(__xludf.DUMMYFUNCTION("IF(REGEXMATCH(C115, ""D""), ""D"","""")"),"D")</f>
        <v>D</v>
      </c>
      <c r="N115" s="236" t="str">
        <f>IFERROR(__xludf.DUMMYFUNCTION("IF(REGEXMATCH(C115, ""n""), ""n"","""")"),"n")</f>
        <v>n</v>
      </c>
      <c r="O115" s="237" t="str">
        <f>IFERROR(__xludf.DUMMYFUNCTION("IF(REGEXMATCH(C115, ""N""), ""N"","""")"),"N")</f>
        <v>N</v>
      </c>
      <c r="P115" s="238" t="str">
        <f>IFERROR(__xludf.DUMMYFUNCTION("IF(REGEXMATCH(C115, ""S""), ""S"","""")"),"S")</f>
        <v>S</v>
      </c>
      <c r="Q115" s="239" t="str">
        <f>IFERROR(__xludf.DUMMYFUNCTION("SUBSTITUTE(CONCATENATE(JOIN(""-"",D115:J115)),""-"","""")"),"SRgGm")</f>
        <v>SRgGm</v>
      </c>
      <c r="R115" s="229" t="str">
        <f>IFERROR(__xludf.DUMMYFUNCTION("SUBSTITUTE(CONCATENATE(JOIN(""-"",K115:P115)),""-"","""")"),"PDnNS")</f>
        <v>PDnNS</v>
      </c>
      <c r="S115" s="282" t="str">
        <f t="shared" si="8"/>
        <v>S-R-G-M</v>
      </c>
      <c r="T115" s="282" t="str">
        <f t="shared" si="9"/>
        <v>P-D-N-S</v>
      </c>
      <c r="U115" s="237" t="str">
        <f>IFERROR(__xludf.DUMMYFUNCTION("SUBSTITUTE(JOIN(""-"",S115,T115),""--"",""-"")"),"S-R-G-M-P-D-N-S")</f>
        <v>S-R-G-M-P-D-N-S</v>
      </c>
      <c r="V115" s="309" t="str">
        <f t="shared" si="10"/>
        <v>RgGmDnN</v>
      </c>
      <c r="W115" s="244" t="str">
        <f>IFERROR(__xludf.DUMMYFUNCTION("IF(REGEXMATCH(C115, ""S""), ""0"","""")"),"0")</f>
        <v>0</v>
      </c>
      <c r="X115" s="245" t="str">
        <f>IFERROR(__xludf.DUMMYFUNCTION("IF(REGEXMATCH(C115, ""r""), ""1"","""")"),"")</f>
        <v/>
      </c>
      <c r="Y115" s="246" t="str">
        <f>IFERROR(__xludf.DUMMYFUNCTION("IF(REGEXMATCH(C115, ""R""), ""2"","""")"),"2")</f>
        <v>2</v>
      </c>
      <c r="Z115" s="246" t="str">
        <f>IFERROR(__xludf.DUMMYFUNCTION("IF(REGEXMATCH(C115, ""g""), ""3"","""")"),"3")</f>
        <v>3</v>
      </c>
      <c r="AA115" s="245" t="str">
        <f>IFERROR(__xludf.DUMMYFUNCTION("IF(REGEXMATCH(C115, ""G""), ""4"","""")"),"4")</f>
        <v>4</v>
      </c>
      <c r="AB115" s="245" t="str">
        <f>IFERROR(__xludf.DUMMYFUNCTION("IF(REGEXMATCH(C115, ""m""), ""5"","""")"),"5")</f>
        <v>5</v>
      </c>
      <c r="AC115" s="246" t="str">
        <f>IFERROR(__xludf.DUMMYFUNCTION("IF(REGEXMATCH(C115, ""M""), ""6"","""")"),"")</f>
        <v/>
      </c>
      <c r="AD115" s="245" t="str">
        <f>IFERROR(__xludf.DUMMYFUNCTION("IF(REGEXMATCH(C115, ""P""), ""7"","""")"),"7")</f>
        <v>7</v>
      </c>
      <c r="AE115" s="246" t="str">
        <f>IFERROR(__xludf.DUMMYFUNCTION("IF(REGEXMATCH(C115, ""d""), ""8"","""")"),"")</f>
        <v/>
      </c>
      <c r="AF115" s="245" t="str">
        <f>IFERROR(__xludf.DUMMYFUNCTION("IF(REGEXMATCH(C115, ""D""), ""9"","""")"),"9")</f>
        <v>9</v>
      </c>
      <c r="AG115" s="245" t="str">
        <f>IFERROR(__xludf.DUMMYFUNCTION("IF(REGEXMATCH(C115, ""n""), ""10"","""")"),"10")</f>
        <v>10</v>
      </c>
      <c r="AH115" s="246" t="str">
        <f>IFERROR(__xludf.DUMMYFUNCTION("IF(REGEXMATCH(C115, ""N""), ""11"","""")"),"11")</f>
        <v>11</v>
      </c>
      <c r="AI115" s="249" t="str">
        <f>IFERROR(__xludf.DUMMYFUNCTION("IF(REGEXMATCH(C115, ""S""), ""0"","""")"),"0")</f>
        <v>0</v>
      </c>
      <c r="AJ115" s="313" t="str">
        <f t="shared" si="11"/>
        <v>-</v>
      </c>
      <c r="AK115" s="313" t="str">
        <f t="shared" si="12"/>
        <v>-</v>
      </c>
      <c r="AL115" s="313" t="str">
        <f t="shared" si="13"/>
        <v>-</v>
      </c>
      <c r="AM115" s="313" t="str">
        <f t="shared" si="14"/>
        <v>T</v>
      </c>
      <c r="AN115" s="313" t="str">
        <f t="shared" si="15"/>
        <v>T</v>
      </c>
      <c r="AO115" s="314" t="str">
        <f t="shared" si="16"/>
        <v>T</v>
      </c>
      <c r="AP115" s="316">
        <f t="shared" si="17"/>
        <v>3</v>
      </c>
      <c r="AQ115" s="319" t="str">
        <f t="shared" si="18"/>
        <v>-</v>
      </c>
      <c r="AR115" s="320">
        <f t="shared" si="19"/>
        <v>0</v>
      </c>
      <c r="AS115" s="250" t="str">
        <f>IFERROR(__xludf.DUMMYFUNCTION("SUBSTITUTE(SUBSTITUTE(CONCATENATE(JOIN("""",FP115:GA115)),""|"",""x""),""-"",""o"")"),"xoxxxxoxoxxx")</f>
        <v>xoxxxxoxoxxx</v>
      </c>
      <c r="AT115" s="323" t="str">
        <f>IFERROR(__xludf.DUMMYFUNCTION("JOIN("""",AS115,AS115)"),"xoxxxxoxoxxxxoxxxxoxoxxx")</f>
        <v>xoxxxxoxoxxxxoxxxxoxoxxx</v>
      </c>
      <c r="AU115" s="256" t="str">
        <f>IFERROR(__xludf.DUMMYFUNCTION("JOIN("""",ArrayFormula(MID(AS115,LEN(AS115)-SEQUENCE(1,LEN(AS115))+1,1)))"),"xxxoxoxxxxox")</f>
        <v>xxxoxoxxxxox</v>
      </c>
      <c r="AV115" s="256" t="str">
        <f>IFERROR(__xludf.DUMMYFUNCTION("LEFT(CONCATENATE(""x"",JOIN("""",ArrayFormula(MID(AS115,LEN(AS115)-SEQUENCE(1,LEN(AS115))+1,1)))),12)"),"xxxxoxoxxxxo")</f>
        <v>xxxxoxoxxxxo</v>
      </c>
      <c r="AW115" s="327" t="str">
        <f>IFERROR(__xludf.DUMMYFUNCTION("JOIN("""",AU115,AU115)"),"xxxoxoxxxxoxxxxoxoxxxxox")</f>
        <v>xxxoxoxxxxoxxxxoxoxxxxox</v>
      </c>
      <c r="AX115" s="239" t="str">
        <f>IFERROR(__xludf.DUMMYFUNCTION("IF(REGEXMATCH(AW115,AS115),""✔"",""-"")"),"✔")</f>
        <v>✔</v>
      </c>
      <c r="AY115" s="330" t="str">
        <f t="shared" si="20"/>
        <v>-</v>
      </c>
      <c r="AZ115" s="260" t="str">
        <f t="shared" si="21"/>
        <v>#REF!</v>
      </c>
      <c r="BA115" s="333" t="str">
        <f t="shared" si="22"/>
        <v>xoxxxxo</v>
      </c>
      <c r="BB115" s="334" t="str">
        <f t="shared" si="23"/>
        <v>xoxxxx</v>
      </c>
      <c r="BC115" s="335" t="str">
        <f t="shared" si="236"/>
        <v>✔</v>
      </c>
      <c r="BD115" s="336" t="str">
        <f t="shared" si="25"/>
        <v>Gara: 'xoxxxxo' + 'xoxxxx'</v>
      </c>
      <c r="BE115" s="337">
        <f>IFERROR(__xludf.DUMMYFUNCTION("COUNTUNIQUE(FILTER(AT:AT,REGEXMATCH(AT:AT,AS115)))-1"),4.0)</f>
        <v>4</v>
      </c>
      <c r="BF115" s="261" t="str">
        <f>IFERROR(__xludf.DUMMYFUNCTION("IF(BI115=0,""(n/a)"",IF(BJ115=2,""(PAIR)"",IF(REGEXMATCH(AT115,""xoxoxxoxoxox""),""Bilawal"",IF(REGEXMATCH(AT115,""xoxoxooxoxoo""),""Bhupali"",IF(REGEXMATCH(AT115,""xoxoxxoxxoxo""),""Charukeshi"",IF(REGEXMATCH(AT115,""xoxoooxxoxxo""),""Kameshwari"",IF(REG"&amp;"EXMATCH(AT115,""xoxoxooxoxox""),""Shankara"",IF(REGEXMATCH(AT115,""xxooxoxxxoox""),""Basant"",IF(REGEXMATCH(AT115,""xoxoxxxxoxox""),""Bihag"",IF(REGEXMATCH(AT115,""xoxxxxoxoxxx""),""Pilu"",IF(REGEXMATCH(AT115,""xoxxoxoxxoox""),""Kirwani"",IF(REGEXMATCH(AT"&amp;"115,""xoxxoxoxoxxx""),""Mk.Malhar"",IF(REGEXMATCH(AT115,""xxooxxoxxoox""),""Bhairav"",IF(REGEXMATCH(AT115,""xxoxooxxxoox""),""Todi"",IF(REGEXMATCH(AT115,""xxooxoxooxox""),""Marwa"",IF(REGEXMATCH(AT115,""xxoooxoxxooo""),""Gunkali"",IF(REGEXMATCH(AT115,""xo"&amp;"xoxxoxxoox""),""Nat Bhairav"",IF(REGEXMATCH(AT115,""xoxxoooxoxoo""),""Shivranjani"",IF(REGEXMATCH(AT115,""xooxxxoxooxo""),""Jog"",IF(REGEXMATCH(AT115,""xxooxoxoxoox""),""Hemshri"",IF(REGEXMATCH(AT115,""xoooxooxoxxo""),""Kalavati"",IF(REGEXMATCH(AT115,""xx"&amp;"oxoxxoxoox""),""Kedar"",IF(REGEXMATCH(AT115,""xoxxxxoxooxx""),""Gara"",IF(REGEXMATCH(AT115,""xooxoxooxoox""),""Chandrakauns"",IF(REGEXMATCH(AT115,""xoxxxxoxxxox""),""Mand"",IF(REGEXMATCH(AT115,""xoxxxxoxoxox""),""Hanskinkini"",IF(REGEXMATCH(AT115,""xxooxx"&amp;"oxooxo""),""Lilavati"",IF(REGEXMATCH(AT115,""xooxoxoooxox""),""Rajeshwari"",IF(REGEXMATCH(AT115,""xoooxxoxoxxx""),""Khokar"",IF(REGEXMATCH(AT115,""xxooxoxxxxox""),""Maligoura"",""-""))))))))))))))))))))))))))))))"),"Pilu")</f>
        <v>Pilu</v>
      </c>
      <c r="BG115" s="239" t="str">
        <f t="shared" si="26"/>
        <v>#REF!</v>
      </c>
      <c r="BH115" s="239">
        <f>IFERROR(__xludf.DUMMYFUNCTION("COUNTUNIQUE(FE115:FO115)-1"),8.0)</f>
        <v>8</v>
      </c>
      <c r="BI115" s="239">
        <f>IFERROR(__xludf.DUMMYFUNCTION("COUNTUNIQUE(FILTER(AT:AT,REGEXMATCH(AT:AT,AS115)))-1"),4.0)</f>
        <v>4</v>
      </c>
      <c r="BJ115" s="239">
        <f>IFERROR(__xludf.DUMMYFUNCTION("COUNTA(FILTER(AT:AT,REGEXMATCH(AT:AT,AS115)))"),26.0)</f>
        <v>26</v>
      </c>
      <c r="BK115" s="341">
        <f>IFERROR(__xludf.DUMMYFUNCTION("COUNTA(FILTER(AT:AT,REGEXMATCH(AT:AT,AS115)))-AR115"),26.0)</f>
        <v>26</v>
      </c>
      <c r="BL115" s="276" t="str">
        <f>IFERROR(__xludf.DUMMYFUNCTION("IF(AS115=""oooooooooooo"",""-"",IF(REGEXMATCH(AT115,""xx""), ""Hemi."", ""Anhemi.""))"),"Hemi.")</f>
        <v>Hemi.</v>
      </c>
      <c r="BM115" s="282" t="str">
        <f>IFERROR(__xludf.DUMMYFUNCTION("IF(AS115=""oooooooooooo"",""-"",IF(REGEXMATCH(AT115,""xxx""), ""Cohem."", ""-""))"),"Cohem.")</f>
        <v>Cohem.</v>
      </c>
      <c r="BN115" s="282" t="str">
        <f>IFERROR(__xludf.DUMMYFUNCTION("IF(AS115=""oooooooooooo"",""-"",IF(REGEXMATCH(AT115,""xxxx""), ""Co-Co."", ""-""))"),"Co-Co.")</f>
        <v>Co-Co.</v>
      </c>
      <c r="BO115" s="342" t="str">
        <f>IFERROR(__xludf.DUMMYFUNCTION("IF(AS115=""oooooooooooo"",""-"",IF(REGEXMATCH(AT115,""xxxxx""), ""CCC."", ""-""))"),"-")</f>
        <v>-</v>
      </c>
      <c r="BP115" s="344" t="str">
        <f t="shared" si="27"/>
        <v>-</v>
      </c>
      <c r="BQ115" s="282" t="str">
        <f>IFERROR(__xludf.DUMMYFUNCTION("IF(REGEXMATCH(JOIN(""-"",EU115:FD115),""TRUE""),""✔"",""-"")"),"-")</f>
        <v>-</v>
      </c>
      <c r="BR115" s="225">
        <f t="shared" si="28"/>
        <v>0</v>
      </c>
      <c r="BS115" s="345" t="str">
        <f>IFERROR(__xludf.DUMMYFUNCTION("SUBSTITUTE(SUBSTITUTE(SUBSTITUTE(SUBSTITUTE(CONCATENATE(JOIN(""-"",GC115:GO115)),""--"",""-""),""--"",""-""),""--"",""-""),""--"",""-"")"),"1-2-b3-3-4-5-6-b7-7-8")</f>
        <v>1-2-b3-3-4-5-6-b7-7-8</v>
      </c>
      <c r="BT115" s="299" t="str">
        <f>IFERROR(__xludf.DUMMYFUNCTION("SUBSTITUTE(SUBSTITUTE(SUBSTITUTE(SUBSTITUTE(CONCATENATE(JOIN(""-"",GP115:HB115)),""--"",""-""),""--"",""-""),""--"",""-""),""--"",""-"")"),"S-R2-G2-G3-M1-P-D2-N2-N3-S")</f>
        <v>S-R2-G2-G3-M1-P-D2-N2-N3-S</v>
      </c>
      <c r="BU115" s="348" t="str">
        <f t="shared" si="29"/>
        <v>C-D-Eb-E-F-G-A-Bb-B-C</v>
      </c>
      <c r="BV115" s="349" t="str">
        <f t="shared" si="30"/>
        <v>SrMdS</v>
      </c>
      <c r="BW115" s="350">
        <f t="shared" si="31"/>
        <v>0</v>
      </c>
      <c r="BX115" s="351">
        <f t="shared" si="32"/>
        <v>11</v>
      </c>
      <c r="BY115" s="392"/>
      <c r="BZ115" s="309" t="str">
        <f>IFERROR(__xludf.DUMMYFUNCTION("IF(REGEXMATCH(C115, ""S""), ""x"",""x"")"),"x")</f>
        <v>x</v>
      </c>
      <c r="CA115" s="245" t="str">
        <f>IFERROR(__xludf.DUMMYFUNCTION("IF(REGEXMATCH(C115, ""r""), ""o"",""x"")"),"x")</f>
        <v>x</v>
      </c>
      <c r="CB115" s="246" t="str">
        <f>IFERROR(__xludf.DUMMYFUNCTION("IF(REGEXMATCH(C115, ""R""), ""o"",""x"")"),"o")</f>
        <v>o</v>
      </c>
      <c r="CC115" s="246" t="str">
        <f>IFERROR(__xludf.DUMMYFUNCTION("IF(REGEXMATCH(C115, ""g""), ""o"",""x"")"),"o")</f>
        <v>o</v>
      </c>
      <c r="CD115" s="245" t="str">
        <f>IFERROR(__xludf.DUMMYFUNCTION("IF(REGEXMATCH(C115, ""G""), ""o"",""x"")"),"o")</f>
        <v>o</v>
      </c>
      <c r="CE115" s="245" t="str">
        <f>IFERROR(__xludf.DUMMYFUNCTION("IF(REGEXMATCH(C115, ""m""), ""o"",""x"")"),"o")</f>
        <v>o</v>
      </c>
      <c r="CF115" s="246" t="str">
        <f>IFERROR(__xludf.DUMMYFUNCTION("IF(REGEXMATCH(C115, ""M""), ""o"",""x"")"),"x")</f>
        <v>x</v>
      </c>
      <c r="CG115" s="245" t="str">
        <f>IFERROR(__xludf.DUMMYFUNCTION("IF(REGEXMATCH(C115, ""P""), ""o"",""x"")"),"o")</f>
        <v>o</v>
      </c>
      <c r="CH115" s="246" t="str">
        <f>IFERROR(__xludf.DUMMYFUNCTION("IF(REGEXMATCH(C115, ""d""), ""o"",""x"")"),"x")</f>
        <v>x</v>
      </c>
      <c r="CI115" s="245" t="str">
        <f>IFERROR(__xludf.DUMMYFUNCTION("IF(REGEXMATCH(C115, ""D""), ""o"",""x"")"),"o")</f>
        <v>o</v>
      </c>
      <c r="CJ115" s="245" t="str">
        <f>IFERROR(__xludf.DUMMYFUNCTION("IF(REGEXMATCH(C115, ""n""), ""o"",""x"")"),"o")</f>
        <v>o</v>
      </c>
      <c r="CK115" s="245" t="str">
        <f>IFERROR(__xludf.DUMMYFUNCTION("IF(REGEXMATCH(C115, ""N""), ""o"",""x"")"),"o")</f>
        <v>o</v>
      </c>
      <c r="CL115" s="356" t="str">
        <f>IFERROR(__xludf.DUMMYFUNCTION("IF(REGEXMATCH(C115, ""S""), ""x"",""x"")"),"x")</f>
        <v>x</v>
      </c>
      <c r="CM115" s="357" t="str">
        <f t="shared" si="33"/>
        <v>xxooooxoxooo</v>
      </c>
      <c r="CN115" s="358">
        <f t="shared" si="34"/>
        <v>0</v>
      </c>
      <c r="CO115" s="246" t="str">
        <f>IFERROR(__xludf.DUMMYFUNCTION("IF(REGEXMATCH($C115, ""S""), ""S"",""S"")"),"S")</f>
        <v>S</v>
      </c>
      <c r="CP115" s="246" t="str">
        <f>IFERROR(__xludf.DUMMYFUNCTION("IF(REGEXMATCH($C115, ""r""), """",""r"")"),"r")</f>
        <v>r</v>
      </c>
      <c r="CQ115" s="246" t="str">
        <f>IFERROR(__xludf.DUMMYFUNCTION("IF(REGEXMATCH($C115, ""R""), """",""R"")"),"")</f>
        <v/>
      </c>
      <c r="CR115" s="246" t="str">
        <f>IFERROR(__xludf.DUMMYFUNCTION("IF(REGEXMATCH($C115, ""g""), """",""g"")"),"")</f>
        <v/>
      </c>
      <c r="CS115" s="246" t="str">
        <f>IFERROR(__xludf.DUMMYFUNCTION("IF(REGEXMATCH($C115, ""G""), """",""G"")"),"")</f>
        <v/>
      </c>
      <c r="CT115" s="246" t="str">
        <f>IFERROR(__xludf.DUMMYFUNCTION("IF(REGEXMATCH($C115, ""m""), """",""m"")"),"")</f>
        <v/>
      </c>
      <c r="CU115" s="246" t="str">
        <f>IFERROR(__xludf.DUMMYFUNCTION("IF(REGEXMATCH($C115, ""M""), """",""M"")"),"M")</f>
        <v>M</v>
      </c>
      <c r="CV115" s="246" t="str">
        <f>IFERROR(__xludf.DUMMYFUNCTION("IF(REGEXMATCH($C115, ""P""), """",""P"")"),"")</f>
        <v/>
      </c>
      <c r="CW115" s="246" t="str">
        <f>IFERROR(__xludf.DUMMYFUNCTION("IF(REGEXMATCH($C115, ""d""), """",""d"")"),"d")</f>
        <v>d</v>
      </c>
      <c r="CX115" s="246" t="str">
        <f>IFERROR(__xludf.DUMMYFUNCTION("IF(REGEXMATCH($C115, ""D""), """",""D"")"),"")</f>
        <v/>
      </c>
      <c r="CY115" s="246" t="str">
        <f>IFERROR(__xludf.DUMMYFUNCTION("IF(REGEXMATCH($C115, ""n""), """",""n"")"),"")</f>
        <v/>
      </c>
      <c r="CZ115" s="246" t="str">
        <f>IFERROR(__xludf.DUMMYFUNCTION("IF(REGEXMATCH($C115, ""N""), """",""N"")"),"")</f>
        <v/>
      </c>
      <c r="DA115" s="246" t="str">
        <f>IFERROR(__xludf.DUMMYFUNCTION("IF(REGEXMATCH($C115, ""S""), ""S"",""S"")"),"S")</f>
        <v>S</v>
      </c>
      <c r="DB115" s="362" t="str">
        <f>IFERROR(__xludf.DUMMYFUNCTION("JOIN("""",CO115:DA115,"""","""")"),"SrMdS")</f>
        <v>SrMdS</v>
      </c>
      <c r="DC115" s="363"/>
      <c r="DD115" s="301" t="str">
        <f t="shared" si="35"/>
        <v>#REF!</v>
      </c>
      <c r="DE115" s="302" t="str">
        <f t="shared" si="36"/>
        <v>#REF!</v>
      </c>
      <c r="DF115" s="301" t="str">
        <f t="shared" ref="DF115:DG115" si="432">SUBSTITUTE(S115,"-","")</f>
        <v>SRGM</v>
      </c>
      <c r="DG115" s="301" t="str">
        <f t="shared" si="432"/>
        <v>PDNS</v>
      </c>
      <c r="DH115" s="302" t="str">
        <f t="shared" si="38"/>
        <v>Pilu</v>
      </c>
      <c r="DI115" s="301" t="str">
        <f t="shared" si="39"/>
        <v>Hemi.</v>
      </c>
      <c r="DJ115" s="364" t="str">
        <f t="shared" si="40"/>
        <v>Co-Co.</v>
      </c>
      <c r="DK115" s="306" t="str">
        <f t="shared" si="41"/>
        <v>-</v>
      </c>
      <c r="DL115" s="366" t="str">
        <f t="shared" si="42"/>
        <v>-</v>
      </c>
      <c r="DM115" s="308" t="str">
        <f t="shared" si="43"/>
        <v>✔</v>
      </c>
      <c r="DN115" s="306" t="str">
        <f t="shared" si="44"/>
        <v>-</v>
      </c>
      <c r="DO115" s="306" t="str">
        <f t="shared" si="45"/>
        <v>-</v>
      </c>
      <c r="DP115" s="367" t="str">
        <f t="shared" si="46"/>
        <v>-</v>
      </c>
      <c r="DQ115" s="310" t="str">
        <f t="shared" si="47"/>
        <v>-</v>
      </c>
      <c r="DR115" s="310" t="str">
        <f t="shared" si="48"/>
        <v>✔</v>
      </c>
      <c r="DS115" s="310" t="str">
        <f t="shared" si="49"/>
        <v>-</v>
      </c>
      <c r="DT115" s="310" t="str">
        <f t="shared" si="50"/>
        <v>-</v>
      </c>
      <c r="DU115" s="370" t="str">
        <f t="shared" si="51"/>
        <v>✔</v>
      </c>
      <c r="DV115" s="306" t="str">
        <f t="shared" si="52"/>
        <v>-</v>
      </c>
      <c r="DW115" s="306" t="str">
        <f t="shared" si="53"/>
        <v>-</v>
      </c>
      <c r="DX115" s="306" t="str">
        <f t="shared" si="54"/>
        <v>-</v>
      </c>
      <c r="DY115" s="306" t="str">
        <f t="shared" si="55"/>
        <v>-</v>
      </c>
      <c r="DZ115" s="306" t="str">
        <f t="shared" si="56"/>
        <v>-</v>
      </c>
      <c r="EA115" s="367" t="str">
        <f t="shared" si="57"/>
        <v>-</v>
      </c>
      <c r="EB115" s="310" t="str">
        <f>IFERROR(__xludf.DUMMYFUNCTION("IF(REGEXMATCH(AW115,AS115),""✔"",""-"")"),"✔")</f>
        <v>✔</v>
      </c>
      <c r="EC115" s="310" t="str">
        <f t="shared" si="58"/>
        <v>#REF!</v>
      </c>
      <c r="ED115" s="370" t="str">
        <f t="shared" si="59"/>
        <v>-</v>
      </c>
      <c r="EE115" s="340" t="str">
        <f t="shared" si="60"/>
        <v>S-R-gG-m-P-D-nN-S</v>
      </c>
      <c r="EF115" s="371" t="str">
        <f>IFERROR(__xludf.DUMMYFUNCTION("CONCATENATE(JOIN("""",HC115:HO115))"),"SrRgmPdDnS")</f>
        <v>SrRgmPdDnS</v>
      </c>
      <c r="EG115" s="372">
        <f t="shared" si="61"/>
        <v>1</v>
      </c>
      <c r="EH115" s="373" t="str">
        <f>IFERROR(__xludf.DUMMYFUNCTION("CONCATENATE(JOIN("""",JC115:JO115))"),"Ni, ")</f>
        <v>Ni, </v>
      </c>
      <c r="EI115" s="322">
        <f t="shared" si="62"/>
        <v>0</v>
      </c>
      <c r="EJ115" s="374" t="str">
        <f>IFERROR(__xludf.DUMMYFUNCTION("CONCATENATE(JOIN("""",KC115:KO115))"),"")</f>
        <v/>
      </c>
      <c r="EK115" s="325" t="str">
        <f t="shared" si="63"/>
        <v>S-R2-G2-G3-M1-P-D2-N2-N3-S</v>
      </c>
      <c r="EL115" s="326" t="str">
        <f t="shared" si="64"/>
        <v>1-2-b3-3-4-5-6-b7-7-8</v>
      </c>
      <c r="EM115" s="318" t="str">
        <f t="shared" si="65"/>
        <v>#REF!</v>
      </c>
      <c r="EN115" s="328" t="str">
        <f>IFERROR(__xludf.DUMMYFUNCTION("SUBSTITUTE(SUBSTITUTE(SUBSTITUTE(SUBSTITUTE(CONCATENATE(JOIN("" "",HP115:IB115)),""  "","" ""),""  "","" ""),""  "","" ""),""  "","" "")"),"o • o o o o • o • o o o o")</f>
        <v>o • o o o o • o • o o o o</v>
      </c>
      <c r="EO115" s="368" t="str">
        <f t="shared" si="66"/>
        <v>-</v>
      </c>
      <c r="EP115" s="339" t="str">
        <f t="shared" si="67"/>
        <v>-</v>
      </c>
      <c r="EQ115" s="339" t="str">
        <f t="shared" si="68"/>
        <v>Sa-Pa</v>
      </c>
      <c r="ER115" s="339" t="str">
        <f t="shared" si="69"/>
        <v>-</v>
      </c>
      <c r="ES115" s="340" t="str">
        <f t="shared" si="70"/>
        <v>-</v>
      </c>
      <c r="ET115" s="363"/>
      <c r="EU115" s="376" t="b">
        <f>IFERROR(__xludf.DUMMYFUNCTION("arrayformula(sum(--REGEXMATCH(""SRGMPDNS"",split(REGEXREPLACE(C115,""(.)"",""$1~""),""~""))))=len(C115)
"),FALSE)</f>
        <v>0</v>
      </c>
      <c r="EV115" s="290" t="b">
        <f>IFERROR(__xludf.DUMMYFUNCTION("arrayformula(sum(--REGEXMATCH(""SRGmPDNS"",split(REGEXREPLACE(C115,""(.)"",""$1~""),""~""))))=len(C115)"),FALSE)</f>
        <v>0</v>
      </c>
      <c r="EW115" s="290" t="b">
        <f>IFERROR(__xludf.DUMMYFUNCTION("arrayformula(sum(--REGEXMATCH(""SRGmPDnS"",split(REGEXREPLACE(C115,""(.)"",""$1~""),""~""))))=len(C115)"),FALSE)</f>
        <v>0</v>
      </c>
      <c r="EX115" s="290" t="b">
        <f>IFERROR(__xludf.DUMMYFUNCTION("arrayformula(sum(--REGEXMATCH(""SRgmPDnS"",split(REGEXREPLACE(C115,""(.)"",""$1~""),""~""))))=len(C115)"),FALSE)</f>
        <v>0</v>
      </c>
      <c r="EY115" s="290" t="b">
        <f>IFERROR(__xludf.DUMMYFUNCTION("arrayformula(sum(--REGEXMATCH(""SRgmPdnS"",split(REGEXREPLACE(C115,""(.)"",""$1~""),""~""))))=len(C115)"),FALSE)</f>
        <v>0</v>
      </c>
      <c r="EZ115" s="290" t="b">
        <f>IFERROR(__xludf.DUMMYFUNCTION("arrayformula(sum(--REGEXMATCH(""SrgmPdnS"",split(REGEXREPLACE(C115,""(.)"",""$1~""),""~""))))=len(C115)"),FALSE)</f>
        <v>0</v>
      </c>
      <c r="FA115" s="290" t="b">
        <f>IFERROR(__xludf.DUMMYFUNCTION("arrayformula(sum(--REGEXMATCH(""SrGmPdNS"",split(REGEXREPLACE(C115,""(.)"",""$1~""),""~""))))=len(C115)"),FALSE)</f>
        <v>0</v>
      </c>
      <c r="FB115" s="290" t="b">
        <f>IFERROR(__xludf.DUMMYFUNCTION("arrayformula(sum(--REGEXMATCH(""SrGMPDNS"",split(REGEXREPLACE(C115,""(.)"",""$1~""),""~""))))=len(C115)"),FALSE)</f>
        <v>0</v>
      </c>
      <c r="FC115" s="290" t="b">
        <f>IFERROR(__xludf.DUMMYFUNCTION("arrayformula(sum(--REGEXMATCH(""SrGMPdNS"",split(REGEXREPLACE(C115,""(.)"",""$1~""),""~""))))=len(C115)"),FALSE)</f>
        <v>0</v>
      </c>
      <c r="FD115" s="377" t="b">
        <f>IFERROR(__xludf.DUMMYFUNCTION("arrayformula(sum(--REGEXMATCH(""SrgMPdNS"",split(REGEXREPLACE(C115,""(.)"",""$1~""),""~""))))=len(C115)"),FALSE)</f>
        <v>0</v>
      </c>
      <c r="FE115" s="269" t="str">
        <f t="shared" si="71"/>
        <v>-</v>
      </c>
      <c r="FF115" s="269" t="str">
        <f t="shared" si="72"/>
        <v>xxxxoxoxxxx</v>
      </c>
      <c r="FG115" s="271" t="str">
        <f t="shared" si="73"/>
        <v>xxxoxoxxxxo</v>
      </c>
      <c r="FH115" s="269" t="str">
        <f t="shared" si="74"/>
        <v>xxoxoxxxxox</v>
      </c>
      <c r="FI115" s="271" t="str">
        <f t="shared" si="75"/>
        <v>xoxoxxxxoxx</v>
      </c>
      <c r="FJ115" s="271" t="str">
        <f t="shared" si="76"/>
        <v>-</v>
      </c>
      <c r="FK115" s="271" t="str">
        <f t="shared" si="77"/>
        <v>xoxxxxoxxxx</v>
      </c>
      <c r="FL115" s="271" t="str">
        <f t="shared" si="78"/>
        <v>-</v>
      </c>
      <c r="FM115" s="271" t="str">
        <f t="shared" si="79"/>
        <v>xxxxoxxxxox</v>
      </c>
      <c r="FN115" s="271" t="str">
        <f t="shared" si="80"/>
        <v>xxxoxxxxoxo</v>
      </c>
      <c r="FO115" s="274" t="str">
        <f t="shared" si="81"/>
        <v>xxoxxxxoxox</v>
      </c>
      <c r="FP115" s="234" t="str">
        <f t="shared" si="82"/>
        <v>|</v>
      </c>
      <c r="FQ115" s="236" t="str">
        <f t="shared" si="83"/>
        <v>-</v>
      </c>
      <c r="FR115" s="237" t="str">
        <f t="shared" si="84"/>
        <v>|</v>
      </c>
      <c r="FS115" s="236" t="str">
        <f t="shared" si="85"/>
        <v>|</v>
      </c>
      <c r="FT115" s="237" t="str">
        <f t="shared" si="86"/>
        <v>|</v>
      </c>
      <c r="FU115" s="236" t="str">
        <f t="shared" si="87"/>
        <v>|</v>
      </c>
      <c r="FV115" s="237" t="str">
        <f t="shared" si="88"/>
        <v>-</v>
      </c>
      <c r="FW115" s="236" t="str">
        <f t="shared" si="89"/>
        <v>|</v>
      </c>
      <c r="FX115" s="237" t="str">
        <f t="shared" si="90"/>
        <v>-</v>
      </c>
      <c r="FY115" s="236" t="str">
        <f t="shared" si="91"/>
        <v>|</v>
      </c>
      <c r="FZ115" s="237" t="str">
        <f t="shared" si="92"/>
        <v>|</v>
      </c>
      <c r="GA115" s="236" t="str">
        <f t="shared" si="93"/>
        <v>|</v>
      </c>
      <c r="GB115" s="238" t="str">
        <f t="shared" si="94"/>
        <v>|</v>
      </c>
      <c r="GC115" s="244" t="str">
        <f>IFERROR(__xludf.DUMMYFUNCTION("IF(REGEXMATCH(C115, ""S""), ""1"","""")"),"1")</f>
        <v>1</v>
      </c>
      <c r="GD115" s="245" t="str">
        <f>IFERROR(__xludf.DUMMYFUNCTION("IF(REGEXMATCH(C115, ""r""), ""b2"","""")"),"")</f>
        <v/>
      </c>
      <c r="GE115" s="246" t="str">
        <f>IFERROR(__xludf.DUMMYFUNCTION("IF(REGEXMATCH(C115, ""R""), ""2"","""")"),"2")</f>
        <v>2</v>
      </c>
      <c r="GF115" s="246" t="str">
        <f>IFERROR(__xludf.DUMMYFUNCTION("IF(REGEXMATCH(C115, ""g""), ""b3"","""")"),"b3")</f>
        <v>b3</v>
      </c>
      <c r="GG115" s="245" t="str">
        <f>IFERROR(__xludf.DUMMYFUNCTION("IF(REGEXMATCH(C115, ""G""), ""3"","""")"),"3")</f>
        <v>3</v>
      </c>
      <c r="GH115" s="245" t="str">
        <f>IFERROR(__xludf.DUMMYFUNCTION("IF(REGEXMATCH(C115, ""m""), ""4"","""")"),"4")</f>
        <v>4</v>
      </c>
      <c r="GI115" s="246" t="str">
        <f>IFERROR(__xludf.DUMMYFUNCTION("IF(REGEXMATCH(C115, ""M""), ""#4"","""")"),"")</f>
        <v/>
      </c>
      <c r="GJ115" s="245" t="str">
        <f>IFERROR(__xludf.DUMMYFUNCTION("IF(REGEXMATCH(C115, ""P""), ""5"","""")"),"5")</f>
        <v>5</v>
      </c>
      <c r="GK115" s="246" t="str">
        <f>IFERROR(__xludf.DUMMYFUNCTION("IF(REGEXMATCH(C115, ""d""), ""b6"","""")"),"")</f>
        <v/>
      </c>
      <c r="GL115" s="245" t="str">
        <f>IFERROR(__xludf.DUMMYFUNCTION("IF(REGEXMATCH(C115, ""D""), ""6"","""")"),"6")</f>
        <v>6</v>
      </c>
      <c r="GM115" s="245" t="str">
        <f>IFERROR(__xludf.DUMMYFUNCTION("IF(REGEXMATCH(C115, ""n""), ""b7"","""")"),"b7")</f>
        <v>b7</v>
      </c>
      <c r="GN115" s="246" t="str">
        <f>IFERROR(__xludf.DUMMYFUNCTION("IF(REGEXMATCH(C115, ""N""), ""7"","""")"),"7")</f>
        <v>7</v>
      </c>
      <c r="GO115" s="249" t="str">
        <f>IFERROR(__xludf.DUMMYFUNCTION("IF(REGEXMATCH(C115, ""S""), ""8"","""")"),"8")</f>
        <v>8</v>
      </c>
      <c r="GP115" s="244" t="str">
        <f>IFERROR(__xludf.DUMMYFUNCTION("IF(REGEXMATCH(C115, ""S""), ""S"","""")"),"S")</f>
        <v>S</v>
      </c>
      <c r="GQ115" s="294" t="str">
        <f>IFERROR(__xludf.DUMMYFUNCTION("IF(REGEXMATCH(C115, ""r""), ""R1"","""")"),"")</f>
        <v/>
      </c>
      <c r="GR115" s="295" t="str">
        <f>IFERROR(__xludf.DUMMYFUNCTION("IF(REGEXMATCH(C115, ""R""), ""R2"","""")"),"R2")</f>
        <v>R2</v>
      </c>
      <c r="GS115" s="295" t="str">
        <f>IFERROR(__xludf.DUMMYFUNCTION("IF(REGEXMATCH(C115, ""g""), ""G2"","""")"),"G2")</f>
        <v>G2</v>
      </c>
      <c r="GT115" s="294" t="str">
        <f>IFERROR(__xludf.DUMMYFUNCTION("IF(REGEXMATCH(C115, ""G""), ""G3"","""")"),"G3")</f>
        <v>G3</v>
      </c>
      <c r="GU115" s="294" t="str">
        <f>IFERROR(__xludf.DUMMYFUNCTION("IF(REGEXMATCH(C115, ""m""), ""M1"","""")"),"M1")</f>
        <v>M1</v>
      </c>
      <c r="GV115" s="295" t="str">
        <f>IFERROR(__xludf.DUMMYFUNCTION("IF(REGEXMATCH(C115, ""M""), ""M2"","""")"),"")</f>
        <v/>
      </c>
      <c r="GW115" s="294" t="str">
        <f>IFERROR(__xludf.DUMMYFUNCTION("IF(REGEXMATCH(C115, ""P""), ""P"","""")"),"P")</f>
        <v>P</v>
      </c>
      <c r="GX115" s="295" t="str">
        <f>IFERROR(__xludf.DUMMYFUNCTION("IF(REGEXMATCH(C115, ""d""), ""D1"","""")"),"")</f>
        <v/>
      </c>
      <c r="GY115" s="294" t="str">
        <f>IFERROR(__xludf.DUMMYFUNCTION("IF(REGEXMATCH(C115, ""D""), ""D2"","""")"),"D2")</f>
        <v>D2</v>
      </c>
      <c r="GZ115" s="294" t="str">
        <f>IFERROR(__xludf.DUMMYFUNCTION("IF(REGEXMATCH(C115, ""n""), ""N2"","""")"),"N2")</f>
        <v>N2</v>
      </c>
      <c r="HA115" s="295" t="str">
        <f>IFERROR(__xludf.DUMMYFUNCTION("IF(REGEXMATCH(C115, ""N""), ""N3"","""")"),"N3")</f>
        <v>N3</v>
      </c>
      <c r="HB115" s="249" t="str">
        <f>IFERROR(__xludf.DUMMYFUNCTION("IF(REGEXMATCH(C115, ""S""), ""S"","""")"),"S")</f>
        <v>S</v>
      </c>
      <c r="HC115" s="331" t="str">
        <f t="shared" si="95"/>
        <v>S</v>
      </c>
      <c r="HD115" s="332" t="str">
        <f t="shared" si="96"/>
        <v>r</v>
      </c>
      <c r="HE115" s="332" t="str">
        <f t="shared" si="97"/>
        <v>R</v>
      </c>
      <c r="HF115" s="332" t="str">
        <f t="shared" si="98"/>
        <v>g</v>
      </c>
      <c r="HG115" s="332" t="str">
        <f t="shared" si="99"/>
        <v/>
      </c>
      <c r="HH115" s="332" t="str">
        <f t="shared" si="100"/>
        <v>m</v>
      </c>
      <c r="HI115" s="332" t="str">
        <f t="shared" si="101"/>
        <v/>
      </c>
      <c r="HJ115" s="332" t="str">
        <f t="shared" si="102"/>
        <v>P</v>
      </c>
      <c r="HK115" s="332" t="str">
        <f t="shared" si="103"/>
        <v>d</v>
      </c>
      <c r="HL115" s="332" t="str">
        <f t="shared" si="104"/>
        <v>D</v>
      </c>
      <c r="HM115" s="332" t="str">
        <f t="shared" si="105"/>
        <v>n</v>
      </c>
      <c r="HN115" s="332" t="str">
        <f t="shared" si="106"/>
        <v/>
      </c>
      <c r="HO115" s="343" t="str">
        <f t="shared" si="107"/>
        <v>S</v>
      </c>
      <c r="HP115" s="331" t="str">
        <f t="shared" si="108"/>
        <v>o</v>
      </c>
      <c r="HQ115" s="332" t="str">
        <f t="shared" si="109"/>
        <v>•</v>
      </c>
      <c r="HR115" s="332" t="str">
        <f t="shared" si="110"/>
        <v>o</v>
      </c>
      <c r="HS115" s="332" t="str">
        <f t="shared" si="111"/>
        <v>o</v>
      </c>
      <c r="HT115" s="332" t="str">
        <f t="shared" si="112"/>
        <v>o</v>
      </c>
      <c r="HU115" s="332" t="str">
        <f t="shared" si="113"/>
        <v>o</v>
      </c>
      <c r="HV115" s="332" t="str">
        <f t="shared" si="114"/>
        <v>•</v>
      </c>
      <c r="HW115" s="332" t="str">
        <f t="shared" si="115"/>
        <v>o</v>
      </c>
      <c r="HX115" s="332" t="str">
        <f t="shared" si="116"/>
        <v>•</v>
      </c>
      <c r="HY115" s="332" t="str">
        <f t="shared" si="117"/>
        <v>o</v>
      </c>
      <c r="HZ115" s="332" t="str">
        <f t="shared" si="118"/>
        <v>o</v>
      </c>
      <c r="IA115" s="332" t="str">
        <f t="shared" si="119"/>
        <v>o</v>
      </c>
      <c r="IB115" s="338" t="str">
        <f t="shared" si="120"/>
        <v>o</v>
      </c>
      <c r="IC115" s="331" t="str">
        <f t="shared" si="121"/>
        <v>•</v>
      </c>
      <c r="ID115" s="332" t="str">
        <f t="shared" si="122"/>
        <v>o</v>
      </c>
      <c r="IE115" s="332" t="str">
        <f t="shared" si="123"/>
        <v>•</v>
      </c>
      <c r="IF115" s="332" t="str">
        <f t="shared" si="124"/>
        <v>•</v>
      </c>
      <c r="IG115" s="332" t="str">
        <f t="shared" si="125"/>
        <v>•</v>
      </c>
      <c r="IH115" s="332" t="str">
        <f t="shared" si="126"/>
        <v>•</v>
      </c>
      <c r="II115" s="332" t="str">
        <f t="shared" si="127"/>
        <v>o</v>
      </c>
      <c r="IJ115" s="332" t="str">
        <f t="shared" si="128"/>
        <v>•</v>
      </c>
      <c r="IK115" s="332" t="str">
        <f t="shared" si="129"/>
        <v>o</v>
      </c>
      <c r="IL115" s="332" t="str">
        <f t="shared" si="130"/>
        <v>•</v>
      </c>
      <c r="IM115" s="332" t="str">
        <f t="shared" si="131"/>
        <v>•</v>
      </c>
      <c r="IN115" s="332" t="str">
        <f t="shared" si="132"/>
        <v>•</v>
      </c>
      <c r="IO115" s="338" t="str">
        <f t="shared" si="133"/>
        <v>•</v>
      </c>
      <c r="IP115" s="346" t="b">
        <f t="shared" si="134"/>
        <v>0</v>
      </c>
      <c r="IQ115" s="347" t="b">
        <f t="shared" si="135"/>
        <v>0</v>
      </c>
      <c r="IR115" s="347" t="b">
        <f t="shared" si="136"/>
        <v>0</v>
      </c>
      <c r="IS115" s="347" t="b">
        <f t="shared" si="137"/>
        <v>0</v>
      </c>
      <c r="IT115" s="347" t="b">
        <f t="shared" si="138"/>
        <v>0</v>
      </c>
      <c r="IU115" s="347" t="b">
        <f t="shared" si="139"/>
        <v>0</v>
      </c>
      <c r="IV115" s="347" t="b">
        <f t="shared" si="140"/>
        <v>0</v>
      </c>
      <c r="IW115" s="347" t="b">
        <f t="shared" si="141"/>
        <v>0</v>
      </c>
      <c r="IX115" s="347" t="b">
        <f t="shared" si="142"/>
        <v>0</v>
      </c>
      <c r="IY115" s="347" t="b">
        <f t="shared" si="143"/>
        <v>0</v>
      </c>
      <c r="IZ115" s="347" t="b">
        <f t="shared" si="144"/>
        <v>0</v>
      </c>
      <c r="JA115" s="347" t="b">
        <f t="shared" si="145"/>
        <v>1</v>
      </c>
      <c r="JB115" s="353" t="b">
        <f t="shared" si="146"/>
        <v>0</v>
      </c>
      <c r="JC115" s="354" t="str">
        <f t="shared" si="147"/>
        <v/>
      </c>
      <c r="JD115" s="355" t="str">
        <f t="shared" si="148"/>
        <v/>
      </c>
      <c r="JE115" s="355" t="str">
        <f t="shared" si="149"/>
        <v/>
      </c>
      <c r="JF115" s="355" t="str">
        <f t="shared" si="150"/>
        <v/>
      </c>
      <c r="JG115" s="355" t="str">
        <f t="shared" si="151"/>
        <v/>
      </c>
      <c r="JH115" s="355" t="str">
        <f t="shared" si="152"/>
        <v/>
      </c>
      <c r="JI115" s="355" t="str">
        <f t="shared" si="153"/>
        <v/>
      </c>
      <c r="JJ115" s="355" t="str">
        <f t="shared" si="154"/>
        <v/>
      </c>
      <c r="JK115" s="355" t="str">
        <f t="shared" si="155"/>
        <v/>
      </c>
      <c r="JL115" s="355" t="str">
        <f t="shared" si="156"/>
        <v/>
      </c>
      <c r="JM115" s="355" t="str">
        <f t="shared" si="157"/>
        <v/>
      </c>
      <c r="JN115" s="355" t="str">
        <f t="shared" si="158"/>
        <v>Ni, </v>
      </c>
      <c r="JO115" s="359" t="str">
        <f t="shared" si="159"/>
        <v/>
      </c>
      <c r="JP115" s="346" t="b">
        <f t="shared" si="160"/>
        <v>0</v>
      </c>
      <c r="JQ115" s="347" t="b">
        <f t="shared" si="161"/>
        <v>0</v>
      </c>
      <c r="JR115" s="347" t="b">
        <f t="shared" si="162"/>
        <v>0</v>
      </c>
      <c r="JS115" s="347" t="b">
        <f t="shared" si="163"/>
        <v>0</v>
      </c>
      <c r="JT115" s="347" t="b">
        <f t="shared" si="164"/>
        <v>0</v>
      </c>
      <c r="JU115" s="347" t="b">
        <f t="shared" si="165"/>
        <v>0</v>
      </c>
      <c r="JV115" s="347" t="b">
        <f t="shared" si="166"/>
        <v>0</v>
      </c>
      <c r="JW115" s="347" t="b">
        <f t="shared" si="167"/>
        <v>0</v>
      </c>
      <c r="JX115" s="347" t="b">
        <f t="shared" si="168"/>
        <v>0</v>
      </c>
      <c r="JY115" s="347" t="b">
        <f t="shared" si="169"/>
        <v>0</v>
      </c>
      <c r="JZ115" s="347" t="b">
        <f t="shared" si="170"/>
        <v>0</v>
      </c>
      <c r="KA115" s="347" t="b">
        <f t="shared" si="171"/>
        <v>0</v>
      </c>
      <c r="KB115" s="365" t="b">
        <f t="shared" si="172"/>
        <v>0</v>
      </c>
      <c r="KC115" s="354" t="str">
        <f t="shared" si="173"/>
        <v/>
      </c>
      <c r="KD115" s="355" t="str">
        <f t="shared" si="174"/>
        <v/>
      </c>
      <c r="KE115" s="355" t="str">
        <f t="shared" si="175"/>
        <v/>
      </c>
      <c r="KF115" s="355" t="str">
        <f t="shared" si="176"/>
        <v/>
      </c>
      <c r="KG115" s="355" t="str">
        <f t="shared" si="177"/>
        <v/>
      </c>
      <c r="KH115" s="355" t="str">
        <f t="shared" si="178"/>
        <v/>
      </c>
      <c r="KI115" s="355" t="str">
        <f t="shared" si="179"/>
        <v/>
      </c>
      <c r="KJ115" s="355" t="str">
        <f t="shared" si="180"/>
        <v/>
      </c>
      <c r="KK115" s="355" t="str">
        <f t="shared" si="181"/>
        <v/>
      </c>
      <c r="KL115" s="355" t="str">
        <f t="shared" si="182"/>
        <v/>
      </c>
      <c r="KM115" s="355" t="str">
        <f t="shared" si="183"/>
        <v/>
      </c>
      <c r="KN115" s="355" t="str">
        <f t="shared" si="184"/>
        <v/>
      </c>
      <c r="KO115" s="359"/>
      <c r="KP115" s="378"/>
      <c r="KQ115" s="379" t="s">
        <v>9</v>
      </c>
      <c r="KR115" s="380" t="s">
        <v>9</v>
      </c>
      <c r="KS115" s="381" t="s">
        <v>9</v>
      </c>
      <c r="KT115" s="382">
        <f t="shared" si="186"/>
        <v>0</v>
      </c>
      <c r="KU115" s="383">
        <f t="shared" si="187"/>
        <v>0</v>
      </c>
      <c r="KV115" s="381" t="str">
        <f t="shared" si="205"/>
        <v>S</v>
      </c>
      <c r="KW115" s="382">
        <f t="shared" si="189"/>
        <v>0</v>
      </c>
      <c r="KX115" s="384">
        <f t="shared" si="190"/>
        <v>0</v>
      </c>
      <c r="KY115" s="382">
        <f t="shared" ref="KY115:KZ115" si="433">KW115-KT115</f>
        <v>0</v>
      </c>
      <c r="KZ115" s="369">
        <f t="shared" si="433"/>
        <v>0</v>
      </c>
      <c r="LA115" s="385" t="str">
        <f t="shared" si="192"/>
        <v>✔</v>
      </c>
      <c r="LB115" s="340" t="str">
        <f>IFERROR(__xludf.DUMMYFUNCTION("JOIN("""",ArrayFormula(MID(KS115,LEN(KS115)-SEQUENCE(1,LEN(KS115))+1,1)))"),"S")</f>
        <v>S</v>
      </c>
      <c r="LC115" s="373" t="str">
        <f>IFERROR(__xludf.DUMMYFUNCTION("JOIN("""",ArrayFormula(MID(KV115,LEN(KV115)-SEQUENCE(1,LEN(KV115))+1,1)))"),"S")</f>
        <v>S</v>
      </c>
      <c r="LD115" s="373" t="str">
        <f t="shared" si="193"/>
        <v>S</v>
      </c>
      <c r="LE115" s="339" t="str">
        <f t="shared" si="194"/>
        <v>S</v>
      </c>
      <c r="LF115" s="386" t="str">
        <f>IFERROR(__xludf.DUMMYFUNCTION("SUBSTITUTE(SUBSTITUTE(CONCATENATE(JOIN("""",LH115:LT115)),""1"",""""),""2"","""")"),"SS")</f>
        <v>SS</v>
      </c>
      <c r="LG115" s="369" t="str">
        <f t="shared" si="195"/>
        <v>-</v>
      </c>
      <c r="LH115" s="387" t="str">
        <f>IFERROR(__xludf.DUMMYFUNCTION("IF(REGEXMATCH(LD115, ""S""), ""S"",IF(REGEXMATCH(LE115, ""S""), ""S"",""""))"),"S")</f>
        <v>S</v>
      </c>
      <c r="LI115" s="299" t="str">
        <f>IFERROR(__xludf.DUMMYFUNCTION("IF(REGEXMATCH(LD115, ""r""), ""r1"",IF(REGEXMATCH(LE115, ""r""), ""r2"",""""))"),"")</f>
        <v/>
      </c>
      <c r="LJ115" s="299" t="str">
        <f>IFERROR(__xludf.DUMMYFUNCTION("IF(REGEXMATCH(LD115, ""R""), ""R1"",IF(REGEXMATCH(LE115, ""R""), ""R2"",""""))"),"")</f>
        <v/>
      </c>
      <c r="LK115" s="299" t="str">
        <f>IFERROR(__xludf.DUMMYFUNCTION("IF(REGEXMATCH(LD115, ""g""), ""g1"",IF(REGEXMATCH(LE115, ""g""), ""g2"",""""))"),"")</f>
        <v/>
      </c>
      <c r="LL115" s="299" t="str">
        <f>IFERROR(__xludf.DUMMYFUNCTION("IF(REGEXMATCH(LD115, ""G""), ""G1"",IF(REGEXMATCH(LE115, ""G""), ""G2"",""""))"),"")</f>
        <v/>
      </c>
      <c r="LM115" s="299" t="str">
        <f>IFERROR(__xludf.DUMMYFUNCTION("IF(REGEXMATCH(LD115, ""m""), ""m1"",IF(REGEXMATCH(LE115, ""m""), ""m2"",""""))"),"")</f>
        <v/>
      </c>
      <c r="LN115" s="299" t="str">
        <f>IFERROR(__xludf.DUMMYFUNCTION("IF(REGEXMATCH(LD115, ""M""), ""M1"",IF(REGEXMATCH(LE115, ""M""), ""M2"",""""))"),"")</f>
        <v/>
      </c>
      <c r="LO115" s="299" t="str">
        <f>IFERROR(__xludf.DUMMYFUNCTION("IF(REGEXMATCH(LD115, ""P""), ""P1"",IF(REGEXMATCH(LE115, ""P""), ""P2"",""""))"),"")</f>
        <v/>
      </c>
      <c r="LP115" s="299" t="str">
        <f>IFERROR(__xludf.DUMMYFUNCTION("IF(REGEXMATCH(LD115, ""d""), ""d1"",IF(REGEXMATCH(LE115, ""d""), ""d2"",""""))"),"")</f>
        <v/>
      </c>
      <c r="LQ115" s="299" t="str">
        <f>IFERROR(__xludf.DUMMYFUNCTION("IF(REGEXMATCH(LD115, ""D""), ""D1"",IF(REGEXMATCH(LE115, ""D""), ""D2"",""""))"),"")</f>
        <v/>
      </c>
      <c r="LR115" s="299" t="str">
        <f>IFERROR(__xludf.DUMMYFUNCTION("IF(REGEXMATCH(LD115, ""n""), ""n1"",IF(REGEXMATCH(LE115, ""n""), ""n2"",""""))"),"")</f>
        <v/>
      </c>
      <c r="LS115" s="299" t="str">
        <f>IFERROR(__xludf.DUMMYFUNCTION("IF(REGEXMATCH(LD115, ""N""), ""N1"",IF(REGEXMATCH(LE115, ""N""), ""N2"",""""))"),"")</f>
        <v/>
      </c>
      <c r="LT115" s="388" t="str">
        <f>IFERROR(__xludf.DUMMYFUNCTION("IF(REGEXMATCH(LD115, ""S""), ""S"",IF(REGEXMATCH(LE115, ""S""), ""S"",""""))"),"S")</f>
        <v>S</v>
      </c>
      <c r="LU115" s="389">
        <f t="shared" si="196"/>
        <v>1</v>
      </c>
      <c r="LV115" s="378"/>
      <c r="LW115" s="369"/>
      <c r="LX115" s="369"/>
    </row>
    <row r="116" ht="18.0" customHeight="1">
      <c r="A116" s="298" t="s">
        <v>1393</v>
      </c>
      <c r="B116" s="222" t="s">
        <v>554</v>
      </c>
      <c r="C116" s="233" t="str">
        <f t="shared" si="7"/>
        <v>SRGmPDNS</v>
      </c>
      <c r="D116" s="234" t="str">
        <f>IFERROR(__xludf.DUMMYFUNCTION("IF(REGEXMATCH(C116, ""S""), ""S"","""")"),"S")</f>
        <v>S</v>
      </c>
      <c r="E116" s="236" t="str">
        <f>IFERROR(__xludf.DUMMYFUNCTION("IF(REGEXMATCH(C116, ""r""), ""r"","""")"),"")</f>
        <v/>
      </c>
      <c r="F116" s="237" t="str">
        <f>IFERROR(__xludf.DUMMYFUNCTION("IF(REGEXMATCH(C116, ""R""), ""R"","""")"),"R")</f>
        <v>R</v>
      </c>
      <c r="G116" s="237" t="str">
        <f>IFERROR(__xludf.DUMMYFUNCTION("IF(REGEXMATCH(C116, ""g""), ""g"","""")"),"")</f>
        <v/>
      </c>
      <c r="H116" s="236" t="str">
        <f>IFERROR(__xludf.DUMMYFUNCTION("IF(REGEXMATCH(C116, ""G""), ""G"","""")"),"G")</f>
        <v>G</v>
      </c>
      <c r="I116" s="236" t="str">
        <f>IFERROR(__xludf.DUMMYFUNCTION("IF(REGEXMATCH(C116, ""m""), ""m"","""")"),"m")</f>
        <v>m</v>
      </c>
      <c r="J116" s="237" t="str">
        <f>IFERROR(__xludf.DUMMYFUNCTION("IF(REGEXMATCH(C116, ""M""), ""M"","""")"),"")</f>
        <v/>
      </c>
      <c r="K116" s="236" t="str">
        <f>IFERROR(__xludf.DUMMYFUNCTION("IF(REGEXMATCH(C116, ""P""), ""P"","""")"),"P")</f>
        <v>P</v>
      </c>
      <c r="L116" s="237" t="str">
        <f>IFERROR(__xludf.DUMMYFUNCTION("IF(REGEXMATCH(C116, ""d""), ""d"","""")"),"")</f>
        <v/>
      </c>
      <c r="M116" s="236" t="str">
        <f>IFERROR(__xludf.DUMMYFUNCTION("IF(REGEXMATCH(C116, ""D""), ""D"","""")"),"D")</f>
        <v>D</v>
      </c>
      <c r="N116" s="236" t="str">
        <f>IFERROR(__xludf.DUMMYFUNCTION("IF(REGEXMATCH(C116, ""n""), ""n"","""")"),"")</f>
        <v/>
      </c>
      <c r="O116" s="237" t="str">
        <f>IFERROR(__xludf.DUMMYFUNCTION("IF(REGEXMATCH(C116, ""N""), ""N"","""")"),"N")</f>
        <v>N</v>
      </c>
      <c r="P116" s="238" t="str">
        <f>IFERROR(__xludf.DUMMYFUNCTION("IF(REGEXMATCH(C116, ""S""), ""S"","""")"),"S")</f>
        <v>S</v>
      </c>
      <c r="Q116" s="239" t="str">
        <f>IFERROR(__xludf.DUMMYFUNCTION("SUBSTITUTE(CONCATENATE(JOIN(""-"",D116:J116)),""-"","""")"),"SRGm")</f>
        <v>SRGm</v>
      </c>
      <c r="R116" s="229" t="str">
        <f>IFERROR(__xludf.DUMMYFUNCTION("SUBSTITUTE(CONCATENATE(JOIN(""-"",K116:P116)),""-"","""")"),"PDNS")</f>
        <v>PDNS</v>
      </c>
      <c r="S116" s="282" t="str">
        <f t="shared" si="8"/>
        <v>S-R-G-M</v>
      </c>
      <c r="T116" s="282" t="str">
        <f t="shared" si="9"/>
        <v>P-D-N-S</v>
      </c>
      <c r="U116" s="237" t="str">
        <f>IFERROR(__xludf.DUMMYFUNCTION("SUBSTITUTE(JOIN(""-"",S116,T116),""--"",""-"")"),"S-R-G-M-P-D-N-S")</f>
        <v>S-R-G-M-P-D-N-S</v>
      </c>
      <c r="V116" s="309" t="str">
        <f t="shared" si="10"/>
        <v>RGmDN</v>
      </c>
      <c r="W116" s="244" t="str">
        <f>IFERROR(__xludf.DUMMYFUNCTION("IF(REGEXMATCH(C116, ""S""), ""0"","""")"),"0")</f>
        <v>0</v>
      </c>
      <c r="X116" s="245" t="str">
        <f>IFERROR(__xludf.DUMMYFUNCTION("IF(REGEXMATCH(C116, ""r""), ""1"","""")"),"")</f>
        <v/>
      </c>
      <c r="Y116" s="246" t="str">
        <f>IFERROR(__xludf.DUMMYFUNCTION("IF(REGEXMATCH(C116, ""R""), ""2"","""")"),"2")</f>
        <v>2</v>
      </c>
      <c r="Z116" s="246" t="str">
        <f>IFERROR(__xludf.DUMMYFUNCTION("IF(REGEXMATCH(C116, ""g""), ""3"","""")"),"")</f>
        <v/>
      </c>
      <c r="AA116" s="245" t="str">
        <f>IFERROR(__xludf.DUMMYFUNCTION("IF(REGEXMATCH(C116, ""G""), ""4"","""")"),"4")</f>
        <v>4</v>
      </c>
      <c r="AB116" s="245" t="str">
        <f>IFERROR(__xludf.DUMMYFUNCTION("IF(REGEXMATCH(C116, ""m""), ""5"","""")"),"5")</f>
        <v>5</v>
      </c>
      <c r="AC116" s="246" t="str">
        <f>IFERROR(__xludf.DUMMYFUNCTION("IF(REGEXMATCH(C116, ""M""), ""6"","""")"),"")</f>
        <v/>
      </c>
      <c r="AD116" s="245" t="str">
        <f>IFERROR(__xludf.DUMMYFUNCTION("IF(REGEXMATCH(C116, ""P""), ""7"","""")"),"7")</f>
        <v>7</v>
      </c>
      <c r="AE116" s="246" t="str">
        <f>IFERROR(__xludf.DUMMYFUNCTION("IF(REGEXMATCH(C116, ""d""), ""8"","""")"),"")</f>
        <v/>
      </c>
      <c r="AF116" s="245" t="str">
        <f>IFERROR(__xludf.DUMMYFUNCTION("IF(REGEXMATCH(C116, ""D""), ""9"","""")"),"9")</f>
        <v>9</v>
      </c>
      <c r="AG116" s="245" t="str">
        <f>IFERROR(__xludf.DUMMYFUNCTION("IF(REGEXMATCH(C116, ""n""), ""10"","""")"),"")</f>
        <v/>
      </c>
      <c r="AH116" s="246" t="str">
        <f>IFERROR(__xludf.DUMMYFUNCTION("IF(REGEXMATCH(C116, ""N""), ""11"","""")"),"11")</f>
        <v>11</v>
      </c>
      <c r="AI116" s="249" t="str">
        <f>IFERROR(__xludf.DUMMYFUNCTION("IF(REGEXMATCH(C116, ""S""), ""0"","""")"),"0")</f>
        <v>0</v>
      </c>
      <c r="AJ116" s="313" t="str">
        <f t="shared" si="11"/>
        <v>-</v>
      </c>
      <c r="AK116" s="313" t="str">
        <f t="shared" si="12"/>
        <v>-</v>
      </c>
      <c r="AL116" s="313" t="str">
        <f t="shared" si="13"/>
        <v>-</v>
      </c>
      <c r="AM116" s="313" t="str">
        <f t="shared" si="14"/>
        <v>-</v>
      </c>
      <c r="AN116" s="313" t="str">
        <f t="shared" si="15"/>
        <v>-</v>
      </c>
      <c r="AO116" s="314" t="str">
        <f t="shared" si="16"/>
        <v>T</v>
      </c>
      <c r="AP116" s="316">
        <f t="shared" si="17"/>
        <v>1</v>
      </c>
      <c r="AQ116" s="319" t="str">
        <f t="shared" si="18"/>
        <v>-</v>
      </c>
      <c r="AR116" s="320">
        <f t="shared" si="19"/>
        <v>0</v>
      </c>
      <c r="AS116" s="250" t="str">
        <f>IFERROR(__xludf.DUMMYFUNCTION("SUBSTITUTE(SUBSTITUTE(CONCATENATE(JOIN("""",FP116:GA116)),""|"",""x""),""-"",""o"")"),"xoxoxxoxoxox")</f>
        <v>xoxoxxoxoxox</v>
      </c>
      <c r="AT116" s="323" t="str">
        <f>IFERROR(__xludf.DUMMYFUNCTION("JOIN("""",AS116,AS116)"),"xoxoxxoxoxoxxoxoxxoxoxox")</f>
        <v>xoxoxxoxoxoxxoxoxxoxoxox</v>
      </c>
      <c r="AU116" s="256" t="str">
        <f>IFERROR(__xludf.DUMMYFUNCTION("JOIN("""",ArrayFormula(MID(AS116,LEN(AS116)-SEQUENCE(1,LEN(AS116))+1,1)))"),"xoxoxoxxoxox")</f>
        <v>xoxoxoxxoxox</v>
      </c>
      <c r="AV116" s="256" t="str">
        <f>IFERROR(__xludf.DUMMYFUNCTION("LEFT(CONCATENATE(""x"",JOIN("""",ArrayFormula(MID(AS116,LEN(AS116)-SEQUENCE(1,LEN(AS116))+1,1)))),12)"),"xxoxoxoxxoxo")</f>
        <v>xxoxoxoxxoxo</v>
      </c>
      <c r="AW116" s="327" t="str">
        <f>IFERROR(__xludf.DUMMYFUNCTION("JOIN("""",AU116,AU116)"),"xoxoxoxxoxoxxoxoxoxxoxox")</f>
        <v>xoxoxoxxoxoxxoxoxoxxoxox</v>
      </c>
      <c r="AX116" s="239" t="str">
        <f>IFERROR(__xludf.DUMMYFUNCTION("IF(REGEXMATCH(AW116,AS116),""✔"",""-"")"),"✔")</f>
        <v>✔</v>
      </c>
      <c r="AY116" s="330" t="str">
        <f t="shared" si="20"/>
        <v>-</v>
      </c>
      <c r="AZ116" s="260" t="str">
        <f t="shared" si="21"/>
        <v>#REF!</v>
      </c>
      <c r="BA116" s="333" t="str">
        <f t="shared" si="22"/>
        <v>xoxoxxo</v>
      </c>
      <c r="BB116" s="334" t="str">
        <f t="shared" si="23"/>
        <v>xoxoxx</v>
      </c>
      <c r="BC116" s="335" t="str">
        <f t="shared" si="236"/>
        <v>✔</v>
      </c>
      <c r="BD116" s="336" t="str">
        <f t="shared" si="25"/>
        <v>Gaud: 'xoxoxxo' + 'xoxoxx'</v>
      </c>
      <c r="BE116" s="337">
        <f>IFERROR(__xludf.DUMMYFUNCTION("COUNTUNIQUE(FILTER(AT:AT,REGEXMATCH(AT:AT,AS116)))-1"),6.0)</f>
        <v>6</v>
      </c>
      <c r="BF116" s="261" t="str">
        <f>IFERROR(__xludf.DUMMYFUNCTION("IF(BI116=0,""(n/a)"",IF(BJ116=2,""(PAIR)"",IF(REGEXMATCH(AT116,""xoxoxxoxoxox""),""Bilawal"",IF(REGEXMATCH(AT116,""xoxoxooxoxoo""),""Bhupali"",IF(REGEXMATCH(AT116,""xoxoxxoxxoxo""),""Charukeshi"",IF(REGEXMATCH(AT116,""xoxoooxxoxxo""),""Kameshwari"",IF(REG"&amp;"EXMATCH(AT116,""xoxoxooxoxox""),""Shankara"",IF(REGEXMATCH(AT116,""xxooxoxxxoox""),""Basant"",IF(REGEXMATCH(AT116,""xoxoxxxxoxox""),""Bihag"",IF(REGEXMATCH(AT116,""xoxxxxoxoxxx""),""Pilu"",IF(REGEXMATCH(AT116,""xoxxoxoxxoox""),""Kirwani"",IF(REGEXMATCH(AT"&amp;"116,""xoxxoxoxoxxx""),""Mk.Malhar"",IF(REGEXMATCH(AT116,""xxooxxoxxoox""),""Bhairav"",IF(REGEXMATCH(AT116,""xxoxooxxxoox""),""Todi"",IF(REGEXMATCH(AT116,""xxooxoxooxox""),""Marwa"",IF(REGEXMATCH(AT116,""xxoooxoxxooo""),""Gunkali"",IF(REGEXMATCH(AT116,""xo"&amp;"xoxxoxxoox""),""Nat Bhairav"",IF(REGEXMATCH(AT116,""xoxxoooxoxoo""),""Shivranjani"",IF(REGEXMATCH(AT116,""xooxxxoxooxo""),""Jog"",IF(REGEXMATCH(AT116,""xxooxoxoxoox""),""Hemshri"",IF(REGEXMATCH(AT116,""xoooxooxoxxo""),""Kalavati"",IF(REGEXMATCH(AT116,""xx"&amp;"oxoxxoxoox""),""Kedar"",IF(REGEXMATCH(AT116,""xoxxxxoxooxx""),""Gara"",IF(REGEXMATCH(AT116,""xooxoxooxoox""),""Chandrakauns"",IF(REGEXMATCH(AT116,""xoxxxxoxxxox""),""Mand"",IF(REGEXMATCH(AT116,""xoxxxxoxoxox""),""Hanskinkini"",IF(REGEXMATCH(AT116,""xxooxx"&amp;"oxooxo""),""Lilavati"",IF(REGEXMATCH(AT116,""xooxoxoooxox""),""Rajeshwari"",IF(REGEXMATCH(AT116,""xoooxxoxoxxx""),""Khokar"",IF(REGEXMATCH(AT116,""xxooxoxxxxox""),""Maligoura"",""-""))))))))))))))))))))))))))))))"),"Bilawal")</f>
        <v>Bilawal</v>
      </c>
      <c r="BG116" s="239" t="str">
        <f t="shared" si="26"/>
        <v>#REF!</v>
      </c>
      <c r="BH116" s="239">
        <f>IFERROR(__xludf.DUMMYFUNCTION("COUNTUNIQUE(FE116:FO116)-1"),6.0)</f>
        <v>6</v>
      </c>
      <c r="BI116" s="239">
        <f>IFERROR(__xludf.DUMMYFUNCTION("COUNTUNIQUE(FILTER(AT:AT,REGEXMATCH(AT:AT,AS116)))-1"),6.0)</f>
        <v>6</v>
      </c>
      <c r="BJ116" s="239">
        <f>IFERROR(__xludf.DUMMYFUNCTION("COUNTA(FILTER(AT:AT,REGEXMATCH(AT:AT,AS116)))"),48.0)</f>
        <v>48</v>
      </c>
      <c r="BK116" s="341">
        <f>IFERROR(__xludf.DUMMYFUNCTION("COUNTA(FILTER(AT:AT,REGEXMATCH(AT:AT,AS116)))-AR116"),48.0)</f>
        <v>48</v>
      </c>
      <c r="BL116" s="276" t="str">
        <f>IFERROR(__xludf.DUMMYFUNCTION("IF(AS116=""oooooooooooo"",""-"",IF(REGEXMATCH(AT116,""xx""), ""Hemi."", ""Anhemi.""))"),"Hemi.")</f>
        <v>Hemi.</v>
      </c>
      <c r="BM116" s="282" t="str">
        <f>IFERROR(__xludf.DUMMYFUNCTION("IF(AS116=""oooooooooooo"",""-"",IF(REGEXMATCH(AT116,""xxx""), ""Cohem."", ""-""))"),"-")</f>
        <v>-</v>
      </c>
      <c r="BN116" s="282" t="str">
        <f>IFERROR(__xludf.DUMMYFUNCTION("IF(AS116=""oooooooooooo"",""-"",IF(REGEXMATCH(AT116,""xxxx""), ""Co-Co."", ""-""))"),"-")</f>
        <v>-</v>
      </c>
      <c r="BO116" s="342" t="str">
        <f>IFERROR(__xludf.DUMMYFUNCTION("IF(AS116=""oooooooooooo"",""-"",IF(REGEXMATCH(AT116,""xxxxx""), ""CCC."", ""-""))"),"-")</f>
        <v>-</v>
      </c>
      <c r="BP116" s="344" t="str">
        <f t="shared" si="27"/>
        <v>Bilawal</v>
      </c>
      <c r="BQ116" s="282" t="str">
        <f>IFERROR(__xludf.DUMMYFUNCTION("IF(REGEXMATCH(JOIN(""-"",EU116:FD116),""TRUE""),""✔"",""-"")"),"✔")</f>
        <v>✔</v>
      </c>
      <c r="BR116" s="225">
        <f t="shared" si="28"/>
        <v>1</v>
      </c>
      <c r="BS116" s="345" t="str">
        <f>IFERROR(__xludf.DUMMYFUNCTION("SUBSTITUTE(SUBSTITUTE(SUBSTITUTE(SUBSTITUTE(CONCATENATE(JOIN(""-"",GC116:GO116)),""--"",""-""),""--"",""-""),""--"",""-""),""--"",""-"")"),"1-2-3-4-5-6-7-8")</f>
        <v>1-2-3-4-5-6-7-8</v>
      </c>
      <c r="BT116" s="299" t="str">
        <f>IFERROR(__xludf.DUMMYFUNCTION("SUBSTITUTE(SUBSTITUTE(SUBSTITUTE(SUBSTITUTE(CONCATENATE(JOIN(""-"",GP116:HB116)),""--"",""-""),""--"",""-""),""--"",""-""),""--"",""-"")"),"S-R2-G3-M1-P-D2-N3-S")</f>
        <v>S-R2-G3-M1-P-D2-N3-S</v>
      </c>
      <c r="BU116" s="348" t="str">
        <f t="shared" si="29"/>
        <v>C-D-E-F-G-A-B-C</v>
      </c>
      <c r="BV116" s="349" t="str">
        <f t="shared" si="30"/>
        <v>SrgMdnS</v>
      </c>
      <c r="BW116" s="350">
        <f t="shared" si="31"/>
        <v>1</v>
      </c>
      <c r="BX116" s="351">
        <f t="shared" si="32"/>
        <v>17</v>
      </c>
      <c r="BY116" s="392"/>
      <c r="BZ116" s="309" t="str">
        <f>IFERROR(__xludf.DUMMYFUNCTION("IF(REGEXMATCH(C116, ""S""), ""x"",""x"")"),"x")</f>
        <v>x</v>
      </c>
      <c r="CA116" s="245" t="str">
        <f>IFERROR(__xludf.DUMMYFUNCTION("IF(REGEXMATCH(C116, ""r""), ""o"",""x"")"),"x")</f>
        <v>x</v>
      </c>
      <c r="CB116" s="246" t="str">
        <f>IFERROR(__xludf.DUMMYFUNCTION("IF(REGEXMATCH(C116, ""R""), ""o"",""x"")"),"o")</f>
        <v>o</v>
      </c>
      <c r="CC116" s="246" t="str">
        <f>IFERROR(__xludf.DUMMYFUNCTION("IF(REGEXMATCH(C116, ""g""), ""o"",""x"")"),"x")</f>
        <v>x</v>
      </c>
      <c r="CD116" s="245" t="str">
        <f>IFERROR(__xludf.DUMMYFUNCTION("IF(REGEXMATCH(C116, ""G""), ""o"",""x"")"),"o")</f>
        <v>o</v>
      </c>
      <c r="CE116" s="245" t="str">
        <f>IFERROR(__xludf.DUMMYFUNCTION("IF(REGEXMATCH(C116, ""m""), ""o"",""x"")"),"o")</f>
        <v>o</v>
      </c>
      <c r="CF116" s="246" t="str">
        <f>IFERROR(__xludf.DUMMYFUNCTION("IF(REGEXMATCH(C116, ""M""), ""o"",""x"")"),"x")</f>
        <v>x</v>
      </c>
      <c r="CG116" s="245" t="str">
        <f>IFERROR(__xludf.DUMMYFUNCTION("IF(REGEXMATCH(C116, ""P""), ""o"",""x"")"),"o")</f>
        <v>o</v>
      </c>
      <c r="CH116" s="246" t="str">
        <f>IFERROR(__xludf.DUMMYFUNCTION("IF(REGEXMATCH(C116, ""d""), ""o"",""x"")"),"x")</f>
        <v>x</v>
      </c>
      <c r="CI116" s="245" t="str">
        <f>IFERROR(__xludf.DUMMYFUNCTION("IF(REGEXMATCH(C116, ""D""), ""o"",""x"")"),"o")</f>
        <v>o</v>
      </c>
      <c r="CJ116" s="245" t="str">
        <f>IFERROR(__xludf.DUMMYFUNCTION("IF(REGEXMATCH(C116, ""n""), ""o"",""x"")"),"x")</f>
        <v>x</v>
      </c>
      <c r="CK116" s="245" t="str">
        <f>IFERROR(__xludf.DUMMYFUNCTION("IF(REGEXMATCH(C116, ""N""), ""o"",""x"")"),"o")</f>
        <v>o</v>
      </c>
      <c r="CL116" s="356" t="str">
        <f>IFERROR(__xludf.DUMMYFUNCTION("IF(REGEXMATCH(C116, ""S""), ""x"",""x"")"),"x")</f>
        <v>x</v>
      </c>
      <c r="CM116" s="357" t="str">
        <f t="shared" si="33"/>
        <v>xxoxooxoxoxo</v>
      </c>
      <c r="CN116" s="358">
        <f t="shared" si="34"/>
        <v>1</v>
      </c>
      <c r="CO116" s="246" t="str">
        <f>IFERROR(__xludf.DUMMYFUNCTION("IF(REGEXMATCH($C116, ""S""), ""S"",""S"")"),"S")</f>
        <v>S</v>
      </c>
      <c r="CP116" s="246" t="str">
        <f>IFERROR(__xludf.DUMMYFUNCTION("IF(REGEXMATCH($C116, ""r""), """",""r"")"),"r")</f>
        <v>r</v>
      </c>
      <c r="CQ116" s="246" t="str">
        <f>IFERROR(__xludf.DUMMYFUNCTION("IF(REGEXMATCH($C116, ""R""), """",""R"")"),"")</f>
        <v/>
      </c>
      <c r="CR116" s="246" t="str">
        <f>IFERROR(__xludf.DUMMYFUNCTION("IF(REGEXMATCH($C116, ""g""), """",""g"")"),"g")</f>
        <v>g</v>
      </c>
      <c r="CS116" s="246" t="str">
        <f>IFERROR(__xludf.DUMMYFUNCTION("IF(REGEXMATCH($C116, ""G""), """",""G"")"),"")</f>
        <v/>
      </c>
      <c r="CT116" s="246" t="str">
        <f>IFERROR(__xludf.DUMMYFUNCTION("IF(REGEXMATCH($C116, ""m""), """",""m"")"),"")</f>
        <v/>
      </c>
      <c r="CU116" s="246" t="str">
        <f>IFERROR(__xludf.DUMMYFUNCTION("IF(REGEXMATCH($C116, ""M""), """",""M"")"),"M")</f>
        <v>M</v>
      </c>
      <c r="CV116" s="246" t="str">
        <f>IFERROR(__xludf.DUMMYFUNCTION("IF(REGEXMATCH($C116, ""P""), """",""P"")"),"")</f>
        <v/>
      </c>
      <c r="CW116" s="246" t="str">
        <f>IFERROR(__xludf.DUMMYFUNCTION("IF(REGEXMATCH($C116, ""d""), """",""d"")"),"d")</f>
        <v>d</v>
      </c>
      <c r="CX116" s="246" t="str">
        <f>IFERROR(__xludf.DUMMYFUNCTION("IF(REGEXMATCH($C116, ""D""), """",""D"")"),"")</f>
        <v/>
      </c>
      <c r="CY116" s="246" t="str">
        <f>IFERROR(__xludf.DUMMYFUNCTION("IF(REGEXMATCH($C116, ""n""), """",""n"")"),"n")</f>
        <v>n</v>
      </c>
      <c r="CZ116" s="246" t="str">
        <f>IFERROR(__xludf.DUMMYFUNCTION("IF(REGEXMATCH($C116, ""N""), """",""N"")"),"")</f>
        <v/>
      </c>
      <c r="DA116" s="246" t="str">
        <f>IFERROR(__xludf.DUMMYFUNCTION("IF(REGEXMATCH($C116, ""S""), ""S"",""S"")"),"S")</f>
        <v>S</v>
      </c>
      <c r="DB116" s="362" t="str">
        <f>IFERROR(__xludf.DUMMYFUNCTION("JOIN("""",CO116:DA116,"""","""")"),"SrgMdnS")</f>
        <v>SrgMdnS</v>
      </c>
      <c r="DC116" s="363"/>
      <c r="DD116" s="301" t="str">
        <f t="shared" si="35"/>
        <v>#REF!</v>
      </c>
      <c r="DE116" s="302" t="str">
        <f t="shared" si="36"/>
        <v>#REF!</v>
      </c>
      <c r="DF116" s="301" t="str">
        <f t="shared" ref="DF116:DG116" si="434">SUBSTITUTE(S116,"-","")</f>
        <v>SRGM</v>
      </c>
      <c r="DG116" s="301" t="str">
        <f t="shared" si="434"/>
        <v>PDNS</v>
      </c>
      <c r="DH116" s="302" t="str">
        <f t="shared" si="38"/>
        <v>Bilawal</v>
      </c>
      <c r="DI116" s="301" t="str">
        <f t="shared" si="39"/>
        <v>Hemi.</v>
      </c>
      <c r="DJ116" s="364" t="str">
        <f t="shared" si="40"/>
        <v>-</v>
      </c>
      <c r="DK116" s="306" t="str">
        <f t="shared" si="41"/>
        <v>Bilawal</v>
      </c>
      <c r="DL116" s="366" t="str">
        <f t="shared" si="42"/>
        <v>-</v>
      </c>
      <c r="DM116" s="308" t="str">
        <f t="shared" si="43"/>
        <v>-</v>
      </c>
      <c r="DN116" s="306" t="str">
        <f t="shared" si="44"/>
        <v>✔</v>
      </c>
      <c r="DO116" s="306" t="str">
        <f t="shared" si="45"/>
        <v>-</v>
      </c>
      <c r="DP116" s="367" t="str">
        <f t="shared" si="46"/>
        <v>-</v>
      </c>
      <c r="DQ116" s="310" t="str">
        <f t="shared" si="47"/>
        <v>-</v>
      </c>
      <c r="DR116" s="310" t="str">
        <f t="shared" si="48"/>
        <v>-</v>
      </c>
      <c r="DS116" s="310" t="str">
        <f t="shared" si="49"/>
        <v>-</v>
      </c>
      <c r="DT116" s="310" t="str">
        <f t="shared" si="50"/>
        <v>-</v>
      </c>
      <c r="DU116" s="370" t="str">
        <f t="shared" si="51"/>
        <v>-</v>
      </c>
      <c r="DV116" s="306" t="str">
        <f t="shared" si="52"/>
        <v>-</v>
      </c>
      <c r="DW116" s="306" t="str">
        <f t="shared" si="53"/>
        <v>-</v>
      </c>
      <c r="DX116" s="306" t="str">
        <f t="shared" si="54"/>
        <v>-</v>
      </c>
      <c r="DY116" s="306" t="str">
        <f t="shared" si="55"/>
        <v>-</v>
      </c>
      <c r="DZ116" s="306" t="str">
        <f t="shared" si="56"/>
        <v>-</v>
      </c>
      <c r="EA116" s="367" t="str">
        <f t="shared" si="57"/>
        <v>-</v>
      </c>
      <c r="EB116" s="310" t="str">
        <f>IFERROR(__xludf.DUMMYFUNCTION("IF(REGEXMATCH(AW116,AS116),""✔"",""-"")"),"✔")</f>
        <v>✔</v>
      </c>
      <c r="EC116" s="310" t="str">
        <f t="shared" si="58"/>
        <v>#REF!</v>
      </c>
      <c r="ED116" s="370" t="str">
        <f t="shared" si="59"/>
        <v>-</v>
      </c>
      <c r="EE116" s="340" t="str">
        <f t="shared" si="60"/>
        <v>S-R-G-m-P-D-N-S</v>
      </c>
      <c r="EF116" s="371" t="str">
        <f>IFERROR(__xludf.DUMMYFUNCTION("CONCATENATE(JOIN("""",HC116:HO116))"),"SrgmPdnS")</f>
        <v>SrgmPdnS</v>
      </c>
      <c r="EG116" s="372">
        <f t="shared" si="61"/>
        <v>1</v>
      </c>
      <c r="EH116" s="373" t="str">
        <f>IFERROR(__xludf.DUMMYFUNCTION("CONCATENATE(JOIN("""",JC116:JO116))"),"Ni, ")</f>
        <v>Ni, </v>
      </c>
      <c r="EI116" s="322">
        <f t="shared" si="62"/>
        <v>0</v>
      </c>
      <c r="EJ116" s="374" t="str">
        <f>IFERROR(__xludf.DUMMYFUNCTION("CONCATENATE(JOIN("""",KC116:KO116))"),"")</f>
        <v/>
      </c>
      <c r="EK116" s="325" t="str">
        <f t="shared" si="63"/>
        <v>S-R2-G3-M1-P-D2-N3-S</v>
      </c>
      <c r="EL116" s="326" t="str">
        <f t="shared" si="64"/>
        <v>1-2-3-4-5-6-7-8</v>
      </c>
      <c r="EM116" s="318" t="str">
        <f t="shared" si="65"/>
        <v>#REF!</v>
      </c>
      <c r="EN116" s="328" t="str">
        <f>IFERROR(__xludf.DUMMYFUNCTION("SUBSTITUTE(SUBSTITUTE(SUBSTITUTE(SUBSTITUTE(CONCATENATE(JOIN("" "",HP116:IB116)),""  "","" ""),""  "","" ""),""  "","" ""),""  "","" "")"),"o • o • o o • o • o • o o")</f>
        <v>o • o • o o • o • o • o o</v>
      </c>
      <c r="EO116" s="368" t="str">
        <f t="shared" si="66"/>
        <v>-</v>
      </c>
      <c r="EP116" s="339" t="str">
        <f t="shared" si="67"/>
        <v>-</v>
      </c>
      <c r="EQ116" s="339" t="str">
        <f t="shared" si="68"/>
        <v>Sa-Pa</v>
      </c>
      <c r="ER116" s="339" t="str">
        <f t="shared" si="69"/>
        <v>-</v>
      </c>
      <c r="ES116" s="340" t="str">
        <f t="shared" si="70"/>
        <v>-</v>
      </c>
      <c r="ET116" s="363"/>
      <c r="EU116" s="376" t="b">
        <f>IFERROR(__xludf.DUMMYFUNCTION("arrayformula(sum(--REGEXMATCH(""SRGMPDNS"",split(REGEXREPLACE(C116,""(.)"",""$1~""),""~""))))=len(C116)
"),FALSE)</f>
        <v>0</v>
      </c>
      <c r="EV116" s="290" t="b">
        <f>IFERROR(__xludf.DUMMYFUNCTION("arrayformula(sum(--REGEXMATCH(""SRGmPDNS"",split(REGEXREPLACE(C116,""(.)"",""$1~""),""~""))))=len(C116)"),TRUE)</f>
        <v>1</v>
      </c>
      <c r="EW116" s="290" t="b">
        <f>IFERROR(__xludf.DUMMYFUNCTION("arrayformula(sum(--REGEXMATCH(""SRGmPDnS"",split(REGEXREPLACE(C116,""(.)"",""$1~""),""~""))))=len(C116)"),FALSE)</f>
        <v>0</v>
      </c>
      <c r="EX116" s="290" t="b">
        <f>IFERROR(__xludf.DUMMYFUNCTION("arrayformula(sum(--REGEXMATCH(""SRgmPDnS"",split(REGEXREPLACE(C116,""(.)"",""$1~""),""~""))))=len(C116)"),FALSE)</f>
        <v>0</v>
      </c>
      <c r="EY116" s="290" t="b">
        <f>IFERROR(__xludf.DUMMYFUNCTION("arrayformula(sum(--REGEXMATCH(""SRgmPdnS"",split(REGEXREPLACE(C116,""(.)"",""$1~""),""~""))))=len(C116)"),FALSE)</f>
        <v>0</v>
      </c>
      <c r="EZ116" s="290" t="b">
        <f>IFERROR(__xludf.DUMMYFUNCTION("arrayformula(sum(--REGEXMATCH(""SrgmPdnS"",split(REGEXREPLACE(C116,""(.)"",""$1~""),""~""))))=len(C116)"),FALSE)</f>
        <v>0</v>
      </c>
      <c r="FA116" s="290" t="b">
        <f>IFERROR(__xludf.DUMMYFUNCTION("arrayformula(sum(--REGEXMATCH(""SrGmPdNS"",split(REGEXREPLACE(C116,""(.)"",""$1~""),""~""))))=len(C116)"),FALSE)</f>
        <v>0</v>
      </c>
      <c r="FB116" s="290" t="b">
        <f>IFERROR(__xludf.DUMMYFUNCTION("arrayformula(sum(--REGEXMATCH(""SrGMPDNS"",split(REGEXREPLACE(C116,""(.)"",""$1~""),""~""))))=len(C116)"),FALSE)</f>
        <v>0</v>
      </c>
      <c r="FC116" s="290" t="b">
        <f>IFERROR(__xludf.DUMMYFUNCTION("arrayformula(sum(--REGEXMATCH(""SrGMPdNS"",split(REGEXREPLACE(C116,""(.)"",""$1~""),""~""))))=len(C116)"),FALSE)</f>
        <v>0</v>
      </c>
      <c r="FD116" s="377" t="b">
        <f>IFERROR(__xludf.DUMMYFUNCTION("arrayformula(sum(--REGEXMATCH(""SrgMPdNS"",split(REGEXREPLACE(C116,""(.)"",""$1~""),""~""))))=len(C116)"),FALSE)</f>
        <v>0</v>
      </c>
      <c r="FE116" s="269" t="str">
        <f t="shared" si="71"/>
        <v>-</v>
      </c>
      <c r="FF116" s="269" t="str">
        <f t="shared" si="72"/>
        <v>xoxxoxoxoxx</v>
      </c>
      <c r="FG116" s="271" t="str">
        <f t="shared" si="73"/>
        <v>-</v>
      </c>
      <c r="FH116" s="269" t="str">
        <f t="shared" si="74"/>
        <v>xxoxoxoxxox</v>
      </c>
      <c r="FI116" s="271" t="str">
        <f t="shared" si="75"/>
        <v>xoxoxoxxoxo</v>
      </c>
      <c r="FJ116" s="271" t="str">
        <f t="shared" si="76"/>
        <v>-</v>
      </c>
      <c r="FK116" s="271" t="str">
        <f t="shared" si="77"/>
        <v>xoxoxxoxoxx</v>
      </c>
      <c r="FL116" s="271" t="str">
        <f t="shared" si="78"/>
        <v>-</v>
      </c>
      <c r="FM116" s="271" t="str">
        <f t="shared" si="79"/>
        <v>xoxxoxoxxox</v>
      </c>
      <c r="FN116" s="271" t="str">
        <f t="shared" si="80"/>
        <v>-</v>
      </c>
      <c r="FO116" s="274" t="str">
        <f t="shared" si="81"/>
        <v>xxoxoxxoxox</v>
      </c>
      <c r="FP116" s="234" t="str">
        <f t="shared" si="82"/>
        <v>|</v>
      </c>
      <c r="FQ116" s="236" t="str">
        <f t="shared" si="83"/>
        <v>-</v>
      </c>
      <c r="FR116" s="237" t="str">
        <f t="shared" si="84"/>
        <v>|</v>
      </c>
      <c r="FS116" s="236" t="str">
        <f t="shared" si="85"/>
        <v>-</v>
      </c>
      <c r="FT116" s="237" t="str">
        <f t="shared" si="86"/>
        <v>|</v>
      </c>
      <c r="FU116" s="236" t="str">
        <f t="shared" si="87"/>
        <v>|</v>
      </c>
      <c r="FV116" s="237" t="str">
        <f t="shared" si="88"/>
        <v>-</v>
      </c>
      <c r="FW116" s="236" t="str">
        <f t="shared" si="89"/>
        <v>|</v>
      </c>
      <c r="FX116" s="237" t="str">
        <f t="shared" si="90"/>
        <v>-</v>
      </c>
      <c r="FY116" s="236" t="str">
        <f t="shared" si="91"/>
        <v>|</v>
      </c>
      <c r="FZ116" s="237" t="str">
        <f t="shared" si="92"/>
        <v>-</v>
      </c>
      <c r="GA116" s="236" t="str">
        <f t="shared" si="93"/>
        <v>|</v>
      </c>
      <c r="GB116" s="238" t="str">
        <f t="shared" si="94"/>
        <v>|</v>
      </c>
      <c r="GC116" s="244" t="str">
        <f>IFERROR(__xludf.DUMMYFUNCTION("IF(REGEXMATCH(C116, ""S""), ""1"","""")"),"1")</f>
        <v>1</v>
      </c>
      <c r="GD116" s="245" t="str">
        <f>IFERROR(__xludf.DUMMYFUNCTION("IF(REGEXMATCH(C116, ""r""), ""b2"","""")"),"")</f>
        <v/>
      </c>
      <c r="GE116" s="246" t="str">
        <f>IFERROR(__xludf.DUMMYFUNCTION("IF(REGEXMATCH(C116, ""R""), ""2"","""")"),"2")</f>
        <v>2</v>
      </c>
      <c r="GF116" s="246" t="str">
        <f>IFERROR(__xludf.DUMMYFUNCTION("IF(REGEXMATCH(C116, ""g""), ""b3"","""")"),"")</f>
        <v/>
      </c>
      <c r="GG116" s="245" t="str">
        <f>IFERROR(__xludf.DUMMYFUNCTION("IF(REGEXMATCH(C116, ""G""), ""3"","""")"),"3")</f>
        <v>3</v>
      </c>
      <c r="GH116" s="245" t="str">
        <f>IFERROR(__xludf.DUMMYFUNCTION("IF(REGEXMATCH(C116, ""m""), ""4"","""")"),"4")</f>
        <v>4</v>
      </c>
      <c r="GI116" s="246" t="str">
        <f>IFERROR(__xludf.DUMMYFUNCTION("IF(REGEXMATCH(C116, ""M""), ""#4"","""")"),"")</f>
        <v/>
      </c>
      <c r="GJ116" s="245" t="str">
        <f>IFERROR(__xludf.DUMMYFUNCTION("IF(REGEXMATCH(C116, ""P""), ""5"","""")"),"5")</f>
        <v>5</v>
      </c>
      <c r="GK116" s="246" t="str">
        <f>IFERROR(__xludf.DUMMYFUNCTION("IF(REGEXMATCH(C116, ""d""), ""b6"","""")"),"")</f>
        <v/>
      </c>
      <c r="GL116" s="245" t="str">
        <f>IFERROR(__xludf.DUMMYFUNCTION("IF(REGEXMATCH(C116, ""D""), ""6"","""")"),"6")</f>
        <v>6</v>
      </c>
      <c r="GM116" s="245" t="str">
        <f>IFERROR(__xludf.DUMMYFUNCTION("IF(REGEXMATCH(C116, ""n""), ""b7"","""")"),"")</f>
        <v/>
      </c>
      <c r="GN116" s="246" t="str">
        <f>IFERROR(__xludf.DUMMYFUNCTION("IF(REGEXMATCH(C116, ""N""), ""7"","""")"),"7")</f>
        <v>7</v>
      </c>
      <c r="GO116" s="249" t="str">
        <f>IFERROR(__xludf.DUMMYFUNCTION("IF(REGEXMATCH(C116, ""S""), ""8"","""")"),"8")</f>
        <v>8</v>
      </c>
      <c r="GP116" s="244" t="str">
        <f>IFERROR(__xludf.DUMMYFUNCTION("IF(REGEXMATCH(C116, ""S""), ""S"","""")"),"S")</f>
        <v>S</v>
      </c>
      <c r="GQ116" s="294" t="str">
        <f>IFERROR(__xludf.DUMMYFUNCTION("IF(REGEXMATCH(C116, ""r""), ""R1"","""")"),"")</f>
        <v/>
      </c>
      <c r="GR116" s="295" t="str">
        <f>IFERROR(__xludf.DUMMYFUNCTION("IF(REGEXMATCH(C116, ""R""), ""R2"","""")"),"R2")</f>
        <v>R2</v>
      </c>
      <c r="GS116" s="295" t="str">
        <f>IFERROR(__xludf.DUMMYFUNCTION("IF(REGEXMATCH(C116, ""g""), ""G2"","""")"),"")</f>
        <v/>
      </c>
      <c r="GT116" s="294" t="str">
        <f>IFERROR(__xludf.DUMMYFUNCTION("IF(REGEXMATCH(C116, ""G""), ""G3"","""")"),"G3")</f>
        <v>G3</v>
      </c>
      <c r="GU116" s="294" t="str">
        <f>IFERROR(__xludf.DUMMYFUNCTION("IF(REGEXMATCH(C116, ""m""), ""M1"","""")"),"M1")</f>
        <v>M1</v>
      </c>
      <c r="GV116" s="295" t="str">
        <f>IFERROR(__xludf.DUMMYFUNCTION("IF(REGEXMATCH(C116, ""M""), ""M2"","""")"),"")</f>
        <v/>
      </c>
      <c r="GW116" s="294" t="str">
        <f>IFERROR(__xludf.DUMMYFUNCTION("IF(REGEXMATCH(C116, ""P""), ""P"","""")"),"P")</f>
        <v>P</v>
      </c>
      <c r="GX116" s="295" t="str">
        <f>IFERROR(__xludf.DUMMYFUNCTION("IF(REGEXMATCH(C116, ""d""), ""D1"","""")"),"")</f>
        <v/>
      </c>
      <c r="GY116" s="294" t="str">
        <f>IFERROR(__xludf.DUMMYFUNCTION("IF(REGEXMATCH(C116, ""D""), ""D2"","""")"),"D2")</f>
        <v>D2</v>
      </c>
      <c r="GZ116" s="294" t="str">
        <f>IFERROR(__xludf.DUMMYFUNCTION("IF(REGEXMATCH(C116, ""n""), ""N2"","""")"),"")</f>
        <v/>
      </c>
      <c r="HA116" s="295" t="str">
        <f>IFERROR(__xludf.DUMMYFUNCTION("IF(REGEXMATCH(C116, ""N""), ""N3"","""")"),"N3")</f>
        <v>N3</v>
      </c>
      <c r="HB116" s="249" t="str">
        <f>IFERROR(__xludf.DUMMYFUNCTION("IF(REGEXMATCH(C116, ""S""), ""S"","""")"),"S")</f>
        <v>S</v>
      </c>
      <c r="HC116" s="331" t="str">
        <f t="shared" si="95"/>
        <v>S</v>
      </c>
      <c r="HD116" s="332" t="str">
        <f t="shared" si="96"/>
        <v>r</v>
      </c>
      <c r="HE116" s="332" t="str">
        <f t="shared" si="97"/>
        <v/>
      </c>
      <c r="HF116" s="332" t="str">
        <f t="shared" si="98"/>
        <v>g</v>
      </c>
      <c r="HG116" s="332" t="str">
        <f t="shared" si="99"/>
        <v/>
      </c>
      <c r="HH116" s="332" t="str">
        <f t="shared" si="100"/>
        <v>m</v>
      </c>
      <c r="HI116" s="332" t="str">
        <f t="shared" si="101"/>
        <v/>
      </c>
      <c r="HJ116" s="332" t="str">
        <f t="shared" si="102"/>
        <v>P</v>
      </c>
      <c r="HK116" s="332" t="str">
        <f t="shared" si="103"/>
        <v>d</v>
      </c>
      <c r="HL116" s="332" t="str">
        <f t="shared" si="104"/>
        <v/>
      </c>
      <c r="HM116" s="332" t="str">
        <f t="shared" si="105"/>
        <v>n</v>
      </c>
      <c r="HN116" s="332" t="str">
        <f t="shared" si="106"/>
        <v/>
      </c>
      <c r="HO116" s="343" t="str">
        <f t="shared" si="107"/>
        <v>S</v>
      </c>
      <c r="HP116" s="331" t="str">
        <f t="shared" si="108"/>
        <v>o</v>
      </c>
      <c r="HQ116" s="332" t="str">
        <f t="shared" si="109"/>
        <v>•</v>
      </c>
      <c r="HR116" s="332" t="str">
        <f t="shared" si="110"/>
        <v>o</v>
      </c>
      <c r="HS116" s="332" t="str">
        <f t="shared" si="111"/>
        <v>•</v>
      </c>
      <c r="HT116" s="332" t="str">
        <f t="shared" si="112"/>
        <v>o</v>
      </c>
      <c r="HU116" s="332" t="str">
        <f t="shared" si="113"/>
        <v>o</v>
      </c>
      <c r="HV116" s="332" t="str">
        <f t="shared" si="114"/>
        <v>•</v>
      </c>
      <c r="HW116" s="332" t="str">
        <f t="shared" si="115"/>
        <v>o</v>
      </c>
      <c r="HX116" s="332" t="str">
        <f t="shared" si="116"/>
        <v>•</v>
      </c>
      <c r="HY116" s="332" t="str">
        <f t="shared" si="117"/>
        <v>o</v>
      </c>
      <c r="HZ116" s="332" t="str">
        <f t="shared" si="118"/>
        <v>•</v>
      </c>
      <c r="IA116" s="332" t="str">
        <f t="shared" si="119"/>
        <v>o</v>
      </c>
      <c r="IB116" s="338" t="str">
        <f t="shared" si="120"/>
        <v>o</v>
      </c>
      <c r="IC116" s="331" t="str">
        <f t="shared" si="121"/>
        <v>•</v>
      </c>
      <c r="ID116" s="332" t="str">
        <f t="shared" si="122"/>
        <v>o</v>
      </c>
      <c r="IE116" s="332" t="str">
        <f t="shared" si="123"/>
        <v>•</v>
      </c>
      <c r="IF116" s="332" t="str">
        <f t="shared" si="124"/>
        <v>o</v>
      </c>
      <c r="IG116" s="332" t="str">
        <f t="shared" si="125"/>
        <v>•</v>
      </c>
      <c r="IH116" s="332" t="str">
        <f t="shared" si="126"/>
        <v>•</v>
      </c>
      <c r="II116" s="332" t="str">
        <f t="shared" si="127"/>
        <v>o</v>
      </c>
      <c r="IJ116" s="332" t="str">
        <f t="shared" si="128"/>
        <v>•</v>
      </c>
      <c r="IK116" s="332" t="str">
        <f t="shared" si="129"/>
        <v>o</v>
      </c>
      <c r="IL116" s="332" t="str">
        <f t="shared" si="130"/>
        <v>•</v>
      </c>
      <c r="IM116" s="332" t="str">
        <f t="shared" si="131"/>
        <v>o</v>
      </c>
      <c r="IN116" s="332" t="str">
        <f t="shared" si="132"/>
        <v>•</v>
      </c>
      <c r="IO116" s="338" t="str">
        <f t="shared" si="133"/>
        <v>•</v>
      </c>
      <c r="IP116" s="346" t="b">
        <f t="shared" si="134"/>
        <v>0</v>
      </c>
      <c r="IQ116" s="347" t="b">
        <f t="shared" si="135"/>
        <v>0</v>
      </c>
      <c r="IR116" s="347" t="b">
        <f t="shared" si="136"/>
        <v>0</v>
      </c>
      <c r="IS116" s="347" t="b">
        <f t="shared" si="137"/>
        <v>0</v>
      </c>
      <c r="IT116" s="347" t="b">
        <f t="shared" si="138"/>
        <v>0</v>
      </c>
      <c r="IU116" s="347" t="b">
        <f t="shared" si="139"/>
        <v>0</v>
      </c>
      <c r="IV116" s="347" t="b">
        <f t="shared" si="140"/>
        <v>0</v>
      </c>
      <c r="IW116" s="347" t="b">
        <f t="shared" si="141"/>
        <v>0</v>
      </c>
      <c r="IX116" s="347" t="b">
        <f t="shared" si="142"/>
        <v>0</v>
      </c>
      <c r="IY116" s="347" t="b">
        <f t="shared" si="143"/>
        <v>0</v>
      </c>
      <c r="IZ116" s="347" t="b">
        <f t="shared" si="144"/>
        <v>0</v>
      </c>
      <c r="JA116" s="347" t="b">
        <f t="shared" si="145"/>
        <v>1</v>
      </c>
      <c r="JB116" s="353" t="b">
        <f t="shared" si="146"/>
        <v>0</v>
      </c>
      <c r="JC116" s="354" t="str">
        <f t="shared" si="147"/>
        <v/>
      </c>
      <c r="JD116" s="355" t="str">
        <f t="shared" si="148"/>
        <v/>
      </c>
      <c r="JE116" s="355" t="str">
        <f t="shared" si="149"/>
        <v/>
      </c>
      <c r="JF116" s="355" t="str">
        <f t="shared" si="150"/>
        <v/>
      </c>
      <c r="JG116" s="355" t="str">
        <f t="shared" si="151"/>
        <v/>
      </c>
      <c r="JH116" s="355" t="str">
        <f t="shared" si="152"/>
        <v/>
      </c>
      <c r="JI116" s="355" t="str">
        <f t="shared" si="153"/>
        <v/>
      </c>
      <c r="JJ116" s="355" t="str">
        <f t="shared" si="154"/>
        <v/>
      </c>
      <c r="JK116" s="355" t="str">
        <f t="shared" si="155"/>
        <v/>
      </c>
      <c r="JL116" s="355" t="str">
        <f t="shared" si="156"/>
        <v/>
      </c>
      <c r="JM116" s="355" t="str">
        <f t="shared" si="157"/>
        <v/>
      </c>
      <c r="JN116" s="355" t="str">
        <f t="shared" si="158"/>
        <v>Ni, </v>
      </c>
      <c r="JO116" s="359" t="str">
        <f t="shared" si="159"/>
        <v/>
      </c>
      <c r="JP116" s="346" t="b">
        <f t="shared" si="160"/>
        <v>0</v>
      </c>
      <c r="JQ116" s="347" t="b">
        <f t="shared" si="161"/>
        <v>0</v>
      </c>
      <c r="JR116" s="347" t="b">
        <f t="shared" si="162"/>
        <v>0</v>
      </c>
      <c r="JS116" s="347" t="b">
        <f t="shared" si="163"/>
        <v>0</v>
      </c>
      <c r="JT116" s="347" t="b">
        <f t="shared" si="164"/>
        <v>0</v>
      </c>
      <c r="JU116" s="347" t="b">
        <f t="shared" si="165"/>
        <v>0</v>
      </c>
      <c r="JV116" s="347" t="b">
        <f t="shared" si="166"/>
        <v>0</v>
      </c>
      <c r="JW116" s="347" t="b">
        <f t="shared" si="167"/>
        <v>0</v>
      </c>
      <c r="JX116" s="347" t="b">
        <f t="shared" si="168"/>
        <v>0</v>
      </c>
      <c r="JY116" s="347" t="b">
        <f t="shared" si="169"/>
        <v>0</v>
      </c>
      <c r="JZ116" s="347" t="b">
        <f t="shared" si="170"/>
        <v>0</v>
      </c>
      <c r="KA116" s="347" t="b">
        <f t="shared" si="171"/>
        <v>0</v>
      </c>
      <c r="KB116" s="365" t="b">
        <f t="shared" si="172"/>
        <v>0</v>
      </c>
      <c r="KC116" s="354" t="str">
        <f t="shared" si="173"/>
        <v/>
      </c>
      <c r="KD116" s="355" t="str">
        <f t="shared" si="174"/>
        <v/>
      </c>
      <c r="KE116" s="355" t="str">
        <f t="shared" si="175"/>
        <v/>
      </c>
      <c r="KF116" s="355" t="str">
        <f t="shared" si="176"/>
        <v/>
      </c>
      <c r="KG116" s="355" t="str">
        <f t="shared" si="177"/>
        <v/>
      </c>
      <c r="KH116" s="355" t="str">
        <f t="shared" si="178"/>
        <v/>
      </c>
      <c r="KI116" s="355" t="str">
        <f t="shared" si="179"/>
        <v/>
      </c>
      <c r="KJ116" s="355" t="str">
        <f t="shared" si="180"/>
        <v/>
      </c>
      <c r="KK116" s="355" t="str">
        <f t="shared" si="181"/>
        <v/>
      </c>
      <c r="KL116" s="355" t="str">
        <f t="shared" si="182"/>
        <v/>
      </c>
      <c r="KM116" s="355" t="str">
        <f t="shared" si="183"/>
        <v/>
      </c>
      <c r="KN116" s="355" t="str">
        <f t="shared" si="184"/>
        <v/>
      </c>
      <c r="KO116" s="359"/>
      <c r="KP116" s="378"/>
      <c r="KQ116" s="379" t="s">
        <v>9</v>
      </c>
      <c r="KR116" s="380" t="s">
        <v>9</v>
      </c>
      <c r="KS116" s="381" t="s">
        <v>9</v>
      </c>
      <c r="KT116" s="382">
        <f t="shared" si="186"/>
        <v>0</v>
      </c>
      <c r="KU116" s="383">
        <f t="shared" si="187"/>
        <v>0</v>
      </c>
      <c r="KV116" s="381" t="str">
        <f t="shared" si="205"/>
        <v>S</v>
      </c>
      <c r="KW116" s="382">
        <f t="shared" si="189"/>
        <v>0</v>
      </c>
      <c r="KX116" s="384">
        <f t="shared" si="190"/>
        <v>0</v>
      </c>
      <c r="KY116" s="382">
        <f t="shared" ref="KY116:KZ116" si="435">KW116-KT116</f>
        <v>0</v>
      </c>
      <c r="KZ116" s="369">
        <f t="shared" si="435"/>
        <v>0</v>
      </c>
      <c r="LA116" s="385" t="str">
        <f t="shared" si="192"/>
        <v>✔</v>
      </c>
      <c r="LB116" s="340" t="str">
        <f>IFERROR(__xludf.DUMMYFUNCTION("JOIN("""",ArrayFormula(MID(KS116,LEN(KS116)-SEQUENCE(1,LEN(KS116))+1,1)))"),"S")</f>
        <v>S</v>
      </c>
      <c r="LC116" s="373" t="str">
        <f>IFERROR(__xludf.DUMMYFUNCTION("JOIN("""",ArrayFormula(MID(KV116,LEN(KV116)-SEQUENCE(1,LEN(KV116))+1,1)))"),"S")</f>
        <v>S</v>
      </c>
      <c r="LD116" s="373" t="str">
        <f t="shared" si="193"/>
        <v>S</v>
      </c>
      <c r="LE116" s="339" t="str">
        <f t="shared" si="194"/>
        <v>S</v>
      </c>
      <c r="LF116" s="386" t="str">
        <f>IFERROR(__xludf.DUMMYFUNCTION("SUBSTITUTE(SUBSTITUTE(CONCATENATE(JOIN("""",LH116:LT116)),""1"",""""),""2"","""")"),"SS")</f>
        <v>SS</v>
      </c>
      <c r="LG116" s="369" t="str">
        <f t="shared" si="195"/>
        <v>-</v>
      </c>
      <c r="LH116" s="387" t="str">
        <f>IFERROR(__xludf.DUMMYFUNCTION("IF(REGEXMATCH(LD116, ""S""), ""S"",IF(REGEXMATCH(LE116, ""S""), ""S"",""""))"),"S")</f>
        <v>S</v>
      </c>
      <c r="LI116" s="299" t="str">
        <f>IFERROR(__xludf.DUMMYFUNCTION("IF(REGEXMATCH(LD116, ""r""), ""r1"",IF(REGEXMATCH(LE116, ""r""), ""r2"",""""))"),"")</f>
        <v/>
      </c>
      <c r="LJ116" s="299" t="str">
        <f>IFERROR(__xludf.DUMMYFUNCTION("IF(REGEXMATCH(LD116, ""R""), ""R1"",IF(REGEXMATCH(LE116, ""R""), ""R2"",""""))"),"")</f>
        <v/>
      </c>
      <c r="LK116" s="299" t="str">
        <f>IFERROR(__xludf.DUMMYFUNCTION("IF(REGEXMATCH(LD116, ""g""), ""g1"",IF(REGEXMATCH(LE116, ""g""), ""g2"",""""))"),"")</f>
        <v/>
      </c>
      <c r="LL116" s="299" t="str">
        <f>IFERROR(__xludf.DUMMYFUNCTION("IF(REGEXMATCH(LD116, ""G""), ""G1"",IF(REGEXMATCH(LE116, ""G""), ""G2"",""""))"),"")</f>
        <v/>
      </c>
      <c r="LM116" s="299" t="str">
        <f>IFERROR(__xludf.DUMMYFUNCTION("IF(REGEXMATCH(LD116, ""m""), ""m1"",IF(REGEXMATCH(LE116, ""m""), ""m2"",""""))"),"")</f>
        <v/>
      </c>
      <c r="LN116" s="299" t="str">
        <f>IFERROR(__xludf.DUMMYFUNCTION("IF(REGEXMATCH(LD116, ""M""), ""M1"",IF(REGEXMATCH(LE116, ""M""), ""M2"",""""))"),"")</f>
        <v/>
      </c>
      <c r="LO116" s="299" t="str">
        <f>IFERROR(__xludf.DUMMYFUNCTION("IF(REGEXMATCH(LD116, ""P""), ""P1"",IF(REGEXMATCH(LE116, ""P""), ""P2"",""""))"),"")</f>
        <v/>
      </c>
      <c r="LP116" s="299" t="str">
        <f>IFERROR(__xludf.DUMMYFUNCTION("IF(REGEXMATCH(LD116, ""d""), ""d1"",IF(REGEXMATCH(LE116, ""d""), ""d2"",""""))"),"")</f>
        <v/>
      </c>
      <c r="LQ116" s="299" t="str">
        <f>IFERROR(__xludf.DUMMYFUNCTION("IF(REGEXMATCH(LD116, ""D""), ""D1"",IF(REGEXMATCH(LE116, ""D""), ""D2"",""""))"),"")</f>
        <v/>
      </c>
      <c r="LR116" s="299" t="str">
        <f>IFERROR(__xludf.DUMMYFUNCTION("IF(REGEXMATCH(LD116, ""n""), ""n1"",IF(REGEXMATCH(LE116, ""n""), ""n2"",""""))"),"")</f>
        <v/>
      </c>
      <c r="LS116" s="299" t="str">
        <f>IFERROR(__xludf.DUMMYFUNCTION("IF(REGEXMATCH(LD116, ""N""), ""N1"",IF(REGEXMATCH(LE116, ""N""), ""N2"",""""))"),"")</f>
        <v/>
      </c>
      <c r="LT116" s="388" t="str">
        <f>IFERROR(__xludf.DUMMYFUNCTION("IF(REGEXMATCH(LD116, ""S""), ""S"",IF(REGEXMATCH(LE116, ""S""), ""S"",""""))"),"S")</f>
        <v>S</v>
      </c>
      <c r="LU116" s="389">
        <f t="shared" si="196"/>
        <v>1</v>
      </c>
      <c r="LV116" s="378"/>
      <c r="LW116" s="369"/>
      <c r="LX116" s="369"/>
    </row>
    <row r="117" ht="18.0" customHeight="1">
      <c r="A117" s="298" t="s">
        <v>743</v>
      </c>
      <c r="B117" s="222" t="s">
        <v>530</v>
      </c>
      <c r="C117" s="233" t="str">
        <f t="shared" si="7"/>
        <v>SRGmPDnNS</v>
      </c>
      <c r="D117" s="234" t="str">
        <f>IFERROR(__xludf.DUMMYFUNCTION("IF(REGEXMATCH(C117, ""S""), ""S"","""")"),"S")</f>
        <v>S</v>
      </c>
      <c r="E117" s="236" t="str">
        <f>IFERROR(__xludf.DUMMYFUNCTION("IF(REGEXMATCH(C117, ""r""), ""r"","""")"),"")</f>
        <v/>
      </c>
      <c r="F117" s="237" t="str">
        <f>IFERROR(__xludf.DUMMYFUNCTION("IF(REGEXMATCH(C117, ""R""), ""R"","""")"),"R")</f>
        <v>R</v>
      </c>
      <c r="G117" s="237" t="str">
        <f>IFERROR(__xludf.DUMMYFUNCTION("IF(REGEXMATCH(C117, ""g""), ""g"","""")"),"")</f>
        <v/>
      </c>
      <c r="H117" s="236" t="str">
        <f>IFERROR(__xludf.DUMMYFUNCTION("IF(REGEXMATCH(C117, ""G""), ""G"","""")"),"G")</f>
        <v>G</v>
      </c>
      <c r="I117" s="236" t="str">
        <f>IFERROR(__xludf.DUMMYFUNCTION("IF(REGEXMATCH(C117, ""m""), ""m"","""")"),"m")</f>
        <v>m</v>
      </c>
      <c r="J117" s="237" t="str">
        <f>IFERROR(__xludf.DUMMYFUNCTION("IF(REGEXMATCH(C117, ""M""), ""M"","""")"),"")</f>
        <v/>
      </c>
      <c r="K117" s="236" t="str">
        <f>IFERROR(__xludf.DUMMYFUNCTION("IF(REGEXMATCH(C117, ""P""), ""P"","""")"),"P")</f>
        <v>P</v>
      </c>
      <c r="L117" s="237" t="str">
        <f>IFERROR(__xludf.DUMMYFUNCTION("IF(REGEXMATCH(C117, ""d""), ""d"","""")"),"")</f>
        <v/>
      </c>
      <c r="M117" s="236" t="str">
        <f>IFERROR(__xludf.DUMMYFUNCTION("IF(REGEXMATCH(C117, ""D""), ""D"","""")"),"D")</f>
        <v>D</v>
      </c>
      <c r="N117" s="236" t="str">
        <f>IFERROR(__xludf.DUMMYFUNCTION("IF(REGEXMATCH(C117, ""n""), ""n"","""")"),"n")</f>
        <v>n</v>
      </c>
      <c r="O117" s="237" t="str">
        <f>IFERROR(__xludf.DUMMYFUNCTION("IF(REGEXMATCH(C117, ""N""), ""N"","""")"),"N")</f>
        <v>N</v>
      </c>
      <c r="P117" s="238" t="str">
        <f>IFERROR(__xludf.DUMMYFUNCTION("IF(REGEXMATCH(C117, ""S""), ""S"","""")"),"S")</f>
        <v>S</v>
      </c>
      <c r="Q117" s="239" t="str">
        <f>IFERROR(__xludf.DUMMYFUNCTION("SUBSTITUTE(CONCATENATE(JOIN(""-"",D117:J117)),""-"","""")"),"SRGm")</f>
        <v>SRGm</v>
      </c>
      <c r="R117" s="229" t="str">
        <f>IFERROR(__xludf.DUMMYFUNCTION("SUBSTITUTE(CONCATENATE(JOIN(""-"",K117:P117)),""-"","""")"),"PDnNS")</f>
        <v>PDnNS</v>
      </c>
      <c r="S117" s="282" t="str">
        <f t="shared" si="8"/>
        <v>S-R-G-M</v>
      </c>
      <c r="T117" s="282" t="str">
        <f t="shared" si="9"/>
        <v>P-D-N-S</v>
      </c>
      <c r="U117" s="237" t="str">
        <f>IFERROR(__xludf.DUMMYFUNCTION("SUBSTITUTE(JOIN(""-"",S117,T117),""--"",""-"")"),"S-R-G-M-P-D-N-S")</f>
        <v>S-R-G-M-P-D-N-S</v>
      </c>
      <c r="V117" s="309" t="str">
        <f t="shared" si="10"/>
        <v>RGmDnN</v>
      </c>
      <c r="W117" s="244" t="str">
        <f>IFERROR(__xludf.DUMMYFUNCTION("IF(REGEXMATCH(C117, ""S""), ""0"","""")"),"0")</f>
        <v>0</v>
      </c>
      <c r="X117" s="245" t="str">
        <f>IFERROR(__xludf.DUMMYFUNCTION("IF(REGEXMATCH(C117, ""r""), ""1"","""")"),"")</f>
        <v/>
      </c>
      <c r="Y117" s="246" t="str">
        <f>IFERROR(__xludf.DUMMYFUNCTION("IF(REGEXMATCH(C117, ""R""), ""2"","""")"),"2")</f>
        <v>2</v>
      </c>
      <c r="Z117" s="246" t="str">
        <f>IFERROR(__xludf.DUMMYFUNCTION("IF(REGEXMATCH(C117, ""g""), ""3"","""")"),"")</f>
        <v/>
      </c>
      <c r="AA117" s="245" t="str">
        <f>IFERROR(__xludf.DUMMYFUNCTION("IF(REGEXMATCH(C117, ""G""), ""4"","""")"),"4")</f>
        <v>4</v>
      </c>
      <c r="AB117" s="245" t="str">
        <f>IFERROR(__xludf.DUMMYFUNCTION("IF(REGEXMATCH(C117, ""m""), ""5"","""")"),"5")</f>
        <v>5</v>
      </c>
      <c r="AC117" s="246" t="str">
        <f>IFERROR(__xludf.DUMMYFUNCTION("IF(REGEXMATCH(C117, ""M""), ""6"","""")"),"")</f>
        <v/>
      </c>
      <c r="AD117" s="245" t="str">
        <f>IFERROR(__xludf.DUMMYFUNCTION("IF(REGEXMATCH(C117, ""P""), ""7"","""")"),"7")</f>
        <v>7</v>
      </c>
      <c r="AE117" s="246" t="str">
        <f>IFERROR(__xludf.DUMMYFUNCTION("IF(REGEXMATCH(C117, ""d""), ""8"","""")"),"")</f>
        <v/>
      </c>
      <c r="AF117" s="245" t="str">
        <f>IFERROR(__xludf.DUMMYFUNCTION("IF(REGEXMATCH(C117, ""D""), ""9"","""")"),"9")</f>
        <v>9</v>
      </c>
      <c r="AG117" s="245" t="str">
        <f>IFERROR(__xludf.DUMMYFUNCTION("IF(REGEXMATCH(C117, ""n""), ""10"","""")"),"10")</f>
        <v>10</v>
      </c>
      <c r="AH117" s="246" t="str">
        <f>IFERROR(__xludf.DUMMYFUNCTION("IF(REGEXMATCH(C117, ""N""), ""11"","""")"),"11")</f>
        <v>11</v>
      </c>
      <c r="AI117" s="249" t="str">
        <f>IFERROR(__xludf.DUMMYFUNCTION("IF(REGEXMATCH(C117, ""S""), ""0"","""")"),"0")</f>
        <v>0</v>
      </c>
      <c r="AJ117" s="313" t="str">
        <f t="shared" si="11"/>
        <v>-</v>
      </c>
      <c r="AK117" s="313" t="str">
        <f t="shared" si="12"/>
        <v>-</v>
      </c>
      <c r="AL117" s="313" t="str">
        <f t="shared" si="13"/>
        <v>-</v>
      </c>
      <c r="AM117" s="313" t="str">
        <f t="shared" si="14"/>
        <v>-</v>
      </c>
      <c r="AN117" s="313" t="str">
        <f t="shared" si="15"/>
        <v>T</v>
      </c>
      <c r="AO117" s="314" t="str">
        <f t="shared" si="16"/>
        <v>T</v>
      </c>
      <c r="AP117" s="316">
        <f t="shared" si="17"/>
        <v>2</v>
      </c>
      <c r="AQ117" s="319" t="str">
        <f t="shared" si="18"/>
        <v>-</v>
      </c>
      <c r="AR117" s="320">
        <f t="shared" si="19"/>
        <v>0</v>
      </c>
      <c r="AS117" s="250" t="str">
        <f>IFERROR(__xludf.DUMMYFUNCTION("SUBSTITUTE(SUBSTITUTE(CONCATENATE(JOIN("""",FP117:GA117)),""|"",""x""),""-"",""o"")"),"xoxoxxoxoxxx")</f>
        <v>xoxoxxoxoxxx</v>
      </c>
      <c r="AT117" s="323" t="str">
        <f>IFERROR(__xludf.DUMMYFUNCTION("JOIN("""",AS117,AS117)"),"xoxoxxoxoxxxxoxoxxoxoxxx")</f>
        <v>xoxoxxoxoxxxxoxoxxoxoxxx</v>
      </c>
      <c r="AU117" s="256" t="str">
        <f>IFERROR(__xludf.DUMMYFUNCTION("JOIN("""",ArrayFormula(MID(AS117,LEN(AS117)-SEQUENCE(1,LEN(AS117))+1,1)))"),"xxxoxoxxoxox")</f>
        <v>xxxoxoxxoxox</v>
      </c>
      <c r="AV117" s="256" t="str">
        <f>IFERROR(__xludf.DUMMYFUNCTION("LEFT(CONCATENATE(""x"",JOIN("""",ArrayFormula(MID(AS117,LEN(AS117)-SEQUENCE(1,LEN(AS117))+1,1)))),12)"),"xxxxoxoxxoxo")</f>
        <v>xxxxoxoxxoxo</v>
      </c>
      <c r="AW117" s="327" t="str">
        <f>IFERROR(__xludf.DUMMYFUNCTION("JOIN("""",AU117,AU117)"),"xxxoxoxxoxoxxxxoxoxxoxox")</f>
        <v>xxxoxoxxoxoxxxxoxoxxoxox</v>
      </c>
      <c r="AX117" s="239" t="str">
        <f>IFERROR(__xludf.DUMMYFUNCTION("IF(REGEXMATCH(AW117,AS117),""✔"",""-"")"),"✔")</f>
        <v>✔</v>
      </c>
      <c r="AY117" s="330" t="str">
        <f t="shared" si="20"/>
        <v>-</v>
      </c>
      <c r="AZ117" s="260" t="str">
        <f t="shared" si="21"/>
        <v>#REF!</v>
      </c>
      <c r="BA117" s="333" t="str">
        <f t="shared" si="22"/>
        <v>xoxoxxo</v>
      </c>
      <c r="BB117" s="334" t="str">
        <f t="shared" si="23"/>
        <v>xoxxxx</v>
      </c>
      <c r="BC117" s="335" t="str">
        <f t="shared" si="236"/>
        <v>-</v>
      </c>
      <c r="BD117" s="336" t="str">
        <f t="shared" si="25"/>
        <v>Gaud Malhar: 'xoxoxxo' + 'xoxxxx'</v>
      </c>
      <c r="BE117" s="337">
        <f>IFERROR(__xludf.DUMMYFUNCTION("COUNTUNIQUE(FILTER(AT:AT,REGEXMATCH(AT:AT,AS117)))-1"),3.0)</f>
        <v>3</v>
      </c>
      <c r="BF117" s="261" t="str">
        <f>IFERROR(__xludf.DUMMYFUNCTION("IF(BI117=0,""(n/a)"",IF(BJ117=2,""(PAIR)"",IF(REGEXMATCH(AT117,""xoxoxxoxoxox""),""Bilawal"",IF(REGEXMATCH(AT117,""xoxoxooxoxoo""),""Bhupali"",IF(REGEXMATCH(AT117,""xoxoxxoxxoxo""),""Charukeshi"",IF(REGEXMATCH(AT117,""xoxoooxxoxxo""),""Kameshwari"",IF(REG"&amp;"EXMATCH(AT117,""xoxoxooxoxox""),""Shankara"",IF(REGEXMATCH(AT117,""xxooxoxxxoox""),""Basant"",IF(REGEXMATCH(AT117,""xoxoxxxxoxox""),""Bihag"",IF(REGEXMATCH(AT117,""xoxxxxoxoxxx""),""Pilu"",IF(REGEXMATCH(AT117,""xoxxoxoxxoox""),""Kirwani"",IF(REGEXMATCH(AT"&amp;"117,""xoxxoxoxoxxx""),""Mk.Malhar"",IF(REGEXMATCH(AT117,""xxooxxoxxoox""),""Bhairav"",IF(REGEXMATCH(AT117,""xxoxooxxxoox""),""Todi"",IF(REGEXMATCH(AT117,""xxooxoxooxox""),""Marwa"",IF(REGEXMATCH(AT117,""xxoooxoxxooo""),""Gunkali"",IF(REGEXMATCH(AT117,""xo"&amp;"xoxxoxxoox""),""Nat Bhairav"",IF(REGEXMATCH(AT117,""xoxxoooxoxoo""),""Shivranjani"",IF(REGEXMATCH(AT117,""xooxxxoxooxo""),""Jog"",IF(REGEXMATCH(AT117,""xxooxoxoxoox""),""Hemshri"",IF(REGEXMATCH(AT117,""xoooxooxoxxo""),""Kalavati"",IF(REGEXMATCH(AT117,""xx"&amp;"oxoxxoxoox""),""Kedar"",IF(REGEXMATCH(AT117,""xoxxxxoxooxx""),""Gara"",IF(REGEXMATCH(AT117,""xooxoxooxoox""),""Chandrakauns"",IF(REGEXMATCH(AT117,""xoxxxxoxxxox""),""Mand"",IF(REGEXMATCH(AT117,""xoxxxxoxoxox""),""Hanskinkini"",IF(REGEXMATCH(AT117,""xxooxx"&amp;"oxooxo""),""Lilavati"",IF(REGEXMATCH(AT117,""xooxoxoooxox""),""Rajeshwari"",IF(REGEXMATCH(AT117,""xoooxxoxoxxx""),""Khokar"",IF(REGEXMATCH(AT117,""xxooxoxxxxox""),""Maligoura"",""-""))))))))))))))))))))))))))))))"),"Bihag")</f>
        <v>Bihag</v>
      </c>
      <c r="BG117" s="239" t="str">
        <f t="shared" si="26"/>
        <v>#REF!</v>
      </c>
      <c r="BH117" s="239">
        <f>IFERROR(__xludf.DUMMYFUNCTION("COUNTUNIQUE(FE117:FO117)-1"),7.0)</f>
        <v>7</v>
      </c>
      <c r="BI117" s="239">
        <f>IFERROR(__xludf.DUMMYFUNCTION("COUNTUNIQUE(FILTER(AT:AT,REGEXMATCH(AT:AT,AS117)))-1"),3.0)</f>
        <v>3</v>
      </c>
      <c r="BJ117" s="239">
        <f>IFERROR(__xludf.DUMMYFUNCTION("COUNTA(FILTER(AT:AT,REGEXMATCH(AT:AT,AS117)))"),36.0)</f>
        <v>36</v>
      </c>
      <c r="BK117" s="341">
        <f>IFERROR(__xludf.DUMMYFUNCTION("COUNTA(FILTER(AT:AT,REGEXMATCH(AT:AT,AS117)))-AR117"),36.0)</f>
        <v>36</v>
      </c>
      <c r="BL117" s="276" t="str">
        <f>IFERROR(__xludf.DUMMYFUNCTION("IF(AS117=""oooooooooooo"",""-"",IF(REGEXMATCH(AT117,""xx""), ""Hemi."", ""Anhemi.""))"),"Hemi.")</f>
        <v>Hemi.</v>
      </c>
      <c r="BM117" s="282" t="str">
        <f>IFERROR(__xludf.DUMMYFUNCTION("IF(AS117=""oooooooooooo"",""-"",IF(REGEXMATCH(AT117,""xxx""), ""Cohem."", ""-""))"),"Cohem.")</f>
        <v>Cohem.</v>
      </c>
      <c r="BN117" s="282" t="str">
        <f>IFERROR(__xludf.DUMMYFUNCTION("IF(AS117=""oooooooooooo"",""-"",IF(REGEXMATCH(AT117,""xxxx""), ""Co-Co."", ""-""))"),"Co-Co.")</f>
        <v>Co-Co.</v>
      </c>
      <c r="BO117" s="342" t="str">
        <f>IFERROR(__xludf.DUMMYFUNCTION("IF(AS117=""oooooooooooo"",""-"",IF(REGEXMATCH(AT117,""xxxxx""), ""CCC."", ""-""))"),"-")</f>
        <v>-</v>
      </c>
      <c r="BP117" s="344" t="str">
        <f t="shared" si="27"/>
        <v>-</v>
      </c>
      <c r="BQ117" s="282" t="str">
        <f>IFERROR(__xludf.DUMMYFUNCTION("IF(REGEXMATCH(JOIN(""-"",EU117:FD117),""TRUE""),""✔"",""-"")"),"-")</f>
        <v>-</v>
      </c>
      <c r="BR117" s="225">
        <f t="shared" si="28"/>
        <v>0</v>
      </c>
      <c r="BS117" s="345" t="str">
        <f>IFERROR(__xludf.DUMMYFUNCTION("SUBSTITUTE(SUBSTITUTE(SUBSTITUTE(SUBSTITUTE(CONCATENATE(JOIN(""-"",GC117:GO117)),""--"",""-""),""--"",""-""),""--"",""-""),""--"",""-"")"),"1-2-3-4-5-6-b7-7-8")</f>
        <v>1-2-3-4-5-6-b7-7-8</v>
      </c>
      <c r="BT117" s="299" t="str">
        <f>IFERROR(__xludf.DUMMYFUNCTION("SUBSTITUTE(SUBSTITUTE(SUBSTITUTE(SUBSTITUTE(CONCATENATE(JOIN(""-"",GP117:HB117)),""--"",""-""),""--"",""-""),""--"",""-""),""--"",""-"")"),"S-R2-G3-M1-P-D2-N2-N3-S")</f>
        <v>S-R2-G3-M1-P-D2-N2-N3-S</v>
      </c>
      <c r="BU117" s="348" t="str">
        <f t="shared" si="29"/>
        <v>C-D-E-F-G-A-Bb-B-C</v>
      </c>
      <c r="BV117" s="349" t="str">
        <f t="shared" si="30"/>
        <v>SrgMdS</v>
      </c>
      <c r="BW117" s="350">
        <f t="shared" si="31"/>
        <v>1</v>
      </c>
      <c r="BX117" s="351">
        <f t="shared" si="32"/>
        <v>15</v>
      </c>
      <c r="BY117" s="392"/>
      <c r="BZ117" s="309" t="str">
        <f>IFERROR(__xludf.DUMMYFUNCTION("IF(REGEXMATCH(C117, ""S""), ""x"",""x"")"),"x")</f>
        <v>x</v>
      </c>
      <c r="CA117" s="245" t="str">
        <f>IFERROR(__xludf.DUMMYFUNCTION("IF(REGEXMATCH(C117, ""r""), ""o"",""x"")"),"x")</f>
        <v>x</v>
      </c>
      <c r="CB117" s="246" t="str">
        <f>IFERROR(__xludf.DUMMYFUNCTION("IF(REGEXMATCH(C117, ""R""), ""o"",""x"")"),"o")</f>
        <v>o</v>
      </c>
      <c r="CC117" s="246" t="str">
        <f>IFERROR(__xludf.DUMMYFUNCTION("IF(REGEXMATCH(C117, ""g""), ""o"",""x"")"),"x")</f>
        <v>x</v>
      </c>
      <c r="CD117" s="245" t="str">
        <f>IFERROR(__xludf.DUMMYFUNCTION("IF(REGEXMATCH(C117, ""G""), ""o"",""x"")"),"o")</f>
        <v>o</v>
      </c>
      <c r="CE117" s="245" t="str">
        <f>IFERROR(__xludf.DUMMYFUNCTION("IF(REGEXMATCH(C117, ""m""), ""o"",""x"")"),"o")</f>
        <v>o</v>
      </c>
      <c r="CF117" s="246" t="str">
        <f>IFERROR(__xludf.DUMMYFUNCTION("IF(REGEXMATCH(C117, ""M""), ""o"",""x"")"),"x")</f>
        <v>x</v>
      </c>
      <c r="CG117" s="245" t="str">
        <f>IFERROR(__xludf.DUMMYFUNCTION("IF(REGEXMATCH(C117, ""P""), ""o"",""x"")"),"o")</f>
        <v>o</v>
      </c>
      <c r="CH117" s="246" t="str">
        <f>IFERROR(__xludf.DUMMYFUNCTION("IF(REGEXMATCH(C117, ""d""), ""o"",""x"")"),"x")</f>
        <v>x</v>
      </c>
      <c r="CI117" s="245" t="str">
        <f>IFERROR(__xludf.DUMMYFUNCTION("IF(REGEXMATCH(C117, ""D""), ""o"",""x"")"),"o")</f>
        <v>o</v>
      </c>
      <c r="CJ117" s="245" t="str">
        <f>IFERROR(__xludf.DUMMYFUNCTION("IF(REGEXMATCH(C117, ""n""), ""o"",""x"")"),"o")</f>
        <v>o</v>
      </c>
      <c r="CK117" s="245" t="str">
        <f>IFERROR(__xludf.DUMMYFUNCTION("IF(REGEXMATCH(C117, ""N""), ""o"",""x"")"),"o")</f>
        <v>o</v>
      </c>
      <c r="CL117" s="356" t="str">
        <f>IFERROR(__xludf.DUMMYFUNCTION("IF(REGEXMATCH(C117, ""S""), ""x"",""x"")"),"x")</f>
        <v>x</v>
      </c>
      <c r="CM117" s="357" t="str">
        <f t="shared" si="33"/>
        <v>xxoxooxoxooo</v>
      </c>
      <c r="CN117" s="358">
        <f t="shared" si="34"/>
        <v>1</v>
      </c>
      <c r="CO117" s="246" t="str">
        <f>IFERROR(__xludf.DUMMYFUNCTION("IF(REGEXMATCH($C117, ""S""), ""S"",""S"")"),"S")</f>
        <v>S</v>
      </c>
      <c r="CP117" s="246" t="str">
        <f>IFERROR(__xludf.DUMMYFUNCTION("IF(REGEXMATCH($C117, ""r""), """",""r"")"),"r")</f>
        <v>r</v>
      </c>
      <c r="CQ117" s="246" t="str">
        <f>IFERROR(__xludf.DUMMYFUNCTION("IF(REGEXMATCH($C117, ""R""), """",""R"")"),"")</f>
        <v/>
      </c>
      <c r="CR117" s="246" t="str">
        <f>IFERROR(__xludf.DUMMYFUNCTION("IF(REGEXMATCH($C117, ""g""), """",""g"")"),"g")</f>
        <v>g</v>
      </c>
      <c r="CS117" s="246" t="str">
        <f>IFERROR(__xludf.DUMMYFUNCTION("IF(REGEXMATCH($C117, ""G""), """",""G"")"),"")</f>
        <v/>
      </c>
      <c r="CT117" s="246" t="str">
        <f>IFERROR(__xludf.DUMMYFUNCTION("IF(REGEXMATCH($C117, ""m""), """",""m"")"),"")</f>
        <v/>
      </c>
      <c r="CU117" s="246" t="str">
        <f>IFERROR(__xludf.DUMMYFUNCTION("IF(REGEXMATCH($C117, ""M""), """",""M"")"),"M")</f>
        <v>M</v>
      </c>
      <c r="CV117" s="246" t="str">
        <f>IFERROR(__xludf.DUMMYFUNCTION("IF(REGEXMATCH($C117, ""P""), """",""P"")"),"")</f>
        <v/>
      </c>
      <c r="CW117" s="246" t="str">
        <f>IFERROR(__xludf.DUMMYFUNCTION("IF(REGEXMATCH($C117, ""d""), """",""d"")"),"d")</f>
        <v>d</v>
      </c>
      <c r="CX117" s="246" t="str">
        <f>IFERROR(__xludf.DUMMYFUNCTION("IF(REGEXMATCH($C117, ""D""), """",""D"")"),"")</f>
        <v/>
      </c>
      <c r="CY117" s="246" t="str">
        <f>IFERROR(__xludf.DUMMYFUNCTION("IF(REGEXMATCH($C117, ""n""), """",""n"")"),"")</f>
        <v/>
      </c>
      <c r="CZ117" s="246" t="str">
        <f>IFERROR(__xludf.DUMMYFUNCTION("IF(REGEXMATCH($C117, ""N""), """",""N"")"),"")</f>
        <v/>
      </c>
      <c r="DA117" s="246" t="str">
        <f>IFERROR(__xludf.DUMMYFUNCTION("IF(REGEXMATCH($C117, ""S""), ""S"",""S"")"),"S")</f>
        <v>S</v>
      </c>
      <c r="DB117" s="362" t="str">
        <f>IFERROR(__xludf.DUMMYFUNCTION("JOIN("""",CO117:DA117,"""","""")"),"SrgMdS")</f>
        <v>SrgMdS</v>
      </c>
      <c r="DC117" s="363"/>
      <c r="DD117" s="301" t="str">
        <f t="shared" si="35"/>
        <v>#REF!</v>
      </c>
      <c r="DE117" s="302" t="str">
        <f t="shared" si="36"/>
        <v>#REF!</v>
      </c>
      <c r="DF117" s="301" t="str">
        <f t="shared" ref="DF117:DG117" si="436">SUBSTITUTE(S117,"-","")</f>
        <v>SRGM</v>
      </c>
      <c r="DG117" s="301" t="str">
        <f t="shared" si="436"/>
        <v>PDNS</v>
      </c>
      <c r="DH117" s="302" t="str">
        <f t="shared" si="38"/>
        <v>Bihag</v>
      </c>
      <c r="DI117" s="301" t="str">
        <f t="shared" si="39"/>
        <v>Hemi.</v>
      </c>
      <c r="DJ117" s="364" t="str">
        <f t="shared" si="40"/>
        <v>Co-Co.</v>
      </c>
      <c r="DK117" s="306" t="str">
        <f t="shared" si="41"/>
        <v>-</v>
      </c>
      <c r="DL117" s="366" t="str">
        <f t="shared" si="42"/>
        <v>-</v>
      </c>
      <c r="DM117" s="308" t="str">
        <f t="shared" si="43"/>
        <v>✔</v>
      </c>
      <c r="DN117" s="306" t="str">
        <f t="shared" si="44"/>
        <v>-</v>
      </c>
      <c r="DO117" s="306" t="str">
        <f t="shared" si="45"/>
        <v>-</v>
      </c>
      <c r="DP117" s="367" t="str">
        <f t="shared" si="46"/>
        <v>-</v>
      </c>
      <c r="DQ117" s="310" t="str">
        <f t="shared" si="47"/>
        <v>-</v>
      </c>
      <c r="DR117" s="310" t="str">
        <f t="shared" si="48"/>
        <v>-</v>
      </c>
      <c r="DS117" s="310" t="str">
        <f t="shared" si="49"/>
        <v>-</v>
      </c>
      <c r="DT117" s="310" t="str">
        <f t="shared" si="50"/>
        <v>-</v>
      </c>
      <c r="DU117" s="370" t="str">
        <f t="shared" si="51"/>
        <v>✔</v>
      </c>
      <c r="DV117" s="306" t="str">
        <f t="shared" si="52"/>
        <v>-</v>
      </c>
      <c r="DW117" s="306" t="str">
        <f t="shared" si="53"/>
        <v>-</v>
      </c>
      <c r="DX117" s="306" t="str">
        <f t="shared" si="54"/>
        <v>-</v>
      </c>
      <c r="DY117" s="306" t="str">
        <f t="shared" si="55"/>
        <v>-</v>
      </c>
      <c r="DZ117" s="306" t="str">
        <f t="shared" si="56"/>
        <v>-</v>
      </c>
      <c r="EA117" s="367" t="str">
        <f t="shared" si="57"/>
        <v>-</v>
      </c>
      <c r="EB117" s="310" t="str">
        <f>IFERROR(__xludf.DUMMYFUNCTION("IF(REGEXMATCH(AW117,AS117),""✔"",""-"")"),"✔")</f>
        <v>✔</v>
      </c>
      <c r="EC117" s="310" t="str">
        <f t="shared" si="58"/>
        <v>#REF!</v>
      </c>
      <c r="ED117" s="370" t="str">
        <f t="shared" si="59"/>
        <v>-</v>
      </c>
      <c r="EE117" s="340" t="str">
        <f t="shared" si="60"/>
        <v>S-R-G-m-P-D-nN-S</v>
      </c>
      <c r="EF117" s="371" t="str">
        <f>IFERROR(__xludf.DUMMYFUNCTION("CONCATENATE(JOIN("""",HC117:HO117))"),"SrRgmPdnS")</f>
        <v>SrRgmPdnS</v>
      </c>
      <c r="EG117" s="372">
        <f t="shared" si="61"/>
        <v>1</v>
      </c>
      <c r="EH117" s="373" t="str">
        <f>IFERROR(__xludf.DUMMYFUNCTION("CONCATENATE(JOIN("""",JC117:JO117))"),"Ni, ")</f>
        <v>Ni, </v>
      </c>
      <c r="EI117" s="322">
        <f t="shared" si="62"/>
        <v>0</v>
      </c>
      <c r="EJ117" s="374" t="str">
        <f>IFERROR(__xludf.DUMMYFUNCTION("CONCATENATE(JOIN("""",KC117:KO117))"),"")</f>
        <v/>
      </c>
      <c r="EK117" s="325" t="str">
        <f t="shared" si="63"/>
        <v>S-R2-G3-M1-P-D2-N2-N3-S</v>
      </c>
      <c r="EL117" s="326" t="str">
        <f t="shared" si="64"/>
        <v>1-2-3-4-5-6-b7-7-8</v>
      </c>
      <c r="EM117" s="318" t="str">
        <f t="shared" si="65"/>
        <v>#REF!</v>
      </c>
      <c r="EN117" s="328" t="str">
        <f>IFERROR(__xludf.DUMMYFUNCTION("SUBSTITUTE(SUBSTITUTE(SUBSTITUTE(SUBSTITUTE(CONCATENATE(JOIN("" "",HP117:IB117)),""  "","" ""),""  "","" ""),""  "","" ""),""  "","" "")"),"o • o • o o • o • o o o o")</f>
        <v>o • o • o o • o • o o o o</v>
      </c>
      <c r="EO117" s="368" t="str">
        <f t="shared" si="66"/>
        <v>-</v>
      </c>
      <c r="EP117" s="339" t="str">
        <f t="shared" si="67"/>
        <v>-</v>
      </c>
      <c r="EQ117" s="339" t="str">
        <f t="shared" si="68"/>
        <v>Sa-Pa</v>
      </c>
      <c r="ER117" s="339" t="str">
        <f t="shared" si="69"/>
        <v>-</v>
      </c>
      <c r="ES117" s="340" t="str">
        <f t="shared" si="70"/>
        <v>-</v>
      </c>
      <c r="ET117" s="363"/>
      <c r="EU117" s="376" t="b">
        <f>IFERROR(__xludf.DUMMYFUNCTION("arrayformula(sum(--REGEXMATCH(""SRGMPDNS"",split(REGEXREPLACE(C117,""(.)"",""$1~""),""~""))))=len(C117)
"),FALSE)</f>
        <v>0</v>
      </c>
      <c r="EV117" s="290" t="b">
        <f>IFERROR(__xludf.DUMMYFUNCTION("arrayformula(sum(--REGEXMATCH(""SRGmPDNS"",split(REGEXREPLACE(C117,""(.)"",""$1~""),""~""))))=len(C117)"),FALSE)</f>
        <v>0</v>
      </c>
      <c r="EW117" s="290" t="b">
        <f>IFERROR(__xludf.DUMMYFUNCTION("arrayformula(sum(--REGEXMATCH(""SRGmPDnS"",split(REGEXREPLACE(C117,""(.)"",""$1~""),""~""))))=len(C117)"),FALSE)</f>
        <v>0</v>
      </c>
      <c r="EX117" s="290" t="b">
        <f>IFERROR(__xludf.DUMMYFUNCTION("arrayformula(sum(--REGEXMATCH(""SRgmPDnS"",split(REGEXREPLACE(C117,""(.)"",""$1~""),""~""))))=len(C117)"),FALSE)</f>
        <v>0</v>
      </c>
      <c r="EY117" s="290" t="b">
        <f>IFERROR(__xludf.DUMMYFUNCTION("arrayformula(sum(--REGEXMATCH(""SRgmPdnS"",split(REGEXREPLACE(C117,""(.)"",""$1~""),""~""))))=len(C117)"),FALSE)</f>
        <v>0</v>
      </c>
      <c r="EZ117" s="290" t="b">
        <f>IFERROR(__xludf.DUMMYFUNCTION("arrayformula(sum(--REGEXMATCH(""SrgmPdnS"",split(REGEXREPLACE(C117,""(.)"",""$1~""),""~""))))=len(C117)"),FALSE)</f>
        <v>0</v>
      </c>
      <c r="FA117" s="290" t="b">
        <f>IFERROR(__xludf.DUMMYFUNCTION("arrayformula(sum(--REGEXMATCH(""SrGmPdNS"",split(REGEXREPLACE(C117,""(.)"",""$1~""),""~""))))=len(C117)"),FALSE)</f>
        <v>0</v>
      </c>
      <c r="FB117" s="290" t="b">
        <f>IFERROR(__xludf.DUMMYFUNCTION("arrayformula(sum(--REGEXMATCH(""SrGMPDNS"",split(REGEXREPLACE(C117,""(.)"",""$1~""),""~""))))=len(C117)"),FALSE)</f>
        <v>0</v>
      </c>
      <c r="FC117" s="290" t="b">
        <f>IFERROR(__xludf.DUMMYFUNCTION("arrayformula(sum(--REGEXMATCH(""SrGMPdNS"",split(REGEXREPLACE(C117,""(.)"",""$1~""),""~""))))=len(C117)"),FALSE)</f>
        <v>0</v>
      </c>
      <c r="FD117" s="377" t="b">
        <f>IFERROR(__xludf.DUMMYFUNCTION("arrayformula(sum(--REGEXMATCH(""SrgMPdNS"",split(REGEXREPLACE(C117,""(.)"",""$1~""),""~""))))=len(C117)"),FALSE)</f>
        <v>0</v>
      </c>
      <c r="FE117" s="269" t="str">
        <f t="shared" si="71"/>
        <v>-</v>
      </c>
      <c r="FF117" s="269" t="str">
        <f t="shared" si="72"/>
        <v>xoxxoxoxxxx</v>
      </c>
      <c r="FG117" s="271" t="str">
        <f t="shared" si="73"/>
        <v>-</v>
      </c>
      <c r="FH117" s="269" t="str">
        <f t="shared" si="74"/>
        <v>xxoxoxxxxox</v>
      </c>
      <c r="FI117" s="271" t="str">
        <f t="shared" si="75"/>
        <v>xoxoxxxxoxo</v>
      </c>
      <c r="FJ117" s="271" t="str">
        <f t="shared" si="76"/>
        <v>-</v>
      </c>
      <c r="FK117" s="271" t="str">
        <f t="shared" si="77"/>
        <v>xoxxxxoxoxx</v>
      </c>
      <c r="FL117" s="271" t="str">
        <f t="shared" si="78"/>
        <v>-</v>
      </c>
      <c r="FM117" s="271" t="str">
        <f t="shared" si="79"/>
        <v>xxxxoxoxxox</v>
      </c>
      <c r="FN117" s="271" t="str">
        <f t="shared" si="80"/>
        <v>xxxoxoxxoxo</v>
      </c>
      <c r="FO117" s="274" t="str">
        <f t="shared" si="81"/>
        <v>xxoxoxxoxox</v>
      </c>
      <c r="FP117" s="234" t="str">
        <f t="shared" si="82"/>
        <v>|</v>
      </c>
      <c r="FQ117" s="236" t="str">
        <f t="shared" si="83"/>
        <v>-</v>
      </c>
      <c r="FR117" s="237" t="str">
        <f t="shared" si="84"/>
        <v>|</v>
      </c>
      <c r="FS117" s="236" t="str">
        <f t="shared" si="85"/>
        <v>-</v>
      </c>
      <c r="FT117" s="237" t="str">
        <f t="shared" si="86"/>
        <v>|</v>
      </c>
      <c r="FU117" s="236" t="str">
        <f t="shared" si="87"/>
        <v>|</v>
      </c>
      <c r="FV117" s="237" t="str">
        <f t="shared" si="88"/>
        <v>-</v>
      </c>
      <c r="FW117" s="236" t="str">
        <f t="shared" si="89"/>
        <v>|</v>
      </c>
      <c r="FX117" s="237" t="str">
        <f t="shared" si="90"/>
        <v>-</v>
      </c>
      <c r="FY117" s="236" t="str">
        <f t="shared" si="91"/>
        <v>|</v>
      </c>
      <c r="FZ117" s="237" t="str">
        <f t="shared" si="92"/>
        <v>|</v>
      </c>
      <c r="GA117" s="236" t="str">
        <f t="shared" si="93"/>
        <v>|</v>
      </c>
      <c r="GB117" s="238" t="str">
        <f t="shared" si="94"/>
        <v>|</v>
      </c>
      <c r="GC117" s="244" t="str">
        <f>IFERROR(__xludf.DUMMYFUNCTION("IF(REGEXMATCH(C117, ""S""), ""1"","""")"),"1")</f>
        <v>1</v>
      </c>
      <c r="GD117" s="245" t="str">
        <f>IFERROR(__xludf.DUMMYFUNCTION("IF(REGEXMATCH(C117, ""r""), ""b2"","""")"),"")</f>
        <v/>
      </c>
      <c r="GE117" s="246" t="str">
        <f>IFERROR(__xludf.DUMMYFUNCTION("IF(REGEXMATCH(C117, ""R""), ""2"","""")"),"2")</f>
        <v>2</v>
      </c>
      <c r="GF117" s="246" t="str">
        <f>IFERROR(__xludf.DUMMYFUNCTION("IF(REGEXMATCH(C117, ""g""), ""b3"","""")"),"")</f>
        <v/>
      </c>
      <c r="GG117" s="245" t="str">
        <f>IFERROR(__xludf.DUMMYFUNCTION("IF(REGEXMATCH(C117, ""G""), ""3"","""")"),"3")</f>
        <v>3</v>
      </c>
      <c r="GH117" s="245" t="str">
        <f>IFERROR(__xludf.DUMMYFUNCTION("IF(REGEXMATCH(C117, ""m""), ""4"","""")"),"4")</f>
        <v>4</v>
      </c>
      <c r="GI117" s="246" t="str">
        <f>IFERROR(__xludf.DUMMYFUNCTION("IF(REGEXMATCH(C117, ""M""), ""#4"","""")"),"")</f>
        <v/>
      </c>
      <c r="GJ117" s="245" t="str">
        <f>IFERROR(__xludf.DUMMYFUNCTION("IF(REGEXMATCH(C117, ""P""), ""5"","""")"),"5")</f>
        <v>5</v>
      </c>
      <c r="GK117" s="246" t="str">
        <f>IFERROR(__xludf.DUMMYFUNCTION("IF(REGEXMATCH(C117, ""d""), ""b6"","""")"),"")</f>
        <v/>
      </c>
      <c r="GL117" s="245" t="str">
        <f>IFERROR(__xludf.DUMMYFUNCTION("IF(REGEXMATCH(C117, ""D""), ""6"","""")"),"6")</f>
        <v>6</v>
      </c>
      <c r="GM117" s="245" t="str">
        <f>IFERROR(__xludf.DUMMYFUNCTION("IF(REGEXMATCH(C117, ""n""), ""b7"","""")"),"b7")</f>
        <v>b7</v>
      </c>
      <c r="GN117" s="246" t="str">
        <f>IFERROR(__xludf.DUMMYFUNCTION("IF(REGEXMATCH(C117, ""N""), ""7"","""")"),"7")</f>
        <v>7</v>
      </c>
      <c r="GO117" s="249" t="str">
        <f>IFERROR(__xludf.DUMMYFUNCTION("IF(REGEXMATCH(C117, ""S""), ""8"","""")"),"8")</f>
        <v>8</v>
      </c>
      <c r="GP117" s="244" t="str">
        <f>IFERROR(__xludf.DUMMYFUNCTION("IF(REGEXMATCH(C117, ""S""), ""S"","""")"),"S")</f>
        <v>S</v>
      </c>
      <c r="GQ117" s="294" t="str">
        <f>IFERROR(__xludf.DUMMYFUNCTION("IF(REGEXMATCH(C117, ""r""), ""R1"","""")"),"")</f>
        <v/>
      </c>
      <c r="GR117" s="295" t="str">
        <f>IFERROR(__xludf.DUMMYFUNCTION("IF(REGEXMATCH(C117, ""R""), ""R2"","""")"),"R2")</f>
        <v>R2</v>
      </c>
      <c r="GS117" s="295" t="str">
        <f>IFERROR(__xludf.DUMMYFUNCTION("IF(REGEXMATCH(C117, ""g""), ""G2"","""")"),"")</f>
        <v/>
      </c>
      <c r="GT117" s="294" t="str">
        <f>IFERROR(__xludf.DUMMYFUNCTION("IF(REGEXMATCH(C117, ""G""), ""G3"","""")"),"G3")</f>
        <v>G3</v>
      </c>
      <c r="GU117" s="294" t="str">
        <f>IFERROR(__xludf.DUMMYFUNCTION("IF(REGEXMATCH(C117, ""m""), ""M1"","""")"),"M1")</f>
        <v>M1</v>
      </c>
      <c r="GV117" s="295" t="str">
        <f>IFERROR(__xludf.DUMMYFUNCTION("IF(REGEXMATCH(C117, ""M""), ""M2"","""")"),"")</f>
        <v/>
      </c>
      <c r="GW117" s="294" t="str">
        <f>IFERROR(__xludf.DUMMYFUNCTION("IF(REGEXMATCH(C117, ""P""), ""P"","""")"),"P")</f>
        <v>P</v>
      </c>
      <c r="GX117" s="295" t="str">
        <f>IFERROR(__xludf.DUMMYFUNCTION("IF(REGEXMATCH(C117, ""d""), ""D1"","""")"),"")</f>
        <v/>
      </c>
      <c r="GY117" s="294" t="str">
        <f>IFERROR(__xludf.DUMMYFUNCTION("IF(REGEXMATCH(C117, ""D""), ""D2"","""")"),"D2")</f>
        <v>D2</v>
      </c>
      <c r="GZ117" s="294" t="str">
        <f>IFERROR(__xludf.DUMMYFUNCTION("IF(REGEXMATCH(C117, ""n""), ""N2"","""")"),"N2")</f>
        <v>N2</v>
      </c>
      <c r="HA117" s="295" t="str">
        <f>IFERROR(__xludf.DUMMYFUNCTION("IF(REGEXMATCH(C117, ""N""), ""N3"","""")"),"N3")</f>
        <v>N3</v>
      </c>
      <c r="HB117" s="249" t="str">
        <f>IFERROR(__xludf.DUMMYFUNCTION("IF(REGEXMATCH(C117, ""S""), ""S"","""")"),"S")</f>
        <v>S</v>
      </c>
      <c r="HC117" s="331" t="str">
        <f t="shared" si="95"/>
        <v>S</v>
      </c>
      <c r="HD117" s="332" t="str">
        <f t="shared" si="96"/>
        <v>r</v>
      </c>
      <c r="HE117" s="332" t="str">
        <f t="shared" si="97"/>
        <v>R</v>
      </c>
      <c r="HF117" s="332" t="str">
        <f t="shared" si="98"/>
        <v>g</v>
      </c>
      <c r="HG117" s="332" t="str">
        <f t="shared" si="99"/>
        <v/>
      </c>
      <c r="HH117" s="332" t="str">
        <f t="shared" si="100"/>
        <v>m</v>
      </c>
      <c r="HI117" s="332" t="str">
        <f t="shared" si="101"/>
        <v/>
      </c>
      <c r="HJ117" s="332" t="str">
        <f t="shared" si="102"/>
        <v>P</v>
      </c>
      <c r="HK117" s="332" t="str">
        <f t="shared" si="103"/>
        <v>d</v>
      </c>
      <c r="HL117" s="332" t="str">
        <f t="shared" si="104"/>
        <v/>
      </c>
      <c r="HM117" s="332" t="str">
        <f t="shared" si="105"/>
        <v>n</v>
      </c>
      <c r="HN117" s="332" t="str">
        <f t="shared" si="106"/>
        <v/>
      </c>
      <c r="HO117" s="343" t="str">
        <f t="shared" si="107"/>
        <v>S</v>
      </c>
      <c r="HP117" s="331" t="str">
        <f t="shared" si="108"/>
        <v>o</v>
      </c>
      <c r="HQ117" s="332" t="str">
        <f t="shared" si="109"/>
        <v>•</v>
      </c>
      <c r="HR117" s="332" t="str">
        <f t="shared" si="110"/>
        <v>o</v>
      </c>
      <c r="HS117" s="332" t="str">
        <f t="shared" si="111"/>
        <v>•</v>
      </c>
      <c r="HT117" s="332" t="str">
        <f t="shared" si="112"/>
        <v>o</v>
      </c>
      <c r="HU117" s="332" t="str">
        <f t="shared" si="113"/>
        <v>o</v>
      </c>
      <c r="HV117" s="332" t="str">
        <f t="shared" si="114"/>
        <v>•</v>
      </c>
      <c r="HW117" s="332" t="str">
        <f t="shared" si="115"/>
        <v>o</v>
      </c>
      <c r="HX117" s="332" t="str">
        <f t="shared" si="116"/>
        <v>•</v>
      </c>
      <c r="HY117" s="332" t="str">
        <f t="shared" si="117"/>
        <v>o</v>
      </c>
      <c r="HZ117" s="332" t="str">
        <f t="shared" si="118"/>
        <v>o</v>
      </c>
      <c r="IA117" s="332" t="str">
        <f t="shared" si="119"/>
        <v>o</v>
      </c>
      <c r="IB117" s="338" t="str">
        <f t="shared" si="120"/>
        <v>o</v>
      </c>
      <c r="IC117" s="331" t="str">
        <f t="shared" si="121"/>
        <v>•</v>
      </c>
      <c r="ID117" s="332" t="str">
        <f t="shared" si="122"/>
        <v>o</v>
      </c>
      <c r="IE117" s="332" t="str">
        <f t="shared" si="123"/>
        <v>•</v>
      </c>
      <c r="IF117" s="332" t="str">
        <f t="shared" si="124"/>
        <v>o</v>
      </c>
      <c r="IG117" s="332" t="str">
        <f t="shared" si="125"/>
        <v>•</v>
      </c>
      <c r="IH117" s="332" t="str">
        <f t="shared" si="126"/>
        <v>•</v>
      </c>
      <c r="II117" s="332" t="str">
        <f t="shared" si="127"/>
        <v>o</v>
      </c>
      <c r="IJ117" s="332" t="str">
        <f t="shared" si="128"/>
        <v>•</v>
      </c>
      <c r="IK117" s="332" t="str">
        <f t="shared" si="129"/>
        <v>o</v>
      </c>
      <c r="IL117" s="332" t="str">
        <f t="shared" si="130"/>
        <v>•</v>
      </c>
      <c r="IM117" s="332" t="str">
        <f t="shared" si="131"/>
        <v>•</v>
      </c>
      <c r="IN117" s="332" t="str">
        <f t="shared" si="132"/>
        <v>•</v>
      </c>
      <c r="IO117" s="338" t="str">
        <f t="shared" si="133"/>
        <v>•</v>
      </c>
      <c r="IP117" s="346" t="b">
        <f t="shared" si="134"/>
        <v>0</v>
      </c>
      <c r="IQ117" s="347" t="b">
        <f t="shared" si="135"/>
        <v>0</v>
      </c>
      <c r="IR117" s="347" t="b">
        <f t="shared" si="136"/>
        <v>0</v>
      </c>
      <c r="IS117" s="347" t="b">
        <f t="shared" si="137"/>
        <v>0</v>
      </c>
      <c r="IT117" s="347" t="b">
        <f t="shared" si="138"/>
        <v>0</v>
      </c>
      <c r="IU117" s="347" t="b">
        <f t="shared" si="139"/>
        <v>0</v>
      </c>
      <c r="IV117" s="347" t="b">
        <f t="shared" si="140"/>
        <v>0</v>
      </c>
      <c r="IW117" s="347" t="b">
        <f t="shared" si="141"/>
        <v>0</v>
      </c>
      <c r="IX117" s="347" t="b">
        <f t="shared" si="142"/>
        <v>0</v>
      </c>
      <c r="IY117" s="347" t="b">
        <f t="shared" si="143"/>
        <v>0</v>
      </c>
      <c r="IZ117" s="347" t="b">
        <f t="shared" si="144"/>
        <v>0</v>
      </c>
      <c r="JA117" s="347" t="b">
        <f t="shared" si="145"/>
        <v>1</v>
      </c>
      <c r="JB117" s="353" t="b">
        <f t="shared" si="146"/>
        <v>0</v>
      </c>
      <c r="JC117" s="354" t="str">
        <f t="shared" si="147"/>
        <v/>
      </c>
      <c r="JD117" s="355" t="str">
        <f t="shared" si="148"/>
        <v/>
      </c>
      <c r="JE117" s="355" t="str">
        <f t="shared" si="149"/>
        <v/>
      </c>
      <c r="JF117" s="355" t="str">
        <f t="shared" si="150"/>
        <v/>
      </c>
      <c r="JG117" s="355" t="str">
        <f t="shared" si="151"/>
        <v/>
      </c>
      <c r="JH117" s="355" t="str">
        <f t="shared" si="152"/>
        <v/>
      </c>
      <c r="JI117" s="355" t="str">
        <f t="shared" si="153"/>
        <v/>
      </c>
      <c r="JJ117" s="355" t="str">
        <f t="shared" si="154"/>
        <v/>
      </c>
      <c r="JK117" s="355" t="str">
        <f t="shared" si="155"/>
        <v/>
      </c>
      <c r="JL117" s="355" t="str">
        <f t="shared" si="156"/>
        <v/>
      </c>
      <c r="JM117" s="355" t="str">
        <f t="shared" si="157"/>
        <v/>
      </c>
      <c r="JN117" s="355" t="str">
        <f t="shared" si="158"/>
        <v>Ni, </v>
      </c>
      <c r="JO117" s="359" t="str">
        <f t="shared" si="159"/>
        <v/>
      </c>
      <c r="JP117" s="346" t="b">
        <f t="shared" si="160"/>
        <v>0</v>
      </c>
      <c r="JQ117" s="347" t="b">
        <f t="shared" si="161"/>
        <v>0</v>
      </c>
      <c r="JR117" s="347" t="b">
        <f t="shared" si="162"/>
        <v>0</v>
      </c>
      <c r="JS117" s="347" t="b">
        <f t="shared" si="163"/>
        <v>0</v>
      </c>
      <c r="JT117" s="347" t="b">
        <f t="shared" si="164"/>
        <v>0</v>
      </c>
      <c r="JU117" s="347" t="b">
        <f t="shared" si="165"/>
        <v>0</v>
      </c>
      <c r="JV117" s="347" t="b">
        <f t="shared" si="166"/>
        <v>0</v>
      </c>
      <c r="JW117" s="347" t="b">
        <f t="shared" si="167"/>
        <v>0</v>
      </c>
      <c r="JX117" s="347" t="b">
        <f t="shared" si="168"/>
        <v>0</v>
      </c>
      <c r="JY117" s="347" t="b">
        <f t="shared" si="169"/>
        <v>0</v>
      </c>
      <c r="JZ117" s="347" t="b">
        <f t="shared" si="170"/>
        <v>0</v>
      </c>
      <c r="KA117" s="347" t="b">
        <f t="shared" si="171"/>
        <v>0</v>
      </c>
      <c r="KB117" s="365" t="b">
        <f t="shared" si="172"/>
        <v>0</v>
      </c>
      <c r="KC117" s="354" t="str">
        <f t="shared" si="173"/>
        <v/>
      </c>
      <c r="KD117" s="355" t="str">
        <f t="shared" si="174"/>
        <v/>
      </c>
      <c r="KE117" s="355" t="str">
        <f t="shared" si="175"/>
        <v/>
      </c>
      <c r="KF117" s="355" t="str">
        <f t="shared" si="176"/>
        <v/>
      </c>
      <c r="KG117" s="355" t="str">
        <f t="shared" si="177"/>
        <v/>
      </c>
      <c r="KH117" s="355" t="str">
        <f t="shared" si="178"/>
        <v/>
      </c>
      <c r="KI117" s="355" t="str">
        <f t="shared" si="179"/>
        <v/>
      </c>
      <c r="KJ117" s="355" t="str">
        <f t="shared" si="180"/>
        <v/>
      </c>
      <c r="KK117" s="355" t="str">
        <f t="shared" si="181"/>
        <v/>
      </c>
      <c r="KL117" s="355" t="str">
        <f t="shared" si="182"/>
        <v/>
      </c>
      <c r="KM117" s="355" t="str">
        <f t="shared" si="183"/>
        <v/>
      </c>
      <c r="KN117" s="355" t="str">
        <f t="shared" si="184"/>
        <v/>
      </c>
      <c r="KO117" s="359"/>
      <c r="KP117" s="378"/>
      <c r="KQ117" s="379" t="s">
        <v>554</v>
      </c>
      <c r="KR117" s="380" t="s">
        <v>1357</v>
      </c>
      <c r="KS117" s="381" t="str">
        <f t="shared" ref="KS117:KS118" si="439">KQ117</f>
        <v>S-R-G-m-P-D-N-S</v>
      </c>
      <c r="KT117" s="382">
        <f t="shared" si="186"/>
        <v>7</v>
      </c>
      <c r="KU117" s="383">
        <f t="shared" si="187"/>
        <v>7</v>
      </c>
      <c r="KV117" s="381" t="str">
        <f t="shared" si="205"/>
        <v>S-N-D-P-m-G-R-S</v>
      </c>
      <c r="KW117" s="382">
        <f t="shared" si="189"/>
        <v>7</v>
      </c>
      <c r="KX117" s="384">
        <f t="shared" si="190"/>
        <v>7</v>
      </c>
      <c r="KY117" s="382">
        <f t="shared" ref="KY117:KZ117" si="437">KW117-KT117</f>
        <v>0</v>
      </c>
      <c r="KZ117" s="369">
        <f t="shared" si="437"/>
        <v>0</v>
      </c>
      <c r="LA117" s="385" t="str">
        <f t="shared" si="192"/>
        <v>✔</v>
      </c>
      <c r="LB117" s="340" t="str">
        <f>IFERROR(__xludf.DUMMYFUNCTION("JOIN("""",ArrayFormula(MID(KS117,LEN(KS117)-SEQUENCE(1,LEN(KS117))+1,1)))"),"S-N-D-P-m-G-R-S")</f>
        <v>S-N-D-P-m-G-R-S</v>
      </c>
      <c r="LC117" s="373" t="str">
        <f>IFERROR(__xludf.DUMMYFUNCTION("JOIN("""",ArrayFormula(MID(KV117,LEN(KV117)-SEQUENCE(1,LEN(KV117))+1,1)))"),"S-R-G-m-P-D-N-S")</f>
        <v>S-R-G-m-P-D-N-S</v>
      </c>
      <c r="LD117" s="373" t="str">
        <f t="shared" si="193"/>
        <v>SRGmPDNS</v>
      </c>
      <c r="LE117" s="339" t="str">
        <f t="shared" si="194"/>
        <v>SRGmPDNS</v>
      </c>
      <c r="LF117" s="386" t="str">
        <f>IFERROR(__xludf.DUMMYFUNCTION("SUBSTITUTE(SUBSTITUTE(CONCATENATE(JOIN("""",LH117:LT117)),""1"",""""),""2"","""")"),"SRGmPDNS")</f>
        <v>SRGmPDNS</v>
      </c>
      <c r="LG117" s="369" t="str">
        <f t="shared" si="195"/>
        <v>-</v>
      </c>
      <c r="LH117" s="387" t="str">
        <f>IFERROR(__xludf.DUMMYFUNCTION("IF(REGEXMATCH(LD117, ""S""), ""S"",IF(REGEXMATCH(LE117, ""S""), ""S"",""""))"),"S")</f>
        <v>S</v>
      </c>
      <c r="LI117" s="299" t="str">
        <f>IFERROR(__xludf.DUMMYFUNCTION("IF(REGEXMATCH(LD117, ""r""), ""r1"",IF(REGEXMATCH(LE117, ""r""), ""r2"",""""))"),"")</f>
        <v/>
      </c>
      <c r="LJ117" s="299" t="str">
        <f>IFERROR(__xludf.DUMMYFUNCTION("IF(REGEXMATCH(LD117, ""R""), ""R1"",IF(REGEXMATCH(LE117, ""R""), ""R2"",""""))"),"R1")</f>
        <v>R1</v>
      </c>
      <c r="LK117" s="299" t="str">
        <f>IFERROR(__xludf.DUMMYFUNCTION("IF(REGEXMATCH(LD117, ""g""), ""g1"",IF(REGEXMATCH(LE117, ""g""), ""g2"",""""))"),"")</f>
        <v/>
      </c>
      <c r="LL117" s="299" t="str">
        <f>IFERROR(__xludf.DUMMYFUNCTION("IF(REGEXMATCH(LD117, ""G""), ""G1"",IF(REGEXMATCH(LE117, ""G""), ""G2"",""""))"),"G1")</f>
        <v>G1</v>
      </c>
      <c r="LM117" s="299" t="str">
        <f>IFERROR(__xludf.DUMMYFUNCTION("IF(REGEXMATCH(LD117, ""m""), ""m1"",IF(REGEXMATCH(LE117, ""m""), ""m2"",""""))"),"m1")</f>
        <v>m1</v>
      </c>
      <c r="LN117" s="299" t="str">
        <f>IFERROR(__xludf.DUMMYFUNCTION("IF(REGEXMATCH(LD117, ""M""), ""M1"",IF(REGEXMATCH(LE117, ""M""), ""M2"",""""))"),"")</f>
        <v/>
      </c>
      <c r="LO117" s="299" t="str">
        <f>IFERROR(__xludf.DUMMYFUNCTION("IF(REGEXMATCH(LD117, ""P""), ""P1"",IF(REGEXMATCH(LE117, ""P""), ""P2"",""""))"),"P1")</f>
        <v>P1</v>
      </c>
      <c r="LP117" s="299" t="str">
        <f>IFERROR(__xludf.DUMMYFUNCTION("IF(REGEXMATCH(LD117, ""d""), ""d1"",IF(REGEXMATCH(LE117, ""d""), ""d2"",""""))"),"")</f>
        <v/>
      </c>
      <c r="LQ117" s="299" t="str">
        <f>IFERROR(__xludf.DUMMYFUNCTION("IF(REGEXMATCH(LD117, ""D""), ""D1"",IF(REGEXMATCH(LE117, ""D""), ""D2"",""""))"),"D1")</f>
        <v>D1</v>
      </c>
      <c r="LR117" s="299" t="str">
        <f>IFERROR(__xludf.DUMMYFUNCTION("IF(REGEXMATCH(LD117, ""n""), ""n1"",IF(REGEXMATCH(LE117, ""n""), ""n2"",""""))"),"")</f>
        <v/>
      </c>
      <c r="LS117" s="299" t="str">
        <f>IFERROR(__xludf.DUMMYFUNCTION("IF(REGEXMATCH(LD117, ""N""), ""N1"",IF(REGEXMATCH(LE117, ""N""), ""N2"",""""))"),"N1")</f>
        <v>N1</v>
      </c>
      <c r="LT117" s="388" t="str">
        <f>IFERROR(__xludf.DUMMYFUNCTION("IF(REGEXMATCH(LD117, ""S""), ""S"",IF(REGEXMATCH(LE117, ""S""), ""S"",""""))"),"S")</f>
        <v>S</v>
      </c>
      <c r="LU117" s="389">
        <f t="shared" si="196"/>
        <v>1</v>
      </c>
      <c r="LV117" s="378"/>
      <c r="LW117" s="369"/>
      <c r="LX117" s="369"/>
    </row>
    <row r="118" ht="18.0" customHeight="1">
      <c r="A118" s="298" t="s">
        <v>745</v>
      </c>
      <c r="B118" s="222" t="s">
        <v>632</v>
      </c>
      <c r="C118" s="233" t="str">
        <f t="shared" si="7"/>
        <v>SRGmMPDNS</v>
      </c>
      <c r="D118" s="234" t="str">
        <f>IFERROR(__xludf.DUMMYFUNCTION("IF(REGEXMATCH(C118, ""S""), ""S"","""")"),"S")</f>
        <v>S</v>
      </c>
      <c r="E118" s="236" t="str">
        <f>IFERROR(__xludf.DUMMYFUNCTION("IF(REGEXMATCH(C118, ""r""), ""r"","""")"),"")</f>
        <v/>
      </c>
      <c r="F118" s="237" t="str">
        <f>IFERROR(__xludf.DUMMYFUNCTION("IF(REGEXMATCH(C118, ""R""), ""R"","""")"),"R")</f>
        <v>R</v>
      </c>
      <c r="G118" s="237" t="str">
        <f>IFERROR(__xludf.DUMMYFUNCTION("IF(REGEXMATCH(C118, ""g""), ""g"","""")"),"")</f>
        <v/>
      </c>
      <c r="H118" s="236" t="str">
        <f>IFERROR(__xludf.DUMMYFUNCTION("IF(REGEXMATCH(C118, ""G""), ""G"","""")"),"G")</f>
        <v>G</v>
      </c>
      <c r="I118" s="236" t="str">
        <f>IFERROR(__xludf.DUMMYFUNCTION("IF(REGEXMATCH(C118, ""m""), ""m"","""")"),"m")</f>
        <v>m</v>
      </c>
      <c r="J118" s="237" t="str">
        <f>IFERROR(__xludf.DUMMYFUNCTION("IF(REGEXMATCH(C118, ""M""), ""M"","""")"),"M")</f>
        <v>M</v>
      </c>
      <c r="K118" s="236" t="str">
        <f>IFERROR(__xludf.DUMMYFUNCTION("IF(REGEXMATCH(C118, ""P""), ""P"","""")"),"P")</f>
        <v>P</v>
      </c>
      <c r="L118" s="237" t="str">
        <f>IFERROR(__xludf.DUMMYFUNCTION("IF(REGEXMATCH(C118, ""d""), ""d"","""")"),"")</f>
        <v/>
      </c>
      <c r="M118" s="236" t="str">
        <f>IFERROR(__xludf.DUMMYFUNCTION("IF(REGEXMATCH(C118, ""D""), ""D"","""")"),"D")</f>
        <v>D</v>
      </c>
      <c r="N118" s="236" t="str">
        <f>IFERROR(__xludf.DUMMYFUNCTION("IF(REGEXMATCH(C118, ""n""), ""n"","""")"),"")</f>
        <v/>
      </c>
      <c r="O118" s="237" t="str">
        <f>IFERROR(__xludf.DUMMYFUNCTION("IF(REGEXMATCH(C118, ""N""), ""N"","""")"),"N")</f>
        <v>N</v>
      </c>
      <c r="P118" s="238" t="str">
        <f>IFERROR(__xludf.DUMMYFUNCTION("IF(REGEXMATCH(C118, ""S""), ""S"","""")"),"S")</f>
        <v>S</v>
      </c>
      <c r="Q118" s="239" t="str">
        <f>IFERROR(__xludf.DUMMYFUNCTION("SUBSTITUTE(CONCATENATE(JOIN(""-"",D118:J118)),""-"","""")"),"SRGmM")</f>
        <v>SRGmM</v>
      </c>
      <c r="R118" s="229" t="str">
        <f>IFERROR(__xludf.DUMMYFUNCTION("SUBSTITUTE(CONCATENATE(JOIN(""-"",K118:P118)),""-"","""")"),"PDNS")</f>
        <v>PDNS</v>
      </c>
      <c r="S118" s="282" t="str">
        <f t="shared" si="8"/>
        <v>S-R-G-M</v>
      </c>
      <c r="T118" s="282" t="str">
        <f t="shared" si="9"/>
        <v>P-D-N-S</v>
      </c>
      <c r="U118" s="237" t="str">
        <f>IFERROR(__xludf.DUMMYFUNCTION("SUBSTITUTE(JOIN(""-"",S118,T118),""--"",""-"")"),"S-R-G-M-P-D-N-S")</f>
        <v>S-R-G-M-P-D-N-S</v>
      </c>
      <c r="V118" s="309" t="str">
        <f t="shared" si="10"/>
        <v>RGmMDN</v>
      </c>
      <c r="W118" s="244" t="str">
        <f>IFERROR(__xludf.DUMMYFUNCTION("IF(REGEXMATCH(C118, ""S""), ""0"","""")"),"0")</f>
        <v>0</v>
      </c>
      <c r="X118" s="245" t="str">
        <f>IFERROR(__xludf.DUMMYFUNCTION("IF(REGEXMATCH(C118, ""r""), ""1"","""")"),"")</f>
        <v/>
      </c>
      <c r="Y118" s="246" t="str">
        <f>IFERROR(__xludf.DUMMYFUNCTION("IF(REGEXMATCH(C118, ""R""), ""2"","""")"),"2")</f>
        <v>2</v>
      </c>
      <c r="Z118" s="246" t="str">
        <f>IFERROR(__xludf.DUMMYFUNCTION("IF(REGEXMATCH(C118, ""g""), ""3"","""")"),"")</f>
        <v/>
      </c>
      <c r="AA118" s="245" t="str">
        <f>IFERROR(__xludf.DUMMYFUNCTION("IF(REGEXMATCH(C118, ""G""), ""4"","""")"),"4")</f>
        <v>4</v>
      </c>
      <c r="AB118" s="245" t="str">
        <f>IFERROR(__xludf.DUMMYFUNCTION("IF(REGEXMATCH(C118, ""m""), ""5"","""")"),"5")</f>
        <v>5</v>
      </c>
      <c r="AC118" s="246" t="str">
        <f>IFERROR(__xludf.DUMMYFUNCTION("IF(REGEXMATCH(C118, ""M""), ""6"","""")"),"6")</f>
        <v>6</v>
      </c>
      <c r="AD118" s="245" t="str">
        <f>IFERROR(__xludf.DUMMYFUNCTION("IF(REGEXMATCH(C118, ""P""), ""7"","""")"),"7")</f>
        <v>7</v>
      </c>
      <c r="AE118" s="246" t="str">
        <f>IFERROR(__xludf.DUMMYFUNCTION("IF(REGEXMATCH(C118, ""d""), ""8"","""")"),"")</f>
        <v/>
      </c>
      <c r="AF118" s="245" t="str">
        <f>IFERROR(__xludf.DUMMYFUNCTION("IF(REGEXMATCH(C118, ""D""), ""9"","""")"),"9")</f>
        <v>9</v>
      </c>
      <c r="AG118" s="245" t="str">
        <f>IFERROR(__xludf.DUMMYFUNCTION("IF(REGEXMATCH(C118, ""n""), ""10"","""")"),"")</f>
        <v/>
      </c>
      <c r="AH118" s="246" t="str">
        <f>IFERROR(__xludf.DUMMYFUNCTION("IF(REGEXMATCH(C118, ""N""), ""11"","""")"),"11")</f>
        <v>11</v>
      </c>
      <c r="AI118" s="249" t="str">
        <f>IFERROR(__xludf.DUMMYFUNCTION("IF(REGEXMATCH(C118, ""S""), ""0"","""")"),"0")</f>
        <v>0</v>
      </c>
      <c r="AJ118" s="313" t="str">
        <f t="shared" si="11"/>
        <v>T</v>
      </c>
      <c r="AK118" s="313" t="str">
        <f t="shared" si="12"/>
        <v>-</v>
      </c>
      <c r="AL118" s="313" t="str">
        <f t="shared" si="13"/>
        <v>-</v>
      </c>
      <c r="AM118" s="313" t="str">
        <f t="shared" si="14"/>
        <v>-</v>
      </c>
      <c r="AN118" s="313" t="str">
        <f t="shared" si="15"/>
        <v>-</v>
      </c>
      <c r="AO118" s="314" t="str">
        <f t="shared" si="16"/>
        <v>T</v>
      </c>
      <c r="AP118" s="316">
        <f t="shared" si="17"/>
        <v>2</v>
      </c>
      <c r="AQ118" s="319" t="str">
        <f t="shared" si="18"/>
        <v>-</v>
      </c>
      <c r="AR118" s="320">
        <f t="shared" si="19"/>
        <v>0</v>
      </c>
      <c r="AS118" s="250" t="str">
        <f>IFERROR(__xludf.DUMMYFUNCTION("SUBSTITUTE(SUBSTITUTE(CONCATENATE(JOIN("""",FP118:GA118)),""|"",""x""),""-"",""o"")"),"xoxoxxxxoxox")</f>
        <v>xoxoxxxxoxox</v>
      </c>
      <c r="AT118" s="323" t="str">
        <f>IFERROR(__xludf.DUMMYFUNCTION("JOIN("""",AS118,AS118)"),"xoxoxxxxoxoxxoxoxxxxoxox")</f>
        <v>xoxoxxxxoxoxxoxoxxxxoxox</v>
      </c>
      <c r="AU118" s="256" t="str">
        <f>IFERROR(__xludf.DUMMYFUNCTION("JOIN("""",ArrayFormula(MID(AS118,LEN(AS118)-SEQUENCE(1,LEN(AS118))+1,1)))"),"xoxoxxxxoxox")</f>
        <v>xoxoxxxxoxox</v>
      </c>
      <c r="AV118" s="256" t="str">
        <f>IFERROR(__xludf.DUMMYFUNCTION("LEFT(CONCATENATE(""x"",JOIN("""",ArrayFormula(MID(AS118,LEN(AS118)-SEQUENCE(1,LEN(AS118))+1,1)))),12)"),"xxoxoxxxxoxo")</f>
        <v>xxoxoxxxxoxo</v>
      </c>
      <c r="AW118" s="327" t="str">
        <f>IFERROR(__xludf.DUMMYFUNCTION("JOIN("""",AU118,AU118)"),"xoxoxxxxoxoxxoxoxxxxoxox")</f>
        <v>xoxoxxxxoxoxxoxoxxxxoxox</v>
      </c>
      <c r="AX118" s="239" t="str">
        <f>IFERROR(__xludf.DUMMYFUNCTION("IF(REGEXMATCH(AW118,AS118),""✔"",""-"")"),"✔")</f>
        <v>✔</v>
      </c>
      <c r="AY118" s="330" t="str">
        <f t="shared" si="20"/>
        <v>-</v>
      </c>
      <c r="AZ118" s="260" t="str">
        <f t="shared" si="21"/>
        <v>#REF!</v>
      </c>
      <c r="BA118" s="333" t="str">
        <f t="shared" si="22"/>
        <v>xoxoxxx</v>
      </c>
      <c r="BB118" s="334" t="str">
        <f t="shared" si="23"/>
        <v>xoxoxx</v>
      </c>
      <c r="BC118" s="335" t="str">
        <f t="shared" si="236"/>
        <v>✔</v>
      </c>
      <c r="BD118" s="336" t="str">
        <f t="shared" si="25"/>
        <v>Gaud Sarang: 'xoxoxxx' + 'xoxoxx'</v>
      </c>
      <c r="BE118" s="337">
        <f>IFERROR(__xludf.DUMMYFUNCTION("COUNTUNIQUE(FILTER(AT:AT,REGEXMATCH(AT:AT,AS118)))-1"),3.0)</f>
        <v>3</v>
      </c>
      <c r="BF118" s="261" t="str">
        <f>IFERROR(__xludf.DUMMYFUNCTION("IF(BI118=0,""(n/a)"",IF(BJ118=2,""(PAIR)"",IF(REGEXMATCH(AT118,""xoxoxxoxoxox""),""Bilawal"",IF(REGEXMATCH(AT118,""xoxoxooxoxoo""),""Bhupali"",IF(REGEXMATCH(AT118,""xoxoxxoxxoxo""),""Charukeshi"",IF(REGEXMATCH(AT118,""xoxoooxxoxxo""),""Kameshwari"",IF(REG"&amp;"EXMATCH(AT118,""xoxoxooxoxox""),""Shankara"",IF(REGEXMATCH(AT118,""xxooxoxxxoox""),""Basant"",IF(REGEXMATCH(AT118,""xoxoxxxxoxox""),""Bihag"",IF(REGEXMATCH(AT118,""xoxxxxoxoxxx""),""Pilu"",IF(REGEXMATCH(AT118,""xoxxoxoxxoox""),""Kirwani"",IF(REGEXMATCH(AT"&amp;"118,""xoxxoxoxoxxx""),""Mk.Malhar"",IF(REGEXMATCH(AT118,""xxooxxoxxoox""),""Bhairav"",IF(REGEXMATCH(AT118,""xxoxooxxxoox""),""Todi"",IF(REGEXMATCH(AT118,""xxooxoxooxox""),""Marwa"",IF(REGEXMATCH(AT118,""xxoooxoxxooo""),""Gunkali"",IF(REGEXMATCH(AT118,""xo"&amp;"xoxxoxxoox""),""Nat Bhairav"",IF(REGEXMATCH(AT118,""xoxxoooxoxoo""),""Shivranjani"",IF(REGEXMATCH(AT118,""xooxxxoxooxo""),""Jog"",IF(REGEXMATCH(AT118,""xxooxoxoxoox""),""Hemshri"",IF(REGEXMATCH(AT118,""xoooxooxoxxo""),""Kalavati"",IF(REGEXMATCH(AT118,""xx"&amp;"oxoxxoxoox""),""Kedar"",IF(REGEXMATCH(AT118,""xoxxxxoxooxx""),""Gara"",IF(REGEXMATCH(AT118,""xooxoxooxoox""),""Chandrakauns"",IF(REGEXMATCH(AT118,""xoxxxxoxxxox""),""Mand"",IF(REGEXMATCH(AT118,""xoxxxxoxoxox""),""Hanskinkini"",IF(REGEXMATCH(AT118,""xxooxx"&amp;"oxooxo""),""Lilavati"",IF(REGEXMATCH(AT118,""xooxoxoooxox""),""Rajeshwari"",IF(REGEXMATCH(AT118,""xoooxxoxoxxx""),""Khokar"",IF(REGEXMATCH(AT118,""xxooxoxxxxox""),""Maligoura"",""-""))))))))))))))))))))))))))))))"),"Bihag")</f>
        <v>Bihag</v>
      </c>
      <c r="BG118" s="239" t="str">
        <f t="shared" si="26"/>
        <v>#REF!</v>
      </c>
      <c r="BH118" s="239">
        <f>IFERROR(__xludf.DUMMYFUNCTION("COUNTUNIQUE(FE118:FO118)-1"),7.0)</f>
        <v>7</v>
      </c>
      <c r="BI118" s="239">
        <f>IFERROR(__xludf.DUMMYFUNCTION("COUNTUNIQUE(FILTER(AT:AT,REGEXMATCH(AT:AT,AS118)))-1"),3.0)</f>
        <v>3</v>
      </c>
      <c r="BJ118" s="239">
        <f>IFERROR(__xludf.DUMMYFUNCTION("COUNTA(FILTER(AT:AT,REGEXMATCH(AT:AT,AS118)))"),36.0)</f>
        <v>36</v>
      </c>
      <c r="BK118" s="341">
        <f>IFERROR(__xludf.DUMMYFUNCTION("COUNTA(FILTER(AT:AT,REGEXMATCH(AT:AT,AS118)))-AR118"),36.0)</f>
        <v>36</v>
      </c>
      <c r="BL118" s="276" t="str">
        <f>IFERROR(__xludf.DUMMYFUNCTION("IF(AS118=""oooooooooooo"",""-"",IF(REGEXMATCH(AT118,""xx""), ""Hemi."", ""Anhemi.""))"),"Hemi.")</f>
        <v>Hemi.</v>
      </c>
      <c r="BM118" s="282" t="str">
        <f>IFERROR(__xludf.DUMMYFUNCTION("IF(AS118=""oooooooooooo"",""-"",IF(REGEXMATCH(AT118,""xxx""), ""Cohem."", ""-""))"),"Cohem.")</f>
        <v>Cohem.</v>
      </c>
      <c r="BN118" s="282" t="str">
        <f>IFERROR(__xludf.DUMMYFUNCTION("IF(AS118=""oooooooooooo"",""-"",IF(REGEXMATCH(AT118,""xxxx""), ""Co-Co."", ""-""))"),"Co-Co.")</f>
        <v>Co-Co.</v>
      </c>
      <c r="BO118" s="342" t="str">
        <f>IFERROR(__xludf.DUMMYFUNCTION("IF(AS118=""oooooooooooo"",""-"",IF(REGEXMATCH(AT118,""xxxxx""), ""CCC."", ""-""))"),"-")</f>
        <v>-</v>
      </c>
      <c r="BP118" s="344" t="str">
        <f t="shared" si="27"/>
        <v>-</v>
      </c>
      <c r="BQ118" s="282" t="str">
        <f>IFERROR(__xludf.DUMMYFUNCTION("IF(REGEXMATCH(JOIN(""-"",EU118:FD118),""TRUE""),""✔"",""-"")"),"-")</f>
        <v>-</v>
      </c>
      <c r="BR118" s="225">
        <f t="shared" si="28"/>
        <v>0</v>
      </c>
      <c r="BS118" s="345" t="str">
        <f>IFERROR(__xludf.DUMMYFUNCTION("SUBSTITUTE(SUBSTITUTE(SUBSTITUTE(SUBSTITUTE(CONCATENATE(JOIN(""-"",GC118:GO118)),""--"",""-""),""--"",""-""),""--"",""-""),""--"",""-"")"),"1-2-3-4-#4-5-6-7-8")</f>
        <v>1-2-3-4-#4-5-6-7-8</v>
      </c>
      <c r="BT118" s="299" t="str">
        <f>IFERROR(__xludf.DUMMYFUNCTION("SUBSTITUTE(SUBSTITUTE(SUBSTITUTE(SUBSTITUTE(CONCATENATE(JOIN(""-"",GP118:HB118)),""--"",""-""),""--"",""-""),""--"",""-""),""--"",""-"")"),"S-R2-G3-M1-M2-P-D2-N3-S")</f>
        <v>S-R2-G3-M1-M2-P-D2-N3-S</v>
      </c>
      <c r="BU118" s="348" t="str">
        <f t="shared" si="29"/>
        <v>C-D-E-F-F#-G-A-B-C</v>
      </c>
      <c r="BV118" s="349" t="str">
        <f t="shared" si="30"/>
        <v>SrgdnS</v>
      </c>
      <c r="BW118" s="350">
        <f t="shared" si="31"/>
        <v>0</v>
      </c>
      <c r="BX118" s="351">
        <f t="shared" si="32"/>
        <v>13</v>
      </c>
      <c r="BY118" s="392"/>
      <c r="BZ118" s="309" t="str">
        <f>IFERROR(__xludf.DUMMYFUNCTION("IF(REGEXMATCH(C118, ""S""), ""x"",""x"")"),"x")</f>
        <v>x</v>
      </c>
      <c r="CA118" s="245" t="str">
        <f>IFERROR(__xludf.DUMMYFUNCTION("IF(REGEXMATCH(C118, ""r""), ""o"",""x"")"),"x")</f>
        <v>x</v>
      </c>
      <c r="CB118" s="246" t="str">
        <f>IFERROR(__xludf.DUMMYFUNCTION("IF(REGEXMATCH(C118, ""R""), ""o"",""x"")"),"o")</f>
        <v>o</v>
      </c>
      <c r="CC118" s="246" t="str">
        <f>IFERROR(__xludf.DUMMYFUNCTION("IF(REGEXMATCH(C118, ""g""), ""o"",""x"")"),"x")</f>
        <v>x</v>
      </c>
      <c r="CD118" s="245" t="str">
        <f>IFERROR(__xludf.DUMMYFUNCTION("IF(REGEXMATCH(C118, ""G""), ""o"",""x"")"),"o")</f>
        <v>o</v>
      </c>
      <c r="CE118" s="245" t="str">
        <f>IFERROR(__xludf.DUMMYFUNCTION("IF(REGEXMATCH(C118, ""m""), ""o"",""x"")"),"o")</f>
        <v>o</v>
      </c>
      <c r="CF118" s="246" t="str">
        <f>IFERROR(__xludf.DUMMYFUNCTION("IF(REGEXMATCH(C118, ""M""), ""o"",""x"")"),"o")</f>
        <v>o</v>
      </c>
      <c r="CG118" s="245" t="str">
        <f>IFERROR(__xludf.DUMMYFUNCTION("IF(REGEXMATCH(C118, ""P""), ""o"",""x"")"),"o")</f>
        <v>o</v>
      </c>
      <c r="CH118" s="246" t="str">
        <f>IFERROR(__xludf.DUMMYFUNCTION("IF(REGEXMATCH(C118, ""d""), ""o"",""x"")"),"x")</f>
        <v>x</v>
      </c>
      <c r="CI118" s="245" t="str">
        <f>IFERROR(__xludf.DUMMYFUNCTION("IF(REGEXMATCH(C118, ""D""), ""o"",""x"")"),"o")</f>
        <v>o</v>
      </c>
      <c r="CJ118" s="245" t="str">
        <f>IFERROR(__xludf.DUMMYFUNCTION("IF(REGEXMATCH(C118, ""n""), ""o"",""x"")"),"x")</f>
        <v>x</v>
      </c>
      <c r="CK118" s="245" t="str">
        <f>IFERROR(__xludf.DUMMYFUNCTION("IF(REGEXMATCH(C118, ""N""), ""o"",""x"")"),"o")</f>
        <v>o</v>
      </c>
      <c r="CL118" s="356" t="str">
        <f>IFERROR(__xludf.DUMMYFUNCTION("IF(REGEXMATCH(C118, ""S""), ""x"",""x"")"),"x")</f>
        <v>x</v>
      </c>
      <c r="CM118" s="357" t="str">
        <f t="shared" si="33"/>
        <v>xxoxooooxoxo</v>
      </c>
      <c r="CN118" s="358">
        <f t="shared" si="34"/>
        <v>0</v>
      </c>
      <c r="CO118" s="246" t="str">
        <f>IFERROR(__xludf.DUMMYFUNCTION("IF(REGEXMATCH($C118, ""S""), ""S"",""S"")"),"S")</f>
        <v>S</v>
      </c>
      <c r="CP118" s="246" t="str">
        <f>IFERROR(__xludf.DUMMYFUNCTION("IF(REGEXMATCH($C118, ""r""), """",""r"")"),"r")</f>
        <v>r</v>
      </c>
      <c r="CQ118" s="246" t="str">
        <f>IFERROR(__xludf.DUMMYFUNCTION("IF(REGEXMATCH($C118, ""R""), """",""R"")"),"")</f>
        <v/>
      </c>
      <c r="CR118" s="246" t="str">
        <f>IFERROR(__xludf.DUMMYFUNCTION("IF(REGEXMATCH($C118, ""g""), """",""g"")"),"g")</f>
        <v>g</v>
      </c>
      <c r="CS118" s="246" t="str">
        <f>IFERROR(__xludf.DUMMYFUNCTION("IF(REGEXMATCH($C118, ""G""), """",""G"")"),"")</f>
        <v/>
      </c>
      <c r="CT118" s="246" t="str">
        <f>IFERROR(__xludf.DUMMYFUNCTION("IF(REGEXMATCH($C118, ""m""), """",""m"")"),"")</f>
        <v/>
      </c>
      <c r="CU118" s="246" t="str">
        <f>IFERROR(__xludf.DUMMYFUNCTION("IF(REGEXMATCH($C118, ""M""), """",""M"")"),"")</f>
        <v/>
      </c>
      <c r="CV118" s="246" t="str">
        <f>IFERROR(__xludf.DUMMYFUNCTION("IF(REGEXMATCH($C118, ""P""), """",""P"")"),"")</f>
        <v/>
      </c>
      <c r="CW118" s="246" t="str">
        <f>IFERROR(__xludf.DUMMYFUNCTION("IF(REGEXMATCH($C118, ""d""), """",""d"")"),"d")</f>
        <v>d</v>
      </c>
      <c r="CX118" s="246" t="str">
        <f>IFERROR(__xludf.DUMMYFUNCTION("IF(REGEXMATCH($C118, ""D""), """",""D"")"),"")</f>
        <v/>
      </c>
      <c r="CY118" s="246" t="str">
        <f>IFERROR(__xludf.DUMMYFUNCTION("IF(REGEXMATCH($C118, ""n""), """",""n"")"),"n")</f>
        <v>n</v>
      </c>
      <c r="CZ118" s="246" t="str">
        <f>IFERROR(__xludf.DUMMYFUNCTION("IF(REGEXMATCH($C118, ""N""), """",""N"")"),"")</f>
        <v/>
      </c>
      <c r="DA118" s="246" t="str">
        <f>IFERROR(__xludf.DUMMYFUNCTION("IF(REGEXMATCH($C118, ""S""), ""S"",""S"")"),"S")</f>
        <v>S</v>
      </c>
      <c r="DB118" s="362" t="str">
        <f>IFERROR(__xludf.DUMMYFUNCTION("JOIN("""",CO118:DA118,"""","""")"),"SrgdnS")</f>
        <v>SrgdnS</v>
      </c>
      <c r="DC118" s="363"/>
      <c r="DD118" s="301" t="str">
        <f t="shared" si="35"/>
        <v>#REF!</v>
      </c>
      <c r="DE118" s="302" t="str">
        <f t="shared" si="36"/>
        <v>#REF!</v>
      </c>
      <c r="DF118" s="301" t="str">
        <f t="shared" ref="DF118:DG118" si="438">SUBSTITUTE(S118,"-","")</f>
        <v>SRGM</v>
      </c>
      <c r="DG118" s="301" t="str">
        <f t="shared" si="438"/>
        <v>PDNS</v>
      </c>
      <c r="DH118" s="302" t="str">
        <f t="shared" si="38"/>
        <v>Bihag</v>
      </c>
      <c r="DI118" s="301" t="str">
        <f t="shared" si="39"/>
        <v>Hemi.</v>
      </c>
      <c r="DJ118" s="364" t="str">
        <f t="shared" si="40"/>
        <v>Co-Co.</v>
      </c>
      <c r="DK118" s="306" t="str">
        <f t="shared" si="41"/>
        <v>-</v>
      </c>
      <c r="DL118" s="366" t="str">
        <f t="shared" si="42"/>
        <v>-</v>
      </c>
      <c r="DM118" s="308" t="str">
        <f t="shared" si="43"/>
        <v>✔</v>
      </c>
      <c r="DN118" s="306" t="str">
        <f t="shared" si="44"/>
        <v>-</v>
      </c>
      <c r="DO118" s="306" t="str">
        <f t="shared" si="45"/>
        <v>-</v>
      </c>
      <c r="DP118" s="367" t="str">
        <f t="shared" si="46"/>
        <v>-</v>
      </c>
      <c r="DQ118" s="310" t="str">
        <f t="shared" si="47"/>
        <v>-</v>
      </c>
      <c r="DR118" s="310" t="str">
        <f t="shared" si="48"/>
        <v>-</v>
      </c>
      <c r="DS118" s="310" t="str">
        <f t="shared" si="49"/>
        <v>✔</v>
      </c>
      <c r="DT118" s="310" t="str">
        <f t="shared" si="50"/>
        <v>-</v>
      </c>
      <c r="DU118" s="370" t="str">
        <f t="shared" si="51"/>
        <v>-</v>
      </c>
      <c r="DV118" s="306" t="str">
        <f t="shared" si="52"/>
        <v>-</v>
      </c>
      <c r="DW118" s="306" t="str">
        <f t="shared" si="53"/>
        <v>-</v>
      </c>
      <c r="DX118" s="306" t="str">
        <f t="shared" si="54"/>
        <v>-</v>
      </c>
      <c r="DY118" s="306" t="str">
        <f t="shared" si="55"/>
        <v>-</v>
      </c>
      <c r="DZ118" s="306" t="str">
        <f t="shared" si="56"/>
        <v>-</v>
      </c>
      <c r="EA118" s="367" t="str">
        <f t="shared" si="57"/>
        <v>-</v>
      </c>
      <c r="EB118" s="310" t="str">
        <f>IFERROR(__xludf.DUMMYFUNCTION("IF(REGEXMATCH(AW118,AS118),""✔"",""-"")"),"✔")</f>
        <v>✔</v>
      </c>
      <c r="EC118" s="310" t="str">
        <f t="shared" si="58"/>
        <v>#REF!</v>
      </c>
      <c r="ED118" s="370" t="str">
        <f t="shared" si="59"/>
        <v>-</v>
      </c>
      <c r="EE118" s="340" t="str">
        <f t="shared" si="60"/>
        <v>S-R-G-mM-P-D-N-S</v>
      </c>
      <c r="EF118" s="371" t="str">
        <f>IFERROR(__xludf.DUMMYFUNCTION("CONCATENATE(JOIN("""",HC118:HO118))"),"SrgmMPdnS")</f>
        <v>SrgmMPdnS</v>
      </c>
      <c r="EG118" s="372">
        <f t="shared" si="61"/>
        <v>1</v>
      </c>
      <c r="EH118" s="373" t="str">
        <f>IFERROR(__xludf.DUMMYFUNCTION("CONCATENATE(JOIN("""",JC118:JO118))"),"Ma, ")</f>
        <v>Ma, </v>
      </c>
      <c r="EI118" s="322">
        <f t="shared" si="62"/>
        <v>0</v>
      </c>
      <c r="EJ118" s="374" t="str">
        <f>IFERROR(__xludf.DUMMYFUNCTION("CONCATENATE(JOIN("""",KC118:KO118))"),"")</f>
        <v/>
      </c>
      <c r="EK118" s="325" t="str">
        <f t="shared" si="63"/>
        <v>S-R2-G3-M1-M2-P-D2-N3-S</v>
      </c>
      <c r="EL118" s="326" t="str">
        <f t="shared" si="64"/>
        <v>1-2-3-4-#4-5-6-7-8</v>
      </c>
      <c r="EM118" s="318" t="str">
        <f t="shared" si="65"/>
        <v>#REF!</v>
      </c>
      <c r="EN118" s="328" t="str">
        <f>IFERROR(__xludf.DUMMYFUNCTION("SUBSTITUTE(SUBSTITUTE(SUBSTITUTE(SUBSTITUTE(CONCATENATE(JOIN("" "",HP118:IB118)),""  "","" ""),""  "","" ""),""  "","" ""),""  "","" "")"),"o • o • o o o o • o • o o")</f>
        <v>o • o • o o o o • o • o o</v>
      </c>
      <c r="EO118" s="368" t="str">
        <f t="shared" si="66"/>
        <v>-</v>
      </c>
      <c r="EP118" s="339" t="str">
        <f t="shared" si="67"/>
        <v>-</v>
      </c>
      <c r="EQ118" s="339" t="str">
        <f t="shared" si="68"/>
        <v>Sa-Pa</v>
      </c>
      <c r="ER118" s="339" t="str">
        <f t="shared" si="69"/>
        <v>-</v>
      </c>
      <c r="ES118" s="340" t="str">
        <f t="shared" si="70"/>
        <v>-</v>
      </c>
      <c r="ET118" s="363"/>
      <c r="EU118" s="376" t="b">
        <f>IFERROR(__xludf.DUMMYFUNCTION("arrayformula(sum(--REGEXMATCH(""SRGMPDNS"",split(REGEXREPLACE(C118,""(.)"",""$1~""),""~""))))=len(C118)
"),FALSE)</f>
        <v>0</v>
      </c>
      <c r="EV118" s="290" t="b">
        <f>IFERROR(__xludf.DUMMYFUNCTION("arrayformula(sum(--REGEXMATCH(""SRGmPDNS"",split(REGEXREPLACE(C118,""(.)"",""$1~""),""~""))))=len(C118)"),FALSE)</f>
        <v>0</v>
      </c>
      <c r="EW118" s="290" t="b">
        <f>IFERROR(__xludf.DUMMYFUNCTION("arrayformula(sum(--REGEXMATCH(""SRGmPDnS"",split(REGEXREPLACE(C118,""(.)"",""$1~""),""~""))))=len(C118)"),FALSE)</f>
        <v>0</v>
      </c>
      <c r="EX118" s="290" t="b">
        <f>IFERROR(__xludf.DUMMYFUNCTION("arrayformula(sum(--REGEXMATCH(""SRgmPDnS"",split(REGEXREPLACE(C118,""(.)"",""$1~""),""~""))))=len(C118)"),FALSE)</f>
        <v>0</v>
      </c>
      <c r="EY118" s="290" t="b">
        <f>IFERROR(__xludf.DUMMYFUNCTION("arrayformula(sum(--REGEXMATCH(""SRgmPdnS"",split(REGEXREPLACE(C118,""(.)"",""$1~""),""~""))))=len(C118)"),FALSE)</f>
        <v>0</v>
      </c>
      <c r="EZ118" s="290" t="b">
        <f>IFERROR(__xludf.DUMMYFUNCTION("arrayformula(sum(--REGEXMATCH(""SrgmPdnS"",split(REGEXREPLACE(C118,""(.)"",""$1~""),""~""))))=len(C118)"),FALSE)</f>
        <v>0</v>
      </c>
      <c r="FA118" s="290" t="b">
        <f>IFERROR(__xludf.DUMMYFUNCTION("arrayformula(sum(--REGEXMATCH(""SrGmPdNS"",split(REGEXREPLACE(C118,""(.)"",""$1~""),""~""))))=len(C118)"),FALSE)</f>
        <v>0</v>
      </c>
      <c r="FB118" s="290" t="b">
        <f>IFERROR(__xludf.DUMMYFUNCTION("arrayformula(sum(--REGEXMATCH(""SrGMPDNS"",split(REGEXREPLACE(C118,""(.)"",""$1~""),""~""))))=len(C118)"),FALSE)</f>
        <v>0</v>
      </c>
      <c r="FC118" s="290" t="b">
        <f>IFERROR(__xludf.DUMMYFUNCTION("arrayformula(sum(--REGEXMATCH(""SrGMPdNS"",split(REGEXREPLACE(C118,""(.)"",""$1~""),""~""))))=len(C118)"),FALSE)</f>
        <v>0</v>
      </c>
      <c r="FD118" s="377" t="b">
        <f>IFERROR(__xludf.DUMMYFUNCTION("arrayformula(sum(--REGEXMATCH(""SrgMPdNS"",split(REGEXREPLACE(C118,""(.)"",""$1~""),""~""))))=len(C118)"),FALSE)</f>
        <v>0</v>
      </c>
      <c r="FE118" s="269" t="str">
        <f t="shared" si="71"/>
        <v>-</v>
      </c>
      <c r="FF118" s="269" t="str">
        <f t="shared" si="72"/>
        <v>xoxxxxoxoxx</v>
      </c>
      <c r="FG118" s="271" t="str">
        <f t="shared" si="73"/>
        <v>-</v>
      </c>
      <c r="FH118" s="269" t="str">
        <f t="shared" si="74"/>
        <v>xxxxoxoxxox</v>
      </c>
      <c r="FI118" s="271" t="str">
        <f t="shared" si="75"/>
        <v>xxxoxoxxoxo</v>
      </c>
      <c r="FJ118" s="271" t="str">
        <f t="shared" si="76"/>
        <v>xxoxoxxoxox</v>
      </c>
      <c r="FK118" s="271" t="str">
        <f t="shared" si="77"/>
        <v>xoxoxxoxoxx</v>
      </c>
      <c r="FL118" s="271" t="str">
        <f t="shared" si="78"/>
        <v>-</v>
      </c>
      <c r="FM118" s="271" t="str">
        <f t="shared" si="79"/>
        <v>xoxxoxoxxxx</v>
      </c>
      <c r="FN118" s="271" t="str">
        <f t="shared" si="80"/>
        <v>-</v>
      </c>
      <c r="FO118" s="274" t="str">
        <f t="shared" si="81"/>
        <v>xxoxoxxxxox</v>
      </c>
      <c r="FP118" s="234" t="str">
        <f t="shared" si="82"/>
        <v>|</v>
      </c>
      <c r="FQ118" s="236" t="str">
        <f t="shared" si="83"/>
        <v>-</v>
      </c>
      <c r="FR118" s="237" t="str">
        <f t="shared" si="84"/>
        <v>|</v>
      </c>
      <c r="FS118" s="236" t="str">
        <f t="shared" si="85"/>
        <v>-</v>
      </c>
      <c r="FT118" s="237" t="str">
        <f t="shared" si="86"/>
        <v>|</v>
      </c>
      <c r="FU118" s="236" t="str">
        <f t="shared" si="87"/>
        <v>|</v>
      </c>
      <c r="FV118" s="237" t="str">
        <f t="shared" si="88"/>
        <v>|</v>
      </c>
      <c r="FW118" s="236" t="str">
        <f t="shared" si="89"/>
        <v>|</v>
      </c>
      <c r="FX118" s="237" t="str">
        <f t="shared" si="90"/>
        <v>-</v>
      </c>
      <c r="FY118" s="236" t="str">
        <f t="shared" si="91"/>
        <v>|</v>
      </c>
      <c r="FZ118" s="237" t="str">
        <f t="shared" si="92"/>
        <v>-</v>
      </c>
      <c r="GA118" s="236" t="str">
        <f t="shared" si="93"/>
        <v>|</v>
      </c>
      <c r="GB118" s="238" t="str">
        <f t="shared" si="94"/>
        <v>|</v>
      </c>
      <c r="GC118" s="244" t="str">
        <f>IFERROR(__xludf.DUMMYFUNCTION("IF(REGEXMATCH(C118, ""S""), ""1"","""")"),"1")</f>
        <v>1</v>
      </c>
      <c r="GD118" s="245" t="str">
        <f>IFERROR(__xludf.DUMMYFUNCTION("IF(REGEXMATCH(C118, ""r""), ""b2"","""")"),"")</f>
        <v/>
      </c>
      <c r="GE118" s="246" t="str">
        <f>IFERROR(__xludf.DUMMYFUNCTION("IF(REGEXMATCH(C118, ""R""), ""2"","""")"),"2")</f>
        <v>2</v>
      </c>
      <c r="GF118" s="246" t="str">
        <f>IFERROR(__xludf.DUMMYFUNCTION("IF(REGEXMATCH(C118, ""g""), ""b3"","""")"),"")</f>
        <v/>
      </c>
      <c r="GG118" s="245" t="str">
        <f>IFERROR(__xludf.DUMMYFUNCTION("IF(REGEXMATCH(C118, ""G""), ""3"","""")"),"3")</f>
        <v>3</v>
      </c>
      <c r="GH118" s="245" t="str">
        <f>IFERROR(__xludf.DUMMYFUNCTION("IF(REGEXMATCH(C118, ""m""), ""4"","""")"),"4")</f>
        <v>4</v>
      </c>
      <c r="GI118" s="246" t="str">
        <f>IFERROR(__xludf.DUMMYFUNCTION("IF(REGEXMATCH(C118, ""M""), ""#4"","""")"),"#4")</f>
        <v>#4</v>
      </c>
      <c r="GJ118" s="245" t="str">
        <f>IFERROR(__xludf.DUMMYFUNCTION("IF(REGEXMATCH(C118, ""P""), ""5"","""")"),"5")</f>
        <v>5</v>
      </c>
      <c r="GK118" s="246" t="str">
        <f>IFERROR(__xludf.DUMMYFUNCTION("IF(REGEXMATCH(C118, ""d""), ""b6"","""")"),"")</f>
        <v/>
      </c>
      <c r="GL118" s="245" t="str">
        <f>IFERROR(__xludf.DUMMYFUNCTION("IF(REGEXMATCH(C118, ""D""), ""6"","""")"),"6")</f>
        <v>6</v>
      </c>
      <c r="GM118" s="245" t="str">
        <f>IFERROR(__xludf.DUMMYFUNCTION("IF(REGEXMATCH(C118, ""n""), ""b7"","""")"),"")</f>
        <v/>
      </c>
      <c r="GN118" s="246" t="str">
        <f>IFERROR(__xludf.DUMMYFUNCTION("IF(REGEXMATCH(C118, ""N""), ""7"","""")"),"7")</f>
        <v>7</v>
      </c>
      <c r="GO118" s="249" t="str">
        <f>IFERROR(__xludf.DUMMYFUNCTION("IF(REGEXMATCH(C118, ""S""), ""8"","""")"),"8")</f>
        <v>8</v>
      </c>
      <c r="GP118" s="244" t="str">
        <f>IFERROR(__xludf.DUMMYFUNCTION("IF(REGEXMATCH(C118, ""S""), ""S"","""")"),"S")</f>
        <v>S</v>
      </c>
      <c r="GQ118" s="294" t="str">
        <f>IFERROR(__xludf.DUMMYFUNCTION("IF(REGEXMATCH(C118, ""r""), ""R1"","""")"),"")</f>
        <v/>
      </c>
      <c r="GR118" s="295" t="str">
        <f>IFERROR(__xludf.DUMMYFUNCTION("IF(REGEXMATCH(C118, ""R""), ""R2"","""")"),"R2")</f>
        <v>R2</v>
      </c>
      <c r="GS118" s="295" t="str">
        <f>IFERROR(__xludf.DUMMYFUNCTION("IF(REGEXMATCH(C118, ""g""), ""G2"","""")"),"")</f>
        <v/>
      </c>
      <c r="GT118" s="294" t="str">
        <f>IFERROR(__xludf.DUMMYFUNCTION("IF(REGEXMATCH(C118, ""G""), ""G3"","""")"),"G3")</f>
        <v>G3</v>
      </c>
      <c r="GU118" s="294" t="str">
        <f>IFERROR(__xludf.DUMMYFUNCTION("IF(REGEXMATCH(C118, ""m""), ""M1"","""")"),"M1")</f>
        <v>M1</v>
      </c>
      <c r="GV118" s="295" t="str">
        <f>IFERROR(__xludf.DUMMYFUNCTION("IF(REGEXMATCH(C118, ""M""), ""M2"","""")"),"M2")</f>
        <v>M2</v>
      </c>
      <c r="GW118" s="294" t="str">
        <f>IFERROR(__xludf.DUMMYFUNCTION("IF(REGEXMATCH(C118, ""P""), ""P"","""")"),"P")</f>
        <v>P</v>
      </c>
      <c r="GX118" s="295" t="str">
        <f>IFERROR(__xludf.DUMMYFUNCTION("IF(REGEXMATCH(C118, ""d""), ""D1"","""")"),"")</f>
        <v/>
      </c>
      <c r="GY118" s="294" t="str">
        <f>IFERROR(__xludf.DUMMYFUNCTION("IF(REGEXMATCH(C118, ""D""), ""D2"","""")"),"D2")</f>
        <v>D2</v>
      </c>
      <c r="GZ118" s="294" t="str">
        <f>IFERROR(__xludf.DUMMYFUNCTION("IF(REGEXMATCH(C118, ""n""), ""N2"","""")"),"")</f>
        <v/>
      </c>
      <c r="HA118" s="295" t="str">
        <f>IFERROR(__xludf.DUMMYFUNCTION("IF(REGEXMATCH(C118, ""N""), ""N3"","""")"),"N3")</f>
        <v>N3</v>
      </c>
      <c r="HB118" s="249" t="str">
        <f>IFERROR(__xludf.DUMMYFUNCTION("IF(REGEXMATCH(C118, ""S""), ""S"","""")"),"S")</f>
        <v>S</v>
      </c>
      <c r="HC118" s="331" t="str">
        <f t="shared" si="95"/>
        <v>S</v>
      </c>
      <c r="HD118" s="332" t="str">
        <f t="shared" si="96"/>
        <v>r</v>
      </c>
      <c r="HE118" s="332" t="str">
        <f t="shared" si="97"/>
        <v/>
      </c>
      <c r="HF118" s="332" t="str">
        <f t="shared" si="98"/>
        <v>g</v>
      </c>
      <c r="HG118" s="332" t="str">
        <f t="shared" si="99"/>
        <v/>
      </c>
      <c r="HH118" s="332" t="str">
        <f t="shared" si="100"/>
        <v>m</v>
      </c>
      <c r="HI118" s="332" t="str">
        <f t="shared" si="101"/>
        <v>M</v>
      </c>
      <c r="HJ118" s="332" t="str">
        <f t="shared" si="102"/>
        <v>P</v>
      </c>
      <c r="HK118" s="332" t="str">
        <f t="shared" si="103"/>
        <v>d</v>
      </c>
      <c r="HL118" s="332" t="str">
        <f t="shared" si="104"/>
        <v/>
      </c>
      <c r="HM118" s="332" t="str">
        <f t="shared" si="105"/>
        <v>n</v>
      </c>
      <c r="HN118" s="332" t="str">
        <f t="shared" si="106"/>
        <v/>
      </c>
      <c r="HO118" s="343" t="str">
        <f t="shared" si="107"/>
        <v>S</v>
      </c>
      <c r="HP118" s="331" t="str">
        <f t="shared" si="108"/>
        <v>o</v>
      </c>
      <c r="HQ118" s="332" t="str">
        <f t="shared" si="109"/>
        <v>•</v>
      </c>
      <c r="HR118" s="332" t="str">
        <f t="shared" si="110"/>
        <v>o</v>
      </c>
      <c r="HS118" s="332" t="str">
        <f t="shared" si="111"/>
        <v>•</v>
      </c>
      <c r="HT118" s="332" t="str">
        <f t="shared" si="112"/>
        <v>o</v>
      </c>
      <c r="HU118" s="332" t="str">
        <f t="shared" si="113"/>
        <v>o</v>
      </c>
      <c r="HV118" s="332" t="str">
        <f t="shared" si="114"/>
        <v>o</v>
      </c>
      <c r="HW118" s="332" t="str">
        <f t="shared" si="115"/>
        <v>o</v>
      </c>
      <c r="HX118" s="332" t="str">
        <f t="shared" si="116"/>
        <v>•</v>
      </c>
      <c r="HY118" s="332" t="str">
        <f t="shared" si="117"/>
        <v>o</v>
      </c>
      <c r="HZ118" s="332" t="str">
        <f t="shared" si="118"/>
        <v>•</v>
      </c>
      <c r="IA118" s="332" t="str">
        <f t="shared" si="119"/>
        <v>o</v>
      </c>
      <c r="IB118" s="338" t="str">
        <f t="shared" si="120"/>
        <v>o</v>
      </c>
      <c r="IC118" s="331" t="str">
        <f t="shared" si="121"/>
        <v>•</v>
      </c>
      <c r="ID118" s="332" t="str">
        <f t="shared" si="122"/>
        <v>o</v>
      </c>
      <c r="IE118" s="332" t="str">
        <f t="shared" si="123"/>
        <v>•</v>
      </c>
      <c r="IF118" s="332" t="str">
        <f t="shared" si="124"/>
        <v>o</v>
      </c>
      <c r="IG118" s="332" t="str">
        <f t="shared" si="125"/>
        <v>•</v>
      </c>
      <c r="IH118" s="332" t="str">
        <f t="shared" si="126"/>
        <v>•</v>
      </c>
      <c r="II118" s="332" t="str">
        <f t="shared" si="127"/>
        <v>•</v>
      </c>
      <c r="IJ118" s="332" t="str">
        <f t="shared" si="128"/>
        <v>•</v>
      </c>
      <c r="IK118" s="332" t="str">
        <f t="shared" si="129"/>
        <v>o</v>
      </c>
      <c r="IL118" s="332" t="str">
        <f t="shared" si="130"/>
        <v>•</v>
      </c>
      <c r="IM118" s="332" t="str">
        <f t="shared" si="131"/>
        <v>o</v>
      </c>
      <c r="IN118" s="332" t="str">
        <f t="shared" si="132"/>
        <v>•</v>
      </c>
      <c r="IO118" s="338" t="str">
        <f t="shared" si="133"/>
        <v>•</v>
      </c>
      <c r="IP118" s="346" t="b">
        <f t="shared" si="134"/>
        <v>0</v>
      </c>
      <c r="IQ118" s="347" t="b">
        <f t="shared" si="135"/>
        <v>0</v>
      </c>
      <c r="IR118" s="347" t="b">
        <f t="shared" si="136"/>
        <v>0</v>
      </c>
      <c r="IS118" s="347" t="b">
        <f t="shared" si="137"/>
        <v>0</v>
      </c>
      <c r="IT118" s="347" t="b">
        <f t="shared" si="138"/>
        <v>0</v>
      </c>
      <c r="IU118" s="347" t="b">
        <f t="shared" si="139"/>
        <v>0</v>
      </c>
      <c r="IV118" s="347" t="b">
        <f t="shared" si="140"/>
        <v>1</v>
      </c>
      <c r="IW118" s="347" t="b">
        <f t="shared" si="141"/>
        <v>0</v>
      </c>
      <c r="IX118" s="347" t="b">
        <f t="shared" si="142"/>
        <v>0</v>
      </c>
      <c r="IY118" s="347" t="b">
        <f t="shared" si="143"/>
        <v>0</v>
      </c>
      <c r="IZ118" s="347" t="b">
        <f t="shared" si="144"/>
        <v>0</v>
      </c>
      <c r="JA118" s="347" t="b">
        <f t="shared" si="145"/>
        <v>0</v>
      </c>
      <c r="JB118" s="353" t="b">
        <f t="shared" si="146"/>
        <v>0</v>
      </c>
      <c r="JC118" s="354" t="str">
        <f t="shared" si="147"/>
        <v/>
      </c>
      <c r="JD118" s="355" t="str">
        <f t="shared" si="148"/>
        <v/>
      </c>
      <c r="JE118" s="355" t="str">
        <f t="shared" si="149"/>
        <v/>
      </c>
      <c r="JF118" s="355" t="str">
        <f t="shared" si="150"/>
        <v/>
      </c>
      <c r="JG118" s="355" t="str">
        <f t="shared" si="151"/>
        <v/>
      </c>
      <c r="JH118" s="355" t="str">
        <f t="shared" si="152"/>
        <v/>
      </c>
      <c r="JI118" s="355" t="str">
        <f t="shared" si="153"/>
        <v>Ma, </v>
      </c>
      <c r="JJ118" s="355" t="str">
        <f t="shared" si="154"/>
        <v/>
      </c>
      <c r="JK118" s="355" t="str">
        <f t="shared" si="155"/>
        <v/>
      </c>
      <c r="JL118" s="355" t="str">
        <f t="shared" si="156"/>
        <v/>
      </c>
      <c r="JM118" s="355" t="str">
        <f t="shared" si="157"/>
        <v/>
      </c>
      <c r="JN118" s="355" t="str">
        <f t="shared" si="158"/>
        <v/>
      </c>
      <c r="JO118" s="359" t="str">
        <f t="shared" si="159"/>
        <v/>
      </c>
      <c r="JP118" s="346" t="b">
        <f t="shared" si="160"/>
        <v>0</v>
      </c>
      <c r="JQ118" s="347" t="b">
        <f t="shared" si="161"/>
        <v>0</v>
      </c>
      <c r="JR118" s="347" t="b">
        <f t="shared" si="162"/>
        <v>0</v>
      </c>
      <c r="JS118" s="347" t="b">
        <f t="shared" si="163"/>
        <v>0</v>
      </c>
      <c r="JT118" s="347" t="b">
        <f t="shared" si="164"/>
        <v>0</v>
      </c>
      <c r="JU118" s="347" t="b">
        <f t="shared" si="165"/>
        <v>0</v>
      </c>
      <c r="JV118" s="347" t="b">
        <f t="shared" si="166"/>
        <v>0</v>
      </c>
      <c r="JW118" s="347" t="b">
        <f t="shared" si="167"/>
        <v>0</v>
      </c>
      <c r="JX118" s="347" t="b">
        <f t="shared" si="168"/>
        <v>0</v>
      </c>
      <c r="JY118" s="347" t="b">
        <f t="shared" si="169"/>
        <v>0</v>
      </c>
      <c r="JZ118" s="347" t="b">
        <f t="shared" si="170"/>
        <v>0</v>
      </c>
      <c r="KA118" s="347" t="b">
        <f t="shared" si="171"/>
        <v>0</v>
      </c>
      <c r="KB118" s="365" t="b">
        <f t="shared" si="172"/>
        <v>0</v>
      </c>
      <c r="KC118" s="354" t="str">
        <f t="shared" si="173"/>
        <v/>
      </c>
      <c r="KD118" s="355" t="str">
        <f t="shared" si="174"/>
        <v/>
      </c>
      <c r="KE118" s="355" t="str">
        <f t="shared" si="175"/>
        <v/>
      </c>
      <c r="KF118" s="355" t="str">
        <f t="shared" si="176"/>
        <v/>
      </c>
      <c r="KG118" s="355" t="str">
        <f t="shared" si="177"/>
        <v/>
      </c>
      <c r="KH118" s="355" t="str">
        <f t="shared" si="178"/>
        <v/>
      </c>
      <c r="KI118" s="355" t="str">
        <f t="shared" si="179"/>
        <v/>
      </c>
      <c r="KJ118" s="355" t="str">
        <f t="shared" si="180"/>
        <v/>
      </c>
      <c r="KK118" s="355" t="str">
        <f t="shared" si="181"/>
        <v/>
      </c>
      <c r="KL118" s="355" t="str">
        <f t="shared" si="182"/>
        <v/>
      </c>
      <c r="KM118" s="355" t="str">
        <f t="shared" si="183"/>
        <v/>
      </c>
      <c r="KN118" s="355" t="str">
        <f t="shared" si="184"/>
        <v/>
      </c>
      <c r="KO118" s="359"/>
      <c r="KP118" s="378"/>
      <c r="KQ118" s="379" t="s">
        <v>554</v>
      </c>
      <c r="KR118" s="380" t="s">
        <v>1353</v>
      </c>
      <c r="KS118" s="381" t="str">
        <f t="shared" si="439"/>
        <v>S-R-G-m-P-D-N-S</v>
      </c>
      <c r="KT118" s="382">
        <f t="shared" si="186"/>
        <v>7</v>
      </c>
      <c r="KU118" s="383">
        <f t="shared" si="187"/>
        <v>7</v>
      </c>
      <c r="KV118" s="381" t="str">
        <f t="shared" si="205"/>
        <v>S-N-D-P-Mm-G-R-S</v>
      </c>
      <c r="KW118" s="382">
        <f t="shared" si="189"/>
        <v>7</v>
      </c>
      <c r="KX118" s="384">
        <f t="shared" si="190"/>
        <v>8</v>
      </c>
      <c r="KY118" s="382">
        <f t="shared" ref="KY118:KZ118" si="440">KW118-KT118</f>
        <v>0</v>
      </c>
      <c r="KZ118" s="369">
        <f t="shared" si="440"/>
        <v>1</v>
      </c>
      <c r="LA118" s="385" t="str">
        <f t="shared" si="192"/>
        <v>-</v>
      </c>
      <c r="LB118" s="340" t="str">
        <f>IFERROR(__xludf.DUMMYFUNCTION("JOIN("""",ArrayFormula(MID(KS118,LEN(KS118)-SEQUENCE(1,LEN(KS118))+1,1)))"),"S-N-D-P-m-G-R-S")</f>
        <v>S-N-D-P-m-G-R-S</v>
      </c>
      <c r="LC118" s="373" t="str">
        <f>IFERROR(__xludf.DUMMYFUNCTION("JOIN("""",ArrayFormula(MID(KV118,LEN(KV118)-SEQUENCE(1,LEN(KV118))+1,1)))"),"S-R-G-mM-P-D-N-S")</f>
        <v>S-R-G-mM-P-D-N-S</v>
      </c>
      <c r="LD118" s="373" t="str">
        <f t="shared" si="193"/>
        <v>SRGmPDNS</v>
      </c>
      <c r="LE118" s="339" t="str">
        <f t="shared" si="194"/>
        <v>SRGmMPDNS</v>
      </c>
      <c r="LF118" s="386" t="str">
        <f>IFERROR(__xludf.DUMMYFUNCTION("SUBSTITUTE(SUBSTITUTE(CONCATENATE(JOIN("""",LH118:LT118)),""1"",""""),""2"","""")"),"SRGmMPDNS")</f>
        <v>SRGmMPDNS</v>
      </c>
      <c r="LG118" s="369" t="str">
        <f t="shared" si="195"/>
        <v>✔</v>
      </c>
      <c r="LH118" s="387" t="str">
        <f>IFERROR(__xludf.DUMMYFUNCTION("IF(REGEXMATCH(LD118, ""S""), ""S"",IF(REGEXMATCH(LE118, ""S""), ""S"",""""))"),"S")</f>
        <v>S</v>
      </c>
      <c r="LI118" s="299" t="str">
        <f>IFERROR(__xludf.DUMMYFUNCTION("IF(REGEXMATCH(LD118, ""r""), ""r1"",IF(REGEXMATCH(LE118, ""r""), ""r2"",""""))"),"")</f>
        <v/>
      </c>
      <c r="LJ118" s="299" t="str">
        <f>IFERROR(__xludf.DUMMYFUNCTION("IF(REGEXMATCH(LD118, ""R""), ""R1"",IF(REGEXMATCH(LE118, ""R""), ""R2"",""""))"),"R1")</f>
        <v>R1</v>
      </c>
      <c r="LK118" s="299" t="str">
        <f>IFERROR(__xludf.DUMMYFUNCTION("IF(REGEXMATCH(LD118, ""g""), ""g1"",IF(REGEXMATCH(LE118, ""g""), ""g2"",""""))"),"")</f>
        <v/>
      </c>
      <c r="LL118" s="299" t="str">
        <f>IFERROR(__xludf.DUMMYFUNCTION("IF(REGEXMATCH(LD118, ""G""), ""G1"",IF(REGEXMATCH(LE118, ""G""), ""G2"",""""))"),"G1")</f>
        <v>G1</v>
      </c>
      <c r="LM118" s="299" t="str">
        <f>IFERROR(__xludf.DUMMYFUNCTION("IF(REGEXMATCH(LD118, ""m""), ""m1"",IF(REGEXMATCH(LE118, ""m""), ""m2"",""""))"),"m1")</f>
        <v>m1</v>
      </c>
      <c r="LN118" s="299" t="str">
        <f>IFERROR(__xludf.DUMMYFUNCTION("IF(REGEXMATCH(LD118, ""M""), ""M1"",IF(REGEXMATCH(LE118, ""M""), ""M2"",""""))"),"M2")</f>
        <v>M2</v>
      </c>
      <c r="LO118" s="299" t="str">
        <f>IFERROR(__xludf.DUMMYFUNCTION("IF(REGEXMATCH(LD118, ""P""), ""P1"",IF(REGEXMATCH(LE118, ""P""), ""P2"",""""))"),"P1")</f>
        <v>P1</v>
      </c>
      <c r="LP118" s="299" t="str">
        <f>IFERROR(__xludf.DUMMYFUNCTION("IF(REGEXMATCH(LD118, ""d""), ""d1"",IF(REGEXMATCH(LE118, ""d""), ""d2"",""""))"),"")</f>
        <v/>
      </c>
      <c r="LQ118" s="299" t="str">
        <f>IFERROR(__xludf.DUMMYFUNCTION("IF(REGEXMATCH(LD118, ""D""), ""D1"",IF(REGEXMATCH(LE118, ""D""), ""D2"",""""))"),"D1")</f>
        <v>D1</v>
      </c>
      <c r="LR118" s="299" t="str">
        <f>IFERROR(__xludf.DUMMYFUNCTION("IF(REGEXMATCH(LD118, ""n""), ""n1"",IF(REGEXMATCH(LE118, ""n""), ""n2"",""""))"),"")</f>
        <v/>
      </c>
      <c r="LS118" s="299" t="str">
        <f>IFERROR(__xludf.DUMMYFUNCTION("IF(REGEXMATCH(LD118, ""N""), ""N1"",IF(REGEXMATCH(LE118, ""N""), ""N2"",""""))"),"N1")</f>
        <v>N1</v>
      </c>
      <c r="LT118" s="388" t="str">
        <f>IFERROR(__xludf.DUMMYFUNCTION("IF(REGEXMATCH(LD118, ""S""), ""S"",IF(REGEXMATCH(LE118, ""S""), ""S"",""""))"),"S")</f>
        <v>S</v>
      </c>
      <c r="LU118" s="389">
        <f t="shared" si="196"/>
        <v>0</v>
      </c>
      <c r="LV118" s="378"/>
      <c r="LW118" s="369"/>
      <c r="LX118" s="369"/>
    </row>
    <row r="119" ht="18.0" customHeight="1">
      <c r="A119" s="298" t="s">
        <v>747</v>
      </c>
      <c r="B119" s="222" t="s">
        <v>748</v>
      </c>
      <c r="C119" s="233" t="str">
        <f t="shared" si="7"/>
        <v>SRgmPnS</v>
      </c>
      <c r="D119" s="234" t="str">
        <f>IFERROR(__xludf.DUMMYFUNCTION("IF(REGEXMATCH(C119, ""S""), ""S"","""")"),"S")</f>
        <v>S</v>
      </c>
      <c r="E119" s="236" t="str">
        <f>IFERROR(__xludf.DUMMYFUNCTION("IF(REGEXMATCH(C119, ""r""), ""r"","""")"),"")</f>
        <v/>
      </c>
      <c r="F119" s="237" t="str">
        <f>IFERROR(__xludf.DUMMYFUNCTION("IF(REGEXMATCH(C119, ""R""), ""R"","""")"),"R")</f>
        <v>R</v>
      </c>
      <c r="G119" s="237" t="str">
        <f>IFERROR(__xludf.DUMMYFUNCTION("IF(REGEXMATCH(C119, ""g""), ""g"","""")"),"g")</f>
        <v>g</v>
      </c>
      <c r="H119" s="236" t="str">
        <f>IFERROR(__xludf.DUMMYFUNCTION("IF(REGEXMATCH(C119, ""G""), ""G"","""")"),"")</f>
        <v/>
      </c>
      <c r="I119" s="236" t="str">
        <f>IFERROR(__xludf.DUMMYFUNCTION("IF(REGEXMATCH(C119, ""m""), ""m"","""")"),"m")</f>
        <v>m</v>
      </c>
      <c r="J119" s="237" t="str">
        <f>IFERROR(__xludf.DUMMYFUNCTION("IF(REGEXMATCH(C119, ""M""), ""M"","""")"),"")</f>
        <v/>
      </c>
      <c r="K119" s="236" t="str">
        <f>IFERROR(__xludf.DUMMYFUNCTION("IF(REGEXMATCH(C119, ""P""), ""P"","""")"),"P")</f>
        <v>P</v>
      </c>
      <c r="L119" s="237" t="str">
        <f>IFERROR(__xludf.DUMMYFUNCTION("IF(REGEXMATCH(C119, ""d""), ""d"","""")"),"")</f>
        <v/>
      </c>
      <c r="M119" s="236" t="str">
        <f>IFERROR(__xludf.DUMMYFUNCTION("IF(REGEXMATCH(C119, ""D""), ""D"","""")"),"")</f>
        <v/>
      </c>
      <c r="N119" s="236" t="str">
        <f>IFERROR(__xludf.DUMMYFUNCTION("IF(REGEXMATCH(C119, ""n""), ""n"","""")"),"n")</f>
        <v>n</v>
      </c>
      <c r="O119" s="237" t="str">
        <f>IFERROR(__xludf.DUMMYFUNCTION("IF(REGEXMATCH(C119, ""N""), ""N"","""")"),"")</f>
        <v/>
      </c>
      <c r="P119" s="238" t="str">
        <f>IFERROR(__xludf.DUMMYFUNCTION("IF(REGEXMATCH(C119, ""S""), ""S"","""")"),"S")</f>
        <v>S</v>
      </c>
      <c r="Q119" s="239" t="str">
        <f>IFERROR(__xludf.DUMMYFUNCTION("SUBSTITUTE(CONCATENATE(JOIN(""-"",D119:J119)),""-"","""")"),"SRgm")</f>
        <v>SRgm</v>
      </c>
      <c r="R119" s="229" t="str">
        <f>IFERROR(__xludf.DUMMYFUNCTION("SUBSTITUTE(CONCATENATE(JOIN(""-"",K119:P119)),""-"","""")"),"PnS")</f>
        <v>PnS</v>
      </c>
      <c r="S119" s="282" t="str">
        <f t="shared" si="8"/>
        <v>S-R-G-M</v>
      </c>
      <c r="T119" s="282" t="str">
        <f t="shared" si="9"/>
        <v>P-N-S</v>
      </c>
      <c r="U119" s="237" t="str">
        <f>IFERROR(__xludf.DUMMYFUNCTION("SUBSTITUTE(JOIN(""-"",S119,T119),""--"",""-"")"),"S-R-G-M-P-N-S")</f>
        <v>S-R-G-M-P-N-S</v>
      </c>
      <c r="V119" s="309" t="str">
        <f t="shared" si="10"/>
        <v>Rgmn</v>
      </c>
      <c r="W119" s="244" t="str">
        <f>IFERROR(__xludf.DUMMYFUNCTION("IF(REGEXMATCH(C119, ""S""), ""0"","""")"),"0")</f>
        <v>0</v>
      </c>
      <c r="X119" s="245" t="str">
        <f>IFERROR(__xludf.DUMMYFUNCTION("IF(REGEXMATCH(C119, ""r""), ""1"","""")"),"")</f>
        <v/>
      </c>
      <c r="Y119" s="246" t="str">
        <f>IFERROR(__xludf.DUMMYFUNCTION("IF(REGEXMATCH(C119, ""R""), ""2"","""")"),"2")</f>
        <v>2</v>
      </c>
      <c r="Z119" s="246" t="str">
        <f>IFERROR(__xludf.DUMMYFUNCTION("IF(REGEXMATCH(C119, ""g""), ""3"","""")"),"3")</f>
        <v>3</v>
      </c>
      <c r="AA119" s="245" t="str">
        <f>IFERROR(__xludf.DUMMYFUNCTION("IF(REGEXMATCH(C119, ""G""), ""4"","""")"),"")</f>
        <v/>
      </c>
      <c r="AB119" s="245" t="str">
        <f>IFERROR(__xludf.DUMMYFUNCTION("IF(REGEXMATCH(C119, ""m""), ""5"","""")"),"5")</f>
        <v>5</v>
      </c>
      <c r="AC119" s="246" t="str">
        <f>IFERROR(__xludf.DUMMYFUNCTION("IF(REGEXMATCH(C119, ""M""), ""6"","""")"),"")</f>
        <v/>
      </c>
      <c r="AD119" s="245" t="str">
        <f>IFERROR(__xludf.DUMMYFUNCTION("IF(REGEXMATCH(C119, ""P""), ""7"","""")"),"7")</f>
        <v>7</v>
      </c>
      <c r="AE119" s="246" t="str">
        <f>IFERROR(__xludf.DUMMYFUNCTION("IF(REGEXMATCH(C119, ""d""), ""8"","""")"),"")</f>
        <v/>
      </c>
      <c r="AF119" s="245" t="str">
        <f>IFERROR(__xludf.DUMMYFUNCTION("IF(REGEXMATCH(C119, ""D""), ""9"","""")"),"")</f>
        <v/>
      </c>
      <c r="AG119" s="245" t="str">
        <f>IFERROR(__xludf.DUMMYFUNCTION("IF(REGEXMATCH(C119, ""n""), ""10"","""")"),"10")</f>
        <v>10</v>
      </c>
      <c r="AH119" s="246" t="str">
        <f>IFERROR(__xludf.DUMMYFUNCTION("IF(REGEXMATCH(C119, ""N""), ""11"","""")"),"")</f>
        <v/>
      </c>
      <c r="AI119" s="249" t="str">
        <f>IFERROR(__xludf.DUMMYFUNCTION("IF(REGEXMATCH(C119, ""S""), ""0"","""")"),"0")</f>
        <v>0</v>
      </c>
      <c r="AJ119" s="313" t="str">
        <f t="shared" si="11"/>
        <v>-</v>
      </c>
      <c r="AK119" s="313" t="str">
        <f t="shared" si="12"/>
        <v>-</v>
      </c>
      <c r="AL119" s="313" t="str">
        <f t="shared" si="13"/>
        <v>-</v>
      </c>
      <c r="AM119" s="313" t="str">
        <f t="shared" si="14"/>
        <v>-</v>
      </c>
      <c r="AN119" s="313" t="str">
        <f t="shared" si="15"/>
        <v>-</v>
      </c>
      <c r="AO119" s="314" t="str">
        <f t="shared" si="16"/>
        <v>-</v>
      </c>
      <c r="AP119" s="316">
        <f t="shared" si="17"/>
        <v>0</v>
      </c>
      <c r="AQ119" s="319" t="str">
        <f t="shared" si="18"/>
        <v>-</v>
      </c>
      <c r="AR119" s="320">
        <f t="shared" si="19"/>
        <v>0</v>
      </c>
      <c r="AS119" s="250" t="str">
        <f>IFERROR(__xludf.DUMMYFUNCTION("SUBSTITUTE(SUBSTITUTE(CONCATENATE(JOIN("""",FP119:GA119)),""|"",""x""),""-"",""o"")"),"xoxxoxoxooxo")</f>
        <v>xoxxoxoxooxo</v>
      </c>
      <c r="AT119" s="323" t="str">
        <f>IFERROR(__xludf.DUMMYFUNCTION("JOIN("""",AS119,AS119)"),"xoxxoxoxooxoxoxxoxoxooxo")</f>
        <v>xoxxoxoxooxoxoxxoxoxooxo</v>
      </c>
      <c r="AU119" s="256" t="str">
        <f>IFERROR(__xludf.DUMMYFUNCTION("JOIN("""",ArrayFormula(MID(AS119,LEN(AS119)-SEQUENCE(1,LEN(AS119))+1,1)))"),"oxooxoxoxxox")</f>
        <v>oxooxoxoxxox</v>
      </c>
      <c r="AV119" s="256" t="str">
        <f>IFERROR(__xludf.DUMMYFUNCTION("LEFT(CONCATENATE(""x"",JOIN("""",ArrayFormula(MID(AS119,LEN(AS119)-SEQUENCE(1,LEN(AS119))+1,1)))),12)"),"xoxooxoxoxxo")</f>
        <v>xoxooxoxoxxo</v>
      </c>
      <c r="AW119" s="327" t="str">
        <f>IFERROR(__xludf.DUMMYFUNCTION("JOIN("""",AU119,AU119)"),"oxooxoxoxxoxoxooxoxoxxox")</f>
        <v>oxooxoxoxxoxoxooxoxoxxox</v>
      </c>
      <c r="AX119" s="239" t="str">
        <f>IFERROR(__xludf.DUMMYFUNCTION("IF(REGEXMATCH(AW119,AS119),""✔"",""-"")"),"✔")</f>
        <v>✔</v>
      </c>
      <c r="AY119" s="330" t="str">
        <f t="shared" si="20"/>
        <v>-</v>
      </c>
      <c r="AZ119" s="260" t="str">
        <f t="shared" si="21"/>
        <v>#REF!</v>
      </c>
      <c r="BA119" s="333" t="str">
        <f t="shared" si="22"/>
        <v>xoxxoxo</v>
      </c>
      <c r="BB119" s="334" t="str">
        <f t="shared" si="23"/>
        <v>xooxox</v>
      </c>
      <c r="BC119" s="335" t="str">
        <f t="shared" si="236"/>
        <v>-</v>
      </c>
      <c r="BD119" s="336" t="str">
        <f t="shared" si="25"/>
        <v>Gaudgiri Malhar: 'xoxxoxo' + 'xooxox'</v>
      </c>
      <c r="BE119" s="337">
        <f>IFERROR(__xludf.DUMMYFUNCTION("COUNTUNIQUE(FILTER(AT:AT,REGEXMATCH(AT:AT,AS119)))-1"),3.0)</f>
        <v>3</v>
      </c>
      <c r="BF119" s="261" t="str">
        <f>IFERROR(__xludf.DUMMYFUNCTION("IF(BI119=0,""(n/a)"",IF(BJ119=2,""(PAIR)"",IF(REGEXMATCH(AT119,""xoxoxxoxoxox""),""Bilawal"",IF(REGEXMATCH(AT119,""xoxoxooxoxoo""),""Bhupali"",IF(REGEXMATCH(AT119,""xoxoxxoxxoxo""),""Charukeshi"",IF(REGEXMATCH(AT119,""xoxoooxxoxxo""),""Kameshwari"",IF(REG"&amp;"EXMATCH(AT119,""xoxoxooxoxox""),""Shankara"",IF(REGEXMATCH(AT119,""xxooxoxxxoox""),""Basant"",IF(REGEXMATCH(AT119,""xoxoxxxxoxox""),""Bihag"",IF(REGEXMATCH(AT119,""xoxxxxoxoxxx""),""Pilu"",IF(REGEXMATCH(AT119,""xoxxoxoxxoox""),""Kirwani"",IF(REGEXMATCH(AT"&amp;"119,""xoxxoxoxoxxx""),""Mk.Malhar"",IF(REGEXMATCH(AT119,""xxooxxoxxoox""),""Bhairav"",IF(REGEXMATCH(AT119,""xxoxooxxxoox""),""Todi"",IF(REGEXMATCH(AT119,""xxooxoxooxox""),""Marwa"",IF(REGEXMATCH(AT119,""xxoooxoxxooo""),""Gunkali"",IF(REGEXMATCH(AT119,""xo"&amp;"xoxxoxxoox""),""Nat Bhairav"",IF(REGEXMATCH(AT119,""xoxxoooxoxoo""),""Shivranjani"",IF(REGEXMATCH(AT119,""xooxxxoxooxo""),""Jog"",IF(REGEXMATCH(AT119,""xxooxoxoxoox""),""Hemshri"",IF(REGEXMATCH(AT119,""xoooxooxoxxo""),""Kalavati"",IF(REGEXMATCH(AT119,""xx"&amp;"oxoxxoxoox""),""Kedar"",IF(REGEXMATCH(AT119,""xoxxxxoxooxx""),""Gara"",IF(REGEXMATCH(AT119,""xooxoxooxoox""),""Chandrakauns"",IF(REGEXMATCH(AT119,""xoxxxxoxxxox""),""Mand"",IF(REGEXMATCH(AT119,""xoxxxxoxoxox""),""Hanskinkini"",IF(REGEXMATCH(AT119,""xxooxx"&amp;"oxooxo""),""Lilavati"",IF(REGEXMATCH(AT119,""xooxoxoooxox""),""Rajeshwari"",IF(REGEXMATCH(AT119,""xoooxxoxoxxx""),""Khokar"",IF(REGEXMATCH(AT119,""xxooxoxxxxox""),""Maligoura"",""-""))))))))))))))))))))))))))))))"),"Shankara")</f>
        <v>Shankara</v>
      </c>
      <c r="BG119" s="239" t="str">
        <f t="shared" si="26"/>
        <v>#REF!</v>
      </c>
      <c r="BH119" s="239">
        <f>IFERROR(__xludf.DUMMYFUNCTION("COUNTUNIQUE(FE119:FO119)-1"),5.0)</f>
        <v>5</v>
      </c>
      <c r="BI119" s="239">
        <f>IFERROR(__xludf.DUMMYFUNCTION("COUNTUNIQUE(FILTER(AT:AT,REGEXMATCH(AT:AT,AS119)))-1"),3.0)</f>
        <v>3</v>
      </c>
      <c r="BJ119" s="239">
        <f>IFERROR(__xludf.DUMMYFUNCTION("COUNTA(FILTER(AT:AT,REGEXMATCH(AT:AT,AS119)))"),11.0)</f>
        <v>11</v>
      </c>
      <c r="BK119" s="341">
        <f>IFERROR(__xludf.DUMMYFUNCTION("COUNTA(FILTER(AT:AT,REGEXMATCH(AT:AT,AS119)))-AR119"),11.0)</f>
        <v>11</v>
      </c>
      <c r="BL119" s="276" t="str">
        <f>IFERROR(__xludf.DUMMYFUNCTION("IF(AS119=""oooooooooooo"",""-"",IF(REGEXMATCH(AT119,""xx""), ""Hemi."", ""Anhemi.""))"),"Hemi.")</f>
        <v>Hemi.</v>
      </c>
      <c r="BM119" s="282" t="str">
        <f>IFERROR(__xludf.DUMMYFUNCTION("IF(AS119=""oooooooooooo"",""-"",IF(REGEXMATCH(AT119,""xxx""), ""Cohem."", ""-""))"),"-")</f>
        <v>-</v>
      </c>
      <c r="BN119" s="282" t="str">
        <f>IFERROR(__xludf.DUMMYFUNCTION("IF(AS119=""oooooooooooo"",""-"",IF(REGEXMATCH(AT119,""xxxx""), ""Co-Co."", ""-""))"),"-")</f>
        <v>-</v>
      </c>
      <c r="BO119" s="342" t="str">
        <f>IFERROR(__xludf.DUMMYFUNCTION("IF(AS119=""oooooooooooo"",""-"",IF(REGEXMATCH(AT119,""xxxxx""), ""CCC."", ""-""))"),"-")</f>
        <v>-</v>
      </c>
      <c r="BP119" s="344" t="str">
        <f t="shared" si="27"/>
        <v>-</v>
      </c>
      <c r="BQ119" s="282" t="str">
        <f>IFERROR(__xludf.DUMMYFUNCTION("IF(REGEXMATCH(JOIN(""-"",EU119:FD119),""TRUE""),""✔"",""-"")"),"✔")</f>
        <v>✔</v>
      </c>
      <c r="BR119" s="225">
        <f t="shared" si="28"/>
        <v>2</v>
      </c>
      <c r="BS119" s="345" t="str">
        <f>IFERROR(__xludf.DUMMYFUNCTION("SUBSTITUTE(SUBSTITUTE(SUBSTITUTE(SUBSTITUTE(CONCATENATE(JOIN(""-"",GC119:GO119)),""--"",""-""),""--"",""-""),""--"",""-""),""--"",""-"")"),"1-2-b3-4-5-b7-8")</f>
        <v>1-2-b3-4-5-b7-8</v>
      </c>
      <c r="BT119" s="299" t="str">
        <f>IFERROR(__xludf.DUMMYFUNCTION("SUBSTITUTE(SUBSTITUTE(SUBSTITUTE(SUBSTITUTE(CONCATENATE(JOIN(""-"",GP119:HB119)),""--"",""-""),""--"",""-""),""--"",""-""),""--"",""-"")"),"S-R2-G2-M1-P-N2-S")</f>
        <v>S-R2-G2-M1-P-N2-S</v>
      </c>
      <c r="BU119" s="348" t="str">
        <f t="shared" si="29"/>
        <v>C-D-Eb-F-G-Bb-C</v>
      </c>
      <c r="BV119" s="349" t="str">
        <f t="shared" si="30"/>
        <v>SrGMdDNS</v>
      </c>
      <c r="BW119" s="350">
        <f t="shared" si="31"/>
        <v>0</v>
      </c>
      <c r="BX119" s="351">
        <f t="shared" si="32"/>
        <v>4</v>
      </c>
      <c r="BY119" s="392"/>
      <c r="BZ119" s="309" t="str">
        <f>IFERROR(__xludf.DUMMYFUNCTION("IF(REGEXMATCH(C119, ""S""), ""x"",""x"")"),"x")</f>
        <v>x</v>
      </c>
      <c r="CA119" s="245" t="str">
        <f>IFERROR(__xludf.DUMMYFUNCTION("IF(REGEXMATCH(C119, ""r""), ""o"",""x"")"),"x")</f>
        <v>x</v>
      </c>
      <c r="CB119" s="246" t="str">
        <f>IFERROR(__xludf.DUMMYFUNCTION("IF(REGEXMATCH(C119, ""R""), ""o"",""x"")"),"o")</f>
        <v>o</v>
      </c>
      <c r="CC119" s="246" t="str">
        <f>IFERROR(__xludf.DUMMYFUNCTION("IF(REGEXMATCH(C119, ""g""), ""o"",""x"")"),"o")</f>
        <v>o</v>
      </c>
      <c r="CD119" s="245" t="str">
        <f>IFERROR(__xludf.DUMMYFUNCTION("IF(REGEXMATCH(C119, ""G""), ""o"",""x"")"),"x")</f>
        <v>x</v>
      </c>
      <c r="CE119" s="245" t="str">
        <f>IFERROR(__xludf.DUMMYFUNCTION("IF(REGEXMATCH(C119, ""m""), ""o"",""x"")"),"o")</f>
        <v>o</v>
      </c>
      <c r="CF119" s="246" t="str">
        <f>IFERROR(__xludf.DUMMYFUNCTION("IF(REGEXMATCH(C119, ""M""), ""o"",""x"")"),"x")</f>
        <v>x</v>
      </c>
      <c r="CG119" s="245" t="str">
        <f>IFERROR(__xludf.DUMMYFUNCTION("IF(REGEXMATCH(C119, ""P""), ""o"",""x"")"),"o")</f>
        <v>o</v>
      </c>
      <c r="CH119" s="246" t="str">
        <f>IFERROR(__xludf.DUMMYFUNCTION("IF(REGEXMATCH(C119, ""d""), ""o"",""x"")"),"x")</f>
        <v>x</v>
      </c>
      <c r="CI119" s="245" t="str">
        <f>IFERROR(__xludf.DUMMYFUNCTION("IF(REGEXMATCH(C119, ""D""), ""o"",""x"")"),"x")</f>
        <v>x</v>
      </c>
      <c r="CJ119" s="245" t="str">
        <f>IFERROR(__xludf.DUMMYFUNCTION("IF(REGEXMATCH(C119, ""n""), ""o"",""x"")"),"o")</f>
        <v>o</v>
      </c>
      <c r="CK119" s="245" t="str">
        <f>IFERROR(__xludf.DUMMYFUNCTION("IF(REGEXMATCH(C119, ""N""), ""o"",""x"")"),"x")</f>
        <v>x</v>
      </c>
      <c r="CL119" s="356" t="str">
        <f>IFERROR(__xludf.DUMMYFUNCTION("IF(REGEXMATCH(C119, ""S""), ""x"",""x"")"),"x")</f>
        <v>x</v>
      </c>
      <c r="CM119" s="357" t="str">
        <f t="shared" si="33"/>
        <v>xxooxoxoxxox</v>
      </c>
      <c r="CN119" s="358">
        <f t="shared" si="34"/>
        <v>0</v>
      </c>
      <c r="CO119" s="246" t="str">
        <f>IFERROR(__xludf.DUMMYFUNCTION("IF(REGEXMATCH($C119, ""S""), ""S"",""S"")"),"S")</f>
        <v>S</v>
      </c>
      <c r="CP119" s="246" t="str">
        <f>IFERROR(__xludf.DUMMYFUNCTION("IF(REGEXMATCH($C119, ""r""), """",""r"")"),"r")</f>
        <v>r</v>
      </c>
      <c r="CQ119" s="246" t="str">
        <f>IFERROR(__xludf.DUMMYFUNCTION("IF(REGEXMATCH($C119, ""R""), """",""R"")"),"")</f>
        <v/>
      </c>
      <c r="CR119" s="246" t="str">
        <f>IFERROR(__xludf.DUMMYFUNCTION("IF(REGEXMATCH($C119, ""g""), """",""g"")"),"")</f>
        <v/>
      </c>
      <c r="CS119" s="246" t="str">
        <f>IFERROR(__xludf.DUMMYFUNCTION("IF(REGEXMATCH($C119, ""G""), """",""G"")"),"G")</f>
        <v>G</v>
      </c>
      <c r="CT119" s="246" t="str">
        <f>IFERROR(__xludf.DUMMYFUNCTION("IF(REGEXMATCH($C119, ""m""), """",""m"")"),"")</f>
        <v/>
      </c>
      <c r="CU119" s="246" t="str">
        <f>IFERROR(__xludf.DUMMYFUNCTION("IF(REGEXMATCH($C119, ""M""), """",""M"")"),"M")</f>
        <v>M</v>
      </c>
      <c r="CV119" s="246" t="str">
        <f>IFERROR(__xludf.DUMMYFUNCTION("IF(REGEXMATCH($C119, ""P""), """",""P"")"),"")</f>
        <v/>
      </c>
      <c r="CW119" s="246" t="str">
        <f>IFERROR(__xludf.DUMMYFUNCTION("IF(REGEXMATCH($C119, ""d""), """",""d"")"),"d")</f>
        <v>d</v>
      </c>
      <c r="CX119" s="246" t="str">
        <f>IFERROR(__xludf.DUMMYFUNCTION("IF(REGEXMATCH($C119, ""D""), """",""D"")"),"D")</f>
        <v>D</v>
      </c>
      <c r="CY119" s="246" t="str">
        <f>IFERROR(__xludf.DUMMYFUNCTION("IF(REGEXMATCH($C119, ""n""), """",""n"")"),"")</f>
        <v/>
      </c>
      <c r="CZ119" s="246" t="str">
        <f>IFERROR(__xludf.DUMMYFUNCTION("IF(REGEXMATCH($C119, ""N""), """",""N"")"),"N")</f>
        <v>N</v>
      </c>
      <c r="DA119" s="246" t="str">
        <f>IFERROR(__xludf.DUMMYFUNCTION("IF(REGEXMATCH($C119, ""S""), ""S"",""S"")"),"S")</f>
        <v>S</v>
      </c>
      <c r="DB119" s="362" t="str">
        <f>IFERROR(__xludf.DUMMYFUNCTION("JOIN("""",CO119:DA119,"""","""")"),"SrGMdDNS")</f>
        <v>SrGMdDNS</v>
      </c>
      <c r="DC119" s="363"/>
      <c r="DD119" s="301" t="str">
        <f t="shared" si="35"/>
        <v>#REF!</v>
      </c>
      <c r="DE119" s="302" t="str">
        <f t="shared" si="36"/>
        <v>#REF!</v>
      </c>
      <c r="DF119" s="301" t="str">
        <f t="shared" ref="DF119:DG119" si="441">SUBSTITUTE(S119,"-","")</f>
        <v>SRGM</v>
      </c>
      <c r="DG119" s="301" t="str">
        <f t="shared" si="441"/>
        <v>PNS</v>
      </c>
      <c r="DH119" s="302" t="str">
        <f t="shared" si="38"/>
        <v>Shankara</v>
      </c>
      <c r="DI119" s="301" t="str">
        <f t="shared" si="39"/>
        <v>Hemi.</v>
      </c>
      <c r="DJ119" s="364" t="str">
        <f t="shared" si="40"/>
        <v>-</v>
      </c>
      <c r="DK119" s="306" t="str">
        <f t="shared" si="41"/>
        <v>-</v>
      </c>
      <c r="DL119" s="366" t="str">
        <f t="shared" si="42"/>
        <v>✔</v>
      </c>
      <c r="DM119" s="308" t="str">
        <f t="shared" si="43"/>
        <v>-</v>
      </c>
      <c r="DN119" s="306" t="str">
        <f t="shared" si="44"/>
        <v>-</v>
      </c>
      <c r="DO119" s="306" t="str">
        <f t="shared" si="45"/>
        <v>-</v>
      </c>
      <c r="DP119" s="367" t="str">
        <f t="shared" si="46"/>
        <v>-</v>
      </c>
      <c r="DQ119" s="310" t="str">
        <f t="shared" si="47"/>
        <v>-</v>
      </c>
      <c r="DR119" s="310" t="str">
        <f t="shared" si="48"/>
        <v>-</v>
      </c>
      <c r="DS119" s="310" t="str">
        <f t="shared" si="49"/>
        <v>-</v>
      </c>
      <c r="DT119" s="310" t="str">
        <f t="shared" si="50"/>
        <v>-</v>
      </c>
      <c r="DU119" s="370" t="str">
        <f t="shared" si="51"/>
        <v>-</v>
      </c>
      <c r="DV119" s="306" t="str">
        <f t="shared" si="52"/>
        <v>-</v>
      </c>
      <c r="DW119" s="306" t="str">
        <f t="shared" si="53"/>
        <v>-</v>
      </c>
      <c r="DX119" s="306" t="str">
        <f t="shared" si="54"/>
        <v>-</v>
      </c>
      <c r="DY119" s="306" t="str">
        <f t="shared" si="55"/>
        <v>-</v>
      </c>
      <c r="DZ119" s="306" t="str">
        <f t="shared" si="56"/>
        <v>✔</v>
      </c>
      <c r="EA119" s="367" t="str">
        <f t="shared" si="57"/>
        <v>-</v>
      </c>
      <c r="EB119" s="310" t="str">
        <f>IFERROR(__xludf.DUMMYFUNCTION("IF(REGEXMATCH(AW119,AS119),""✔"",""-"")"),"✔")</f>
        <v>✔</v>
      </c>
      <c r="EC119" s="310" t="str">
        <f t="shared" si="58"/>
        <v>#REF!</v>
      </c>
      <c r="ED119" s="370" t="str">
        <f t="shared" si="59"/>
        <v>-</v>
      </c>
      <c r="EE119" s="340" t="str">
        <f t="shared" si="60"/>
        <v>S-R-g-m-P-n-S</v>
      </c>
      <c r="EF119" s="371" t="str">
        <f>IFERROR(__xludf.DUMMYFUNCTION("CONCATENATE(JOIN("""",HC119:HO119))"),"SRmPDnS")</f>
        <v>SRmPDnS</v>
      </c>
      <c r="EG119" s="372">
        <f t="shared" si="61"/>
        <v>1</v>
      </c>
      <c r="EH119" s="373" t="str">
        <f>IFERROR(__xludf.DUMMYFUNCTION("CONCATENATE(JOIN("""",JC119:JO119))"),"Re, ")</f>
        <v>Re, </v>
      </c>
      <c r="EI119" s="322">
        <f t="shared" si="62"/>
        <v>0</v>
      </c>
      <c r="EJ119" s="374" t="str">
        <f>IFERROR(__xludf.DUMMYFUNCTION("CONCATENATE(JOIN("""",KC119:KO119))"),"")</f>
        <v/>
      </c>
      <c r="EK119" s="325" t="str">
        <f t="shared" si="63"/>
        <v>S-R2-G2-M1-P-N2-S</v>
      </c>
      <c r="EL119" s="326" t="str">
        <f t="shared" si="64"/>
        <v>1-2-b3-4-5-b7-8</v>
      </c>
      <c r="EM119" s="318" t="str">
        <f t="shared" si="65"/>
        <v>#REF!</v>
      </c>
      <c r="EN119" s="328" t="str">
        <f>IFERROR(__xludf.DUMMYFUNCTION("SUBSTITUTE(SUBSTITUTE(SUBSTITUTE(SUBSTITUTE(CONCATENATE(JOIN("" "",HP119:IB119)),""  "","" ""),""  "","" ""),""  "","" ""),""  "","" "")"),"o • o o • o • o • • o • o")</f>
        <v>o • o o • o • o • • o • o</v>
      </c>
      <c r="EO119" s="368" t="str">
        <f t="shared" si="66"/>
        <v>-</v>
      </c>
      <c r="EP119" s="339" t="str">
        <f t="shared" si="67"/>
        <v>-</v>
      </c>
      <c r="EQ119" s="339" t="str">
        <f t="shared" si="68"/>
        <v>Sa-Pa</v>
      </c>
      <c r="ER119" s="339" t="str">
        <f t="shared" si="69"/>
        <v>-</v>
      </c>
      <c r="ES119" s="340" t="str">
        <f t="shared" si="70"/>
        <v>-</v>
      </c>
      <c r="ET119" s="363"/>
      <c r="EU119" s="376" t="b">
        <f>IFERROR(__xludf.DUMMYFUNCTION("arrayformula(sum(--REGEXMATCH(""SRGMPDNS"",split(REGEXREPLACE(C119,""(.)"",""$1~""),""~""))))=len(C119)
"),FALSE)</f>
        <v>0</v>
      </c>
      <c r="EV119" s="290" t="b">
        <f>IFERROR(__xludf.DUMMYFUNCTION("arrayformula(sum(--REGEXMATCH(""SRGmPDNS"",split(REGEXREPLACE(C119,""(.)"",""$1~""),""~""))))=len(C119)"),FALSE)</f>
        <v>0</v>
      </c>
      <c r="EW119" s="290" t="b">
        <f>IFERROR(__xludf.DUMMYFUNCTION("arrayformula(sum(--REGEXMATCH(""SRGmPDnS"",split(REGEXREPLACE(C119,""(.)"",""$1~""),""~""))))=len(C119)"),FALSE)</f>
        <v>0</v>
      </c>
      <c r="EX119" s="290" t="b">
        <f>IFERROR(__xludf.DUMMYFUNCTION("arrayformula(sum(--REGEXMATCH(""SRgmPDnS"",split(REGEXREPLACE(C119,""(.)"",""$1~""),""~""))))=len(C119)"),TRUE)</f>
        <v>1</v>
      </c>
      <c r="EY119" s="290" t="b">
        <f>IFERROR(__xludf.DUMMYFUNCTION("arrayformula(sum(--REGEXMATCH(""SRgmPdnS"",split(REGEXREPLACE(C119,""(.)"",""$1~""),""~""))))=len(C119)"),TRUE)</f>
        <v>1</v>
      </c>
      <c r="EZ119" s="290" t="b">
        <f>IFERROR(__xludf.DUMMYFUNCTION("arrayformula(sum(--REGEXMATCH(""SrgmPdnS"",split(REGEXREPLACE(C119,""(.)"",""$1~""),""~""))))=len(C119)"),FALSE)</f>
        <v>0</v>
      </c>
      <c r="FA119" s="290" t="b">
        <f>IFERROR(__xludf.DUMMYFUNCTION("arrayformula(sum(--REGEXMATCH(""SrGmPdNS"",split(REGEXREPLACE(C119,""(.)"",""$1~""),""~""))))=len(C119)"),FALSE)</f>
        <v>0</v>
      </c>
      <c r="FB119" s="290" t="b">
        <f>IFERROR(__xludf.DUMMYFUNCTION("arrayformula(sum(--REGEXMATCH(""SrGMPDNS"",split(REGEXREPLACE(C119,""(.)"",""$1~""),""~""))))=len(C119)"),FALSE)</f>
        <v>0</v>
      </c>
      <c r="FC119" s="290" t="b">
        <f>IFERROR(__xludf.DUMMYFUNCTION("arrayformula(sum(--REGEXMATCH(""SrGMPdNS"",split(REGEXREPLACE(C119,""(.)"",""$1~""),""~""))))=len(C119)"),FALSE)</f>
        <v>0</v>
      </c>
      <c r="FD119" s="377" t="b">
        <f>IFERROR(__xludf.DUMMYFUNCTION("arrayformula(sum(--REGEXMATCH(""SrgMPdNS"",split(REGEXREPLACE(C119,""(.)"",""$1~""),""~""))))=len(C119)"),FALSE)</f>
        <v>0</v>
      </c>
      <c r="FE119" s="269" t="str">
        <f t="shared" si="71"/>
        <v>-</v>
      </c>
      <c r="FF119" s="269" t="str">
        <f t="shared" si="72"/>
        <v>xxoxoxooxox</v>
      </c>
      <c r="FG119" s="271" t="str">
        <f t="shared" si="73"/>
        <v>xoxoxooxoxo</v>
      </c>
      <c r="FH119" s="269" t="str">
        <f t="shared" si="74"/>
        <v>-</v>
      </c>
      <c r="FI119" s="271" t="str">
        <f t="shared" si="75"/>
        <v>xoxooxoxoxx</v>
      </c>
      <c r="FJ119" s="271" t="str">
        <f t="shared" si="76"/>
        <v>-</v>
      </c>
      <c r="FK119" s="271" t="str">
        <f t="shared" si="77"/>
        <v>xooxoxoxxox</v>
      </c>
      <c r="FL119" s="271" t="str">
        <f t="shared" si="78"/>
        <v>-</v>
      </c>
      <c r="FM119" s="271" t="str">
        <f t="shared" si="79"/>
        <v>-</v>
      </c>
      <c r="FN119" s="271" t="str">
        <f t="shared" si="80"/>
        <v>xoxoxxoxoxo</v>
      </c>
      <c r="FO119" s="274" t="str">
        <f t="shared" si="81"/>
        <v>-</v>
      </c>
      <c r="FP119" s="234" t="str">
        <f t="shared" si="82"/>
        <v>|</v>
      </c>
      <c r="FQ119" s="236" t="str">
        <f t="shared" si="83"/>
        <v>-</v>
      </c>
      <c r="FR119" s="237" t="str">
        <f t="shared" si="84"/>
        <v>|</v>
      </c>
      <c r="FS119" s="236" t="str">
        <f t="shared" si="85"/>
        <v>|</v>
      </c>
      <c r="FT119" s="237" t="str">
        <f t="shared" si="86"/>
        <v>-</v>
      </c>
      <c r="FU119" s="236" t="str">
        <f t="shared" si="87"/>
        <v>|</v>
      </c>
      <c r="FV119" s="237" t="str">
        <f t="shared" si="88"/>
        <v>-</v>
      </c>
      <c r="FW119" s="236" t="str">
        <f t="shared" si="89"/>
        <v>|</v>
      </c>
      <c r="FX119" s="237" t="str">
        <f t="shared" si="90"/>
        <v>-</v>
      </c>
      <c r="FY119" s="236" t="str">
        <f t="shared" si="91"/>
        <v>-</v>
      </c>
      <c r="FZ119" s="237" t="str">
        <f t="shared" si="92"/>
        <v>|</v>
      </c>
      <c r="GA119" s="236" t="str">
        <f t="shared" si="93"/>
        <v>-</v>
      </c>
      <c r="GB119" s="238" t="str">
        <f t="shared" si="94"/>
        <v>|</v>
      </c>
      <c r="GC119" s="244" t="str">
        <f>IFERROR(__xludf.DUMMYFUNCTION("IF(REGEXMATCH(C119, ""S""), ""1"","""")"),"1")</f>
        <v>1</v>
      </c>
      <c r="GD119" s="245" t="str">
        <f>IFERROR(__xludf.DUMMYFUNCTION("IF(REGEXMATCH(C119, ""r""), ""b2"","""")"),"")</f>
        <v/>
      </c>
      <c r="GE119" s="246" t="str">
        <f>IFERROR(__xludf.DUMMYFUNCTION("IF(REGEXMATCH(C119, ""R""), ""2"","""")"),"2")</f>
        <v>2</v>
      </c>
      <c r="GF119" s="246" t="str">
        <f>IFERROR(__xludf.DUMMYFUNCTION("IF(REGEXMATCH(C119, ""g""), ""b3"","""")"),"b3")</f>
        <v>b3</v>
      </c>
      <c r="GG119" s="245" t="str">
        <f>IFERROR(__xludf.DUMMYFUNCTION("IF(REGEXMATCH(C119, ""G""), ""3"","""")"),"")</f>
        <v/>
      </c>
      <c r="GH119" s="245" t="str">
        <f>IFERROR(__xludf.DUMMYFUNCTION("IF(REGEXMATCH(C119, ""m""), ""4"","""")"),"4")</f>
        <v>4</v>
      </c>
      <c r="GI119" s="246" t="str">
        <f>IFERROR(__xludf.DUMMYFUNCTION("IF(REGEXMATCH(C119, ""M""), ""#4"","""")"),"")</f>
        <v/>
      </c>
      <c r="GJ119" s="245" t="str">
        <f>IFERROR(__xludf.DUMMYFUNCTION("IF(REGEXMATCH(C119, ""P""), ""5"","""")"),"5")</f>
        <v>5</v>
      </c>
      <c r="GK119" s="246" t="str">
        <f>IFERROR(__xludf.DUMMYFUNCTION("IF(REGEXMATCH(C119, ""d""), ""b6"","""")"),"")</f>
        <v/>
      </c>
      <c r="GL119" s="245" t="str">
        <f>IFERROR(__xludf.DUMMYFUNCTION("IF(REGEXMATCH(C119, ""D""), ""6"","""")"),"")</f>
        <v/>
      </c>
      <c r="GM119" s="245" t="str">
        <f>IFERROR(__xludf.DUMMYFUNCTION("IF(REGEXMATCH(C119, ""n""), ""b7"","""")"),"b7")</f>
        <v>b7</v>
      </c>
      <c r="GN119" s="246" t="str">
        <f>IFERROR(__xludf.DUMMYFUNCTION("IF(REGEXMATCH(C119, ""N""), ""7"","""")"),"")</f>
        <v/>
      </c>
      <c r="GO119" s="249" t="str">
        <f>IFERROR(__xludf.DUMMYFUNCTION("IF(REGEXMATCH(C119, ""S""), ""8"","""")"),"8")</f>
        <v>8</v>
      </c>
      <c r="GP119" s="244" t="str">
        <f>IFERROR(__xludf.DUMMYFUNCTION("IF(REGEXMATCH(C119, ""S""), ""S"","""")"),"S")</f>
        <v>S</v>
      </c>
      <c r="GQ119" s="294" t="str">
        <f>IFERROR(__xludf.DUMMYFUNCTION("IF(REGEXMATCH(C119, ""r""), ""R1"","""")"),"")</f>
        <v/>
      </c>
      <c r="GR119" s="295" t="str">
        <f>IFERROR(__xludf.DUMMYFUNCTION("IF(REGEXMATCH(C119, ""R""), ""R2"","""")"),"R2")</f>
        <v>R2</v>
      </c>
      <c r="GS119" s="295" t="str">
        <f>IFERROR(__xludf.DUMMYFUNCTION("IF(REGEXMATCH(C119, ""g""), ""G2"","""")"),"G2")</f>
        <v>G2</v>
      </c>
      <c r="GT119" s="294" t="str">
        <f>IFERROR(__xludf.DUMMYFUNCTION("IF(REGEXMATCH(C119, ""G""), ""G3"","""")"),"")</f>
        <v/>
      </c>
      <c r="GU119" s="294" t="str">
        <f>IFERROR(__xludf.DUMMYFUNCTION("IF(REGEXMATCH(C119, ""m""), ""M1"","""")"),"M1")</f>
        <v>M1</v>
      </c>
      <c r="GV119" s="295" t="str">
        <f>IFERROR(__xludf.DUMMYFUNCTION("IF(REGEXMATCH(C119, ""M""), ""M2"","""")"),"")</f>
        <v/>
      </c>
      <c r="GW119" s="294" t="str">
        <f>IFERROR(__xludf.DUMMYFUNCTION("IF(REGEXMATCH(C119, ""P""), ""P"","""")"),"P")</f>
        <v>P</v>
      </c>
      <c r="GX119" s="295" t="str">
        <f>IFERROR(__xludf.DUMMYFUNCTION("IF(REGEXMATCH(C119, ""d""), ""D1"","""")"),"")</f>
        <v/>
      </c>
      <c r="GY119" s="294" t="str">
        <f>IFERROR(__xludf.DUMMYFUNCTION("IF(REGEXMATCH(C119, ""D""), ""D2"","""")"),"")</f>
        <v/>
      </c>
      <c r="GZ119" s="294" t="str">
        <f>IFERROR(__xludf.DUMMYFUNCTION("IF(REGEXMATCH(C119, ""n""), ""N2"","""")"),"N2")</f>
        <v>N2</v>
      </c>
      <c r="HA119" s="295" t="str">
        <f>IFERROR(__xludf.DUMMYFUNCTION("IF(REGEXMATCH(C119, ""N""), ""N3"","""")"),"")</f>
        <v/>
      </c>
      <c r="HB119" s="249" t="str">
        <f>IFERROR(__xludf.DUMMYFUNCTION("IF(REGEXMATCH(C119, ""S""), ""S"","""")"),"S")</f>
        <v>S</v>
      </c>
      <c r="HC119" s="331" t="str">
        <f t="shared" si="95"/>
        <v>S</v>
      </c>
      <c r="HD119" s="332" t="str">
        <f t="shared" si="96"/>
        <v/>
      </c>
      <c r="HE119" s="332" t="str">
        <f t="shared" si="97"/>
        <v>R</v>
      </c>
      <c r="HF119" s="332" t="str">
        <f t="shared" si="98"/>
        <v/>
      </c>
      <c r="HG119" s="332" t="str">
        <f t="shared" si="99"/>
        <v/>
      </c>
      <c r="HH119" s="332" t="str">
        <f t="shared" si="100"/>
        <v>m</v>
      </c>
      <c r="HI119" s="332" t="str">
        <f t="shared" si="101"/>
        <v/>
      </c>
      <c r="HJ119" s="332" t="str">
        <f t="shared" si="102"/>
        <v>P</v>
      </c>
      <c r="HK119" s="332" t="str">
        <f t="shared" si="103"/>
        <v/>
      </c>
      <c r="HL119" s="332" t="str">
        <f t="shared" si="104"/>
        <v>D</v>
      </c>
      <c r="HM119" s="332" t="str">
        <f t="shared" si="105"/>
        <v>n</v>
      </c>
      <c r="HN119" s="332" t="str">
        <f t="shared" si="106"/>
        <v/>
      </c>
      <c r="HO119" s="343" t="str">
        <f t="shared" si="107"/>
        <v>S</v>
      </c>
      <c r="HP119" s="331" t="str">
        <f t="shared" si="108"/>
        <v>o</v>
      </c>
      <c r="HQ119" s="332" t="str">
        <f t="shared" si="109"/>
        <v>•</v>
      </c>
      <c r="HR119" s="332" t="str">
        <f t="shared" si="110"/>
        <v>o</v>
      </c>
      <c r="HS119" s="332" t="str">
        <f t="shared" si="111"/>
        <v>o</v>
      </c>
      <c r="HT119" s="332" t="str">
        <f t="shared" si="112"/>
        <v>•</v>
      </c>
      <c r="HU119" s="332" t="str">
        <f t="shared" si="113"/>
        <v>o</v>
      </c>
      <c r="HV119" s="332" t="str">
        <f t="shared" si="114"/>
        <v>•</v>
      </c>
      <c r="HW119" s="332" t="str">
        <f t="shared" si="115"/>
        <v>o</v>
      </c>
      <c r="HX119" s="332" t="str">
        <f t="shared" si="116"/>
        <v>•</v>
      </c>
      <c r="HY119" s="332" t="str">
        <f t="shared" si="117"/>
        <v>•</v>
      </c>
      <c r="HZ119" s="332" t="str">
        <f t="shared" si="118"/>
        <v>o</v>
      </c>
      <c r="IA119" s="332" t="str">
        <f t="shared" si="119"/>
        <v>•</v>
      </c>
      <c r="IB119" s="338" t="str">
        <f t="shared" si="120"/>
        <v>o</v>
      </c>
      <c r="IC119" s="331" t="str">
        <f t="shared" si="121"/>
        <v>•</v>
      </c>
      <c r="ID119" s="332" t="str">
        <f t="shared" si="122"/>
        <v>o</v>
      </c>
      <c r="IE119" s="332" t="str">
        <f t="shared" si="123"/>
        <v>•</v>
      </c>
      <c r="IF119" s="332" t="str">
        <f t="shared" si="124"/>
        <v>•</v>
      </c>
      <c r="IG119" s="332" t="str">
        <f t="shared" si="125"/>
        <v>o</v>
      </c>
      <c r="IH119" s="332" t="str">
        <f t="shared" si="126"/>
        <v>•</v>
      </c>
      <c r="II119" s="332" t="str">
        <f t="shared" si="127"/>
        <v>o</v>
      </c>
      <c r="IJ119" s="332" t="str">
        <f t="shared" si="128"/>
        <v>•</v>
      </c>
      <c r="IK119" s="332" t="str">
        <f t="shared" si="129"/>
        <v>o</v>
      </c>
      <c r="IL119" s="332" t="str">
        <f t="shared" si="130"/>
        <v>o</v>
      </c>
      <c r="IM119" s="332" t="str">
        <f t="shared" si="131"/>
        <v>•</v>
      </c>
      <c r="IN119" s="332" t="str">
        <f t="shared" si="132"/>
        <v>o</v>
      </c>
      <c r="IO119" s="338" t="str">
        <f t="shared" si="133"/>
        <v>•</v>
      </c>
      <c r="IP119" s="346" t="b">
        <f t="shared" si="134"/>
        <v>0</v>
      </c>
      <c r="IQ119" s="347" t="b">
        <f t="shared" si="135"/>
        <v>0</v>
      </c>
      <c r="IR119" s="347" t="b">
        <f t="shared" si="136"/>
        <v>1</v>
      </c>
      <c r="IS119" s="347" t="b">
        <f t="shared" si="137"/>
        <v>0</v>
      </c>
      <c r="IT119" s="347" t="b">
        <f t="shared" si="138"/>
        <v>0</v>
      </c>
      <c r="IU119" s="347" t="b">
        <f t="shared" si="139"/>
        <v>0</v>
      </c>
      <c r="IV119" s="347" t="b">
        <f t="shared" si="140"/>
        <v>0</v>
      </c>
      <c r="IW119" s="347" t="b">
        <f t="shared" si="141"/>
        <v>0</v>
      </c>
      <c r="IX119" s="347" t="b">
        <f t="shared" si="142"/>
        <v>0</v>
      </c>
      <c r="IY119" s="347" t="b">
        <f t="shared" si="143"/>
        <v>0</v>
      </c>
      <c r="IZ119" s="347" t="b">
        <f t="shared" si="144"/>
        <v>0</v>
      </c>
      <c r="JA119" s="347" t="b">
        <f t="shared" si="145"/>
        <v>0</v>
      </c>
      <c r="JB119" s="353" t="b">
        <f t="shared" si="146"/>
        <v>0</v>
      </c>
      <c r="JC119" s="354" t="str">
        <f t="shared" si="147"/>
        <v/>
      </c>
      <c r="JD119" s="355" t="str">
        <f t="shared" si="148"/>
        <v/>
      </c>
      <c r="JE119" s="355" t="str">
        <f t="shared" si="149"/>
        <v>Re, </v>
      </c>
      <c r="JF119" s="355" t="str">
        <f t="shared" si="150"/>
        <v/>
      </c>
      <c r="JG119" s="355" t="str">
        <f t="shared" si="151"/>
        <v/>
      </c>
      <c r="JH119" s="355" t="str">
        <f t="shared" si="152"/>
        <v/>
      </c>
      <c r="JI119" s="355" t="str">
        <f t="shared" si="153"/>
        <v/>
      </c>
      <c r="JJ119" s="355" t="str">
        <f t="shared" si="154"/>
        <v/>
      </c>
      <c r="JK119" s="355" t="str">
        <f t="shared" si="155"/>
        <v/>
      </c>
      <c r="JL119" s="355" t="str">
        <f t="shared" si="156"/>
        <v/>
      </c>
      <c r="JM119" s="355" t="str">
        <f t="shared" si="157"/>
        <v/>
      </c>
      <c r="JN119" s="355" t="str">
        <f t="shared" si="158"/>
        <v/>
      </c>
      <c r="JO119" s="359" t="str">
        <f t="shared" si="159"/>
        <v/>
      </c>
      <c r="JP119" s="346" t="b">
        <f t="shared" si="160"/>
        <v>0</v>
      </c>
      <c r="JQ119" s="347" t="b">
        <f t="shared" si="161"/>
        <v>0</v>
      </c>
      <c r="JR119" s="347" t="b">
        <f t="shared" si="162"/>
        <v>0</v>
      </c>
      <c r="JS119" s="347" t="b">
        <f t="shared" si="163"/>
        <v>0</v>
      </c>
      <c r="JT119" s="347" t="b">
        <f t="shared" si="164"/>
        <v>0</v>
      </c>
      <c r="JU119" s="347" t="b">
        <f t="shared" si="165"/>
        <v>0</v>
      </c>
      <c r="JV119" s="347" t="b">
        <f t="shared" si="166"/>
        <v>0</v>
      </c>
      <c r="JW119" s="347" t="b">
        <f t="shared" si="167"/>
        <v>0</v>
      </c>
      <c r="JX119" s="347" t="b">
        <f t="shared" si="168"/>
        <v>0</v>
      </c>
      <c r="JY119" s="347" t="b">
        <f t="shared" si="169"/>
        <v>0</v>
      </c>
      <c r="JZ119" s="347" t="b">
        <f t="shared" si="170"/>
        <v>0</v>
      </c>
      <c r="KA119" s="347" t="b">
        <f t="shared" si="171"/>
        <v>0</v>
      </c>
      <c r="KB119" s="365" t="b">
        <f t="shared" si="172"/>
        <v>0</v>
      </c>
      <c r="KC119" s="354" t="str">
        <f t="shared" si="173"/>
        <v/>
      </c>
      <c r="KD119" s="355" t="str">
        <f t="shared" si="174"/>
        <v/>
      </c>
      <c r="KE119" s="355" t="str">
        <f t="shared" si="175"/>
        <v/>
      </c>
      <c r="KF119" s="355" t="str">
        <f t="shared" si="176"/>
        <v/>
      </c>
      <c r="KG119" s="355" t="str">
        <f t="shared" si="177"/>
        <v/>
      </c>
      <c r="KH119" s="355" t="str">
        <f t="shared" si="178"/>
        <v/>
      </c>
      <c r="KI119" s="355" t="str">
        <f t="shared" si="179"/>
        <v/>
      </c>
      <c r="KJ119" s="355" t="str">
        <f t="shared" si="180"/>
        <v/>
      </c>
      <c r="KK119" s="355" t="str">
        <f t="shared" si="181"/>
        <v/>
      </c>
      <c r="KL119" s="355" t="str">
        <f t="shared" si="182"/>
        <v/>
      </c>
      <c r="KM119" s="355" t="str">
        <f t="shared" si="183"/>
        <v/>
      </c>
      <c r="KN119" s="355" t="str">
        <f t="shared" si="184"/>
        <v/>
      </c>
      <c r="KO119" s="359"/>
      <c r="KP119" s="378"/>
      <c r="KQ119" s="379" t="s">
        <v>9</v>
      </c>
      <c r="KR119" s="380" t="s">
        <v>1303</v>
      </c>
      <c r="KS119" s="381" t="s">
        <v>9</v>
      </c>
      <c r="KT119" s="382">
        <f t="shared" si="186"/>
        <v>0</v>
      </c>
      <c r="KU119" s="383">
        <f t="shared" si="187"/>
        <v>0</v>
      </c>
      <c r="KV119" s="381" t="str">
        <f t="shared" si="205"/>
        <v>S-n-P-m-g-R-S</v>
      </c>
      <c r="KW119" s="382">
        <f t="shared" si="189"/>
        <v>6</v>
      </c>
      <c r="KX119" s="384">
        <f t="shared" si="190"/>
        <v>6</v>
      </c>
      <c r="KY119" s="382">
        <f t="shared" ref="KY119:KZ119" si="442">KW119-KT119</f>
        <v>6</v>
      </c>
      <c r="KZ119" s="369">
        <f t="shared" si="442"/>
        <v>6</v>
      </c>
      <c r="LA119" s="385" t="str">
        <f t="shared" si="192"/>
        <v>-</v>
      </c>
      <c r="LB119" s="340" t="str">
        <f>IFERROR(__xludf.DUMMYFUNCTION("JOIN("""",ArrayFormula(MID(KS119,LEN(KS119)-SEQUENCE(1,LEN(KS119))+1,1)))"),"S")</f>
        <v>S</v>
      </c>
      <c r="LC119" s="373" t="str">
        <f>IFERROR(__xludf.DUMMYFUNCTION("JOIN("""",ArrayFormula(MID(KV119,LEN(KV119)-SEQUENCE(1,LEN(KV119))+1,1)))"),"S-R-g-m-P-n-S")</f>
        <v>S-R-g-m-P-n-S</v>
      </c>
      <c r="LD119" s="373" t="str">
        <f t="shared" si="193"/>
        <v>S</v>
      </c>
      <c r="LE119" s="339" t="str">
        <f t="shared" si="194"/>
        <v>SRgmPnS</v>
      </c>
      <c r="LF119" s="386" t="str">
        <f>IFERROR(__xludf.DUMMYFUNCTION("SUBSTITUTE(SUBSTITUTE(CONCATENATE(JOIN("""",LH119:LT119)),""1"",""""),""2"","""")"),"SRgmPnS")</f>
        <v>SRgmPnS</v>
      </c>
      <c r="LG119" s="369" t="str">
        <f t="shared" si="195"/>
        <v>✔</v>
      </c>
      <c r="LH119" s="387" t="str">
        <f>IFERROR(__xludf.DUMMYFUNCTION("IF(REGEXMATCH(LD119, ""S""), ""S"",IF(REGEXMATCH(LE119, ""S""), ""S"",""""))"),"S")</f>
        <v>S</v>
      </c>
      <c r="LI119" s="299" t="str">
        <f>IFERROR(__xludf.DUMMYFUNCTION("IF(REGEXMATCH(LD119, ""r""), ""r1"",IF(REGEXMATCH(LE119, ""r""), ""r2"",""""))"),"")</f>
        <v/>
      </c>
      <c r="LJ119" s="299" t="str">
        <f>IFERROR(__xludf.DUMMYFUNCTION("IF(REGEXMATCH(LD119, ""R""), ""R1"",IF(REGEXMATCH(LE119, ""R""), ""R2"",""""))"),"R2")</f>
        <v>R2</v>
      </c>
      <c r="LK119" s="299" t="str">
        <f>IFERROR(__xludf.DUMMYFUNCTION("IF(REGEXMATCH(LD119, ""g""), ""g1"",IF(REGEXMATCH(LE119, ""g""), ""g2"",""""))"),"g2")</f>
        <v>g2</v>
      </c>
      <c r="LL119" s="299" t="str">
        <f>IFERROR(__xludf.DUMMYFUNCTION("IF(REGEXMATCH(LD119, ""G""), ""G1"",IF(REGEXMATCH(LE119, ""G""), ""G2"",""""))"),"")</f>
        <v/>
      </c>
      <c r="LM119" s="299" t="str">
        <f>IFERROR(__xludf.DUMMYFUNCTION("IF(REGEXMATCH(LD119, ""m""), ""m1"",IF(REGEXMATCH(LE119, ""m""), ""m2"",""""))"),"m2")</f>
        <v>m2</v>
      </c>
      <c r="LN119" s="299" t="str">
        <f>IFERROR(__xludf.DUMMYFUNCTION("IF(REGEXMATCH(LD119, ""M""), ""M1"",IF(REGEXMATCH(LE119, ""M""), ""M2"",""""))"),"")</f>
        <v/>
      </c>
      <c r="LO119" s="299" t="str">
        <f>IFERROR(__xludf.DUMMYFUNCTION("IF(REGEXMATCH(LD119, ""P""), ""P1"",IF(REGEXMATCH(LE119, ""P""), ""P2"",""""))"),"P2")</f>
        <v>P2</v>
      </c>
      <c r="LP119" s="299" t="str">
        <f>IFERROR(__xludf.DUMMYFUNCTION("IF(REGEXMATCH(LD119, ""d""), ""d1"",IF(REGEXMATCH(LE119, ""d""), ""d2"",""""))"),"")</f>
        <v/>
      </c>
      <c r="LQ119" s="299" t="str">
        <f>IFERROR(__xludf.DUMMYFUNCTION("IF(REGEXMATCH(LD119, ""D""), ""D1"",IF(REGEXMATCH(LE119, ""D""), ""D2"",""""))"),"")</f>
        <v/>
      </c>
      <c r="LR119" s="299" t="str">
        <f>IFERROR(__xludf.DUMMYFUNCTION("IF(REGEXMATCH(LD119, ""n""), ""n1"",IF(REGEXMATCH(LE119, ""n""), ""n2"",""""))"),"n2")</f>
        <v>n2</v>
      </c>
      <c r="LS119" s="299" t="str">
        <f>IFERROR(__xludf.DUMMYFUNCTION("IF(REGEXMATCH(LD119, ""N""), ""N1"",IF(REGEXMATCH(LE119, ""N""), ""N2"",""""))"),"")</f>
        <v/>
      </c>
      <c r="LT119" s="388" t="str">
        <f>IFERROR(__xludf.DUMMYFUNCTION("IF(REGEXMATCH(LD119, ""S""), ""S"",IF(REGEXMATCH(LE119, ""S""), ""S"",""""))"),"S")</f>
        <v>S</v>
      </c>
      <c r="LU119" s="389">
        <f t="shared" si="196"/>
        <v>-11</v>
      </c>
      <c r="LV119" s="378"/>
      <c r="LW119" s="369"/>
      <c r="LX119" s="369"/>
    </row>
    <row r="120" ht="18.0" customHeight="1">
      <c r="A120" s="298" t="s">
        <v>750</v>
      </c>
      <c r="B120" s="222" t="s">
        <v>591</v>
      </c>
      <c r="C120" s="233" t="str">
        <f t="shared" si="7"/>
        <v>SrGmPdNS</v>
      </c>
      <c r="D120" s="234" t="str">
        <f>IFERROR(__xludf.DUMMYFUNCTION("IF(REGEXMATCH(C120, ""S""), ""S"","""")"),"S")</f>
        <v>S</v>
      </c>
      <c r="E120" s="236" t="str">
        <f>IFERROR(__xludf.DUMMYFUNCTION("IF(REGEXMATCH(C120, ""r""), ""r"","""")"),"r")</f>
        <v>r</v>
      </c>
      <c r="F120" s="237" t="str">
        <f>IFERROR(__xludf.DUMMYFUNCTION("IF(REGEXMATCH(C120, ""R""), ""R"","""")"),"")</f>
        <v/>
      </c>
      <c r="G120" s="237" t="str">
        <f>IFERROR(__xludf.DUMMYFUNCTION("IF(REGEXMATCH(C120, ""g""), ""g"","""")"),"")</f>
        <v/>
      </c>
      <c r="H120" s="236" t="str">
        <f>IFERROR(__xludf.DUMMYFUNCTION("IF(REGEXMATCH(C120, ""G""), ""G"","""")"),"G")</f>
        <v>G</v>
      </c>
      <c r="I120" s="236" t="str">
        <f>IFERROR(__xludf.DUMMYFUNCTION("IF(REGEXMATCH(C120, ""m""), ""m"","""")"),"m")</f>
        <v>m</v>
      </c>
      <c r="J120" s="237" t="str">
        <f>IFERROR(__xludf.DUMMYFUNCTION("IF(REGEXMATCH(C120, ""M""), ""M"","""")"),"")</f>
        <v/>
      </c>
      <c r="K120" s="236" t="str">
        <f>IFERROR(__xludf.DUMMYFUNCTION("IF(REGEXMATCH(C120, ""P""), ""P"","""")"),"P")</f>
        <v>P</v>
      </c>
      <c r="L120" s="237" t="str">
        <f>IFERROR(__xludf.DUMMYFUNCTION("IF(REGEXMATCH(C120, ""d""), ""d"","""")"),"d")</f>
        <v>d</v>
      </c>
      <c r="M120" s="236" t="str">
        <f>IFERROR(__xludf.DUMMYFUNCTION("IF(REGEXMATCH(C120, ""D""), ""D"","""")"),"")</f>
        <v/>
      </c>
      <c r="N120" s="236" t="str">
        <f>IFERROR(__xludf.DUMMYFUNCTION("IF(REGEXMATCH(C120, ""n""), ""n"","""")"),"")</f>
        <v/>
      </c>
      <c r="O120" s="237" t="str">
        <f>IFERROR(__xludf.DUMMYFUNCTION("IF(REGEXMATCH(C120, ""N""), ""N"","""")"),"N")</f>
        <v>N</v>
      </c>
      <c r="P120" s="238" t="str">
        <f>IFERROR(__xludf.DUMMYFUNCTION("IF(REGEXMATCH(C120, ""S""), ""S"","""")"),"S")</f>
        <v>S</v>
      </c>
      <c r="Q120" s="239" t="str">
        <f>IFERROR(__xludf.DUMMYFUNCTION("SUBSTITUTE(CONCATENATE(JOIN(""-"",D120:J120)),""-"","""")"),"SrGm")</f>
        <v>SrGm</v>
      </c>
      <c r="R120" s="229" t="str">
        <f>IFERROR(__xludf.DUMMYFUNCTION("SUBSTITUTE(CONCATENATE(JOIN(""-"",K120:P120)),""-"","""")"),"PdNS")</f>
        <v>PdNS</v>
      </c>
      <c r="S120" s="282" t="str">
        <f t="shared" si="8"/>
        <v>S-R-G-M</v>
      </c>
      <c r="T120" s="282" t="str">
        <f t="shared" si="9"/>
        <v>P-D-N-S</v>
      </c>
      <c r="U120" s="237" t="str">
        <f>IFERROR(__xludf.DUMMYFUNCTION("SUBSTITUTE(JOIN(""-"",S120,T120),""--"",""-"")"),"S-R-G-M-P-D-N-S")</f>
        <v>S-R-G-M-P-D-N-S</v>
      </c>
      <c r="V120" s="309" t="str">
        <f t="shared" si="10"/>
        <v>rGmdN</v>
      </c>
      <c r="W120" s="244" t="str">
        <f>IFERROR(__xludf.DUMMYFUNCTION("IF(REGEXMATCH(C120, ""S""), ""0"","""")"),"0")</f>
        <v>0</v>
      </c>
      <c r="X120" s="245" t="str">
        <f>IFERROR(__xludf.DUMMYFUNCTION("IF(REGEXMATCH(C120, ""r""), ""1"","""")"),"1")</f>
        <v>1</v>
      </c>
      <c r="Y120" s="246" t="str">
        <f>IFERROR(__xludf.DUMMYFUNCTION("IF(REGEXMATCH(C120, ""R""), ""2"","""")"),"")</f>
        <v/>
      </c>
      <c r="Z120" s="246" t="str">
        <f>IFERROR(__xludf.DUMMYFUNCTION("IF(REGEXMATCH(C120, ""g""), ""3"","""")"),"")</f>
        <v/>
      </c>
      <c r="AA120" s="245" t="str">
        <f>IFERROR(__xludf.DUMMYFUNCTION("IF(REGEXMATCH(C120, ""G""), ""4"","""")"),"4")</f>
        <v>4</v>
      </c>
      <c r="AB120" s="245" t="str">
        <f>IFERROR(__xludf.DUMMYFUNCTION("IF(REGEXMATCH(C120, ""m""), ""5"","""")"),"5")</f>
        <v>5</v>
      </c>
      <c r="AC120" s="246" t="str">
        <f>IFERROR(__xludf.DUMMYFUNCTION("IF(REGEXMATCH(C120, ""M""), ""6"","""")"),"")</f>
        <v/>
      </c>
      <c r="AD120" s="245" t="str">
        <f>IFERROR(__xludf.DUMMYFUNCTION("IF(REGEXMATCH(C120, ""P""), ""7"","""")"),"7")</f>
        <v>7</v>
      </c>
      <c r="AE120" s="246" t="str">
        <f>IFERROR(__xludf.DUMMYFUNCTION("IF(REGEXMATCH(C120, ""d""), ""8"","""")"),"8")</f>
        <v>8</v>
      </c>
      <c r="AF120" s="245" t="str">
        <f>IFERROR(__xludf.DUMMYFUNCTION("IF(REGEXMATCH(C120, ""D""), ""9"","""")"),"")</f>
        <v/>
      </c>
      <c r="AG120" s="245" t="str">
        <f>IFERROR(__xludf.DUMMYFUNCTION("IF(REGEXMATCH(C120, ""n""), ""10"","""")"),"")</f>
        <v/>
      </c>
      <c r="AH120" s="246" t="str">
        <f>IFERROR(__xludf.DUMMYFUNCTION("IF(REGEXMATCH(C120, ""N""), ""11"","""")"),"11")</f>
        <v>11</v>
      </c>
      <c r="AI120" s="249" t="str">
        <f>IFERROR(__xludf.DUMMYFUNCTION("IF(REGEXMATCH(C120, ""S""), ""0"","""")"),"0")</f>
        <v>0</v>
      </c>
      <c r="AJ120" s="313" t="str">
        <f t="shared" si="11"/>
        <v>-</v>
      </c>
      <c r="AK120" s="313" t="str">
        <f t="shared" si="12"/>
        <v>T</v>
      </c>
      <c r="AL120" s="313" t="str">
        <f t="shared" si="13"/>
        <v>-</v>
      </c>
      <c r="AM120" s="313" t="str">
        <f t="shared" si="14"/>
        <v>-</v>
      </c>
      <c r="AN120" s="313" t="str">
        <f t="shared" si="15"/>
        <v>-</v>
      </c>
      <c r="AO120" s="314" t="str">
        <f t="shared" si="16"/>
        <v>T</v>
      </c>
      <c r="AP120" s="316">
        <f t="shared" si="17"/>
        <v>2</v>
      </c>
      <c r="AQ120" s="319" t="str">
        <f t="shared" si="18"/>
        <v>-</v>
      </c>
      <c r="AR120" s="320">
        <f t="shared" si="19"/>
        <v>0</v>
      </c>
      <c r="AS120" s="250" t="str">
        <f>IFERROR(__xludf.DUMMYFUNCTION("SUBSTITUTE(SUBSTITUTE(CONCATENATE(JOIN("""",FP120:GA120)),""|"",""x""),""-"",""o"")"),"xxooxxoxxoox")</f>
        <v>xxooxxoxxoox</v>
      </c>
      <c r="AT120" s="323" t="str">
        <f>IFERROR(__xludf.DUMMYFUNCTION("JOIN("""",AS120,AS120)"),"xxooxxoxxooxxxooxxoxxoox")</f>
        <v>xxooxxoxxooxxxooxxoxxoox</v>
      </c>
      <c r="AU120" s="256" t="str">
        <f>IFERROR(__xludf.DUMMYFUNCTION("JOIN("""",ArrayFormula(MID(AS120,LEN(AS120)-SEQUENCE(1,LEN(AS120))+1,1)))"),"xooxxoxxooxx")</f>
        <v>xooxxoxxooxx</v>
      </c>
      <c r="AV120" s="256" t="str">
        <f>IFERROR(__xludf.DUMMYFUNCTION("LEFT(CONCATENATE(""x"",JOIN("""",ArrayFormula(MID(AS120,LEN(AS120)-SEQUENCE(1,LEN(AS120))+1,1)))),12)"),"xxooxxoxxoox")</f>
        <v>xxooxxoxxoox</v>
      </c>
      <c r="AW120" s="327" t="str">
        <f>IFERROR(__xludf.DUMMYFUNCTION("JOIN("""",AU120,AU120)"),"xooxxoxxooxxxooxxoxxooxx")</f>
        <v>xooxxoxxooxxxooxxoxxooxx</v>
      </c>
      <c r="AX120" s="239" t="str">
        <f>IFERROR(__xludf.DUMMYFUNCTION("IF(REGEXMATCH(AW120,AS120),""✔"",""-"")"),"✔")</f>
        <v>✔</v>
      </c>
      <c r="AY120" s="330" t="str">
        <f t="shared" si="20"/>
        <v>✔</v>
      </c>
      <c r="AZ120" s="260" t="str">
        <f t="shared" si="21"/>
        <v>#REF!</v>
      </c>
      <c r="BA120" s="333" t="str">
        <f t="shared" si="22"/>
        <v>xxooxxo</v>
      </c>
      <c r="BB120" s="334" t="str">
        <f t="shared" si="23"/>
        <v>xxooxx</v>
      </c>
      <c r="BC120" s="335" t="str">
        <f t="shared" si="236"/>
        <v>✔</v>
      </c>
      <c r="BD120" s="336" t="str">
        <f t="shared" si="25"/>
        <v>Gauri: 'xxooxxo' + 'xxooxx'</v>
      </c>
      <c r="BE120" s="337">
        <f>IFERROR(__xludf.DUMMYFUNCTION("COUNTUNIQUE(FILTER(AT:AT,REGEXMATCH(AT:AT,AS120)))-1"),3.0)</f>
        <v>3</v>
      </c>
      <c r="BF120" s="261" t="str">
        <f>IFERROR(__xludf.DUMMYFUNCTION("IF(BI120=0,""(n/a)"",IF(BJ120=2,""(PAIR)"",IF(REGEXMATCH(AT120,""xoxoxxoxoxox""),""Bilawal"",IF(REGEXMATCH(AT120,""xoxoxooxoxoo""),""Bhupali"",IF(REGEXMATCH(AT120,""xoxoxxoxxoxo""),""Charukeshi"",IF(REGEXMATCH(AT120,""xoxoooxxoxxo""),""Kameshwari"",IF(REG"&amp;"EXMATCH(AT120,""xoxoxooxoxox""),""Shankara"",IF(REGEXMATCH(AT120,""xxooxoxxxoox""),""Basant"",IF(REGEXMATCH(AT120,""xoxoxxxxoxox""),""Bihag"",IF(REGEXMATCH(AT120,""xoxxxxoxoxxx""),""Pilu"",IF(REGEXMATCH(AT120,""xoxxoxoxxoox""),""Kirwani"",IF(REGEXMATCH(AT"&amp;"120,""xoxxoxoxoxxx""),""Mk.Malhar"",IF(REGEXMATCH(AT120,""xxooxxoxxoox""),""Bhairav"",IF(REGEXMATCH(AT120,""xxoxooxxxoox""),""Todi"",IF(REGEXMATCH(AT120,""xxooxoxooxox""),""Marwa"",IF(REGEXMATCH(AT120,""xxoooxoxxooo""),""Gunkali"",IF(REGEXMATCH(AT120,""xo"&amp;"xoxxoxxoox""),""Nat Bhairav"",IF(REGEXMATCH(AT120,""xoxxoooxoxoo""),""Shivranjani"",IF(REGEXMATCH(AT120,""xooxxxoxooxo""),""Jog"",IF(REGEXMATCH(AT120,""xxooxoxoxoox""),""Hemshri"",IF(REGEXMATCH(AT120,""xoooxooxoxxo""),""Kalavati"",IF(REGEXMATCH(AT120,""xx"&amp;"oxoxxoxoox""),""Kedar"",IF(REGEXMATCH(AT120,""xoxxxxoxooxx""),""Gara"",IF(REGEXMATCH(AT120,""xooxoxooxoox""),""Chandrakauns"",IF(REGEXMATCH(AT120,""xoxxxxoxxxox""),""Mand"",IF(REGEXMATCH(AT120,""xoxxxxoxoxox""),""Hanskinkini"",IF(REGEXMATCH(AT120,""xxooxx"&amp;"oxooxo""),""Lilavati"",IF(REGEXMATCH(AT120,""xooxoxoooxox""),""Rajeshwari"",IF(REGEXMATCH(AT120,""xoooxxoxoxxx""),""Khokar"",IF(REGEXMATCH(AT120,""xxooxoxxxxox""),""Maligoura"",""-""))))))))))))))))))))))))))))))"),"Bhairav")</f>
        <v>Bhairav</v>
      </c>
      <c r="BG120" s="239" t="str">
        <f t="shared" si="26"/>
        <v>#REF!</v>
      </c>
      <c r="BH120" s="239">
        <f>IFERROR(__xludf.DUMMYFUNCTION("COUNTUNIQUE(FE120:FO120)-1"),6.0)</f>
        <v>6</v>
      </c>
      <c r="BI120" s="239">
        <f>IFERROR(__xludf.DUMMYFUNCTION("COUNTUNIQUE(FILTER(AT:AT,REGEXMATCH(AT:AT,AS120)))-1"),3.0)</f>
        <v>3</v>
      </c>
      <c r="BJ120" s="239">
        <f>IFERROR(__xludf.DUMMYFUNCTION("COUNTA(FILTER(AT:AT,REGEXMATCH(AT:AT,AS120)))"),6.0)</f>
        <v>6</v>
      </c>
      <c r="BK120" s="341">
        <f>IFERROR(__xludf.DUMMYFUNCTION("COUNTA(FILTER(AT:AT,REGEXMATCH(AT:AT,AS120)))-AR120"),6.0)</f>
        <v>6</v>
      </c>
      <c r="BL120" s="276" t="str">
        <f>IFERROR(__xludf.DUMMYFUNCTION("IF(AS120=""oooooooooooo"",""-"",IF(REGEXMATCH(AT120,""xx""), ""Hemi."", ""Anhemi.""))"),"Hemi.")</f>
        <v>Hemi.</v>
      </c>
      <c r="BM120" s="282" t="str">
        <f>IFERROR(__xludf.DUMMYFUNCTION("IF(AS120=""oooooooooooo"",""-"",IF(REGEXMATCH(AT120,""xxx""), ""Cohem."", ""-""))"),"Cohem.")</f>
        <v>Cohem.</v>
      </c>
      <c r="BN120" s="282" t="str">
        <f>IFERROR(__xludf.DUMMYFUNCTION("IF(AS120=""oooooooooooo"",""-"",IF(REGEXMATCH(AT120,""xxxx""), ""Co-Co."", ""-""))"),"-")</f>
        <v>-</v>
      </c>
      <c r="BO120" s="342" t="str">
        <f>IFERROR(__xludf.DUMMYFUNCTION("IF(AS120=""oooooooooooo"",""-"",IF(REGEXMATCH(AT120,""xxxxx""), ""CCC."", ""-""))"),"-")</f>
        <v>-</v>
      </c>
      <c r="BP120" s="344" t="str">
        <f t="shared" si="27"/>
        <v>Bhairav</v>
      </c>
      <c r="BQ120" s="282" t="str">
        <f>IFERROR(__xludf.DUMMYFUNCTION("IF(REGEXMATCH(JOIN(""-"",EU120:FD120),""TRUE""),""✔"",""-"")"),"✔")</f>
        <v>✔</v>
      </c>
      <c r="BR120" s="225">
        <f t="shared" si="28"/>
        <v>1</v>
      </c>
      <c r="BS120" s="345" t="str">
        <f>IFERROR(__xludf.DUMMYFUNCTION("SUBSTITUTE(SUBSTITUTE(SUBSTITUTE(SUBSTITUTE(CONCATENATE(JOIN(""-"",GC120:GO120)),""--"",""-""),""--"",""-""),""--"",""-""),""--"",""-"")"),"1-b2-3-4-5-b6-7-8")</f>
        <v>1-b2-3-4-5-b6-7-8</v>
      </c>
      <c r="BT120" s="299" t="str">
        <f>IFERROR(__xludf.DUMMYFUNCTION("SUBSTITUTE(SUBSTITUTE(SUBSTITUTE(SUBSTITUTE(CONCATENATE(JOIN(""-"",GP120:HB120)),""--"",""-""),""--"",""-""),""--"",""-""),""--"",""-"")"),"S-R1-G3-M1-P-D1-N3-S")</f>
        <v>S-R1-G3-M1-P-D1-N3-S</v>
      </c>
      <c r="BU120" s="348" t="str">
        <f t="shared" si="29"/>
        <v>C-Db-E-F-G-Ab-B-C</v>
      </c>
      <c r="BV120" s="349" t="str">
        <f t="shared" si="30"/>
        <v>SRgMDnS</v>
      </c>
      <c r="BW120" s="350">
        <f t="shared" si="31"/>
        <v>0</v>
      </c>
      <c r="BX120" s="351">
        <f t="shared" si="32"/>
        <v>3</v>
      </c>
      <c r="BY120" s="392"/>
      <c r="BZ120" s="309" t="str">
        <f>IFERROR(__xludf.DUMMYFUNCTION("IF(REGEXMATCH(C120, ""S""), ""x"",""x"")"),"x")</f>
        <v>x</v>
      </c>
      <c r="CA120" s="245" t="str">
        <f>IFERROR(__xludf.DUMMYFUNCTION("IF(REGEXMATCH(C120, ""r""), ""o"",""x"")"),"o")</f>
        <v>o</v>
      </c>
      <c r="CB120" s="246" t="str">
        <f>IFERROR(__xludf.DUMMYFUNCTION("IF(REGEXMATCH(C120, ""R""), ""o"",""x"")"),"x")</f>
        <v>x</v>
      </c>
      <c r="CC120" s="246" t="str">
        <f>IFERROR(__xludf.DUMMYFUNCTION("IF(REGEXMATCH(C120, ""g""), ""o"",""x"")"),"x")</f>
        <v>x</v>
      </c>
      <c r="CD120" s="245" t="str">
        <f>IFERROR(__xludf.DUMMYFUNCTION("IF(REGEXMATCH(C120, ""G""), ""o"",""x"")"),"o")</f>
        <v>o</v>
      </c>
      <c r="CE120" s="245" t="str">
        <f>IFERROR(__xludf.DUMMYFUNCTION("IF(REGEXMATCH(C120, ""m""), ""o"",""x"")"),"o")</f>
        <v>o</v>
      </c>
      <c r="CF120" s="246" t="str">
        <f>IFERROR(__xludf.DUMMYFUNCTION("IF(REGEXMATCH(C120, ""M""), ""o"",""x"")"),"x")</f>
        <v>x</v>
      </c>
      <c r="CG120" s="245" t="str">
        <f>IFERROR(__xludf.DUMMYFUNCTION("IF(REGEXMATCH(C120, ""P""), ""o"",""x"")"),"o")</f>
        <v>o</v>
      </c>
      <c r="CH120" s="246" t="str">
        <f>IFERROR(__xludf.DUMMYFUNCTION("IF(REGEXMATCH(C120, ""d""), ""o"",""x"")"),"o")</f>
        <v>o</v>
      </c>
      <c r="CI120" s="245" t="str">
        <f>IFERROR(__xludf.DUMMYFUNCTION("IF(REGEXMATCH(C120, ""D""), ""o"",""x"")"),"x")</f>
        <v>x</v>
      </c>
      <c r="CJ120" s="245" t="str">
        <f>IFERROR(__xludf.DUMMYFUNCTION("IF(REGEXMATCH(C120, ""n""), ""o"",""x"")"),"x")</f>
        <v>x</v>
      </c>
      <c r="CK120" s="245" t="str">
        <f>IFERROR(__xludf.DUMMYFUNCTION("IF(REGEXMATCH(C120, ""N""), ""o"",""x"")"),"o")</f>
        <v>o</v>
      </c>
      <c r="CL120" s="356" t="str">
        <f>IFERROR(__xludf.DUMMYFUNCTION("IF(REGEXMATCH(C120, ""S""), ""x"",""x"")"),"x")</f>
        <v>x</v>
      </c>
      <c r="CM120" s="357" t="str">
        <f t="shared" si="33"/>
        <v>xoxxooxooxxo</v>
      </c>
      <c r="CN120" s="358">
        <f t="shared" si="34"/>
        <v>0</v>
      </c>
      <c r="CO120" s="246" t="str">
        <f>IFERROR(__xludf.DUMMYFUNCTION("IF(REGEXMATCH($C120, ""S""), ""S"",""S"")"),"S")</f>
        <v>S</v>
      </c>
      <c r="CP120" s="246" t="str">
        <f>IFERROR(__xludf.DUMMYFUNCTION("IF(REGEXMATCH($C120, ""r""), """",""r"")"),"")</f>
        <v/>
      </c>
      <c r="CQ120" s="246" t="str">
        <f>IFERROR(__xludf.DUMMYFUNCTION("IF(REGEXMATCH($C120, ""R""), """",""R"")"),"R")</f>
        <v>R</v>
      </c>
      <c r="CR120" s="246" t="str">
        <f>IFERROR(__xludf.DUMMYFUNCTION("IF(REGEXMATCH($C120, ""g""), """",""g"")"),"g")</f>
        <v>g</v>
      </c>
      <c r="CS120" s="246" t="str">
        <f>IFERROR(__xludf.DUMMYFUNCTION("IF(REGEXMATCH($C120, ""G""), """",""G"")"),"")</f>
        <v/>
      </c>
      <c r="CT120" s="246" t="str">
        <f>IFERROR(__xludf.DUMMYFUNCTION("IF(REGEXMATCH($C120, ""m""), """",""m"")"),"")</f>
        <v/>
      </c>
      <c r="CU120" s="246" t="str">
        <f>IFERROR(__xludf.DUMMYFUNCTION("IF(REGEXMATCH($C120, ""M""), """",""M"")"),"M")</f>
        <v>M</v>
      </c>
      <c r="CV120" s="246" t="str">
        <f>IFERROR(__xludf.DUMMYFUNCTION("IF(REGEXMATCH($C120, ""P""), """",""P"")"),"")</f>
        <v/>
      </c>
      <c r="CW120" s="246" t="str">
        <f>IFERROR(__xludf.DUMMYFUNCTION("IF(REGEXMATCH($C120, ""d""), """",""d"")"),"")</f>
        <v/>
      </c>
      <c r="CX120" s="246" t="str">
        <f>IFERROR(__xludf.DUMMYFUNCTION("IF(REGEXMATCH($C120, ""D""), """",""D"")"),"D")</f>
        <v>D</v>
      </c>
      <c r="CY120" s="246" t="str">
        <f>IFERROR(__xludf.DUMMYFUNCTION("IF(REGEXMATCH($C120, ""n""), """",""n"")"),"n")</f>
        <v>n</v>
      </c>
      <c r="CZ120" s="246" t="str">
        <f>IFERROR(__xludf.DUMMYFUNCTION("IF(REGEXMATCH($C120, ""N""), """",""N"")"),"")</f>
        <v/>
      </c>
      <c r="DA120" s="246" t="str">
        <f>IFERROR(__xludf.DUMMYFUNCTION("IF(REGEXMATCH($C120, ""S""), ""S"",""S"")"),"S")</f>
        <v>S</v>
      </c>
      <c r="DB120" s="362" t="str">
        <f>IFERROR(__xludf.DUMMYFUNCTION("JOIN("""",CO120:DA120,"""","""")"),"SRgMDnS")</f>
        <v>SRgMDnS</v>
      </c>
      <c r="DC120" s="363"/>
      <c r="DD120" s="301" t="str">
        <f t="shared" si="35"/>
        <v>#REF!</v>
      </c>
      <c r="DE120" s="302" t="str">
        <f t="shared" si="36"/>
        <v>#REF!</v>
      </c>
      <c r="DF120" s="301" t="str">
        <f t="shared" ref="DF120:DG120" si="443">SUBSTITUTE(S120,"-","")</f>
        <v>SRGM</v>
      </c>
      <c r="DG120" s="301" t="str">
        <f t="shared" si="443"/>
        <v>PDNS</v>
      </c>
      <c r="DH120" s="302" t="str">
        <f t="shared" si="38"/>
        <v>Bhairav</v>
      </c>
      <c r="DI120" s="301" t="str">
        <f t="shared" si="39"/>
        <v>Hemi.</v>
      </c>
      <c r="DJ120" s="364" t="str">
        <f t="shared" si="40"/>
        <v>Cohem.</v>
      </c>
      <c r="DK120" s="306" t="str">
        <f t="shared" si="41"/>
        <v>Bhairav</v>
      </c>
      <c r="DL120" s="366" t="str">
        <f t="shared" si="42"/>
        <v>-</v>
      </c>
      <c r="DM120" s="308" t="str">
        <f t="shared" si="43"/>
        <v>-</v>
      </c>
      <c r="DN120" s="306" t="str">
        <f t="shared" si="44"/>
        <v>-</v>
      </c>
      <c r="DO120" s="306" t="str">
        <f t="shared" si="45"/>
        <v>-</v>
      </c>
      <c r="DP120" s="367" t="str">
        <f t="shared" si="46"/>
        <v>-</v>
      </c>
      <c r="DQ120" s="310" t="str">
        <f t="shared" si="47"/>
        <v>-</v>
      </c>
      <c r="DR120" s="310" t="str">
        <f t="shared" si="48"/>
        <v>-</v>
      </c>
      <c r="DS120" s="310" t="str">
        <f t="shared" si="49"/>
        <v>-</v>
      </c>
      <c r="DT120" s="310" t="str">
        <f t="shared" si="50"/>
        <v>-</v>
      </c>
      <c r="DU120" s="370" t="str">
        <f t="shared" si="51"/>
        <v>-</v>
      </c>
      <c r="DV120" s="306" t="str">
        <f t="shared" si="52"/>
        <v>-</v>
      </c>
      <c r="DW120" s="306" t="str">
        <f t="shared" si="53"/>
        <v>-</v>
      </c>
      <c r="DX120" s="306" t="str">
        <f t="shared" si="54"/>
        <v>-</v>
      </c>
      <c r="DY120" s="306" t="str">
        <f t="shared" si="55"/>
        <v>-</v>
      </c>
      <c r="DZ120" s="306" t="str">
        <f t="shared" si="56"/>
        <v>-</v>
      </c>
      <c r="EA120" s="367" t="str">
        <f t="shared" si="57"/>
        <v>-</v>
      </c>
      <c r="EB120" s="310" t="str">
        <f>IFERROR(__xludf.DUMMYFUNCTION("IF(REGEXMATCH(AW120,AS120),""✔"",""-"")"),"✔")</f>
        <v>✔</v>
      </c>
      <c r="EC120" s="310" t="str">
        <f t="shared" si="58"/>
        <v>#REF!</v>
      </c>
      <c r="ED120" s="370" t="str">
        <f t="shared" si="59"/>
        <v>✔</v>
      </c>
      <c r="EE120" s="340" t="str">
        <f t="shared" si="60"/>
        <v>S-r-G-m-P-d-N-S</v>
      </c>
      <c r="EF120" s="371" t="str">
        <f>IFERROR(__xludf.DUMMYFUNCTION("CONCATENATE(JOIN("""",HC120:HO120))"),"SrGmPdNS")</f>
        <v>SrGmPdNS</v>
      </c>
      <c r="EG120" s="372">
        <f t="shared" si="61"/>
        <v>3</v>
      </c>
      <c r="EH120" s="373" t="str">
        <f>IFERROR(__xludf.DUMMYFUNCTION("CONCATENATE(JOIN("""",JC120:JO120))"),"Pa, dha, Ni, ")</f>
        <v>Pa, dha, Ni, </v>
      </c>
      <c r="EI120" s="322">
        <f t="shared" si="62"/>
        <v>0</v>
      </c>
      <c r="EJ120" s="374" t="str">
        <f>IFERROR(__xludf.DUMMYFUNCTION("CONCATENATE(JOIN("""",KC120:KO120))"),"")</f>
        <v/>
      </c>
      <c r="EK120" s="325" t="str">
        <f t="shared" si="63"/>
        <v>S-R1-G3-M1-P-D1-N3-S</v>
      </c>
      <c r="EL120" s="326" t="str">
        <f t="shared" si="64"/>
        <v>1-b2-3-4-5-b6-7-8</v>
      </c>
      <c r="EM120" s="318" t="str">
        <f t="shared" si="65"/>
        <v>#REF!</v>
      </c>
      <c r="EN120" s="328" t="str">
        <f>IFERROR(__xludf.DUMMYFUNCTION("SUBSTITUTE(SUBSTITUTE(SUBSTITUTE(SUBSTITUTE(CONCATENATE(JOIN("" "",HP120:IB120)),""  "","" ""),""  "","" ""),""  "","" ""),""  "","" "")"),"o o • • o o • o o • • o o")</f>
        <v>o o • • o o • o o • • o o</v>
      </c>
      <c r="EO120" s="368" t="str">
        <f t="shared" si="66"/>
        <v>-</v>
      </c>
      <c r="EP120" s="339" t="str">
        <f t="shared" si="67"/>
        <v>-</v>
      </c>
      <c r="EQ120" s="339" t="str">
        <f t="shared" si="68"/>
        <v>Sa-Pa</v>
      </c>
      <c r="ER120" s="339" t="str">
        <f t="shared" si="69"/>
        <v>-</v>
      </c>
      <c r="ES120" s="340" t="str">
        <f t="shared" si="70"/>
        <v>-</v>
      </c>
      <c r="ET120" s="363"/>
      <c r="EU120" s="376" t="b">
        <f>IFERROR(__xludf.DUMMYFUNCTION("arrayformula(sum(--REGEXMATCH(""SRGMPDNS"",split(REGEXREPLACE(C120,""(.)"",""$1~""),""~""))))=len(C120)
"),FALSE)</f>
        <v>0</v>
      </c>
      <c r="EV120" s="290" t="b">
        <f>IFERROR(__xludf.DUMMYFUNCTION("arrayformula(sum(--REGEXMATCH(""SRGmPDNS"",split(REGEXREPLACE(C120,""(.)"",""$1~""),""~""))))=len(C120)"),FALSE)</f>
        <v>0</v>
      </c>
      <c r="EW120" s="290" t="b">
        <f>IFERROR(__xludf.DUMMYFUNCTION("arrayformula(sum(--REGEXMATCH(""SRGmPDnS"",split(REGEXREPLACE(C120,""(.)"",""$1~""),""~""))))=len(C120)"),FALSE)</f>
        <v>0</v>
      </c>
      <c r="EX120" s="290" t="b">
        <f>IFERROR(__xludf.DUMMYFUNCTION("arrayformula(sum(--REGEXMATCH(""SRgmPDnS"",split(REGEXREPLACE(C120,""(.)"",""$1~""),""~""))))=len(C120)"),FALSE)</f>
        <v>0</v>
      </c>
      <c r="EY120" s="290" t="b">
        <f>IFERROR(__xludf.DUMMYFUNCTION("arrayformula(sum(--REGEXMATCH(""SRgmPdnS"",split(REGEXREPLACE(C120,""(.)"",""$1~""),""~""))))=len(C120)"),FALSE)</f>
        <v>0</v>
      </c>
      <c r="EZ120" s="290" t="b">
        <f>IFERROR(__xludf.DUMMYFUNCTION("arrayformula(sum(--REGEXMATCH(""SrgmPdnS"",split(REGEXREPLACE(C120,""(.)"",""$1~""),""~""))))=len(C120)"),FALSE)</f>
        <v>0</v>
      </c>
      <c r="FA120" s="290" t="b">
        <f>IFERROR(__xludf.DUMMYFUNCTION("arrayformula(sum(--REGEXMATCH(""SrGmPdNS"",split(REGEXREPLACE(C120,""(.)"",""$1~""),""~""))))=len(C120)"),TRUE)</f>
        <v>1</v>
      </c>
      <c r="FB120" s="290" t="b">
        <f>IFERROR(__xludf.DUMMYFUNCTION("arrayformula(sum(--REGEXMATCH(""SrGMPDNS"",split(REGEXREPLACE(C120,""(.)"",""$1~""),""~""))))=len(C120)"),FALSE)</f>
        <v>0</v>
      </c>
      <c r="FC120" s="290" t="b">
        <f>IFERROR(__xludf.DUMMYFUNCTION("arrayformula(sum(--REGEXMATCH(""SrGMPdNS"",split(REGEXREPLACE(C120,""(.)"",""$1~""),""~""))))=len(C120)"),FALSE)</f>
        <v>0</v>
      </c>
      <c r="FD120" s="377" t="b">
        <f>IFERROR(__xludf.DUMMYFUNCTION("arrayformula(sum(--REGEXMATCH(""SrgMPdNS"",split(REGEXREPLACE(C120,""(.)"",""$1~""),""~""))))=len(C120)"),FALSE)</f>
        <v>0</v>
      </c>
      <c r="FE120" s="269" t="str">
        <f t="shared" si="71"/>
        <v>xooxxoxxoox</v>
      </c>
      <c r="FF120" s="269" t="str">
        <f t="shared" si="72"/>
        <v>-</v>
      </c>
      <c r="FG120" s="271" t="str">
        <f t="shared" si="73"/>
        <v>-</v>
      </c>
      <c r="FH120" s="269" t="str">
        <f t="shared" si="74"/>
        <v>xxoxxooxxxo</v>
      </c>
      <c r="FI120" s="271" t="str">
        <f t="shared" si="75"/>
        <v>xoxxooxxxoo</v>
      </c>
      <c r="FJ120" s="271" t="str">
        <f t="shared" si="76"/>
        <v>-</v>
      </c>
      <c r="FK120" s="271" t="str">
        <f t="shared" si="77"/>
        <v>xxooxxxooxx</v>
      </c>
      <c r="FL120" s="271" t="str">
        <f t="shared" si="78"/>
        <v>xooxxxooxxo</v>
      </c>
      <c r="FM120" s="271" t="str">
        <f t="shared" si="79"/>
        <v>-</v>
      </c>
      <c r="FN120" s="271" t="str">
        <f t="shared" si="80"/>
        <v>-</v>
      </c>
      <c r="FO120" s="274" t="str">
        <f t="shared" si="81"/>
        <v>xxxooxxoxxo</v>
      </c>
      <c r="FP120" s="234" t="str">
        <f t="shared" si="82"/>
        <v>|</v>
      </c>
      <c r="FQ120" s="236" t="str">
        <f t="shared" si="83"/>
        <v>|</v>
      </c>
      <c r="FR120" s="237" t="str">
        <f t="shared" si="84"/>
        <v>-</v>
      </c>
      <c r="FS120" s="236" t="str">
        <f t="shared" si="85"/>
        <v>-</v>
      </c>
      <c r="FT120" s="237" t="str">
        <f t="shared" si="86"/>
        <v>|</v>
      </c>
      <c r="FU120" s="236" t="str">
        <f t="shared" si="87"/>
        <v>|</v>
      </c>
      <c r="FV120" s="237" t="str">
        <f t="shared" si="88"/>
        <v>-</v>
      </c>
      <c r="FW120" s="236" t="str">
        <f t="shared" si="89"/>
        <v>|</v>
      </c>
      <c r="FX120" s="237" t="str">
        <f t="shared" si="90"/>
        <v>|</v>
      </c>
      <c r="FY120" s="236" t="str">
        <f t="shared" si="91"/>
        <v>-</v>
      </c>
      <c r="FZ120" s="237" t="str">
        <f t="shared" si="92"/>
        <v>-</v>
      </c>
      <c r="GA120" s="236" t="str">
        <f t="shared" si="93"/>
        <v>|</v>
      </c>
      <c r="GB120" s="238" t="str">
        <f t="shared" si="94"/>
        <v>|</v>
      </c>
      <c r="GC120" s="244" t="str">
        <f>IFERROR(__xludf.DUMMYFUNCTION("IF(REGEXMATCH(C120, ""S""), ""1"","""")"),"1")</f>
        <v>1</v>
      </c>
      <c r="GD120" s="245" t="str">
        <f>IFERROR(__xludf.DUMMYFUNCTION("IF(REGEXMATCH(C120, ""r""), ""b2"","""")"),"b2")</f>
        <v>b2</v>
      </c>
      <c r="GE120" s="246" t="str">
        <f>IFERROR(__xludf.DUMMYFUNCTION("IF(REGEXMATCH(C120, ""R""), ""2"","""")"),"")</f>
        <v/>
      </c>
      <c r="GF120" s="246" t="str">
        <f>IFERROR(__xludf.DUMMYFUNCTION("IF(REGEXMATCH(C120, ""g""), ""b3"","""")"),"")</f>
        <v/>
      </c>
      <c r="GG120" s="245" t="str">
        <f>IFERROR(__xludf.DUMMYFUNCTION("IF(REGEXMATCH(C120, ""G""), ""3"","""")"),"3")</f>
        <v>3</v>
      </c>
      <c r="GH120" s="245" t="str">
        <f>IFERROR(__xludf.DUMMYFUNCTION("IF(REGEXMATCH(C120, ""m""), ""4"","""")"),"4")</f>
        <v>4</v>
      </c>
      <c r="GI120" s="246" t="str">
        <f>IFERROR(__xludf.DUMMYFUNCTION("IF(REGEXMATCH(C120, ""M""), ""#4"","""")"),"")</f>
        <v/>
      </c>
      <c r="GJ120" s="245" t="str">
        <f>IFERROR(__xludf.DUMMYFUNCTION("IF(REGEXMATCH(C120, ""P""), ""5"","""")"),"5")</f>
        <v>5</v>
      </c>
      <c r="GK120" s="246" t="str">
        <f>IFERROR(__xludf.DUMMYFUNCTION("IF(REGEXMATCH(C120, ""d""), ""b6"","""")"),"b6")</f>
        <v>b6</v>
      </c>
      <c r="GL120" s="245" t="str">
        <f>IFERROR(__xludf.DUMMYFUNCTION("IF(REGEXMATCH(C120, ""D""), ""6"","""")"),"")</f>
        <v/>
      </c>
      <c r="GM120" s="245" t="str">
        <f>IFERROR(__xludf.DUMMYFUNCTION("IF(REGEXMATCH(C120, ""n""), ""b7"","""")"),"")</f>
        <v/>
      </c>
      <c r="GN120" s="246" t="str">
        <f>IFERROR(__xludf.DUMMYFUNCTION("IF(REGEXMATCH(C120, ""N""), ""7"","""")"),"7")</f>
        <v>7</v>
      </c>
      <c r="GO120" s="249" t="str">
        <f>IFERROR(__xludf.DUMMYFUNCTION("IF(REGEXMATCH(C120, ""S""), ""8"","""")"),"8")</f>
        <v>8</v>
      </c>
      <c r="GP120" s="244" t="str">
        <f>IFERROR(__xludf.DUMMYFUNCTION("IF(REGEXMATCH(C120, ""S""), ""S"","""")"),"S")</f>
        <v>S</v>
      </c>
      <c r="GQ120" s="294" t="str">
        <f>IFERROR(__xludf.DUMMYFUNCTION("IF(REGEXMATCH(C120, ""r""), ""R1"","""")"),"R1")</f>
        <v>R1</v>
      </c>
      <c r="GR120" s="295" t="str">
        <f>IFERROR(__xludf.DUMMYFUNCTION("IF(REGEXMATCH(C120, ""R""), ""R2"","""")"),"")</f>
        <v/>
      </c>
      <c r="GS120" s="295" t="str">
        <f>IFERROR(__xludf.DUMMYFUNCTION("IF(REGEXMATCH(C120, ""g""), ""G2"","""")"),"")</f>
        <v/>
      </c>
      <c r="GT120" s="294" t="str">
        <f>IFERROR(__xludf.DUMMYFUNCTION("IF(REGEXMATCH(C120, ""G""), ""G3"","""")"),"G3")</f>
        <v>G3</v>
      </c>
      <c r="GU120" s="294" t="str">
        <f>IFERROR(__xludf.DUMMYFUNCTION("IF(REGEXMATCH(C120, ""m""), ""M1"","""")"),"M1")</f>
        <v>M1</v>
      </c>
      <c r="GV120" s="295" t="str">
        <f>IFERROR(__xludf.DUMMYFUNCTION("IF(REGEXMATCH(C120, ""M""), ""M2"","""")"),"")</f>
        <v/>
      </c>
      <c r="GW120" s="294" t="str">
        <f>IFERROR(__xludf.DUMMYFUNCTION("IF(REGEXMATCH(C120, ""P""), ""P"","""")"),"P")</f>
        <v>P</v>
      </c>
      <c r="GX120" s="295" t="str">
        <f>IFERROR(__xludf.DUMMYFUNCTION("IF(REGEXMATCH(C120, ""d""), ""D1"","""")"),"D1")</f>
        <v>D1</v>
      </c>
      <c r="GY120" s="294" t="str">
        <f>IFERROR(__xludf.DUMMYFUNCTION("IF(REGEXMATCH(C120, ""D""), ""D2"","""")"),"")</f>
        <v/>
      </c>
      <c r="GZ120" s="294" t="str">
        <f>IFERROR(__xludf.DUMMYFUNCTION("IF(REGEXMATCH(C120, ""n""), ""N2"","""")"),"")</f>
        <v/>
      </c>
      <c r="HA120" s="295" t="str">
        <f>IFERROR(__xludf.DUMMYFUNCTION("IF(REGEXMATCH(C120, ""N""), ""N3"","""")"),"N3")</f>
        <v>N3</v>
      </c>
      <c r="HB120" s="249" t="str">
        <f>IFERROR(__xludf.DUMMYFUNCTION("IF(REGEXMATCH(C120, ""S""), ""S"","""")"),"S")</f>
        <v>S</v>
      </c>
      <c r="HC120" s="331" t="str">
        <f t="shared" si="95"/>
        <v>S</v>
      </c>
      <c r="HD120" s="332" t="str">
        <f t="shared" si="96"/>
        <v>r</v>
      </c>
      <c r="HE120" s="332" t="str">
        <f t="shared" si="97"/>
        <v/>
      </c>
      <c r="HF120" s="332" t="str">
        <f t="shared" si="98"/>
        <v/>
      </c>
      <c r="HG120" s="332" t="str">
        <f t="shared" si="99"/>
        <v>G</v>
      </c>
      <c r="HH120" s="332" t="str">
        <f t="shared" si="100"/>
        <v>m</v>
      </c>
      <c r="HI120" s="332" t="str">
        <f t="shared" si="101"/>
        <v/>
      </c>
      <c r="HJ120" s="332" t="str">
        <f t="shared" si="102"/>
        <v>P</v>
      </c>
      <c r="HK120" s="332" t="str">
        <f t="shared" si="103"/>
        <v>d</v>
      </c>
      <c r="HL120" s="332" t="str">
        <f t="shared" si="104"/>
        <v/>
      </c>
      <c r="HM120" s="332" t="str">
        <f t="shared" si="105"/>
        <v/>
      </c>
      <c r="HN120" s="332" t="str">
        <f t="shared" si="106"/>
        <v>N</v>
      </c>
      <c r="HO120" s="343" t="str">
        <f t="shared" si="107"/>
        <v>S</v>
      </c>
      <c r="HP120" s="331" t="str">
        <f t="shared" si="108"/>
        <v>o</v>
      </c>
      <c r="HQ120" s="332" t="str">
        <f t="shared" si="109"/>
        <v>o</v>
      </c>
      <c r="HR120" s="332" t="str">
        <f t="shared" si="110"/>
        <v>•</v>
      </c>
      <c r="HS120" s="332" t="str">
        <f t="shared" si="111"/>
        <v>•</v>
      </c>
      <c r="HT120" s="332" t="str">
        <f t="shared" si="112"/>
        <v>o</v>
      </c>
      <c r="HU120" s="332" t="str">
        <f t="shared" si="113"/>
        <v>o</v>
      </c>
      <c r="HV120" s="332" t="str">
        <f t="shared" si="114"/>
        <v>•</v>
      </c>
      <c r="HW120" s="332" t="str">
        <f t="shared" si="115"/>
        <v>o</v>
      </c>
      <c r="HX120" s="332" t="str">
        <f t="shared" si="116"/>
        <v>o</v>
      </c>
      <c r="HY120" s="332" t="str">
        <f t="shared" si="117"/>
        <v>•</v>
      </c>
      <c r="HZ120" s="332" t="str">
        <f t="shared" si="118"/>
        <v>•</v>
      </c>
      <c r="IA120" s="332" t="str">
        <f t="shared" si="119"/>
        <v>o</v>
      </c>
      <c r="IB120" s="338" t="str">
        <f t="shared" si="120"/>
        <v>o</v>
      </c>
      <c r="IC120" s="331" t="str">
        <f t="shared" si="121"/>
        <v>•</v>
      </c>
      <c r="ID120" s="332" t="str">
        <f t="shared" si="122"/>
        <v>•</v>
      </c>
      <c r="IE120" s="332" t="str">
        <f t="shared" si="123"/>
        <v>o</v>
      </c>
      <c r="IF120" s="332" t="str">
        <f t="shared" si="124"/>
        <v>o</v>
      </c>
      <c r="IG120" s="332" t="str">
        <f t="shared" si="125"/>
        <v>•</v>
      </c>
      <c r="IH120" s="332" t="str">
        <f t="shared" si="126"/>
        <v>•</v>
      </c>
      <c r="II120" s="332" t="str">
        <f t="shared" si="127"/>
        <v>o</v>
      </c>
      <c r="IJ120" s="332" t="str">
        <f t="shared" si="128"/>
        <v>•</v>
      </c>
      <c r="IK120" s="332" t="str">
        <f t="shared" si="129"/>
        <v>•</v>
      </c>
      <c r="IL120" s="332" t="str">
        <f t="shared" si="130"/>
        <v>o</v>
      </c>
      <c r="IM120" s="332" t="str">
        <f t="shared" si="131"/>
        <v>o</v>
      </c>
      <c r="IN120" s="332" t="str">
        <f t="shared" si="132"/>
        <v>•</v>
      </c>
      <c r="IO120" s="338" t="str">
        <f t="shared" si="133"/>
        <v>•</v>
      </c>
      <c r="IP120" s="346" t="b">
        <f t="shared" si="134"/>
        <v>0</v>
      </c>
      <c r="IQ120" s="347" t="b">
        <f t="shared" si="135"/>
        <v>0</v>
      </c>
      <c r="IR120" s="347" t="b">
        <f t="shared" si="136"/>
        <v>0</v>
      </c>
      <c r="IS120" s="347" t="b">
        <f t="shared" si="137"/>
        <v>0</v>
      </c>
      <c r="IT120" s="347" t="b">
        <f t="shared" si="138"/>
        <v>0</v>
      </c>
      <c r="IU120" s="347" t="b">
        <f t="shared" si="139"/>
        <v>0</v>
      </c>
      <c r="IV120" s="347" t="b">
        <f t="shared" si="140"/>
        <v>0</v>
      </c>
      <c r="IW120" s="347" t="b">
        <f t="shared" si="141"/>
        <v>1</v>
      </c>
      <c r="IX120" s="347" t="b">
        <f t="shared" si="142"/>
        <v>1</v>
      </c>
      <c r="IY120" s="347" t="b">
        <f t="shared" si="143"/>
        <v>0</v>
      </c>
      <c r="IZ120" s="347" t="b">
        <f t="shared" si="144"/>
        <v>0</v>
      </c>
      <c r="JA120" s="347" t="b">
        <f t="shared" si="145"/>
        <v>1</v>
      </c>
      <c r="JB120" s="353" t="b">
        <f t="shared" si="146"/>
        <v>0</v>
      </c>
      <c r="JC120" s="354" t="str">
        <f t="shared" si="147"/>
        <v/>
      </c>
      <c r="JD120" s="355" t="str">
        <f t="shared" si="148"/>
        <v/>
      </c>
      <c r="JE120" s="355" t="str">
        <f t="shared" si="149"/>
        <v/>
      </c>
      <c r="JF120" s="355" t="str">
        <f t="shared" si="150"/>
        <v/>
      </c>
      <c r="JG120" s="355" t="str">
        <f t="shared" si="151"/>
        <v/>
      </c>
      <c r="JH120" s="355" t="str">
        <f t="shared" si="152"/>
        <v/>
      </c>
      <c r="JI120" s="355" t="str">
        <f t="shared" si="153"/>
        <v/>
      </c>
      <c r="JJ120" s="355" t="str">
        <f t="shared" si="154"/>
        <v>Pa, </v>
      </c>
      <c r="JK120" s="355" t="str">
        <f t="shared" si="155"/>
        <v>dha, </v>
      </c>
      <c r="JL120" s="355" t="str">
        <f t="shared" si="156"/>
        <v/>
      </c>
      <c r="JM120" s="355" t="str">
        <f t="shared" si="157"/>
        <v/>
      </c>
      <c r="JN120" s="355" t="str">
        <f t="shared" si="158"/>
        <v>Ni, </v>
      </c>
      <c r="JO120" s="359" t="str">
        <f t="shared" si="159"/>
        <v/>
      </c>
      <c r="JP120" s="346" t="b">
        <f t="shared" si="160"/>
        <v>0</v>
      </c>
      <c r="JQ120" s="347" t="b">
        <f t="shared" si="161"/>
        <v>0</v>
      </c>
      <c r="JR120" s="347" t="b">
        <f t="shared" si="162"/>
        <v>0</v>
      </c>
      <c r="JS120" s="347" t="b">
        <f t="shared" si="163"/>
        <v>0</v>
      </c>
      <c r="JT120" s="347" t="b">
        <f t="shared" si="164"/>
        <v>0</v>
      </c>
      <c r="JU120" s="347" t="b">
        <f t="shared" si="165"/>
        <v>0</v>
      </c>
      <c r="JV120" s="347" t="b">
        <f t="shared" si="166"/>
        <v>0</v>
      </c>
      <c r="JW120" s="347" t="b">
        <f t="shared" si="167"/>
        <v>0</v>
      </c>
      <c r="JX120" s="347" t="b">
        <f t="shared" si="168"/>
        <v>0</v>
      </c>
      <c r="JY120" s="347" t="b">
        <f t="shared" si="169"/>
        <v>0</v>
      </c>
      <c r="JZ120" s="347" t="b">
        <f t="shared" si="170"/>
        <v>0</v>
      </c>
      <c r="KA120" s="347" t="b">
        <f t="shared" si="171"/>
        <v>0</v>
      </c>
      <c r="KB120" s="365" t="b">
        <f t="shared" si="172"/>
        <v>0</v>
      </c>
      <c r="KC120" s="354" t="str">
        <f t="shared" si="173"/>
        <v/>
      </c>
      <c r="KD120" s="355" t="str">
        <f t="shared" si="174"/>
        <v/>
      </c>
      <c r="KE120" s="355" t="str">
        <f t="shared" si="175"/>
        <v/>
      </c>
      <c r="KF120" s="355" t="str">
        <f t="shared" si="176"/>
        <v/>
      </c>
      <c r="KG120" s="355" t="str">
        <f t="shared" si="177"/>
        <v/>
      </c>
      <c r="KH120" s="355" t="str">
        <f t="shared" si="178"/>
        <v/>
      </c>
      <c r="KI120" s="355" t="str">
        <f t="shared" si="179"/>
        <v/>
      </c>
      <c r="KJ120" s="355" t="str">
        <f t="shared" si="180"/>
        <v/>
      </c>
      <c r="KK120" s="355" t="str">
        <f t="shared" si="181"/>
        <v/>
      </c>
      <c r="KL120" s="355" t="str">
        <f t="shared" si="182"/>
        <v/>
      </c>
      <c r="KM120" s="355" t="str">
        <f t="shared" si="183"/>
        <v/>
      </c>
      <c r="KN120" s="355" t="str">
        <f t="shared" si="184"/>
        <v/>
      </c>
      <c r="KO120" s="359"/>
      <c r="KP120" s="378"/>
      <c r="KQ120" s="379" t="s">
        <v>591</v>
      </c>
      <c r="KR120" s="380" t="s">
        <v>1322</v>
      </c>
      <c r="KS120" s="381" t="str">
        <f>KQ120</f>
        <v>S-r-G-m-P-d-N-S</v>
      </c>
      <c r="KT120" s="382">
        <f t="shared" si="186"/>
        <v>7</v>
      </c>
      <c r="KU120" s="383">
        <f t="shared" si="187"/>
        <v>7</v>
      </c>
      <c r="KV120" s="381" t="str">
        <f t="shared" si="205"/>
        <v>S-N-d-P-m-G-r-S</v>
      </c>
      <c r="KW120" s="382">
        <f t="shared" si="189"/>
        <v>7</v>
      </c>
      <c r="KX120" s="384">
        <f t="shared" si="190"/>
        <v>7</v>
      </c>
      <c r="KY120" s="382">
        <f t="shared" ref="KY120:KZ120" si="444">KW120-KT120</f>
        <v>0</v>
      </c>
      <c r="KZ120" s="369">
        <f t="shared" si="444"/>
        <v>0</v>
      </c>
      <c r="LA120" s="385" t="str">
        <f t="shared" si="192"/>
        <v>✔</v>
      </c>
      <c r="LB120" s="340" t="str">
        <f>IFERROR(__xludf.DUMMYFUNCTION("JOIN("""",ArrayFormula(MID(KS120,LEN(KS120)-SEQUENCE(1,LEN(KS120))+1,1)))"),"S-N-d-P-m-G-r-S")</f>
        <v>S-N-d-P-m-G-r-S</v>
      </c>
      <c r="LC120" s="373" t="str">
        <f>IFERROR(__xludf.DUMMYFUNCTION("JOIN("""",ArrayFormula(MID(KV120,LEN(KV120)-SEQUENCE(1,LEN(KV120))+1,1)))"),"S-r-G-m-P-d-N-S")</f>
        <v>S-r-G-m-P-d-N-S</v>
      </c>
      <c r="LD120" s="373" t="str">
        <f t="shared" si="193"/>
        <v>SrGmPdNS</v>
      </c>
      <c r="LE120" s="339" t="str">
        <f t="shared" si="194"/>
        <v>SrGmPdNS</v>
      </c>
      <c r="LF120" s="386" t="str">
        <f>IFERROR(__xludf.DUMMYFUNCTION("SUBSTITUTE(SUBSTITUTE(CONCATENATE(JOIN("""",LH120:LT120)),""1"",""""),""2"","""")"),"SrGmPdNS")</f>
        <v>SrGmPdNS</v>
      </c>
      <c r="LG120" s="369" t="str">
        <f t="shared" si="195"/>
        <v>✔</v>
      </c>
      <c r="LH120" s="387" t="str">
        <f>IFERROR(__xludf.DUMMYFUNCTION("IF(REGEXMATCH(LD120, ""S""), ""S"",IF(REGEXMATCH(LE120, ""S""), ""S"",""""))"),"S")</f>
        <v>S</v>
      </c>
      <c r="LI120" s="299" t="str">
        <f>IFERROR(__xludf.DUMMYFUNCTION("IF(REGEXMATCH(LD120, ""r""), ""r1"",IF(REGEXMATCH(LE120, ""r""), ""r2"",""""))"),"r1")</f>
        <v>r1</v>
      </c>
      <c r="LJ120" s="299" t="str">
        <f>IFERROR(__xludf.DUMMYFUNCTION("IF(REGEXMATCH(LD120, ""R""), ""R1"",IF(REGEXMATCH(LE120, ""R""), ""R2"",""""))"),"")</f>
        <v/>
      </c>
      <c r="LK120" s="299" t="str">
        <f>IFERROR(__xludf.DUMMYFUNCTION("IF(REGEXMATCH(LD120, ""g""), ""g1"",IF(REGEXMATCH(LE120, ""g""), ""g2"",""""))"),"")</f>
        <v/>
      </c>
      <c r="LL120" s="299" t="str">
        <f>IFERROR(__xludf.DUMMYFUNCTION("IF(REGEXMATCH(LD120, ""G""), ""G1"",IF(REGEXMATCH(LE120, ""G""), ""G2"",""""))"),"G1")</f>
        <v>G1</v>
      </c>
      <c r="LM120" s="299" t="str">
        <f>IFERROR(__xludf.DUMMYFUNCTION("IF(REGEXMATCH(LD120, ""m""), ""m1"",IF(REGEXMATCH(LE120, ""m""), ""m2"",""""))"),"m1")</f>
        <v>m1</v>
      </c>
      <c r="LN120" s="299" t="str">
        <f>IFERROR(__xludf.DUMMYFUNCTION("IF(REGEXMATCH(LD120, ""M""), ""M1"",IF(REGEXMATCH(LE120, ""M""), ""M2"",""""))"),"")</f>
        <v/>
      </c>
      <c r="LO120" s="299" t="str">
        <f>IFERROR(__xludf.DUMMYFUNCTION("IF(REGEXMATCH(LD120, ""P""), ""P1"",IF(REGEXMATCH(LE120, ""P""), ""P2"",""""))"),"P1")</f>
        <v>P1</v>
      </c>
      <c r="LP120" s="299" t="str">
        <f>IFERROR(__xludf.DUMMYFUNCTION("IF(REGEXMATCH(LD120, ""d""), ""d1"",IF(REGEXMATCH(LE120, ""d""), ""d2"",""""))"),"d1")</f>
        <v>d1</v>
      </c>
      <c r="LQ120" s="299" t="str">
        <f>IFERROR(__xludf.DUMMYFUNCTION("IF(REGEXMATCH(LD120, ""D""), ""D1"",IF(REGEXMATCH(LE120, ""D""), ""D2"",""""))"),"")</f>
        <v/>
      </c>
      <c r="LR120" s="299" t="str">
        <f>IFERROR(__xludf.DUMMYFUNCTION("IF(REGEXMATCH(LD120, ""n""), ""n1"",IF(REGEXMATCH(LE120, ""n""), ""n2"",""""))"),"")</f>
        <v/>
      </c>
      <c r="LS120" s="299" t="str">
        <f>IFERROR(__xludf.DUMMYFUNCTION("IF(REGEXMATCH(LD120, ""N""), ""N1"",IF(REGEXMATCH(LE120, ""N""), ""N2"",""""))"),"N1")</f>
        <v>N1</v>
      </c>
      <c r="LT120" s="388" t="str">
        <f>IFERROR(__xludf.DUMMYFUNCTION("IF(REGEXMATCH(LD120, ""S""), ""S"",IF(REGEXMATCH(LE120, ""S""), ""S"",""""))"),"S")</f>
        <v>S</v>
      </c>
      <c r="LU120" s="389">
        <f t="shared" si="196"/>
        <v>1</v>
      </c>
      <c r="LV120" s="378"/>
      <c r="LW120" s="369"/>
      <c r="LX120" s="369"/>
    </row>
    <row r="121" ht="18.0" customHeight="1">
      <c r="A121" s="298" t="s">
        <v>752</v>
      </c>
      <c r="B121" s="222" t="s">
        <v>339</v>
      </c>
      <c r="C121" s="233" t="str">
        <f t="shared" si="7"/>
        <v>SrGMPdNS</v>
      </c>
      <c r="D121" s="234" t="str">
        <f>IFERROR(__xludf.DUMMYFUNCTION("IF(REGEXMATCH(C121, ""S""), ""S"","""")"),"S")</f>
        <v>S</v>
      </c>
      <c r="E121" s="236" t="str">
        <f>IFERROR(__xludf.DUMMYFUNCTION("IF(REGEXMATCH(C121, ""r""), ""r"","""")"),"r")</f>
        <v>r</v>
      </c>
      <c r="F121" s="237" t="str">
        <f>IFERROR(__xludf.DUMMYFUNCTION("IF(REGEXMATCH(C121, ""R""), ""R"","""")"),"")</f>
        <v/>
      </c>
      <c r="G121" s="237" t="str">
        <f>IFERROR(__xludf.DUMMYFUNCTION("IF(REGEXMATCH(C121, ""g""), ""g"","""")"),"")</f>
        <v/>
      </c>
      <c r="H121" s="236" t="str">
        <f>IFERROR(__xludf.DUMMYFUNCTION("IF(REGEXMATCH(C121, ""G""), ""G"","""")"),"G")</f>
        <v>G</v>
      </c>
      <c r="I121" s="236" t="str">
        <f>IFERROR(__xludf.DUMMYFUNCTION("IF(REGEXMATCH(C121, ""m""), ""m"","""")"),"")</f>
        <v/>
      </c>
      <c r="J121" s="237" t="str">
        <f>IFERROR(__xludf.DUMMYFUNCTION("IF(REGEXMATCH(C121, ""M""), ""M"","""")"),"M")</f>
        <v>M</v>
      </c>
      <c r="K121" s="236" t="str">
        <f>IFERROR(__xludf.DUMMYFUNCTION("IF(REGEXMATCH(C121, ""P""), ""P"","""")"),"P")</f>
        <v>P</v>
      </c>
      <c r="L121" s="237" t="str">
        <f>IFERROR(__xludf.DUMMYFUNCTION("IF(REGEXMATCH(C121, ""d""), ""d"","""")"),"d")</f>
        <v>d</v>
      </c>
      <c r="M121" s="236" t="str">
        <f>IFERROR(__xludf.DUMMYFUNCTION("IF(REGEXMATCH(C121, ""D""), ""D"","""")"),"")</f>
        <v/>
      </c>
      <c r="N121" s="236" t="str">
        <f>IFERROR(__xludf.DUMMYFUNCTION("IF(REGEXMATCH(C121, ""n""), ""n"","""")"),"")</f>
        <v/>
      </c>
      <c r="O121" s="237" t="str">
        <f>IFERROR(__xludf.DUMMYFUNCTION("IF(REGEXMATCH(C121, ""N""), ""N"","""")"),"N")</f>
        <v>N</v>
      </c>
      <c r="P121" s="238" t="str">
        <f>IFERROR(__xludf.DUMMYFUNCTION("IF(REGEXMATCH(C121, ""S""), ""S"","""")"),"S")</f>
        <v>S</v>
      </c>
      <c r="Q121" s="239" t="str">
        <f>IFERROR(__xludf.DUMMYFUNCTION("SUBSTITUTE(CONCATENATE(JOIN(""-"",D121:J121)),""-"","""")"),"SrGM")</f>
        <v>SrGM</v>
      </c>
      <c r="R121" s="229" t="str">
        <f>IFERROR(__xludf.DUMMYFUNCTION("SUBSTITUTE(CONCATENATE(JOIN(""-"",K121:P121)),""-"","""")"),"PdNS")</f>
        <v>PdNS</v>
      </c>
      <c r="S121" s="282" t="str">
        <f t="shared" si="8"/>
        <v>S-R-G-M</v>
      </c>
      <c r="T121" s="282" t="str">
        <f t="shared" si="9"/>
        <v>P-D-N-S</v>
      </c>
      <c r="U121" s="237" t="str">
        <f>IFERROR(__xludf.DUMMYFUNCTION("SUBSTITUTE(JOIN(""-"",S121,T121),""--"",""-"")"),"S-R-G-M-P-D-N-S")</f>
        <v>S-R-G-M-P-D-N-S</v>
      </c>
      <c r="V121" s="309" t="str">
        <f t="shared" si="10"/>
        <v>rGMdN</v>
      </c>
      <c r="W121" s="244" t="str">
        <f>IFERROR(__xludf.DUMMYFUNCTION("IF(REGEXMATCH(C121, ""S""), ""0"","""")"),"0")</f>
        <v>0</v>
      </c>
      <c r="X121" s="245" t="str">
        <f>IFERROR(__xludf.DUMMYFUNCTION("IF(REGEXMATCH(C121, ""r""), ""1"","""")"),"1")</f>
        <v>1</v>
      </c>
      <c r="Y121" s="246" t="str">
        <f>IFERROR(__xludf.DUMMYFUNCTION("IF(REGEXMATCH(C121, ""R""), ""2"","""")"),"")</f>
        <v/>
      </c>
      <c r="Z121" s="246" t="str">
        <f>IFERROR(__xludf.DUMMYFUNCTION("IF(REGEXMATCH(C121, ""g""), ""3"","""")"),"")</f>
        <v/>
      </c>
      <c r="AA121" s="245" t="str">
        <f>IFERROR(__xludf.DUMMYFUNCTION("IF(REGEXMATCH(C121, ""G""), ""4"","""")"),"4")</f>
        <v>4</v>
      </c>
      <c r="AB121" s="245" t="str">
        <f>IFERROR(__xludf.DUMMYFUNCTION("IF(REGEXMATCH(C121, ""m""), ""5"","""")"),"")</f>
        <v/>
      </c>
      <c r="AC121" s="246" t="str">
        <f>IFERROR(__xludf.DUMMYFUNCTION("IF(REGEXMATCH(C121, ""M""), ""6"","""")"),"6")</f>
        <v>6</v>
      </c>
      <c r="AD121" s="245" t="str">
        <f>IFERROR(__xludf.DUMMYFUNCTION("IF(REGEXMATCH(C121, ""P""), ""7"","""")"),"7")</f>
        <v>7</v>
      </c>
      <c r="AE121" s="246" t="str">
        <f>IFERROR(__xludf.DUMMYFUNCTION("IF(REGEXMATCH(C121, ""d""), ""8"","""")"),"8")</f>
        <v>8</v>
      </c>
      <c r="AF121" s="245" t="str">
        <f>IFERROR(__xludf.DUMMYFUNCTION("IF(REGEXMATCH(C121, ""D""), ""9"","""")"),"")</f>
        <v/>
      </c>
      <c r="AG121" s="245" t="str">
        <f>IFERROR(__xludf.DUMMYFUNCTION("IF(REGEXMATCH(C121, ""n""), ""10"","""")"),"")</f>
        <v/>
      </c>
      <c r="AH121" s="246" t="str">
        <f>IFERROR(__xludf.DUMMYFUNCTION("IF(REGEXMATCH(C121, ""N""), ""11"","""")"),"11")</f>
        <v>11</v>
      </c>
      <c r="AI121" s="249" t="str">
        <f>IFERROR(__xludf.DUMMYFUNCTION("IF(REGEXMATCH(C121, ""S""), ""0"","""")"),"0")</f>
        <v>0</v>
      </c>
      <c r="AJ121" s="313" t="str">
        <f t="shared" si="11"/>
        <v>T</v>
      </c>
      <c r="AK121" s="313" t="str">
        <f t="shared" si="12"/>
        <v>T</v>
      </c>
      <c r="AL121" s="313" t="str">
        <f t="shared" si="13"/>
        <v>-</v>
      </c>
      <c r="AM121" s="313" t="str">
        <f t="shared" si="14"/>
        <v>-</v>
      </c>
      <c r="AN121" s="313" t="str">
        <f t="shared" si="15"/>
        <v>-</v>
      </c>
      <c r="AO121" s="314" t="str">
        <f t="shared" si="16"/>
        <v>-</v>
      </c>
      <c r="AP121" s="316">
        <f t="shared" si="17"/>
        <v>2</v>
      </c>
      <c r="AQ121" s="319" t="str">
        <f t="shared" si="18"/>
        <v>-</v>
      </c>
      <c r="AR121" s="320">
        <f t="shared" si="19"/>
        <v>0</v>
      </c>
      <c r="AS121" s="250" t="str">
        <f>IFERROR(__xludf.DUMMYFUNCTION("SUBSTITUTE(SUBSTITUTE(CONCATENATE(JOIN("""",FP121:GA121)),""|"",""x""),""-"",""o"")"),"xxooxoxxxoox")</f>
        <v>xxooxoxxxoox</v>
      </c>
      <c r="AT121" s="323" t="str">
        <f>IFERROR(__xludf.DUMMYFUNCTION("JOIN("""",AS121,AS121)"),"xxooxoxxxooxxxooxoxxxoox")</f>
        <v>xxooxoxxxooxxxooxoxxxoox</v>
      </c>
      <c r="AU121" s="256" t="str">
        <f>IFERROR(__xludf.DUMMYFUNCTION("JOIN("""",ArrayFormula(MID(AS121,LEN(AS121)-SEQUENCE(1,LEN(AS121))+1,1)))"),"xooxxxoxooxx")</f>
        <v>xooxxxoxooxx</v>
      </c>
      <c r="AV121" s="256" t="str">
        <f>IFERROR(__xludf.DUMMYFUNCTION("LEFT(CONCATENATE(""x"",JOIN("""",ArrayFormula(MID(AS121,LEN(AS121)-SEQUENCE(1,LEN(AS121))+1,1)))),12)"),"xxooxxxoxoox")</f>
        <v>xxooxxxoxoox</v>
      </c>
      <c r="AW121" s="327" t="str">
        <f>IFERROR(__xludf.DUMMYFUNCTION("JOIN("""",AU121,AU121)"),"xooxxxoxooxxxooxxxoxooxx")</f>
        <v>xooxxxoxooxxxooxxxoxooxx</v>
      </c>
      <c r="AX121" s="239" t="str">
        <f>IFERROR(__xludf.DUMMYFUNCTION("IF(REGEXMATCH(AW121,AS121),""✔"",""-"")"),"-")</f>
        <v>-</v>
      </c>
      <c r="AY121" s="330" t="str">
        <f t="shared" si="20"/>
        <v>-</v>
      </c>
      <c r="AZ121" s="260" t="str">
        <f t="shared" si="21"/>
        <v>#REF!</v>
      </c>
      <c r="BA121" s="333" t="str">
        <f t="shared" si="22"/>
        <v>xxooxox</v>
      </c>
      <c r="BB121" s="334" t="str">
        <f t="shared" si="23"/>
        <v>xxooxx</v>
      </c>
      <c r="BC121" s="335" t="str">
        <f t="shared" si="236"/>
        <v>-</v>
      </c>
      <c r="BD121" s="336" t="str">
        <f t="shared" si="25"/>
        <v>Gauri Basant: 'xxooxox' + 'xxooxx'</v>
      </c>
      <c r="BE121" s="337">
        <f>IFERROR(__xludf.DUMMYFUNCTION("COUNTUNIQUE(FILTER(AT:AT,REGEXMATCH(AT:AT,AS121)))-1"),5.0)</f>
        <v>5</v>
      </c>
      <c r="BF121" s="261" t="str">
        <f>IFERROR(__xludf.DUMMYFUNCTION("IF(BI121=0,""(n/a)"",IF(BJ121=2,""(PAIR)"",IF(REGEXMATCH(AT121,""xoxoxxoxoxox""),""Bilawal"",IF(REGEXMATCH(AT121,""xoxoxooxoxoo""),""Bhupali"",IF(REGEXMATCH(AT121,""xoxoxxoxxoxo""),""Charukeshi"",IF(REGEXMATCH(AT121,""xoxoooxxoxxo""),""Kameshwari"",IF(REG"&amp;"EXMATCH(AT121,""xoxoxooxoxox""),""Shankara"",IF(REGEXMATCH(AT121,""xxooxoxxxoox""),""Basant"",IF(REGEXMATCH(AT121,""xoxoxxxxoxox""),""Bihag"",IF(REGEXMATCH(AT121,""xoxxxxoxoxxx""),""Pilu"",IF(REGEXMATCH(AT121,""xoxxoxoxxoox""),""Kirwani"",IF(REGEXMATCH(AT"&amp;"121,""xoxxoxoxoxxx""),""Mk.Malhar"",IF(REGEXMATCH(AT121,""xxooxxoxxoox""),""Bhairav"",IF(REGEXMATCH(AT121,""xxoxooxxxoox""),""Todi"",IF(REGEXMATCH(AT121,""xxooxoxooxox""),""Marwa"",IF(REGEXMATCH(AT121,""xxoooxoxxooo""),""Gunkali"",IF(REGEXMATCH(AT121,""xo"&amp;"xoxxoxxoox""),""Nat Bhairav"",IF(REGEXMATCH(AT121,""xoxxoooxoxoo""),""Shivranjani"",IF(REGEXMATCH(AT121,""xooxxxoxooxo""),""Jog"",IF(REGEXMATCH(AT121,""xxooxoxoxoox""),""Hemshri"",IF(REGEXMATCH(AT121,""xoooxooxoxxo""),""Kalavati"",IF(REGEXMATCH(AT121,""xx"&amp;"oxoxxoxoox""),""Kedar"",IF(REGEXMATCH(AT121,""xoxxxxoxooxx""),""Gara"",IF(REGEXMATCH(AT121,""xooxoxooxoox""),""Chandrakauns"",IF(REGEXMATCH(AT121,""xoxxxxoxxxox""),""Mand"",IF(REGEXMATCH(AT121,""xoxxxxoxoxox""),""Hanskinkini"",IF(REGEXMATCH(AT121,""xxooxx"&amp;"oxooxo""),""Lilavati"",IF(REGEXMATCH(AT121,""xooxoxoooxox""),""Rajeshwari"",IF(REGEXMATCH(AT121,""xoooxxoxoxxx""),""Khokar"",IF(REGEXMATCH(AT121,""xxooxoxxxxox""),""Maligoura"",""-""))))))))))))))))))))))))))))))"),"Basant")</f>
        <v>Basant</v>
      </c>
      <c r="BG121" s="239" t="str">
        <f t="shared" si="26"/>
        <v>#REF!</v>
      </c>
      <c r="BH121" s="239">
        <f>IFERROR(__xludf.DUMMYFUNCTION("COUNTUNIQUE(FE121:FO121)-1"),6.0)</f>
        <v>6</v>
      </c>
      <c r="BI121" s="239">
        <f>IFERROR(__xludf.DUMMYFUNCTION("COUNTUNIQUE(FILTER(AT:AT,REGEXMATCH(AT:AT,AS121)))-1"),5.0)</f>
        <v>5</v>
      </c>
      <c r="BJ121" s="239">
        <f>IFERROR(__xludf.DUMMYFUNCTION("COUNTA(FILTER(AT:AT,REGEXMATCH(AT:AT,AS121)))"),12.0)</f>
        <v>12</v>
      </c>
      <c r="BK121" s="341">
        <f>IFERROR(__xludf.DUMMYFUNCTION("COUNTA(FILTER(AT:AT,REGEXMATCH(AT:AT,AS121)))-AR121"),12.0)</f>
        <v>12</v>
      </c>
      <c r="BL121" s="276" t="str">
        <f>IFERROR(__xludf.DUMMYFUNCTION("IF(AS121=""oooooooooooo"",""-"",IF(REGEXMATCH(AT121,""xx""), ""Hemi."", ""Anhemi.""))"),"Hemi.")</f>
        <v>Hemi.</v>
      </c>
      <c r="BM121" s="282" t="str">
        <f>IFERROR(__xludf.DUMMYFUNCTION("IF(AS121=""oooooooooooo"",""-"",IF(REGEXMATCH(AT121,""xxx""), ""Cohem."", ""-""))"),"Cohem.")</f>
        <v>Cohem.</v>
      </c>
      <c r="BN121" s="282" t="str">
        <f>IFERROR(__xludf.DUMMYFUNCTION("IF(AS121=""oooooooooooo"",""-"",IF(REGEXMATCH(AT121,""xxxx""), ""Co-Co."", ""-""))"),"-")</f>
        <v>-</v>
      </c>
      <c r="BO121" s="342" t="str">
        <f>IFERROR(__xludf.DUMMYFUNCTION("IF(AS121=""oooooooooooo"",""-"",IF(REGEXMATCH(AT121,""xxxxx""), ""CCC."", ""-""))"),"-")</f>
        <v>-</v>
      </c>
      <c r="BP121" s="344" t="str">
        <f t="shared" si="27"/>
        <v>Poorvi</v>
      </c>
      <c r="BQ121" s="282" t="str">
        <f>IFERROR(__xludf.DUMMYFUNCTION("IF(REGEXMATCH(JOIN(""-"",EU121:FD121),""TRUE""),""✔"",""-"")"),"✔")</f>
        <v>✔</v>
      </c>
      <c r="BR121" s="225">
        <f t="shared" si="28"/>
        <v>1</v>
      </c>
      <c r="BS121" s="345" t="str">
        <f>IFERROR(__xludf.DUMMYFUNCTION("SUBSTITUTE(SUBSTITUTE(SUBSTITUTE(SUBSTITUTE(CONCATENATE(JOIN(""-"",GC121:GO121)),""--"",""-""),""--"",""-""),""--"",""-""),""--"",""-"")"),"1-b2-3-#4-5-b6-7-8")</f>
        <v>1-b2-3-#4-5-b6-7-8</v>
      </c>
      <c r="BT121" s="299" t="str">
        <f>IFERROR(__xludf.DUMMYFUNCTION("SUBSTITUTE(SUBSTITUTE(SUBSTITUTE(SUBSTITUTE(CONCATENATE(JOIN(""-"",GP121:HB121)),""--"",""-""),""--"",""-""),""--"",""-""),""--"",""-"")"),"S-R1-G3-M2-P-D1-N3-S")</f>
        <v>S-R1-G3-M2-P-D1-N3-S</v>
      </c>
      <c r="BU121" s="348" t="str">
        <f t="shared" si="29"/>
        <v>C-Db-E-F#-G-Ab-B-C</v>
      </c>
      <c r="BV121" s="349" t="str">
        <f t="shared" si="30"/>
        <v>SRgmDnS</v>
      </c>
      <c r="BW121" s="350">
        <f t="shared" si="31"/>
        <v>0</v>
      </c>
      <c r="BX121" s="351">
        <f t="shared" si="32"/>
        <v>6</v>
      </c>
      <c r="BY121" s="392"/>
      <c r="BZ121" s="309" t="str">
        <f>IFERROR(__xludf.DUMMYFUNCTION("IF(REGEXMATCH(C121, ""S""), ""x"",""x"")"),"x")</f>
        <v>x</v>
      </c>
      <c r="CA121" s="245" t="str">
        <f>IFERROR(__xludf.DUMMYFUNCTION("IF(REGEXMATCH(C121, ""r""), ""o"",""x"")"),"o")</f>
        <v>o</v>
      </c>
      <c r="CB121" s="246" t="str">
        <f>IFERROR(__xludf.DUMMYFUNCTION("IF(REGEXMATCH(C121, ""R""), ""o"",""x"")"),"x")</f>
        <v>x</v>
      </c>
      <c r="CC121" s="246" t="str">
        <f>IFERROR(__xludf.DUMMYFUNCTION("IF(REGEXMATCH(C121, ""g""), ""o"",""x"")"),"x")</f>
        <v>x</v>
      </c>
      <c r="CD121" s="245" t="str">
        <f>IFERROR(__xludf.DUMMYFUNCTION("IF(REGEXMATCH(C121, ""G""), ""o"",""x"")"),"o")</f>
        <v>o</v>
      </c>
      <c r="CE121" s="245" t="str">
        <f>IFERROR(__xludf.DUMMYFUNCTION("IF(REGEXMATCH(C121, ""m""), ""o"",""x"")"),"x")</f>
        <v>x</v>
      </c>
      <c r="CF121" s="246" t="str">
        <f>IFERROR(__xludf.DUMMYFUNCTION("IF(REGEXMATCH(C121, ""M""), ""o"",""x"")"),"o")</f>
        <v>o</v>
      </c>
      <c r="CG121" s="245" t="str">
        <f>IFERROR(__xludf.DUMMYFUNCTION("IF(REGEXMATCH(C121, ""P""), ""o"",""x"")"),"o")</f>
        <v>o</v>
      </c>
      <c r="CH121" s="246" t="str">
        <f>IFERROR(__xludf.DUMMYFUNCTION("IF(REGEXMATCH(C121, ""d""), ""o"",""x"")"),"o")</f>
        <v>o</v>
      </c>
      <c r="CI121" s="245" t="str">
        <f>IFERROR(__xludf.DUMMYFUNCTION("IF(REGEXMATCH(C121, ""D""), ""o"",""x"")"),"x")</f>
        <v>x</v>
      </c>
      <c r="CJ121" s="245" t="str">
        <f>IFERROR(__xludf.DUMMYFUNCTION("IF(REGEXMATCH(C121, ""n""), ""o"",""x"")"),"x")</f>
        <v>x</v>
      </c>
      <c r="CK121" s="245" t="str">
        <f>IFERROR(__xludf.DUMMYFUNCTION("IF(REGEXMATCH(C121, ""N""), ""o"",""x"")"),"o")</f>
        <v>o</v>
      </c>
      <c r="CL121" s="356" t="str">
        <f>IFERROR(__xludf.DUMMYFUNCTION("IF(REGEXMATCH(C121, ""S""), ""x"",""x"")"),"x")</f>
        <v>x</v>
      </c>
      <c r="CM121" s="357" t="str">
        <f t="shared" si="33"/>
        <v>xoxxoxoooxxo</v>
      </c>
      <c r="CN121" s="358">
        <f t="shared" si="34"/>
        <v>0</v>
      </c>
      <c r="CO121" s="246" t="str">
        <f>IFERROR(__xludf.DUMMYFUNCTION("IF(REGEXMATCH($C121, ""S""), ""S"",""S"")"),"S")</f>
        <v>S</v>
      </c>
      <c r="CP121" s="246" t="str">
        <f>IFERROR(__xludf.DUMMYFUNCTION("IF(REGEXMATCH($C121, ""r""), """",""r"")"),"")</f>
        <v/>
      </c>
      <c r="CQ121" s="246" t="str">
        <f>IFERROR(__xludf.DUMMYFUNCTION("IF(REGEXMATCH($C121, ""R""), """",""R"")"),"R")</f>
        <v>R</v>
      </c>
      <c r="CR121" s="246" t="str">
        <f>IFERROR(__xludf.DUMMYFUNCTION("IF(REGEXMATCH($C121, ""g""), """",""g"")"),"g")</f>
        <v>g</v>
      </c>
      <c r="CS121" s="246" t="str">
        <f>IFERROR(__xludf.DUMMYFUNCTION("IF(REGEXMATCH($C121, ""G""), """",""G"")"),"")</f>
        <v/>
      </c>
      <c r="CT121" s="246" t="str">
        <f>IFERROR(__xludf.DUMMYFUNCTION("IF(REGEXMATCH($C121, ""m""), """",""m"")"),"m")</f>
        <v>m</v>
      </c>
      <c r="CU121" s="246" t="str">
        <f>IFERROR(__xludf.DUMMYFUNCTION("IF(REGEXMATCH($C121, ""M""), """",""M"")"),"")</f>
        <v/>
      </c>
      <c r="CV121" s="246" t="str">
        <f>IFERROR(__xludf.DUMMYFUNCTION("IF(REGEXMATCH($C121, ""P""), """",""P"")"),"")</f>
        <v/>
      </c>
      <c r="CW121" s="246" t="str">
        <f>IFERROR(__xludf.DUMMYFUNCTION("IF(REGEXMATCH($C121, ""d""), """",""d"")"),"")</f>
        <v/>
      </c>
      <c r="CX121" s="246" t="str">
        <f>IFERROR(__xludf.DUMMYFUNCTION("IF(REGEXMATCH($C121, ""D""), """",""D"")"),"D")</f>
        <v>D</v>
      </c>
      <c r="CY121" s="246" t="str">
        <f>IFERROR(__xludf.DUMMYFUNCTION("IF(REGEXMATCH($C121, ""n""), """",""n"")"),"n")</f>
        <v>n</v>
      </c>
      <c r="CZ121" s="246" t="str">
        <f>IFERROR(__xludf.DUMMYFUNCTION("IF(REGEXMATCH($C121, ""N""), """",""N"")"),"")</f>
        <v/>
      </c>
      <c r="DA121" s="246" t="str">
        <f>IFERROR(__xludf.DUMMYFUNCTION("IF(REGEXMATCH($C121, ""S""), ""S"",""S"")"),"S")</f>
        <v>S</v>
      </c>
      <c r="DB121" s="362" t="str">
        <f>IFERROR(__xludf.DUMMYFUNCTION("JOIN("""",CO121:DA121,"""","""")"),"SRgmDnS")</f>
        <v>SRgmDnS</v>
      </c>
      <c r="DC121" s="363"/>
      <c r="DD121" s="301" t="str">
        <f t="shared" si="35"/>
        <v>#REF!</v>
      </c>
      <c r="DE121" s="302" t="str">
        <f t="shared" si="36"/>
        <v>#REF!</v>
      </c>
      <c r="DF121" s="301" t="str">
        <f t="shared" ref="DF121:DG121" si="445">SUBSTITUTE(S121,"-","")</f>
        <v>SRGM</v>
      </c>
      <c r="DG121" s="301" t="str">
        <f t="shared" si="445"/>
        <v>PDNS</v>
      </c>
      <c r="DH121" s="302" t="str">
        <f t="shared" si="38"/>
        <v>Basant</v>
      </c>
      <c r="DI121" s="301" t="str">
        <f t="shared" si="39"/>
        <v>Hemi.</v>
      </c>
      <c r="DJ121" s="364" t="str">
        <f t="shared" si="40"/>
        <v>Cohem.</v>
      </c>
      <c r="DK121" s="306" t="str">
        <f t="shared" si="41"/>
        <v>Poorvi</v>
      </c>
      <c r="DL121" s="366" t="str">
        <f t="shared" si="42"/>
        <v>-</v>
      </c>
      <c r="DM121" s="308" t="str">
        <f t="shared" si="43"/>
        <v>-</v>
      </c>
      <c r="DN121" s="306" t="str">
        <f t="shared" si="44"/>
        <v>-</v>
      </c>
      <c r="DO121" s="306" t="str">
        <f t="shared" si="45"/>
        <v>-</v>
      </c>
      <c r="DP121" s="367" t="str">
        <f t="shared" si="46"/>
        <v>✔</v>
      </c>
      <c r="DQ121" s="310" t="str">
        <f t="shared" si="47"/>
        <v>-</v>
      </c>
      <c r="DR121" s="310" t="str">
        <f t="shared" si="48"/>
        <v>-</v>
      </c>
      <c r="DS121" s="310" t="str">
        <f t="shared" si="49"/>
        <v>-</v>
      </c>
      <c r="DT121" s="310" t="str">
        <f t="shared" si="50"/>
        <v>-</v>
      </c>
      <c r="DU121" s="370" t="str">
        <f t="shared" si="51"/>
        <v>-</v>
      </c>
      <c r="DV121" s="306" t="str">
        <f t="shared" si="52"/>
        <v>-</v>
      </c>
      <c r="DW121" s="306" t="str">
        <f t="shared" si="53"/>
        <v>-</v>
      </c>
      <c r="DX121" s="306" t="str">
        <f t="shared" si="54"/>
        <v>-</v>
      </c>
      <c r="DY121" s="306" t="str">
        <f t="shared" si="55"/>
        <v>-</v>
      </c>
      <c r="DZ121" s="306" t="str">
        <f t="shared" si="56"/>
        <v>-</v>
      </c>
      <c r="EA121" s="367" t="str">
        <f t="shared" si="57"/>
        <v>-</v>
      </c>
      <c r="EB121" s="310" t="str">
        <f>IFERROR(__xludf.DUMMYFUNCTION("IF(REGEXMATCH(AW121,AS121),""✔"",""-"")"),"-")</f>
        <v>-</v>
      </c>
      <c r="EC121" s="310" t="str">
        <f t="shared" si="58"/>
        <v>#REF!</v>
      </c>
      <c r="ED121" s="370" t="str">
        <f t="shared" si="59"/>
        <v>-</v>
      </c>
      <c r="EE121" s="340" t="str">
        <f t="shared" si="60"/>
        <v>S-r-G-M-P-d-N-S</v>
      </c>
      <c r="EF121" s="371" t="str">
        <f>IFERROR(__xludf.DUMMYFUNCTION("CONCATENATE(JOIN("""",HC121:HO121))"),"SrGmMdNS")</f>
        <v>SrGmMdNS</v>
      </c>
      <c r="EG121" s="372">
        <f t="shared" si="61"/>
        <v>2</v>
      </c>
      <c r="EH121" s="373" t="str">
        <f>IFERROR(__xludf.DUMMYFUNCTION("CONCATENATE(JOIN("""",JC121:JO121))"),"Pa, dha, ")</f>
        <v>Pa, dha, </v>
      </c>
      <c r="EI121" s="322">
        <f t="shared" si="62"/>
        <v>0</v>
      </c>
      <c r="EJ121" s="374" t="str">
        <f>IFERROR(__xludf.DUMMYFUNCTION("CONCATENATE(JOIN("""",KC121:KO121))"),"")</f>
        <v/>
      </c>
      <c r="EK121" s="325" t="str">
        <f t="shared" si="63"/>
        <v>S-R1-G3-M2-P-D1-N3-S</v>
      </c>
      <c r="EL121" s="326" t="str">
        <f t="shared" si="64"/>
        <v>1-b2-3-#4-5-b6-7-8</v>
      </c>
      <c r="EM121" s="318" t="str">
        <f t="shared" si="65"/>
        <v>#REF!</v>
      </c>
      <c r="EN121" s="328" t="str">
        <f>IFERROR(__xludf.DUMMYFUNCTION("SUBSTITUTE(SUBSTITUTE(SUBSTITUTE(SUBSTITUTE(CONCATENATE(JOIN("" "",HP121:IB121)),""  "","" ""),""  "","" ""),""  "","" ""),""  "","" "")"),"o o • • o • o o o • • o o")</f>
        <v>o o • • o • o o o • • o o</v>
      </c>
      <c r="EO121" s="368" t="str">
        <f t="shared" si="66"/>
        <v>Sa-Pa</v>
      </c>
      <c r="EP121" s="339" t="str">
        <f t="shared" si="67"/>
        <v>Sa-Pa</v>
      </c>
      <c r="EQ121" s="339" t="str">
        <f t="shared" si="68"/>
        <v>Sa-Pa</v>
      </c>
      <c r="ER121" s="339" t="str">
        <f t="shared" si="69"/>
        <v>-</v>
      </c>
      <c r="ES121" s="340" t="str">
        <f t="shared" si="70"/>
        <v>-</v>
      </c>
      <c r="ET121" s="363"/>
      <c r="EU121" s="376" t="b">
        <f>IFERROR(__xludf.DUMMYFUNCTION("arrayformula(sum(--REGEXMATCH(""SRGMPDNS"",split(REGEXREPLACE(C121,""(.)"",""$1~""),""~""))))=len(C121)
"),FALSE)</f>
        <v>0</v>
      </c>
      <c r="EV121" s="290" t="b">
        <f>IFERROR(__xludf.DUMMYFUNCTION("arrayformula(sum(--REGEXMATCH(""SRGmPDNS"",split(REGEXREPLACE(C121,""(.)"",""$1~""),""~""))))=len(C121)"),FALSE)</f>
        <v>0</v>
      </c>
      <c r="EW121" s="290" t="b">
        <f>IFERROR(__xludf.DUMMYFUNCTION("arrayformula(sum(--REGEXMATCH(""SRGmPDnS"",split(REGEXREPLACE(C121,""(.)"",""$1~""),""~""))))=len(C121)"),FALSE)</f>
        <v>0</v>
      </c>
      <c r="EX121" s="290" t="b">
        <f>IFERROR(__xludf.DUMMYFUNCTION("arrayformula(sum(--REGEXMATCH(""SRgmPDnS"",split(REGEXREPLACE(C121,""(.)"",""$1~""),""~""))))=len(C121)"),FALSE)</f>
        <v>0</v>
      </c>
      <c r="EY121" s="290" t="b">
        <f>IFERROR(__xludf.DUMMYFUNCTION("arrayformula(sum(--REGEXMATCH(""SRgmPdnS"",split(REGEXREPLACE(C121,""(.)"",""$1~""),""~""))))=len(C121)"),FALSE)</f>
        <v>0</v>
      </c>
      <c r="EZ121" s="290" t="b">
        <f>IFERROR(__xludf.DUMMYFUNCTION("arrayformula(sum(--REGEXMATCH(""SrgmPdnS"",split(REGEXREPLACE(C121,""(.)"",""$1~""),""~""))))=len(C121)"),FALSE)</f>
        <v>0</v>
      </c>
      <c r="FA121" s="290" t="b">
        <f>IFERROR(__xludf.DUMMYFUNCTION("arrayformula(sum(--REGEXMATCH(""SrGmPdNS"",split(REGEXREPLACE(C121,""(.)"",""$1~""),""~""))))=len(C121)"),FALSE)</f>
        <v>0</v>
      </c>
      <c r="FB121" s="290" t="b">
        <f>IFERROR(__xludf.DUMMYFUNCTION("arrayformula(sum(--REGEXMATCH(""SrGMPDNS"",split(REGEXREPLACE(C121,""(.)"",""$1~""),""~""))))=len(C121)"),FALSE)</f>
        <v>0</v>
      </c>
      <c r="FC121" s="290" t="b">
        <f>IFERROR(__xludf.DUMMYFUNCTION("arrayformula(sum(--REGEXMATCH(""SrGMPdNS"",split(REGEXREPLACE(C121,""(.)"",""$1~""),""~""))))=len(C121)"),TRUE)</f>
        <v>1</v>
      </c>
      <c r="FD121" s="377" t="b">
        <f>IFERROR(__xludf.DUMMYFUNCTION("arrayformula(sum(--REGEXMATCH(""SrgMPdNS"",split(REGEXREPLACE(C121,""(.)"",""$1~""),""~""))))=len(C121)"),FALSE)</f>
        <v>0</v>
      </c>
      <c r="FE121" s="269" t="str">
        <f t="shared" si="71"/>
        <v>xooxoxxxoox</v>
      </c>
      <c r="FF121" s="269" t="str">
        <f t="shared" si="72"/>
        <v>-</v>
      </c>
      <c r="FG121" s="271" t="str">
        <f t="shared" si="73"/>
        <v>-</v>
      </c>
      <c r="FH121" s="269" t="str">
        <f t="shared" si="74"/>
        <v>xoxxxooxxxo</v>
      </c>
      <c r="FI121" s="271" t="str">
        <f t="shared" si="75"/>
        <v>-</v>
      </c>
      <c r="FJ121" s="271" t="str">
        <f t="shared" si="76"/>
        <v>xxxooxxxoox</v>
      </c>
      <c r="FK121" s="271" t="str">
        <f t="shared" si="77"/>
        <v>xxooxxxooxo</v>
      </c>
      <c r="FL121" s="271" t="str">
        <f t="shared" si="78"/>
        <v>xooxxxooxox</v>
      </c>
      <c r="FM121" s="271" t="str">
        <f t="shared" si="79"/>
        <v>-</v>
      </c>
      <c r="FN121" s="271" t="str">
        <f t="shared" si="80"/>
        <v>-</v>
      </c>
      <c r="FO121" s="274" t="str">
        <f t="shared" si="81"/>
        <v>xxxooxoxxxo</v>
      </c>
      <c r="FP121" s="234" t="str">
        <f t="shared" si="82"/>
        <v>|</v>
      </c>
      <c r="FQ121" s="236" t="str">
        <f t="shared" si="83"/>
        <v>|</v>
      </c>
      <c r="FR121" s="237" t="str">
        <f t="shared" si="84"/>
        <v>-</v>
      </c>
      <c r="FS121" s="236" t="str">
        <f t="shared" si="85"/>
        <v>-</v>
      </c>
      <c r="FT121" s="237" t="str">
        <f t="shared" si="86"/>
        <v>|</v>
      </c>
      <c r="FU121" s="236" t="str">
        <f t="shared" si="87"/>
        <v>-</v>
      </c>
      <c r="FV121" s="237" t="str">
        <f t="shared" si="88"/>
        <v>|</v>
      </c>
      <c r="FW121" s="236" t="str">
        <f t="shared" si="89"/>
        <v>|</v>
      </c>
      <c r="FX121" s="237" t="str">
        <f t="shared" si="90"/>
        <v>|</v>
      </c>
      <c r="FY121" s="236" t="str">
        <f t="shared" si="91"/>
        <v>-</v>
      </c>
      <c r="FZ121" s="237" t="str">
        <f t="shared" si="92"/>
        <v>-</v>
      </c>
      <c r="GA121" s="236" t="str">
        <f t="shared" si="93"/>
        <v>|</v>
      </c>
      <c r="GB121" s="238" t="str">
        <f t="shared" si="94"/>
        <v>|</v>
      </c>
      <c r="GC121" s="244" t="str">
        <f>IFERROR(__xludf.DUMMYFUNCTION("IF(REGEXMATCH(C121, ""S""), ""1"","""")"),"1")</f>
        <v>1</v>
      </c>
      <c r="GD121" s="245" t="str">
        <f>IFERROR(__xludf.DUMMYFUNCTION("IF(REGEXMATCH(C121, ""r""), ""b2"","""")"),"b2")</f>
        <v>b2</v>
      </c>
      <c r="GE121" s="246" t="str">
        <f>IFERROR(__xludf.DUMMYFUNCTION("IF(REGEXMATCH(C121, ""R""), ""2"","""")"),"")</f>
        <v/>
      </c>
      <c r="GF121" s="246" t="str">
        <f>IFERROR(__xludf.DUMMYFUNCTION("IF(REGEXMATCH(C121, ""g""), ""b3"","""")"),"")</f>
        <v/>
      </c>
      <c r="GG121" s="245" t="str">
        <f>IFERROR(__xludf.DUMMYFUNCTION("IF(REGEXMATCH(C121, ""G""), ""3"","""")"),"3")</f>
        <v>3</v>
      </c>
      <c r="GH121" s="245" t="str">
        <f>IFERROR(__xludf.DUMMYFUNCTION("IF(REGEXMATCH(C121, ""m""), ""4"","""")"),"")</f>
        <v/>
      </c>
      <c r="GI121" s="246" t="str">
        <f>IFERROR(__xludf.DUMMYFUNCTION("IF(REGEXMATCH(C121, ""M""), ""#4"","""")"),"#4")</f>
        <v>#4</v>
      </c>
      <c r="GJ121" s="245" t="str">
        <f>IFERROR(__xludf.DUMMYFUNCTION("IF(REGEXMATCH(C121, ""P""), ""5"","""")"),"5")</f>
        <v>5</v>
      </c>
      <c r="GK121" s="246" t="str">
        <f>IFERROR(__xludf.DUMMYFUNCTION("IF(REGEXMATCH(C121, ""d""), ""b6"","""")"),"b6")</f>
        <v>b6</v>
      </c>
      <c r="GL121" s="245" t="str">
        <f>IFERROR(__xludf.DUMMYFUNCTION("IF(REGEXMATCH(C121, ""D""), ""6"","""")"),"")</f>
        <v/>
      </c>
      <c r="GM121" s="245" t="str">
        <f>IFERROR(__xludf.DUMMYFUNCTION("IF(REGEXMATCH(C121, ""n""), ""b7"","""")"),"")</f>
        <v/>
      </c>
      <c r="GN121" s="246" t="str">
        <f>IFERROR(__xludf.DUMMYFUNCTION("IF(REGEXMATCH(C121, ""N""), ""7"","""")"),"7")</f>
        <v>7</v>
      </c>
      <c r="GO121" s="249" t="str">
        <f>IFERROR(__xludf.DUMMYFUNCTION("IF(REGEXMATCH(C121, ""S""), ""8"","""")"),"8")</f>
        <v>8</v>
      </c>
      <c r="GP121" s="244" t="str">
        <f>IFERROR(__xludf.DUMMYFUNCTION("IF(REGEXMATCH(C121, ""S""), ""S"","""")"),"S")</f>
        <v>S</v>
      </c>
      <c r="GQ121" s="294" t="str">
        <f>IFERROR(__xludf.DUMMYFUNCTION("IF(REGEXMATCH(C121, ""r""), ""R1"","""")"),"R1")</f>
        <v>R1</v>
      </c>
      <c r="GR121" s="295" t="str">
        <f>IFERROR(__xludf.DUMMYFUNCTION("IF(REGEXMATCH(C121, ""R""), ""R2"","""")"),"")</f>
        <v/>
      </c>
      <c r="GS121" s="295" t="str">
        <f>IFERROR(__xludf.DUMMYFUNCTION("IF(REGEXMATCH(C121, ""g""), ""G2"","""")"),"")</f>
        <v/>
      </c>
      <c r="GT121" s="294" t="str">
        <f>IFERROR(__xludf.DUMMYFUNCTION("IF(REGEXMATCH(C121, ""G""), ""G3"","""")"),"G3")</f>
        <v>G3</v>
      </c>
      <c r="GU121" s="294" t="str">
        <f>IFERROR(__xludf.DUMMYFUNCTION("IF(REGEXMATCH(C121, ""m""), ""M1"","""")"),"")</f>
        <v/>
      </c>
      <c r="GV121" s="295" t="str">
        <f>IFERROR(__xludf.DUMMYFUNCTION("IF(REGEXMATCH(C121, ""M""), ""M2"","""")"),"M2")</f>
        <v>M2</v>
      </c>
      <c r="GW121" s="294" t="str">
        <f>IFERROR(__xludf.DUMMYFUNCTION("IF(REGEXMATCH(C121, ""P""), ""P"","""")"),"P")</f>
        <v>P</v>
      </c>
      <c r="GX121" s="295" t="str">
        <f>IFERROR(__xludf.DUMMYFUNCTION("IF(REGEXMATCH(C121, ""d""), ""D1"","""")"),"D1")</f>
        <v>D1</v>
      </c>
      <c r="GY121" s="294" t="str">
        <f>IFERROR(__xludf.DUMMYFUNCTION("IF(REGEXMATCH(C121, ""D""), ""D2"","""")"),"")</f>
        <v/>
      </c>
      <c r="GZ121" s="294" t="str">
        <f>IFERROR(__xludf.DUMMYFUNCTION("IF(REGEXMATCH(C121, ""n""), ""N2"","""")"),"")</f>
        <v/>
      </c>
      <c r="HA121" s="295" t="str">
        <f>IFERROR(__xludf.DUMMYFUNCTION("IF(REGEXMATCH(C121, ""N""), ""N3"","""")"),"N3")</f>
        <v>N3</v>
      </c>
      <c r="HB121" s="249" t="str">
        <f>IFERROR(__xludf.DUMMYFUNCTION("IF(REGEXMATCH(C121, ""S""), ""S"","""")"),"S")</f>
        <v>S</v>
      </c>
      <c r="HC121" s="331" t="str">
        <f t="shared" si="95"/>
        <v>S</v>
      </c>
      <c r="HD121" s="332" t="str">
        <f t="shared" si="96"/>
        <v>r</v>
      </c>
      <c r="HE121" s="332" t="str">
        <f t="shared" si="97"/>
        <v/>
      </c>
      <c r="HF121" s="332" t="str">
        <f t="shared" si="98"/>
        <v/>
      </c>
      <c r="HG121" s="332" t="str">
        <f t="shared" si="99"/>
        <v>G</v>
      </c>
      <c r="HH121" s="332" t="str">
        <f t="shared" si="100"/>
        <v>m</v>
      </c>
      <c r="HI121" s="332" t="str">
        <f t="shared" si="101"/>
        <v>M</v>
      </c>
      <c r="HJ121" s="332" t="str">
        <f t="shared" si="102"/>
        <v/>
      </c>
      <c r="HK121" s="332" t="str">
        <f t="shared" si="103"/>
        <v>d</v>
      </c>
      <c r="HL121" s="332" t="str">
        <f t="shared" si="104"/>
        <v/>
      </c>
      <c r="HM121" s="332" t="str">
        <f t="shared" si="105"/>
        <v/>
      </c>
      <c r="HN121" s="332" t="str">
        <f t="shared" si="106"/>
        <v>N</v>
      </c>
      <c r="HO121" s="343" t="str">
        <f t="shared" si="107"/>
        <v>S</v>
      </c>
      <c r="HP121" s="331" t="str">
        <f t="shared" si="108"/>
        <v>o</v>
      </c>
      <c r="HQ121" s="332" t="str">
        <f t="shared" si="109"/>
        <v>o</v>
      </c>
      <c r="HR121" s="332" t="str">
        <f t="shared" si="110"/>
        <v>•</v>
      </c>
      <c r="HS121" s="332" t="str">
        <f t="shared" si="111"/>
        <v>•</v>
      </c>
      <c r="HT121" s="332" t="str">
        <f t="shared" si="112"/>
        <v>o</v>
      </c>
      <c r="HU121" s="332" t="str">
        <f t="shared" si="113"/>
        <v>•</v>
      </c>
      <c r="HV121" s="332" t="str">
        <f t="shared" si="114"/>
        <v>o</v>
      </c>
      <c r="HW121" s="332" t="str">
        <f t="shared" si="115"/>
        <v>o</v>
      </c>
      <c r="HX121" s="332" t="str">
        <f t="shared" si="116"/>
        <v>o</v>
      </c>
      <c r="HY121" s="332" t="str">
        <f t="shared" si="117"/>
        <v>•</v>
      </c>
      <c r="HZ121" s="332" t="str">
        <f t="shared" si="118"/>
        <v>•</v>
      </c>
      <c r="IA121" s="332" t="str">
        <f t="shared" si="119"/>
        <v>o</v>
      </c>
      <c r="IB121" s="338" t="str">
        <f t="shared" si="120"/>
        <v>o</v>
      </c>
      <c r="IC121" s="331" t="str">
        <f t="shared" si="121"/>
        <v>•</v>
      </c>
      <c r="ID121" s="332" t="str">
        <f t="shared" si="122"/>
        <v>•</v>
      </c>
      <c r="IE121" s="332" t="str">
        <f t="shared" si="123"/>
        <v>o</v>
      </c>
      <c r="IF121" s="332" t="str">
        <f t="shared" si="124"/>
        <v>o</v>
      </c>
      <c r="IG121" s="332" t="str">
        <f t="shared" si="125"/>
        <v>•</v>
      </c>
      <c r="IH121" s="332" t="str">
        <f t="shared" si="126"/>
        <v>o</v>
      </c>
      <c r="II121" s="332" t="str">
        <f t="shared" si="127"/>
        <v>•</v>
      </c>
      <c r="IJ121" s="332" t="str">
        <f t="shared" si="128"/>
        <v>•</v>
      </c>
      <c r="IK121" s="332" t="str">
        <f t="shared" si="129"/>
        <v>•</v>
      </c>
      <c r="IL121" s="332" t="str">
        <f t="shared" si="130"/>
        <v>o</v>
      </c>
      <c r="IM121" s="332" t="str">
        <f t="shared" si="131"/>
        <v>o</v>
      </c>
      <c r="IN121" s="332" t="str">
        <f t="shared" si="132"/>
        <v>•</v>
      </c>
      <c r="IO121" s="338" t="str">
        <f t="shared" si="133"/>
        <v>•</v>
      </c>
      <c r="IP121" s="346" t="b">
        <f t="shared" si="134"/>
        <v>0</v>
      </c>
      <c r="IQ121" s="347" t="b">
        <f t="shared" si="135"/>
        <v>0</v>
      </c>
      <c r="IR121" s="347" t="b">
        <f t="shared" si="136"/>
        <v>0</v>
      </c>
      <c r="IS121" s="347" t="b">
        <f t="shared" si="137"/>
        <v>0</v>
      </c>
      <c r="IT121" s="347" t="b">
        <f t="shared" si="138"/>
        <v>0</v>
      </c>
      <c r="IU121" s="347" t="b">
        <f t="shared" si="139"/>
        <v>0</v>
      </c>
      <c r="IV121" s="347" t="b">
        <f t="shared" si="140"/>
        <v>0</v>
      </c>
      <c r="IW121" s="347" t="b">
        <f t="shared" si="141"/>
        <v>1</v>
      </c>
      <c r="IX121" s="347" t="b">
        <f t="shared" si="142"/>
        <v>1</v>
      </c>
      <c r="IY121" s="347" t="b">
        <f t="shared" si="143"/>
        <v>0</v>
      </c>
      <c r="IZ121" s="347" t="b">
        <f t="shared" si="144"/>
        <v>0</v>
      </c>
      <c r="JA121" s="347" t="b">
        <f t="shared" si="145"/>
        <v>0</v>
      </c>
      <c r="JB121" s="353" t="b">
        <f t="shared" si="146"/>
        <v>0</v>
      </c>
      <c r="JC121" s="354" t="str">
        <f t="shared" si="147"/>
        <v/>
      </c>
      <c r="JD121" s="355" t="str">
        <f t="shared" si="148"/>
        <v/>
      </c>
      <c r="JE121" s="355" t="str">
        <f t="shared" si="149"/>
        <v/>
      </c>
      <c r="JF121" s="355" t="str">
        <f t="shared" si="150"/>
        <v/>
      </c>
      <c r="JG121" s="355" t="str">
        <f t="shared" si="151"/>
        <v/>
      </c>
      <c r="JH121" s="355" t="str">
        <f t="shared" si="152"/>
        <v/>
      </c>
      <c r="JI121" s="355" t="str">
        <f t="shared" si="153"/>
        <v/>
      </c>
      <c r="JJ121" s="355" t="str">
        <f t="shared" si="154"/>
        <v>Pa, </v>
      </c>
      <c r="JK121" s="355" t="str">
        <f t="shared" si="155"/>
        <v>dha, </v>
      </c>
      <c r="JL121" s="355" t="str">
        <f t="shared" si="156"/>
        <v/>
      </c>
      <c r="JM121" s="355" t="str">
        <f t="shared" si="157"/>
        <v/>
      </c>
      <c r="JN121" s="355" t="str">
        <f t="shared" si="158"/>
        <v/>
      </c>
      <c r="JO121" s="359" t="str">
        <f t="shared" si="159"/>
        <v/>
      </c>
      <c r="JP121" s="346" t="b">
        <f t="shared" si="160"/>
        <v>0</v>
      </c>
      <c r="JQ121" s="347" t="b">
        <f t="shared" si="161"/>
        <v>0</v>
      </c>
      <c r="JR121" s="347" t="b">
        <f t="shared" si="162"/>
        <v>0</v>
      </c>
      <c r="JS121" s="347" t="b">
        <f t="shared" si="163"/>
        <v>0</v>
      </c>
      <c r="JT121" s="347" t="b">
        <f t="shared" si="164"/>
        <v>0</v>
      </c>
      <c r="JU121" s="347" t="b">
        <f t="shared" si="165"/>
        <v>0</v>
      </c>
      <c r="JV121" s="347" t="b">
        <f t="shared" si="166"/>
        <v>0</v>
      </c>
      <c r="JW121" s="347" t="b">
        <f t="shared" si="167"/>
        <v>0</v>
      </c>
      <c r="JX121" s="347" t="b">
        <f t="shared" si="168"/>
        <v>0</v>
      </c>
      <c r="JY121" s="347" t="b">
        <f t="shared" si="169"/>
        <v>0</v>
      </c>
      <c r="JZ121" s="347" t="b">
        <f t="shared" si="170"/>
        <v>0</v>
      </c>
      <c r="KA121" s="347" t="b">
        <f t="shared" si="171"/>
        <v>0</v>
      </c>
      <c r="KB121" s="365" t="b">
        <f t="shared" si="172"/>
        <v>0</v>
      </c>
      <c r="KC121" s="354" t="str">
        <f t="shared" si="173"/>
        <v/>
      </c>
      <c r="KD121" s="355" t="str">
        <f t="shared" si="174"/>
        <v/>
      </c>
      <c r="KE121" s="355" t="str">
        <f t="shared" si="175"/>
        <v/>
      </c>
      <c r="KF121" s="355" t="str">
        <f t="shared" si="176"/>
        <v/>
      </c>
      <c r="KG121" s="355" t="str">
        <f t="shared" si="177"/>
        <v/>
      </c>
      <c r="KH121" s="355" t="str">
        <f t="shared" si="178"/>
        <v/>
      </c>
      <c r="KI121" s="355" t="str">
        <f t="shared" si="179"/>
        <v/>
      </c>
      <c r="KJ121" s="355" t="str">
        <f t="shared" si="180"/>
        <v/>
      </c>
      <c r="KK121" s="355" t="str">
        <f t="shared" si="181"/>
        <v/>
      </c>
      <c r="KL121" s="355" t="str">
        <f t="shared" si="182"/>
        <v/>
      </c>
      <c r="KM121" s="355" t="str">
        <f t="shared" si="183"/>
        <v/>
      </c>
      <c r="KN121" s="355" t="str">
        <f t="shared" si="184"/>
        <v/>
      </c>
      <c r="KO121" s="359"/>
      <c r="KP121" s="378"/>
      <c r="KQ121" s="379" t="s">
        <v>9</v>
      </c>
      <c r="KR121" s="380" t="s">
        <v>1315</v>
      </c>
      <c r="KS121" s="381" t="s">
        <v>9</v>
      </c>
      <c r="KT121" s="382">
        <f t="shared" si="186"/>
        <v>0</v>
      </c>
      <c r="KU121" s="383">
        <f t="shared" si="187"/>
        <v>0</v>
      </c>
      <c r="KV121" s="381" t="str">
        <f t="shared" si="205"/>
        <v>S-N-d-P-M-G-r-S</v>
      </c>
      <c r="KW121" s="382">
        <f t="shared" si="189"/>
        <v>7</v>
      </c>
      <c r="KX121" s="384">
        <f t="shared" si="190"/>
        <v>7</v>
      </c>
      <c r="KY121" s="382">
        <f t="shared" ref="KY121:KZ121" si="446">KW121-KT121</f>
        <v>7</v>
      </c>
      <c r="KZ121" s="369">
        <f t="shared" si="446"/>
        <v>7</v>
      </c>
      <c r="LA121" s="385" t="str">
        <f t="shared" si="192"/>
        <v>-</v>
      </c>
      <c r="LB121" s="340" t="str">
        <f>IFERROR(__xludf.DUMMYFUNCTION("JOIN("""",ArrayFormula(MID(KS121,LEN(KS121)-SEQUENCE(1,LEN(KS121))+1,1)))"),"S")</f>
        <v>S</v>
      </c>
      <c r="LC121" s="373" t="str">
        <f>IFERROR(__xludf.DUMMYFUNCTION("JOIN("""",ArrayFormula(MID(KV121,LEN(KV121)-SEQUENCE(1,LEN(KV121))+1,1)))"),"S-r-G-M-P-d-N-S")</f>
        <v>S-r-G-M-P-d-N-S</v>
      </c>
      <c r="LD121" s="373" t="str">
        <f t="shared" si="193"/>
        <v>S</v>
      </c>
      <c r="LE121" s="339" t="str">
        <f t="shared" si="194"/>
        <v>SrGMPdNS</v>
      </c>
      <c r="LF121" s="386" t="str">
        <f>IFERROR(__xludf.DUMMYFUNCTION("SUBSTITUTE(SUBSTITUTE(CONCATENATE(JOIN("""",LH121:LT121)),""1"",""""),""2"","""")"),"SrGMPdNS")</f>
        <v>SrGMPdNS</v>
      </c>
      <c r="LG121" s="369" t="str">
        <f t="shared" si="195"/>
        <v>✔</v>
      </c>
      <c r="LH121" s="387" t="str">
        <f>IFERROR(__xludf.DUMMYFUNCTION("IF(REGEXMATCH(LD121, ""S""), ""S"",IF(REGEXMATCH(LE121, ""S""), ""S"",""""))"),"S")</f>
        <v>S</v>
      </c>
      <c r="LI121" s="299" t="str">
        <f>IFERROR(__xludf.DUMMYFUNCTION("IF(REGEXMATCH(LD121, ""r""), ""r1"",IF(REGEXMATCH(LE121, ""r""), ""r2"",""""))"),"r2")</f>
        <v>r2</v>
      </c>
      <c r="LJ121" s="299" t="str">
        <f>IFERROR(__xludf.DUMMYFUNCTION("IF(REGEXMATCH(LD121, ""R""), ""R1"",IF(REGEXMATCH(LE121, ""R""), ""R2"",""""))"),"")</f>
        <v/>
      </c>
      <c r="LK121" s="299" t="str">
        <f>IFERROR(__xludf.DUMMYFUNCTION("IF(REGEXMATCH(LD121, ""g""), ""g1"",IF(REGEXMATCH(LE121, ""g""), ""g2"",""""))"),"")</f>
        <v/>
      </c>
      <c r="LL121" s="299" t="str">
        <f>IFERROR(__xludf.DUMMYFUNCTION("IF(REGEXMATCH(LD121, ""G""), ""G1"",IF(REGEXMATCH(LE121, ""G""), ""G2"",""""))"),"G2")</f>
        <v>G2</v>
      </c>
      <c r="LM121" s="299" t="str">
        <f>IFERROR(__xludf.DUMMYFUNCTION("IF(REGEXMATCH(LD121, ""m""), ""m1"",IF(REGEXMATCH(LE121, ""m""), ""m2"",""""))"),"")</f>
        <v/>
      </c>
      <c r="LN121" s="299" t="str">
        <f>IFERROR(__xludf.DUMMYFUNCTION("IF(REGEXMATCH(LD121, ""M""), ""M1"",IF(REGEXMATCH(LE121, ""M""), ""M2"",""""))"),"M2")</f>
        <v>M2</v>
      </c>
      <c r="LO121" s="299" t="str">
        <f>IFERROR(__xludf.DUMMYFUNCTION("IF(REGEXMATCH(LD121, ""P""), ""P1"",IF(REGEXMATCH(LE121, ""P""), ""P2"",""""))"),"P2")</f>
        <v>P2</v>
      </c>
      <c r="LP121" s="299" t="str">
        <f>IFERROR(__xludf.DUMMYFUNCTION("IF(REGEXMATCH(LD121, ""d""), ""d1"",IF(REGEXMATCH(LE121, ""d""), ""d2"",""""))"),"d2")</f>
        <v>d2</v>
      </c>
      <c r="LQ121" s="299" t="str">
        <f>IFERROR(__xludf.DUMMYFUNCTION("IF(REGEXMATCH(LD121, ""D""), ""D1"",IF(REGEXMATCH(LE121, ""D""), ""D2"",""""))"),"")</f>
        <v/>
      </c>
      <c r="LR121" s="299" t="str">
        <f>IFERROR(__xludf.DUMMYFUNCTION("IF(REGEXMATCH(LD121, ""n""), ""n1"",IF(REGEXMATCH(LE121, ""n""), ""n2"",""""))"),"")</f>
        <v/>
      </c>
      <c r="LS121" s="299" t="str">
        <f>IFERROR(__xludf.DUMMYFUNCTION("IF(REGEXMATCH(LD121, ""N""), ""N1"",IF(REGEXMATCH(LE121, ""N""), ""N2"",""""))"),"N2")</f>
        <v>N2</v>
      </c>
      <c r="LT121" s="388" t="str">
        <f>IFERROR(__xludf.DUMMYFUNCTION("IF(REGEXMATCH(LD121, ""S""), ""S"",IF(REGEXMATCH(LE121, ""S""), ""S"",""""))"),"S")</f>
        <v>S</v>
      </c>
      <c r="LU121" s="389">
        <f t="shared" si="196"/>
        <v>-13</v>
      </c>
      <c r="LV121" s="378"/>
      <c r="LW121" s="369"/>
      <c r="LX121" s="369"/>
    </row>
    <row r="122" ht="18.0" customHeight="1">
      <c r="A122" s="298" t="s">
        <v>754</v>
      </c>
      <c r="B122" s="222" t="s">
        <v>755</v>
      </c>
      <c r="C122" s="233" t="str">
        <f t="shared" si="7"/>
        <v>SrRGmMPdnNS</v>
      </c>
      <c r="D122" s="234" t="str">
        <f>IFERROR(__xludf.DUMMYFUNCTION("IF(REGEXMATCH(C122, ""S""), ""S"","""")"),"S")</f>
        <v>S</v>
      </c>
      <c r="E122" s="236" t="str">
        <f>IFERROR(__xludf.DUMMYFUNCTION("IF(REGEXMATCH(C122, ""r""), ""r"","""")"),"r")</f>
        <v>r</v>
      </c>
      <c r="F122" s="237" t="str">
        <f>IFERROR(__xludf.DUMMYFUNCTION("IF(REGEXMATCH(C122, ""R""), ""R"","""")"),"R")</f>
        <v>R</v>
      </c>
      <c r="G122" s="237" t="str">
        <f>IFERROR(__xludf.DUMMYFUNCTION("IF(REGEXMATCH(C122, ""g""), ""g"","""")"),"")</f>
        <v/>
      </c>
      <c r="H122" s="236" t="str">
        <f>IFERROR(__xludf.DUMMYFUNCTION("IF(REGEXMATCH(C122, ""G""), ""G"","""")"),"G")</f>
        <v>G</v>
      </c>
      <c r="I122" s="236" t="str">
        <f>IFERROR(__xludf.DUMMYFUNCTION("IF(REGEXMATCH(C122, ""m""), ""m"","""")"),"m")</f>
        <v>m</v>
      </c>
      <c r="J122" s="237" t="str">
        <f>IFERROR(__xludf.DUMMYFUNCTION("IF(REGEXMATCH(C122, ""M""), ""M"","""")"),"M")</f>
        <v>M</v>
      </c>
      <c r="K122" s="236" t="str">
        <f>IFERROR(__xludf.DUMMYFUNCTION("IF(REGEXMATCH(C122, ""P""), ""P"","""")"),"P")</f>
        <v>P</v>
      </c>
      <c r="L122" s="237" t="str">
        <f>IFERROR(__xludf.DUMMYFUNCTION("IF(REGEXMATCH(C122, ""d""), ""d"","""")"),"d")</f>
        <v>d</v>
      </c>
      <c r="M122" s="236" t="str">
        <f>IFERROR(__xludf.DUMMYFUNCTION("IF(REGEXMATCH(C122, ""D""), ""D"","""")"),"")</f>
        <v/>
      </c>
      <c r="N122" s="236" t="str">
        <f>IFERROR(__xludf.DUMMYFUNCTION("IF(REGEXMATCH(C122, ""n""), ""n"","""")"),"n")</f>
        <v>n</v>
      </c>
      <c r="O122" s="237" t="str">
        <f>IFERROR(__xludf.DUMMYFUNCTION("IF(REGEXMATCH(C122, ""N""), ""N"","""")"),"N")</f>
        <v>N</v>
      </c>
      <c r="P122" s="238" t="str">
        <f>IFERROR(__xludf.DUMMYFUNCTION("IF(REGEXMATCH(C122, ""S""), ""S"","""")"),"S")</f>
        <v>S</v>
      </c>
      <c r="Q122" s="239" t="str">
        <f>IFERROR(__xludf.DUMMYFUNCTION("SUBSTITUTE(CONCATENATE(JOIN(""-"",D122:J122)),""-"","""")"),"SrRGmM")</f>
        <v>SrRGmM</v>
      </c>
      <c r="R122" s="229" t="str">
        <f>IFERROR(__xludf.DUMMYFUNCTION("SUBSTITUTE(CONCATENATE(JOIN(""-"",K122:P122)),""-"","""")"),"PdnNS")</f>
        <v>PdnNS</v>
      </c>
      <c r="S122" s="282" t="str">
        <f t="shared" si="8"/>
        <v>S-R-G-M</v>
      </c>
      <c r="T122" s="282" t="str">
        <f t="shared" si="9"/>
        <v>P-D-N-S</v>
      </c>
      <c r="U122" s="237" t="str">
        <f>IFERROR(__xludf.DUMMYFUNCTION("SUBSTITUTE(JOIN(""-"",S122,T122),""--"",""-"")"),"S-R-G-M-P-D-N-S")</f>
        <v>S-R-G-M-P-D-N-S</v>
      </c>
      <c r="V122" s="309" t="str">
        <f t="shared" si="10"/>
        <v>rRGmMdnN</v>
      </c>
      <c r="W122" s="244" t="str">
        <f>IFERROR(__xludf.DUMMYFUNCTION("IF(REGEXMATCH(C122, ""S""), ""0"","""")"),"0")</f>
        <v>0</v>
      </c>
      <c r="X122" s="245" t="str">
        <f>IFERROR(__xludf.DUMMYFUNCTION("IF(REGEXMATCH(C122, ""r""), ""1"","""")"),"1")</f>
        <v>1</v>
      </c>
      <c r="Y122" s="246" t="str">
        <f>IFERROR(__xludf.DUMMYFUNCTION("IF(REGEXMATCH(C122, ""R""), ""2"","""")"),"2")</f>
        <v>2</v>
      </c>
      <c r="Z122" s="246" t="str">
        <f>IFERROR(__xludf.DUMMYFUNCTION("IF(REGEXMATCH(C122, ""g""), ""3"","""")"),"")</f>
        <v/>
      </c>
      <c r="AA122" s="245" t="str">
        <f>IFERROR(__xludf.DUMMYFUNCTION("IF(REGEXMATCH(C122, ""G""), ""4"","""")"),"4")</f>
        <v>4</v>
      </c>
      <c r="AB122" s="245" t="str">
        <f>IFERROR(__xludf.DUMMYFUNCTION("IF(REGEXMATCH(C122, ""m""), ""5"","""")"),"5")</f>
        <v>5</v>
      </c>
      <c r="AC122" s="246" t="str">
        <f>IFERROR(__xludf.DUMMYFUNCTION("IF(REGEXMATCH(C122, ""M""), ""6"","""")"),"6")</f>
        <v>6</v>
      </c>
      <c r="AD122" s="245" t="str">
        <f>IFERROR(__xludf.DUMMYFUNCTION("IF(REGEXMATCH(C122, ""P""), ""7"","""")"),"7")</f>
        <v>7</v>
      </c>
      <c r="AE122" s="246" t="str">
        <f>IFERROR(__xludf.DUMMYFUNCTION("IF(REGEXMATCH(C122, ""d""), ""8"","""")"),"8")</f>
        <v>8</v>
      </c>
      <c r="AF122" s="245" t="str">
        <f>IFERROR(__xludf.DUMMYFUNCTION("IF(REGEXMATCH(C122, ""D""), ""9"","""")"),"")</f>
        <v/>
      </c>
      <c r="AG122" s="245" t="str">
        <f>IFERROR(__xludf.DUMMYFUNCTION("IF(REGEXMATCH(C122, ""n""), ""10"","""")"),"10")</f>
        <v>10</v>
      </c>
      <c r="AH122" s="246" t="str">
        <f>IFERROR(__xludf.DUMMYFUNCTION("IF(REGEXMATCH(C122, ""N""), ""11"","""")"),"11")</f>
        <v>11</v>
      </c>
      <c r="AI122" s="249" t="str">
        <f>IFERROR(__xludf.DUMMYFUNCTION("IF(REGEXMATCH(C122, ""S""), ""0"","""")"),"0")</f>
        <v>0</v>
      </c>
      <c r="AJ122" s="313" t="str">
        <f t="shared" si="11"/>
        <v>T</v>
      </c>
      <c r="AK122" s="313" t="str">
        <f t="shared" si="12"/>
        <v>T</v>
      </c>
      <c r="AL122" s="313" t="str">
        <f t="shared" si="13"/>
        <v>T</v>
      </c>
      <c r="AM122" s="313" t="str">
        <f t="shared" si="14"/>
        <v>-</v>
      </c>
      <c r="AN122" s="313" t="str">
        <f t="shared" si="15"/>
        <v>T</v>
      </c>
      <c r="AO122" s="314" t="str">
        <f t="shared" si="16"/>
        <v>T</v>
      </c>
      <c r="AP122" s="316">
        <f t="shared" si="17"/>
        <v>5</v>
      </c>
      <c r="AQ122" s="319" t="str">
        <f t="shared" si="18"/>
        <v>-</v>
      </c>
      <c r="AR122" s="320">
        <f t="shared" si="19"/>
        <v>0</v>
      </c>
      <c r="AS122" s="250" t="str">
        <f>IFERROR(__xludf.DUMMYFUNCTION("SUBSTITUTE(SUBSTITUTE(CONCATENATE(JOIN("""",FP122:GA122)),""|"",""x""),""-"",""o"")"),"xxxoxxxxxoxx")</f>
        <v>xxxoxxxxxoxx</v>
      </c>
      <c r="AT122" s="323" t="str">
        <f>IFERROR(__xludf.DUMMYFUNCTION("JOIN("""",AS122,AS122)"),"xxxoxxxxxoxxxxxoxxxxxoxx")</f>
        <v>xxxoxxxxxoxxxxxoxxxxxoxx</v>
      </c>
      <c r="AU122" s="256" t="str">
        <f>IFERROR(__xludf.DUMMYFUNCTION("JOIN("""",ArrayFormula(MID(AS122,LEN(AS122)-SEQUENCE(1,LEN(AS122))+1,1)))"),"xxoxxxxxoxxx")</f>
        <v>xxoxxxxxoxxx</v>
      </c>
      <c r="AV122" s="256" t="str">
        <f>IFERROR(__xludf.DUMMYFUNCTION("LEFT(CONCATENATE(""x"",JOIN("""",ArrayFormula(MID(AS122,LEN(AS122)-SEQUENCE(1,LEN(AS122))+1,1)))),12)"),"xxxoxxxxxoxx")</f>
        <v>xxxoxxxxxoxx</v>
      </c>
      <c r="AW122" s="327" t="str">
        <f>IFERROR(__xludf.DUMMYFUNCTION("JOIN("""",AU122,AU122)"),"xxoxxxxxoxxxxxoxxxxxoxxx")</f>
        <v>xxoxxxxxoxxxxxoxxxxxoxxx</v>
      </c>
      <c r="AX122" s="239" t="str">
        <f>IFERROR(__xludf.DUMMYFUNCTION("IF(REGEXMATCH(AW122,AS122),""✔"",""-"")"),"✔")</f>
        <v>✔</v>
      </c>
      <c r="AY122" s="330" t="str">
        <f t="shared" si="20"/>
        <v>✔</v>
      </c>
      <c r="AZ122" s="260" t="str">
        <f t="shared" si="21"/>
        <v>#REF!</v>
      </c>
      <c r="BA122" s="333" t="str">
        <f t="shared" si="22"/>
        <v>xxxoxxx</v>
      </c>
      <c r="BB122" s="334" t="str">
        <f t="shared" si="23"/>
        <v>xxoxxx</v>
      </c>
      <c r="BC122" s="335" t="str">
        <f t="shared" si="236"/>
        <v>-</v>
      </c>
      <c r="BD122" s="336" t="str">
        <f t="shared" si="25"/>
        <v>Gaurimanjari: 'xxxoxxx' + 'xxoxxx'</v>
      </c>
      <c r="BE122" s="337">
        <f>IFERROR(__xludf.DUMMYFUNCTION("COUNTUNIQUE(FILTER(AT:AT,REGEXMATCH(AT:AT,AS122)))-1"),0.0)</f>
        <v>0</v>
      </c>
      <c r="BF122" s="261" t="str">
        <f>IFERROR(__xludf.DUMMYFUNCTION("IF(BI122=0,""(n/a)"",IF(BJ122=2,""(PAIR)"",IF(REGEXMATCH(AT122,""xoxoxxoxoxox""),""Bilawal"",IF(REGEXMATCH(AT122,""xoxoxooxoxoo""),""Bhupali"",IF(REGEXMATCH(AT122,""xoxoxxoxxoxo""),""Charukeshi"",IF(REGEXMATCH(AT122,""xoxoooxxoxxo""),""Kameshwari"",IF(REG"&amp;"EXMATCH(AT122,""xoxoxooxoxox""),""Shankara"",IF(REGEXMATCH(AT122,""xxooxoxxxoox""),""Basant"",IF(REGEXMATCH(AT122,""xoxoxxxxoxox""),""Bihag"",IF(REGEXMATCH(AT122,""xoxxxxoxoxxx""),""Pilu"",IF(REGEXMATCH(AT122,""xoxxoxoxxoox""),""Kirwani"",IF(REGEXMATCH(AT"&amp;"122,""xoxxoxoxoxxx""),""Mk.Malhar"",IF(REGEXMATCH(AT122,""xxooxxoxxoox""),""Bhairav"",IF(REGEXMATCH(AT122,""xxoxooxxxoox""),""Todi"",IF(REGEXMATCH(AT122,""xxooxoxooxox""),""Marwa"",IF(REGEXMATCH(AT122,""xxoooxoxxooo""),""Gunkali"",IF(REGEXMATCH(AT122,""xo"&amp;"xoxxoxxoox""),""Nat Bhairav"",IF(REGEXMATCH(AT122,""xoxxoooxoxoo""),""Shivranjani"",IF(REGEXMATCH(AT122,""xooxxxoxooxo""),""Jog"",IF(REGEXMATCH(AT122,""xxooxoxoxoox""),""Hemshri"",IF(REGEXMATCH(AT122,""xoooxooxoxxo""),""Kalavati"",IF(REGEXMATCH(AT122,""xx"&amp;"oxoxxoxoox""),""Kedar"",IF(REGEXMATCH(AT122,""xoxxxxoxooxx""),""Gara"",IF(REGEXMATCH(AT122,""xooxoxooxoox""),""Chandrakauns"",IF(REGEXMATCH(AT122,""xoxxxxoxxxox""),""Mand"",IF(REGEXMATCH(AT122,""xoxxxxoxoxox""),""Hanskinkini"",IF(REGEXMATCH(AT122,""xxooxx"&amp;"oxooxo""),""Lilavati"",IF(REGEXMATCH(AT122,""xooxoxoooxox""),""Rajeshwari"",IF(REGEXMATCH(AT122,""xoooxxoxoxxx""),""Khokar"",IF(REGEXMATCH(AT122,""xxooxoxxxxox""),""Maligoura"",""-""))))))))))))))))))))))))))))))"),"(n/a)")</f>
        <v>(n/a)</v>
      </c>
      <c r="BG122" s="239" t="str">
        <f t="shared" si="26"/>
        <v>#REF!</v>
      </c>
      <c r="BH122" s="239">
        <f>IFERROR(__xludf.DUMMYFUNCTION("COUNTUNIQUE(FE122:FO122)-1"),5.0)</f>
        <v>5</v>
      </c>
      <c r="BI122" s="239">
        <f>IFERROR(__xludf.DUMMYFUNCTION("COUNTUNIQUE(FILTER(AT:AT,REGEXMATCH(AT:AT,AS122)))-1"),0.0)</f>
        <v>0</v>
      </c>
      <c r="BJ122" s="239">
        <f>IFERROR(__xludf.DUMMYFUNCTION("COUNTA(FILTER(AT:AT,REGEXMATCH(AT:AT,AS122)))"),1.0)</f>
        <v>1</v>
      </c>
      <c r="BK122" s="341">
        <f>IFERROR(__xludf.DUMMYFUNCTION("COUNTA(FILTER(AT:AT,REGEXMATCH(AT:AT,AS122)))-AR122"),1.0)</f>
        <v>1</v>
      </c>
      <c r="BL122" s="276" t="str">
        <f>IFERROR(__xludf.DUMMYFUNCTION("IF(AS122=""oooooooooooo"",""-"",IF(REGEXMATCH(AT122,""xx""), ""Hemi."", ""Anhemi.""))"),"Hemi.")</f>
        <v>Hemi.</v>
      </c>
      <c r="BM122" s="282" t="str">
        <f>IFERROR(__xludf.DUMMYFUNCTION("IF(AS122=""oooooooooooo"",""-"",IF(REGEXMATCH(AT122,""xxx""), ""Cohem."", ""-""))"),"Cohem.")</f>
        <v>Cohem.</v>
      </c>
      <c r="BN122" s="282" t="str">
        <f>IFERROR(__xludf.DUMMYFUNCTION("IF(AS122=""oooooooooooo"",""-"",IF(REGEXMATCH(AT122,""xxxx""), ""Co-Co."", ""-""))"),"Co-Co.")</f>
        <v>Co-Co.</v>
      </c>
      <c r="BO122" s="342" t="str">
        <f>IFERROR(__xludf.DUMMYFUNCTION("IF(AS122=""oooooooooooo"",""-"",IF(REGEXMATCH(AT122,""xxxxx""), ""CCC."", ""-""))"),"CCC.")</f>
        <v>CCC.</v>
      </c>
      <c r="BP122" s="344" t="str">
        <f t="shared" si="27"/>
        <v>-</v>
      </c>
      <c r="BQ122" s="282" t="str">
        <f>IFERROR(__xludf.DUMMYFUNCTION("IF(REGEXMATCH(JOIN(""-"",EU122:FD122),""TRUE""),""✔"",""-"")"),"-")</f>
        <v>-</v>
      </c>
      <c r="BR122" s="225">
        <f t="shared" si="28"/>
        <v>0</v>
      </c>
      <c r="BS122" s="345" t="str">
        <f>IFERROR(__xludf.DUMMYFUNCTION("SUBSTITUTE(SUBSTITUTE(SUBSTITUTE(SUBSTITUTE(CONCATENATE(JOIN(""-"",GC122:GO122)),""--"",""-""),""--"",""-""),""--"",""-""),""--"",""-"")"),"1-b2-2-3-4-#4-5-b6-b7-7-8")</f>
        <v>1-b2-2-3-4-#4-5-b6-b7-7-8</v>
      </c>
      <c r="BT122" s="299" t="str">
        <f>IFERROR(__xludf.DUMMYFUNCTION("SUBSTITUTE(SUBSTITUTE(SUBSTITUTE(SUBSTITUTE(CONCATENATE(JOIN(""-"",GP122:HB122)),""--"",""-""),""--"",""-""),""--"",""-""),""--"",""-"")"),"S-R1-R2-G3-M1-M2-P-D1-N2-N3-S")</f>
        <v>S-R1-R2-G3-M1-M2-P-D1-N2-N3-S</v>
      </c>
      <c r="BU122" s="348" t="str">
        <f t="shared" si="29"/>
        <v>C-Db-D-E-F-F#-G-Ab-Bb-B-C</v>
      </c>
      <c r="BV122" s="349" t="str">
        <f t="shared" si="30"/>
        <v>SgDS</v>
      </c>
      <c r="BW122" s="350">
        <f t="shared" si="31"/>
        <v>0</v>
      </c>
      <c r="BX122" s="351">
        <f t="shared" si="32"/>
        <v>1</v>
      </c>
      <c r="BY122" s="352" t="s">
        <v>275</v>
      </c>
      <c r="BZ122" s="309" t="str">
        <f>IFERROR(__xludf.DUMMYFUNCTION("IF(REGEXMATCH(C122, ""S""), ""x"",""x"")"),"x")</f>
        <v>x</v>
      </c>
      <c r="CA122" s="245" t="str">
        <f>IFERROR(__xludf.DUMMYFUNCTION("IF(REGEXMATCH(C122, ""r""), ""o"",""x"")"),"o")</f>
        <v>o</v>
      </c>
      <c r="CB122" s="246" t="str">
        <f>IFERROR(__xludf.DUMMYFUNCTION("IF(REGEXMATCH(C122, ""R""), ""o"",""x"")"),"o")</f>
        <v>o</v>
      </c>
      <c r="CC122" s="246" t="str">
        <f>IFERROR(__xludf.DUMMYFUNCTION("IF(REGEXMATCH(C122, ""g""), ""o"",""x"")"),"x")</f>
        <v>x</v>
      </c>
      <c r="CD122" s="245" t="str">
        <f>IFERROR(__xludf.DUMMYFUNCTION("IF(REGEXMATCH(C122, ""G""), ""o"",""x"")"),"o")</f>
        <v>o</v>
      </c>
      <c r="CE122" s="245" t="str">
        <f>IFERROR(__xludf.DUMMYFUNCTION("IF(REGEXMATCH(C122, ""m""), ""o"",""x"")"),"o")</f>
        <v>o</v>
      </c>
      <c r="CF122" s="246" t="str">
        <f>IFERROR(__xludf.DUMMYFUNCTION("IF(REGEXMATCH(C122, ""M""), ""o"",""x"")"),"o")</f>
        <v>o</v>
      </c>
      <c r="CG122" s="245" t="str">
        <f>IFERROR(__xludf.DUMMYFUNCTION("IF(REGEXMATCH(C122, ""P""), ""o"",""x"")"),"o")</f>
        <v>o</v>
      </c>
      <c r="CH122" s="246" t="str">
        <f>IFERROR(__xludf.DUMMYFUNCTION("IF(REGEXMATCH(C122, ""d""), ""o"",""x"")"),"o")</f>
        <v>o</v>
      </c>
      <c r="CI122" s="245" t="str">
        <f>IFERROR(__xludf.DUMMYFUNCTION("IF(REGEXMATCH(C122, ""D""), ""o"",""x"")"),"x")</f>
        <v>x</v>
      </c>
      <c r="CJ122" s="245" t="str">
        <f>IFERROR(__xludf.DUMMYFUNCTION("IF(REGEXMATCH(C122, ""n""), ""o"",""x"")"),"o")</f>
        <v>o</v>
      </c>
      <c r="CK122" s="245" t="str">
        <f>IFERROR(__xludf.DUMMYFUNCTION("IF(REGEXMATCH(C122, ""N""), ""o"",""x"")"),"o")</f>
        <v>o</v>
      </c>
      <c r="CL122" s="356" t="str">
        <f>IFERROR(__xludf.DUMMYFUNCTION("IF(REGEXMATCH(C122, ""S""), ""x"",""x"")"),"x")</f>
        <v>x</v>
      </c>
      <c r="CM122" s="357" t="str">
        <f t="shared" si="33"/>
        <v>xooxoooooxoo</v>
      </c>
      <c r="CN122" s="358">
        <f t="shared" si="34"/>
        <v>0</v>
      </c>
      <c r="CO122" s="246" t="str">
        <f>IFERROR(__xludf.DUMMYFUNCTION("IF(REGEXMATCH($C122, ""S""), ""S"",""S"")"),"S")</f>
        <v>S</v>
      </c>
      <c r="CP122" s="246" t="str">
        <f>IFERROR(__xludf.DUMMYFUNCTION("IF(REGEXMATCH($C122, ""r""), """",""r"")"),"")</f>
        <v/>
      </c>
      <c r="CQ122" s="246" t="str">
        <f>IFERROR(__xludf.DUMMYFUNCTION("IF(REGEXMATCH($C122, ""R""), """",""R"")"),"")</f>
        <v/>
      </c>
      <c r="CR122" s="246" t="str">
        <f>IFERROR(__xludf.DUMMYFUNCTION("IF(REGEXMATCH($C122, ""g""), """",""g"")"),"g")</f>
        <v>g</v>
      </c>
      <c r="CS122" s="246" t="str">
        <f>IFERROR(__xludf.DUMMYFUNCTION("IF(REGEXMATCH($C122, ""G""), """",""G"")"),"")</f>
        <v/>
      </c>
      <c r="CT122" s="246" t="str">
        <f>IFERROR(__xludf.DUMMYFUNCTION("IF(REGEXMATCH($C122, ""m""), """",""m"")"),"")</f>
        <v/>
      </c>
      <c r="CU122" s="246" t="str">
        <f>IFERROR(__xludf.DUMMYFUNCTION("IF(REGEXMATCH($C122, ""M""), """",""M"")"),"")</f>
        <v/>
      </c>
      <c r="CV122" s="246" t="str">
        <f>IFERROR(__xludf.DUMMYFUNCTION("IF(REGEXMATCH($C122, ""P""), """",""P"")"),"")</f>
        <v/>
      </c>
      <c r="CW122" s="246" t="str">
        <f>IFERROR(__xludf.DUMMYFUNCTION("IF(REGEXMATCH($C122, ""d""), """",""d"")"),"")</f>
        <v/>
      </c>
      <c r="CX122" s="246" t="str">
        <f>IFERROR(__xludf.DUMMYFUNCTION("IF(REGEXMATCH($C122, ""D""), """",""D"")"),"D")</f>
        <v>D</v>
      </c>
      <c r="CY122" s="246" t="str">
        <f>IFERROR(__xludf.DUMMYFUNCTION("IF(REGEXMATCH($C122, ""n""), """",""n"")"),"")</f>
        <v/>
      </c>
      <c r="CZ122" s="246" t="str">
        <f>IFERROR(__xludf.DUMMYFUNCTION("IF(REGEXMATCH($C122, ""N""), """",""N"")"),"")</f>
        <v/>
      </c>
      <c r="DA122" s="246" t="str">
        <f>IFERROR(__xludf.DUMMYFUNCTION("IF(REGEXMATCH($C122, ""S""), ""S"",""S"")"),"S")</f>
        <v>S</v>
      </c>
      <c r="DB122" s="362" t="str">
        <f>IFERROR(__xludf.DUMMYFUNCTION("JOIN("""",CO122:DA122,"""","""")"),"SgDS")</f>
        <v>SgDS</v>
      </c>
      <c r="DC122" s="363"/>
      <c r="DD122" s="301" t="str">
        <f t="shared" si="35"/>
        <v>#REF!</v>
      </c>
      <c r="DE122" s="302" t="str">
        <f t="shared" si="36"/>
        <v>#REF!</v>
      </c>
      <c r="DF122" s="301" t="str">
        <f t="shared" ref="DF122:DG122" si="447">SUBSTITUTE(S122,"-","")</f>
        <v>SRGM</v>
      </c>
      <c r="DG122" s="301" t="str">
        <f t="shared" si="447"/>
        <v>PDNS</v>
      </c>
      <c r="DH122" s="302" t="str">
        <f t="shared" si="38"/>
        <v>(n/a)</v>
      </c>
      <c r="DI122" s="301" t="str">
        <f t="shared" si="39"/>
        <v>Hemi.</v>
      </c>
      <c r="DJ122" s="364" t="str">
        <f t="shared" si="40"/>
        <v>CCC.</v>
      </c>
      <c r="DK122" s="306" t="str">
        <f t="shared" si="41"/>
        <v>-</v>
      </c>
      <c r="DL122" s="366" t="str">
        <f t="shared" si="42"/>
        <v>-</v>
      </c>
      <c r="DM122" s="308" t="str">
        <f t="shared" si="43"/>
        <v>✔</v>
      </c>
      <c r="DN122" s="306" t="str">
        <f t="shared" si="44"/>
        <v>-</v>
      </c>
      <c r="DO122" s="306" t="str">
        <f t="shared" si="45"/>
        <v>-</v>
      </c>
      <c r="DP122" s="367" t="str">
        <f t="shared" si="46"/>
        <v>-</v>
      </c>
      <c r="DQ122" s="310" t="str">
        <f t="shared" si="47"/>
        <v>✔</v>
      </c>
      <c r="DR122" s="310" t="str">
        <f t="shared" si="48"/>
        <v>-</v>
      </c>
      <c r="DS122" s="310" t="str">
        <f t="shared" si="49"/>
        <v>✔</v>
      </c>
      <c r="DT122" s="310" t="str">
        <f t="shared" si="50"/>
        <v>-</v>
      </c>
      <c r="DU122" s="370" t="str">
        <f t="shared" si="51"/>
        <v>✔</v>
      </c>
      <c r="DV122" s="306" t="str">
        <f t="shared" si="52"/>
        <v>-</v>
      </c>
      <c r="DW122" s="306" t="str">
        <f t="shared" si="53"/>
        <v>-</v>
      </c>
      <c r="DX122" s="306" t="str">
        <f t="shared" si="54"/>
        <v>-</v>
      </c>
      <c r="DY122" s="306" t="str">
        <f t="shared" si="55"/>
        <v>-</v>
      </c>
      <c r="DZ122" s="306" t="str">
        <f t="shared" si="56"/>
        <v>-</v>
      </c>
      <c r="EA122" s="367" t="str">
        <f t="shared" si="57"/>
        <v>-</v>
      </c>
      <c r="EB122" s="310" t="str">
        <f>IFERROR(__xludf.DUMMYFUNCTION("IF(REGEXMATCH(AW122,AS122),""✔"",""-"")"),"✔")</f>
        <v>✔</v>
      </c>
      <c r="EC122" s="310" t="str">
        <f t="shared" si="58"/>
        <v>#REF!</v>
      </c>
      <c r="ED122" s="370" t="str">
        <f t="shared" si="59"/>
        <v>✔</v>
      </c>
      <c r="EE122" s="340" t="str">
        <f t="shared" si="60"/>
        <v>S-rR-G-mM-P-d-nN-S</v>
      </c>
      <c r="EF122" s="371" t="str">
        <f>IFERROR(__xludf.DUMMYFUNCTION("CONCATENATE(JOIN("""",HC122:HO122))"),"SrRGmMPdnNS")</f>
        <v>SrRGmMPdnNS</v>
      </c>
      <c r="EG122" s="372">
        <f t="shared" si="61"/>
        <v>2</v>
      </c>
      <c r="EH122" s="373" t="str">
        <f>IFERROR(__xludf.DUMMYFUNCTION("CONCATENATE(JOIN("""",JC122:JO122))"),"Re, dha, ")</f>
        <v>Re, dha, </v>
      </c>
      <c r="EI122" s="322">
        <f t="shared" si="62"/>
        <v>0</v>
      </c>
      <c r="EJ122" s="374" t="str">
        <f>IFERROR(__xludf.DUMMYFUNCTION("CONCATENATE(JOIN("""",KC122:KO122))"),"")</f>
        <v/>
      </c>
      <c r="EK122" s="325" t="str">
        <f t="shared" si="63"/>
        <v>S-R1-R2-G3-M1-M2-P-D1-N2-N3-S</v>
      </c>
      <c r="EL122" s="326" t="str">
        <f t="shared" si="64"/>
        <v>1-b2-2-3-4-#4-5-b6-b7-7-8</v>
      </c>
      <c r="EM122" s="318" t="str">
        <f t="shared" si="65"/>
        <v>#REF!</v>
      </c>
      <c r="EN122" s="328" t="str">
        <f>IFERROR(__xludf.DUMMYFUNCTION("SUBSTITUTE(SUBSTITUTE(SUBSTITUTE(SUBSTITUTE(CONCATENATE(JOIN("" "",HP122:IB122)),""  "","" ""),""  "","" ""),""  "","" ""),""  "","" "")"),"o o o • o o o o o • o o o")</f>
        <v>o o o • o o o o o • o o o</v>
      </c>
      <c r="EO122" s="368" t="str">
        <f t="shared" si="66"/>
        <v>-</v>
      </c>
      <c r="EP122" s="339" t="str">
        <f t="shared" si="67"/>
        <v>-</v>
      </c>
      <c r="EQ122" s="339" t="str">
        <f t="shared" si="68"/>
        <v>Sa-Pa</v>
      </c>
      <c r="ER122" s="339" t="str">
        <f t="shared" si="69"/>
        <v>-</v>
      </c>
      <c r="ES122" s="340" t="str">
        <f t="shared" si="70"/>
        <v>-</v>
      </c>
      <c r="ET122" s="363"/>
      <c r="EU122" s="376" t="b">
        <f>IFERROR(__xludf.DUMMYFUNCTION("arrayformula(sum(--REGEXMATCH(""SRGMPDNS"",split(REGEXREPLACE(C122,""(.)"",""$1~""),""~""))))=len(C122)
"),FALSE)</f>
        <v>0</v>
      </c>
      <c r="EV122" s="290" t="b">
        <f>IFERROR(__xludf.DUMMYFUNCTION("arrayformula(sum(--REGEXMATCH(""SRGmPDNS"",split(REGEXREPLACE(C122,""(.)"",""$1~""),""~""))))=len(C122)"),FALSE)</f>
        <v>0</v>
      </c>
      <c r="EW122" s="290" t="b">
        <f>IFERROR(__xludf.DUMMYFUNCTION("arrayformula(sum(--REGEXMATCH(""SRGmPDnS"",split(REGEXREPLACE(C122,""(.)"",""$1~""),""~""))))=len(C122)"),FALSE)</f>
        <v>0</v>
      </c>
      <c r="EX122" s="290" t="b">
        <f>IFERROR(__xludf.DUMMYFUNCTION("arrayformula(sum(--REGEXMATCH(""SRgmPDnS"",split(REGEXREPLACE(C122,""(.)"",""$1~""),""~""))))=len(C122)"),FALSE)</f>
        <v>0</v>
      </c>
      <c r="EY122" s="290" t="b">
        <f>IFERROR(__xludf.DUMMYFUNCTION("arrayformula(sum(--REGEXMATCH(""SRgmPdnS"",split(REGEXREPLACE(C122,""(.)"",""$1~""),""~""))))=len(C122)"),FALSE)</f>
        <v>0</v>
      </c>
      <c r="EZ122" s="290" t="b">
        <f>IFERROR(__xludf.DUMMYFUNCTION("arrayformula(sum(--REGEXMATCH(""SrgmPdnS"",split(REGEXREPLACE(C122,""(.)"",""$1~""),""~""))))=len(C122)"),FALSE)</f>
        <v>0</v>
      </c>
      <c r="FA122" s="290" t="b">
        <f>IFERROR(__xludf.DUMMYFUNCTION("arrayformula(sum(--REGEXMATCH(""SrGmPdNS"",split(REGEXREPLACE(C122,""(.)"",""$1~""),""~""))))=len(C122)"),FALSE)</f>
        <v>0</v>
      </c>
      <c r="FB122" s="290" t="b">
        <f>IFERROR(__xludf.DUMMYFUNCTION("arrayformula(sum(--REGEXMATCH(""SrGMPDNS"",split(REGEXREPLACE(C122,""(.)"",""$1~""),""~""))))=len(C122)"),FALSE)</f>
        <v>0</v>
      </c>
      <c r="FC122" s="290" t="b">
        <f>IFERROR(__xludf.DUMMYFUNCTION("arrayformula(sum(--REGEXMATCH(""SrGMPdNS"",split(REGEXREPLACE(C122,""(.)"",""$1~""),""~""))))=len(C122)"),FALSE)</f>
        <v>0</v>
      </c>
      <c r="FD122" s="377" t="b">
        <f>IFERROR(__xludf.DUMMYFUNCTION("arrayformula(sum(--REGEXMATCH(""SrgMPdNS"",split(REGEXREPLACE(C122,""(.)"",""$1~""),""~""))))=len(C122)"),FALSE)</f>
        <v>0</v>
      </c>
      <c r="FE122" s="269" t="str">
        <f t="shared" si="71"/>
        <v>xxoxxxxxoxx</v>
      </c>
      <c r="FF122" s="269" t="str">
        <f t="shared" si="72"/>
        <v>xoxxxxxoxxx</v>
      </c>
      <c r="FG122" s="271" t="str">
        <f t="shared" si="73"/>
        <v>-</v>
      </c>
      <c r="FH122" s="269" t="str">
        <f t="shared" si="74"/>
        <v>xxxxxoxxxxx</v>
      </c>
      <c r="FI122" s="271" t="str">
        <f t="shared" si="75"/>
        <v>xxxxoxxxxxo</v>
      </c>
      <c r="FJ122" s="271" t="str">
        <f t="shared" si="76"/>
        <v>xxxoxxxxxox</v>
      </c>
      <c r="FK122" s="271" t="str">
        <f t="shared" si="77"/>
        <v>xxoxxxxxoxx</v>
      </c>
      <c r="FL122" s="271" t="str">
        <f t="shared" si="78"/>
        <v>xoxxxxxoxxx</v>
      </c>
      <c r="FM122" s="271" t="str">
        <f t="shared" si="79"/>
        <v>-</v>
      </c>
      <c r="FN122" s="271" t="str">
        <f t="shared" si="80"/>
        <v>xxxxxoxxxxx</v>
      </c>
      <c r="FO122" s="274" t="str">
        <f t="shared" si="81"/>
        <v>xxxxoxxxxxo</v>
      </c>
      <c r="FP122" s="234" t="str">
        <f t="shared" si="82"/>
        <v>|</v>
      </c>
      <c r="FQ122" s="236" t="str">
        <f t="shared" si="83"/>
        <v>|</v>
      </c>
      <c r="FR122" s="237" t="str">
        <f t="shared" si="84"/>
        <v>|</v>
      </c>
      <c r="FS122" s="236" t="str">
        <f t="shared" si="85"/>
        <v>-</v>
      </c>
      <c r="FT122" s="237" t="str">
        <f t="shared" si="86"/>
        <v>|</v>
      </c>
      <c r="FU122" s="236" t="str">
        <f t="shared" si="87"/>
        <v>|</v>
      </c>
      <c r="FV122" s="237" t="str">
        <f t="shared" si="88"/>
        <v>|</v>
      </c>
      <c r="FW122" s="236" t="str">
        <f t="shared" si="89"/>
        <v>|</v>
      </c>
      <c r="FX122" s="237" t="str">
        <f t="shared" si="90"/>
        <v>|</v>
      </c>
      <c r="FY122" s="236" t="str">
        <f t="shared" si="91"/>
        <v>-</v>
      </c>
      <c r="FZ122" s="237" t="str">
        <f t="shared" si="92"/>
        <v>|</v>
      </c>
      <c r="GA122" s="236" t="str">
        <f t="shared" si="93"/>
        <v>|</v>
      </c>
      <c r="GB122" s="238" t="str">
        <f t="shared" si="94"/>
        <v>|</v>
      </c>
      <c r="GC122" s="244" t="str">
        <f>IFERROR(__xludf.DUMMYFUNCTION("IF(REGEXMATCH(C122, ""S""), ""1"","""")"),"1")</f>
        <v>1</v>
      </c>
      <c r="GD122" s="245" t="str">
        <f>IFERROR(__xludf.DUMMYFUNCTION("IF(REGEXMATCH(C122, ""r""), ""b2"","""")"),"b2")</f>
        <v>b2</v>
      </c>
      <c r="GE122" s="246" t="str">
        <f>IFERROR(__xludf.DUMMYFUNCTION("IF(REGEXMATCH(C122, ""R""), ""2"","""")"),"2")</f>
        <v>2</v>
      </c>
      <c r="GF122" s="246" t="str">
        <f>IFERROR(__xludf.DUMMYFUNCTION("IF(REGEXMATCH(C122, ""g""), ""b3"","""")"),"")</f>
        <v/>
      </c>
      <c r="GG122" s="245" t="str">
        <f>IFERROR(__xludf.DUMMYFUNCTION("IF(REGEXMATCH(C122, ""G""), ""3"","""")"),"3")</f>
        <v>3</v>
      </c>
      <c r="GH122" s="245" t="str">
        <f>IFERROR(__xludf.DUMMYFUNCTION("IF(REGEXMATCH(C122, ""m""), ""4"","""")"),"4")</f>
        <v>4</v>
      </c>
      <c r="GI122" s="246" t="str">
        <f>IFERROR(__xludf.DUMMYFUNCTION("IF(REGEXMATCH(C122, ""M""), ""#4"","""")"),"#4")</f>
        <v>#4</v>
      </c>
      <c r="GJ122" s="245" t="str">
        <f>IFERROR(__xludf.DUMMYFUNCTION("IF(REGEXMATCH(C122, ""P""), ""5"","""")"),"5")</f>
        <v>5</v>
      </c>
      <c r="GK122" s="246" t="str">
        <f>IFERROR(__xludf.DUMMYFUNCTION("IF(REGEXMATCH(C122, ""d""), ""b6"","""")"),"b6")</f>
        <v>b6</v>
      </c>
      <c r="GL122" s="245" t="str">
        <f>IFERROR(__xludf.DUMMYFUNCTION("IF(REGEXMATCH(C122, ""D""), ""6"","""")"),"")</f>
        <v/>
      </c>
      <c r="GM122" s="245" t="str">
        <f>IFERROR(__xludf.DUMMYFUNCTION("IF(REGEXMATCH(C122, ""n""), ""b7"","""")"),"b7")</f>
        <v>b7</v>
      </c>
      <c r="GN122" s="246" t="str">
        <f>IFERROR(__xludf.DUMMYFUNCTION("IF(REGEXMATCH(C122, ""N""), ""7"","""")"),"7")</f>
        <v>7</v>
      </c>
      <c r="GO122" s="249" t="str">
        <f>IFERROR(__xludf.DUMMYFUNCTION("IF(REGEXMATCH(C122, ""S""), ""8"","""")"),"8")</f>
        <v>8</v>
      </c>
      <c r="GP122" s="244" t="str">
        <f>IFERROR(__xludf.DUMMYFUNCTION("IF(REGEXMATCH(C122, ""S""), ""S"","""")"),"S")</f>
        <v>S</v>
      </c>
      <c r="GQ122" s="294" t="str">
        <f>IFERROR(__xludf.DUMMYFUNCTION("IF(REGEXMATCH(C122, ""r""), ""R1"","""")"),"R1")</f>
        <v>R1</v>
      </c>
      <c r="GR122" s="295" t="str">
        <f>IFERROR(__xludf.DUMMYFUNCTION("IF(REGEXMATCH(C122, ""R""), ""R2"","""")"),"R2")</f>
        <v>R2</v>
      </c>
      <c r="GS122" s="295" t="str">
        <f>IFERROR(__xludf.DUMMYFUNCTION("IF(REGEXMATCH(C122, ""g""), ""G2"","""")"),"")</f>
        <v/>
      </c>
      <c r="GT122" s="294" t="str">
        <f>IFERROR(__xludf.DUMMYFUNCTION("IF(REGEXMATCH(C122, ""G""), ""G3"","""")"),"G3")</f>
        <v>G3</v>
      </c>
      <c r="GU122" s="294" t="str">
        <f>IFERROR(__xludf.DUMMYFUNCTION("IF(REGEXMATCH(C122, ""m""), ""M1"","""")"),"M1")</f>
        <v>M1</v>
      </c>
      <c r="GV122" s="295" t="str">
        <f>IFERROR(__xludf.DUMMYFUNCTION("IF(REGEXMATCH(C122, ""M""), ""M2"","""")"),"M2")</f>
        <v>M2</v>
      </c>
      <c r="GW122" s="294" t="str">
        <f>IFERROR(__xludf.DUMMYFUNCTION("IF(REGEXMATCH(C122, ""P""), ""P"","""")"),"P")</f>
        <v>P</v>
      </c>
      <c r="GX122" s="295" t="str">
        <f>IFERROR(__xludf.DUMMYFUNCTION("IF(REGEXMATCH(C122, ""d""), ""D1"","""")"),"D1")</f>
        <v>D1</v>
      </c>
      <c r="GY122" s="294" t="str">
        <f>IFERROR(__xludf.DUMMYFUNCTION("IF(REGEXMATCH(C122, ""D""), ""D2"","""")"),"")</f>
        <v/>
      </c>
      <c r="GZ122" s="294" t="str">
        <f>IFERROR(__xludf.DUMMYFUNCTION("IF(REGEXMATCH(C122, ""n""), ""N2"","""")"),"N2")</f>
        <v>N2</v>
      </c>
      <c r="HA122" s="295" t="str">
        <f>IFERROR(__xludf.DUMMYFUNCTION("IF(REGEXMATCH(C122, ""N""), ""N3"","""")"),"N3")</f>
        <v>N3</v>
      </c>
      <c r="HB122" s="249" t="str">
        <f>IFERROR(__xludf.DUMMYFUNCTION("IF(REGEXMATCH(C122, ""S""), ""S"","""")"),"S")</f>
        <v>S</v>
      </c>
      <c r="HC122" s="331" t="str">
        <f t="shared" si="95"/>
        <v>S</v>
      </c>
      <c r="HD122" s="332" t="str">
        <f t="shared" si="96"/>
        <v>r</v>
      </c>
      <c r="HE122" s="332" t="str">
        <f t="shared" si="97"/>
        <v>R</v>
      </c>
      <c r="HF122" s="332" t="str">
        <f t="shared" si="98"/>
        <v/>
      </c>
      <c r="HG122" s="332" t="str">
        <f t="shared" si="99"/>
        <v>G</v>
      </c>
      <c r="HH122" s="332" t="str">
        <f t="shared" si="100"/>
        <v>m</v>
      </c>
      <c r="HI122" s="332" t="str">
        <f t="shared" si="101"/>
        <v>M</v>
      </c>
      <c r="HJ122" s="332" t="str">
        <f t="shared" si="102"/>
        <v>P</v>
      </c>
      <c r="HK122" s="332" t="str">
        <f t="shared" si="103"/>
        <v>d</v>
      </c>
      <c r="HL122" s="332" t="str">
        <f t="shared" si="104"/>
        <v/>
      </c>
      <c r="HM122" s="332" t="str">
        <f t="shared" si="105"/>
        <v>n</v>
      </c>
      <c r="HN122" s="332" t="str">
        <f t="shared" si="106"/>
        <v>N</v>
      </c>
      <c r="HO122" s="343" t="str">
        <f t="shared" si="107"/>
        <v>S</v>
      </c>
      <c r="HP122" s="331" t="str">
        <f t="shared" si="108"/>
        <v>o</v>
      </c>
      <c r="HQ122" s="332" t="str">
        <f t="shared" si="109"/>
        <v>o</v>
      </c>
      <c r="HR122" s="332" t="str">
        <f t="shared" si="110"/>
        <v>o</v>
      </c>
      <c r="HS122" s="332" t="str">
        <f t="shared" si="111"/>
        <v>•</v>
      </c>
      <c r="HT122" s="332" t="str">
        <f t="shared" si="112"/>
        <v>o</v>
      </c>
      <c r="HU122" s="332" t="str">
        <f t="shared" si="113"/>
        <v>o</v>
      </c>
      <c r="HV122" s="332" t="str">
        <f t="shared" si="114"/>
        <v>o</v>
      </c>
      <c r="HW122" s="332" t="str">
        <f t="shared" si="115"/>
        <v>o</v>
      </c>
      <c r="HX122" s="332" t="str">
        <f t="shared" si="116"/>
        <v>o</v>
      </c>
      <c r="HY122" s="332" t="str">
        <f t="shared" si="117"/>
        <v>•</v>
      </c>
      <c r="HZ122" s="332" t="str">
        <f t="shared" si="118"/>
        <v>o</v>
      </c>
      <c r="IA122" s="332" t="str">
        <f t="shared" si="119"/>
        <v>o</v>
      </c>
      <c r="IB122" s="338" t="str">
        <f t="shared" si="120"/>
        <v>o</v>
      </c>
      <c r="IC122" s="331" t="str">
        <f t="shared" si="121"/>
        <v>•</v>
      </c>
      <c r="ID122" s="332" t="str">
        <f t="shared" si="122"/>
        <v>•</v>
      </c>
      <c r="IE122" s="332" t="str">
        <f t="shared" si="123"/>
        <v>•</v>
      </c>
      <c r="IF122" s="332" t="str">
        <f t="shared" si="124"/>
        <v>o</v>
      </c>
      <c r="IG122" s="332" t="str">
        <f t="shared" si="125"/>
        <v>•</v>
      </c>
      <c r="IH122" s="332" t="str">
        <f t="shared" si="126"/>
        <v>•</v>
      </c>
      <c r="II122" s="332" t="str">
        <f t="shared" si="127"/>
        <v>•</v>
      </c>
      <c r="IJ122" s="332" t="str">
        <f t="shared" si="128"/>
        <v>•</v>
      </c>
      <c r="IK122" s="332" t="str">
        <f t="shared" si="129"/>
        <v>•</v>
      </c>
      <c r="IL122" s="332" t="str">
        <f t="shared" si="130"/>
        <v>o</v>
      </c>
      <c r="IM122" s="332" t="str">
        <f t="shared" si="131"/>
        <v>•</v>
      </c>
      <c r="IN122" s="332" t="str">
        <f t="shared" si="132"/>
        <v>•</v>
      </c>
      <c r="IO122" s="338" t="str">
        <f t="shared" si="133"/>
        <v>•</v>
      </c>
      <c r="IP122" s="346" t="b">
        <f t="shared" si="134"/>
        <v>0</v>
      </c>
      <c r="IQ122" s="347" t="b">
        <f t="shared" si="135"/>
        <v>0</v>
      </c>
      <c r="IR122" s="347" t="b">
        <f t="shared" si="136"/>
        <v>1</v>
      </c>
      <c r="IS122" s="347" t="b">
        <f t="shared" si="137"/>
        <v>0</v>
      </c>
      <c r="IT122" s="347" t="b">
        <f t="shared" si="138"/>
        <v>0</v>
      </c>
      <c r="IU122" s="347" t="b">
        <f t="shared" si="139"/>
        <v>0</v>
      </c>
      <c r="IV122" s="347" t="b">
        <f t="shared" si="140"/>
        <v>0</v>
      </c>
      <c r="IW122" s="347" t="b">
        <f t="shared" si="141"/>
        <v>0</v>
      </c>
      <c r="IX122" s="347" t="b">
        <f t="shared" si="142"/>
        <v>1</v>
      </c>
      <c r="IY122" s="347" t="b">
        <f t="shared" si="143"/>
        <v>0</v>
      </c>
      <c r="IZ122" s="347" t="b">
        <f t="shared" si="144"/>
        <v>0</v>
      </c>
      <c r="JA122" s="347" t="b">
        <f t="shared" si="145"/>
        <v>0</v>
      </c>
      <c r="JB122" s="353" t="b">
        <f t="shared" si="146"/>
        <v>0</v>
      </c>
      <c r="JC122" s="354" t="str">
        <f t="shared" si="147"/>
        <v/>
      </c>
      <c r="JD122" s="355" t="str">
        <f t="shared" si="148"/>
        <v/>
      </c>
      <c r="JE122" s="355" t="str">
        <f t="shared" si="149"/>
        <v>Re, </v>
      </c>
      <c r="JF122" s="355" t="str">
        <f t="shared" si="150"/>
        <v/>
      </c>
      <c r="JG122" s="355" t="str">
        <f t="shared" si="151"/>
        <v/>
      </c>
      <c r="JH122" s="355" t="str">
        <f t="shared" si="152"/>
        <v/>
      </c>
      <c r="JI122" s="355" t="str">
        <f t="shared" si="153"/>
        <v/>
      </c>
      <c r="JJ122" s="355" t="str">
        <f t="shared" si="154"/>
        <v/>
      </c>
      <c r="JK122" s="355" t="str">
        <f t="shared" si="155"/>
        <v>dha, </v>
      </c>
      <c r="JL122" s="355" t="str">
        <f t="shared" si="156"/>
        <v/>
      </c>
      <c r="JM122" s="355" t="str">
        <f t="shared" si="157"/>
        <v/>
      </c>
      <c r="JN122" s="355" t="str">
        <f t="shared" si="158"/>
        <v/>
      </c>
      <c r="JO122" s="359" t="str">
        <f t="shared" si="159"/>
        <v/>
      </c>
      <c r="JP122" s="346" t="b">
        <f t="shared" si="160"/>
        <v>0</v>
      </c>
      <c r="JQ122" s="347" t="b">
        <f t="shared" si="161"/>
        <v>0</v>
      </c>
      <c r="JR122" s="347" t="b">
        <f t="shared" si="162"/>
        <v>0</v>
      </c>
      <c r="JS122" s="347" t="b">
        <f t="shared" si="163"/>
        <v>0</v>
      </c>
      <c r="JT122" s="347" t="b">
        <f t="shared" si="164"/>
        <v>0</v>
      </c>
      <c r="JU122" s="347" t="b">
        <f t="shared" si="165"/>
        <v>0</v>
      </c>
      <c r="JV122" s="347" t="b">
        <f t="shared" si="166"/>
        <v>0</v>
      </c>
      <c r="JW122" s="347" t="b">
        <f t="shared" si="167"/>
        <v>0</v>
      </c>
      <c r="JX122" s="347" t="b">
        <f t="shared" si="168"/>
        <v>0</v>
      </c>
      <c r="JY122" s="347" t="b">
        <f t="shared" si="169"/>
        <v>0</v>
      </c>
      <c r="JZ122" s="347" t="b">
        <f t="shared" si="170"/>
        <v>0</v>
      </c>
      <c r="KA122" s="347" t="b">
        <f t="shared" si="171"/>
        <v>0</v>
      </c>
      <c r="KB122" s="365" t="b">
        <f t="shared" si="172"/>
        <v>0</v>
      </c>
      <c r="KC122" s="354" t="str">
        <f t="shared" si="173"/>
        <v/>
      </c>
      <c r="KD122" s="355" t="str">
        <f t="shared" si="174"/>
        <v/>
      </c>
      <c r="KE122" s="355" t="str">
        <f t="shared" si="175"/>
        <v/>
      </c>
      <c r="KF122" s="355" t="str">
        <f t="shared" si="176"/>
        <v/>
      </c>
      <c r="KG122" s="355" t="str">
        <f t="shared" si="177"/>
        <v/>
      </c>
      <c r="KH122" s="355" t="str">
        <f t="shared" si="178"/>
        <v/>
      </c>
      <c r="KI122" s="355" t="str">
        <f t="shared" si="179"/>
        <v/>
      </c>
      <c r="KJ122" s="355" t="str">
        <f t="shared" si="180"/>
        <v/>
      </c>
      <c r="KK122" s="355" t="str">
        <f t="shared" si="181"/>
        <v/>
      </c>
      <c r="KL122" s="355" t="str">
        <f t="shared" si="182"/>
        <v/>
      </c>
      <c r="KM122" s="355" t="str">
        <f t="shared" si="183"/>
        <v/>
      </c>
      <c r="KN122" s="355" t="str">
        <f t="shared" si="184"/>
        <v/>
      </c>
      <c r="KO122" s="359"/>
      <c r="KP122" s="378"/>
      <c r="KQ122" s="379" t="s">
        <v>9</v>
      </c>
      <c r="KR122" s="380" t="s">
        <v>9</v>
      </c>
      <c r="KS122" s="381" t="s">
        <v>9</v>
      </c>
      <c r="KT122" s="382">
        <f t="shared" si="186"/>
        <v>0</v>
      </c>
      <c r="KU122" s="383">
        <f t="shared" si="187"/>
        <v>0</v>
      </c>
      <c r="KV122" s="381" t="str">
        <f t="shared" si="205"/>
        <v>S</v>
      </c>
      <c r="KW122" s="382">
        <f t="shared" si="189"/>
        <v>0</v>
      </c>
      <c r="KX122" s="384">
        <f t="shared" si="190"/>
        <v>0</v>
      </c>
      <c r="KY122" s="382">
        <f t="shared" ref="KY122:KZ122" si="448">KW122-KT122</f>
        <v>0</v>
      </c>
      <c r="KZ122" s="369">
        <f t="shared" si="448"/>
        <v>0</v>
      </c>
      <c r="LA122" s="385" t="str">
        <f t="shared" si="192"/>
        <v>✔</v>
      </c>
      <c r="LB122" s="340" t="str">
        <f>IFERROR(__xludf.DUMMYFUNCTION("JOIN("""",ArrayFormula(MID(KS122,LEN(KS122)-SEQUENCE(1,LEN(KS122))+1,1)))"),"S")</f>
        <v>S</v>
      </c>
      <c r="LC122" s="373" t="str">
        <f>IFERROR(__xludf.DUMMYFUNCTION("JOIN("""",ArrayFormula(MID(KV122,LEN(KV122)-SEQUENCE(1,LEN(KV122))+1,1)))"),"S")</f>
        <v>S</v>
      </c>
      <c r="LD122" s="373" t="str">
        <f t="shared" si="193"/>
        <v>S</v>
      </c>
      <c r="LE122" s="339" t="str">
        <f t="shared" si="194"/>
        <v>S</v>
      </c>
      <c r="LF122" s="386" t="str">
        <f>IFERROR(__xludf.DUMMYFUNCTION("SUBSTITUTE(SUBSTITUTE(CONCATENATE(JOIN("""",LH122:LT122)),""1"",""""),""2"","""")"),"SS")</f>
        <v>SS</v>
      </c>
      <c r="LG122" s="369" t="str">
        <f t="shared" si="195"/>
        <v>-</v>
      </c>
      <c r="LH122" s="387" t="str">
        <f>IFERROR(__xludf.DUMMYFUNCTION("IF(REGEXMATCH(LD122, ""S""), ""S"",IF(REGEXMATCH(LE122, ""S""), ""S"",""""))"),"S")</f>
        <v>S</v>
      </c>
      <c r="LI122" s="299" t="str">
        <f>IFERROR(__xludf.DUMMYFUNCTION("IF(REGEXMATCH(LD122, ""r""), ""r1"",IF(REGEXMATCH(LE122, ""r""), ""r2"",""""))"),"")</f>
        <v/>
      </c>
      <c r="LJ122" s="299" t="str">
        <f>IFERROR(__xludf.DUMMYFUNCTION("IF(REGEXMATCH(LD122, ""R""), ""R1"",IF(REGEXMATCH(LE122, ""R""), ""R2"",""""))"),"")</f>
        <v/>
      </c>
      <c r="LK122" s="299" t="str">
        <f>IFERROR(__xludf.DUMMYFUNCTION("IF(REGEXMATCH(LD122, ""g""), ""g1"",IF(REGEXMATCH(LE122, ""g""), ""g2"",""""))"),"")</f>
        <v/>
      </c>
      <c r="LL122" s="299" t="str">
        <f>IFERROR(__xludf.DUMMYFUNCTION("IF(REGEXMATCH(LD122, ""G""), ""G1"",IF(REGEXMATCH(LE122, ""G""), ""G2"",""""))"),"")</f>
        <v/>
      </c>
      <c r="LM122" s="299" t="str">
        <f>IFERROR(__xludf.DUMMYFUNCTION("IF(REGEXMATCH(LD122, ""m""), ""m1"",IF(REGEXMATCH(LE122, ""m""), ""m2"",""""))"),"")</f>
        <v/>
      </c>
      <c r="LN122" s="299" t="str">
        <f>IFERROR(__xludf.DUMMYFUNCTION("IF(REGEXMATCH(LD122, ""M""), ""M1"",IF(REGEXMATCH(LE122, ""M""), ""M2"",""""))"),"")</f>
        <v/>
      </c>
      <c r="LO122" s="299" t="str">
        <f>IFERROR(__xludf.DUMMYFUNCTION("IF(REGEXMATCH(LD122, ""P""), ""P1"",IF(REGEXMATCH(LE122, ""P""), ""P2"",""""))"),"")</f>
        <v/>
      </c>
      <c r="LP122" s="299" t="str">
        <f>IFERROR(__xludf.DUMMYFUNCTION("IF(REGEXMATCH(LD122, ""d""), ""d1"",IF(REGEXMATCH(LE122, ""d""), ""d2"",""""))"),"")</f>
        <v/>
      </c>
      <c r="LQ122" s="299" t="str">
        <f>IFERROR(__xludf.DUMMYFUNCTION("IF(REGEXMATCH(LD122, ""D""), ""D1"",IF(REGEXMATCH(LE122, ""D""), ""D2"",""""))"),"")</f>
        <v/>
      </c>
      <c r="LR122" s="299" t="str">
        <f>IFERROR(__xludf.DUMMYFUNCTION("IF(REGEXMATCH(LD122, ""n""), ""n1"",IF(REGEXMATCH(LE122, ""n""), ""n2"",""""))"),"")</f>
        <v/>
      </c>
      <c r="LS122" s="299" t="str">
        <f>IFERROR(__xludf.DUMMYFUNCTION("IF(REGEXMATCH(LD122, ""N""), ""N1"",IF(REGEXMATCH(LE122, ""N""), ""N2"",""""))"),"")</f>
        <v/>
      </c>
      <c r="LT122" s="388" t="str">
        <f>IFERROR(__xludf.DUMMYFUNCTION("IF(REGEXMATCH(LD122, ""S""), ""S"",IF(REGEXMATCH(LE122, ""S""), ""S"",""""))"),"S")</f>
        <v>S</v>
      </c>
      <c r="LU122" s="389">
        <f t="shared" si="196"/>
        <v>1</v>
      </c>
      <c r="LV122" s="378"/>
      <c r="LW122" s="369"/>
      <c r="LX122" s="369"/>
    </row>
    <row r="123" ht="18.0" customHeight="1">
      <c r="A123" s="298" t="s">
        <v>757</v>
      </c>
      <c r="B123" s="222" t="s">
        <v>671</v>
      </c>
      <c r="C123" s="233" t="str">
        <f t="shared" si="7"/>
        <v>SgmPdnS</v>
      </c>
      <c r="D123" s="234" t="str">
        <f>IFERROR(__xludf.DUMMYFUNCTION("IF(REGEXMATCH(C123, ""S""), ""S"","""")"),"S")</f>
        <v>S</v>
      </c>
      <c r="E123" s="236" t="str">
        <f>IFERROR(__xludf.DUMMYFUNCTION("IF(REGEXMATCH(C123, ""r""), ""r"","""")"),"")</f>
        <v/>
      </c>
      <c r="F123" s="237" t="str">
        <f>IFERROR(__xludf.DUMMYFUNCTION("IF(REGEXMATCH(C123, ""R""), ""R"","""")"),"")</f>
        <v/>
      </c>
      <c r="G123" s="237" t="str">
        <f>IFERROR(__xludf.DUMMYFUNCTION("IF(REGEXMATCH(C123, ""g""), ""g"","""")"),"g")</f>
        <v>g</v>
      </c>
      <c r="H123" s="236" t="str">
        <f>IFERROR(__xludf.DUMMYFUNCTION("IF(REGEXMATCH(C123, ""G""), ""G"","""")"),"")</f>
        <v/>
      </c>
      <c r="I123" s="236" t="str">
        <f>IFERROR(__xludf.DUMMYFUNCTION("IF(REGEXMATCH(C123, ""m""), ""m"","""")"),"m")</f>
        <v>m</v>
      </c>
      <c r="J123" s="237" t="str">
        <f>IFERROR(__xludf.DUMMYFUNCTION("IF(REGEXMATCH(C123, ""M""), ""M"","""")"),"")</f>
        <v/>
      </c>
      <c r="K123" s="236" t="str">
        <f>IFERROR(__xludf.DUMMYFUNCTION("IF(REGEXMATCH(C123, ""P""), ""P"","""")"),"P")</f>
        <v>P</v>
      </c>
      <c r="L123" s="237" t="str">
        <f>IFERROR(__xludf.DUMMYFUNCTION("IF(REGEXMATCH(C123, ""d""), ""d"","""")"),"d")</f>
        <v>d</v>
      </c>
      <c r="M123" s="236" t="str">
        <f>IFERROR(__xludf.DUMMYFUNCTION("IF(REGEXMATCH(C123, ""D""), ""D"","""")"),"")</f>
        <v/>
      </c>
      <c r="N123" s="236" t="str">
        <f>IFERROR(__xludf.DUMMYFUNCTION("IF(REGEXMATCH(C123, ""n""), ""n"","""")"),"n")</f>
        <v>n</v>
      </c>
      <c r="O123" s="237" t="str">
        <f>IFERROR(__xludf.DUMMYFUNCTION("IF(REGEXMATCH(C123, ""N""), ""N"","""")"),"")</f>
        <v/>
      </c>
      <c r="P123" s="238" t="str">
        <f>IFERROR(__xludf.DUMMYFUNCTION("IF(REGEXMATCH(C123, ""S""), ""S"","""")"),"S")</f>
        <v>S</v>
      </c>
      <c r="Q123" s="239" t="str">
        <f>IFERROR(__xludf.DUMMYFUNCTION("SUBSTITUTE(CONCATENATE(JOIN(""-"",D123:J123)),""-"","""")"),"Sgm")</f>
        <v>Sgm</v>
      </c>
      <c r="R123" s="229" t="str">
        <f>IFERROR(__xludf.DUMMYFUNCTION("SUBSTITUTE(CONCATENATE(JOIN(""-"",K123:P123)),""-"","""")"),"PdnS")</f>
        <v>PdnS</v>
      </c>
      <c r="S123" s="282" t="str">
        <f t="shared" si="8"/>
        <v>S-G-M</v>
      </c>
      <c r="T123" s="282" t="str">
        <f t="shared" si="9"/>
        <v>P-D-N-S</v>
      </c>
      <c r="U123" s="237" t="str">
        <f>IFERROR(__xludf.DUMMYFUNCTION("SUBSTITUTE(JOIN(""-"",S123,T123),""--"",""-"")"),"S-G-M-P-D-N-S")</f>
        <v>S-G-M-P-D-N-S</v>
      </c>
      <c r="V123" s="309" t="str">
        <f t="shared" si="10"/>
        <v>gmdn</v>
      </c>
      <c r="W123" s="244" t="str">
        <f>IFERROR(__xludf.DUMMYFUNCTION("IF(REGEXMATCH(C123, ""S""), ""0"","""")"),"0")</f>
        <v>0</v>
      </c>
      <c r="X123" s="245" t="str">
        <f>IFERROR(__xludf.DUMMYFUNCTION("IF(REGEXMATCH(C123, ""r""), ""1"","""")"),"")</f>
        <v/>
      </c>
      <c r="Y123" s="246" t="str">
        <f>IFERROR(__xludf.DUMMYFUNCTION("IF(REGEXMATCH(C123, ""R""), ""2"","""")"),"")</f>
        <v/>
      </c>
      <c r="Z123" s="246" t="str">
        <f>IFERROR(__xludf.DUMMYFUNCTION("IF(REGEXMATCH(C123, ""g""), ""3"","""")"),"3")</f>
        <v>3</v>
      </c>
      <c r="AA123" s="245" t="str">
        <f>IFERROR(__xludf.DUMMYFUNCTION("IF(REGEXMATCH(C123, ""G""), ""4"","""")"),"")</f>
        <v/>
      </c>
      <c r="AB123" s="245" t="str">
        <f>IFERROR(__xludf.DUMMYFUNCTION("IF(REGEXMATCH(C123, ""m""), ""5"","""")"),"5")</f>
        <v>5</v>
      </c>
      <c r="AC123" s="246" t="str">
        <f>IFERROR(__xludf.DUMMYFUNCTION("IF(REGEXMATCH(C123, ""M""), ""6"","""")"),"")</f>
        <v/>
      </c>
      <c r="AD123" s="245" t="str">
        <f>IFERROR(__xludf.DUMMYFUNCTION("IF(REGEXMATCH(C123, ""P""), ""7"","""")"),"7")</f>
        <v>7</v>
      </c>
      <c r="AE123" s="246" t="str">
        <f>IFERROR(__xludf.DUMMYFUNCTION("IF(REGEXMATCH(C123, ""d""), ""8"","""")"),"8")</f>
        <v>8</v>
      </c>
      <c r="AF123" s="245" t="str">
        <f>IFERROR(__xludf.DUMMYFUNCTION("IF(REGEXMATCH(C123, ""D""), ""9"","""")"),"")</f>
        <v/>
      </c>
      <c r="AG123" s="245" t="str">
        <f>IFERROR(__xludf.DUMMYFUNCTION("IF(REGEXMATCH(C123, ""n""), ""10"","""")"),"10")</f>
        <v>10</v>
      </c>
      <c r="AH123" s="246" t="str">
        <f>IFERROR(__xludf.DUMMYFUNCTION("IF(REGEXMATCH(C123, ""N""), ""11"","""")"),"")</f>
        <v/>
      </c>
      <c r="AI123" s="249" t="str">
        <f>IFERROR(__xludf.DUMMYFUNCTION("IF(REGEXMATCH(C123, ""S""), ""0"","""")"),"0")</f>
        <v>0</v>
      </c>
      <c r="AJ123" s="313" t="str">
        <f t="shared" si="11"/>
        <v>-</v>
      </c>
      <c r="AK123" s="313" t="str">
        <f t="shared" si="12"/>
        <v>-</v>
      </c>
      <c r="AL123" s="313" t="str">
        <f t="shared" si="13"/>
        <v>-</v>
      </c>
      <c r="AM123" s="313" t="str">
        <f t="shared" si="14"/>
        <v>-</v>
      </c>
      <c r="AN123" s="313" t="str">
        <f t="shared" si="15"/>
        <v>-</v>
      </c>
      <c r="AO123" s="314" t="str">
        <f t="shared" si="16"/>
        <v>-</v>
      </c>
      <c r="AP123" s="316">
        <f t="shared" si="17"/>
        <v>0</v>
      </c>
      <c r="AQ123" s="319" t="str">
        <f t="shared" si="18"/>
        <v>-</v>
      </c>
      <c r="AR123" s="320">
        <f t="shared" si="19"/>
        <v>0</v>
      </c>
      <c r="AS123" s="250" t="str">
        <f>IFERROR(__xludf.DUMMYFUNCTION("SUBSTITUTE(SUBSTITUTE(CONCATENATE(JOIN("""",FP123:GA123)),""|"",""x""),""-"",""o"")"),"xooxoxoxxoxo")</f>
        <v>xooxoxoxxoxo</v>
      </c>
      <c r="AT123" s="323" t="str">
        <f>IFERROR(__xludf.DUMMYFUNCTION("JOIN("""",AS123,AS123)"),"xooxoxoxxoxoxooxoxoxxoxo")</f>
        <v>xooxoxoxxoxoxooxoxoxxoxo</v>
      </c>
      <c r="AU123" s="256" t="str">
        <f>IFERROR(__xludf.DUMMYFUNCTION("JOIN("""",ArrayFormula(MID(AS123,LEN(AS123)-SEQUENCE(1,LEN(AS123))+1,1)))"),"oxoxxoxoxoox")</f>
        <v>oxoxxoxoxoox</v>
      </c>
      <c r="AV123" s="256" t="str">
        <f>IFERROR(__xludf.DUMMYFUNCTION("LEFT(CONCATENATE(""x"",JOIN("""",ArrayFormula(MID(AS123,LEN(AS123)-SEQUENCE(1,LEN(AS123))+1,1)))),12)"),"xoxoxxoxoxoo")</f>
        <v>xoxoxxoxoxoo</v>
      </c>
      <c r="AW123" s="327" t="str">
        <f>IFERROR(__xludf.DUMMYFUNCTION("JOIN("""",AU123,AU123)"),"oxoxxoxoxooxoxoxxoxoxoox")</f>
        <v>oxoxxoxoxooxoxoxxoxoxoox</v>
      </c>
      <c r="AX123" s="239" t="str">
        <f>IFERROR(__xludf.DUMMYFUNCTION("IF(REGEXMATCH(AW123,AS123),""✔"",""-"")"),"✔")</f>
        <v>✔</v>
      </c>
      <c r="AY123" s="330" t="str">
        <f t="shared" si="20"/>
        <v>-</v>
      </c>
      <c r="AZ123" s="260" t="str">
        <f t="shared" si="21"/>
        <v>#REF!</v>
      </c>
      <c r="BA123" s="333" t="str">
        <f t="shared" si="22"/>
        <v>xooxoxo</v>
      </c>
      <c r="BB123" s="334" t="str">
        <f t="shared" si="23"/>
        <v>xxoxox</v>
      </c>
      <c r="BC123" s="335" t="str">
        <f t="shared" si="236"/>
        <v>-</v>
      </c>
      <c r="BD123" s="336" t="str">
        <f t="shared" si="25"/>
        <v>Gopika Basant: 'xooxoxo' + 'xxoxox'</v>
      </c>
      <c r="BE123" s="337">
        <f>IFERROR(__xludf.DUMMYFUNCTION("COUNTUNIQUE(FILTER(AT:AT,REGEXMATCH(AT:AT,AS123)))-1"),3.0)</f>
        <v>3</v>
      </c>
      <c r="BF123" s="261" t="str">
        <f>IFERROR(__xludf.DUMMYFUNCTION("IF(BI123=0,""(n/a)"",IF(BJ123=2,""(PAIR)"",IF(REGEXMATCH(AT123,""xoxoxxoxoxox""),""Bilawal"",IF(REGEXMATCH(AT123,""xoxoxooxoxoo""),""Bhupali"",IF(REGEXMATCH(AT123,""xoxoxxoxxoxo""),""Charukeshi"",IF(REGEXMATCH(AT123,""xoxoooxxoxxo""),""Kameshwari"",IF(REG"&amp;"EXMATCH(AT123,""xoxoxooxoxox""),""Shankara"",IF(REGEXMATCH(AT123,""xxooxoxxxoox""),""Basant"",IF(REGEXMATCH(AT123,""xoxoxxxxoxox""),""Bihag"",IF(REGEXMATCH(AT123,""xoxxxxoxoxxx""),""Pilu"",IF(REGEXMATCH(AT123,""xoxxoxoxxoox""),""Kirwani"",IF(REGEXMATCH(AT"&amp;"123,""xoxxoxoxoxxx""),""Mk.Malhar"",IF(REGEXMATCH(AT123,""xxooxxoxxoox""),""Bhairav"",IF(REGEXMATCH(AT123,""xxoxooxxxoox""),""Todi"",IF(REGEXMATCH(AT123,""xxooxoxooxox""),""Marwa"",IF(REGEXMATCH(AT123,""xxoooxoxxooo""),""Gunkali"",IF(REGEXMATCH(AT123,""xo"&amp;"xoxxoxxoox""),""Nat Bhairav"",IF(REGEXMATCH(AT123,""xoxxoooxoxoo""),""Shivranjani"",IF(REGEXMATCH(AT123,""xooxxxoxooxo""),""Jog"",IF(REGEXMATCH(AT123,""xxooxoxoxoox""),""Hemshri"",IF(REGEXMATCH(AT123,""xoooxooxoxxo""),""Kalavati"",IF(REGEXMATCH(AT123,""xx"&amp;"oxoxxoxoox""),""Kedar"",IF(REGEXMATCH(AT123,""xoxxxxoxooxx""),""Gara"",IF(REGEXMATCH(AT123,""xooxoxooxoox""),""Chandrakauns"",IF(REGEXMATCH(AT123,""xoxxxxoxxxox""),""Mand"",IF(REGEXMATCH(AT123,""xoxxxxoxoxox""),""Hanskinkini"",IF(REGEXMATCH(AT123,""xxooxx"&amp;"oxooxo""),""Lilavati"",IF(REGEXMATCH(AT123,""xooxoxoooxox""),""Rajeshwari"",IF(REGEXMATCH(AT123,""xoooxxoxoxxx""),""Khokar"",IF(REGEXMATCH(AT123,""xxooxoxxxxox""),""Maligoura"",""-""))))))))))))))))))))))))))))))"),"Shankara")</f>
        <v>Shankara</v>
      </c>
      <c r="BG123" s="239" t="str">
        <f t="shared" si="26"/>
        <v>#REF!</v>
      </c>
      <c r="BH123" s="239">
        <f>IFERROR(__xludf.DUMMYFUNCTION("COUNTUNIQUE(FE123:FO123)-1"),5.0)</f>
        <v>5</v>
      </c>
      <c r="BI123" s="239">
        <f>IFERROR(__xludf.DUMMYFUNCTION("COUNTUNIQUE(FILTER(AT:AT,REGEXMATCH(AT:AT,AS123)))-1"),3.0)</f>
        <v>3</v>
      </c>
      <c r="BJ123" s="239">
        <f>IFERROR(__xludf.DUMMYFUNCTION("COUNTA(FILTER(AT:AT,REGEXMATCH(AT:AT,AS123)))"),11.0)</f>
        <v>11</v>
      </c>
      <c r="BK123" s="341">
        <f>IFERROR(__xludf.DUMMYFUNCTION("COUNTA(FILTER(AT:AT,REGEXMATCH(AT:AT,AS123)))-AR123"),11.0)</f>
        <v>11</v>
      </c>
      <c r="BL123" s="276" t="str">
        <f>IFERROR(__xludf.DUMMYFUNCTION("IF(AS123=""oooooooooooo"",""-"",IF(REGEXMATCH(AT123,""xx""), ""Hemi."", ""Anhemi.""))"),"Hemi.")</f>
        <v>Hemi.</v>
      </c>
      <c r="BM123" s="282" t="str">
        <f>IFERROR(__xludf.DUMMYFUNCTION("IF(AS123=""oooooooooooo"",""-"",IF(REGEXMATCH(AT123,""xxx""), ""Cohem."", ""-""))"),"-")</f>
        <v>-</v>
      </c>
      <c r="BN123" s="282" t="str">
        <f>IFERROR(__xludf.DUMMYFUNCTION("IF(AS123=""oooooooooooo"",""-"",IF(REGEXMATCH(AT123,""xxxx""), ""Co-Co."", ""-""))"),"-")</f>
        <v>-</v>
      </c>
      <c r="BO123" s="342" t="str">
        <f>IFERROR(__xludf.DUMMYFUNCTION("IF(AS123=""oooooooooooo"",""-"",IF(REGEXMATCH(AT123,""xxxxx""), ""CCC."", ""-""))"),"-")</f>
        <v>-</v>
      </c>
      <c r="BP123" s="344" t="str">
        <f t="shared" si="27"/>
        <v>-</v>
      </c>
      <c r="BQ123" s="282" t="str">
        <f>IFERROR(__xludf.DUMMYFUNCTION("IF(REGEXMATCH(JOIN(""-"",EU123:FD123),""TRUE""),""✔"",""-"")"),"✔")</f>
        <v>✔</v>
      </c>
      <c r="BR123" s="225">
        <f t="shared" si="28"/>
        <v>2</v>
      </c>
      <c r="BS123" s="345" t="str">
        <f>IFERROR(__xludf.DUMMYFUNCTION("SUBSTITUTE(SUBSTITUTE(SUBSTITUTE(SUBSTITUTE(CONCATENATE(JOIN(""-"",GC123:GO123)),""--"",""-""),""--"",""-""),""--"",""-""),""--"",""-"")"),"1-b3-4-5-b6-b7-8")</f>
        <v>1-b3-4-5-b6-b7-8</v>
      </c>
      <c r="BT123" s="299" t="str">
        <f>IFERROR(__xludf.DUMMYFUNCTION("SUBSTITUTE(SUBSTITUTE(SUBSTITUTE(SUBSTITUTE(CONCATENATE(JOIN(""-"",GP123:HB123)),""--"",""-""),""--"",""-""),""--"",""-""),""--"",""-"")"),"S-G2-M1-P-D1-N2-S")</f>
        <v>S-G2-M1-P-D1-N2-S</v>
      </c>
      <c r="BU123" s="348" t="str">
        <f t="shared" si="29"/>
        <v>C-Eb-F-G-Ab-Bb-C</v>
      </c>
      <c r="BV123" s="349" t="str">
        <f t="shared" si="30"/>
        <v>SrRGMDNS</v>
      </c>
      <c r="BW123" s="350">
        <f t="shared" si="31"/>
        <v>0</v>
      </c>
      <c r="BX123" s="351">
        <f t="shared" si="32"/>
        <v>2</v>
      </c>
      <c r="BY123" s="392"/>
      <c r="BZ123" s="309" t="str">
        <f>IFERROR(__xludf.DUMMYFUNCTION("IF(REGEXMATCH(C123, ""S""), ""x"",""x"")"),"x")</f>
        <v>x</v>
      </c>
      <c r="CA123" s="245" t="str">
        <f>IFERROR(__xludf.DUMMYFUNCTION("IF(REGEXMATCH(C123, ""r""), ""o"",""x"")"),"x")</f>
        <v>x</v>
      </c>
      <c r="CB123" s="246" t="str">
        <f>IFERROR(__xludf.DUMMYFUNCTION("IF(REGEXMATCH(C123, ""R""), ""o"",""x"")"),"x")</f>
        <v>x</v>
      </c>
      <c r="CC123" s="246" t="str">
        <f>IFERROR(__xludf.DUMMYFUNCTION("IF(REGEXMATCH(C123, ""g""), ""o"",""x"")"),"o")</f>
        <v>o</v>
      </c>
      <c r="CD123" s="245" t="str">
        <f>IFERROR(__xludf.DUMMYFUNCTION("IF(REGEXMATCH(C123, ""G""), ""o"",""x"")"),"x")</f>
        <v>x</v>
      </c>
      <c r="CE123" s="245" t="str">
        <f>IFERROR(__xludf.DUMMYFUNCTION("IF(REGEXMATCH(C123, ""m""), ""o"",""x"")"),"o")</f>
        <v>o</v>
      </c>
      <c r="CF123" s="246" t="str">
        <f>IFERROR(__xludf.DUMMYFUNCTION("IF(REGEXMATCH(C123, ""M""), ""o"",""x"")"),"x")</f>
        <v>x</v>
      </c>
      <c r="CG123" s="245" t="str">
        <f>IFERROR(__xludf.DUMMYFUNCTION("IF(REGEXMATCH(C123, ""P""), ""o"",""x"")"),"o")</f>
        <v>o</v>
      </c>
      <c r="CH123" s="246" t="str">
        <f>IFERROR(__xludf.DUMMYFUNCTION("IF(REGEXMATCH(C123, ""d""), ""o"",""x"")"),"o")</f>
        <v>o</v>
      </c>
      <c r="CI123" s="245" t="str">
        <f>IFERROR(__xludf.DUMMYFUNCTION("IF(REGEXMATCH(C123, ""D""), ""o"",""x"")"),"x")</f>
        <v>x</v>
      </c>
      <c r="CJ123" s="245" t="str">
        <f>IFERROR(__xludf.DUMMYFUNCTION("IF(REGEXMATCH(C123, ""n""), ""o"",""x"")"),"o")</f>
        <v>o</v>
      </c>
      <c r="CK123" s="245" t="str">
        <f>IFERROR(__xludf.DUMMYFUNCTION("IF(REGEXMATCH(C123, ""N""), ""o"",""x"")"),"x")</f>
        <v>x</v>
      </c>
      <c r="CL123" s="356" t="str">
        <f>IFERROR(__xludf.DUMMYFUNCTION("IF(REGEXMATCH(C123, ""S""), ""x"",""x"")"),"x")</f>
        <v>x</v>
      </c>
      <c r="CM123" s="357" t="str">
        <f t="shared" si="33"/>
        <v>xxxoxoxooxox</v>
      </c>
      <c r="CN123" s="358">
        <f t="shared" si="34"/>
        <v>0</v>
      </c>
      <c r="CO123" s="246" t="str">
        <f>IFERROR(__xludf.DUMMYFUNCTION("IF(REGEXMATCH($C123, ""S""), ""S"",""S"")"),"S")</f>
        <v>S</v>
      </c>
      <c r="CP123" s="246" t="str">
        <f>IFERROR(__xludf.DUMMYFUNCTION("IF(REGEXMATCH($C123, ""r""), """",""r"")"),"r")</f>
        <v>r</v>
      </c>
      <c r="CQ123" s="246" t="str">
        <f>IFERROR(__xludf.DUMMYFUNCTION("IF(REGEXMATCH($C123, ""R""), """",""R"")"),"R")</f>
        <v>R</v>
      </c>
      <c r="CR123" s="246" t="str">
        <f>IFERROR(__xludf.DUMMYFUNCTION("IF(REGEXMATCH($C123, ""g""), """",""g"")"),"")</f>
        <v/>
      </c>
      <c r="CS123" s="246" t="str">
        <f>IFERROR(__xludf.DUMMYFUNCTION("IF(REGEXMATCH($C123, ""G""), """",""G"")"),"G")</f>
        <v>G</v>
      </c>
      <c r="CT123" s="246" t="str">
        <f>IFERROR(__xludf.DUMMYFUNCTION("IF(REGEXMATCH($C123, ""m""), """",""m"")"),"")</f>
        <v/>
      </c>
      <c r="CU123" s="246" t="str">
        <f>IFERROR(__xludf.DUMMYFUNCTION("IF(REGEXMATCH($C123, ""M""), """",""M"")"),"M")</f>
        <v>M</v>
      </c>
      <c r="CV123" s="246" t="str">
        <f>IFERROR(__xludf.DUMMYFUNCTION("IF(REGEXMATCH($C123, ""P""), """",""P"")"),"")</f>
        <v/>
      </c>
      <c r="CW123" s="246" t="str">
        <f>IFERROR(__xludf.DUMMYFUNCTION("IF(REGEXMATCH($C123, ""d""), """",""d"")"),"")</f>
        <v/>
      </c>
      <c r="CX123" s="246" t="str">
        <f>IFERROR(__xludf.DUMMYFUNCTION("IF(REGEXMATCH($C123, ""D""), """",""D"")"),"D")</f>
        <v>D</v>
      </c>
      <c r="CY123" s="246" t="str">
        <f>IFERROR(__xludf.DUMMYFUNCTION("IF(REGEXMATCH($C123, ""n""), """",""n"")"),"")</f>
        <v/>
      </c>
      <c r="CZ123" s="246" t="str">
        <f>IFERROR(__xludf.DUMMYFUNCTION("IF(REGEXMATCH($C123, ""N""), """",""N"")"),"N")</f>
        <v>N</v>
      </c>
      <c r="DA123" s="246" t="str">
        <f>IFERROR(__xludf.DUMMYFUNCTION("IF(REGEXMATCH($C123, ""S""), ""S"",""S"")"),"S")</f>
        <v>S</v>
      </c>
      <c r="DB123" s="362" t="str">
        <f>IFERROR(__xludf.DUMMYFUNCTION("JOIN("""",CO123:DA123,"""","""")"),"SrRGMDNS")</f>
        <v>SrRGMDNS</v>
      </c>
      <c r="DC123" s="363"/>
      <c r="DD123" s="301" t="str">
        <f t="shared" si="35"/>
        <v>#REF!</v>
      </c>
      <c r="DE123" s="302" t="str">
        <f t="shared" si="36"/>
        <v>#REF!</v>
      </c>
      <c r="DF123" s="301" t="str">
        <f t="shared" ref="DF123:DG123" si="449">SUBSTITUTE(S123,"-","")</f>
        <v>SGM</v>
      </c>
      <c r="DG123" s="301" t="str">
        <f t="shared" si="449"/>
        <v>PDNS</v>
      </c>
      <c r="DH123" s="302" t="str">
        <f t="shared" si="38"/>
        <v>Shankara</v>
      </c>
      <c r="DI123" s="301" t="str">
        <f t="shared" si="39"/>
        <v>Hemi.</v>
      </c>
      <c r="DJ123" s="364" t="str">
        <f t="shared" si="40"/>
        <v>-</v>
      </c>
      <c r="DK123" s="306" t="str">
        <f t="shared" si="41"/>
        <v>-</v>
      </c>
      <c r="DL123" s="366" t="str">
        <f t="shared" si="42"/>
        <v>✔</v>
      </c>
      <c r="DM123" s="308" t="str">
        <f t="shared" si="43"/>
        <v>-</v>
      </c>
      <c r="DN123" s="306" t="str">
        <f t="shared" si="44"/>
        <v>-</v>
      </c>
      <c r="DO123" s="306" t="str">
        <f t="shared" si="45"/>
        <v>✔</v>
      </c>
      <c r="DP123" s="367" t="str">
        <f t="shared" si="46"/>
        <v>-</v>
      </c>
      <c r="DQ123" s="310" t="str">
        <f t="shared" si="47"/>
        <v>-</v>
      </c>
      <c r="DR123" s="310" t="str">
        <f t="shared" si="48"/>
        <v>-</v>
      </c>
      <c r="DS123" s="310" t="str">
        <f t="shared" si="49"/>
        <v>-</v>
      </c>
      <c r="DT123" s="310" t="str">
        <f t="shared" si="50"/>
        <v>-</v>
      </c>
      <c r="DU123" s="370" t="str">
        <f t="shared" si="51"/>
        <v>-</v>
      </c>
      <c r="DV123" s="306" t="str">
        <f t="shared" si="52"/>
        <v>✔</v>
      </c>
      <c r="DW123" s="306" t="str">
        <f t="shared" si="53"/>
        <v>-</v>
      </c>
      <c r="DX123" s="306" t="str">
        <f t="shared" si="54"/>
        <v>-</v>
      </c>
      <c r="DY123" s="306" t="str">
        <f t="shared" si="55"/>
        <v>-</v>
      </c>
      <c r="DZ123" s="306" t="str">
        <f t="shared" si="56"/>
        <v>-</v>
      </c>
      <c r="EA123" s="367" t="str">
        <f t="shared" si="57"/>
        <v>-</v>
      </c>
      <c r="EB123" s="310" t="str">
        <f>IFERROR(__xludf.DUMMYFUNCTION("IF(REGEXMATCH(AW123,AS123),""✔"",""-"")"),"✔")</f>
        <v>✔</v>
      </c>
      <c r="EC123" s="310" t="str">
        <f t="shared" si="58"/>
        <v>#REF!</v>
      </c>
      <c r="ED123" s="370" t="str">
        <f t="shared" si="59"/>
        <v>-</v>
      </c>
      <c r="EE123" s="340" t="str">
        <f t="shared" si="60"/>
        <v>S-g-m-P-d-n-S</v>
      </c>
      <c r="EF123" s="371" t="str">
        <f>IFERROR(__xludf.DUMMYFUNCTION("CONCATENATE(JOIN("""",HC123:HO123))"),"SRGmPDS")</f>
        <v>SRGmPDS</v>
      </c>
      <c r="EG123" s="372">
        <f t="shared" si="61"/>
        <v>1</v>
      </c>
      <c r="EH123" s="373" t="str">
        <f>IFERROR(__xludf.DUMMYFUNCTION("CONCATENATE(JOIN("""",JC123:JO123))"),"Pa, ")</f>
        <v>Pa, </v>
      </c>
      <c r="EI123" s="322">
        <f t="shared" si="62"/>
        <v>0</v>
      </c>
      <c r="EJ123" s="374" t="str">
        <f>IFERROR(__xludf.DUMMYFUNCTION("CONCATENATE(JOIN("""",KC123:KO123))"),"")</f>
        <v/>
      </c>
      <c r="EK123" s="325" t="str">
        <f t="shared" si="63"/>
        <v>S-G2-M1-P-D1-N2-S</v>
      </c>
      <c r="EL123" s="326" t="str">
        <f t="shared" si="64"/>
        <v>1-b3-4-5-b6-b7-8</v>
      </c>
      <c r="EM123" s="318" t="str">
        <f t="shared" si="65"/>
        <v>#REF!</v>
      </c>
      <c r="EN123" s="328" t="str">
        <f>IFERROR(__xludf.DUMMYFUNCTION("SUBSTITUTE(SUBSTITUTE(SUBSTITUTE(SUBSTITUTE(CONCATENATE(JOIN("" "",HP123:IB123)),""  "","" ""),""  "","" ""),""  "","" ""),""  "","" "")"),"o • • o • o • o o • o • o")</f>
        <v>o • • o • o • o o • o • o</v>
      </c>
      <c r="EO123" s="368" t="str">
        <f t="shared" si="66"/>
        <v>-</v>
      </c>
      <c r="EP123" s="339" t="str">
        <f t="shared" si="67"/>
        <v>-</v>
      </c>
      <c r="EQ123" s="339" t="str">
        <f t="shared" si="68"/>
        <v>Sa-Pa</v>
      </c>
      <c r="ER123" s="339" t="str">
        <f t="shared" si="69"/>
        <v>-</v>
      </c>
      <c r="ES123" s="340" t="str">
        <f t="shared" si="70"/>
        <v>-</v>
      </c>
      <c r="ET123" s="363"/>
      <c r="EU123" s="376" t="b">
        <f>IFERROR(__xludf.DUMMYFUNCTION("arrayformula(sum(--REGEXMATCH(""SRGMPDNS"",split(REGEXREPLACE(C123,""(.)"",""$1~""),""~""))))=len(C123)
"),FALSE)</f>
        <v>0</v>
      </c>
      <c r="EV123" s="290" t="b">
        <f>IFERROR(__xludf.DUMMYFUNCTION("arrayformula(sum(--REGEXMATCH(""SRGmPDNS"",split(REGEXREPLACE(C123,""(.)"",""$1~""),""~""))))=len(C123)"),FALSE)</f>
        <v>0</v>
      </c>
      <c r="EW123" s="290" t="b">
        <f>IFERROR(__xludf.DUMMYFUNCTION("arrayformula(sum(--REGEXMATCH(""SRGmPDnS"",split(REGEXREPLACE(C123,""(.)"",""$1~""),""~""))))=len(C123)"),FALSE)</f>
        <v>0</v>
      </c>
      <c r="EX123" s="290" t="b">
        <f>IFERROR(__xludf.DUMMYFUNCTION("arrayformula(sum(--REGEXMATCH(""SRgmPDnS"",split(REGEXREPLACE(C123,""(.)"",""$1~""),""~""))))=len(C123)"),FALSE)</f>
        <v>0</v>
      </c>
      <c r="EY123" s="290" t="b">
        <f>IFERROR(__xludf.DUMMYFUNCTION("arrayformula(sum(--REGEXMATCH(""SRgmPdnS"",split(REGEXREPLACE(C123,""(.)"",""$1~""),""~""))))=len(C123)"),TRUE)</f>
        <v>1</v>
      </c>
      <c r="EZ123" s="290" t="b">
        <f>IFERROR(__xludf.DUMMYFUNCTION("arrayformula(sum(--REGEXMATCH(""SrgmPdnS"",split(REGEXREPLACE(C123,""(.)"",""$1~""),""~""))))=len(C123)"),TRUE)</f>
        <v>1</v>
      </c>
      <c r="FA123" s="290" t="b">
        <f>IFERROR(__xludf.DUMMYFUNCTION("arrayformula(sum(--REGEXMATCH(""SrGmPdNS"",split(REGEXREPLACE(C123,""(.)"",""$1~""),""~""))))=len(C123)"),FALSE)</f>
        <v>0</v>
      </c>
      <c r="FB123" s="290" t="b">
        <f>IFERROR(__xludf.DUMMYFUNCTION("arrayformula(sum(--REGEXMATCH(""SrGMPDNS"",split(REGEXREPLACE(C123,""(.)"",""$1~""),""~""))))=len(C123)"),FALSE)</f>
        <v>0</v>
      </c>
      <c r="FC123" s="290" t="b">
        <f>IFERROR(__xludf.DUMMYFUNCTION("arrayformula(sum(--REGEXMATCH(""SrGMPdNS"",split(REGEXREPLACE(C123,""(.)"",""$1~""),""~""))))=len(C123)"),FALSE)</f>
        <v>0</v>
      </c>
      <c r="FD123" s="377" t="b">
        <f>IFERROR(__xludf.DUMMYFUNCTION("arrayformula(sum(--REGEXMATCH(""SrgMPdNS"",split(REGEXREPLACE(C123,""(.)"",""$1~""),""~""))))=len(C123)"),FALSE)</f>
        <v>0</v>
      </c>
      <c r="FE123" s="269" t="str">
        <f t="shared" si="71"/>
        <v>-</v>
      </c>
      <c r="FF123" s="269" t="str">
        <f t="shared" si="72"/>
        <v>-</v>
      </c>
      <c r="FG123" s="271" t="str">
        <f t="shared" si="73"/>
        <v>xoxoxxoxoxo</v>
      </c>
      <c r="FH123" s="269" t="str">
        <f t="shared" si="74"/>
        <v>-</v>
      </c>
      <c r="FI123" s="271" t="str">
        <f t="shared" si="75"/>
        <v>xoxxoxoxoox</v>
      </c>
      <c r="FJ123" s="271" t="str">
        <f t="shared" si="76"/>
        <v>-</v>
      </c>
      <c r="FK123" s="271" t="str">
        <f t="shared" si="77"/>
        <v>xxoxoxooxox</v>
      </c>
      <c r="FL123" s="271" t="str">
        <f t="shared" si="78"/>
        <v>xoxoxooxoxo</v>
      </c>
      <c r="FM123" s="271" t="str">
        <f t="shared" si="79"/>
        <v>-</v>
      </c>
      <c r="FN123" s="271" t="str">
        <f t="shared" si="80"/>
        <v>xoxooxoxoxx</v>
      </c>
      <c r="FO123" s="274" t="str">
        <f t="shared" si="81"/>
        <v>-</v>
      </c>
      <c r="FP123" s="234" t="str">
        <f t="shared" si="82"/>
        <v>|</v>
      </c>
      <c r="FQ123" s="236" t="str">
        <f t="shared" si="83"/>
        <v>-</v>
      </c>
      <c r="FR123" s="237" t="str">
        <f t="shared" si="84"/>
        <v>-</v>
      </c>
      <c r="FS123" s="236" t="str">
        <f t="shared" si="85"/>
        <v>|</v>
      </c>
      <c r="FT123" s="237" t="str">
        <f t="shared" si="86"/>
        <v>-</v>
      </c>
      <c r="FU123" s="236" t="str">
        <f t="shared" si="87"/>
        <v>|</v>
      </c>
      <c r="FV123" s="237" t="str">
        <f t="shared" si="88"/>
        <v>-</v>
      </c>
      <c r="FW123" s="236" t="str">
        <f t="shared" si="89"/>
        <v>|</v>
      </c>
      <c r="FX123" s="237" t="str">
        <f t="shared" si="90"/>
        <v>|</v>
      </c>
      <c r="FY123" s="236" t="str">
        <f t="shared" si="91"/>
        <v>-</v>
      </c>
      <c r="FZ123" s="237" t="str">
        <f t="shared" si="92"/>
        <v>|</v>
      </c>
      <c r="GA123" s="236" t="str">
        <f t="shared" si="93"/>
        <v>-</v>
      </c>
      <c r="GB123" s="238" t="str">
        <f t="shared" si="94"/>
        <v>|</v>
      </c>
      <c r="GC123" s="244" t="str">
        <f>IFERROR(__xludf.DUMMYFUNCTION("IF(REGEXMATCH(C123, ""S""), ""1"","""")"),"1")</f>
        <v>1</v>
      </c>
      <c r="GD123" s="245" t="str">
        <f>IFERROR(__xludf.DUMMYFUNCTION("IF(REGEXMATCH(C123, ""r""), ""b2"","""")"),"")</f>
        <v/>
      </c>
      <c r="GE123" s="246" t="str">
        <f>IFERROR(__xludf.DUMMYFUNCTION("IF(REGEXMATCH(C123, ""R""), ""2"","""")"),"")</f>
        <v/>
      </c>
      <c r="GF123" s="246" t="str">
        <f>IFERROR(__xludf.DUMMYFUNCTION("IF(REGEXMATCH(C123, ""g""), ""b3"","""")"),"b3")</f>
        <v>b3</v>
      </c>
      <c r="GG123" s="245" t="str">
        <f>IFERROR(__xludf.DUMMYFUNCTION("IF(REGEXMATCH(C123, ""G""), ""3"","""")"),"")</f>
        <v/>
      </c>
      <c r="GH123" s="245" t="str">
        <f>IFERROR(__xludf.DUMMYFUNCTION("IF(REGEXMATCH(C123, ""m""), ""4"","""")"),"4")</f>
        <v>4</v>
      </c>
      <c r="GI123" s="246" t="str">
        <f>IFERROR(__xludf.DUMMYFUNCTION("IF(REGEXMATCH(C123, ""M""), ""#4"","""")"),"")</f>
        <v/>
      </c>
      <c r="GJ123" s="245" t="str">
        <f>IFERROR(__xludf.DUMMYFUNCTION("IF(REGEXMATCH(C123, ""P""), ""5"","""")"),"5")</f>
        <v>5</v>
      </c>
      <c r="GK123" s="246" t="str">
        <f>IFERROR(__xludf.DUMMYFUNCTION("IF(REGEXMATCH(C123, ""d""), ""b6"","""")"),"b6")</f>
        <v>b6</v>
      </c>
      <c r="GL123" s="245" t="str">
        <f>IFERROR(__xludf.DUMMYFUNCTION("IF(REGEXMATCH(C123, ""D""), ""6"","""")"),"")</f>
        <v/>
      </c>
      <c r="GM123" s="245" t="str">
        <f>IFERROR(__xludf.DUMMYFUNCTION("IF(REGEXMATCH(C123, ""n""), ""b7"","""")"),"b7")</f>
        <v>b7</v>
      </c>
      <c r="GN123" s="246" t="str">
        <f>IFERROR(__xludf.DUMMYFUNCTION("IF(REGEXMATCH(C123, ""N""), ""7"","""")"),"")</f>
        <v/>
      </c>
      <c r="GO123" s="249" t="str">
        <f>IFERROR(__xludf.DUMMYFUNCTION("IF(REGEXMATCH(C123, ""S""), ""8"","""")"),"8")</f>
        <v>8</v>
      </c>
      <c r="GP123" s="244" t="str">
        <f>IFERROR(__xludf.DUMMYFUNCTION("IF(REGEXMATCH(C123, ""S""), ""S"","""")"),"S")</f>
        <v>S</v>
      </c>
      <c r="GQ123" s="294" t="str">
        <f>IFERROR(__xludf.DUMMYFUNCTION("IF(REGEXMATCH(C123, ""r""), ""R1"","""")"),"")</f>
        <v/>
      </c>
      <c r="GR123" s="295" t="str">
        <f>IFERROR(__xludf.DUMMYFUNCTION("IF(REGEXMATCH(C123, ""R""), ""R2"","""")"),"")</f>
        <v/>
      </c>
      <c r="GS123" s="295" t="str">
        <f>IFERROR(__xludf.DUMMYFUNCTION("IF(REGEXMATCH(C123, ""g""), ""G2"","""")"),"G2")</f>
        <v>G2</v>
      </c>
      <c r="GT123" s="294" t="str">
        <f>IFERROR(__xludf.DUMMYFUNCTION("IF(REGEXMATCH(C123, ""G""), ""G3"","""")"),"")</f>
        <v/>
      </c>
      <c r="GU123" s="294" t="str">
        <f>IFERROR(__xludf.DUMMYFUNCTION("IF(REGEXMATCH(C123, ""m""), ""M1"","""")"),"M1")</f>
        <v>M1</v>
      </c>
      <c r="GV123" s="295" t="str">
        <f>IFERROR(__xludf.DUMMYFUNCTION("IF(REGEXMATCH(C123, ""M""), ""M2"","""")"),"")</f>
        <v/>
      </c>
      <c r="GW123" s="294" t="str">
        <f>IFERROR(__xludf.DUMMYFUNCTION("IF(REGEXMATCH(C123, ""P""), ""P"","""")"),"P")</f>
        <v>P</v>
      </c>
      <c r="GX123" s="295" t="str">
        <f>IFERROR(__xludf.DUMMYFUNCTION("IF(REGEXMATCH(C123, ""d""), ""D1"","""")"),"D1")</f>
        <v>D1</v>
      </c>
      <c r="GY123" s="294" t="str">
        <f>IFERROR(__xludf.DUMMYFUNCTION("IF(REGEXMATCH(C123, ""D""), ""D2"","""")"),"")</f>
        <v/>
      </c>
      <c r="GZ123" s="294" t="str">
        <f>IFERROR(__xludf.DUMMYFUNCTION("IF(REGEXMATCH(C123, ""n""), ""N2"","""")"),"N2")</f>
        <v>N2</v>
      </c>
      <c r="HA123" s="295" t="str">
        <f>IFERROR(__xludf.DUMMYFUNCTION("IF(REGEXMATCH(C123, ""N""), ""N3"","""")"),"")</f>
        <v/>
      </c>
      <c r="HB123" s="249" t="str">
        <f>IFERROR(__xludf.DUMMYFUNCTION("IF(REGEXMATCH(C123, ""S""), ""S"","""")"),"S")</f>
        <v>S</v>
      </c>
      <c r="HC123" s="331" t="str">
        <f t="shared" si="95"/>
        <v>S</v>
      </c>
      <c r="HD123" s="332" t="str">
        <f t="shared" si="96"/>
        <v/>
      </c>
      <c r="HE123" s="332" t="str">
        <f t="shared" si="97"/>
        <v>R</v>
      </c>
      <c r="HF123" s="332" t="str">
        <f t="shared" si="98"/>
        <v/>
      </c>
      <c r="HG123" s="332" t="str">
        <f t="shared" si="99"/>
        <v>G</v>
      </c>
      <c r="HH123" s="332" t="str">
        <f t="shared" si="100"/>
        <v>m</v>
      </c>
      <c r="HI123" s="332" t="str">
        <f t="shared" si="101"/>
        <v/>
      </c>
      <c r="HJ123" s="332" t="str">
        <f t="shared" si="102"/>
        <v>P</v>
      </c>
      <c r="HK123" s="332" t="str">
        <f t="shared" si="103"/>
        <v/>
      </c>
      <c r="HL123" s="332" t="str">
        <f t="shared" si="104"/>
        <v>D</v>
      </c>
      <c r="HM123" s="332" t="str">
        <f t="shared" si="105"/>
        <v/>
      </c>
      <c r="HN123" s="332" t="str">
        <f t="shared" si="106"/>
        <v/>
      </c>
      <c r="HO123" s="343" t="str">
        <f t="shared" si="107"/>
        <v>S</v>
      </c>
      <c r="HP123" s="331" t="str">
        <f t="shared" si="108"/>
        <v>o</v>
      </c>
      <c r="HQ123" s="332" t="str">
        <f t="shared" si="109"/>
        <v>•</v>
      </c>
      <c r="HR123" s="332" t="str">
        <f t="shared" si="110"/>
        <v>•</v>
      </c>
      <c r="HS123" s="332" t="str">
        <f t="shared" si="111"/>
        <v>o</v>
      </c>
      <c r="HT123" s="332" t="str">
        <f t="shared" si="112"/>
        <v>•</v>
      </c>
      <c r="HU123" s="332" t="str">
        <f t="shared" si="113"/>
        <v>o</v>
      </c>
      <c r="HV123" s="332" t="str">
        <f t="shared" si="114"/>
        <v>•</v>
      </c>
      <c r="HW123" s="332" t="str">
        <f t="shared" si="115"/>
        <v>o</v>
      </c>
      <c r="HX123" s="332" t="str">
        <f t="shared" si="116"/>
        <v>o</v>
      </c>
      <c r="HY123" s="332" t="str">
        <f t="shared" si="117"/>
        <v>•</v>
      </c>
      <c r="HZ123" s="332" t="str">
        <f t="shared" si="118"/>
        <v>o</v>
      </c>
      <c r="IA123" s="332" t="str">
        <f t="shared" si="119"/>
        <v>•</v>
      </c>
      <c r="IB123" s="338" t="str">
        <f t="shared" si="120"/>
        <v>o</v>
      </c>
      <c r="IC123" s="331" t="str">
        <f t="shared" si="121"/>
        <v>•</v>
      </c>
      <c r="ID123" s="332" t="str">
        <f t="shared" si="122"/>
        <v>o</v>
      </c>
      <c r="IE123" s="332" t="str">
        <f t="shared" si="123"/>
        <v>o</v>
      </c>
      <c r="IF123" s="332" t="str">
        <f t="shared" si="124"/>
        <v>•</v>
      </c>
      <c r="IG123" s="332" t="str">
        <f t="shared" si="125"/>
        <v>o</v>
      </c>
      <c r="IH123" s="332" t="str">
        <f t="shared" si="126"/>
        <v>•</v>
      </c>
      <c r="II123" s="332" t="str">
        <f t="shared" si="127"/>
        <v>o</v>
      </c>
      <c r="IJ123" s="332" t="str">
        <f t="shared" si="128"/>
        <v>•</v>
      </c>
      <c r="IK123" s="332" t="str">
        <f t="shared" si="129"/>
        <v>•</v>
      </c>
      <c r="IL123" s="332" t="str">
        <f t="shared" si="130"/>
        <v>o</v>
      </c>
      <c r="IM123" s="332" t="str">
        <f t="shared" si="131"/>
        <v>•</v>
      </c>
      <c r="IN123" s="332" t="str">
        <f t="shared" si="132"/>
        <v>o</v>
      </c>
      <c r="IO123" s="338" t="str">
        <f t="shared" si="133"/>
        <v>•</v>
      </c>
      <c r="IP123" s="346" t="b">
        <f t="shared" si="134"/>
        <v>0</v>
      </c>
      <c r="IQ123" s="347" t="b">
        <f t="shared" si="135"/>
        <v>0</v>
      </c>
      <c r="IR123" s="347" t="b">
        <f t="shared" si="136"/>
        <v>0</v>
      </c>
      <c r="IS123" s="347" t="b">
        <f t="shared" si="137"/>
        <v>0</v>
      </c>
      <c r="IT123" s="347" t="b">
        <f t="shared" si="138"/>
        <v>0</v>
      </c>
      <c r="IU123" s="347" t="b">
        <f t="shared" si="139"/>
        <v>0</v>
      </c>
      <c r="IV123" s="347" t="b">
        <f t="shared" si="140"/>
        <v>0</v>
      </c>
      <c r="IW123" s="347" t="b">
        <f t="shared" si="141"/>
        <v>1</v>
      </c>
      <c r="IX123" s="347" t="b">
        <f t="shared" si="142"/>
        <v>0</v>
      </c>
      <c r="IY123" s="347" t="b">
        <f t="shared" si="143"/>
        <v>0</v>
      </c>
      <c r="IZ123" s="347" t="b">
        <f t="shared" si="144"/>
        <v>0</v>
      </c>
      <c r="JA123" s="347" t="b">
        <f t="shared" si="145"/>
        <v>0</v>
      </c>
      <c r="JB123" s="353" t="b">
        <f t="shared" si="146"/>
        <v>0</v>
      </c>
      <c r="JC123" s="354" t="str">
        <f t="shared" si="147"/>
        <v/>
      </c>
      <c r="JD123" s="355" t="str">
        <f t="shared" si="148"/>
        <v/>
      </c>
      <c r="JE123" s="355" t="str">
        <f t="shared" si="149"/>
        <v/>
      </c>
      <c r="JF123" s="355" t="str">
        <f t="shared" si="150"/>
        <v/>
      </c>
      <c r="JG123" s="355" t="str">
        <f t="shared" si="151"/>
        <v/>
      </c>
      <c r="JH123" s="355" t="str">
        <f t="shared" si="152"/>
        <v/>
      </c>
      <c r="JI123" s="355" t="str">
        <f t="shared" si="153"/>
        <v/>
      </c>
      <c r="JJ123" s="355" t="str">
        <f t="shared" si="154"/>
        <v>Pa, </v>
      </c>
      <c r="JK123" s="355" t="str">
        <f t="shared" si="155"/>
        <v/>
      </c>
      <c r="JL123" s="355" t="str">
        <f t="shared" si="156"/>
        <v/>
      </c>
      <c r="JM123" s="355" t="str">
        <f t="shared" si="157"/>
        <v/>
      </c>
      <c r="JN123" s="355" t="str">
        <f t="shared" si="158"/>
        <v/>
      </c>
      <c r="JO123" s="359" t="str">
        <f t="shared" si="159"/>
        <v/>
      </c>
      <c r="JP123" s="346" t="b">
        <f t="shared" si="160"/>
        <v>0</v>
      </c>
      <c r="JQ123" s="347" t="b">
        <f t="shared" si="161"/>
        <v>0</v>
      </c>
      <c r="JR123" s="347" t="b">
        <f t="shared" si="162"/>
        <v>0</v>
      </c>
      <c r="JS123" s="347" t="b">
        <f t="shared" si="163"/>
        <v>0</v>
      </c>
      <c r="JT123" s="347" t="b">
        <f t="shared" si="164"/>
        <v>0</v>
      </c>
      <c r="JU123" s="347" t="b">
        <f t="shared" si="165"/>
        <v>0</v>
      </c>
      <c r="JV123" s="347" t="b">
        <f t="shared" si="166"/>
        <v>0</v>
      </c>
      <c r="JW123" s="347" t="b">
        <f t="shared" si="167"/>
        <v>0</v>
      </c>
      <c r="JX123" s="347" t="b">
        <f t="shared" si="168"/>
        <v>0</v>
      </c>
      <c r="JY123" s="347" t="b">
        <f t="shared" si="169"/>
        <v>0</v>
      </c>
      <c r="JZ123" s="347" t="b">
        <f t="shared" si="170"/>
        <v>0</v>
      </c>
      <c r="KA123" s="347" t="b">
        <f t="shared" si="171"/>
        <v>0</v>
      </c>
      <c r="KB123" s="365" t="b">
        <f t="shared" si="172"/>
        <v>0</v>
      </c>
      <c r="KC123" s="354" t="str">
        <f t="shared" si="173"/>
        <v/>
      </c>
      <c r="KD123" s="355" t="str">
        <f t="shared" si="174"/>
        <v/>
      </c>
      <c r="KE123" s="355" t="str">
        <f t="shared" si="175"/>
        <v/>
      </c>
      <c r="KF123" s="355" t="str">
        <f t="shared" si="176"/>
        <v/>
      </c>
      <c r="KG123" s="355" t="str">
        <f t="shared" si="177"/>
        <v/>
      </c>
      <c r="KH123" s="355" t="str">
        <f t="shared" si="178"/>
        <v/>
      </c>
      <c r="KI123" s="355" t="str">
        <f t="shared" si="179"/>
        <v/>
      </c>
      <c r="KJ123" s="355" t="str">
        <f t="shared" si="180"/>
        <v/>
      </c>
      <c r="KK123" s="355" t="str">
        <f t="shared" si="181"/>
        <v/>
      </c>
      <c r="KL123" s="355" t="str">
        <f t="shared" si="182"/>
        <v/>
      </c>
      <c r="KM123" s="355" t="str">
        <f t="shared" si="183"/>
        <v/>
      </c>
      <c r="KN123" s="355" t="str">
        <f t="shared" si="184"/>
        <v/>
      </c>
      <c r="KO123" s="359"/>
      <c r="KP123" s="378"/>
      <c r="KQ123" s="379" t="s">
        <v>671</v>
      </c>
      <c r="KR123" s="380" t="s">
        <v>1394</v>
      </c>
      <c r="KS123" s="381" t="str">
        <f t="shared" ref="KS123:KS126" si="452">KQ123</f>
        <v>S-g-m-P-d-n-S</v>
      </c>
      <c r="KT123" s="382">
        <f t="shared" si="186"/>
        <v>6</v>
      </c>
      <c r="KU123" s="383">
        <f t="shared" si="187"/>
        <v>6</v>
      </c>
      <c r="KV123" s="381" t="str">
        <f t="shared" si="205"/>
        <v>S-n-d-P-m-g-S</v>
      </c>
      <c r="KW123" s="382">
        <f t="shared" si="189"/>
        <v>6</v>
      </c>
      <c r="KX123" s="384">
        <f t="shared" si="190"/>
        <v>6</v>
      </c>
      <c r="KY123" s="382">
        <f t="shared" ref="KY123:KZ123" si="450">KW123-KT123</f>
        <v>0</v>
      </c>
      <c r="KZ123" s="369">
        <f t="shared" si="450"/>
        <v>0</v>
      </c>
      <c r="LA123" s="385" t="str">
        <f t="shared" si="192"/>
        <v>✔</v>
      </c>
      <c r="LB123" s="340" t="str">
        <f>IFERROR(__xludf.DUMMYFUNCTION("JOIN("""",ArrayFormula(MID(KS123,LEN(KS123)-SEQUENCE(1,LEN(KS123))+1,1)))"),"S-n-d-P-m-g-S")</f>
        <v>S-n-d-P-m-g-S</v>
      </c>
      <c r="LC123" s="373" t="str">
        <f>IFERROR(__xludf.DUMMYFUNCTION("JOIN("""",ArrayFormula(MID(KV123,LEN(KV123)-SEQUENCE(1,LEN(KV123))+1,1)))"),"S-g-m-P-d-n-S")</f>
        <v>S-g-m-P-d-n-S</v>
      </c>
      <c r="LD123" s="373" t="str">
        <f t="shared" si="193"/>
        <v>SgmPdnS</v>
      </c>
      <c r="LE123" s="339" t="str">
        <f t="shared" si="194"/>
        <v>SgmPdnS</v>
      </c>
      <c r="LF123" s="386" t="str">
        <f>IFERROR(__xludf.DUMMYFUNCTION("SUBSTITUTE(SUBSTITUTE(CONCATENATE(JOIN("""",LH123:LT123)),""1"",""""),""2"","""")"),"SgmPdnS")</f>
        <v>SgmPdnS</v>
      </c>
      <c r="LG123" s="369" t="str">
        <f t="shared" si="195"/>
        <v>✔</v>
      </c>
      <c r="LH123" s="387" t="str">
        <f>IFERROR(__xludf.DUMMYFUNCTION("IF(REGEXMATCH(LD123, ""S""), ""S"",IF(REGEXMATCH(LE123, ""S""), ""S"",""""))"),"S")</f>
        <v>S</v>
      </c>
      <c r="LI123" s="299" t="str">
        <f>IFERROR(__xludf.DUMMYFUNCTION("IF(REGEXMATCH(LD123, ""r""), ""r1"",IF(REGEXMATCH(LE123, ""r""), ""r2"",""""))"),"")</f>
        <v/>
      </c>
      <c r="LJ123" s="299" t="str">
        <f>IFERROR(__xludf.DUMMYFUNCTION("IF(REGEXMATCH(LD123, ""R""), ""R1"",IF(REGEXMATCH(LE123, ""R""), ""R2"",""""))"),"")</f>
        <v/>
      </c>
      <c r="LK123" s="299" t="str">
        <f>IFERROR(__xludf.DUMMYFUNCTION("IF(REGEXMATCH(LD123, ""g""), ""g1"",IF(REGEXMATCH(LE123, ""g""), ""g2"",""""))"),"g1")</f>
        <v>g1</v>
      </c>
      <c r="LL123" s="299" t="str">
        <f>IFERROR(__xludf.DUMMYFUNCTION("IF(REGEXMATCH(LD123, ""G""), ""G1"",IF(REGEXMATCH(LE123, ""G""), ""G2"",""""))"),"")</f>
        <v/>
      </c>
      <c r="LM123" s="299" t="str">
        <f>IFERROR(__xludf.DUMMYFUNCTION("IF(REGEXMATCH(LD123, ""m""), ""m1"",IF(REGEXMATCH(LE123, ""m""), ""m2"",""""))"),"m1")</f>
        <v>m1</v>
      </c>
      <c r="LN123" s="299" t="str">
        <f>IFERROR(__xludf.DUMMYFUNCTION("IF(REGEXMATCH(LD123, ""M""), ""M1"",IF(REGEXMATCH(LE123, ""M""), ""M2"",""""))"),"")</f>
        <v/>
      </c>
      <c r="LO123" s="299" t="str">
        <f>IFERROR(__xludf.DUMMYFUNCTION("IF(REGEXMATCH(LD123, ""P""), ""P1"",IF(REGEXMATCH(LE123, ""P""), ""P2"",""""))"),"P1")</f>
        <v>P1</v>
      </c>
      <c r="LP123" s="299" t="str">
        <f>IFERROR(__xludf.DUMMYFUNCTION("IF(REGEXMATCH(LD123, ""d""), ""d1"",IF(REGEXMATCH(LE123, ""d""), ""d2"",""""))"),"d1")</f>
        <v>d1</v>
      </c>
      <c r="LQ123" s="299" t="str">
        <f>IFERROR(__xludf.DUMMYFUNCTION("IF(REGEXMATCH(LD123, ""D""), ""D1"",IF(REGEXMATCH(LE123, ""D""), ""D2"",""""))"),"")</f>
        <v/>
      </c>
      <c r="LR123" s="299" t="str">
        <f>IFERROR(__xludf.DUMMYFUNCTION("IF(REGEXMATCH(LD123, ""n""), ""n1"",IF(REGEXMATCH(LE123, ""n""), ""n2"",""""))"),"n1")</f>
        <v>n1</v>
      </c>
      <c r="LS123" s="299" t="str">
        <f>IFERROR(__xludf.DUMMYFUNCTION("IF(REGEXMATCH(LD123, ""N""), ""N1"",IF(REGEXMATCH(LE123, ""N""), ""N2"",""""))"),"")</f>
        <v/>
      </c>
      <c r="LT123" s="388" t="str">
        <f>IFERROR(__xludf.DUMMYFUNCTION("IF(REGEXMATCH(LD123, ""S""), ""S"",IF(REGEXMATCH(LE123, ""S""), ""S"",""""))"),"S")</f>
        <v>S</v>
      </c>
      <c r="LU123" s="389">
        <f t="shared" si="196"/>
        <v>1</v>
      </c>
      <c r="LV123" s="378"/>
      <c r="LW123" s="369"/>
      <c r="LX123" s="369"/>
    </row>
    <row r="124" ht="18.0" customHeight="1">
      <c r="A124" s="298" t="s">
        <v>759</v>
      </c>
      <c r="B124" s="222" t="s">
        <v>721</v>
      </c>
      <c r="C124" s="233" t="str">
        <f t="shared" si="7"/>
        <v>SRmPDnS</v>
      </c>
      <c r="D124" s="234" t="str">
        <f>IFERROR(__xludf.DUMMYFUNCTION("IF(REGEXMATCH(C124, ""S""), ""S"","""")"),"S")</f>
        <v>S</v>
      </c>
      <c r="E124" s="236" t="str">
        <f>IFERROR(__xludf.DUMMYFUNCTION("IF(REGEXMATCH(C124, ""r""), ""r"","""")"),"")</f>
        <v/>
      </c>
      <c r="F124" s="237" t="str">
        <f>IFERROR(__xludf.DUMMYFUNCTION("IF(REGEXMATCH(C124, ""R""), ""R"","""")"),"R")</f>
        <v>R</v>
      </c>
      <c r="G124" s="237" t="str">
        <f>IFERROR(__xludf.DUMMYFUNCTION("IF(REGEXMATCH(C124, ""g""), ""g"","""")"),"")</f>
        <v/>
      </c>
      <c r="H124" s="236" t="str">
        <f>IFERROR(__xludf.DUMMYFUNCTION("IF(REGEXMATCH(C124, ""G""), ""G"","""")"),"")</f>
        <v/>
      </c>
      <c r="I124" s="236" t="str">
        <f>IFERROR(__xludf.DUMMYFUNCTION("IF(REGEXMATCH(C124, ""m""), ""m"","""")"),"m")</f>
        <v>m</v>
      </c>
      <c r="J124" s="237" t="str">
        <f>IFERROR(__xludf.DUMMYFUNCTION("IF(REGEXMATCH(C124, ""M""), ""M"","""")"),"")</f>
        <v/>
      </c>
      <c r="K124" s="236" t="str">
        <f>IFERROR(__xludf.DUMMYFUNCTION("IF(REGEXMATCH(C124, ""P""), ""P"","""")"),"P")</f>
        <v>P</v>
      </c>
      <c r="L124" s="237" t="str">
        <f>IFERROR(__xludf.DUMMYFUNCTION("IF(REGEXMATCH(C124, ""d""), ""d"","""")"),"")</f>
        <v/>
      </c>
      <c r="M124" s="236" t="str">
        <f>IFERROR(__xludf.DUMMYFUNCTION("IF(REGEXMATCH(C124, ""D""), ""D"","""")"),"D")</f>
        <v>D</v>
      </c>
      <c r="N124" s="236" t="str">
        <f>IFERROR(__xludf.DUMMYFUNCTION("IF(REGEXMATCH(C124, ""n""), ""n"","""")"),"n")</f>
        <v>n</v>
      </c>
      <c r="O124" s="237" t="str">
        <f>IFERROR(__xludf.DUMMYFUNCTION("IF(REGEXMATCH(C124, ""N""), ""N"","""")"),"")</f>
        <v/>
      </c>
      <c r="P124" s="238" t="str">
        <f>IFERROR(__xludf.DUMMYFUNCTION("IF(REGEXMATCH(C124, ""S""), ""S"","""")"),"S")</f>
        <v>S</v>
      </c>
      <c r="Q124" s="239" t="str">
        <f>IFERROR(__xludf.DUMMYFUNCTION("SUBSTITUTE(CONCATENATE(JOIN(""-"",D124:J124)),""-"","""")"),"SRm")</f>
        <v>SRm</v>
      </c>
      <c r="R124" s="229" t="str">
        <f>IFERROR(__xludf.DUMMYFUNCTION("SUBSTITUTE(CONCATENATE(JOIN(""-"",K124:P124)),""-"","""")"),"PDnS")</f>
        <v>PDnS</v>
      </c>
      <c r="S124" s="282" t="str">
        <f t="shared" si="8"/>
        <v>S-R-M</v>
      </c>
      <c r="T124" s="282" t="str">
        <f t="shared" si="9"/>
        <v>P-D-N-S</v>
      </c>
      <c r="U124" s="237" t="str">
        <f>IFERROR(__xludf.DUMMYFUNCTION("SUBSTITUTE(JOIN(""-"",S124,T124),""--"",""-"")"),"S-R-M-P-D-N-S")</f>
        <v>S-R-M-P-D-N-S</v>
      </c>
      <c r="V124" s="309" t="str">
        <f t="shared" si="10"/>
        <v>RmDn</v>
      </c>
      <c r="W124" s="244" t="str">
        <f>IFERROR(__xludf.DUMMYFUNCTION("IF(REGEXMATCH(C124, ""S""), ""0"","""")"),"0")</f>
        <v>0</v>
      </c>
      <c r="X124" s="245" t="str">
        <f>IFERROR(__xludf.DUMMYFUNCTION("IF(REGEXMATCH(C124, ""r""), ""1"","""")"),"")</f>
        <v/>
      </c>
      <c r="Y124" s="246" t="str">
        <f>IFERROR(__xludf.DUMMYFUNCTION("IF(REGEXMATCH(C124, ""R""), ""2"","""")"),"2")</f>
        <v>2</v>
      </c>
      <c r="Z124" s="246" t="str">
        <f>IFERROR(__xludf.DUMMYFUNCTION("IF(REGEXMATCH(C124, ""g""), ""3"","""")"),"")</f>
        <v/>
      </c>
      <c r="AA124" s="245" t="str">
        <f>IFERROR(__xludf.DUMMYFUNCTION("IF(REGEXMATCH(C124, ""G""), ""4"","""")"),"")</f>
        <v/>
      </c>
      <c r="AB124" s="245" t="str">
        <f>IFERROR(__xludf.DUMMYFUNCTION("IF(REGEXMATCH(C124, ""m""), ""5"","""")"),"5")</f>
        <v>5</v>
      </c>
      <c r="AC124" s="246" t="str">
        <f>IFERROR(__xludf.DUMMYFUNCTION("IF(REGEXMATCH(C124, ""M""), ""6"","""")"),"")</f>
        <v/>
      </c>
      <c r="AD124" s="245" t="str">
        <f>IFERROR(__xludf.DUMMYFUNCTION("IF(REGEXMATCH(C124, ""P""), ""7"","""")"),"7")</f>
        <v>7</v>
      </c>
      <c r="AE124" s="246" t="str">
        <f>IFERROR(__xludf.DUMMYFUNCTION("IF(REGEXMATCH(C124, ""d""), ""8"","""")"),"")</f>
        <v/>
      </c>
      <c r="AF124" s="245" t="str">
        <f>IFERROR(__xludf.DUMMYFUNCTION("IF(REGEXMATCH(C124, ""D""), ""9"","""")"),"9")</f>
        <v>9</v>
      </c>
      <c r="AG124" s="245" t="str">
        <f>IFERROR(__xludf.DUMMYFUNCTION("IF(REGEXMATCH(C124, ""n""), ""10"","""")"),"10")</f>
        <v>10</v>
      </c>
      <c r="AH124" s="246" t="str">
        <f>IFERROR(__xludf.DUMMYFUNCTION("IF(REGEXMATCH(C124, ""N""), ""11"","""")"),"")</f>
        <v/>
      </c>
      <c r="AI124" s="249" t="str">
        <f>IFERROR(__xludf.DUMMYFUNCTION("IF(REGEXMATCH(C124, ""S""), ""0"","""")"),"0")</f>
        <v>0</v>
      </c>
      <c r="AJ124" s="313" t="str">
        <f t="shared" si="11"/>
        <v>-</v>
      </c>
      <c r="AK124" s="313" t="str">
        <f t="shared" si="12"/>
        <v>-</v>
      </c>
      <c r="AL124" s="313" t="str">
        <f t="shared" si="13"/>
        <v>-</v>
      </c>
      <c r="AM124" s="313" t="str">
        <f t="shared" si="14"/>
        <v>-</v>
      </c>
      <c r="AN124" s="313" t="str">
        <f t="shared" si="15"/>
        <v>-</v>
      </c>
      <c r="AO124" s="314" t="str">
        <f t="shared" si="16"/>
        <v>-</v>
      </c>
      <c r="AP124" s="316">
        <f t="shared" si="17"/>
        <v>0</v>
      </c>
      <c r="AQ124" s="319" t="str">
        <f t="shared" si="18"/>
        <v>-</v>
      </c>
      <c r="AR124" s="320">
        <f t="shared" si="19"/>
        <v>0</v>
      </c>
      <c r="AS124" s="250" t="str">
        <f>IFERROR(__xludf.DUMMYFUNCTION("SUBSTITUTE(SUBSTITUTE(CONCATENATE(JOIN("""",FP124:GA124)),""|"",""x""),""-"",""o"")"),"xoxooxoxoxxo")</f>
        <v>xoxooxoxoxxo</v>
      </c>
      <c r="AT124" s="323" t="str">
        <f>IFERROR(__xludf.DUMMYFUNCTION("JOIN("""",AS124,AS124)"),"xoxooxoxoxxoxoxooxoxoxxo")</f>
        <v>xoxooxoxoxxoxoxooxoxoxxo</v>
      </c>
      <c r="AU124" s="256" t="str">
        <f>IFERROR(__xludf.DUMMYFUNCTION("JOIN("""",ArrayFormula(MID(AS124,LEN(AS124)-SEQUENCE(1,LEN(AS124))+1,1)))"),"oxxoxoxooxox")</f>
        <v>oxxoxoxooxox</v>
      </c>
      <c r="AV124" s="256" t="str">
        <f>IFERROR(__xludf.DUMMYFUNCTION("LEFT(CONCATENATE(""x"",JOIN("""",ArrayFormula(MID(AS124,LEN(AS124)-SEQUENCE(1,LEN(AS124))+1,1)))),12)"),"xoxxoxoxooxo")</f>
        <v>xoxxoxoxooxo</v>
      </c>
      <c r="AW124" s="327" t="str">
        <f>IFERROR(__xludf.DUMMYFUNCTION("JOIN("""",AU124,AU124)"),"oxxoxoxooxoxoxxoxoxooxox")</f>
        <v>oxxoxoxooxoxoxxoxoxooxox</v>
      </c>
      <c r="AX124" s="239" t="str">
        <f>IFERROR(__xludf.DUMMYFUNCTION("IF(REGEXMATCH(AW124,AS124),""✔"",""-"")"),"✔")</f>
        <v>✔</v>
      </c>
      <c r="AY124" s="330" t="str">
        <f t="shared" si="20"/>
        <v>-</v>
      </c>
      <c r="AZ124" s="260" t="str">
        <f t="shared" si="21"/>
        <v>#REF!</v>
      </c>
      <c r="BA124" s="333" t="str">
        <f t="shared" si="22"/>
        <v>xoxooxo</v>
      </c>
      <c r="BB124" s="334" t="str">
        <f t="shared" si="23"/>
        <v>xoxxox</v>
      </c>
      <c r="BC124" s="335" t="str">
        <f t="shared" si="236"/>
        <v>-</v>
      </c>
      <c r="BD124" s="336" t="str">
        <f t="shared" si="25"/>
        <v>Gorakh Kalyan: 'xoxooxo' + 'xoxxox'</v>
      </c>
      <c r="BE124" s="337">
        <f>IFERROR(__xludf.DUMMYFUNCTION("COUNTUNIQUE(FILTER(AT:AT,REGEXMATCH(AT:AT,AS124)))-1"),3.0)</f>
        <v>3</v>
      </c>
      <c r="BF124" s="261" t="str">
        <f>IFERROR(__xludf.DUMMYFUNCTION("IF(BI124=0,""(n/a)"",IF(BJ124=2,""(PAIR)"",IF(REGEXMATCH(AT124,""xoxoxxoxoxox""),""Bilawal"",IF(REGEXMATCH(AT124,""xoxoxooxoxoo""),""Bhupali"",IF(REGEXMATCH(AT124,""xoxoxxoxxoxo""),""Charukeshi"",IF(REGEXMATCH(AT124,""xoxoooxxoxxo""),""Kameshwari"",IF(REG"&amp;"EXMATCH(AT124,""xoxoxooxoxox""),""Shankara"",IF(REGEXMATCH(AT124,""xxooxoxxxoox""),""Basant"",IF(REGEXMATCH(AT124,""xoxoxxxxoxox""),""Bihag"",IF(REGEXMATCH(AT124,""xoxxxxoxoxxx""),""Pilu"",IF(REGEXMATCH(AT124,""xoxxoxoxxoox""),""Kirwani"",IF(REGEXMATCH(AT"&amp;"124,""xoxxoxoxoxxx""),""Mk.Malhar"",IF(REGEXMATCH(AT124,""xxooxxoxxoox""),""Bhairav"",IF(REGEXMATCH(AT124,""xxoxooxxxoox""),""Todi"",IF(REGEXMATCH(AT124,""xxooxoxooxox""),""Marwa"",IF(REGEXMATCH(AT124,""xxoooxoxxooo""),""Gunkali"",IF(REGEXMATCH(AT124,""xo"&amp;"xoxxoxxoox""),""Nat Bhairav"",IF(REGEXMATCH(AT124,""xoxxoooxoxoo""),""Shivranjani"",IF(REGEXMATCH(AT124,""xooxxxoxooxo""),""Jog"",IF(REGEXMATCH(AT124,""xxooxoxoxoox""),""Hemshri"",IF(REGEXMATCH(AT124,""xoooxooxoxxo""),""Kalavati"",IF(REGEXMATCH(AT124,""xx"&amp;"oxoxxoxoox""),""Kedar"",IF(REGEXMATCH(AT124,""xoxxxxoxooxx""),""Gara"",IF(REGEXMATCH(AT124,""xooxoxooxoox""),""Chandrakauns"",IF(REGEXMATCH(AT124,""xoxxxxoxxxox""),""Mand"",IF(REGEXMATCH(AT124,""xoxxxxoxoxox""),""Hanskinkini"",IF(REGEXMATCH(AT124,""xxooxx"&amp;"oxooxo""),""Lilavati"",IF(REGEXMATCH(AT124,""xooxoxoooxox""),""Rajeshwari"",IF(REGEXMATCH(AT124,""xoooxxoxoxxx""),""Khokar"",IF(REGEXMATCH(AT124,""xxooxoxxxxox""),""Maligoura"",""-""))))))))))))))))))))))))))))))"),"Shankara")</f>
        <v>Shankara</v>
      </c>
      <c r="BG124" s="239" t="str">
        <f t="shared" si="26"/>
        <v>#REF!</v>
      </c>
      <c r="BH124" s="239">
        <f>IFERROR(__xludf.DUMMYFUNCTION("COUNTUNIQUE(FE124:FO124)-1"),5.0)</f>
        <v>5</v>
      </c>
      <c r="BI124" s="239">
        <f>IFERROR(__xludf.DUMMYFUNCTION("COUNTUNIQUE(FILTER(AT:AT,REGEXMATCH(AT:AT,AS124)))-1"),3.0)</f>
        <v>3</v>
      </c>
      <c r="BJ124" s="239">
        <f>IFERROR(__xludf.DUMMYFUNCTION("COUNTA(FILTER(AT:AT,REGEXMATCH(AT:AT,AS124)))"),11.0)</f>
        <v>11</v>
      </c>
      <c r="BK124" s="341">
        <f>IFERROR(__xludf.DUMMYFUNCTION("COUNTA(FILTER(AT:AT,REGEXMATCH(AT:AT,AS124)))-AR124"),11.0)</f>
        <v>11</v>
      </c>
      <c r="BL124" s="276" t="str">
        <f>IFERROR(__xludf.DUMMYFUNCTION("IF(AS124=""oooooooooooo"",""-"",IF(REGEXMATCH(AT124,""xx""), ""Hemi."", ""Anhemi.""))"),"Hemi.")</f>
        <v>Hemi.</v>
      </c>
      <c r="BM124" s="282" t="str">
        <f>IFERROR(__xludf.DUMMYFUNCTION("IF(AS124=""oooooooooooo"",""-"",IF(REGEXMATCH(AT124,""xxx""), ""Cohem."", ""-""))"),"-")</f>
        <v>-</v>
      </c>
      <c r="BN124" s="282" t="str">
        <f>IFERROR(__xludf.DUMMYFUNCTION("IF(AS124=""oooooooooooo"",""-"",IF(REGEXMATCH(AT124,""xxxx""), ""Co-Co."", ""-""))"),"-")</f>
        <v>-</v>
      </c>
      <c r="BO124" s="342" t="str">
        <f>IFERROR(__xludf.DUMMYFUNCTION("IF(AS124=""oooooooooooo"",""-"",IF(REGEXMATCH(AT124,""xxxxx""), ""CCC."", ""-""))"),"-")</f>
        <v>-</v>
      </c>
      <c r="BP124" s="344" t="str">
        <f t="shared" si="27"/>
        <v>-</v>
      </c>
      <c r="BQ124" s="282" t="str">
        <f>IFERROR(__xludf.DUMMYFUNCTION("IF(REGEXMATCH(JOIN(""-"",EU124:FD124),""TRUE""),""✔"",""-"")"),"✔")</f>
        <v>✔</v>
      </c>
      <c r="BR124" s="225">
        <f t="shared" si="28"/>
        <v>2</v>
      </c>
      <c r="BS124" s="345" t="str">
        <f>IFERROR(__xludf.DUMMYFUNCTION("SUBSTITUTE(SUBSTITUTE(SUBSTITUTE(SUBSTITUTE(CONCATENATE(JOIN(""-"",GC124:GO124)),""--"",""-""),""--"",""-""),""--"",""-""),""--"",""-"")"),"1-2-4-5-6-b7-8")</f>
        <v>1-2-4-5-6-b7-8</v>
      </c>
      <c r="BT124" s="299" t="str">
        <f>IFERROR(__xludf.DUMMYFUNCTION("SUBSTITUTE(SUBSTITUTE(SUBSTITUTE(SUBSTITUTE(CONCATENATE(JOIN(""-"",GP124:HB124)),""--"",""-""),""--"",""-""),""--"",""-""),""--"",""-"")"),"S-R2-M1-P-D2-N2-S")</f>
        <v>S-R2-M1-P-D2-N2-S</v>
      </c>
      <c r="BU124" s="348" t="str">
        <f t="shared" si="29"/>
        <v>C-D-F-G-A-Bb-C</v>
      </c>
      <c r="BV124" s="349" t="str">
        <f t="shared" si="30"/>
        <v>SrgGMdNS</v>
      </c>
      <c r="BW124" s="350">
        <f t="shared" si="31"/>
        <v>0</v>
      </c>
      <c r="BX124" s="351">
        <f t="shared" si="32"/>
        <v>3</v>
      </c>
      <c r="BY124" s="392"/>
      <c r="BZ124" s="309" t="str">
        <f>IFERROR(__xludf.DUMMYFUNCTION("IF(REGEXMATCH(C124, ""S""), ""x"",""x"")"),"x")</f>
        <v>x</v>
      </c>
      <c r="CA124" s="245" t="str">
        <f>IFERROR(__xludf.DUMMYFUNCTION("IF(REGEXMATCH(C124, ""r""), ""o"",""x"")"),"x")</f>
        <v>x</v>
      </c>
      <c r="CB124" s="246" t="str">
        <f>IFERROR(__xludf.DUMMYFUNCTION("IF(REGEXMATCH(C124, ""R""), ""o"",""x"")"),"o")</f>
        <v>o</v>
      </c>
      <c r="CC124" s="246" t="str">
        <f>IFERROR(__xludf.DUMMYFUNCTION("IF(REGEXMATCH(C124, ""g""), ""o"",""x"")"),"x")</f>
        <v>x</v>
      </c>
      <c r="CD124" s="245" t="str">
        <f>IFERROR(__xludf.DUMMYFUNCTION("IF(REGEXMATCH(C124, ""G""), ""o"",""x"")"),"x")</f>
        <v>x</v>
      </c>
      <c r="CE124" s="245" t="str">
        <f>IFERROR(__xludf.DUMMYFUNCTION("IF(REGEXMATCH(C124, ""m""), ""o"",""x"")"),"o")</f>
        <v>o</v>
      </c>
      <c r="CF124" s="246" t="str">
        <f>IFERROR(__xludf.DUMMYFUNCTION("IF(REGEXMATCH(C124, ""M""), ""o"",""x"")"),"x")</f>
        <v>x</v>
      </c>
      <c r="CG124" s="245" t="str">
        <f>IFERROR(__xludf.DUMMYFUNCTION("IF(REGEXMATCH(C124, ""P""), ""o"",""x"")"),"o")</f>
        <v>o</v>
      </c>
      <c r="CH124" s="246" t="str">
        <f>IFERROR(__xludf.DUMMYFUNCTION("IF(REGEXMATCH(C124, ""d""), ""o"",""x"")"),"x")</f>
        <v>x</v>
      </c>
      <c r="CI124" s="245" t="str">
        <f>IFERROR(__xludf.DUMMYFUNCTION("IF(REGEXMATCH(C124, ""D""), ""o"",""x"")"),"o")</f>
        <v>o</v>
      </c>
      <c r="CJ124" s="245" t="str">
        <f>IFERROR(__xludf.DUMMYFUNCTION("IF(REGEXMATCH(C124, ""n""), ""o"",""x"")"),"o")</f>
        <v>o</v>
      </c>
      <c r="CK124" s="245" t="str">
        <f>IFERROR(__xludf.DUMMYFUNCTION("IF(REGEXMATCH(C124, ""N""), ""o"",""x"")"),"x")</f>
        <v>x</v>
      </c>
      <c r="CL124" s="356" t="str">
        <f>IFERROR(__xludf.DUMMYFUNCTION("IF(REGEXMATCH(C124, ""S""), ""x"",""x"")"),"x")</f>
        <v>x</v>
      </c>
      <c r="CM124" s="357" t="str">
        <f t="shared" si="33"/>
        <v>xxoxxoxoxoox</v>
      </c>
      <c r="CN124" s="358">
        <f t="shared" si="34"/>
        <v>0</v>
      </c>
      <c r="CO124" s="246" t="str">
        <f>IFERROR(__xludf.DUMMYFUNCTION("IF(REGEXMATCH($C124, ""S""), ""S"",""S"")"),"S")</f>
        <v>S</v>
      </c>
      <c r="CP124" s="246" t="str">
        <f>IFERROR(__xludf.DUMMYFUNCTION("IF(REGEXMATCH($C124, ""r""), """",""r"")"),"r")</f>
        <v>r</v>
      </c>
      <c r="CQ124" s="246" t="str">
        <f>IFERROR(__xludf.DUMMYFUNCTION("IF(REGEXMATCH($C124, ""R""), """",""R"")"),"")</f>
        <v/>
      </c>
      <c r="CR124" s="246" t="str">
        <f>IFERROR(__xludf.DUMMYFUNCTION("IF(REGEXMATCH($C124, ""g""), """",""g"")"),"g")</f>
        <v>g</v>
      </c>
      <c r="CS124" s="246" t="str">
        <f>IFERROR(__xludf.DUMMYFUNCTION("IF(REGEXMATCH($C124, ""G""), """",""G"")"),"G")</f>
        <v>G</v>
      </c>
      <c r="CT124" s="246" t="str">
        <f>IFERROR(__xludf.DUMMYFUNCTION("IF(REGEXMATCH($C124, ""m""), """",""m"")"),"")</f>
        <v/>
      </c>
      <c r="CU124" s="246" t="str">
        <f>IFERROR(__xludf.DUMMYFUNCTION("IF(REGEXMATCH($C124, ""M""), """",""M"")"),"M")</f>
        <v>M</v>
      </c>
      <c r="CV124" s="246" t="str">
        <f>IFERROR(__xludf.DUMMYFUNCTION("IF(REGEXMATCH($C124, ""P""), """",""P"")"),"")</f>
        <v/>
      </c>
      <c r="CW124" s="246" t="str">
        <f>IFERROR(__xludf.DUMMYFUNCTION("IF(REGEXMATCH($C124, ""d""), """",""d"")"),"d")</f>
        <v>d</v>
      </c>
      <c r="CX124" s="246" t="str">
        <f>IFERROR(__xludf.DUMMYFUNCTION("IF(REGEXMATCH($C124, ""D""), """",""D"")"),"")</f>
        <v/>
      </c>
      <c r="CY124" s="246" t="str">
        <f>IFERROR(__xludf.DUMMYFUNCTION("IF(REGEXMATCH($C124, ""n""), """",""n"")"),"")</f>
        <v/>
      </c>
      <c r="CZ124" s="246" t="str">
        <f>IFERROR(__xludf.DUMMYFUNCTION("IF(REGEXMATCH($C124, ""N""), """",""N"")"),"N")</f>
        <v>N</v>
      </c>
      <c r="DA124" s="246" t="str">
        <f>IFERROR(__xludf.DUMMYFUNCTION("IF(REGEXMATCH($C124, ""S""), ""S"",""S"")"),"S")</f>
        <v>S</v>
      </c>
      <c r="DB124" s="362" t="str">
        <f>IFERROR(__xludf.DUMMYFUNCTION("JOIN("""",CO124:DA124,"""","""")"),"SrgGMdNS")</f>
        <v>SrgGMdNS</v>
      </c>
      <c r="DC124" s="363"/>
      <c r="DD124" s="301" t="str">
        <f t="shared" si="35"/>
        <v>#REF!</v>
      </c>
      <c r="DE124" s="302" t="str">
        <f t="shared" si="36"/>
        <v>#REF!</v>
      </c>
      <c r="DF124" s="301" t="str">
        <f t="shared" ref="DF124:DG124" si="451">SUBSTITUTE(S124,"-","")</f>
        <v>SRM</v>
      </c>
      <c r="DG124" s="301" t="str">
        <f t="shared" si="451"/>
        <v>PDNS</v>
      </c>
      <c r="DH124" s="302" t="str">
        <f t="shared" si="38"/>
        <v>Shankara</v>
      </c>
      <c r="DI124" s="301" t="str">
        <f t="shared" si="39"/>
        <v>Hemi.</v>
      </c>
      <c r="DJ124" s="364" t="str">
        <f t="shared" si="40"/>
        <v>-</v>
      </c>
      <c r="DK124" s="306" t="str">
        <f t="shared" si="41"/>
        <v>-</v>
      </c>
      <c r="DL124" s="366" t="str">
        <f t="shared" si="42"/>
        <v>✔</v>
      </c>
      <c r="DM124" s="308" t="str">
        <f t="shared" si="43"/>
        <v>-</v>
      </c>
      <c r="DN124" s="306" t="str">
        <f t="shared" si="44"/>
        <v>-</v>
      </c>
      <c r="DO124" s="306" t="str">
        <f t="shared" si="45"/>
        <v>-</v>
      </c>
      <c r="DP124" s="367" t="str">
        <f t="shared" si="46"/>
        <v>-</v>
      </c>
      <c r="DQ124" s="310" t="str">
        <f t="shared" si="47"/>
        <v>-</v>
      </c>
      <c r="DR124" s="310" t="str">
        <f t="shared" si="48"/>
        <v>-</v>
      </c>
      <c r="DS124" s="310" t="str">
        <f t="shared" si="49"/>
        <v>-</v>
      </c>
      <c r="DT124" s="310" t="str">
        <f t="shared" si="50"/>
        <v>-</v>
      </c>
      <c r="DU124" s="370" t="str">
        <f t="shared" si="51"/>
        <v>-</v>
      </c>
      <c r="DV124" s="306" t="str">
        <f t="shared" si="52"/>
        <v>-</v>
      </c>
      <c r="DW124" s="306" t="str">
        <f t="shared" si="53"/>
        <v>✔</v>
      </c>
      <c r="DX124" s="306" t="str">
        <f t="shared" si="54"/>
        <v>-</v>
      </c>
      <c r="DY124" s="306" t="str">
        <f t="shared" si="55"/>
        <v>-</v>
      </c>
      <c r="DZ124" s="306" t="str">
        <f t="shared" si="56"/>
        <v>-</v>
      </c>
      <c r="EA124" s="367" t="str">
        <f t="shared" si="57"/>
        <v>-</v>
      </c>
      <c r="EB124" s="310" t="str">
        <f>IFERROR(__xludf.DUMMYFUNCTION("IF(REGEXMATCH(AW124,AS124),""✔"",""-"")"),"✔")</f>
        <v>✔</v>
      </c>
      <c r="EC124" s="310" t="str">
        <f t="shared" si="58"/>
        <v>#REF!</v>
      </c>
      <c r="ED124" s="370" t="str">
        <f t="shared" si="59"/>
        <v>-</v>
      </c>
      <c r="EE124" s="340" t="str">
        <f t="shared" si="60"/>
        <v>S-R-m-P-D-n-S</v>
      </c>
      <c r="EF124" s="371" t="str">
        <f>IFERROR(__xludf.DUMMYFUNCTION("CONCATENATE(JOIN("""",HC124:HO124))"),"SRgmPnS")</f>
        <v>SRgmPnS</v>
      </c>
      <c r="EG124" s="372">
        <f t="shared" si="61"/>
        <v>1</v>
      </c>
      <c r="EH124" s="373" t="str">
        <f>IFERROR(__xludf.DUMMYFUNCTION("CONCATENATE(JOIN("""",JC124:JO124))"),"Dha, ")</f>
        <v>Dha, </v>
      </c>
      <c r="EI124" s="322">
        <f t="shared" si="62"/>
        <v>0</v>
      </c>
      <c r="EJ124" s="374" t="str">
        <f>IFERROR(__xludf.DUMMYFUNCTION("CONCATENATE(JOIN("""",KC124:KO124))"),"")</f>
        <v/>
      </c>
      <c r="EK124" s="325" t="str">
        <f t="shared" si="63"/>
        <v>S-R2-M1-P-D2-N2-S</v>
      </c>
      <c r="EL124" s="326" t="str">
        <f t="shared" si="64"/>
        <v>1-2-4-5-6-b7-8</v>
      </c>
      <c r="EM124" s="318" t="str">
        <f t="shared" si="65"/>
        <v>#REF!</v>
      </c>
      <c r="EN124" s="328" t="str">
        <f>IFERROR(__xludf.DUMMYFUNCTION("SUBSTITUTE(SUBSTITUTE(SUBSTITUTE(SUBSTITUTE(CONCATENATE(JOIN("" "",HP124:IB124)),""  "","" ""),""  "","" ""),""  "","" ""),""  "","" "")"),"o • o • • o • o • o o • o")</f>
        <v>o • o • • o • o • o o • o</v>
      </c>
      <c r="EO124" s="368" t="str">
        <f t="shared" si="66"/>
        <v>-</v>
      </c>
      <c r="EP124" s="339" t="str">
        <f t="shared" si="67"/>
        <v>-</v>
      </c>
      <c r="EQ124" s="339" t="str">
        <f t="shared" si="68"/>
        <v>Sa-Pa</v>
      </c>
      <c r="ER124" s="339" t="str">
        <f t="shared" si="69"/>
        <v>-</v>
      </c>
      <c r="ES124" s="340" t="str">
        <f t="shared" si="70"/>
        <v>-</v>
      </c>
      <c r="ET124" s="363"/>
      <c r="EU124" s="376" t="b">
        <f>IFERROR(__xludf.DUMMYFUNCTION("arrayformula(sum(--REGEXMATCH(""SRGMPDNS"",split(REGEXREPLACE(C124,""(.)"",""$1~""),""~""))))=len(C124)
"),FALSE)</f>
        <v>0</v>
      </c>
      <c r="EV124" s="290" t="b">
        <f>IFERROR(__xludf.DUMMYFUNCTION("arrayformula(sum(--REGEXMATCH(""SRGmPDNS"",split(REGEXREPLACE(C124,""(.)"",""$1~""),""~""))))=len(C124)"),FALSE)</f>
        <v>0</v>
      </c>
      <c r="EW124" s="290" t="b">
        <f>IFERROR(__xludf.DUMMYFUNCTION("arrayformula(sum(--REGEXMATCH(""SRGmPDnS"",split(REGEXREPLACE(C124,""(.)"",""$1~""),""~""))))=len(C124)"),TRUE)</f>
        <v>1</v>
      </c>
      <c r="EX124" s="290" t="b">
        <f>IFERROR(__xludf.DUMMYFUNCTION("arrayformula(sum(--REGEXMATCH(""SRgmPDnS"",split(REGEXREPLACE(C124,""(.)"",""$1~""),""~""))))=len(C124)"),TRUE)</f>
        <v>1</v>
      </c>
      <c r="EY124" s="290" t="b">
        <f>IFERROR(__xludf.DUMMYFUNCTION("arrayformula(sum(--REGEXMATCH(""SRgmPdnS"",split(REGEXREPLACE(C124,""(.)"",""$1~""),""~""))))=len(C124)"),FALSE)</f>
        <v>0</v>
      </c>
      <c r="EZ124" s="290" t="b">
        <f>IFERROR(__xludf.DUMMYFUNCTION("arrayformula(sum(--REGEXMATCH(""SrgmPdnS"",split(REGEXREPLACE(C124,""(.)"",""$1~""),""~""))))=len(C124)"),FALSE)</f>
        <v>0</v>
      </c>
      <c r="FA124" s="290" t="b">
        <f>IFERROR(__xludf.DUMMYFUNCTION("arrayformula(sum(--REGEXMATCH(""SrGmPdNS"",split(REGEXREPLACE(C124,""(.)"",""$1~""),""~""))))=len(C124)"),FALSE)</f>
        <v>0</v>
      </c>
      <c r="FB124" s="290" t="b">
        <f>IFERROR(__xludf.DUMMYFUNCTION("arrayformula(sum(--REGEXMATCH(""SrGMPDNS"",split(REGEXREPLACE(C124,""(.)"",""$1~""),""~""))))=len(C124)"),FALSE)</f>
        <v>0</v>
      </c>
      <c r="FC124" s="290" t="b">
        <f>IFERROR(__xludf.DUMMYFUNCTION("arrayformula(sum(--REGEXMATCH(""SrGMPdNS"",split(REGEXREPLACE(C124,""(.)"",""$1~""),""~""))))=len(C124)"),FALSE)</f>
        <v>0</v>
      </c>
      <c r="FD124" s="377" t="b">
        <f>IFERROR(__xludf.DUMMYFUNCTION("arrayformula(sum(--REGEXMATCH(""SrgMPdNS"",split(REGEXREPLACE(C124,""(.)"",""$1~""),""~""))))=len(C124)"),FALSE)</f>
        <v>0</v>
      </c>
      <c r="FE124" s="269" t="str">
        <f t="shared" si="71"/>
        <v>-</v>
      </c>
      <c r="FF124" s="269" t="str">
        <f t="shared" si="72"/>
        <v>xooxoxoxxox</v>
      </c>
      <c r="FG124" s="271" t="str">
        <f t="shared" si="73"/>
        <v>-</v>
      </c>
      <c r="FH124" s="269" t="str">
        <f t="shared" si="74"/>
        <v>-</v>
      </c>
      <c r="FI124" s="271" t="str">
        <f t="shared" si="75"/>
        <v>xoxoxxoxoxo</v>
      </c>
      <c r="FJ124" s="271" t="str">
        <f t="shared" si="76"/>
        <v>-</v>
      </c>
      <c r="FK124" s="271" t="str">
        <f t="shared" si="77"/>
        <v>xoxxoxoxoox</v>
      </c>
      <c r="FL124" s="271" t="str">
        <f t="shared" si="78"/>
        <v>-</v>
      </c>
      <c r="FM124" s="271" t="str">
        <f t="shared" si="79"/>
        <v>xxoxoxooxox</v>
      </c>
      <c r="FN124" s="271" t="str">
        <f t="shared" si="80"/>
        <v>xoxoxooxoxo</v>
      </c>
      <c r="FO124" s="274" t="str">
        <f t="shared" si="81"/>
        <v>-</v>
      </c>
      <c r="FP124" s="234" t="str">
        <f t="shared" si="82"/>
        <v>|</v>
      </c>
      <c r="FQ124" s="236" t="str">
        <f t="shared" si="83"/>
        <v>-</v>
      </c>
      <c r="FR124" s="237" t="str">
        <f t="shared" si="84"/>
        <v>|</v>
      </c>
      <c r="FS124" s="236" t="str">
        <f t="shared" si="85"/>
        <v>-</v>
      </c>
      <c r="FT124" s="237" t="str">
        <f t="shared" si="86"/>
        <v>-</v>
      </c>
      <c r="FU124" s="236" t="str">
        <f t="shared" si="87"/>
        <v>|</v>
      </c>
      <c r="FV124" s="237" t="str">
        <f t="shared" si="88"/>
        <v>-</v>
      </c>
      <c r="FW124" s="236" t="str">
        <f t="shared" si="89"/>
        <v>|</v>
      </c>
      <c r="FX124" s="237" t="str">
        <f t="shared" si="90"/>
        <v>-</v>
      </c>
      <c r="FY124" s="236" t="str">
        <f t="shared" si="91"/>
        <v>|</v>
      </c>
      <c r="FZ124" s="237" t="str">
        <f t="shared" si="92"/>
        <v>|</v>
      </c>
      <c r="GA124" s="236" t="str">
        <f t="shared" si="93"/>
        <v>-</v>
      </c>
      <c r="GB124" s="238" t="str">
        <f t="shared" si="94"/>
        <v>|</v>
      </c>
      <c r="GC124" s="244" t="str">
        <f>IFERROR(__xludf.DUMMYFUNCTION("IF(REGEXMATCH(C124, ""S""), ""1"","""")"),"1")</f>
        <v>1</v>
      </c>
      <c r="GD124" s="245" t="str">
        <f>IFERROR(__xludf.DUMMYFUNCTION("IF(REGEXMATCH(C124, ""r""), ""b2"","""")"),"")</f>
        <v/>
      </c>
      <c r="GE124" s="246" t="str">
        <f>IFERROR(__xludf.DUMMYFUNCTION("IF(REGEXMATCH(C124, ""R""), ""2"","""")"),"2")</f>
        <v>2</v>
      </c>
      <c r="GF124" s="246" t="str">
        <f>IFERROR(__xludf.DUMMYFUNCTION("IF(REGEXMATCH(C124, ""g""), ""b3"","""")"),"")</f>
        <v/>
      </c>
      <c r="GG124" s="245" t="str">
        <f>IFERROR(__xludf.DUMMYFUNCTION("IF(REGEXMATCH(C124, ""G""), ""3"","""")"),"")</f>
        <v/>
      </c>
      <c r="GH124" s="245" t="str">
        <f>IFERROR(__xludf.DUMMYFUNCTION("IF(REGEXMATCH(C124, ""m""), ""4"","""")"),"4")</f>
        <v>4</v>
      </c>
      <c r="GI124" s="246" t="str">
        <f>IFERROR(__xludf.DUMMYFUNCTION("IF(REGEXMATCH(C124, ""M""), ""#4"","""")"),"")</f>
        <v/>
      </c>
      <c r="GJ124" s="245" t="str">
        <f>IFERROR(__xludf.DUMMYFUNCTION("IF(REGEXMATCH(C124, ""P""), ""5"","""")"),"5")</f>
        <v>5</v>
      </c>
      <c r="GK124" s="246" t="str">
        <f>IFERROR(__xludf.DUMMYFUNCTION("IF(REGEXMATCH(C124, ""d""), ""b6"","""")"),"")</f>
        <v/>
      </c>
      <c r="GL124" s="245" t="str">
        <f>IFERROR(__xludf.DUMMYFUNCTION("IF(REGEXMATCH(C124, ""D""), ""6"","""")"),"6")</f>
        <v>6</v>
      </c>
      <c r="GM124" s="245" t="str">
        <f>IFERROR(__xludf.DUMMYFUNCTION("IF(REGEXMATCH(C124, ""n""), ""b7"","""")"),"b7")</f>
        <v>b7</v>
      </c>
      <c r="GN124" s="246" t="str">
        <f>IFERROR(__xludf.DUMMYFUNCTION("IF(REGEXMATCH(C124, ""N""), ""7"","""")"),"")</f>
        <v/>
      </c>
      <c r="GO124" s="249" t="str">
        <f>IFERROR(__xludf.DUMMYFUNCTION("IF(REGEXMATCH(C124, ""S""), ""8"","""")"),"8")</f>
        <v>8</v>
      </c>
      <c r="GP124" s="244" t="str">
        <f>IFERROR(__xludf.DUMMYFUNCTION("IF(REGEXMATCH(C124, ""S""), ""S"","""")"),"S")</f>
        <v>S</v>
      </c>
      <c r="GQ124" s="294" t="str">
        <f>IFERROR(__xludf.DUMMYFUNCTION("IF(REGEXMATCH(C124, ""r""), ""R1"","""")"),"")</f>
        <v/>
      </c>
      <c r="GR124" s="295" t="str">
        <f>IFERROR(__xludf.DUMMYFUNCTION("IF(REGEXMATCH(C124, ""R""), ""R2"","""")"),"R2")</f>
        <v>R2</v>
      </c>
      <c r="GS124" s="295" t="str">
        <f>IFERROR(__xludf.DUMMYFUNCTION("IF(REGEXMATCH(C124, ""g""), ""G2"","""")"),"")</f>
        <v/>
      </c>
      <c r="GT124" s="294" t="str">
        <f>IFERROR(__xludf.DUMMYFUNCTION("IF(REGEXMATCH(C124, ""G""), ""G3"","""")"),"")</f>
        <v/>
      </c>
      <c r="GU124" s="294" t="str">
        <f>IFERROR(__xludf.DUMMYFUNCTION("IF(REGEXMATCH(C124, ""m""), ""M1"","""")"),"M1")</f>
        <v>M1</v>
      </c>
      <c r="GV124" s="295" t="str">
        <f>IFERROR(__xludf.DUMMYFUNCTION("IF(REGEXMATCH(C124, ""M""), ""M2"","""")"),"")</f>
        <v/>
      </c>
      <c r="GW124" s="294" t="str">
        <f>IFERROR(__xludf.DUMMYFUNCTION("IF(REGEXMATCH(C124, ""P""), ""P"","""")"),"P")</f>
        <v>P</v>
      </c>
      <c r="GX124" s="295" t="str">
        <f>IFERROR(__xludf.DUMMYFUNCTION("IF(REGEXMATCH(C124, ""d""), ""D1"","""")"),"")</f>
        <v/>
      </c>
      <c r="GY124" s="294" t="str">
        <f>IFERROR(__xludf.DUMMYFUNCTION("IF(REGEXMATCH(C124, ""D""), ""D2"","""")"),"D2")</f>
        <v>D2</v>
      </c>
      <c r="GZ124" s="294" t="str">
        <f>IFERROR(__xludf.DUMMYFUNCTION("IF(REGEXMATCH(C124, ""n""), ""N2"","""")"),"N2")</f>
        <v>N2</v>
      </c>
      <c r="HA124" s="295" t="str">
        <f>IFERROR(__xludf.DUMMYFUNCTION("IF(REGEXMATCH(C124, ""N""), ""N3"","""")"),"")</f>
        <v/>
      </c>
      <c r="HB124" s="249" t="str">
        <f>IFERROR(__xludf.DUMMYFUNCTION("IF(REGEXMATCH(C124, ""S""), ""S"","""")"),"S")</f>
        <v>S</v>
      </c>
      <c r="HC124" s="331" t="str">
        <f t="shared" si="95"/>
        <v>S</v>
      </c>
      <c r="HD124" s="332" t="str">
        <f t="shared" si="96"/>
        <v/>
      </c>
      <c r="HE124" s="332" t="str">
        <f t="shared" si="97"/>
        <v>R</v>
      </c>
      <c r="HF124" s="332" t="str">
        <f t="shared" si="98"/>
        <v>g</v>
      </c>
      <c r="HG124" s="332" t="str">
        <f t="shared" si="99"/>
        <v/>
      </c>
      <c r="HH124" s="332" t="str">
        <f t="shared" si="100"/>
        <v>m</v>
      </c>
      <c r="HI124" s="332" t="str">
        <f t="shared" si="101"/>
        <v/>
      </c>
      <c r="HJ124" s="332" t="str">
        <f t="shared" si="102"/>
        <v>P</v>
      </c>
      <c r="HK124" s="332" t="str">
        <f t="shared" si="103"/>
        <v/>
      </c>
      <c r="HL124" s="332" t="str">
        <f t="shared" si="104"/>
        <v/>
      </c>
      <c r="HM124" s="332" t="str">
        <f t="shared" si="105"/>
        <v>n</v>
      </c>
      <c r="HN124" s="332" t="str">
        <f t="shared" si="106"/>
        <v/>
      </c>
      <c r="HO124" s="343" t="str">
        <f t="shared" si="107"/>
        <v>S</v>
      </c>
      <c r="HP124" s="331" t="str">
        <f t="shared" si="108"/>
        <v>o</v>
      </c>
      <c r="HQ124" s="332" t="str">
        <f t="shared" si="109"/>
        <v>•</v>
      </c>
      <c r="HR124" s="332" t="str">
        <f t="shared" si="110"/>
        <v>o</v>
      </c>
      <c r="HS124" s="332" t="str">
        <f t="shared" si="111"/>
        <v>•</v>
      </c>
      <c r="HT124" s="332" t="str">
        <f t="shared" si="112"/>
        <v>•</v>
      </c>
      <c r="HU124" s="332" t="str">
        <f t="shared" si="113"/>
        <v>o</v>
      </c>
      <c r="HV124" s="332" t="str">
        <f t="shared" si="114"/>
        <v>•</v>
      </c>
      <c r="HW124" s="332" t="str">
        <f t="shared" si="115"/>
        <v>o</v>
      </c>
      <c r="HX124" s="332" t="str">
        <f t="shared" si="116"/>
        <v>•</v>
      </c>
      <c r="HY124" s="332" t="str">
        <f t="shared" si="117"/>
        <v>o</v>
      </c>
      <c r="HZ124" s="332" t="str">
        <f t="shared" si="118"/>
        <v>o</v>
      </c>
      <c r="IA124" s="332" t="str">
        <f t="shared" si="119"/>
        <v>•</v>
      </c>
      <c r="IB124" s="338" t="str">
        <f t="shared" si="120"/>
        <v>o</v>
      </c>
      <c r="IC124" s="331" t="str">
        <f t="shared" si="121"/>
        <v>•</v>
      </c>
      <c r="ID124" s="332" t="str">
        <f t="shared" si="122"/>
        <v>o</v>
      </c>
      <c r="IE124" s="332" t="str">
        <f t="shared" si="123"/>
        <v>•</v>
      </c>
      <c r="IF124" s="332" t="str">
        <f t="shared" si="124"/>
        <v>o</v>
      </c>
      <c r="IG124" s="332" t="str">
        <f t="shared" si="125"/>
        <v>o</v>
      </c>
      <c r="IH124" s="332" t="str">
        <f t="shared" si="126"/>
        <v>•</v>
      </c>
      <c r="II124" s="332" t="str">
        <f t="shared" si="127"/>
        <v>o</v>
      </c>
      <c r="IJ124" s="332" t="str">
        <f t="shared" si="128"/>
        <v>•</v>
      </c>
      <c r="IK124" s="332" t="str">
        <f t="shared" si="129"/>
        <v>o</v>
      </c>
      <c r="IL124" s="332" t="str">
        <f t="shared" si="130"/>
        <v>•</v>
      </c>
      <c r="IM124" s="332" t="str">
        <f t="shared" si="131"/>
        <v>•</v>
      </c>
      <c r="IN124" s="332" t="str">
        <f t="shared" si="132"/>
        <v>o</v>
      </c>
      <c r="IO124" s="338" t="str">
        <f t="shared" si="133"/>
        <v>•</v>
      </c>
      <c r="IP124" s="346" t="b">
        <f t="shared" si="134"/>
        <v>0</v>
      </c>
      <c r="IQ124" s="347" t="b">
        <f t="shared" si="135"/>
        <v>0</v>
      </c>
      <c r="IR124" s="347" t="b">
        <f t="shared" si="136"/>
        <v>0</v>
      </c>
      <c r="IS124" s="347" t="b">
        <f t="shared" si="137"/>
        <v>0</v>
      </c>
      <c r="IT124" s="347" t="b">
        <f t="shared" si="138"/>
        <v>0</v>
      </c>
      <c r="IU124" s="347" t="b">
        <f t="shared" si="139"/>
        <v>0</v>
      </c>
      <c r="IV124" s="347" t="b">
        <f t="shared" si="140"/>
        <v>0</v>
      </c>
      <c r="IW124" s="347" t="b">
        <f t="shared" si="141"/>
        <v>0</v>
      </c>
      <c r="IX124" s="347" t="b">
        <f t="shared" si="142"/>
        <v>0</v>
      </c>
      <c r="IY124" s="347" t="b">
        <f t="shared" si="143"/>
        <v>1</v>
      </c>
      <c r="IZ124" s="347" t="b">
        <f t="shared" si="144"/>
        <v>0</v>
      </c>
      <c r="JA124" s="347" t="b">
        <f t="shared" si="145"/>
        <v>0</v>
      </c>
      <c r="JB124" s="353" t="b">
        <f t="shared" si="146"/>
        <v>0</v>
      </c>
      <c r="JC124" s="354" t="str">
        <f t="shared" si="147"/>
        <v/>
      </c>
      <c r="JD124" s="355" t="str">
        <f t="shared" si="148"/>
        <v/>
      </c>
      <c r="JE124" s="355" t="str">
        <f t="shared" si="149"/>
        <v/>
      </c>
      <c r="JF124" s="355" t="str">
        <f t="shared" si="150"/>
        <v/>
      </c>
      <c r="JG124" s="355" t="str">
        <f t="shared" si="151"/>
        <v/>
      </c>
      <c r="JH124" s="355" t="str">
        <f t="shared" si="152"/>
        <v/>
      </c>
      <c r="JI124" s="355" t="str">
        <f t="shared" si="153"/>
        <v/>
      </c>
      <c r="JJ124" s="355" t="str">
        <f t="shared" si="154"/>
        <v/>
      </c>
      <c r="JK124" s="355" t="str">
        <f t="shared" si="155"/>
        <v/>
      </c>
      <c r="JL124" s="355" t="str">
        <f t="shared" si="156"/>
        <v>Dha, </v>
      </c>
      <c r="JM124" s="355" t="str">
        <f t="shared" si="157"/>
        <v/>
      </c>
      <c r="JN124" s="355" t="str">
        <f t="shared" si="158"/>
        <v/>
      </c>
      <c r="JO124" s="359" t="str">
        <f t="shared" si="159"/>
        <v/>
      </c>
      <c r="JP124" s="346" t="b">
        <f t="shared" si="160"/>
        <v>0</v>
      </c>
      <c r="JQ124" s="347" t="b">
        <f t="shared" si="161"/>
        <v>0</v>
      </c>
      <c r="JR124" s="347" t="b">
        <f t="shared" si="162"/>
        <v>0</v>
      </c>
      <c r="JS124" s="347" t="b">
        <f t="shared" si="163"/>
        <v>0</v>
      </c>
      <c r="JT124" s="347" t="b">
        <f t="shared" si="164"/>
        <v>0</v>
      </c>
      <c r="JU124" s="347" t="b">
        <f t="shared" si="165"/>
        <v>0</v>
      </c>
      <c r="JV124" s="347" t="b">
        <f t="shared" si="166"/>
        <v>0</v>
      </c>
      <c r="JW124" s="347" t="b">
        <f t="shared" si="167"/>
        <v>0</v>
      </c>
      <c r="JX124" s="347" t="b">
        <f t="shared" si="168"/>
        <v>0</v>
      </c>
      <c r="JY124" s="347" t="b">
        <f t="shared" si="169"/>
        <v>0</v>
      </c>
      <c r="JZ124" s="347" t="b">
        <f t="shared" si="170"/>
        <v>0</v>
      </c>
      <c r="KA124" s="347" t="b">
        <f t="shared" si="171"/>
        <v>0</v>
      </c>
      <c r="KB124" s="365" t="b">
        <f t="shared" si="172"/>
        <v>0</v>
      </c>
      <c r="KC124" s="354" t="str">
        <f t="shared" si="173"/>
        <v/>
      </c>
      <c r="KD124" s="355" t="str">
        <f t="shared" si="174"/>
        <v/>
      </c>
      <c r="KE124" s="355" t="str">
        <f t="shared" si="175"/>
        <v/>
      </c>
      <c r="KF124" s="355" t="str">
        <f t="shared" si="176"/>
        <v/>
      </c>
      <c r="KG124" s="355" t="str">
        <f t="shared" si="177"/>
        <v/>
      </c>
      <c r="KH124" s="355" t="str">
        <f t="shared" si="178"/>
        <v/>
      </c>
      <c r="KI124" s="355" t="str">
        <f t="shared" si="179"/>
        <v/>
      </c>
      <c r="KJ124" s="355" t="str">
        <f t="shared" si="180"/>
        <v/>
      </c>
      <c r="KK124" s="355" t="str">
        <f t="shared" si="181"/>
        <v/>
      </c>
      <c r="KL124" s="355" t="str">
        <f t="shared" si="182"/>
        <v/>
      </c>
      <c r="KM124" s="355" t="str">
        <f t="shared" si="183"/>
        <v/>
      </c>
      <c r="KN124" s="355" t="str">
        <f t="shared" si="184"/>
        <v/>
      </c>
      <c r="KO124" s="359"/>
      <c r="KP124" s="378"/>
      <c r="KQ124" s="379" t="s">
        <v>1395</v>
      </c>
      <c r="KR124" s="380" t="s">
        <v>1387</v>
      </c>
      <c r="KS124" s="381" t="str">
        <f t="shared" si="452"/>
        <v>S-R-m-D-n-S</v>
      </c>
      <c r="KT124" s="382">
        <f t="shared" si="186"/>
        <v>5</v>
      </c>
      <c r="KU124" s="383">
        <f t="shared" si="187"/>
        <v>5</v>
      </c>
      <c r="KV124" s="381" t="str">
        <f t="shared" si="205"/>
        <v>S-n-D-P-m-R-S</v>
      </c>
      <c r="KW124" s="382">
        <f t="shared" si="189"/>
        <v>6</v>
      </c>
      <c r="KX124" s="384">
        <f t="shared" si="190"/>
        <v>6</v>
      </c>
      <c r="KY124" s="382">
        <f t="shared" ref="KY124:KZ124" si="453">KW124-KT124</f>
        <v>1</v>
      </c>
      <c r="KZ124" s="369">
        <f t="shared" si="453"/>
        <v>1</v>
      </c>
      <c r="LA124" s="385" t="str">
        <f t="shared" si="192"/>
        <v>-</v>
      </c>
      <c r="LB124" s="340" t="str">
        <f>IFERROR(__xludf.DUMMYFUNCTION("JOIN("""",ArrayFormula(MID(KS124,LEN(KS124)-SEQUENCE(1,LEN(KS124))+1,1)))"),"S-n-D-m-R-S")</f>
        <v>S-n-D-m-R-S</v>
      </c>
      <c r="LC124" s="373" t="str">
        <f>IFERROR(__xludf.DUMMYFUNCTION("JOIN("""",ArrayFormula(MID(KV124,LEN(KV124)-SEQUENCE(1,LEN(KV124))+1,1)))"),"S-R-m-P-D-n-S")</f>
        <v>S-R-m-P-D-n-S</v>
      </c>
      <c r="LD124" s="373" t="str">
        <f t="shared" si="193"/>
        <v>SRmDnS</v>
      </c>
      <c r="LE124" s="339" t="str">
        <f t="shared" si="194"/>
        <v>SRmPDnS</v>
      </c>
      <c r="LF124" s="386" t="str">
        <f>IFERROR(__xludf.DUMMYFUNCTION("SUBSTITUTE(SUBSTITUTE(CONCATENATE(JOIN("""",LH124:LT124)),""1"",""""),""2"","""")"),"SRmPDnS")</f>
        <v>SRmPDnS</v>
      </c>
      <c r="LG124" s="369" t="str">
        <f t="shared" si="195"/>
        <v>✔</v>
      </c>
      <c r="LH124" s="387" t="str">
        <f>IFERROR(__xludf.DUMMYFUNCTION("IF(REGEXMATCH(LD124, ""S""), ""S"",IF(REGEXMATCH(LE124, ""S""), ""S"",""""))"),"S")</f>
        <v>S</v>
      </c>
      <c r="LI124" s="299" t="str">
        <f>IFERROR(__xludf.DUMMYFUNCTION("IF(REGEXMATCH(LD124, ""r""), ""r1"",IF(REGEXMATCH(LE124, ""r""), ""r2"",""""))"),"")</f>
        <v/>
      </c>
      <c r="LJ124" s="299" t="str">
        <f>IFERROR(__xludf.DUMMYFUNCTION("IF(REGEXMATCH(LD124, ""R""), ""R1"",IF(REGEXMATCH(LE124, ""R""), ""R2"",""""))"),"R1")</f>
        <v>R1</v>
      </c>
      <c r="LK124" s="299" t="str">
        <f>IFERROR(__xludf.DUMMYFUNCTION("IF(REGEXMATCH(LD124, ""g""), ""g1"",IF(REGEXMATCH(LE124, ""g""), ""g2"",""""))"),"")</f>
        <v/>
      </c>
      <c r="LL124" s="299" t="str">
        <f>IFERROR(__xludf.DUMMYFUNCTION("IF(REGEXMATCH(LD124, ""G""), ""G1"",IF(REGEXMATCH(LE124, ""G""), ""G2"",""""))"),"")</f>
        <v/>
      </c>
      <c r="LM124" s="299" t="str">
        <f>IFERROR(__xludf.DUMMYFUNCTION("IF(REGEXMATCH(LD124, ""m""), ""m1"",IF(REGEXMATCH(LE124, ""m""), ""m2"",""""))"),"m1")</f>
        <v>m1</v>
      </c>
      <c r="LN124" s="299" t="str">
        <f>IFERROR(__xludf.DUMMYFUNCTION("IF(REGEXMATCH(LD124, ""M""), ""M1"",IF(REGEXMATCH(LE124, ""M""), ""M2"",""""))"),"")</f>
        <v/>
      </c>
      <c r="LO124" s="299" t="str">
        <f>IFERROR(__xludf.DUMMYFUNCTION("IF(REGEXMATCH(LD124, ""P""), ""P1"",IF(REGEXMATCH(LE124, ""P""), ""P2"",""""))"),"P2")</f>
        <v>P2</v>
      </c>
      <c r="LP124" s="299" t="str">
        <f>IFERROR(__xludf.DUMMYFUNCTION("IF(REGEXMATCH(LD124, ""d""), ""d1"",IF(REGEXMATCH(LE124, ""d""), ""d2"",""""))"),"")</f>
        <v/>
      </c>
      <c r="LQ124" s="299" t="str">
        <f>IFERROR(__xludf.DUMMYFUNCTION("IF(REGEXMATCH(LD124, ""D""), ""D1"",IF(REGEXMATCH(LE124, ""D""), ""D2"",""""))"),"D1")</f>
        <v>D1</v>
      </c>
      <c r="LR124" s="299" t="str">
        <f>IFERROR(__xludf.DUMMYFUNCTION("IF(REGEXMATCH(LD124, ""n""), ""n1"",IF(REGEXMATCH(LE124, ""n""), ""n2"",""""))"),"n1")</f>
        <v>n1</v>
      </c>
      <c r="LS124" s="299" t="str">
        <f>IFERROR(__xludf.DUMMYFUNCTION("IF(REGEXMATCH(LD124, ""N""), ""N1"",IF(REGEXMATCH(LE124, ""N""), ""N2"",""""))"),"")</f>
        <v/>
      </c>
      <c r="LT124" s="388" t="str">
        <f>IFERROR(__xludf.DUMMYFUNCTION("IF(REGEXMATCH(LD124, ""S""), ""S"",IF(REGEXMATCH(LE124, ""S""), ""S"",""""))"),"S")</f>
        <v>S</v>
      </c>
      <c r="LU124" s="389">
        <f t="shared" si="196"/>
        <v>-1</v>
      </c>
      <c r="LV124" s="378"/>
      <c r="LW124" s="369"/>
      <c r="LX124" s="369"/>
    </row>
    <row r="125" ht="18.0" customHeight="1">
      <c r="A125" s="298" t="s">
        <v>760</v>
      </c>
      <c r="B125" s="222" t="s">
        <v>761</v>
      </c>
      <c r="C125" s="233" t="str">
        <f t="shared" si="7"/>
        <v>SrgMdNS</v>
      </c>
      <c r="D125" s="234" t="str">
        <f>IFERROR(__xludf.DUMMYFUNCTION("IF(REGEXMATCH(C125, ""S""), ""S"","""")"),"S")</f>
        <v>S</v>
      </c>
      <c r="E125" s="236" t="str">
        <f>IFERROR(__xludf.DUMMYFUNCTION("IF(REGEXMATCH(C125, ""r""), ""r"","""")"),"r")</f>
        <v>r</v>
      </c>
      <c r="F125" s="237" t="str">
        <f>IFERROR(__xludf.DUMMYFUNCTION("IF(REGEXMATCH(C125, ""R""), ""R"","""")"),"")</f>
        <v/>
      </c>
      <c r="G125" s="237" t="str">
        <f>IFERROR(__xludf.DUMMYFUNCTION("IF(REGEXMATCH(C125, ""g""), ""g"","""")"),"g")</f>
        <v>g</v>
      </c>
      <c r="H125" s="236" t="str">
        <f>IFERROR(__xludf.DUMMYFUNCTION("IF(REGEXMATCH(C125, ""G""), ""G"","""")"),"")</f>
        <v/>
      </c>
      <c r="I125" s="236" t="str">
        <f>IFERROR(__xludf.DUMMYFUNCTION("IF(REGEXMATCH(C125, ""m""), ""m"","""")"),"")</f>
        <v/>
      </c>
      <c r="J125" s="237" t="str">
        <f>IFERROR(__xludf.DUMMYFUNCTION("IF(REGEXMATCH(C125, ""M""), ""M"","""")"),"M")</f>
        <v>M</v>
      </c>
      <c r="K125" s="236" t="str">
        <f>IFERROR(__xludf.DUMMYFUNCTION("IF(REGEXMATCH(C125, ""P""), ""P"","""")"),"")</f>
        <v/>
      </c>
      <c r="L125" s="237" t="str">
        <f>IFERROR(__xludf.DUMMYFUNCTION("IF(REGEXMATCH(C125, ""d""), ""d"","""")"),"d")</f>
        <v>d</v>
      </c>
      <c r="M125" s="236" t="str">
        <f>IFERROR(__xludf.DUMMYFUNCTION("IF(REGEXMATCH(C125, ""D""), ""D"","""")"),"")</f>
        <v/>
      </c>
      <c r="N125" s="236" t="str">
        <f>IFERROR(__xludf.DUMMYFUNCTION("IF(REGEXMATCH(C125, ""n""), ""n"","""")"),"")</f>
        <v/>
      </c>
      <c r="O125" s="237" t="str">
        <f>IFERROR(__xludf.DUMMYFUNCTION("IF(REGEXMATCH(C125, ""N""), ""N"","""")"),"N")</f>
        <v>N</v>
      </c>
      <c r="P125" s="238" t="str">
        <f>IFERROR(__xludf.DUMMYFUNCTION("IF(REGEXMATCH(C125, ""S""), ""S"","""")"),"S")</f>
        <v>S</v>
      </c>
      <c r="Q125" s="239" t="str">
        <f>IFERROR(__xludf.DUMMYFUNCTION("SUBSTITUTE(CONCATENATE(JOIN(""-"",D125:J125)),""-"","""")"),"SrgM")</f>
        <v>SrgM</v>
      </c>
      <c r="R125" s="229" t="str">
        <f>IFERROR(__xludf.DUMMYFUNCTION("SUBSTITUTE(CONCATENATE(JOIN(""-"",K125:P125)),""-"","""")"),"dNS")</f>
        <v>dNS</v>
      </c>
      <c r="S125" s="282" t="str">
        <f t="shared" si="8"/>
        <v>S-R-G-M</v>
      </c>
      <c r="T125" s="282" t="str">
        <f t="shared" si="9"/>
        <v>D-N-S</v>
      </c>
      <c r="U125" s="237" t="str">
        <f>IFERROR(__xludf.DUMMYFUNCTION("SUBSTITUTE(JOIN(""-"",S125,T125),""--"",""-"")"),"S-R-G-M-D-N-S")</f>
        <v>S-R-G-M-D-N-S</v>
      </c>
      <c r="V125" s="309" t="str">
        <f t="shared" si="10"/>
        <v>rgMdN</v>
      </c>
      <c r="W125" s="244" t="str">
        <f>IFERROR(__xludf.DUMMYFUNCTION("IF(REGEXMATCH(C125, ""S""), ""0"","""")"),"0")</f>
        <v>0</v>
      </c>
      <c r="X125" s="245" t="str">
        <f>IFERROR(__xludf.DUMMYFUNCTION("IF(REGEXMATCH(C125, ""r""), ""1"","""")"),"1")</f>
        <v>1</v>
      </c>
      <c r="Y125" s="246" t="str">
        <f>IFERROR(__xludf.DUMMYFUNCTION("IF(REGEXMATCH(C125, ""R""), ""2"","""")"),"")</f>
        <v/>
      </c>
      <c r="Z125" s="246" t="str">
        <f>IFERROR(__xludf.DUMMYFUNCTION("IF(REGEXMATCH(C125, ""g""), ""3"","""")"),"3")</f>
        <v>3</v>
      </c>
      <c r="AA125" s="245" t="str">
        <f>IFERROR(__xludf.DUMMYFUNCTION("IF(REGEXMATCH(C125, ""G""), ""4"","""")"),"")</f>
        <v/>
      </c>
      <c r="AB125" s="245" t="str">
        <f>IFERROR(__xludf.DUMMYFUNCTION("IF(REGEXMATCH(C125, ""m""), ""5"","""")"),"")</f>
        <v/>
      </c>
      <c r="AC125" s="246" t="str">
        <f>IFERROR(__xludf.DUMMYFUNCTION("IF(REGEXMATCH(C125, ""M""), ""6"","""")"),"6")</f>
        <v>6</v>
      </c>
      <c r="AD125" s="245" t="str">
        <f>IFERROR(__xludf.DUMMYFUNCTION("IF(REGEXMATCH(C125, ""P""), ""7"","""")"),"")</f>
        <v/>
      </c>
      <c r="AE125" s="246" t="str">
        <f>IFERROR(__xludf.DUMMYFUNCTION("IF(REGEXMATCH(C125, ""d""), ""8"","""")"),"8")</f>
        <v>8</v>
      </c>
      <c r="AF125" s="245" t="str">
        <f>IFERROR(__xludf.DUMMYFUNCTION("IF(REGEXMATCH(C125, ""D""), ""9"","""")"),"")</f>
        <v/>
      </c>
      <c r="AG125" s="245" t="str">
        <f>IFERROR(__xludf.DUMMYFUNCTION("IF(REGEXMATCH(C125, ""n""), ""10"","""")"),"")</f>
        <v/>
      </c>
      <c r="AH125" s="246" t="str">
        <f>IFERROR(__xludf.DUMMYFUNCTION("IF(REGEXMATCH(C125, ""N""), ""11"","""")"),"11")</f>
        <v>11</v>
      </c>
      <c r="AI125" s="249" t="str">
        <f>IFERROR(__xludf.DUMMYFUNCTION("IF(REGEXMATCH(C125, ""S""), ""0"","""")"),"0")</f>
        <v>0</v>
      </c>
      <c r="AJ125" s="313" t="str">
        <f t="shared" si="11"/>
        <v>T</v>
      </c>
      <c r="AK125" s="313" t="str">
        <f t="shared" si="12"/>
        <v>-</v>
      </c>
      <c r="AL125" s="313" t="str">
        <f t="shared" si="13"/>
        <v>-</v>
      </c>
      <c r="AM125" s="313" t="str">
        <f t="shared" si="14"/>
        <v>-</v>
      </c>
      <c r="AN125" s="313" t="str">
        <f t="shared" si="15"/>
        <v>-</v>
      </c>
      <c r="AO125" s="314" t="str">
        <f t="shared" si="16"/>
        <v>-</v>
      </c>
      <c r="AP125" s="316">
        <f t="shared" si="17"/>
        <v>1</v>
      </c>
      <c r="AQ125" s="319" t="str">
        <f t="shared" si="18"/>
        <v>#REF!</v>
      </c>
      <c r="AR125" s="320">
        <f t="shared" si="19"/>
        <v>0</v>
      </c>
      <c r="AS125" s="250" t="str">
        <f>IFERROR(__xludf.DUMMYFUNCTION("SUBSTITUTE(SUBSTITUTE(CONCATENATE(JOIN("""",FP125:GA125)),""|"",""x""),""-"",""o"")"),"xxoxooxoxoox")</f>
        <v>xxoxooxoxoox</v>
      </c>
      <c r="AT125" s="323" t="str">
        <f>IFERROR(__xludf.DUMMYFUNCTION("JOIN("""",AS125,AS125)"),"xxoxooxoxooxxxoxooxoxoox")</f>
        <v>xxoxooxoxooxxxoxooxoxoox</v>
      </c>
      <c r="AU125" s="256" t="str">
        <f>IFERROR(__xludf.DUMMYFUNCTION("JOIN("""",ArrayFormula(MID(AS125,LEN(AS125)-SEQUENCE(1,LEN(AS125))+1,1)))"),"xooxoxooxoxx")</f>
        <v>xooxoxooxoxx</v>
      </c>
      <c r="AV125" s="256" t="str">
        <f>IFERROR(__xludf.DUMMYFUNCTION("LEFT(CONCATENATE(""x"",JOIN("""",ArrayFormula(MID(AS125,LEN(AS125)-SEQUENCE(1,LEN(AS125))+1,1)))),12)"),"xxooxoxooxox")</f>
        <v>xxooxoxooxox</v>
      </c>
      <c r="AW125" s="327" t="str">
        <f>IFERROR(__xludf.DUMMYFUNCTION("JOIN("""",AU125,AU125)"),"xooxoxooxoxxxooxoxooxoxx")</f>
        <v>xooxoxooxoxxxooxoxooxoxx</v>
      </c>
      <c r="AX125" s="239" t="str">
        <f>IFERROR(__xludf.DUMMYFUNCTION("IF(REGEXMATCH(AW125,AS125),""✔"",""-"")"),"-")</f>
        <v>-</v>
      </c>
      <c r="AY125" s="330" t="str">
        <f t="shared" si="20"/>
        <v>-</v>
      </c>
      <c r="AZ125" s="260" t="str">
        <f t="shared" si="21"/>
        <v>#REF!</v>
      </c>
      <c r="BA125" s="333" t="str">
        <f t="shared" si="22"/>
        <v>xxoxoox</v>
      </c>
      <c r="BB125" s="334" t="str">
        <f t="shared" si="23"/>
        <v>oxooxx</v>
      </c>
      <c r="BC125" s="335" t="str">
        <f t="shared" si="236"/>
        <v>-</v>
      </c>
      <c r="BD125" s="336" t="str">
        <f t="shared" si="25"/>
        <v>Gujiri Todi: 'xxoxoox' + 'oxooxx'</v>
      </c>
      <c r="BE125" s="337">
        <f>IFERROR(__xludf.DUMMYFUNCTION("COUNTUNIQUE(FILTER(AT:AT,REGEXMATCH(AT:AT,AS125)))-1"),3.0)</f>
        <v>3</v>
      </c>
      <c r="BF125" s="261" t="str">
        <f>IFERROR(__xludf.DUMMYFUNCTION("IF(BI125=0,""(n/a)"",IF(BJ125=2,""(PAIR)"",IF(REGEXMATCH(AT125,""xoxoxxoxoxox""),""Bilawal"",IF(REGEXMATCH(AT125,""xoxoxooxoxoo""),""Bhupali"",IF(REGEXMATCH(AT125,""xoxoxxoxxoxo""),""Charukeshi"",IF(REGEXMATCH(AT125,""xoxoooxxoxxo""),""Kameshwari"",IF(REG"&amp;"EXMATCH(AT125,""xoxoxooxoxox""),""Shankara"",IF(REGEXMATCH(AT125,""xxooxoxxxoox""),""Basant"",IF(REGEXMATCH(AT125,""xoxoxxxxoxox""),""Bihag"",IF(REGEXMATCH(AT125,""xoxxxxoxoxxx""),""Pilu"",IF(REGEXMATCH(AT125,""xoxxoxoxxoox""),""Kirwani"",IF(REGEXMATCH(AT"&amp;"125,""xoxxoxoxoxxx""),""Mk.Malhar"",IF(REGEXMATCH(AT125,""xxooxxoxxoox""),""Bhairav"",IF(REGEXMATCH(AT125,""xxoxooxxxoox""),""Todi"",IF(REGEXMATCH(AT125,""xxooxoxooxox""),""Marwa"",IF(REGEXMATCH(AT125,""xxoooxoxxooo""),""Gunkali"",IF(REGEXMATCH(AT125,""xo"&amp;"xoxxoxxoox""),""Nat Bhairav"",IF(REGEXMATCH(AT125,""xoxxoooxoxoo""),""Shivranjani"",IF(REGEXMATCH(AT125,""xooxxxoxooxo""),""Jog"",IF(REGEXMATCH(AT125,""xxooxoxoxoox""),""Hemshri"",IF(REGEXMATCH(AT125,""xoooxooxoxxo""),""Kalavati"",IF(REGEXMATCH(AT125,""xx"&amp;"oxoxxoxoox""),""Kedar"",IF(REGEXMATCH(AT125,""xoxxxxoxooxx""),""Gara"",IF(REGEXMATCH(AT125,""xooxoxooxoox""),""Chandrakauns"",IF(REGEXMATCH(AT125,""xoxxxxoxxxox""),""Mand"",IF(REGEXMATCH(AT125,""xoxxxxoxoxox""),""Hanskinkini"",IF(REGEXMATCH(AT125,""xxooxx"&amp;"oxooxo""),""Lilavati"",IF(REGEXMATCH(AT125,""xooxoxoooxox""),""Rajeshwari"",IF(REGEXMATCH(AT125,""xoooxxoxoxxx""),""Khokar"",IF(REGEXMATCH(AT125,""xxooxoxxxxox""),""Maligoura"",""-""))))))))))))))))))))))))))))))"),"Jog")</f>
        <v>Jog</v>
      </c>
      <c r="BG125" s="239" t="str">
        <f t="shared" si="26"/>
        <v>#REF!</v>
      </c>
      <c r="BH125" s="239">
        <f>IFERROR(__xludf.DUMMYFUNCTION("COUNTUNIQUE(FE125:FO125)-1"),5.0)</f>
        <v>5</v>
      </c>
      <c r="BI125" s="239">
        <f>IFERROR(__xludf.DUMMYFUNCTION("COUNTUNIQUE(FILTER(AT:AT,REGEXMATCH(AT:AT,AS125)))-1"),3.0)</f>
        <v>3</v>
      </c>
      <c r="BJ125" s="239">
        <f>IFERROR(__xludf.DUMMYFUNCTION("COUNTA(FILTER(AT:AT,REGEXMATCH(AT:AT,AS125)))"),4.0)</f>
        <v>4</v>
      </c>
      <c r="BK125" s="341">
        <f>IFERROR(__xludf.DUMMYFUNCTION("COUNTA(FILTER(AT:AT,REGEXMATCH(AT:AT,AS125)))-AR125"),4.0)</f>
        <v>4</v>
      </c>
      <c r="BL125" s="276" t="str">
        <f>IFERROR(__xludf.DUMMYFUNCTION("IF(AS125=""oooooooooooo"",""-"",IF(REGEXMATCH(AT125,""xx""), ""Hemi."", ""Anhemi.""))"),"Hemi.")</f>
        <v>Hemi.</v>
      </c>
      <c r="BM125" s="282" t="str">
        <f>IFERROR(__xludf.DUMMYFUNCTION("IF(AS125=""oooooooooooo"",""-"",IF(REGEXMATCH(AT125,""xxx""), ""Cohem."", ""-""))"),"Cohem.")</f>
        <v>Cohem.</v>
      </c>
      <c r="BN125" s="282" t="str">
        <f>IFERROR(__xludf.DUMMYFUNCTION("IF(AS125=""oooooooooooo"",""-"",IF(REGEXMATCH(AT125,""xxxx""), ""Co-Co."", ""-""))"),"-")</f>
        <v>-</v>
      </c>
      <c r="BO125" s="342" t="str">
        <f>IFERROR(__xludf.DUMMYFUNCTION("IF(AS125=""oooooooooooo"",""-"",IF(REGEXMATCH(AT125,""xxxxx""), ""CCC."", ""-""))"),"-")</f>
        <v>-</v>
      </c>
      <c r="BP125" s="344" t="str">
        <f t="shared" si="27"/>
        <v>-</v>
      </c>
      <c r="BQ125" s="282" t="str">
        <f>IFERROR(__xludf.DUMMYFUNCTION("IF(REGEXMATCH(JOIN(""-"",EU125:FD125),""TRUE""),""✔"",""-"")"),"✔")</f>
        <v>✔</v>
      </c>
      <c r="BR125" s="225">
        <f t="shared" si="28"/>
        <v>1</v>
      </c>
      <c r="BS125" s="345" t="str">
        <f>IFERROR(__xludf.DUMMYFUNCTION("SUBSTITUTE(SUBSTITUTE(SUBSTITUTE(SUBSTITUTE(CONCATENATE(JOIN(""-"",GC125:GO125)),""--"",""-""),""--"",""-""),""--"",""-""),""--"",""-"")"),"1-b2-b3-#4-b6-7-8")</f>
        <v>1-b2-b3-#4-b6-7-8</v>
      </c>
      <c r="BT125" s="299" t="str">
        <f>IFERROR(__xludf.DUMMYFUNCTION("SUBSTITUTE(SUBSTITUTE(SUBSTITUTE(SUBSTITUTE(CONCATENATE(JOIN(""-"",GP125:HB125)),""--"",""-""),""--"",""-""),""--"",""-""),""--"",""-"")"),"S-R1-G2-M2-D1-N3-S")</f>
        <v>S-R1-G2-M2-D1-N3-S</v>
      </c>
      <c r="BU125" s="348" t="str">
        <f t="shared" si="29"/>
        <v>C-Db-Eb-F#-Ab-B-C</v>
      </c>
      <c r="BV125" s="349" t="str">
        <f t="shared" si="30"/>
        <v>SRGmPDnS</v>
      </c>
      <c r="BW125" s="350">
        <f t="shared" si="31"/>
        <v>8</v>
      </c>
      <c r="BX125" s="351">
        <f t="shared" si="32"/>
        <v>1</v>
      </c>
      <c r="BY125" s="352" t="s">
        <v>275</v>
      </c>
      <c r="BZ125" s="309" t="str">
        <f>IFERROR(__xludf.DUMMYFUNCTION("IF(REGEXMATCH(C125, ""S""), ""x"",""x"")"),"x")</f>
        <v>x</v>
      </c>
      <c r="CA125" s="245" t="str">
        <f>IFERROR(__xludf.DUMMYFUNCTION("IF(REGEXMATCH(C125, ""r""), ""o"",""x"")"),"o")</f>
        <v>o</v>
      </c>
      <c r="CB125" s="246" t="str">
        <f>IFERROR(__xludf.DUMMYFUNCTION("IF(REGEXMATCH(C125, ""R""), ""o"",""x"")"),"x")</f>
        <v>x</v>
      </c>
      <c r="CC125" s="246" t="str">
        <f>IFERROR(__xludf.DUMMYFUNCTION("IF(REGEXMATCH(C125, ""g""), ""o"",""x"")"),"o")</f>
        <v>o</v>
      </c>
      <c r="CD125" s="245" t="str">
        <f>IFERROR(__xludf.DUMMYFUNCTION("IF(REGEXMATCH(C125, ""G""), ""o"",""x"")"),"x")</f>
        <v>x</v>
      </c>
      <c r="CE125" s="245" t="str">
        <f>IFERROR(__xludf.DUMMYFUNCTION("IF(REGEXMATCH(C125, ""m""), ""o"",""x"")"),"x")</f>
        <v>x</v>
      </c>
      <c r="CF125" s="246" t="str">
        <f>IFERROR(__xludf.DUMMYFUNCTION("IF(REGEXMATCH(C125, ""M""), ""o"",""x"")"),"o")</f>
        <v>o</v>
      </c>
      <c r="CG125" s="245" t="str">
        <f>IFERROR(__xludf.DUMMYFUNCTION("IF(REGEXMATCH(C125, ""P""), ""o"",""x"")"),"x")</f>
        <v>x</v>
      </c>
      <c r="CH125" s="246" t="str">
        <f>IFERROR(__xludf.DUMMYFUNCTION("IF(REGEXMATCH(C125, ""d""), ""o"",""x"")"),"o")</f>
        <v>o</v>
      </c>
      <c r="CI125" s="245" t="str">
        <f>IFERROR(__xludf.DUMMYFUNCTION("IF(REGEXMATCH(C125, ""D""), ""o"",""x"")"),"x")</f>
        <v>x</v>
      </c>
      <c r="CJ125" s="245" t="str">
        <f>IFERROR(__xludf.DUMMYFUNCTION("IF(REGEXMATCH(C125, ""n""), ""o"",""x"")"),"x")</f>
        <v>x</v>
      </c>
      <c r="CK125" s="245" t="str">
        <f>IFERROR(__xludf.DUMMYFUNCTION("IF(REGEXMATCH(C125, ""N""), ""o"",""x"")"),"o")</f>
        <v>o</v>
      </c>
      <c r="CL125" s="356" t="str">
        <f>IFERROR(__xludf.DUMMYFUNCTION("IF(REGEXMATCH(C125, ""S""), ""x"",""x"")"),"x")</f>
        <v>x</v>
      </c>
      <c r="CM125" s="357" t="str">
        <f t="shared" si="33"/>
        <v>xoxoxxoxoxxo</v>
      </c>
      <c r="CN125" s="358">
        <f t="shared" si="34"/>
        <v>8</v>
      </c>
      <c r="CO125" s="246" t="str">
        <f>IFERROR(__xludf.DUMMYFUNCTION("IF(REGEXMATCH($C125, ""S""), ""S"",""S"")"),"S")</f>
        <v>S</v>
      </c>
      <c r="CP125" s="246" t="str">
        <f>IFERROR(__xludf.DUMMYFUNCTION("IF(REGEXMATCH($C125, ""r""), """",""r"")"),"")</f>
        <v/>
      </c>
      <c r="CQ125" s="246" t="str">
        <f>IFERROR(__xludf.DUMMYFUNCTION("IF(REGEXMATCH($C125, ""R""), """",""R"")"),"R")</f>
        <v>R</v>
      </c>
      <c r="CR125" s="246" t="str">
        <f>IFERROR(__xludf.DUMMYFUNCTION("IF(REGEXMATCH($C125, ""g""), """",""g"")"),"")</f>
        <v/>
      </c>
      <c r="CS125" s="246" t="str">
        <f>IFERROR(__xludf.DUMMYFUNCTION("IF(REGEXMATCH($C125, ""G""), """",""G"")"),"G")</f>
        <v>G</v>
      </c>
      <c r="CT125" s="246" t="str">
        <f>IFERROR(__xludf.DUMMYFUNCTION("IF(REGEXMATCH($C125, ""m""), """",""m"")"),"m")</f>
        <v>m</v>
      </c>
      <c r="CU125" s="246" t="str">
        <f>IFERROR(__xludf.DUMMYFUNCTION("IF(REGEXMATCH($C125, ""M""), """",""M"")"),"")</f>
        <v/>
      </c>
      <c r="CV125" s="246" t="str">
        <f>IFERROR(__xludf.DUMMYFUNCTION("IF(REGEXMATCH($C125, ""P""), """",""P"")"),"P")</f>
        <v>P</v>
      </c>
      <c r="CW125" s="246" t="str">
        <f>IFERROR(__xludf.DUMMYFUNCTION("IF(REGEXMATCH($C125, ""d""), """",""d"")"),"")</f>
        <v/>
      </c>
      <c r="CX125" s="246" t="str">
        <f>IFERROR(__xludf.DUMMYFUNCTION("IF(REGEXMATCH($C125, ""D""), """",""D"")"),"D")</f>
        <v>D</v>
      </c>
      <c r="CY125" s="246" t="str">
        <f>IFERROR(__xludf.DUMMYFUNCTION("IF(REGEXMATCH($C125, ""n""), """",""n"")"),"n")</f>
        <v>n</v>
      </c>
      <c r="CZ125" s="246" t="str">
        <f>IFERROR(__xludf.DUMMYFUNCTION("IF(REGEXMATCH($C125, ""N""), """",""N"")"),"")</f>
        <v/>
      </c>
      <c r="DA125" s="246" t="str">
        <f>IFERROR(__xludf.DUMMYFUNCTION("IF(REGEXMATCH($C125, ""S""), ""S"",""S"")"),"S")</f>
        <v>S</v>
      </c>
      <c r="DB125" s="362" t="str">
        <f>IFERROR(__xludf.DUMMYFUNCTION("JOIN("""",CO125:DA125,"""","""")"),"SRGmPDnS")</f>
        <v>SRGmPDnS</v>
      </c>
      <c r="DC125" s="363"/>
      <c r="DD125" s="301" t="str">
        <f t="shared" si="35"/>
        <v>#REF!</v>
      </c>
      <c r="DE125" s="302" t="str">
        <f t="shared" si="36"/>
        <v>#REF!</v>
      </c>
      <c r="DF125" s="301" t="str">
        <f t="shared" ref="DF125:DG125" si="454">SUBSTITUTE(S125,"-","")</f>
        <v>SRGM</v>
      </c>
      <c r="DG125" s="301" t="str">
        <f t="shared" si="454"/>
        <v>DNS</v>
      </c>
      <c r="DH125" s="302" t="str">
        <f t="shared" si="38"/>
        <v>Jog</v>
      </c>
      <c r="DI125" s="301" t="str">
        <f t="shared" si="39"/>
        <v>Hemi.</v>
      </c>
      <c r="DJ125" s="364" t="str">
        <f t="shared" si="40"/>
        <v>Cohem.</v>
      </c>
      <c r="DK125" s="306" t="str">
        <f t="shared" si="41"/>
        <v>-</v>
      </c>
      <c r="DL125" s="366" t="str">
        <f t="shared" si="42"/>
        <v>✔</v>
      </c>
      <c r="DM125" s="308" t="str">
        <f t="shared" si="43"/>
        <v>-</v>
      </c>
      <c r="DN125" s="306" t="str">
        <f t="shared" si="44"/>
        <v>-</v>
      </c>
      <c r="DO125" s="306" t="str">
        <f t="shared" si="45"/>
        <v>-</v>
      </c>
      <c r="DP125" s="367" t="str">
        <f t="shared" si="46"/>
        <v>✔</v>
      </c>
      <c r="DQ125" s="310" t="str">
        <f t="shared" si="47"/>
        <v>-</v>
      </c>
      <c r="DR125" s="310" t="str">
        <f t="shared" si="48"/>
        <v>-</v>
      </c>
      <c r="DS125" s="310" t="str">
        <f t="shared" si="49"/>
        <v>-</v>
      </c>
      <c r="DT125" s="310" t="str">
        <f t="shared" si="50"/>
        <v>-</v>
      </c>
      <c r="DU125" s="370" t="str">
        <f t="shared" si="51"/>
        <v>-</v>
      </c>
      <c r="DV125" s="306" t="str">
        <f t="shared" si="52"/>
        <v>-</v>
      </c>
      <c r="DW125" s="306" t="str">
        <f t="shared" si="53"/>
        <v>-</v>
      </c>
      <c r="DX125" s="306" t="str">
        <f t="shared" si="54"/>
        <v>-</v>
      </c>
      <c r="DY125" s="306" t="str">
        <f t="shared" si="55"/>
        <v>✔</v>
      </c>
      <c r="DZ125" s="306" t="str">
        <f t="shared" si="56"/>
        <v>-</v>
      </c>
      <c r="EA125" s="367" t="str">
        <f t="shared" si="57"/>
        <v>-</v>
      </c>
      <c r="EB125" s="310" t="str">
        <f>IFERROR(__xludf.DUMMYFUNCTION("IF(REGEXMATCH(AW125,AS125),""✔"",""-"")"),"-")</f>
        <v>-</v>
      </c>
      <c r="EC125" s="310" t="str">
        <f t="shared" si="58"/>
        <v>#REF!</v>
      </c>
      <c r="ED125" s="370" t="str">
        <f t="shared" si="59"/>
        <v>-</v>
      </c>
      <c r="EE125" s="340" t="str">
        <f t="shared" si="60"/>
        <v>S-r-g-M-d-N-S</v>
      </c>
      <c r="EF125" s="371" t="str">
        <f>IFERROR(__xludf.DUMMYFUNCTION("CONCATENATE(JOIN("""",HC125:HO125))"),"SrGMDNS")</f>
        <v>SrGMDNS</v>
      </c>
      <c r="EG125" s="372">
        <f t="shared" si="61"/>
        <v>2</v>
      </c>
      <c r="EH125" s="373" t="str">
        <f>IFERROR(__xludf.DUMMYFUNCTION("CONCATENATE(JOIN("""",JC125:JO125))"),"Sa, ga, ")</f>
        <v>Sa, ga, </v>
      </c>
      <c r="EI125" s="322">
        <f t="shared" si="62"/>
        <v>1</v>
      </c>
      <c r="EJ125" s="374" t="str">
        <f>IFERROR(__xludf.DUMMYFUNCTION("CONCATENATE(JOIN("""",KC125:KO125))"),"Sa, ")</f>
        <v>Sa, </v>
      </c>
      <c r="EK125" s="325" t="str">
        <f t="shared" si="63"/>
        <v>S-R1-G2-M2-D1-N3-S</v>
      </c>
      <c r="EL125" s="326" t="str">
        <f t="shared" si="64"/>
        <v>1-b2-b3-#4-b6-7-8</v>
      </c>
      <c r="EM125" s="318" t="str">
        <f t="shared" si="65"/>
        <v>#REF!</v>
      </c>
      <c r="EN125" s="328" t="str">
        <f>IFERROR(__xludf.DUMMYFUNCTION("SUBSTITUTE(SUBSTITUTE(SUBSTITUTE(SUBSTITUTE(CONCATENATE(JOIN("" "",HP125:IB125)),""  "","" ""),""  "","" ""),""  "","" ""),""  "","" "")"),"o o • o • • o • o • • o o")</f>
        <v>o o • o • • o • o • • o o</v>
      </c>
      <c r="EO125" s="368" t="str">
        <f t="shared" si="66"/>
        <v>Sa-Pa</v>
      </c>
      <c r="EP125" s="339" t="str">
        <f t="shared" si="67"/>
        <v>Sa-Pa</v>
      </c>
      <c r="EQ125" s="339" t="str">
        <f t="shared" si="68"/>
        <v>-</v>
      </c>
      <c r="ER125" s="339" t="str">
        <f t="shared" si="69"/>
        <v>-</v>
      </c>
      <c r="ES125" s="340" t="str">
        <f t="shared" si="70"/>
        <v>-</v>
      </c>
      <c r="ET125" s="363"/>
      <c r="EU125" s="376" t="b">
        <f>IFERROR(__xludf.DUMMYFUNCTION("arrayformula(sum(--REGEXMATCH(""SRGMPDNS"",split(REGEXREPLACE(C125,""(.)"",""$1~""),""~""))))=len(C125)
"),FALSE)</f>
        <v>0</v>
      </c>
      <c r="EV125" s="290" t="b">
        <f>IFERROR(__xludf.DUMMYFUNCTION("arrayformula(sum(--REGEXMATCH(""SRGmPDNS"",split(REGEXREPLACE(C125,""(.)"",""$1~""),""~""))))=len(C125)"),FALSE)</f>
        <v>0</v>
      </c>
      <c r="EW125" s="290" t="b">
        <f>IFERROR(__xludf.DUMMYFUNCTION("arrayformula(sum(--REGEXMATCH(""SRGmPDnS"",split(REGEXREPLACE(C125,""(.)"",""$1~""),""~""))))=len(C125)"),FALSE)</f>
        <v>0</v>
      </c>
      <c r="EX125" s="290" t="b">
        <f>IFERROR(__xludf.DUMMYFUNCTION("arrayformula(sum(--REGEXMATCH(""SRgmPDnS"",split(REGEXREPLACE(C125,""(.)"",""$1~""),""~""))))=len(C125)"),FALSE)</f>
        <v>0</v>
      </c>
      <c r="EY125" s="290" t="b">
        <f>IFERROR(__xludf.DUMMYFUNCTION("arrayformula(sum(--REGEXMATCH(""SRgmPdnS"",split(REGEXREPLACE(C125,""(.)"",""$1~""),""~""))))=len(C125)"),FALSE)</f>
        <v>0</v>
      </c>
      <c r="EZ125" s="290" t="b">
        <f>IFERROR(__xludf.DUMMYFUNCTION("arrayformula(sum(--REGEXMATCH(""SrgmPdnS"",split(REGEXREPLACE(C125,""(.)"",""$1~""),""~""))))=len(C125)"),FALSE)</f>
        <v>0</v>
      </c>
      <c r="FA125" s="290" t="b">
        <f>IFERROR(__xludf.DUMMYFUNCTION("arrayformula(sum(--REGEXMATCH(""SrGmPdNS"",split(REGEXREPLACE(C125,""(.)"",""$1~""),""~""))))=len(C125)"),FALSE)</f>
        <v>0</v>
      </c>
      <c r="FB125" s="290" t="b">
        <f>IFERROR(__xludf.DUMMYFUNCTION("arrayformula(sum(--REGEXMATCH(""SrGMPDNS"",split(REGEXREPLACE(C125,""(.)"",""$1~""),""~""))))=len(C125)"),FALSE)</f>
        <v>0</v>
      </c>
      <c r="FC125" s="290" t="b">
        <f>IFERROR(__xludf.DUMMYFUNCTION("arrayformula(sum(--REGEXMATCH(""SrGMPdNS"",split(REGEXREPLACE(C125,""(.)"",""$1~""),""~""))))=len(C125)"),FALSE)</f>
        <v>0</v>
      </c>
      <c r="FD125" s="377" t="b">
        <f>IFERROR(__xludf.DUMMYFUNCTION("arrayformula(sum(--REGEXMATCH(""SrgMPdNS"",split(REGEXREPLACE(C125,""(.)"",""$1~""),""~""))))=len(C125)"),TRUE)</f>
        <v>1</v>
      </c>
      <c r="FE125" s="269" t="str">
        <f t="shared" si="71"/>
        <v>xoxooxoxoox</v>
      </c>
      <c r="FF125" s="269" t="str">
        <f t="shared" si="72"/>
        <v>-</v>
      </c>
      <c r="FG125" s="271" t="str">
        <f t="shared" si="73"/>
        <v>xooxoxooxxx</v>
      </c>
      <c r="FH125" s="269" t="str">
        <f t="shared" si="74"/>
        <v>-</v>
      </c>
      <c r="FI125" s="271" t="str">
        <f t="shared" si="75"/>
        <v>-</v>
      </c>
      <c r="FJ125" s="271" t="str">
        <f t="shared" si="76"/>
        <v>xoxooxxxoxo</v>
      </c>
      <c r="FK125" s="271" t="str">
        <f t="shared" si="77"/>
        <v>-</v>
      </c>
      <c r="FL125" s="271" t="str">
        <f t="shared" si="78"/>
        <v>xooxxxoxoox</v>
      </c>
      <c r="FM125" s="271" t="str">
        <f t="shared" si="79"/>
        <v>-</v>
      </c>
      <c r="FN125" s="271" t="str">
        <f t="shared" si="80"/>
        <v>-</v>
      </c>
      <c r="FO125" s="274" t="str">
        <f t="shared" si="81"/>
        <v>xxxoxooxoxo</v>
      </c>
      <c r="FP125" s="234" t="str">
        <f t="shared" si="82"/>
        <v>|</v>
      </c>
      <c r="FQ125" s="236" t="str">
        <f t="shared" si="83"/>
        <v>|</v>
      </c>
      <c r="FR125" s="237" t="str">
        <f t="shared" si="84"/>
        <v>-</v>
      </c>
      <c r="FS125" s="236" t="str">
        <f t="shared" si="85"/>
        <v>|</v>
      </c>
      <c r="FT125" s="237" t="str">
        <f t="shared" si="86"/>
        <v>-</v>
      </c>
      <c r="FU125" s="236" t="str">
        <f t="shared" si="87"/>
        <v>-</v>
      </c>
      <c r="FV125" s="237" t="str">
        <f t="shared" si="88"/>
        <v>|</v>
      </c>
      <c r="FW125" s="236" t="str">
        <f t="shared" si="89"/>
        <v>-</v>
      </c>
      <c r="FX125" s="237" t="str">
        <f t="shared" si="90"/>
        <v>|</v>
      </c>
      <c r="FY125" s="236" t="str">
        <f t="shared" si="91"/>
        <v>-</v>
      </c>
      <c r="FZ125" s="237" t="str">
        <f t="shared" si="92"/>
        <v>-</v>
      </c>
      <c r="GA125" s="236" t="str">
        <f t="shared" si="93"/>
        <v>|</v>
      </c>
      <c r="GB125" s="238" t="str">
        <f t="shared" si="94"/>
        <v>|</v>
      </c>
      <c r="GC125" s="244" t="str">
        <f>IFERROR(__xludf.DUMMYFUNCTION("IF(REGEXMATCH(C125, ""S""), ""1"","""")"),"1")</f>
        <v>1</v>
      </c>
      <c r="GD125" s="245" t="str">
        <f>IFERROR(__xludf.DUMMYFUNCTION("IF(REGEXMATCH(C125, ""r""), ""b2"","""")"),"b2")</f>
        <v>b2</v>
      </c>
      <c r="GE125" s="246" t="str">
        <f>IFERROR(__xludf.DUMMYFUNCTION("IF(REGEXMATCH(C125, ""R""), ""2"","""")"),"")</f>
        <v/>
      </c>
      <c r="GF125" s="246" t="str">
        <f>IFERROR(__xludf.DUMMYFUNCTION("IF(REGEXMATCH(C125, ""g""), ""b3"","""")"),"b3")</f>
        <v>b3</v>
      </c>
      <c r="GG125" s="245" t="str">
        <f>IFERROR(__xludf.DUMMYFUNCTION("IF(REGEXMATCH(C125, ""G""), ""3"","""")"),"")</f>
        <v/>
      </c>
      <c r="GH125" s="245" t="str">
        <f>IFERROR(__xludf.DUMMYFUNCTION("IF(REGEXMATCH(C125, ""m""), ""4"","""")"),"")</f>
        <v/>
      </c>
      <c r="GI125" s="246" t="str">
        <f>IFERROR(__xludf.DUMMYFUNCTION("IF(REGEXMATCH(C125, ""M""), ""#4"","""")"),"#4")</f>
        <v>#4</v>
      </c>
      <c r="GJ125" s="245" t="str">
        <f>IFERROR(__xludf.DUMMYFUNCTION("IF(REGEXMATCH(C125, ""P""), ""5"","""")"),"")</f>
        <v/>
      </c>
      <c r="GK125" s="246" t="str">
        <f>IFERROR(__xludf.DUMMYFUNCTION("IF(REGEXMATCH(C125, ""d""), ""b6"","""")"),"b6")</f>
        <v>b6</v>
      </c>
      <c r="GL125" s="245" t="str">
        <f>IFERROR(__xludf.DUMMYFUNCTION("IF(REGEXMATCH(C125, ""D""), ""6"","""")"),"")</f>
        <v/>
      </c>
      <c r="GM125" s="245" t="str">
        <f>IFERROR(__xludf.DUMMYFUNCTION("IF(REGEXMATCH(C125, ""n""), ""b7"","""")"),"")</f>
        <v/>
      </c>
      <c r="GN125" s="246" t="str">
        <f>IFERROR(__xludf.DUMMYFUNCTION("IF(REGEXMATCH(C125, ""N""), ""7"","""")"),"7")</f>
        <v>7</v>
      </c>
      <c r="GO125" s="249" t="str">
        <f>IFERROR(__xludf.DUMMYFUNCTION("IF(REGEXMATCH(C125, ""S""), ""8"","""")"),"8")</f>
        <v>8</v>
      </c>
      <c r="GP125" s="244" t="str">
        <f>IFERROR(__xludf.DUMMYFUNCTION("IF(REGEXMATCH(C125, ""S""), ""S"","""")"),"S")</f>
        <v>S</v>
      </c>
      <c r="GQ125" s="294" t="str">
        <f>IFERROR(__xludf.DUMMYFUNCTION("IF(REGEXMATCH(C125, ""r""), ""R1"","""")"),"R1")</f>
        <v>R1</v>
      </c>
      <c r="GR125" s="295" t="str">
        <f>IFERROR(__xludf.DUMMYFUNCTION("IF(REGEXMATCH(C125, ""R""), ""R2"","""")"),"")</f>
        <v/>
      </c>
      <c r="GS125" s="295" t="str">
        <f>IFERROR(__xludf.DUMMYFUNCTION("IF(REGEXMATCH(C125, ""g""), ""G2"","""")"),"G2")</f>
        <v>G2</v>
      </c>
      <c r="GT125" s="294" t="str">
        <f>IFERROR(__xludf.DUMMYFUNCTION("IF(REGEXMATCH(C125, ""G""), ""G3"","""")"),"")</f>
        <v/>
      </c>
      <c r="GU125" s="294" t="str">
        <f>IFERROR(__xludf.DUMMYFUNCTION("IF(REGEXMATCH(C125, ""m""), ""M1"","""")"),"")</f>
        <v/>
      </c>
      <c r="GV125" s="295" t="str">
        <f>IFERROR(__xludf.DUMMYFUNCTION("IF(REGEXMATCH(C125, ""M""), ""M2"","""")"),"M2")</f>
        <v>M2</v>
      </c>
      <c r="GW125" s="294" t="str">
        <f>IFERROR(__xludf.DUMMYFUNCTION("IF(REGEXMATCH(C125, ""P""), ""P"","""")"),"")</f>
        <v/>
      </c>
      <c r="GX125" s="295" t="str">
        <f>IFERROR(__xludf.DUMMYFUNCTION("IF(REGEXMATCH(C125, ""d""), ""D1"","""")"),"D1")</f>
        <v>D1</v>
      </c>
      <c r="GY125" s="294" t="str">
        <f>IFERROR(__xludf.DUMMYFUNCTION("IF(REGEXMATCH(C125, ""D""), ""D2"","""")"),"")</f>
        <v/>
      </c>
      <c r="GZ125" s="294" t="str">
        <f>IFERROR(__xludf.DUMMYFUNCTION("IF(REGEXMATCH(C125, ""n""), ""N2"","""")"),"")</f>
        <v/>
      </c>
      <c r="HA125" s="295" t="str">
        <f>IFERROR(__xludf.DUMMYFUNCTION("IF(REGEXMATCH(C125, ""N""), ""N3"","""")"),"N3")</f>
        <v>N3</v>
      </c>
      <c r="HB125" s="249" t="str">
        <f>IFERROR(__xludf.DUMMYFUNCTION("IF(REGEXMATCH(C125, ""S""), ""S"","""")"),"S")</f>
        <v>S</v>
      </c>
      <c r="HC125" s="331" t="str">
        <f t="shared" si="95"/>
        <v>S</v>
      </c>
      <c r="HD125" s="332" t="str">
        <f t="shared" si="96"/>
        <v>r</v>
      </c>
      <c r="HE125" s="332" t="str">
        <f t="shared" si="97"/>
        <v/>
      </c>
      <c r="HF125" s="332" t="str">
        <f t="shared" si="98"/>
        <v/>
      </c>
      <c r="HG125" s="332" t="str">
        <f t="shared" si="99"/>
        <v>G</v>
      </c>
      <c r="HH125" s="332" t="str">
        <f t="shared" si="100"/>
        <v/>
      </c>
      <c r="HI125" s="332" t="str">
        <f t="shared" si="101"/>
        <v>M</v>
      </c>
      <c r="HJ125" s="332" t="str">
        <f t="shared" si="102"/>
        <v/>
      </c>
      <c r="HK125" s="332" t="str">
        <f t="shared" si="103"/>
        <v/>
      </c>
      <c r="HL125" s="332" t="str">
        <f t="shared" si="104"/>
        <v>D</v>
      </c>
      <c r="HM125" s="332" t="str">
        <f t="shared" si="105"/>
        <v/>
      </c>
      <c r="HN125" s="332" t="str">
        <f t="shared" si="106"/>
        <v>N</v>
      </c>
      <c r="HO125" s="343" t="str">
        <f t="shared" si="107"/>
        <v>S</v>
      </c>
      <c r="HP125" s="331" t="str">
        <f t="shared" si="108"/>
        <v>o</v>
      </c>
      <c r="HQ125" s="332" t="str">
        <f t="shared" si="109"/>
        <v>o</v>
      </c>
      <c r="HR125" s="332" t="str">
        <f t="shared" si="110"/>
        <v>•</v>
      </c>
      <c r="HS125" s="332" t="str">
        <f t="shared" si="111"/>
        <v>o</v>
      </c>
      <c r="HT125" s="332" t="str">
        <f t="shared" si="112"/>
        <v>•</v>
      </c>
      <c r="HU125" s="332" t="str">
        <f t="shared" si="113"/>
        <v>•</v>
      </c>
      <c r="HV125" s="332" t="str">
        <f t="shared" si="114"/>
        <v>o</v>
      </c>
      <c r="HW125" s="332" t="str">
        <f t="shared" si="115"/>
        <v>•</v>
      </c>
      <c r="HX125" s="332" t="str">
        <f t="shared" si="116"/>
        <v>o</v>
      </c>
      <c r="HY125" s="332" t="str">
        <f t="shared" si="117"/>
        <v>•</v>
      </c>
      <c r="HZ125" s="332" t="str">
        <f t="shared" si="118"/>
        <v>•</v>
      </c>
      <c r="IA125" s="332" t="str">
        <f t="shared" si="119"/>
        <v>o</v>
      </c>
      <c r="IB125" s="338" t="str">
        <f t="shared" si="120"/>
        <v>o</v>
      </c>
      <c r="IC125" s="331" t="str">
        <f t="shared" si="121"/>
        <v>•</v>
      </c>
      <c r="ID125" s="332" t="str">
        <f t="shared" si="122"/>
        <v>•</v>
      </c>
      <c r="IE125" s="332" t="str">
        <f t="shared" si="123"/>
        <v>o</v>
      </c>
      <c r="IF125" s="332" t="str">
        <f t="shared" si="124"/>
        <v>•</v>
      </c>
      <c r="IG125" s="332" t="str">
        <f t="shared" si="125"/>
        <v>o</v>
      </c>
      <c r="IH125" s="332" t="str">
        <f t="shared" si="126"/>
        <v>o</v>
      </c>
      <c r="II125" s="332" t="str">
        <f t="shared" si="127"/>
        <v>•</v>
      </c>
      <c r="IJ125" s="332" t="str">
        <f t="shared" si="128"/>
        <v>o</v>
      </c>
      <c r="IK125" s="332" t="str">
        <f t="shared" si="129"/>
        <v>•</v>
      </c>
      <c r="IL125" s="332" t="str">
        <f t="shared" si="130"/>
        <v>o</v>
      </c>
      <c r="IM125" s="332" t="str">
        <f t="shared" si="131"/>
        <v>o</v>
      </c>
      <c r="IN125" s="332" t="str">
        <f t="shared" si="132"/>
        <v>•</v>
      </c>
      <c r="IO125" s="338" t="str">
        <f t="shared" si="133"/>
        <v>•</v>
      </c>
      <c r="IP125" s="346" t="b">
        <f t="shared" si="134"/>
        <v>1</v>
      </c>
      <c r="IQ125" s="347" t="b">
        <f t="shared" si="135"/>
        <v>0</v>
      </c>
      <c r="IR125" s="347" t="b">
        <f t="shared" si="136"/>
        <v>0</v>
      </c>
      <c r="IS125" s="347" t="b">
        <f t="shared" si="137"/>
        <v>1</v>
      </c>
      <c r="IT125" s="347" t="b">
        <f t="shared" si="138"/>
        <v>0</v>
      </c>
      <c r="IU125" s="347" t="b">
        <f t="shared" si="139"/>
        <v>0</v>
      </c>
      <c r="IV125" s="347" t="b">
        <f t="shared" si="140"/>
        <v>0</v>
      </c>
      <c r="IW125" s="347" t="b">
        <f t="shared" si="141"/>
        <v>0</v>
      </c>
      <c r="IX125" s="347" t="b">
        <f t="shared" si="142"/>
        <v>0</v>
      </c>
      <c r="IY125" s="347" t="b">
        <f t="shared" si="143"/>
        <v>0</v>
      </c>
      <c r="IZ125" s="347" t="b">
        <f t="shared" si="144"/>
        <v>0</v>
      </c>
      <c r="JA125" s="347" t="b">
        <f t="shared" si="145"/>
        <v>0</v>
      </c>
      <c r="JB125" s="353" t="b">
        <f t="shared" si="146"/>
        <v>1</v>
      </c>
      <c r="JC125" s="354" t="str">
        <f t="shared" si="147"/>
        <v>Sa, </v>
      </c>
      <c r="JD125" s="355" t="str">
        <f t="shared" si="148"/>
        <v/>
      </c>
      <c r="JE125" s="355" t="str">
        <f t="shared" si="149"/>
        <v/>
      </c>
      <c r="JF125" s="355" t="str">
        <f t="shared" si="150"/>
        <v>ga, </v>
      </c>
      <c r="JG125" s="355" t="str">
        <f t="shared" si="151"/>
        <v/>
      </c>
      <c r="JH125" s="355" t="str">
        <f t="shared" si="152"/>
        <v/>
      </c>
      <c r="JI125" s="355" t="str">
        <f t="shared" si="153"/>
        <v/>
      </c>
      <c r="JJ125" s="355" t="str">
        <f t="shared" si="154"/>
        <v/>
      </c>
      <c r="JK125" s="355" t="str">
        <f t="shared" si="155"/>
        <v/>
      </c>
      <c r="JL125" s="355" t="str">
        <f t="shared" si="156"/>
        <v/>
      </c>
      <c r="JM125" s="355" t="str">
        <f t="shared" si="157"/>
        <v/>
      </c>
      <c r="JN125" s="355" t="str">
        <f t="shared" si="158"/>
        <v/>
      </c>
      <c r="JO125" s="359" t="str">
        <f t="shared" si="159"/>
        <v/>
      </c>
      <c r="JP125" s="346" t="b">
        <f t="shared" si="160"/>
        <v>1</v>
      </c>
      <c r="JQ125" s="347" t="b">
        <f t="shared" si="161"/>
        <v>0</v>
      </c>
      <c r="JR125" s="347" t="b">
        <f t="shared" si="162"/>
        <v>0</v>
      </c>
      <c r="JS125" s="347" t="b">
        <f t="shared" si="163"/>
        <v>0</v>
      </c>
      <c r="JT125" s="347" t="b">
        <f t="shared" si="164"/>
        <v>0</v>
      </c>
      <c r="JU125" s="347" t="b">
        <f t="shared" si="165"/>
        <v>0</v>
      </c>
      <c r="JV125" s="347" t="b">
        <f t="shared" si="166"/>
        <v>0</v>
      </c>
      <c r="JW125" s="347" t="b">
        <f t="shared" si="167"/>
        <v>0</v>
      </c>
      <c r="JX125" s="347" t="b">
        <f t="shared" si="168"/>
        <v>0</v>
      </c>
      <c r="JY125" s="347" t="b">
        <f t="shared" si="169"/>
        <v>0</v>
      </c>
      <c r="JZ125" s="347" t="b">
        <f t="shared" si="170"/>
        <v>0</v>
      </c>
      <c r="KA125" s="347" t="b">
        <f t="shared" si="171"/>
        <v>0</v>
      </c>
      <c r="KB125" s="365" t="b">
        <f t="shared" si="172"/>
        <v>1</v>
      </c>
      <c r="KC125" s="354" t="str">
        <f t="shared" si="173"/>
        <v>Sa, </v>
      </c>
      <c r="KD125" s="355" t="str">
        <f t="shared" si="174"/>
        <v/>
      </c>
      <c r="KE125" s="355" t="str">
        <f t="shared" si="175"/>
        <v/>
      </c>
      <c r="KF125" s="355" t="str">
        <f t="shared" si="176"/>
        <v/>
      </c>
      <c r="KG125" s="355" t="str">
        <f t="shared" si="177"/>
        <v/>
      </c>
      <c r="KH125" s="355" t="str">
        <f t="shared" si="178"/>
        <v/>
      </c>
      <c r="KI125" s="355" t="str">
        <f t="shared" si="179"/>
        <v/>
      </c>
      <c r="KJ125" s="355" t="str">
        <f t="shared" si="180"/>
        <v/>
      </c>
      <c r="KK125" s="355" t="str">
        <f t="shared" si="181"/>
        <v/>
      </c>
      <c r="KL125" s="355" t="str">
        <f t="shared" si="182"/>
        <v/>
      </c>
      <c r="KM125" s="355" t="str">
        <f t="shared" si="183"/>
        <v/>
      </c>
      <c r="KN125" s="355" t="str">
        <f t="shared" si="184"/>
        <v/>
      </c>
      <c r="KO125" s="359"/>
      <c r="KP125" s="378"/>
      <c r="KQ125" s="379" t="s">
        <v>761</v>
      </c>
      <c r="KR125" s="380" t="s">
        <v>1396</v>
      </c>
      <c r="KS125" s="381" t="str">
        <f t="shared" si="452"/>
        <v>S-r-g-M-d-N-S</v>
      </c>
      <c r="KT125" s="382">
        <f t="shared" si="186"/>
        <v>6</v>
      </c>
      <c r="KU125" s="383">
        <f t="shared" si="187"/>
        <v>6</v>
      </c>
      <c r="KV125" s="381" t="str">
        <f t="shared" si="205"/>
        <v>S-N-d-M-g-r-S</v>
      </c>
      <c r="KW125" s="382">
        <f t="shared" si="189"/>
        <v>6</v>
      </c>
      <c r="KX125" s="384">
        <f t="shared" si="190"/>
        <v>6</v>
      </c>
      <c r="KY125" s="382">
        <f t="shared" ref="KY125:KZ125" si="455">KW125-KT125</f>
        <v>0</v>
      </c>
      <c r="KZ125" s="369">
        <f t="shared" si="455"/>
        <v>0</v>
      </c>
      <c r="LA125" s="385" t="str">
        <f t="shared" si="192"/>
        <v>✔</v>
      </c>
      <c r="LB125" s="340" t="str">
        <f>IFERROR(__xludf.DUMMYFUNCTION("JOIN("""",ArrayFormula(MID(KS125,LEN(KS125)-SEQUENCE(1,LEN(KS125))+1,1)))"),"S-N-d-M-g-r-S")</f>
        <v>S-N-d-M-g-r-S</v>
      </c>
      <c r="LC125" s="373" t="str">
        <f>IFERROR(__xludf.DUMMYFUNCTION("JOIN("""",ArrayFormula(MID(KV125,LEN(KV125)-SEQUENCE(1,LEN(KV125))+1,1)))"),"S-r-g-M-d-N-S")</f>
        <v>S-r-g-M-d-N-S</v>
      </c>
      <c r="LD125" s="373" t="str">
        <f t="shared" si="193"/>
        <v>SrgMdNS</v>
      </c>
      <c r="LE125" s="339" t="str">
        <f t="shared" si="194"/>
        <v>SrgMdNS</v>
      </c>
      <c r="LF125" s="386" t="str">
        <f>IFERROR(__xludf.DUMMYFUNCTION("SUBSTITUTE(SUBSTITUTE(CONCATENATE(JOIN("""",LH125:LT125)),""1"",""""),""2"","""")"),"SrgMdNS")</f>
        <v>SrgMdNS</v>
      </c>
      <c r="LG125" s="369" t="str">
        <f t="shared" si="195"/>
        <v>✔</v>
      </c>
      <c r="LH125" s="387" t="str">
        <f>IFERROR(__xludf.DUMMYFUNCTION("IF(REGEXMATCH(LD125, ""S""), ""S"",IF(REGEXMATCH(LE125, ""S""), ""S"",""""))"),"S")</f>
        <v>S</v>
      </c>
      <c r="LI125" s="299" t="str">
        <f>IFERROR(__xludf.DUMMYFUNCTION("IF(REGEXMATCH(LD125, ""r""), ""r1"",IF(REGEXMATCH(LE125, ""r""), ""r2"",""""))"),"r1")</f>
        <v>r1</v>
      </c>
      <c r="LJ125" s="299" t="str">
        <f>IFERROR(__xludf.DUMMYFUNCTION("IF(REGEXMATCH(LD125, ""R""), ""R1"",IF(REGEXMATCH(LE125, ""R""), ""R2"",""""))"),"")</f>
        <v/>
      </c>
      <c r="LK125" s="299" t="str">
        <f>IFERROR(__xludf.DUMMYFUNCTION("IF(REGEXMATCH(LD125, ""g""), ""g1"",IF(REGEXMATCH(LE125, ""g""), ""g2"",""""))"),"g1")</f>
        <v>g1</v>
      </c>
      <c r="LL125" s="299" t="str">
        <f>IFERROR(__xludf.DUMMYFUNCTION("IF(REGEXMATCH(LD125, ""G""), ""G1"",IF(REGEXMATCH(LE125, ""G""), ""G2"",""""))"),"")</f>
        <v/>
      </c>
      <c r="LM125" s="299" t="str">
        <f>IFERROR(__xludf.DUMMYFUNCTION("IF(REGEXMATCH(LD125, ""m""), ""m1"",IF(REGEXMATCH(LE125, ""m""), ""m2"",""""))"),"")</f>
        <v/>
      </c>
      <c r="LN125" s="299" t="str">
        <f>IFERROR(__xludf.DUMMYFUNCTION("IF(REGEXMATCH(LD125, ""M""), ""M1"",IF(REGEXMATCH(LE125, ""M""), ""M2"",""""))"),"M1")</f>
        <v>M1</v>
      </c>
      <c r="LO125" s="299" t="str">
        <f>IFERROR(__xludf.DUMMYFUNCTION("IF(REGEXMATCH(LD125, ""P""), ""P1"",IF(REGEXMATCH(LE125, ""P""), ""P2"",""""))"),"")</f>
        <v/>
      </c>
      <c r="LP125" s="299" t="str">
        <f>IFERROR(__xludf.DUMMYFUNCTION("IF(REGEXMATCH(LD125, ""d""), ""d1"",IF(REGEXMATCH(LE125, ""d""), ""d2"",""""))"),"d1")</f>
        <v>d1</v>
      </c>
      <c r="LQ125" s="299" t="str">
        <f>IFERROR(__xludf.DUMMYFUNCTION("IF(REGEXMATCH(LD125, ""D""), ""D1"",IF(REGEXMATCH(LE125, ""D""), ""D2"",""""))"),"")</f>
        <v/>
      </c>
      <c r="LR125" s="299" t="str">
        <f>IFERROR(__xludf.DUMMYFUNCTION("IF(REGEXMATCH(LD125, ""n""), ""n1"",IF(REGEXMATCH(LE125, ""n""), ""n2"",""""))"),"")</f>
        <v/>
      </c>
      <c r="LS125" s="299" t="str">
        <f>IFERROR(__xludf.DUMMYFUNCTION("IF(REGEXMATCH(LD125, ""N""), ""N1"",IF(REGEXMATCH(LE125, ""N""), ""N2"",""""))"),"N1")</f>
        <v>N1</v>
      </c>
      <c r="LT125" s="388" t="str">
        <f>IFERROR(__xludf.DUMMYFUNCTION("IF(REGEXMATCH(LD125, ""S""), ""S"",IF(REGEXMATCH(LE125, ""S""), ""S"",""""))"),"S")</f>
        <v>S</v>
      </c>
      <c r="LU125" s="389">
        <f t="shared" si="196"/>
        <v>1</v>
      </c>
      <c r="LV125" s="378"/>
      <c r="LW125" s="369"/>
      <c r="LX125" s="369"/>
    </row>
    <row r="126" ht="18.0" customHeight="1">
      <c r="A126" s="298" t="s">
        <v>763</v>
      </c>
      <c r="B126" s="222" t="s">
        <v>764</v>
      </c>
      <c r="C126" s="233" t="str">
        <f t="shared" si="7"/>
        <v>SrmPdS</v>
      </c>
      <c r="D126" s="234" t="str">
        <f>IFERROR(__xludf.DUMMYFUNCTION("IF(REGEXMATCH(C126, ""S""), ""S"","""")"),"S")</f>
        <v>S</v>
      </c>
      <c r="E126" s="236" t="str">
        <f>IFERROR(__xludf.DUMMYFUNCTION("IF(REGEXMATCH(C126, ""r""), ""r"","""")"),"r")</f>
        <v>r</v>
      </c>
      <c r="F126" s="237" t="str">
        <f>IFERROR(__xludf.DUMMYFUNCTION("IF(REGEXMATCH(C126, ""R""), ""R"","""")"),"")</f>
        <v/>
      </c>
      <c r="G126" s="237" t="str">
        <f>IFERROR(__xludf.DUMMYFUNCTION("IF(REGEXMATCH(C126, ""g""), ""g"","""")"),"")</f>
        <v/>
      </c>
      <c r="H126" s="236" t="str">
        <f>IFERROR(__xludf.DUMMYFUNCTION("IF(REGEXMATCH(C126, ""G""), ""G"","""")"),"")</f>
        <v/>
      </c>
      <c r="I126" s="236" t="str">
        <f>IFERROR(__xludf.DUMMYFUNCTION("IF(REGEXMATCH(C126, ""m""), ""m"","""")"),"m")</f>
        <v>m</v>
      </c>
      <c r="J126" s="237" t="str">
        <f>IFERROR(__xludf.DUMMYFUNCTION("IF(REGEXMATCH(C126, ""M""), ""M"","""")"),"")</f>
        <v/>
      </c>
      <c r="K126" s="236" t="str">
        <f>IFERROR(__xludf.DUMMYFUNCTION("IF(REGEXMATCH(C126, ""P""), ""P"","""")"),"P")</f>
        <v>P</v>
      </c>
      <c r="L126" s="237" t="str">
        <f>IFERROR(__xludf.DUMMYFUNCTION("IF(REGEXMATCH(C126, ""d""), ""d"","""")"),"d")</f>
        <v>d</v>
      </c>
      <c r="M126" s="236" t="str">
        <f>IFERROR(__xludf.DUMMYFUNCTION("IF(REGEXMATCH(C126, ""D""), ""D"","""")"),"")</f>
        <v/>
      </c>
      <c r="N126" s="236" t="str">
        <f>IFERROR(__xludf.DUMMYFUNCTION("IF(REGEXMATCH(C126, ""n""), ""n"","""")"),"")</f>
        <v/>
      </c>
      <c r="O126" s="237" t="str">
        <f>IFERROR(__xludf.DUMMYFUNCTION("IF(REGEXMATCH(C126, ""N""), ""N"","""")"),"")</f>
        <v/>
      </c>
      <c r="P126" s="238" t="str">
        <f>IFERROR(__xludf.DUMMYFUNCTION("IF(REGEXMATCH(C126, ""S""), ""S"","""")"),"S")</f>
        <v>S</v>
      </c>
      <c r="Q126" s="239" t="str">
        <f>IFERROR(__xludf.DUMMYFUNCTION("SUBSTITUTE(CONCATENATE(JOIN(""-"",D126:J126)),""-"","""")"),"Srm")</f>
        <v>Srm</v>
      </c>
      <c r="R126" s="229" t="str">
        <f>IFERROR(__xludf.DUMMYFUNCTION("SUBSTITUTE(CONCATENATE(JOIN(""-"",K126:P126)),""-"","""")"),"PdS")</f>
        <v>PdS</v>
      </c>
      <c r="S126" s="282" t="str">
        <f t="shared" si="8"/>
        <v>S-R-M</v>
      </c>
      <c r="T126" s="282" t="str">
        <f t="shared" si="9"/>
        <v>P-D-S</v>
      </c>
      <c r="U126" s="237" t="str">
        <f>IFERROR(__xludf.DUMMYFUNCTION("SUBSTITUTE(JOIN(""-"",S126,T126),""--"",""-"")"),"S-R-M-P-D-S")</f>
        <v>S-R-M-P-D-S</v>
      </c>
      <c r="V126" s="309" t="str">
        <f t="shared" si="10"/>
        <v>rmd</v>
      </c>
      <c r="W126" s="244" t="str">
        <f>IFERROR(__xludf.DUMMYFUNCTION("IF(REGEXMATCH(C126, ""S""), ""0"","""")"),"0")</f>
        <v>0</v>
      </c>
      <c r="X126" s="245" t="str">
        <f>IFERROR(__xludf.DUMMYFUNCTION("IF(REGEXMATCH(C126, ""r""), ""1"","""")"),"1")</f>
        <v>1</v>
      </c>
      <c r="Y126" s="246" t="str">
        <f>IFERROR(__xludf.DUMMYFUNCTION("IF(REGEXMATCH(C126, ""R""), ""2"","""")"),"")</f>
        <v/>
      </c>
      <c r="Z126" s="246" t="str">
        <f>IFERROR(__xludf.DUMMYFUNCTION("IF(REGEXMATCH(C126, ""g""), ""3"","""")"),"")</f>
        <v/>
      </c>
      <c r="AA126" s="245" t="str">
        <f>IFERROR(__xludf.DUMMYFUNCTION("IF(REGEXMATCH(C126, ""G""), ""4"","""")"),"")</f>
        <v/>
      </c>
      <c r="AB126" s="245" t="str">
        <f>IFERROR(__xludf.DUMMYFUNCTION("IF(REGEXMATCH(C126, ""m""), ""5"","""")"),"5")</f>
        <v>5</v>
      </c>
      <c r="AC126" s="246" t="str">
        <f>IFERROR(__xludf.DUMMYFUNCTION("IF(REGEXMATCH(C126, ""M""), ""6"","""")"),"")</f>
        <v/>
      </c>
      <c r="AD126" s="245" t="str">
        <f>IFERROR(__xludf.DUMMYFUNCTION("IF(REGEXMATCH(C126, ""P""), ""7"","""")"),"7")</f>
        <v>7</v>
      </c>
      <c r="AE126" s="246" t="str">
        <f>IFERROR(__xludf.DUMMYFUNCTION("IF(REGEXMATCH(C126, ""d""), ""8"","""")"),"8")</f>
        <v>8</v>
      </c>
      <c r="AF126" s="245" t="str">
        <f>IFERROR(__xludf.DUMMYFUNCTION("IF(REGEXMATCH(C126, ""D""), ""9"","""")"),"")</f>
        <v/>
      </c>
      <c r="AG126" s="245" t="str">
        <f>IFERROR(__xludf.DUMMYFUNCTION("IF(REGEXMATCH(C126, ""n""), ""10"","""")"),"")</f>
        <v/>
      </c>
      <c r="AH126" s="246" t="str">
        <f>IFERROR(__xludf.DUMMYFUNCTION("IF(REGEXMATCH(C126, ""N""), ""11"","""")"),"")</f>
        <v/>
      </c>
      <c r="AI126" s="249" t="str">
        <f>IFERROR(__xludf.DUMMYFUNCTION("IF(REGEXMATCH(C126, ""S""), ""0"","""")"),"0")</f>
        <v>0</v>
      </c>
      <c r="AJ126" s="313" t="str">
        <f t="shared" si="11"/>
        <v>-</v>
      </c>
      <c r="AK126" s="313" t="str">
        <f t="shared" si="12"/>
        <v>T</v>
      </c>
      <c r="AL126" s="313" t="str">
        <f t="shared" si="13"/>
        <v>-</v>
      </c>
      <c r="AM126" s="313" t="str">
        <f t="shared" si="14"/>
        <v>-</v>
      </c>
      <c r="AN126" s="313" t="str">
        <f t="shared" si="15"/>
        <v>-</v>
      </c>
      <c r="AO126" s="314" t="str">
        <f t="shared" si="16"/>
        <v>-</v>
      </c>
      <c r="AP126" s="316">
        <f t="shared" si="17"/>
        <v>1</v>
      </c>
      <c r="AQ126" s="319" t="str">
        <f t="shared" si="18"/>
        <v>-</v>
      </c>
      <c r="AR126" s="320">
        <f t="shared" si="19"/>
        <v>0</v>
      </c>
      <c r="AS126" s="250" t="str">
        <f>IFERROR(__xludf.DUMMYFUNCTION("SUBSTITUTE(SUBSTITUTE(CONCATENATE(JOIN("""",FP126:GA126)),""|"",""x""),""-"",""o"")"),"xxoooxoxxooo")</f>
        <v>xxoooxoxxooo</v>
      </c>
      <c r="AT126" s="323" t="str">
        <f>IFERROR(__xludf.DUMMYFUNCTION("JOIN("""",AS126,AS126)"),"xxoooxoxxoooxxoooxoxxooo")</f>
        <v>xxoooxoxxoooxxoooxoxxooo</v>
      </c>
      <c r="AU126" s="256" t="str">
        <f>IFERROR(__xludf.DUMMYFUNCTION("JOIN("""",ArrayFormula(MID(AS126,LEN(AS126)-SEQUENCE(1,LEN(AS126))+1,1)))"),"oooxxoxoooxx")</f>
        <v>oooxxoxoooxx</v>
      </c>
      <c r="AV126" s="256" t="str">
        <f>IFERROR(__xludf.DUMMYFUNCTION("LEFT(CONCATENATE(""x"",JOIN("""",ArrayFormula(MID(AS126,LEN(AS126)-SEQUENCE(1,LEN(AS126))+1,1)))),12)"),"xoooxxoxooox")</f>
        <v>xoooxxoxooox</v>
      </c>
      <c r="AW126" s="327" t="str">
        <f>IFERROR(__xludf.DUMMYFUNCTION("JOIN("""",AU126,AU126)"),"oooxxoxoooxxoooxxoxoooxx")</f>
        <v>oooxxoxoooxxoooxxoxoooxx</v>
      </c>
      <c r="AX126" s="239" t="str">
        <f>IFERROR(__xludf.DUMMYFUNCTION("IF(REGEXMATCH(AW126,AS126),""✔"",""-"")"),"-")</f>
        <v>-</v>
      </c>
      <c r="AY126" s="330" t="str">
        <f t="shared" si="20"/>
        <v>-</v>
      </c>
      <c r="AZ126" s="260" t="str">
        <f t="shared" si="21"/>
        <v>#REF!</v>
      </c>
      <c r="BA126" s="333" t="str">
        <f t="shared" si="22"/>
        <v>xxoooxo</v>
      </c>
      <c r="BB126" s="334" t="str">
        <f t="shared" si="23"/>
        <v>xxooox</v>
      </c>
      <c r="BC126" s="335" t="str">
        <f t="shared" si="236"/>
        <v>✔</v>
      </c>
      <c r="BD126" s="336" t="str">
        <f t="shared" si="25"/>
        <v>Gunakri: 'xxoooxo' + 'xxooox'</v>
      </c>
      <c r="BE126" s="337">
        <f>IFERROR(__xludf.DUMMYFUNCTION("COUNTUNIQUE(FILTER(AT:AT,REGEXMATCH(AT:AT,AS126)))-1"),3.0)</f>
        <v>3</v>
      </c>
      <c r="BF126" s="261" t="str">
        <f>IFERROR(__xludf.DUMMYFUNCTION("IF(BI126=0,""(n/a)"",IF(BJ126=2,""(PAIR)"",IF(REGEXMATCH(AT126,""xoxoxxoxoxox""),""Bilawal"",IF(REGEXMATCH(AT126,""xoxoxooxoxoo""),""Bhupali"",IF(REGEXMATCH(AT126,""xoxoxxoxxoxo""),""Charukeshi"",IF(REGEXMATCH(AT126,""xoxoooxxoxxo""),""Kameshwari"",IF(REG"&amp;"EXMATCH(AT126,""xoxoxooxoxox""),""Shankara"",IF(REGEXMATCH(AT126,""xxooxoxxxoox""),""Basant"",IF(REGEXMATCH(AT126,""xoxoxxxxoxox""),""Bihag"",IF(REGEXMATCH(AT126,""xoxxxxoxoxxx""),""Pilu"",IF(REGEXMATCH(AT126,""xoxxoxoxxoox""),""Kirwani"",IF(REGEXMATCH(AT"&amp;"126,""xoxxoxoxoxxx""),""Mk.Malhar"",IF(REGEXMATCH(AT126,""xxooxxoxxoox""),""Bhairav"",IF(REGEXMATCH(AT126,""xxoxooxxxoox""),""Todi"",IF(REGEXMATCH(AT126,""xxooxoxooxox""),""Marwa"",IF(REGEXMATCH(AT126,""xxoooxoxxooo""),""Gunkali"",IF(REGEXMATCH(AT126,""xo"&amp;"xoxxoxxoox""),""Nat Bhairav"",IF(REGEXMATCH(AT126,""xoxxoooxoxoo""),""Shivranjani"",IF(REGEXMATCH(AT126,""xooxxxoxooxo""),""Jog"",IF(REGEXMATCH(AT126,""xxooxoxoxoox""),""Hemshri"",IF(REGEXMATCH(AT126,""xoooxooxoxxo""),""Kalavati"",IF(REGEXMATCH(AT126,""xx"&amp;"oxoxxoxoox""),""Kedar"",IF(REGEXMATCH(AT126,""xoxxxxoxooxx""),""Gara"",IF(REGEXMATCH(AT126,""xooxoxooxoox""),""Chandrakauns"",IF(REGEXMATCH(AT126,""xoxxxxoxxxox""),""Mand"",IF(REGEXMATCH(AT126,""xoxxxxoxoxox""),""Hanskinkini"",IF(REGEXMATCH(AT126,""xxooxx"&amp;"oxooxo""),""Lilavati"",IF(REGEXMATCH(AT126,""xooxoxoooxox""),""Rajeshwari"",IF(REGEXMATCH(AT126,""xoooxxoxoxxx""),""Khokar"",IF(REGEXMATCH(AT126,""xxooxoxxxxox""),""Maligoura"",""-""))))))))))))))))))))))))))))))"),"Gunkali")</f>
        <v>Gunkali</v>
      </c>
      <c r="BG126" s="239" t="str">
        <f t="shared" si="26"/>
        <v>#REF!</v>
      </c>
      <c r="BH126" s="239">
        <f>IFERROR(__xludf.DUMMYFUNCTION("COUNTUNIQUE(FE126:FO126)-1"),4.0)</f>
        <v>4</v>
      </c>
      <c r="BI126" s="239">
        <f>IFERROR(__xludf.DUMMYFUNCTION("COUNTUNIQUE(FILTER(AT:AT,REGEXMATCH(AT:AT,AS126)))-1"),3.0)</f>
        <v>3</v>
      </c>
      <c r="BJ126" s="239">
        <f>IFERROR(__xludf.DUMMYFUNCTION("COUNTA(FILTER(AT:AT,REGEXMATCH(AT:AT,AS126)))"),6.0)</f>
        <v>6</v>
      </c>
      <c r="BK126" s="341">
        <f>IFERROR(__xludf.DUMMYFUNCTION("COUNTA(FILTER(AT:AT,REGEXMATCH(AT:AT,AS126)))-AR126"),6.0)</f>
        <v>6</v>
      </c>
      <c r="BL126" s="276" t="str">
        <f>IFERROR(__xludf.DUMMYFUNCTION("IF(AS126=""oooooooooooo"",""-"",IF(REGEXMATCH(AT126,""xx""), ""Hemi."", ""Anhemi.""))"),"Hemi.")</f>
        <v>Hemi.</v>
      </c>
      <c r="BM126" s="282" t="str">
        <f>IFERROR(__xludf.DUMMYFUNCTION("IF(AS126=""oooooooooooo"",""-"",IF(REGEXMATCH(AT126,""xxx""), ""Cohem."", ""-""))"),"-")</f>
        <v>-</v>
      </c>
      <c r="BN126" s="282" t="str">
        <f>IFERROR(__xludf.DUMMYFUNCTION("IF(AS126=""oooooooooooo"",""-"",IF(REGEXMATCH(AT126,""xxxx""), ""Co-Co."", ""-""))"),"-")</f>
        <v>-</v>
      </c>
      <c r="BO126" s="342" t="str">
        <f>IFERROR(__xludf.DUMMYFUNCTION("IF(AS126=""oooooooooooo"",""-"",IF(REGEXMATCH(AT126,""xxxxx""), ""CCC."", ""-""))"),"-")</f>
        <v>-</v>
      </c>
      <c r="BP126" s="344" t="str">
        <f t="shared" si="27"/>
        <v>-</v>
      </c>
      <c r="BQ126" s="282" t="str">
        <f>IFERROR(__xludf.DUMMYFUNCTION("IF(REGEXMATCH(JOIN(""-"",EU126:FD126),""TRUE""),""✔"",""-"")"),"✔")</f>
        <v>✔</v>
      </c>
      <c r="BR126" s="225">
        <f t="shared" si="28"/>
        <v>2</v>
      </c>
      <c r="BS126" s="345" t="str">
        <f>IFERROR(__xludf.DUMMYFUNCTION("SUBSTITUTE(SUBSTITUTE(SUBSTITUTE(SUBSTITUTE(CONCATENATE(JOIN(""-"",GC126:GO126)),""--"",""-""),""--"",""-""),""--"",""-""),""--"",""-"")"),"1-b2-4-5-b6-8")</f>
        <v>1-b2-4-5-b6-8</v>
      </c>
      <c r="BT126" s="299" t="str">
        <f>IFERROR(__xludf.DUMMYFUNCTION("SUBSTITUTE(SUBSTITUTE(SUBSTITUTE(SUBSTITUTE(CONCATENATE(JOIN(""-"",GP126:HB126)),""--"",""-""),""--"",""-""),""--"",""-""),""--"",""-"")"),"S-R1-M1-P-D1-S")</f>
        <v>S-R1-M1-P-D1-S</v>
      </c>
      <c r="BU126" s="348" t="str">
        <f t="shared" si="29"/>
        <v>C-Db-F-G-Ab-C</v>
      </c>
      <c r="BV126" s="349" t="str">
        <f t="shared" si="30"/>
        <v>SRgGMDnNS</v>
      </c>
      <c r="BW126" s="350">
        <f t="shared" si="31"/>
        <v>0</v>
      </c>
      <c r="BX126" s="351">
        <f t="shared" si="32"/>
        <v>2</v>
      </c>
      <c r="BY126" s="392"/>
      <c r="BZ126" s="309" t="str">
        <f>IFERROR(__xludf.DUMMYFUNCTION("IF(REGEXMATCH(C126, ""S""), ""x"",""x"")"),"x")</f>
        <v>x</v>
      </c>
      <c r="CA126" s="245" t="str">
        <f>IFERROR(__xludf.DUMMYFUNCTION("IF(REGEXMATCH(C126, ""r""), ""o"",""x"")"),"o")</f>
        <v>o</v>
      </c>
      <c r="CB126" s="246" t="str">
        <f>IFERROR(__xludf.DUMMYFUNCTION("IF(REGEXMATCH(C126, ""R""), ""o"",""x"")"),"x")</f>
        <v>x</v>
      </c>
      <c r="CC126" s="246" t="str">
        <f>IFERROR(__xludf.DUMMYFUNCTION("IF(REGEXMATCH(C126, ""g""), ""o"",""x"")"),"x")</f>
        <v>x</v>
      </c>
      <c r="CD126" s="245" t="str">
        <f>IFERROR(__xludf.DUMMYFUNCTION("IF(REGEXMATCH(C126, ""G""), ""o"",""x"")"),"x")</f>
        <v>x</v>
      </c>
      <c r="CE126" s="245" t="str">
        <f>IFERROR(__xludf.DUMMYFUNCTION("IF(REGEXMATCH(C126, ""m""), ""o"",""x"")"),"o")</f>
        <v>o</v>
      </c>
      <c r="CF126" s="246" t="str">
        <f>IFERROR(__xludf.DUMMYFUNCTION("IF(REGEXMATCH(C126, ""M""), ""o"",""x"")"),"x")</f>
        <v>x</v>
      </c>
      <c r="CG126" s="245" t="str">
        <f>IFERROR(__xludf.DUMMYFUNCTION("IF(REGEXMATCH(C126, ""P""), ""o"",""x"")"),"o")</f>
        <v>o</v>
      </c>
      <c r="CH126" s="246" t="str">
        <f>IFERROR(__xludf.DUMMYFUNCTION("IF(REGEXMATCH(C126, ""d""), ""o"",""x"")"),"o")</f>
        <v>o</v>
      </c>
      <c r="CI126" s="245" t="str">
        <f>IFERROR(__xludf.DUMMYFUNCTION("IF(REGEXMATCH(C126, ""D""), ""o"",""x"")"),"x")</f>
        <v>x</v>
      </c>
      <c r="CJ126" s="245" t="str">
        <f>IFERROR(__xludf.DUMMYFUNCTION("IF(REGEXMATCH(C126, ""n""), ""o"",""x"")"),"x")</f>
        <v>x</v>
      </c>
      <c r="CK126" s="245" t="str">
        <f>IFERROR(__xludf.DUMMYFUNCTION("IF(REGEXMATCH(C126, ""N""), ""o"",""x"")"),"x")</f>
        <v>x</v>
      </c>
      <c r="CL126" s="356" t="str">
        <f>IFERROR(__xludf.DUMMYFUNCTION("IF(REGEXMATCH(C126, ""S""), ""x"",""x"")"),"x")</f>
        <v>x</v>
      </c>
      <c r="CM126" s="357" t="str">
        <f t="shared" si="33"/>
        <v>xoxxxoxooxxx</v>
      </c>
      <c r="CN126" s="358">
        <f t="shared" si="34"/>
        <v>0</v>
      </c>
      <c r="CO126" s="246" t="str">
        <f>IFERROR(__xludf.DUMMYFUNCTION("IF(REGEXMATCH($C126, ""S""), ""S"",""S"")"),"S")</f>
        <v>S</v>
      </c>
      <c r="CP126" s="246" t="str">
        <f>IFERROR(__xludf.DUMMYFUNCTION("IF(REGEXMATCH($C126, ""r""), """",""r"")"),"")</f>
        <v/>
      </c>
      <c r="CQ126" s="246" t="str">
        <f>IFERROR(__xludf.DUMMYFUNCTION("IF(REGEXMATCH($C126, ""R""), """",""R"")"),"R")</f>
        <v>R</v>
      </c>
      <c r="CR126" s="246" t="str">
        <f>IFERROR(__xludf.DUMMYFUNCTION("IF(REGEXMATCH($C126, ""g""), """",""g"")"),"g")</f>
        <v>g</v>
      </c>
      <c r="CS126" s="246" t="str">
        <f>IFERROR(__xludf.DUMMYFUNCTION("IF(REGEXMATCH($C126, ""G""), """",""G"")"),"G")</f>
        <v>G</v>
      </c>
      <c r="CT126" s="246" t="str">
        <f>IFERROR(__xludf.DUMMYFUNCTION("IF(REGEXMATCH($C126, ""m""), """",""m"")"),"")</f>
        <v/>
      </c>
      <c r="CU126" s="246" t="str">
        <f>IFERROR(__xludf.DUMMYFUNCTION("IF(REGEXMATCH($C126, ""M""), """",""M"")"),"M")</f>
        <v>M</v>
      </c>
      <c r="CV126" s="246" t="str">
        <f>IFERROR(__xludf.DUMMYFUNCTION("IF(REGEXMATCH($C126, ""P""), """",""P"")"),"")</f>
        <v/>
      </c>
      <c r="CW126" s="246" t="str">
        <f>IFERROR(__xludf.DUMMYFUNCTION("IF(REGEXMATCH($C126, ""d""), """",""d"")"),"")</f>
        <v/>
      </c>
      <c r="CX126" s="246" t="str">
        <f>IFERROR(__xludf.DUMMYFUNCTION("IF(REGEXMATCH($C126, ""D""), """",""D"")"),"D")</f>
        <v>D</v>
      </c>
      <c r="CY126" s="246" t="str">
        <f>IFERROR(__xludf.DUMMYFUNCTION("IF(REGEXMATCH($C126, ""n""), """",""n"")"),"n")</f>
        <v>n</v>
      </c>
      <c r="CZ126" s="246" t="str">
        <f>IFERROR(__xludf.DUMMYFUNCTION("IF(REGEXMATCH($C126, ""N""), """",""N"")"),"N")</f>
        <v>N</v>
      </c>
      <c r="DA126" s="246" t="str">
        <f>IFERROR(__xludf.DUMMYFUNCTION("IF(REGEXMATCH($C126, ""S""), ""S"",""S"")"),"S")</f>
        <v>S</v>
      </c>
      <c r="DB126" s="362" t="str">
        <f>IFERROR(__xludf.DUMMYFUNCTION("JOIN("""",CO126:DA126,"""","""")"),"SRgGMDnNS")</f>
        <v>SRgGMDnNS</v>
      </c>
      <c r="DC126" s="363"/>
      <c r="DD126" s="301" t="str">
        <f t="shared" si="35"/>
        <v>#REF!</v>
      </c>
      <c r="DE126" s="302" t="str">
        <f t="shared" si="36"/>
        <v>#REF!</v>
      </c>
      <c r="DF126" s="301" t="str">
        <f t="shared" ref="DF126:DG126" si="456">SUBSTITUTE(S126,"-","")</f>
        <v>SRM</v>
      </c>
      <c r="DG126" s="301" t="str">
        <f t="shared" si="456"/>
        <v>PDS</v>
      </c>
      <c r="DH126" s="302" t="str">
        <f t="shared" si="38"/>
        <v>Gunkali</v>
      </c>
      <c r="DI126" s="301" t="str">
        <f t="shared" si="39"/>
        <v>Hemi.</v>
      </c>
      <c r="DJ126" s="364" t="str">
        <f t="shared" si="40"/>
        <v>-</v>
      </c>
      <c r="DK126" s="306" t="str">
        <f t="shared" si="41"/>
        <v>-</v>
      </c>
      <c r="DL126" s="366" t="str">
        <f t="shared" si="42"/>
        <v>✔</v>
      </c>
      <c r="DM126" s="308" t="str">
        <f t="shared" si="43"/>
        <v>-</v>
      </c>
      <c r="DN126" s="306" t="str">
        <f t="shared" si="44"/>
        <v>-</v>
      </c>
      <c r="DO126" s="306" t="str">
        <f t="shared" si="45"/>
        <v>✔</v>
      </c>
      <c r="DP126" s="367" t="str">
        <f t="shared" si="46"/>
        <v>-</v>
      </c>
      <c r="DQ126" s="310" t="str">
        <f t="shared" si="47"/>
        <v>-</v>
      </c>
      <c r="DR126" s="310" t="str">
        <f t="shared" si="48"/>
        <v>-</v>
      </c>
      <c r="DS126" s="310" t="str">
        <f t="shared" si="49"/>
        <v>-</v>
      </c>
      <c r="DT126" s="310" t="str">
        <f t="shared" si="50"/>
        <v>-</v>
      </c>
      <c r="DU126" s="370" t="str">
        <f t="shared" si="51"/>
        <v>-</v>
      </c>
      <c r="DV126" s="306" t="str">
        <f t="shared" si="52"/>
        <v>-</v>
      </c>
      <c r="DW126" s="306" t="str">
        <f t="shared" si="53"/>
        <v>✔</v>
      </c>
      <c r="DX126" s="306" t="str">
        <f t="shared" si="54"/>
        <v>-</v>
      </c>
      <c r="DY126" s="306" t="str">
        <f t="shared" si="55"/>
        <v>-</v>
      </c>
      <c r="DZ126" s="306" t="str">
        <f t="shared" si="56"/>
        <v>-</v>
      </c>
      <c r="EA126" s="367" t="str">
        <f t="shared" si="57"/>
        <v>✔</v>
      </c>
      <c r="EB126" s="310" t="str">
        <f>IFERROR(__xludf.DUMMYFUNCTION("IF(REGEXMATCH(AW126,AS126),""✔"",""-"")"),"-")</f>
        <v>-</v>
      </c>
      <c r="EC126" s="310" t="str">
        <f t="shared" si="58"/>
        <v>#REF!</v>
      </c>
      <c r="ED126" s="370" t="str">
        <f t="shared" si="59"/>
        <v>-</v>
      </c>
      <c r="EE126" s="340" t="str">
        <f t="shared" si="60"/>
        <v>S-r-m-P-d-S</v>
      </c>
      <c r="EF126" s="371" t="str">
        <f>IFERROR(__xludf.DUMMYFUNCTION("CONCATENATE(JOIN("""",HC126:HO126))"),"SGmPNS")</f>
        <v>SGmPNS</v>
      </c>
      <c r="EG126" s="372">
        <f t="shared" si="61"/>
        <v>2</v>
      </c>
      <c r="EH126" s="373" t="str">
        <f>IFERROR(__xludf.DUMMYFUNCTION("CONCATENATE(JOIN("""",JC126:JO126))"),"Pa, dha, ")</f>
        <v>Pa, dha, </v>
      </c>
      <c r="EI126" s="322">
        <f t="shared" si="62"/>
        <v>0</v>
      </c>
      <c r="EJ126" s="374" t="str">
        <f>IFERROR(__xludf.DUMMYFUNCTION("CONCATENATE(JOIN("""",KC126:KO126))"),"")</f>
        <v/>
      </c>
      <c r="EK126" s="325" t="str">
        <f t="shared" si="63"/>
        <v>S-R1-M1-P-D1-S</v>
      </c>
      <c r="EL126" s="326" t="str">
        <f t="shared" si="64"/>
        <v>1-b2-4-5-b6-8</v>
      </c>
      <c r="EM126" s="318" t="str">
        <f t="shared" si="65"/>
        <v>#REF!</v>
      </c>
      <c r="EN126" s="328" t="str">
        <f>IFERROR(__xludf.DUMMYFUNCTION("SUBSTITUTE(SUBSTITUTE(SUBSTITUTE(SUBSTITUTE(CONCATENATE(JOIN("" "",HP126:IB126)),""  "","" ""),""  "","" ""),""  "","" ""),""  "","" "")"),"o o • • • o • o o • • • o")</f>
        <v>o o • • • o • o o • • • o</v>
      </c>
      <c r="EO126" s="368" t="str">
        <f t="shared" si="66"/>
        <v>-</v>
      </c>
      <c r="EP126" s="339" t="str">
        <f t="shared" si="67"/>
        <v>-</v>
      </c>
      <c r="EQ126" s="339" t="str">
        <f t="shared" si="68"/>
        <v>Sa-Pa</v>
      </c>
      <c r="ER126" s="339" t="str">
        <f t="shared" si="69"/>
        <v>-</v>
      </c>
      <c r="ES126" s="340" t="str">
        <f t="shared" si="70"/>
        <v>-</v>
      </c>
      <c r="ET126" s="363"/>
      <c r="EU126" s="376" t="b">
        <f>IFERROR(__xludf.DUMMYFUNCTION("arrayformula(sum(--REGEXMATCH(""SRGMPDNS"",split(REGEXREPLACE(C126,""(.)"",""$1~""),""~""))))=len(C126)
"),FALSE)</f>
        <v>0</v>
      </c>
      <c r="EV126" s="290" t="b">
        <f>IFERROR(__xludf.DUMMYFUNCTION("arrayformula(sum(--REGEXMATCH(""SRGmPDNS"",split(REGEXREPLACE(C126,""(.)"",""$1~""),""~""))))=len(C126)"),FALSE)</f>
        <v>0</v>
      </c>
      <c r="EW126" s="290" t="b">
        <f>IFERROR(__xludf.DUMMYFUNCTION("arrayformula(sum(--REGEXMATCH(""SRGmPDnS"",split(REGEXREPLACE(C126,""(.)"",""$1~""),""~""))))=len(C126)"),FALSE)</f>
        <v>0</v>
      </c>
      <c r="EX126" s="290" t="b">
        <f>IFERROR(__xludf.DUMMYFUNCTION("arrayformula(sum(--REGEXMATCH(""SRgmPDnS"",split(REGEXREPLACE(C126,""(.)"",""$1~""),""~""))))=len(C126)"),FALSE)</f>
        <v>0</v>
      </c>
      <c r="EY126" s="290" t="b">
        <f>IFERROR(__xludf.DUMMYFUNCTION("arrayformula(sum(--REGEXMATCH(""SRgmPdnS"",split(REGEXREPLACE(C126,""(.)"",""$1~""),""~""))))=len(C126)"),FALSE)</f>
        <v>0</v>
      </c>
      <c r="EZ126" s="290" t="b">
        <f>IFERROR(__xludf.DUMMYFUNCTION("arrayformula(sum(--REGEXMATCH(""SrgmPdnS"",split(REGEXREPLACE(C126,""(.)"",""$1~""),""~""))))=len(C126)"),TRUE)</f>
        <v>1</v>
      </c>
      <c r="FA126" s="290" t="b">
        <f>IFERROR(__xludf.DUMMYFUNCTION("arrayformula(sum(--REGEXMATCH(""SrGmPdNS"",split(REGEXREPLACE(C126,""(.)"",""$1~""),""~""))))=len(C126)"),TRUE)</f>
        <v>1</v>
      </c>
      <c r="FB126" s="290" t="b">
        <f>IFERROR(__xludf.DUMMYFUNCTION("arrayformula(sum(--REGEXMATCH(""SrGMPDNS"",split(REGEXREPLACE(C126,""(.)"",""$1~""),""~""))))=len(C126)"),FALSE)</f>
        <v>0</v>
      </c>
      <c r="FC126" s="290" t="b">
        <f>IFERROR(__xludf.DUMMYFUNCTION("arrayformula(sum(--REGEXMATCH(""SrGMPdNS"",split(REGEXREPLACE(C126,""(.)"",""$1~""),""~""))))=len(C126)"),FALSE)</f>
        <v>0</v>
      </c>
      <c r="FD126" s="377" t="b">
        <f>IFERROR(__xludf.DUMMYFUNCTION("arrayformula(sum(--REGEXMATCH(""SrgMPdNS"",split(REGEXREPLACE(C126,""(.)"",""$1~""),""~""))))=len(C126)"),FALSE)</f>
        <v>0</v>
      </c>
      <c r="FE126" s="269" t="str">
        <f t="shared" si="71"/>
        <v>xoooxoxxooo</v>
      </c>
      <c r="FF126" s="269" t="str">
        <f t="shared" si="72"/>
        <v>-</v>
      </c>
      <c r="FG126" s="271" t="str">
        <f t="shared" si="73"/>
        <v>-</v>
      </c>
      <c r="FH126" s="269" t="str">
        <f t="shared" si="74"/>
        <v>-</v>
      </c>
      <c r="FI126" s="271" t="str">
        <f t="shared" si="75"/>
        <v>xoxxoooxxoo</v>
      </c>
      <c r="FJ126" s="271" t="str">
        <f t="shared" si="76"/>
        <v>-</v>
      </c>
      <c r="FK126" s="271" t="str">
        <f t="shared" si="77"/>
        <v>xxoooxxooox</v>
      </c>
      <c r="FL126" s="271" t="str">
        <f t="shared" si="78"/>
        <v>xoooxxoooxo</v>
      </c>
      <c r="FM126" s="271" t="str">
        <f t="shared" si="79"/>
        <v>-</v>
      </c>
      <c r="FN126" s="271" t="str">
        <f t="shared" si="80"/>
        <v>-</v>
      </c>
      <c r="FO126" s="274" t="str">
        <f t="shared" si="81"/>
        <v>-</v>
      </c>
      <c r="FP126" s="234" t="str">
        <f t="shared" si="82"/>
        <v>|</v>
      </c>
      <c r="FQ126" s="236" t="str">
        <f t="shared" si="83"/>
        <v>|</v>
      </c>
      <c r="FR126" s="237" t="str">
        <f t="shared" si="84"/>
        <v>-</v>
      </c>
      <c r="FS126" s="236" t="str">
        <f t="shared" si="85"/>
        <v>-</v>
      </c>
      <c r="FT126" s="237" t="str">
        <f t="shared" si="86"/>
        <v>-</v>
      </c>
      <c r="FU126" s="236" t="str">
        <f t="shared" si="87"/>
        <v>|</v>
      </c>
      <c r="FV126" s="237" t="str">
        <f t="shared" si="88"/>
        <v>-</v>
      </c>
      <c r="FW126" s="236" t="str">
        <f t="shared" si="89"/>
        <v>|</v>
      </c>
      <c r="FX126" s="237" t="str">
        <f t="shared" si="90"/>
        <v>|</v>
      </c>
      <c r="FY126" s="236" t="str">
        <f t="shared" si="91"/>
        <v>-</v>
      </c>
      <c r="FZ126" s="237" t="str">
        <f t="shared" si="92"/>
        <v>-</v>
      </c>
      <c r="GA126" s="236" t="str">
        <f t="shared" si="93"/>
        <v>-</v>
      </c>
      <c r="GB126" s="238" t="str">
        <f t="shared" si="94"/>
        <v>|</v>
      </c>
      <c r="GC126" s="244" t="str">
        <f>IFERROR(__xludf.DUMMYFUNCTION("IF(REGEXMATCH(C126, ""S""), ""1"","""")"),"1")</f>
        <v>1</v>
      </c>
      <c r="GD126" s="245" t="str">
        <f>IFERROR(__xludf.DUMMYFUNCTION("IF(REGEXMATCH(C126, ""r""), ""b2"","""")"),"b2")</f>
        <v>b2</v>
      </c>
      <c r="GE126" s="246" t="str">
        <f>IFERROR(__xludf.DUMMYFUNCTION("IF(REGEXMATCH(C126, ""R""), ""2"","""")"),"")</f>
        <v/>
      </c>
      <c r="GF126" s="246" t="str">
        <f>IFERROR(__xludf.DUMMYFUNCTION("IF(REGEXMATCH(C126, ""g""), ""b3"","""")"),"")</f>
        <v/>
      </c>
      <c r="GG126" s="245" t="str">
        <f>IFERROR(__xludf.DUMMYFUNCTION("IF(REGEXMATCH(C126, ""G""), ""3"","""")"),"")</f>
        <v/>
      </c>
      <c r="GH126" s="245" t="str">
        <f>IFERROR(__xludf.DUMMYFUNCTION("IF(REGEXMATCH(C126, ""m""), ""4"","""")"),"4")</f>
        <v>4</v>
      </c>
      <c r="GI126" s="246" t="str">
        <f>IFERROR(__xludf.DUMMYFUNCTION("IF(REGEXMATCH(C126, ""M""), ""#4"","""")"),"")</f>
        <v/>
      </c>
      <c r="GJ126" s="245" t="str">
        <f>IFERROR(__xludf.DUMMYFUNCTION("IF(REGEXMATCH(C126, ""P""), ""5"","""")"),"5")</f>
        <v>5</v>
      </c>
      <c r="GK126" s="246" t="str">
        <f>IFERROR(__xludf.DUMMYFUNCTION("IF(REGEXMATCH(C126, ""d""), ""b6"","""")"),"b6")</f>
        <v>b6</v>
      </c>
      <c r="GL126" s="245" t="str">
        <f>IFERROR(__xludf.DUMMYFUNCTION("IF(REGEXMATCH(C126, ""D""), ""6"","""")"),"")</f>
        <v/>
      </c>
      <c r="GM126" s="245" t="str">
        <f>IFERROR(__xludf.DUMMYFUNCTION("IF(REGEXMATCH(C126, ""n""), ""b7"","""")"),"")</f>
        <v/>
      </c>
      <c r="GN126" s="246" t="str">
        <f>IFERROR(__xludf.DUMMYFUNCTION("IF(REGEXMATCH(C126, ""N""), ""7"","""")"),"")</f>
        <v/>
      </c>
      <c r="GO126" s="249" t="str">
        <f>IFERROR(__xludf.DUMMYFUNCTION("IF(REGEXMATCH(C126, ""S""), ""8"","""")"),"8")</f>
        <v>8</v>
      </c>
      <c r="GP126" s="244" t="str">
        <f>IFERROR(__xludf.DUMMYFUNCTION("IF(REGEXMATCH(C126, ""S""), ""S"","""")"),"S")</f>
        <v>S</v>
      </c>
      <c r="GQ126" s="294" t="str">
        <f>IFERROR(__xludf.DUMMYFUNCTION("IF(REGEXMATCH(C126, ""r""), ""R1"","""")"),"R1")</f>
        <v>R1</v>
      </c>
      <c r="GR126" s="295" t="str">
        <f>IFERROR(__xludf.DUMMYFUNCTION("IF(REGEXMATCH(C126, ""R""), ""R2"","""")"),"")</f>
        <v/>
      </c>
      <c r="GS126" s="295" t="str">
        <f>IFERROR(__xludf.DUMMYFUNCTION("IF(REGEXMATCH(C126, ""g""), ""G2"","""")"),"")</f>
        <v/>
      </c>
      <c r="GT126" s="294" t="str">
        <f>IFERROR(__xludf.DUMMYFUNCTION("IF(REGEXMATCH(C126, ""G""), ""G3"","""")"),"")</f>
        <v/>
      </c>
      <c r="GU126" s="294" t="str">
        <f>IFERROR(__xludf.DUMMYFUNCTION("IF(REGEXMATCH(C126, ""m""), ""M1"","""")"),"M1")</f>
        <v>M1</v>
      </c>
      <c r="GV126" s="295" t="str">
        <f>IFERROR(__xludf.DUMMYFUNCTION("IF(REGEXMATCH(C126, ""M""), ""M2"","""")"),"")</f>
        <v/>
      </c>
      <c r="GW126" s="294" t="str">
        <f>IFERROR(__xludf.DUMMYFUNCTION("IF(REGEXMATCH(C126, ""P""), ""P"","""")"),"P")</f>
        <v>P</v>
      </c>
      <c r="GX126" s="295" t="str">
        <f>IFERROR(__xludf.DUMMYFUNCTION("IF(REGEXMATCH(C126, ""d""), ""D1"","""")"),"D1")</f>
        <v>D1</v>
      </c>
      <c r="GY126" s="294" t="str">
        <f>IFERROR(__xludf.DUMMYFUNCTION("IF(REGEXMATCH(C126, ""D""), ""D2"","""")"),"")</f>
        <v/>
      </c>
      <c r="GZ126" s="294" t="str">
        <f>IFERROR(__xludf.DUMMYFUNCTION("IF(REGEXMATCH(C126, ""n""), ""N2"","""")"),"")</f>
        <v/>
      </c>
      <c r="HA126" s="295" t="str">
        <f>IFERROR(__xludf.DUMMYFUNCTION("IF(REGEXMATCH(C126, ""N""), ""N3"","""")"),"")</f>
        <v/>
      </c>
      <c r="HB126" s="249" t="str">
        <f>IFERROR(__xludf.DUMMYFUNCTION("IF(REGEXMATCH(C126, ""S""), ""S"","""")"),"S")</f>
        <v>S</v>
      </c>
      <c r="HC126" s="331" t="str">
        <f t="shared" si="95"/>
        <v>S</v>
      </c>
      <c r="HD126" s="332" t="str">
        <f t="shared" si="96"/>
        <v/>
      </c>
      <c r="HE126" s="332" t="str">
        <f t="shared" si="97"/>
        <v/>
      </c>
      <c r="HF126" s="332" t="str">
        <f t="shared" si="98"/>
        <v/>
      </c>
      <c r="HG126" s="332" t="str">
        <f t="shared" si="99"/>
        <v>G</v>
      </c>
      <c r="HH126" s="332" t="str">
        <f t="shared" si="100"/>
        <v>m</v>
      </c>
      <c r="HI126" s="332" t="str">
        <f t="shared" si="101"/>
        <v/>
      </c>
      <c r="HJ126" s="332" t="str">
        <f t="shared" si="102"/>
        <v>P</v>
      </c>
      <c r="HK126" s="332" t="str">
        <f t="shared" si="103"/>
        <v/>
      </c>
      <c r="HL126" s="332" t="str">
        <f t="shared" si="104"/>
        <v/>
      </c>
      <c r="HM126" s="332" t="str">
        <f t="shared" si="105"/>
        <v/>
      </c>
      <c r="HN126" s="332" t="str">
        <f t="shared" si="106"/>
        <v>N</v>
      </c>
      <c r="HO126" s="343" t="str">
        <f t="shared" si="107"/>
        <v>S</v>
      </c>
      <c r="HP126" s="331" t="str">
        <f t="shared" si="108"/>
        <v>o</v>
      </c>
      <c r="HQ126" s="332" t="str">
        <f t="shared" si="109"/>
        <v>o</v>
      </c>
      <c r="HR126" s="332" t="str">
        <f t="shared" si="110"/>
        <v>•</v>
      </c>
      <c r="HS126" s="332" t="str">
        <f t="shared" si="111"/>
        <v>•</v>
      </c>
      <c r="HT126" s="332" t="str">
        <f t="shared" si="112"/>
        <v>•</v>
      </c>
      <c r="HU126" s="332" t="str">
        <f t="shared" si="113"/>
        <v>o</v>
      </c>
      <c r="HV126" s="332" t="str">
        <f t="shared" si="114"/>
        <v>•</v>
      </c>
      <c r="HW126" s="332" t="str">
        <f t="shared" si="115"/>
        <v>o</v>
      </c>
      <c r="HX126" s="332" t="str">
        <f t="shared" si="116"/>
        <v>o</v>
      </c>
      <c r="HY126" s="332" t="str">
        <f t="shared" si="117"/>
        <v>•</v>
      </c>
      <c r="HZ126" s="332" t="str">
        <f t="shared" si="118"/>
        <v>•</v>
      </c>
      <c r="IA126" s="332" t="str">
        <f t="shared" si="119"/>
        <v>•</v>
      </c>
      <c r="IB126" s="338" t="str">
        <f t="shared" si="120"/>
        <v>o</v>
      </c>
      <c r="IC126" s="331" t="str">
        <f t="shared" si="121"/>
        <v>•</v>
      </c>
      <c r="ID126" s="332" t="str">
        <f t="shared" si="122"/>
        <v>•</v>
      </c>
      <c r="IE126" s="332" t="str">
        <f t="shared" si="123"/>
        <v>o</v>
      </c>
      <c r="IF126" s="332" t="str">
        <f t="shared" si="124"/>
        <v>o</v>
      </c>
      <c r="IG126" s="332" t="str">
        <f t="shared" si="125"/>
        <v>o</v>
      </c>
      <c r="IH126" s="332" t="str">
        <f t="shared" si="126"/>
        <v>•</v>
      </c>
      <c r="II126" s="332" t="str">
        <f t="shared" si="127"/>
        <v>o</v>
      </c>
      <c r="IJ126" s="332" t="str">
        <f t="shared" si="128"/>
        <v>•</v>
      </c>
      <c r="IK126" s="332" t="str">
        <f t="shared" si="129"/>
        <v>•</v>
      </c>
      <c r="IL126" s="332" t="str">
        <f t="shared" si="130"/>
        <v>o</v>
      </c>
      <c r="IM126" s="332" t="str">
        <f t="shared" si="131"/>
        <v>o</v>
      </c>
      <c r="IN126" s="332" t="str">
        <f t="shared" si="132"/>
        <v>o</v>
      </c>
      <c r="IO126" s="338" t="str">
        <f t="shared" si="133"/>
        <v>•</v>
      </c>
      <c r="IP126" s="346" t="b">
        <f t="shared" si="134"/>
        <v>0</v>
      </c>
      <c r="IQ126" s="347" t="b">
        <f t="shared" si="135"/>
        <v>0</v>
      </c>
      <c r="IR126" s="347" t="b">
        <f t="shared" si="136"/>
        <v>0</v>
      </c>
      <c r="IS126" s="347" t="b">
        <f t="shared" si="137"/>
        <v>0</v>
      </c>
      <c r="IT126" s="347" t="b">
        <f t="shared" si="138"/>
        <v>0</v>
      </c>
      <c r="IU126" s="347" t="b">
        <f t="shared" si="139"/>
        <v>0</v>
      </c>
      <c r="IV126" s="347" t="b">
        <f t="shared" si="140"/>
        <v>0</v>
      </c>
      <c r="IW126" s="347" t="b">
        <f t="shared" si="141"/>
        <v>1</v>
      </c>
      <c r="IX126" s="347" t="b">
        <f t="shared" si="142"/>
        <v>1</v>
      </c>
      <c r="IY126" s="347" t="b">
        <f t="shared" si="143"/>
        <v>0</v>
      </c>
      <c r="IZ126" s="347" t="b">
        <f t="shared" si="144"/>
        <v>0</v>
      </c>
      <c r="JA126" s="347" t="b">
        <f t="shared" si="145"/>
        <v>0</v>
      </c>
      <c r="JB126" s="353" t="b">
        <f t="shared" si="146"/>
        <v>0</v>
      </c>
      <c r="JC126" s="354" t="str">
        <f t="shared" si="147"/>
        <v/>
      </c>
      <c r="JD126" s="355" t="str">
        <f t="shared" si="148"/>
        <v/>
      </c>
      <c r="JE126" s="355" t="str">
        <f t="shared" si="149"/>
        <v/>
      </c>
      <c r="JF126" s="355" t="str">
        <f t="shared" si="150"/>
        <v/>
      </c>
      <c r="JG126" s="355" t="str">
        <f t="shared" si="151"/>
        <v/>
      </c>
      <c r="JH126" s="355" t="str">
        <f t="shared" si="152"/>
        <v/>
      </c>
      <c r="JI126" s="355" t="str">
        <f t="shared" si="153"/>
        <v/>
      </c>
      <c r="JJ126" s="355" t="str">
        <f t="shared" si="154"/>
        <v>Pa, </v>
      </c>
      <c r="JK126" s="355" t="str">
        <f t="shared" si="155"/>
        <v>dha, </v>
      </c>
      <c r="JL126" s="355" t="str">
        <f t="shared" si="156"/>
        <v/>
      </c>
      <c r="JM126" s="355" t="str">
        <f t="shared" si="157"/>
        <v/>
      </c>
      <c r="JN126" s="355" t="str">
        <f t="shared" si="158"/>
        <v/>
      </c>
      <c r="JO126" s="359" t="str">
        <f t="shared" si="159"/>
        <v/>
      </c>
      <c r="JP126" s="346" t="b">
        <f t="shared" si="160"/>
        <v>0</v>
      </c>
      <c r="JQ126" s="347" t="b">
        <f t="shared" si="161"/>
        <v>0</v>
      </c>
      <c r="JR126" s="347" t="b">
        <f t="shared" si="162"/>
        <v>0</v>
      </c>
      <c r="JS126" s="347" t="b">
        <f t="shared" si="163"/>
        <v>0</v>
      </c>
      <c r="JT126" s="347" t="b">
        <f t="shared" si="164"/>
        <v>0</v>
      </c>
      <c r="JU126" s="347" t="b">
        <f t="shared" si="165"/>
        <v>0</v>
      </c>
      <c r="JV126" s="347" t="b">
        <f t="shared" si="166"/>
        <v>0</v>
      </c>
      <c r="JW126" s="347" t="b">
        <f t="shared" si="167"/>
        <v>0</v>
      </c>
      <c r="JX126" s="347" t="b">
        <f t="shared" si="168"/>
        <v>0</v>
      </c>
      <c r="JY126" s="347" t="b">
        <f t="shared" si="169"/>
        <v>0</v>
      </c>
      <c r="JZ126" s="347" t="b">
        <f t="shared" si="170"/>
        <v>0</v>
      </c>
      <c r="KA126" s="347" t="b">
        <f t="shared" si="171"/>
        <v>0</v>
      </c>
      <c r="KB126" s="365" t="b">
        <f t="shared" si="172"/>
        <v>0</v>
      </c>
      <c r="KC126" s="354" t="str">
        <f t="shared" si="173"/>
        <v/>
      </c>
      <c r="KD126" s="355" t="str">
        <f t="shared" si="174"/>
        <v/>
      </c>
      <c r="KE126" s="355" t="str">
        <f t="shared" si="175"/>
        <v/>
      </c>
      <c r="KF126" s="355" t="str">
        <f t="shared" si="176"/>
        <v/>
      </c>
      <c r="KG126" s="355" t="str">
        <f t="shared" si="177"/>
        <v/>
      </c>
      <c r="KH126" s="355" t="str">
        <f t="shared" si="178"/>
        <v/>
      </c>
      <c r="KI126" s="355" t="str">
        <f t="shared" si="179"/>
        <v/>
      </c>
      <c r="KJ126" s="355" t="str">
        <f t="shared" si="180"/>
        <v/>
      </c>
      <c r="KK126" s="355" t="str">
        <f t="shared" si="181"/>
        <v/>
      </c>
      <c r="KL126" s="355" t="str">
        <f t="shared" si="182"/>
        <v/>
      </c>
      <c r="KM126" s="355" t="str">
        <f t="shared" si="183"/>
        <v/>
      </c>
      <c r="KN126" s="355" t="str">
        <f t="shared" si="184"/>
        <v/>
      </c>
      <c r="KO126" s="359"/>
      <c r="KP126" s="378"/>
      <c r="KQ126" s="379" t="s">
        <v>764</v>
      </c>
      <c r="KR126" s="380" t="s">
        <v>1397</v>
      </c>
      <c r="KS126" s="381" t="str">
        <f t="shared" si="452"/>
        <v>S-r-m-P-d-S</v>
      </c>
      <c r="KT126" s="382">
        <f t="shared" si="186"/>
        <v>5</v>
      </c>
      <c r="KU126" s="383">
        <f t="shared" si="187"/>
        <v>5</v>
      </c>
      <c r="KV126" s="381" t="str">
        <f t="shared" si="205"/>
        <v>S-d-P-m-r-S</v>
      </c>
      <c r="KW126" s="382">
        <f t="shared" si="189"/>
        <v>5</v>
      </c>
      <c r="KX126" s="384">
        <f t="shared" si="190"/>
        <v>5</v>
      </c>
      <c r="KY126" s="382">
        <f t="shared" ref="KY126:KZ126" si="457">KW126-KT126</f>
        <v>0</v>
      </c>
      <c r="KZ126" s="369">
        <f t="shared" si="457"/>
        <v>0</v>
      </c>
      <c r="LA126" s="385" t="str">
        <f t="shared" si="192"/>
        <v>✔</v>
      </c>
      <c r="LB126" s="340" t="str">
        <f>IFERROR(__xludf.DUMMYFUNCTION("JOIN("""",ArrayFormula(MID(KS126,LEN(KS126)-SEQUENCE(1,LEN(KS126))+1,1)))"),"S-d-P-m-r-S")</f>
        <v>S-d-P-m-r-S</v>
      </c>
      <c r="LC126" s="373" t="str">
        <f>IFERROR(__xludf.DUMMYFUNCTION("JOIN("""",ArrayFormula(MID(KV126,LEN(KV126)-SEQUENCE(1,LEN(KV126))+1,1)))"),"S-r-m-P-d-S")</f>
        <v>S-r-m-P-d-S</v>
      </c>
      <c r="LD126" s="373" t="str">
        <f t="shared" si="193"/>
        <v>SrmPdS</v>
      </c>
      <c r="LE126" s="339" t="str">
        <f t="shared" si="194"/>
        <v>SrmPdS</v>
      </c>
      <c r="LF126" s="386" t="str">
        <f>IFERROR(__xludf.DUMMYFUNCTION("SUBSTITUTE(SUBSTITUTE(CONCATENATE(JOIN("""",LH126:LT126)),""1"",""""),""2"","""")"),"SrmPdS")</f>
        <v>SrmPdS</v>
      </c>
      <c r="LG126" s="369" t="str">
        <f t="shared" si="195"/>
        <v>✔</v>
      </c>
      <c r="LH126" s="387" t="str">
        <f>IFERROR(__xludf.DUMMYFUNCTION("IF(REGEXMATCH(LD126, ""S""), ""S"",IF(REGEXMATCH(LE126, ""S""), ""S"",""""))"),"S")</f>
        <v>S</v>
      </c>
      <c r="LI126" s="299" t="str">
        <f>IFERROR(__xludf.DUMMYFUNCTION("IF(REGEXMATCH(LD126, ""r""), ""r1"",IF(REGEXMATCH(LE126, ""r""), ""r2"",""""))"),"r1")</f>
        <v>r1</v>
      </c>
      <c r="LJ126" s="299" t="str">
        <f>IFERROR(__xludf.DUMMYFUNCTION("IF(REGEXMATCH(LD126, ""R""), ""R1"",IF(REGEXMATCH(LE126, ""R""), ""R2"",""""))"),"")</f>
        <v/>
      </c>
      <c r="LK126" s="299" t="str">
        <f>IFERROR(__xludf.DUMMYFUNCTION("IF(REGEXMATCH(LD126, ""g""), ""g1"",IF(REGEXMATCH(LE126, ""g""), ""g2"",""""))"),"")</f>
        <v/>
      </c>
      <c r="LL126" s="299" t="str">
        <f>IFERROR(__xludf.DUMMYFUNCTION("IF(REGEXMATCH(LD126, ""G""), ""G1"",IF(REGEXMATCH(LE126, ""G""), ""G2"",""""))"),"")</f>
        <v/>
      </c>
      <c r="LM126" s="299" t="str">
        <f>IFERROR(__xludf.DUMMYFUNCTION("IF(REGEXMATCH(LD126, ""m""), ""m1"",IF(REGEXMATCH(LE126, ""m""), ""m2"",""""))"),"m1")</f>
        <v>m1</v>
      </c>
      <c r="LN126" s="299" t="str">
        <f>IFERROR(__xludf.DUMMYFUNCTION("IF(REGEXMATCH(LD126, ""M""), ""M1"",IF(REGEXMATCH(LE126, ""M""), ""M2"",""""))"),"")</f>
        <v/>
      </c>
      <c r="LO126" s="299" t="str">
        <f>IFERROR(__xludf.DUMMYFUNCTION("IF(REGEXMATCH(LD126, ""P""), ""P1"",IF(REGEXMATCH(LE126, ""P""), ""P2"",""""))"),"P1")</f>
        <v>P1</v>
      </c>
      <c r="LP126" s="299" t="str">
        <f>IFERROR(__xludf.DUMMYFUNCTION("IF(REGEXMATCH(LD126, ""d""), ""d1"",IF(REGEXMATCH(LE126, ""d""), ""d2"",""""))"),"d1")</f>
        <v>d1</v>
      </c>
      <c r="LQ126" s="299" t="str">
        <f>IFERROR(__xludf.DUMMYFUNCTION("IF(REGEXMATCH(LD126, ""D""), ""D1"",IF(REGEXMATCH(LE126, ""D""), ""D2"",""""))"),"")</f>
        <v/>
      </c>
      <c r="LR126" s="299" t="str">
        <f>IFERROR(__xludf.DUMMYFUNCTION("IF(REGEXMATCH(LD126, ""n""), ""n1"",IF(REGEXMATCH(LE126, ""n""), ""n2"",""""))"),"")</f>
        <v/>
      </c>
      <c r="LS126" s="299" t="str">
        <f>IFERROR(__xludf.DUMMYFUNCTION("IF(REGEXMATCH(LD126, ""N""), ""N1"",IF(REGEXMATCH(LE126, ""N""), ""N2"",""""))"),"")</f>
        <v/>
      </c>
      <c r="LT126" s="388" t="str">
        <f>IFERROR(__xludf.DUMMYFUNCTION("IF(REGEXMATCH(LD126, ""S""), ""S"",IF(REGEXMATCH(LE126, ""S""), ""S"",""""))"),"S")</f>
        <v>S</v>
      </c>
      <c r="LU126" s="389">
        <f t="shared" si="196"/>
        <v>1</v>
      </c>
      <c r="LV126" s="378"/>
      <c r="LW126" s="369"/>
      <c r="LX126" s="369"/>
    </row>
    <row r="127" ht="18.0" customHeight="1">
      <c r="A127" s="298" t="s">
        <v>767</v>
      </c>
      <c r="B127" s="222" t="s">
        <v>688</v>
      </c>
      <c r="C127" s="233" t="str">
        <f t="shared" si="7"/>
        <v>SRgGmPdnS</v>
      </c>
      <c r="D127" s="234" t="str">
        <f>IFERROR(__xludf.DUMMYFUNCTION("IF(REGEXMATCH(C127, ""S""), ""S"","""")"),"S")</f>
        <v>S</v>
      </c>
      <c r="E127" s="236" t="str">
        <f>IFERROR(__xludf.DUMMYFUNCTION("IF(REGEXMATCH(C127, ""r""), ""r"","""")"),"")</f>
        <v/>
      </c>
      <c r="F127" s="237" t="str">
        <f>IFERROR(__xludf.DUMMYFUNCTION("IF(REGEXMATCH(C127, ""R""), ""R"","""")"),"R")</f>
        <v>R</v>
      </c>
      <c r="G127" s="237" t="str">
        <f>IFERROR(__xludf.DUMMYFUNCTION("IF(REGEXMATCH(C127, ""g""), ""g"","""")"),"g")</f>
        <v>g</v>
      </c>
      <c r="H127" s="236" t="str">
        <f>IFERROR(__xludf.DUMMYFUNCTION("IF(REGEXMATCH(C127, ""G""), ""G"","""")"),"G")</f>
        <v>G</v>
      </c>
      <c r="I127" s="236" t="str">
        <f>IFERROR(__xludf.DUMMYFUNCTION("IF(REGEXMATCH(C127, ""m""), ""m"","""")"),"m")</f>
        <v>m</v>
      </c>
      <c r="J127" s="237" t="str">
        <f>IFERROR(__xludf.DUMMYFUNCTION("IF(REGEXMATCH(C127, ""M""), ""M"","""")"),"")</f>
        <v/>
      </c>
      <c r="K127" s="236" t="str">
        <f>IFERROR(__xludf.DUMMYFUNCTION("IF(REGEXMATCH(C127, ""P""), ""P"","""")"),"P")</f>
        <v>P</v>
      </c>
      <c r="L127" s="237" t="str">
        <f>IFERROR(__xludf.DUMMYFUNCTION("IF(REGEXMATCH(C127, ""d""), ""d"","""")"),"d")</f>
        <v>d</v>
      </c>
      <c r="M127" s="236" t="str">
        <f>IFERROR(__xludf.DUMMYFUNCTION("IF(REGEXMATCH(C127, ""D""), ""D"","""")"),"")</f>
        <v/>
      </c>
      <c r="N127" s="236" t="str">
        <f>IFERROR(__xludf.DUMMYFUNCTION("IF(REGEXMATCH(C127, ""n""), ""n"","""")"),"n")</f>
        <v>n</v>
      </c>
      <c r="O127" s="237" t="str">
        <f>IFERROR(__xludf.DUMMYFUNCTION("IF(REGEXMATCH(C127, ""N""), ""N"","""")"),"")</f>
        <v/>
      </c>
      <c r="P127" s="238" t="str">
        <f>IFERROR(__xludf.DUMMYFUNCTION("IF(REGEXMATCH(C127, ""S""), ""S"","""")"),"S")</f>
        <v>S</v>
      </c>
      <c r="Q127" s="239" t="str">
        <f>IFERROR(__xludf.DUMMYFUNCTION("SUBSTITUTE(CONCATENATE(JOIN(""-"",D127:J127)),""-"","""")"),"SRgGm")</f>
        <v>SRgGm</v>
      </c>
      <c r="R127" s="229" t="str">
        <f>IFERROR(__xludf.DUMMYFUNCTION("SUBSTITUTE(CONCATENATE(JOIN(""-"",K127:P127)),""-"","""")"),"PdnS")</f>
        <v>PdnS</v>
      </c>
      <c r="S127" s="282" t="str">
        <f t="shared" si="8"/>
        <v>S-R-G-M</v>
      </c>
      <c r="T127" s="282" t="str">
        <f t="shared" si="9"/>
        <v>P-D-N-S</v>
      </c>
      <c r="U127" s="237" t="str">
        <f>IFERROR(__xludf.DUMMYFUNCTION("SUBSTITUTE(JOIN(""-"",S127,T127),""--"",""-"")"),"S-R-G-M-P-D-N-S")</f>
        <v>S-R-G-M-P-D-N-S</v>
      </c>
      <c r="V127" s="309" t="str">
        <f t="shared" si="10"/>
        <v>RgGmdn</v>
      </c>
      <c r="W127" s="244" t="str">
        <f>IFERROR(__xludf.DUMMYFUNCTION("IF(REGEXMATCH(C127, ""S""), ""0"","""")"),"0")</f>
        <v>0</v>
      </c>
      <c r="X127" s="245" t="str">
        <f>IFERROR(__xludf.DUMMYFUNCTION("IF(REGEXMATCH(C127, ""r""), ""1"","""")"),"")</f>
        <v/>
      </c>
      <c r="Y127" s="246" t="str">
        <f>IFERROR(__xludf.DUMMYFUNCTION("IF(REGEXMATCH(C127, ""R""), ""2"","""")"),"2")</f>
        <v>2</v>
      </c>
      <c r="Z127" s="246" t="str">
        <f>IFERROR(__xludf.DUMMYFUNCTION("IF(REGEXMATCH(C127, ""g""), ""3"","""")"),"3")</f>
        <v>3</v>
      </c>
      <c r="AA127" s="245" t="str">
        <f>IFERROR(__xludf.DUMMYFUNCTION("IF(REGEXMATCH(C127, ""G""), ""4"","""")"),"4")</f>
        <v>4</v>
      </c>
      <c r="AB127" s="245" t="str">
        <f>IFERROR(__xludf.DUMMYFUNCTION("IF(REGEXMATCH(C127, ""m""), ""5"","""")"),"5")</f>
        <v>5</v>
      </c>
      <c r="AC127" s="246" t="str">
        <f>IFERROR(__xludf.DUMMYFUNCTION("IF(REGEXMATCH(C127, ""M""), ""6"","""")"),"")</f>
        <v/>
      </c>
      <c r="AD127" s="245" t="str">
        <f>IFERROR(__xludf.DUMMYFUNCTION("IF(REGEXMATCH(C127, ""P""), ""7"","""")"),"7")</f>
        <v>7</v>
      </c>
      <c r="AE127" s="246" t="str">
        <f>IFERROR(__xludf.DUMMYFUNCTION("IF(REGEXMATCH(C127, ""d""), ""8"","""")"),"8")</f>
        <v>8</v>
      </c>
      <c r="AF127" s="245" t="str">
        <f>IFERROR(__xludf.DUMMYFUNCTION("IF(REGEXMATCH(C127, ""D""), ""9"","""")"),"")</f>
        <v/>
      </c>
      <c r="AG127" s="245" t="str">
        <f>IFERROR(__xludf.DUMMYFUNCTION("IF(REGEXMATCH(C127, ""n""), ""10"","""")"),"10")</f>
        <v>10</v>
      </c>
      <c r="AH127" s="246" t="str">
        <f>IFERROR(__xludf.DUMMYFUNCTION("IF(REGEXMATCH(C127, ""N""), ""11"","""")"),"")</f>
        <v/>
      </c>
      <c r="AI127" s="249" t="str">
        <f>IFERROR(__xludf.DUMMYFUNCTION("IF(REGEXMATCH(C127, ""S""), ""0"","""")"),"0")</f>
        <v>0</v>
      </c>
      <c r="AJ127" s="313" t="str">
        <f t="shared" si="11"/>
        <v>-</v>
      </c>
      <c r="AK127" s="313" t="str">
        <f t="shared" si="12"/>
        <v>-</v>
      </c>
      <c r="AL127" s="313" t="str">
        <f t="shared" si="13"/>
        <v>T</v>
      </c>
      <c r="AM127" s="313" t="str">
        <f t="shared" si="14"/>
        <v>-</v>
      </c>
      <c r="AN127" s="313" t="str">
        <f t="shared" si="15"/>
        <v>T</v>
      </c>
      <c r="AO127" s="314" t="str">
        <f t="shared" si="16"/>
        <v>-</v>
      </c>
      <c r="AP127" s="316">
        <f t="shared" si="17"/>
        <v>2</v>
      </c>
      <c r="AQ127" s="319" t="str">
        <f t="shared" si="18"/>
        <v>#REF!</v>
      </c>
      <c r="AR127" s="320">
        <f t="shared" si="19"/>
        <v>0</v>
      </c>
      <c r="AS127" s="250" t="str">
        <f>IFERROR(__xludf.DUMMYFUNCTION("SUBSTITUTE(SUBSTITUTE(CONCATENATE(JOIN("""",FP127:GA127)),""|"",""x""),""-"",""o"")"),"xoxxxxoxxoxo")</f>
        <v>xoxxxxoxxoxo</v>
      </c>
      <c r="AT127" s="323" t="str">
        <f>IFERROR(__xludf.DUMMYFUNCTION("JOIN("""",AS127,AS127)"),"xoxxxxoxxoxoxoxxxxoxxoxo")</f>
        <v>xoxxxxoxxoxoxoxxxxoxxoxo</v>
      </c>
      <c r="AU127" s="256" t="str">
        <f>IFERROR(__xludf.DUMMYFUNCTION("JOIN("""",ArrayFormula(MID(AS127,LEN(AS127)-SEQUENCE(1,LEN(AS127))+1,1)))"),"oxoxxoxxxxox")</f>
        <v>oxoxxoxxxxox</v>
      </c>
      <c r="AV127" s="256" t="str">
        <f>IFERROR(__xludf.DUMMYFUNCTION("LEFT(CONCATENATE(""x"",JOIN("""",ArrayFormula(MID(AS127,LEN(AS127)-SEQUENCE(1,LEN(AS127))+1,1)))),12)"),"xoxoxxoxxxxo")</f>
        <v>xoxoxxoxxxxo</v>
      </c>
      <c r="AW127" s="327" t="str">
        <f>IFERROR(__xludf.DUMMYFUNCTION("JOIN("""",AU127,AU127)"),"oxoxxoxxxxoxoxoxxoxxxxox")</f>
        <v>oxoxxoxxxxoxoxoxxoxxxxox</v>
      </c>
      <c r="AX127" s="239" t="str">
        <f>IFERROR(__xludf.DUMMYFUNCTION("IF(REGEXMATCH(AW127,AS127),""✔"",""-"")"),"-")</f>
        <v>-</v>
      </c>
      <c r="AY127" s="330" t="str">
        <f t="shared" si="20"/>
        <v>-</v>
      </c>
      <c r="AZ127" s="260" t="str">
        <f t="shared" si="21"/>
        <v>#REF!</v>
      </c>
      <c r="BA127" s="333" t="str">
        <f t="shared" si="22"/>
        <v>xoxxxxo</v>
      </c>
      <c r="BB127" s="334" t="str">
        <f t="shared" si="23"/>
        <v>xxoxox</v>
      </c>
      <c r="BC127" s="335" t="str">
        <f t="shared" si="236"/>
        <v>-</v>
      </c>
      <c r="BD127" s="336" t="str">
        <f t="shared" si="25"/>
        <v>Gunji Kanada: 'xoxxxxo' + 'xxoxox'</v>
      </c>
      <c r="BE127" s="337">
        <f>IFERROR(__xludf.DUMMYFUNCTION("COUNTUNIQUE(FILTER(AT:AT,REGEXMATCH(AT:AT,AS127)))-1"),3.0)</f>
        <v>3</v>
      </c>
      <c r="BF127" s="261" t="str">
        <f>IFERROR(__xludf.DUMMYFUNCTION("IF(BI127=0,""(n/a)"",IF(BJ127=2,""(PAIR)"",IF(REGEXMATCH(AT127,""xoxoxxoxoxox""),""Bilawal"",IF(REGEXMATCH(AT127,""xoxoxooxoxoo""),""Bhupali"",IF(REGEXMATCH(AT127,""xoxoxxoxxoxo""),""Charukeshi"",IF(REGEXMATCH(AT127,""xoxoooxxoxxo""),""Kameshwari"",IF(REG"&amp;"EXMATCH(AT127,""xoxoxooxoxox""),""Shankara"",IF(REGEXMATCH(AT127,""xxooxoxxxoox""),""Basant"",IF(REGEXMATCH(AT127,""xoxoxxxxoxox""),""Bihag"",IF(REGEXMATCH(AT127,""xoxxxxoxoxxx""),""Pilu"",IF(REGEXMATCH(AT127,""xoxxoxoxxoox""),""Kirwani"",IF(REGEXMATCH(AT"&amp;"127,""xoxxoxoxoxxx""),""Mk.Malhar"",IF(REGEXMATCH(AT127,""xxooxxoxxoox""),""Bhairav"",IF(REGEXMATCH(AT127,""xxoxooxxxoox""),""Todi"",IF(REGEXMATCH(AT127,""xxooxoxooxox""),""Marwa"",IF(REGEXMATCH(AT127,""xxoooxoxxooo""),""Gunkali"",IF(REGEXMATCH(AT127,""xo"&amp;"xoxxoxxoox""),""Nat Bhairav"",IF(REGEXMATCH(AT127,""xoxxoooxoxoo""),""Shivranjani"",IF(REGEXMATCH(AT127,""xooxxxoxooxo""),""Jog"",IF(REGEXMATCH(AT127,""xxooxoxoxoox""),""Hemshri"",IF(REGEXMATCH(AT127,""xoooxooxoxxo""),""Kalavati"",IF(REGEXMATCH(AT127,""xx"&amp;"oxoxxoxoox""),""Kedar"",IF(REGEXMATCH(AT127,""xoxxxxoxooxx""),""Gara"",IF(REGEXMATCH(AT127,""xooxoxooxoox""),""Chandrakauns"",IF(REGEXMATCH(AT127,""xoxxxxoxxxox""),""Mand"",IF(REGEXMATCH(AT127,""xoxxxxoxoxox""),""Hanskinkini"",IF(REGEXMATCH(AT127,""xxooxx"&amp;"oxooxo""),""Lilavati"",IF(REGEXMATCH(AT127,""xooxoxoooxox""),""Rajeshwari"",IF(REGEXMATCH(AT127,""xoooxxoxoxxx""),""Khokar"",IF(REGEXMATCH(AT127,""xxooxoxxxxox""),""Maligoura"",""-""))))))))))))))))))))))))))))))"),"Mk.Malhar")</f>
        <v>Mk.Malhar</v>
      </c>
      <c r="BG127" s="239" t="str">
        <f t="shared" si="26"/>
        <v>#REF!</v>
      </c>
      <c r="BH127" s="239">
        <f>IFERROR(__xludf.DUMMYFUNCTION("COUNTUNIQUE(FE127:FO127)-1"),7.0)</f>
        <v>7</v>
      </c>
      <c r="BI127" s="239">
        <f>IFERROR(__xludf.DUMMYFUNCTION("COUNTUNIQUE(FILTER(AT:AT,REGEXMATCH(AT:AT,AS127)))-1"),3.0)</f>
        <v>3</v>
      </c>
      <c r="BJ127" s="239">
        <f>IFERROR(__xludf.DUMMYFUNCTION("COUNTA(FILTER(AT:AT,REGEXMATCH(AT:AT,AS127)))"),16.0)</f>
        <v>16</v>
      </c>
      <c r="BK127" s="341">
        <f>IFERROR(__xludf.DUMMYFUNCTION("COUNTA(FILTER(AT:AT,REGEXMATCH(AT:AT,AS127)))-AR127"),16.0)</f>
        <v>16</v>
      </c>
      <c r="BL127" s="276" t="str">
        <f>IFERROR(__xludf.DUMMYFUNCTION("IF(AS127=""oooooooooooo"",""-"",IF(REGEXMATCH(AT127,""xx""), ""Hemi."", ""Anhemi.""))"),"Hemi.")</f>
        <v>Hemi.</v>
      </c>
      <c r="BM127" s="282" t="str">
        <f>IFERROR(__xludf.DUMMYFUNCTION("IF(AS127=""oooooooooooo"",""-"",IF(REGEXMATCH(AT127,""xxx""), ""Cohem."", ""-""))"),"Cohem.")</f>
        <v>Cohem.</v>
      </c>
      <c r="BN127" s="282" t="str">
        <f>IFERROR(__xludf.DUMMYFUNCTION("IF(AS127=""oooooooooooo"",""-"",IF(REGEXMATCH(AT127,""xxxx""), ""Co-Co."", ""-""))"),"Co-Co.")</f>
        <v>Co-Co.</v>
      </c>
      <c r="BO127" s="342" t="str">
        <f>IFERROR(__xludf.DUMMYFUNCTION("IF(AS127=""oooooooooooo"",""-"",IF(REGEXMATCH(AT127,""xxxxx""), ""CCC."", ""-""))"),"-")</f>
        <v>-</v>
      </c>
      <c r="BP127" s="344" t="str">
        <f t="shared" si="27"/>
        <v>-</v>
      </c>
      <c r="BQ127" s="282" t="str">
        <f>IFERROR(__xludf.DUMMYFUNCTION("IF(REGEXMATCH(JOIN(""-"",EU127:FD127),""TRUE""),""✔"",""-"")"),"-")</f>
        <v>-</v>
      </c>
      <c r="BR127" s="225">
        <f t="shared" si="28"/>
        <v>0</v>
      </c>
      <c r="BS127" s="345" t="str">
        <f>IFERROR(__xludf.DUMMYFUNCTION("SUBSTITUTE(SUBSTITUTE(SUBSTITUTE(SUBSTITUTE(CONCATENATE(JOIN(""-"",GC127:GO127)),""--"",""-""),""--"",""-""),""--"",""-""),""--"",""-"")"),"1-2-b3-3-4-5-b6-b7-8")</f>
        <v>1-2-b3-3-4-5-b6-b7-8</v>
      </c>
      <c r="BT127" s="299" t="str">
        <f>IFERROR(__xludf.DUMMYFUNCTION("SUBSTITUTE(SUBSTITUTE(SUBSTITUTE(SUBSTITUTE(CONCATENATE(JOIN(""-"",GP127:HB127)),""--"",""-""),""--"",""-""),""--"",""-""),""--"",""-"")"),"S-R2-G2-G3-M1-P-D1-N2-S")</f>
        <v>S-R2-G2-G3-M1-P-D1-N2-S</v>
      </c>
      <c r="BU127" s="348" t="str">
        <f t="shared" si="29"/>
        <v>C-D-Eb-E-F-G-Ab-Bb-C</v>
      </c>
      <c r="BV127" s="349" t="str">
        <f t="shared" si="30"/>
        <v>SrMDNS</v>
      </c>
      <c r="BW127" s="350">
        <f t="shared" si="31"/>
        <v>0</v>
      </c>
      <c r="BX127" s="351">
        <f t="shared" si="32"/>
        <v>2</v>
      </c>
      <c r="BY127" s="392"/>
      <c r="BZ127" s="309" t="str">
        <f>IFERROR(__xludf.DUMMYFUNCTION("IF(REGEXMATCH(C127, ""S""), ""x"",""x"")"),"x")</f>
        <v>x</v>
      </c>
      <c r="CA127" s="245" t="str">
        <f>IFERROR(__xludf.DUMMYFUNCTION("IF(REGEXMATCH(C127, ""r""), ""o"",""x"")"),"x")</f>
        <v>x</v>
      </c>
      <c r="CB127" s="246" t="str">
        <f>IFERROR(__xludf.DUMMYFUNCTION("IF(REGEXMATCH(C127, ""R""), ""o"",""x"")"),"o")</f>
        <v>o</v>
      </c>
      <c r="CC127" s="246" t="str">
        <f>IFERROR(__xludf.DUMMYFUNCTION("IF(REGEXMATCH(C127, ""g""), ""o"",""x"")"),"o")</f>
        <v>o</v>
      </c>
      <c r="CD127" s="245" t="str">
        <f>IFERROR(__xludf.DUMMYFUNCTION("IF(REGEXMATCH(C127, ""G""), ""o"",""x"")"),"o")</f>
        <v>o</v>
      </c>
      <c r="CE127" s="245" t="str">
        <f>IFERROR(__xludf.DUMMYFUNCTION("IF(REGEXMATCH(C127, ""m""), ""o"",""x"")"),"o")</f>
        <v>o</v>
      </c>
      <c r="CF127" s="246" t="str">
        <f>IFERROR(__xludf.DUMMYFUNCTION("IF(REGEXMATCH(C127, ""M""), ""o"",""x"")"),"x")</f>
        <v>x</v>
      </c>
      <c r="CG127" s="245" t="str">
        <f>IFERROR(__xludf.DUMMYFUNCTION("IF(REGEXMATCH(C127, ""P""), ""o"",""x"")"),"o")</f>
        <v>o</v>
      </c>
      <c r="CH127" s="246" t="str">
        <f>IFERROR(__xludf.DUMMYFUNCTION("IF(REGEXMATCH(C127, ""d""), ""o"",""x"")"),"o")</f>
        <v>o</v>
      </c>
      <c r="CI127" s="245" t="str">
        <f>IFERROR(__xludf.DUMMYFUNCTION("IF(REGEXMATCH(C127, ""D""), ""o"",""x"")"),"x")</f>
        <v>x</v>
      </c>
      <c r="CJ127" s="245" t="str">
        <f>IFERROR(__xludf.DUMMYFUNCTION("IF(REGEXMATCH(C127, ""n""), ""o"",""x"")"),"o")</f>
        <v>o</v>
      </c>
      <c r="CK127" s="245" t="str">
        <f>IFERROR(__xludf.DUMMYFUNCTION("IF(REGEXMATCH(C127, ""N""), ""o"",""x"")"),"x")</f>
        <v>x</v>
      </c>
      <c r="CL127" s="356" t="str">
        <f>IFERROR(__xludf.DUMMYFUNCTION("IF(REGEXMATCH(C127, ""S""), ""x"",""x"")"),"x")</f>
        <v>x</v>
      </c>
      <c r="CM127" s="357" t="str">
        <f t="shared" si="33"/>
        <v>xxooooxooxox</v>
      </c>
      <c r="CN127" s="358">
        <f t="shared" si="34"/>
        <v>0</v>
      </c>
      <c r="CO127" s="246" t="str">
        <f>IFERROR(__xludf.DUMMYFUNCTION("IF(REGEXMATCH($C127, ""S""), ""S"",""S"")"),"S")</f>
        <v>S</v>
      </c>
      <c r="CP127" s="246" t="str">
        <f>IFERROR(__xludf.DUMMYFUNCTION("IF(REGEXMATCH($C127, ""r""), """",""r"")"),"r")</f>
        <v>r</v>
      </c>
      <c r="CQ127" s="246" t="str">
        <f>IFERROR(__xludf.DUMMYFUNCTION("IF(REGEXMATCH($C127, ""R""), """",""R"")"),"")</f>
        <v/>
      </c>
      <c r="CR127" s="246" t="str">
        <f>IFERROR(__xludf.DUMMYFUNCTION("IF(REGEXMATCH($C127, ""g""), """",""g"")"),"")</f>
        <v/>
      </c>
      <c r="CS127" s="246" t="str">
        <f>IFERROR(__xludf.DUMMYFUNCTION("IF(REGEXMATCH($C127, ""G""), """",""G"")"),"")</f>
        <v/>
      </c>
      <c r="CT127" s="246" t="str">
        <f>IFERROR(__xludf.DUMMYFUNCTION("IF(REGEXMATCH($C127, ""m""), """",""m"")"),"")</f>
        <v/>
      </c>
      <c r="CU127" s="246" t="str">
        <f>IFERROR(__xludf.DUMMYFUNCTION("IF(REGEXMATCH($C127, ""M""), """",""M"")"),"M")</f>
        <v>M</v>
      </c>
      <c r="CV127" s="246" t="str">
        <f>IFERROR(__xludf.DUMMYFUNCTION("IF(REGEXMATCH($C127, ""P""), """",""P"")"),"")</f>
        <v/>
      </c>
      <c r="CW127" s="246" t="str">
        <f>IFERROR(__xludf.DUMMYFUNCTION("IF(REGEXMATCH($C127, ""d""), """",""d"")"),"")</f>
        <v/>
      </c>
      <c r="CX127" s="246" t="str">
        <f>IFERROR(__xludf.DUMMYFUNCTION("IF(REGEXMATCH($C127, ""D""), """",""D"")"),"D")</f>
        <v>D</v>
      </c>
      <c r="CY127" s="246" t="str">
        <f>IFERROR(__xludf.DUMMYFUNCTION("IF(REGEXMATCH($C127, ""n""), """",""n"")"),"")</f>
        <v/>
      </c>
      <c r="CZ127" s="246" t="str">
        <f>IFERROR(__xludf.DUMMYFUNCTION("IF(REGEXMATCH($C127, ""N""), """",""N"")"),"N")</f>
        <v>N</v>
      </c>
      <c r="DA127" s="246" t="str">
        <f>IFERROR(__xludf.DUMMYFUNCTION("IF(REGEXMATCH($C127, ""S""), ""S"",""S"")"),"S")</f>
        <v>S</v>
      </c>
      <c r="DB127" s="362" t="str">
        <f>IFERROR(__xludf.DUMMYFUNCTION("JOIN("""",CO127:DA127,"""","""")"),"SrMDNS")</f>
        <v>SrMDNS</v>
      </c>
      <c r="DC127" s="363"/>
      <c r="DD127" s="301" t="str">
        <f t="shared" si="35"/>
        <v>#REF!</v>
      </c>
      <c r="DE127" s="302" t="str">
        <f t="shared" si="36"/>
        <v>#REF!</v>
      </c>
      <c r="DF127" s="301" t="str">
        <f t="shared" ref="DF127:DG127" si="458">SUBSTITUTE(S127,"-","")</f>
        <v>SRGM</v>
      </c>
      <c r="DG127" s="301" t="str">
        <f t="shared" si="458"/>
        <v>PDNS</v>
      </c>
      <c r="DH127" s="302" t="str">
        <f t="shared" si="38"/>
        <v>Mk.Malhar</v>
      </c>
      <c r="DI127" s="301" t="str">
        <f t="shared" si="39"/>
        <v>Hemi.</v>
      </c>
      <c r="DJ127" s="364" t="str">
        <f t="shared" si="40"/>
        <v>Co-Co.</v>
      </c>
      <c r="DK127" s="306" t="str">
        <f t="shared" si="41"/>
        <v>-</v>
      </c>
      <c r="DL127" s="366" t="str">
        <f t="shared" si="42"/>
        <v>-</v>
      </c>
      <c r="DM127" s="308" t="str">
        <f t="shared" si="43"/>
        <v>✔</v>
      </c>
      <c r="DN127" s="306" t="str">
        <f t="shared" si="44"/>
        <v>-</v>
      </c>
      <c r="DO127" s="306" t="str">
        <f t="shared" si="45"/>
        <v>-</v>
      </c>
      <c r="DP127" s="367" t="str">
        <f t="shared" si="46"/>
        <v>-</v>
      </c>
      <c r="DQ127" s="310" t="str">
        <f t="shared" si="47"/>
        <v>-</v>
      </c>
      <c r="DR127" s="310" t="str">
        <f t="shared" si="48"/>
        <v>✔</v>
      </c>
      <c r="DS127" s="310" t="str">
        <f t="shared" si="49"/>
        <v>-</v>
      </c>
      <c r="DT127" s="310" t="str">
        <f t="shared" si="50"/>
        <v>-</v>
      </c>
      <c r="DU127" s="370" t="str">
        <f t="shared" si="51"/>
        <v>-</v>
      </c>
      <c r="DV127" s="306" t="str">
        <f t="shared" si="52"/>
        <v>-</v>
      </c>
      <c r="DW127" s="306" t="str">
        <f t="shared" si="53"/>
        <v>-</v>
      </c>
      <c r="DX127" s="306" t="str">
        <f t="shared" si="54"/>
        <v>-</v>
      </c>
      <c r="DY127" s="306" t="str">
        <f t="shared" si="55"/>
        <v>-</v>
      </c>
      <c r="DZ127" s="306" t="str">
        <f t="shared" si="56"/>
        <v>-</v>
      </c>
      <c r="EA127" s="367" t="str">
        <f t="shared" si="57"/>
        <v>-</v>
      </c>
      <c r="EB127" s="310" t="str">
        <f>IFERROR(__xludf.DUMMYFUNCTION("IF(REGEXMATCH(AW127,AS127),""✔"",""-"")"),"-")</f>
        <v>-</v>
      </c>
      <c r="EC127" s="310" t="str">
        <f t="shared" si="58"/>
        <v>#REF!</v>
      </c>
      <c r="ED127" s="370" t="str">
        <f t="shared" si="59"/>
        <v>-</v>
      </c>
      <c r="EE127" s="340" t="str">
        <f t="shared" si="60"/>
        <v>S-R-gG-m-P-d-n-S</v>
      </c>
      <c r="EF127" s="371" t="str">
        <f>IFERROR(__xludf.DUMMYFUNCTION("CONCATENATE(JOIN("""",HC127:HO127))"),"SRGmPdDnS")</f>
        <v>SRGmPdDnS</v>
      </c>
      <c r="EG127" s="372">
        <f t="shared" si="61"/>
        <v>2</v>
      </c>
      <c r="EH127" s="373" t="str">
        <f>IFERROR(__xludf.DUMMYFUNCTION("CONCATENATE(JOIN("""",JC127:JO127))"),"Re, Ga, ")</f>
        <v>Re, Ga, </v>
      </c>
      <c r="EI127" s="322">
        <f t="shared" si="62"/>
        <v>1</v>
      </c>
      <c r="EJ127" s="374" t="str">
        <f>IFERROR(__xludf.DUMMYFUNCTION("CONCATENATE(JOIN("""",KC127:KO127))"),"Ga, ")</f>
        <v>Ga, </v>
      </c>
      <c r="EK127" s="325" t="str">
        <f t="shared" si="63"/>
        <v>S-R2-G2-G3-M1-P-D1-N2-S</v>
      </c>
      <c r="EL127" s="326" t="str">
        <f t="shared" si="64"/>
        <v>1-2-b3-3-4-5-b6-b7-8</v>
      </c>
      <c r="EM127" s="318" t="str">
        <f t="shared" si="65"/>
        <v>#REF!</v>
      </c>
      <c r="EN127" s="328" t="str">
        <f>IFERROR(__xludf.DUMMYFUNCTION("SUBSTITUTE(SUBSTITUTE(SUBSTITUTE(SUBSTITUTE(CONCATENATE(JOIN("" "",HP127:IB127)),""  "","" ""),""  "","" ""),""  "","" ""),""  "","" "")"),"o • o o o o • o o • o • o")</f>
        <v>o • o o o o • o o • o • o</v>
      </c>
      <c r="EO127" s="368" t="str">
        <f t="shared" si="66"/>
        <v>-</v>
      </c>
      <c r="EP127" s="339" t="str">
        <f t="shared" si="67"/>
        <v>-</v>
      </c>
      <c r="EQ127" s="339" t="str">
        <f t="shared" si="68"/>
        <v>Sa-Pa</v>
      </c>
      <c r="ER127" s="339" t="str">
        <f t="shared" si="69"/>
        <v>-</v>
      </c>
      <c r="ES127" s="340" t="str">
        <f t="shared" si="70"/>
        <v>-</v>
      </c>
      <c r="ET127" s="363"/>
      <c r="EU127" s="376" t="b">
        <f>IFERROR(__xludf.DUMMYFUNCTION("arrayformula(sum(--REGEXMATCH(""SRGMPDNS"",split(REGEXREPLACE(C127,""(.)"",""$1~""),""~""))))=len(C127)
"),FALSE)</f>
        <v>0</v>
      </c>
      <c r="EV127" s="290" t="b">
        <f>IFERROR(__xludf.DUMMYFUNCTION("arrayformula(sum(--REGEXMATCH(""SRGmPDNS"",split(REGEXREPLACE(C127,""(.)"",""$1~""),""~""))))=len(C127)"),FALSE)</f>
        <v>0</v>
      </c>
      <c r="EW127" s="290" t="b">
        <f>IFERROR(__xludf.DUMMYFUNCTION("arrayformula(sum(--REGEXMATCH(""SRGmPDnS"",split(REGEXREPLACE(C127,""(.)"",""$1~""),""~""))))=len(C127)"),FALSE)</f>
        <v>0</v>
      </c>
      <c r="EX127" s="290" t="b">
        <f>IFERROR(__xludf.DUMMYFUNCTION("arrayformula(sum(--REGEXMATCH(""SRgmPDnS"",split(REGEXREPLACE(C127,""(.)"",""$1~""),""~""))))=len(C127)"),FALSE)</f>
        <v>0</v>
      </c>
      <c r="EY127" s="290" t="b">
        <f>IFERROR(__xludf.DUMMYFUNCTION("arrayformula(sum(--REGEXMATCH(""SRgmPdnS"",split(REGEXREPLACE(C127,""(.)"",""$1~""),""~""))))=len(C127)"),FALSE)</f>
        <v>0</v>
      </c>
      <c r="EZ127" s="290" t="b">
        <f>IFERROR(__xludf.DUMMYFUNCTION("arrayformula(sum(--REGEXMATCH(""SrgmPdnS"",split(REGEXREPLACE(C127,""(.)"",""$1~""),""~""))))=len(C127)"),FALSE)</f>
        <v>0</v>
      </c>
      <c r="FA127" s="290" t="b">
        <f>IFERROR(__xludf.DUMMYFUNCTION("arrayformula(sum(--REGEXMATCH(""SrGmPdNS"",split(REGEXREPLACE(C127,""(.)"",""$1~""),""~""))))=len(C127)"),FALSE)</f>
        <v>0</v>
      </c>
      <c r="FB127" s="290" t="b">
        <f>IFERROR(__xludf.DUMMYFUNCTION("arrayformula(sum(--REGEXMATCH(""SrGMPDNS"",split(REGEXREPLACE(C127,""(.)"",""$1~""),""~""))))=len(C127)"),FALSE)</f>
        <v>0</v>
      </c>
      <c r="FC127" s="290" t="b">
        <f>IFERROR(__xludf.DUMMYFUNCTION("arrayformula(sum(--REGEXMATCH(""SrGMPdNS"",split(REGEXREPLACE(C127,""(.)"",""$1~""),""~""))))=len(C127)"),FALSE)</f>
        <v>0</v>
      </c>
      <c r="FD127" s="377" t="b">
        <f>IFERROR(__xludf.DUMMYFUNCTION("arrayformula(sum(--REGEXMATCH(""SrgMPdNS"",split(REGEXREPLACE(C127,""(.)"",""$1~""),""~""))))=len(C127)"),FALSE)</f>
        <v>0</v>
      </c>
      <c r="FE127" s="269" t="str">
        <f t="shared" si="71"/>
        <v>-</v>
      </c>
      <c r="FF127" s="269" t="str">
        <f t="shared" si="72"/>
        <v>xxxxoxxoxox</v>
      </c>
      <c r="FG127" s="271" t="str">
        <f t="shared" si="73"/>
        <v>xxxoxxoxoxo</v>
      </c>
      <c r="FH127" s="269" t="str">
        <f t="shared" si="74"/>
        <v>xxoxxoxoxox</v>
      </c>
      <c r="FI127" s="271" t="str">
        <f t="shared" si="75"/>
        <v>xoxxoxoxoxx</v>
      </c>
      <c r="FJ127" s="271" t="str">
        <f t="shared" si="76"/>
        <v>-</v>
      </c>
      <c r="FK127" s="271" t="str">
        <f t="shared" si="77"/>
        <v>xxoxoxoxxxx</v>
      </c>
      <c r="FL127" s="271" t="str">
        <f t="shared" si="78"/>
        <v>xoxoxoxxxxo</v>
      </c>
      <c r="FM127" s="271" t="str">
        <f t="shared" si="79"/>
        <v>-</v>
      </c>
      <c r="FN127" s="271" t="str">
        <f t="shared" si="80"/>
        <v>xoxoxxxxoxx</v>
      </c>
      <c r="FO127" s="274" t="str">
        <f t="shared" si="81"/>
        <v>-</v>
      </c>
      <c r="FP127" s="234" t="str">
        <f t="shared" si="82"/>
        <v>|</v>
      </c>
      <c r="FQ127" s="236" t="str">
        <f t="shared" si="83"/>
        <v>-</v>
      </c>
      <c r="FR127" s="237" t="str">
        <f t="shared" si="84"/>
        <v>|</v>
      </c>
      <c r="FS127" s="236" t="str">
        <f t="shared" si="85"/>
        <v>|</v>
      </c>
      <c r="FT127" s="237" t="str">
        <f t="shared" si="86"/>
        <v>|</v>
      </c>
      <c r="FU127" s="236" t="str">
        <f t="shared" si="87"/>
        <v>|</v>
      </c>
      <c r="FV127" s="237" t="str">
        <f t="shared" si="88"/>
        <v>-</v>
      </c>
      <c r="FW127" s="236" t="str">
        <f t="shared" si="89"/>
        <v>|</v>
      </c>
      <c r="FX127" s="237" t="str">
        <f t="shared" si="90"/>
        <v>|</v>
      </c>
      <c r="FY127" s="236" t="str">
        <f t="shared" si="91"/>
        <v>-</v>
      </c>
      <c r="FZ127" s="237" t="str">
        <f t="shared" si="92"/>
        <v>|</v>
      </c>
      <c r="GA127" s="236" t="str">
        <f t="shared" si="93"/>
        <v>-</v>
      </c>
      <c r="GB127" s="238" t="str">
        <f t="shared" si="94"/>
        <v>|</v>
      </c>
      <c r="GC127" s="244" t="str">
        <f>IFERROR(__xludf.DUMMYFUNCTION("IF(REGEXMATCH(C127, ""S""), ""1"","""")"),"1")</f>
        <v>1</v>
      </c>
      <c r="GD127" s="245" t="str">
        <f>IFERROR(__xludf.DUMMYFUNCTION("IF(REGEXMATCH(C127, ""r""), ""b2"","""")"),"")</f>
        <v/>
      </c>
      <c r="GE127" s="246" t="str">
        <f>IFERROR(__xludf.DUMMYFUNCTION("IF(REGEXMATCH(C127, ""R""), ""2"","""")"),"2")</f>
        <v>2</v>
      </c>
      <c r="GF127" s="246" t="str">
        <f>IFERROR(__xludf.DUMMYFUNCTION("IF(REGEXMATCH(C127, ""g""), ""b3"","""")"),"b3")</f>
        <v>b3</v>
      </c>
      <c r="GG127" s="245" t="str">
        <f>IFERROR(__xludf.DUMMYFUNCTION("IF(REGEXMATCH(C127, ""G""), ""3"","""")"),"3")</f>
        <v>3</v>
      </c>
      <c r="GH127" s="245" t="str">
        <f>IFERROR(__xludf.DUMMYFUNCTION("IF(REGEXMATCH(C127, ""m""), ""4"","""")"),"4")</f>
        <v>4</v>
      </c>
      <c r="GI127" s="246" t="str">
        <f>IFERROR(__xludf.DUMMYFUNCTION("IF(REGEXMATCH(C127, ""M""), ""#4"","""")"),"")</f>
        <v/>
      </c>
      <c r="GJ127" s="245" t="str">
        <f>IFERROR(__xludf.DUMMYFUNCTION("IF(REGEXMATCH(C127, ""P""), ""5"","""")"),"5")</f>
        <v>5</v>
      </c>
      <c r="GK127" s="246" t="str">
        <f>IFERROR(__xludf.DUMMYFUNCTION("IF(REGEXMATCH(C127, ""d""), ""b6"","""")"),"b6")</f>
        <v>b6</v>
      </c>
      <c r="GL127" s="245" t="str">
        <f>IFERROR(__xludf.DUMMYFUNCTION("IF(REGEXMATCH(C127, ""D""), ""6"","""")"),"")</f>
        <v/>
      </c>
      <c r="GM127" s="245" t="str">
        <f>IFERROR(__xludf.DUMMYFUNCTION("IF(REGEXMATCH(C127, ""n""), ""b7"","""")"),"b7")</f>
        <v>b7</v>
      </c>
      <c r="GN127" s="246" t="str">
        <f>IFERROR(__xludf.DUMMYFUNCTION("IF(REGEXMATCH(C127, ""N""), ""7"","""")"),"")</f>
        <v/>
      </c>
      <c r="GO127" s="249" t="str">
        <f>IFERROR(__xludf.DUMMYFUNCTION("IF(REGEXMATCH(C127, ""S""), ""8"","""")"),"8")</f>
        <v>8</v>
      </c>
      <c r="GP127" s="244" t="str">
        <f>IFERROR(__xludf.DUMMYFUNCTION("IF(REGEXMATCH(C127, ""S""), ""S"","""")"),"S")</f>
        <v>S</v>
      </c>
      <c r="GQ127" s="294" t="str">
        <f>IFERROR(__xludf.DUMMYFUNCTION("IF(REGEXMATCH(C127, ""r""), ""R1"","""")"),"")</f>
        <v/>
      </c>
      <c r="GR127" s="295" t="str">
        <f>IFERROR(__xludf.DUMMYFUNCTION("IF(REGEXMATCH(C127, ""R""), ""R2"","""")"),"R2")</f>
        <v>R2</v>
      </c>
      <c r="GS127" s="295" t="str">
        <f>IFERROR(__xludf.DUMMYFUNCTION("IF(REGEXMATCH(C127, ""g""), ""G2"","""")"),"G2")</f>
        <v>G2</v>
      </c>
      <c r="GT127" s="294" t="str">
        <f>IFERROR(__xludf.DUMMYFUNCTION("IF(REGEXMATCH(C127, ""G""), ""G3"","""")"),"G3")</f>
        <v>G3</v>
      </c>
      <c r="GU127" s="294" t="str">
        <f>IFERROR(__xludf.DUMMYFUNCTION("IF(REGEXMATCH(C127, ""m""), ""M1"","""")"),"M1")</f>
        <v>M1</v>
      </c>
      <c r="GV127" s="295" t="str">
        <f>IFERROR(__xludf.DUMMYFUNCTION("IF(REGEXMATCH(C127, ""M""), ""M2"","""")"),"")</f>
        <v/>
      </c>
      <c r="GW127" s="294" t="str">
        <f>IFERROR(__xludf.DUMMYFUNCTION("IF(REGEXMATCH(C127, ""P""), ""P"","""")"),"P")</f>
        <v>P</v>
      </c>
      <c r="GX127" s="295" t="str">
        <f>IFERROR(__xludf.DUMMYFUNCTION("IF(REGEXMATCH(C127, ""d""), ""D1"","""")"),"D1")</f>
        <v>D1</v>
      </c>
      <c r="GY127" s="294" t="str">
        <f>IFERROR(__xludf.DUMMYFUNCTION("IF(REGEXMATCH(C127, ""D""), ""D2"","""")"),"")</f>
        <v/>
      </c>
      <c r="GZ127" s="294" t="str">
        <f>IFERROR(__xludf.DUMMYFUNCTION("IF(REGEXMATCH(C127, ""n""), ""N2"","""")"),"N2")</f>
        <v>N2</v>
      </c>
      <c r="HA127" s="295" t="str">
        <f>IFERROR(__xludf.DUMMYFUNCTION("IF(REGEXMATCH(C127, ""N""), ""N3"","""")"),"")</f>
        <v/>
      </c>
      <c r="HB127" s="249" t="str">
        <f>IFERROR(__xludf.DUMMYFUNCTION("IF(REGEXMATCH(C127, ""S""), ""S"","""")"),"S")</f>
        <v>S</v>
      </c>
      <c r="HC127" s="331" t="str">
        <f t="shared" si="95"/>
        <v>S</v>
      </c>
      <c r="HD127" s="332" t="str">
        <f t="shared" si="96"/>
        <v/>
      </c>
      <c r="HE127" s="332" t="str">
        <f t="shared" si="97"/>
        <v>R</v>
      </c>
      <c r="HF127" s="332" t="str">
        <f t="shared" si="98"/>
        <v/>
      </c>
      <c r="HG127" s="332" t="str">
        <f t="shared" si="99"/>
        <v>G</v>
      </c>
      <c r="HH127" s="332" t="str">
        <f t="shared" si="100"/>
        <v>m</v>
      </c>
      <c r="HI127" s="332" t="str">
        <f t="shared" si="101"/>
        <v/>
      </c>
      <c r="HJ127" s="332" t="str">
        <f t="shared" si="102"/>
        <v>P</v>
      </c>
      <c r="HK127" s="332" t="str">
        <f t="shared" si="103"/>
        <v>d</v>
      </c>
      <c r="HL127" s="332" t="str">
        <f t="shared" si="104"/>
        <v>D</v>
      </c>
      <c r="HM127" s="332" t="str">
        <f t="shared" si="105"/>
        <v>n</v>
      </c>
      <c r="HN127" s="332" t="str">
        <f t="shared" si="106"/>
        <v/>
      </c>
      <c r="HO127" s="343" t="str">
        <f t="shared" si="107"/>
        <v>S</v>
      </c>
      <c r="HP127" s="331" t="str">
        <f t="shared" si="108"/>
        <v>o</v>
      </c>
      <c r="HQ127" s="332" t="str">
        <f t="shared" si="109"/>
        <v>•</v>
      </c>
      <c r="HR127" s="332" t="str">
        <f t="shared" si="110"/>
        <v>o</v>
      </c>
      <c r="HS127" s="332" t="str">
        <f t="shared" si="111"/>
        <v>o</v>
      </c>
      <c r="HT127" s="332" t="str">
        <f t="shared" si="112"/>
        <v>o</v>
      </c>
      <c r="HU127" s="332" t="str">
        <f t="shared" si="113"/>
        <v>o</v>
      </c>
      <c r="HV127" s="332" t="str">
        <f t="shared" si="114"/>
        <v>•</v>
      </c>
      <c r="HW127" s="332" t="str">
        <f t="shared" si="115"/>
        <v>o</v>
      </c>
      <c r="HX127" s="332" t="str">
        <f t="shared" si="116"/>
        <v>o</v>
      </c>
      <c r="HY127" s="332" t="str">
        <f t="shared" si="117"/>
        <v>•</v>
      </c>
      <c r="HZ127" s="332" t="str">
        <f t="shared" si="118"/>
        <v>o</v>
      </c>
      <c r="IA127" s="332" t="str">
        <f t="shared" si="119"/>
        <v>•</v>
      </c>
      <c r="IB127" s="338" t="str">
        <f t="shared" si="120"/>
        <v>o</v>
      </c>
      <c r="IC127" s="331" t="str">
        <f t="shared" si="121"/>
        <v>•</v>
      </c>
      <c r="ID127" s="332" t="str">
        <f t="shared" si="122"/>
        <v>o</v>
      </c>
      <c r="IE127" s="332" t="str">
        <f t="shared" si="123"/>
        <v>•</v>
      </c>
      <c r="IF127" s="332" t="str">
        <f t="shared" si="124"/>
        <v>•</v>
      </c>
      <c r="IG127" s="332" t="str">
        <f t="shared" si="125"/>
        <v>•</v>
      </c>
      <c r="IH127" s="332" t="str">
        <f t="shared" si="126"/>
        <v>•</v>
      </c>
      <c r="II127" s="332" t="str">
        <f t="shared" si="127"/>
        <v>o</v>
      </c>
      <c r="IJ127" s="332" t="str">
        <f t="shared" si="128"/>
        <v>•</v>
      </c>
      <c r="IK127" s="332" t="str">
        <f t="shared" si="129"/>
        <v>•</v>
      </c>
      <c r="IL127" s="332" t="str">
        <f t="shared" si="130"/>
        <v>o</v>
      </c>
      <c r="IM127" s="332" t="str">
        <f t="shared" si="131"/>
        <v>•</v>
      </c>
      <c r="IN127" s="332" t="str">
        <f t="shared" si="132"/>
        <v>o</v>
      </c>
      <c r="IO127" s="338" t="str">
        <f t="shared" si="133"/>
        <v>•</v>
      </c>
      <c r="IP127" s="346" t="b">
        <f t="shared" si="134"/>
        <v>0</v>
      </c>
      <c r="IQ127" s="347" t="b">
        <f t="shared" si="135"/>
        <v>0</v>
      </c>
      <c r="IR127" s="347" t="b">
        <f t="shared" si="136"/>
        <v>1</v>
      </c>
      <c r="IS127" s="347" t="b">
        <f t="shared" si="137"/>
        <v>0</v>
      </c>
      <c r="IT127" s="347" t="b">
        <f t="shared" si="138"/>
        <v>1</v>
      </c>
      <c r="IU127" s="347" t="b">
        <f t="shared" si="139"/>
        <v>0</v>
      </c>
      <c r="IV127" s="347" t="b">
        <f t="shared" si="140"/>
        <v>0</v>
      </c>
      <c r="IW127" s="347" t="b">
        <f t="shared" si="141"/>
        <v>0</v>
      </c>
      <c r="IX127" s="347" t="b">
        <f t="shared" si="142"/>
        <v>0</v>
      </c>
      <c r="IY127" s="347" t="b">
        <f t="shared" si="143"/>
        <v>0</v>
      </c>
      <c r="IZ127" s="347" t="b">
        <f t="shared" si="144"/>
        <v>0</v>
      </c>
      <c r="JA127" s="347" t="b">
        <f t="shared" si="145"/>
        <v>0</v>
      </c>
      <c r="JB127" s="353" t="b">
        <f t="shared" si="146"/>
        <v>0</v>
      </c>
      <c r="JC127" s="354" t="str">
        <f t="shared" si="147"/>
        <v/>
      </c>
      <c r="JD127" s="355" t="str">
        <f t="shared" si="148"/>
        <v/>
      </c>
      <c r="JE127" s="355" t="str">
        <f t="shared" si="149"/>
        <v>Re, </v>
      </c>
      <c r="JF127" s="355" t="str">
        <f t="shared" si="150"/>
        <v/>
      </c>
      <c r="JG127" s="355" t="str">
        <f t="shared" si="151"/>
        <v>Ga, </v>
      </c>
      <c r="JH127" s="355" t="str">
        <f t="shared" si="152"/>
        <v/>
      </c>
      <c r="JI127" s="355" t="str">
        <f t="shared" si="153"/>
        <v/>
      </c>
      <c r="JJ127" s="355" t="str">
        <f t="shared" si="154"/>
        <v/>
      </c>
      <c r="JK127" s="355" t="str">
        <f t="shared" si="155"/>
        <v/>
      </c>
      <c r="JL127" s="355" t="str">
        <f t="shared" si="156"/>
        <v/>
      </c>
      <c r="JM127" s="355" t="str">
        <f t="shared" si="157"/>
        <v/>
      </c>
      <c r="JN127" s="355" t="str">
        <f t="shared" si="158"/>
        <v/>
      </c>
      <c r="JO127" s="359" t="str">
        <f t="shared" si="159"/>
        <v/>
      </c>
      <c r="JP127" s="346" t="b">
        <f t="shared" si="160"/>
        <v>0</v>
      </c>
      <c r="JQ127" s="347" t="b">
        <f t="shared" si="161"/>
        <v>0</v>
      </c>
      <c r="JR127" s="347" t="b">
        <f t="shared" si="162"/>
        <v>0</v>
      </c>
      <c r="JS127" s="347" t="b">
        <f t="shared" si="163"/>
        <v>0</v>
      </c>
      <c r="JT127" s="347" t="b">
        <f t="shared" si="164"/>
        <v>1</v>
      </c>
      <c r="JU127" s="347" t="b">
        <f t="shared" si="165"/>
        <v>0</v>
      </c>
      <c r="JV127" s="347" t="b">
        <f t="shared" si="166"/>
        <v>0</v>
      </c>
      <c r="JW127" s="347" t="b">
        <f t="shared" si="167"/>
        <v>0</v>
      </c>
      <c r="JX127" s="347" t="b">
        <f t="shared" si="168"/>
        <v>0</v>
      </c>
      <c r="JY127" s="347" t="b">
        <f t="shared" si="169"/>
        <v>0</v>
      </c>
      <c r="JZ127" s="347" t="b">
        <f t="shared" si="170"/>
        <v>0</v>
      </c>
      <c r="KA127" s="347" t="b">
        <f t="shared" si="171"/>
        <v>0</v>
      </c>
      <c r="KB127" s="365" t="b">
        <f t="shared" si="172"/>
        <v>0</v>
      </c>
      <c r="KC127" s="354" t="str">
        <f t="shared" si="173"/>
        <v/>
      </c>
      <c r="KD127" s="355" t="str">
        <f t="shared" si="174"/>
        <v/>
      </c>
      <c r="KE127" s="355" t="str">
        <f t="shared" si="175"/>
        <v/>
      </c>
      <c r="KF127" s="355" t="str">
        <f t="shared" si="176"/>
        <v/>
      </c>
      <c r="KG127" s="355" t="str">
        <f t="shared" si="177"/>
        <v>Ga, </v>
      </c>
      <c r="KH127" s="355" t="str">
        <f t="shared" si="178"/>
        <v/>
      </c>
      <c r="KI127" s="355" t="str">
        <f t="shared" si="179"/>
        <v/>
      </c>
      <c r="KJ127" s="355" t="str">
        <f t="shared" si="180"/>
        <v/>
      </c>
      <c r="KK127" s="355" t="str">
        <f t="shared" si="181"/>
        <v/>
      </c>
      <c r="KL127" s="355" t="str">
        <f t="shared" si="182"/>
        <v/>
      </c>
      <c r="KM127" s="355" t="str">
        <f t="shared" si="183"/>
        <v/>
      </c>
      <c r="KN127" s="355" t="str">
        <f t="shared" si="184"/>
        <v/>
      </c>
      <c r="KO127" s="359"/>
      <c r="KP127" s="378"/>
      <c r="KQ127" s="379" t="s">
        <v>9</v>
      </c>
      <c r="KR127" s="380" t="s">
        <v>9</v>
      </c>
      <c r="KS127" s="381" t="s">
        <v>9</v>
      </c>
      <c r="KT127" s="382">
        <f t="shared" si="186"/>
        <v>0</v>
      </c>
      <c r="KU127" s="383">
        <f t="shared" si="187"/>
        <v>0</v>
      </c>
      <c r="KV127" s="381" t="str">
        <f t="shared" si="205"/>
        <v>S</v>
      </c>
      <c r="KW127" s="382">
        <f t="shared" si="189"/>
        <v>0</v>
      </c>
      <c r="KX127" s="384">
        <f t="shared" si="190"/>
        <v>0</v>
      </c>
      <c r="KY127" s="382">
        <f t="shared" ref="KY127:KZ127" si="459">KW127-KT127</f>
        <v>0</v>
      </c>
      <c r="KZ127" s="369">
        <f t="shared" si="459"/>
        <v>0</v>
      </c>
      <c r="LA127" s="385" t="str">
        <f t="shared" si="192"/>
        <v>✔</v>
      </c>
      <c r="LB127" s="340" t="str">
        <f>IFERROR(__xludf.DUMMYFUNCTION("JOIN("""",ArrayFormula(MID(KS127,LEN(KS127)-SEQUENCE(1,LEN(KS127))+1,1)))"),"S")</f>
        <v>S</v>
      </c>
      <c r="LC127" s="373" t="str">
        <f>IFERROR(__xludf.DUMMYFUNCTION("JOIN("""",ArrayFormula(MID(KV127,LEN(KV127)-SEQUENCE(1,LEN(KV127))+1,1)))"),"S")</f>
        <v>S</v>
      </c>
      <c r="LD127" s="373" t="str">
        <f t="shared" si="193"/>
        <v>S</v>
      </c>
      <c r="LE127" s="339" t="str">
        <f t="shared" si="194"/>
        <v>S</v>
      </c>
      <c r="LF127" s="386" t="str">
        <f>IFERROR(__xludf.DUMMYFUNCTION("SUBSTITUTE(SUBSTITUTE(CONCATENATE(JOIN("""",LH127:LT127)),""1"",""""),""2"","""")"),"SS")</f>
        <v>SS</v>
      </c>
      <c r="LG127" s="369" t="str">
        <f t="shared" si="195"/>
        <v>-</v>
      </c>
      <c r="LH127" s="387" t="str">
        <f>IFERROR(__xludf.DUMMYFUNCTION("IF(REGEXMATCH(LD127, ""S""), ""S"",IF(REGEXMATCH(LE127, ""S""), ""S"",""""))"),"S")</f>
        <v>S</v>
      </c>
      <c r="LI127" s="299" t="str">
        <f>IFERROR(__xludf.DUMMYFUNCTION("IF(REGEXMATCH(LD127, ""r""), ""r1"",IF(REGEXMATCH(LE127, ""r""), ""r2"",""""))"),"")</f>
        <v/>
      </c>
      <c r="LJ127" s="299" t="str">
        <f>IFERROR(__xludf.DUMMYFUNCTION("IF(REGEXMATCH(LD127, ""R""), ""R1"",IF(REGEXMATCH(LE127, ""R""), ""R2"",""""))"),"")</f>
        <v/>
      </c>
      <c r="LK127" s="299" t="str">
        <f>IFERROR(__xludf.DUMMYFUNCTION("IF(REGEXMATCH(LD127, ""g""), ""g1"",IF(REGEXMATCH(LE127, ""g""), ""g2"",""""))"),"")</f>
        <v/>
      </c>
      <c r="LL127" s="299" t="str">
        <f>IFERROR(__xludf.DUMMYFUNCTION("IF(REGEXMATCH(LD127, ""G""), ""G1"",IF(REGEXMATCH(LE127, ""G""), ""G2"",""""))"),"")</f>
        <v/>
      </c>
      <c r="LM127" s="299" t="str">
        <f>IFERROR(__xludf.DUMMYFUNCTION("IF(REGEXMATCH(LD127, ""m""), ""m1"",IF(REGEXMATCH(LE127, ""m""), ""m2"",""""))"),"")</f>
        <v/>
      </c>
      <c r="LN127" s="299" t="str">
        <f>IFERROR(__xludf.DUMMYFUNCTION("IF(REGEXMATCH(LD127, ""M""), ""M1"",IF(REGEXMATCH(LE127, ""M""), ""M2"",""""))"),"")</f>
        <v/>
      </c>
      <c r="LO127" s="299" t="str">
        <f>IFERROR(__xludf.DUMMYFUNCTION("IF(REGEXMATCH(LD127, ""P""), ""P1"",IF(REGEXMATCH(LE127, ""P""), ""P2"",""""))"),"")</f>
        <v/>
      </c>
      <c r="LP127" s="299" t="str">
        <f>IFERROR(__xludf.DUMMYFUNCTION("IF(REGEXMATCH(LD127, ""d""), ""d1"",IF(REGEXMATCH(LE127, ""d""), ""d2"",""""))"),"")</f>
        <v/>
      </c>
      <c r="LQ127" s="299" t="str">
        <f>IFERROR(__xludf.DUMMYFUNCTION("IF(REGEXMATCH(LD127, ""D""), ""D1"",IF(REGEXMATCH(LE127, ""D""), ""D2"",""""))"),"")</f>
        <v/>
      </c>
      <c r="LR127" s="299" t="str">
        <f>IFERROR(__xludf.DUMMYFUNCTION("IF(REGEXMATCH(LD127, ""n""), ""n1"",IF(REGEXMATCH(LE127, ""n""), ""n2"",""""))"),"")</f>
        <v/>
      </c>
      <c r="LS127" s="299" t="str">
        <f>IFERROR(__xludf.DUMMYFUNCTION("IF(REGEXMATCH(LD127, ""N""), ""N1"",IF(REGEXMATCH(LE127, ""N""), ""N2"",""""))"),"")</f>
        <v/>
      </c>
      <c r="LT127" s="388" t="str">
        <f>IFERROR(__xludf.DUMMYFUNCTION("IF(REGEXMATCH(LD127, ""S""), ""S"",IF(REGEXMATCH(LE127, ""S""), ""S"",""""))"),"S")</f>
        <v>S</v>
      </c>
      <c r="LU127" s="389">
        <f t="shared" si="196"/>
        <v>1</v>
      </c>
      <c r="LV127" s="378"/>
      <c r="LW127" s="369"/>
      <c r="LX127" s="369"/>
    </row>
    <row r="128" ht="18.0" customHeight="1">
      <c r="A128" s="298" t="s">
        <v>769</v>
      </c>
      <c r="B128" s="222" t="s">
        <v>764</v>
      </c>
      <c r="C128" s="233" t="str">
        <f t="shared" si="7"/>
        <v>SrmPdS</v>
      </c>
      <c r="D128" s="234" t="str">
        <f>IFERROR(__xludf.DUMMYFUNCTION("IF(REGEXMATCH(C128, ""S""), ""S"","""")"),"S")</f>
        <v>S</v>
      </c>
      <c r="E128" s="236" t="str">
        <f>IFERROR(__xludf.DUMMYFUNCTION("IF(REGEXMATCH(C128, ""r""), ""r"","""")"),"r")</f>
        <v>r</v>
      </c>
      <c r="F128" s="237" t="str">
        <f>IFERROR(__xludf.DUMMYFUNCTION("IF(REGEXMATCH(C128, ""R""), ""R"","""")"),"")</f>
        <v/>
      </c>
      <c r="G128" s="237" t="str">
        <f>IFERROR(__xludf.DUMMYFUNCTION("IF(REGEXMATCH(C128, ""g""), ""g"","""")"),"")</f>
        <v/>
      </c>
      <c r="H128" s="236" t="str">
        <f>IFERROR(__xludf.DUMMYFUNCTION("IF(REGEXMATCH(C128, ""G""), ""G"","""")"),"")</f>
        <v/>
      </c>
      <c r="I128" s="236" t="str">
        <f>IFERROR(__xludf.DUMMYFUNCTION("IF(REGEXMATCH(C128, ""m""), ""m"","""")"),"m")</f>
        <v>m</v>
      </c>
      <c r="J128" s="237" t="str">
        <f>IFERROR(__xludf.DUMMYFUNCTION("IF(REGEXMATCH(C128, ""M""), ""M"","""")"),"")</f>
        <v/>
      </c>
      <c r="K128" s="236" t="str">
        <f>IFERROR(__xludf.DUMMYFUNCTION("IF(REGEXMATCH(C128, ""P""), ""P"","""")"),"P")</f>
        <v>P</v>
      </c>
      <c r="L128" s="237" t="str">
        <f>IFERROR(__xludf.DUMMYFUNCTION("IF(REGEXMATCH(C128, ""d""), ""d"","""")"),"d")</f>
        <v>d</v>
      </c>
      <c r="M128" s="236" t="str">
        <f>IFERROR(__xludf.DUMMYFUNCTION("IF(REGEXMATCH(C128, ""D""), ""D"","""")"),"")</f>
        <v/>
      </c>
      <c r="N128" s="236" t="str">
        <f>IFERROR(__xludf.DUMMYFUNCTION("IF(REGEXMATCH(C128, ""n""), ""n"","""")"),"")</f>
        <v/>
      </c>
      <c r="O128" s="237" t="str">
        <f>IFERROR(__xludf.DUMMYFUNCTION("IF(REGEXMATCH(C128, ""N""), ""N"","""")"),"")</f>
        <v/>
      </c>
      <c r="P128" s="238" t="str">
        <f>IFERROR(__xludf.DUMMYFUNCTION("IF(REGEXMATCH(C128, ""S""), ""S"","""")"),"S")</f>
        <v>S</v>
      </c>
      <c r="Q128" s="239" t="str">
        <f>IFERROR(__xludf.DUMMYFUNCTION("SUBSTITUTE(CONCATENATE(JOIN(""-"",D128:J128)),""-"","""")"),"Srm")</f>
        <v>Srm</v>
      </c>
      <c r="R128" s="229" t="str">
        <f>IFERROR(__xludf.DUMMYFUNCTION("SUBSTITUTE(CONCATENATE(JOIN(""-"",K128:P128)),""-"","""")"),"PdS")</f>
        <v>PdS</v>
      </c>
      <c r="S128" s="282" t="str">
        <f t="shared" si="8"/>
        <v>S-R-M</v>
      </c>
      <c r="T128" s="282" t="str">
        <f t="shared" si="9"/>
        <v>P-D-S</v>
      </c>
      <c r="U128" s="237" t="str">
        <f>IFERROR(__xludf.DUMMYFUNCTION("SUBSTITUTE(JOIN(""-"",S128,T128),""--"",""-"")"),"S-R-M-P-D-S")</f>
        <v>S-R-M-P-D-S</v>
      </c>
      <c r="V128" s="309" t="str">
        <f t="shared" si="10"/>
        <v>rmd</v>
      </c>
      <c r="W128" s="244" t="str">
        <f>IFERROR(__xludf.DUMMYFUNCTION("IF(REGEXMATCH(C128, ""S""), ""0"","""")"),"0")</f>
        <v>0</v>
      </c>
      <c r="X128" s="245" t="str">
        <f>IFERROR(__xludf.DUMMYFUNCTION("IF(REGEXMATCH(C128, ""r""), ""1"","""")"),"1")</f>
        <v>1</v>
      </c>
      <c r="Y128" s="246" t="str">
        <f>IFERROR(__xludf.DUMMYFUNCTION("IF(REGEXMATCH(C128, ""R""), ""2"","""")"),"")</f>
        <v/>
      </c>
      <c r="Z128" s="246" t="str">
        <f>IFERROR(__xludf.DUMMYFUNCTION("IF(REGEXMATCH(C128, ""g""), ""3"","""")"),"")</f>
        <v/>
      </c>
      <c r="AA128" s="245" t="str">
        <f>IFERROR(__xludf.DUMMYFUNCTION("IF(REGEXMATCH(C128, ""G""), ""4"","""")"),"")</f>
        <v/>
      </c>
      <c r="AB128" s="245" t="str">
        <f>IFERROR(__xludf.DUMMYFUNCTION("IF(REGEXMATCH(C128, ""m""), ""5"","""")"),"5")</f>
        <v>5</v>
      </c>
      <c r="AC128" s="246" t="str">
        <f>IFERROR(__xludf.DUMMYFUNCTION("IF(REGEXMATCH(C128, ""M""), ""6"","""")"),"")</f>
        <v/>
      </c>
      <c r="AD128" s="245" t="str">
        <f>IFERROR(__xludf.DUMMYFUNCTION("IF(REGEXMATCH(C128, ""P""), ""7"","""")"),"7")</f>
        <v>7</v>
      </c>
      <c r="AE128" s="246" t="str">
        <f>IFERROR(__xludf.DUMMYFUNCTION("IF(REGEXMATCH(C128, ""d""), ""8"","""")"),"8")</f>
        <v>8</v>
      </c>
      <c r="AF128" s="245" t="str">
        <f>IFERROR(__xludf.DUMMYFUNCTION("IF(REGEXMATCH(C128, ""D""), ""9"","""")"),"")</f>
        <v/>
      </c>
      <c r="AG128" s="245" t="str">
        <f>IFERROR(__xludf.DUMMYFUNCTION("IF(REGEXMATCH(C128, ""n""), ""10"","""")"),"")</f>
        <v/>
      </c>
      <c r="AH128" s="246" t="str">
        <f>IFERROR(__xludf.DUMMYFUNCTION("IF(REGEXMATCH(C128, ""N""), ""11"","""")"),"")</f>
        <v/>
      </c>
      <c r="AI128" s="249" t="str">
        <f>IFERROR(__xludf.DUMMYFUNCTION("IF(REGEXMATCH(C128, ""S""), ""0"","""")"),"0")</f>
        <v>0</v>
      </c>
      <c r="AJ128" s="313" t="str">
        <f t="shared" si="11"/>
        <v>-</v>
      </c>
      <c r="AK128" s="313" t="str">
        <f t="shared" si="12"/>
        <v>T</v>
      </c>
      <c r="AL128" s="313" t="str">
        <f t="shared" si="13"/>
        <v>-</v>
      </c>
      <c r="AM128" s="313" t="str">
        <f t="shared" si="14"/>
        <v>-</v>
      </c>
      <c r="AN128" s="313" t="str">
        <f t="shared" si="15"/>
        <v>-</v>
      </c>
      <c r="AO128" s="314" t="str">
        <f t="shared" si="16"/>
        <v>-</v>
      </c>
      <c r="AP128" s="316">
        <f t="shared" si="17"/>
        <v>1</v>
      </c>
      <c r="AQ128" s="319" t="str">
        <f t="shared" si="18"/>
        <v>-</v>
      </c>
      <c r="AR128" s="320">
        <f t="shared" si="19"/>
        <v>0</v>
      </c>
      <c r="AS128" s="250" t="str">
        <f>IFERROR(__xludf.DUMMYFUNCTION("SUBSTITUTE(SUBSTITUTE(CONCATENATE(JOIN("""",FP128:GA128)),""|"",""x""),""-"",""o"")"),"xxoooxoxxooo")</f>
        <v>xxoooxoxxooo</v>
      </c>
      <c r="AT128" s="323" t="str">
        <f>IFERROR(__xludf.DUMMYFUNCTION("JOIN("""",AS128,AS128)"),"xxoooxoxxoooxxoooxoxxooo")</f>
        <v>xxoooxoxxoooxxoooxoxxooo</v>
      </c>
      <c r="AU128" s="256" t="str">
        <f>IFERROR(__xludf.DUMMYFUNCTION("JOIN("""",ArrayFormula(MID(AS128,LEN(AS128)-SEQUENCE(1,LEN(AS128))+1,1)))"),"oooxxoxoooxx")</f>
        <v>oooxxoxoooxx</v>
      </c>
      <c r="AV128" s="256" t="str">
        <f>IFERROR(__xludf.DUMMYFUNCTION("LEFT(CONCATENATE(""x"",JOIN("""",ArrayFormula(MID(AS128,LEN(AS128)-SEQUENCE(1,LEN(AS128))+1,1)))),12)"),"xoooxxoxooox")</f>
        <v>xoooxxoxooox</v>
      </c>
      <c r="AW128" s="327" t="str">
        <f>IFERROR(__xludf.DUMMYFUNCTION("JOIN("""",AU128,AU128)"),"oooxxoxoooxxoooxxoxoooxx")</f>
        <v>oooxxoxoooxxoooxxoxoooxx</v>
      </c>
      <c r="AX128" s="239" t="str">
        <f>IFERROR(__xludf.DUMMYFUNCTION("IF(REGEXMATCH(AW128,AS128),""✔"",""-"")"),"-")</f>
        <v>-</v>
      </c>
      <c r="AY128" s="330" t="str">
        <f t="shared" si="20"/>
        <v>-</v>
      </c>
      <c r="AZ128" s="260" t="str">
        <f t="shared" si="21"/>
        <v>#REF!</v>
      </c>
      <c r="BA128" s="333" t="str">
        <f t="shared" si="22"/>
        <v>xxoooxo</v>
      </c>
      <c r="BB128" s="334" t="str">
        <f t="shared" si="23"/>
        <v>xxooox</v>
      </c>
      <c r="BC128" s="335" t="str">
        <f t="shared" si="236"/>
        <v>✔</v>
      </c>
      <c r="BD128" s="336" t="str">
        <f t="shared" si="25"/>
        <v>Gunkali: 'xxoooxo' + 'xxooox'</v>
      </c>
      <c r="BE128" s="337">
        <f>IFERROR(__xludf.DUMMYFUNCTION("COUNTUNIQUE(FILTER(AT:AT,REGEXMATCH(AT:AT,AS128)))-1"),3.0)</f>
        <v>3</v>
      </c>
      <c r="BF128" s="261" t="str">
        <f>IFERROR(__xludf.DUMMYFUNCTION("IF(BI128=0,""(n/a)"",IF(BJ128=2,""(PAIR)"",IF(REGEXMATCH(AT128,""xoxoxxoxoxox""),""Bilawal"",IF(REGEXMATCH(AT128,""xoxoxooxoxoo""),""Bhupali"",IF(REGEXMATCH(AT128,""xoxoxxoxxoxo""),""Charukeshi"",IF(REGEXMATCH(AT128,""xoxoooxxoxxo""),""Kameshwari"",IF(REG"&amp;"EXMATCH(AT128,""xoxoxooxoxox""),""Shankara"",IF(REGEXMATCH(AT128,""xxooxoxxxoox""),""Basant"",IF(REGEXMATCH(AT128,""xoxoxxxxoxox""),""Bihag"",IF(REGEXMATCH(AT128,""xoxxxxoxoxxx""),""Pilu"",IF(REGEXMATCH(AT128,""xoxxoxoxxoox""),""Kirwani"",IF(REGEXMATCH(AT"&amp;"128,""xoxxoxoxoxxx""),""Mk.Malhar"",IF(REGEXMATCH(AT128,""xxooxxoxxoox""),""Bhairav"",IF(REGEXMATCH(AT128,""xxoxooxxxoox""),""Todi"",IF(REGEXMATCH(AT128,""xxooxoxooxox""),""Marwa"",IF(REGEXMATCH(AT128,""xxoooxoxxooo""),""Gunkali"",IF(REGEXMATCH(AT128,""xo"&amp;"xoxxoxxoox""),""Nat Bhairav"",IF(REGEXMATCH(AT128,""xoxxoooxoxoo""),""Shivranjani"",IF(REGEXMATCH(AT128,""xooxxxoxooxo""),""Jog"",IF(REGEXMATCH(AT128,""xxooxoxoxoox""),""Hemshri"",IF(REGEXMATCH(AT128,""xoooxooxoxxo""),""Kalavati"",IF(REGEXMATCH(AT128,""xx"&amp;"oxoxxoxoox""),""Kedar"",IF(REGEXMATCH(AT128,""xoxxxxoxooxx""),""Gara"",IF(REGEXMATCH(AT128,""xooxoxooxoox""),""Chandrakauns"",IF(REGEXMATCH(AT128,""xoxxxxoxxxox""),""Mand"",IF(REGEXMATCH(AT128,""xoxxxxoxoxox""),""Hanskinkini"",IF(REGEXMATCH(AT128,""xxooxx"&amp;"oxooxo""),""Lilavati"",IF(REGEXMATCH(AT128,""xooxoxoooxox""),""Rajeshwari"",IF(REGEXMATCH(AT128,""xoooxxoxoxxx""),""Khokar"",IF(REGEXMATCH(AT128,""xxooxoxxxxox""),""Maligoura"",""-""))))))))))))))))))))))))))))))"),"Gunkali")</f>
        <v>Gunkali</v>
      </c>
      <c r="BG128" s="239" t="str">
        <f t="shared" si="26"/>
        <v>#REF!</v>
      </c>
      <c r="BH128" s="239">
        <f>IFERROR(__xludf.DUMMYFUNCTION("COUNTUNIQUE(FE128:FO128)-1"),4.0)</f>
        <v>4</v>
      </c>
      <c r="BI128" s="239">
        <f>IFERROR(__xludf.DUMMYFUNCTION("COUNTUNIQUE(FILTER(AT:AT,REGEXMATCH(AT:AT,AS128)))-1"),3.0)</f>
        <v>3</v>
      </c>
      <c r="BJ128" s="239">
        <f>IFERROR(__xludf.DUMMYFUNCTION("COUNTA(FILTER(AT:AT,REGEXMATCH(AT:AT,AS128)))"),6.0)</f>
        <v>6</v>
      </c>
      <c r="BK128" s="341">
        <f>IFERROR(__xludf.DUMMYFUNCTION("COUNTA(FILTER(AT:AT,REGEXMATCH(AT:AT,AS128)))-AR128"),6.0)</f>
        <v>6</v>
      </c>
      <c r="BL128" s="276" t="str">
        <f>IFERROR(__xludf.DUMMYFUNCTION("IF(AS128=""oooooooooooo"",""-"",IF(REGEXMATCH(AT128,""xx""), ""Hemi."", ""Anhemi.""))"),"Hemi.")</f>
        <v>Hemi.</v>
      </c>
      <c r="BM128" s="282" t="str">
        <f>IFERROR(__xludf.DUMMYFUNCTION("IF(AS128=""oooooooooooo"",""-"",IF(REGEXMATCH(AT128,""xxx""), ""Cohem."", ""-""))"),"-")</f>
        <v>-</v>
      </c>
      <c r="BN128" s="282" t="str">
        <f>IFERROR(__xludf.DUMMYFUNCTION("IF(AS128=""oooooooooooo"",""-"",IF(REGEXMATCH(AT128,""xxxx""), ""Co-Co."", ""-""))"),"-")</f>
        <v>-</v>
      </c>
      <c r="BO128" s="342" t="str">
        <f>IFERROR(__xludf.DUMMYFUNCTION("IF(AS128=""oooooooooooo"",""-"",IF(REGEXMATCH(AT128,""xxxxx""), ""CCC."", ""-""))"),"-")</f>
        <v>-</v>
      </c>
      <c r="BP128" s="344" t="str">
        <f t="shared" si="27"/>
        <v>-</v>
      </c>
      <c r="BQ128" s="282" t="str">
        <f>IFERROR(__xludf.DUMMYFUNCTION("IF(REGEXMATCH(JOIN(""-"",EU128:FD128),""TRUE""),""✔"",""-"")"),"✔")</f>
        <v>✔</v>
      </c>
      <c r="BR128" s="225">
        <f t="shared" si="28"/>
        <v>2</v>
      </c>
      <c r="BS128" s="345" t="str">
        <f>IFERROR(__xludf.DUMMYFUNCTION("SUBSTITUTE(SUBSTITUTE(SUBSTITUTE(SUBSTITUTE(CONCATENATE(JOIN(""-"",GC128:GO128)),""--"",""-""),""--"",""-""),""--"",""-""),""--"",""-"")"),"1-b2-4-5-b6-8")</f>
        <v>1-b2-4-5-b6-8</v>
      </c>
      <c r="BT128" s="299" t="str">
        <f>IFERROR(__xludf.DUMMYFUNCTION("SUBSTITUTE(SUBSTITUTE(SUBSTITUTE(SUBSTITUTE(CONCATENATE(JOIN(""-"",GP128:HB128)),""--"",""-""),""--"",""-""),""--"",""-""),""--"",""-"")"),"S-R1-M1-P-D1-S")</f>
        <v>S-R1-M1-P-D1-S</v>
      </c>
      <c r="BU128" s="348" t="str">
        <f t="shared" si="29"/>
        <v>C-Db-F-G-Ab-C</v>
      </c>
      <c r="BV128" s="349" t="str">
        <f t="shared" si="30"/>
        <v>SRgGMDnNS</v>
      </c>
      <c r="BW128" s="350">
        <f t="shared" si="31"/>
        <v>0</v>
      </c>
      <c r="BX128" s="351">
        <f t="shared" si="32"/>
        <v>2</v>
      </c>
      <c r="BY128" s="392"/>
      <c r="BZ128" s="309" t="str">
        <f>IFERROR(__xludf.DUMMYFUNCTION("IF(REGEXMATCH(C128, ""S""), ""x"",""x"")"),"x")</f>
        <v>x</v>
      </c>
      <c r="CA128" s="245" t="str">
        <f>IFERROR(__xludf.DUMMYFUNCTION("IF(REGEXMATCH(C128, ""r""), ""o"",""x"")"),"o")</f>
        <v>o</v>
      </c>
      <c r="CB128" s="246" t="str">
        <f>IFERROR(__xludf.DUMMYFUNCTION("IF(REGEXMATCH(C128, ""R""), ""o"",""x"")"),"x")</f>
        <v>x</v>
      </c>
      <c r="CC128" s="246" t="str">
        <f>IFERROR(__xludf.DUMMYFUNCTION("IF(REGEXMATCH(C128, ""g""), ""o"",""x"")"),"x")</f>
        <v>x</v>
      </c>
      <c r="CD128" s="245" t="str">
        <f>IFERROR(__xludf.DUMMYFUNCTION("IF(REGEXMATCH(C128, ""G""), ""o"",""x"")"),"x")</f>
        <v>x</v>
      </c>
      <c r="CE128" s="245" t="str">
        <f>IFERROR(__xludf.DUMMYFUNCTION("IF(REGEXMATCH(C128, ""m""), ""o"",""x"")"),"o")</f>
        <v>o</v>
      </c>
      <c r="CF128" s="246" t="str">
        <f>IFERROR(__xludf.DUMMYFUNCTION("IF(REGEXMATCH(C128, ""M""), ""o"",""x"")"),"x")</f>
        <v>x</v>
      </c>
      <c r="CG128" s="245" t="str">
        <f>IFERROR(__xludf.DUMMYFUNCTION("IF(REGEXMATCH(C128, ""P""), ""o"",""x"")"),"o")</f>
        <v>o</v>
      </c>
      <c r="CH128" s="246" t="str">
        <f>IFERROR(__xludf.DUMMYFUNCTION("IF(REGEXMATCH(C128, ""d""), ""o"",""x"")"),"o")</f>
        <v>o</v>
      </c>
      <c r="CI128" s="245" t="str">
        <f>IFERROR(__xludf.DUMMYFUNCTION("IF(REGEXMATCH(C128, ""D""), ""o"",""x"")"),"x")</f>
        <v>x</v>
      </c>
      <c r="CJ128" s="245" t="str">
        <f>IFERROR(__xludf.DUMMYFUNCTION("IF(REGEXMATCH(C128, ""n""), ""o"",""x"")"),"x")</f>
        <v>x</v>
      </c>
      <c r="CK128" s="245" t="str">
        <f>IFERROR(__xludf.DUMMYFUNCTION("IF(REGEXMATCH(C128, ""N""), ""o"",""x"")"),"x")</f>
        <v>x</v>
      </c>
      <c r="CL128" s="356" t="str">
        <f>IFERROR(__xludf.DUMMYFUNCTION("IF(REGEXMATCH(C128, ""S""), ""x"",""x"")"),"x")</f>
        <v>x</v>
      </c>
      <c r="CM128" s="357" t="str">
        <f t="shared" si="33"/>
        <v>xoxxxoxooxxx</v>
      </c>
      <c r="CN128" s="358">
        <f t="shared" si="34"/>
        <v>0</v>
      </c>
      <c r="CO128" s="246" t="str">
        <f>IFERROR(__xludf.DUMMYFUNCTION("IF(REGEXMATCH($C128, ""S""), ""S"",""S"")"),"S")</f>
        <v>S</v>
      </c>
      <c r="CP128" s="246" t="str">
        <f>IFERROR(__xludf.DUMMYFUNCTION("IF(REGEXMATCH($C128, ""r""), """",""r"")"),"")</f>
        <v/>
      </c>
      <c r="CQ128" s="246" t="str">
        <f>IFERROR(__xludf.DUMMYFUNCTION("IF(REGEXMATCH($C128, ""R""), """",""R"")"),"R")</f>
        <v>R</v>
      </c>
      <c r="CR128" s="246" t="str">
        <f>IFERROR(__xludf.DUMMYFUNCTION("IF(REGEXMATCH($C128, ""g""), """",""g"")"),"g")</f>
        <v>g</v>
      </c>
      <c r="CS128" s="246" t="str">
        <f>IFERROR(__xludf.DUMMYFUNCTION("IF(REGEXMATCH($C128, ""G""), """",""G"")"),"G")</f>
        <v>G</v>
      </c>
      <c r="CT128" s="246" t="str">
        <f>IFERROR(__xludf.DUMMYFUNCTION("IF(REGEXMATCH($C128, ""m""), """",""m"")"),"")</f>
        <v/>
      </c>
      <c r="CU128" s="246" t="str">
        <f>IFERROR(__xludf.DUMMYFUNCTION("IF(REGEXMATCH($C128, ""M""), """",""M"")"),"M")</f>
        <v>M</v>
      </c>
      <c r="CV128" s="246" t="str">
        <f>IFERROR(__xludf.DUMMYFUNCTION("IF(REGEXMATCH($C128, ""P""), """",""P"")"),"")</f>
        <v/>
      </c>
      <c r="CW128" s="246" t="str">
        <f>IFERROR(__xludf.DUMMYFUNCTION("IF(REGEXMATCH($C128, ""d""), """",""d"")"),"")</f>
        <v/>
      </c>
      <c r="CX128" s="246" t="str">
        <f>IFERROR(__xludf.DUMMYFUNCTION("IF(REGEXMATCH($C128, ""D""), """",""D"")"),"D")</f>
        <v>D</v>
      </c>
      <c r="CY128" s="246" t="str">
        <f>IFERROR(__xludf.DUMMYFUNCTION("IF(REGEXMATCH($C128, ""n""), """",""n"")"),"n")</f>
        <v>n</v>
      </c>
      <c r="CZ128" s="246" t="str">
        <f>IFERROR(__xludf.DUMMYFUNCTION("IF(REGEXMATCH($C128, ""N""), """",""N"")"),"N")</f>
        <v>N</v>
      </c>
      <c r="DA128" s="246" t="str">
        <f>IFERROR(__xludf.DUMMYFUNCTION("IF(REGEXMATCH($C128, ""S""), ""S"",""S"")"),"S")</f>
        <v>S</v>
      </c>
      <c r="DB128" s="362" t="str">
        <f>IFERROR(__xludf.DUMMYFUNCTION("JOIN("""",CO128:DA128,"""","""")"),"SRgGMDnNS")</f>
        <v>SRgGMDnNS</v>
      </c>
      <c r="DC128" s="363"/>
      <c r="DD128" s="301" t="str">
        <f t="shared" si="35"/>
        <v>#REF!</v>
      </c>
      <c r="DE128" s="302" t="str">
        <f t="shared" si="36"/>
        <v>#REF!</v>
      </c>
      <c r="DF128" s="301" t="str">
        <f t="shared" ref="DF128:DG128" si="460">SUBSTITUTE(S128,"-","")</f>
        <v>SRM</v>
      </c>
      <c r="DG128" s="301" t="str">
        <f t="shared" si="460"/>
        <v>PDS</v>
      </c>
      <c r="DH128" s="302" t="str">
        <f t="shared" si="38"/>
        <v>Gunkali</v>
      </c>
      <c r="DI128" s="301" t="str">
        <f t="shared" si="39"/>
        <v>Hemi.</v>
      </c>
      <c r="DJ128" s="364" t="str">
        <f t="shared" si="40"/>
        <v>-</v>
      </c>
      <c r="DK128" s="306" t="str">
        <f t="shared" si="41"/>
        <v>-</v>
      </c>
      <c r="DL128" s="366" t="str">
        <f t="shared" si="42"/>
        <v>✔</v>
      </c>
      <c r="DM128" s="308" t="str">
        <f t="shared" si="43"/>
        <v>-</v>
      </c>
      <c r="DN128" s="306" t="str">
        <f t="shared" si="44"/>
        <v>-</v>
      </c>
      <c r="DO128" s="306" t="str">
        <f t="shared" si="45"/>
        <v>✔</v>
      </c>
      <c r="DP128" s="367" t="str">
        <f t="shared" si="46"/>
        <v>-</v>
      </c>
      <c r="DQ128" s="310" t="str">
        <f t="shared" si="47"/>
        <v>-</v>
      </c>
      <c r="DR128" s="310" t="str">
        <f t="shared" si="48"/>
        <v>-</v>
      </c>
      <c r="DS128" s="310" t="str">
        <f t="shared" si="49"/>
        <v>-</v>
      </c>
      <c r="DT128" s="310" t="str">
        <f t="shared" si="50"/>
        <v>-</v>
      </c>
      <c r="DU128" s="370" t="str">
        <f t="shared" si="51"/>
        <v>-</v>
      </c>
      <c r="DV128" s="306" t="str">
        <f t="shared" si="52"/>
        <v>-</v>
      </c>
      <c r="DW128" s="306" t="str">
        <f t="shared" si="53"/>
        <v>✔</v>
      </c>
      <c r="DX128" s="306" t="str">
        <f t="shared" si="54"/>
        <v>-</v>
      </c>
      <c r="DY128" s="306" t="str">
        <f t="shared" si="55"/>
        <v>-</v>
      </c>
      <c r="DZ128" s="306" t="str">
        <f t="shared" si="56"/>
        <v>-</v>
      </c>
      <c r="EA128" s="367" t="str">
        <f t="shared" si="57"/>
        <v>✔</v>
      </c>
      <c r="EB128" s="310" t="str">
        <f>IFERROR(__xludf.DUMMYFUNCTION("IF(REGEXMATCH(AW128,AS128),""✔"",""-"")"),"-")</f>
        <v>-</v>
      </c>
      <c r="EC128" s="310" t="str">
        <f t="shared" si="58"/>
        <v>#REF!</v>
      </c>
      <c r="ED128" s="370" t="str">
        <f t="shared" si="59"/>
        <v>-</v>
      </c>
      <c r="EE128" s="340" t="str">
        <f t="shared" si="60"/>
        <v>S-r-m-P-d-S</v>
      </c>
      <c r="EF128" s="371" t="str">
        <f>IFERROR(__xludf.DUMMYFUNCTION("CONCATENATE(JOIN("""",HC128:HO128))"),"SGmPNS")</f>
        <v>SGmPNS</v>
      </c>
      <c r="EG128" s="372">
        <f t="shared" si="61"/>
        <v>2</v>
      </c>
      <c r="EH128" s="373" t="str">
        <f>IFERROR(__xludf.DUMMYFUNCTION("CONCATENATE(JOIN("""",JC128:JO128))"),"Pa, dha, ")</f>
        <v>Pa, dha, </v>
      </c>
      <c r="EI128" s="322">
        <f t="shared" si="62"/>
        <v>0</v>
      </c>
      <c r="EJ128" s="374" t="str">
        <f>IFERROR(__xludf.DUMMYFUNCTION("CONCATENATE(JOIN("""",KC128:KO128))"),"")</f>
        <v/>
      </c>
      <c r="EK128" s="325" t="str">
        <f t="shared" si="63"/>
        <v>S-R1-M1-P-D1-S</v>
      </c>
      <c r="EL128" s="326" t="str">
        <f t="shared" si="64"/>
        <v>1-b2-4-5-b6-8</v>
      </c>
      <c r="EM128" s="318" t="str">
        <f t="shared" si="65"/>
        <v>#REF!</v>
      </c>
      <c r="EN128" s="328" t="str">
        <f>IFERROR(__xludf.DUMMYFUNCTION("SUBSTITUTE(SUBSTITUTE(SUBSTITUTE(SUBSTITUTE(CONCATENATE(JOIN("" "",HP128:IB128)),""  "","" ""),""  "","" ""),""  "","" ""),""  "","" "")"),"o o • • • o • o o • • • o")</f>
        <v>o o • • • o • o o • • • o</v>
      </c>
      <c r="EO128" s="368" t="str">
        <f t="shared" si="66"/>
        <v>-</v>
      </c>
      <c r="EP128" s="339" t="str">
        <f t="shared" si="67"/>
        <v>-</v>
      </c>
      <c r="EQ128" s="339" t="str">
        <f t="shared" si="68"/>
        <v>Sa-Pa</v>
      </c>
      <c r="ER128" s="339" t="str">
        <f t="shared" si="69"/>
        <v>-</v>
      </c>
      <c r="ES128" s="340" t="str">
        <f t="shared" si="70"/>
        <v>-</v>
      </c>
      <c r="ET128" s="363"/>
      <c r="EU128" s="376" t="b">
        <f>IFERROR(__xludf.DUMMYFUNCTION("arrayformula(sum(--REGEXMATCH(""SRGMPDNS"",split(REGEXREPLACE(C128,""(.)"",""$1~""),""~""))))=len(C128)
"),FALSE)</f>
        <v>0</v>
      </c>
      <c r="EV128" s="290" t="b">
        <f>IFERROR(__xludf.DUMMYFUNCTION("arrayformula(sum(--REGEXMATCH(""SRGmPDNS"",split(REGEXREPLACE(C128,""(.)"",""$1~""),""~""))))=len(C128)"),FALSE)</f>
        <v>0</v>
      </c>
      <c r="EW128" s="290" t="b">
        <f>IFERROR(__xludf.DUMMYFUNCTION("arrayformula(sum(--REGEXMATCH(""SRGmPDnS"",split(REGEXREPLACE(C128,""(.)"",""$1~""),""~""))))=len(C128)"),FALSE)</f>
        <v>0</v>
      </c>
      <c r="EX128" s="290" t="b">
        <f>IFERROR(__xludf.DUMMYFUNCTION("arrayformula(sum(--REGEXMATCH(""SRgmPDnS"",split(REGEXREPLACE(C128,""(.)"",""$1~""),""~""))))=len(C128)"),FALSE)</f>
        <v>0</v>
      </c>
      <c r="EY128" s="290" t="b">
        <f>IFERROR(__xludf.DUMMYFUNCTION("arrayformula(sum(--REGEXMATCH(""SRgmPdnS"",split(REGEXREPLACE(C128,""(.)"",""$1~""),""~""))))=len(C128)"),FALSE)</f>
        <v>0</v>
      </c>
      <c r="EZ128" s="290" t="b">
        <f>IFERROR(__xludf.DUMMYFUNCTION("arrayformula(sum(--REGEXMATCH(""SrgmPdnS"",split(REGEXREPLACE(C128,""(.)"",""$1~""),""~""))))=len(C128)"),TRUE)</f>
        <v>1</v>
      </c>
      <c r="FA128" s="290" t="b">
        <f>IFERROR(__xludf.DUMMYFUNCTION("arrayformula(sum(--REGEXMATCH(""SrGmPdNS"",split(REGEXREPLACE(C128,""(.)"",""$1~""),""~""))))=len(C128)"),TRUE)</f>
        <v>1</v>
      </c>
      <c r="FB128" s="290" t="b">
        <f>IFERROR(__xludf.DUMMYFUNCTION("arrayformula(sum(--REGEXMATCH(""SrGMPDNS"",split(REGEXREPLACE(C128,""(.)"",""$1~""),""~""))))=len(C128)"),FALSE)</f>
        <v>0</v>
      </c>
      <c r="FC128" s="290" t="b">
        <f>IFERROR(__xludf.DUMMYFUNCTION("arrayformula(sum(--REGEXMATCH(""SrGMPdNS"",split(REGEXREPLACE(C128,""(.)"",""$1~""),""~""))))=len(C128)"),FALSE)</f>
        <v>0</v>
      </c>
      <c r="FD128" s="377" t="b">
        <f>IFERROR(__xludf.DUMMYFUNCTION("arrayformula(sum(--REGEXMATCH(""SrgMPdNS"",split(REGEXREPLACE(C128,""(.)"",""$1~""),""~""))))=len(C128)"),FALSE)</f>
        <v>0</v>
      </c>
      <c r="FE128" s="269" t="str">
        <f t="shared" si="71"/>
        <v>xoooxoxxooo</v>
      </c>
      <c r="FF128" s="269" t="str">
        <f t="shared" si="72"/>
        <v>-</v>
      </c>
      <c r="FG128" s="271" t="str">
        <f t="shared" si="73"/>
        <v>-</v>
      </c>
      <c r="FH128" s="269" t="str">
        <f t="shared" si="74"/>
        <v>-</v>
      </c>
      <c r="FI128" s="271" t="str">
        <f t="shared" si="75"/>
        <v>xoxxoooxxoo</v>
      </c>
      <c r="FJ128" s="271" t="str">
        <f t="shared" si="76"/>
        <v>-</v>
      </c>
      <c r="FK128" s="271" t="str">
        <f t="shared" si="77"/>
        <v>xxoooxxooox</v>
      </c>
      <c r="FL128" s="271" t="str">
        <f t="shared" si="78"/>
        <v>xoooxxoooxo</v>
      </c>
      <c r="FM128" s="271" t="str">
        <f t="shared" si="79"/>
        <v>-</v>
      </c>
      <c r="FN128" s="271" t="str">
        <f t="shared" si="80"/>
        <v>-</v>
      </c>
      <c r="FO128" s="274" t="str">
        <f t="shared" si="81"/>
        <v>-</v>
      </c>
      <c r="FP128" s="234" t="str">
        <f t="shared" si="82"/>
        <v>|</v>
      </c>
      <c r="FQ128" s="236" t="str">
        <f t="shared" si="83"/>
        <v>|</v>
      </c>
      <c r="FR128" s="237" t="str">
        <f t="shared" si="84"/>
        <v>-</v>
      </c>
      <c r="FS128" s="236" t="str">
        <f t="shared" si="85"/>
        <v>-</v>
      </c>
      <c r="FT128" s="237" t="str">
        <f t="shared" si="86"/>
        <v>-</v>
      </c>
      <c r="FU128" s="236" t="str">
        <f t="shared" si="87"/>
        <v>|</v>
      </c>
      <c r="FV128" s="237" t="str">
        <f t="shared" si="88"/>
        <v>-</v>
      </c>
      <c r="FW128" s="236" t="str">
        <f t="shared" si="89"/>
        <v>|</v>
      </c>
      <c r="FX128" s="237" t="str">
        <f t="shared" si="90"/>
        <v>|</v>
      </c>
      <c r="FY128" s="236" t="str">
        <f t="shared" si="91"/>
        <v>-</v>
      </c>
      <c r="FZ128" s="237" t="str">
        <f t="shared" si="92"/>
        <v>-</v>
      </c>
      <c r="GA128" s="236" t="str">
        <f t="shared" si="93"/>
        <v>-</v>
      </c>
      <c r="GB128" s="238" t="str">
        <f t="shared" si="94"/>
        <v>|</v>
      </c>
      <c r="GC128" s="244" t="str">
        <f>IFERROR(__xludf.DUMMYFUNCTION("IF(REGEXMATCH(C128, ""S""), ""1"","""")"),"1")</f>
        <v>1</v>
      </c>
      <c r="GD128" s="245" t="str">
        <f>IFERROR(__xludf.DUMMYFUNCTION("IF(REGEXMATCH(C128, ""r""), ""b2"","""")"),"b2")</f>
        <v>b2</v>
      </c>
      <c r="GE128" s="246" t="str">
        <f>IFERROR(__xludf.DUMMYFUNCTION("IF(REGEXMATCH(C128, ""R""), ""2"","""")"),"")</f>
        <v/>
      </c>
      <c r="GF128" s="246" t="str">
        <f>IFERROR(__xludf.DUMMYFUNCTION("IF(REGEXMATCH(C128, ""g""), ""b3"","""")"),"")</f>
        <v/>
      </c>
      <c r="GG128" s="245" t="str">
        <f>IFERROR(__xludf.DUMMYFUNCTION("IF(REGEXMATCH(C128, ""G""), ""3"","""")"),"")</f>
        <v/>
      </c>
      <c r="GH128" s="245" t="str">
        <f>IFERROR(__xludf.DUMMYFUNCTION("IF(REGEXMATCH(C128, ""m""), ""4"","""")"),"4")</f>
        <v>4</v>
      </c>
      <c r="GI128" s="246" t="str">
        <f>IFERROR(__xludf.DUMMYFUNCTION("IF(REGEXMATCH(C128, ""M""), ""#4"","""")"),"")</f>
        <v/>
      </c>
      <c r="GJ128" s="245" t="str">
        <f>IFERROR(__xludf.DUMMYFUNCTION("IF(REGEXMATCH(C128, ""P""), ""5"","""")"),"5")</f>
        <v>5</v>
      </c>
      <c r="GK128" s="246" t="str">
        <f>IFERROR(__xludf.DUMMYFUNCTION("IF(REGEXMATCH(C128, ""d""), ""b6"","""")"),"b6")</f>
        <v>b6</v>
      </c>
      <c r="GL128" s="245" t="str">
        <f>IFERROR(__xludf.DUMMYFUNCTION("IF(REGEXMATCH(C128, ""D""), ""6"","""")"),"")</f>
        <v/>
      </c>
      <c r="GM128" s="245" t="str">
        <f>IFERROR(__xludf.DUMMYFUNCTION("IF(REGEXMATCH(C128, ""n""), ""b7"","""")"),"")</f>
        <v/>
      </c>
      <c r="GN128" s="246" t="str">
        <f>IFERROR(__xludf.DUMMYFUNCTION("IF(REGEXMATCH(C128, ""N""), ""7"","""")"),"")</f>
        <v/>
      </c>
      <c r="GO128" s="249" t="str">
        <f>IFERROR(__xludf.DUMMYFUNCTION("IF(REGEXMATCH(C128, ""S""), ""8"","""")"),"8")</f>
        <v>8</v>
      </c>
      <c r="GP128" s="244" t="str">
        <f>IFERROR(__xludf.DUMMYFUNCTION("IF(REGEXMATCH(C128, ""S""), ""S"","""")"),"S")</f>
        <v>S</v>
      </c>
      <c r="GQ128" s="294" t="str">
        <f>IFERROR(__xludf.DUMMYFUNCTION("IF(REGEXMATCH(C128, ""r""), ""R1"","""")"),"R1")</f>
        <v>R1</v>
      </c>
      <c r="GR128" s="295" t="str">
        <f>IFERROR(__xludf.DUMMYFUNCTION("IF(REGEXMATCH(C128, ""R""), ""R2"","""")"),"")</f>
        <v/>
      </c>
      <c r="GS128" s="295" t="str">
        <f>IFERROR(__xludf.DUMMYFUNCTION("IF(REGEXMATCH(C128, ""g""), ""G2"","""")"),"")</f>
        <v/>
      </c>
      <c r="GT128" s="294" t="str">
        <f>IFERROR(__xludf.DUMMYFUNCTION("IF(REGEXMATCH(C128, ""G""), ""G3"","""")"),"")</f>
        <v/>
      </c>
      <c r="GU128" s="294" t="str">
        <f>IFERROR(__xludf.DUMMYFUNCTION("IF(REGEXMATCH(C128, ""m""), ""M1"","""")"),"M1")</f>
        <v>M1</v>
      </c>
      <c r="GV128" s="295" t="str">
        <f>IFERROR(__xludf.DUMMYFUNCTION("IF(REGEXMATCH(C128, ""M""), ""M2"","""")"),"")</f>
        <v/>
      </c>
      <c r="GW128" s="294" t="str">
        <f>IFERROR(__xludf.DUMMYFUNCTION("IF(REGEXMATCH(C128, ""P""), ""P"","""")"),"P")</f>
        <v>P</v>
      </c>
      <c r="GX128" s="295" t="str">
        <f>IFERROR(__xludf.DUMMYFUNCTION("IF(REGEXMATCH(C128, ""d""), ""D1"","""")"),"D1")</f>
        <v>D1</v>
      </c>
      <c r="GY128" s="294" t="str">
        <f>IFERROR(__xludf.DUMMYFUNCTION("IF(REGEXMATCH(C128, ""D""), ""D2"","""")"),"")</f>
        <v/>
      </c>
      <c r="GZ128" s="294" t="str">
        <f>IFERROR(__xludf.DUMMYFUNCTION("IF(REGEXMATCH(C128, ""n""), ""N2"","""")"),"")</f>
        <v/>
      </c>
      <c r="HA128" s="295" t="str">
        <f>IFERROR(__xludf.DUMMYFUNCTION("IF(REGEXMATCH(C128, ""N""), ""N3"","""")"),"")</f>
        <v/>
      </c>
      <c r="HB128" s="249" t="str">
        <f>IFERROR(__xludf.DUMMYFUNCTION("IF(REGEXMATCH(C128, ""S""), ""S"","""")"),"S")</f>
        <v>S</v>
      </c>
      <c r="HC128" s="331" t="str">
        <f t="shared" si="95"/>
        <v>S</v>
      </c>
      <c r="HD128" s="332" t="str">
        <f t="shared" si="96"/>
        <v/>
      </c>
      <c r="HE128" s="332" t="str">
        <f t="shared" si="97"/>
        <v/>
      </c>
      <c r="HF128" s="332" t="str">
        <f t="shared" si="98"/>
        <v/>
      </c>
      <c r="HG128" s="332" t="str">
        <f t="shared" si="99"/>
        <v>G</v>
      </c>
      <c r="HH128" s="332" t="str">
        <f t="shared" si="100"/>
        <v>m</v>
      </c>
      <c r="HI128" s="332" t="str">
        <f t="shared" si="101"/>
        <v/>
      </c>
      <c r="HJ128" s="332" t="str">
        <f t="shared" si="102"/>
        <v>P</v>
      </c>
      <c r="HK128" s="332" t="str">
        <f t="shared" si="103"/>
        <v/>
      </c>
      <c r="HL128" s="332" t="str">
        <f t="shared" si="104"/>
        <v/>
      </c>
      <c r="HM128" s="332" t="str">
        <f t="shared" si="105"/>
        <v/>
      </c>
      <c r="HN128" s="332" t="str">
        <f t="shared" si="106"/>
        <v>N</v>
      </c>
      <c r="HO128" s="343" t="str">
        <f t="shared" si="107"/>
        <v>S</v>
      </c>
      <c r="HP128" s="331" t="str">
        <f t="shared" si="108"/>
        <v>o</v>
      </c>
      <c r="HQ128" s="332" t="str">
        <f t="shared" si="109"/>
        <v>o</v>
      </c>
      <c r="HR128" s="332" t="str">
        <f t="shared" si="110"/>
        <v>•</v>
      </c>
      <c r="HS128" s="332" t="str">
        <f t="shared" si="111"/>
        <v>•</v>
      </c>
      <c r="HT128" s="332" t="str">
        <f t="shared" si="112"/>
        <v>•</v>
      </c>
      <c r="HU128" s="332" t="str">
        <f t="shared" si="113"/>
        <v>o</v>
      </c>
      <c r="HV128" s="332" t="str">
        <f t="shared" si="114"/>
        <v>•</v>
      </c>
      <c r="HW128" s="332" t="str">
        <f t="shared" si="115"/>
        <v>o</v>
      </c>
      <c r="HX128" s="332" t="str">
        <f t="shared" si="116"/>
        <v>o</v>
      </c>
      <c r="HY128" s="332" t="str">
        <f t="shared" si="117"/>
        <v>•</v>
      </c>
      <c r="HZ128" s="332" t="str">
        <f t="shared" si="118"/>
        <v>•</v>
      </c>
      <c r="IA128" s="332" t="str">
        <f t="shared" si="119"/>
        <v>•</v>
      </c>
      <c r="IB128" s="338" t="str">
        <f t="shared" si="120"/>
        <v>o</v>
      </c>
      <c r="IC128" s="331" t="str">
        <f t="shared" si="121"/>
        <v>•</v>
      </c>
      <c r="ID128" s="332" t="str">
        <f t="shared" si="122"/>
        <v>•</v>
      </c>
      <c r="IE128" s="332" t="str">
        <f t="shared" si="123"/>
        <v>o</v>
      </c>
      <c r="IF128" s="332" t="str">
        <f t="shared" si="124"/>
        <v>o</v>
      </c>
      <c r="IG128" s="332" t="str">
        <f t="shared" si="125"/>
        <v>o</v>
      </c>
      <c r="IH128" s="332" t="str">
        <f t="shared" si="126"/>
        <v>•</v>
      </c>
      <c r="II128" s="332" t="str">
        <f t="shared" si="127"/>
        <v>o</v>
      </c>
      <c r="IJ128" s="332" t="str">
        <f t="shared" si="128"/>
        <v>•</v>
      </c>
      <c r="IK128" s="332" t="str">
        <f t="shared" si="129"/>
        <v>•</v>
      </c>
      <c r="IL128" s="332" t="str">
        <f t="shared" si="130"/>
        <v>o</v>
      </c>
      <c r="IM128" s="332" t="str">
        <f t="shared" si="131"/>
        <v>o</v>
      </c>
      <c r="IN128" s="332" t="str">
        <f t="shared" si="132"/>
        <v>o</v>
      </c>
      <c r="IO128" s="338" t="str">
        <f t="shared" si="133"/>
        <v>•</v>
      </c>
      <c r="IP128" s="346" t="b">
        <f t="shared" si="134"/>
        <v>0</v>
      </c>
      <c r="IQ128" s="347" t="b">
        <f t="shared" si="135"/>
        <v>0</v>
      </c>
      <c r="IR128" s="347" t="b">
        <f t="shared" si="136"/>
        <v>0</v>
      </c>
      <c r="IS128" s="347" t="b">
        <f t="shared" si="137"/>
        <v>0</v>
      </c>
      <c r="IT128" s="347" t="b">
        <f t="shared" si="138"/>
        <v>0</v>
      </c>
      <c r="IU128" s="347" t="b">
        <f t="shared" si="139"/>
        <v>0</v>
      </c>
      <c r="IV128" s="347" t="b">
        <f t="shared" si="140"/>
        <v>0</v>
      </c>
      <c r="IW128" s="347" t="b">
        <f t="shared" si="141"/>
        <v>1</v>
      </c>
      <c r="IX128" s="347" t="b">
        <f t="shared" si="142"/>
        <v>1</v>
      </c>
      <c r="IY128" s="347" t="b">
        <f t="shared" si="143"/>
        <v>0</v>
      </c>
      <c r="IZ128" s="347" t="b">
        <f t="shared" si="144"/>
        <v>0</v>
      </c>
      <c r="JA128" s="347" t="b">
        <f t="shared" si="145"/>
        <v>0</v>
      </c>
      <c r="JB128" s="353" t="b">
        <f t="shared" si="146"/>
        <v>0</v>
      </c>
      <c r="JC128" s="354" t="str">
        <f t="shared" si="147"/>
        <v/>
      </c>
      <c r="JD128" s="355" t="str">
        <f t="shared" si="148"/>
        <v/>
      </c>
      <c r="JE128" s="355" t="str">
        <f t="shared" si="149"/>
        <v/>
      </c>
      <c r="JF128" s="355" t="str">
        <f t="shared" si="150"/>
        <v/>
      </c>
      <c r="JG128" s="355" t="str">
        <f t="shared" si="151"/>
        <v/>
      </c>
      <c r="JH128" s="355" t="str">
        <f t="shared" si="152"/>
        <v/>
      </c>
      <c r="JI128" s="355" t="str">
        <f t="shared" si="153"/>
        <v/>
      </c>
      <c r="JJ128" s="355" t="str">
        <f t="shared" si="154"/>
        <v>Pa, </v>
      </c>
      <c r="JK128" s="355" t="str">
        <f t="shared" si="155"/>
        <v>dha, </v>
      </c>
      <c r="JL128" s="355" t="str">
        <f t="shared" si="156"/>
        <v/>
      </c>
      <c r="JM128" s="355" t="str">
        <f t="shared" si="157"/>
        <v/>
      </c>
      <c r="JN128" s="355" t="str">
        <f t="shared" si="158"/>
        <v/>
      </c>
      <c r="JO128" s="359" t="str">
        <f t="shared" si="159"/>
        <v/>
      </c>
      <c r="JP128" s="346" t="b">
        <f t="shared" si="160"/>
        <v>0</v>
      </c>
      <c r="JQ128" s="347" t="b">
        <f t="shared" si="161"/>
        <v>0</v>
      </c>
      <c r="JR128" s="347" t="b">
        <f t="shared" si="162"/>
        <v>0</v>
      </c>
      <c r="JS128" s="347" t="b">
        <f t="shared" si="163"/>
        <v>0</v>
      </c>
      <c r="JT128" s="347" t="b">
        <f t="shared" si="164"/>
        <v>0</v>
      </c>
      <c r="JU128" s="347" t="b">
        <f t="shared" si="165"/>
        <v>0</v>
      </c>
      <c r="JV128" s="347" t="b">
        <f t="shared" si="166"/>
        <v>0</v>
      </c>
      <c r="JW128" s="347" t="b">
        <f t="shared" si="167"/>
        <v>0</v>
      </c>
      <c r="JX128" s="347" t="b">
        <f t="shared" si="168"/>
        <v>0</v>
      </c>
      <c r="JY128" s="347" t="b">
        <f t="shared" si="169"/>
        <v>0</v>
      </c>
      <c r="JZ128" s="347" t="b">
        <f t="shared" si="170"/>
        <v>0</v>
      </c>
      <c r="KA128" s="347" t="b">
        <f t="shared" si="171"/>
        <v>0</v>
      </c>
      <c r="KB128" s="365" t="b">
        <f t="shared" si="172"/>
        <v>0</v>
      </c>
      <c r="KC128" s="354" t="str">
        <f t="shared" si="173"/>
        <v/>
      </c>
      <c r="KD128" s="355" t="str">
        <f t="shared" si="174"/>
        <v/>
      </c>
      <c r="KE128" s="355" t="str">
        <f t="shared" si="175"/>
        <v/>
      </c>
      <c r="KF128" s="355" t="str">
        <f t="shared" si="176"/>
        <v/>
      </c>
      <c r="KG128" s="355" t="str">
        <f t="shared" si="177"/>
        <v/>
      </c>
      <c r="KH128" s="355" t="str">
        <f t="shared" si="178"/>
        <v/>
      </c>
      <c r="KI128" s="355" t="str">
        <f t="shared" si="179"/>
        <v/>
      </c>
      <c r="KJ128" s="355" t="str">
        <f t="shared" si="180"/>
        <v/>
      </c>
      <c r="KK128" s="355" t="str">
        <f t="shared" si="181"/>
        <v/>
      </c>
      <c r="KL128" s="355" t="str">
        <f t="shared" si="182"/>
        <v/>
      </c>
      <c r="KM128" s="355" t="str">
        <f t="shared" si="183"/>
        <v/>
      </c>
      <c r="KN128" s="355" t="str">
        <f t="shared" si="184"/>
        <v/>
      </c>
      <c r="KO128" s="359"/>
      <c r="KP128" s="378"/>
      <c r="KQ128" s="379" t="s">
        <v>764</v>
      </c>
      <c r="KR128" s="380" t="s">
        <v>1397</v>
      </c>
      <c r="KS128" s="381" t="str">
        <f t="shared" ref="KS128:KS135" si="463">KQ128</f>
        <v>S-r-m-P-d-S</v>
      </c>
      <c r="KT128" s="382">
        <f t="shared" si="186"/>
        <v>5</v>
      </c>
      <c r="KU128" s="383">
        <f t="shared" si="187"/>
        <v>5</v>
      </c>
      <c r="KV128" s="381" t="str">
        <f t="shared" si="205"/>
        <v>S-d-P-m-r-S</v>
      </c>
      <c r="KW128" s="382">
        <f t="shared" si="189"/>
        <v>5</v>
      </c>
      <c r="KX128" s="384">
        <f t="shared" si="190"/>
        <v>5</v>
      </c>
      <c r="KY128" s="382">
        <f t="shared" ref="KY128:KZ128" si="461">KW128-KT128</f>
        <v>0</v>
      </c>
      <c r="KZ128" s="369">
        <f t="shared" si="461"/>
        <v>0</v>
      </c>
      <c r="LA128" s="385" t="str">
        <f t="shared" si="192"/>
        <v>✔</v>
      </c>
      <c r="LB128" s="340" t="str">
        <f>IFERROR(__xludf.DUMMYFUNCTION("JOIN("""",ArrayFormula(MID(KS128,LEN(KS128)-SEQUENCE(1,LEN(KS128))+1,1)))"),"S-d-P-m-r-S")</f>
        <v>S-d-P-m-r-S</v>
      </c>
      <c r="LC128" s="373" t="str">
        <f>IFERROR(__xludf.DUMMYFUNCTION("JOIN("""",ArrayFormula(MID(KV128,LEN(KV128)-SEQUENCE(1,LEN(KV128))+1,1)))"),"S-r-m-P-d-S")</f>
        <v>S-r-m-P-d-S</v>
      </c>
      <c r="LD128" s="373" t="str">
        <f t="shared" si="193"/>
        <v>SrmPdS</v>
      </c>
      <c r="LE128" s="339" t="str">
        <f t="shared" si="194"/>
        <v>SrmPdS</v>
      </c>
      <c r="LF128" s="386" t="str">
        <f>IFERROR(__xludf.DUMMYFUNCTION("SUBSTITUTE(SUBSTITUTE(CONCATENATE(JOIN("""",LH128:LT128)),""1"",""""),""2"","""")"),"SrmPdS")</f>
        <v>SrmPdS</v>
      </c>
      <c r="LG128" s="369" t="str">
        <f t="shared" si="195"/>
        <v>✔</v>
      </c>
      <c r="LH128" s="387" t="str">
        <f>IFERROR(__xludf.DUMMYFUNCTION("IF(REGEXMATCH(LD128, ""S""), ""S"",IF(REGEXMATCH(LE128, ""S""), ""S"",""""))"),"S")</f>
        <v>S</v>
      </c>
      <c r="LI128" s="299" t="str">
        <f>IFERROR(__xludf.DUMMYFUNCTION("IF(REGEXMATCH(LD128, ""r""), ""r1"",IF(REGEXMATCH(LE128, ""r""), ""r2"",""""))"),"r1")</f>
        <v>r1</v>
      </c>
      <c r="LJ128" s="299" t="str">
        <f>IFERROR(__xludf.DUMMYFUNCTION("IF(REGEXMATCH(LD128, ""R""), ""R1"",IF(REGEXMATCH(LE128, ""R""), ""R2"",""""))"),"")</f>
        <v/>
      </c>
      <c r="LK128" s="299" t="str">
        <f>IFERROR(__xludf.DUMMYFUNCTION("IF(REGEXMATCH(LD128, ""g""), ""g1"",IF(REGEXMATCH(LE128, ""g""), ""g2"",""""))"),"")</f>
        <v/>
      </c>
      <c r="LL128" s="299" t="str">
        <f>IFERROR(__xludf.DUMMYFUNCTION("IF(REGEXMATCH(LD128, ""G""), ""G1"",IF(REGEXMATCH(LE128, ""G""), ""G2"",""""))"),"")</f>
        <v/>
      </c>
      <c r="LM128" s="299" t="str">
        <f>IFERROR(__xludf.DUMMYFUNCTION("IF(REGEXMATCH(LD128, ""m""), ""m1"",IF(REGEXMATCH(LE128, ""m""), ""m2"",""""))"),"m1")</f>
        <v>m1</v>
      </c>
      <c r="LN128" s="299" t="str">
        <f>IFERROR(__xludf.DUMMYFUNCTION("IF(REGEXMATCH(LD128, ""M""), ""M1"",IF(REGEXMATCH(LE128, ""M""), ""M2"",""""))"),"")</f>
        <v/>
      </c>
      <c r="LO128" s="299" t="str">
        <f>IFERROR(__xludf.DUMMYFUNCTION("IF(REGEXMATCH(LD128, ""P""), ""P1"",IF(REGEXMATCH(LE128, ""P""), ""P2"",""""))"),"P1")</f>
        <v>P1</v>
      </c>
      <c r="LP128" s="299" t="str">
        <f>IFERROR(__xludf.DUMMYFUNCTION("IF(REGEXMATCH(LD128, ""d""), ""d1"",IF(REGEXMATCH(LE128, ""d""), ""d2"",""""))"),"d1")</f>
        <v>d1</v>
      </c>
      <c r="LQ128" s="299" t="str">
        <f>IFERROR(__xludf.DUMMYFUNCTION("IF(REGEXMATCH(LD128, ""D""), ""D1"",IF(REGEXMATCH(LE128, ""D""), ""D2"",""""))"),"")</f>
        <v/>
      </c>
      <c r="LR128" s="299" t="str">
        <f>IFERROR(__xludf.DUMMYFUNCTION("IF(REGEXMATCH(LD128, ""n""), ""n1"",IF(REGEXMATCH(LE128, ""n""), ""n2"",""""))"),"")</f>
        <v/>
      </c>
      <c r="LS128" s="299" t="str">
        <f>IFERROR(__xludf.DUMMYFUNCTION("IF(REGEXMATCH(LD128, ""N""), ""N1"",IF(REGEXMATCH(LE128, ""N""), ""N2"",""""))"),"")</f>
        <v/>
      </c>
      <c r="LT128" s="388" t="str">
        <f>IFERROR(__xludf.DUMMYFUNCTION("IF(REGEXMATCH(LD128, ""S""), ""S"",IF(REGEXMATCH(LE128, ""S""), ""S"",""""))"),"S")</f>
        <v>S</v>
      </c>
      <c r="LU128" s="389">
        <f t="shared" si="196"/>
        <v>1</v>
      </c>
      <c r="LV128" s="378"/>
      <c r="LW128" s="369"/>
      <c r="LX128" s="369"/>
    </row>
    <row r="129" ht="18.0" customHeight="1">
      <c r="A129" s="298" t="s">
        <v>771</v>
      </c>
      <c r="B129" s="222" t="s">
        <v>632</v>
      </c>
      <c r="C129" s="233" t="str">
        <f t="shared" si="7"/>
        <v>SRGmMPDNS</v>
      </c>
      <c r="D129" s="234" t="str">
        <f>IFERROR(__xludf.DUMMYFUNCTION("IF(REGEXMATCH(C129, ""S""), ""S"","""")"),"S")</f>
        <v>S</v>
      </c>
      <c r="E129" s="236" t="str">
        <f>IFERROR(__xludf.DUMMYFUNCTION("IF(REGEXMATCH(C129, ""r""), ""r"","""")"),"")</f>
        <v/>
      </c>
      <c r="F129" s="237" t="str">
        <f>IFERROR(__xludf.DUMMYFUNCTION("IF(REGEXMATCH(C129, ""R""), ""R"","""")"),"R")</f>
        <v>R</v>
      </c>
      <c r="G129" s="237" t="str">
        <f>IFERROR(__xludf.DUMMYFUNCTION("IF(REGEXMATCH(C129, ""g""), ""g"","""")"),"")</f>
        <v/>
      </c>
      <c r="H129" s="236" t="str">
        <f>IFERROR(__xludf.DUMMYFUNCTION("IF(REGEXMATCH(C129, ""G""), ""G"","""")"),"G")</f>
        <v>G</v>
      </c>
      <c r="I129" s="236" t="str">
        <f>IFERROR(__xludf.DUMMYFUNCTION("IF(REGEXMATCH(C129, ""m""), ""m"","""")"),"m")</f>
        <v>m</v>
      </c>
      <c r="J129" s="237" t="str">
        <f>IFERROR(__xludf.DUMMYFUNCTION("IF(REGEXMATCH(C129, ""M""), ""M"","""")"),"M")</f>
        <v>M</v>
      </c>
      <c r="K129" s="236" t="str">
        <f>IFERROR(__xludf.DUMMYFUNCTION("IF(REGEXMATCH(C129, ""P""), ""P"","""")"),"P")</f>
        <v>P</v>
      </c>
      <c r="L129" s="237" t="str">
        <f>IFERROR(__xludf.DUMMYFUNCTION("IF(REGEXMATCH(C129, ""d""), ""d"","""")"),"")</f>
        <v/>
      </c>
      <c r="M129" s="236" t="str">
        <f>IFERROR(__xludf.DUMMYFUNCTION("IF(REGEXMATCH(C129, ""D""), ""D"","""")"),"D")</f>
        <v>D</v>
      </c>
      <c r="N129" s="236" t="str">
        <f>IFERROR(__xludf.DUMMYFUNCTION("IF(REGEXMATCH(C129, ""n""), ""n"","""")"),"")</f>
        <v/>
      </c>
      <c r="O129" s="237" t="str">
        <f>IFERROR(__xludf.DUMMYFUNCTION("IF(REGEXMATCH(C129, ""N""), ""N"","""")"),"N")</f>
        <v>N</v>
      </c>
      <c r="P129" s="238" t="str">
        <f>IFERROR(__xludf.DUMMYFUNCTION("IF(REGEXMATCH(C129, ""S""), ""S"","""")"),"S")</f>
        <v>S</v>
      </c>
      <c r="Q129" s="239" t="str">
        <f>IFERROR(__xludf.DUMMYFUNCTION("SUBSTITUTE(CONCATENATE(JOIN(""-"",D129:J129)),""-"","""")"),"SRGmM")</f>
        <v>SRGmM</v>
      </c>
      <c r="R129" s="229" t="str">
        <f>IFERROR(__xludf.DUMMYFUNCTION("SUBSTITUTE(CONCATENATE(JOIN(""-"",K129:P129)),""-"","""")"),"PDNS")</f>
        <v>PDNS</v>
      </c>
      <c r="S129" s="282" t="str">
        <f t="shared" si="8"/>
        <v>S-R-G-M</v>
      </c>
      <c r="T129" s="282" t="str">
        <f t="shared" si="9"/>
        <v>P-D-N-S</v>
      </c>
      <c r="U129" s="237" t="str">
        <f>IFERROR(__xludf.DUMMYFUNCTION("SUBSTITUTE(JOIN(""-"",S129,T129),""--"",""-"")"),"S-R-G-M-P-D-N-S")</f>
        <v>S-R-G-M-P-D-N-S</v>
      </c>
      <c r="V129" s="309" t="str">
        <f t="shared" si="10"/>
        <v>RGmMDN</v>
      </c>
      <c r="W129" s="244" t="str">
        <f>IFERROR(__xludf.DUMMYFUNCTION("IF(REGEXMATCH(C129, ""S""), ""0"","""")"),"0")</f>
        <v>0</v>
      </c>
      <c r="X129" s="245" t="str">
        <f>IFERROR(__xludf.DUMMYFUNCTION("IF(REGEXMATCH(C129, ""r""), ""1"","""")"),"")</f>
        <v/>
      </c>
      <c r="Y129" s="246" t="str">
        <f>IFERROR(__xludf.DUMMYFUNCTION("IF(REGEXMATCH(C129, ""R""), ""2"","""")"),"2")</f>
        <v>2</v>
      </c>
      <c r="Z129" s="246" t="str">
        <f>IFERROR(__xludf.DUMMYFUNCTION("IF(REGEXMATCH(C129, ""g""), ""3"","""")"),"")</f>
        <v/>
      </c>
      <c r="AA129" s="245" t="str">
        <f>IFERROR(__xludf.DUMMYFUNCTION("IF(REGEXMATCH(C129, ""G""), ""4"","""")"),"4")</f>
        <v>4</v>
      </c>
      <c r="AB129" s="245" t="str">
        <f>IFERROR(__xludf.DUMMYFUNCTION("IF(REGEXMATCH(C129, ""m""), ""5"","""")"),"5")</f>
        <v>5</v>
      </c>
      <c r="AC129" s="246" t="str">
        <f>IFERROR(__xludf.DUMMYFUNCTION("IF(REGEXMATCH(C129, ""M""), ""6"","""")"),"6")</f>
        <v>6</v>
      </c>
      <c r="AD129" s="245" t="str">
        <f>IFERROR(__xludf.DUMMYFUNCTION("IF(REGEXMATCH(C129, ""P""), ""7"","""")"),"7")</f>
        <v>7</v>
      </c>
      <c r="AE129" s="246" t="str">
        <f>IFERROR(__xludf.DUMMYFUNCTION("IF(REGEXMATCH(C129, ""d""), ""8"","""")"),"")</f>
        <v/>
      </c>
      <c r="AF129" s="245" t="str">
        <f>IFERROR(__xludf.DUMMYFUNCTION("IF(REGEXMATCH(C129, ""D""), ""9"","""")"),"9")</f>
        <v>9</v>
      </c>
      <c r="AG129" s="245" t="str">
        <f>IFERROR(__xludf.DUMMYFUNCTION("IF(REGEXMATCH(C129, ""n""), ""10"","""")"),"")</f>
        <v/>
      </c>
      <c r="AH129" s="246" t="str">
        <f>IFERROR(__xludf.DUMMYFUNCTION("IF(REGEXMATCH(C129, ""N""), ""11"","""")"),"11")</f>
        <v>11</v>
      </c>
      <c r="AI129" s="249" t="str">
        <f>IFERROR(__xludf.DUMMYFUNCTION("IF(REGEXMATCH(C129, ""S""), ""0"","""")"),"0")</f>
        <v>0</v>
      </c>
      <c r="AJ129" s="313" t="str">
        <f t="shared" si="11"/>
        <v>T</v>
      </c>
      <c r="AK129" s="313" t="str">
        <f t="shared" si="12"/>
        <v>-</v>
      </c>
      <c r="AL129" s="313" t="str">
        <f t="shared" si="13"/>
        <v>-</v>
      </c>
      <c r="AM129" s="313" t="str">
        <f t="shared" si="14"/>
        <v>-</v>
      </c>
      <c r="AN129" s="313" t="str">
        <f t="shared" si="15"/>
        <v>-</v>
      </c>
      <c r="AO129" s="314" t="str">
        <f t="shared" si="16"/>
        <v>T</v>
      </c>
      <c r="AP129" s="316">
        <f t="shared" si="17"/>
        <v>2</v>
      </c>
      <c r="AQ129" s="319" t="str">
        <f t="shared" si="18"/>
        <v>-</v>
      </c>
      <c r="AR129" s="320">
        <f t="shared" si="19"/>
        <v>0</v>
      </c>
      <c r="AS129" s="250" t="str">
        <f>IFERROR(__xludf.DUMMYFUNCTION("SUBSTITUTE(SUBSTITUTE(CONCATENATE(JOIN("""",FP129:GA129)),""|"",""x""),""-"",""o"")"),"xoxoxxxxoxox")</f>
        <v>xoxoxxxxoxox</v>
      </c>
      <c r="AT129" s="323" t="str">
        <f>IFERROR(__xludf.DUMMYFUNCTION("JOIN("""",AS129,AS129)"),"xoxoxxxxoxoxxoxoxxxxoxox")</f>
        <v>xoxoxxxxoxoxxoxoxxxxoxox</v>
      </c>
      <c r="AU129" s="256" t="str">
        <f>IFERROR(__xludf.DUMMYFUNCTION("JOIN("""",ArrayFormula(MID(AS129,LEN(AS129)-SEQUENCE(1,LEN(AS129))+1,1)))"),"xoxoxxxxoxox")</f>
        <v>xoxoxxxxoxox</v>
      </c>
      <c r="AV129" s="256" t="str">
        <f>IFERROR(__xludf.DUMMYFUNCTION("LEFT(CONCATENATE(""x"",JOIN("""",ArrayFormula(MID(AS129,LEN(AS129)-SEQUENCE(1,LEN(AS129))+1,1)))),12)"),"xxoxoxxxxoxo")</f>
        <v>xxoxoxxxxoxo</v>
      </c>
      <c r="AW129" s="327" t="str">
        <f>IFERROR(__xludf.DUMMYFUNCTION("JOIN("""",AU129,AU129)"),"xoxoxxxxoxoxxoxoxxxxoxox")</f>
        <v>xoxoxxxxoxoxxoxoxxxxoxox</v>
      </c>
      <c r="AX129" s="239" t="str">
        <f>IFERROR(__xludf.DUMMYFUNCTION("IF(REGEXMATCH(AW129,AS129),""✔"",""-"")"),"✔")</f>
        <v>✔</v>
      </c>
      <c r="AY129" s="330" t="str">
        <f t="shared" si="20"/>
        <v>-</v>
      </c>
      <c r="AZ129" s="260" t="str">
        <f t="shared" si="21"/>
        <v>#REF!</v>
      </c>
      <c r="BA129" s="333" t="str">
        <f t="shared" si="22"/>
        <v>xoxoxxx</v>
      </c>
      <c r="BB129" s="334" t="str">
        <f t="shared" si="23"/>
        <v>xoxoxx</v>
      </c>
      <c r="BC129" s="335" t="str">
        <f t="shared" si="236"/>
        <v>✔</v>
      </c>
      <c r="BD129" s="336" t="str">
        <f t="shared" si="25"/>
        <v>Hameer: 'xoxoxxx' + 'xoxoxx'</v>
      </c>
      <c r="BE129" s="337">
        <f>IFERROR(__xludf.DUMMYFUNCTION("COUNTUNIQUE(FILTER(AT:AT,REGEXMATCH(AT:AT,AS129)))-1"),3.0)</f>
        <v>3</v>
      </c>
      <c r="BF129" s="261" t="str">
        <f>IFERROR(__xludf.DUMMYFUNCTION("IF(BI129=0,""(n/a)"",IF(BJ129=2,""(PAIR)"",IF(REGEXMATCH(AT129,""xoxoxxoxoxox""),""Bilawal"",IF(REGEXMATCH(AT129,""xoxoxooxoxoo""),""Bhupali"",IF(REGEXMATCH(AT129,""xoxoxxoxxoxo""),""Charukeshi"",IF(REGEXMATCH(AT129,""xoxoooxxoxxo""),""Kameshwari"",IF(REG"&amp;"EXMATCH(AT129,""xoxoxooxoxox""),""Shankara"",IF(REGEXMATCH(AT129,""xxooxoxxxoox""),""Basant"",IF(REGEXMATCH(AT129,""xoxoxxxxoxox""),""Bihag"",IF(REGEXMATCH(AT129,""xoxxxxoxoxxx""),""Pilu"",IF(REGEXMATCH(AT129,""xoxxoxoxxoox""),""Kirwani"",IF(REGEXMATCH(AT"&amp;"129,""xoxxoxoxoxxx""),""Mk.Malhar"",IF(REGEXMATCH(AT129,""xxooxxoxxoox""),""Bhairav"",IF(REGEXMATCH(AT129,""xxoxooxxxoox""),""Todi"",IF(REGEXMATCH(AT129,""xxooxoxooxox""),""Marwa"",IF(REGEXMATCH(AT129,""xxoooxoxxooo""),""Gunkali"",IF(REGEXMATCH(AT129,""xo"&amp;"xoxxoxxoox""),""Nat Bhairav"",IF(REGEXMATCH(AT129,""xoxxoooxoxoo""),""Shivranjani"",IF(REGEXMATCH(AT129,""xooxxxoxooxo""),""Jog"",IF(REGEXMATCH(AT129,""xxooxoxoxoox""),""Hemshri"",IF(REGEXMATCH(AT129,""xoooxooxoxxo""),""Kalavati"",IF(REGEXMATCH(AT129,""xx"&amp;"oxoxxoxoox""),""Kedar"",IF(REGEXMATCH(AT129,""xoxxxxoxooxx""),""Gara"",IF(REGEXMATCH(AT129,""xooxoxooxoox""),""Chandrakauns"",IF(REGEXMATCH(AT129,""xoxxxxoxxxox""),""Mand"",IF(REGEXMATCH(AT129,""xoxxxxoxoxox""),""Hanskinkini"",IF(REGEXMATCH(AT129,""xxooxx"&amp;"oxooxo""),""Lilavati"",IF(REGEXMATCH(AT129,""xooxoxoooxox""),""Rajeshwari"",IF(REGEXMATCH(AT129,""xoooxxoxoxxx""),""Khokar"",IF(REGEXMATCH(AT129,""xxooxoxxxxox""),""Maligoura"",""-""))))))))))))))))))))))))))))))"),"Bihag")</f>
        <v>Bihag</v>
      </c>
      <c r="BG129" s="239" t="str">
        <f t="shared" si="26"/>
        <v>#REF!</v>
      </c>
      <c r="BH129" s="239">
        <f>IFERROR(__xludf.DUMMYFUNCTION("COUNTUNIQUE(FE129:FO129)-1"),7.0)</f>
        <v>7</v>
      </c>
      <c r="BI129" s="239">
        <f>IFERROR(__xludf.DUMMYFUNCTION("COUNTUNIQUE(FILTER(AT:AT,REGEXMATCH(AT:AT,AS129)))-1"),3.0)</f>
        <v>3</v>
      </c>
      <c r="BJ129" s="239">
        <f>IFERROR(__xludf.DUMMYFUNCTION("COUNTA(FILTER(AT:AT,REGEXMATCH(AT:AT,AS129)))"),36.0)</f>
        <v>36</v>
      </c>
      <c r="BK129" s="341">
        <f>IFERROR(__xludf.DUMMYFUNCTION("COUNTA(FILTER(AT:AT,REGEXMATCH(AT:AT,AS129)))-AR129"),36.0)</f>
        <v>36</v>
      </c>
      <c r="BL129" s="276" t="str">
        <f>IFERROR(__xludf.DUMMYFUNCTION("IF(AS129=""oooooooooooo"",""-"",IF(REGEXMATCH(AT129,""xx""), ""Hemi."", ""Anhemi.""))"),"Hemi.")</f>
        <v>Hemi.</v>
      </c>
      <c r="BM129" s="282" t="str">
        <f>IFERROR(__xludf.DUMMYFUNCTION("IF(AS129=""oooooooooooo"",""-"",IF(REGEXMATCH(AT129,""xxx""), ""Cohem."", ""-""))"),"Cohem.")</f>
        <v>Cohem.</v>
      </c>
      <c r="BN129" s="282" t="str">
        <f>IFERROR(__xludf.DUMMYFUNCTION("IF(AS129=""oooooooooooo"",""-"",IF(REGEXMATCH(AT129,""xxxx""), ""Co-Co."", ""-""))"),"Co-Co.")</f>
        <v>Co-Co.</v>
      </c>
      <c r="BO129" s="342" t="str">
        <f>IFERROR(__xludf.DUMMYFUNCTION("IF(AS129=""oooooooooooo"",""-"",IF(REGEXMATCH(AT129,""xxxxx""), ""CCC."", ""-""))"),"-")</f>
        <v>-</v>
      </c>
      <c r="BP129" s="344" t="str">
        <f t="shared" si="27"/>
        <v>-</v>
      </c>
      <c r="BQ129" s="282" t="str">
        <f>IFERROR(__xludf.DUMMYFUNCTION("IF(REGEXMATCH(JOIN(""-"",EU129:FD129),""TRUE""),""✔"",""-"")"),"-")</f>
        <v>-</v>
      </c>
      <c r="BR129" s="225">
        <f t="shared" si="28"/>
        <v>0</v>
      </c>
      <c r="BS129" s="345" t="str">
        <f>IFERROR(__xludf.DUMMYFUNCTION("SUBSTITUTE(SUBSTITUTE(SUBSTITUTE(SUBSTITUTE(CONCATENATE(JOIN(""-"",GC129:GO129)),""--"",""-""),""--"",""-""),""--"",""-""),""--"",""-"")"),"1-2-3-4-#4-5-6-7-8")</f>
        <v>1-2-3-4-#4-5-6-7-8</v>
      </c>
      <c r="BT129" s="299" t="str">
        <f>IFERROR(__xludf.DUMMYFUNCTION("SUBSTITUTE(SUBSTITUTE(SUBSTITUTE(SUBSTITUTE(CONCATENATE(JOIN(""-"",GP129:HB129)),""--"",""-""),""--"",""-""),""--"",""-""),""--"",""-"")"),"S-R2-G3-M1-M2-P-D2-N3-S")</f>
        <v>S-R2-G3-M1-M2-P-D2-N3-S</v>
      </c>
      <c r="BU129" s="348" t="str">
        <f t="shared" si="29"/>
        <v>C-D-E-F-F#-G-A-B-C</v>
      </c>
      <c r="BV129" s="349" t="str">
        <f t="shared" si="30"/>
        <v>SrgdnS</v>
      </c>
      <c r="BW129" s="350">
        <f t="shared" si="31"/>
        <v>0</v>
      </c>
      <c r="BX129" s="351">
        <f t="shared" si="32"/>
        <v>13</v>
      </c>
      <c r="BY129" s="392"/>
      <c r="BZ129" s="309" t="str">
        <f>IFERROR(__xludf.DUMMYFUNCTION("IF(REGEXMATCH(C129, ""S""), ""x"",""x"")"),"x")</f>
        <v>x</v>
      </c>
      <c r="CA129" s="245" t="str">
        <f>IFERROR(__xludf.DUMMYFUNCTION("IF(REGEXMATCH(C129, ""r""), ""o"",""x"")"),"x")</f>
        <v>x</v>
      </c>
      <c r="CB129" s="246" t="str">
        <f>IFERROR(__xludf.DUMMYFUNCTION("IF(REGEXMATCH(C129, ""R""), ""o"",""x"")"),"o")</f>
        <v>o</v>
      </c>
      <c r="CC129" s="246" t="str">
        <f>IFERROR(__xludf.DUMMYFUNCTION("IF(REGEXMATCH(C129, ""g""), ""o"",""x"")"),"x")</f>
        <v>x</v>
      </c>
      <c r="CD129" s="245" t="str">
        <f>IFERROR(__xludf.DUMMYFUNCTION("IF(REGEXMATCH(C129, ""G""), ""o"",""x"")"),"o")</f>
        <v>o</v>
      </c>
      <c r="CE129" s="245" t="str">
        <f>IFERROR(__xludf.DUMMYFUNCTION("IF(REGEXMATCH(C129, ""m""), ""o"",""x"")"),"o")</f>
        <v>o</v>
      </c>
      <c r="CF129" s="246" t="str">
        <f>IFERROR(__xludf.DUMMYFUNCTION("IF(REGEXMATCH(C129, ""M""), ""o"",""x"")"),"o")</f>
        <v>o</v>
      </c>
      <c r="CG129" s="245" t="str">
        <f>IFERROR(__xludf.DUMMYFUNCTION("IF(REGEXMATCH(C129, ""P""), ""o"",""x"")"),"o")</f>
        <v>o</v>
      </c>
      <c r="CH129" s="246" t="str">
        <f>IFERROR(__xludf.DUMMYFUNCTION("IF(REGEXMATCH(C129, ""d""), ""o"",""x"")"),"x")</f>
        <v>x</v>
      </c>
      <c r="CI129" s="245" t="str">
        <f>IFERROR(__xludf.DUMMYFUNCTION("IF(REGEXMATCH(C129, ""D""), ""o"",""x"")"),"o")</f>
        <v>o</v>
      </c>
      <c r="CJ129" s="245" t="str">
        <f>IFERROR(__xludf.DUMMYFUNCTION("IF(REGEXMATCH(C129, ""n""), ""o"",""x"")"),"x")</f>
        <v>x</v>
      </c>
      <c r="CK129" s="245" t="str">
        <f>IFERROR(__xludf.DUMMYFUNCTION("IF(REGEXMATCH(C129, ""N""), ""o"",""x"")"),"o")</f>
        <v>o</v>
      </c>
      <c r="CL129" s="356" t="str">
        <f>IFERROR(__xludf.DUMMYFUNCTION("IF(REGEXMATCH(C129, ""S""), ""x"",""x"")"),"x")</f>
        <v>x</v>
      </c>
      <c r="CM129" s="357" t="str">
        <f t="shared" si="33"/>
        <v>xxoxooooxoxo</v>
      </c>
      <c r="CN129" s="358">
        <f t="shared" si="34"/>
        <v>0</v>
      </c>
      <c r="CO129" s="246" t="str">
        <f>IFERROR(__xludf.DUMMYFUNCTION("IF(REGEXMATCH($C129, ""S""), ""S"",""S"")"),"S")</f>
        <v>S</v>
      </c>
      <c r="CP129" s="246" t="str">
        <f>IFERROR(__xludf.DUMMYFUNCTION("IF(REGEXMATCH($C129, ""r""), """",""r"")"),"r")</f>
        <v>r</v>
      </c>
      <c r="CQ129" s="246" t="str">
        <f>IFERROR(__xludf.DUMMYFUNCTION("IF(REGEXMATCH($C129, ""R""), """",""R"")"),"")</f>
        <v/>
      </c>
      <c r="CR129" s="246" t="str">
        <f>IFERROR(__xludf.DUMMYFUNCTION("IF(REGEXMATCH($C129, ""g""), """",""g"")"),"g")</f>
        <v>g</v>
      </c>
      <c r="CS129" s="246" t="str">
        <f>IFERROR(__xludf.DUMMYFUNCTION("IF(REGEXMATCH($C129, ""G""), """",""G"")"),"")</f>
        <v/>
      </c>
      <c r="CT129" s="246" t="str">
        <f>IFERROR(__xludf.DUMMYFUNCTION("IF(REGEXMATCH($C129, ""m""), """",""m"")"),"")</f>
        <v/>
      </c>
      <c r="CU129" s="246" t="str">
        <f>IFERROR(__xludf.DUMMYFUNCTION("IF(REGEXMATCH($C129, ""M""), """",""M"")"),"")</f>
        <v/>
      </c>
      <c r="CV129" s="246" t="str">
        <f>IFERROR(__xludf.DUMMYFUNCTION("IF(REGEXMATCH($C129, ""P""), """",""P"")"),"")</f>
        <v/>
      </c>
      <c r="CW129" s="246" t="str">
        <f>IFERROR(__xludf.DUMMYFUNCTION("IF(REGEXMATCH($C129, ""d""), """",""d"")"),"d")</f>
        <v>d</v>
      </c>
      <c r="CX129" s="246" t="str">
        <f>IFERROR(__xludf.DUMMYFUNCTION("IF(REGEXMATCH($C129, ""D""), """",""D"")"),"")</f>
        <v/>
      </c>
      <c r="CY129" s="246" t="str">
        <f>IFERROR(__xludf.DUMMYFUNCTION("IF(REGEXMATCH($C129, ""n""), """",""n"")"),"n")</f>
        <v>n</v>
      </c>
      <c r="CZ129" s="246" t="str">
        <f>IFERROR(__xludf.DUMMYFUNCTION("IF(REGEXMATCH($C129, ""N""), """",""N"")"),"")</f>
        <v/>
      </c>
      <c r="DA129" s="246" t="str">
        <f>IFERROR(__xludf.DUMMYFUNCTION("IF(REGEXMATCH($C129, ""S""), ""S"",""S"")"),"S")</f>
        <v>S</v>
      </c>
      <c r="DB129" s="362" t="str">
        <f>IFERROR(__xludf.DUMMYFUNCTION("JOIN("""",CO129:DA129,"""","""")"),"SrgdnS")</f>
        <v>SrgdnS</v>
      </c>
      <c r="DC129" s="363"/>
      <c r="DD129" s="301" t="str">
        <f t="shared" si="35"/>
        <v>#REF!</v>
      </c>
      <c r="DE129" s="302" t="str">
        <f t="shared" si="36"/>
        <v>#REF!</v>
      </c>
      <c r="DF129" s="301" t="str">
        <f t="shared" ref="DF129:DG129" si="462">SUBSTITUTE(S129,"-","")</f>
        <v>SRGM</v>
      </c>
      <c r="DG129" s="301" t="str">
        <f t="shared" si="462"/>
        <v>PDNS</v>
      </c>
      <c r="DH129" s="302" t="str">
        <f t="shared" si="38"/>
        <v>Bihag</v>
      </c>
      <c r="DI129" s="301" t="str">
        <f t="shared" si="39"/>
        <v>Hemi.</v>
      </c>
      <c r="DJ129" s="364" t="str">
        <f t="shared" si="40"/>
        <v>Co-Co.</v>
      </c>
      <c r="DK129" s="306" t="str">
        <f t="shared" si="41"/>
        <v>-</v>
      </c>
      <c r="DL129" s="366" t="str">
        <f t="shared" si="42"/>
        <v>-</v>
      </c>
      <c r="DM129" s="308" t="str">
        <f t="shared" si="43"/>
        <v>✔</v>
      </c>
      <c r="DN129" s="306" t="str">
        <f t="shared" si="44"/>
        <v>-</v>
      </c>
      <c r="DO129" s="306" t="str">
        <f t="shared" si="45"/>
        <v>-</v>
      </c>
      <c r="DP129" s="367" t="str">
        <f t="shared" si="46"/>
        <v>-</v>
      </c>
      <c r="DQ129" s="310" t="str">
        <f t="shared" si="47"/>
        <v>-</v>
      </c>
      <c r="DR129" s="310" t="str">
        <f t="shared" si="48"/>
        <v>-</v>
      </c>
      <c r="DS129" s="310" t="str">
        <f t="shared" si="49"/>
        <v>✔</v>
      </c>
      <c r="DT129" s="310" t="str">
        <f t="shared" si="50"/>
        <v>-</v>
      </c>
      <c r="DU129" s="370" t="str">
        <f t="shared" si="51"/>
        <v>-</v>
      </c>
      <c r="DV129" s="306" t="str">
        <f t="shared" si="52"/>
        <v>-</v>
      </c>
      <c r="DW129" s="306" t="str">
        <f t="shared" si="53"/>
        <v>-</v>
      </c>
      <c r="DX129" s="306" t="str">
        <f t="shared" si="54"/>
        <v>-</v>
      </c>
      <c r="DY129" s="306" t="str">
        <f t="shared" si="55"/>
        <v>-</v>
      </c>
      <c r="DZ129" s="306" t="str">
        <f t="shared" si="56"/>
        <v>-</v>
      </c>
      <c r="EA129" s="367" t="str">
        <f t="shared" si="57"/>
        <v>-</v>
      </c>
      <c r="EB129" s="310" t="str">
        <f>IFERROR(__xludf.DUMMYFUNCTION("IF(REGEXMATCH(AW129,AS129),""✔"",""-"")"),"✔")</f>
        <v>✔</v>
      </c>
      <c r="EC129" s="310" t="str">
        <f t="shared" si="58"/>
        <v>#REF!</v>
      </c>
      <c r="ED129" s="370" t="str">
        <f t="shared" si="59"/>
        <v>-</v>
      </c>
      <c r="EE129" s="340" t="str">
        <f t="shared" si="60"/>
        <v>S-R-G-mM-P-D-N-S</v>
      </c>
      <c r="EF129" s="371" t="str">
        <f>IFERROR(__xludf.DUMMYFUNCTION("CONCATENATE(JOIN("""",HC129:HO129))"),"SrgmMPdnS")</f>
        <v>SrgmMPdnS</v>
      </c>
      <c r="EG129" s="372">
        <f t="shared" si="61"/>
        <v>1</v>
      </c>
      <c r="EH129" s="373" t="str">
        <f>IFERROR(__xludf.DUMMYFUNCTION("CONCATENATE(JOIN("""",JC129:JO129))"),"Ma, ")</f>
        <v>Ma, </v>
      </c>
      <c r="EI129" s="322">
        <f t="shared" si="62"/>
        <v>0</v>
      </c>
      <c r="EJ129" s="374" t="str">
        <f>IFERROR(__xludf.DUMMYFUNCTION("CONCATENATE(JOIN("""",KC129:KO129))"),"")</f>
        <v/>
      </c>
      <c r="EK129" s="325" t="str">
        <f t="shared" si="63"/>
        <v>S-R2-G3-M1-M2-P-D2-N3-S</v>
      </c>
      <c r="EL129" s="326" t="str">
        <f t="shared" si="64"/>
        <v>1-2-3-4-#4-5-6-7-8</v>
      </c>
      <c r="EM129" s="318" t="str">
        <f t="shared" si="65"/>
        <v>#REF!</v>
      </c>
      <c r="EN129" s="328" t="str">
        <f>IFERROR(__xludf.DUMMYFUNCTION("SUBSTITUTE(SUBSTITUTE(SUBSTITUTE(SUBSTITUTE(CONCATENATE(JOIN("" "",HP129:IB129)),""  "","" ""),""  "","" ""),""  "","" ""),""  "","" "")"),"o • o • o o o o • o • o o")</f>
        <v>o • o • o o o o • o • o o</v>
      </c>
      <c r="EO129" s="368" t="str">
        <f t="shared" si="66"/>
        <v>-</v>
      </c>
      <c r="EP129" s="339" t="str">
        <f t="shared" si="67"/>
        <v>-</v>
      </c>
      <c r="EQ129" s="339" t="str">
        <f t="shared" si="68"/>
        <v>Sa-Pa</v>
      </c>
      <c r="ER129" s="339" t="str">
        <f t="shared" si="69"/>
        <v>-</v>
      </c>
      <c r="ES129" s="340" t="str">
        <f t="shared" si="70"/>
        <v>-</v>
      </c>
      <c r="ET129" s="363"/>
      <c r="EU129" s="376" t="b">
        <f>IFERROR(__xludf.DUMMYFUNCTION("arrayformula(sum(--REGEXMATCH(""SRGMPDNS"",split(REGEXREPLACE(C129,""(.)"",""$1~""),""~""))))=len(C129)
"),FALSE)</f>
        <v>0</v>
      </c>
      <c r="EV129" s="290" t="b">
        <f>IFERROR(__xludf.DUMMYFUNCTION("arrayformula(sum(--REGEXMATCH(""SRGmPDNS"",split(REGEXREPLACE(C129,""(.)"",""$1~""),""~""))))=len(C129)"),FALSE)</f>
        <v>0</v>
      </c>
      <c r="EW129" s="290" t="b">
        <f>IFERROR(__xludf.DUMMYFUNCTION("arrayformula(sum(--REGEXMATCH(""SRGmPDnS"",split(REGEXREPLACE(C129,""(.)"",""$1~""),""~""))))=len(C129)"),FALSE)</f>
        <v>0</v>
      </c>
      <c r="EX129" s="290" t="b">
        <f>IFERROR(__xludf.DUMMYFUNCTION("arrayformula(sum(--REGEXMATCH(""SRgmPDnS"",split(REGEXREPLACE(C129,""(.)"",""$1~""),""~""))))=len(C129)"),FALSE)</f>
        <v>0</v>
      </c>
      <c r="EY129" s="290" t="b">
        <f>IFERROR(__xludf.DUMMYFUNCTION("arrayformula(sum(--REGEXMATCH(""SRgmPdnS"",split(REGEXREPLACE(C129,""(.)"",""$1~""),""~""))))=len(C129)"),FALSE)</f>
        <v>0</v>
      </c>
      <c r="EZ129" s="290" t="b">
        <f>IFERROR(__xludf.DUMMYFUNCTION("arrayformula(sum(--REGEXMATCH(""SrgmPdnS"",split(REGEXREPLACE(C129,""(.)"",""$1~""),""~""))))=len(C129)"),FALSE)</f>
        <v>0</v>
      </c>
      <c r="FA129" s="290" t="b">
        <f>IFERROR(__xludf.DUMMYFUNCTION("arrayformula(sum(--REGEXMATCH(""SrGmPdNS"",split(REGEXREPLACE(C129,""(.)"",""$1~""),""~""))))=len(C129)"),FALSE)</f>
        <v>0</v>
      </c>
      <c r="FB129" s="290" t="b">
        <f>IFERROR(__xludf.DUMMYFUNCTION("arrayformula(sum(--REGEXMATCH(""SrGMPDNS"",split(REGEXREPLACE(C129,""(.)"",""$1~""),""~""))))=len(C129)"),FALSE)</f>
        <v>0</v>
      </c>
      <c r="FC129" s="290" t="b">
        <f>IFERROR(__xludf.DUMMYFUNCTION("arrayformula(sum(--REGEXMATCH(""SrGMPdNS"",split(REGEXREPLACE(C129,""(.)"",""$1~""),""~""))))=len(C129)"),FALSE)</f>
        <v>0</v>
      </c>
      <c r="FD129" s="377" t="b">
        <f>IFERROR(__xludf.DUMMYFUNCTION("arrayformula(sum(--REGEXMATCH(""SrgMPdNS"",split(REGEXREPLACE(C129,""(.)"",""$1~""),""~""))))=len(C129)"),FALSE)</f>
        <v>0</v>
      </c>
      <c r="FE129" s="269" t="str">
        <f t="shared" si="71"/>
        <v>-</v>
      </c>
      <c r="FF129" s="269" t="str">
        <f t="shared" si="72"/>
        <v>xoxxxxoxoxx</v>
      </c>
      <c r="FG129" s="271" t="str">
        <f t="shared" si="73"/>
        <v>-</v>
      </c>
      <c r="FH129" s="269" t="str">
        <f t="shared" si="74"/>
        <v>xxxxoxoxxox</v>
      </c>
      <c r="FI129" s="271" t="str">
        <f t="shared" si="75"/>
        <v>xxxoxoxxoxo</v>
      </c>
      <c r="FJ129" s="271" t="str">
        <f t="shared" si="76"/>
        <v>xxoxoxxoxox</v>
      </c>
      <c r="FK129" s="271" t="str">
        <f t="shared" si="77"/>
        <v>xoxoxxoxoxx</v>
      </c>
      <c r="FL129" s="271" t="str">
        <f t="shared" si="78"/>
        <v>-</v>
      </c>
      <c r="FM129" s="271" t="str">
        <f t="shared" si="79"/>
        <v>xoxxoxoxxxx</v>
      </c>
      <c r="FN129" s="271" t="str">
        <f t="shared" si="80"/>
        <v>-</v>
      </c>
      <c r="FO129" s="274" t="str">
        <f t="shared" si="81"/>
        <v>xxoxoxxxxox</v>
      </c>
      <c r="FP129" s="234" t="str">
        <f t="shared" si="82"/>
        <v>|</v>
      </c>
      <c r="FQ129" s="236" t="str">
        <f t="shared" si="83"/>
        <v>-</v>
      </c>
      <c r="FR129" s="237" t="str">
        <f t="shared" si="84"/>
        <v>|</v>
      </c>
      <c r="FS129" s="236" t="str">
        <f t="shared" si="85"/>
        <v>-</v>
      </c>
      <c r="FT129" s="237" t="str">
        <f t="shared" si="86"/>
        <v>|</v>
      </c>
      <c r="FU129" s="236" t="str">
        <f t="shared" si="87"/>
        <v>|</v>
      </c>
      <c r="FV129" s="237" t="str">
        <f t="shared" si="88"/>
        <v>|</v>
      </c>
      <c r="FW129" s="236" t="str">
        <f t="shared" si="89"/>
        <v>|</v>
      </c>
      <c r="FX129" s="237" t="str">
        <f t="shared" si="90"/>
        <v>-</v>
      </c>
      <c r="FY129" s="236" t="str">
        <f t="shared" si="91"/>
        <v>|</v>
      </c>
      <c r="FZ129" s="237" t="str">
        <f t="shared" si="92"/>
        <v>-</v>
      </c>
      <c r="GA129" s="236" t="str">
        <f t="shared" si="93"/>
        <v>|</v>
      </c>
      <c r="GB129" s="238" t="str">
        <f t="shared" si="94"/>
        <v>|</v>
      </c>
      <c r="GC129" s="244" t="str">
        <f>IFERROR(__xludf.DUMMYFUNCTION("IF(REGEXMATCH(C129, ""S""), ""1"","""")"),"1")</f>
        <v>1</v>
      </c>
      <c r="GD129" s="245" t="str">
        <f>IFERROR(__xludf.DUMMYFUNCTION("IF(REGEXMATCH(C129, ""r""), ""b2"","""")"),"")</f>
        <v/>
      </c>
      <c r="GE129" s="246" t="str">
        <f>IFERROR(__xludf.DUMMYFUNCTION("IF(REGEXMATCH(C129, ""R""), ""2"","""")"),"2")</f>
        <v>2</v>
      </c>
      <c r="GF129" s="246" t="str">
        <f>IFERROR(__xludf.DUMMYFUNCTION("IF(REGEXMATCH(C129, ""g""), ""b3"","""")"),"")</f>
        <v/>
      </c>
      <c r="GG129" s="245" t="str">
        <f>IFERROR(__xludf.DUMMYFUNCTION("IF(REGEXMATCH(C129, ""G""), ""3"","""")"),"3")</f>
        <v>3</v>
      </c>
      <c r="GH129" s="245" t="str">
        <f>IFERROR(__xludf.DUMMYFUNCTION("IF(REGEXMATCH(C129, ""m""), ""4"","""")"),"4")</f>
        <v>4</v>
      </c>
      <c r="GI129" s="246" t="str">
        <f>IFERROR(__xludf.DUMMYFUNCTION("IF(REGEXMATCH(C129, ""M""), ""#4"","""")"),"#4")</f>
        <v>#4</v>
      </c>
      <c r="GJ129" s="245" t="str">
        <f>IFERROR(__xludf.DUMMYFUNCTION("IF(REGEXMATCH(C129, ""P""), ""5"","""")"),"5")</f>
        <v>5</v>
      </c>
      <c r="GK129" s="246" t="str">
        <f>IFERROR(__xludf.DUMMYFUNCTION("IF(REGEXMATCH(C129, ""d""), ""b6"","""")"),"")</f>
        <v/>
      </c>
      <c r="GL129" s="245" t="str">
        <f>IFERROR(__xludf.DUMMYFUNCTION("IF(REGEXMATCH(C129, ""D""), ""6"","""")"),"6")</f>
        <v>6</v>
      </c>
      <c r="GM129" s="245" t="str">
        <f>IFERROR(__xludf.DUMMYFUNCTION("IF(REGEXMATCH(C129, ""n""), ""b7"","""")"),"")</f>
        <v/>
      </c>
      <c r="GN129" s="246" t="str">
        <f>IFERROR(__xludf.DUMMYFUNCTION("IF(REGEXMATCH(C129, ""N""), ""7"","""")"),"7")</f>
        <v>7</v>
      </c>
      <c r="GO129" s="249" t="str">
        <f>IFERROR(__xludf.DUMMYFUNCTION("IF(REGEXMATCH(C129, ""S""), ""8"","""")"),"8")</f>
        <v>8</v>
      </c>
      <c r="GP129" s="244" t="str">
        <f>IFERROR(__xludf.DUMMYFUNCTION("IF(REGEXMATCH(C129, ""S""), ""S"","""")"),"S")</f>
        <v>S</v>
      </c>
      <c r="GQ129" s="294" t="str">
        <f>IFERROR(__xludf.DUMMYFUNCTION("IF(REGEXMATCH(C129, ""r""), ""R1"","""")"),"")</f>
        <v/>
      </c>
      <c r="GR129" s="295" t="str">
        <f>IFERROR(__xludf.DUMMYFUNCTION("IF(REGEXMATCH(C129, ""R""), ""R2"","""")"),"R2")</f>
        <v>R2</v>
      </c>
      <c r="GS129" s="295" t="str">
        <f>IFERROR(__xludf.DUMMYFUNCTION("IF(REGEXMATCH(C129, ""g""), ""G2"","""")"),"")</f>
        <v/>
      </c>
      <c r="GT129" s="294" t="str">
        <f>IFERROR(__xludf.DUMMYFUNCTION("IF(REGEXMATCH(C129, ""G""), ""G3"","""")"),"G3")</f>
        <v>G3</v>
      </c>
      <c r="GU129" s="294" t="str">
        <f>IFERROR(__xludf.DUMMYFUNCTION("IF(REGEXMATCH(C129, ""m""), ""M1"","""")"),"M1")</f>
        <v>M1</v>
      </c>
      <c r="GV129" s="295" t="str">
        <f>IFERROR(__xludf.DUMMYFUNCTION("IF(REGEXMATCH(C129, ""M""), ""M2"","""")"),"M2")</f>
        <v>M2</v>
      </c>
      <c r="GW129" s="294" t="str">
        <f>IFERROR(__xludf.DUMMYFUNCTION("IF(REGEXMATCH(C129, ""P""), ""P"","""")"),"P")</f>
        <v>P</v>
      </c>
      <c r="GX129" s="295" t="str">
        <f>IFERROR(__xludf.DUMMYFUNCTION("IF(REGEXMATCH(C129, ""d""), ""D1"","""")"),"")</f>
        <v/>
      </c>
      <c r="GY129" s="294" t="str">
        <f>IFERROR(__xludf.DUMMYFUNCTION("IF(REGEXMATCH(C129, ""D""), ""D2"","""")"),"D2")</f>
        <v>D2</v>
      </c>
      <c r="GZ129" s="294" t="str">
        <f>IFERROR(__xludf.DUMMYFUNCTION("IF(REGEXMATCH(C129, ""n""), ""N2"","""")"),"")</f>
        <v/>
      </c>
      <c r="HA129" s="295" t="str">
        <f>IFERROR(__xludf.DUMMYFUNCTION("IF(REGEXMATCH(C129, ""N""), ""N3"","""")"),"N3")</f>
        <v>N3</v>
      </c>
      <c r="HB129" s="249" t="str">
        <f>IFERROR(__xludf.DUMMYFUNCTION("IF(REGEXMATCH(C129, ""S""), ""S"","""")"),"S")</f>
        <v>S</v>
      </c>
      <c r="HC129" s="331" t="str">
        <f t="shared" si="95"/>
        <v>S</v>
      </c>
      <c r="HD129" s="332" t="str">
        <f t="shared" si="96"/>
        <v>r</v>
      </c>
      <c r="HE129" s="332" t="str">
        <f t="shared" si="97"/>
        <v/>
      </c>
      <c r="HF129" s="332" t="str">
        <f t="shared" si="98"/>
        <v>g</v>
      </c>
      <c r="HG129" s="332" t="str">
        <f t="shared" si="99"/>
        <v/>
      </c>
      <c r="HH129" s="332" t="str">
        <f t="shared" si="100"/>
        <v>m</v>
      </c>
      <c r="HI129" s="332" t="str">
        <f t="shared" si="101"/>
        <v>M</v>
      </c>
      <c r="HJ129" s="332" t="str">
        <f t="shared" si="102"/>
        <v>P</v>
      </c>
      <c r="HK129" s="332" t="str">
        <f t="shared" si="103"/>
        <v>d</v>
      </c>
      <c r="HL129" s="332" t="str">
        <f t="shared" si="104"/>
        <v/>
      </c>
      <c r="HM129" s="332" t="str">
        <f t="shared" si="105"/>
        <v>n</v>
      </c>
      <c r="HN129" s="332" t="str">
        <f t="shared" si="106"/>
        <v/>
      </c>
      <c r="HO129" s="343" t="str">
        <f t="shared" si="107"/>
        <v>S</v>
      </c>
      <c r="HP129" s="331" t="str">
        <f t="shared" si="108"/>
        <v>o</v>
      </c>
      <c r="HQ129" s="332" t="str">
        <f t="shared" si="109"/>
        <v>•</v>
      </c>
      <c r="HR129" s="332" t="str">
        <f t="shared" si="110"/>
        <v>o</v>
      </c>
      <c r="HS129" s="332" t="str">
        <f t="shared" si="111"/>
        <v>•</v>
      </c>
      <c r="HT129" s="332" t="str">
        <f t="shared" si="112"/>
        <v>o</v>
      </c>
      <c r="HU129" s="332" t="str">
        <f t="shared" si="113"/>
        <v>o</v>
      </c>
      <c r="HV129" s="332" t="str">
        <f t="shared" si="114"/>
        <v>o</v>
      </c>
      <c r="HW129" s="332" t="str">
        <f t="shared" si="115"/>
        <v>o</v>
      </c>
      <c r="HX129" s="332" t="str">
        <f t="shared" si="116"/>
        <v>•</v>
      </c>
      <c r="HY129" s="332" t="str">
        <f t="shared" si="117"/>
        <v>o</v>
      </c>
      <c r="HZ129" s="332" t="str">
        <f t="shared" si="118"/>
        <v>•</v>
      </c>
      <c r="IA129" s="332" t="str">
        <f t="shared" si="119"/>
        <v>o</v>
      </c>
      <c r="IB129" s="338" t="str">
        <f t="shared" si="120"/>
        <v>o</v>
      </c>
      <c r="IC129" s="331" t="str">
        <f t="shared" si="121"/>
        <v>•</v>
      </c>
      <c r="ID129" s="332" t="str">
        <f t="shared" si="122"/>
        <v>o</v>
      </c>
      <c r="IE129" s="332" t="str">
        <f t="shared" si="123"/>
        <v>•</v>
      </c>
      <c r="IF129" s="332" t="str">
        <f t="shared" si="124"/>
        <v>o</v>
      </c>
      <c r="IG129" s="332" t="str">
        <f t="shared" si="125"/>
        <v>•</v>
      </c>
      <c r="IH129" s="332" t="str">
        <f t="shared" si="126"/>
        <v>•</v>
      </c>
      <c r="II129" s="332" t="str">
        <f t="shared" si="127"/>
        <v>•</v>
      </c>
      <c r="IJ129" s="332" t="str">
        <f t="shared" si="128"/>
        <v>•</v>
      </c>
      <c r="IK129" s="332" t="str">
        <f t="shared" si="129"/>
        <v>o</v>
      </c>
      <c r="IL129" s="332" t="str">
        <f t="shared" si="130"/>
        <v>•</v>
      </c>
      <c r="IM129" s="332" t="str">
        <f t="shared" si="131"/>
        <v>o</v>
      </c>
      <c r="IN129" s="332" t="str">
        <f t="shared" si="132"/>
        <v>•</v>
      </c>
      <c r="IO129" s="338" t="str">
        <f t="shared" si="133"/>
        <v>•</v>
      </c>
      <c r="IP129" s="346" t="b">
        <f t="shared" si="134"/>
        <v>0</v>
      </c>
      <c r="IQ129" s="347" t="b">
        <f t="shared" si="135"/>
        <v>0</v>
      </c>
      <c r="IR129" s="347" t="b">
        <f t="shared" si="136"/>
        <v>0</v>
      </c>
      <c r="IS129" s="347" t="b">
        <f t="shared" si="137"/>
        <v>0</v>
      </c>
      <c r="IT129" s="347" t="b">
        <f t="shared" si="138"/>
        <v>0</v>
      </c>
      <c r="IU129" s="347" t="b">
        <f t="shared" si="139"/>
        <v>0</v>
      </c>
      <c r="IV129" s="347" t="b">
        <f t="shared" si="140"/>
        <v>1</v>
      </c>
      <c r="IW129" s="347" t="b">
        <f t="shared" si="141"/>
        <v>0</v>
      </c>
      <c r="IX129" s="347" t="b">
        <f t="shared" si="142"/>
        <v>0</v>
      </c>
      <c r="IY129" s="347" t="b">
        <f t="shared" si="143"/>
        <v>0</v>
      </c>
      <c r="IZ129" s="347" t="b">
        <f t="shared" si="144"/>
        <v>0</v>
      </c>
      <c r="JA129" s="347" t="b">
        <f t="shared" si="145"/>
        <v>0</v>
      </c>
      <c r="JB129" s="353" t="b">
        <f t="shared" si="146"/>
        <v>0</v>
      </c>
      <c r="JC129" s="354" t="str">
        <f t="shared" si="147"/>
        <v/>
      </c>
      <c r="JD129" s="355" t="str">
        <f t="shared" si="148"/>
        <v/>
      </c>
      <c r="JE129" s="355" t="str">
        <f t="shared" si="149"/>
        <v/>
      </c>
      <c r="JF129" s="355" t="str">
        <f t="shared" si="150"/>
        <v/>
      </c>
      <c r="JG129" s="355" t="str">
        <f t="shared" si="151"/>
        <v/>
      </c>
      <c r="JH129" s="355" t="str">
        <f t="shared" si="152"/>
        <v/>
      </c>
      <c r="JI129" s="355" t="str">
        <f t="shared" si="153"/>
        <v>Ma, </v>
      </c>
      <c r="JJ129" s="355" t="str">
        <f t="shared" si="154"/>
        <v/>
      </c>
      <c r="JK129" s="355" t="str">
        <f t="shared" si="155"/>
        <v/>
      </c>
      <c r="JL129" s="355" t="str">
        <f t="shared" si="156"/>
        <v/>
      </c>
      <c r="JM129" s="355" t="str">
        <f t="shared" si="157"/>
        <v/>
      </c>
      <c r="JN129" s="355" t="str">
        <f t="shared" si="158"/>
        <v/>
      </c>
      <c r="JO129" s="359" t="str">
        <f t="shared" si="159"/>
        <v/>
      </c>
      <c r="JP129" s="346" t="b">
        <f t="shared" si="160"/>
        <v>0</v>
      </c>
      <c r="JQ129" s="347" t="b">
        <f t="shared" si="161"/>
        <v>0</v>
      </c>
      <c r="JR129" s="347" t="b">
        <f t="shared" si="162"/>
        <v>0</v>
      </c>
      <c r="JS129" s="347" t="b">
        <f t="shared" si="163"/>
        <v>0</v>
      </c>
      <c r="JT129" s="347" t="b">
        <f t="shared" si="164"/>
        <v>0</v>
      </c>
      <c r="JU129" s="347" t="b">
        <f t="shared" si="165"/>
        <v>0</v>
      </c>
      <c r="JV129" s="347" t="b">
        <f t="shared" si="166"/>
        <v>0</v>
      </c>
      <c r="JW129" s="347" t="b">
        <f t="shared" si="167"/>
        <v>0</v>
      </c>
      <c r="JX129" s="347" t="b">
        <f t="shared" si="168"/>
        <v>0</v>
      </c>
      <c r="JY129" s="347" t="b">
        <f t="shared" si="169"/>
        <v>0</v>
      </c>
      <c r="JZ129" s="347" t="b">
        <f t="shared" si="170"/>
        <v>0</v>
      </c>
      <c r="KA129" s="347" t="b">
        <f t="shared" si="171"/>
        <v>0</v>
      </c>
      <c r="KB129" s="365" t="b">
        <f t="shared" si="172"/>
        <v>0</v>
      </c>
      <c r="KC129" s="354" t="str">
        <f t="shared" si="173"/>
        <v/>
      </c>
      <c r="KD129" s="355" t="str">
        <f t="shared" si="174"/>
        <v/>
      </c>
      <c r="KE129" s="355" t="str">
        <f t="shared" si="175"/>
        <v/>
      </c>
      <c r="KF129" s="355" t="str">
        <f t="shared" si="176"/>
        <v/>
      </c>
      <c r="KG129" s="355" t="str">
        <f t="shared" si="177"/>
        <v/>
      </c>
      <c r="KH129" s="355" t="str">
        <f t="shared" si="178"/>
        <v/>
      </c>
      <c r="KI129" s="355" t="str">
        <f t="shared" si="179"/>
        <v/>
      </c>
      <c r="KJ129" s="355" t="str">
        <f t="shared" si="180"/>
        <v/>
      </c>
      <c r="KK129" s="355" t="str">
        <f t="shared" si="181"/>
        <v/>
      </c>
      <c r="KL129" s="355" t="str">
        <f t="shared" si="182"/>
        <v/>
      </c>
      <c r="KM129" s="355" t="str">
        <f t="shared" si="183"/>
        <v/>
      </c>
      <c r="KN129" s="355" t="str">
        <f t="shared" si="184"/>
        <v/>
      </c>
      <c r="KO129" s="359"/>
      <c r="KP129" s="378"/>
      <c r="KQ129" s="379" t="s">
        <v>1398</v>
      </c>
      <c r="KR129" s="380" t="s">
        <v>1353</v>
      </c>
      <c r="KS129" s="381" t="str">
        <f t="shared" si="463"/>
        <v>S-G-m-P-D-N-S</v>
      </c>
      <c r="KT129" s="382">
        <f t="shared" si="186"/>
        <v>6</v>
      </c>
      <c r="KU129" s="383">
        <f t="shared" si="187"/>
        <v>6</v>
      </c>
      <c r="KV129" s="381" t="str">
        <f t="shared" si="205"/>
        <v>S-N-D-P-Mm-G-R-S</v>
      </c>
      <c r="KW129" s="382">
        <f t="shared" si="189"/>
        <v>7</v>
      </c>
      <c r="KX129" s="384">
        <f t="shared" si="190"/>
        <v>8</v>
      </c>
      <c r="KY129" s="382">
        <f t="shared" ref="KY129:KZ129" si="464">KW129-KT129</f>
        <v>1</v>
      </c>
      <c r="KZ129" s="369">
        <f t="shared" si="464"/>
        <v>2</v>
      </c>
      <c r="LA129" s="385" t="str">
        <f t="shared" si="192"/>
        <v>-</v>
      </c>
      <c r="LB129" s="340" t="str">
        <f>IFERROR(__xludf.DUMMYFUNCTION("JOIN("""",ArrayFormula(MID(KS129,LEN(KS129)-SEQUENCE(1,LEN(KS129))+1,1)))"),"S-N-D-P-m-G-S")</f>
        <v>S-N-D-P-m-G-S</v>
      </c>
      <c r="LC129" s="373" t="str">
        <f>IFERROR(__xludf.DUMMYFUNCTION("JOIN("""",ArrayFormula(MID(KV129,LEN(KV129)-SEQUENCE(1,LEN(KV129))+1,1)))"),"S-R-G-mM-P-D-N-S")</f>
        <v>S-R-G-mM-P-D-N-S</v>
      </c>
      <c r="LD129" s="373" t="str">
        <f t="shared" si="193"/>
        <v>SGmPDNS</v>
      </c>
      <c r="LE129" s="339" t="str">
        <f t="shared" si="194"/>
        <v>SRGmMPDNS</v>
      </c>
      <c r="LF129" s="386" t="str">
        <f>IFERROR(__xludf.DUMMYFUNCTION("SUBSTITUTE(SUBSTITUTE(CONCATENATE(JOIN("""",LH129:LT129)),""1"",""""),""2"","""")"),"SRGmMPDNS")</f>
        <v>SRGmMPDNS</v>
      </c>
      <c r="LG129" s="369" t="str">
        <f t="shared" si="195"/>
        <v>✔</v>
      </c>
      <c r="LH129" s="387" t="str">
        <f>IFERROR(__xludf.DUMMYFUNCTION("IF(REGEXMATCH(LD129, ""S""), ""S"",IF(REGEXMATCH(LE129, ""S""), ""S"",""""))"),"S")</f>
        <v>S</v>
      </c>
      <c r="LI129" s="299" t="str">
        <f>IFERROR(__xludf.DUMMYFUNCTION("IF(REGEXMATCH(LD129, ""r""), ""r1"",IF(REGEXMATCH(LE129, ""r""), ""r2"",""""))"),"")</f>
        <v/>
      </c>
      <c r="LJ129" s="299" t="str">
        <f>IFERROR(__xludf.DUMMYFUNCTION("IF(REGEXMATCH(LD129, ""R""), ""R1"",IF(REGEXMATCH(LE129, ""R""), ""R2"",""""))"),"R2")</f>
        <v>R2</v>
      </c>
      <c r="LK129" s="299" t="str">
        <f>IFERROR(__xludf.DUMMYFUNCTION("IF(REGEXMATCH(LD129, ""g""), ""g1"",IF(REGEXMATCH(LE129, ""g""), ""g2"",""""))"),"")</f>
        <v/>
      </c>
      <c r="LL129" s="299" t="str">
        <f>IFERROR(__xludf.DUMMYFUNCTION("IF(REGEXMATCH(LD129, ""G""), ""G1"",IF(REGEXMATCH(LE129, ""G""), ""G2"",""""))"),"G1")</f>
        <v>G1</v>
      </c>
      <c r="LM129" s="299" t="str">
        <f>IFERROR(__xludf.DUMMYFUNCTION("IF(REGEXMATCH(LD129, ""m""), ""m1"",IF(REGEXMATCH(LE129, ""m""), ""m2"",""""))"),"m1")</f>
        <v>m1</v>
      </c>
      <c r="LN129" s="299" t="str">
        <f>IFERROR(__xludf.DUMMYFUNCTION("IF(REGEXMATCH(LD129, ""M""), ""M1"",IF(REGEXMATCH(LE129, ""M""), ""M2"",""""))"),"M2")</f>
        <v>M2</v>
      </c>
      <c r="LO129" s="299" t="str">
        <f>IFERROR(__xludf.DUMMYFUNCTION("IF(REGEXMATCH(LD129, ""P""), ""P1"",IF(REGEXMATCH(LE129, ""P""), ""P2"",""""))"),"P1")</f>
        <v>P1</v>
      </c>
      <c r="LP129" s="299" t="str">
        <f>IFERROR(__xludf.DUMMYFUNCTION("IF(REGEXMATCH(LD129, ""d""), ""d1"",IF(REGEXMATCH(LE129, ""d""), ""d2"",""""))"),"")</f>
        <v/>
      </c>
      <c r="LQ129" s="299" t="str">
        <f>IFERROR(__xludf.DUMMYFUNCTION("IF(REGEXMATCH(LD129, ""D""), ""D1"",IF(REGEXMATCH(LE129, ""D""), ""D2"",""""))"),"D1")</f>
        <v>D1</v>
      </c>
      <c r="LR129" s="299" t="str">
        <f>IFERROR(__xludf.DUMMYFUNCTION("IF(REGEXMATCH(LD129, ""n""), ""n1"",IF(REGEXMATCH(LE129, ""n""), ""n2"",""""))"),"")</f>
        <v/>
      </c>
      <c r="LS129" s="299" t="str">
        <f>IFERROR(__xludf.DUMMYFUNCTION("IF(REGEXMATCH(LD129, ""N""), ""N1"",IF(REGEXMATCH(LE129, ""N""), ""N2"",""""))"),"N1")</f>
        <v>N1</v>
      </c>
      <c r="LT129" s="388" t="str">
        <f>IFERROR(__xludf.DUMMYFUNCTION("IF(REGEXMATCH(LD129, ""S""), ""S"",IF(REGEXMATCH(LE129, ""S""), ""S"",""""))"),"S")</f>
        <v>S</v>
      </c>
      <c r="LU129" s="389">
        <f t="shared" si="196"/>
        <v>-2</v>
      </c>
      <c r="LV129" s="378"/>
      <c r="LW129" s="369"/>
      <c r="LX129" s="369"/>
    </row>
    <row r="130" ht="18.0" customHeight="1">
      <c r="A130" s="298" t="s">
        <v>773</v>
      </c>
      <c r="B130" s="222" t="s">
        <v>774</v>
      </c>
      <c r="C130" s="233" t="str">
        <f t="shared" si="7"/>
        <v>SrGMPNS</v>
      </c>
      <c r="D130" s="234" t="str">
        <f>IFERROR(__xludf.DUMMYFUNCTION("IF(REGEXMATCH(C130, ""S""), ""S"","""")"),"S")</f>
        <v>S</v>
      </c>
      <c r="E130" s="236" t="str">
        <f>IFERROR(__xludf.DUMMYFUNCTION("IF(REGEXMATCH(C130, ""r""), ""r"","""")"),"r")</f>
        <v>r</v>
      </c>
      <c r="F130" s="237" t="str">
        <f>IFERROR(__xludf.DUMMYFUNCTION("IF(REGEXMATCH(C130, ""R""), ""R"","""")"),"")</f>
        <v/>
      </c>
      <c r="G130" s="237" t="str">
        <f>IFERROR(__xludf.DUMMYFUNCTION("IF(REGEXMATCH(C130, ""g""), ""g"","""")"),"")</f>
        <v/>
      </c>
      <c r="H130" s="236" t="str">
        <f>IFERROR(__xludf.DUMMYFUNCTION("IF(REGEXMATCH(C130, ""G""), ""G"","""")"),"G")</f>
        <v>G</v>
      </c>
      <c r="I130" s="236" t="str">
        <f>IFERROR(__xludf.DUMMYFUNCTION("IF(REGEXMATCH(C130, ""m""), ""m"","""")"),"")</f>
        <v/>
      </c>
      <c r="J130" s="237" t="str">
        <f>IFERROR(__xludf.DUMMYFUNCTION("IF(REGEXMATCH(C130, ""M""), ""M"","""")"),"M")</f>
        <v>M</v>
      </c>
      <c r="K130" s="236" t="str">
        <f>IFERROR(__xludf.DUMMYFUNCTION("IF(REGEXMATCH(C130, ""P""), ""P"","""")"),"P")</f>
        <v>P</v>
      </c>
      <c r="L130" s="237" t="str">
        <f>IFERROR(__xludf.DUMMYFUNCTION("IF(REGEXMATCH(C130, ""d""), ""d"","""")"),"")</f>
        <v/>
      </c>
      <c r="M130" s="236" t="str">
        <f>IFERROR(__xludf.DUMMYFUNCTION("IF(REGEXMATCH(C130, ""D""), ""D"","""")"),"")</f>
        <v/>
      </c>
      <c r="N130" s="236" t="str">
        <f>IFERROR(__xludf.DUMMYFUNCTION("IF(REGEXMATCH(C130, ""n""), ""n"","""")"),"")</f>
        <v/>
      </c>
      <c r="O130" s="237" t="str">
        <f>IFERROR(__xludf.DUMMYFUNCTION("IF(REGEXMATCH(C130, ""N""), ""N"","""")"),"N")</f>
        <v>N</v>
      </c>
      <c r="P130" s="238" t="str">
        <f>IFERROR(__xludf.DUMMYFUNCTION("IF(REGEXMATCH(C130, ""S""), ""S"","""")"),"S")</f>
        <v>S</v>
      </c>
      <c r="Q130" s="239" t="str">
        <f>IFERROR(__xludf.DUMMYFUNCTION("SUBSTITUTE(CONCATENATE(JOIN(""-"",D130:J130)),""-"","""")"),"SrGM")</f>
        <v>SrGM</v>
      </c>
      <c r="R130" s="229" t="str">
        <f>IFERROR(__xludf.DUMMYFUNCTION("SUBSTITUTE(CONCATENATE(JOIN(""-"",K130:P130)),""-"","""")"),"PNS")</f>
        <v>PNS</v>
      </c>
      <c r="S130" s="282" t="str">
        <f t="shared" si="8"/>
        <v>S-R-G-M</v>
      </c>
      <c r="T130" s="282" t="str">
        <f t="shared" si="9"/>
        <v>P-N-S</v>
      </c>
      <c r="U130" s="237" t="str">
        <f>IFERROR(__xludf.DUMMYFUNCTION("SUBSTITUTE(JOIN(""-"",S130,T130),""--"",""-"")"),"S-R-G-M-P-N-S")</f>
        <v>S-R-G-M-P-N-S</v>
      </c>
      <c r="V130" s="309" t="str">
        <f t="shared" si="10"/>
        <v>rGMN</v>
      </c>
      <c r="W130" s="244" t="str">
        <f>IFERROR(__xludf.DUMMYFUNCTION("IF(REGEXMATCH(C130, ""S""), ""0"","""")"),"0")</f>
        <v>0</v>
      </c>
      <c r="X130" s="245" t="str">
        <f>IFERROR(__xludf.DUMMYFUNCTION("IF(REGEXMATCH(C130, ""r""), ""1"","""")"),"1")</f>
        <v>1</v>
      </c>
      <c r="Y130" s="246" t="str">
        <f>IFERROR(__xludf.DUMMYFUNCTION("IF(REGEXMATCH(C130, ""R""), ""2"","""")"),"")</f>
        <v/>
      </c>
      <c r="Z130" s="246" t="str">
        <f>IFERROR(__xludf.DUMMYFUNCTION("IF(REGEXMATCH(C130, ""g""), ""3"","""")"),"")</f>
        <v/>
      </c>
      <c r="AA130" s="245" t="str">
        <f>IFERROR(__xludf.DUMMYFUNCTION("IF(REGEXMATCH(C130, ""G""), ""4"","""")"),"4")</f>
        <v>4</v>
      </c>
      <c r="AB130" s="245" t="str">
        <f>IFERROR(__xludf.DUMMYFUNCTION("IF(REGEXMATCH(C130, ""m""), ""5"","""")"),"")</f>
        <v/>
      </c>
      <c r="AC130" s="246" t="str">
        <f>IFERROR(__xludf.DUMMYFUNCTION("IF(REGEXMATCH(C130, ""M""), ""6"","""")"),"6")</f>
        <v>6</v>
      </c>
      <c r="AD130" s="245" t="str">
        <f>IFERROR(__xludf.DUMMYFUNCTION("IF(REGEXMATCH(C130, ""P""), ""7"","""")"),"7")</f>
        <v>7</v>
      </c>
      <c r="AE130" s="246" t="str">
        <f>IFERROR(__xludf.DUMMYFUNCTION("IF(REGEXMATCH(C130, ""d""), ""8"","""")"),"")</f>
        <v/>
      </c>
      <c r="AF130" s="245" t="str">
        <f>IFERROR(__xludf.DUMMYFUNCTION("IF(REGEXMATCH(C130, ""D""), ""9"","""")"),"")</f>
        <v/>
      </c>
      <c r="AG130" s="245" t="str">
        <f>IFERROR(__xludf.DUMMYFUNCTION("IF(REGEXMATCH(C130, ""n""), ""10"","""")"),"")</f>
        <v/>
      </c>
      <c r="AH130" s="246" t="str">
        <f>IFERROR(__xludf.DUMMYFUNCTION("IF(REGEXMATCH(C130, ""N""), ""11"","""")"),"11")</f>
        <v>11</v>
      </c>
      <c r="AI130" s="249" t="str">
        <f>IFERROR(__xludf.DUMMYFUNCTION("IF(REGEXMATCH(C130, ""S""), ""0"","""")"),"0")</f>
        <v>0</v>
      </c>
      <c r="AJ130" s="313" t="str">
        <f t="shared" si="11"/>
        <v>T</v>
      </c>
      <c r="AK130" s="313" t="str">
        <f t="shared" si="12"/>
        <v>T</v>
      </c>
      <c r="AL130" s="313" t="str">
        <f t="shared" si="13"/>
        <v>-</v>
      </c>
      <c r="AM130" s="313" t="str">
        <f t="shared" si="14"/>
        <v>-</v>
      </c>
      <c r="AN130" s="313" t="str">
        <f t="shared" si="15"/>
        <v>-</v>
      </c>
      <c r="AO130" s="314" t="str">
        <f t="shared" si="16"/>
        <v>-</v>
      </c>
      <c r="AP130" s="316">
        <f t="shared" si="17"/>
        <v>2</v>
      </c>
      <c r="AQ130" s="319" t="str">
        <f t="shared" si="18"/>
        <v>-</v>
      </c>
      <c r="AR130" s="320">
        <f t="shared" si="19"/>
        <v>0</v>
      </c>
      <c r="AS130" s="250" t="str">
        <f>IFERROR(__xludf.DUMMYFUNCTION("SUBSTITUTE(SUBSTITUTE(CONCATENATE(JOIN("""",FP130:GA130)),""|"",""x""),""-"",""o"")"),"xxooxoxxooox")</f>
        <v>xxooxoxxooox</v>
      </c>
      <c r="AT130" s="323" t="str">
        <f>IFERROR(__xludf.DUMMYFUNCTION("JOIN("""",AS130,AS130)"),"xxooxoxxoooxxxooxoxxooox")</f>
        <v>xxooxoxxoooxxxooxoxxooox</v>
      </c>
      <c r="AU130" s="256" t="str">
        <f>IFERROR(__xludf.DUMMYFUNCTION("JOIN("""",ArrayFormula(MID(AS130,LEN(AS130)-SEQUENCE(1,LEN(AS130))+1,1)))"),"xoooxxoxooxx")</f>
        <v>xoooxxoxooxx</v>
      </c>
      <c r="AV130" s="256" t="str">
        <f>IFERROR(__xludf.DUMMYFUNCTION("LEFT(CONCATENATE(""x"",JOIN("""",ArrayFormula(MID(AS130,LEN(AS130)-SEQUENCE(1,LEN(AS130))+1,1)))),12)"),"xxoooxxoxoox")</f>
        <v>xxoooxxoxoox</v>
      </c>
      <c r="AW130" s="327" t="str">
        <f>IFERROR(__xludf.DUMMYFUNCTION("JOIN("""",AU130,AU130)"),"xoooxxoxooxxxoooxxoxooxx")</f>
        <v>xoooxxoxooxxxoooxxoxooxx</v>
      </c>
      <c r="AX130" s="239" t="str">
        <f>IFERROR(__xludf.DUMMYFUNCTION("IF(REGEXMATCH(AW130,AS130),""✔"",""-"")"),"-")</f>
        <v>-</v>
      </c>
      <c r="AY130" s="330" t="str">
        <f t="shared" si="20"/>
        <v>-</v>
      </c>
      <c r="AZ130" s="260" t="str">
        <f t="shared" si="21"/>
        <v>#REF!</v>
      </c>
      <c r="BA130" s="333" t="str">
        <f t="shared" si="22"/>
        <v>xxooxox</v>
      </c>
      <c r="BB130" s="334" t="str">
        <f t="shared" si="23"/>
        <v>xoooxx</v>
      </c>
      <c r="BC130" s="335" t="str">
        <f t="shared" si="236"/>
        <v>-</v>
      </c>
      <c r="BD130" s="336" t="str">
        <f t="shared" si="25"/>
        <v>Hansa Narayani: 'xxooxox' + 'xoooxx'</v>
      </c>
      <c r="BE130" s="337">
        <f>IFERROR(__xludf.DUMMYFUNCTION("COUNTUNIQUE(FILTER(AT:AT,REGEXMATCH(AT:AT,AS130)))-1"),0.0)</f>
        <v>0</v>
      </c>
      <c r="BF130" s="261" t="str">
        <f>IFERROR(__xludf.DUMMYFUNCTION("IF(BI130=0,""(n/a)"",IF(BJ130=2,""(PAIR)"",IF(REGEXMATCH(AT130,""xoxoxxoxoxox""),""Bilawal"",IF(REGEXMATCH(AT130,""xoxoxooxoxoo""),""Bhupali"",IF(REGEXMATCH(AT130,""xoxoxxoxxoxo""),""Charukeshi"",IF(REGEXMATCH(AT130,""xoxoooxxoxxo""),""Kameshwari"",IF(REG"&amp;"EXMATCH(AT130,""xoxoxooxoxox""),""Shankara"",IF(REGEXMATCH(AT130,""xxooxoxxxoox""),""Basant"",IF(REGEXMATCH(AT130,""xoxoxxxxoxox""),""Bihag"",IF(REGEXMATCH(AT130,""xoxxxxoxoxxx""),""Pilu"",IF(REGEXMATCH(AT130,""xoxxoxoxxoox""),""Kirwani"",IF(REGEXMATCH(AT"&amp;"130,""xoxxoxoxoxxx""),""Mk.Malhar"",IF(REGEXMATCH(AT130,""xxooxxoxxoox""),""Bhairav"",IF(REGEXMATCH(AT130,""xxoxooxxxoox""),""Todi"",IF(REGEXMATCH(AT130,""xxooxoxooxox""),""Marwa"",IF(REGEXMATCH(AT130,""xxoooxoxxooo""),""Gunkali"",IF(REGEXMATCH(AT130,""xo"&amp;"xoxxoxxoox""),""Nat Bhairav"",IF(REGEXMATCH(AT130,""xoxxoooxoxoo""),""Shivranjani"",IF(REGEXMATCH(AT130,""xooxxxoxooxo""),""Jog"",IF(REGEXMATCH(AT130,""xxooxoxoxoox""),""Hemshri"",IF(REGEXMATCH(AT130,""xoooxooxoxxo""),""Kalavati"",IF(REGEXMATCH(AT130,""xx"&amp;"oxoxxoxoox""),""Kedar"",IF(REGEXMATCH(AT130,""xoxxxxoxooxx""),""Gara"",IF(REGEXMATCH(AT130,""xooxoxooxoox""),""Chandrakauns"",IF(REGEXMATCH(AT130,""xoxxxxoxxxox""),""Mand"",IF(REGEXMATCH(AT130,""xoxxxxoxoxox""),""Hanskinkini"",IF(REGEXMATCH(AT130,""xxooxx"&amp;"oxooxo""),""Lilavati"",IF(REGEXMATCH(AT130,""xooxoxoooxox""),""Rajeshwari"",IF(REGEXMATCH(AT130,""xoooxxoxoxxx""),""Khokar"",IF(REGEXMATCH(AT130,""xxooxoxxxxox""),""Maligoura"",""-""))))))))))))))))))))))))))))))"),"(n/a)")</f>
        <v>(n/a)</v>
      </c>
      <c r="BG130" s="239" t="str">
        <f t="shared" si="26"/>
        <v>#REF!</v>
      </c>
      <c r="BH130" s="239">
        <f>IFERROR(__xludf.DUMMYFUNCTION("COUNTUNIQUE(FE130:FO130)-1"),5.0)</f>
        <v>5</v>
      </c>
      <c r="BI130" s="239">
        <f>IFERROR(__xludf.DUMMYFUNCTION("COUNTUNIQUE(FILTER(AT:AT,REGEXMATCH(AT:AT,AS130)))-1"),0.0)</f>
        <v>0</v>
      </c>
      <c r="BJ130" s="239">
        <f>IFERROR(__xludf.DUMMYFUNCTION("COUNTA(FILTER(AT:AT,REGEXMATCH(AT:AT,AS130)))"),1.0)</f>
        <v>1</v>
      </c>
      <c r="BK130" s="341">
        <f>IFERROR(__xludf.DUMMYFUNCTION("COUNTA(FILTER(AT:AT,REGEXMATCH(AT:AT,AS130)))-AR130"),1.0)</f>
        <v>1</v>
      </c>
      <c r="BL130" s="276" t="str">
        <f>IFERROR(__xludf.DUMMYFUNCTION("IF(AS130=""oooooooooooo"",""-"",IF(REGEXMATCH(AT130,""xx""), ""Hemi."", ""Anhemi.""))"),"Hemi.")</f>
        <v>Hemi.</v>
      </c>
      <c r="BM130" s="282" t="str">
        <f>IFERROR(__xludf.DUMMYFUNCTION("IF(AS130=""oooooooooooo"",""-"",IF(REGEXMATCH(AT130,""xxx""), ""Cohem."", ""-""))"),"Cohem.")</f>
        <v>Cohem.</v>
      </c>
      <c r="BN130" s="282" t="str">
        <f>IFERROR(__xludf.DUMMYFUNCTION("IF(AS130=""oooooooooooo"",""-"",IF(REGEXMATCH(AT130,""xxxx""), ""Co-Co."", ""-""))"),"-")</f>
        <v>-</v>
      </c>
      <c r="BO130" s="342" t="str">
        <f>IFERROR(__xludf.DUMMYFUNCTION("IF(AS130=""oooooooooooo"",""-"",IF(REGEXMATCH(AT130,""xxxxx""), ""CCC."", ""-""))"),"-")</f>
        <v>-</v>
      </c>
      <c r="BP130" s="344" t="str">
        <f t="shared" si="27"/>
        <v>-</v>
      </c>
      <c r="BQ130" s="282" t="str">
        <f>IFERROR(__xludf.DUMMYFUNCTION("IF(REGEXMATCH(JOIN(""-"",EU130:FD130),""TRUE""),""✔"",""-"")"),"✔")</f>
        <v>✔</v>
      </c>
      <c r="BR130" s="225">
        <f t="shared" si="28"/>
        <v>2</v>
      </c>
      <c r="BS130" s="345" t="str">
        <f>IFERROR(__xludf.DUMMYFUNCTION("SUBSTITUTE(SUBSTITUTE(SUBSTITUTE(SUBSTITUTE(CONCATENATE(JOIN(""-"",GC130:GO130)),""--"",""-""),""--"",""-""),""--"",""-""),""--"",""-"")"),"1-b2-3-#4-5-7-8")</f>
        <v>1-b2-3-#4-5-7-8</v>
      </c>
      <c r="BT130" s="299" t="str">
        <f>IFERROR(__xludf.DUMMYFUNCTION("SUBSTITUTE(SUBSTITUTE(SUBSTITUTE(SUBSTITUTE(CONCATENATE(JOIN(""-"",GP130:HB130)),""--"",""-""),""--"",""-""),""--"",""-""),""--"",""-"")"),"S-R1-G3-M2-P-N3-S")</f>
        <v>S-R1-G3-M2-P-N3-S</v>
      </c>
      <c r="BU130" s="348" t="str">
        <f t="shared" si="29"/>
        <v>C-Db-E-F#-G-B-C</v>
      </c>
      <c r="BV130" s="349" t="str">
        <f t="shared" si="30"/>
        <v>SRgmdDnS</v>
      </c>
      <c r="BW130" s="350">
        <f t="shared" si="31"/>
        <v>0</v>
      </c>
      <c r="BX130" s="351">
        <f t="shared" si="32"/>
        <v>1</v>
      </c>
      <c r="BY130" s="392"/>
      <c r="BZ130" s="309" t="str">
        <f>IFERROR(__xludf.DUMMYFUNCTION("IF(REGEXMATCH(C130, ""S""), ""x"",""x"")"),"x")</f>
        <v>x</v>
      </c>
      <c r="CA130" s="245" t="str">
        <f>IFERROR(__xludf.DUMMYFUNCTION("IF(REGEXMATCH(C130, ""r""), ""o"",""x"")"),"o")</f>
        <v>o</v>
      </c>
      <c r="CB130" s="246" t="str">
        <f>IFERROR(__xludf.DUMMYFUNCTION("IF(REGEXMATCH(C130, ""R""), ""o"",""x"")"),"x")</f>
        <v>x</v>
      </c>
      <c r="CC130" s="246" t="str">
        <f>IFERROR(__xludf.DUMMYFUNCTION("IF(REGEXMATCH(C130, ""g""), ""o"",""x"")"),"x")</f>
        <v>x</v>
      </c>
      <c r="CD130" s="245" t="str">
        <f>IFERROR(__xludf.DUMMYFUNCTION("IF(REGEXMATCH(C130, ""G""), ""o"",""x"")"),"o")</f>
        <v>o</v>
      </c>
      <c r="CE130" s="245" t="str">
        <f>IFERROR(__xludf.DUMMYFUNCTION("IF(REGEXMATCH(C130, ""m""), ""o"",""x"")"),"x")</f>
        <v>x</v>
      </c>
      <c r="CF130" s="246" t="str">
        <f>IFERROR(__xludf.DUMMYFUNCTION("IF(REGEXMATCH(C130, ""M""), ""o"",""x"")"),"o")</f>
        <v>o</v>
      </c>
      <c r="CG130" s="245" t="str">
        <f>IFERROR(__xludf.DUMMYFUNCTION("IF(REGEXMATCH(C130, ""P""), ""o"",""x"")"),"o")</f>
        <v>o</v>
      </c>
      <c r="CH130" s="246" t="str">
        <f>IFERROR(__xludf.DUMMYFUNCTION("IF(REGEXMATCH(C130, ""d""), ""o"",""x"")"),"x")</f>
        <v>x</v>
      </c>
      <c r="CI130" s="245" t="str">
        <f>IFERROR(__xludf.DUMMYFUNCTION("IF(REGEXMATCH(C130, ""D""), ""o"",""x"")"),"x")</f>
        <v>x</v>
      </c>
      <c r="CJ130" s="245" t="str">
        <f>IFERROR(__xludf.DUMMYFUNCTION("IF(REGEXMATCH(C130, ""n""), ""o"",""x"")"),"x")</f>
        <v>x</v>
      </c>
      <c r="CK130" s="245" t="str">
        <f>IFERROR(__xludf.DUMMYFUNCTION("IF(REGEXMATCH(C130, ""N""), ""o"",""x"")"),"o")</f>
        <v>o</v>
      </c>
      <c r="CL130" s="356" t="str">
        <f>IFERROR(__xludf.DUMMYFUNCTION("IF(REGEXMATCH(C130, ""S""), ""x"",""x"")"),"x")</f>
        <v>x</v>
      </c>
      <c r="CM130" s="357" t="str">
        <f t="shared" si="33"/>
        <v>xoxxoxooxxxo</v>
      </c>
      <c r="CN130" s="358">
        <f t="shared" si="34"/>
        <v>0</v>
      </c>
      <c r="CO130" s="246" t="str">
        <f>IFERROR(__xludf.DUMMYFUNCTION("IF(REGEXMATCH($C130, ""S""), ""S"",""S"")"),"S")</f>
        <v>S</v>
      </c>
      <c r="CP130" s="246" t="str">
        <f>IFERROR(__xludf.DUMMYFUNCTION("IF(REGEXMATCH($C130, ""r""), """",""r"")"),"")</f>
        <v/>
      </c>
      <c r="CQ130" s="246" t="str">
        <f>IFERROR(__xludf.DUMMYFUNCTION("IF(REGEXMATCH($C130, ""R""), """",""R"")"),"R")</f>
        <v>R</v>
      </c>
      <c r="CR130" s="246" t="str">
        <f>IFERROR(__xludf.DUMMYFUNCTION("IF(REGEXMATCH($C130, ""g""), """",""g"")"),"g")</f>
        <v>g</v>
      </c>
      <c r="CS130" s="246" t="str">
        <f>IFERROR(__xludf.DUMMYFUNCTION("IF(REGEXMATCH($C130, ""G""), """",""G"")"),"")</f>
        <v/>
      </c>
      <c r="CT130" s="246" t="str">
        <f>IFERROR(__xludf.DUMMYFUNCTION("IF(REGEXMATCH($C130, ""m""), """",""m"")"),"m")</f>
        <v>m</v>
      </c>
      <c r="CU130" s="246" t="str">
        <f>IFERROR(__xludf.DUMMYFUNCTION("IF(REGEXMATCH($C130, ""M""), """",""M"")"),"")</f>
        <v/>
      </c>
      <c r="CV130" s="246" t="str">
        <f>IFERROR(__xludf.DUMMYFUNCTION("IF(REGEXMATCH($C130, ""P""), """",""P"")"),"")</f>
        <v/>
      </c>
      <c r="CW130" s="246" t="str">
        <f>IFERROR(__xludf.DUMMYFUNCTION("IF(REGEXMATCH($C130, ""d""), """",""d"")"),"d")</f>
        <v>d</v>
      </c>
      <c r="CX130" s="246" t="str">
        <f>IFERROR(__xludf.DUMMYFUNCTION("IF(REGEXMATCH($C130, ""D""), """",""D"")"),"D")</f>
        <v>D</v>
      </c>
      <c r="CY130" s="246" t="str">
        <f>IFERROR(__xludf.DUMMYFUNCTION("IF(REGEXMATCH($C130, ""n""), """",""n"")"),"n")</f>
        <v>n</v>
      </c>
      <c r="CZ130" s="246" t="str">
        <f>IFERROR(__xludf.DUMMYFUNCTION("IF(REGEXMATCH($C130, ""N""), """",""N"")"),"")</f>
        <v/>
      </c>
      <c r="DA130" s="246" t="str">
        <f>IFERROR(__xludf.DUMMYFUNCTION("IF(REGEXMATCH($C130, ""S""), ""S"",""S"")"),"S")</f>
        <v>S</v>
      </c>
      <c r="DB130" s="362" t="str">
        <f>IFERROR(__xludf.DUMMYFUNCTION("JOIN("""",CO130:DA130,"""","""")"),"SRgmdDnS")</f>
        <v>SRgmdDnS</v>
      </c>
      <c r="DC130" s="363"/>
      <c r="DD130" s="301" t="str">
        <f t="shared" si="35"/>
        <v>#REF!</v>
      </c>
      <c r="DE130" s="302" t="str">
        <f t="shared" si="36"/>
        <v>#REF!</v>
      </c>
      <c r="DF130" s="301" t="str">
        <f t="shared" ref="DF130:DG130" si="465">SUBSTITUTE(S130,"-","")</f>
        <v>SRGM</v>
      </c>
      <c r="DG130" s="301" t="str">
        <f t="shared" si="465"/>
        <v>PNS</v>
      </c>
      <c r="DH130" s="302" t="str">
        <f t="shared" si="38"/>
        <v>(n/a)</v>
      </c>
      <c r="DI130" s="301" t="str">
        <f t="shared" si="39"/>
        <v>Hemi.</v>
      </c>
      <c r="DJ130" s="364" t="str">
        <f t="shared" si="40"/>
        <v>Cohem.</v>
      </c>
      <c r="DK130" s="306" t="str">
        <f t="shared" si="41"/>
        <v>-</v>
      </c>
      <c r="DL130" s="366" t="str">
        <f t="shared" si="42"/>
        <v>✔</v>
      </c>
      <c r="DM130" s="308" t="str">
        <f t="shared" si="43"/>
        <v>-</v>
      </c>
      <c r="DN130" s="306" t="str">
        <f t="shared" si="44"/>
        <v>-</v>
      </c>
      <c r="DO130" s="306" t="str">
        <f t="shared" si="45"/>
        <v>-</v>
      </c>
      <c r="DP130" s="367" t="str">
        <f t="shared" si="46"/>
        <v>✔</v>
      </c>
      <c r="DQ130" s="310" t="str">
        <f t="shared" si="47"/>
        <v>-</v>
      </c>
      <c r="DR130" s="310" t="str">
        <f t="shared" si="48"/>
        <v>-</v>
      </c>
      <c r="DS130" s="310" t="str">
        <f t="shared" si="49"/>
        <v>-</v>
      </c>
      <c r="DT130" s="310" t="str">
        <f t="shared" si="50"/>
        <v>-</v>
      </c>
      <c r="DU130" s="370" t="str">
        <f t="shared" si="51"/>
        <v>-</v>
      </c>
      <c r="DV130" s="306" t="str">
        <f t="shared" si="52"/>
        <v>-</v>
      </c>
      <c r="DW130" s="306" t="str">
        <f t="shared" si="53"/>
        <v>-</v>
      </c>
      <c r="DX130" s="306" t="str">
        <f t="shared" si="54"/>
        <v>-</v>
      </c>
      <c r="DY130" s="306" t="str">
        <f t="shared" si="55"/>
        <v>-</v>
      </c>
      <c r="DZ130" s="306" t="str">
        <f t="shared" si="56"/>
        <v>✔</v>
      </c>
      <c r="EA130" s="367" t="str">
        <f t="shared" si="57"/>
        <v>-</v>
      </c>
      <c r="EB130" s="310" t="str">
        <f>IFERROR(__xludf.DUMMYFUNCTION("IF(REGEXMATCH(AW130,AS130),""✔"",""-"")"),"-")</f>
        <v>-</v>
      </c>
      <c r="EC130" s="310" t="str">
        <f t="shared" si="58"/>
        <v>#REF!</v>
      </c>
      <c r="ED130" s="370" t="str">
        <f t="shared" si="59"/>
        <v>-</v>
      </c>
      <c r="EE130" s="340" t="str">
        <f t="shared" si="60"/>
        <v>S-r-G-M-P-N-S</v>
      </c>
      <c r="EF130" s="371" t="str">
        <f>IFERROR(__xludf.DUMMYFUNCTION("CONCATENATE(JOIN("""",HC130:HO130))"),"SrmMdNS")</f>
        <v>SrmMdNS</v>
      </c>
      <c r="EG130" s="372">
        <f t="shared" si="61"/>
        <v>2</v>
      </c>
      <c r="EH130" s="373" t="str">
        <f>IFERROR(__xludf.DUMMYFUNCTION("CONCATENATE(JOIN("""",JC130:JO130))"),"re, Pa, ")</f>
        <v>re, Pa, </v>
      </c>
      <c r="EI130" s="322">
        <f t="shared" si="62"/>
        <v>0</v>
      </c>
      <c r="EJ130" s="374" t="str">
        <f>IFERROR(__xludf.DUMMYFUNCTION("CONCATENATE(JOIN("""",KC130:KO130))"),"")</f>
        <v/>
      </c>
      <c r="EK130" s="325" t="str">
        <f t="shared" si="63"/>
        <v>S-R1-G3-M2-P-N3-S</v>
      </c>
      <c r="EL130" s="326" t="str">
        <f t="shared" si="64"/>
        <v>1-b2-3-#4-5-7-8</v>
      </c>
      <c r="EM130" s="318" t="str">
        <f t="shared" si="65"/>
        <v>#REF!</v>
      </c>
      <c r="EN130" s="328" t="str">
        <f>IFERROR(__xludf.DUMMYFUNCTION("SUBSTITUTE(SUBSTITUTE(SUBSTITUTE(SUBSTITUTE(CONCATENATE(JOIN("" "",HP130:IB130)),""  "","" ""),""  "","" ""),""  "","" ""),""  "","" "")"),"o o • • o • o o • • • o o")</f>
        <v>o o • • o • o o • • • o o</v>
      </c>
      <c r="EO130" s="368" t="str">
        <f t="shared" si="66"/>
        <v>Sa-Pa</v>
      </c>
      <c r="EP130" s="339" t="str">
        <f t="shared" si="67"/>
        <v>Sa-Pa</v>
      </c>
      <c r="EQ130" s="339" t="str">
        <f t="shared" si="68"/>
        <v>Sa-Pa</v>
      </c>
      <c r="ER130" s="339" t="str">
        <f t="shared" si="69"/>
        <v>-</v>
      </c>
      <c r="ES130" s="340" t="str">
        <f t="shared" si="70"/>
        <v>-</v>
      </c>
      <c r="ET130" s="363"/>
      <c r="EU130" s="376" t="b">
        <f>IFERROR(__xludf.DUMMYFUNCTION("arrayformula(sum(--REGEXMATCH(""SRGMPDNS"",split(REGEXREPLACE(C130,""(.)"",""$1~""),""~""))))=len(C130)
"),FALSE)</f>
        <v>0</v>
      </c>
      <c r="EV130" s="290" t="b">
        <f>IFERROR(__xludf.DUMMYFUNCTION("arrayformula(sum(--REGEXMATCH(""SRGmPDNS"",split(REGEXREPLACE(C130,""(.)"",""$1~""),""~""))))=len(C130)"),FALSE)</f>
        <v>0</v>
      </c>
      <c r="EW130" s="290" t="b">
        <f>IFERROR(__xludf.DUMMYFUNCTION("arrayformula(sum(--REGEXMATCH(""SRGmPDnS"",split(REGEXREPLACE(C130,""(.)"",""$1~""),""~""))))=len(C130)"),FALSE)</f>
        <v>0</v>
      </c>
      <c r="EX130" s="290" t="b">
        <f>IFERROR(__xludf.DUMMYFUNCTION("arrayformula(sum(--REGEXMATCH(""SRgmPDnS"",split(REGEXREPLACE(C130,""(.)"",""$1~""),""~""))))=len(C130)"),FALSE)</f>
        <v>0</v>
      </c>
      <c r="EY130" s="290" t="b">
        <f>IFERROR(__xludf.DUMMYFUNCTION("arrayformula(sum(--REGEXMATCH(""SRgmPdnS"",split(REGEXREPLACE(C130,""(.)"",""$1~""),""~""))))=len(C130)"),FALSE)</f>
        <v>0</v>
      </c>
      <c r="EZ130" s="290" t="b">
        <f>IFERROR(__xludf.DUMMYFUNCTION("arrayformula(sum(--REGEXMATCH(""SrgmPdnS"",split(REGEXREPLACE(C130,""(.)"",""$1~""),""~""))))=len(C130)"),FALSE)</f>
        <v>0</v>
      </c>
      <c r="FA130" s="290" t="b">
        <f>IFERROR(__xludf.DUMMYFUNCTION("arrayformula(sum(--REGEXMATCH(""SrGmPdNS"",split(REGEXREPLACE(C130,""(.)"",""$1~""),""~""))))=len(C130)"),FALSE)</f>
        <v>0</v>
      </c>
      <c r="FB130" s="290" t="b">
        <f>IFERROR(__xludf.DUMMYFUNCTION("arrayformula(sum(--REGEXMATCH(""SrGMPDNS"",split(REGEXREPLACE(C130,""(.)"",""$1~""),""~""))))=len(C130)"),TRUE)</f>
        <v>1</v>
      </c>
      <c r="FC130" s="290" t="b">
        <f>IFERROR(__xludf.DUMMYFUNCTION("arrayformula(sum(--REGEXMATCH(""SrGMPdNS"",split(REGEXREPLACE(C130,""(.)"",""$1~""),""~""))))=len(C130)"),TRUE)</f>
        <v>1</v>
      </c>
      <c r="FD130" s="377" t="b">
        <f>IFERROR(__xludf.DUMMYFUNCTION("arrayformula(sum(--REGEXMATCH(""SrgMPdNS"",split(REGEXREPLACE(C130,""(.)"",""$1~""),""~""))))=len(C130)"),FALSE)</f>
        <v>0</v>
      </c>
      <c r="FE130" s="269" t="str">
        <f t="shared" si="71"/>
        <v>xooxoxxooox</v>
      </c>
      <c r="FF130" s="269" t="str">
        <f t="shared" si="72"/>
        <v>-</v>
      </c>
      <c r="FG130" s="271" t="str">
        <f t="shared" si="73"/>
        <v>-</v>
      </c>
      <c r="FH130" s="269" t="str">
        <f t="shared" si="74"/>
        <v>xoxxoooxxxo</v>
      </c>
      <c r="FI130" s="271" t="str">
        <f t="shared" si="75"/>
        <v>-</v>
      </c>
      <c r="FJ130" s="271" t="str">
        <f t="shared" si="76"/>
        <v>xxoooxxxoox</v>
      </c>
      <c r="FK130" s="271" t="str">
        <f t="shared" si="77"/>
        <v>xoooxxxooxo</v>
      </c>
      <c r="FL130" s="271" t="str">
        <f t="shared" si="78"/>
        <v>-</v>
      </c>
      <c r="FM130" s="271" t="str">
        <f t="shared" si="79"/>
        <v>-</v>
      </c>
      <c r="FN130" s="271" t="str">
        <f t="shared" si="80"/>
        <v>-</v>
      </c>
      <c r="FO130" s="274" t="str">
        <f t="shared" si="81"/>
        <v>xxxooxoxxoo</v>
      </c>
      <c r="FP130" s="234" t="str">
        <f t="shared" si="82"/>
        <v>|</v>
      </c>
      <c r="FQ130" s="236" t="str">
        <f t="shared" si="83"/>
        <v>|</v>
      </c>
      <c r="FR130" s="237" t="str">
        <f t="shared" si="84"/>
        <v>-</v>
      </c>
      <c r="FS130" s="236" t="str">
        <f t="shared" si="85"/>
        <v>-</v>
      </c>
      <c r="FT130" s="237" t="str">
        <f t="shared" si="86"/>
        <v>|</v>
      </c>
      <c r="FU130" s="236" t="str">
        <f t="shared" si="87"/>
        <v>-</v>
      </c>
      <c r="FV130" s="237" t="str">
        <f t="shared" si="88"/>
        <v>|</v>
      </c>
      <c r="FW130" s="236" t="str">
        <f t="shared" si="89"/>
        <v>|</v>
      </c>
      <c r="FX130" s="237" t="str">
        <f t="shared" si="90"/>
        <v>-</v>
      </c>
      <c r="FY130" s="236" t="str">
        <f t="shared" si="91"/>
        <v>-</v>
      </c>
      <c r="FZ130" s="237" t="str">
        <f t="shared" si="92"/>
        <v>-</v>
      </c>
      <c r="GA130" s="236" t="str">
        <f t="shared" si="93"/>
        <v>|</v>
      </c>
      <c r="GB130" s="238" t="str">
        <f t="shared" si="94"/>
        <v>|</v>
      </c>
      <c r="GC130" s="244" t="str">
        <f>IFERROR(__xludf.DUMMYFUNCTION("IF(REGEXMATCH(C130, ""S""), ""1"","""")"),"1")</f>
        <v>1</v>
      </c>
      <c r="GD130" s="245" t="str">
        <f>IFERROR(__xludf.DUMMYFUNCTION("IF(REGEXMATCH(C130, ""r""), ""b2"","""")"),"b2")</f>
        <v>b2</v>
      </c>
      <c r="GE130" s="246" t="str">
        <f>IFERROR(__xludf.DUMMYFUNCTION("IF(REGEXMATCH(C130, ""R""), ""2"","""")"),"")</f>
        <v/>
      </c>
      <c r="GF130" s="246" t="str">
        <f>IFERROR(__xludf.DUMMYFUNCTION("IF(REGEXMATCH(C130, ""g""), ""b3"","""")"),"")</f>
        <v/>
      </c>
      <c r="GG130" s="245" t="str">
        <f>IFERROR(__xludf.DUMMYFUNCTION("IF(REGEXMATCH(C130, ""G""), ""3"","""")"),"3")</f>
        <v>3</v>
      </c>
      <c r="GH130" s="245" t="str">
        <f>IFERROR(__xludf.DUMMYFUNCTION("IF(REGEXMATCH(C130, ""m""), ""4"","""")"),"")</f>
        <v/>
      </c>
      <c r="GI130" s="246" t="str">
        <f>IFERROR(__xludf.DUMMYFUNCTION("IF(REGEXMATCH(C130, ""M""), ""#4"","""")"),"#4")</f>
        <v>#4</v>
      </c>
      <c r="GJ130" s="245" t="str">
        <f>IFERROR(__xludf.DUMMYFUNCTION("IF(REGEXMATCH(C130, ""P""), ""5"","""")"),"5")</f>
        <v>5</v>
      </c>
      <c r="GK130" s="246" t="str">
        <f>IFERROR(__xludf.DUMMYFUNCTION("IF(REGEXMATCH(C130, ""d""), ""b6"","""")"),"")</f>
        <v/>
      </c>
      <c r="GL130" s="245" t="str">
        <f>IFERROR(__xludf.DUMMYFUNCTION("IF(REGEXMATCH(C130, ""D""), ""6"","""")"),"")</f>
        <v/>
      </c>
      <c r="GM130" s="245" t="str">
        <f>IFERROR(__xludf.DUMMYFUNCTION("IF(REGEXMATCH(C130, ""n""), ""b7"","""")"),"")</f>
        <v/>
      </c>
      <c r="GN130" s="246" t="str">
        <f>IFERROR(__xludf.DUMMYFUNCTION("IF(REGEXMATCH(C130, ""N""), ""7"","""")"),"7")</f>
        <v>7</v>
      </c>
      <c r="GO130" s="249" t="str">
        <f>IFERROR(__xludf.DUMMYFUNCTION("IF(REGEXMATCH(C130, ""S""), ""8"","""")"),"8")</f>
        <v>8</v>
      </c>
      <c r="GP130" s="244" t="str">
        <f>IFERROR(__xludf.DUMMYFUNCTION("IF(REGEXMATCH(C130, ""S""), ""S"","""")"),"S")</f>
        <v>S</v>
      </c>
      <c r="GQ130" s="294" t="str">
        <f>IFERROR(__xludf.DUMMYFUNCTION("IF(REGEXMATCH(C130, ""r""), ""R1"","""")"),"R1")</f>
        <v>R1</v>
      </c>
      <c r="GR130" s="295" t="str">
        <f>IFERROR(__xludf.DUMMYFUNCTION("IF(REGEXMATCH(C130, ""R""), ""R2"","""")"),"")</f>
        <v/>
      </c>
      <c r="GS130" s="295" t="str">
        <f>IFERROR(__xludf.DUMMYFUNCTION("IF(REGEXMATCH(C130, ""g""), ""G2"","""")"),"")</f>
        <v/>
      </c>
      <c r="GT130" s="294" t="str">
        <f>IFERROR(__xludf.DUMMYFUNCTION("IF(REGEXMATCH(C130, ""G""), ""G3"","""")"),"G3")</f>
        <v>G3</v>
      </c>
      <c r="GU130" s="294" t="str">
        <f>IFERROR(__xludf.DUMMYFUNCTION("IF(REGEXMATCH(C130, ""m""), ""M1"","""")"),"")</f>
        <v/>
      </c>
      <c r="GV130" s="295" t="str">
        <f>IFERROR(__xludf.DUMMYFUNCTION("IF(REGEXMATCH(C130, ""M""), ""M2"","""")"),"M2")</f>
        <v>M2</v>
      </c>
      <c r="GW130" s="294" t="str">
        <f>IFERROR(__xludf.DUMMYFUNCTION("IF(REGEXMATCH(C130, ""P""), ""P"","""")"),"P")</f>
        <v>P</v>
      </c>
      <c r="GX130" s="295" t="str">
        <f>IFERROR(__xludf.DUMMYFUNCTION("IF(REGEXMATCH(C130, ""d""), ""D1"","""")"),"")</f>
        <v/>
      </c>
      <c r="GY130" s="294" t="str">
        <f>IFERROR(__xludf.DUMMYFUNCTION("IF(REGEXMATCH(C130, ""D""), ""D2"","""")"),"")</f>
        <v/>
      </c>
      <c r="GZ130" s="294" t="str">
        <f>IFERROR(__xludf.DUMMYFUNCTION("IF(REGEXMATCH(C130, ""n""), ""N2"","""")"),"")</f>
        <v/>
      </c>
      <c r="HA130" s="295" t="str">
        <f>IFERROR(__xludf.DUMMYFUNCTION("IF(REGEXMATCH(C130, ""N""), ""N3"","""")"),"N3")</f>
        <v>N3</v>
      </c>
      <c r="HB130" s="249" t="str">
        <f>IFERROR(__xludf.DUMMYFUNCTION("IF(REGEXMATCH(C130, ""S""), ""S"","""")"),"S")</f>
        <v>S</v>
      </c>
      <c r="HC130" s="331" t="str">
        <f t="shared" si="95"/>
        <v>S</v>
      </c>
      <c r="HD130" s="332" t="str">
        <f t="shared" si="96"/>
        <v>r</v>
      </c>
      <c r="HE130" s="332" t="str">
        <f t="shared" si="97"/>
        <v/>
      </c>
      <c r="HF130" s="332" t="str">
        <f t="shared" si="98"/>
        <v/>
      </c>
      <c r="HG130" s="332" t="str">
        <f t="shared" si="99"/>
        <v/>
      </c>
      <c r="HH130" s="332" t="str">
        <f t="shared" si="100"/>
        <v>m</v>
      </c>
      <c r="HI130" s="332" t="str">
        <f t="shared" si="101"/>
        <v>M</v>
      </c>
      <c r="HJ130" s="332" t="str">
        <f t="shared" si="102"/>
        <v/>
      </c>
      <c r="HK130" s="332" t="str">
        <f t="shared" si="103"/>
        <v>d</v>
      </c>
      <c r="HL130" s="332" t="str">
        <f t="shared" si="104"/>
        <v/>
      </c>
      <c r="HM130" s="332" t="str">
        <f t="shared" si="105"/>
        <v/>
      </c>
      <c r="HN130" s="332" t="str">
        <f t="shared" si="106"/>
        <v>N</v>
      </c>
      <c r="HO130" s="343" t="str">
        <f t="shared" si="107"/>
        <v>S</v>
      </c>
      <c r="HP130" s="331" t="str">
        <f t="shared" si="108"/>
        <v>o</v>
      </c>
      <c r="HQ130" s="332" t="str">
        <f t="shared" si="109"/>
        <v>o</v>
      </c>
      <c r="HR130" s="332" t="str">
        <f t="shared" si="110"/>
        <v>•</v>
      </c>
      <c r="HS130" s="332" t="str">
        <f t="shared" si="111"/>
        <v>•</v>
      </c>
      <c r="HT130" s="332" t="str">
        <f t="shared" si="112"/>
        <v>o</v>
      </c>
      <c r="HU130" s="332" t="str">
        <f t="shared" si="113"/>
        <v>•</v>
      </c>
      <c r="HV130" s="332" t="str">
        <f t="shared" si="114"/>
        <v>o</v>
      </c>
      <c r="HW130" s="332" t="str">
        <f t="shared" si="115"/>
        <v>o</v>
      </c>
      <c r="HX130" s="332" t="str">
        <f t="shared" si="116"/>
        <v>•</v>
      </c>
      <c r="HY130" s="332" t="str">
        <f t="shared" si="117"/>
        <v>•</v>
      </c>
      <c r="HZ130" s="332" t="str">
        <f t="shared" si="118"/>
        <v>•</v>
      </c>
      <c r="IA130" s="332" t="str">
        <f t="shared" si="119"/>
        <v>o</v>
      </c>
      <c r="IB130" s="338" t="str">
        <f t="shared" si="120"/>
        <v>o</v>
      </c>
      <c r="IC130" s="331" t="str">
        <f t="shared" si="121"/>
        <v>•</v>
      </c>
      <c r="ID130" s="332" t="str">
        <f t="shared" si="122"/>
        <v>•</v>
      </c>
      <c r="IE130" s="332" t="str">
        <f t="shared" si="123"/>
        <v>o</v>
      </c>
      <c r="IF130" s="332" t="str">
        <f t="shared" si="124"/>
        <v>o</v>
      </c>
      <c r="IG130" s="332" t="str">
        <f t="shared" si="125"/>
        <v>•</v>
      </c>
      <c r="IH130" s="332" t="str">
        <f t="shared" si="126"/>
        <v>o</v>
      </c>
      <c r="II130" s="332" t="str">
        <f t="shared" si="127"/>
        <v>•</v>
      </c>
      <c r="IJ130" s="332" t="str">
        <f t="shared" si="128"/>
        <v>•</v>
      </c>
      <c r="IK130" s="332" t="str">
        <f t="shared" si="129"/>
        <v>o</v>
      </c>
      <c r="IL130" s="332" t="str">
        <f t="shared" si="130"/>
        <v>o</v>
      </c>
      <c r="IM130" s="332" t="str">
        <f t="shared" si="131"/>
        <v>o</v>
      </c>
      <c r="IN130" s="332" t="str">
        <f t="shared" si="132"/>
        <v>•</v>
      </c>
      <c r="IO130" s="338" t="str">
        <f t="shared" si="133"/>
        <v>•</v>
      </c>
      <c r="IP130" s="346" t="b">
        <f t="shared" si="134"/>
        <v>0</v>
      </c>
      <c r="IQ130" s="347" t="b">
        <f t="shared" si="135"/>
        <v>1</v>
      </c>
      <c r="IR130" s="347" t="b">
        <f t="shared" si="136"/>
        <v>0</v>
      </c>
      <c r="IS130" s="347" t="b">
        <f t="shared" si="137"/>
        <v>0</v>
      </c>
      <c r="IT130" s="347" t="b">
        <f t="shared" si="138"/>
        <v>0</v>
      </c>
      <c r="IU130" s="347" t="b">
        <f t="shared" si="139"/>
        <v>0</v>
      </c>
      <c r="IV130" s="347" t="b">
        <f t="shared" si="140"/>
        <v>0</v>
      </c>
      <c r="IW130" s="347" t="b">
        <f t="shared" si="141"/>
        <v>1</v>
      </c>
      <c r="IX130" s="347" t="b">
        <f t="shared" si="142"/>
        <v>0</v>
      </c>
      <c r="IY130" s="347" t="b">
        <f t="shared" si="143"/>
        <v>0</v>
      </c>
      <c r="IZ130" s="347" t="b">
        <f t="shared" si="144"/>
        <v>0</v>
      </c>
      <c r="JA130" s="347" t="b">
        <f t="shared" si="145"/>
        <v>0</v>
      </c>
      <c r="JB130" s="353" t="b">
        <f t="shared" si="146"/>
        <v>0</v>
      </c>
      <c r="JC130" s="354" t="str">
        <f t="shared" si="147"/>
        <v/>
      </c>
      <c r="JD130" s="355" t="str">
        <f t="shared" si="148"/>
        <v>re, </v>
      </c>
      <c r="JE130" s="355" t="str">
        <f t="shared" si="149"/>
        <v/>
      </c>
      <c r="JF130" s="355" t="str">
        <f t="shared" si="150"/>
        <v/>
      </c>
      <c r="JG130" s="355" t="str">
        <f t="shared" si="151"/>
        <v/>
      </c>
      <c r="JH130" s="355" t="str">
        <f t="shared" si="152"/>
        <v/>
      </c>
      <c r="JI130" s="355" t="str">
        <f t="shared" si="153"/>
        <v/>
      </c>
      <c r="JJ130" s="355" t="str">
        <f t="shared" si="154"/>
        <v>Pa, </v>
      </c>
      <c r="JK130" s="355" t="str">
        <f t="shared" si="155"/>
        <v/>
      </c>
      <c r="JL130" s="355" t="str">
        <f t="shared" si="156"/>
        <v/>
      </c>
      <c r="JM130" s="355" t="str">
        <f t="shared" si="157"/>
        <v/>
      </c>
      <c r="JN130" s="355" t="str">
        <f t="shared" si="158"/>
        <v/>
      </c>
      <c r="JO130" s="359" t="str">
        <f t="shared" si="159"/>
        <v/>
      </c>
      <c r="JP130" s="346" t="b">
        <f t="shared" si="160"/>
        <v>0</v>
      </c>
      <c r="JQ130" s="347" t="b">
        <f t="shared" si="161"/>
        <v>0</v>
      </c>
      <c r="JR130" s="347" t="b">
        <f t="shared" si="162"/>
        <v>0</v>
      </c>
      <c r="JS130" s="347" t="b">
        <f t="shared" si="163"/>
        <v>0</v>
      </c>
      <c r="JT130" s="347" t="b">
        <f t="shared" si="164"/>
        <v>0</v>
      </c>
      <c r="JU130" s="347" t="b">
        <f t="shared" si="165"/>
        <v>0</v>
      </c>
      <c r="JV130" s="347" t="b">
        <f t="shared" si="166"/>
        <v>0</v>
      </c>
      <c r="JW130" s="347" t="b">
        <f t="shared" si="167"/>
        <v>0</v>
      </c>
      <c r="JX130" s="347" t="b">
        <f t="shared" si="168"/>
        <v>0</v>
      </c>
      <c r="JY130" s="347" t="b">
        <f t="shared" si="169"/>
        <v>0</v>
      </c>
      <c r="JZ130" s="347" t="b">
        <f t="shared" si="170"/>
        <v>0</v>
      </c>
      <c r="KA130" s="347" t="b">
        <f t="shared" si="171"/>
        <v>0</v>
      </c>
      <c r="KB130" s="365" t="b">
        <f t="shared" si="172"/>
        <v>0</v>
      </c>
      <c r="KC130" s="354" t="str">
        <f t="shared" si="173"/>
        <v/>
      </c>
      <c r="KD130" s="355" t="str">
        <f t="shared" si="174"/>
        <v/>
      </c>
      <c r="KE130" s="355" t="str">
        <f t="shared" si="175"/>
        <v/>
      </c>
      <c r="KF130" s="355" t="str">
        <f t="shared" si="176"/>
        <v/>
      </c>
      <c r="KG130" s="355" t="str">
        <f t="shared" si="177"/>
        <v/>
      </c>
      <c r="KH130" s="355" t="str">
        <f t="shared" si="178"/>
        <v/>
      </c>
      <c r="KI130" s="355" t="str">
        <f t="shared" si="179"/>
        <v/>
      </c>
      <c r="KJ130" s="355" t="str">
        <f t="shared" si="180"/>
        <v/>
      </c>
      <c r="KK130" s="355" t="str">
        <f t="shared" si="181"/>
        <v/>
      </c>
      <c r="KL130" s="355" t="str">
        <f t="shared" si="182"/>
        <v/>
      </c>
      <c r="KM130" s="355" t="str">
        <f t="shared" si="183"/>
        <v/>
      </c>
      <c r="KN130" s="355" t="str">
        <f t="shared" si="184"/>
        <v/>
      </c>
      <c r="KO130" s="359"/>
      <c r="KP130" s="378"/>
      <c r="KQ130" s="379" t="s">
        <v>774</v>
      </c>
      <c r="KR130" s="380" t="s">
        <v>1399</v>
      </c>
      <c r="KS130" s="381" t="str">
        <f t="shared" si="463"/>
        <v>S-r-G-M-P-N-S</v>
      </c>
      <c r="KT130" s="382">
        <f t="shared" si="186"/>
        <v>6</v>
      </c>
      <c r="KU130" s="383">
        <f t="shared" si="187"/>
        <v>6</v>
      </c>
      <c r="KV130" s="381" t="str">
        <f t="shared" si="205"/>
        <v>S-N-P-M-G-r-S</v>
      </c>
      <c r="KW130" s="382">
        <f t="shared" si="189"/>
        <v>6</v>
      </c>
      <c r="KX130" s="384">
        <f t="shared" si="190"/>
        <v>6</v>
      </c>
      <c r="KY130" s="382">
        <f t="shared" ref="KY130:KZ130" si="466">KW130-KT130</f>
        <v>0</v>
      </c>
      <c r="KZ130" s="369">
        <f t="shared" si="466"/>
        <v>0</v>
      </c>
      <c r="LA130" s="385" t="str">
        <f t="shared" si="192"/>
        <v>✔</v>
      </c>
      <c r="LB130" s="340" t="str">
        <f>IFERROR(__xludf.DUMMYFUNCTION("JOIN("""",ArrayFormula(MID(KS130,LEN(KS130)-SEQUENCE(1,LEN(KS130))+1,1)))"),"S-N-P-M-G-r-S")</f>
        <v>S-N-P-M-G-r-S</v>
      </c>
      <c r="LC130" s="373" t="str">
        <f>IFERROR(__xludf.DUMMYFUNCTION("JOIN("""",ArrayFormula(MID(KV130,LEN(KV130)-SEQUENCE(1,LEN(KV130))+1,1)))"),"S-r-G-M-P-N-S")</f>
        <v>S-r-G-M-P-N-S</v>
      </c>
      <c r="LD130" s="373" t="str">
        <f t="shared" si="193"/>
        <v>SrGMPNS</v>
      </c>
      <c r="LE130" s="339" t="str">
        <f t="shared" si="194"/>
        <v>SrGMPNS</v>
      </c>
      <c r="LF130" s="386" t="str">
        <f>IFERROR(__xludf.DUMMYFUNCTION("SUBSTITUTE(SUBSTITUTE(CONCATENATE(JOIN("""",LH130:LT130)),""1"",""""),""2"","""")"),"SrGMPNS")</f>
        <v>SrGMPNS</v>
      </c>
      <c r="LG130" s="369" t="str">
        <f t="shared" si="195"/>
        <v>✔</v>
      </c>
      <c r="LH130" s="387" t="str">
        <f>IFERROR(__xludf.DUMMYFUNCTION("IF(REGEXMATCH(LD130, ""S""), ""S"",IF(REGEXMATCH(LE130, ""S""), ""S"",""""))"),"S")</f>
        <v>S</v>
      </c>
      <c r="LI130" s="299" t="str">
        <f>IFERROR(__xludf.DUMMYFUNCTION("IF(REGEXMATCH(LD130, ""r""), ""r1"",IF(REGEXMATCH(LE130, ""r""), ""r2"",""""))"),"r1")</f>
        <v>r1</v>
      </c>
      <c r="LJ130" s="299" t="str">
        <f>IFERROR(__xludf.DUMMYFUNCTION("IF(REGEXMATCH(LD130, ""R""), ""R1"",IF(REGEXMATCH(LE130, ""R""), ""R2"",""""))"),"")</f>
        <v/>
      </c>
      <c r="LK130" s="299" t="str">
        <f>IFERROR(__xludf.DUMMYFUNCTION("IF(REGEXMATCH(LD130, ""g""), ""g1"",IF(REGEXMATCH(LE130, ""g""), ""g2"",""""))"),"")</f>
        <v/>
      </c>
      <c r="LL130" s="299" t="str">
        <f>IFERROR(__xludf.DUMMYFUNCTION("IF(REGEXMATCH(LD130, ""G""), ""G1"",IF(REGEXMATCH(LE130, ""G""), ""G2"",""""))"),"G1")</f>
        <v>G1</v>
      </c>
      <c r="LM130" s="299" t="str">
        <f>IFERROR(__xludf.DUMMYFUNCTION("IF(REGEXMATCH(LD130, ""m""), ""m1"",IF(REGEXMATCH(LE130, ""m""), ""m2"",""""))"),"")</f>
        <v/>
      </c>
      <c r="LN130" s="299" t="str">
        <f>IFERROR(__xludf.DUMMYFUNCTION("IF(REGEXMATCH(LD130, ""M""), ""M1"",IF(REGEXMATCH(LE130, ""M""), ""M2"",""""))"),"M1")</f>
        <v>M1</v>
      </c>
      <c r="LO130" s="299" t="str">
        <f>IFERROR(__xludf.DUMMYFUNCTION("IF(REGEXMATCH(LD130, ""P""), ""P1"",IF(REGEXMATCH(LE130, ""P""), ""P2"",""""))"),"P1")</f>
        <v>P1</v>
      </c>
      <c r="LP130" s="299" t="str">
        <f>IFERROR(__xludf.DUMMYFUNCTION("IF(REGEXMATCH(LD130, ""d""), ""d1"",IF(REGEXMATCH(LE130, ""d""), ""d2"",""""))"),"")</f>
        <v/>
      </c>
      <c r="LQ130" s="299" t="str">
        <f>IFERROR(__xludf.DUMMYFUNCTION("IF(REGEXMATCH(LD130, ""D""), ""D1"",IF(REGEXMATCH(LE130, ""D""), ""D2"",""""))"),"")</f>
        <v/>
      </c>
      <c r="LR130" s="299" t="str">
        <f>IFERROR(__xludf.DUMMYFUNCTION("IF(REGEXMATCH(LD130, ""n""), ""n1"",IF(REGEXMATCH(LE130, ""n""), ""n2"",""""))"),"")</f>
        <v/>
      </c>
      <c r="LS130" s="299" t="str">
        <f>IFERROR(__xludf.DUMMYFUNCTION("IF(REGEXMATCH(LD130, ""N""), ""N1"",IF(REGEXMATCH(LE130, ""N""), ""N2"",""""))"),"N1")</f>
        <v>N1</v>
      </c>
      <c r="LT130" s="388" t="str">
        <f>IFERROR(__xludf.DUMMYFUNCTION("IF(REGEXMATCH(LD130, ""S""), ""S"",IF(REGEXMATCH(LE130, ""S""), ""S"",""""))"),"S")</f>
        <v>S</v>
      </c>
      <c r="LU130" s="389">
        <f t="shared" si="196"/>
        <v>1</v>
      </c>
      <c r="LV130" s="378"/>
      <c r="LW130" s="369"/>
      <c r="LX130" s="369"/>
    </row>
    <row r="131" ht="18.0" customHeight="1">
      <c r="A131" s="298" t="s">
        <v>776</v>
      </c>
      <c r="B131" s="222" t="s">
        <v>777</v>
      </c>
      <c r="C131" s="233" t="str">
        <f t="shared" si="7"/>
        <v>SRGPNS</v>
      </c>
      <c r="D131" s="234" t="str">
        <f>IFERROR(__xludf.DUMMYFUNCTION("IF(REGEXMATCH(C131, ""S""), ""S"","""")"),"S")</f>
        <v>S</v>
      </c>
      <c r="E131" s="236" t="str">
        <f>IFERROR(__xludf.DUMMYFUNCTION("IF(REGEXMATCH(C131, ""r""), ""r"","""")"),"")</f>
        <v/>
      </c>
      <c r="F131" s="237" t="str">
        <f>IFERROR(__xludf.DUMMYFUNCTION("IF(REGEXMATCH(C131, ""R""), ""R"","""")"),"R")</f>
        <v>R</v>
      </c>
      <c r="G131" s="237" t="str">
        <f>IFERROR(__xludf.DUMMYFUNCTION("IF(REGEXMATCH(C131, ""g""), ""g"","""")"),"")</f>
        <v/>
      </c>
      <c r="H131" s="236" t="str">
        <f>IFERROR(__xludf.DUMMYFUNCTION("IF(REGEXMATCH(C131, ""G""), ""G"","""")"),"G")</f>
        <v>G</v>
      </c>
      <c r="I131" s="236" t="str">
        <f>IFERROR(__xludf.DUMMYFUNCTION("IF(REGEXMATCH(C131, ""m""), ""m"","""")"),"")</f>
        <v/>
      </c>
      <c r="J131" s="237" t="str">
        <f>IFERROR(__xludf.DUMMYFUNCTION("IF(REGEXMATCH(C131, ""M""), ""M"","""")"),"")</f>
        <v/>
      </c>
      <c r="K131" s="236" t="str">
        <f>IFERROR(__xludf.DUMMYFUNCTION("IF(REGEXMATCH(C131, ""P""), ""P"","""")"),"P")</f>
        <v>P</v>
      </c>
      <c r="L131" s="237" t="str">
        <f>IFERROR(__xludf.DUMMYFUNCTION("IF(REGEXMATCH(C131, ""d""), ""d"","""")"),"")</f>
        <v/>
      </c>
      <c r="M131" s="236" t="str">
        <f>IFERROR(__xludf.DUMMYFUNCTION("IF(REGEXMATCH(C131, ""D""), ""D"","""")"),"")</f>
        <v/>
      </c>
      <c r="N131" s="236" t="str">
        <f>IFERROR(__xludf.DUMMYFUNCTION("IF(REGEXMATCH(C131, ""n""), ""n"","""")"),"")</f>
        <v/>
      </c>
      <c r="O131" s="237" t="str">
        <f>IFERROR(__xludf.DUMMYFUNCTION("IF(REGEXMATCH(C131, ""N""), ""N"","""")"),"N")</f>
        <v>N</v>
      </c>
      <c r="P131" s="238" t="str">
        <f>IFERROR(__xludf.DUMMYFUNCTION("IF(REGEXMATCH(C131, ""S""), ""S"","""")"),"S")</f>
        <v>S</v>
      </c>
      <c r="Q131" s="239" t="str">
        <f>IFERROR(__xludf.DUMMYFUNCTION("SUBSTITUTE(CONCATENATE(JOIN(""-"",D131:J131)),""-"","""")"),"SRG")</f>
        <v>SRG</v>
      </c>
      <c r="R131" s="229" t="str">
        <f>IFERROR(__xludf.DUMMYFUNCTION("SUBSTITUTE(CONCATENATE(JOIN(""-"",K131:P131)),""-"","""")"),"PNS")</f>
        <v>PNS</v>
      </c>
      <c r="S131" s="282" t="str">
        <f t="shared" si="8"/>
        <v>S-R-G-</v>
      </c>
      <c r="T131" s="282" t="str">
        <f t="shared" si="9"/>
        <v>P-N-S</v>
      </c>
      <c r="U131" s="237" t="str">
        <f>IFERROR(__xludf.DUMMYFUNCTION("SUBSTITUTE(JOIN(""-"",S131,T131),""--"",""-"")"),"S-R-G-P-N-S")</f>
        <v>S-R-G-P-N-S</v>
      </c>
      <c r="V131" s="309" t="str">
        <f t="shared" si="10"/>
        <v>RGN</v>
      </c>
      <c r="W131" s="244" t="str">
        <f>IFERROR(__xludf.DUMMYFUNCTION("IF(REGEXMATCH(C131, ""S""), ""0"","""")"),"0")</f>
        <v>0</v>
      </c>
      <c r="X131" s="245" t="str">
        <f>IFERROR(__xludf.DUMMYFUNCTION("IF(REGEXMATCH(C131, ""r""), ""1"","""")"),"")</f>
        <v/>
      </c>
      <c r="Y131" s="246" t="str">
        <f>IFERROR(__xludf.DUMMYFUNCTION("IF(REGEXMATCH(C131, ""R""), ""2"","""")"),"2")</f>
        <v>2</v>
      </c>
      <c r="Z131" s="246" t="str">
        <f>IFERROR(__xludf.DUMMYFUNCTION("IF(REGEXMATCH(C131, ""g""), ""3"","""")"),"")</f>
        <v/>
      </c>
      <c r="AA131" s="245" t="str">
        <f>IFERROR(__xludf.DUMMYFUNCTION("IF(REGEXMATCH(C131, ""G""), ""4"","""")"),"4")</f>
        <v>4</v>
      </c>
      <c r="AB131" s="245" t="str">
        <f>IFERROR(__xludf.DUMMYFUNCTION("IF(REGEXMATCH(C131, ""m""), ""5"","""")"),"")</f>
        <v/>
      </c>
      <c r="AC131" s="246" t="str">
        <f>IFERROR(__xludf.DUMMYFUNCTION("IF(REGEXMATCH(C131, ""M""), ""6"","""")"),"")</f>
        <v/>
      </c>
      <c r="AD131" s="245" t="str">
        <f>IFERROR(__xludf.DUMMYFUNCTION("IF(REGEXMATCH(C131, ""P""), ""7"","""")"),"7")</f>
        <v>7</v>
      </c>
      <c r="AE131" s="246" t="str">
        <f>IFERROR(__xludf.DUMMYFUNCTION("IF(REGEXMATCH(C131, ""d""), ""8"","""")"),"")</f>
        <v/>
      </c>
      <c r="AF131" s="245" t="str">
        <f>IFERROR(__xludf.DUMMYFUNCTION("IF(REGEXMATCH(C131, ""D""), ""9"","""")"),"")</f>
        <v/>
      </c>
      <c r="AG131" s="245" t="str">
        <f>IFERROR(__xludf.DUMMYFUNCTION("IF(REGEXMATCH(C131, ""n""), ""10"","""")"),"")</f>
        <v/>
      </c>
      <c r="AH131" s="246" t="str">
        <f>IFERROR(__xludf.DUMMYFUNCTION("IF(REGEXMATCH(C131, ""N""), ""11"","""")"),"11")</f>
        <v>11</v>
      </c>
      <c r="AI131" s="249" t="str">
        <f>IFERROR(__xludf.DUMMYFUNCTION("IF(REGEXMATCH(C131, ""S""), ""0"","""")"),"0")</f>
        <v>0</v>
      </c>
      <c r="AJ131" s="313" t="str">
        <f t="shared" si="11"/>
        <v>-</v>
      </c>
      <c r="AK131" s="313" t="str">
        <f t="shared" si="12"/>
        <v>-</v>
      </c>
      <c r="AL131" s="313" t="str">
        <f t="shared" si="13"/>
        <v>-</v>
      </c>
      <c r="AM131" s="313" t="str">
        <f t="shared" si="14"/>
        <v>-</v>
      </c>
      <c r="AN131" s="313" t="str">
        <f t="shared" si="15"/>
        <v>-</v>
      </c>
      <c r="AO131" s="314" t="str">
        <f t="shared" si="16"/>
        <v>-</v>
      </c>
      <c r="AP131" s="316">
        <f t="shared" si="17"/>
        <v>0</v>
      </c>
      <c r="AQ131" s="319" t="str">
        <f t="shared" si="18"/>
        <v>-</v>
      </c>
      <c r="AR131" s="320">
        <f t="shared" si="19"/>
        <v>0</v>
      </c>
      <c r="AS131" s="250" t="str">
        <f>IFERROR(__xludf.DUMMYFUNCTION("SUBSTITUTE(SUBSTITUTE(CONCATENATE(JOIN("""",FP131:GA131)),""|"",""x""),""-"",""o"")"),"xoxoxooxooox")</f>
        <v>xoxoxooxooox</v>
      </c>
      <c r="AT131" s="323" t="str">
        <f>IFERROR(__xludf.DUMMYFUNCTION("JOIN("""",AS131,AS131)"),"xoxoxooxoooxxoxoxooxooox")</f>
        <v>xoxoxooxoooxxoxoxooxooox</v>
      </c>
      <c r="AU131" s="256" t="str">
        <f>IFERROR(__xludf.DUMMYFUNCTION("JOIN("""",ArrayFormula(MID(AS131,LEN(AS131)-SEQUENCE(1,LEN(AS131))+1,1)))"),"xoooxooxoxox")</f>
        <v>xoooxooxoxox</v>
      </c>
      <c r="AV131" s="256" t="str">
        <f>IFERROR(__xludf.DUMMYFUNCTION("LEFT(CONCATENATE(""x"",JOIN("""",ArrayFormula(MID(AS131,LEN(AS131)-SEQUENCE(1,LEN(AS131))+1,1)))),12)"),"xxoooxooxoxo")</f>
        <v>xxoooxooxoxo</v>
      </c>
      <c r="AW131" s="327" t="str">
        <f>IFERROR(__xludf.DUMMYFUNCTION("JOIN("""",AU131,AU131)"),"xoooxooxoxoxxoooxooxoxox")</f>
        <v>xoooxooxoxoxxoooxooxoxox</v>
      </c>
      <c r="AX131" s="239" t="str">
        <f>IFERROR(__xludf.DUMMYFUNCTION("IF(REGEXMATCH(AW131,AS131),""✔"",""-"")"),"-")</f>
        <v>-</v>
      </c>
      <c r="AY131" s="330" t="str">
        <f t="shared" si="20"/>
        <v>-</v>
      </c>
      <c r="AZ131" s="260" t="str">
        <f t="shared" si="21"/>
        <v>#REF!</v>
      </c>
      <c r="BA131" s="333" t="str">
        <f t="shared" si="22"/>
        <v>xoxoxoo</v>
      </c>
      <c r="BB131" s="334" t="str">
        <f t="shared" si="23"/>
        <v>xoooxx</v>
      </c>
      <c r="BC131" s="335" t="str">
        <f t="shared" si="236"/>
        <v>-</v>
      </c>
      <c r="BD131" s="336" t="str">
        <f t="shared" si="25"/>
        <v>Hansadhwani: 'xoxoxoo' + 'xoooxx'</v>
      </c>
      <c r="BE131" s="337">
        <f>IFERROR(__xludf.DUMMYFUNCTION("COUNTUNIQUE(FILTER(AT:AT,REGEXMATCH(AT:AT,AS131)))-1"),0.0)</f>
        <v>0</v>
      </c>
      <c r="BF131" s="261" t="str">
        <f>IFERROR(__xludf.DUMMYFUNCTION("IF(BI131=0,""(n/a)"",IF(BJ131=2,""(PAIR)"",IF(REGEXMATCH(AT131,""xoxoxxoxoxox""),""Bilawal"",IF(REGEXMATCH(AT131,""xoxoxooxoxoo""),""Bhupali"",IF(REGEXMATCH(AT131,""xoxoxxoxxoxo""),""Charukeshi"",IF(REGEXMATCH(AT131,""xoxoooxxoxxo""),""Kameshwari"",IF(REG"&amp;"EXMATCH(AT131,""xoxoxooxoxox""),""Shankara"",IF(REGEXMATCH(AT131,""xxooxoxxxoox""),""Basant"",IF(REGEXMATCH(AT131,""xoxoxxxxoxox""),""Bihag"",IF(REGEXMATCH(AT131,""xoxxxxoxoxxx""),""Pilu"",IF(REGEXMATCH(AT131,""xoxxoxoxxoox""),""Kirwani"",IF(REGEXMATCH(AT"&amp;"131,""xoxxoxoxoxxx""),""Mk.Malhar"",IF(REGEXMATCH(AT131,""xxooxxoxxoox""),""Bhairav"",IF(REGEXMATCH(AT131,""xxoxooxxxoox""),""Todi"",IF(REGEXMATCH(AT131,""xxooxoxooxox""),""Marwa"",IF(REGEXMATCH(AT131,""xxoooxoxxooo""),""Gunkali"",IF(REGEXMATCH(AT131,""xo"&amp;"xoxxoxxoox""),""Nat Bhairav"",IF(REGEXMATCH(AT131,""xoxxoooxoxoo""),""Shivranjani"",IF(REGEXMATCH(AT131,""xooxxxoxooxo""),""Jog"",IF(REGEXMATCH(AT131,""xxooxoxoxoox""),""Hemshri"",IF(REGEXMATCH(AT131,""xoooxooxoxxo""),""Kalavati"",IF(REGEXMATCH(AT131,""xx"&amp;"oxoxxoxoox""),""Kedar"",IF(REGEXMATCH(AT131,""xoxxxxoxooxx""),""Gara"",IF(REGEXMATCH(AT131,""xooxoxooxoox""),""Chandrakauns"",IF(REGEXMATCH(AT131,""xoxxxxoxxxox""),""Mand"",IF(REGEXMATCH(AT131,""xoxxxxoxoxox""),""Hanskinkini"",IF(REGEXMATCH(AT131,""xxooxx"&amp;"oxooxo""),""Lilavati"",IF(REGEXMATCH(AT131,""xooxoxoooxox""),""Rajeshwari"",IF(REGEXMATCH(AT131,""xoooxxoxoxxx""),""Khokar"",IF(REGEXMATCH(AT131,""xxooxoxxxxox""),""Maligoura"",""-""))))))))))))))))))))))))))))))"),"(n/a)")</f>
        <v>(n/a)</v>
      </c>
      <c r="BG131" s="239" t="str">
        <f t="shared" si="26"/>
        <v>#REF!</v>
      </c>
      <c r="BH131" s="239">
        <f>IFERROR(__xludf.DUMMYFUNCTION("COUNTUNIQUE(FE131:FO131)-1"),4.0)</f>
        <v>4</v>
      </c>
      <c r="BI131" s="239">
        <f>IFERROR(__xludf.DUMMYFUNCTION("COUNTUNIQUE(FILTER(AT:AT,REGEXMATCH(AT:AT,AS131)))-1"),0.0)</f>
        <v>0</v>
      </c>
      <c r="BJ131" s="239">
        <f>IFERROR(__xludf.DUMMYFUNCTION("COUNTA(FILTER(AT:AT,REGEXMATCH(AT:AT,AS131)))"),1.0)</f>
        <v>1</v>
      </c>
      <c r="BK131" s="341">
        <f>IFERROR(__xludf.DUMMYFUNCTION("COUNTA(FILTER(AT:AT,REGEXMATCH(AT:AT,AS131)))-AR131"),1.0)</f>
        <v>1</v>
      </c>
      <c r="BL131" s="276" t="str">
        <f>IFERROR(__xludf.DUMMYFUNCTION("IF(AS131=""oooooooooooo"",""-"",IF(REGEXMATCH(AT131,""xx""), ""Hemi."", ""Anhemi.""))"),"Hemi.")</f>
        <v>Hemi.</v>
      </c>
      <c r="BM131" s="282" t="str">
        <f>IFERROR(__xludf.DUMMYFUNCTION("IF(AS131=""oooooooooooo"",""-"",IF(REGEXMATCH(AT131,""xxx""), ""Cohem."", ""-""))"),"-")</f>
        <v>-</v>
      </c>
      <c r="BN131" s="282" t="str">
        <f>IFERROR(__xludf.DUMMYFUNCTION("IF(AS131=""oooooooooooo"",""-"",IF(REGEXMATCH(AT131,""xxxx""), ""Co-Co."", ""-""))"),"-")</f>
        <v>-</v>
      </c>
      <c r="BO131" s="342" t="str">
        <f>IFERROR(__xludf.DUMMYFUNCTION("IF(AS131=""oooooooooooo"",""-"",IF(REGEXMATCH(AT131,""xxxxx""), ""CCC."", ""-""))"),"-")</f>
        <v>-</v>
      </c>
      <c r="BP131" s="344" t="str">
        <f t="shared" si="27"/>
        <v>-</v>
      </c>
      <c r="BQ131" s="282" t="str">
        <f>IFERROR(__xludf.DUMMYFUNCTION("IF(REGEXMATCH(JOIN(""-"",EU131:FD131),""TRUE""),""✔"",""-"")"),"✔")</f>
        <v>✔</v>
      </c>
      <c r="BR131" s="225">
        <f t="shared" si="28"/>
        <v>2</v>
      </c>
      <c r="BS131" s="345" t="str">
        <f>IFERROR(__xludf.DUMMYFUNCTION("SUBSTITUTE(SUBSTITUTE(SUBSTITUTE(SUBSTITUTE(CONCATENATE(JOIN(""-"",GC131:GO131)),""--"",""-""),""--"",""-""),""--"",""-""),""--"",""-"")"),"1-2-3-5-7-8")</f>
        <v>1-2-3-5-7-8</v>
      </c>
      <c r="BT131" s="299" t="str">
        <f>IFERROR(__xludf.DUMMYFUNCTION("SUBSTITUTE(SUBSTITUTE(SUBSTITUTE(SUBSTITUTE(CONCATENATE(JOIN(""-"",GP131:HB131)),""--"",""-""),""--"",""-""),""--"",""-""),""--"",""-"")"),"S-R2-G3-P-N3-S")</f>
        <v>S-R2-G3-P-N3-S</v>
      </c>
      <c r="BU131" s="348" t="str">
        <f t="shared" si="29"/>
        <v>C-D-E-G-B-C</v>
      </c>
      <c r="BV131" s="349" t="str">
        <f t="shared" si="30"/>
        <v>SrgmMdDnS</v>
      </c>
      <c r="BW131" s="350">
        <f t="shared" si="31"/>
        <v>0</v>
      </c>
      <c r="BX131" s="351">
        <f t="shared" si="32"/>
        <v>1</v>
      </c>
      <c r="BY131" s="392"/>
      <c r="BZ131" s="309" t="str">
        <f>IFERROR(__xludf.DUMMYFUNCTION("IF(REGEXMATCH(C131, ""S""), ""x"",""x"")"),"x")</f>
        <v>x</v>
      </c>
      <c r="CA131" s="245" t="str">
        <f>IFERROR(__xludf.DUMMYFUNCTION("IF(REGEXMATCH(C131, ""r""), ""o"",""x"")"),"x")</f>
        <v>x</v>
      </c>
      <c r="CB131" s="246" t="str">
        <f>IFERROR(__xludf.DUMMYFUNCTION("IF(REGEXMATCH(C131, ""R""), ""o"",""x"")"),"o")</f>
        <v>o</v>
      </c>
      <c r="CC131" s="246" t="str">
        <f>IFERROR(__xludf.DUMMYFUNCTION("IF(REGEXMATCH(C131, ""g""), ""o"",""x"")"),"x")</f>
        <v>x</v>
      </c>
      <c r="CD131" s="245" t="str">
        <f>IFERROR(__xludf.DUMMYFUNCTION("IF(REGEXMATCH(C131, ""G""), ""o"",""x"")"),"o")</f>
        <v>o</v>
      </c>
      <c r="CE131" s="245" t="str">
        <f>IFERROR(__xludf.DUMMYFUNCTION("IF(REGEXMATCH(C131, ""m""), ""o"",""x"")"),"x")</f>
        <v>x</v>
      </c>
      <c r="CF131" s="246" t="str">
        <f>IFERROR(__xludf.DUMMYFUNCTION("IF(REGEXMATCH(C131, ""M""), ""o"",""x"")"),"x")</f>
        <v>x</v>
      </c>
      <c r="CG131" s="245" t="str">
        <f>IFERROR(__xludf.DUMMYFUNCTION("IF(REGEXMATCH(C131, ""P""), ""o"",""x"")"),"o")</f>
        <v>o</v>
      </c>
      <c r="CH131" s="246" t="str">
        <f>IFERROR(__xludf.DUMMYFUNCTION("IF(REGEXMATCH(C131, ""d""), ""o"",""x"")"),"x")</f>
        <v>x</v>
      </c>
      <c r="CI131" s="245" t="str">
        <f>IFERROR(__xludf.DUMMYFUNCTION("IF(REGEXMATCH(C131, ""D""), ""o"",""x"")"),"x")</f>
        <v>x</v>
      </c>
      <c r="CJ131" s="245" t="str">
        <f>IFERROR(__xludf.DUMMYFUNCTION("IF(REGEXMATCH(C131, ""n""), ""o"",""x"")"),"x")</f>
        <v>x</v>
      </c>
      <c r="CK131" s="245" t="str">
        <f>IFERROR(__xludf.DUMMYFUNCTION("IF(REGEXMATCH(C131, ""N""), ""o"",""x"")"),"o")</f>
        <v>o</v>
      </c>
      <c r="CL131" s="356" t="str">
        <f>IFERROR(__xludf.DUMMYFUNCTION("IF(REGEXMATCH(C131, ""S""), ""x"",""x"")"),"x")</f>
        <v>x</v>
      </c>
      <c r="CM131" s="357" t="str">
        <f t="shared" si="33"/>
        <v>xxoxoxxoxxxo</v>
      </c>
      <c r="CN131" s="358">
        <f t="shared" si="34"/>
        <v>0</v>
      </c>
      <c r="CO131" s="246" t="str">
        <f>IFERROR(__xludf.DUMMYFUNCTION("IF(REGEXMATCH($C131, ""S""), ""S"",""S"")"),"S")</f>
        <v>S</v>
      </c>
      <c r="CP131" s="246" t="str">
        <f>IFERROR(__xludf.DUMMYFUNCTION("IF(REGEXMATCH($C131, ""r""), """",""r"")"),"r")</f>
        <v>r</v>
      </c>
      <c r="CQ131" s="246" t="str">
        <f>IFERROR(__xludf.DUMMYFUNCTION("IF(REGEXMATCH($C131, ""R""), """",""R"")"),"")</f>
        <v/>
      </c>
      <c r="CR131" s="246" t="str">
        <f>IFERROR(__xludf.DUMMYFUNCTION("IF(REGEXMATCH($C131, ""g""), """",""g"")"),"g")</f>
        <v>g</v>
      </c>
      <c r="CS131" s="246" t="str">
        <f>IFERROR(__xludf.DUMMYFUNCTION("IF(REGEXMATCH($C131, ""G""), """",""G"")"),"")</f>
        <v/>
      </c>
      <c r="CT131" s="246" t="str">
        <f>IFERROR(__xludf.DUMMYFUNCTION("IF(REGEXMATCH($C131, ""m""), """",""m"")"),"m")</f>
        <v>m</v>
      </c>
      <c r="CU131" s="246" t="str">
        <f>IFERROR(__xludf.DUMMYFUNCTION("IF(REGEXMATCH($C131, ""M""), """",""M"")"),"M")</f>
        <v>M</v>
      </c>
      <c r="CV131" s="246" t="str">
        <f>IFERROR(__xludf.DUMMYFUNCTION("IF(REGEXMATCH($C131, ""P""), """",""P"")"),"")</f>
        <v/>
      </c>
      <c r="CW131" s="246" t="str">
        <f>IFERROR(__xludf.DUMMYFUNCTION("IF(REGEXMATCH($C131, ""d""), """",""d"")"),"d")</f>
        <v>d</v>
      </c>
      <c r="CX131" s="246" t="str">
        <f>IFERROR(__xludf.DUMMYFUNCTION("IF(REGEXMATCH($C131, ""D""), """",""D"")"),"D")</f>
        <v>D</v>
      </c>
      <c r="CY131" s="246" t="str">
        <f>IFERROR(__xludf.DUMMYFUNCTION("IF(REGEXMATCH($C131, ""n""), """",""n"")"),"n")</f>
        <v>n</v>
      </c>
      <c r="CZ131" s="246" t="str">
        <f>IFERROR(__xludf.DUMMYFUNCTION("IF(REGEXMATCH($C131, ""N""), """",""N"")"),"")</f>
        <v/>
      </c>
      <c r="DA131" s="246" t="str">
        <f>IFERROR(__xludf.DUMMYFUNCTION("IF(REGEXMATCH($C131, ""S""), ""S"",""S"")"),"S")</f>
        <v>S</v>
      </c>
      <c r="DB131" s="362" t="str">
        <f>IFERROR(__xludf.DUMMYFUNCTION("JOIN("""",CO131:DA131,"""","""")"),"SrgmMdDnS")</f>
        <v>SrgmMdDnS</v>
      </c>
      <c r="DC131" s="363"/>
      <c r="DD131" s="301" t="str">
        <f t="shared" si="35"/>
        <v>#REF!</v>
      </c>
      <c r="DE131" s="302" t="str">
        <f t="shared" si="36"/>
        <v>#REF!</v>
      </c>
      <c r="DF131" s="301" t="str">
        <f t="shared" ref="DF131:DG131" si="467">SUBSTITUTE(S131,"-","")</f>
        <v>SRG</v>
      </c>
      <c r="DG131" s="301" t="str">
        <f t="shared" si="467"/>
        <v>PNS</v>
      </c>
      <c r="DH131" s="302" t="str">
        <f t="shared" si="38"/>
        <v>(n/a)</v>
      </c>
      <c r="DI131" s="301" t="str">
        <f t="shared" si="39"/>
        <v>Hemi.</v>
      </c>
      <c r="DJ131" s="364" t="str">
        <f t="shared" si="40"/>
        <v>-</v>
      </c>
      <c r="DK131" s="306" t="str">
        <f t="shared" si="41"/>
        <v>-</v>
      </c>
      <c r="DL131" s="366" t="str">
        <f t="shared" si="42"/>
        <v>✔</v>
      </c>
      <c r="DM131" s="308" t="str">
        <f t="shared" si="43"/>
        <v>-</v>
      </c>
      <c r="DN131" s="306" t="str">
        <f t="shared" si="44"/>
        <v>✔</v>
      </c>
      <c r="DO131" s="306" t="str">
        <f t="shared" si="45"/>
        <v>-</v>
      </c>
      <c r="DP131" s="367" t="str">
        <f t="shared" si="46"/>
        <v>-</v>
      </c>
      <c r="DQ131" s="310" t="str">
        <f t="shared" si="47"/>
        <v>-</v>
      </c>
      <c r="DR131" s="310" t="str">
        <f t="shared" si="48"/>
        <v>-</v>
      </c>
      <c r="DS131" s="310" t="str">
        <f t="shared" si="49"/>
        <v>-</v>
      </c>
      <c r="DT131" s="310" t="str">
        <f t="shared" si="50"/>
        <v>-</v>
      </c>
      <c r="DU131" s="370" t="str">
        <f t="shared" si="51"/>
        <v>-</v>
      </c>
      <c r="DV131" s="306" t="str">
        <f t="shared" si="52"/>
        <v>-</v>
      </c>
      <c r="DW131" s="306" t="str">
        <f t="shared" si="53"/>
        <v>-</v>
      </c>
      <c r="DX131" s="306" t="str">
        <f t="shared" si="54"/>
        <v>✔</v>
      </c>
      <c r="DY131" s="306" t="str">
        <f t="shared" si="55"/>
        <v>-</v>
      </c>
      <c r="DZ131" s="306" t="str">
        <f t="shared" si="56"/>
        <v>✔</v>
      </c>
      <c r="EA131" s="367" t="str">
        <f t="shared" si="57"/>
        <v>-</v>
      </c>
      <c r="EB131" s="310" t="str">
        <f>IFERROR(__xludf.DUMMYFUNCTION("IF(REGEXMATCH(AW131,AS131),""✔"",""-"")"),"-")</f>
        <v>-</v>
      </c>
      <c r="EC131" s="310" t="str">
        <f t="shared" si="58"/>
        <v>#REF!</v>
      </c>
      <c r="ED131" s="370" t="str">
        <f t="shared" si="59"/>
        <v>-</v>
      </c>
      <c r="EE131" s="340" t="str">
        <f t="shared" si="60"/>
        <v>S-R-G-P-N-S</v>
      </c>
      <c r="EF131" s="371" t="str">
        <f>IFERROR(__xludf.DUMMYFUNCTION("CONCATENATE(JOIN("""",HC131:HO131))"),"SrmdnS")</f>
        <v>SrmdnS</v>
      </c>
      <c r="EG131" s="372">
        <f t="shared" si="61"/>
        <v>2</v>
      </c>
      <c r="EH131" s="373" t="str">
        <f>IFERROR(__xludf.DUMMYFUNCTION("CONCATENATE(JOIN("""",JC131:JO131))"),"Re, Ni, ")</f>
        <v>Re, Ni, </v>
      </c>
      <c r="EI131" s="322">
        <f t="shared" si="62"/>
        <v>0</v>
      </c>
      <c r="EJ131" s="374" t="str">
        <f>IFERROR(__xludf.DUMMYFUNCTION("CONCATENATE(JOIN("""",KC131:KO131))"),"")</f>
        <v/>
      </c>
      <c r="EK131" s="325" t="str">
        <f t="shared" si="63"/>
        <v>S-R2-G3-P-N3-S</v>
      </c>
      <c r="EL131" s="326" t="str">
        <f t="shared" si="64"/>
        <v>1-2-3-5-7-8</v>
      </c>
      <c r="EM131" s="318" t="str">
        <f t="shared" si="65"/>
        <v>#REF!</v>
      </c>
      <c r="EN131" s="328" t="str">
        <f>IFERROR(__xludf.DUMMYFUNCTION("SUBSTITUTE(SUBSTITUTE(SUBSTITUTE(SUBSTITUTE(CONCATENATE(JOIN("" "",HP131:IB131)),""  "","" ""),""  "","" ""),""  "","" ""),""  "","" "")"),"o • o • o • • o • • • o o")</f>
        <v>o • o • o • • o • • • o o</v>
      </c>
      <c r="EO131" s="368" t="str">
        <f t="shared" si="66"/>
        <v>Sa-Pa</v>
      </c>
      <c r="EP131" s="339" t="str">
        <f t="shared" si="67"/>
        <v>-</v>
      </c>
      <c r="EQ131" s="339" t="str">
        <f t="shared" si="68"/>
        <v>Sa-Pa</v>
      </c>
      <c r="ER131" s="339" t="str">
        <f t="shared" si="69"/>
        <v>Sa-Pa</v>
      </c>
      <c r="ES131" s="340" t="str">
        <f t="shared" si="70"/>
        <v>-</v>
      </c>
      <c r="ET131" s="363"/>
      <c r="EU131" s="376" t="b">
        <f>IFERROR(__xludf.DUMMYFUNCTION("arrayformula(sum(--REGEXMATCH(""SRGMPDNS"",split(REGEXREPLACE(C131,""(.)"",""$1~""),""~""))))=len(C131)
"),TRUE)</f>
        <v>1</v>
      </c>
      <c r="EV131" s="290" t="b">
        <f>IFERROR(__xludf.DUMMYFUNCTION("arrayformula(sum(--REGEXMATCH(""SRGmPDNS"",split(REGEXREPLACE(C131,""(.)"",""$1~""),""~""))))=len(C131)"),TRUE)</f>
        <v>1</v>
      </c>
      <c r="EW131" s="290" t="b">
        <f>IFERROR(__xludf.DUMMYFUNCTION("arrayformula(sum(--REGEXMATCH(""SRGmPDnS"",split(REGEXREPLACE(C131,""(.)"",""$1~""),""~""))))=len(C131)"),FALSE)</f>
        <v>0</v>
      </c>
      <c r="EX131" s="290" t="b">
        <f>IFERROR(__xludf.DUMMYFUNCTION("arrayformula(sum(--REGEXMATCH(""SRgmPDnS"",split(REGEXREPLACE(C131,""(.)"",""$1~""),""~""))))=len(C131)"),FALSE)</f>
        <v>0</v>
      </c>
      <c r="EY131" s="290" t="b">
        <f>IFERROR(__xludf.DUMMYFUNCTION("arrayformula(sum(--REGEXMATCH(""SRgmPdnS"",split(REGEXREPLACE(C131,""(.)"",""$1~""),""~""))))=len(C131)"),FALSE)</f>
        <v>0</v>
      </c>
      <c r="EZ131" s="290" t="b">
        <f>IFERROR(__xludf.DUMMYFUNCTION("arrayformula(sum(--REGEXMATCH(""SrgmPdnS"",split(REGEXREPLACE(C131,""(.)"",""$1~""),""~""))))=len(C131)"),FALSE)</f>
        <v>0</v>
      </c>
      <c r="FA131" s="290" t="b">
        <f>IFERROR(__xludf.DUMMYFUNCTION("arrayformula(sum(--REGEXMATCH(""SrGmPdNS"",split(REGEXREPLACE(C131,""(.)"",""$1~""),""~""))))=len(C131)"),FALSE)</f>
        <v>0</v>
      </c>
      <c r="FB131" s="290" t="b">
        <f>IFERROR(__xludf.DUMMYFUNCTION("arrayformula(sum(--REGEXMATCH(""SrGMPDNS"",split(REGEXREPLACE(C131,""(.)"",""$1~""),""~""))))=len(C131)"),FALSE)</f>
        <v>0</v>
      </c>
      <c r="FC131" s="290" t="b">
        <f>IFERROR(__xludf.DUMMYFUNCTION("arrayformula(sum(--REGEXMATCH(""SrGMPdNS"",split(REGEXREPLACE(C131,""(.)"",""$1~""),""~""))))=len(C131)"),FALSE)</f>
        <v>0</v>
      </c>
      <c r="FD131" s="377" t="b">
        <f>IFERROR(__xludf.DUMMYFUNCTION("arrayformula(sum(--REGEXMATCH(""SrgMPdNS"",split(REGEXREPLACE(C131,""(.)"",""$1~""),""~""))))=len(C131)"),FALSE)</f>
        <v>0</v>
      </c>
      <c r="FE131" s="269" t="str">
        <f t="shared" si="71"/>
        <v>-</v>
      </c>
      <c r="FF131" s="269" t="str">
        <f t="shared" si="72"/>
        <v>xoxooxoooxx</v>
      </c>
      <c r="FG131" s="271" t="str">
        <f t="shared" si="73"/>
        <v>-</v>
      </c>
      <c r="FH131" s="269" t="str">
        <f t="shared" si="74"/>
        <v>xooxoooxxox</v>
      </c>
      <c r="FI131" s="271" t="str">
        <f t="shared" si="75"/>
        <v>-</v>
      </c>
      <c r="FJ131" s="271" t="str">
        <f t="shared" si="76"/>
        <v>-</v>
      </c>
      <c r="FK131" s="271" t="str">
        <f t="shared" si="77"/>
        <v>xoooxxoxoxo</v>
      </c>
      <c r="FL131" s="271" t="str">
        <f t="shared" si="78"/>
        <v>-</v>
      </c>
      <c r="FM131" s="271" t="str">
        <f t="shared" si="79"/>
        <v>-</v>
      </c>
      <c r="FN131" s="271" t="str">
        <f t="shared" si="80"/>
        <v>-</v>
      </c>
      <c r="FO131" s="274" t="str">
        <f t="shared" si="81"/>
        <v>xxoxoxooxoo</v>
      </c>
      <c r="FP131" s="234" t="str">
        <f t="shared" si="82"/>
        <v>|</v>
      </c>
      <c r="FQ131" s="236" t="str">
        <f t="shared" si="83"/>
        <v>-</v>
      </c>
      <c r="FR131" s="237" t="str">
        <f t="shared" si="84"/>
        <v>|</v>
      </c>
      <c r="FS131" s="236" t="str">
        <f t="shared" si="85"/>
        <v>-</v>
      </c>
      <c r="FT131" s="237" t="str">
        <f t="shared" si="86"/>
        <v>|</v>
      </c>
      <c r="FU131" s="236" t="str">
        <f t="shared" si="87"/>
        <v>-</v>
      </c>
      <c r="FV131" s="237" t="str">
        <f t="shared" si="88"/>
        <v>-</v>
      </c>
      <c r="FW131" s="236" t="str">
        <f t="shared" si="89"/>
        <v>|</v>
      </c>
      <c r="FX131" s="237" t="str">
        <f t="shared" si="90"/>
        <v>-</v>
      </c>
      <c r="FY131" s="236" t="str">
        <f t="shared" si="91"/>
        <v>-</v>
      </c>
      <c r="FZ131" s="237" t="str">
        <f t="shared" si="92"/>
        <v>-</v>
      </c>
      <c r="GA131" s="236" t="str">
        <f t="shared" si="93"/>
        <v>|</v>
      </c>
      <c r="GB131" s="238" t="str">
        <f t="shared" si="94"/>
        <v>|</v>
      </c>
      <c r="GC131" s="244" t="str">
        <f>IFERROR(__xludf.DUMMYFUNCTION("IF(REGEXMATCH(C131, ""S""), ""1"","""")"),"1")</f>
        <v>1</v>
      </c>
      <c r="GD131" s="245" t="str">
        <f>IFERROR(__xludf.DUMMYFUNCTION("IF(REGEXMATCH(C131, ""r""), ""b2"","""")"),"")</f>
        <v/>
      </c>
      <c r="GE131" s="246" t="str">
        <f>IFERROR(__xludf.DUMMYFUNCTION("IF(REGEXMATCH(C131, ""R""), ""2"","""")"),"2")</f>
        <v>2</v>
      </c>
      <c r="GF131" s="246" t="str">
        <f>IFERROR(__xludf.DUMMYFUNCTION("IF(REGEXMATCH(C131, ""g""), ""b3"","""")"),"")</f>
        <v/>
      </c>
      <c r="GG131" s="245" t="str">
        <f>IFERROR(__xludf.DUMMYFUNCTION("IF(REGEXMATCH(C131, ""G""), ""3"","""")"),"3")</f>
        <v>3</v>
      </c>
      <c r="GH131" s="245" t="str">
        <f>IFERROR(__xludf.DUMMYFUNCTION("IF(REGEXMATCH(C131, ""m""), ""4"","""")"),"")</f>
        <v/>
      </c>
      <c r="GI131" s="246" t="str">
        <f>IFERROR(__xludf.DUMMYFUNCTION("IF(REGEXMATCH(C131, ""M""), ""#4"","""")"),"")</f>
        <v/>
      </c>
      <c r="GJ131" s="245" t="str">
        <f>IFERROR(__xludf.DUMMYFUNCTION("IF(REGEXMATCH(C131, ""P""), ""5"","""")"),"5")</f>
        <v>5</v>
      </c>
      <c r="GK131" s="246" t="str">
        <f>IFERROR(__xludf.DUMMYFUNCTION("IF(REGEXMATCH(C131, ""d""), ""b6"","""")"),"")</f>
        <v/>
      </c>
      <c r="GL131" s="245" t="str">
        <f>IFERROR(__xludf.DUMMYFUNCTION("IF(REGEXMATCH(C131, ""D""), ""6"","""")"),"")</f>
        <v/>
      </c>
      <c r="GM131" s="245" t="str">
        <f>IFERROR(__xludf.DUMMYFUNCTION("IF(REGEXMATCH(C131, ""n""), ""b7"","""")"),"")</f>
        <v/>
      </c>
      <c r="GN131" s="246" t="str">
        <f>IFERROR(__xludf.DUMMYFUNCTION("IF(REGEXMATCH(C131, ""N""), ""7"","""")"),"7")</f>
        <v>7</v>
      </c>
      <c r="GO131" s="249" t="str">
        <f>IFERROR(__xludf.DUMMYFUNCTION("IF(REGEXMATCH(C131, ""S""), ""8"","""")"),"8")</f>
        <v>8</v>
      </c>
      <c r="GP131" s="244" t="str">
        <f>IFERROR(__xludf.DUMMYFUNCTION("IF(REGEXMATCH(C131, ""S""), ""S"","""")"),"S")</f>
        <v>S</v>
      </c>
      <c r="GQ131" s="294" t="str">
        <f>IFERROR(__xludf.DUMMYFUNCTION("IF(REGEXMATCH(C131, ""r""), ""R1"","""")"),"")</f>
        <v/>
      </c>
      <c r="GR131" s="295" t="str">
        <f>IFERROR(__xludf.DUMMYFUNCTION("IF(REGEXMATCH(C131, ""R""), ""R2"","""")"),"R2")</f>
        <v>R2</v>
      </c>
      <c r="GS131" s="295" t="str">
        <f>IFERROR(__xludf.DUMMYFUNCTION("IF(REGEXMATCH(C131, ""g""), ""G2"","""")"),"")</f>
        <v/>
      </c>
      <c r="GT131" s="294" t="str">
        <f>IFERROR(__xludf.DUMMYFUNCTION("IF(REGEXMATCH(C131, ""G""), ""G3"","""")"),"G3")</f>
        <v>G3</v>
      </c>
      <c r="GU131" s="294" t="str">
        <f>IFERROR(__xludf.DUMMYFUNCTION("IF(REGEXMATCH(C131, ""m""), ""M1"","""")"),"")</f>
        <v/>
      </c>
      <c r="GV131" s="295" t="str">
        <f>IFERROR(__xludf.DUMMYFUNCTION("IF(REGEXMATCH(C131, ""M""), ""M2"","""")"),"")</f>
        <v/>
      </c>
      <c r="GW131" s="294" t="str">
        <f>IFERROR(__xludf.DUMMYFUNCTION("IF(REGEXMATCH(C131, ""P""), ""P"","""")"),"P")</f>
        <v>P</v>
      </c>
      <c r="GX131" s="295" t="str">
        <f>IFERROR(__xludf.DUMMYFUNCTION("IF(REGEXMATCH(C131, ""d""), ""D1"","""")"),"")</f>
        <v/>
      </c>
      <c r="GY131" s="294" t="str">
        <f>IFERROR(__xludf.DUMMYFUNCTION("IF(REGEXMATCH(C131, ""D""), ""D2"","""")"),"")</f>
        <v/>
      </c>
      <c r="GZ131" s="294" t="str">
        <f>IFERROR(__xludf.DUMMYFUNCTION("IF(REGEXMATCH(C131, ""n""), ""N2"","""")"),"")</f>
        <v/>
      </c>
      <c r="HA131" s="295" t="str">
        <f>IFERROR(__xludf.DUMMYFUNCTION("IF(REGEXMATCH(C131, ""N""), ""N3"","""")"),"N3")</f>
        <v>N3</v>
      </c>
      <c r="HB131" s="249" t="str">
        <f>IFERROR(__xludf.DUMMYFUNCTION("IF(REGEXMATCH(C131, ""S""), ""S"","""")"),"S")</f>
        <v>S</v>
      </c>
      <c r="HC131" s="331" t="str">
        <f t="shared" si="95"/>
        <v>S</v>
      </c>
      <c r="HD131" s="332" t="str">
        <f t="shared" si="96"/>
        <v>r</v>
      </c>
      <c r="HE131" s="332" t="str">
        <f t="shared" si="97"/>
        <v/>
      </c>
      <c r="HF131" s="332" t="str">
        <f t="shared" si="98"/>
        <v/>
      </c>
      <c r="HG131" s="332" t="str">
        <f t="shared" si="99"/>
        <v/>
      </c>
      <c r="HH131" s="332" t="str">
        <f t="shared" si="100"/>
        <v>m</v>
      </c>
      <c r="HI131" s="332" t="str">
        <f t="shared" si="101"/>
        <v/>
      </c>
      <c r="HJ131" s="332" t="str">
        <f t="shared" si="102"/>
        <v/>
      </c>
      <c r="HK131" s="332" t="str">
        <f t="shared" si="103"/>
        <v>d</v>
      </c>
      <c r="HL131" s="332" t="str">
        <f t="shared" si="104"/>
        <v/>
      </c>
      <c r="HM131" s="332" t="str">
        <f t="shared" si="105"/>
        <v>n</v>
      </c>
      <c r="HN131" s="332" t="str">
        <f t="shared" si="106"/>
        <v/>
      </c>
      <c r="HO131" s="343" t="str">
        <f t="shared" si="107"/>
        <v>S</v>
      </c>
      <c r="HP131" s="331" t="str">
        <f t="shared" si="108"/>
        <v>o</v>
      </c>
      <c r="HQ131" s="332" t="str">
        <f t="shared" si="109"/>
        <v>•</v>
      </c>
      <c r="HR131" s="332" t="str">
        <f t="shared" si="110"/>
        <v>o</v>
      </c>
      <c r="HS131" s="332" t="str">
        <f t="shared" si="111"/>
        <v>•</v>
      </c>
      <c r="HT131" s="332" t="str">
        <f t="shared" si="112"/>
        <v>o</v>
      </c>
      <c r="HU131" s="332" t="str">
        <f t="shared" si="113"/>
        <v>•</v>
      </c>
      <c r="HV131" s="332" t="str">
        <f t="shared" si="114"/>
        <v>•</v>
      </c>
      <c r="HW131" s="332" t="str">
        <f t="shared" si="115"/>
        <v>o</v>
      </c>
      <c r="HX131" s="332" t="str">
        <f t="shared" si="116"/>
        <v>•</v>
      </c>
      <c r="HY131" s="332" t="str">
        <f t="shared" si="117"/>
        <v>•</v>
      </c>
      <c r="HZ131" s="332" t="str">
        <f t="shared" si="118"/>
        <v>•</v>
      </c>
      <c r="IA131" s="332" t="str">
        <f t="shared" si="119"/>
        <v>o</v>
      </c>
      <c r="IB131" s="338" t="str">
        <f t="shared" si="120"/>
        <v>o</v>
      </c>
      <c r="IC131" s="331" t="str">
        <f t="shared" si="121"/>
        <v>•</v>
      </c>
      <c r="ID131" s="332" t="str">
        <f t="shared" si="122"/>
        <v>o</v>
      </c>
      <c r="IE131" s="332" t="str">
        <f t="shared" si="123"/>
        <v>•</v>
      </c>
      <c r="IF131" s="332" t="str">
        <f t="shared" si="124"/>
        <v>o</v>
      </c>
      <c r="IG131" s="332" t="str">
        <f t="shared" si="125"/>
        <v>•</v>
      </c>
      <c r="IH131" s="332" t="str">
        <f t="shared" si="126"/>
        <v>o</v>
      </c>
      <c r="II131" s="332" t="str">
        <f t="shared" si="127"/>
        <v>o</v>
      </c>
      <c r="IJ131" s="332" t="str">
        <f t="shared" si="128"/>
        <v>•</v>
      </c>
      <c r="IK131" s="332" t="str">
        <f t="shared" si="129"/>
        <v>o</v>
      </c>
      <c r="IL131" s="332" t="str">
        <f t="shared" si="130"/>
        <v>o</v>
      </c>
      <c r="IM131" s="332" t="str">
        <f t="shared" si="131"/>
        <v>o</v>
      </c>
      <c r="IN131" s="332" t="str">
        <f t="shared" si="132"/>
        <v>•</v>
      </c>
      <c r="IO131" s="338" t="str">
        <f t="shared" si="133"/>
        <v>•</v>
      </c>
      <c r="IP131" s="346" t="b">
        <f t="shared" si="134"/>
        <v>0</v>
      </c>
      <c r="IQ131" s="347" t="b">
        <f t="shared" si="135"/>
        <v>0</v>
      </c>
      <c r="IR131" s="347" t="b">
        <f t="shared" si="136"/>
        <v>1</v>
      </c>
      <c r="IS131" s="347" t="b">
        <f t="shared" si="137"/>
        <v>0</v>
      </c>
      <c r="IT131" s="347" t="b">
        <f t="shared" si="138"/>
        <v>0</v>
      </c>
      <c r="IU131" s="347" t="b">
        <f t="shared" si="139"/>
        <v>0</v>
      </c>
      <c r="IV131" s="347" t="b">
        <f t="shared" si="140"/>
        <v>0</v>
      </c>
      <c r="IW131" s="347" t="b">
        <f t="shared" si="141"/>
        <v>0</v>
      </c>
      <c r="IX131" s="347" t="b">
        <f t="shared" si="142"/>
        <v>0</v>
      </c>
      <c r="IY131" s="347" t="b">
        <f t="shared" si="143"/>
        <v>0</v>
      </c>
      <c r="IZ131" s="347" t="b">
        <f t="shared" si="144"/>
        <v>0</v>
      </c>
      <c r="JA131" s="347" t="b">
        <f t="shared" si="145"/>
        <v>1</v>
      </c>
      <c r="JB131" s="353" t="b">
        <f t="shared" si="146"/>
        <v>0</v>
      </c>
      <c r="JC131" s="354" t="str">
        <f t="shared" si="147"/>
        <v/>
      </c>
      <c r="JD131" s="355" t="str">
        <f t="shared" si="148"/>
        <v/>
      </c>
      <c r="JE131" s="355" t="str">
        <f t="shared" si="149"/>
        <v>Re, </v>
      </c>
      <c r="JF131" s="355" t="str">
        <f t="shared" si="150"/>
        <v/>
      </c>
      <c r="JG131" s="355" t="str">
        <f t="shared" si="151"/>
        <v/>
      </c>
      <c r="JH131" s="355" t="str">
        <f t="shared" si="152"/>
        <v/>
      </c>
      <c r="JI131" s="355" t="str">
        <f t="shared" si="153"/>
        <v/>
      </c>
      <c r="JJ131" s="355" t="str">
        <f t="shared" si="154"/>
        <v/>
      </c>
      <c r="JK131" s="355" t="str">
        <f t="shared" si="155"/>
        <v/>
      </c>
      <c r="JL131" s="355" t="str">
        <f t="shared" si="156"/>
        <v/>
      </c>
      <c r="JM131" s="355" t="str">
        <f t="shared" si="157"/>
        <v/>
      </c>
      <c r="JN131" s="355" t="str">
        <f t="shared" si="158"/>
        <v>Ni, </v>
      </c>
      <c r="JO131" s="359" t="str">
        <f t="shared" si="159"/>
        <v/>
      </c>
      <c r="JP131" s="346" t="b">
        <f t="shared" si="160"/>
        <v>0</v>
      </c>
      <c r="JQ131" s="347" t="b">
        <f t="shared" si="161"/>
        <v>0</v>
      </c>
      <c r="JR131" s="347" t="b">
        <f t="shared" si="162"/>
        <v>0</v>
      </c>
      <c r="JS131" s="347" t="b">
        <f t="shared" si="163"/>
        <v>0</v>
      </c>
      <c r="JT131" s="347" t="b">
        <f t="shared" si="164"/>
        <v>0</v>
      </c>
      <c r="JU131" s="347" t="b">
        <f t="shared" si="165"/>
        <v>0</v>
      </c>
      <c r="JV131" s="347" t="b">
        <f t="shared" si="166"/>
        <v>0</v>
      </c>
      <c r="JW131" s="347" t="b">
        <f t="shared" si="167"/>
        <v>0</v>
      </c>
      <c r="JX131" s="347" t="b">
        <f t="shared" si="168"/>
        <v>0</v>
      </c>
      <c r="JY131" s="347" t="b">
        <f t="shared" si="169"/>
        <v>0</v>
      </c>
      <c r="JZ131" s="347" t="b">
        <f t="shared" si="170"/>
        <v>0</v>
      </c>
      <c r="KA131" s="347" t="b">
        <f t="shared" si="171"/>
        <v>0</v>
      </c>
      <c r="KB131" s="365" t="b">
        <f t="shared" si="172"/>
        <v>0</v>
      </c>
      <c r="KC131" s="354" t="str">
        <f t="shared" si="173"/>
        <v/>
      </c>
      <c r="KD131" s="355" t="str">
        <f t="shared" si="174"/>
        <v/>
      </c>
      <c r="KE131" s="355" t="str">
        <f t="shared" si="175"/>
        <v/>
      </c>
      <c r="KF131" s="355" t="str">
        <f t="shared" si="176"/>
        <v/>
      </c>
      <c r="KG131" s="355" t="str">
        <f t="shared" si="177"/>
        <v/>
      </c>
      <c r="KH131" s="355" t="str">
        <f t="shared" si="178"/>
        <v/>
      </c>
      <c r="KI131" s="355" t="str">
        <f t="shared" si="179"/>
        <v/>
      </c>
      <c r="KJ131" s="355" t="str">
        <f t="shared" si="180"/>
        <v/>
      </c>
      <c r="KK131" s="355" t="str">
        <f t="shared" si="181"/>
        <v/>
      </c>
      <c r="KL131" s="355" t="str">
        <f t="shared" si="182"/>
        <v/>
      </c>
      <c r="KM131" s="355" t="str">
        <f t="shared" si="183"/>
        <v/>
      </c>
      <c r="KN131" s="355" t="str">
        <f t="shared" si="184"/>
        <v/>
      </c>
      <c r="KO131" s="359"/>
      <c r="KP131" s="378"/>
      <c r="KQ131" s="379" t="s">
        <v>777</v>
      </c>
      <c r="KR131" s="380" t="s">
        <v>1400</v>
      </c>
      <c r="KS131" s="381" t="str">
        <f t="shared" si="463"/>
        <v>S-R-G-P-N-S</v>
      </c>
      <c r="KT131" s="382">
        <f t="shared" si="186"/>
        <v>5</v>
      </c>
      <c r="KU131" s="383">
        <f t="shared" si="187"/>
        <v>5</v>
      </c>
      <c r="KV131" s="381" t="str">
        <f t="shared" si="205"/>
        <v>S-N-P-G-R-S</v>
      </c>
      <c r="KW131" s="382">
        <f t="shared" si="189"/>
        <v>5</v>
      </c>
      <c r="KX131" s="384">
        <f t="shared" si="190"/>
        <v>5</v>
      </c>
      <c r="KY131" s="382">
        <f t="shared" ref="KY131:KZ131" si="468">KW131-KT131</f>
        <v>0</v>
      </c>
      <c r="KZ131" s="369">
        <f t="shared" si="468"/>
        <v>0</v>
      </c>
      <c r="LA131" s="385" t="str">
        <f t="shared" si="192"/>
        <v>✔</v>
      </c>
      <c r="LB131" s="340" t="str">
        <f>IFERROR(__xludf.DUMMYFUNCTION("JOIN("""",ArrayFormula(MID(KS131,LEN(KS131)-SEQUENCE(1,LEN(KS131))+1,1)))"),"S-N-P-G-R-S")</f>
        <v>S-N-P-G-R-S</v>
      </c>
      <c r="LC131" s="373" t="str">
        <f>IFERROR(__xludf.DUMMYFUNCTION("JOIN("""",ArrayFormula(MID(KV131,LEN(KV131)-SEQUENCE(1,LEN(KV131))+1,1)))"),"S-R-G-P-N-S")</f>
        <v>S-R-G-P-N-S</v>
      </c>
      <c r="LD131" s="373" t="str">
        <f t="shared" si="193"/>
        <v>SRGPNS</v>
      </c>
      <c r="LE131" s="339" t="str">
        <f t="shared" si="194"/>
        <v>SRGPNS</v>
      </c>
      <c r="LF131" s="386" t="str">
        <f>IFERROR(__xludf.DUMMYFUNCTION("SUBSTITUTE(SUBSTITUTE(CONCATENATE(JOIN("""",LH131:LT131)),""1"",""""),""2"","""")"),"SRGPNS")</f>
        <v>SRGPNS</v>
      </c>
      <c r="LG131" s="369" t="str">
        <f t="shared" si="195"/>
        <v>✔</v>
      </c>
      <c r="LH131" s="387" t="str">
        <f>IFERROR(__xludf.DUMMYFUNCTION("IF(REGEXMATCH(LD131, ""S""), ""S"",IF(REGEXMATCH(LE131, ""S""), ""S"",""""))"),"S")</f>
        <v>S</v>
      </c>
      <c r="LI131" s="299" t="str">
        <f>IFERROR(__xludf.DUMMYFUNCTION("IF(REGEXMATCH(LD131, ""r""), ""r1"",IF(REGEXMATCH(LE131, ""r""), ""r2"",""""))"),"")</f>
        <v/>
      </c>
      <c r="LJ131" s="299" t="str">
        <f>IFERROR(__xludf.DUMMYFUNCTION("IF(REGEXMATCH(LD131, ""R""), ""R1"",IF(REGEXMATCH(LE131, ""R""), ""R2"",""""))"),"R1")</f>
        <v>R1</v>
      </c>
      <c r="LK131" s="299" t="str">
        <f>IFERROR(__xludf.DUMMYFUNCTION("IF(REGEXMATCH(LD131, ""g""), ""g1"",IF(REGEXMATCH(LE131, ""g""), ""g2"",""""))"),"")</f>
        <v/>
      </c>
      <c r="LL131" s="299" t="str">
        <f>IFERROR(__xludf.DUMMYFUNCTION("IF(REGEXMATCH(LD131, ""G""), ""G1"",IF(REGEXMATCH(LE131, ""G""), ""G2"",""""))"),"G1")</f>
        <v>G1</v>
      </c>
      <c r="LM131" s="299" t="str">
        <f>IFERROR(__xludf.DUMMYFUNCTION("IF(REGEXMATCH(LD131, ""m""), ""m1"",IF(REGEXMATCH(LE131, ""m""), ""m2"",""""))"),"")</f>
        <v/>
      </c>
      <c r="LN131" s="299" t="str">
        <f>IFERROR(__xludf.DUMMYFUNCTION("IF(REGEXMATCH(LD131, ""M""), ""M1"",IF(REGEXMATCH(LE131, ""M""), ""M2"",""""))"),"")</f>
        <v/>
      </c>
      <c r="LO131" s="299" t="str">
        <f>IFERROR(__xludf.DUMMYFUNCTION("IF(REGEXMATCH(LD131, ""P""), ""P1"",IF(REGEXMATCH(LE131, ""P""), ""P2"",""""))"),"P1")</f>
        <v>P1</v>
      </c>
      <c r="LP131" s="299" t="str">
        <f>IFERROR(__xludf.DUMMYFUNCTION("IF(REGEXMATCH(LD131, ""d""), ""d1"",IF(REGEXMATCH(LE131, ""d""), ""d2"",""""))"),"")</f>
        <v/>
      </c>
      <c r="LQ131" s="299" t="str">
        <f>IFERROR(__xludf.DUMMYFUNCTION("IF(REGEXMATCH(LD131, ""D""), ""D1"",IF(REGEXMATCH(LE131, ""D""), ""D2"",""""))"),"")</f>
        <v/>
      </c>
      <c r="LR131" s="299" t="str">
        <f>IFERROR(__xludf.DUMMYFUNCTION("IF(REGEXMATCH(LD131, ""n""), ""n1"",IF(REGEXMATCH(LE131, ""n""), ""n2"",""""))"),"")</f>
        <v/>
      </c>
      <c r="LS131" s="299" t="str">
        <f>IFERROR(__xludf.DUMMYFUNCTION("IF(REGEXMATCH(LD131, ""N""), ""N1"",IF(REGEXMATCH(LE131, ""N""), ""N2"",""""))"),"N1")</f>
        <v>N1</v>
      </c>
      <c r="LT131" s="388" t="str">
        <f>IFERROR(__xludf.DUMMYFUNCTION("IF(REGEXMATCH(LD131, ""S""), ""S"",IF(REGEXMATCH(LE131, ""S""), ""S"",""""))"),"S")</f>
        <v>S</v>
      </c>
      <c r="LU131" s="389">
        <f t="shared" si="196"/>
        <v>1</v>
      </c>
      <c r="LV131" s="378"/>
      <c r="LW131" s="369"/>
      <c r="LX131" s="369"/>
    </row>
    <row r="132" ht="18.0" customHeight="1">
      <c r="A132" s="298" t="s">
        <v>779</v>
      </c>
      <c r="B132" s="222" t="s">
        <v>741</v>
      </c>
      <c r="C132" s="233" t="str">
        <f t="shared" si="7"/>
        <v>SRgGmPDnNS</v>
      </c>
      <c r="D132" s="234" t="str">
        <f>IFERROR(__xludf.DUMMYFUNCTION("IF(REGEXMATCH(C132, ""S""), ""S"","""")"),"S")</f>
        <v>S</v>
      </c>
      <c r="E132" s="236" t="str">
        <f>IFERROR(__xludf.DUMMYFUNCTION("IF(REGEXMATCH(C132, ""r""), ""r"","""")"),"")</f>
        <v/>
      </c>
      <c r="F132" s="237" t="str">
        <f>IFERROR(__xludf.DUMMYFUNCTION("IF(REGEXMATCH(C132, ""R""), ""R"","""")"),"R")</f>
        <v>R</v>
      </c>
      <c r="G132" s="237" t="str">
        <f>IFERROR(__xludf.DUMMYFUNCTION("IF(REGEXMATCH(C132, ""g""), ""g"","""")"),"g")</f>
        <v>g</v>
      </c>
      <c r="H132" s="236" t="str">
        <f>IFERROR(__xludf.DUMMYFUNCTION("IF(REGEXMATCH(C132, ""G""), ""G"","""")"),"G")</f>
        <v>G</v>
      </c>
      <c r="I132" s="236" t="str">
        <f>IFERROR(__xludf.DUMMYFUNCTION("IF(REGEXMATCH(C132, ""m""), ""m"","""")"),"m")</f>
        <v>m</v>
      </c>
      <c r="J132" s="237" t="str">
        <f>IFERROR(__xludf.DUMMYFUNCTION("IF(REGEXMATCH(C132, ""M""), ""M"","""")"),"")</f>
        <v/>
      </c>
      <c r="K132" s="236" t="str">
        <f>IFERROR(__xludf.DUMMYFUNCTION("IF(REGEXMATCH(C132, ""P""), ""P"","""")"),"P")</f>
        <v>P</v>
      </c>
      <c r="L132" s="237" t="str">
        <f>IFERROR(__xludf.DUMMYFUNCTION("IF(REGEXMATCH(C132, ""d""), ""d"","""")"),"")</f>
        <v/>
      </c>
      <c r="M132" s="236" t="str">
        <f>IFERROR(__xludf.DUMMYFUNCTION("IF(REGEXMATCH(C132, ""D""), ""D"","""")"),"D")</f>
        <v>D</v>
      </c>
      <c r="N132" s="236" t="str">
        <f>IFERROR(__xludf.DUMMYFUNCTION("IF(REGEXMATCH(C132, ""n""), ""n"","""")"),"n")</f>
        <v>n</v>
      </c>
      <c r="O132" s="237" t="str">
        <f>IFERROR(__xludf.DUMMYFUNCTION("IF(REGEXMATCH(C132, ""N""), ""N"","""")"),"N")</f>
        <v>N</v>
      </c>
      <c r="P132" s="238" t="str">
        <f>IFERROR(__xludf.DUMMYFUNCTION("IF(REGEXMATCH(C132, ""S""), ""S"","""")"),"S")</f>
        <v>S</v>
      </c>
      <c r="Q132" s="239" t="str">
        <f>IFERROR(__xludf.DUMMYFUNCTION("SUBSTITUTE(CONCATENATE(JOIN(""-"",D132:J132)),""-"","""")"),"SRgGm")</f>
        <v>SRgGm</v>
      </c>
      <c r="R132" s="229" t="str">
        <f>IFERROR(__xludf.DUMMYFUNCTION("SUBSTITUTE(CONCATENATE(JOIN(""-"",K132:P132)),""-"","""")"),"PDnNS")</f>
        <v>PDnNS</v>
      </c>
      <c r="S132" s="282" t="str">
        <f t="shared" si="8"/>
        <v>S-R-G-M</v>
      </c>
      <c r="T132" s="282" t="str">
        <f t="shared" si="9"/>
        <v>P-D-N-S</v>
      </c>
      <c r="U132" s="237" t="str">
        <f>IFERROR(__xludf.DUMMYFUNCTION("SUBSTITUTE(JOIN(""-"",S132,T132),""--"",""-"")"),"S-R-G-M-P-D-N-S")</f>
        <v>S-R-G-M-P-D-N-S</v>
      </c>
      <c r="V132" s="309" t="str">
        <f t="shared" si="10"/>
        <v>RgGmDnN</v>
      </c>
      <c r="W132" s="244" t="str">
        <f>IFERROR(__xludf.DUMMYFUNCTION("IF(REGEXMATCH(C132, ""S""), ""0"","""")"),"0")</f>
        <v>0</v>
      </c>
      <c r="X132" s="245" t="str">
        <f>IFERROR(__xludf.DUMMYFUNCTION("IF(REGEXMATCH(C132, ""r""), ""1"","""")"),"")</f>
        <v/>
      </c>
      <c r="Y132" s="246" t="str">
        <f>IFERROR(__xludf.DUMMYFUNCTION("IF(REGEXMATCH(C132, ""R""), ""2"","""")"),"2")</f>
        <v>2</v>
      </c>
      <c r="Z132" s="246" t="str">
        <f>IFERROR(__xludf.DUMMYFUNCTION("IF(REGEXMATCH(C132, ""g""), ""3"","""")"),"3")</f>
        <v>3</v>
      </c>
      <c r="AA132" s="245" t="str">
        <f>IFERROR(__xludf.DUMMYFUNCTION("IF(REGEXMATCH(C132, ""G""), ""4"","""")"),"4")</f>
        <v>4</v>
      </c>
      <c r="AB132" s="245" t="str">
        <f>IFERROR(__xludf.DUMMYFUNCTION("IF(REGEXMATCH(C132, ""m""), ""5"","""")"),"5")</f>
        <v>5</v>
      </c>
      <c r="AC132" s="246" t="str">
        <f>IFERROR(__xludf.DUMMYFUNCTION("IF(REGEXMATCH(C132, ""M""), ""6"","""")"),"")</f>
        <v/>
      </c>
      <c r="AD132" s="245" t="str">
        <f>IFERROR(__xludf.DUMMYFUNCTION("IF(REGEXMATCH(C132, ""P""), ""7"","""")"),"7")</f>
        <v>7</v>
      </c>
      <c r="AE132" s="246" t="str">
        <f>IFERROR(__xludf.DUMMYFUNCTION("IF(REGEXMATCH(C132, ""d""), ""8"","""")"),"")</f>
        <v/>
      </c>
      <c r="AF132" s="245" t="str">
        <f>IFERROR(__xludf.DUMMYFUNCTION("IF(REGEXMATCH(C132, ""D""), ""9"","""")"),"9")</f>
        <v>9</v>
      </c>
      <c r="AG132" s="245" t="str">
        <f>IFERROR(__xludf.DUMMYFUNCTION("IF(REGEXMATCH(C132, ""n""), ""10"","""")"),"10")</f>
        <v>10</v>
      </c>
      <c r="AH132" s="246" t="str">
        <f>IFERROR(__xludf.DUMMYFUNCTION("IF(REGEXMATCH(C132, ""N""), ""11"","""")"),"11")</f>
        <v>11</v>
      </c>
      <c r="AI132" s="249" t="str">
        <f>IFERROR(__xludf.DUMMYFUNCTION("IF(REGEXMATCH(C132, ""S""), ""0"","""")"),"0")</f>
        <v>0</v>
      </c>
      <c r="AJ132" s="313" t="str">
        <f t="shared" si="11"/>
        <v>-</v>
      </c>
      <c r="AK132" s="313" t="str">
        <f t="shared" si="12"/>
        <v>-</v>
      </c>
      <c r="AL132" s="313" t="str">
        <f t="shared" si="13"/>
        <v>-</v>
      </c>
      <c r="AM132" s="313" t="str">
        <f t="shared" si="14"/>
        <v>T</v>
      </c>
      <c r="AN132" s="313" t="str">
        <f t="shared" si="15"/>
        <v>T</v>
      </c>
      <c r="AO132" s="314" t="str">
        <f t="shared" si="16"/>
        <v>T</v>
      </c>
      <c r="AP132" s="316">
        <f t="shared" si="17"/>
        <v>3</v>
      </c>
      <c r="AQ132" s="319" t="str">
        <f t="shared" si="18"/>
        <v>-</v>
      </c>
      <c r="AR132" s="320">
        <f t="shared" si="19"/>
        <v>0</v>
      </c>
      <c r="AS132" s="250" t="str">
        <f>IFERROR(__xludf.DUMMYFUNCTION("SUBSTITUTE(SUBSTITUTE(CONCATENATE(JOIN("""",FP132:GA132)),""|"",""x""),""-"",""o"")"),"xoxxxxoxoxxx")</f>
        <v>xoxxxxoxoxxx</v>
      </c>
      <c r="AT132" s="323" t="str">
        <f>IFERROR(__xludf.DUMMYFUNCTION("JOIN("""",AS132,AS132)"),"xoxxxxoxoxxxxoxxxxoxoxxx")</f>
        <v>xoxxxxoxoxxxxoxxxxoxoxxx</v>
      </c>
      <c r="AU132" s="256" t="str">
        <f>IFERROR(__xludf.DUMMYFUNCTION("JOIN("""",ArrayFormula(MID(AS132,LEN(AS132)-SEQUENCE(1,LEN(AS132))+1,1)))"),"xxxoxoxxxxox")</f>
        <v>xxxoxoxxxxox</v>
      </c>
      <c r="AV132" s="256" t="str">
        <f>IFERROR(__xludf.DUMMYFUNCTION("LEFT(CONCATENATE(""x"",JOIN("""",ArrayFormula(MID(AS132,LEN(AS132)-SEQUENCE(1,LEN(AS132))+1,1)))),12)"),"xxxxoxoxxxxo")</f>
        <v>xxxxoxoxxxxo</v>
      </c>
      <c r="AW132" s="327" t="str">
        <f>IFERROR(__xludf.DUMMYFUNCTION("JOIN("""",AU132,AU132)"),"xxxoxoxxxxoxxxxoxoxxxxox")</f>
        <v>xxxoxoxxxxoxxxxoxoxxxxox</v>
      </c>
      <c r="AX132" s="239" t="str">
        <f>IFERROR(__xludf.DUMMYFUNCTION("IF(REGEXMATCH(AW132,AS132),""✔"",""-"")"),"✔")</f>
        <v>✔</v>
      </c>
      <c r="AY132" s="330" t="str">
        <f t="shared" si="20"/>
        <v>-</v>
      </c>
      <c r="AZ132" s="260" t="str">
        <f t="shared" si="21"/>
        <v>#REF!</v>
      </c>
      <c r="BA132" s="333" t="str">
        <f t="shared" si="22"/>
        <v>xoxxxxo</v>
      </c>
      <c r="BB132" s="334" t="str">
        <f t="shared" si="23"/>
        <v>xoxxxx</v>
      </c>
      <c r="BC132" s="335" t="str">
        <f t="shared" si="236"/>
        <v>✔</v>
      </c>
      <c r="BD132" s="336" t="str">
        <f t="shared" si="25"/>
        <v>Hanskinkini: 'xoxxxxo' + 'xoxxxx'</v>
      </c>
      <c r="BE132" s="337">
        <f>IFERROR(__xludf.DUMMYFUNCTION("COUNTUNIQUE(FILTER(AT:AT,REGEXMATCH(AT:AT,AS132)))-1"),4.0)</f>
        <v>4</v>
      </c>
      <c r="BF132" s="261" t="str">
        <f>IFERROR(__xludf.DUMMYFUNCTION("IF(BI132=0,""(n/a)"",IF(BJ132=2,""(PAIR)"",IF(REGEXMATCH(AT132,""xoxoxxoxoxox""),""Bilawal"",IF(REGEXMATCH(AT132,""xoxoxooxoxoo""),""Bhupali"",IF(REGEXMATCH(AT132,""xoxoxxoxxoxo""),""Charukeshi"",IF(REGEXMATCH(AT132,""xoxoooxxoxxo""),""Kameshwari"",IF(REG"&amp;"EXMATCH(AT132,""xoxoxooxoxox""),""Shankara"",IF(REGEXMATCH(AT132,""xxooxoxxxoox""),""Basant"",IF(REGEXMATCH(AT132,""xoxoxxxxoxox""),""Bihag"",IF(REGEXMATCH(AT132,""xoxxxxoxoxxx""),""Pilu"",IF(REGEXMATCH(AT132,""xoxxoxoxxoox""),""Kirwani"",IF(REGEXMATCH(AT"&amp;"132,""xoxxoxoxoxxx""),""Mk.Malhar"",IF(REGEXMATCH(AT132,""xxooxxoxxoox""),""Bhairav"",IF(REGEXMATCH(AT132,""xxoxooxxxoox""),""Todi"",IF(REGEXMATCH(AT132,""xxooxoxooxox""),""Marwa"",IF(REGEXMATCH(AT132,""xxoooxoxxooo""),""Gunkali"",IF(REGEXMATCH(AT132,""xo"&amp;"xoxxoxxoox""),""Nat Bhairav"",IF(REGEXMATCH(AT132,""xoxxoooxoxoo""),""Shivranjani"",IF(REGEXMATCH(AT132,""xooxxxoxooxo""),""Jog"",IF(REGEXMATCH(AT132,""xxooxoxoxoox""),""Hemshri"",IF(REGEXMATCH(AT132,""xoooxooxoxxo""),""Kalavati"",IF(REGEXMATCH(AT132,""xx"&amp;"oxoxxoxoox""),""Kedar"",IF(REGEXMATCH(AT132,""xoxxxxoxooxx""),""Gara"",IF(REGEXMATCH(AT132,""xooxoxooxoox""),""Chandrakauns"",IF(REGEXMATCH(AT132,""xoxxxxoxxxox""),""Mand"",IF(REGEXMATCH(AT132,""xoxxxxoxoxox""),""Hanskinkini"",IF(REGEXMATCH(AT132,""xxooxx"&amp;"oxooxo""),""Lilavati"",IF(REGEXMATCH(AT132,""xooxoxoooxox""),""Rajeshwari"",IF(REGEXMATCH(AT132,""xoooxxoxoxxx""),""Khokar"",IF(REGEXMATCH(AT132,""xxooxoxxxxox""),""Maligoura"",""-""))))))))))))))))))))))))))))))"),"Pilu")</f>
        <v>Pilu</v>
      </c>
      <c r="BG132" s="239" t="str">
        <f t="shared" si="26"/>
        <v>#REF!</v>
      </c>
      <c r="BH132" s="239">
        <f>IFERROR(__xludf.DUMMYFUNCTION("COUNTUNIQUE(FE132:FO132)-1"),8.0)</f>
        <v>8</v>
      </c>
      <c r="BI132" s="239">
        <f>IFERROR(__xludf.DUMMYFUNCTION("COUNTUNIQUE(FILTER(AT:AT,REGEXMATCH(AT:AT,AS132)))-1"),4.0)</f>
        <v>4</v>
      </c>
      <c r="BJ132" s="239">
        <f>IFERROR(__xludf.DUMMYFUNCTION("COUNTA(FILTER(AT:AT,REGEXMATCH(AT:AT,AS132)))"),26.0)</f>
        <v>26</v>
      </c>
      <c r="BK132" s="341">
        <f>IFERROR(__xludf.DUMMYFUNCTION("COUNTA(FILTER(AT:AT,REGEXMATCH(AT:AT,AS132)))-AR132"),26.0)</f>
        <v>26</v>
      </c>
      <c r="BL132" s="276" t="str">
        <f>IFERROR(__xludf.DUMMYFUNCTION("IF(AS132=""oooooooooooo"",""-"",IF(REGEXMATCH(AT132,""xx""), ""Hemi."", ""Anhemi.""))"),"Hemi.")</f>
        <v>Hemi.</v>
      </c>
      <c r="BM132" s="282" t="str">
        <f>IFERROR(__xludf.DUMMYFUNCTION("IF(AS132=""oooooooooooo"",""-"",IF(REGEXMATCH(AT132,""xxx""), ""Cohem."", ""-""))"),"Cohem.")</f>
        <v>Cohem.</v>
      </c>
      <c r="BN132" s="282" t="str">
        <f>IFERROR(__xludf.DUMMYFUNCTION("IF(AS132=""oooooooooooo"",""-"",IF(REGEXMATCH(AT132,""xxxx""), ""Co-Co."", ""-""))"),"Co-Co.")</f>
        <v>Co-Co.</v>
      </c>
      <c r="BO132" s="342" t="str">
        <f>IFERROR(__xludf.DUMMYFUNCTION("IF(AS132=""oooooooooooo"",""-"",IF(REGEXMATCH(AT132,""xxxxx""), ""CCC."", ""-""))"),"-")</f>
        <v>-</v>
      </c>
      <c r="BP132" s="344" t="str">
        <f t="shared" si="27"/>
        <v>-</v>
      </c>
      <c r="BQ132" s="282" t="str">
        <f>IFERROR(__xludf.DUMMYFUNCTION("IF(REGEXMATCH(JOIN(""-"",EU132:FD132),""TRUE""),""✔"",""-"")"),"-")</f>
        <v>-</v>
      </c>
      <c r="BR132" s="225">
        <f t="shared" si="28"/>
        <v>0</v>
      </c>
      <c r="BS132" s="345" t="str">
        <f>IFERROR(__xludf.DUMMYFUNCTION("SUBSTITUTE(SUBSTITUTE(SUBSTITUTE(SUBSTITUTE(CONCATENATE(JOIN(""-"",GC132:GO132)),""--"",""-""),""--"",""-""),""--"",""-""),""--"",""-"")"),"1-2-b3-3-4-5-6-b7-7-8")</f>
        <v>1-2-b3-3-4-5-6-b7-7-8</v>
      </c>
      <c r="BT132" s="299" t="str">
        <f>IFERROR(__xludf.DUMMYFUNCTION("SUBSTITUTE(SUBSTITUTE(SUBSTITUTE(SUBSTITUTE(CONCATENATE(JOIN(""-"",GP132:HB132)),""--"",""-""),""--"",""-""),""--"",""-""),""--"",""-"")"),"S-R2-G2-G3-M1-P-D2-N2-N3-S")</f>
        <v>S-R2-G2-G3-M1-P-D2-N2-N3-S</v>
      </c>
      <c r="BU132" s="348" t="str">
        <f t="shared" si="29"/>
        <v>C-D-Eb-E-F-G-A-Bb-B-C</v>
      </c>
      <c r="BV132" s="349" t="str">
        <f t="shared" si="30"/>
        <v>SrMdS</v>
      </c>
      <c r="BW132" s="350">
        <f t="shared" si="31"/>
        <v>0</v>
      </c>
      <c r="BX132" s="351">
        <f t="shared" si="32"/>
        <v>11</v>
      </c>
      <c r="BY132" s="392"/>
      <c r="BZ132" s="309" t="str">
        <f>IFERROR(__xludf.DUMMYFUNCTION("IF(REGEXMATCH(C132, ""S""), ""x"",""x"")"),"x")</f>
        <v>x</v>
      </c>
      <c r="CA132" s="245" t="str">
        <f>IFERROR(__xludf.DUMMYFUNCTION("IF(REGEXMATCH(C132, ""r""), ""o"",""x"")"),"x")</f>
        <v>x</v>
      </c>
      <c r="CB132" s="246" t="str">
        <f>IFERROR(__xludf.DUMMYFUNCTION("IF(REGEXMATCH(C132, ""R""), ""o"",""x"")"),"o")</f>
        <v>o</v>
      </c>
      <c r="CC132" s="246" t="str">
        <f>IFERROR(__xludf.DUMMYFUNCTION("IF(REGEXMATCH(C132, ""g""), ""o"",""x"")"),"o")</f>
        <v>o</v>
      </c>
      <c r="CD132" s="245" t="str">
        <f>IFERROR(__xludf.DUMMYFUNCTION("IF(REGEXMATCH(C132, ""G""), ""o"",""x"")"),"o")</f>
        <v>o</v>
      </c>
      <c r="CE132" s="245" t="str">
        <f>IFERROR(__xludf.DUMMYFUNCTION("IF(REGEXMATCH(C132, ""m""), ""o"",""x"")"),"o")</f>
        <v>o</v>
      </c>
      <c r="CF132" s="246" t="str">
        <f>IFERROR(__xludf.DUMMYFUNCTION("IF(REGEXMATCH(C132, ""M""), ""o"",""x"")"),"x")</f>
        <v>x</v>
      </c>
      <c r="CG132" s="245" t="str">
        <f>IFERROR(__xludf.DUMMYFUNCTION("IF(REGEXMATCH(C132, ""P""), ""o"",""x"")"),"o")</f>
        <v>o</v>
      </c>
      <c r="CH132" s="246" t="str">
        <f>IFERROR(__xludf.DUMMYFUNCTION("IF(REGEXMATCH(C132, ""d""), ""o"",""x"")"),"x")</f>
        <v>x</v>
      </c>
      <c r="CI132" s="245" t="str">
        <f>IFERROR(__xludf.DUMMYFUNCTION("IF(REGEXMATCH(C132, ""D""), ""o"",""x"")"),"o")</f>
        <v>o</v>
      </c>
      <c r="CJ132" s="245" t="str">
        <f>IFERROR(__xludf.DUMMYFUNCTION("IF(REGEXMATCH(C132, ""n""), ""o"",""x"")"),"o")</f>
        <v>o</v>
      </c>
      <c r="CK132" s="245" t="str">
        <f>IFERROR(__xludf.DUMMYFUNCTION("IF(REGEXMATCH(C132, ""N""), ""o"",""x"")"),"o")</f>
        <v>o</v>
      </c>
      <c r="CL132" s="356" t="str">
        <f>IFERROR(__xludf.DUMMYFUNCTION("IF(REGEXMATCH(C132, ""S""), ""x"",""x"")"),"x")</f>
        <v>x</v>
      </c>
      <c r="CM132" s="357" t="str">
        <f t="shared" si="33"/>
        <v>xxooooxoxooo</v>
      </c>
      <c r="CN132" s="358">
        <f t="shared" si="34"/>
        <v>0</v>
      </c>
      <c r="CO132" s="246" t="str">
        <f>IFERROR(__xludf.DUMMYFUNCTION("IF(REGEXMATCH($C132, ""S""), ""S"",""S"")"),"S")</f>
        <v>S</v>
      </c>
      <c r="CP132" s="246" t="str">
        <f>IFERROR(__xludf.DUMMYFUNCTION("IF(REGEXMATCH($C132, ""r""), """",""r"")"),"r")</f>
        <v>r</v>
      </c>
      <c r="CQ132" s="246" t="str">
        <f>IFERROR(__xludf.DUMMYFUNCTION("IF(REGEXMATCH($C132, ""R""), """",""R"")"),"")</f>
        <v/>
      </c>
      <c r="CR132" s="246" t="str">
        <f>IFERROR(__xludf.DUMMYFUNCTION("IF(REGEXMATCH($C132, ""g""), """",""g"")"),"")</f>
        <v/>
      </c>
      <c r="CS132" s="246" t="str">
        <f>IFERROR(__xludf.DUMMYFUNCTION("IF(REGEXMATCH($C132, ""G""), """",""G"")"),"")</f>
        <v/>
      </c>
      <c r="CT132" s="246" t="str">
        <f>IFERROR(__xludf.DUMMYFUNCTION("IF(REGEXMATCH($C132, ""m""), """",""m"")"),"")</f>
        <v/>
      </c>
      <c r="CU132" s="246" t="str">
        <f>IFERROR(__xludf.DUMMYFUNCTION("IF(REGEXMATCH($C132, ""M""), """",""M"")"),"M")</f>
        <v>M</v>
      </c>
      <c r="CV132" s="246" t="str">
        <f>IFERROR(__xludf.DUMMYFUNCTION("IF(REGEXMATCH($C132, ""P""), """",""P"")"),"")</f>
        <v/>
      </c>
      <c r="CW132" s="246" t="str">
        <f>IFERROR(__xludf.DUMMYFUNCTION("IF(REGEXMATCH($C132, ""d""), """",""d"")"),"d")</f>
        <v>d</v>
      </c>
      <c r="CX132" s="246" t="str">
        <f>IFERROR(__xludf.DUMMYFUNCTION("IF(REGEXMATCH($C132, ""D""), """",""D"")"),"")</f>
        <v/>
      </c>
      <c r="CY132" s="246" t="str">
        <f>IFERROR(__xludf.DUMMYFUNCTION("IF(REGEXMATCH($C132, ""n""), """",""n"")"),"")</f>
        <v/>
      </c>
      <c r="CZ132" s="246" t="str">
        <f>IFERROR(__xludf.DUMMYFUNCTION("IF(REGEXMATCH($C132, ""N""), """",""N"")"),"")</f>
        <v/>
      </c>
      <c r="DA132" s="246" t="str">
        <f>IFERROR(__xludf.DUMMYFUNCTION("IF(REGEXMATCH($C132, ""S""), ""S"",""S"")"),"S")</f>
        <v>S</v>
      </c>
      <c r="DB132" s="362" t="str">
        <f>IFERROR(__xludf.DUMMYFUNCTION("JOIN("""",CO132:DA132,"""","""")"),"SrMdS")</f>
        <v>SrMdS</v>
      </c>
      <c r="DC132" s="363"/>
      <c r="DD132" s="301" t="str">
        <f t="shared" si="35"/>
        <v>#REF!</v>
      </c>
      <c r="DE132" s="302" t="str">
        <f t="shared" si="36"/>
        <v>#REF!</v>
      </c>
      <c r="DF132" s="301" t="str">
        <f t="shared" ref="DF132:DG132" si="469">SUBSTITUTE(S132,"-","")</f>
        <v>SRGM</v>
      </c>
      <c r="DG132" s="301" t="str">
        <f t="shared" si="469"/>
        <v>PDNS</v>
      </c>
      <c r="DH132" s="302" t="str">
        <f t="shared" si="38"/>
        <v>Pilu</v>
      </c>
      <c r="DI132" s="301" t="str">
        <f t="shared" si="39"/>
        <v>Hemi.</v>
      </c>
      <c r="DJ132" s="364" t="str">
        <f t="shared" si="40"/>
        <v>Co-Co.</v>
      </c>
      <c r="DK132" s="306" t="str">
        <f t="shared" si="41"/>
        <v>-</v>
      </c>
      <c r="DL132" s="366" t="str">
        <f t="shared" si="42"/>
        <v>-</v>
      </c>
      <c r="DM132" s="308" t="str">
        <f t="shared" si="43"/>
        <v>✔</v>
      </c>
      <c r="DN132" s="306" t="str">
        <f t="shared" si="44"/>
        <v>-</v>
      </c>
      <c r="DO132" s="306" t="str">
        <f t="shared" si="45"/>
        <v>-</v>
      </c>
      <c r="DP132" s="367" t="str">
        <f t="shared" si="46"/>
        <v>-</v>
      </c>
      <c r="DQ132" s="310" t="str">
        <f t="shared" si="47"/>
        <v>-</v>
      </c>
      <c r="DR132" s="310" t="str">
        <f t="shared" si="48"/>
        <v>✔</v>
      </c>
      <c r="DS132" s="310" t="str">
        <f t="shared" si="49"/>
        <v>-</v>
      </c>
      <c r="DT132" s="310" t="str">
        <f t="shared" si="50"/>
        <v>-</v>
      </c>
      <c r="DU132" s="370" t="str">
        <f t="shared" si="51"/>
        <v>✔</v>
      </c>
      <c r="DV132" s="306" t="str">
        <f t="shared" si="52"/>
        <v>-</v>
      </c>
      <c r="DW132" s="306" t="str">
        <f t="shared" si="53"/>
        <v>-</v>
      </c>
      <c r="DX132" s="306" t="str">
        <f t="shared" si="54"/>
        <v>-</v>
      </c>
      <c r="DY132" s="306" t="str">
        <f t="shared" si="55"/>
        <v>-</v>
      </c>
      <c r="DZ132" s="306" t="str">
        <f t="shared" si="56"/>
        <v>-</v>
      </c>
      <c r="EA132" s="367" t="str">
        <f t="shared" si="57"/>
        <v>-</v>
      </c>
      <c r="EB132" s="310" t="str">
        <f>IFERROR(__xludf.DUMMYFUNCTION("IF(REGEXMATCH(AW132,AS132),""✔"",""-"")"),"✔")</f>
        <v>✔</v>
      </c>
      <c r="EC132" s="310" t="str">
        <f t="shared" si="58"/>
        <v>#REF!</v>
      </c>
      <c r="ED132" s="370" t="str">
        <f t="shared" si="59"/>
        <v>-</v>
      </c>
      <c r="EE132" s="340" t="str">
        <f t="shared" si="60"/>
        <v>S-R-gG-m-P-D-nN-S</v>
      </c>
      <c r="EF132" s="371" t="str">
        <f>IFERROR(__xludf.DUMMYFUNCTION("CONCATENATE(JOIN("""",HC132:HO132))"),"SrRgmPdDnS")</f>
        <v>SrRgmPdDnS</v>
      </c>
      <c r="EG132" s="372">
        <f t="shared" si="61"/>
        <v>1</v>
      </c>
      <c r="EH132" s="373" t="str">
        <f>IFERROR(__xludf.DUMMYFUNCTION("CONCATENATE(JOIN("""",JC132:JO132))"),"Ni, ")</f>
        <v>Ni, </v>
      </c>
      <c r="EI132" s="322">
        <f t="shared" si="62"/>
        <v>0</v>
      </c>
      <c r="EJ132" s="374" t="str">
        <f>IFERROR(__xludf.DUMMYFUNCTION("CONCATENATE(JOIN("""",KC132:KO132))"),"")</f>
        <v/>
      </c>
      <c r="EK132" s="325" t="str">
        <f t="shared" si="63"/>
        <v>S-R2-G2-G3-M1-P-D2-N2-N3-S</v>
      </c>
      <c r="EL132" s="326" t="str">
        <f t="shared" si="64"/>
        <v>1-2-b3-3-4-5-6-b7-7-8</v>
      </c>
      <c r="EM132" s="318" t="str">
        <f t="shared" si="65"/>
        <v>#REF!</v>
      </c>
      <c r="EN132" s="328" t="str">
        <f>IFERROR(__xludf.DUMMYFUNCTION("SUBSTITUTE(SUBSTITUTE(SUBSTITUTE(SUBSTITUTE(CONCATENATE(JOIN("" "",HP132:IB132)),""  "","" ""),""  "","" ""),""  "","" ""),""  "","" "")"),"o • o o o o • o • o o o o")</f>
        <v>o • o o o o • o • o o o o</v>
      </c>
      <c r="EO132" s="368" t="str">
        <f t="shared" si="66"/>
        <v>-</v>
      </c>
      <c r="EP132" s="339" t="str">
        <f t="shared" si="67"/>
        <v>-</v>
      </c>
      <c r="EQ132" s="339" t="str">
        <f t="shared" si="68"/>
        <v>Sa-Pa</v>
      </c>
      <c r="ER132" s="339" t="str">
        <f t="shared" si="69"/>
        <v>-</v>
      </c>
      <c r="ES132" s="340" t="str">
        <f t="shared" si="70"/>
        <v>-</v>
      </c>
      <c r="ET132" s="363"/>
      <c r="EU132" s="376" t="b">
        <f>IFERROR(__xludf.DUMMYFUNCTION("arrayformula(sum(--REGEXMATCH(""SRGMPDNS"",split(REGEXREPLACE(C132,""(.)"",""$1~""),""~""))))=len(C132)
"),FALSE)</f>
        <v>0</v>
      </c>
      <c r="EV132" s="290" t="b">
        <f>IFERROR(__xludf.DUMMYFUNCTION("arrayformula(sum(--REGEXMATCH(""SRGmPDNS"",split(REGEXREPLACE(C132,""(.)"",""$1~""),""~""))))=len(C132)"),FALSE)</f>
        <v>0</v>
      </c>
      <c r="EW132" s="290" t="b">
        <f>IFERROR(__xludf.DUMMYFUNCTION("arrayformula(sum(--REGEXMATCH(""SRGmPDnS"",split(REGEXREPLACE(C132,""(.)"",""$1~""),""~""))))=len(C132)"),FALSE)</f>
        <v>0</v>
      </c>
      <c r="EX132" s="290" t="b">
        <f>IFERROR(__xludf.DUMMYFUNCTION("arrayformula(sum(--REGEXMATCH(""SRgmPDnS"",split(REGEXREPLACE(C132,""(.)"",""$1~""),""~""))))=len(C132)"),FALSE)</f>
        <v>0</v>
      </c>
      <c r="EY132" s="290" t="b">
        <f>IFERROR(__xludf.DUMMYFUNCTION("arrayformula(sum(--REGEXMATCH(""SRgmPdnS"",split(REGEXREPLACE(C132,""(.)"",""$1~""),""~""))))=len(C132)"),FALSE)</f>
        <v>0</v>
      </c>
      <c r="EZ132" s="290" t="b">
        <f>IFERROR(__xludf.DUMMYFUNCTION("arrayformula(sum(--REGEXMATCH(""SrgmPdnS"",split(REGEXREPLACE(C132,""(.)"",""$1~""),""~""))))=len(C132)"),FALSE)</f>
        <v>0</v>
      </c>
      <c r="FA132" s="290" t="b">
        <f>IFERROR(__xludf.DUMMYFUNCTION("arrayformula(sum(--REGEXMATCH(""SrGmPdNS"",split(REGEXREPLACE(C132,""(.)"",""$1~""),""~""))))=len(C132)"),FALSE)</f>
        <v>0</v>
      </c>
      <c r="FB132" s="290" t="b">
        <f>IFERROR(__xludf.DUMMYFUNCTION("arrayformula(sum(--REGEXMATCH(""SrGMPDNS"",split(REGEXREPLACE(C132,""(.)"",""$1~""),""~""))))=len(C132)"),FALSE)</f>
        <v>0</v>
      </c>
      <c r="FC132" s="290" t="b">
        <f>IFERROR(__xludf.DUMMYFUNCTION("arrayformula(sum(--REGEXMATCH(""SrGMPdNS"",split(REGEXREPLACE(C132,""(.)"",""$1~""),""~""))))=len(C132)"),FALSE)</f>
        <v>0</v>
      </c>
      <c r="FD132" s="377" t="b">
        <f>IFERROR(__xludf.DUMMYFUNCTION("arrayformula(sum(--REGEXMATCH(""SrgMPdNS"",split(REGEXREPLACE(C132,""(.)"",""$1~""),""~""))))=len(C132)"),FALSE)</f>
        <v>0</v>
      </c>
      <c r="FE132" s="269" t="str">
        <f t="shared" si="71"/>
        <v>-</v>
      </c>
      <c r="FF132" s="269" t="str">
        <f t="shared" si="72"/>
        <v>xxxxoxoxxxx</v>
      </c>
      <c r="FG132" s="271" t="str">
        <f t="shared" si="73"/>
        <v>xxxoxoxxxxo</v>
      </c>
      <c r="FH132" s="269" t="str">
        <f t="shared" si="74"/>
        <v>xxoxoxxxxox</v>
      </c>
      <c r="FI132" s="271" t="str">
        <f t="shared" si="75"/>
        <v>xoxoxxxxoxx</v>
      </c>
      <c r="FJ132" s="271" t="str">
        <f t="shared" si="76"/>
        <v>-</v>
      </c>
      <c r="FK132" s="271" t="str">
        <f t="shared" si="77"/>
        <v>xoxxxxoxxxx</v>
      </c>
      <c r="FL132" s="271" t="str">
        <f t="shared" si="78"/>
        <v>-</v>
      </c>
      <c r="FM132" s="271" t="str">
        <f t="shared" si="79"/>
        <v>xxxxoxxxxox</v>
      </c>
      <c r="FN132" s="271" t="str">
        <f t="shared" si="80"/>
        <v>xxxoxxxxoxo</v>
      </c>
      <c r="FO132" s="274" t="str">
        <f t="shared" si="81"/>
        <v>xxoxxxxoxox</v>
      </c>
      <c r="FP132" s="234" t="str">
        <f t="shared" si="82"/>
        <v>|</v>
      </c>
      <c r="FQ132" s="236" t="str">
        <f t="shared" si="83"/>
        <v>-</v>
      </c>
      <c r="FR132" s="237" t="str">
        <f t="shared" si="84"/>
        <v>|</v>
      </c>
      <c r="FS132" s="236" t="str">
        <f t="shared" si="85"/>
        <v>|</v>
      </c>
      <c r="FT132" s="237" t="str">
        <f t="shared" si="86"/>
        <v>|</v>
      </c>
      <c r="FU132" s="236" t="str">
        <f t="shared" si="87"/>
        <v>|</v>
      </c>
      <c r="FV132" s="237" t="str">
        <f t="shared" si="88"/>
        <v>-</v>
      </c>
      <c r="FW132" s="236" t="str">
        <f t="shared" si="89"/>
        <v>|</v>
      </c>
      <c r="FX132" s="237" t="str">
        <f t="shared" si="90"/>
        <v>-</v>
      </c>
      <c r="FY132" s="236" t="str">
        <f t="shared" si="91"/>
        <v>|</v>
      </c>
      <c r="FZ132" s="237" t="str">
        <f t="shared" si="92"/>
        <v>|</v>
      </c>
      <c r="GA132" s="236" t="str">
        <f t="shared" si="93"/>
        <v>|</v>
      </c>
      <c r="GB132" s="238" t="str">
        <f t="shared" si="94"/>
        <v>|</v>
      </c>
      <c r="GC132" s="244" t="str">
        <f>IFERROR(__xludf.DUMMYFUNCTION("IF(REGEXMATCH(C132, ""S""), ""1"","""")"),"1")</f>
        <v>1</v>
      </c>
      <c r="GD132" s="245" t="str">
        <f>IFERROR(__xludf.DUMMYFUNCTION("IF(REGEXMATCH(C132, ""r""), ""b2"","""")"),"")</f>
        <v/>
      </c>
      <c r="GE132" s="246" t="str">
        <f>IFERROR(__xludf.DUMMYFUNCTION("IF(REGEXMATCH(C132, ""R""), ""2"","""")"),"2")</f>
        <v>2</v>
      </c>
      <c r="GF132" s="246" t="str">
        <f>IFERROR(__xludf.DUMMYFUNCTION("IF(REGEXMATCH(C132, ""g""), ""b3"","""")"),"b3")</f>
        <v>b3</v>
      </c>
      <c r="GG132" s="245" t="str">
        <f>IFERROR(__xludf.DUMMYFUNCTION("IF(REGEXMATCH(C132, ""G""), ""3"","""")"),"3")</f>
        <v>3</v>
      </c>
      <c r="GH132" s="245" t="str">
        <f>IFERROR(__xludf.DUMMYFUNCTION("IF(REGEXMATCH(C132, ""m""), ""4"","""")"),"4")</f>
        <v>4</v>
      </c>
      <c r="GI132" s="246" t="str">
        <f>IFERROR(__xludf.DUMMYFUNCTION("IF(REGEXMATCH(C132, ""M""), ""#4"","""")"),"")</f>
        <v/>
      </c>
      <c r="GJ132" s="245" t="str">
        <f>IFERROR(__xludf.DUMMYFUNCTION("IF(REGEXMATCH(C132, ""P""), ""5"","""")"),"5")</f>
        <v>5</v>
      </c>
      <c r="GK132" s="246" t="str">
        <f>IFERROR(__xludf.DUMMYFUNCTION("IF(REGEXMATCH(C132, ""d""), ""b6"","""")"),"")</f>
        <v/>
      </c>
      <c r="GL132" s="245" t="str">
        <f>IFERROR(__xludf.DUMMYFUNCTION("IF(REGEXMATCH(C132, ""D""), ""6"","""")"),"6")</f>
        <v>6</v>
      </c>
      <c r="GM132" s="245" t="str">
        <f>IFERROR(__xludf.DUMMYFUNCTION("IF(REGEXMATCH(C132, ""n""), ""b7"","""")"),"b7")</f>
        <v>b7</v>
      </c>
      <c r="GN132" s="246" t="str">
        <f>IFERROR(__xludf.DUMMYFUNCTION("IF(REGEXMATCH(C132, ""N""), ""7"","""")"),"7")</f>
        <v>7</v>
      </c>
      <c r="GO132" s="249" t="str">
        <f>IFERROR(__xludf.DUMMYFUNCTION("IF(REGEXMATCH(C132, ""S""), ""8"","""")"),"8")</f>
        <v>8</v>
      </c>
      <c r="GP132" s="244" t="str">
        <f>IFERROR(__xludf.DUMMYFUNCTION("IF(REGEXMATCH(C132, ""S""), ""S"","""")"),"S")</f>
        <v>S</v>
      </c>
      <c r="GQ132" s="294" t="str">
        <f>IFERROR(__xludf.DUMMYFUNCTION("IF(REGEXMATCH(C132, ""r""), ""R1"","""")"),"")</f>
        <v/>
      </c>
      <c r="GR132" s="295" t="str">
        <f>IFERROR(__xludf.DUMMYFUNCTION("IF(REGEXMATCH(C132, ""R""), ""R2"","""")"),"R2")</f>
        <v>R2</v>
      </c>
      <c r="GS132" s="295" t="str">
        <f>IFERROR(__xludf.DUMMYFUNCTION("IF(REGEXMATCH(C132, ""g""), ""G2"","""")"),"G2")</f>
        <v>G2</v>
      </c>
      <c r="GT132" s="294" t="str">
        <f>IFERROR(__xludf.DUMMYFUNCTION("IF(REGEXMATCH(C132, ""G""), ""G3"","""")"),"G3")</f>
        <v>G3</v>
      </c>
      <c r="GU132" s="294" t="str">
        <f>IFERROR(__xludf.DUMMYFUNCTION("IF(REGEXMATCH(C132, ""m""), ""M1"","""")"),"M1")</f>
        <v>M1</v>
      </c>
      <c r="GV132" s="295" t="str">
        <f>IFERROR(__xludf.DUMMYFUNCTION("IF(REGEXMATCH(C132, ""M""), ""M2"","""")"),"")</f>
        <v/>
      </c>
      <c r="GW132" s="294" t="str">
        <f>IFERROR(__xludf.DUMMYFUNCTION("IF(REGEXMATCH(C132, ""P""), ""P"","""")"),"P")</f>
        <v>P</v>
      </c>
      <c r="GX132" s="295" t="str">
        <f>IFERROR(__xludf.DUMMYFUNCTION("IF(REGEXMATCH(C132, ""d""), ""D1"","""")"),"")</f>
        <v/>
      </c>
      <c r="GY132" s="294" t="str">
        <f>IFERROR(__xludf.DUMMYFUNCTION("IF(REGEXMATCH(C132, ""D""), ""D2"","""")"),"D2")</f>
        <v>D2</v>
      </c>
      <c r="GZ132" s="294" t="str">
        <f>IFERROR(__xludf.DUMMYFUNCTION("IF(REGEXMATCH(C132, ""n""), ""N2"","""")"),"N2")</f>
        <v>N2</v>
      </c>
      <c r="HA132" s="295" t="str">
        <f>IFERROR(__xludf.DUMMYFUNCTION("IF(REGEXMATCH(C132, ""N""), ""N3"","""")"),"N3")</f>
        <v>N3</v>
      </c>
      <c r="HB132" s="249" t="str">
        <f>IFERROR(__xludf.DUMMYFUNCTION("IF(REGEXMATCH(C132, ""S""), ""S"","""")"),"S")</f>
        <v>S</v>
      </c>
      <c r="HC132" s="331" t="str">
        <f t="shared" si="95"/>
        <v>S</v>
      </c>
      <c r="HD132" s="332" t="str">
        <f t="shared" si="96"/>
        <v>r</v>
      </c>
      <c r="HE132" s="332" t="str">
        <f t="shared" si="97"/>
        <v>R</v>
      </c>
      <c r="HF132" s="332" t="str">
        <f t="shared" si="98"/>
        <v>g</v>
      </c>
      <c r="HG132" s="332" t="str">
        <f t="shared" si="99"/>
        <v/>
      </c>
      <c r="HH132" s="332" t="str">
        <f t="shared" si="100"/>
        <v>m</v>
      </c>
      <c r="HI132" s="332" t="str">
        <f t="shared" si="101"/>
        <v/>
      </c>
      <c r="HJ132" s="332" t="str">
        <f t="shared" si="102"/>
        <v>P</v>
      </c>
      <c r="HK132" s="332" t="str">
        <f t="shared" si="103"/>
        <v>d</v>
      </c>
      <c r="HL132" s="332" t="str">
        <f t="shared" si="104"/>
        <v>D</v>
      </c>
      <c r="HM132" s="332" t="str">
        <f t="shared" si="105"/>
        <v>n</v>
      </c>
      <c r="HN132" s="332" t="str">
        <f t="shared" si="106"/>
        <v/>
      </c>
      <c r="HO132" s="343" t="str">
        <f t="shared" si="107"/>
        <v>S</v>
      </c>
      <c r="HP132" s="331" t="str">
        <f t="shared" si="108"/>
        <v>o</v>
      </c>
      <c r="HQ132" s="332" t="str">
        <f t="shared" si="109"/>
        <v>•</v>
      </c>
      <c r="HR132" s="332" t="str">
        <f t="shared" si="110"/>
        <v>o</v>
      </c>
      <c r="HS132" s="332" t="str">
        <f t="shared" si="111"/>
        <v>o</v>
      </c>
      <c r="HT132" s="332" t="str">
        <f t="shared" si="112"/>
        <v>o</v>
      </c>
      <c r="HU132" s="332" t="str">
        <f t="shared" si="113"/>
        <v>o</v>
      </c>
      <c r="HV132" s="332" t="str">
        <f t="shared" si="114"/>
        <v>•</v>
      </c>
      <c r="HW132" s="332" t="str">
        <f t="shared" si="115"/>
        <v>o</v>
      </c>
      <c r="HX132" s="332" t="str">
        <f t="shared" si="116"/>
        <v>•</v>
      </c>
      <c r="HY132" s="332" t="str">
        <f t="shared" si="117"/>
        <v>o</v>
      </c>
      <c r="HZ132" s="332" t="str">
        <f t="shared" si="118"/>
        <v>o</v>
      </c>
      <c r="IA132" s="332" t="str">
        <f t="shared" si="119"/>
        <v>o</v>
      </c>
      <c r="IB132" s="338" t="str">
        <f t="shared" si="120"/>
        <v>o</v>
      </c>
      <c r="IC132" s="331" t="str">
        <f t="shared" si="121"/>
        <v>•</v>
      </c>
      <c r="ID132" s="332" t="str">
        <f t="shared" si="122"/>
        <v>o</v>
      </c>
      <c r="IE132" s="332" t="str">
        <f t="shared" si="123"/>
        <v>•</v>
      </c>
      <c r="IF132" s="332" t="str">
        <f t="shared" si="124"/>
        <v>•</v>
      </c>
      <c r="IG132" s="332" t="str">
        <f t="shared" si="125"/>
        <v>•</v>
      </c>
      <c r="IH132" s="332" t="str">
        <f t="shared" si="126"/>
        <v>•</v>
      </c>
      <c r="II132" s="332" t="str">
        <f t="shared" si="127"/>
        <v>o</v>
      </c>
      <c r="IJ132" s="332" t="str">
        <f t="shared" si="128"/>
        <v>•</v>
      </c>
      <c r="IK132" s="332" t="str">
        <f t="shared" si="129"/>
        <v>o</v>
      </c>
      <c r="IL132" s="332" t="str">
        <f t="shared" si="130"/>
        <v>•</v>
      </c>
      <c r="IM132" s="332" t="str">
        <f t="shared" si="131"/>
        <v>•</v>
      </c>
      <c r="IN132" s="332" t="str">
        <f t="shared" si="132"/>
        <v>•</v>
      </c>
      <c r="IO132" s="338" t="str">
        <f t="shared" si="133"/>
        <v>•</v>
      </c>
      <c r="IP132" s="346" t="b">
        <f t="shared" si="134"/>
        <v>0</v>
      </c>
      <c r="IQ132" s="347" t="b">
        <f t="shared" si="135"/>
        <v>0</v>
      </c>
      <c r="IR132" s="347" t="b">
        <f t="shared" si="136"/>
        <v>0</v>
      </c>
      <c r="IS132" s="347" t="b">
        <f t="shared" si="137"/>
        <v>0</v>
      </c>
      <c r="IT132" s="347" t="b">
        <f t="shared" si="138"/>
        <v>0</v>
      </c>
      <c r="IU132" s="347" t="b">
        <f t="shared" si="139"/>
        <v>0</v>
      </c>
      <c r="IV132" s="347" t="b">
        <f t="shared" si="140"/>
        <v>0</v>
      </c>
      <c r="IW132" s="347" t="b">
        <f t="shared" si="141"/>
        <v>0</v>
      </c>
      <c r="IX132" s="347" t="b">
        <f t="shared" si="142"/>
        <v>0</v>
      </c>
      <c r="IY132" s="347" t="b">
        <f t="shared" si="143"/>
        <v>0</v>
      </c>
      <c r="IZ132" s="347" t="b">
        <f t="shared" si="144"/>
        <v>0</v>
      </c>
      <c r="JA132" s="347" t="b">
        <f t="shared" si="145"/>
        <v>1</v>
      </c>
      <c r="JB132" s="353" t="b">
        <f t="shared" si="146"/>
        <v>0</v>
      </c>
      <c r="JC132" s="354" t="str">
        <f t="shared" si="147"/>
        <v/>
      </c>
      <c r="JD132" s="355" t="str">
        <f t="shared" si="148"/>
        <v/>
      </c>
      <c r="JE132" s="355" t="str">
        <f t="shared" si="149"/>
        <v/>
      </c>
      <c r="JF132" s="355" t="str">
        <f t="shared" si="150"/>
        <v/>
      </c>
      <c r="JG132" s="355" t="str">
        <f t="shared" si="151"/>
        <v/>
      </c>
      <c r="JH132" s="355" t="str">
        <f t="shared" si="152"/>
        <v/>
      </c>
      <c r="JI132" s="355" t="str">
        <f t="shared" si="153"/>
        <v/>
      </c>
      <c r="JJ132" s="355" t="str">
        <f t="shared" si="154"/>
        <v/>
      </c>
      <c r="JK132" s="355" t="str">
        <f t="shared" si="155"/>
        <v/>
      </c>
      <c r="JL132" s="355" t="str">
        <f t="shared" si="156"/>
        <v/>
      </c>
      <c r="JM132" s="355" t="str">
        <f t="shared" si="157"/>
        <v/>
      </c>
      <c r="JN132" s="355" t="str">
        <f t="shared" si="158"/>
        <v>Ni, </v>
      </c>
      <c r="JO132" s="359" t="str">
        <f t="shared" si="159"/>
        <v/>
      </c>
      <c r="JP132" s="346" t="b">
        <f t="shared" si="160"/>
        <v>0</v>
      </c>
      <c r="JQ132" s="347" t="b">
        <f t="shared" si="161"/>
        <v>0</v>
      </c>
      <c r="JR132" s="347" t="b">
        <f t="shared" si="162"/>
        <v>0</v>
      </c>
      <c r="JS132" s="347" t="b">
        <f t="shared" si="163"/>
        <v>0</v>
      </c>
      <c r="JT132" s="347" t="b">
        <f t="shared" si="164"/>
        <v>0</v>
      </c>
      <c r="JU132" s="347" t="b">
        <f t="shared" si="165"/>
        <v>0</v>
      </c>
      <c r="JV132" s="347" t="b">
        <f t="shared" si="166"/>
        <v>0</v>
      </c>
      <c r="JW132" s="347" t="b">
        <f t="shared" si="167"/>
        <v>0</v>
      </c>
      <c r="JX132" s="347" t="b">
        <f t="shared" si="168"/>
        <v>0</v>
      </c>
      <c r="JY132" s="347" t="b">
        <f t="shared" si="169"/>
        <v>0</v>
      </c>
      <c r="JZ132" s="347" t="b">
        <f t="shared" si="170"/>
        <v>0</v>
      </c>
      <c r="KA132" s="347" t="b">
        <f t="shared" si="171"/>
        <v>0</v>
      </c>
      <c r="KB132" s="365" t="b">
        <f t="shared" si="172"/>
        <v>0</v>
      </c>
      <c r="KC132" s="354" t="str">
        <f t="shared" si="173"/>
        <v/>
      </c>
      <c r="KD132" s="355" t="str">
        <f t="shared" si="174"/>
        <v/>
      </c>
      <c r="KE132" s="355" t="str">
        <f t="shared" si="175"/>
        <v/>
      </c>
      <c r="KF132" s="355" t="str">
        <f t="shared" si="176"/>
        <v/>
      </c>
      <c r="KG132" s="355" t="str">
        <f t="shared" si="177"/>
        <v/>
      </c>
      <c r="KH132" s="355" t="str">
        <f t="shared" si="178"/>
        <v/>
      </c>
      <c r="KI132" s="355" t="str">
        <f t="shared" si="179"/>
        <v/>
      </c>
      <c r="KJ132" s="355" t="str">
        <f t="shared" si="180"/>
        <v/>
      </c>
      <c r="KK132" s="355" t="str">
        <f t="shared" si="181"/>
        <v/>
      </c>
      <c r="KL132" s="355" t="str">
        <f t="shared" si="182"/>
        <v/>
      </c>
      <c r="KM132" s="355" t="str">
        <f t="shared" si="183"/>
        <v/>
      </c>
      <c r="KN132" s="355" t="str">
        <f t="shared" si="184"/>
        <v/>
      </c>
      <c r="KO132" s="359"/>
      <c r="KP132" s="378"/>
      <c r="KQ132" s="379" t="s">
        <v>1352</v>
      </c>
      <c r="KR132" s="380" t="s">
        <v>1401</v>
      </c>
      <c r="KS132" s="381" t="str">
        <f t="shared" si="463"/>
        <v>S-G-m-P-N-S</v>
      </c>
      <c r="KT132" s="382">
        <f t="shared" si="186"/>
        <v>5</v>
      </c>
      <c r="KU132" s="383">
        <f t="shared" si="187"/>
        <v>5</v>
      </c>
      <c r="KV132" s="381" t="str">
        <f t="shared" si="205"/>
        <v>S-n-D-P-m-Gg-R-S</v>
      </c>
      <c r="KW132" s="382">
        <f t="shared" si="189"/>
        <v>7</v>
      </c>
      <c r="KX132" s="384">
        <f t="shared" si="190"/>
        <v>8</v>
      </c>
      <c r="KY132" s="382">
        <f t="shared" ref="KY132:KZ132" si="470">KW132-KT132</f>
        <v>2</v>
      </c>
      <c r="KZ132" s="369">
        <f t="shared" si="470"/>
        <v>3</v>
      </c>
      <c r="LA132" s="385" t="str">
        <f t="shared" si="192"/>
        <v>-</v>
      </c>
      <c r="LB132" s="340" t="str">
        <f>IFERROR(__xludf.DUMMYFUNCTION("JOIN("""",ArrayFormula(MID(KS132,LEN(KS132)-SEQUENCE(1,LEN(KS132))+1,1)))"),"S-N-P-m-G-S")</f>
        <v>S-N-P-m-G-S</v>
      </c>
      <c r="LC132" s="373" t="str">
        <f>IFERROR(__xludf.DUMMYFUNCTION("JOIN("""",ArrayFormula(MID(KV132,LEN(KV132)-SEQUENCE(1,LEN(KV132))+1,1)))"),"S-R-gG-m-P-D-n-S")</f>
        <v>S-R-gG-m-P-D-n-S</v>
      </c>
      <c r="LD132" s="373" t="str">
        <f t="shared" si="193"/>
        <v>SGmPNS</v>
      </c>
      <c r="LE132" s="339" t="str">
        <f t="shared" si="194"/>
        <v>SRgGmPDnS</v>
      </c>
      <c r="LF132" s="386" t="str">
        <f>IFERROR(__xludf.DUMMYFUNCTION("SUBSTITUTE(SUBSTITUTE(CONCATENATE(JOIN("""",LH132:LT132)),""1"",""""),""2"","""")"),"SRgGmPDnNS")</f>
        <v>SRgGmPDnNS</v>
      </c>
      <c r="LG132" s="369" t="str">
        <f t="shared" si="195"/>
        <v>✔</v>
      </c>
      <c r="LH132" s="387" t="str">
        <f>IFERROR(__xludf.DUMMYFUNCTION("IF(REGEXMATCH(LD132, ""S""), ""S"",IF(REGEXMATCH(LE132, ""S""), ""S"",""""))"),"S")</f>
        <v>S</v>
      </c>
      <c r="LI132" s="299" t="str">
        <f>IFERROR(__xludf.DUMMYFUNCTION("IF(REGEXMATCH(LD132, ""r""), ""r1"",IF(REGEXMATCH(LE132, ""r""), ""r2"",""""))"),"")</f>
        <v/>
      </c>
      <c r="LJ132" s="299" t="str">
        <f>IFERROR(__xludf.DUMMYFUNCTION("IF(REGEXMATCH(LD132, ""R""), ""R1"",IF(REGEXMATCH(LE132, ""R""), ""R2"",""""))"),"R2")</f>
        <v>R2</v>
      </c>
      <c r="LK132" s="299" t="str">
        <f>IFERROR(__xludf.DUMMYFUNCTION("IF(REGEXMATCH(LD132, ""g""), ""g1"",IF(REGEXMATCH(LE132, ""g""), ""g2"",""""))"),"g2")</f>
        <v>g2</v>
      </c>
      <c r="LL132" s="299" t="str">
        <f>IFERROR(__xludf.DUMMYFUNCTION("IF(REGEXMATCH(LD132, ""G""), ""G1"",IF(REGEXMATCH(LE132, ""G""), ""G2"",""""))"),"G1")</f>
        <v>G1</v>
      </c>
      <c r="LM132" s="299" t="str">
        <f>IFERROR(__xludf.DUMMYFUNCTION("IF(REGEXMATCH(LD132, ""m""), ""m1"",IF(REGEXMATCH(LE132, ""m""), ""m2"",""""))"),"m1")</f>
        <v>m1</v>
      </c>
      <c r="LN132" s="299" t="str">
        <f>IFERROR(__xludf.DUMMYFUNCTION("IF(REGEXMATCH(LD132, ""M""), ""M1"",IF(REGEXMATCH(LE132, ""M""), ""M2"",""""))"),"")</f>
        <v/>
      </c>
      <c r="LO132" s="299" t="str">
        <f>IFERROR(__xludf.DUMMYFUNCTION("IF(REGEXMATCH(LD132, ""P""), ""P1"",IF(REGEXMATCH(LE132, ""P""), ""P2"",""""))"),"P1")</f>
        <v>P1</v>
      </c>
      <c r="LP132" s="299" t="str">
        <f>IFERROR(__xludf.DUMMYFUNCTION("IF(REGEXMATCH(LD132, ""d""), ""d1"",IF(REGEXMATCH(LE132, ""d""), ""d2"",""""))"),"")</f>
        <v/>
      </c>
      <c r="LQ132" s="299" t="str">
        <f>IFERROR(__xludf.DUMMYFUNCTION("IF(REGEXMATCH(LD132, ""D""), ""D1"",IF(REGEXMATCH(LE132, ""D""), ""D2"",""""))"),"D2")</f>
        <v>D2</v>
      </c>
      <c r="LR132" s="299" t="str">
        <f>IFERROR(__xludf.DUMMYFUNCTION("IF(REGEXMATCH(LD132, ""n""), ""n1"",IF(REGEXMATCH(LE132, ""n""), ""n2"",""""))"),"n2")</f>
        <v>n2</v>
      </c>
      <c r="LS132" s="299" t="str">
        <f>IFERROR(__xludf.DUMMYFUNCTION("IF(REGEXMATCH(LD132, ""N""), ""N1"",IF(REGEXMATCH(LE132, ""N""), ""N2"",""""))"),"N1")</f>
        <v>N1</v>
      </c>
      <c r="LT132" s="388" t="str">
        <f>IFERROR(__xludf.DUMMYFUNCTION("IF(REGEXMATCH(LD132, ""S""), ""S"",IF(REGEXMATCH(LE132, ""S""), ""S"",""""))"),"S")</f>
        <v>S</v>
      </c>
      <c r="LU132" s="389">
        <f t="shared" si="196"/>
        <v>-4</v>
      </c>
      <c r="LV132" s="378"/>
      <c r="LW132" s="369"/>
      <c r="LX132" s="369"/>
    </row>
    <row r="133" ht="18.0" customHeight="1">
      <c r="A133" s="298" t="s">
        <v>781</v>
      </c>
      <c r="B133" s="222" t="s">
        <v>782</v>
      </c>
      <c r="C133" s="233" t="str">
        <f t="shared" si="7"/>
        <v>SgMDnS</v>
      </c>
      <c r="D133" s="234" t="str">
        <f>IFERROR(__xludf.DUMMYFUNCTION("IF(REGEXMATCH(C133, ""S""), ""S"","""")"),"S")</f>
        <v>S</v>
      </c>
      <c r="E133" s="236" t="str">
        <f>IFERROR(__xludf.DUMMYFUNCTION("IF(REGEXMATCH(C133, ""r""), ""r"","""")"),"")</f>
        <v/>
      </c>
      <c r="F133" s="237" t="str">
        <f>IFERROR(__xludf.DUMMYFUNCTION("IF(REGEXMATCH(C133, ""R""), ""R"","""")"),"")</f>
        <v/>
      </c>
      <c r="G133" s="237" t="str">
        <f>IFERROR(__xludf.DUMMYFUNCTION("IF(REGEXMATCH(C133, ""g""), ""g"","""")"),"g")</f>
        <v>g</v>
      </c>
      <c r="H133" s="236" t="str">
        <f>IFERROR(__xludf.DUMMYFUNCTION("IF(REGEXMATCH(C133, ""G""), ""G"","""")"),"")</f>
        <v/>
      </c>
      <c r="I133" s="236" t="str">
        <f>IFERROR(__xludf.DUMMYFUNCTION("IF(REGEXMATCH(C133, ""m""), ""m"","""")"),"")</f>
        <v/>
      </c>
      <c r="J133" s="237" t="str">
        <f>IFERROR(__xludf.DUMMYFUNCTION("IF(REGEXMATCH(C133, ""M""), ""M"","""")"),"M")</f>
        <v>M</v>
      </c>
      <c r="K133" s="236" t="str">
        <f>IFERROR(__xludf.DUMMYFUNCTION("IF(REGEXMATCH(C133, ""P""), ""P"","""")"),"")</f>
        <v/>
      </c>
      <c r="L133" s="237" t="str">
        <f>IFERROR(__xludf.DUMMYFUNCTION("IF(REGEXMATCH(C133, ""d""), ""d"","""")"),"")</f>
        <v/>
      </c>
      <c r="M133" s="236" t="str">
        <f>IFERROR(__xludf.DUMMYFUNCTION("IF(REGEXMATCH(C133, ""D""), ""D"","""")"),"D")</f>
        <v>D</v>
      </c>
      <c r="N133" s="236" t="str">
        <f>IFERROR(__xludf.DUMMYFUNCTION("IF(REGEXMATCH(C133, ""n""), ""n"","""")"),"n")</f>
        <v>n</v>
      </c>
      <c r="O133" s="237" t="str">
        <f>IFERROR(__xludf.DUMMYFUNCTION("IF(REGEXMATCH(C133, ""N""), ""N"","""")"),"")</f>
        <v/>
      </c>
      <c r="P133" s="238" t="str">
        <f>IFERROR(__xludf.DUMMYFUNCTION("IF(REGEXMATCH(C133, ""S""), ""S"","""")"),"S")</f>
        <v>S</v>
      </c>
      <c r="Q133" s="239" t="str">
        <f>IFERROR(__xludf.DUMMYFUNCTION("SUBSTITUTE(CONCATENATE(JOIN(""-"",D133:J133)),""-"","""")"),"SgM")</f>
        <v>SgM</v>
      </c>
      <c r="R133" s="229" t="str">
        <f>IFERROR(__xludf.DUMMYFUNCTION("SUBSTITUTE(CONCATENATE(JOIN(""-"",K133:P133)),""-"","""")"),"DnS")</f>
        <v>DnS</v>
      </c>
      <c r="S133" s="282" t="str">
        <f t="shared" si="8"/>
        <v>S-G-M</v>
      </c>
      <c r="T133" s="282" t="str">
        <f t="shared" si="9"/>
        <v>D-N-S</v>
      </c>
      <c r="U133" s="237" t="str">
        <f>IFERROR(__xludf.DUMMYFUNCTION("SUBSTITUTE(JOIN(""-"",S133,T133),""--"",""-"")"),"S-G-M-D-N-S")</f>
        <v>S-G-M-D-N-S</v>
      </c>
      <c r="V133" s="309" t="str">
        <f t="shared" si="10"/>
        <v>gMDn</v>
      </c>
      <c r="W133" s="244" t="str">
        <f>IFERROR(__xludf.DUMMYFUNCTION("IF(REGEXMATCH(C133, ""S""), ""0"","""")"),"0")</f>
        <v>0</v>
      </c>
      <c r="X133" s="245" t="str">
        <f>IFERROR(__xludf.DUMMYFUNCTION("IF(REGEXMATCH(C133, ""r""), ""1"","""")"),"")</f>
        <v/>
      </c>
      <c r="Y133" s="246" t="str">
        <f>IFERROR(__xludf.DUMMYFUNCTION("IF(REGEXMATCH(C133, ""R""), ""2"","""")"),"")</f>
        <v/>
      </c>
      <c r="Z133" s="246" t="str">
        <f>IFERROR(__xludf.DUMMYFUNCTION("IF(REGEXMATCH(C133, ""g""), ""3"","""")"),"3")</f>
        <v>3</v>
      </c>
      <c r="AA133" s="245" t="str">
        <f>IFERROR(__xludf.DUMMYFUNCTION("IF(REGEXMATCH(C133, ""G""), ""4"","""")"),"")</f>
        <v/>
      </c>
      <c r="AB133" s="245" t="str">
        <f>IFERROR(__xludf.DUMMYFUNCTION("IF(REGEXMATCH(C133, ""m""), ""5"","""")"),"")</f>
        <v/>
      </c>
      <c r="AC133" s="246" t="str">
        <f>IFERROR(__xludf.DUMMYFUNCTION("IF(REGEXMATCH(C133, ""M""), ""6"","""")"),"6")</f>
        <v>6</v>
      </c>
      <c r="AD133" s="245" t="str">
        <f>IFERROR(__xludf.DUMMYFUNCTION("IF(REGEXMATCH(C133, ""P""), ""7"","""")"),"")</f>
        <v/>
      </c>
      <c r="AE133" s="246" t="str">
        <f>IFERROR(__xludf.DUMMYFUNCTION("IF(REGEXMATCH(C133, ""d""), ""8"","""")"),"")</f>
        <v/>
      </c>
      <c r="AF133" s="245" t="str">
        <f>IFERROR(__xludf.DUMMYFUNCTION("IF(REGEXMATCH(C133, ""D""), ""9"","""")"),"9")</f>
        <v>9</v>
      </c>
      <c r="AG133" s="245" t="str">
        <f>IFERROR(__xludf.DUMMYFUNCTION("IF(REGEXMATCH(C133, ""n""), ""10"","""")"),"10")</f>
        <v>10</v>
      </c>
      <c r="AH133" s="246" t="str">
        <f>IFERROR(__xludf.DUMMYFUNCTION("IF(REGEXMATCH(C133, ""N""), ""11"","""")"),"")</f>
        <v/>
      </c>
      <c r="AI133" s="249" t="str">
        <f>IFERROR(__xludf.DUMMYFUNCTION("IF(REGEXMATCH(C133, ""S""), ""0"","""")"),"0")</f>
        <v>0</v>
      </c>
      <c r="AJ133" s="313" t="str">
        <f t="shared" si="11"/>
        <v>T</v>
      </c>
      <c r="AK133" s="313" t="str">
        <f t="shared" si="12"/>
        <v>-</v>
      </c>
      <c r="AL133" s="313" t="str">
        <f t="shared" si="13"/>
        <v>-</v>
      </c>
      <c r="AM133" s="313" t="str">
        <f t="shared" si="14"/>
        <v>T</v>
      </c>
      <c r="AN133" s="313" t="str">
        <f t="shared" si="15"/>
        <v>-</v>
      </c>
      <c r="AO133" s="314" t="str">
        <f t="shared" si="16"/>
        <v>-</v>
      </c>
      <c r="AP133" s="316">
        <f t="shared" si="17"/>
        <v>2</v>
      </c>
      <c r="AQ133" s="319" t="str">
        <f t="shared" si="18"/>
        <v>#REF!</v>
      </c>
      <c r="AR133" s="320">
        <f t="shared" si="19"/>
        <v>0</v>
      </c>
      <c r="AS133" s="250" t="str">
        <f>IFERROR(__xludf.DUMMYFUNCTION("SUBSTITUTE(SUBSTITUTE(CONCATENATE(JOIN("""",FP133:GA133)),""|"",""x""),""-"",""o"")"),"xooxooxooxxo")</f>
        <v>xooxooxooxxo</v>
      </c>
      <c r="AT133" s="323" t="str">
        <f>IFERROR(__xludf.DUMMYFUNCTION("JOIN("""",AS133,AS133)"),"xooxooxooxxoxooxooxooxxo")</f>
        <v>xooxooxooxxoxooxooxooxxo</v>
      </c>
      <c r="AU133" s="256" t="str">
        <f>IFERROR(__xludf.DUMMYFUNCTION("JOIN("""",ArrayFormula(MID(AS133,LEN(AS133)-SEQUENCE(1,LEN(AS133))+1,1)))"),"oxxooxooxoox")</f>
        <v>oxxooxooxoox</v>
      </c>
      <c r="AV133" s="256" t="str">
        <f>IFERROR(__xludf.DUMMYFUNCTION("LEFT(CONCATENATE(""x"",JOIN("""",ArrayFormula(MID(AS133,LEN(AS133)-SEQUENCE(1,LEN(AS133))+1,1)))),12)"),"xoxxooxooxoo")</f>
        <v>xoxxooxooxoo</v>
      </c>
      <c r="AW133" s="327" t="str">
        <f>IFERROR(__xludf.DUMMYFUNCTION("JOIN("""",AU133,AU133)"),"oxxooxooxooxoxxooxooxoox")</f>
        <v>oxxooxooxooxoxxooxooxoox</v>
      </c>
      <c r="AX133" s="239" t="str">
        <f>IFERROR(__xludf.DUMMYFUNCTION("IF(REGEXMATCH(AW133,AS133),""✔"",""-"")"),"-")</f>
        <v>-</v>
      </c>
      <c r="AY133" s="330" t="str">
        <f t="shared" si="20"/>
        <v>-</v>
      </c>
      <c r="AZ133" s="260" t="str">
        <f t="shared" si="21"/>
        <v>#REF!</v>
      </c>
      <c r="BA133" s="333" t="str">
        <f t="shared" si="22"/>
        <v>xooxoox</v>
      </c>
      <c r="BB133" s="334" t="str">
        <f t="shared" si="23"/>
        <v>ooxxox</v>
      </c>
      <c r="BC133" s="335" t="str">
        <f t="shared" si="236"/>
        <v>-</v>
      </c>
      <c r="BD133" s="336" t="str">
        <f t="shared" si="25"/>
        <v>Harikauns: 'xooxoox' + 'ooxxox'</v>
      </c>
      <c r="BE133" s="337">
        <f>IFERROR(__xludf.DUMMYFUNCTION("COUNTUNIQUE(FILTER(AT:AT,REGEXMATCH(AT:AT,AS133)))-1"),1.0)</f>
        <v>1</v>
      </c>
      <c r="BF133" s="261" t="str">
        <f>IFERROR(__xludf.DUMMYFUNCTION("IF(BI133=0,""(n/a)"",IF(BJ133=2,""(PAIR)"",IF(REGEXMATCH(AT133,""xoxoxxoxoxox""),""Bilawal"",IF(REGEXMATCH(AT133,""xoxoxooxoxoo""),""Bhupali"",IF(REGEXMATCH(AT133,""xoxoxxoxxoxo""),""Charukeshi"",IF(REGEXMATCH(AT133,""xoxoooxxoxxo""),""Kameshwari"",IF(REG"&amp;"EXMATCH(AT133,""xoxoxooxoxox""),""Shankara"",IF(REGEXMATCH(AT133,""xxooxoxxxoox""),""Basant"",IF(REGEXMATCH(AT133,""xoxoxxxxoxox""),""Bihag"",IF(REGEXMATCH(AT133,""xoxxxxoxoxxx""),""Pilu"",IF(REGEXMATCH(AT133,""xoxxoxoxxoox""),""Kirwani"",IF(REGEXMATCH(AT"&amp;"133,""xoxxoxoxoxxx""),""Mk.Malhar"",IF(REGEXMATCH(AT133,""xxooxxoxxoox""),""Bhairav"",IF(REGEXMATCH(AT133,""xxoxooxxxoox""),""Todi"",IF(REGEXMATCH(AT133,""xxooxoxooxox""),""Marwa"",IF(REGEXMATCH(AT133,""xxoooxoxxooo""),""Gunkali"",IF(REGEXMATCH(AT133,""xo"&amp;"xoxxoxxoox""),""Nat Bhairav"",IF(REGEXMATCH(AT133,""xoxxoooxoxoo""),""Shivranjani"",IF(REGEXMATCH(AT133,""xooxxxoxooxo""),""Jog"",IF(REGEXMATCH(AT133,""xxooxoxoxoox""),""Hemshri"",IF(REGEXMATCH(AT133,""xoooxooxoxxo""),""Kalavati"",IF(REGEXMATCH(AT133,""xx"&amp;"oxoxxoxoox""),""Kedar"",IF(REGEXMATCH(AT133,""xoxxxxoxooxx""),""Gara"",IF(REGEXMATCH(AT133,""xooxoxooxoox""),""Chandrakauns"",IF(REGEXMATCH(AT133,""xoxxxxoxxxox""),""Mand"",IF(REGEXMATCH(AT133,""xoxxxxoxoxox""),""Hanskinkini"",IF(REGEXMATCH(AT133,""xxooxx"&amp;"oxooxo""),""Lilavati"",IF(REGEXMATCH(AT133,""xooxoxoooxox""),""Rajeshwari"",IF(REGEXMATCH(AT133,""xoooxxoxoxxx""),""Khokar"",IF(REGEXMATCH(AT133,""xxooxoxxxxox""),""Maligoura"",""-""))))))))))))))))))))))))))))))"),"(PAIR)")</f>
        <v>(PAIR)</v>
      </c>
      <c r="BG133" s="239" t="str">
        <f t="shared" si="26"/>
        <v>#REF!</v>
      </c>
      <c r="BH133" s="239">
        <f>IFERROR(__xludf.DUMMYFUNCTION("COUNTUNIQUE(FE133:FO133)-1"),4.0)</f>
        <v>4</v>
      </c>
      <c r="BI133" s="239">
        <f>IFERROR(__xludf.DUMMYFUNCTION("COUNTUNIQUE(FILTER(AT:AT,REGEXMATCH(AT:AT,AS133)))-1"),1.0)</f>
        <v>1</v>
      </c>
      <c r="BJ133" s="239">
        <f>IFERROR(__xludf.DUMMYFUNCTION("COUNTA(FILTER(AT:AT,REGEXMATCH(AT:AT,AS133)))"),2.0)</f>
        <v>2</v>
      </c>
      <c r="BK133" s="341">
        <f>IFERROR(__xludf.DUMMYFUNCTION("COUNTA(FILTER(AT:AT,REGEXMATCH(AT:AT,AS133)))-AR133"),2.0)</f>
        <v>2</v>
      </c>
      <c r="BL133" s="276" t="str">
        <f>IFERROR(__xludf.DUMMYFUNCTION("IF(AS133=""oooooooooooo"",""-"",IF(REGEXMATCH(AT133,""xx""), ""Hemi."", ""Anhemi.""))"),"Hemi.")</f>
        <v>Hemi.</v>
      </c>
      <c r="BM133" s="282" t="str">
        <f>IFERROR(__xludf.DUMMYFUNCTION("IF(AS133=""oooooooooooo"",""-"",IF(REGEXMATCH(AT133,""xxx""), ""Cohem."", ""-""))"),"-")</f>
        <v>-</v>
      </c>
      <c r="BN133" s="282" t="str">
        <f>IFERROR(__xludf.DUMMYFUNCTION("IF(AS133=""oooooooooooo"",""-"",IF(REGEXMATCH(AT133,""xxxx""), ""Co-Co."", ""-""))"),"-")</f>
        <v>-</v>
      </c>
      <c r="BO133" s="342" t="str">
        <f>IFERROR(__xludf.DUMMYFUNCTION("IF(AS133=""oooooooooooo"",""-"",IF(REGEXMATCH(AT133,""xxxxx""), ""CCC."", ""-""))"),"-")</f>
        <v>-</v>
      </c>
      <c r="BP133" s="344" t="str">
        <f t="shared" si="27"/>
        <v>-</v>
      </c>
      <c r="BQ133" s="282" t="str">
        <f>IFERROR(__xludf.DUMMYFUNCTION("IF(REGEXMATCH(JOIN(""-"",EU133:FD133),""TRUE""),""✔"",""-"")"),"-")</f>
        <v>-</v>
      </c>
      <c r="BR133" s="225">
        <f t="shared" si="28"/>
        <v>0</v>
      </c>
      <c r="BS133" s="345" t="str">
        <f>IFERROR(__xludf.DUMMYFUNCTION("SUBSTITUTE(SUBSTITUTE(SUBSTITUTE(SUBSTITUTE(CONCATENATE(JOIN(""-"",GC133:GO133)),""--"",""-""),""--"",""-""),""--"",""-""),""--"",""-"")"),"1-b3-#4-6-b7-8")</f>
        <v>1-b3-#4-6-b7-8</v>
      </c>
      <c r="BT133" s="299" t="str">
        <f>IFERROR(__xludf.DUMMYFUNCTION("SUBSTITUTE(SUBSTITUTE(SUBSTITUTE(SUBSTITUTE(CONCATENATE(JOIN(""-"",GP133:HB133)),""--"",""-""),""--"",""-""),""--"",""-""),""--"",""-"")"),"S-G2-M2-D2-N2-S")</f>
        <v>S-G2-M2-D2-N2-S</v>
      </c>
      <c r="BU133" s="348" t="str">
        <f t="shared" si="29"/>
        <v>C-Eb-F#-A-Bb-C</v>
      </c>
      <c r="BV133" s="349" t="str">
        <f t="shared" si="30"/>
        <v>SrRGmPdNS</v>
      </c>
      <c r="BW133" s="350">
        <f t="shared" si="31"/>
        <v>0</v>
      </c>
      <c r="BX133" s="351">
        <f t="shared" si="32"/>
        <v>1</v>
      </c>
      <c r="BY133" s="392"/>
      <c r="BZ133" s="309" t="str">
        <f>IFERROR(__xludf.DUMMYFUNCTION("IF(REGEXMATCH(C133, ""S""), ""x"",""x"")"),"x")</f>
        <v>x</v>
      </c>
      <c r="CA133" s="245" t="str">
        <f>IFERROR(__xludf.DUMMYFUNCTION("IF(REGEXMATCH(C133, ""r""), ""o"",""x"")"),"x")</f>
        <v>x</v>
      </c>
      <c r="CB133" s="246" t="str">
        <f>IFERROR(__xludf.DUMMYFUNCTION("IF(REGEXMATCH(C133, ""R""), ""o"",""x"")"),"x")</f>
        <v>x</v>
      </c>
      <c r="CC133" s="246" t="str">
        <f>IFERROR(__xludf.DUMMYFUNCTION("IF(REGEXMATCH(C133, ""g""), ""o"",""x"")"),"o")</f>
        <v>o</v>
      </c>
      <c r="CD133" s="245" t="str">
        <f>IFERROR(__xludf.DUMMYFUNCTION("IF(REGEXMATCH(C133, ""G""), ""o"",""x"")"),"x")</f>
        <v>x</v>
      </c>
      <c r="CE133" s="245" t="str">
        <f>IFERROR(__xludf.DUMMYFUNCTION("IF(REGEXMATCH(C133, ""m""), ""o"",""x"")"),"x")</f>
        <v>x</v>
      </c>
      <c r="CF133" s="246" t="str">
        <f>IFERROR(__xludf.DUMMYFUNCTION("IF(REGEXMATCH(C133, ""M""), ""o"",""x"")"),"o")</f>
        <v>o</v>
      </c>
      <c r="CG133" s="245" t="str">
        <f>IFERROR(__xludf.DUMMYFUNCTION("IF(REGEXMATCH(C133, ""P""), ""o"",""x"")"),"x")</f>
        <v>x</v>
      </c>
      <c r="CH133" s="246" t="str">
        <f>IFERROR(__xludf.DUMMYFUNCTION("IF(REGEXMATCH(C133, ""d""), ""o"",""x"")"),"x")</f>
        <v>x</v>
      </c>
      <c r="CI133" s="245" t="str">
        <f>IFERROR(__xludf.DUMMYFUNCTION("IF(REGEXMATCH(C133, ""D""), ""o"",""x"")"),"o")</f>
        <v>o</v>
      </c>
      <c r="CJ133" s="245" t="str">
        <f>IFERROR(__xludf.DUMMYFUNCTION("IF(REGEXMATCH(C133, ""n""), ""o"",""x"")"),"o")</f>
        <v>o</v>
      </c>
      <c r="CK133" s="245" t="str">
        <f>IFERROR(__xludf.DUMMYFUNCTION("IF(REGEXMATCH(C133, ""N""), ""o"",""x"")"),"x")</f>
        <v>x</v>
      </c>
      <c r="CL133" s="356" t="str">
        <f>IFERROR(__xludf.DUMMYFUNCTION("IF(REGEXMATCH(C133, ""S""), ""x"",""x"")"),"x")</f>
        <v>x</v>
      </c>
      <c r="CM133" s="357" t="str">
        <f t="shared" si="33"/>
        <v>xxxoxxoxxoox</v>
      </c>
      <c r="CN133" s="358">
        <f t="shared" si="34"/>
        <v>0</v>
      </c>
      <c r="CO133" s="246" t="str">
        <f>IFERROR(__xludf.DUMMYFUNCTION("IF(REGEXMATCH($C133, ""S""), ""S"",""S"")"),"S")</f>
        <v>S</v>
      </c>
      <c r="CP133" s="246" t="str">
        <f>IFERROR(__xludf.DUMMYFUNCTION("IF(REGEXMATCH($C133, ""r""), """",""r"")"),"r")</f>
        <v>r</v>
      </c>
      <c r="CQ133" s="246" t="str">
        <f>IFERROR(__xludf.DUMMYFUNCTION("IF(REGEXMATCH($C133, ""R""), """",""R"")"),"R")</f>
        <v>R</v>
      </c>
      <c r="CR133" s="246" t="str">
        <f>IFERROR(__xludf.DUMMYFUNCTION("IF(REGEXMATCH($C133, ""g""), """",""g"")"),"")</f>
        <v/>
      </c>
      <c r="CS133" s="246" t="str">
        <f>IFERROR(__xludf.DUMMYFUNCTION("IF(REGEXMATCH($C133, ""G""), """",""G"")"),"G")</f>
        <v>G</v>
      </c>
      <c r="CT133" s="246" t="str">
        <f>IFERROR(__xludf.DUMMYFUNCTION("IF(REGEXMATCH($C133, ""m""), """",""m"")"),"m")</f>
        <v>m</v>
      </c>
      <c r="CU133" s="246" t="str">
        <f>IFERROR(__xludf.DUMMYFUNCTION("IF(REGEXMATCH($C133, ""M""), """",""M"")"),"")</f>
        <v/>
      </c>
      <c r="CV133" s="246" t="str">
        <f>IFERROR(__xludf.DUMMYFUNCTION("IF(REGEXMATCH($C133, ""P""), """",""P"")"),"P")</f>
        <v>P</v>
      </c>
      <c r="CW133" s="246" t="str">
        <f>IFERROR(__xludf.DUMMYFUNCTION("IF(REGEXMATCH($C133, ""d""), """",""d"")"),"d")</f>
        <v>d</v>
      </c>
      <c r="CX133" s="246" t="str">
        <f>IFERROR(__xludf.DUMMYFUNCTION("IF(REGEXMATCH($C133, ""D""), """",""D"")"),"")</f>
        <v/>
      </c>
      <c r="CY133" s="246" t="str">
        <f>IFERROR(__xludf.DUMMYFUNCTION("IF(REGEXMATCH($C133, ""n""), """",""n"")"),"")</f>
        <v/>
      </c>
      <c r="CZ133" s="246" t="str">
        <f>IFERROR(__xludf.DUMMYFUNCTION("IF(REGEXMATCH($C133, ""N""), """",""N"")"),"N")</f>
        <v>N</v>
      </c>
      <c r="DA133" s="246" t="str">
        <f>IFERROR(__xludf.DUMMYFUNCTION("IF(REGEXMATCH($C133, ""S""), ""S"",""S"")"),"S")</f>
        <v>S</v>
      </c>
      <c r="DB133" s="362" t="str">
        <f>IFERROR(__xludf.DUMMYFUNCTION("JOIN("""",CO133:DA133,"""","""")"),"SrRGmPdNS")</f>
        <v>SrRGmPdNS</v>
      </c>
      <c r="DC133" s="363"/>
      <c r="DD133" s="301" t="str">
        <f t="shared" si="35"/>
        <v>#REF!</v>
      </c>
      <c r="DE133" s="302" t="str">
        <f t="shared" si="36"/>
        <v>#REF!</v>
      </c>
      <c r="DF133" s="301" t="str">
        <f t="shared" ref="DF133:DG133" si="471">SUBSTITUTE(S133,"-","")</f>
        <v>SGM</v>
      </c>
      <c r="DG133" s="301" t="str">
        <f t="shared" si="471"/>
        <v>DNS</v>
      </c>
      <c r="DH133" s="302" t="str">
        <f t="shared" si="38"/>
        <v>(PAIR)</v>
      </c>
      <c r="DI133" s="301" t="str">
        <f t="shared" si="39"/>
        <v>Hemi.</v>
      </c>
      <c r="DJ133" s="364" t="str">
        <f t="shared" si="40"/>
        <v>-</v>
      </c>
      <c r="DK133" s="306" t="str">
        <f t="shared" si="41"/>
        <v>-</v>
      </c>
      <c r="DL133" s="366" t="str">
        <f t="shared" si="42"/>
        <v>-</v>
      </c>
      <c r="DM133" s="308" t="str">
        <f t="shared" si="43"/>
        <v>✔</v>
      </c>
      <c r="DN133" s="306" t="str">
        <f t="shared" si="44"/>
        <v>-</v>
      </c>
      <c r="DO133" s="306" t="str">
        <f t="shared" si="45"/>
        <v>-</v>
      </c>
      <c r="DP133" s="367" t="str">
        <f t="shared" si="46"/>
        <v>✔</v>
      </c>
      <c r="DQ133" s="310" t="str">
        <f t="shared" si="47"/>
        <v>-</v>
      </c>
      <c r="DR133" s="310" t="str">
        <f t="shared" si="48"/>
        <v>-</v>
      </c>
      <c r="DS133" s="310" t="str">
        <f t="shared" si="49"/>
        <v>-</v>
      </c>
      <c r="DT133" s="310" t="str">
        <f t="shared" si="50"/>
        <v>-</v>
      </c>
      <c r="DU133" s="370" t="str">
        <f t="shared" si="51"/>
        <v>-</v>
      </c>
      <c r="DV133" s="306" t="str">
        <f t="shared" si="52"/>
        <v>✔</v>
      </c>
      <c r="DW133" s="306" t="str">
        <f t="shared" si="53"/>
        <v>-</v>
      </c>
      <c r="DX133" s="306" t="str">
        <f t="shared" si="54"/>
        <v>-</v>
      </c>
      <c r="DY133" s="306" t="str">
        <f t="shared" si="55"/>
        <v>✔</v>
      </c>
      <c r="DZ133" s="306" t="str">
        <f t="shared" si="56"/>
        <v>-</v>
      </c>
      <c r="EA133" s="367" t="str">
        <f t="shared" si="57"/>
        <v>-</v>
      </c>
      <c r="EB133" s="310" t="str">
        <f>IFERROR(__xludf.DUMMYFUNCTION("IF(REGEXMATCH(AW133,AS133),""✔"",""-"")"),"-")</f>
        <v>-</v>
      </c>
      <c r="EC133" s="310" t="str">
        <f t="shared" si="58"/>
        <v>#REF!</v>
      </c>
      <c r="ED133" s="370" t="str">
        <f t="shared" si="59"/>
        <v>-</v>
      </c>
      <c r="EE133" s="340" t="str">
        <f t="shared" si="60"/>
        <v>S-g-M-D-n-S</v>
      </c>
      <c r="EF133" s="371" t="str">
        <f>IFERROR(__xludf.DUMMYFUNCTION("CONCATENATE(JOIN("""",HC133:HO133))"),"SRgMDS")</f>
        <v>SRgMDS</v>
      </c>
      <c r="EG133" s="372">
        <f t="shared" si="61"/>
        <v>4</v>
      </c>
      <c r="EH133" s="373" t="str">
        <f>IFERROR(__xludf.DUMMYFUNCTION("CONCATENATE(JOIN("""",JC133:JO133))"),"Sa, Ma, Dha, ni, ")</f>
        <v>Sa, Ma, Dha, ni, </v>
      </c>
      <c r="EI133" s="322">
        <f t="shared" si="62"/>
        <v>3</v>
      </c>
      <c r="EJ133" s="374" t="str">
        <f>IFERROR(__xludf.DUMMYFUNCTION("CONCATENATE(JOIN("""",KC133:KO133))"),"Sa, Ma, Dha, ")</f>
        <v>Sa, Ma, Dha, </v>
      </c>
      <c r="EK133" s="325" t="str">
        <f t="shared" si="63"/>
        <v>S-G2-M2-D2-N2-S</v>
      </c>
      <c r="EL133" s="326" t="str">
        <f t="shared" si="64"/>
        <v>1-b3-#4-6-b7-8</v>
      </c>
      <c r="EM133" s="318" t="str">
        <f t="shared" si="65"/>
        <v>#REF!</v>
      </c>
      <c r="EN133" s="328" t="str">
        <f>IFERROR(__xludf.DUMMYFUNCTION("SUBSTITUTE(SUBSTITUTE(SUBSTITUTE(SUBSTITUTE(CONCATENATE(JOIN("" "",HP133:IB133)),""  "","" ""),""  "","" ""),""  "","" ""),""  "","" "")"),"o • • o • • o • • o o • o")</f>
        <v>o • • o • • o • • o o • o</v>
      </c>
      <c r="EO133" s="368" t="str">
        <f t="shared" si="66"/>
        <v>Sa-Pa</v>
      </c>
      <c r="EP133" s="339" t="str">
        <f t="shared" si="67"/>
        <v>Sa-Pa</v>
      </c>
      <c r="EQ133" s="339" t="str">
        <f t="shared" si="68"/>
        <v>-</v>
      </c>
      <c r="ER133" s="339" t="str">
        <f t="shared" si="69"/>
        <v>-</v>
      </c>
      <c r="ES133" s="340" t="str">
        <f t="shared" si="70"/>
        <v>-</v>
      </c>
      <c r="ET133" s="363"/>
      <c r="EU133" s="376" t="b">
        <f>IFERROR(__xludf.DUMMYFUNCTION("arrayformula(sum(--REGEXMATCH(""SRGMPDNS"",split(REGEXREPLACE(C133,""(.)"",""$1~""),""~""))))=len(C133)
"),FALSE)</f>
        <v>0</v>
      </c>
      <c r="EV133" s="290" t="b">
        <f>IFERROR(__xludf.DUMMYFUNCTION("arrayformula(sum(--REGEXMATCH(""SRGmPDNS"",split(REGEXREPLACE(C133,""(.)"",""$1~""),""~""))))=len(C133)"),FALSE)</f>
        <v>0</v>
      </c>
      <c r="EW133" s="290" t="b">
        <f>IFERROR(__xludf.DUMMYFUNCTION("arrayformula(sum(--REGEXMATCH(""SRGmPDnS"",split(REGEXREPLACE(C133,""(.)"",""$1~""),""~""))))=len(C133)"),FALSE)</f>
        <v>0</v>
      </c>
      <c r="EX133" s="290" t="b">
        <f>IFERROR(__xludf.DUMMYFUNCTION("arrayformula(sum(--REGEXMATCH(""SRgmPDnS"",split(REGEXREPLACE(C133,""(.)"",""$1~""),""~""))))=len(C133)"),FALSE)</f>
        <v>0</v>
      </c>
      <c r="EY133" s="290" t="b">
        <f>IFERROR(__xludf.DUMMYFUNCTION("arrayformula(sum(--REGEXMATCH(""SRgmPdnS"",split(REGEXREPLACE(C133,""(.)"",""$1~""),""~""))))=len(C133)"),FALSE)</f>
        <v>0</v>
      </c>
      <c r="EZ133" s="290" t="b">
        <f>IFERROR(__xludf.DUMMYFUNCTION("arrayformula(sum(--REGEXMATCH(""SrgmPdnS"",split(REGEXREPLACE(C133,""(.)"",""$1~""),""~""))))=len(C133)"),FALSE)</f>
        <v>0</v>
      </c>
      <c r="FA133" s="290" t="b">
        <f>IFERROR(__xludf.DUMMYFUNCTION("arrayformula(sum(--REGEXMATCH(""SrGmPdNS"",split(REGEXREPLACE(C133,""(.)"",""$1~""),""~""))))=len(C133)"),FALSE)</f>
        <v>0</v>
      </c>
      <c r="FB133" s="290" t="b">
        <f>IFERROR(__xludf.DUMMYFUNCTION("arrayformula(sum(--REGEXMATCH(""SrGMPDNS"",split(REGEXREPLACE(C133,""(.)"",""$1~""),""~""))))=len(C133)"),FALSE)</f>
        <v>0</v>
      </c>
      <c r="FC133" s="290" t="b">
        <f>IFERROR(__xludf.DUMMYFUNCTION("arrayformula(sum(--REGEXMATCH(""SrGMPdNS"",split(REGEXREPLACE(C133,""(.)"",""$1~""),""~""))))=len(C133)"),FALSE)</f>
        <v>0</v>
      </c>
      <c r="FD133" s="377" t="b">
        <f>IFERROR(__xludf.DUMMYFUNCTION("arrayformula(sum(--REGEXMATCH(""SrgMPdNS"",split(REGEXREPLACE(C133,""(.)"",""$1~""),""~""))))=len(C133)"),FALSE)</f>
        <v>0</v>
      </c>
      <c r="FE133" s="269" t="str">
        <f t="shared" si="71"/>
        <v>-</v>
      </c>
      <c r="FF133" s="269" t="str">
        <f t="shared" si="72"/>
        <v>-</v>
      </c>
      <c r="FG133" s="271" t="str">
        <f t="shared" si="73"/>
        <v>xooxooxxoxo</v>
      </c>
      <c r="FH133" s="269" t="str">
        <f t="shared" si="74"/>
        <v>-</v>
      </c>
      <c r="FI133" s="271" t="str">
        <f t="shared" si="75"/>
        <v>-</v>
      </c>
      <c r="FJ133" s="271" t="str">
        <f t="shared" si="76"/>
        <v>xooxxoxooxo</v>
      </c>
      <c r="FK133" s="271" t="str">
        <f t="shared" si="77"/>
        <v>-</v>
      </c>
      <c r="FL133" s="271" t="str">
        <f t="shared" si="78"/>
        <v>-</v>
      </c>
      <c r="FM133" s="271" t="str">
        <f t="shared" si="79"/>
        <v>xxoxooxooxo</v>
      </c>
      <c r="FN133" s="271" t="str">
        <f t="shared" si="80"/>
        <v>xoxooxooxoo</v>
      </c>
      <c r="FO133" s="274" t="str">
        <f t="shared" si="81"/>
        <v>-</v>
      </c>
      <c r="FP133" s="234" t="str">
        <f t="shared" si="82"/>
        <v>|</v>
      </c>
      <c r="FQ133" s="236" t="str">
        <f t="shared" si="83"/>
        <v>-</v>
      </c>
      <c r="FR133" s="237" t="str">
        <f t="shared" si="84"/>
        <v>-</v>
      </c>
      <c r="FS133" s="236" t="str">
        <f t="shared" si="85"/>
        <v>|</v>
      </c>
      <c r="FT133" s="237" t="str">
        <f t="shared" si="86"/>
        <v>-</v>
      </c>
      <c r="FU133" s="236" t="str">
        <f t="shared" si="87"/>
        <v>-</v>
      </c>
      <c r="FV133" s="237" t="str">
        <f t="shared" si="88"/>
        <v>|</v>
      </c>
      <c r="FW133" s="236" t="str">
        <f t="shared" si="89"/>
        <v>-</v>
      </c>
      <c r="FX133" s="237" t="str">
        <f t="shared" si="90"/>
        <v>-</v>
      </c>
      <c r="FY133" s="236" t="str">
        <f t="shared" si="91"/>
        <v>|</v>
      </c>
      <c r="FZ133" s="237" t="str">
        <f t="shared" si="92"/>
        <v>|</v>
      </c>
      <c r="GA133" s="236" t="str">
        <f t="shared" si="93"/>
        <v>-</v>
      </c>
      <c r="GB133" s="238" t="str">
        <f t="shared" si="94"/>
        <v>|</v>
      </c>
      <c r="GC133" s="244" t="str">
        <f>IFERROR(__xludf.DUMMYFUNCTION("IF(REGEXMATCH(C133, ""S""), ""1"","""")"),"1")</f>
        <v>1</v>
      </c>
      <c r="GD133" s="245" t="str">
        <f>IFERROR(__xludf.DUMMYFUNCTION("IF(REGEXMATCH(C133, ""r""), ""b2"","""")"),"")</f>
        <v/>
      </c>
      <c r="GE133" s="246" t="str">
        <f>IFERROR(__xludf.DUMMYFUNCTION("IF(REGEXMATCH(C133, ""R""), ""2"","""")"),"")</f>
        <v/>
      </c>
      <c r="GF133" s="246" t="str">
        <f>IFERROR(__xludf.DUMMYFUNCTION("IF(REGEXMATCH(C133, ""g""), ""b3"","""")"),"b3")</f>
        <v>b3</v>
      </c>
      <c r="GG133" s="245" t="str">
        <f>IFERROR(__xludf.DUMMYFUNCTION("IF(REGEXMATCH(C133, ""G""), ""3"","""")"),"")</f>
        <v/>
      </c>
      <c r="GH133" s="245" t="str">
        <f>IFERROR(__xludf.DUMMYFUNCTION("IF(REGEXMATCH(C133, ""m""), ""4"","""")"),"")</f>
        <v/>
      </c>
      <c r="GI133" s="246" t="str">
        <f>IFERROR(__xludf.DUMMYFUNCTION("IF(REGEXMATCH(C133, ""M""), ""#4"","""")"),"#4")</f>
        <v>#4</v>
      </c>
      <c r="GJ133" s="245" t="str">
        <f>IFERROR(__xludf.DUMMYFUNCTION("IF(REGEXMATCH(C133, ""P""), ""5"","""")"),"")</f>
        <v/>
      </c>
      <c r="GK133" s="246" t="str">
        <f>IFERROR(__xludf.DUMMYFUNCTION("IF(REGEXMATCH(C133, ""d""), ""b6"","""")"),"")</f>
        <v/>
      </c>
      <c r="GL133" s="245" t="str">
        <f>IFERROR(__xludf.DUMMYFUNCTION("IF(REGEXMATCH(C133, ""D""), ""6"","""")"),"6")</f>
        <v>6</v>
      </c>
      <c r="GM133" s="245" t="str">
        <f>IFERROR(__xludf.DUMMYFUNCTION("IF(REGEXMATCH(C133, ""n""), ""b7"","""")"),"b7")</f>
        <v>b7</v>
      </c>
      <c r="GN133" s="246" t="str">
        <f>IFERROR(__xludf.DUMMYFUNCTION("IF(REGEXMATCH(C133, ""N""), ""7"","""")"),"")</f>
        <v/>
      </c>
      <c r="GO133" s="249" t="str">
        <f>IFERROR(__xludf.DUMMYFUNCTION("IF(REGEXMATCH(C133, ""S""), ""8"","""")"),"8")</f>
        <v>8</v>
      </c>
      <c r="GP133" s="244" t="str">
        <f>IFERROR(__xludf.DUMMYFUNCTION("IF(REGEXMATCH(C133, ""S""), ""S"","""")"),"S")</f>
        <v>S</v>
      </c>
      <c r="GQ133" s="294" t="str">
        <f>IFERROR(__xludf.DUMMYFUNCTION("IF(REGEXMATCH(C133, ""r""), ""R1"","""")"),"")</f>
        <v/>
      </c>
      <c r="GR133" s="295" t="str">
        <f>IFERROR(__xludf.DUMMYFUNCTION("IF(REGEXMATCH(C133, ""R""), ""R2"","""")"),"")</f>
        <v/>
      </c>
      <c r="GS133" s="295" t="str">
        <f>IFERROR(__xludf.DUMMYFUNCTION("IF(REGEXMATCH(C133, ""g""), ""G2"","""")"),"G2")</f>
        <v>G2</v>
      </c>
      <c r="GT133" s="294" t="str">
        <f>IFERROR(__xludf.DUMMYFUNCTION("IF(REGEXMATCH(C133, ""G""), ""G3"","""")"),"")</f>
        <v/>
      </c>
      <c r="GU133" s="294" t="str">
        <f>IFERROR(__xludf.DUMMYFUNCTION("IF(REGEXMATCH(C133, ""m""), ""M1"","""")"),"")</f>
        <v/>
      </c>
      <c r="GV133" s="295" t="str">
        <f>IFERROR(__xludf.DUMMYFUNCTION("IF(REGEXMATCH(C133, ""M""), ""M2"","""")"),"M2")</f>
        <v>M2</v>
      </c>
      <c r="GW133" s="294" t="str">
        <f>IFERROR(__xludf.DUMMYFUNCTION("IF(REGEXMATCH(C133, ""P""), ""P"","""")"),"")</f>
        <v/>
      </c>
      <c r="GX133" s="295" t="str">
        <f>IFERROR(__xludf.DUMMYFUNCTION("IF(REGEXMATCH(C133, ""d""), ""D1"","""")"),"")</f>
        <v/>
      </c>
      <c r="GY133" s="294" t="str">
        <f>IFERROR(__xludf.DUMMYFUNCTION("IF(REGEXMATCH(C133, ""D""), ""D2"","""")"),"D2")</f>
        <v>D2</v>
      </c>
      <c r="GZ133" s="294" t="str">
        <f>IFERROR(__xludf.DUMMYFUNCTION("IF(REGEXMATCH(C133, ""n""), ""N2"","""")"),"N2")</f>
        <v>N2</v>
      </c>
      <c r="HA133" s="295" t="str">
        <f>IFERROR(__xludf.DUMMYFUNCTION("IF(REGEXMATCH(C133, ""N""), ""N3"","""")"),"")</f>
        <v/>
      </c>
      <c r="HB133" s="249" t="str">
        <f>IFERROR(__xludf.DUMMYFUNCTION("IF(REGEXMATCH(C133, ""S""), ""S"","""")"),"S")</f>
        <v>S</v>
      </c>
      <c r="HC133" s="331" t="str">
        <f t="shared" si="95"/>
        <v>S</v>
      </c>
      <c r="HD133" s="332" t="str">
        <f t="shared" si="96"/>
        <v/>
      </c>
      <c r="HE133" s="332" t="str">
        <f t="shared" si="97"/>
        <v>R</v>
      </c>
      <c r="HF133" s="332" t="str">
        <f t="shared" si="98"/>
        <v>g</v>
      </c>
      <c r="HG133" s="332" t="str">
        <f t="shared" si="99"/>
        <v/>
      </c>
      <c r="HH133" s="332" t="str">
        <f t="shared" si="100"/>
        <v/>
      </c>
      <c r="HI133" s="332" t="str">
        <f t="shared" si="101"/>
        <v>M</v>
      </c>
      <c r="HJ133" s="332" t="str">
        <f t="shared" si="102"/>
        <v/>
      </c>
      <c r="HK133" s="332" t="str">
        <f t="shared" si="103"/>
        <v/>
      </c>
      <c r="HL133" s="332" t="str">
        <f t="shared" si="104"/>
        <v>D</v>
      </c>
      <c r="HM133" s="332" t="str">
        <f t="shared" si="105"/>
        <v/>
      </c>
      <c r="HN133" s="332" t="str">
        <f t="shared" si="106"/>
        <v/>
      </c>
      <c r="HO133" s="343" t="str">
        <f t="shared" si="107"/>
        <v>S</v>
      </c>
      <c r="HP133" s="331" t="str">
        <f t="shared" si="108"/>
        <v>o</v>
      </c>
      <c r="HQ133" s="332" t="str">
        <f t="shared" si="109"/>
        <v>•</v>
      </c>
      <c r="HR133" s="332" t="str">
        <f t="shared" si="110"/>
        <v>•</v>
      </c>
      <c r="HS133" s="332" t="str">
        <f t="shared" si="111"/>
        <v>o</v>
      </c>
      <c r="HT133" s="332" t="str">
        <f t="shared" si="112"/>
        <v>•</v>
      </c>
      <c r="HU133" s="332" t="str">
        <f t="shared" si="113"/>
        <v>•</v>
      </c>
      <c r="HV133" s="332" t="str">
        <f t="shared" si="114"/>
        <v>o</v>
      </c>
      <c r="HW133" s="332" t="str">
        <f t="shared" si="115"/>
        <v>•</v>
      </c>
      <c r="HX133" s="332" t="str">
        <f t="shared" si="116"/>
        <v>•</v>
      </c>
      <c r="HY133" s="332" t="str">
        <f t="shared" si="117"/>
        <v>o</v>
      </c>
      <c r="HZ133" s="332" t="str">
        <f t="shared" si="118"/>
        <v>o</v>
      </c>
      <c r="IA133" s="332" t="str">
        <f t="shared" si="119"/>
        <v>•</v>
      </c>
      <c r="IB133" s="338" t="str">
        <f t="shared" si="120"/>
        <v>o</v>
      </c>
      <c r="IC133" s="331" t="str">
        <f t="shared" si="121"/>
        <v>•</v>
      </c>
      <c r="ID133" s="332" t="str">
        <f t="shared" si="122"/>
        <v>o</v>
      </c>
      <c r="IE133" s="332" t="str">
        <f t="shared" si="123"/>
        <v>o</v>
      </c>
      <c r="IF133" s="332" t="str">
        <f t="shared" si="124"/>
        <v>•</v>
      </c>
      <c r="IG133" s="332" t="str">
        <f t="shared" si="125"/>
        <v>o</v>
      </c>
      <c r="IH133" s="332" t="str">
        <f t="shared" si="126"/>
        <v>o</v>
      </c>
      <c r="II133" s="332" t="str">
        <f t="shared" si="127"/>
        <v>•</v>
      </c>
      <c r="IJ133" s="332" t="str">
        <f t="shared" si="128"/>
        <v>o</v>
      </c>
      <c r="IK133" s="332" t="str">
        <f t="shared" si="129"/>
        <v>o</v>
      </c>
      <c r="IL133" s="332" t="str">
        <f t="shared" si="130"/>
        <v>•</v>
      </c>
      <c r="IM133" s="332" t="str">
        <f t="shared" si="131"/>
        <v>•</v>
      </c>
      <c r="IN133" s="332" t="str">
        <f t="shared" si="132"/>
        <v>o</v>
      </c>
      <c r="IO133" s="338" t="str">
        <f t="shared" si="133"/>
        <v>•</v>
      </c>
      <c r="IP133" s="346" t="b">
        <f t="shared" si="134"/>
        <v>1</v>
      </c>
      <c r="IQ133" s="347" t="b">
        <f t="shared" si="135"/>
        <v>0</v>
      </c>
      <c r="IR133" s="347" t="b">
        <f t="shared" si="136"/>
        <v>0</v>
      </c>
      <c r="IS133" s="347" t="b">
        <f t="shared" si="137"/>
        <v>0</v>
      </c>
      <c r="IT133" s="347" t="b">
        <f t="shared" si="138"/>
        <v>0</v>
      </c>
      <c r="IU133" s="347" t="b">
        <f t="shared" si="139"/>
        <v>0</v>
      </c>
      <c r="IV133" s="347" t="b">
        <f t="shared" si="140"/>
        <v>1</v>
      </c>
      <c r="IW133" s="347" t="b">
        <f t="shared" si="141"/>
        <v>0</v>
      </c>
      <c r="IX133" s="347" t="b">
        <f t="shared" si="142"/>
        <v>0</v>
      </c>
      <c r="IY133" s="347" t="b">
        <f t="shared" si="143"/>
        <v>1</v>
      </c>
      <c r="IZ133" s="347" t="b">
        <f t="shared" si="144"/>
        <v>1</v>
      </c>
      <c r="JA133" s="347" t="b">
        <f t="shared" si="145"/>
        <v>0</v>
      </c>
      <c r="JB133" s="353" t="b">
        <f t="shared" si="146"/>
        <v>1</v>
      </c>
      <c r="JC133" s="354" t="str">
        <f t="shared" si="147"/>
        <v>Sa, </v>
      </c>
      <c r="JD133" s="355" t="str">
        <f t="shared" si="148"/>
        <v/>
      </c>
      <c r="JE133" s="355" t="str">
        <f t="shared" si="149"/>
        <v/>
      </c>
      <c r="JF133" s="355" t="str">
        <f t="shared" si="150"/>
        <v/>
      </c>
      <c r="JG133" s="355" t="str">
        <f t="shared" si="151"/>
        <v/>
      </c>
      <c r="JH133" s="355" t="str">
        <f t="shared" si="152"/>
        <v/>
      </c>
      <c r="JI133" s="355" t="str">
        <f t="shared" si="153"/>
        <v>Ma, </v>
      </c>
      <c r="JJ133" s="355" t="str">
        <f t="shared" si="154"/>
        <v/>
      </c>
      <c r="JK133" s="355" t="str">
        <f t="shared" si="155"/>
        <v/>
      </c>
      <c r="JL133" s="355" t="str">
        <f t="shared" si="156"/>
        <v>Dha, </v>
      </c>
      <c r="JM133" s="355" t="str">
        <f t="shared" si="157"/>
        <v>ni, </v>
      </c>
      <c r="JN133" s="355" t="str">
        <f t="shared" si="158"/>
        <v/>
      </c>
      <c r="JO133" s="359" t="str">
        <f t="shared" si="159"/>
        <v/>
      </c>
      <c r="JP133" s="346" t="b">
        <f t="shared" si="160"/>
        <v>1</v>
      </c>
      <c r="JQ133" s="347" t="b">
        <f t="shared" si="161"/>
        <v>0</v>
      </c>
      <c r="JR133" s="347" t="b">
        <f t="shared" si="162"/>
        <v>0</v>
      </c>
      <c r="JS133" s="347" t="b">
        <f t="shared" si="163"/>
        <v>0</v>
      </c>
      <c r="JT133" s="347" t="b">
        <f t="shared" si="164"/>
        <v>0</v>
      </c>
      <c r="JU133" s="347" t="b">
        <f t="shared" si="165"/>
        <v>0</v>
      </c>
      <c r="JV133" s="347" t="b">
        <f t="shared" si="166"/>
        <v>1</v>
      </c>
      <c r="JW133" s="347" t="b">
        <f t="shared" si="167"/>
        <v>0</v>
      </c>
      <c r="JX133" s="347" t="b">
        <f t="shared" si="168"/>
        <v>0</v>
      </c>
      <c r="JY133" s="347" t="b">
        <f t="shared" si="169"/>
        <v>1</v>
      </c>
      <c r="JZ133" s="347" t="b">
        <f t="shared" si="170"/>
        <v>0</v>
      </c>
      <c r="KA133" s="347" t="b">
        <f t="shared" si="171"/>
        <v>0</v>
      </c>
      <c r="KB133" s="365" t="b">
        <f t="shared" si="172"/>
        <v>1</v>
      </c>
      <c r="KC133" s="354" t="str">
        <f t="shared" si="173"/>
        <v>Sa, </v>
      </c>
      <c r="KD133" s="355" t="str">
        <f t="shared" si="174"/>
        <v/>
      </c>
      <c r="KE133" s="355" t="str">
        <f t="shared" si="175"/>
        <v/>
      </c>
      <c r="KF133" s="355" t="str">
        <f t="shared" si="176"/>
        <v/>
      </c>
      <c r="KG133" s="355" t="str">
        <f t="shared" si="177"/>
        <v/>
      </c>
      <c r="KH133" s="355" t="str">
        <f t="shared" si="178"/>
        <v/>
      </c>
      <c r="KI133" s="355" t="str">
        <f t="shared" si="179"/>
        <v>Ma, </v>
      </c>
      <c r="KJ133" s="355" t="str">
        <f t="shared" si="180"/>
        <v/>
      </c>
      <c r="KK133" s="355" t="str">
        <f t="shared" si="181"/>
        <v/>
      </c>
      <c r="KL133" s="355" t="str">
        <f t="shared" si="182"/>
        <v>Dha, </v>
      </c>
      <c r="KM133" s="355" t="str">
        <f t="shared" si="183"/>
        <v/>
      </c>
      <c r="KN133" s="355" t="str">
        <f t="shared" si="184"/>
        <v/>
      </c>
      <c r="KO133" s="359"/>
      <c r="KP133" s="378"/>
      <c r="KQ133" s="379" t="s">
        <v>782</v>
      </c>
      <c r="KR133" s="380" t="s">
        <v>1402</v>
      </c>
      <c r="KS133" s="381" t="str">
        <f t="shared" si="463"/>
        <v>S-g-M-D-n-S</v>
      </c>
      <c r="KT133" s="382">
        <f t="shared" si="186"/>
        <v>5</v>
      </c>
      <c r="KU133" s="383">
        <f t="shared" si="187"/>
        <v>5</v>
      </c>
      <c r="KV133" s="381" t="str">
        <f t="shared" si="205"/>
        <v>S-n-D-M-g-S</v>
      </c>
      <c r="KW133" s="382">
        <f t="shared" si="189"/>
        <v>5</v>
      </c>
      <c r="KX133" s="384">
        <f t="shared" si="190"/>
        <v>5</v>
      </c>
      <c r="KY133" s="382">
        <f t="shared" ref="KY133:KZ133" si="472">KW133-KT133</f>
        <v>0</v>
      </c>
      <c r="KZ133" s="369">
        <f t="shared" si="472"/>
        <v>0</v>
      </c>
      <c r="LA133" s="385" t="str">
        <f t="shared" si="192"/>
        <v>✔</v>
      </c>
      <c r="LB133" s="340" t="str">
        <f>IFERROR(__xludf.DUMMYFUNCTION("JOIN("""",ArrayFormula(MID(KS133,LEN(KS133)-SEQUENCE(1,LEN(KS133))+1,1)))"),"S-n-D-M-g-S")</f>
        <v>S-n-D-M-g-S</v>
      </c>
      <c r="LC133" s="373" t="str">
        <f>IFERROR(__xludf.DUMMYFUNCTION("JOIN("""",ArrayFormula(MID(KV133,LEN(KV133)-SEQUENCE(1,LEN(KV133))+1,1)))"),"S-g-M-D-n-S")</f>
        <v>S-g-M-D-n-S</v>
      </c>
      <c r="LD133" s="373" t="str">
        <f t="shared" si="193"/>
        <v>SgMDnS</v>
      </c>
      <c r="LE133" s="339" t="str">
        <f t="shared" si="194"/>
        <v>SgMDnS</v>
      </c>
      <c r="LF133" s="386" t="str">
        <f>IFERROR(__xludf.DUMMYFUNCTION("SUBSTITUTE(SUBSTITUTE(CONCATENATE(JOIN("""",LH133:LT133)),""1"",""""),""2"","""")"),"SgMDnS")</f>
        <v>SgMDnS</v>
      </c>
      <c r="LG133" s="369" t="str">
        <f t="shared" si="195"/>
        <v>✔</v>
      </c>
      <c r="LH133" s="387" t="str">
        <f>IFERROR(__xludf.DUMMYFUNCTION("IF(REGEXMATCH(LD133, ""S""), ""S"",IF(REGEXMATCH(LE133, ""S""), ""S"",""""))"),"S")</f>
        <v>S</v>
      </c>
      <c r="LI133" s="299" t="str">
        <f>IFERROR(__xludf.DUMMYFUNCTION("IF(REGEXMATCH(LD133, ""r""), ""r1"",IF(REGEXMATCH(LE133, ""r""), ""r2"",""""))"),"")</f>
        <v/>
      </c>
      <c r="LJ133" s="299" t="str">
        <f>IFERROR(__xludf.DUMMYFUNCTION("IF(REGEXMATCH(LD133, ""R""), ""R1"",IF(REGEXMATCH(LE133, ""R""), ""R2"",""""))"),"")</f>
        <v/>
      </c>
      <c r="LK133" s="299" t="str">
        <f>IFERROR(__xludf.DUMMYFUNCTION("IF(REGEXMATCH(LD133, ""g""), ""g1"",IF(REGEXMATCH(LE133, ""g""), ""g2"",""""))"),"g1")</f>
        <v>g1</v>
      </c>
      <c r="LL133" s="299" t="str">
        <f>IFERROR(__xludf.DUMMYFUNCTION("IF(REGEXMATCH(LD133, ""G""), ""G1"",IF(REGEXMATCH(LE133, ""G""), ""G2"",""""))"),"")</f>
        <v/>
      </c>
      <c r="LM133" s="299" t="str">
        <f>IFERROR(__xludf.DUMMYFUNCTION("IF(REGEXMATCH(LD133, ""m""), ""m1"",IF(REGEXMATCH(LE133, ""m""), ""m2"",""""))"),"")</f>
        <v/>
      </c>
      <c r="LN133" s="299" t="str">
        <f>IFERROR(__xludf.DUMMYFUNCTION("IF(REGEXMATCH(LD133, ""M""), ""M1"",IF(REGEXMATCH(LE133, ""M""), ""M2"",""""))"),"M1")</f>
        <v>M1</v>
      </c>
      <c r="LO133" s="299" t="str">
        <f>IFERROR(__xludf.DUMMYFUNCTION("IF(REGEXMATCH(LD133, ""P""), ""P1"",IF(REGEXMATCH(LE133, ""P""), ""P2"",""""))"),"")</f>
        <v/>
      </c>
      <c r="LP133" s="299" t="str">
        <f>IFERROR(__xludf.DUMMYFUNCTION("IF(REGEXMATCH(LD133, ""d""), ""d1"",IF(REGEXMATCH(LE133, ""d""), ""d2"",""""))"),"")</f>
        <v/>
      </c>
      <c r="LQ133" s="299" t="str">
        <f>IFERROR(__xludf.DUMMYFUNCTION("IF(REGEXMATCH(LD133, ""D""), ""D1"",IF(REGEXMATCH(LE133, ""D""), ""D2"",""""))"),"D1")</f>
        <v>D1</v>
      </c>
      <c r="LR133" s="299" t="str">
        <f>IFERROR(__xludf.DUMMYFUNCTION("IF(REGEXMATCH(LD133, ""n""), ""n1"",IF(REGEXMATCH(LE133, ""n""), ""n2"",""""))"),"n1")</f>
        <v>n1</v>
      </c>
      <c r="LS133" s="299" t="str">
        <f>IFERROR(__xludf.DUMMYFUNCTION("IF(REGEXMATCH(LD133, ""N""), ""N1"",IF(REGEXMATCH(LE133, ""N""), ""N2"",""""))"),"")</f>
        <v/>
      </c>
      <c r="LT133" s="388" t="str">
        <f>IFERROR(__xludf.DUMMYFUNCTION("IF(REGEXMATCH(LD133, ""S""), ""S"",IF(REGEXMATCH(LE133, ""S""), ""S"",""""))"),"S")</f>
        <v>S</v>
      </c>
      <c r="LU133" s="389">
        <f t="shared" si="196"/>
        <v>1</v>
      </c>
      <c r="LV133" s="378"/>
      <c r="LW133" s="369"/>
      <c r="LX133" s="369"/>
    </row>
    <row r="134" ht="18.0" customHeight="1">
      <c r="A134" s="298" t="s">
        <v>784</v>
      </c>
      <c r="B134" s="222" t="s">
        <v>554</v>
      </c>
      <c r="C134" s="233" t="str">
        <f t="shared" si="7"/>
        <v>SRGmPDNS</v>
      </c>
      <c r="D134" s="234" t="str">
        <f>IFERROR(__xludf.DUMMYFUNCTION("IF(REGEXMATCH(C134, ""S""), ""S"","""")"),"S")</f>
        <v>S</v>
      </c>
      <c r="E134" s="236" t="str">
        <f>IFERROR(__xludf.DUMMYFUNCTION("IF(REGEXMATCH(C134, ""r""), ""r"","""")"),"")</f>
        <v/>
      </c>
      <c r="F134" s="237" t="str">
        <f>IFERROR(__xludf.DUMMYFUNCTION("IF(REGEXMATCH(C134, ""R""), ""R"","""")"),"R")</f>
        <v>R</v>
      </c>
      <c r="G134" s="237" t="str">
        <f>IFERROR(__xludf.DUMMYFUNCTION("IF(REGEXMATCH(C134, ""g""), ""g"","""")"),"")</f>
        <v/>
      </c>
      <c r="H134" s="236" t="str">
        <f>IFERROR(__xludf.DUMMYFUNCTION("IF(REGEXMATCH(C134, ""G""), ""G"","""")"),"G")</f>
        <v>G</v>
      </c>
      <c r="I134" s="236" t="str">
        <f>IFERROR(__xludf.DUMMYFUNCTION("IF(REGEXMATCH(C134, ""m""), ""m"","""")"),"m")</f>
        <v>m</v>
      </c>
      <c r="J134" s="237" t="str">
        <f>IFERROR(__xludf.DUMMYFUNCTION("IF(REGEXMATCH(C134, ""M""), ""M"","""")"),"")</f>
        <v/>
      </c>
      <c r="K134" s="236" t="str">
        <f>IFERROR(__xludf.DUMMYFUNCTION("IF(REGEXMATCH(C134, ""P""), ""P"","""")"),"P")</f>
        <v>P</v>
      </c>
      <c r="L134" s="237" t="str">
        <f>IFERROR(__xludf.DUMMYFUNCTION("IF(REGEXMATCH(C134, ""d""), ""d"","""")"),"")</f>
        <v/>
      </c>
      <c r="M134" s="236" t="str">
        <f>IFERROR(__xludf.DUMMYFUNCTION("IF(REGEXMATCH(C134, ""D""), ""D"","""")"),"D")</f>
        <v>D</v>
      </c>
      <c r="N134" s="236" t="str">
        <f>IFERROR(__xludf.DUMMYFUNCTION("IF(REGEXMATCH(C134, ""n""), ""n"","""")"),"")</f>
        <v/>
      </c>
      <c r="O134" s="237" t="str">
        <f>IFERROR(__xludf.DUMMYFUNCTION("IF(REGEXMATCH(C134, ""N""), ""N"","""")"),"N")</f>
        <v>N</v>
      </c>
      <c r="P134" s="238" t="str">
        <f>IFERROR(__xludf.DUMMYFUNCTION("IF(REGEXMATCH(C134, ""S""), ""S"","""")"),"S")</f>
        <v>S</v>
      </c>
      <c r="Q134" s="239" t="str">
        <f>IFERROR(__xludf.DUMMYFUNCTION("SUBSTITUTE(CONCATENATE(JOIN(""-"",D134:J134)),""-"","""")"),"SRGm")</f>
        <v>SRGm</v>
      </c>
      <c r="R134" s="229" t="str">
        <f>IFERROR(__xludf.DUMMYFUNCTION("SUBSTITUTE(CONCATENATE(JOIN(""-"",K134:P134)),""-"","""")"),"PDNS")</f>
        <v>PDNS</v>
      </c>
      <c r="S134" s="282" t="str">
        <f t="shared" si="8"/>
        <v>S-R-G-M</v>
      </c>
      <c r="T134" s="282" t="str">
        <f t="shared" si="9"/>
        <v>P-D-N-S</v>
      </c>
      <c r="U134" s="237" t="str">
        <f>IFERROR(__xludf.DUMMYFUNCTION("SUBSTITUTE(JOIN(""-"",S134,T134),""--"",""-"")"),"S-R-G-M-P-D-N-S")</f>
        <v>S-R-G-M-P-D-N-S</v>
      </c>
      <c r="V134" s="309" t="str">
        <f t="shared" si="10"/>
        <v>RGmDN</v>
      </c>
      <c r="W134" s="244" t="str">
        <f>IFERROR(__xludf.DUMMYFUNCTION("IF(REGEXMATCH(C134, ""S""), ""0"","""")"),"0")</f>
        <v>0</v>
      </c>
      <c r="X134" s="245" t="str">
        <f>IFERROR(__xludf.DUMMYFUNCTION("IF(REGEXMATCH(C134, ""r""), ""1"","""")"),"")</f>
        <v/>
      </c>
      <c r="Y134" s="246" t="str">
        <f>IFERROR(__xludf.DUMMYFUNCTION("IF(REGEXMATCH(C134, ""R""), ""2"","""")"),"2")</f>
        <v>2</v>
      </c>
      <c r="Z134" s="246" t="str">
        <f>IFERROR(__xludf.DUMMYFUNCTION("IF(REGEXMATCH(C134, ""g""), ""3"","""")"),"")</f>
        <v/>
      </c>
      <c r="AA134" s="245" t="str">
        <f>IFERROR(__xludf.DUMMYFUNCTION("IF(REGEXMATCH(C134, ""G""), ""4"","""")"),"4")</f>
        <v>4</v>
      </c>
      <c r="AB134" s="245" t="str">
        <f>IFERROR(__xludf.DUMMYFUNCTION("IF(REGEXMATCH(C134, ""m""), ""5"","""")"),"5")</f>
        <v>5</v>
      </c>
      <c r="AC134" s="246" t="str">
        <f>IFERROR(__xludf.DUMMYFUNCTION("IF(REGEXMATCH(C134, ""M""), ""6"","""")"),"")</f>
        <v/>
      </c>
      <c r="AD134" s="245" t="str">
        <f>IFERROR(__xludf.DUMMYFUNCTION("IF(REGEXMATCH(C134, ""P""), ""7"","""")"),"7")</f>
        <v>7</v>
      </c>
      <c r="AE134" s="246" t="str">
        <f>IFERROR(__xludf.DUMMYFUNCTION("IF(REGEXMATCH(C134, ""d""), ""8"","""")"),"")</f>
        <v/>
      </c>
      <c r="AF134" s="245" t="str">
        <f>IFERROR(__xludf.DUMMYFUNCTION("IF(REGEXMATCH(C134, ""D""), ""9"","""")"),"9")</f>
        <v>9</v>
      </c>
      <c r="AG134" s="245" t="str">
        <f>IFERROR(__xludf.DUMMYFUNCTION("IF(REGEXMATCH(C134, ""n""), ""10"","""")"),"")</f>
        <v/>
      </c>
      <c r="AH134" s="246" t="str">
        <f>IFERROR(__xludf.DUMMYFUNCTION("IF(REGEXMATCH(C134, ""N""), ""11"","""")"),"11")</f>
        <v>11</v>
      </c>
      <c r="AI134" s="249" t="str">
        <f>IFERROR(__xludf.DUMMYFUNCTION("IF(REGEXMATCH(C134, ""S""), ""0"","""")"),"0")</f>
        <v>0</v>
      </c>
      <c r="AJ134" s="313" t="str">
        <f t="shared" si="11"/>
        <v>-</v>
      </c>
      <c r="AK134" s="313" t="str">
        <f t="shared" si="12"/>
        <v>-</v>
      </c>
      <c r="AL134" s="313" t="str">
        <f t="shared" si="13"/>
        <v>-</v>
      </c>
      <c r="AM134" s="313" t="str">
        <f t="shared" si="14"/>
        <v>-</v>
      </c>
      <c r="AN134" s="313" t="str">
        <f t="shared" si="15"/>
        <v>-</v>
      </c>
      <c r="AO134" s="314" t="str">
        <f t="shared" si="16"/>
        <v>T</v>
      </c>
      <c r="AP134" s="316">
        <f t="shared" si="17"/>
        <v>1</v>
      </c>
      <c r="AQ134" s="319" t="str">
        <f t="shared" si="18"/>
        <v>-</v>
      </c>
      <c r="AR134" s="320">
        <f t="shared" si="19"/>
        <v>0</v>
      </c>
      <c r="AS134" s="250" t="str">
        <f>IFERROR(__xludf.DUMMYFUNCTION("SUBSTITUTE(SUBSTITUTE(CONCATENATE(JOIN("""",FP134:GA134)),""|"",""x""),""-"",""o"")"),"xoxoxxoxoxox")</f>
        <v>xoxoxxoxoxox</v>
      </c>
      <c r="AT134" s="323" t="str">
        <f>IFERROR(__xludf.DUMMYFUNCTION("JOIN("""",AS134,AS134)"),"xoxoxxoxoxoxxoxoxxoxoxox")</f>
        <v>xoxoxxoxoxoxxoxoxxoxoxox</v>
      </c>
      <c r="AU134" s="256" t="str">
        <f>IFERROR(__xludf.DUMMYFUNCTION("JOIN("""",ArrayFormula(MID(AS134,LEN(AS134)-SEQUENCE(1,LEN(AS134))+1,1)))"),"xoxoxoxxoxox")</f>
        <v>xoxoxoxxoxox</v>
      </c>
      <c r="AV134" s="256" t="str">
        <f>IFERROR(__xludf.DUMMYFUNCTION("LEFT(CONCATENATE(""x"",JOIN("""",ArrayFormula(MID(AS134,LEN(AS134)-SEQUENCE(1,LEN(AS134))+1,1)))),12)"),"xxoxoxoxxoxo")</f>
        <v>xxoxoxoxxoxo</v>
      </c>
      <c r="AW134" s="327" t="str">
        <f>IFERROR(__xludf.DUMMYFUNCTION("JOIN("""",AU134,AU134)"),"xoxoxoxxoxoxxoxoxoxxoxox")</f>
        <v>xoxoxoxxoxoxxoxoxoxxoxox</v>
      </c>
      <c r="AX134" s="239" t="str">
        <f>IFERROR(__xludf.DUMMYFUNCTION("IF(REGEXMATCH(AW134,AS134),""✔"",""-"")"),"✔")</f>
        <v>✔</v>
      </c>
      <c r="AY134" s="330" t="str">
        <f t="shared" si="20"/>
        <v>-</v>
      </c>
      <c r="AZ134" s="260" t="str">
        <f t="shared" si="21"/>
        <v>#REF!</v>
      </c>
      <c r="BA134" s="333" t="str">
        <f t="shared" si="22"/>
        <v>xoxoxxo</v>
      </c>
      <c r="BB134" s="334" t="str">
        <f t="shared" si="23"/>
        <v>xoxoxx</v>
      </c>
      <c r="BC134" s="335" t="str">
        <f t="shared" si="236"/>
        <v>✔</v>
      </c>
      <c r="BD134" s="336" t="str">
        <f t="shared" si="25"/>
        <v>Hem Bihag: 'xoxoxxo' + 'xoxoxx'</v>
      </c>
      <c r="BE134" s="337">
        <f>IFERROR(__xludf.DUMMYFUNCTION("COUNTUNIQUE(FILTER(AT:AT,REGEXMATCH(AT:AT,AS134)))-1"),6.0)</f>
        <v>6</v>
      </c>
      <c r="BF134" s="261" t="str">
        <f>IFERROR(__xludf.DUMMYFUNCTION("IF(BI134=0,""(n/a)"",IF(BJ134=2,""(PAIR)"",IF(REGEXMATCH(AT134,""xoxoxxoxoxox""),""Bilawal"",IF(REGEXMATCH(AT134,""xoxoxooxoxoo""),""Bhupali"",IF(REGEXMATCH(AT134,""xoxoxxoxxoxo""),""Charukeshi"",IF(REGEXMATCH(AT134,""xoxoooxxoxxo""),""Kameshwari"",IF(REG"&amp;"EXMATCH(AT134,""xoxoxooxoxox""),""Shankara"",IF(REGEXMATCH(AT134,""xxooxoxxxoox""),""Basant"",IF(REGEXMATCH(AT134,""xoxoxxxxoxox""),""Bihag"",IF(REGEXMATCH(AT134,""xoxxxxoxoxxx""),""Pilu"",IF(REGEXMATCH(AT134,""xoxxoxoxxoox""),""Kirwani"",IF(REGEXMATCH(AT"&amp;"134,""xoxxoxoxoxxx""),""Mk.Malhar"",IF(REGEXMATCH(AT134,""xxooxxoxxoox""),""Bhairav"",IF(REGEXMATCH(AT134,""xxoxooxxxoox""),""Todi"",IF(REGEXMATCH(AT134,""xxooxoxooxox""),""Marwa"",IF(REGEXMATCH(AT134,""xxoooxoxxooo""),""Gunkali"",IF(REGEXMATCH(AT134,""xo"&amp;"xoxxoxxoox""),""Nat Bhairav"",IF(REGEXMATCH(AT134,""xoxxoooxoxoo""),""Shivranjani"",IF(REGEXMATCH(AT134,""xooxxxoxooxo""),""Jog"",IF(REGEXMATCH(AT134,""xxooxoxoxoox""),""Hemshri"",IF(REGEXMATCH(AT134,""xoooxooxoxxo""),""Kalavati"",IF(REGEXMATCH(AT134,""xx"&amp;"oxoxxoxoox""),""Kedar"",IF(REGEXMATCH(AT134,""xoxxxxoxooxx""),""Gara"",IF(REGEXMATCH(AT134,""xooxoxooxoox""),""Chandrakauns"",IF(REGEXMATCH(AT134,""xoxxxxoxxxox""),""Mand"",IF(REGEXMATCH(AT134,""xoxxxxoxoxox""),""Hanskinkini"",IF(REGEXMATCH(AT134,""xxooxx"&amp;"oxooxo""),""Lilavati"",IF(REGEXMATCH(AT134,""xooxoxoooxox""),""Rajeshwari"",IF(REGEXMATCH(AT134,""xoooxxoxoxxx""),""Khokar"",IF(REGEXMATCH(AT134,""xxooxoxxxxox""),""Maligoura"",""-""))))))))))))))))))))))))))))))"),"Bilawal")</f>
        <v>Bilawal</v>
      </c>
      <c r="BG134" s="239" t="str">
        <f t="shared" si="26"/>
        <v>#REF!</v>
      </c>
      <c r="BH134" s="239">
        <f>IFERROR(__xludf.DUMMYFUNCTION("COUNTUNIQUE(FE134:FO134)-1"),6.0)</f>
        <v>6</v>
      </c>
      <c r="BI134" s="239">
        <f>IFERROR(__xludf.DUMMYFUNCTION("COUNTUNIQUE(FILTER(AT:AT,REGEXMATCH(AT:AT,AS134)))-1"),6.0)</f>
        <v>6</v>
      </c>
      <c r="BJ134" s="239">
        <f>IFERROR(__xludf.DUMMYFUNCTION("COUNTA(FILTER(AT:AT,REGEXMATCH(AT:AT,AS134)))"),48.0)</f>
        <v>48</v>
      </c>
      <c r="BK134" s="341">
        <f>IFERROR(__xludf.DUMMYFUNCTION("COUNTA(FILTER(AT:AT,REGEXMATCH(AT:AT,AS134)))-AR134"),48.0)</f>
        <v>48</v>
      </c>
      <c r="BL134" s="276" t="str">
        <f>IFERROR(__xludf.DUMMYFUNCTION("IF(AS134=""oooooooooooo"",""-"",IF(REGEXMATCH(AT134,""xx""), ""Hemi."", ""Anhemi.""))"),"Hemi.")</f>
        <v>Hemi.</v>
      </c>
      <c r="BM134" s="282" t="str">
        <f>IFERROR(__xludf.DUMMYFUNCTION("IF(AS134=""oooooooooooo"",""-"",IF(REGEXMATCH(AT134,""xxx""), ""Cohem."", ""-""))"),"-")</f>
        <v>-</v>
      </c>
      <c r="BN134" s="282" t="str">
        <f>IFERROR(__xludf.DUMMYFUNCTION("IF(AS134=""oooooooooooo"",""-"",IF(REGEXMATCH(AT134,""xxxx""), ""Co-Co."", ""-""))"),"-")</f>
        <v>-</v>
      </c>
      <c r="BO134" s="342" t="str">
        <f>IFERROR(__xludf.DUMMYFUNCTION("IF(AS134=""oooooooooooo"",""-"",IF(REGEXMATCH(AT134,""xxxxx""), ""CCC."", ""-""))"),"-")</f>
        <v>-</v>
      </c>
      <c r="BP134" s="344" t="str">
        <f t="shared" si="27"/>
        <v>Bilawal</v>
      </c>
      <c r="BQ134" s="282" t="str">
        <f>IFERROR(__xludf.DUMMYFUNCTION("IF(REGEXMATCH(JOIN(""-"",EU134:FD134),""TRUE""),""✔"",""-"")"),"✔")</f>
        <v>✔</v>
      </c>
      <c r="BR134" s="225">
        <f t="shared" si="28"/>
        <v>1</v>
      </c>
      <c r="BS134" s="345" t="str">
        <f>IFERROR(__xludf.DUMMYFUNCTION("SUBSTITUTE(SUBSTITUTE(SUBSTITUTE(SUBSTITUTE(CONCATENATE(JOIN(""-"",GC134:GO134)),""--"",""-""),""--"",""-""),""--"",""-""),""--"",""-"")"),"1-2-3-4-5-6-7-8")</f>
        <v>1-2-3-4-5-6-7-8</v>
      </c>
      <c r="BT134" s="299" t="str">
        <f>IFERROR(__xludf.DUMMYFUNCTION("SUBSTITUTE(SUBSTITUTE(SUBSTITUTE(SUBSTITUTE(CONCATENATE(JOIN(""-"",GP134:HB134)),""--"",""-""),""--"",""-""),""--"",""-""),""--"",""-"")"),"S-R2-G3-M1-P-D2-N3-S")</f>
        <v>S-R2-G3-M1-P-D2-N3-S</v>
      </c>
      <c r="BU134" s="348" t="str">
        <f t="shared" si="29"/>
        <v>C-D-E-F-G-A-B-C</v>
      </c>
      <c r="BV134" s="349" t="str">
        <f t="shared" si="30"/>
        <v>SrgMdnS</v>
      </c>
      <c r="BW134" s="350">
        <f t="shared" si="31"/>
        <v>1</v>
      </c>
      <c r="BX134" s="351">
        <f t="shared" si="32"/>
        <v>17</v>
      </c>
      <c r="BY134" s="392"/>
      <c r="BZ134" s="309" t="str">
        <f>IFERROR(__xludf.DUMMYFUNCTION("IF(REGEXMATCH(C134, ""S""), ""x"",""x"")"),"x")</f>
        <v>x</v>
      </c>
      <c r="CA134" s="245" t="str">
        <f>IFERROR(__xludf.DUMMYFUNCTION("IF(REGEXMATCH(C134, ""r""), ""o"",""x"")"),"x")</f>
        <v>x</v>
      </c>
      <c r="CB134" s="246" t="str">
        <f>IFERROR(__xludf.DUMMYFUNCTION("IF(REGEXMATCH(C134, ""R""), ""o"",""x"")"),"o")</f>
        <v>o</v>
      </c>
      <c r="CC134" s="246" t="str">
        <f>IFERROR(__xludf.DUMMYFUNCTION("IF(REGEXMATCH(C134, ""g""), ""o"",""x"")"),"x")</f>
        <v>x</v>
      </c>
      <c r="CD134" s="245" t="str">
        <f>IFERROR(__xludf.DUMMYFUNCTION("IF(REGEXMATCH(C134, ""G""), ""o"",""x"")"),"o")</f>
        <v>o</v>
      </c>
      <c r="CE134" s="245" t="str">
        <f>IFERROR(__xludf.DUMMYFUNCTION("IF(REGEXMATCH(C134, ""m""), ""o"",""x"")"),"o")</f>
        <v>o</v>
      </c>
      <c r="CF134" s="246" t="str">
        <f>IFERROR(__xludf.DUMMYFUNCTION("IF(REGEXMATCH(C134, ""M""), ""o"",""x"")"),"x")</f>
        <v>x</v>
      </c>
      <c r="CG134" s="245" t="str">
        <f>IFERROR(__xludf.DUMMYFUNCTION("IF(REGEXMATCH(C134, ""P""), ""o"",""x"")"),"o")</f>
        <v>o</v>
      </c>
      <c r="CH134" s="246" t="str">
        <f>IFERROR(__xludf.DUMMYFUNCTION("IF(REGEXMATCH(C134, ""d""), ""o"",""x"")"),"x")</f>
        <v>x</v>
      </c>
      <c r="CI134" s="245" t="str">
        <f>IFERROR(__xludf.DUMMYFUNCTION("IF(REGEXMATCH(C134, ""D""), ""o"",""x"")"),"o")</f>
        <v>o</v>
      </c>
      <c r="CJ134" s="245" t="str">
        <f>IFERROR(__xludf.DUMMYFUNCTION("IF(REGEXMATCH(C134, ""n""), ""o"",""x"")"),"x")</f>
        <v>x</v>
      </c>
      <c r="CK134" s="245" t="str">
        <f>IFERROR(__xludf.DUMMYFUNCTION("IF(REGEXMATCH(C134, ""N""), ""o"",""x"")"),"o")</f>
        <v>o</v>
      </c>
      <c r="CL134" s="356" t="str">
        <f>IFERROR(__xludf.DUMMYFUNCTION("IF(REGEXMATCH(C134, ""S""), ""x"",""x"")"),"x")</f>
        <v>x</v>
      </c>
      <c r="CM134" s="357" t="str">
        <f t="shared" si="33"/>
        <v>xxoxooxoxoxo</v>
      </c>
      <c r="CN134" s="358">
        <f t="shared" si="34"/>
        <v>1</v>
      </c>
      <c r="CO134" s="246" t="str">
        <f>IFERROR(__xludf.DUMMYFUNCTION("IF(REGEXMATCH($C134, ""S""), ""S"",""S"")"),"S")</f>
        <v>S</v>
      </c>
      <c r="CP134" s="246" t="str">
        <f>IFERROR(__xludf.DUMMYFUNCTION("IF(REGEXMATCH($C134, ""r""), """",""r"")"),"r")</f>
        <v>r</v>
      </c>
      <c r="CQ134" s="246" t="str">
        <f>IFERROR(__xludf.DUMMYFUNCTION("IF(REGEXMATCH($C134, ""R""), """",""R"")"),"")</f>
        <v/>
      </c>
      <c r="CR134" s="246" t="str">
        <f>IFERROR(__xludf.DUMMYFUNCTION("IF(REGEXMATCH($C134, ""g""), """",""g"")"),"g")</f>
        <v>g</v>
      </c>
      <c r="CS134" s="246" t="str">
        <f>IFERROR(__xludf.DUMMYFUNCTION("IF(REGEXMATCH($C134, ""G""), """",""G"")"),"")</f>
        <v/>
      </c>
      <c r="CT134" s="246" t="str">
        <f>IFERROR(__xludf.DUMMYFUNCTION("IF(REGEXMATCH($C134, ""m""), """",""m"")"),"")</f>
        <v/>
      </c>
      <c r="CU134" s="246" t="str">
        <f>IFERROR(__xludf.DUMMYFUNCTION("IF(REGEXMATCH($C134, ""M""), """",""M"")"),"M")</f>
        <v>M</v>
      </c>
      <c r="CV134" s="246" t="str">
        <f>IFERROR(__xludf.DUMMYFUNCTION("IF(REGEXMATCH($C134, ""P""), """",""P"")"),"")</f>
        <v/>
      </c>
      <c r="CW134" s="246" t="str">
        <f>IFERROR(__xludf.DUMMYFUNCTION("IF(REGEXMATCH($C134, ""d""), """",""d"")"),"d")</f>
        <v>d</v>
      </c>
      <c r="CX134" s="246" t="str">
        <f>IFERROR(__xludf.DUMMYFUNCTION("IF(REGEXMATCH($C134, ""D""), """",""D"")"),"")</f>
        <v/>
      </c>
      <c r="CY134" s="246" t="str">
        <f>IFERROR(__xludf.DUMMYFUNCTION("IF(REGEXMATCH($C134, ""n""), """",""n"")"),"n")</f>
        <v>n</v>
      </c>
      <c r="CZ134" s="246" t="str">
        <f>IFERROR(__xludf.DUMMYFUNCTION("IF(REGEXMATCH($C134, ""N""), """",""N"")"),"")</f>
        <v/>
      </c>
      <c r="DA134" s="246" t="str">
        <f>IFERROR(__xludf.DUMMYFUNCTION("IF(REGEXMATCH($C134, ""S""), ""S"",""S"")"),"S")</f>
        <v>S</v>
      </c>
      <c r="DB134" s="362" t="str">
        <f>IFERROR(__xludf.DUMMYFUNCTION("JOIN("""",CO134:DA134,"""","""")"),"SrgMdnS")</f>
        <v>SrgMdnS</v>
      </c>
      <c r="DC134" s="363"/>
      <c r="DD134" s="301" t="str">
        <f t="shared" si="35"/>
        <v>#REF!</v>
      </c>
      <c r="DE134" s="302" t="str">
        <f t="shared" si="36"/>
        <v>#REF!</v>
      </c>
      <c r="DF134" s="301" t="str">
        <f t="shared" ref="DF134:DG134" si="473">SUBSTITUTE(S134,"-","")</f>
        <v>SRGM</v>
      </c>
      <c r="DG134" s="301" t="str">
        <f t="shared" si="473"/>
        <v>PDNS</v>
      </c>
      <c r="DH134" s="302" t="str">
        <f t="shared" si="38"/>
        <v>Bilawal</v>
      </c>
      <c r="DI134" s="301" t="str">
        <f t="shared" si="39"/>
        <v>Hemi.</v>
      </c>
      <c r="DJ134" s="364" t="str">
        <f t="shared" si="40"/>
        <v>-</v>
      </c>
      <c r="DK134" s="306" t="str">
        <f t="shared" si="41"/>
        <v>Bilawal</v>
      </c>
      <c r="DL134" s="366" t="str">
        <f t="shared" si="42"/>
        <v>-</v>
      </c>
      <c r="DM134" s="308" t="str">
        <f t="shared" si="43"/>
        <v>-</v>
      </c>
      <c r="DN134" s="306" t="str">
        <f t="shared" si="44"/>
        <v>✔</v>
      </c>
      <c r="DO134" s="306" t="str">
        <f t="shared" si="45"/>
        <v>-</v>
      </c>
      <c r="DP134" s="367" t="str">
        <f t="shared" si="46"/>
        <v>-</v>
      </c>
      <c r="DQ134" s="310" t="str">
        <f t="shared" si="47"/>
        <v>-</v>
      </c>
      <c r="DR134" s="310" t="str">
        <f t="shared" si="48"/>
        <v>-</v>
      </c>
      <c r="DS134" s="310" t="str">
        <f t="shared" si="49"/>
        <v>-</v>
      </c>
      <c r="DT134" s="310" t="str">
        <f t="shared" si="50"/>
        <v>-</v>
      </c>
      <c r="DU134" s="370" t="str">
        <f t="shared" si="51"/>
        <v>-</v>
      </c>
      <c r="DV134" s="306" t="str">
        <f t="shared" si="52"/>
        <v>-</v>
      </c>
      <c r="DW134" s="306" t="str">
        <f t="shared" si="53"/>
        <v>-</v>
      </c>
      <c r="DX134" s="306" t="str">
        <f t="shared" si="54"/>
        <v>-</v>
      </c>
      <c r="DY134" s="306" t="str">
        <f t="shared" si="55"/>
        <v>-</v>
      </c>
      <c r="DZ134" s="306" t="str">
        <f t="shared" si="56"/>
        <v>-</v>
      </c>
      <c r="EA134" s="367" t="str">
        <f t="shared" si="57"/>
        <v>-</v>
      </c>
      <c r="EB134" s="310" t="str">
        <f>IFERROR(__xludf.DUMMYFUNCTION("IF(REGEXMATCH(AW134,AS134),""✔"",""-"")"),"✔")</f>
        <v>✔</v>
      </c>
      <c r="EC134" s="310" t="str">
        <f t="shared" si="58"/>
        <v>#REF!</v>
      </c>
      <c r="ED134" s="370" t="str">
        <f t="shared" si="59"/>
        <v>-</v>
      </c>
      <c r="EE134" s="340" t="str">
        <f t="shared" si="60"/>
        <v>S-R-G-m-P-D-N-S</v>
      </c>
      <c r="EF134" s="371" t="str">
        <f>IFERROR(__xludf.DUMMYFUNCTION("CONCATENATE(JOIN("""",HC134:HO134))"),"SrgmPdnS")</f>
        <v>SrgmPdnS</v>
      </c>
      <c r="EG134" s="372">
        <f t="shared" si="61"/>
        <v>1</v>
      </c>
      <c r="EH134" s="373" t="str">
        <f>IFERROR(__xludf.DUMMYFUNCTION("CONCATENATE(JOIN("""",JC134:JO134))"),"Ni, ")</f>
        <v>Ni, </v>
      </c>
      <c r="EI134" s="322">
        <f t="shared" si="62"/>
        <v>0</v>
      </c>
      <c r="EJ134" s="374" t="str">
        <f>IFERROR(__xludf.DUMMYFUNCTION("CONCATENATE(JOIN("""",KC134:KO134))"),"")</f>
        <v/>
      </c>
      <c r="EK134" s="325" t="str">
        <f t="shared" si="63"/>
        <v>S-R2-G3-M1-P-D2-N3-S</v>
      </c>
      <c r="EL134" s="326" t="str">
        <f t="shared" si="64"/>
        <v>1-2-3-4-5-6-7-8</v>
      </c>
      <c r="EM134" s="318" t="str">
        <f t="shared" si="65"/>
        <v>#REF!</v>
      </c>
      <c r="EN134" s="328" t="str">
        <f>IFERROR(__xludf.DUMMYFUNCTION("SUBSTITUTE(SUBSTITUTE(SUBSTITUTE(SUBSTITUTE(CONCATENATE(JOIN("" "",HP134:IB134)),""  "","" ""),""  "","" ""),""  "","" ""),""  "","" "")"),"o • o • o o • o • o • o o")</f>
        <v>o • o • o o • o • o • o o</v>
      </c>
      <c r="EO134" s="368" t="str">
        <f t="shared" si="66"/>
        <v>-</v>
      </c>
      <c r="EP134" s="339" t="str">
        <f t="shared" si="67"/>
        <v>-</v>
      </c>
      <c r="EQ134" s="339" t="str">
        <f t="shared" si="68"/>
        <v>Sa-Pa</v>
      </c>
      <c r="ER134" s="339" t="str">
        <f t="shared" si="69"/>
        <v>-</v>
      </c>
      <c r="ES134" s="340" t="str">
        <f t="shared" si="70"/>
        <v>-</v>
      </c>
      <c r="ET134" s="363"/>
      <c r="EU134" s="376" t="b">
        <f>IFERROR(__xludf.DUMMYFUNCTION("arrayformula(sum(--REGEXMATCH(""SRGMPDNS"",split(REGEXREPLACE(C134,""(.)"",""$1~""),""~""))))=len(C134)
"),FALSE)</f>
        <v>0</v>
      </c>
      <c r="EV134" s="290" t="b">
        <f>IFERROR(__xludf.DUMMYFUNCTION("arrayformula(sum(--REGEXMATCH(""SRGmPDNS"",split(REGEXREPLACE(C134,""(.)"",""$1~""),""~""))))=len(C134)"),TRUE)</f>
        <v>1</v>
      </c>
      <c r="EW134" s="290" t="b">
        <f>IFERROR(__xludf.DUMMYFUNCTION("arrayformula(sum(--REGEXMATCH(""SRGmPDnS"",split(REGEXREPLACE(C134,""(.)"",""$1~""),""~""))))=len(C134)"),FALSE)</f>
        <v>0</v>
      </c>
      <c r="EX134" s="290" t="b">
        <f>IFERROR(__xludf.DUMMYFUNCTION("arrayformula(sum(--REGEXMATCH(""SRgmPDnS"",split(REGEXREPLACE(C134,""(.)"",""$1~""),""~""))))=len(C134)"),FALSE)</f>
        <v>0</v>
      </c>
      <c r="EY134" s="290" t="b">
        <f>IFERROR(__xludf.DUMMYFUNCTION("arrayformula(sum(--REGEXMATCH(""SRgmPdnS"",split(REGEXREPLACE(C134,""(.)"",""$1~""),""~""))))=len(C134)"),FALSE)</f>
        <v>0</v>
      </c>
      <c r="EZ134" s="290" t="b">
        <f>IFERROR(__xludf.DUMMYFUNCTION("arrayformula(sum(--REGEXMATCH(""SrgmPdnS"",split(REGEXREPLACE(C134,""(.)"",""$1~""),""~""))))=len(C134)"),FALSE)</f>
        <v>0</v>
      </c>
      <c r="FA134" s="290" t="b">
        <f>IFERROR(__xludf.DUMMYFUNCTION("arrayformula(sum(--REGEXMATCH(""SrGmPdNS"",split(REGEXREPLACE(C134,""(.)"",""$1~""),""~""))))=len(C134)"),FALSE)</f>
        <v>0</v>
      </c>
      <c r="FB134" s="290" t="b">
        <f>IFERROR(__xludf.DUMMYFUNCTION("arrayformula(sum(--REGEXMATCH(""SrGMPDNS"",split(REGEXREPLACE(C134,""(.)"",""$1~""),""~""))))=len(C134)"),FALSE)</f>
        <v>0</v>
      </c>
      <c r="FC134" s="290" t="b">
        <f>IFERROR(__xludf.DUMMYFUNCTION("arrayformula(sum(--REGEXMATCH(""SrGMPdNS"",split(REGEXREPLACE(C134,""(.)"",""$1~""),""~""))))=len(C134)"),FALSE)</f>
        <v>0</v>
      </c>
      <c r="FD134" s="377" t="b">
        <f>IFERROR(__xludf.DUMMYFUNCTION("arrayformula(sum(--REGEXMATCH(""SrgMPdNS"",split(REGEXREPLACE(C134,""(.)"",""$1~""),""~""))))=len(C134)"),FALSE)</f>
        <v>0</v>
      </c>
      <c r="FE134" s="269" t="str">
        <f t="shared" si="71"/>
        <v>-</v>
      </c>
      <c r="FF134" s="269" t="str">
        <f t="shared" si="72"/>
        <v>xoxxoxoxoxx</v>
      </c>
      <c r="FG134" s="271" t="str">
        <f t="shared" si="73"/>
        <v>-</v>
      </c>
      <c r="FH134" s="269" t="str">
        <f t="shared" si="74"/>
        <v>xxoxoxoxxox</v>
      </c>
      <c r="FI134" s="271" t="str">
        <f t="shared" si="75"/>
        <v>xoxoxoxxoxo</v>
      </c>
      <c r="FJ134" s="271" t="str">
        <f t="shared" si="76"/>
        <v>-</v>
      </c>
      <c r="FK134" s="271" t="str">
        <f t="shared" si="77"/>
        <v>xoxoxxoxoxx</v>
      </c>
      <c r="FL134" s="271" t="str">
        <f t="shared" si="78"/>
        <v>-</v>
      </c>
      <c r="FM134" s="271" t="str">
        <f t="shared" si="79"/>
        <v>xoxxoxoxxox</v>
      </c>
      <c r="FN134" s="271" t="str">
        <f t="shared" si="80"/>
        <v>-</v>
      </c>
      <c r="FO134" s="274" t="str">
        <f t="shared" si="81"/>
        <v>xxoxoxxoxox</v>
      </c>
      <c r="FP134" s="234" t="str">
        <f t="shared" si="82"/>
        <v>|</v>
      </c>
      <c r="FQ134" s="236" t="str">
        <f t="shared" si="83"/>
        <v>-</v>
      </c>
      <c r="FR134" s="237" t="str">
        <f t="shared" si="84"/>
        <v>|</v>
      </c>
      <c r="FS134" s="236" t="str">
        <f t="shared" si="85"/>
        <v>-</v>
      </c>
      <c r="FT134" s="237" t="str">
        <f t="shared" si="86"/>
        <v>|</v>
      </c>
      <c r="FU134" s="236" t="str">
        <f t="shared" si="87"/>
        <v>|</v>
      </c>
      <c r="FV134" s="237" t="str">
        <f t="shared" si="88"/>
        <v>-</v>
      </c>
      <c r="FW134" s="236" t="str">
        <f t="shared" si="89"/>
        <v>|</v>
      </c>
      <c r="FX134" s="237" t="str">
        <f t="shared" si="90"/>
        <v>-</v>
      </c>
      <c r="FY134" s="236" t="str">
        <f t="shared" si="91"/>
        <v>|</v>
      </c>
      <c r="FZ134" s="237" t="str">
        <f t="shared" si="92"/>
        <v>-</v>
      </c>
      <c r="GA134" s="236" t="str">
        <f t="shared" si="93"/>
        <v>|</v>
      </c>
      <c r="GB134" s="238" t="str">
        <f t="shared" si="94"/>
        <v>|</v>
      </c>
      <c r="GC134" s="244" t="str">
        <f>IFERROR(__xludf.DUMMYFUNCTION("IF(REGEXMATCH(C134, ""S""), ""1"","""")"),"1")</f>
        <v>1</v>
      </c>
      <c r="GD134" s="245" t="str">
        <f>IFERROR(__xludf.DUMMYFUNCTION("IF(REGEXMATCH(C134, ""r""), ""b2"","""")"),"")</f>
        <v/>
      </c>
      <c r="GE134" s="246" t="str">
        <f>IFERROR(__xludf.DUMMYFUNCTION("IF(REGEXMATCH(C134, ""R""), ""2"","""")"),"2")</f>
        <v>2</v>
      </c>
      <c r="GF134" s="246" t="str">
        <f>IFERROR(__xludf.DUMMYFUNCTION("IF(REGEXMATCH(C134, ""g""), ""b3"","""")"),"")</f>
        <v/>
      </c>
      <c r="GG134" s="245" t="str">
        <f>IFERROR(__xludf.DUMMYFUNCTION("IF(REGEXMATCH(C134, ""G""), ""3"","""")"),"3")</f>
        <v>3</v>
      </c>
      <c r="GH134" s="245" t="str">
        <f>IFERROR(__xludf.DUMMYFUNCTION("IF(REGEXMATCH(C134, ""m""), ""4"","""")"),"4")</f>
        <v>4</v>
      </c>
      <c r="GI134" s="246" t="str">
        <f>IFERROR(__xludf.DUMMYFUNCTION("IF(REGEXMATCH(C134, ""M""), ""#4"","""")"),"")</f>
        <v/>
      </c>
      <c r="GJ134" s="245" t="str">
        <f>IFERROR(__xludf.DUMMYFUNCTION("IF(REGEXMATCH(C134, ""P""), ""5"","""")"),"5")</f>
        <v>5</v>
      </c>
      <c r="GK134" s="246" t="str">
        <f>IFERROR(__xludf.DUMMYFUNCTION("IF(REGEXMATCH(C134, ""d""), ""b6"","""")"),"")</f>
        <v/>
      </c>
      <c r="GL134" s="245" t="str">
        <f>IFERROR(__xludf.DUMMYFUNCTION("IF(REGEXMATCH(C134, ""D""), ""6"","""")"),"6")</f>
        <v>6</v>
      </c>
      <c r="GM134" s="245" t="str">
        <f>IFERROR(__xludf.DUMMYFUNCTION("IF(REGEXMATCH(C134, ""n""), ""b7"","""")"),"")</f>
        <v/>
      </c>
      <c r="GN134" s="246" t="str">
        <f>IFERROR(__xludf.DUMMYFUNCTION("IF(REGEXMATCH(C134, ""N""), ""7"","""")"),"7")</f>
        <v>7</v>
      </c>
      <c r="GO134" s="249" t="str">
        <f>IFERROR(__xludf.DUMMYFUNCTION("IF(REGEXMATCH(C134, ""S""), ""8"","""")"),"8")</f>
        <v>8</v>
      </c>
      <c r="GP134" s="244" t="str">
        <f>IFERROR(__xludf.DUMMYFUNCTION("IF(REGEXMATCH(C134, ""S""), ""S"","""")"),"S")</f>
        <v>S</v>
      </c>
      <c r="GQ134" s="294" t="str">
        <f>IFERROR(__xludf.DUMMYFUNCTION("IF(REGEXMATCH(C134, ""r""), ""R1"","""")"),"")</f>
        <v/>
      </c>
      <c r="GR134" s="295" t="str">
        <f>IFERROR(__xludf.DUMMYFUNCTION("IF(REGEXMATCH(C134, ""R""), ""R2"","""")"),"R2")</f>
        <v>R2</v>
      </c>
      <c r="GS134" s="295" t="str">
        <f>IFERROR(__xludf.DUMMYFUNCTION("IF(REGEXMATCH(C134, ""g""), ""G2"","""")"),"")</f>
        <v/>
      </c>
      <c r="GT134" s="294" t="str">
        <f>IFERROR(__xludf.DUMMYFUNCTION("IF(REGEXMATCH(C134, ""G""), ""G3"","""")"),"G3")</f>
        <v>G3</v>
      </c>
      <c r="GU134" s="294" t="str">
        <f>IFERROR(__xludf.DUMMYFUNCTION("IF(REGEXMATCH(C134, ""m""), ""M1"","""")"),"M1")</f>
        <v>M1</v>
      </c>
      <c r="GV134" s="295" t="str">
        <f>IFERROR(__xludf.DUMMYFUNCTION("IF(REGEXMATCH(C134, ""M""), ""M2"","""")"),"")</f>
        <v/>
      </c>
      <c r="GW134" s="294" t="str">
        <f>IFERROR(__xludf.DUMMYFUNCTION("IF(REGEXMATCH(C134, ""P""), ""P"","""")"),"P")</f>
        <v>P</v>
      </c>
      <c r="GX134" s="295" t="str">
        <f>IFERROR(__xludf.DUMMYFUNCTION("IF(REGEXMATCH(C134, ""d""), ""D1"","""")"),"")</f>
        <v/>
      </c>
      <c r="GY134" s="294" t="str">
        <f>IFERROR(__xludf.DUMMYFUNCTION("IF(REGEXMATCH(C134, ""D""), ""D2"","""")"),"D2")</f>
        <v>D2</v>
      </c>
      <c r="GZ134" s="294" t="str">
        <f>IFERROR(__xludf.DUMMYFUNCTION("IF(REGEXMATCH(C134, ""n""), ""N2"","""")"),"")</f>
        <v/>
      </c>
      <c r="HA134" s="295" t="str">
        <f>IFERROR(__xludf.DUMMYFUNCTION("IF(REGEXMATCH(C134, ""N""), ""N3"","""")"),"N3")</f>
        <v>N3</v>
      </c>
      <c r="HB134" s="249" t="str">
        <f>IFERROR(__xludf.DUMMYFUNCTION("IF(REGEXMATCH(C134, ""S""), ""S"","""")"),"S")</f>
        <v>S</v>
      </c>
      <c r="HC134" s="331" t="str">
        <f t="shared" si="95"/>
        <v>S</v>
      </c>
      <c r="HD134" s="332" t="str">
        <f t="shared" si="96"/>
        <v>r</v>
      </c>
      <c r="HE134" s="332" t="str">
        <f t="shared" si="97"/>
        <v/>
      </c>
      <c r="HF134" s="332" t="str">
        <f t="shared" si="98"/>
        <v>g</v>
      </c>
      <c r="HG134" s="332" t="str">
        <f t="shared" si="99"/>
        <v/>
      </c>
      <c r="HH134" s="332" t="str">
        <f t="shared" si="100"/>
        <v>m</v>
      </c>
      <c r="HI134" s="332" t="str">
        <f t="shared" si="101"/>
        <v/>
      </c>
      <c r="HJ134" s="332" t="str">
        <f t="shared" si="102"/>
        <v>P</v>
      </c>
      <c r="HK134" s="332" t="str">
        <f t="shared" si="103"/>
        <v>d</v>
      </c>
      <c r="HL134" s="332" t="str">
        <f t="shared" si="104"/>
        <v/>
      </c>
      <c r="HM134" s="332" t="str">
        <f t="shared" si="105"/>
        <v>n</v>
      </c>
      <c r="HN134" s="332" t="str">
        <f t="shared" si="106"/>
        <v/>
      </c>
      <c r="HO134" s="343" t="str">
        <f t="shared" si="107"/>
        <v>S</v>
      </c>
      <c r="HP134" s="331" t="str">
        <f t="shared" si="108"/>
        <v>o</v>
      </c>
      <c r="HQ134" s="332" t="str">
        <f t="shared" si="109"/>
        <v>•</v>
      </c>
      <c r="HR134" s="332" t="str">
        <f t="shared" si="110"/>
        <v>o</v>
      </c>
      <c r="HS134" s="332" t="str">
        <f t="shared" si="111"/>
        <v>•</v>
      </c>
      <c r="HT134" s="332" t="str">
        <f t="shared" si="112"/>
        <v>o</v>
      </c>
      <c r="HU134" s="332" t="str">
        <f t="shared" si="113"/>
        <v>o</v>
      </c>
      <c r="HV134" s="332" t="str">
        <f t="shared" si="114"/>
        <v>•</v>
      </c>
      <c r="HW134" s="332" t="str">
        <f t="shared" si="115"/>
        <v>o</v>
      </c>
      <c r="HX134" s="332" t="str">
        <f t="shared" si="116"/>
        <v>•</v>
      </c>
      <c r="HY134" s="332" t="str">
        <f t="shared" si="117"/>
        <v>o</v>
      </c>
      <c r="HZ134" s="332" t="str">
        <f t="shared" si="118"/>
        <v>•</v>
      </c>
      <c r="IA134" s="332" t="str">
        <f t="shared" si="119"/>
        <v>o</v>
      </c>
      <c r="IB134" s="338" t="str">
        <f t="shared" si="120"/>
        <v>o</v>
      </c>
      <c r="IC134" s="331" t="str">
        <f t="shared" si="121"/>
        <v>•</v>
      </c>
      <c r="ID134" s="332" t="str">
        <f t="shared" si="122"/>
        <v>o</v>
      </c>
      <c r="IE134" s="332" t="str">
        <f t="shared" si="123"/>
        <v>•</v>
      </c>
      <c r="IF134" s="332" t="str">
        <f t="shared" si="124"/>
        <v>o</v>
      </c>
      <c r="IG134" s="332" t="str">
        <f t="shared" si="125"/>
        <v>•</v>
      </c>
      <c r="IH134" s="332" t="str">
        <f t="shared" si="126"/>
        <v>•</v>
      </c>
      <c r="II134" s="332" t="str">
        <f t="shared" si="127"/>
        <v>o</v>
      </c>
      <c r="IJ134" s="332" t="str">
        <f t="shared" si="128"/>
        <v>•</v>
      </c>
      <c r="IK134" s="332" t="str">
        <f t="shared" si="129"/>
        <v>o</v>
      </c>
      <c r="IL134" s="332" t="str">
        <f t="shared" si="130"/>
        <v>•</v>
      </c>
      <c r="IM134" s="332" t="str">
        <f t="shared" si="131"/>
        <v>o</v>
      </c>
      <c r="IN134" s="332" t="str">
        <f t="shared" si="132"/>
        <v>•</v>
      </c>
      <c r="IO134" s="338" t="str">
        <f t="shared" si="133"/>
        <v>•</v>
      </c>
      <c r="IP134" s="346" t="b">
        <f t="shared" si="134"/>
        <v>0</v>
      </c>
      <c r="IQ134" s="347" t="b">
        <f t="shared" si="135"/>
        <v>0</v>
      </c>
      <c r="IR134" s="347" t="b">
        <f t="shared" si="136"/>
        <v>0</v>
      </c>
      <c r="IS134" s="347" t="b">
        <f t="shared" si="137"/>
        <v>0</v>
      </c>
      <c r="IT134" s="347" t="b">
        <f t="shared" si="138"/>
        <v>0</v>
      </c>
      <c r="IU134" s="347" t="b">
        <f t="shared" si="139"/>
        <v>0</v>
      </c>
      <c r="IV134" s="347" t="b">
        <f t="shared" si="140"/>
        <v>0</v>
      </c>
      <c r="IW134" s="347" t="b">
        <f t="shared" si="141"/>
        <v>0</v>
      </c>
      <c r="IX134" s="347" t="b">
        <f t="shared" si="142"/>
        <v>0</v>
      </c>
      <c r="IY134" s="347" t="b">
        <f t="shared" si="143"/>
        <v>0</v>
      </c>
      <c r="IZ134" s="347" t="b">
        <f t="shared" si="144"/>
        <v>0</v>
      </c>
      <c r="JA134" s="347" t="b">
        <f t="shared" si="145"/>
        <v>1</v>
      </c>
      <c r="JB134" s="353" t="b">
        <f t="shared" si="146"/>
        <v>0</v>
      </c>
      <c r="JC134" s="354" t="str">
        <f t="shared" si="147"/>
        <v/>
      </c>
      <c r="JD134" s="355" t="str">
        <f t="shared" si="148"/>
        <v/>
      </c>
      <c r="JE134" s="355" t="str">
        <f t="shared" si="149"/>
        <v/>
      </c>
      <c r="JF134" s="355" t="str">
        <f t="shared" si="150"/>
        <v/>
      </c>
      <c r="JG134" s="355" t="str">
        <f t="shared" si="151"/>
        <v/>
      </c>
      <c r="JH134" s="355" t="str">
        <f t="shared" si="152"/>
        <v/>
      </c>
      <c r="JI134" s="355" t="str">
        <f t="shared" si="153"/>
        <v/>
      </c>
      <c r="JJ134" s="355" t="str">
        <f t="shared" si="154"/>
        <v/>
      </c>
      <c r="JK134" s="355" t="str">
        <f t="shared" si="155"/>
        <v/>
      </c>
      <c r="JL134" s="355" t="str">
        <f t="shared" si="156"/>
        <v/>
      </c>
      <c r="JM134" s="355" t="str">
        <f t="shared" si="157"/>
        <v/>
      </c>
      <c r="JN134" s="355" t="str">
        <f t="shared" si="158"/>
        <v>Ni, </v>
      </c>
      <c r="JO134" s="359" t="str">
        <f t="shared" si="159"/>
        <v/>
      </c>
      <c r="JP134" s="346" t="b">
        <f t="shared" si="160"/>
        <v>0</v>
      </c>
      <c r="JQ134" s="347" t="b">
        <f t="shared" si="161"/>
        <v>0</v>
      </c>
      <c r="JR134" s="347" t="b">
        <f t="shared" si="162"/>
        <v>0</v>
      </c>
      <c r="JS134" s="347" t="b">
        <f t="shared" si="163"/>
        <v>0</v>
      </c>
      <c r="JT134" s="347" t="b">
        <f t="shared" si="164"/>
        <v>0</v>
      </c>
      <c r="JU134" s="347" t="b">
        <f t="shared" si="165"/>
        <v>0</v>
      </c>
      <c r="JV134" s="347" t="b">
        <f t="shared" si="166"/>
        <v>0</v>
      </c>
      <c r="JW134" s="347" t="b">
        <f t="shared" si="167"/>
        <v>0</v>
      </c>
      <c r="JX134" s="347" t="b">
        <f t="shared" si="168"/>
        <v>0</v>
      </c>
      <c r="JY134" s="347" t="b">
        <f t="shared" si="169"/>
        <v>0</v>
      </c>
      <c r="JZ134" s="347" t="b">
        <f t="shared" si="170"/>
        <v>0</v>
      </c>
      <c r="KA134" s="347" t="b">
        <f t="shared" si="171"/>
        <v>0</v>
      </c>
      <c r="KB134" s="365" t="b">
        <f t="shared" si="172"/>
        <v>0</v>
      </c>
      <c r="KC134" s="354" t="str">
        <f t="shared" si="173"/>
        <v/>
      </c>
      <c r="KD134" s="355" t="str">
        <f t="shared" si="174"/>
        <v/>
      </c>
      <c r="KE134" s="355" t="str">
        <f t="shared" si="175"/>
        <v/>
      </c>
      <c r="KF134" s="355" t="str">
        <f t="shared" si="176"/>
        <v/>
      </c>
      <c r="KG134" s="355" t="str">
        <f t="shared" si="177"/>
        <v/>
      </c>
      <c r="KH134" s="355" t="str">
        <f t="shared" si="178"/>
        <v/>
      </c>
      <c r="KI134" s="355" t="str">
        <f t="shared" si="179"/>
        <v/>
      </c>
      <c r="KJ134" s="355" t="str">
        <f t="shared" si="180"/>
        <v/>
      </c>
      <c r="KK134" s="355" t="str">
        <f t="shared" si="181"/>
        <v/>
      </c>
      <c r="KL134" s="355" t="str">
        <f t="shared" si="182"/>
        <v/>
      </c>
      <c r="KM134" s="355" t="str">
        <f t="shared" si="183"/>
        <v/>
      </c>
      <c r="KN134" s="355" t="str">
        <f t="shared" si="184"/>
        <v/>
      </c>
      <c r="KO134" s="359"/>
      <c r="KP134" s="378"/>
      <c r="KQ134" s="379" t="s">
        <v>1375</v>
      </c>
      <c r="KR134" s="380" t="s">
        <v>1357</v>
      </c>
      <c r="KS134" s="381" t="str">
        <f t="shared" si="463"/>
        <v>S-R-G-m-P-N-S</v>
      </c>
      <c r="KT134" s="382">
        <f t="shared" si="186"/>
        <v>6</v>
      </c>
      <c r="KU134" s="383">
        <f t="shared" si="187"/>
        <v>6</v>
      </c>
      <c r="KV134" s="381" t="str">
        <f t="shared" si="205"/>
        <v>S-N-D-P-m-G-R-S</v>
      </c>
      <c r="KW134" s="382">
        <f t="shared" si="189"/>
        <v>7</v>
      </c>
      <c r="KX134" s="384">
        <f t="shared" si="190"/>
        <v>7</v>
      </c>
      <c r="KY134" s="382">
        <f t="shared" ref="KY134:KZ134" si="474">KW134-KT134</f>
        <v>1</v>
      </c>
      <c r="KZ134" s="369">
        <f t="shared" si="474"/>
        <v>1</v>
      </c>
      <c r="LA134" s="385" t="str">
        <f t="shared" si="192"/>
        <v>-</v>
      </c>
      <c r="LB134" s="340" t="str">
        <f>IFERROR(__xludf.DUMMYFUNCTION("JOIN("""",ArrayFormula(MID(KS134,LEN(KS134)-SEQUENCE(1,LEN(KS134))+1,1)))"),"S-N-P-m-G-R-S")</f>
        <v>S-N-P-m-G-R-S</v>
      </c>
      <c r="LC134" s="373" t="str">
        <f>IFERROR(__xludf.DUMMYFUNCTION("JOIN("""",ArrayFormula(MID(KV134,LEN(KV134)-SEQUENCE(1,LEN(KV134))+1,1)))"),"S-R-G-m-P-D-N-S")</f>
        <v>S-R-G-m-P-D-N-S</v>
      </c>
      <c r="LD134" s="373" t="str">
        <f t="shared" si="193"/>
        <v>SRGmPNS</v>
      </c>
      <c r="LE134" s="339" t="str">
        <f t="shared" si="194"/>
        <v>SRGmPDNS</v>
      </c>
      <c r="LF134" s="386" t="str">
        <f>IFERROR(__xludf.DUMMYFUNCTION("SUBSTITUTE(SUBSTITUTE(CONCATENATE(JOIN("""",LH134:LT134)),""1"",""""),""2"","""")"),"SRGmPDNS")</f>
        <v>SRGmPDNS</v>
      </c>
      <c r="LG134" s="369" t="str">
        <f t="shared" si="195"/>
        <v>✔</v>
      </c>
      <c r="LH134" s="387" t="str">
        <f>IFERROR(__xludf.DUMMYFUNCTION("IF(REGEXMATCH(LD134, ""S""), ""S"",IF(REGEXMATCH(LE134, ""S""), ""S"",""""))"),"S")</f>
        <v>S</v>
      </c>
      <c r="LI134" s="299" t="str">
        <f>IFERROR(__xludf.DUMMYFUNCTION("IF(REGEXMATCH(LD134, ""r""), ""r1"",IF(REGEXMATCH(LE134, ""r""), ""r2"",""""))"),"")</f>
        <v/>
      </c>
      <c r="LJ134" s="299" t="str">
        <f>IFERROR(__xludf.DUMMYFUNCTION("IF(REGEXMATCH(LD134, ""R""), ""R1"",IF(REGEXMATCH(LE134, ""R""), ""R2"",""""))"),"R1")</f>
        <v>R1</v>
      </c>
      <c r="LK134" s="299" t="str">
        <f>IFERROR(__xludf.DUMMYFUNCTION("IF(REGEXMATCH(LD134, ""g""), ""g1"",IF(REGEXMATCH(LE134, ""g""), ""g2"",""""))"),"")</f>
        <v/>
      </c>
      <c r="LL134" s="299" t="str">
        <f>IFERROR(__xludf.DUMMYFUNCTION("IF(REGEXMATCH(LD134, ""G""), ""G1"",IF(REGEXMATCH(LE134, ""G""), ""G2"",""""))"),"G1")</f>
        <v>G1</v>
      </c>
      <c r="LM134" s="299" t="str">
        <f>IFERROR(__xludf.DUMMYFUNCTION("IF(REGEXMATCH(LD134, ""m""), ""m1"",IF(REGEXMATCH(LE134, ""m""), ""m2"",""""))"),"m1")</f>
        <v>m1</v>
      </c>
      <c r="LN134" s="299" t="str">
        <f>IFERROR(__xludf.DUMMYFUNCTION("IF(REGEXMATCH(LD134, ""M""), ""M1"",IF(REGEXMATCH(LE134, ""M""), ""M2"",""""))"),"")</f>
        <v/>
      </c>
      <c r="LO134" s="299" t="str">
        <f>IFERROR(__xludf.DUMMYFUNCTION("IF(REGEXMATCH(LD134, ""P""), ""P1"",IF(REGEXMATCH(LE134, ""P""), ""P2"",""""))"),"P1")</f>
        <v>P1</v>
      </c>
      <c r="LP134" s="299" t="str">
        <f>IFERROR(__xludf.DUMMYFUNCTION("IF(REGEXMATCH(LD134, ""d""), ""d1"",IF(REGEXMATCH(LE134, ""d""), ""d2"",""""))"),"")</f>
        <v/>
      </c>
      <c r="LQ134" s="299" t="str">
        <f>IFERROR(__xludf.DUMMYFUNCTION("IF(REGEXMATCH(LD134, ""D""), ""D1"",IF(REGEXMATCH(LE134, ""D""), ""D2"",""""))"),"D2")</f>
        <v>D2</v>
      </c>
      <c r="LR134" s="299" t="str">
        <f>IFERROR(__xludf.DUMMYFUNCTION("IF(REGEXMATCH(LD134, ""n""), ""n1"",IF(REGEXMATCH(LE134, ""n""), ""n2"",""""))"),"")</f>
        <v/>
      </c>
      <c r="LS134" s="299" t="str">
        <f>IFERROR(__xludf.DUMMYFUNCTION("IF(REGEXMATCH(LD134, ""N""), ""N1"",IF(REGEXMATCH(LE134, ""N""), ""N2"",""""))"),"N1")</f>
        <v>N1</v>
      </c>
      <c r="LT134" s="388" t="str">
        <f>IFERROR(__xludf.DUMMYFUNCTION("IF(REGEXMATCH(LD134, ""S""), ""S"",IF(REGEXMATCH(LE134, ""S""), ""S"",""""))"),"S")</f>
        <v>S</v>
      </c>
      <c r="LU134" s="389">
        <f t="shared" si="196"/>
        <v>-1</v>
      </c>
      <c r="LV134" s="378"/>
      <c r="LW134" s="369"/>
      <c r="LX134" s="369"/>
    </row>
    <row r="135" ht="18.0" customHeight="1">
      <c r="A135" s="298" t="s">
        <v>786</v>
      </c>
      <c r="B135" s="222" t="s">
        <v>554</v>
      </c>
      <c r="C135" s="233" t="str">
        <f t="shared" si="7"/>
        <v>SRGmPDNS</v>
      </c>
      <c r="D135" s="234" t="str">
        <f>IFERROR(__xludf.DUMMYFUNCTION("IF(REGEXMATCH(C135, ""S""), ""S"","""")"),"S")</f>
        <v>S</v>
      </c>
      <c r="E135" s="236" t="str">
        <f>IFERROR(__xludf.DUMMYFUNCTION("IF(REGEXMATCH(C135, ""r""), ""r"","""")"),"")</f>
        <v/>
      </c>
      <c r="F135" s="237" t="str">
        <f>IFERROR(__xludf.DUMMYFUNCTION("IF(REGEXMATCH(C135, ""R""), ""R"","""")"),"R")</f>
        <v>R</v>
      </c>
      <c r="G135" s="237" t="str">
        <f>IFERROR(__xludf.DUMMYFUNCTION("IF(REGEXMATCH(C135, ""g""), ""g"","""")"),"")</f>
        <v/>
      </c>
      <c r="H135" s="236" t="str">
        <f>IFERROR(__xludf.DUMMYFUNCTION("IF(REGEXMATCH(C135, ""G""), ""G"","""")"),"G")</f>
        <v>G</v>
      </c>
      <c r="I135" s="236" t="str">
        <f>IFERROR(__xludf.DUMMYFUNCTION("IF(REGEXMATCH(C135, ""m""), ""m"","""")"),"m")</f>
        <v>m</v>
      </c>
      <c r="J135" s="237" t="str">
        <f>IFERROR(__xludf.DUMMYFUNCTION("IF(REGEXMATCH(C135, ""M""), ""M"","""")"),"")</f>
        <v/>
      </c>
      <c r="K135" s="236" t="str">
        <f>IFERROR(__xludf.DUMMYFUNCTION("IF(REGEXMATCH(C135, ""P""), ""P"","""")"),"P")</f>
        <v>P</v>
      </c>
      <c r="L135" s="237" t="str">
        <f>IFERROR(__xludf.DUMMYFUNCTION("IF(REGEXMATCH(C135, ""d""), ""d"","""")"),"")</f>
        <v/>
      </c>
      <c r="M135" s="236" t="str">
        <f>IFERROR(__xludf.DUMMYFUNCTION("IF(REGEXMATCH(C135, ""D""), ""D"","""")"),"D")</f>
        <v>D</v>
      </c>
      <c r="N135" s="236" t="str">
        <f>IFERROR(__xludf.DUMMYFUNCTION("IF(REGEXMATCH(C135, ""n""), ""n"","""")"),"")</f>
        <v/>
      </c>
      <c r="O135" s="237" t="str">
        <f>IFERROR(__xludf.DUMMYFUNCTION("IF(REGEXMATCH(C135, ""N""), ""N"","""")"),"N")</f>
        <v>N</v>
      </c>
      <c r="P135" s="238" t="str">
        <f>IFERROR(__xludf.DUMMYFUNCTION("IF(REGEXMATCH(C135, ""S""), ""S"","""")"),"S")</f>
        <v>S</v>
      </c>
      <c r="Q135" s="239" t="str">
        <f>IFERROR(__xludf.DUMMYFUNCTION("SUBSTITUTE(CONCATENATE(JOIN(""-"",D135:J135)),""-"","""")"),"SRGm")</f>
        <v>SRGm</v>
      </c>
      <c r="R135" s="229" t="str">
        <f>IFERROR(__xludf.DUMMYFUNCTION("SUBSTITUTE(CONCATENATE(JOIN(""-"",K135:P135)),""-"","""")"),"PDNS")</f>
        <v>PDNS</v>
      </c>
      <c r="S135" s="282" t="str">
        <f t="shared" si="8"/>
        <v>S-R-G-M</v>
      </c>
      <c r="T135" s="282" t="str">
        <f t="shared" si="9"/>
        <v>P-D-N-S</v>
      </c>
      <c r="U135" s="237" t="str">
        <f>IFERROR(__xludf.DUMMYFUNCTION("SUBSTITUTE(JOIN(""-"",S135,T135),""--"",""-"")"),"S-R-G-M-P-D-N-S")</f>
        <v>S-R-G-M-P-D-N-S</v>
      </c>
      <c r="V135" s="309" t="str">
        <f t="shared" si="10"/>
        <v>RGmDN</v>
      </c>
      <c r="W135" s="244" t="str">
        <f>IFERROR(__xludf.DUMMYFUNCTION("IF(REGEXMATCH(C135, ""S""), ""0"","""")"),"0")</f>
        <v>0</v>
      </c>
      <c r="X135" s="245" t="str">
        <f>IFERROR(__xludf.DUMMYFUNCTION("IF(REGEXMATCH(C135, ""r""), ""1"","""")"),"")</f>
        <v/>
      </c>
      <c r="Y135" s="246" t="str">
        <f>IFERROR(__xludf.DUMMYFUNCTION("IF(REGEXMATCH(C135, ""R""), ""2"","""")"),"2")</f>
        <v>2</v>
      </c>
      <c r="Z135" s="246" t="str">
        <f>IFERROR(__xludf.DUMMYFUNCTION("IF(REGEXMATCH(C135, ""g""), ""3"","""")"),"")</f>
        <v/>
      </c>
      <c r="AA135" s="245" t="str">
        <f>IFERROR(__xludf.DUMMYFUNCTION("IF(REGEXMATCH(C135, ""G""), ""4"","""")"),"4")</f>
        <v>4</v>
      </c>
      <c r="AB135" s="245" t="str">
        <f>IFERROR(__xludf.DUMMYFUNCTION("IF(REGEXMATCH(C135, ""m""), ""5"","""")"),"5")</f>
        <v>5</v>
      </c>
      <c r="AC135" s="246" t="str">
        <f>IFERROR(__xludf.DUMMYFUNCTION("IF(REGEXMATCH(C135, ""M""), ""6"","""")"),"")</f>
        <v/>
      </c>
      <c r="AD135" s="245" t="str">
        <f>IFERROR(__xludf.DUMMYFUNCTION("IF(REGEXMATCH(C135, ""P""), ""7"","""")"),"7")</f>
        <v>7</v>
      </c>
      <c r="AE135" s="246" t="str">
        <f>IFERROR(__xludf.DUMMYFUNCTION("IF(REGEXMATCH(C135, ""d""), ""8"","""")"),"")</f>
        <v/>
      </c>
      <c r="AF135" s="245" t="str">
        <f>IFERROR(__xludf.DUMMYFUNCTION("IF(REGEXMATCH(C135, ""D""), ""9"","""")"),"9")</f>
        <v>9</v>
      </c>
      <c r="AG135" s="245" t="str">
        <f>IFERROR(__xludf.DUMMYFUNCTION("IF(REGEXMATCH(C135, ""n""), ""10"","""")"),"")</f>
        <v/>
      </c>
      <c r="AH135" s="246" t="str">
        <f>IFERROR(__xludf.DUMMYFUNCTION("IF(REGEXMATCH(C135, ""N""), ""11"","""")"),"11")</f>
        <v>11</v>
      </c>
      <c r="AI135" s="249" t="str">
        <f>IFERROR(__xludf.DUMMYFUNCTION("IF(REGEXMATCH(C135, ""S""), ""0"","""")"),"0")</f>
        <v>0</v>
      </c>
      <c r="AJ135" s="313" t="str">
        <f t="shared" si="11"/>
        <v>-</v>
      </c>
      <c r="AK135" s="313" t="str">
        <f t="shared" si="12"/>
        <v>-</v>
      </c>
      <c r="AL135" s="313" t="str">
        <f t="shared" si="13"/>
        <v>-</v>
      </c>
      <c r="AM135" s="313" t="str">
        <f t="shared" si="14"/>
        <v>-</v>
      </c>
      <c r="AN135" s="313" t="str">
        <f t="shared" si="15"/>
        <v>-</v>
      </c>
      <c r="AO135" s="314" t="str">
        <f t="shared" si="16"/>
        <v>T</v>
      </c>
      <c r="AP135" s="316">
        <f t="shared" si="17"/>
        <v>1</v>
      </c>
      <c r="AQ135" s="319" t="str">
        <f t="shared" si="18"/>
        <v>-</v>
      </c>
      <c r="AR135" s="320">
        <f t="shared" si="19"/>
        <v>0</v>
      </c>
      <c r="AS135" s="250" t="str">
        <f>IFERROR(__xludf.DUMMYFUNCTION("SUBSTITUTE(SUBSTITUTE(CONCATENATE(JOIN("""",FP135:GA135)),""|"",""x""),""-"",""o"")"),"xoxoxxoxoxox")</f>
        <v>xoxoxxoxoxox</v>
      </c>
      <c r="AT135" s="323" t="str">
        <f>IFERROR(__xludf.DUMMYFUNCTION("JOIN("""",AS135,AS135)"),"xoxoxxoxoxoxxoxoxxoxoxox")</f>
        <v>xoxoxxoxoxoxxoxoxxoxoxox</v>
      </c>
      <c r="AU135" s="256" t="str">
        <f>IFERROR(__xludf.DUMMYFUNCTION("JOIN("""",ArrayFormula(MID(AS135,LEN(AS135)-SEQUENCE(1,LEN(AS135))+1,1)))"),"xoxoxoxxoxox")</f>
        <v>xoxoxoxxoxox</v>
      </c>
      <c r="AV135" s="256" t="str">
        <f>IFERROR(__xludf.DUMMYFUNCTION("LEFT(CONCATENATE(""x"",JOIN("""",ArrayFormula(MID(AS135,LEN(AS135)-SEQUENCE(1,LEN(AS135))+1,1)))),12)"),"xxoxoxoxxoxo")</f>
        <v>xxoxoxoxxoxo</v>
      </c>
      <c r="AW135" s="327" t="str">
        <f>IFERROR(__xludf.DUMMYFUNCTION("JOIN("""",AU135,AU135)"),"xoxoxoxxoxoxxoxoxoxxoxox")</f>
        <v>xoxoxoxxoxoxxoxoxoxxoxox</v>
      </c>
      <c r="AX135" s="239" t="str">
        <f>IFERROR(__xludf.DUMMYFUNCTION("IF(REGEXMATCH(AW135,AS135),""✔"",""-"")"),"✔")</f>
        <v>✔</v>
      </c>
      <c r="AY135" s="330" t="str">
        <f t="shared" si="20"/>
        <v>-</v>
      </c>
      <c r="AZ135" s="260" t="str">
        <f t="shared" si="21"/>
        <v>#REF!</v>
      </c>
      <c r="BA135" s="333" t="str">
        <f t="shared" si="22"/>
        <v>xoxoxxo</v>
      </c>
      <c r="BB135" s="334" t="str">
        <f t="shared" si="23"/>
        <v>xoxoxx</v>
      </c>
      <c r="BC135" s="335" t="str">
        <f t="shared" si="236"/>
        <v>✔</v>
      </c>
      <c r="BD135" s="336" t="str">
        <f t="shared" si="25"/>
        <v>Hemant: 'xoxoxxo' + 'xoxoxx'</v>
      </c>
      <c r="BE135" s="337">
        <f>IFERROR(__xludf.DUMMYFUNCTION("COUNTUNIQUE(FILTER(AT:AT,REGEXMATCH(AT:AT,AS135)))-1"),6.0)</f>
        <v>6</v>
      </c>
      <c r="BF135" s="261" t="str">
        <f>IFERROR(__xludf.DUMMYFUNCTION("IF(BI135=0,""(n/a)"",IF(BJ135=2,""(PAIR)"",IF(REGEXMATCH(AT135,""xoxoxxoxoxox""),""Bilawal"",IF(REGEXMATCH(AT135,""xoxoxooxoxoo""),""Bhupali"",IF(REGEXMATCH(AT135,""xoxoxxoxxoxo""),""Charukeshi"",IF(REGEXMATCH(AT135,""xoxoooxxoxxo""),""Kameshwari"",IF(REG"&amp;"EXMATCH(AT135,""xoxoxooxoxox""),""Shankara"",IF(REGEXMATCH(AT135,""xxooxoxxxoox""),""Basant"",IF(REGEXMATCH(AT135,""xoxoxxxxoxox""),""Bihag"",IF(REGEXMATCH(AT135,""xoxxxxoxoxxx""),""Pilu"",IF(REGEXMATCH(AT135,""xoxxoxoxxoox""),""Kirwani"",IF(REGEXMATCH(AT"&amp;"135,""xoxxoxoxoxxx""),""Mk.Malhar"",IF(REGEXMATCH(AT135,""xxooxxoxxoox""),""Bhairav"",IF(REGEXMATCH(AT135,""xxoxooxxxoox""),""Todi"",IF(REGEXMATCH(AT135,""xxooxoxooxox""),""Marwa"",IF(REGEXMATCH(AT135,""xxoooxoxxooo""),""Gunkali"",IF(REGEXMATCH(AT135,""xo"&amp;"xoxxoxxoox""),""Nat Bhairav"",IF(REGEXMATCH(AT135,""xoxxoooxoxoo""),""Shivranjani"",IF(REGEXMATCH(AT135,""xooxxxoxooxo""),""Jog"",IF(REGEXMATCH(AT135,""xxooxoxoxoox""),""Hemshri"",IF(REGEXMATCH(AT135,""xoooxooxoxxo""),""Kalavati"",IF(REGEXMATCH(AT135,""xx"&amp;"oxoxxoxoox""),""Kedar"",IF(REGEXMATCH(AT135,""xoxxxxoxooxx""),""Gara"",IF(REGEXMATCH(AT135,""xooxoxooxoox""),""Chandrakauns"",IF(REGEXMATCH(AT135,""xoxxxxoxxxox""),""Mand"",IF(REGEXMATCH(AT135,""xoxxxxoxoxox""),""Hanskinkini"",IF(REGEXMATCH(AT135,""xxooxx"&amp;"oxooxo""),""Lilavati"",IF(REGEXMATCH(AT135,""xooxoxoooxox""),""Rajeshwari"",IF(REGEXMATCH(AT135,""xoooxxoxoxxx""),""Khokar"",IF(REGEXMATCH(AT135,""xxooxoxxxxox""),""Maligoura"",""-""))))))))))))))))))))))))))))))"),"Bilawal")</f>
        <v>Bilawal</v>
      </c>
      <c r="BG135" s="239" t="str">
        <f t="shared" si="26"/>
        <v>#REF!</v>
      </c>
      <c r="BH135" s="239">
        <f>IFERROR(__xludf.DUMMYFUNCTION("COUNTUNIQUE(FE135:FO135)-1"),6.0)</f>
        <v>6</v>
      </c>
      <c r="BI135" s="239">
        <f>IFERROR(__xludf.DUMMYFUNCTION("COUNTUNIQUE(FILTER(AT:AT,REGEXMATCH(AT:AT,AS135)))-1"),6.0)</f>
        <v>6</v>
      </c>
      <c r="BJ135" s="239">
        <f>IFERROR(__xludf.DUMMYFUNCTION("COUNTA(FILTER(AT:AT,REGEXMATCH(AT:AT,AS135)))"),48.0)</f>
        <v>48</v>
      </c>
      <c r="BK135" s="341">
        <f>IFERROR(__xludf.DUMMYFUNCTION("COUNTA(FILTER(AT:AT,REGEXMATCH(AT:AT,AS135)))-AR135"),48.0)</f>
        <v>48</v>
      </c>
      <c r="BL135" s="276" t="str">
        <f>IFERROR(__xludf.DUMMYFUNCTION("IF(AS135=""oooooooooooo"",""-"",IF(REGEXMATCH(AT135,""xx""), ""Hemi."", ""Anhemi.""))"),"Hemi.")</f>
        <v>Hemi.</v>
      </c>
      <c r="BM135" s="282" t="str">
        <f>IFERROR(__xludf.DUMMYFUNCTION("IF(AS135=""oooooooooooo"",""-"",IF(REGEXMATCH(AT135,""xxx""), ""Cohem."", ""-""))"),"-")</f>
        <v>-</v>
      </c>
      <c r="BN135" s="282" t="str">
        <f>IFERROR(__xludf.DUMMYFUNCTION("IF(AS135=""oooooooooooo"",""-"",IF(REGEXMATCH(AT135,""xxxx""), ""Co-Co."", ""-""))"),"-")</f>
        <v>-</v>
      </c>
      <c r="BO135" s="342" t="str">
        <f>IFERROR(__xludf.DUMMYFUNCTION("IF(AS135=""oooooooooooo"",""-"",IF(REGEXMATCH(AT135,""xxxxx""), ""CCC."", ""-""))"),"-")</f>
        <v>-</v>
      </c>
      <c r="BP135" s="344" t="str">
        <f t="shared" si="27"/>
        <v>Bilawal</v>
      </c>
      <c r="BQ135" s="282" t="str">
        <f>IFERROR(__xludf.DUMMYFUNCTION("IF(REGEXMATCH(JOIN(""-"",EU135:FD135),""TRUE""),""✔"",""-"")"),"✔")</f>
        <v>✔</v>
      </c>
      <c r="BR135" s="225">
        <f t="shared" si="28"/>
        <v>1</v>
      </c>
      <c r="BS135" s="345" t="str">
        <f>IFERROR(__xludf.DUMMYFUNCTION("SUBSTITUTE(SUBSTITUTE(SUBSTITUTE(SUBSTITUTE(CONCATENATE(JOIN(""-"",GC135:GO135)),""--"",""-""),""--"",""-""),""--"",""-""),""--"",""-"")"),"1-2-3-4-5-6-7-8")</f>
        <v>1-2-3-4-5-6-7-8</v>
      </c>
      <c r="BT135" s="299" t="str">
        <f>IFERROR(__xludf.DUMMYFUNCTION("SUBSTITUTE(SUBSTITUTE(SUBSTITUTE(SUBSTITUTE(CONCATENATE(JOIN(""-"",GP135:HB135)),""--"",""-""),""--"",""-""),""--"",""-""),""--"",""-"")"),"S-R2-G3-M1-P-D2-N3-S")</f>
        <v>S-R2-G3-M1-P-D2-N3-S</v>
      </c>
      <c r="BU135" s="348" t="str">
        <f t="shared" si="29"/>
        <v>C-D-E-F-G-A-B-C</v>
      </c>
      <c r="BV135" s="349" t="str">
        <f t="shared" si="30"/>
        <v>SrgMdnS</v>
      </c>
      <c r="BW135" s="350">
        <f t="shared" si="31"/>
        <v>1</v>
      </c>
      <c r="BX135" s="351">
        <f t="shared" si="32"/>
        <v>17</v>
      </c>
      <c r="BY135" s="392"/>
      <c r="BZ135" s="309" t="str">
        <f>IFERROR(__xludf.DUMMYFUNCTION("IF(REGEXMATCH(C135, ""S""), ""x"",""x"")"),"x")</f>
        <v>x</v>
      </c>
      <c r="CA135" s="245" t="str">
        <f>IFERROR(__xludf.DUMMYFUNCTION("IF(REGEXMATCH(C135, ""r""), ""o"",""x"")"),"x")</f>
        <v>x</v>
      </c>
      <c r="CB135" s="246" t="str">
        <f>IFERROR(__xludf.DUMMYFUNCTION("IF(REGEXMATCH(C135, ""R""), ""o"",""x"")"),"o")</f>
        <v>o</v>
      </c>
      <c r="CC135" s="246" t="str">
        <f>IFERROR(__xludf.DUMMYFUNCTION("IF(REGEXMATCH(C135, ""g""), ""o"",""x"")"),"x")</f>
        <v>x</v>
      </c>
      <c r="CD135" s="245" t="str">
        <f>IFERROR(__xludf.DUMMYFUNCTION("IF(REGEXMATCH(C135, ""G""), ""o"",""x"")"),"o")</f>
        <v>o</v>
      </c>
      <c r="CE135" s="245" t="str">
        <f>IFERROR(__xludf.DUMMYFUNCTION("IF(REGEXMATCH(C135, ""m""), ""o"",""x"")"),"o")</f>
        <v>o</v>
      </c>
      <c r="CF135" s="246" t="str">
        <f>IFERROR(__xludf.DUMMYFUNCTION("IF(REGEXMATCH(C135, ""M""), ""o"",""x"")"),"x")</f>
        <v>x</v>
      </c>
      <c r="CG135" s="245" t="str">
        <f>IFERROR(__xludf.DUMMYFUNCTION("IF(REGEXMATCH(C135, ""P""), ""o"",""x"")"),"o")</f>
        <v>o</v>
      </c>
      <c r="CH135" s="246" t="str">
        <f>IFERROR(__xludf.DUMMYFUNCTION("IF(REGEXMATCH(C135, ""d""), ""o"",""x"")"),"x")</f>
        <v>x</v>
      </c>
      <c r="CI135" s="245" t="str">
        <f>IFERROR(__xludf.DUMMYFUNCTION("IF(REGEXMATCH(C135, ""D""), ""o"",""x"")"),"o")</f>
        <v>o</v>
      </c>
      <c r="CJ135" s="245" t="str">
        <f>IFERROR(__xludf.DUMMYFUNCTION("IF(REGEXMATCH(C135, ""n""), ""o"",""x"")"),"x")</f>
        <v>x</v>
      </c>
      <c r="CK135" s="245" t="str">
        <f>IFERROR(__xludf.DUMMYFUNCTION("IF(REGEXMATCH(C135, ""N""), ""o"",""x"")"),"o")</f>
        <v>o</v>
      </c>
      <c r="CL135" s="356" t="str">
        <f>IFERROR(__xludf.DUMMYFUNCTION("IF(REGEXMATCH(C135, ""S""), ""x"",""x"")"),"x")</f>
        <v>x</v>
      </c>
      <c r="CM135" s="357" t="str">
        <f t="shared" si="33"/>
        <v>xxoxooxoxoxo</v>
      </c>
      <c r="CN135" s="358">
        <f t="shared" si="34"/>
        <v>1</v>
      </c>
      <c r="CO135" s="246" t="str">
        <f>IFERROR(__xludf.DUMMYFUNCTION("IF(REGEXMATCH($C135, ""S""), ""S"",""S"")"),"S")</f>
        <v>S</v>
      </c>
      <c r="CP135" s="246" t="str">
        <f>IFERROR(__xludf.DUMMYFUNCTION("IF(REGEXMATCH($C135, ""r""), """",""r"")"),"r")</f>
        <v>r</v>
      </c>
      <c r="CQ135" s="246" t="str">
        <f>IFERROR(__xludf.DUMMYFUNCTION("IF(REGEXMATCH($C135, ""R""), """",""R"")"),"")</f>
        <v/>
      </c>
      <c r="CR135" s="246" t="str">
        <f>IFERROR(__xludf.DUMMYFUNCTION("IF(REGEXMATCH($C135, ""g""), """",""g"")"),"g")</f>
        <v>g</v>
      </c>
      <c r="CS135" s="246" t="str">
        <f>IFERROR(__xludf.DUMMYFUNCTION("IF(REGEXMATCH($C135, ""G""), """",""G"")"),"")</f>
        <v/>
      </c>
      <c r="CT135" s="246" t="str">
        <f>IFERROR(__xludf.DUMMYFUNCTION("IF(REGEXMATCH($C135, ""m""), """",""m"")"),"")</f>
        <v/>
      </c>
      <c r="CU135" s="246" t="str">
        <f>IFERROR(__xludf.DUMMYFUNCTION("IF(REGEXMATCH($C135, ""M""), """",""M"")"),"M")</f>
        <v>M</v>
      </c>
      <c r="CV135" s="246" t="str">
        <f>IFERROR(__xludf.DUMMYFUNCTION("IF(REGEXMATCH($C135, ""P""), """",""P"")"),"")</f>
        <v/>
      </c>
      <c r="CW135" s="246" t="str">
        <f>IFERROR(__xludf.DUMMYFUNCTION("IF(REGEXMATCH($C135, ""d""), """",""d"")"),"d")</f>
        <v>d</v>
      </c>
      <c r="CX135" s="246" t="str">
        <f>IFERROR(__xludf.DUMMYFUNCTION("IF(REGEXMATCH($C135, ""D""), """",""D"")"),"")</f>
        <v/>
      </c>
      <c r="CY135" s="246" t="str">
        <f>IFERROR(__xludf.DUMMYFUNCTION("IF(REGEXMATCH($C135, ""n""), """",""n"")"),"n")</f>
        <v>n</v>
      </c>
      <c r="CZ135" s="246" t="str">
        <f>IFERROR(__xludf.DUMMYFUNCTION("IF(REGEXMATCH($C135, ""N""), """",""N"")"),"")</f>
        <v/>
      </c>
      <c r="DA135" s="246" t="str">
        <f>IFERROR(__xludf.DUMMYFUNCTION("IF(REGEXMATCH($C135, ""S""), ""S"",""S"")"),"S")</f>
        <v>S</v>
      </c>
      <c r="DB135" s="362" t="str">
        <f>IFERROR(__xludf.DUMMYFUNCTION("JOIN("""",CO135:DA135,"""","""")"),"SrgMdnS")</f>
        <v>SrgMdnS</v>
      </c>
      <c r="DC135" s="363"/>
      <c r="DD135" s="301" t="str">
        <f t="shared" si="35"/>
        <v>#REF!</v>
      </c>
      <c r="DE135" s="302" t="str">
        <f t="shared" si="36"/>
        <v>#REF!</v>
      </c>
      <c r="DF135" s="301" t="str">
        <f t="shared" ref="DF135:DG135" si="475">SUBSTITUTE(S135,"-","")</f>
        <v>SRGM</v>
      </c>
      <c r="DG135" s="301" t="str">
        <f t="shared" si="475"/>
        <v>PDNS</v>
      </c>
      <c r="DH135" s="302" t="str">
        <f t="shared" si="38"/>
        <v>Bilawal</v>
      </c>
      <c r="DI135" s="301" t="str">
        <f t="shared" si="39"/>
        <v>Hemi.</v>
      </c>
      <c r="DJ135" s="364" t="str">
        <f t="shared" si="40"/>
        <v>-</v>
      </c>
      <c r="DK135" s="306" t="str">
        <f t="shared" si="41"/>
        <v>Bilawal</v>
      </c>
      <c r="DL135" s="366" t="str">
        <f t="shared" si="42"/>
        <v>-</v>
      </c>
      <c r="DM135" s="308" t="str">
        <f t="shared" si="43"/>
        <v>-</v>
      </c>
      <c r="DN135" s="306" t="str">
        <f t="shared" si="44"/>
        <v>✔</v>
      </c>
      <c r="DO135" s="306" t="str">
        <f t="shared" si="45"/>
        <v>-</v>
      </c>
      <c r="DP135" s="367" t="str">
        <f t="shared" si="46"/>
        <v>-</v>
      </c>
      <c r="DQ135" s="310" t="str">
        <f t="shared" si="47"/>
        <v>-</v>
      </c>
      <c r="DR135" s="310" t="str">
        <f t="shared" si="48"/>
        <v>-</v>
      </c>
      <c r="DS135" s="310" t="str">
        <f t="shared" si="49"/>
        <v>-</v>
      </c>
      <c r="DT135" s="310" t="str">
        <f t="shared" si="50"/>
        <v>-</v>
      </c>
      <c r="DU135" s="370" t="str">
        <f t="shared" si="51"/>
        <v>-</v>
      </c>
      <c r="DV135" s="306" t="str">
        <f t="shared" si="52"/>
        <v>-</v>
      </c>
      <c r="DW135" s="306" t="str">
        <f t="shared" si="53"/>
        <v>-</v>
      </c>
      <c r="DX135" s="306" t="str">
        <f t="shared" si="54"/>
        <v>-</v>
      </c>
      <c r="DY135" s="306" t="str">
        <f t="shared" si="55"/>
        <v>-</v>
      </c>
      <c r="DZ135" s="306" t="str">
        <f t="shared" si="56"/>
        <v>-</v>
      </c>
      <c r="EA135" s="367" t="str">
        <f t="shared" si="57"/>
        <v>-</v>
      </c>
      <c r="EB135" s="310" t="str">
        <f>IFERROR(__xludf.DUMMYFUNCTION("IF(REGEXMATCH(AW135,AS135),""✔"",""-"")"),"✔")</f>
        <v>✔</v>
      </c>
      <c r="EC135" s="310" t="str">
        <f t="shared" si="58"/>
        <v>#REF!</v>
      </c>
      <c r="ED135" s="370" t="str">
        <f t="shared" si="59"/>
        <v>-</v>
      </c>
      <c r="EE135" s="340" t="str">
        <f t="shared" si="60"/>
        <v>S-R-G-m-P-D-N-S</v>
      </c>
      <c r="EF135" s="371" t="str">
        <f>IFERROR(__xludf.DUMMYFUNCTION("CONCATENATE(JOIN("""",HC135:HO135))"),"SrgmPdnS")</f>
        <v>SrgmPdnS</v>
      </c>
      <c r="EG135" s="372">
        <f t="shared" si="61"/>
        <v>1</v>
      </c>
      <c r="EH135" s="373" t="str">
        <f>IFERROR(__xludf.DUMMYFUNCTION("CONCATENATE(JOIN("""",JC135:JO135))"),"Ni, ")</f>
        <v>Ni, </v>
      </c>
      <c r="EI135" s="322">
        <f t="shared" si="62"/>
        <v>0</v>
      </c>
      <c r="EJ135" s="374" t="str">
        <f>IFERROR(__xludf.DUMMYFUNCTION("CONCATENATE(JOIN("""",KC135:KO135))"),"")</f>
        <v/>
      </c>
      <c r="EK135" s="325" t="str">
        <f t="shared" si="63"/>
        <v>S-R2-G3-M1-P-D2-N3-S</v>
      </c>
      <c r="EL135" s="326" t="str">
        <f t="shared" si="64"/>
        <v>1-2-3-4-5-6-7-8</v>
      </c>
      <c r="EM135" s="318" t="str">
        <f t="shared" si="65"/>
        <v>#REF!</v>
      </c>
      <c r="EN135" s="328" t="str">
        <f>IFERROR(__xludf.DUMMYFUNCTION("SUBSTITUTE(SUBSTITUTE(SUBSTITUTE(SUBSTITUTE(CONCATENATE(JOIN("" "",HP135:IB135)),""  "","" ""),""  "","" ""),""  "","" ""),""  "","" "")"),"o • o • o o • o • o • o o")</f>
        <v>o • o • o o • o • o • o o</v>
      </c>
      <c r="EO135" s="368" t="str">
        <f t="shared" si="66"/>
        <v>-</v>
      </c>
      <c r="EP135" s="339" t="str">
        <f t="shared" si="67"/>
        <v>-</v>
      </c>
      <c r="EQ135" s="339" t="str">
        <f t="shared" si="68"/>
        <v>Sa-Pa</v>
      </c>
      <c r="ER135" s="339" t="str">
        <f t="shared" si="69"/>
        <v>-</v>
      </c>
      <c r="ES135" s="340" t="str">
        <f t="shared" si="70"/>
        <v>-</v>
      </c>
      <c r="ET135" s="363"/>
      <c r="EU135" s="376" t="b">
        <f>IFERROR(__xludf.DUMMYFUNCTION("arrayformula(sum(--REGEXMATCH(""SRGMPDNS"",split(REGEXREPLACE(C135,""(.)"",""$1~""),""~""))))=len(C135)
"),FALSE)</f>
        <v>0</v>
      </c>
      <c r="EV135" s="290" t="b">
        <f>IFERROR(__xludf.DUMMYFUNCTION("arrayformula(sum(--REGEXMATCH(""SRGmPDNS"",split(REGEXREPLACE(C135,""(.)"",""$1~""),""~""))))=len(C135)"),TRUE)</f>
        <v>1</v>
      </c>
      <c r="EW135" s="290" t="b">
        <f>IFERROR(__xludf.DUMMYFUNCTION("arrayformula(sum(--REGEXMATCH(""SRGmPDnS"",split(REGEXREPLACE(C135,""(.)"",""$1~""),""~""))))=len(C135)"),FALSE)</f>
        <v>0</v>
      </c>
      <c r="EX135" s="290" t="b">
        <f>IFERROR(__xludf.DUMMYFUNCTION("arrayformula(sum(--REGEXMATCH(""SRgmPDnS"",split(REGEXREPLACE(C135,""(.)"",""$1~""),""~""))))=len(C135)"),FALSE)</f>
        <v>0</v>
      </c>
      <c r="EY135" s="290" t="b">
        <f>IFERROR(__xludf.DUMMYFUNCTION("arrayformula(sum(--REGEXMATCH(""SRgmPdnS"",split(REGEXREPLACE(C135,""(.)"",""$1~""),""~""))))=len(C135)"),FALSE)</f>
        <v>0</v>
      </c>
      <c r="EZ135" s="290" t="b">
        <f>IFERROR(__xludf.DUMMYFUNCTION("arrayformula(sum(--REGEXMATCH(""SrgmPdnS"",split(REGEXREPLACE(C135,""(.)"",""$1~""),""~""))))=len(C135)"),FALSE)</f>
        <v>0</v>
      </c>
      <c r="FA135" s="290" t="b">
        <f>IFERROR(__xludf.DUMMYFUNCTION("arrayformula(sum(--REGEXMATCH(""SrGmPdNS"",split(REGEXREPLACE(C135,""(.)"",""$1~""),""~""))))=len(C135)"),FALSE)</f>
        <v>0</v>
      </c>
      <c r="FB135" s="290" t="b">
        <f>IFERROR(__xludf.DUMMYFUNCTION("arrayformula(sum(--REGEXMATCH(""SrGMPDNS"",split(REGEXREPLACE(C135,""(.)"",""$1~""),""~""))))=len(C135)"),FALSE)</f>
        <v>0</v>
      </c>
      <c r="FC135" s="290" t="b">
        <f>IFERROR(__xludf.DUMMYFUNCTION("arrayformula(sum(--REGEXMATCH(""SrGMPdNS"",split(REGEXREPLACE(C135,""(.)"",""$1~""),""~""))))=len(C135)"),FALSE)</f>
        <v>0</v>
      </c>
      <c r="FD135" s="377" t="b">
        <f>IFERROR(__xludf.DUMMYFUNCTION("arrayformula(sum(--REGEXMATCH(""SrgMPdNS"",split(REGEXREPLACE(C135,""(.)"",""$1~""),""~""))))=len(C135)"),FALSE)</f>
        <v>0</v>
      </c>
      <c r="FE135" s="269" t="str">
        <f t="shared" si="71"/>
        <v>-</v>
      </c>
      <c r="FF135" s="269" t="str">
        <f t="shared" si="72"/>
        <v>xoxxoxoxoxx</v>
      </c>
      <c r="FG135" s="271" t="str">
        <f t="shared" si="73"/>
        <v>-</v>
      </c>
      <c r="FH135" s="269" t="str">
        <f t="shared" si="74"/>
        <v>xxoxoxoxxox</v>
      </c>
      <c r="FI135" s="271" t="str">
        <f t="shared" si="75"/>
        <v>xoxoxoxxoxo</v>
      </c>
      <c r="FJ135" s="271" t="str">
        <f t="shared" si="76"/>
        <v>-</v>
      </c>
      <c r="FK135" s="271" t="str">
        <f t="shared" si="77"/>
        <v>xoxoxxoxoxx</v>
      </c>
      <c r="FL135" s="271" t="str">
        <f t="shared" si="78"/>
        <v>-</v>
      </c>
      <c r="FM135" s="271" t="str">
        <f t="shared" si="79"/>
        <v>xoxxoxoxxox</v>
      </c>
      <c r="FN135" s="271" t="str">
        <f t="shared" si="80"/>
        <v>-</v>
      </c>
      <c r="FO135" s="274" t="str">
        <f t="shared" si="81"/>
        <v>xxoxoxxoxox</v>
      </c>
      <c r="FP135" s="234" t="str">
        <f t="shared" si="82"/>
        <v>|</v>
      </c>
      <c r="FQ135" s="236" t="str">
        <f t="shared" si="83"/>
        <v>-</v>
      </c>
      <c r="FR135" s="237" t="str">
        <f t="shared" si="84"/>
        <v>|</v>
      </c>
      <c r="FS135" s="236" t="str">
        <f t="shared" si="85"/>
        <v>-</v>
      </c>
      <c r="FT135" s="237" t="str">
        <f t="shared" si="86"/>
        <v>|</v>
      </c>
      <c r="FU135" s="236" t="str">
        <f t="shared" si="87"/>
        <v>|</v>
      </c>
      <c r="FV135" s="237" t="str">
        <f t="shared" si="88"/>
        <v>-</v>
      </c>
      <c r="FW135" s="236" t="str">
        <f t="shared" si="89"/>
        <v>|</v>
      </c>
      <c r="FX135" s="237" t="str">
        <f t="shared" si="90"/>
        <v>-</v>
      </c>
      <c r="FY135" s="236" t="str">
        <f t="shared" si="91"/>
        <v>|</v>
      </c>
      <c r="FZ135" s="237" t="str">
        <f t="shared" si="92"/>
        <v>-</v>
      </c>
      <c r="GA135" s="236" t="str">
        <f t="shared" si="93"/>
        <v>|</v>
      </c>
      <c r="GB135" s="238" t="str">
        <f t="shared" si="94"/>
        <v>|</v>
      </c>
      <c r="GC135" s="244" t="str">
        <f>IFERROR(__xludf.DUMMYFUNCTION("IF(REGEXMATCH(C135, ""S""), ""1"","""")"),"1")</f>
        <v>1</v>
      </c>
      <c r="GD135" s="245" t="str">
        <f>IFERROR(__xludf.DUMMYFUNCTION("IF(REGEXMATCH(C135, ""r""), ""b2"","""")"),"")</f>
        <v/>
      </c>
      <c r="GE135" s="246" t="str">
        <f>IFERROR(__xludf.DUMMYFUNCTION("IF(REGEXMATCH(C135, ""R""), ""2"","""")"),"2")</f>
        <v>2</v>
      </c>
      <c r="GF135" s="246" t="str">
        <f>IFERROR(__xludf.DUMMYFUNCTION("IF(REGEXMATCH(C135, ""g""), ""b3"","""")"),"")</f>
        <v/>
      </c>
      <c r="GG135" s="245" t="str">
        <f>IFERROR(__xludf.DUMMYFUNCTION("IF(REGEXMATCH(C135, ""G""), ""3"","""")"),"3")</f>
        <v>3</v>
      </c>
      <c r="GH135" s="245" t="str">
        <f>IFERROR(__xludf.DUMMYFUNCTION("IF(REGEXMATCH(C135, ""m""), ""4"","""")"),"4")</f>
        <v>4</v>
      </c>
      <c r="GI135" s="246" t="str">
        <f>IFERROR(__xludf.DUMMYFUNCTION("IF(REGEXMATCH(C135, ""M""), ""#4"","""")"),"")</f>
        <v/>
      </c>
      <c r="GJ135" s="245" t="str">
        <f>IFERROR(__xludf.DUMMYFUNCTION("IF(REGEXMATCH(C135, ""P""), ""5"","""")"),"5")</f>
        <v>5</v>
      </c>
      <c r="GK135" s="246" t="str">
        <f>IFERROR(__xludf.DUMMYFUNCTION("IF(REGEXMATCH(C135, ""d""), ""b6"","""")"),"")</f>
        <v/>
      </c>
      <c r="GL135" s="245" t="str">
        <f>IFERROR(__xludf.DUMMYFUNCTION("IF(REGEXMATCH(C135, ""D""), ""6"","""")"),"6")</f>
        <v>6</v>
      </c>
      <c r="GM135" s="245" t="str">
        <f>IFERROR(__xludf.DUMMYFUNCTION("IF(REGEXMATCH(C135, ""n""), ""b7"","""")"),"")</f>
        <v/>
      </c>
      <c r="GN135" s="246" t="str">
        <f>IFERROR(__xludf.DUMMYFUNCTION("IF(REGEXMATCH(C135, ""N""), ""7"","""")"),"7")</f>
        <v>7</v>
      </c>
      <c r="GO135" s="249" t="str">
        <f>IFERROR(__xludf.DUMMYFUNCTION("IF(REGEXMATCH(C135, ""S""), ""8"","""")"),"8")</f>
        <v>8</v>
      </c>
      <c r="GP135" s="244" t="str">
        <f>IFERROR(__xludf.DUMMYFUNCTION("IF(REGEXMATCH(C135, ""S""), ""S"","""")"),"S")</f>
        <v>S</v>
      </c>
      <c r="GQ135" s="294" t="str">
        <f>IFERROR(__xludf.DUMMYFUNCTION("IF(REGEXMATCH(C135, ""r""), ""R1"","""")"),"")</f>
        <v/>
      </c>
      <c r="GR135" s="295" t="str">
        <f>IFERROR(__xludf.DUMMYFUNCTION("IF(REGEXMATCH(C135, ""R""), ""R2"","""")"),"R2")</f>
        <v>R2</v>
      </c>
      <c r="GS135" s="295" t="str">
        <f>IFERROR(__xludf.DUMMYFUNCTION("IF(REGEXMATCH(C135, ""g""), ""G2"","""")"),"")</f>
        <v/>
      </c>
      <c r="GT135" s="294" t="str">
        <f>IFERROR(__xludf.DUMMYFUNCTION("IF(REGEXMATCH(C135, ""G""), ""G3"","""")"),"G3")</f>
        <v>G3</v>
      </c>
      <c r="GU135" s="294" t="str">
        <f>IFERROR(__xludf.DUMMYFUNCTION("IF(REGEXMATCH(C135, ""m""), ""M1"","""")"),"M1")</f>
        <v>M1</v>
      </c>
      <c r="GV135" s="295" t="str">
        <f>IFERROR(__xludf.DUMMYFUNCTION("IF(REGEXMATCH(C135, ""M""), ""M2"","""")"),"")</f>
        <v/>
      </c>
      <c r="GW135" s="294" t="str">
        <f>IFERROR(__xludf.DUMMYFUNCTION("IF(REGEXMATCH(C135, ""P""), ""P"","""")"),"P")</f>
        <v>P</v>
      </c>
      <c r="GX135" s="295" t="str">
        <f>IFERROR(__xludf.DUMMYFUNCTION("IF(REGEXMATCH(C135, ""d""), ""D1"","""")"),"")</f>
        <v/>
      </c>
      <c r="GY135" s="294" t="str">
        <f>IFERROR(__xludf.DUMMYFUNCTION("IF(REGEXMATCH(C135, ""D""), ""D2"","""")"),"D2")</f>
        <v>D2</v>
      </c>
      <c r="GZ135" s="294" t="str">
        <f>IFERROR(__xludf.DUMMYFUNCTION("IF(REGEXMATCH(C135, ""n""), ""N2"","""")"),"")</f>
        <v/>
      </c>
      <c r="HA135" s="295" t="str">
        <f>IFERROR(__xludf.DUMMYFUNCTION("IF(REGEXMATCH(C135, ""N""), ""N3"","""")"),"N3")</f>
        <v>N3</v>
      </c>
      <c r="HB135" s="249" t="str">
        <f>IFERROR(__xludf.DUMMYFUNCTION("IF(REGEXMATCH(C135, ""S""), ""S"","""")"),"S")</f>
        <v>S</v>
      </c>
      <c r="HC135" s="331" t="str">
        <f t="shared" si="95"/>
        <v>S</v>
      </c>
      <c r="HD135" s="332" t="str">
        <f t="shared" si="96"/>
        <v>r</v>
      </c>
      <c r="HE135" s="332" t="str">
        <f t="shared" si="97"/>
        <v/>
      </c>
      <c r="HF135" s="332" t="str">
        <f t="shared" si="98"/>
        <v>g</v>
      </c>
      <c r="HG135" s="332" t="str">
        <f t="shared" si="99"/>
        <v/>
      </c>
      <c r="HH135" s="332" t="str">
        <f t="shared" si="100"/>
        <v>m</v>
      </c>
      <c r="HI135" s="332" t="str">
        <f t="shared" si="101"/>
        <v/>
      </c>
      <c r="HJ135" s="332" t="str">
        <f t="shared" si="102"/>
        <v>P</v>
      </c>
      <c r="HK135" s="332" t="str">
        <f t="shared" si="103"/>
        <v>d</v>
      </c>
      <c r="HL135" s="332" t="str">
        <f t="shared" si="104"/>
        <v/>
      </c>
      <c r="HM135" s="332" t="str">
        <f t="shared" si="105"/>
        <v>n</v>
      </c>
      <c r="HN135" s="332" t="str">
        <f t="shared" si="106"/>
        <v/>
      </c>
      <c r="HO135" s="343" t="str">
        <f t="shared" si="107"/>
        <v>S</v>
      </c>
      <c r="HP135" s="331" t="str">
        <f t="shared" si="108"/>
        <v>o</v>
      </c>
      <c r="HQ135" s="332" t="str">
        <f t="shared" si="109"/>
        <v>•</v>
      </c>
      <c r="HR135" s="332" t="str">
        <f t="shared" si="110"/>
        <v>o</v>
      </c>
      <c r="HS135" s="332" t="str">
        <f t="shared" si="111"/>
        <v>•</v>
      </c>
      <c r="HT135" s="332" t="str">
        <f t="shared" si="112"/>
        <v>o</v>
      </c>
      <c r="HU135" s="332" t="str">
        <f t="shared" si="113"/>
        <v>o</v>
      </c>
      <c r="HV135" s="332" t="str">
        <f t="shared" si="114"/>
        <v>•</v>
      </c>
      <c r="HW135" s="332" t="str">
        <f t="shared" si="115"/>
        <v>o</v>
      </c>
      <c r="HX135" s="332" t="str">
        <f t="shared" si="116"/>
        <v>•</v>
      </c>
      <c r="HY135" s="332" t="str">
        <f t="shared" si="117"/>
        <v>o</v>
      </c>
      <c r="HZ135" s="332" t="str">
        <f t="shared" si="118"/>
        <v>•</v>
      </c>
      <c r="IA135" s="332" t="str">
        <f t="shared" si="119"/>
        <v>o</v>
      </c>
      <c r="IB135" s="338" t="str">
        <f t="shared" si="120"/>
        <v>o</v>
      </c>
      <c r="IC135" s="331" t="str">
        <f t="shared" si="121"/>
        <v>•</v>
      </c>
      <c r="ID135" s="332" t="str">
        <f t="shared" si="122"/>
        <v>o</v>
      </c>
      <c r="IE135" s="332" t="str">
        <f t="shared" si="123"/>
        <v>•</v>
      </c>
      <c r="IF135" s="332" t="str">
        <f t="shared" si="124"/>
        <v>o</v>
      </c>
      <c r="IG135" s="332" t="str">
        <f t="shared" si="125"/>
        <v>•</v>
      </c>
      <c r="IH135" s="332" t="str">
        <f t="shared" si="126"/>
        <v>•</v>
      </c>
      <c r="II135" s="332" t="str">
        <f t="shared" si="127"/>
        <v>o</v>
      </c>
      <c r="IJ135" s="332" t="str">
        <f t="shared" si="128"/>
        <v>•</v>
      </c>
      <c r="IK135" s="332" t="str">
        <f t="shared" si="129"/>
        <v>o</v>
      </c>
      <c r="IL135" s="332" t="str">
        <f t="shared" si="130"/>
        <v>•</v>
      </c>
      <c r="IM135" s="332" t="str">
        <f t="shared" si="131"/>
        <v>o</v>
      </c>
      <c r="IN135" s="332" t="str">
        <f t="shared" si="132"/>
        <v>•</v>
      </c>
      <c r="IO135" s="338" t="str">
        <f t="shared" si="133"/>
        <v>•</v>
      </c>
      <c r="IP135" s="346" t="b">
        <f t="shared" si="134"/>
        <v>0</v>
      </c>
      <c r="IQ135" s="347" t="b">
        <f t="shared" si="135"/>
        <v>0</v>
      </c>
      <c r="IR135" s="347" t="b">
        <f t="shared" si="136"/>
        <v>0</v>
      </c>
      <c r="IS135" s="347" t="b">
        <f t="shared" si="137"/>
        <v>0</v>
      </c>
      <c r="IT135" s="347" t="b">
        <f t="shared" si="138"/>
        <v>0</v>
      </c>
      <c r="IU135" s="347" t="b">
        <f t="shared" si="139"/>
        <v>0</v>
      </c>
      <c r="IV135" s="347" t="b">
        <f t="shared" si="140"/>
        <v>0</v>
      </c>
      <c r="IW135" s="347" t="b">
        <f t="shared" si="141"/>
        <v>0</v>
      </c>
      <c r="IX135" s="347" t="b">
        <f t="shared" si="142"/>
        <v>0</v>
      </c>
      <c r="IY135" s="347" t="b">
        <f t="shared" si="143"/>
        <v>0</v>
      </c>
      <c r="IZ135" s="347" t="b">
        <f t="shared" si="144"/>
        <v>0</v>
      </c>
      <c r="JA135" s="347" t="b">
        <f t="shared" si="145"/>
        <v>1</v>
      </c>
      <c r="JB135" s="353" t="b">
        <f t="shared" si="146"/>
        <v>0</v>
      </c>
      <c r="JC135" s="354" t="str">
        <f t="shared" si="147"/>
        <v/>
      </c>
      <c r="JD135" s="355" t="str">
        <f t="shared" si="148"/>
        <v/>
      </c>
      <c r="JE135" s="355" t="str">
        <f t="shared" si="149"/>
        <v/>
      </c>
      <c r="JF135" s="355" t="str">
        <f t="shared" si="150"/>
        <v/>
      </c>
      <c r="JG135" s="355" t="str">
        <f t="shared" si="151"/>
        <v/>
      </c>
      <c r="JH135" s="355" t="str">
        <f t="shared" si="152"/>
        <v/>
      </c>
      <c r="JI135" s="355" t="str">
        <f t="shared" si="153"/>
        <v/>
      </c>
      <c r="JJ135" s="355" t="str">
        <f t="shared" si="154"/>
        <v/>
      </c>
      <c r="JK135" s="355" t="str">
        <f t="shared" si="155"/>
        <v/>
      </c>
      <c r="JL135" s="355" t="str">
        <f t="shared" si="156"/>
        <v/>
      </c>
      <c r="JM135" s="355" t="str">
        <f t="shared" si="157"/>
        <v/>
      </c>
      <c r="JN135" s="355" t="str">
        <f t="shared" si="158"/>
        <v>Ni, </v>
      </c>
      <c r="JO135" s="359" t="str">
        <f t="shared" si="159"/>
        <v/>
      </c>
      <c r="JP135" s="346" t="b">
        <f t="shared" si="160"/>
        <v>0</v>
      </c>
      <c r="JQ135" s="347" t="b">
        <f t="shared" si="161"/>
        <v>0</v>
      </c>
      <c r="JR135" s="347" t="b">
        <f t="shared" si="162"/>
        <v>0</v>
      </c>
      <c r="JS135" s="347" t="b">
        <f t="shared" si="163"/>
        <v>0</v>
      </c>
      <c r="JT135" s="347" t="b">
        <f t="shared" si="164"/>
        <v>0</v>
      </c>
      <c r="JU135" s="347" t="b">
        <f t="shared" si="165"/>
        <v>0</v>
      </c>
      <c r="JV135" s="347" t="b">
        <f t="shared" si="166"/>
        <v>0</v>
      </c>
      <c r="JW135" s="347" t="b">
        <f t="shared" si="167"/>
        <v>0</v>
      </c>
      <c r="JX135" s="347" t="b">
        <f t="shared" si="168"/>
        <v>0</v>
      </c>
      <c r="JY135" s="347" t="b">
        <f t="shared" si="169"/>
        <v>0</v>
      </c>
      <c r="JZ135" s="347" t="b">
        <f t="shared" si="170"/>
        <v>0</v>
      </c>
      <c r="KA135" s="347" t="b">
        <f t="shared" si="171"/>
        <v>0</v>
      </c>
      <c r="KB135" s="365" t="b">
        <f t="shared" si="172"/>
        <v>0</v>
      </c>
      <c r="KC135" s="354" t="str">
        <f t="shared" si="173"/>
        <v/>
      </c>
      <c r="KD135" s="355" t="str">
        <f t="shared" si="174"/>
        <v/>
      </c>
      <c r="KE135" s="355" t="str">
        <f t="shared" si="175"/>
        <v/>
      </c>
      <c r="KF135" s="355" t="str">
        <f t="shared" si="176"/>
        <v/>
      </c>
      <c r="KG135" s="355" t="str">
        <f t="shared" si="177"/>
        <v/>
      </c>
      <c r="KH135" s="355" t="str">
        <f t="shared" si="178"/>
        <v/>
      </c>
      <c r="KI135" s="355" t="str">
        <f t="shared" si="179"/>
        <v/>
      </c>
      <c r="KJ135" s="355" t="str">
        <f t="shared" si="180"/>
        <v/>
      </c>
      <c r="KK135" s="355" t="str">
        <f t="shared" si="181"/>
        <v/>
      </c>
      <c r="KL135" s="355" t="str">
        <f t="shared" si="182"/>
        <v/>
      </c>
      <c r="KM135" s="355" t="str">
        <f t="shared" si="183"/>
        <v/>
      </c>
      <c r="KN135" s="355" t="str">
        <f t="shared" si="184"/>
        <v/>
      </c>
      <c r="KO135" s="359"/>
      <c r="KP135" s="378"/>
      <c r="KQ135" s="379" t="s">
        <v>616</v>
      </c>
      <c r="KR135" s="380" t="s">
        <v>1357</v>
      </c>
      <c r="KS135" s="381" t="str">
        <f t="shared" si="463"/>
        <v>S-G-m-D-N-S</v>
      </c>
      <c r="KT135" s="382">
        <f t="shared" si="186"/>
        <v>5</v>
      </c>
      <c r="KU135" s="383">
        <f t="shared" si="187"/>
        <v>5</v>
      </c>
      <c r="KV135" s="381" t="str">
        <f t="shared" si="205"/>
        <v>S-N-D-P-m-G-R-S</v>
      </c>
      <c r="KW135" s="382">
        <f t="shared" si="189"/>
        <v>7</v>
      </c>
      <c r="KX135" s="384">
        <f t="shared" si="190"/>
        <v>7</v>
      </c>
      <c r="KY135" s="382">
        <f t="shared" ref="KY135:KZ135" si="476">KW135-KT135</f>
        <v>2</v>
      </c>
      <c r="KZ135" s="369">
        <f t="shared" si="476"/>
        <v>2</v>
      </c>
      <c r="LA135" s="385" t="str">
        <f t="shared" si="192"/>
        <v>-</v>
      </c>
      <c r="LB135" s="340" t="str">
        <f>IFERROR(__xludf.DUMMYFUNCTION("JOIN("""",ArrayFormula(MID(KS135,LEN(KS135)-SEQUENCE(1,LEN(KS135))+1,1)))"),"S-N-D-m-G-S")</f>
        <v>S-N-D-m-G-S</v>
      </c>
      <c r="LC135" s="373" t="str">
        <f>IFERROR(__xludf.DUMMYFUNCTION("JOIN("""",ArrayFormula(MID(KV135,LEN(KV135)-SEQUENCE(1,LEN(KV135))+1,1)))"),"S-R-G-m-P-D-N-S")</f>
        <v>S-R-G-m-P-D-N-S</v>
      </c>
      <c r="LD135" s="373" t="str">
        <f t="shared" si="193"/>
        <v>SGmDNS</v>
      </c>
      <c r="LE135" s="339" t="str">
        <f t="shared" si="194"/>
        <v>SRGmPDNS</v>
      </c>
      <c r="LF135" s="386" t="str">
        <f>IFERROR(__xludf.DUMMYFUNCTION("SUBSTITUTE(SUBSTITUTE(CONCATENATE(JOIN("""",LH135:LT135)),""1"",""""),""2"","""")"),"SRGmPDNS")</f>
        <v>SRGmPDNS</v>
      </c>
      <c r="LG135" s="369" t="str">
        <f t="shared" si="195"/>
        <v>✔</v>
      </c>
      <c r="LH135" s="387" t="str">
        <f>IFERROR(__xludf.DUMMYFUNCTION("IF(REGEXMATCH(LD135, ""S""), ""S"",IF(REGEXMATCH(LE135, ""S""), ""S"",""""))"),"S")</f>
        <v>S</v>
      </c>
      <c r="LI135" s="299" t="str">
        <f>IFERROR(__xludf.DUMMYFUNCTION("IF(REGEXMATCH(LD135, ""r""), ""r1"",IF(REGEXMATCH(LE135, ""r""), ""r2"",""""))"),"")</f>
        <v/>
      </c>
      <c r="LJ135" s="299" t="str">
        <f>IFERROR(__xludf.DUMMYFUNCTION("IF(REGEXMATCH(LD135, ""R""), ""R1"",IF(REGEXMATCH(LE135, ""R""), ""R2"",""""))"),"R2")</f>
        <v>R2</v>
      </c>
      <c r="LK135" s="299" t="str">
        <f>IFERROR(__xludf.DUMMYFUNCTION("IF(REGEXMATCH(LD135, ""g""), ""g1"",IF(REGEXMATCH(LE135, ""g""), ""g2"",""""))"),"")</f>
        <v/>
      </c>
      <c r="LL135" s="299" t="str">
        <f>IFERROR(__xludf.DUMMYFUNCTION("IF(REGEXMATCH(LD135, ""G""), ""G1"",IF(REGEXMATCH(LE135, ""G""), ""G2"",""""))"),"G1")</f>
        <v>G1</v>
      </c>
      <c r="LM135" s="299" t="str">
        <f>IFERROR(__xludf.DUMMYFUNCTION("IF(REGEXMATCH(LD135, ""m""), ""m1"",IF(REGEXMATCH(LE135, ""m""), ""m2"",""""))"),"m1")</f>
        <v>m1</v>
      </c>
      <c r="LN135" s="299" t="str">
        <f>IFERROR(__xludf.DUMMYFUNCTION("IF(REGEXMATCH(LD135, ""M""), ""M1"",IF(REGEXMATCH(LE135, ""M""), ""M2"",""""))"),"")</f>
        <v/>
      </c>
      <c r="LO135" s="299" t="str">
        <f>IFERROR(__xludf.DUMMYFUNCTION("IF(REGEXMATCH(LD135, ""P""), ""P1"",IF(REGEXMATCH(LE135, ""P""), ""P2"",""""))"),"P2")</f>
        <v>P2</v>
      </c>
      <c r="LP135" s="299" t="str">
        <f>IFERROR(__xludf.DUMMYFUNCTION("IF(REGEXMATCH(LD135, ""d""), ""d1"",IF(REGEXMATCH(LE135, ""d""), ""d2"",""""))"),"")</f>
        <v/>
      </c>
      <c r="LQ135" s="299" t="str">
        <f>IFERROR(__xludf.DUMMYFUNCTION("IF(REGEXMATCH(LD135, ""D""), ""D1"",IF(REGEXMATCH(LE135, ""D""), ""D2"",""""))"),"D1")</f>
        <v>D1</v>
      </c>
      <c r="LR135" s="299" t="str">
        <f>IFERROR(__xludf.DUMMYFUNCTION("IF(REGEXMATCH(LD135, ""n""), ""n1"",IF(REGEXMATCH(LE135, ""n""), ""n2"",""""))"),"")</f>
        <v/>
      </c>
      <c r="LS135" s="299" t="str">
        <f>IFERROR(__xludf.DUMMYFUNCTION("IF(REGEXMATCH(LD135, ""N""), ""N1"",IF(REGEXMATCH(LE135, ""N""), ""N2"",""""))"),"N1")</f>
        <v>N1</v>
      </c>
      <c r="LT135" s="388" t="str">
        <f>IFERROR(__xludf.DUMMYFUNCTION("IF(REGEXMATCH(LD135, ""S""), ""S"",IF(REGEXMATCH(LE135, ""S""), ""S"",""""))"),"S")</f>
        <v>S</v>
      </c>
      <c r="LU135" s="389">
        <f t="shared" si="196"/>
        <v>-3</v>
      </c>
      <c r="LV135" s="378"/>
      <c r="LW135" s="369"/>
      <c r="LX135" s="369"/>
    </row>
    <row r="136" ht="18.0" customHeight="1">
      <c r="A136" s="298" t="s">
        <v>461</v>
      </c>
      <c r="B136" s="222" t="s">
        <v>462</v>
      </c>
      <c r="C136" s="233" t="str">
        <f t="shared" si="7"/>
        <v>SRgMPDnS</v>
      </c>
      <c r="D136" s="234" t="str">
        <f>IFERROR(__xludf.DUMMYFUNCTION("IF(REGEXMATCH(C136, ""S""), ""S"","""")"),"S")</f>
        <v>S</v>
      </c>
      <c r="E136" s="236" t="str">
        <f>IFERROR(__xludf.DUMMYFUNCTION("IF(REGEXMATCH(C136, ""r""), ""r"","""")"),"")</f>
        <v/>
      </c>
      <c r="F136" s="237" t="str">
        <f>IFERROR(__xludf.DUMMYFUNCTION("IF(REGEXMATCH(C136, ""R""), ""R"","""")"),"R")</f>
        <v>R</v>
      </c>
      <c r="G136" s="237" t="str">
        <f>IFERROR(__xludf.DUMMYFUNCTION("IF(REGEXMATCH(C136, ""g""), ""g"","""")"),"g")</f>
        <v>g</v>
      </c>
      <c r="H136" s="236" t="str">
        <f>IFERROR(__xludf.DUMMYFUNCTION("IF(REGEXMATCH(C136, ""G""), ""G"","""")"),"")</f>
        <v/>
      </c>
      <c r="I136" s="236" t="str">
        <f>IFERROR(__xludf.DUMMYFUNCTION("IF(REGEXMATCH(C136, ""m""), ""m"","""")"),"")</f>
        <v/>
      </c>
      <c r="J136" s="237" t="str">
        <f>IFERROR(__xludf.DUMMYFUNCTION("IF(REGEXMATCH(C136, ""M""), ""M"","""")"),"M")</f>
        <v>M</v>
      </c>
      <c r="K136" s="236" t="str">
        <f>IFERROR(__xludf.DUMMYFUNCTION("IF(REGEXMATCH(C136, ""P""), ""P"","""")"),"P")</f>
        <v>P</v>
      </c>
      <c r="L136" s="237" t="str">
        <f>IFERROR(__xludf.DUMMYFUNCTION("IF(REGEXMATCH(C136, ""d""), ""d"","""")"),"")</f>
        <v/>
      </c>
      <c r="M136" s="236" t="str">
        <f>IFERROR(__xludf.DUMMYFUNCTION("IF(REGEXMATCH(C136, ""D""), ""D"","""")"),"D")</f>
        <v>D</v>
      </c>
      <c r="N136" s="236" t="str">
        <f>IFERROR(__xludf.DUMMYFUNCTION("IF(REGEXMATCH(C136, ""n""), ""n"","""")"),"n")</f>
        <v>n</v>
      </c>
      <c r="O136" s="237" t="str">
        <f>IFERROR(__xludf.DUMMYFUNCTION("IF(REGEXMATCH(C136, ""N""), ""N"","""")"),"")</f>
        <v/>
      </c>
      <c r="P136" s="238" t="str">
        <f>IFERROR(__xludf.DUMMYFUNCTION("IF(REGEXMATCH(C136, ""S""), ""S"","""")"),"S")</f>
        <v>S</v>
      </c>
      <c r="Q136" s="239" t="str">
        <f>IFERROR(__xludf.DUMMYFUNCTION("SUBSTITUTE(CONCATENATE(JOIN(""-"",D136:J136)),""-"","""")"),"SRgM")</f>
        <v>SRgM</v>
      </c>
      <c r="R136" s="229" t="str">
        <f>IFERROR(__xludf.DUMMYFUNCTION("SUBSTITUTE(CONCATENATE(JOIN(""-"",K136:P136)),""-"","""")"),"PDnS")</f>
        <v>PDnS</v>
      </c>
      <c r="S136" s="282" t="str">
        <f t="shared" si="8"/>
        <v>S-R-G-M</v>
      </c>
      <c r="T136" s="282" t="str">
        <f t="shared" si="9"/>
        <v>P-D-N-S</v>
      </c>
      <c r="U136" s="237" t="str">
        <f>IFERROR(__xludf.DUMMYFUNCTION("SUBSTITUTE(JOIN(""-"",S136,T136),""--"",""-"")"),"S-R-G-M-P-D-N-S")</f>
        <v>S-R-G-M-P-D-N-S</v>
      </c>
      <c r="V136" s="309" t="str">
        <f t="shared" si="10"/>
        <v>RgMDn</v>
      </c>
      <c r="W136" s="244" t="str">
        <f>IFERROR(__xludf.DUMMYFUNCTION("IF(REGEXMATCH(C136, ""S""), ""0"","""")"),"0")</f>
        <v>0</v>
      </c>
      <c r="X136" s="245" t="str">
        <f>IFERROR(__xludf.DUMMYFUNCTION("IF(REGEXMATCH(C136, ""r""), ""1"","""")"),"")</f>
        <v/>
      </c>
      <c r="Y136" s="246" t="str">
        <f>IFERROR(__xludf.DUMMYFUNCTION("IF(REGEXMATCH(C136, ""R""), ""2"","""")"),"2")</f>
        <v>2</v>
      </c>
      <c r="Z136" s="246" t="str">
        <f>IFERROR(__xludf.DUMMYFUNCTION("IF(REGEXMATCH(C136, ""g""), ""3"","""")"),"3")</f>
        <v>3</v>
      </c>
      <c r="AA136" s="245" t="str">
        <f>IFERROR(__xludf.DUMMYFUNCTION("IF(REGEXMATCH(C136, ""G""), ""4"","""")"),"")</f>
        <v/>
      </c>
      <c r="AB136" s="245" t="str">
        <f>IFERROR(__xludf.DUMMYFUNCTION("IF(REGEXMATCH(C136, ""m""), ""5"","""")"),"")</f>
        <v/>
      </c>
      <c r="AC136" s="246" t="str">
        <f>IFERROR(__xludf.DUMMYFUNCTION("IF(REGEXMATCH(C136, ""M""), ""6"","""")"),"6")</f>
        <v>6</v>
      </c>
      <c r="AD136" s="245" t="str">
        <f>IFERROR(__xludf.DUMMYFUNCTION("IF(REGEXMATCH(C136, ""P""), ""7"","""")"),"7")</f>
        <v>7</v>
      </c>
      <c r="AE136" s="246" t="str">
        <f>IFERROR(__xludf.DUMMYFUNCTION("IF(REGEXMATCH(C136, ""d""), ""8"","""")"),"")</f>
        <v/>
      </c>
      <c r="AF136" s="245" t="str">
        <f>IFERROR(__xludf.DUMMYFUNCTION("IF(REGEXMATCH(C136, ""D""), ""9"","""")"),"9")</f>
        <v>9</v>
      </c>
      <c r="AG136" s="245" t="str">
        <f>IFERROR(__xludf.DUMMYFUNCTION("IF(REGEXMATCH(C136, ""n""), ""10"","""")"),"10")</f>
        <v>10</v>
      </c>
      <c r="AH136" s="246" t="str">
        <f>IFERROR(__xludf.DUMMYFUNCTION("IF(REGEXMATCH(C136, ""N""), ""11"","""")"),"")</f>
        <v/>
      </c>
      <c r="AI136" s="249" t="str">
        <f>IFERROR(__xludf.DUMMYFUNCTION("IF(REGEXMATCH(C136, ""S""), ""0"","""")"),"0")</f>
        <v>0</v>
      </c>
      <c r="AJ136" s="313" t="str">
        <f t="shared" si="11"/>
        <v>T</v>
      </c>
      <c r="AK136" s="313" t="str">
        <f t="shared" si="12"/>
        <v>-</v>
      </c>
      <c r="AL136" s="313" t="str">
        <f t="shared" si="13"/>
        <v>-</v>
      </c>
      <c r="AM136" s="313" t="str">
        <f t="shared" si="14"/>
        <v>T</v>
      </c>
      <c r="AN136" s="313" t="str">
        <f t="shared" si="15"/>
        <v>-</v>
      </c>
      <c r="AO136" s="314" t="str">
        <f t="shared" si="16"/>
        <v>-</v>
      </c>
      <c r="AP136" s="316">
        <f t="shared" si="17"/>
        <v>2</v>
      </c>
      <c r="AQ136" s="319" t="str">
        <f t="shared" si="18"/>
        <v>#REF!</v>
      </c>
      <c r="AR136" s="320">
        <f t="shared" si="19"/>
        <v>0</v>
      </c>
      <c r="AS136" s="250" t="str">
        <f>IFERROR(__xludf.DUMMYFUNCTION("SUBSTITUTE(SUBSTITUTE(CONCATENATE(JOIN("""",FP136:GA136)),""|"",""x""),""-"",""o"")"),"xoxxooxxoxxo")</f>
        <v>xoxxooxxoxxo</v>
      </c>
      <c r="AT136" s="323" t="str">
        <f>IFERROR(__xludf.DUMMYFUNCTION("JOIN("""",AS136,AS136)"),"xoxxooxxoxxoxoxxooxxoxxo")</f>
        <v>xoxxooxxoxxoxoxxooxxoxxo</v>
      </c>
      <c r="AU136" s="256" t="str">
        <f>IFERROR(__xludf.DUMMYFUNCTION("JOIN("""",ArrayFormula(MID(AS136,LEN(AS136)-SEQUENCE(1,LEN(AS136))+1,1)))"),"oxxoxxooxxox")</f>
        <v>oxxoxxooxxox</v>
      </c>
      <c r="AV136" s="256" t="str">
        <f>IFERROR(__xludf.DUMMYFUNCTION("LEFT(CONCATENATE(""x"",JOIN("""",ArrayFormula(MID(AS136,LEN(AS136)-SEQUENCE(1,LEN(AS136))+1,1)))),12)"),"xoxxoxxooxxo")</f>
        <v>xoxxoxxooxxo</v>
      </c>
      <c r="AW136" s="327" t="str">
        <f>IFERROR(__xludf.DUMMYFUNCTION("JOIN("""",AU136,AU136)"),"oxxoxxooxxoxoxxoxxooxxox")</f>
        <v>oxxoxxooxxoxoxxoxxooxxox</v>
      </c>
      <c r="AX136" s="239" t="str">
        <f>IFERROR(__xludf.DUMMYFUNCTION("IF(REGEXMATCH(AW136,AS136),""✔"",""-"")"),"-")</f>
        <v>-</v>
      </c>
      <c r="AY136" s="330" t="str">
        <f t="shared" si="20"/>
        <v>-</v>
      </c>
      <c r="AZ136" s="260" t="str">
        <f t="shared" si="21"/>
        <v>#REF!</v>
      </c>
      <c r="BA136" s="333" t="str">
        <f t="shared" si="22"/>
        <v>xoxxoox</v>
      </c>
      <c r="BB136" s="334" t="str">
        <f t="shared" si="23"/>
        <v>xoxxox</v>
      </c>
      <c r="BC136" s="335" t="str">
        <f t="shared" si="236"/>
        <v>-</v>
      </c>
      <c r="BD136" s="336" t="str">
        <f t="shared" si="25"/>
        <v>Hemavati: 'xoxxoox' + 'xoxxox'</v>
      </c>
      <c r="BE136" s="337">
        <f>IFERROR(__xludf.DUMMYFUNCTION("COUNTUNIQUE(FILTER(AT:AT,REGEXMATCH(AT:AT,AS136)))-1"),3.0)</f>
        <v>3</v>
      </c>
      <c r="BF136" s="261" t="str">
        <f>IFERROR(__xludf.DUMMYFUNCTION("IF(BI136=0,""(n/a)"",IF(BJ136=2,""(PAIR)"",IF(REGEXMATCH(AT136,""xoxoxxoxoxox""),""Bilawal"",IF(REGEXMATCH(AT136,""xoxoxooxoxoo""),""Bhupali"",IF(REGEXMATCH(AT136,""xoxoxxoxxoxo""),""Charukeshi"",IF(REGEXMATCH(AT136,""xoxoooxxoxxo""),""Kameshwari"",IF(REG"&amp;"EXMATCH(AT136,""xoxoxooxoxox""),""Shankara"",IF(REGEXMATCH(AT136,""xxooxoxxxoox""),""Basant"",IF(REGEXMATCH(AT136,""xoxoxxxxoxox""),""Bihag"",IF(REGEXMATCH(AT136,""xoxxxxoxoxxx""),""Pilu"",IF(REGEXMATCH(AT136,""xoxxoxoxxoox""),""Kirwani"",IF(REGEXMATCH(AT"&amp;"136,""xoxxoxoxoxxx""),""Mk.Malhar"",IF(REGEXMATCH(AT136,""xxooxxoxxoox""),""Bhairav"",IF(REGEXMATCH(AT136,""xxoxooxxxoox""),""Todi"",IF(REGEXMATCH(AT136,""xxooxoxooxox""),""Marwa"",IF(REGEXMATCH(AT136,""xxoooxoxxooo""),""Gunkali"",IF(REGEXMATCH(AT136,""xo"&amp;"xoxxoxxoox""),""Nat Bhairav"",IF(REGEXMATCH(AT136,""xoxxoooxoxoo""),""Shivranjani"",IF(REGEXMATCH(AT136,""xooxxxoxooxo""),""Jog"",IF(REGEXMATCH(AT136,""xxooxoxoxoox""),""Hemshri"",IF(REGEXMATCH(AT136,""xoooxooxoxxo""),""Kalavati"",IF(REGEXMATCH(AT136,""xx"&amp;"oxoxxoxoox""),""Kedar"",IF(REGEXMATCH(AT136,""xoxxxxoxooxx""),""Gara"",IF(REGEXMATCH(AT136,""xooxoxooxoox""),""Chandrakauns"",IF(REGEXMATCH(AT136,""xoxxxxoxxxox""),""Mand"",IF(REGEXMATCH(AT136,""xoxxxxoxoxox""),""Hanskinkini"",IF(REGEXMATCH(AT136,""xxooxx"&amp;"oxooxo""),""Lilavati"",IF(REGEXMATCH(AT136,""xooxoxoooxox""),""Rajeshwari"",IF(REGEXMATCH(AT136,""xoooxxoxoxxx""),""Khokar"",IF(REGEXMATCH(AT136,""xxooxoxxxxox""),""Maligoura"",""-""))))))))))))))))))))))))))))))"),"Kirwani")</f>
        <v>Kirwani</v>
      </c>
      <c r="BG136" s="239" t="str">
        <f t="shared" si="26"/>
        <v>#REF!</v>
      </c>
      <c r="BH136" s="239">
        <f>IFERROR(__xludf.DUMMYFUNCTION("COUNTUNIQUE(FE136:FO136)-1"),6.0)</f>
        <v>6</v>
      </c>
      <c r="BI136" s="239">
        <f>IFERROR(__xludf.DUMMYFUNCTION("COUNTUNIQUE(FILTER(AT:AT,REGEXMATCH(AT:AT,AS136)))-1"),3.0)</f>
        <v>3</v>
      </c>
      <c r="BJ136" s="239">
        <f>IFERROR(__xludf.DUMMYFUNCTION("COUNTA(FILTER(AT:AT,REGEXMATCH(AT:AT,AS136)))"),6.0)</f>
        <v>6</v>
      </c>
      <c r="BK136" s="341">
        <f>IFERROR(__xludf.DUMMYFUNCTION("COUNTA(FILTER(AT:AT,REGEXMATCH(AT:AT,AS136)))-AR136"),6.0)</f>
        <v>6</v>
      </c>
      <c r="BL136" s="276" t="str">
        <f>IFERROR(__xludf.DUMMYFUNCTION("IF(AS136=""oooooooooooo"",""-"",IF(REGEXMATCH(AT136,""xx""), ""Hemi."", ""Anhemi.""))"),"Hemi.")</f>
        <v>Hemi.</v>
      </c>
      <c r="BM136" s="282" t="str">
        <f>IFERROR(__xludf.DUMMYFUNCTION("IF(AS136=""oooooooooooo"",""-"",IF(REGEXMATCH(AT136,""xxx""), ""Cohem."", ""-""))"),"-")</f>
        <v>-</v>
      </c>
      <c r="BN136" s="282" t="str">
        <f>IFERROR(__xludf.DUMMYFUNCTION("IF(AS136=""oooooooooooo"",""-"",IF(REGEXMATCH(AT136,""xxxx""), ""Co-Co."", ""-""))"),"-")</f>
        <v>-</v>
      </c>
      <c r="BO136" s="342" t="str">
        <f>IFERROR(__xludf.DUMMYFUNCTION("IF(AS136=""oooooooooooo"",""-"",IF(REGEXMATCH(AT136,""xxxxx""), ""CCC."", ""-""))"),"-")</f>
        <v>-</v>
      </c>
      <c r="BP136" s="344" t="str">
        <f t="shared" si="27"/>
        <v>-</v>
      </c>
      <c r="BQ136" s="282" t="str">
        <f>IFERROR(__xludf.DUMMYFUNCTION("IF(REGEXMATCH(JOIN(""-"",EU136:FD136),""TRUE""),""✔"",""-"")"),"-")</f>
        <v>-</v>
      </c>
      <c r="BR136" s="225">
        <f t="shared" si="28"/>
        <v>0</v>
      </c>
      <c r="BS136" s="345" t="str">
        <f>IFERROR(__xludf.DUMMYFUNCTION("SUBSTITUTE(SUBSTITUTE(SUBSTITUTE(SUBSTITUTE(CONCATENATE(JOIN(""-"",GC136:GO136)),""--"",""-""),""--"",""-""),""--"",""-""),""--"",""-"")"),"1-2-b3-#4-5-6-b7-8")</f>
        <v>1-2-b3-#4-5-6-b7-8</v>
      </c>
      <c r="BT136" s="299" t="str">
        <f>IFERROR(__xludf.DUMMYFUNCTION("SUBSTITUTE(SUBSTITUTE(SUBSTITUTE(SUBSTITUTE(CONCATENATE(JOIN(""-"",GP136:HB136)),""--"",""-""),""--"",""-""),""--"",""-""),""--"",""-"")"),"S-R2-G2-M2-P-D2-N2-S")</f>
        <v>S-R2-G2-M2-P-D2-N2-S</v>
      </c>
      <c r="BU136" s="348" t="str">
        <f t="shared" si="29"/>
        <v>C-D-Eb-F#-G-A-Bb-C</v>
      </c>
      <c r="BV136" s="349" t="str">
        <f t="shared" si="30"/>
        <v>SrGmdNS</v>
      </c>
      <c r="BW136" s="350">
        <f t="shared" si="31"/>
        <v>0</v>
      </c>
      <c r="BX136" s="351">
        <f t="shared" si="32"/>
        <v>2</v>
      </c>
      <c r="BY136" s="392"/>
      <c r="BZ136" s="309" t="str">
        <f>IFERROR(__xludf.DUMMYFUNCTION("IF(REGEXMATCH(C136, ""S""), ""x"",""x"")"),"x")</f>
        <v>x</v>
      </c>
      <c r="CA136" s="245" t="str">
        <f>IFERROR(__xludf.DUMMYFUNCTION("IF(REGEXMATCH(C136, ""r""), ""o"",""x"")"),"x")</f>
        <v>x</v>
      </c>
      <c r="CB136" s="246" t="str">
        <f>IFERROR(__xludf.DUMMYFUNCTION("IF(REGEXMATCH(C136, ""R""), ""o"",""x"")"),"o")</f>
        <v>o</v>
      </c>
      <c r="CC136" s="246" t="str">
        <f>IFERROR(__xludf.DUMMYFUNCTION("IF(REGEXMATCH(C136, ""g""), ""o"",""x"")"),"o")</f>
        <v>o</v>
      </c>
      <c r="CD136" s="245" t="str">
        <f>IFERROR(__xludf.DUMMYFUNCTION("IF(REGEXMATCH(C136, ""G""), ""o"",""x"")"),"x")</f>
        <v>x</v>
      </c>
      <c r="CE136" s="245" t="str">
        <f>IFERROR(__xludf.DUMMYFUNCTION("IF(REGEXMATCH(C136, ""m""), ""o"",""x"")"),"x")</f>
        <v>x</v>
      </c>
      <c r="CF136" s="246" t="str">
        <f>IFERROR(__xludf.DUMMYFUNCTION("IF(REGEXMATCH(C136, ""M""), ""o"",""x"")"),"o")</f>
        <v>o</v>
      </c>
      <c r="CG136" s="245" t="str">
        <f>IFERROR(__xludf.DUMMYFUNCTION("IF(REGEXMATCH(C136, ""P""), ""o"",""x"")"),"o")</f>
        <v>o</v>
      </c>
      <c r="CH136" s="246" t="str">
        <f>IFERROR(__xludf.DUMMYFUNCTION("IF(REGEXMATCH(C136, ""d""), ""o"",""x"")"),"x")</f>
        <v>x</v>
      </c>
      <c r="CI136" s="245" t="str">
        <f>IFERROR(__xludf.DUMMYFUNCTION("IF(REGEXMATCH(C136, ""D""), ""o"",""x"")"),"o")</f>
        <v>o</v>
      </c>
      <c r="CJ136" s="245" t="str">
        <f>IFERROR(__xludf.DUMMYFUNCTION("IF(REGEXMATCH(C136, ""n""), ""o"",""x"")"),"o")</f>
        <v>o</v>
      </c>
      <c r="CK136" s="245" t="str">
        <f>IFERROR(__xludf.DUMMYFUNCTION("IF(REGEXMATCH(C136, ""N""), ""o"",""x"")"),"x")</f>
        <v>x</v>
      </c>
      <c r="CL136" s="356" t="str">
        <f>IFERROR(__xludf.DUMMYFUNCTION("IF(REGEXMATCH(C136, ""S""), ""x"",""x"")"),"x")</f>
        <v>x</v>
      </c>
      <c r="CM136" s="357" t="str">
        <f t="shared" si="33"/>
        <v>xxooxxooxoox</v>
      </c>
      <c r="CN136" s="358">
        <f t="shared" si="34"/>
        <v>0</v>
      </c>
      <c r="CO136" s="246" t="str">
        <f>IFERROR(__xludf.DUMMYFUNCTION("IF(REGEXMATCH($C136, ""S""), ""S"",""S"")"),"S")</f>
        <v>S</v>
      </c>
      <c r="CP136" s="246" t="str">
        <f>IFERROR(__xludf.DUMMYFUNCTION("IF(REGEXMATCH($C136, ""r""), """",""r"")"),"r")</f>
        <v>r</v>
      </c>
      <c r="CQ136" s="246" t="str">
        <f>IFERROR(__xludf.DUMMYFUNCTION("IF(REGEXMATCH($C136, ""R""), """",""R"")"),"")</f>
        <v/>
      </c>
      <c r="CR136" s="246" t="str">
        <f>IFERROR(__xludf.DUMMYFUNCTION("IF(REGEXMATCH($C136, ""g""), """",""g"")"),"")</f>
        <v/>
      </c>
      <c r="CS136" s="246" t="str">
        <f>IFERROR(__xludf.DUMMYFUNCTION("IF(REGEXMATCH($C136, ""G""), """",""G"")"),"G")</f>
        <v>G</v>
      </c>
      <c r="CT136" s="246" t="str">
        <f>IFERROR(__xludf.DUMMYFUNCTION("IF(REGEXMATCH($C136, ""m""), """",""m"")"),"m")</f>
        <v>m</v>
      </c>
      <c r="CU136" s="246" t="str">
        <f>IFERROR(__xludf.DUMMYFUNCTION("IF(REGEXMATCH($C136, ""M""), """",""M"")"),"")</f>
        <v/>
      </c>
      <c r="CV136" s="246" t="str">
        <f>IFERROR(__xludf.DUMMYFUNCTION("IF(REGEXMATCH($C136, ""P""), """",""P"")"),"")</f>
        <v/>
      </c>
      <c r="CW136" s="246" t="str">
        <f>IFERROR(__xludf.DUMMYFUNCTION("IF(REGEXMATCH($C136, ""d""), """",""d"")"),"d")</f>
        <v>d</v>
      </c>
      <c r="CX136" s="246" t="str">
        <f>IFERROR(__xludf.DUMMYFUNCTION("IF(REGEXMATCH($C136, ""D""), """",""D"")"),"")</f>
        <v/>
      </c>
      <c r="CY136" s="246" t="str">
        <f>IFERROR(__xludf.DUMMYFUNCTION("IF(REGEXMATCH($C136, ""n""), """",""n"")"),"")</f>
        <v/>
      </c>
      <c r="CZ136" s="246" t="str">
        <f>IFERROR(__xludf.DUMMYFUNCTION("IF(REGEXMATCH($C136, ""N""), """",""N"")"),"N")</f>
        <v>N</v>
      </c>
      <c r="DA136" s="246" t="str">
        <f>IFERROR(__xludf.DUMMYFUNCTION("IF(REGEXMATCH($C136, ""S""), ""S"",""S"")"),"S")</f>
        <v>S</v>
      </c>
      <c r="DB136" s="362" t="str">
        <f>IFERROR(__xludf.DUMMYFUNCTION("JOIN("""",CO136:DA136,"""","""")"),"SrGmdNS")</f>
        <v>SrGmdNS</v>
      </c>
      <c r="DC136" s="363"/>
      <c r="DD136" s="301" t="str">
        <f t="shared" si="35"/>
        <v>#REF!</v>
      </c>
      <c r="DE136" s="302" t="str">
        <f t="shared" si="36"/>
        <v>#REF!</v>
      </c>
      <c r="DF136" s="301" t="str">
        <f t="shared" ref="DF136:DG136" si="477">SUBSTITUTE(S136,"-","")</f>
        <v>SRGM</v>
      </c>
      <c r="DG136" s="301" t="str">
        <f t="shared" si="477"/>
        <v>PDNS</v>
      </c>
      <c r="DH136" s="302" t="str">
        <f t="shared" si="38"/>
        <v>Kirwani</v>
      </c>
      <c r="DI136" s="301" t="str">
        <f t="shared" si="39"/>
        <v>Hemi.</v>
      </c>
      <c r="DJ136" s="364" t="str">
        <f t="shared" si="40"/>
        <v>-</v>
      </c>
      <c r="DK136" s="306" t="str">
        <f t="shared" si="41"/>
        <v>-</v>
      </c>
      <c r="DL136" s="366" t="str">
        <f t="shared" si="42"/>
        <v>-</v>
      </c>
      <c r="DM136" s="308" t="str">
        <f t="shared" si="43"/>
        <v>✔</v>
      </c>
      <c r="DN136" s="306" t="str">
        <f t="shared" si="44"/>
        <v>-</v>
      </c>
      <c r="DO136" s="306" t="str">
        <f t="shared" si="45"/>
        <v>-</v>
      </c>
      <c r="DP136" s="367" t="str">
        <f t="shared" si="46"/>
        <v>✔</v>
      </c>
      <c r="DQ136" s="310" t="str">
        <f t="shared" si="47"/>
        <v>-</v>
      </c>
      <c r="DR136" s="310" t="str">
        <f t="shared" si="48"/>
        <v>-</v>
      </c>
      <c r="DS136" s="310" t="str">
        <f t="shared" si="49"/>
        <v>-</v>
      </c>
      <c r="DT136" s="310" t="str">
        <f t="shared" si="50"/>
        <v>-</v>
      </c>
      <c r="DU136" s="370" t="str">
        <f t="shared" si="51"/>
        <v>-</v>
      </c>
      <c r="DV136" s="306" t="str">
        <f t="shared" si="52"/>
        <v>-</v>
      </c>
      <c r="DW136" s="306" t="str">
        <f t="shared" si="53"/>
        <v>-</v>
      </c>
      <c r="DX136" s="306" t="str">
        <f t="shared" si="54"/>
        <v>-</v>
      </c>
      <c r="DY136" s="306" t="str">
        <f t="shared" si="55"/>
        <v>-</v>
      </c>
      <c r="DZ136" s="306" t="str">
        <f t="shared" si="56"/>
        <v>-</v>
      </c>
      <c r="EA136" s="367" t="str">
        <f t="shared" si="57"/>
        <v>-</v>
      </c>
      <c r="EB136" s="310" t="str">
        <f>IFERROR(__xludf.DUMMYFUNCTION("IF(REGEXMATCH(AW136,AS136),""✔"",""-"")"),"-")</f>
        <v>-</v>
      </c>
      <c r="EC136" s="310" t="str">
        <f t="shared" si="58"/>
        <v>#REF!</v>
      </c>
      <c r="ED136" s="370" t="str">
        <f t="shared" si="59"/>
        <v>-</v>
      </c>
      <c r="EE136" s="340" t="str">
        <f t="shared" si="60"/>
        <v>S-R-g-M-P-D-n-S</v>
      </c>
      <c r="EF136" s="371" t="str">
        <f>IFERROR(__xludf.DUMMYFUNCTION("CONCATENATE(JOIN("""",HC136:HO136))"),"SRgmMDnS")</f>
        <v>SRgmMDnS</v>
      </c>
      <c r="EG136" s="372">
        <f t="shared" si="61"/>
        <v>3</v>
      </c>
      <c r="EH136" s="373" t="str">
        <f>IFERROR(__xludf.DUMMYFUNCTION("CONCATENATE(JOIN("""",JC136:JO136))"),"Ma, Dha, ni, ")</f>
        <v>Ma, Dha, ni, </v>
      </c>
      <c r="EI136" s="322">
        <f t="shared" si="62"/>
        <v>1</v>
      </c>
      <c r="EJ136" s="374" t="str">
        <f>IFERROR(__xludf.DUMMYFUNCTION("CONCATENATE(JOIN("""",KC136:KO136))"),"Ma, ")</f>
        <v>Ma, </v>
      </c>
      <c r="EK136" s="325" t="str">
        <f t="shared" si="63"/>
        <v>S-R2-G2-M2-P-D2-N2-S</v>
      </c>
      <c r="EL136" s="326" t="str">
        <f t="shared" si="64"/>
        <v>1-2-b3-#4-5-6-b7-8</v>
      </c>
      <c r="EM136" s="318" t="str">
        <f t="shared" si="65"/>
        <v>#REF!</v>
      </c>
      <c r="EN136" s="328" t="str">
        <f>IFERROR(__xludf.DUMMYFUNCTION("SUBSTITUTE(SUBSTITUTE(SUBSTITUTE(SUBSTITUTE(CONCATENATE(JOIN("" "",HP136:IB136)),""  "","" ""),""  "","" ""),""  "","" ""),""  "","" "")"),"o • o o • • o o • o o • o")</f>
        <v>o • o o • • o o • o o • o</v>
      </c>
      <c r="EO136" s="368" t="str">
        <f t="shared" si="66"/>
        <v>Sa-Pa</v>
      </c>
      <c r="EP136" s="339" t="str">
        <f t="shared" si="67"/>
        <v>Sa-Pa</v>
      </c>
      <c r="EQ136" s="339" t="str">
        <f t="shared" si="68"/>
        <v>Sa-Pa</v>
      </c>
      <c r="ER136" s="339" t="str">
        <f t="shared" si="69"/>
        <v>-</v>
      </c>
      <c r="ES136" s="340" t="str">
        <f t="shared" si="70"/>
        <v>-</v>
      </c>
      <c r="ET136" s="363"/>
      <c r="EU136" s="376" t="b">
        <f>IFERROR(__xludf.DUMMYFUNCTION("arrayformula(sum(--REGEXMATCH(""SRGMPDNS"",split(REGEXREPLACE(C136,""(.)"",""$1~""),""~""))))=len(C136)
"),FALSE)</f>
        <v>0</v>
      </c>
      <c r="EV136" s="290" t="b">
        <f>IFERROR(__xludf.DUMMYFUNCTION("arrayformula(sum(--REGEXMATCH(""SRGmPDNS"",split(REGEXREPLACE(C136,""(.)"",""$1~""),""~""))))=len(C136)"),FALSE)</f>
        <v>0</v>
      </c>
      <c r="EW136" s="290" t="b">
        <f>IFERROR(__xludf.DUMMYFUNCTION("arrayformula(sum(--REGEXMATCH(""SRGmPDnS"",split(REGEXREPLACE(C136,""(.)"",""$1~""),""~""))))=len(C136)"),FALSE)</f>
        <v>0</v>
      </c>
      <c r="EX136" s="290" t="b">
        <f>IFERROR(__xludf.DUMMYFUNCTION("arrayformula(sum(--REGEXMATCH(""SRgmPDnS"",split(REGEXREPLACE(C136,""(.)"",""$1~""),""~""))))=len(C136)"),FALSE)</f>
        <v>0</v>
      </c>
      <c r="EY136" s="290" t="b">
        <f>IFERROR(__xludf.DUMMYFUNCTION("arrayformula(sum(--REGEXMATCH(""SRgmPdnS"",split(REGEXREPLACE(C136,""(.)"",""$1~""),""~""))))=len(C136)"),FALSE)</f>
        <v>0</v>
      </c>
      <c r="EZ136" s="290" t="b">
        <f>IFERROR(__xludf.DUMMYFUNCTION("arrayformula(sum(--REGEXMATCH(""SrgmPdnS"",split(REGEXREPLACE(C136,""(.)"",""$1~""),""~""))))=len(C136)"),FALSE)</f>
        <v>0</v>
      </c>
      <c r="FA136" s="290" t="b">
        <f>IFERROR(__xludf.DUMMYFUNCTION("arrayformula(sum(--REGEXMATCH(""SrGmPdNS"",split(REGEXREPLACE(C136,""(.)"",""$1~""),""~""))))=len(C136)"),FALSE)</f>
        <v>0</v>
      </c>
      <c r="FB136" s="290" t="b">
        <f>IFERROR(__xludf.DUMMYFUNCTION("arrayformula(sum(--REGEXMATCH(""SrGMPDNS"",split(REGEXREPLACE(C136,""(.)"",""$1~""),""~""))))=len(C136)"),FALSE)</f>
        <v>0</v>
      </c>
      <c r="FC136" s="290" t="b">
        <f>IFERROR(__xludf.DUMMYFUNCTION("arrayformula(sum(--REGEXMATCH(""SrGMPdNS"",split(REGEXREPLACE(C136,""(.)"",""$1~""),""~""))))=len(C136)"),FALSE)</f>
        <v>0</v>
      </c>
      <c r="FD136" s="377" t="b">
        <f>IFERROR(__xludf.DUMMYFUNCTION("arrayformula(sum(--REGEXMATCH(""SrgMPdNS"",split(REGEXREPLACE(C136,""(.)"",""$1~""),""~""))))=len(C136)"),FALSE)</f>
        <v>0</v>
      </c>
      <c r="FE136" s="269" t="str">
        <f t="shared" si="71"/>
        <v>-</v>
      </c>
      <c r="FF136" s="269" t="str">
        <f t="shared" si="72"/>
        <v>xxooxxoxxox</v>
      </c>
      <c r="FG136" s="271" t="str">
        <f t="shared" si="73"/>
        <v>xooxxoxxoxo</v>
      </c>
      <c r="FH136" s="269" t="str">
        <f t="shared" si="74"/>
        <v>-</v>
      </c>
      <c r="FI136" s="271" t="str">
        <f t="shared" si="75"/>
        <v>-</v>
      </c>
      <c r="FJ136" s="271" t="str">
        <f t="shared" si="76"/>
        <v>xxoxxoxoxxo</v>
      </c>
      <c r="FK136" s="271" t="str">
        <f t="shared" si="77"/>
        <v>xoxxoxoxxoo</v>
      </c>
      <c r="FL136" s="271" t="str">
        <f t="shared" si="78"/>
        <v>-</v>
      </c>
      <c r="FM136" s="271" t="str">
        <f t="shared" si="79"/>
        <v>xxoxoxxooxx</v>
      </c>
      <c r="FN136" s="271" t="str">
        <f t="shared" si="80"/>
        <v>xoxoxxooxxo</v>
      </c>
      <c r="FO136" s="274" t="str">
        <f t="shared" si="81"/>
        <v>-</v>
      </c>
      <c r="FP136" s="234" t="str">
        <f t="shared" si="82"/>
        <v>|</v>
      </c>
      <c r="FQ136" s="236" t="str">
        <f t="shared" si="83"/>
        <v>-</v>
      </c>
      <c r="FR136" s="237" t="str">
        <f t="shared" si="84"/>
        <v>|</v>
      </c>
      <c r="FS136" s="236" t="str">
        <f t="shared" si="85"/>
        <v>|</v>
      </c>
      <c r="FT136" s="237" t="str">
        <f t="shared" si="86"/>
        <v>-</v>
      </c>
      <c r="FU136" s="236" t="str">
        <f t="shared" si="87"/>
        <v>-</v>
      </c>
      <c r="FV136" s="237" t="str">
        <f t="shared" si="88"/>
        <v>|</v>
      </c>
      <c r="FW136" s="236" t="str">
        <f t="shared" si="89"/>
        <v>|</v>
      </c>
      <c r="FX136" s="237" t="str">
        <f t="shared" si="90"/>
        <v>-</v>
      </c>
      <c r="FY136" s="236" t="str">
        <f t="shared" si="91"/>
        <v>|</v>
      </c>
      <c r="FZ136" s="237" t="str">
        <f t="shared" si="92"/>
        <v>|</v>
      </c>
      <c r="GA136" s="236" t="str">
        <f t="shared" si="93"/>
        <v>-</v>
      </c>
      <c r="GB136" s="238" t="str">
        <f t="shared" si="94"/>
        <v>|</v>
      </c>
      <c r="GC136" s="244" t="str">
        <f>IFERROR(__xludf.DUMMYFUNCTION("IF(REGEXMATCH(C136, ""S""), ""1"","""")"),"1")</f>
        <v>1</v>
      </c>
      <c r="GD136" s="245" t="str">
        <f>IFERROR(__xludf.DUMMYFUNCTION("IF(REGEXMATCH(C136, ""r""), ""b2"","""")"),"")</f>
        <v/>
      </c>
      <c r="GE136" s="246" t="str">
        <f>IFERROR(__xludf.DUMMYFUNCTION("IF(REGEXMATCH(C136, ""R""), ""2"","""")"),"2")</f>
        <v>2</v>
      </c>
      <c r="GF136" s="246" t="str">
        <f>IFERROR(__xludf.DUMMYFUNCTION("IF(REGEXMATCH(C136, ""g""), ""b3"","""")"),"b3")</f>
        <v>b3</v>
      </c>
      <c r="GG136" s="245" t="str">
        <f>IFERROR(__xludf.DUMMYFUNCTION("IF(REGEXMATCH(C136, ""G""), ""3"","""")"),"")</f>
        <v/>
      </c>
      <c r="GH136" s="245" t="str">
        <f>IFERROR(__xludf.DUMMYFUNCTION("IF(REGEXMATCH(C136, ""m""), ""4"","""")"),"")</f>
        <v/>
      </c>
      <c r="GI136" s="246" t="str">
        <f>IFERROR(__xludf.DUMMYFUNCTION("IF(REGEXMATCH(C136, ""M""), ""#4"","""")"),"#4")</f>
        <v>#4</v>
      </c>
      <c r="GJ136" s="245" t="str">
        <f>IFERROR(__xludf.DUMMYFUNCTION("IF(REGEXMATCH(C136, ""P""), ""5"","""")"),"5")</f>
        <v>5</v>
      </c>
      <c r="GK136" s="246" t="str">
        <f>IFERROR(__xludf.DUMMYFUNCTION("IF(REGEXMATCH(C136, ""d""), ""b6"","""")"),"")</f>
        <v/>
      </c>
      <c r="GL136" s="245" t="str">
        <f>IFERROR(__xludf.DUMMYFUNCTION("IF(REGEXMATCH(C136, ""D""), ""6"","""")"),"6")</f>
        <v>6</v>
      </c>
      <c r="GM136" s="245" t="str">
        <f>IFERROR(__xludf.DUMMYFUNCTION("IF(REGEXMATCH(C136, ""n""), ""b7"","""")"),"b7")</f>
        <v>b7</v>
      </c>
      <c r="GN136" s="246" t="str">
        <f>IFERROR(__xludf.DUMMYFUNCTION("IF(REGEXMATCH(C136, ""N""), ""7"","""")"),"")</f>
        <v/>
      </c>
      <c r="GO136" s="249" t="str">
        <f>IFERROR(__xludf.DUMMYFUNCTION("IF(REGEXMATCH(C136, ""S""), ""8"","""")"),"8")</f>
        <v>8</v>
      </c>
      <c r="GP136" s="244" t="str">
        <f>IFERROR(__xludf.DUMMYFUNCTION("IF(REGEXMATCH(C136, ""S""), ""S"","""")"),"S")</f>
        <v>S</v>
      </c>
      <c r="GQ136" s="294" t="str">
        <f>IFERROR(__xludf.DUMMYFUNCTION("IF(REGEXMATCH(C136, ""r""), ""R1"","""")"),"")</f>
        <v/>
      </c>
      <c r="GR136" s="295" t="str">
        <f>IFERROR(__xludf.DUMMYFUNCTION("IF(REGEXMATCH(C136, ""R""), ""R2"","""")"),"R2")</f>
        <v>R2</v>
      </c>
      <c r="GS136" s="295" t="str">
        <f>IFERROR(__xludf.DUMMYFUNCTION("IF(REGEXMATCH(C136, ""g""), ""G2"","""")"),"G2")</f>
        <v>G2</v>
      </c>
      <c r="GT136" s="294" t="str">
        <f>IFERROR(__xludf.DUMMYFUNCTION("IF(REGEXMATCH(C136, ""G""), ""G3"","""")"),"")</f>
        <v/>
      </c>
      <c r="GU136" s="294" t="str">
        <f>IFERROR(__xludf.DUMMYFUNCTION("IF(REGEXMATCH(C136, ""m""), ""M1"","""")"),"")</f>
        <v/>
      </c>
      <c r="GV136" s="295" t="str">
        <f>IFERROR(__xludf.DUMMYFUNCTION("IF(REGEXMATCH(C136, ""M""), ""M2"","""")"),"M2")</f>
        <v>M2</v>
      </c>
      <c r="GW136" s="294" t="str">
        <f>IFERROR(__xludf.DUMMYFUNCTION("IF(REGEXMATCH(C136, ""P""), ""P"","""")"),"P")</f>
        <v>P</v>
      </c>
      <c r="GX136" s="295" t="str">
        <f>IFERROR(__xludf.DUMMYFUNCTION("IF(REGEXMATCH(C136, ""d""), ""D1"","""")"),"")</f>
        <v/>
      </c>
      <c r="GY136" s="294" t="str">
        <f>IFERROR(__xludf.DUMMYFUNCTION("IF(REGEXMATCH(C136, ""D""), ""D2"","""")"),"D2")</f>
        <v>D2</v>
      </c>
      <c r="GZ136" s="294" t="str">
        <f>IFERROR(__xludf.DUMMYFUNCTION("IF(REGEXMATCH(C136, ""n""), ""N2"","""")"),"N2")</f>
        <v>N2</v>
      </c>
      <c r="HA136" s="295" t="str">
        <f>IFERROR(__xludf.DUMMYFUNCTION("IF(REGEXMATCH(C136, ""N""), ""N3"","""")"),"")</f>
        <v/>
      </c>
      <c r="HB136" s="249" t="str">
        <f>IFERROR(__xludf.DUMMYFUNCTION("IF(REGEXMATCH(C136, ""S""), ""S"","""")"),"S")</f>
        <v>S</v>
      </c>
      <c r="HC136" s="331" t="str">
        <f t="shared" si="95"/>
        <v>S</v>
      </c>
      <c r="HD136" s="332" t="str">
        <f t="shared" si="96"/>
        <v/>
      </c>
      <c r="HE136" s="332" t="str">
        <f t="shared" si="97"/>
        <v>R</v>
      </c>
      <c r="HF136" s="332" t="str">
        <f t="shared" si="98"/>
        <v>g</v>
      </c>
      <c r="HG136" s="332" t="str">
        <f t="shared" si="99"/>
        <v/>
      </c>
      <c r="HH136" s="332" t="str">
        <f t="shared" si="100"/>
        <v>m</v>
      </c>
      <c r="HI136" s="332" t="str">
        <f t="shared" si="101"/>
        <v>M</v>
      </c>
      <c r="HJ136" s="332" t="str">
        <f t="shared" si="102"/>
        <v/>
      </c>
      <c r="HK136" s="332" t="str">
        <f t="shared" si="103"/>
        <v/>
      </c>
      <c r="HL136" s="332" t="str">
        <f t="shared" si="104"/>
        <v>D</v>
      </c>
      <c r="HM136" s="332" t="str">
        <f t="shared" si="105"/>
        <v>n</v>
      </c>
      <c r="HN136" s="332" t="str">
        <f t="shared" si="106"/>
        <v/>
      </c>
      <c r="HO136" s="343" t="str">
        <f t="shared" si="107"/>
        <v>S</v>
      </c>
      <c r="HP136" s="331" t="str">
        <f t="shared" si="108"/>
        <v>o</v>
      </c>
      <c r="HQ136" s="332" t="str">
        <f t="shared" si="109"/>
        <v>•</v>
      </c>
      <c r="HR136" s="332" t="str">
        <f t="shared" si="110"/>
        <v>o</v>
      </c>
      <c r="HS136" s="332" t="str">
        <f t="shared" si="111"/>
        <v>o</v>
      </c>
      <c r="HT136" s="332" t="str">
        <f t="shared" si="112"/>
        <v>•</v>
      </c>
      <c r="HU136" s="332" t="str">
        <f t="shared" si="113"/>
        <v>•</v>
      </c>
      <c r="HV136" s="332" t="str">
        <f t="shared" si="114"/>
        <v>o</v>
      </c>
      <c r="HW136" s="332" t="str">
        <f t="shared" si="115"/>
        <v>o</v>
      </c>
      <c r="HX136" s="332" t="str">
        <f t="shared" si="116"/>
        <v>•</v>
      </c>
      <c r="HY136" s="332" t="str">
        <f t="shared" si="117"/>
        <v>o</v>
      </c>
      <c r="HZ136" s="332" t="str">
        <f t="shared" si="118"/>
        <v>o</v>
      </c>
      <c r="IA136" s="332" t="str">
        <f t="shared" si="119"/>
        <v>•</v>
      </c>
      <c r="IB136" s="338" t="str">
        <f t="shared" si="120"/>
        <v>o</v>
      </c>
      <c r="IC136" s="331" t="str">
        <f t="shared" si="121"/>
        <v>•</v>
      </c>
      <c r="ID136" s="332" t="str">
        <f t="shared" si="122"/>
        <v>o</v>
      </c>
      <c r="IE136" s="332" t="str">
        <f t="shared" si="123"/>
        <v>•</v>
      </c>
      <c r="IF136" s="332" t="str">
        <f t="shared" si="124"/>
        <v>•</v>
      </c>
      <c r="IG136" s="332" t="str">
        <f t="shared" si="125"/>
        <v>o</v>
      </c>
      <c r="IH136" s="332" t="str">
        <f t="shared" si="126"/>
        <v>o</v>
      </c>
      <c r="II136" s="332" t="str">
        <f t="shared" si="127"/>
        <v>•</v>
      </c>
      <c r="IJ136" s="332" t="str">
        <f t="shared" si="128"/>
        <v>•</v>
      </c>
      <c r="IK136" s="332" t="str">
        <f t="shared" si="129"/>
        <v>o</v>
      </c>
      <c r="IL136" s="332" t="str">
        <f t="shared" si="130"/>
        <v>•</v>
      </c>
      <c r="IM136" s="332" t="str">
        <f t="shared" si="131"/>
        <v>•</v>
      </c>
      <c r="IN136" s="332" t="str">
        <f t="shared" si="132"/>
        <v>o</v>
      </c>
      <c r="IO136" s="338" t="str">
        <f t="shared" si="133"/>
        <v>•</v>
      </c>
      <c r="IP136" s="346" t="b">
        <f t="shared" si="134"/>
        <v>0</v>
      </c>
      <c r="IQ136" s="347" t="b">
        <f t="shared" si="135"/>
        <v>0</v>
      </c>
      <c r="IR136" s="347" t="b">
        <f t="shared" si="136"/>
        <v>0</v>
      </c>
      <c r="IS136" s="347" t="b">
        <f t="shared" si="137"/>
        <v>0</v>
      </c>
      <c r="IT136" s="347" t="b">
        <f t="shared" si="138"/>
        <v>0</v>
      </c>
      <c r="IU136" s="347" t="b">
        <f t="shared" si="139"/>
        <v>0</v>
      </c>
      <c r="IV136" s="347" t="b">
        <f t="shared" si="140"/>
        <v>1</v>
      </c>
      <c r="IW136" s="347" t="b">
        <f t="shared" si="141"/>
        <v>0</v>
      </c>
      <c r="IX136" s="347" t="b">
        <f t="shared" si="142"/>
        <v>0</v>
      </c>
      <c r="IY136" s="347" t="b">
        <f t="shared" si="143"/>
        <v>1</v>
      </c>
      <c r="IZ136" s="347" t="b">
        <f t="shared" si="144"/>
        <v>1</v>
      </c>
      <c r="JA136" s="347" t="b">
        <f t="shared" si="145"/>
        <v>0</v>
      </c>
      <c r="JB136" s="353" t="b">
        <f t="shared" si="146"/>
        <v>0</v>
      </c>
      <c r="JC136" s="354" t="str">
        <f t="shared" si="147"/>
        <v/>
      </c>
      <c r="JD136" s="355" t="str">
        <f t="shared" si="148"/>
        <v/>
      </c>
      <c r="JE136" s="355" t="str">
        <f t="shared" si="149"/>
        <v/>
      </c>
      <c r="JF136" s="355" t="str">
        <f t="shared" si="150"/>
        <v/>
      </c>
      <c r="JG136" s="355" t="str">
        <f t="shared" si="151"/>
        <v/>
      </c>
      <c r="JH136" s="355" t="str">
        <f t="shared" si="152"/>
        <v/>
      </c>
      <c r="JI136" s="355" t="str">
        <f t="shared" si="153"/>
        <v>Ma, </v>
      </c>
      <c r="JJ136" s="355" t="str">
        <f t="shared" si="154"/>
        <v/>
      </c>
      <c r="JK136" s="355" t="str">
        <f t="shared" si="155"/>
        <v/>
      </c>
      <c r="JL136" s="355" t="str">
        <f t="shared" si="156"/>
        <v>Dha, </v>
      </c>
      <c r="JM136" s="355" t="str">
        <f t="shared" si="157"/>
        <v>ni, </v>
      </c>
      <c r="JN136" s="355" t="str">
        <f t="shared" si="158"/>
        <v/>
      </c>
      <c r="JO136" s="359" t="str">
        <f t="shared" si="159"/>
        <v/>
      </c>
      <c r="JP136" s="346" t="b">
        <f t="shared" si="160"/>
        <v>0</v>
      </c>
      <c r="JQ136" s="347" t="b">
        <f t="shared" si="161"/>
        <v>0</v>
      </c>
      <c r="JR136" s="347" t="b">
        <f t="shared" si="162"/>
        <v>0</v>
      </c>
      <c r="JS136" s="347" t="b">
        <f t="shared" si="163"/>
        <v>0</v>
      </c>
      <c r="JT136" s="347" t="b">
        <f t="shared" si="164"/>
        <v>0</v>
      </c>
      <c r="JU136" s="347" t="b">
        <f t="shared" si="165"/>
        <v>0</v>
      </c>
      <c r="JV136" s="347" t="b">
        <f t="shared" si="166"/>
        <v>1</v>
      </c>
      <c r="JW136" s="347" t="b">
        <f t="shared" si="167"/>
        <v>0</v>
      </c>
      <c r="JX136" s="347" t="b">
        <f t="shared" si="168"/>
        <v>0</v>
      </c>
      <c r="JY136" s="347" t="b">
        <f t="shared" si="169"/>
        <v>0</v>
      </c>
      <c r="JZ136" s="347" t="b">
        <f t="shared" si="170"/>
        <v>0</v>
      </c>
      <c r="KA136" s="347" t="b">
        <f t="shared" si="171"/>
        <v>0</v>
      </c>
      <c r="KB136" s="365" t="b">
        <f t="shared" si="172"/>
        <v>0</v>
      </c>
      <c r="KC136" s="354" t="str">
        <f t="shared" si="173"/>
        <v/>
      </c>
      <c r="KD136" s="355" t="str">
        <f t="shared" si="174"/>
        <v/>
      </c>
      <c r="KE136" s="355" t="str">
        <f t="shared" si="175"/>
        <v/>
      </c>
      <c r="KF136" s="355" t="str">
        <f t="shared" si="176"/>
        <v/>
      </c>
      <c r="KG136" s="355" t="str">
        <f t="shared" si="177"/>
        <v/>
      </c>
      <c r="KH136" s="355" t="str">
        <f t="shared" si="178"/>
        <v/>
      </c>
      <c r="KI136" s="355" t="str">
        <f t="shared" si="179"/>
        <v>Ma, </v>
      </c>
      <c r="KJ136" s="355" t="str">
        <f t="shared" si="180"/>
        <v/>
      </c>
      <c r="KK136" s="355" t="str">
        <f t="shared" si="181"/>
        <v/>
      </c>
      <c r="KL136" s="355" t="str">
        <f t="shared" si="182"/>
        <v/>
      </c>
      <c r="KM136" s="355" t="str">
        <f t="shared" si="183"/>
        <v/>
      </c>
      <c r="KN136" s="355" t="str">
        <f t="shared" si="184"/>
        <v/>
      </c>
      <c r="KO136" s="359"/>
      <c r="KP136" s="378"/>
      <c r="KQ136" s="379" t="s">
        <v>9</v>
      </c>
      <c r="KR136" s="380" t="s">
        <v>1403</v>
      </c>
      <c r="KS136" s="381" t="s">
        <v>9</v>
      </c>
      <c r="KT136" s="382">
        <f t="shared" si="186"/>
        <v>0</v>
      </c>
      <c r="KU136" s="383">
        <f t="shared" si="187"/>
        <v>0</v>
      </c>
      <c r="KV136" s="381" t="str">
        <f t="shared" si="205"/>
        <v>S-n-D-P-M-g-R-S</v>
      </c>
      <c r="KW136" s="382">
        <f t="shared" si="189"/>
        <v>7</v>
      </c>
      <c r="KX136" s="384">
        <f t="shared" si="190"/>
        <v>7</v>
      </c>
      <c r="KY136" s="382">
        <f t="shared" ref="KY136:KZ136" si="478">KW136-KT136</f>
        <v>7</v>
      </c>
      <c r="KZ136" s="369">
        <f t="shared" si="478"/>
        <v>7</v>
      </c>
      <c r="LA136" s="385" t="str">
        <f t="shared" si="192"/>
        <v>-</v>
      </c>
      <c r="LB136" s="340" t="str">
        <f>IFERROR(__xludf.DUMMYFUNCTION("JOIN("""",ArrayFormula(MID(KS136,LEN(KS136)-SEQUENCE(1,LEN(KS136))+1,1)))"),"S")</f>
        <v>S</v>
      </c>
      <c r="LC136" s="373" t="str">
        <f>IFERROR(__xludf.DUMMYFUNCTION("JOIN("""",ArrayFormula(MID(KV136,LEN(KV136)-SEQUENCE(1,LEN(KV136))+1,1)))"),"S-R-g-M-P-D-n-S")</f>
        <v>S-R-g-M-P-D-n-S</v>
      </c>
      <c r="LD136" s="373" t="str">
        <f t="shared" si="193"/>
        <v>S</v>
      </c>
      <c r="LE136" s="339" t="str">
        <f t="shared" si="194"/>
        <v>SRgMPDnS</v>
      </c>
      <c r="LF136" s="386" t="str">
        <f>IFERROR(__xludf.DUMMYFUNCTION("SUBSTITUTE(SUBSTITUTE(CONCATENATE(JOIN("""",LH136:LT136)),""1"",""""),""2"","""")"),"SRgMPDnS")</f>
        <v>SRgMPDnS</v>
      </c>
      <c r="LG136" s="369" t="str">
        <f t="shared" si="195"/>
        <v>✔</v>
      </c>
      <c r="LH136" s="387" t="str">
        <f>IFERROR(__xludf.DUMMYFUNCTION("IF(REGEXMATCH(LD136, ""S""), ""S"",IF(REGEXMATCH(LE136, ""S""), ""S"",""""))"),"S")</f>
        <v>S</v>
      </c>
      <c r="LI136" s="299" t="str">
        <f>IFERROR(__xludf.DUMMYFUNCTION("IF(REGEXMATCH(LD136, ""r""), ""r1"",IF(REGEXMATCH(LE136, ""r""), ""r2"",""""))"),"")</f>
        <v/>
      </c>
      <c r="LJ136" s="299" t="str">
        <f>IFERROR(__xludf.DUMMYFUNCTION("IF(REGEXMATCH(LD136, ""R""), ""R1"",IF(REGEXMATCH(LE136, ""R""), ""R2"",""""))"),"R2")</f>
        <v>R2</v>
      </c>
      <c r="LK136" s="299" t="str">
        <f>IFERROR(__xludf.DUMMYFUNCTION("IF(REGEXMATCH(LD136, ""g""), ""g1"",IF(REGEXMATCH(LE136, ""g""), ""g2"",""""))"),"g2")</f>
        <v>g2</v>
      </c>
      <c r="LL136" s="299" t="str">
        <f>IFERROR(__xludf.DUMMYFUNCTION("IF(REGEXMATCH(LD136, ""G""), ""G1"",IF(REGEXMATCH(LE136, ""G""), ""G2"",""""))"),"")</f>
        <v/>
      </c>
      <c r="LM136" s="299" t="str">
        <f>IFERROR(__xludf.DUMMYFUNCTION("IF(REGEXMATCH(LD136, ""m""), ""m1"",IF(REGEXMATCH(LE136, ""m""), ""m2"",""""))"),"")</f>
        <v/>
      </c>
      <c r="LN136" s="299" t="str">
        <f>IFERROR(__xludf.DUMMYFUNCTION("IF(REGEXMATCH(LD136, ""M""), ""M1"",IF(REGEXMATCH(LE136, ""M""), ""M2"",""""))"),"M2")</f>
        <v>M2</v>
      </c>
      <c r="LO136" s="299" t="str">
        <f>IFERROR(__xludf.DUMMYFUNCTION("IF(REGEXMATCH(LD136, ""P""), ""P1"",IF(REGEXMATCH(LE136, ""P""), ""P2"",""""))"),"P2")</f>
        <v>P2</v>
      </c>
      <c r="LP136" s="299" t="str">
        <f>IFERROR(__xludf.DUMMYFUNCTION("IF(REGEXMATCH(LD136, ""d""), ""d1"",IF(REGEXMATCH(LE136, ""d""), ""d2"",""""))"),"")</f>
        <v/>
      </c>
      <c r="LQ136" s="299" t="str">
        <f>IFERROR(__xludf.DUMMYFUNCTION("IF(REGEXMATCH(LD136, ""D""), ""D1"",IF(REGEXMATCH(LE136, ""D""), ""D2"",""""))"),"D2")</f>
        <v>D2</v>
      </c>
      <c r="LR136" s="299" t="str">
        <f>IFERROR(__xludf.DUMMYFUNCTION("IF(REGEXMATCH(LD136, ""n""), ""n1"",IF(REGEXMATCH(LE136, ""n""), ""n2"",""""))"),"n2")</f>
        <v>n2</v>
      </c>
      <c r="LS136" s="299" t="str">
        <f>IFERROR(__xludf.DUMMYFUNCTION("IF(REGEXMATCH(LD136, ""N""), ""N1"",IF(REGEXMATCH(LE136, ""N""), ""N2"",""""))"),"")</f>
        <v/>
      </c>
      <c r="LT136" s="388" t="str">
        <f>IFERROR(__xludf.DUMMYFUNCTION("IF(REGEXMATCH(LD136, ""S""), ""S"",IF(REGEXMATCH(LE136, ""S""), ""S"",""""))"),"S")</f>
        <v>S</v>
      </c>
      <c r="LU136" s="389">
        <f t="shared" si="196"/>
        <v>-13</v>
      </c>
      <c r="LV136" s="378"/>
      <c r="LW136" s="369"/>
      <c r="LX136" s="369"/>
    </row>
    <row r="137" ht="18.0" customHeight="1">
      <c r="A137" s="298" t="s">
        <v>790</v>
      </c>
      <c r="B137" s="222" t="s">
        <v>791</v>
      </c>
      <c r="C137" s="233" t="str">
        <f t="shared" si="7"/>
        <v>SgmPnNS</v>
      </c>
      <c r="D137" s="234" t="str">
        <f>IFERROR(__xludf.DUMMYFUNCTION("IF(REGEXMATCH(C137, ""S""), ""S"","""")"),"S")</f>
        <v>S</v>
      </c>
      <c r="E137" s="236" t="str">
        <f>IFERROR(__xludf.DUMMYFUNCTION("IF(REGEXMATCH(C137, ""r""), ""r"","""")"),"")</f>
        <v/>
      </c>
      <c r="F137" s="237" t="str">
        <f>IFERROR(__xludf.DUMMYFUNCTION("IF(REGEXMATCH(C137, ""R""), ""R"","""")"),"")</f>
        <v/>
      </c>
      <c r="G137" s="237" t="str">
        <f>IFERROR(__xludf.DUMMYFUNCTION("IF(REGEXMATCH(C137, ""g""), ""g"","""")"),"g")</f>
        <v>g</v>
      </c>
      <c r="H137" s="236" t="str">
        <f>IFERROR(__xludf.DUMMYFUNCTION("IF(REGEXMATCH(C137, ""G""), ""G"","""")"),"")</f>
        <v/>
      </c>
      <c r="I137" s="236" t="str">
        <f>IFERROR(__xludf.DUMMYFUNCTION("IF(REGEXMATCH(C137, ""m""), ""m"","""")"),"m")</f>
        <v>m</v>
      </c>
      <c r="J137" s="237" t="str">
        <f>IFERROR(__xludf.DUMMYFUNCTION("IF(REGEXMATCH(C137, ""M""), ""M"","""")"),"")</f>
        <v/>
      </c>
      <c r="K137" s="236" t="str">
        <f>IFERROR(__xludf.DUMMYFUNCTION("IF(REGEXMATCH(C137, ""P""), ""P"","""")"),"P")</f>
        <v>P</v>
      </c>
      <c r="L137" s="237" t="str">
        <f>IFERROR(__xludf.DUMMYFUNCTION("IF(REGEXMATCH(C137, ""d""), ""d"","""")"),"")</f>
        <v/>
      </c>
      <c r="M137" s="236" t="str">
        <f>IFERROR(__xludf.DUMMYFUNCTION("IF(REGEXMATCH(C137, ""D""), ""D"","""")"),"")</f>
        <v/>
      </c>
      <c r="N137" s="236" t="str">
        <f>IFERROR(__xludf.DUMMYFUNCTION("IF(REGEXMATCH(C137, ""n""), ""n"","""")"),"n")</f>
        <v>n</v>
      </c>
      <c r="O137" s="237" t="str">
        <f>IFERROR(__xludf.DUMMYFUNCTION("IF(REGEXMATCH(C137, ""N""), ""N"","""")"),"N")</f>
        <v>N</v>
      </c>
      <c r="P137" s="238" t="str">
        <f>IFERROR(__xludf.DUMMYFUNCTION("IF(REGEXMATCH(C137, ""S""), ""S"","""")"),"S")</f>
        <v>S</v>
      </c>
      <c r="Q137" s="239" t="str">
        <f>IFERROR(__xludf.DUMMYFUNCTION("SUBSTITUTE(CONCATENATE(JOIN(""-"",D137:J137)),""-"","""")"),"Sgm")</f>
        <v>Sgm</v>
      </c>
      <c r="R137" s="229" t="str">
        <f>IFERROR(__xludf.DUMMYFUNCTION("SUBSTITUTE(CONCATENATE(JOIN(""-"",K137:P137)),""-"","""")"),"PnNS")</f>
        <v>PnNS</v>
      </c>
      <c r="S137" s="282" t="str">
        <f t="shared" si="8"/>
        <v>S-G-M</v>
      </c>
      <c r="T137" s="282" t="str">
        <f t="shared" si="9"/>
        <v>P-N-S</v>
      </c>
      <c r="U137" s="237" t="str">
        <f>IFERROR(__xludf.DUMMYFUNCTION("SUBSTITUTE(JOIN(""-"",S137,T137),""--"",""-"")"),"S-G-M-P-N-S")</f>
        <v>S-G-M-P-N-S</v>
      </c>
      <c r="V137" s="309" t="str">
        <f t="shared" si="10"/>
        <v>gmnN</v>
      </c>
      <c r="W137" s="244" t="str">
        <f>IFERROR(__xludf.DUMMYFUNCTION("IF(REGEXMATCH(C137, ""S""), ""0"","""")"),"0")</f>
        <v>0</v>
      </c>
      <c r="X137" s="245" t="str">
        <f>IFERROR(__xludf.DUMMYFUNCTION("IF(REGEXMATCH(C137, ""r""), ""1"","""")"),"")</f>
        <v/>
      </c>
      <c r="Y137" s="246" t="str">
        <f>IFERROR(__xludf.DUMMYFUNCTION("IF(REGEXMATCH(C137, ""R""), ""2"","""")"),"")</f>
        <v/>
      </c>
      <c r="Z137" s="246" t="str">
        <f>IFERROR(__xludf.DUMMYFUNCTION("IF(REGEXMATCH(C137, ""g""), ""3"","""")"),"3")</f>
        <v>3</v>
      </c>
      <c r="AA137" s="245" t="str">
        <f>IFERROR(__xludf.DUMMYFUNCTION("IF(REGEXMATCH(C137, ""G""), ""4"","""")"),"")</f>
        <v/>
      </c>
      <c r="AB137" s="245" t="str">
        <f>IFERROR(__xludf.DUMMYFUNCTION("IF(REGEXMATCH(C137, ""m""), ""5"","""")"),"5")</f>
        <v>5</v>
      </c>
      <c r="AC137" s="246" t="str">
        <f>IFERROR(__xludf.DUMMYFUNCTION("IF(REGEXMATCH(C137, ""M""), ""6"","""")"),"")</f>
        <v/>
      </c>
      <c r="AD137" s="245" t="str">
        <f>IFERROR(__xludf.DUMMYFUNCTION("IF(REGEXMATCH(C137, ""P""), ""7"","""")"),"7")</f>
        <v>7</v>
      </c>
      <c r="AE137" s="246" t="str">
        <f>IFERROR(__xludf.DUMMYFUNCTION("IF(REGEXMATCH(C137, ""d""), ""8"","""")"),"")</f>
        <v/>
      </c>
      <c r="AF137" s="245" t="str">
        <f>IFERROR(__xludf.DUMMYFUNCTION("IF(REGEXMATCH(C137, ""D""), ""9"","""")"),"")</f>
        <v/>
      </c>
      <c r="AG137" s="245" t="str">
        <f>IFERROR(__xludf.DUMMYFUNCTION("IF(REGEXMATCH(C137, ""n""), ""10"","""")"),"10")</f>
        <v>10</v>
      </c>
      <c r="AH137" s="246" t="str">
        <f>IFERROR(__xludf.DUMMYFUNCTION("IF(REGEXMATCH(C137, ""N""), ""11"","""")"),"11")</f>
        <v>11</v>
      </c>
      <c r="AI137" s="249" t="str">
        <f>IFERROR(__xludf.DUMMYFUNCTION("IF(REGEXMATCH(C137, ""S""), ""0"","""")"),"0")</f>
        <v>0</v>
      </c>
      <c r="AJ137" s="313" t="str">
        <f t="shared" si="11"/>
        <v>-</v>
      </c>
      <c r="AK137" s="313" t="str">
        <f t="shared" si="12"/>
        <v>-</v>
      </c>
      <c r="AL137" s="313" t="str">
        <f t="shared" si="13"/>
        <v>-</v>
      </c>
      <c r="AM137" s="313" t="str">
        <f t="shared" si="14"/>
        <v>-</v>
      </c>
      <c r="AN137" s="313" t="str">
        <f t="shared" si="15"/>
        <v>-</v>
      </c>
      <c r="AO137" s="314" t="str">
        <f t="shared" si="16"/>
        <v>T</v>
      </c>
      <c r="AP137" s="316">
        <f t="shared" si="17"/>
        <v>1</v>
      </c>
      <c r="AQ137" s="319" t="str">
        <f t="shared" si="18"/>
        <v>#REF!</v>
      </c>
      <c r="AR137" s="320">
        <f t="shared" si="19"/>
        <v>0</v>
      </c>
      <c r="AS137" s="250" t="str">
        <f>IFERROR(__xludf.DUMMYFUNCTION("SUBSTITUTE(SUBSTITUTE(CONCATENATE(JOIN("""",FP137:GA137)),""|"",""x""),""-"",""o"")"),"xooxoxoxooxx")</f>
        <v>xooxoxoxooxx</v>
      </c>
      <c r="AT137" s="323" t="str">
        <f>IFERROR(__xludf.DUMMYFUNCTION("JOIN("""",AS137,AS137)"),"xooxoxoxooxxxooxoxoxooxx")</f>
        <v>xooxoxoxooxxxooxoxoxooxx</v>
      </c>
      <c r="AU137" s="256" t="str">
        <f>IFERROR(__xludf.DUMMYFUNCTION("JOIN("""",ArrayFormula(MID(AS137,LEN(AS137)-SEQUENCE(1,LEN(AS137))+1,1)))"),"xxooxoxoxoox")</f>
        <v>xxooxoxoxoox</v>
      </c>
      <c r="AV137" s="256" t="str">
        <f>IFERROR(__xludf.DUMMYFUNCTION("LEFT(CONCATENATE(""x"",JOIN("""",ArrayFormula(MID(AS137,LEN(AS137)-SEQUENCE(1,LEN(AS137))+1,1)))),12)"),"xxxooxoxoxoo")</f>
        <v>xxxooxoxoxoo</v>
      </c>
      <c r="AW137" s="327" t="str">
        <f>IFERROR(__xludf.DUMMYFUNCTION("JOIN("""",AU137,AU137)"),"xxooxoxoxooxxxooxoxoxoox")</f>
        <v>xxooxoxoxooxxxooxoxoxoox</v>
      </c>
      <c r="AX137" s="239" t="str">
        <f>IFERROR(__xludf.DUMMYFUNCTION("IF(REGEXMATCH(AW137,AS137),""✔"",""-"")"),"✔")</f>
        <v>✔</v>
      </c>
      <c r="AY137" s="330" t="str">
        <f t="shared" si="20"/>
        <v>-</v>
      </c>
      <c r="AZ137" s="260" t="str">
        <f t="shared" si="21"/>
        <v>#REF!</v>
      </c>
      <c r="BA137" s="333" t="str">
        <f t="shared" si="22"/>
        <v>xooxoxo</v>
      </c>
      <c r="BB137" s="334" t="str">
        <f t="shared" si="23"/>
        <v>xooxxx</v>
      </c>
      <c r="BC137" s="335" t="str">
        <f t="shared" si="236"/>
        <v>-</v>
      </c>
      <c r="BD137" s="336" t="str">
        <f t="shared" si="25"/>
        <v>Hemshri: 'xooxoxo' + 'xooxxx'</v>
      </c>
      <c r="BE137" s="337">
        <f>IFERROR(__xludf.DUMMYFUNCTION("COUNTUNIQUE(FILTER(AT:AT,REGEXMATCH(AT:AT,AS137)))-1"),2.0)</f>
        <v>2</v>
      </c>
      <c r="BF137" s="261" t="str">
        <f>IFERROR(__xludf.DUMMYFUNCTION("IF(BI137=0,""(n/a)"",IF(BJ137=2,""(PAIR)"",IF(REGEXMATCH(AT137,""xoxoxxoxoxox""),""Bilawal"",IF(REGEXMATCH(AT137,""xoxoxooxoxoo""),""Bhupali"",IF(REGEXMATCH(AT137,""xoxoxxoxxoxo""),""Charukeshi"",IF(REGEXMATCH(AT137,""xoxoooxxoxxo""),""Kameshwari"",IF(REG"&amp;"EXMATCH(AT137,""xoxoxooxoxox""),""Shankara"",IF(REGEXMATCH(AT137,""xxooxoxxxoox""),""Basant"",IF(REGEXMATCH(AT137,""xoxoxxxxoxox""),""Bihag"",IF(REGEXMATCH(AT137,""xoxxxxoxoxxx""),""Pilu"",IF(REGEXMATCH(AT137,""xoxxoxoxxoox""),""Kirwani"",IF(REGEXMATCH(AT"&amp;"137,""xoxxoxoxoxxx""),""Mk.Malhar"",IF(REGEXMATCH(AT137,""xxooxxoxxoox""),""Bhairav"",IF(REGEXMATCH(AT137,""xxoxooxxxoox""),""Todi"",IF(REGEXMATCH(AT137,""xxooxoxooxox""),""Marwa"",IF(REGEXMATCH(AT137,""xxoooxoxxooo""),""Gunkali"",IF(REGEXMATCH(AT137,""xo"&amp;"xoxxoxxoox""),""Nat Bhairav"",IF(REGEXMATCH(AT137,""xoxxoooxoxoo""),""Shivranjani"",IF(REGEXMATCH(AT137,""xooxxxoxooxo""),""Jog"",IF(REGEXMATCH(AT137,""xxooxoxoxoox""),""Hemshri"",IF(REGEXMATCH(AT137,""xoooxooxoxxo""),""Kalavati"",IF(REGEXMATCH(AT137,""xx"&amp;"oxoxxoxoox""),""Kedar"",IF(REGEXMATCH(AT137,""xoxxxxoxooxx""),""Gara"",IF(REGEXMATCH(AT137,""xooxoxooxoox""),""Chandrakauns"",IF(REGEXMATCH(AT137,""xoxxxxoxxxox""),""Mand"",IF(REGEXMATCH(AT137,""xoxxxxoxoxox""),""Hanskinkini"",IF(REGEXMATCH(AT137,""xxooxx"&amp;"oxooxo""),""Lilavati"",IF(REGEXMATCH(AT137,""xooxoxoooxox""),""Rajeshwari"",IF(REGEXMATCH(AT137,""xoooxxoxoxxx""),""Khokar"",IF(REGEXMATCH(AT137,""xxooxoxxxxox""),""Maligoura"",""-""))))))))))))))))))))))))))))))"),"Hemshri")</f>
        <v>Hemshri</v>
      </c>
      <c r="BG137" s="239" t="str">
        <f t="shared" si="26"/>
        <v>#REF!</v>
      </c>
      <c r="BH137" s="239">
        <f>IFERROR(__xludf.DUMMYFUNCTION("COUNTUNIQUE(FE137:FO137)-1"),5.0)</f>
        <v>5</v>
      </c>
      <c r="BI137" s="239">
        <f>IFERROR(__xludf.DUMMYFUNCTION("COUNTUNIQUE(FILTER(AT:AT,REGEXMATCH(AT:AT,AS137)))-1"),2.0)</f>
        <v>2</v>
      </c>
      <c r="BJ137" s="239">
        <f>IFERROR(__xludf.DUMMYFUNCTION("COUNTA(FILTER(AT:AT,REGEXMATCH(AT:AT,AS137)))"),4.0)</f>
        <v>4</v>
      </c>
      <c r="BK137" s="341">
        <f>IFERROR(__xludf.DUMMYFUNCTION("COUNTA(FILTER(AT:AT,REGEXMATCH(AT:AT,AS137)))-AR137"),4.0)</f>
        <v>4</v>
      </c>
      <c r="BL137" s="276" t="str">
        <f>IFERROR(__xludf.DUMMYFUNCTION("IF(AS137=""oooooooooooo"",""-"",IF(REGEXMATCH(AT137,""xx""), ""Hemi."", ""Anhemi.""))"),"Hemi.")</f>
        <v>Hemi.</v>
      </c>
      <c r="BM137" s="282" t="str">
        <f>IFERROR(__xludf.DUMMYFUNCTION("IF(AS137=""oooooooooooo"",""-"",IF(REGEXMATCH(AT137,""xxx""), ""Cohem."", ""-""))"),"Cohem.")</f>
        <v>Cohem.</v>
      </c>
      <c r="BN137" s="282" t="str">
        <f>IFERROR(__xludf.DUMMYFUNCTION("IF(AS137=""oooooooooooo"",""-"",IF(REGEXMATCH(AT137,""xxxx""), ""Co-Co."", ""-""))"),"-")</f>
        <v>-</v>
      </c>
      <c r="BO137" s="342" t="str">
        <f>IFERROR(__xludf.DUMMYFUNCTION("IF(AS137=""oooooooooooo"",""-"",IF(REGEXMATCH(AT137,""xxxxx""), ""CCC."", ""-""))"),"-")</f>
        <v>-</v>
      </c>
      <c r="BP137" s="344" t="str">
        <f t="shared" si="27"/>
        <v>-</v>
      </c>
      <c r="BQ137" s="282" t="str">
        <f>IFERROR(__xludf.DUMMYFUNCTION("IF(REGEXMATCH(JOIN(""-"",EU137:FD137),""TRUE""),""✔"",""-"")"),"-")</f>
        <v>-</v>
      </c>
      <c r="BR137" s="225">
        <f t="shared" si="28"/>
        <v>0</v>
      </c>
      <c r="BS137" s="345" t="str">
        <f>IFERROR(__xludf.DUMMYFUNCTION("SUBSTITUTE(SUBSTITUTE(SUBSTITUTE(SUBSTITUTE(CONCATENATE(JOIN(""-"",GC137:GO137)),""--"",""-""),""--"",""-""),""--"",""-""),""--"",""-"")"),"1-b3-4-5-b7-7-8")</f>
        <v>1-b3-4-5-b7-7-8</v>
      </c>
      <c r="BT137" s="299" t="str">
        <f>IFERROR(__xludf.DUMMYFUNCTION("SUBSTITUTE(SUBSTITUTE(SUBSTITUTE(SUBSTITUTE(CONCATENATE(JOIN(""-"",GP137:HB137)),""--"",""-""),""--"",""-""),""--"",""-""),""--"",""-"")"),"S-G2-M1-P-N2-N3-S")</f>
        <v>S-G2-M1-P-N2-N3-S</v>
      </c>
      <c r="BU137" s="348" t="str">
        <f t="shared" si="29"/>
        <v>C-Eb-F-G-Bb-B-C</v>
      </c>
      <c r="BV137" s="349" t="str">
        <f t="shared" si="30"/>
        <v>SrRGMdDS</v>
      </c>
      <c r="BW137" s="350">
        <f t="shared" si="31"/>
        <v>0</v>
      </c>
      <c r="BX137" s="351">
        <f t="shared" si="32"/>
        <v>1</v>
      </c>
      <c r="BY137" s="392"/>
      <c r="BZ137" s="309" t="str">
        <f>IFERROR(__xludf.DUMMYFUNCTION("IF(REGEXMATCH(C137, ""S""), ""x"",""x"")"),"x")</f>
        <v>x</v>
      </c>
      <c r="CA137" s="245" t="str">
        <f>IFERROR(__xludf.DUMMYFUNCTION("IF(REGEXMATCH(C137, ""r""), ""o"",""x"")"),"x")</f>
        <v>x</v>
      </c>
      <c r="CB137" s="246" t="str">
        <f>IFERROR(__xludf.DUMMYFUNCTION("IF(REGEXMATCH(C137, ""R""), ""o"",""x"")"),"x")</f>
        <v>x</v>
      </c>
      <c r="CC137" s="246" t="str">
        <f>IFERROR(__xludf.DUMMYFUNCTION("IF(REGEXMATCH(C137, ""g""), ""o"",""x"")"),"o")</f>
        <v>o</v>
      </c>
      <c r="CD137" s="245" t="str">
        <f>IFERROR(__xludf.DUMMYFUNCTION("IF(REGEXMATCH(C137, ""G""), ""o"",""x"")"),"x")</f>
        <v>x</v>
      </c>
      <c r="CE137" s="245" t="str">
        <f>IFERROR(__xludf.DUMMYFUNCTION("IF(REGEXMATCH(C137, ""m""), ""o"",""x"")"),"o")</f>
        <v>o</v>
      </c>
      <c r="CF137" s="246" t="str">
        <f>IFERROR(__xludf.DUMMYFUNCTION("IF(REGEXMATCH(C137, ""M""), ""o"",""x"")"),"x")</f>
        <v>x</v>
      </c>
      <c r="CG137" s="245" t="str">
        <f>IFERROR(__xludf.DUMMYFUNCTION("IF(REGEXMATCH(C137, ""P""), ""o"",""x"")"),"o")</f>
        <v>o</v>
      </c>
      <c r="CH137" s="246" t="str">
        <f>IFERROR(__xludf.DUMMYFUNCTION("IF(REGEXMATCH(C137, ""d""), ""o"",""x"")"),"x")</f>
        <v>x</v>
      </c>
      <c r="CI137" s="245" t="str">
        <f>IFERROR(__xludf.DUMMYFUNCTION("IF(REGEXMATCH(C137, ""D""), ""o"",""x"")"),"x")</f>
        <v>x</v>
      </c>
      <c r="CJ137" s="245" t="str">
        <f>IFERROR(__xludf.DUMMYFUNCTION("IF(REGEXMATCH(C137, ""n""), ""o"",""x"")"),"o")</f>
        <v>o</v>
      </c>
      <c r="CK137" s="245" t="str">
        <f>IFERROR(__xludf.DUMMYFUNCTION("IF(REGEXMATCH(C137, ""N""), ""o"",""x"")"),"o")</f>
        <v>o</v>
      </c>
      <c r="CL137" s="356" t="str">
        <f>IFERROR(__xludf.DUMMYFUNCTION("IF(REGEXMATCH(C137, ""S""), ""x"",""x"")"),"x")</f>
        <v>x</v>
      </c>
      <c r="CM137" s="357" t="str">
        <f t="shared" si="33"/>
        <v>xxxoxoxoxxoo</v>
      </c>
      <c r="CN137" s="358">
        <f t="shared" si="34"/>
        <v>0</v>
      </c>
      <c r="CO137" s="246" t="str">
        <f>IFERROR(__xludf.DUMMYFUNCTION("IF(REGEXMATCH($C137, ""S""), ""S"",""S"")"),"S")</f>
        <v>S</v>
      </c>
      <c r="CP137" s="246" t="str">
        <f>IFERROR(__xludf.DUMMYFUNCTION("IF(REGEXMATCH($C137, ""r""), """",""r"")"),"r")</f>
        <v>r</v>
      </c>
      <c r="CQ137" s="246" t="str">
        <f>IFERROR(__xludf.DUMMYFUNCTION("IF(REGEXMATCH($C137, ""R""), """",""R"")"),"R")</f>
        <v>R</v>
      </c>
      <c r="CR137" s="246" t="str">
        <f>IFERROR(__xludf.DUMMYFUNCTION("IF(REGEXMATCH($C137, ""g""), """",""g"")"),"")</f>
        <v/>
      </c>
      <c r="CS137" s="246" t="str">
        <f>IFERROR(__xludf.DUMMYFUNCTION("IF(REGEXMATCH($C137, ""G""), """",""G"")"),"G")</f>
        <v>G</v>
      </c>
      <c r="CT137" s="246" t="str">
        <f>IFERROR(__xludf.DUMMYFUNCTION("IF(REGEXMATCH($C137, ""m""), """",""m"")"),"")</f>
        <v/>
      </c>
      <c r="CU137" s="246" t="str">
        <f>IFERROR(__xludf.DUMMYFUNCTION("IF(REGEXMATCH($C137, ""M""), """",""M"")"),"M")</f>
        <v>M</v>
      </c>
      <c r="CV137" s="246" t="str">
        <f>IFERROR(__xludf.DUMMYFUNCTION("IF(REGEXMATCH($C137, ""P""), """",""P"")"),"")</f>
        <v/>
      </c>
      <c r="CW137" s="246" t="str">
        <f>IFERROR(__xludf.DUMMYFUNCTION("IF(REGEXMATCH($C137, ""d""), """",""d"")"),"d")</f>
        <v>d</v>
      </c>
      <c r="CX137" s="246" t="str">
        <f>IFERROR(__xludf.DUMMYFUNCTION("IF(REGEXMATCH($C137, ""D""), """",""D"")"),"D")</f>
        <v>D</v>
      </c>
      <c r="CY137" s="246" t="str">
        <f>IFERROR(__xludf.DUMMYFUNCTION("IF(REGEXMATCH($C137, ""n""), """",""n"")"),"")</f>
        <v/>
      </c>
      <c r="CZ137" s="246" t="str">
        <f>IFERROR(__xludf.DUMMYFUNCTION("IF(REGEXMATCH($C137, ""N""), """",""N"")"),"")</f>
        <v/>
      </c>
      <c r="DA137" s="246" t="str">
        <f>IFERROR(__xludf.DUMMYFUNCTION("IF(REGEXMATCH($C137, ""S""), ""S"",""S"")"),"S")</f>
        <v>S</v>
      </c>
      <c r="DB137" s="362" t="str">
        <f>IFERROR(__xludf.DUMMYFUNCTION("JOIN("""",CO137:DA137,"""","""")"),"SrRGMdDS")</f>
        <v>SrRGMdDS</v>
      </c>
      <c r="DC137" s="363"/>
      <c r="DD137" s="301" t="str">
        <f t="shared" si="35"/>
        <v>#REF!</v>
      </c>
      <c r="DE137" s="302" t="str">
        <f t="shared" si="36"/>
        <v>#REF!</v>
      </c>
      <c r="DF137" s="301" t="str">
        <f t="shared" ref="DF137:DG137" si="479">SUBSTITUTE(S137,"-","")</f>
        <v>SGM</v>
      </c>
      <c r="DG137" s="301" t="str">
        <f t="shared" si="479"/>
        <v>PNS</v>
      </c>
      <c r="DH137" s="302" t="str">
        <f t="shared" si="38"/>
        <v>Hemshri</v>
      </c>
      <c r="DI137" s="301" t="str">
        <f t="shared" si="39"/>
        <v>Hemi.</v>
      </c>
      <c r="DJ137" s="364" t="str">
        <f t="shared" si="40"/>
        <v>Cohem.</v>
      </c>
      <c r="DK137" s="306" t="str">
        <f t="shared" si="41"/>
        <v>-</v>
      </c>
      <c r="DL137" s="366" t="str">
        <f t="shared" si="42"/>
        <v>-</v>
      </c>
      <c r="DM137" s="308" t="str">
        <f t="shared" si="43"/>
        <v>✔</v>
      </c>
      <c r="DN137" s="306" t="str">
        <f t="shared" si="44"/>
        <v>-</v>
      </c>
      <c r="DO137" s="306" t="str">
        <f t="shared" si="45"/>
        <v>-</v>
      </c>
      <c r="DP137" s="367" t="str">
        <f t="shared" si="46"/>
        <v>-</v>
      </c>
      <c r="DQ137" s="310" t="str">
        <f t="shared" si="47"/>
        <v>-</v>
      </c>
      <c r="DR137" s="310" t="str">
        <f t="shared" si="48"/>
        <v>-</v>
      </c>
      <c r="DS137" s="310" t="str">
        <f t="shared" si="49"/>
        <v>-</v>
      </c>
      <c r="DT137" s="310" t="str">
        <f t="shared" si="50"/>
        <v>-</v>
      </c>
      <c r="DU137" s="370" t="str">
        <f t="shared" si="51"/>
        <v>✔</v>
      </c>
      <c r="DV137" s="306" t="str">
        <f t="shared" si="52"/>
        <v>✔</v>
      </c>
      <c r="DW137" s="306" t="str">
        <f t="shared" si="53"/>
        <v>-</v>
      </c>
      <c r="DX137" s="306" t="str">
        <f t="shared" si="54"/>
        <v>-</v>
      </c>
      <c r="DY137" s="306" t="str">
        <f t="shared" si="55"/>
        <v>-</v>
      </c>
      <c r="DZ137" s="306" t="str">
        <f t="shared" si="56"/>
        <v>✔</v>
      </c>
      <c r="EA137" s="367" t="str">
        <f t="shared" si="57"/>
        <v>-</v>
      </c>
      <c r="EB137" s="310" t="str">
        <f>IFERROR(__xludf.DUMMYFUNCTION("IF(REGEXMATCH(AW137,AS137),""✔"",""-"")"),"✔")</f>
        <v>✔</v>
      </c>
      <c r="EC137" s="310" t="str">
        <f t="shared" si="58"/>
        <v>#REF!</v>
      </c>
      <c r="ED137" s="370" t="str">
        <f t="shared" si="59"/>
        <v>-</v>
      </c>
      <c r="EE137" s="340" t="str">
        <f t="shared" si="60"/>
        <v>S-g-m-P-nN-S</v>
      </c>
      <c r="EF137" s="371" t="str">
        <f>IFERROR(__xludf.DUMMYFUNCTION("CONCATENATE(JOIN("""",HC137:HO137))"),"SrRmPDS")</f>
        <v>SrRmPDS</v>
      </c>
      <c r="EG137" s="372">
        <f t="shared" si="61"/>
        <v>2</v>
      </c>
      <c r="EH137" s="373" t="str">
        <f>IFERROR(__xludf.DUMMYFUNCTION("CONCATENATE(JOIN("""",JC137:JO137))"),"Pa, Ni, ")</f>
        <v>Pa, Ni, </v>
      </c>
      <c r="EI137" s="322">
        <f t="shared" si="62"/>
        <v>1</v>
      </c>
      <c r="EJ137" s="374" t="str">
        <f>IFERROR(__xludf.DUMMYFUNCTION("CONCATENATE(JOIN("""",KC137:KO137))"),"Ni, ")</f>
        <v>Ni, </v>
      </c>
      <c r="EK137" s="325" t="str">
        <f t="shared" si="63"/>
        <v>S-G2-M1-P-N2-N3-S</v>
      </c>
      <c r="EL137" s="326" t="str">
        <f t="shared" si="64"/>
        <v>1-b3-4-5-b7-7-8</v>
      </c>
      <c r="EM137" s="318" t="str">
        <f t="shared" si="65"/>
        <v>#REF!</v>
      </c>
      <c r="EN137" s="328" t="str">
        <f>IFERROR(__xludf.DUMMYFUNCTION("SUBSTITUTE(SUBSTITUTE(SUBSTITUTE(SUBSTITUTE(CONCATENATE(JOIN("" "",HP137:IB137)),""  "","" ""),""  "","" ""),""  "","" ""),""  "","" "")"),"o • • o • o • o • • o o o")</f>
        <v>o • • o • o • o • • o o o</v>
      </c>
      <c r="EO137" s="368" t="str">
        <f t="shared" si="66"/>
        <v>-</v>
      </c>
      <c r="EP137" s="339" t="str">
        <f t="shared" si="67"/>
        <v>-</v>
      </c>
      <c r="EQ137" s="339" t="str">
        <f t="shared" si="68"/>
        <v>Sa-Pa</v>
      </c>
      <c r="ER137" s="339" t="str">
        <f t="shared" si="69"/>
        <v>-</v>
      </c>
      <c r="ES137" s="340" t="str">
        <f t="shared" si="70"/>
        <v>-</v>
      </c>
      <c r="ET137" s="363"/>
      <c r="EU137" s="376" t="b">
        <f>IFERROR(__xludf.DUMMYFUNCTION("arrayformula(sum(--REGEXMATCH(""SRGMPDNS"",split(REGEXREPLACE(C137,""(.)"",""$1~""),""~""))))=len(C137)
"),FALSE)</f>
        <v>0</v>
      </c>
      <c r="EV137" s="290" t="b">
        <f>IFERROR(__xludf.DUMMYFUNCTION("arrayformula(sum(--REGEXMATCH(""SRGmPDNS"",split(REGEXREPLACE(C137,""(.)"",""$1~""),""~""))))=len(C137)"),FALSE)</f>
        <v>0</v>
      </c>
      <c r="EW137" s="290" t="b">
        <f>IFERROR(__xludf.DUMMYFUNCTION("arrayformula(sum(--REGEXMATCH(""SRGmPDnS"",split(REGEXREPLACE(C137,""(.)"",""$1~""),""~""))))=len(C137)"),FALSE)</f>
        <v>0</v>
      </c>
      <c r="EX137" s="290" t="b">
        <f>IFERROR(__xludf.DUMMYFUNCTION("arrayformula(sum(--REGEXMATCH(""SRgmPDnS"",split(REGEXREPLACE(C137,""(.)"",""$1~""),""~""))))=len(C137)"),FALSE)</f>
        <v>0</v>
      </c>
      <c r="EY137" s="290" t="b">
        <f>IFERROR(__xludf.DUMMYFUNCTION("arrayformula(sum(--REGEXMATCH(""SRgmPdnS"",split(REGEXREPLACE(C137,""(.)"",""$1~""),""~""))))=len(C137)"),FALSE)</f>
        <v>0</v>
      </c>
      <c r="EZ137" s="290" t="b">
        <f>IFERROR(__xludf.DUMMYFUNCTION("arrayformula(sum(--REGEXMATCH(""SrgmPdnS"",split(REGEXREPLACE(C137,""(.)"",""$1~""),""~""))))=len(C137)"),FALSE)</f>
        <v>0</v>
      </c>
      <c r="FA137" s="290" t="b">
        <f>IFERROR(__xludf.DUMMYFUNCTION("arrayformula(sum(--REGEXMATCH(""SrGmPdNS"",split(REGEXREPLACE(C137,""(.)"",""$1~""),""~""))))=len(C137)"),FALSE)</f>
        <v>0</v>
      </c>
      <c r="FB137" s="290" t="b">
        <f>IFERROR(__xludf.DUMMYFUNCTION("arrayformula(sum(--REGEXMATCH(""SrGMPDNS"",split(REGEXREPLACE(C137,""(.)"",""$1~""),""~""))))=len(C137)"),FALSE)</f>
        <v>0</v>
      </c>
      <c r="FC137" s="290" t="b">
        <f>IFERROR(__xludf.DUMMYFUNCTION("arrayformula(sum(--REGEXMATCH(""SrGMPdNS"",split(REGEXREPLACE(C137,""(.)"",""$1~""),""~""))))=len(C137)"),FALSE)</f>
        <v>0</v>
      </c>
      <c r="FD137" s="377" t="b">
        <f>IFERROR(__xludf.DUMMYFUNCTION("arrayformula(sum(--REGEXMATCH(""SrgMPdNS"",split(REGEXREPLACE(C137,""(.)"",""$1~""),""~""))))=len(C137)"),FALSE)</f>
        <v>0</v>
      </c>
      <c r="FE137" s="269" t="str">
        <f t="shared" si="71"/>
        <v>-</v>
      </c>
      <c r="FF137" s="269" t="str">
        <f t="shared" si="72"/>
        <v>-</v>
      </c>
      <c r="FG137" s="271" t="str">
        <f t="shared" si="73"/>
        <v>xoxoxooxxxo</v>
      </c>
      <c r="FH137" s="269" t="str">
        <f t="shared" si="74"/>
        <v>-</v>
      </c>
      <c r="FI137" s="271" t="str">
        <f t="shared" si="75"/>
        <v>xoxooxxxoox</v>
      </c>
      <c r="FJ137" s="271" t="str">
        <f t="shared" si="76"/>
        <v>-</v>
      </c>
      <c r="FK137" s="271" t="str">
        <f t="shared" si="77"/>
        <v>xooxxxooxox</v>
      </c>
      <c r="FL137" s="271" t="str">
        <f t="shared" si="78"/>
        <v>-</v>
      </c>
      <c r="FM137" s="271" t="str">
        <f t="shared" si="79"/>
        <v>-</v>
      </c>
      <c r="FN137" s="271" t="str">
        <f t="shared" si="80"/>
        <v>xxxooxoxoxo</v>
      </c>
      <c r="FO137" s="274" t="str">
        <f t="shared" si="81"/>
        <v>xxooxoxoxoo</v>
      </c>
      <c r="FP137" s="234" t="str">
        <f t="shared" si="82"/>
        <v>|</v>
      </c>
      <c r="FQ137" s="236" t="str">
        <f t="shared" si="83"/>
        <v>-</v>
      </c>
      <c r="FR137" s="237" t="str">
        <f t="shared" si="84"/>
        <v>-</v>
      </c>
      <c r="FS137" s="236" t="str">
        <f t="shared" si="85"/>
        <v>|</v>
      </c>
      <c r="FT137" s="237" t="str">
        <f t="shared" si="86"/>
        <v>-</v>
      </c>
      <c r="FU137" s="236" t="str">
        <f t="shared" si="87"/>
        <v>|</v>
      </c>
      <c r="FV137" s="237" t="str">
        <f t="shared" si="88"/>
        <v>-</v>
      </c>
      <c r="FW137" s="236" t="str">
        <f t="shared" si="89"/>
        <v>|</v>
      </c>
      <c r="FX137" s="237" t="str">
        <f t="shared" si="90"/>
        <v>-</v>
      </c>
      <c r="FY137" s="236" t="str">
        <f t="shared" si="91"/>
        <v>-</v>
      </c>
      <c r="FZ137" s="237" t="str">
        <f t="shared" si="92"/>
        <v>|</v>
      </c>
      <c r="GA137" s="236" t="str">
        <f t="shared" si="93"/>
        <v>|</v>
      </c>
      <c r="GB137" s="238" t="str">
        <f t="shared" si="94"/>
        <v>|</v>
      </c>
      <c r="GC137" s="244" t="str">
        <f>IFERROR(__xludf.DUMMYFUNCTION("IF(REGEXMATCH(C137, ""S""), ""1"","""")"),"1")</f>
        <v>1</v>
      </c>
      <c r="GD137" s="245" t="str">
        <f>IFERROR(__xludf.DUMMYFUNCTION("IF(REGEXMATCH(C137, ""r""), ""b2"","""")"),"")</f>
        <v/>
      </c>
      <c r="GE137" s="246" t="str">
        <f>IFERROR(__xludf.DUMMYFUNCTION("IF(REGEXMATCH(C137, ""R""), ""2"","""")"),"")</f>
        <v/>
      </c>
      <c r="GF137" s="246" t="str">
        <f>IFERROR(__xludf.DUMMYFUNCTION("IF(REGEXMATCH(C137, ""g""), ""b3"","""")"),"b3")</f>
        <v>b3</v>
      </c>
      <c r="GG137" s="245" t="str">
        <f>IFERROR(__xludf.DUMMYFUNCTION("IF(REGEXMATCH(C137, ""G""), ""3"","""")"),"")</f>
        <v/>
      </c>
      <c r="GH137" s="245" t="str">
        <f>IFERROR(__xludf.DUMMYFUNCTION("IF(REGEXMATCH(C137, ""m""), ""4"","""")"),"4")</f>
        <v>4</v>
      </c>
      <c r="GI137" s="246" t="str">
        <f>IFERROR(__xludf.DUMMYFUNCTION("IF(REGEXMATCH(C137, ""M""), ""#4"","""")"),"")</f>
        <v/>
      </c>
      <c r="GJ137" s="245" t="str">
        <f>IFERROR(__xludf.DUMMYFUNCTION("IF(REGEXMATCH(C137, ""P""), ""5"","""")"),"5")</f>
        <v>5</v>
      </c>
      <c r="GK137" s="246" t="str">
        <f>IFERROR(__xludf.DUMMYFUNCTION("IF(REGEXMATCH(C137, ""d""), ""b6"","""")"),"")</f>
        <v/>
      </c>
      <c r="GL137" s="245" t="str">
        <f>IFERROR(__xludf.DUMMYFUNCTION("IF(REGEXMATCH(C137, ""D""), ""6"","""")"),"")</f>
        <v/>
      </c>
      <c r="GM137" s="245" t="str">
        <f>IFERROR(__xludf.DUMMYFUNCTION("IF(REGEXMATCH(C137, ""n""), ""b7"","""")"),"b7")</f>
        <v>b7</v>
      </c>
      <c r="GN137" s="246" t="str">
        <f>IFERROR(__xludf.DUMMYFUNCTION("IF(REGEXMATCH(C137, ""N""), ""7"","""")"),"7")</f>
        <v>7</v>
      </c>
      <c r="GO137" s="249" t="str">
        <f>IFERROR(__xludf.DUMMYFUNCTION("IF(REGEXMATCH(C137, ""S""), ""8"","""")"),"8")</f>
        <v>8</v>
      </c>
      <c r="GP137" s="244" t="str">
        <f>IFERROR(__xludf.DUMMYFUNCTION("IF(REGEXMATCH(C137, ""S""), ""S"","""")"),"S")</f>
        <v>S</v>
      </c>
      <c r="GQ137" s="294" t="str">
        <f>IFERROR(__xludf.DUMMYFUNCTION("IF(REGEXMATCH(C137, ""r""), ""R1"","""")"),"")</f>
        <v/>
      </c>
      <c r="GR137" s="295" t="str">
        <f>IFERROR(__xludf.DUMMYFUNCTION("IF(REGEXMATCH(C137, ""R""), ""R2"","""")"),"")</f>
        <v/>
      </c>
      <c r="GS137" s="295" t="str">
        <f>IFERROR(__xludf.DUMMYFUNCTION("IF(REGEXMATCH(C137, ""g""), ""G2"","""")"),"G2")</f>
        <v>G2</v>
      </c>
      <c r="GT137" s="294" t="str">
        <f>IFERROR(__xludf.DUMMYFUNCTION("IF(REGEXMATCH(C137, ""G""), ""G3"","""")"),"")</f>
        <v/>
      </c>
      <c r="GU137" s="294" t="str">
        <f>IFERROR(__xludf.DUMMYFUNCTION("IF(REGEXMATCH(C137, ""m""), ""M1"","""")"),"M1")</f>
        <v>M1</v>
      </c>
      <c r="GV137" s="295" t="str">
        <f>IFERROR(__xludf.DUMMYFUNCTION("IF(REGEXMATCH(C137, ""M""), ""M2"","""")"),"")</f>
        <v/>
      </c>
      <c r="GW137" s="294" t="str">
        <f>IFERROR(__xludf.DUMMYFUNCTION("IF(REGEXMATCH(C137, ""P""), ""P"","""")"),"P")</f>
        <v>P</v>
      </c>
      <c r="GX137" s="295" t="str">
        <f>IFERROR(__xludf.DUMMYFUNCTION("IF(REGEXMATCH(C137, ""d""), ""D1"","""")"),"")</f>
        <v/>
      </c>
      <c r="GY137" s="294" t="str">
        <f>IFERROR(__xludf.DUMMYFUNCTION("IF(REGEXMATCH(C137, ""D""), ""D2"","""")"),"")</f>
        <v/>
      </c>
      <c r="GZ137" s="294" t="str">
        <f>IFERROR(__xludf.DUMMYFUNCTION("IF(REGEXMATCH(C137, ""n""), ""N2"","""")"),"N2")</f>
        <v>N2</v>
      </c>
      <c r="HA137" s="295" t="str">
        <f>IFERROR(__xludf.DUMMYFUNCTION("IF(REGEXMATCH(C137, ""N""), ""N3"","""")"),"N3")</f>
        <v>N3</v>
      </c>
      <c r="HB137" s="249" t="str">
        <f>IFERROR(__xludf.DUMMYFUNCTION("IF(REGEXMATCH(C137, ""S""), ""S"","""")"),"S")</f>
        <v>S</v>
      </c>
      <c r="HC137" s="331" t="str">
        <f t="shared" si="95"/>
        <v>S</v>
      </c>
      <c r="HD137" s="332" t="str">
        <f t="shared" si="96"/>
        <v>r</v>
      </c>
      <c r="HE137" s="332" t="str">
        <f t="shared" si="97"/>
        <v>R</v>
      </c>
      <c r="HF137" s="332" t="str">
        <f t="shared" si="98"/>
        <v/>
      </c>
      <c r="HG137" s="332" t="str">
        <f t="shared" si="99"/>
        <v/>
      </c>
      <c r="HH137" s="332" t="str">
        <f t="shared" si="100"/>
        <v>m</v>
      </c>
      <c r="HI137" s="332" t="str">
        <f t="shared" si="101"/>
        <v/>
      </c>
      <c r="HJ137" s="332" t="str">
        <f t="shared" si="102"/>
        <v>P</v>
      </c>
      <c r="HK137" s="332" t="str">
        <f t="shared" si="103"/>
        <v/>
      </c>
      <c r="HL137" s="332" t="str">
        <f t="shared" si="104"/>
        <v>D</v>
      </c>
      <c r="HM137" s="332" t="str">
        <f t="shared" si="105"/>
        <v/>
      </c>
      <c r="HN137" s="332" t="str">
        <f t="shared" si="106"/>
        <v/>
      </c>
      <c r="HO137" s="343" t="str">
        <f t="shared" si="107"/>
        <v>S</v>
      </c>
      <c r="HP137" s="331" t="str">
        <f t="shared" si="108"/>
        <v>o</v>
      </c>
      <c r="HQ137" s="332" t="str">
        <f t="shared" si="109"/>
        <v>•</v>
      </c>
      <c r="HR137" s="332" t="str">
        <f t="shared" si="110"/>
        <v>•</v>
      </c>
      <c r="HS137" s="332" t="str">
        <f t="shared" si="111"/>
        <v>o</v>
      </c>
      <c r="HT137" s="332" t="str">
        <f t="shared" si="112"/>
        <v>•</v>
      </c>
      <c r="HU137" s="332" t="str">
        <f t="shared" si="113"/>
        <v>o</v>
      </c>
      <c r="HV137" s="332" t="str">
        <f t="shared" si="114"/>
        <v>•</v>
      </c>
      <c r="HW137" s="332" t="str">
        <f t="shared" si="115"/>
        <v>o</v>
      </c>
      <c r="HX137" s="332" t="str">
        <f t="shared" si="116"/>
        <v>•</v>
      </c>
      <c r="HY137" s="332" t="str">
        <f t="shared" si="117"/>
        <v>•</v>
      </c>
      <c r="HZ137" s="332" t="str">
        <f t="shared" si="118"/>
        <v>o</v>
      </c>
      <c r="IA137" s="332" t="str">
        <f t="shared" si="119"/>
        <v>o</v>
      </c>
      <c r="IB137" s="338" t="str">
        <f t="shared" si="120"/>
        <v>o</v>
      </c>
      <c r="IC137" s="331" t="str">
        <f t="shared" si="121"/>
        <v>•</v>
      </c>
      <c r="ID137" s="332" t="str">
        <f t="shared" si="122"/>
        <v>o</v>
      </c>
      <c r="IE137" s="332" t="str">
        <f t="shared" si="123"/>
        <v>o</v>
      </c>
      <c r="IF137" s="332" t="str">
        <f t="shared" si="124"/>
        <v>•</v>
      </c>
      <c r="IG137" s="332" t="str">
        <f t="shared" si="125"/>
        <v>o</v>
      </c>
      <c r="IH137" s="332" t="str">
        <f t="shared" si="126"/>
        <v>•</v>
      </c>
      <c r="II137" s="332" t="str">
        <f t="shared" si="127"/>
        <v>o</v>
      </c>
      <c r="IJ137" s="332" t="str">
        <f t="shared" si="128"/>
        <v>•</v>
      </c>
      <c r="IK137" s="332" t="str">
        <f t="shared" si="129"/>
        <v>o</v>
      </c>
      <c r="IL137" s="332" t="str">
        <f t="shared" si="130"/>
        <v>o</v>
      </c>
      <c r="IM137" s="332" t="str">
        <f t="shared" si="131"/>
        <v>•</v>
      </c>
      <c r="IN137" s="332" t="str">
        <f t="shared" si="132"/>
        <v>•</v>
      </c>
      <c r="IO137" s="338" t="str">
        <f t="shared" si="133"/>
        <v>•</v>
      </c>
      <c r="IP137" s="346" t="b">
        <f t="shared" si="134"/>
        <v>0</v>
      </c>
      <c r="IQ137" s="347" t="b">
        <f t="shared" si="135"/>
        <v>0</v>
      </c>
      <c r="IR137" s="347" t="b">
        <f t="shared" si="136"/>
        <v>0</v>
      </c>
      <c r="IS137" s="347" t="b">
        <f t="shared" si="137"/>
        <v>0</v>
      </c>
      <c r="IT137" s="347" t="b">
        <f t="shared" si="138"/>
        <v>0</v>
      </c>
      <c r="IU137" s="347" t="b">
        <f t="shared" si="139"/>
        <v>0</v>
      </c>
      <c r="IV137" s="347" t="b">
        <f t="shared" si="140"/>
        <v>0</v>
      </c>
      <c r="IW137" s="347" t="b">
        <f t="shared" si="141"/>
        <v>1</v>
      </c>
      <c r="IX137" s="347" t="b">
        <f t="shared" si="142"/>
        <v>0</v>
      </c>
      <c r="IY137" s="347" t="b">
        <f t="shared" si="143"/>
        <v>0</v>
      </c>
      <c r="IZ137" s="347" t="b">
        <f t="shared" si="144"/>
        <v>0</v>
      </c>
      <c r="JA137" s="347" t="b">
        <f t="shared" si="145"/>
        <v>1</v>
      </c>
      <c r="JB137" s="353" t="b">
        <f t="shared" si="146"/>
        <v>0</v>
      </c>
      <c r="JC137" s="354" t="str">
        <f t="shared" si="147"/>
        <v/>
      </c>
      <c r="JD137" s="355" t="str">
        <f t="shared" si="148"/>
        <v/>
      </c>
      <c r="JE137" s="355" t="str">
        <f t="shared" si="149"/>
        <v/>
      </c>
      <c r="JF137" s="355" t="str">
        <f t="shared" si="150"/>
        <v/>
      </c>
      <c r="JG137" s="355" t="str">
        <f t="shared" si="151"/>
        <v/>
      </c>
      <c r="JH137" s="355" t="str">
        <f t="shared" si="152"/>
        <v/>
      </c>
      <c r="JI137" s="355" t="str">
        <f t="shared" si="153"/>
        <v/>
      </c>
      <c r="JJ137" s="355" t="str">
        <f t="shared" si="154"/>
        <v>Pa, </v>
      </c>
      <c r="JK137" s="355" t="str">
        <f t="shared" si="155"/>
        <v/>
      </c>
      <c r="JL137" s="355" t="str">
        <f t="shared" si="156"/>
        <v/>
      </c>
      <c r="JM137" s="355" t="str">
        <f t="shared" si="157"/>
        <v/>
      </c>
      <c r="JN137" s="355" t="str">
        <f t="shared" si="158"/>
        <v>Ni, </v>
      </c>
      <c r="JO137" s="359" t="str">
        <f t="shared" si="159"/>
        <v/>
      </c>
      <c r="JP137" s="346" t="b">
        <f t="shared" si="160"/>
        <v>0</v>
      </c>
      <c r="JQ137" s="347" t="b">
        <f t="shared" si="161"/>
        <v>0</v>
      </c>
      <c r="JR137" s="347" t="b">
        <f t="shared" si="162"/>
        <v>0</v>
      </c>
      <c r="JS137" s="347" t="b">
        <f t="shared" si="163"/>
        <v>0</v>
      </c>
      <c r="JT137" s="347" t="b">
        <f t="shared" si="164"/>
        <v>0</v>
      </c>
      <c r="JU137" s="347" t="b">
        <f t="shared" si="165"/>
        <v>0</v>
      </c>
      <c r="JV137" s="347" t="b">
        <f t="shared" si="166"/>
        <v>0</v>
      </c>
      <c r="JW137" s="347" t="b">
        <f t="shared" si="167"/>
        <v>0</v>
      </c>
      <c r="JX137" s="347" t="b">
        <f t="shared" si="168"/>
        <v>0</v>
      </c>
      <c r="JY137" s="347" t="b">
        <f t="shared" si="169"/>
        <v>0</v>
      </c>
      <c r="JZ137" s="347" t="b">
        <f t="shared" si="170"/>
        <v>0</v>
      </c>
      <c r="KA137" s="347" t="b">
        <f t="shared" si="171"/>
        <v>1</v>
      </c>
      <c r="KB137" s="365" t="b">
        <f t="shared" si="172"/>
        <v>0</v>
      </c>
      <c r="KC137" s="354" t="str">
        <f t="shared" si="173"/>
        <v/>
      </c>
      <c r="KD137" s="355" t="str">
        <f t="shared" si="174"/>
        <v/>
      </c>
      <c r="KE137" s="355" t="str">
        <f t="shared" si="175"/>
        <v/>
      </c>
      <c r="KF137" s="355" t="str">
        <f t="shared" si="176"/>
        <v/>
      </c>
      <c r="KG137" s="355" t="str">
        <f t="shared" si="177"/>
        <v/>
      </c>
      <c r="KH137" s="355" t="str">
        <f t="shared" si="178"/>
        <v/>
      </c>
      <c r="KI137" s="355" t="str">
        <f t="shared" si="179"/>
        <v/>
      </c>
      <c r="KJ137" s="355" t="str">
        <f t="shared" si="180"/>
        <v/>
      </c>
      <c r="KK137" s="355" t="str">
        <f t="shared" si="181"/>
        <v/>
      </c>
      <c r="KL137" s="355" t="str">
        <f t="shared" si="182"/>
        <v/>
      </c>
      <c r="KM137" s="355" t="str">
        <f t="shared" si="183"/>
        <v/>
      </c>
      <c r="KN137" s="355" t="str">
        <f t="shared" si="184"/>
        <v>Ni, </v>
      </c>
      <c r="KO137" s="359"/>
      <c r="KP137" s="378"/>
      <c r="KQ137" s="379" t="s">
        <v>935</v>
      </c>
      <c r="KR137" s="380" t="s">
        <v>1381</v>
      </c>
      <c r="KS137" s="381" t="str">
        <f t="shared" ref="KS137:KS138" si="482">KQ137</f>
        <v>S-g-m-P-N-S</v>
      </c>
      <c r="KT137" s="382">
        <f t="shared" si="186"/>
        <v>5</v>
      </c>
      <c r="KU137" s="383">
        <f t="shared" si="187"/>
        <v>5</v>
      </c>
      <c r="KV137" s="381" t="str">
        <f t="shared" si="205"/>
        <v>S-n-P-m-g-S</v>
      </c>
      <c r="KW137" s="382">
        <f t="shared" si="189"/>
        <v>5</v>
      </c>
      <c r="KX137" s="384">
        <f t="shared" si="190"/>
        <v>5</v>
      </c>
      <c r="KY137" s="382">
        <f t="shared" ref="KY137:KZ137" si="480">KW137-KT137</f>
        <v>0</v>
      </c>
      <c r="KZ137" s="369">
        <f t="shared" si="480"/>
        <v>0</v>
      </c>
      <c r="LA137" s="385" t="str">
        <f t="shared" si="192"/>
        <v>✔</v>
      </c>
      <c r="LB137" s="340" t="str">
        <f>IFERROR(__xludf.DUMMYFUNCTION("JOIN("""",ArrayFormula(MID(KS137,LEN(KS137)-SEQUENCE(1,LEN(KS137))+1,1)))"),"S-N-P-m-g-S")</f>
        <v>S-N-P-m-g-S</v>
      </c>
      <c r="LC137" s="373" t="str">
        <f>IFERROR(__xludf.DUMMYFUNCTION("JOIN("""",ArrayFormula(MID(KV137,LEN(KV137)-SEQUENCE(1,LEN(KV137))+1,1)))"),"S-g-m-P-n-S")</f>
        <v>S-g-m-P-n-S</v>
      </c>
      <c r="LD137" s="373" t="str">
        <f t="shared" si="193"/>
        <v>SgmPNS</v>
      </c>
      <c r="LE137" s="339" t="str">
        <f t="shared" si="194"/>
        <v>SgmPnS</v>
      </c>
      <c r="LF137" s="386" t="str">
        <f>IFERROR(__xludf.DUMMYFUNCTION("SUBSTITUTE(SUBSTITUTE(CONCATENATE(JOIN("""",LH137:LT137)),""1"",""""),""2"","""")"),"SgmPnNS")</f>
        <v>SgmPnNS</v>
      </c>
      <c r="LG137" s="369" t="str">
        <f t="shared" si="195"/>
        <v>✔</v>
      </c>
      <c r="LH137" s="387" t="str">
        <f>IFERROR(__xludf.DUMMYFUNCTION("IF(REGEXMATCH(LD137, ""S""), ""S"",IF(REGEXMATCH(LE137, ""S""), ""S"",""""))"),"S")</f>
        <v>S</v>
      </c>
      <c r="LI137" s="299" t="str">
        <f>IFERROR(__xludf.DUMMYFUNCTION("IF(REGEXMATCH(LD137, ""r""), ""r1"",IF(REGEXMATCH(LE137, ""r""), ""r2"",""""))"),"")</f>
        <v/>
      </c>
      <c r="LJ137" s="299" t="str">
        <f>IFERROR(__xludf.DUMMYFUNCTION("IF(REGEXMATCH(LD137, ""R""), ""R1"",IF(REGEXMATCH(LE137, ""R""), ""R2"",""""))"),"")</f>
        <v/>
      </c>
      <c r="LK137" s="299" t="str">
        <f>IFERROR(__xludf.DUMMYFUNCTION("IF(REGEXMATCH(LD137, ""g""), ""g1"",IF(REGEXMATCH(LE137, ""g""), ""g2"",""""))"),"g1")</f>
        <v>g1</v>
      </c>
      <c r="LL137" s="299" t="str">
        <f>IFERROR(__xludf.DUMMYFUNCTION("IF(REGEXMATCH(LD137, ""G""), ""G1"",IF(REGEXMATCH(LE137, ""G""), ""G2"",""""))"),"")</f>
        <v/>
      </c>
      <c r="LM137" s="299" t="str">
        <f>IFERROR(__xludf.DUMMYFUNCTION("IF(REGEXMATCH(LD137, ""m""), ""m1"",IF(REGEXMATCH(LE137, ""m""), ""m2"",""""))"),"m1")</f>
        <v>m1</v>
      </c>
      <c r="LN137" s="299" t="str">
        <f>IFERROR(__xludf.DUMMYFUNCTION("IF(REGEXMATCH(LD137, ""M""), ""M1"",IF(REGEXMATCH(LE137, ""M""), ""M2"",""""))"),"")</f>
        <v/>
      </c>
      <c r="LO137" s="299" t="str">
        <f>IFERROR(__xludf.DUMMYFUNCTION("IF(REGEXMATCH(LD137, ""P""), ""P1"",IF(REGEXMATCH(LE137, ""P""), ""P2"",""""))"),"P1")</f>
        <v>P1</v>
      </c>
      <c r="LP137" s="299" t="str">
        <f>IFERROR(__xludf.DUMMYFUNCTION("IF(REGEXMATCH(LD137, ""d""), ""d1"",IF(REGEXMATCH(LE137, ""d""), ""d2"",""""))"),"")</f>
        <v/>
      </c>
      <c r="LQ137" s="299" t="str">
        <f>IFERROR(__xludf.DUMMYFUNCTION("IF(REGEXMATCH(LD137, ""D""), ""D1"",IF(REGEXMATCH(LE137, ""D""), ""D2"",""""))"),"")</f>
        <v/>
      </c>
      <c r="LR137" s="299" t="str">
        <f>IFERROR(__xludf.DUMMYFUNCTION("IF(REGEXMATCH(LD137, ""n""), ""n1"",IF(REGEXMATCH(LE137, ""n""), ""n2"",""""))"),"n2")</f>
        <v>n2</v>
      </c>
      <c r="LS137" s="299" t="str">
        <f>IFERROR(__xludf.DUMMYFUNCTION("IF(REGEXMATCH(LD137, ""N""), ""N1"",IF(REGEXMATCH(LE137, ""N""), ""N2"",""""))"),"N1")</f>
        <v>N1</v>
      </c>
      <c r="LT137" s="388" t="str">
        <f>IFERROR(__xludf.DUMMYFUNCTION("IF(REGEXMATCH(LD137, ""S""), ""S"",IF(REGEXMATCH(LE137, ""S""), ""S"",""""))"),"S")</f>
        <v>S</v>
      </c>
      <c r="LU137" s="389">
        <f t="shared" si="196"/>
        <v>1</v>
      </c>
      <c r="LV137" s="378"/>
      <c r="LW137" s="369"/>
      <c r="LX137" s="369"/>
    </row>
    <row r="138" ht="18.0" customHeight="1">
      <c r="A138" s="298" t="s">
        <v>793</v>
      </c>
      <c r="B138" s="222" t="s">
        <v>794</v>
      </c>
      <c r="C138" s="233" t="str">
        <f t="shared" si="7"/>
        <v>SGMDNS</v>
      </c>
      <c r="D138" s="234" t="str">
        <f>IFERROR(__xludf.DUMMYFUNCTION("IF(REGEXMATCH(C138, ""S""), ""S"","""")"),"S")</f>
        <v>S</v>
      </c>
      <c r="E138" s="236" t="str">
        <f>IFERROR(__xludf.DUMMYFUNCTION("IF(REGEXMATCH(C138, ""r""), ""r"","""")"),"")</f>
        <v/>
      </c>
      <c r="F138" s="237" t="str">
        <f>IFERROR(__xludf.DUMMYFUNCTION("IF(REGEXMATCH(C138, ""R""), ""R"","""")"),"")</f>
        <v/>
      </c>
      <c r="G138" s="237" t="str">
        <f>IFERROR(__xludf.DUMMYFUNCTION("IF(REGEXMATCH(C138, ""g""), ""g"","""")"),"")</f>
        <v/>
      </c>
      <c r="H138" s="236" t="str">
        <f>IFERROR(__xludf.DUMMYFUNCTION("IF(REGEXMATCH(C138, ""G""), ""G"","""")"),"G")</f>
        <v>G</v>
      </c>
      <c r="I138" s="236" t="str">
        <f>IFERROR(__xludf.DUMMYFUNCTION("IF(REGEXMATCH(C138, ""m""), ""m"","""")"),"")</f>
        <v/>
      </c>
      <c r="J138" s="237" t="str">
        <f>IFERROR(__xludf.DUMMYFUNCTION("IF(REGEXMATCH(C138, ""M""), ""M"","""")"),"M")</f>
        <v>M</v>
      </c>
      <c r="K138" s="236" t="str">
        <f>IFERROR(__xludf.DUMMYFUNCTION("IF(REGEXMATCH(C138, ""P""), ""P"","""")"),"")</f>
        <v/>
      </c>
      <c r="L138" s="237" t="str">
        <f>IFERROR(__xludf.DUMMYFUNCTION("IF(REGEXMATCH(C138, ""d""), ""d"","""")"),"")</f>
        <v/>
      </c>
      <c r="M138" s="236" t="str">
        <f>IFERROR(__xludf.DUMMYFUNCTION("IF(REGEXMATCH(C138, ""D""), ""D"","""")"),"D")</f>
        <v>D</v>
      </c>
      <c r="N138" s="236" t="str">
        <f>IFERROR(__xludf.DUMMYFUNCTION("IF(REGEXMATCH(C138, ""n""), ""n"","""")"),"")</f>
        <v/>
      </c>
      <c r="O138" s="237" t="str">
        <f>IFERROR(__xludf.DUMMYFUNCTION("IF(REGEXMATCH(C138, ""N""), ""N"","""")"),"N")</f>
        <v>N</v>
      </c>
      <c r="P138" s="238" t="str">
        <f>IFERROR(__xludf.DUMMYFUNCTION("IF(REGEXMATCH(C138, ""S""), ""S"","""")"),"S")</f>
        <v>S</v>
      </c>
      <c r="Q138" s="239" t="str">
        <f>IFERROR(__xludf.DUMMYFUNCTION("SUBSTITUTE(CONCATENATE(JOIN(""-"",D138:J138)),""-"","""")"),"SGM")</f>
        <v>SGM</v>
      </c>
      <c r="R138" s="229" t="str">
        <f>IFERROR(__xludf.DUMMYFUNCTION("SUBSTITUTE(CONCATENATE(JOIN(""-"",K138:P138)),""-"","""")"),"DNS")</f>
        <v>DNS</v>
      </c>
      <c r="S138" s="282" t="str">
        <f t="shared" si="8"/>
        <v>S-G-M</v>
      </c>
      <c r="T138" s="282" t="str">
        <f t="shared" si="9"/>
        <v>D-N-S</v>
      </c>
      <c r="U138" s="237" t="str">
        <f>IFERROR(__xludf.DUMMYFUNCTION("SUBSTITUTE(JOIN(""-"",S138,T138),""--"",""-"")"),"S-G-M-D-N-S")</f>
        <v>S-G-M-D-N-S</v>
      </c>
      <c r="V138" s="309" t="str">
        <f t="shared" si="10"/>
        <v>GMDN</v>
      </c>
      <c r="W138" s="244" t="str">
        <f>IFERROR(__xludf.DUMMYFUNCTION("IF(REGEXMATCH(C138, ""S""), ""0"","""")"),"0")</f>
        <v>0</v>
      </c>
      <c r="X138" s="245" t="str">
        <f>IFERROR(__xludf.DUMMYFUNCTION("IF(REGEXMATCH(C138, ""r""), ""1"","""")"),"")</f>
        <v/>
      </c>
      <c r="Y138" s="246" t="str">
        <f>IFERROR(__xludf.DUMMYFUNCTION("IF(REGEXMATCH(C138, ""R""), ""2"","""")"),"")</f>
        <v/>
      </c>
      <c r="Z138" s="246" t="str">
        <f>IFERROR(__xludf.DUMMYFUNCTION("IF(REGEXMATCH(C138, ""g""), ""3"","""")"),"")</f>
        <v/>
      </c>
      <c r="AA138" s="245" t="str">
        <f>IFERROR(__xludf.DUMMYFUNCTION("IF(REGEXMATCH(C138, ""G""), ""4"","""")"),"4")</f>
        <v>4</v>
      </c>
      <c r="AB138" s="245" t="str">
        <f>IFERROR(__xludf.DUMMYFUNCTION("IF(REGEXMATCH(C138, ""m""), ""5"","""")"),"")</f>
        <v/>
      </c>
      <c r="AC138" s="246" t="str">
        <f>IFERROR(__xludf.DUMMYFUNCTION("IF(REGEXMATCH(C138, ""M""), ""6"","""")"),"6")</f>
        <v>6</v>
      </c>
      <c r="AD138" s="245" t="str">
        <f>IFERROR(__xludf.DUMMYFUNCTION("IF(REGEXMATCH(C138, ""P""), ""7"","""")"),"")</f>
        <v/>
      </c>
      <c r="AE138" s="246" t="str">
        <f>IFERROR(__xludf.DUMMYFUNCTION("IF(REGEXMATCH(C138, ""d""), ""8"","""")"),"")</f>
        <v/>
      </c>
      <c r="AF138" s="245" t="str">
        <f>IFERROR(__xludf.DUMMYFUNCTION("IF(REGEXMATCH(C138, ""D""), ""9"","""")"),"9")</f>
        <v>9</v>
      </c>
      <c r="AG138" s="245" t="str">
        <f>IFERROR(__xludf.DUMMYFUNCTION("IF(REGEXMATCH(C138, ""n""), ""10"","""")"),"")</f>
        <v/>
      </c>
      <c r="AH138" s="246" t="str">
        <f>IFERROR(__xludf.DUMMYFUNCTION("IF(REGEXMATCH(C138, ""N""), ""11"","""")"),"11")</f>
        <v>11</v>
      </c>
      <c r="AI138" s="249" t="str">
        <f>IFERROR(__xludf.DUMMYFUNCTION("IF(REGEXMATCH(C138, ""S""), ""0"","""")"),"0")</f>
        <v>0</v>
      </c>
      <c r="AJ138" s="313" t="str">
        <f t="shared" si="11"/>
        <v>T</v>
      </c>
      <c r="AK138" s="313" t="str">
        <f t="shared" si="12"/>
        <v>-</v>
      </c>
      <c r="AL138" s="313" t="str">
        <f t="shared" si="13"/>
        <v>-</v>
      </c>
      <c r="AM138" s="313" t="str">
        <f t="shared" si="14"/>
        <v>-</v>
      </c>
      <c r="AN138" s="313" t="str">
        <f t="shared" si="15"/>
        <v>-</v>
      </c>
      <c r="AO138" s="314" t="str">
        <f t="shared" si="16"/>
        <v>-</v>
      </c>
      <c r="AP138" s="316">
        <f t="shared" si="17"/>
        <v>1</v>
      </c>
      <c r="AQ138" s="319" t="str">
        <f t="shared" si="18"/>
        <v>#REF!</v>
      </c>
      <c r="AR138" s="320">
        <f t="shared" si="19"/>
        <v>0</v>
      </c>
      <c r="AS138" s="250" t="str">
        <f>IFERROR(__xludf.DUMMYFUNCTION("SUBSTITUTE(SUBSTITUTE(CONCATENATE(JOIN("""",FP138:GA138)),""|"",""x""),""-"",""o"")"),"xoooxoxooxox")</f>
        <v>xoooxoxooxox</v>
      </c>
      <c r="AT138" s="323" t="str">
        <f>IFERROR(__xludf.DUMMYFUNCTION("JOIN("""",AS138,AS138)"),"xoooxoxooxoxxoooxoxooxox")</f>
        <v>xoooxoxooxoxxoooxoxooxox</v>
      </c>
      <c r="AU138" s="256" t="str">
        <f>IFERROR(__xludf.DUMMYFUNCTION("JOIN("""",ArrayFormula(MID(AS138,LEN(AS138)-SEQUENCE(1,LEN(AS138))+1,1)))"),"xoxooxoxooox")</f>
        <v>xoxooxoxooox</v>
      </c>
      <c r="AV138" s="256" t="str">
        <f>IFERROR(__xludf.DUMMYFUNCTION("LEFT(CONCATENATE(""x"",JOIN("""",ArrayFormula(MID(AS138,LEN(AS138)-SEQUENCE(1,LEN(AS138))+1,1)))),12)"),"xxoxooxoxooo")</f>
        <v>xxoxooxoxooo</v>
      </c>
      <c r="AW138" s="327" t="str">
        <f>IFERROR(__xludf.DUMMYFUNCTION("JOIN("""",AU138,AU138)"),"xoxooxoxoooxxoxooxoxooox")</f>
        <v>xoxooxoxoooxxoxooxoxooox</v>
      </c>
      <c r="AX138" s="239" t="str">
        <f>IFERROR(__xludf.DUMMYFUNCTION("IF(REGEXMATCH(AW138,AS138),""✔"",""-"")"),"-")</f>
        <v>-</v>
      </c>
      <c r="AY138" s="330" t="str">
        <f t="shared" si="20"/>
        <v>-</v>
      </c>
      <c r="AZ138" s="260" t="str">
        <f t="shared" si="21"/>
        <v>#REF!</v>
      </c>
      <c r="BA138" s="333" t="str">
        <f t="shared" si="22"/>
        <v>xoooxox</v>
      </c>
      <c r="BB138" s="334" t="str">
        <f t="shared" si="23"/>
        <v>ooxoxx</v>
      </c>
      <c r="BC138" s="335" t="str">
        <f t="shared" si="236"/>
        <v>-</v>
      </c>
      <c r="BD138" s="336" t="str">
        <f t="shared" si="25"/>
        <v>Hindol: 'xoooxox' + 'ooxoxx'</v>
      </c>
      <c r="BE138" s="337">
        <f>IFERROR(__xludf.DUMMYFUNCTION("COUNTUNIQUE(FILTER(AT:AT,REGEXMATCH(AT:AT,AS138)))-1"),4.0)</f>
        <v>4</v>
      </c>
      <c r="BF138" s="261" t="str">
        <f>IFERROR(__xludf.DUMMYFUNCTION("IF(BI138=0,""(n/a)"",IF(BJ138=2,""(PAIR)"",IF(REGEXMATCH(AT138,""xoxoxxoxoxox""),""Bilawal"",IF(REGEXMATCH(AT138,""xoxoxooxoxoo""),""Bhupali"",IF(REGEXMATCH(AT138,""xoxoxxoxxoxo""),""Charukeshi"",IF(REGEXMATCH(AT138,""xoxoooxxoxxo""),""Kameshwari"",IF(REG"&amp;"EXMATCH(AT138,""xoxoxooxoxox""),""Shankara"",IF(REGEXMATCH(AT138,""xxooxoxxxoox""),""Basant"",IF(REGEXMATCH(AT138,""xoxoxxxxoxox""),""Bihag"",IF(REGEXMATCH(AT138,""xoxxxxoxoxxx""),""Pilu"",IF(REGEXMATCH(AT138,""xoxxoxoxxoox""),""Kirwani"",IF(REGEXMATCH(AT"&amp;"138,""xoxxoxoxoxxx""),""Mk.Malhar"",IF(REGEXMATCH(AT138,""xxooxxoxxoox""),""Bhairav"",IF(REGEXMATCH(AT138,""xxoxooxxxoox""),""Todi"",IF(REGEXMATCH(AT138,""xxooxoxooxox""),""Marwa"",IF(REGEXMATCH(AT138,""xxoooxoxxooo""),""Gunkali"",IF(REGEXMATCH(AT138,""xo"&amp;"xoxxoxxoox""),""Nat Bhairav"",IF(REGEXMATCH(AT138,""xoxxoooxoxoo""),""Shivranjani"",IF(REGEXMATCH(AT138,""xooxxxoxooxo""),""Jog"",IF(REGEXMATCH(AT138,""xxooxoxoxoox""),""Hemshri"",IF(REGEXMATCH(AT138,""xoooxooxoxxo""),""Kalavati"",IF(REGEXMATCH(AT138,""xx"&amp;"oxoxxoxoox""),""Kedar"",IF(REGEXMATCH(AT138,""xoxxxxoxooxx""),""Gara"",IF(REGEXMATCH(AT138,""xooxoxooxoox""),""Chandrakauns"",IF(REGEXMATCH(AT138,""xoxxxxoxxxox""),""Mand"",IF(REGEXMATCH(AT138,""xoxxxxoxoxox""),""Hanskinkini"",IF(REGEXMATCH(AT138,""xxooxx"&amp;"oxooxo""),""Lilavati"",IF(REGEXMATCH(AT138,""xooxoxoooxox""),""Rajeshwari"",IF(REGEXMATCH(AT138,""xoooxxoxoxxx""),""Khokar"",IF(REGEXMATCH(AT138,""xxooxoxxxxox""),""Maligoura"",""-""))))))))))))))))))))))))))))))"),"Shivranjani")</f>
        <v>Shivranjani</v>
      </c>
      <c r="BG138" s="239" t="str">
        <f t="shared" si="26"/>
        <v>#REF!</v>
      </c>
      <c r="BH138" s="239">
        <f>IFERROR(__xludf.DUMMYFUNCTION("COUNTUNIQUE(FE138:FO138)-1"),4.0)</f>
        <v>4</v>
      </c>
      <c r="BI138" s="239">
        <f>IFERROR(__xludf.DUMMYFUNCTION("COUNTUNIQUE(FILTER(AT:AT,REGEXMATCH(AT:AT,AS138)))-1"),4.0)</f>
        <v>4</v>
      </c>
      <c r="BJ138" s="239">
        <f>IFERROR(__xludf.DUMMYFUNCTION("COUNTA(FILTER(AT:AT,REGEXMATCH(AT:AT,AS138)))"),5.0)</f>
        <v>5</v>
      </c>
      <c r="BK138" s="341">
        <f>IFERROR(__xludf.DUMMYFUNCTION("COUNTA(FILTER(AT:AT,REGEXMATCH(AT:AT,AS138)))-AR138"),5.0)</f>
        <v>5</v>
      </c>
      <c r="BL138" s="276" t="str">
        <f>IFERROR(__xludf.DUMMYFUNCTION("IF(AS138=""oooooooooooo"",""-"",IF(REGEXMATCH(AT138,""xx""), ""Hemi."", ""Anhemi.""))"),"Hemi.")</f>
        <v>Hemi.</v>
      </c>
      <c r="BM138" s="282" t="str">
        <f>IFERROR(__xludf.DUMMYFUNCTION("IF(AS138=""oooooooooooo"",""-"",IF(REGEXMATCH(AT138,""xxx""), ""Cohem."", ""-""))"),"-")</f>
        <v>-</v>
      </c>
      <c r="BN138" s="282" t="str">
        <f>IFERROR(__xludf.DUMMYFUNCTION("IF(AS138=""oooooooooooo"",""-"",IF(REGEXMATCH(AT138,""xxxx""), ""Co-Co."", ""-""))"),"-")</f>
        <v>-</v>
      </c>
      <c r="BO138" s="342" t="str">
        <f>IFERROR(__xludf.DUMMYFUNCTION("IF(AS138=""oooooooooooo"",""-"",IF(REGEXMATCH(AT138,""xxxxx""), ""CCC."", ""-""))"),"-")</f>
        <v>-</v>
      </c>
      <c r="BP138" s="344" t="str">
        <f t="shared" si="27"/>
        <v>-</v>
      </c>
      <c r="BQ138" s="282" t="str">
        <f>IFERROR(__xludf.DUMMYFUNCTION("IF(REGEXMATCH(JOIN(""-"",EU138:FD138),""TRUE""),""✔"",""-"")"),"✔")</f>
        <v>✔</v>
      </c>
      <c r="BR138" s="225">
        <f t="shared" si="28"/>
        <v>2</v>
      </c>
      <c r="BS138" s="345" t="str">
        <f>IFERROR(__xludf.DUMMYFUNCTION("SUBSTITUTE(SUBSTITUTE(SUBSTITUTE(SUBSTITUTE(CONCATENATE(JOIN(""-"",GC138:GO138)),""--"",""-""),""--"",""-""),""--"",""-""),""--"",""-"")"),"1-3-#4-6-7-8")</f>
        <v>1-3-#4-6-7-8</v>
      </c>
      <c r="BT138" s="299" t="str">
        <f>IFERROR(__xludf.DUMMYFUNCTION("SUBSTITUTE(SUBSTITUTE(SUBSTITUTE(SUBSTITUTE(CONCATENATE(JOIN(""-"",GP138:HB138)),""--"",""-""),""--"",""-""),""--"",""-""),""--"",""-"")"),"S-G3-M2-D2-N3-S")</f>
        <v>S-G3-M2-D2-N3-S</v>
      </c>
      <c r="BU138" s="348" t="str">
        <f t="shared" si="29"/>
        <v>C-E-F#-A-B-C</v>
      </c>
      <c r="BV138" s="349" t="str">
        <f t="shared" si="30"/>
        <v>SrRgmPdnS</v>
      </c>
      <c r="BW138" s="350">
        <f t="shared" si="31"/>
        <v>3</v>
      </c>
      <c r="BX138" s="351">
        <f t="shared" si="32"/>
        <v>1</v>
      </c>
      <c r="BY138" s="392"/>
      <c r="BZ138" s="309" t="str">
        <f>IFERROR(__xludf.DUMMYFUNCTION("IF(REGEXMATCH(C138, ""S""), ""x"",""x"")"),"x")</f>
        <v>x</v>
      </c>
      <c r="CA138" s="245" t="str">
        <f>IFERROR(__xludf.DUMMYFUNCTION("IF(REGEXMATCH(C138, ""r""), ""o"",""x"")"),"x")</f>
        <v>x</v>
      </c>
      <c r="CB138" s="246" t="str">
        <f>IFERROR(__xludf.DUMMYFUNCTION("IF(REGEXMATCH(C138, ""R""), ""o"",""x"")"),"x")</f>
        <v>x</v>
      </c>
      <c r="CC138" s="246" t="str">
        <f>IFERROR(__xludf.DUMMYFUNCTION("IF(REGEXMATCH(C138, ""g""), ""o"",""x"")"),"x")</f>
        <v>x</v>
      </c>
      <c r="CD138" s="245" t="str">
        <f>IFERROR(__xludf.DUMMYFUNCTION("IF(REGEXMATCH(C138, ""G""), ""o"",""x"")"),"o")</f>
        <v>o</v>
      </c>
      <c r="CE138" s="245" t="str">
        <f>IFERROR(__xludf.DUMMYFUNCTION("IF(REGEXMATCH(C138, ""m""), ""o"",""x"")"),"x")</f>
        <v>x</v>
      </c>
      <c r="CF138" s="246" t="str">
        <f>IFERROR(__xludf.DUMMYFUNCTION("IF(REGEXMATCH(C138, ""M""), ""o"",""x"")"),"o")</f>
        <v>o</v>
      </c>
      <c r="CG138" s="245" t="str">
        <f>IFERROR(__xludf.DUMMYFUNCTION("IF(REGEXMATCH(C138, ""P""), ""o"",""x"")"),"x")</f>
        <v>x</v>
      </c>
      <c r="CH138" s="246" t="str">
        <f>IFERROR(__xludf.DUMMYFUNCTION("IF(REGEXMATCH(C138, ""d""), ""o"",""x"")"),"x")</f>
        <v>x</v>
      </c>
      <c r="CI138" s="245" t="str">
        <f>IFERROR(__xludf.DUMMYFUNCTION("IF(REGEXMATCH(C138, ""D""), ""o"",""x"")"),"o")</f>
        <v>o</v>
      </c>
      <c r="CJ138" s="245" t="str">
        <f>IFERROR(__xludf.DUMMYFUNCTION("IF(REGEXMATCH(C138, ""n""), ""o"",""x"")"),"x")</f>
        <v>x</v>
      </c>
      <c r="CK138" s="245" t="str">
        <f>IFERROR(__xludf.DUMMYFUNCTION("IF(REGEXMATCH(C138, ""N""), ""o"",""x"")"),"o")</f>
        <v>o</v>
      </c>
      <c r="CL138" s="356" t="str">
        <f>IFERROR(__xludf.DUMMYFUNCTION("IF(REGEXMATCH(C138, ""S""), ""x"",""x"")"),"x")</f>
        <v>x</v>
      </c>
      <c r="CM138" s="357" t="str">
        <f t="shared" si="33"/>
        <v>xxxxoxoxxoxo</v>
      </c>
      <c r="CN138" s="358">
        <f t="shared" si="34"/>
        <v>3</v>
      </c>
      <c r="CO138" s="246" t="str">
        <f>IFERROR(__xludf.DUMMYFUNCTION("IF(REGEXMATCH($C138, ""S""), ""S"",""S"")"),"S")</f>
        <v>S</v>
      </c>
      <c r="CP138" s="246" t="str">
        <f>IFERROR(__xludf.DUMMYFUNCTION("IF(REGEXMATCH($C138, ""r""), """",""r"")"),"r")</f>
        <v>r</v>
      </c>
      <c r="CQ138" s="246" t="str">
        <f>IFERROR(__xludf.DUMMYFUNCTION("IF(REGEXMATCH($C138, ""R""), """",""R"")"),"R")</f>
        <v>R</v>
      </c>
      <c r="CR138" s="246" t="str">
        <f>IFERROR(__xludf.DUMMYFUNCTION("IF(REGEXMATCH($C138, ""g""), """",""g"")"),"g")</f>
        <v>g</v>
      </c>
      <c r="CS138" s="246" t="str">
        <f>IFERROR(__xludf.DUMMYFUNCTION("IF(REGEXMATCH($C138, ""G""), """",""G"")"),"")</f>
        <v/>
      </c>
      <c r="CT138" s="246" t="str">
        <f>IFERROR(__xludf.DUMMYFUNCTION("IF(REGEXMATCH($C138, ""m""), """",""m"")"),"m")</f>
        <v>m</v>
      </c>
      <c r="CU138" s="246" t="str">
        <f>IFERROR(__xludf.DUMMYFUNCTION("IF(REGEXMATCH($C138, ""M""), """",""M"")"),"")</f>
        <v/>
      </c>
      <c r="CV138" s="246" t="str">
        <f>IFERROR(__xludf.DUMMYFUNCTION("IF(REGEXMATCH($C138, ""P""), """",""P"")"),"P")</f>
        <v>P</v>
      </c>
      <c r="CW138" s="246" t="str">
        <f>IFERROR(__xludf.DUMMYFUNCTION("IF(REGEXMATCH($C138, ""d""), """",""d"")"),"d")</f>
        <v>d</v>
      </c>
      <c r="CX138" s="246" t="str">
        <f>IFERROR(__xludf.DUMMYFUNCTION("IF(REGEXMATCH($C138, ""D""), """",""D"")"),"")</f>
        <v/>
      </c>
      <c r="CY138" s="246" t="str">
        <f>IFERROR(__xludf.DUMMYFUNCTION("IF(REGEXMATCH($C138, ""n""), """",""n"")"),"n")</f>
        <v>n</v>
      </c>
      <c r="CZ138" s="246" t="str">
        <f>IFERROR(__xludf.DUMMYFUNCTION("IF(REGEXMATCH($C138, ""N""), """",""N"")"),"")</f>
        <v/>
      </c>
      <c r="DA138" s="246" t="str">
        <f>IFERROR(__xludf.DUMMYFUNCTION("IF(REGEXMATCH($C138, ""S""), ""S"",""S"")"),"S")</f>
        <v>S</v>
      </c>
      <c r="DB138" s="362" t="str">
        <f>IFERROR(__xludf.DUMMYFUNCTION("JOIN("""",CO138:DA138,"""","""")"),"SrRgmPdnS")</f>
        <v>SrRgmPdnS</v>
      </c>
      <c r="DC138" s="363"/>
      <c r="DD138" s="301" t="str">
        <f t="shared" si="35"/>
        <v>#REF!</v>
      </c>
      <c r="DE138" s="302" t="str">
        <f t="shared" si="36"/>
        <v>#REF!</v>
      </c>
      <c r="DF138" s="301" t="str">
        <f t="shared" ref="DF138:DG138" si="481">SUBSTITUTE(S138,"-","")</f>
        <v>SGM</v>
      </c>
      <c r="DG138" s="301" t="str">
        <f t="shared" si="481"/>
        <v>DNS</v>
      </c>
      <c r="DH138" s="302" t="str">
        <f t="shared" si="38"/>
        <v>Shivranjani</v>
      </c>
      <c r="DI138" s="301" t="str">
        <f t="shared" si="39"/>
        <v>Hemi.</v>
      </c>
      <c r="DJ138" s="364" t="str">
        <f t="shared" si="40"/>
        <v>-</v>
      </c>
      <c r="DK138" s="306" t="str">
        <f t="shared" si="41"/>
        <v>-</v>
      </c>
      <c r="DL138" s="366" t="str">
        <f t="shared" si="42"/>
        <v>✔</v>
      </c>
      <c r="DM138" s="308" t="str">
        <f t="shared" si="43"/>
        <v>-</v>
      </c>
      <c r="DN138" s="306" t="str">
        <f t="shared" si="44"/>
        <v>-</v>
      </c>
      <c r="DO138" s="306" t="str">
        <f t="shared" si="45"/>
        <v>-</v>
      </c>
      <c r="DP138" s="367" t="str">
        <f t="shared" si="46"/>
        <v>✔</v>
      </c>
      <c r="DQ138" s="310" t="str">
        <f t="shared" si="47"/>
        <v>-</v>
      </c>
      <c r="DR138" s="310" t="str">
        <f t="shared" si="48"/>
        <v>-</v>
      </c>
      <c r="DS138" s="310" t="str">
        <f t="shared" si="49"/>
        <v>-</v>
      </c>
      <c r="DT138" s="310" t="str">
        <f t="shared" si="50"/>
        <v>-</v>
      </c>
      <c r="DU138" s="370" t="str">
        <f t="shared" si="51"/>
        <v>-</v>
      </c>
      <c r="DV138" s="306" t="str">
        <f t="shared" si="52"/>
        <v>✔</v>
      </c>
      <c r="DW138" s="306" t="str">
        <f t="shared" si="53"/>
        <v>-</v>
      </c>
      <c r="DX138" s="306" t="str">
        <f t="shared" si="54"/>
        <v>-</v>
      </c>
      <c r="DY138" s="306" t="str">
        <f t="shared" si="55"/>
        <v>✔</v>
      </c>
      <c r="DZ138" s="306" t="str">
        <f t="shared" si="56"/>
        <v>-</v>
      </c>
      <c r="EA138" s="367" t="str">
        <f t="shared" si="57"/>
        <v>-</v>
      </c>
      <c r="EB138" s="310" t="str">
        <f>IFERROR(__xludf.DUMMYFUNCTION("IF(REGEXMATCH(AW138,AS138),""✔"",""-"")"),"-")</f>
        <v>-</v>
      </c>
      <c r="EC138" s="310" t="str">
        <f t="shared" si="58"/>
        <v>#REF!</v>
      </c>
      <c r="ED138" s="370" t="str">
        <f t="shared" si="59"/>
        <v>-</v>
      </c>
      <c r="EE138" s="340" t="str">
        <f t="shared" si="60"/>
        <v>S-G-M-D-N-S</v>
      </c>
      <c r="EF138" s="371" t="str">
        <f>IFERROR(__xludf.DUMMYFUNCTION("CONCATENATE(JOIN("""",HC138:HO138))"),"SrgMdS")</f>
        <v>SrgMdS</v>
      </c>
      <c r="EG138" s="372">
        <f t="shared" si="61"/>
        <v>2</v>
      </c>
      <c r="EH138" s="373" t="str">
        <f>IFERROR(__xludf.DUMMYFUNCTION("CONCATENATE(JOIN("""",JC138:JO138))"),"Sa, Ma, ")</f>
        <v>Sa, Ma, </v>
      </c>
      <c r="EI138" s="322">
        <f t="shared" si="62"/>
        <v>1</v>
      </c>
      <c r="EJ138" s="374" t="str">
        <f>IFERROR(__xludf.DUMMYFUNCTION("CONCATENATE(JOIN("""",KC138:KO138))"),"Sa, ")</f>
        <v>Sa, </v>
      </c>
      <c r="EK138" s="325" t="str">
        <f t="shared" si="63"/>
        <v>S-G3-M2-D2-N3-S</v>
      </c>
      <c r="EL138" s="326" t="str">
        <f t="shared" si="64"/>
        <v>1-3-#4-6-7-8</v>
      </c>
      <c r="EM138" s="318" t="str">
        <f t="shared" si="65"/>
        <v>#REF!</v>
      </c>
      <c r="EN138" s="328" t="str">
        <f>IFERROR(__xludf.DUMMYFUNCTION("SUBSTITUTE(SUBSTITUTE(SUBSTITUTE(SUBSTITUTE(CONCATENATE(JOIN("" "",HP138:IB138)),""  "","" ""),""  "","" ""),""  "","" ""),""  "","" "")"),"o • • • o • o • • o • o o")</f>
        <v>o • • • o • o • • o • o o</v>
      </c>
      <c r="EO138" s="368" t="str">
        <f t="shared" si="66"/>
        <v>Sa-Pa</v>
      </c>
      <c r="EP138" s="339" t="str">
        <f t="shared" si="67"/>
        <v>Sa-Pa</v>
      </c>
      <c r="EQ138" s="339" t="str">
        <f t="shared" si="68"/>
        <v>-</v>
      </c>
      <c r="ER138" s="339" t="str">
        <f t="shared" si="69"/>
        <v>-</v>
      </c>
      <c r="ES138" s="340" t="str">
        <f t="shared" si="70"/>
        <v>-</v>
      </c>
      <c r="ET138" s="363"/>
      <c r="EU138" s="376" t="b">
        <f>IFERROR(__xludf.DUMMYFUNCTION("arrayformula(sum(--REGEXMATCH(""SRGMPDNS"",split(REGEXREPLACE(C138,""(.)"",""$1~""),""~""))))=len(C138)
"),TRUE)</f>
        <v>1</v>
      </c>
      <c r="EV138" s="290" t="b">
        <f>IFERROR(__xludf.DUMMYFUNCTION("arrayformula(sum(--REGEXMATCH(""SRGmPDNS"",split(REGEXREPLACE(C138,""(.)"",""$1~""),""~""))))=len(C138)"),FALSE)</f>
        <v>0</v>
      </c>
      <c r="EW138" s="290" t="b">
        <f>IFERROR(__xludf.DUMMYFUNCTION("arrayformula(sum(--REGEXMATCH(""SRGmPDnS"",split(REGEXREPLACE(C138,""(.)"",""$1~""),""~""))))=len(C138)"),FALSE)</f>
        <v>0</v>
      </c>
      <c r="EX138" s="290" t="b">
        <f>IFERROR(__xludf.DUMMYFUNCTION("arrayformula(sum(--REGEXMATCH(""SRgmPDnS"",split(REGEXREPLACE(C138,""(.)"",""$1~""),""~""))))=len(C138)"),FALSE)</f>
        <v>0</v>
      </c>
      <c r="EY138" s="290" t="b">
        <f>IFERROR(__xludf.DUMMYFUNCTION("arrayformula(sum(--REGEXMATCH(""SRgmPdnS"",split(REGEXREPLACE(C138,""(.)"",""$1~""),""~""))))=len(C138)"),FALSE)</f>
        <v>0</v>
      </c>
      <c r="EZ138" s="290" t="b">
        <f>IFERROR(__xludf.DUMMYFUNCTION("arrayformula(sum(--REGEXMATCH(""SrgmPdnS"",split(REGEXREPLACE(C138,""(.)"",""$1~""),""~""))))=len(C138)"),FALSE)</f>
        <v>0</v>
      </c>
      <c r="FA138" s="290" t="b">
        <f>IFERROR(__xludf.DUMMYFUNCTION("arrayformula(sum(--REGEXMATCH(""SrGmPdNS"",split(REGEXREPLACE(C138,""(.)"",""$1~""),""~""))))=len(C138)"),FALSE)</f>
        <v>0</v>
      </c>
      <c r="FB138" s="290" t="b">
        <f>IFERROR(__xludf.DUMMYFUNCTION("arrayformula(sum(--REGEXMATCH(""SrGMPDNS"",split(REGEXREPLACE(C138,""(.)"",""$1~""),""~""))))=len(C138)"),TRUE)</f>
        <v>1</v>
      </c>
      <c r="FC138" s="290" t="b">
        <f>IFERROR(__xludf.DUMMYFUNCTION("arrayformula(sum(--REGEXMATCH(""SrGMPdNS"",split(REGEXREPLACE(C138,""(.)"",""$1~""),""~""))))=len(C138)"),FALSE)</f>
        <v>0</v>
      </c>
      <c r="FD138" s="377" t="b">
        <f>IFERROR(__xludf.DUMMYFUNCTION("arrayformula(sum(--REGEXMATCH(""SrgMPdNS"",split(REGEXREPLACE(C138,""(.)"",""$1~""),""~""))))=len(C138)"),FALSE)</f>
        <v>0</v>
      </c>
      <c r="FE138" s="269" t="str">
        <f t="shared" si="71"/>
        <v>-</v>
      </c>
      <c r="FF138" s="269" t="str">
        <f t="shared" si="72"/>
        <v>-</v>
      </c>
      <c r="FG138" s="271" t="str">
        <f t="shared" si="73"/>
        <v>-</v>
      </c>
      <c r="FH138" s="269" t="str">
        <f t="shared" si="74"/>
        <v>xoxooxoxxoo</v>
      </c>
      <c r="FI138" s="271" t="str">
        <f t="shared" si="75"/>
        <v>-</v>
      </c>
      <c r="FJ138" s="271" t="str">
        <f t="shared" si="76"/>
        <v>xooxoxxooox</v>
      </c>
      <c r="FK138" s="271" t="str">
        <f t="shared" si="77"/>
        <v>-</v>
      </c>
      <c r="FL138" s="271" t="str">
        <f t="shared" si="78"/>
        <v>-</v>
      </c>
      <c r="FM138" s="271" t="str">
        <f t="shared" si="79"/>
        <v>xoxxoooxoxo</v>
      </c>
      <c r="FN138" s="271" t="str">
        <f t="shared" si="80"/>
        <v>-</v>
      </c>
      <c r="FO138" s="274" t="str">
        <f t="shared" si="81"/>
        <v>xxoooxoxoox</v>
      </c>
      <c r="FP138" s="234" t="str">
        <f t="shared" si="82"/>
        <v>|</v>
      </c>
      <c r="FQ138" s="236" t="str">
        <f t="shared" si="83"/>
        <v>-</v>
      </c>
      <c r="FR138" s="237" t="str">
        <f t="shared" si="84"/>
        <v>-</v>
      </c>
      <c r="FS138" s="236" t="str">
        <f t="shared" si="85"/>
        <v>-</v>
      </c>
      <c r="FT138" s="237" t="str">
        <f t="shared" si="86"/>
        <v>|</v>
      </c>
      <c r="FU138" s="236" t="str">
        <f t="shared" si="87"/>
        <v>-</v>
      </c>
      <c r="FV138" s="237" t="str">
        <f t="shared" si="88"/>
        <v>|</v>
      </c>
      <c r="FW138" s="236" t="str">
        <f t="shared" si="89"/>
        <v>-</v>
      </c>
      <c r="FX138" s="237" t="str">
        <f t="shared" si="90"/>
        <v>-</v>
      </c>
      <c r="FY138" s="236" t="str">
        <f t="shared" si="91"/>
        <v>|</v>
      </c>
      <c r="FZ138" s="237" t="str">
        <f t="shared" si="92"/>
        <v>-</v>
      </c>
      <c r="GA138" s="236" t="str">
        <f t="shared" si="93"/>
        <v>|</v>
      </c>
      <c r="GB138" s="238" t="str">
        <f t="shared" si="94"/>
        <v>|</v>
      </c>
      <c r="GC138" s="244" t="str">
        <f>IFERROR(__xludf.DUMMYFUNCTION("IF(REGEXMATCH(C138, ""S""), ""1"","""")"),"1")</f>
        <v>1</v>
      </c>
      <c r="GD138" s="245" t="str">
        <f>IFERROR(__xludf.DUMMYFUNCTION("IF(REGEXMATCH(C138, ""r""), ""b2"","""")"),"")</f>
        <v/>
      </c>
      <c r="GE138" s="246" t="str">
        <f>IFERROR(__xludf.DUMMYFUNCTION("IF(REGEXMATCH(C138, ""R""), ""2"","""")"),"")</f>
        <v/>
      </c>
      <c r="GF138" s="246" t="str">
        <f>IFERROR(__xludf.DUMMYFUNCTION("IF(REGEXMATCH(C138, ""g""), ""b3"","""")"),"")</f>
        <v/>
      </c>
      <c r="GG138" s="245" t="str">
        <f>IFERROR(__xludf.DUMMYFUNCTION("IF(REGEXMATCH(C138, ""G""), ""3"","""")"),"3")</f>
        <v>3</v>
      </c>
      <c r="GH138" s="245" t="str">
        <f>IFERROR(__xludf.DUMMYFUNCTION("IF(REGEXMATCH(C138, ""m""), ""4"","""")"),"")</f>
        <v/>
      </c>
      <c r="GI138" s="246" t="str">
        <f>IFERROR(__xludf.DUMMYFUNCTION("IF(REGEXMATCH(C138, ""M""), ""#4"","""")"),"#4")</f>
        <v>#4</v>
      </c>
      <c r="GJ138" s="245" t="str">
        <f>IFERROR(__xludf.DUMMYFUNCTION("IF(REGEXMATCH(C138, ""P""), ""5"","""")"),"")</f>
        <v/>
      </c>
      <c r="GK138" s="246" t="str">
        <f>IFERROR(__xludf.DUMMYFUNCTION("IF(REGEXMATCH(C138, ""d""), ""b6"","""")"),"")</f>
        <v/>
      </c>
      <c r="GL138" s="245" t="str">
        <f>IFERROR(__xludf.DUMMYFUNCTION("IF(REGEXMATCH(C138, ""D""), ""6"","""")"),"6")</f>
        <v>6</v>
      </c>
      <c r="GM138" s="245" t="str">
        <f>IFERROR(__xludf.DUMMYFUNCTION("IF(REGEXMATCH(C138, ""n""), ""b7"","""")"),"")</f>
        <v/>
      </c>
      <c r="GN138" s="246" t="str">
        <f>IFERROR(__xludf.DUMMYFUNCTION("IF(REGEXMATCH(C138, ""N""), ""7"","""")"),"7")</f>
        <v>7</v>
      </c>
      <c r="GO138" s="249" t="str">
        <f>IFERROR(__xludf.DUMMYFUNCTION("IF(REGEXMATCH(C138, ""S""), ""8"","""")"),"8")</f>
        <v>8</v>
      </c>
      <c r="GP138" s="244" t="str">
        <f>IFERROR(__xludf.DUMMYFUNCTION("IF(REGEXMATCH(C138, ""S""), ""S"","""")"),"S")</f>
        <v>S</v>
      </c>
      <c r="GQ138" s="294" t="str">
        <f>IFERROR(__xludf.DUMMYFUNCTION("IF(REGEXMATCH(C138, ""r""), ""R1"","""")"),"")</f>
        <v/>
      </c>
      <c r="GR138" s="295" t="str">
        <f>IFERROR(__xludf.DUMMYFUNCTION("IF(REGEXMATCH(C138, ""R""), ""R2"","""")"),"")</f>
        <v/>
      </c>
      <c r="GS138" s="295" t="str">
        <f>IFERROR(__xludf.DUMMYFUNCTION("IF(REGEXMATCH(C138, ""g""), ""G2"","""")"),"")</f>
        <v/>
      </c>
      <c r="GT138" s="294" t="str">
        <f>IFERROR(__xludf.DUMMYFUNCTION("IF(REGEXMATCH(C138, ""G""), ""G3"","""")"),"G3")</f>
        <v>G3</v>
      </c>
      <c r="GU138" s="294" t="str">
        <f>IFERROR(__xludf.DUMMYFUNCTION("IF(REGEXMATCH(C138, ""m""), ""M1"","""")"),"")</f>
        <v/>
      </c>
      <c r="GV138" s="295" t="str">
        <f>IFERROR(__xludf.DUMMYFUNCTION("IF(REGEXMATCH(C138, ""M""), ""M2"","""")"),"M2")</f>
        <v>M2</v>
      </c>
      <c r="GW138" s="294" t="str">
        <f>IFERROR(__xludf.DUMMYFUNCTION("IF(REGEXMATCH(C138, ""P""), ""P"","""")"),"")</f>
        <v/>
      </c>
      <c r="GX138" s="295" t="str">
        <f>IFERROR(__xludf.DUMMYFUNCTION("IF(REGEXMATCH(C138, ""d""), ""D1"","""")"),"")</f>
        <v/>
      </c>
      <c r="GY138" s="294" t="str">
        <f>IFERROR(__xludf.DUMMYFUNCTION("IF(REGEXMATCH(C138, ""D""), ""D2"","""")"),"D2")</f>
        <v>D2</v>
      </c>
      <c r="GZ138" s="294" t="str">
        <f>IFERROR(__xludf.DUMMYFUNCTION("IF(REGEXMATCH(C138, ""n""), ""N2"","""")"),"")</f>
        <v/>
      </c>
      <c r="HA138" s="295" t="str">
        <f>IFERROR(__xludf.DUMMYFUNCTION("IF(REGEXMATCH(C138, ""N""), ""N3"","""")"),"N3")</f>
        <v>N3</v>
      </c>
      <c r="HB138" s="249" t="str">
        <f>IFERROR(__xludf.DUMMYFUNCTION("IF(REGEXMATCH(C138, ""S""), ""S"","""")"),"S")</f>
        <v>S</v>
      </c>
      <c r="HC138" s="331" t="str">
        <f t="shared" si="95"/>
        <v>S</v>
      </c>
      <c r="HD138" s="332" t="str">
        <f t="shared" si="96"/>
        <v>r</v>
      </c>
      <c r="HE138" s="332" t="str">
        <f t="shared" si="97"/>
        <v/>
      </c>
      <c r="HF138" s="332" t="str">
        <f t="shared" si="98"/>
        <v>g</v>
      </c>
      <c r="HG138" s="332" t="str">
        <f t="shared" si="99"/>
        <v/>
      </c>
      <c r="HH138" s="332" t="str">
        <f t="shared" si="100"/>
        <v/>
      </c>
      <c r="HI138" s="332" t="str">
        <f t="shared" si="101"/>
        <v>M</v>
      </c>
      <c r="HJ138" s="332" t="str">
        <f t="shared" si="102"/>
        <v/>
      </c>
      <c r="HK138" s="332" t="str">
        <f t="shared" si="103"/>
        <v>d</v>
      </c>
      <c r="HL138" s="332" t="str">
        <f t="shared" si="104"/>
        <v/>
      </c>
      <c r="HM138" s="332" t="str">
        <f t="shared" si="105"/>
        <v/>
      </c>
      <c r="HN138" s="332" t="str">
        <f t="shared" si="106"/>
        <v/>
      </c>
      <c r="HO138" s="343" t="str">
        <f t="shared" si="107"/>
        <v>S</v>
      </c>
      <c r="HP138" s="331" t="str">
        <f t="shared" si="108"/>
        <v>o</v>
      </c>
      <c r="HQ138" s="332" t="str">
        <f t="shared" si="109"/>
        <v>•</v>
      </c>
      <c r="HR138" s="332" t="str">
        <f t="shared" si="110"/>
        <v>•</v>
      </c>
      <c r="HS138" s="332" t="str">
        <f t="shared" si="111"/>
        <v>•</v>
      </c>
      <c r="HT138" s="332" t="str">
        <f t="shared" si="112"/>
        <v>o</v>
      </c>
      <c r="HU138" s="332" t="str">
        <f t="shared" si="113"/>
        <v>•</v>
      </c>
      <c r="HV138" s="332" t="str">
        <f t="shared" si="114"/>
        <v>o</v>
      </c>
      <c r="HW138" s="332" t="str">
        <f t="shared" si="115"/>
        <v>•</v>
      </c>
      <c r="HX138" s="332" t="str">
        <f t="shared" si="116"/>
        <v>•</v>
      </c>
      <c r="HY138" s="332" t="str">
        <f t="shared" si="117"/>
        <v>o</v>
      </c>
      <c r="HZ138" s="332" t="str">
        <f t="shared" si="118"/>
        <v>•</v>
      </c>
      <c r="IA138" s="332" t="str">
        <f t="shared" si="119"/>
        <v>o</v>
      </c>
      <c r="IB138" s="338" t="str">
        <f t="shared" si="120"/>
        <v>o</v>
      </c>
      <c r="IC138" s="331" t="str">
        <f t="shared" si="121"/>
        <v>•</v>
      </c>
      <c r="ID138" s="332" t="str">
        <f t="shared" si="122"/>
        <v>o</v>
      </c>
      <c r="IE138" s="332" t="str">
        <f t="shared" si="123"/>
        <v>o</v>
      </c>
      <c r="IF138" s="332" t="str">
        <f t="shared" si="124"/>
        <v>o</v>
      </c>
      <c r="IG138" s="332" t="str">
        <f t="shared" si="125"/>
        <v>•</v>
      </c>
      <c r="IH138" s="332" t="str">
        <f t="shared" si="126"/>
        <v>o</v>
      </c>
      <c r="II138" s="332" t="str">
        <f t="shared" si="127"/>
        <v>•</v>
      </c>
      <c r="IJ138" s="332" t="str">
        <f t="shared" si="128"/>
        <v>o</v>
      </c>
      <c r="IK138" s="332" t="str">
        <f t="shared" si="129"/>
        <v>o</v>
      </c>
      <c r="IL138" s="332" t="str">
        <f t="shared" si="130"/>
        <v>•</v>
      </c>
      <c r="IM138" s="332" t="str">
        <f t="shared" si="131"/>
        <v>o</v>
      </c>
      <c r="IN138" s="332" t="str">
        <f t="shared" si="132"/>
        <v>•</v>
      </c>
      <c r="IO138" s="338" t="str">
        <f t="shared" si="133"/>
        <v>•</v>
      </c>
      <c r="IP138" s="346" t="b">
        <f t="shared" si="134"/>
        <v>1</v>
      </c>
      <c r="IQ138" s="347" t="b">
        <f t="shared" si="135"/>
        <v>0</v>
      </c>
      <c r="IR138" s="347" t="b">
        <f t="shared" si="136"/>
        <v>0</v>
      </c>
      <c r="IS138" s="347" t="b">
        <f t="shared" si="137"/>
        <v>0</v>
      </c>
      <c r="IT138" s="347" t="b">
        <f t="shared" si="138"/>
        <v>0</v>
      </c>
      <c r="IU138" s="347" t="b">
        <f t="shared" si="139"/>
        <v>0</v>
      </c>
      <c r="IV138" s="347" t="b">
        <f t="shared" si="140"/>
        <v>1</v>
      </c>
      <c r="IW138" s="347" t="b">
        <f t="shared" si="141"/>
        <v>0</v>
      </c>
      <c r="IX138" s="347" t="b">
        <f t="shared" si="142"/>
        <v>0</v>
      </c>
      <c r="IY138" s="347" t="b">
        <f t="shared" si="143"/>
        <v>0</v>
      </c>
      <c r="IZ138" s="347" t="b">
        <f t="shared" si="144"/>
        <v>0</v>
      </c>
      <c r="JA138" s="347" t="b">
        <f t="shared" si="145"/>
        <v>0</v>
      </c>
      <c r="JB138" s="353" t="b">
        <f t="shared" si="146"/>
        <v>1</v>
      </c>
      <c r="JC138" s="354" t="str">
        <f t="shared" si="147"/>
        <v>Sa, </v>
      </c>
      <c r="JD138" s="355" t="str">
        <f t="shared" si="148"/>
        <v/>
      </c>
      <c r="JE138" s="355" t="str">
        <f t="shared" si="149"/>
        <v/>
      </c>
      <c r="JF138" s="355" t="str">
        <f t="shared" si="150"/>
        <v/>
      </c>
      <c r="JG138" s="355" t="str">
        <f t="shared" si="151"/>
        <v/>
      </c>
      <c r="JH138" s="355" t="str">
        <f t="shared" si="152"/>
        <v/>
      </c>
      <c r="JI138" s="355" t="str">
        <f t="shared" si="153"/>
        <v>Ma, </v>
      </c>
      <c r="JJ138" s="355" t="str">
        <f t="shared" si="154"/>
        <v/>
      </c>
      <c r="JK138" s="355" t="str">
        <f t="shared" si="155"/>
        <v/>
      </c>
      <c r="JL138" s="355" t="str">
        <f t="shared" si="156"/>
        <v/>
      </c>
      <c r="JM138" s="355" t="str">
        <f t="shared" si="157"/>
        <v/>
      </c>
      <c r="JN138" s="355" t="str">
        <f t="shared" si="158"/>
        <v/>
      </c>
      <c r="JO138" s="359" t="str">
        <f t="shared" si="159"/>
        <v/>
      </c>
      <c r="JP138" s="346" t="b">
        <f t="shared" si="160"/>
        <v>1</v>
      </c>
      <c r="JQ138" s="347" t="b">
        <f t="shared" si="161"/>
        <v>0</v>
      </c>
      <c r="JR138" s="347" t="b">
        <f t="shared" si="162"/>
        <v>0</v>
      </c>
      <c r="JS138" s="347" t="b">
        <f t="shared" si="163"/>
        <v>0</v>
      </c>
      <c r="JT138" s="347" t="b">
        <f t="shared" si="164"/>
        <v>0</v>
      </c>
      <c r="JU138" s="347" t="b">
        <f t="shared" si="165"/>
        <v>0</v>
      </c>
      <c r="JV138" s="347" t="b">
        <f t="shared" si="166"/>
        <v>0</v>
      </c>
      <c r="JW138" s="347" t="b">
        <f t="shared" si="167"/>
        <v>0</v>
      </c>
      <c r="JX138" s="347" t="b">
        <f t="shared" si="168"/>
        <v>0</v>
      </c>
      <c r="JY138" s="347" t="b">
        <f t="shared" si="169"/>
        <v>0</v>
      </c>
      <c r="JZ138" s="347" t="b">
        <f t="shared" si="170"/>
        <v>0</v>
      </c>
      <c r="KA138" s="347" t="b">
        <f t="shared" si="171"/>
        <v>0</v>
      </c>
      <c r="KB138" s="365" t="b">
        <f t="shared" si="172"/>
        <v>1</v>
      </c>
      <c r="KC138" s="354" t="str">
        <f t="shared" si="173"/>
        <v>Sa, </v>
      </c>
      <c r="KD138" s="355" t="str">
        <f t="shared" si="174"/>
        <v/>
      </c>
      <c r="KE138" s="355" t="str">
        <f t="shared" si="175"/>
        <v/>
      </c>
      <c r="KF138" s="355" t="str">
        <f t="shared" si="176"/>
        <v/>
      </c>
      <c r="KG138" s="355" t="str">
        <f t="shared" si="177"/>
        <v/>
      </c>
      <c r="KH138" s="355" t="str">
        <f t="shared" si="178"/>
        <v/>
      </c>
      <c r="KI138" s="355" t="str">
        <f t="shared" si="179"/>
        <v/>
      </c>
      <c r="KJ138" s="355" t="str">
        <f t="shared" si="180"/>
        <v/>
      </c>
      <c r="KK138" s="355" t="str">
        <f t="shared" si="181"/>
        <v/>
      </c>
      <c r="KL138" s="355" t="str">
        <f t="shared" si="182"/>
        <v/>
      </c>
      <c r="KM138" s="355" t="str">
        <f t="shared" si="183"/>
        <v/>
      </c>
      <c r="KN138" s="355" t="str">
        <f t="shared" si="184"/>
        <v/>
      </c>
      <c r="KO138" s="359"/>
      <c r="KP138" s="378"/>
      <c r="KQ138" s="379" t="s">
        <v>794</v>
      </c>
      <c r="KR138" s="380" t="s">
        <v>1404</v>
      </c>
      <c r="KS138" s="381" t="str">
        <f t="shared" si="482"/>
        <v>S-G-M-D-N-S</v>
      </c>
      <c r="KT138" s="382">
        <f t="shared" si="186"/>
        <v>5</v>
      </c>
      <c r="KU138" s="383">
        <f t="shared" si="187"/>
        <v>5</v>
      </c>
      <c r="KV138" s="381" t="str">
        <f t="shared" si="205"/>
        <v>S-N-D-M-G-S</v>
      </c>
      <c r="KW138" s="382">
        <f t="shared" si="189"/>
        <v>5</v>
      </c>
      <c r="KX138" s="384">
        <f t="shared" si="190"/>
        <v>5</v>
      </c>
      <c r="KY138" s="382">
        <f t="shared" ref="KY138:KZ138" si="483">KW138-KT138</f>
        <v>0</v>
      </c>
      <c r="KZ138" s="369">
        <f t="shared" si="483"/>
        <v>0</v>
      </c>
      <c r="LA138" s="385" t="str">
        <f t="shared" si="192"/>
        <v>✔</v>
      </c>
      <c r="LB138" s="340" t="str">
        <f>IFERROR(__xludf.DUMMYFUNCTION("JOIN("""",ArrayFormula(MID(KS138,LEN(KS138)-SEQUENCE(1,LEN(KS138))+1,1)))"),"S-N-D-M-G-S")</f>
        <v>S-N-D-M-G-S</v>
      </c>
      <c r="LC138" s="373" t="str">
        <f>IFERROR(__xludf.DUMMYFUNCTION("JOIN("""",ArrayFormula(MID(KV138,LEN(KV138)-SEQUENCE(1,LEN(KV138))+1,1)))"),"S-G-M-D-N-S")</f>
        <v>S-G-M-D-N-S</v>
      </c>
      <c r="LD138" s="373" t="str">
        <f t="shared" si="193"/>
        <v>SGMDNS</v>
      </c>
      <c r="LE138" s="339" t="str">
        <f t="shared" si="194"/>
        <v>SGMDNS</v>
      </c>
      <c r="LF138" s="386" t="str">
        <f>IFERROR(__xludf.DUMMYFUNCTION("SUBSTITUTE(SUBSTITUTE(CONCATENATE(JOIN("""",LH138:LT138)),""1"",""""),""2"","""")"),"SGMDNS")</f>
        <v>SGMDNS</v>
      </c>
      <c r="LG138" s="369" t="str">
        <f t="shared" si="195"/>
        <v>✔</v>
      </c>
      <c r="LH138" s="387" t="str">
        <f>IFERROR(__xludf.DUMMYFUNCTION("IF(REGEXMATCH(LD138, ""S""), ""S"",IF(REGEXMATCH(LE138, ""S""), ""S"",""""))"),"S")</f>
        <v>S</v>
      </c>
      <c r="LI138" s="299" t="str">
        <f>IFERROR(__xludf.DUMMYFUNCTION("IF(REGEXMATCH(LD138, ""r""), ""r1"",IF(REGEXMATCH(LE138, ""r""), ""r2"",""""))"),"")</f>
        <v/>
      </c>
      <c r="LJ138" s="299" t="str">
        <f>IFERROR(__xludf.DUMMYFUNCTION("IF(REGEXMATCH(LD138, ""R""), ""R1"",IF(REGEXMATCH(LE138, ""R""), ""R2"",""""))"),"")</f>
        <v/>
      </c>
      <c r="LK138" s="299" t="str">
        <f>IFERROR(__xludf.DUMMYFUNCTION("IF(REGEXMATCH(LD138, ""g""), ""g1"",IF(REGEXMATCH(LE138, ""g""), ""g2"",""""))"),"")</f>
        <v/>
      </c>
      <c r="LL138" s="299" t="str">
        <f>IFERROR(__xludf.DUMMYFUNCTION("IF(REGEXMATCH(LD138, ""G""), ""G1"",IF(REGEXMATCH(LE138, ""G""), ""G2"",""""))"),"G1")</f>
        <v>G1</v>
      </c>
      <c r="LM138" s="299" t="str">
        <f>IFERROR(__xludf.DUMMYFUNCTION("IF(REGEXMATCH(LD138, ""m""), ""m1"",IF(REGEXMATCH(LE138, ""m""), ""m2"",""""))"),"")</f>
        <v/>
      </c>
      <c r="LN138" s="299" t="str">
        <f>IFERROR(__xludf.DUMMYFUNCTION("IF(REGEXMATCH(LD138, ""M""), ""M1"",IF(REGEXMATCH(LE138, ""M""), ""M2"",""""))"),"M1")</f>
        <v>M1</v>
      </c>
      <c r="LO138" s="299" t="str">
        <f>IFERROR(__xludf.DUMMYFUNCTION("IF(REGEXMATCH(LD138, ""P""), ""P1"",IF(REGEXMATCH(LE138, ""P""), ""P2"",""""))"),"")</f>
        <v/>
      </c>
      <c r="LP138" s="299" t="str">
        <f>IFERROR(__xludf.DUMMYFUNCTION("IF(REGEXMATCH(LD138, ""d""), ""d1"",IF(REGEXMATCH(LE138, ""d""), ""d2"",""""))"),"")</f>
        <v/>
      </c>
      <c r="LQ138" s="299" t="str">
        <f>IFERROR(__xludf.DUMMYFUNCTION("IF(REGEXMATCH(LD138, ""D""), ""D1"",IF(REGEXMATCH(LE138, ""D""), ""D2"",""""))"),"D1")</f>
        <v>D1</v>
      </c>
      <c r="LR138" s="299" t="str">
        <f>IFERROR(__xludf.DUMMYFUNCTION("IF(REGEXMATCH(LD138, ""n""), ""n1"",IF(REGEXMATCH(LE138, ""n""), ""n2"",""""))"),"")</f>
        <v/>
      </c>
      <c r="LS138" s="299" t="str">
        <f>IFERROR(__xludf.DUMMYFUNCTION("IF(REGEXMATCH(LD138, ""N""), ""N1"",IF(REGEXMATCH(LE138, ""N""), ""N2"",""""))"),"N1")</f>
        <v>N1</v>
      </c>
      <c r="LT138" s="388" t="str">
        <f>IFERROR(__xludf.DUMMYFUNCTION("IF(REGEXMATCH(LD138, ""S""), ""S"",IF(REGEXMATCH(LE138, ""S""), ""S"",""""))"),"S")</f>
        <v>S</v>
      </c>
      <c r="LU138" s="389">
        <f t="shared" si="196"/>
        <v>1</v>
      </c>
      <c r="LV138" s="378"/>
      <c r="LW138" s="369"/>
      <c r="LX138" s="369"/>
    </row>
    <row r="139" ht="18.0" customHeight="1">
      <c r="A139" s="298" t="s">
        <v>796</v>
      </c>
      <c r="B139" s="222" t="s">
        <v>797</v>
      </c>
      <c r="C139" s="233" t="str">
        <f t="shared" si="7"/>
        <v>SGmMPDNS</v>
      </c>
      <c r="D139" s="234" t="str">
        <f>IFERROR(__xludf.DUMMYFUNCTION("IF(REGEXMATCH(C139, ""S""), ""S"","""")"),"S")</f>
        <v>S</v>
      </c>
      <c r="E139" s="236" t="str">
        <f>IFERROR(__xludf.DUMMYFUNCTION("IF(REGEXMATCH(C139, ""r""), ""r"","""")"),"")</f>
        <v/>
      </c>
      <c r="F139" s="237" t="str">
        <f>IFERROR(__xludf.DUMMYFUNCTION("IF(REGEXMATCH(C139, ""R""), ""R"","""")"),"")</f>
        <v/>
      </c>
      <c r="G139" s="237" t="str">
        <f>IFERROR(__xludf.DUMMYFUNCTION("IF(REGEXMATCH(C139, ""g""), ""g"","""")"),"")</f>
        <v/>
      </c>
      <c r="H139" s="236" t="str">
        <f>IFERROR(__xludf.DUMMYFUNCTION("IF(REGEXMATCH(C139, ""G""), ""G"","""")"),"G")</f>
        <v>G</v>
      </c>
      <c r="I139" s="236" t="str">
        <f>IFERROR(__xludf.DUMMYFUNCTION("IF(REGEXMATCH(C139, ""m""), ""m"","""")"),"m")</f>
        <v>m</v>
      </c>
      <c r="J139" s="237" t="str">
        <f>IFERROR(__xludf.DUMMYFUNCTION("IF(REGEXMATCH(C139, ""M""), ""M"","""")"),"M")</f>
        <v>M</v>
      </c>
      <c r="K139" s="236" t="str">
        <f>IFERROR(__xludf.DUMMYFUNCTION("IF(REGEXMATCH(C139, ""P""), ""P"","""")"),"P")</f>
        <v>P</v>
      </c>
      <c r="L139" s="237" t="str">
        <f>IFERROR(__xludf.DUMMYFUNCTION("IF(REGEXMATCH(C139, ""d""), ""d"","""")"),"")</f>
        <v/>
      </c>
      <c r="M139" s="236" t="str">
        <f>IFERROR(__xludf.DUMMYFUNCTION("IF(REGEXMATCH(C139, ""D""), ""D"","""")"),"D")</f>
        <v>D</v>
      </c>
      <c r="N139" s="236" t="str">
        <f>IFERROR(__xludf.DUMMYFUNCTION("IF(REGEXMATCH(C139, ""n""), ""n"","""")"),"")</f>
        <v/>
      </c>
      <c r="O139" s="237" t="str">
        <f>IFERROR(__xludf.DUMMYFUNCTION("IF(REGEXMATCH(C139, ""N""), ""N"","""")"),"N")</f>
        <v>N</v>
      </c>
      <c r="P139" s="238" t="str">
        <f>IFERROR(__xludf.DUMMYFUNCTION("IF(REGEXMATCH(C139, ""S""), ""S"","""")"),"S")</f>
        <v>S</v>
      </c>
      <c r="Q139" s="239" t="str">
        <f>IFERROR(__xludf.DUMMYFUNCTION("SUBSTITUTE(CONCATENATE(JOIN(""-"",D139:J139)),""-"","""")"),"SGmM")</f>
        <v>SGmM</v>
      </c>
      <c r="R139" s="229" t="str">
        <f>IFERROR(__xludf.DUMMYFUNCTION("SUBSTITUTE(CONCATENATE(JOIN(""-"",K139:P139)),""-"","""")"),"PDNS")</f>
        <v>PDNS</v>
      </c>
      <c r="S139" s="282" t="str">
        <f t="shared" si="8"/>
        <v>S-G-M</v>
      </c>
      <c r="T139" s="282" t="str">
        <f t="shared" si="9"/>
        <v>P-D-N-S</v>
      </c>
      <c r="U139" s="237" t="str">
        <f>IFERROR(__xludf.DUMMYFUNCTION("SUBSTITUTE(JOIN(""-"",S139,T139),""--"",""-"")"),"S-G-M-P-D-N-S")</f>
        <v>S-G-M-P-D-N-S</v>
      </c>
      <c r="V139" s="309" t="str">
        <f t="shared" si="10"/>
        <v>GmMDN</v>
      </c>
      <c r="W139" s="244" t="str">
        <f>IFERROR(__xludf.DUMMYFUNCTION("IF(REGEXMATCH(C139, ""S""), ""0"","""")"),"0")</f>
        <v>0</v>
      </c>
      <c r="X139" s="245" t="str">
        <f>IFERROR(__xludf.DUMMYFUNCTION("IF(REGEXMATCH(C139, ""r""), ""1"","""")"),"")</f>
        <v/>
      </c>
      <c r="Y139" s="246" t="str">
        <f>IFERROR(__xludf.DUMMYFUNCTION("IF(REGEXMATCH(C139, ""R""), ""2"","""")"),"")</f>
        <v/>
      </c>
      <c r="Z139" s="246" t="str">
        <f>IFERROR(__xludf.DUMMYFUNCTION("IF(REGEXMATCH(C139, ""g""), ""3"","""")"),"")</f>
        <v/>
      </c>
      <c r="AA139" s="245" t="str">
        <f>IFERROR(__xludf.DUMMYFUNCTION("IF(REGEXMATCH(C139, ""G""), ""4"","""")"),"4")</f>
        <v>4</v>
      </c>
      <c r="AB139" s="245" t="str">
        <f>IFERROR(__xludf.DUMMYFUNCTION("IF(REGEXMATCH(C139, ""m""), ""5"","""")"),"5")</f>
        <v>5</v>
      </c>
      <c r="AC139" s="246" t="str">
        <f>IFERROR(__xludf.DUMMYFUNCTION("IF(REGEXMATCH(C139, ""M""), ""6"","""")"),"6")</f>
        <v>6</v>
      </c>
      <c r="AD139" s="245" t="str">
        <f>IFERROR(__xludf.DUMMYFUNCTION("IF(REGEXMATCH(C139, ""P""), ""7"","""")"),"7")</f>
        <v>7</v>
      </c>
      <c r="AE139" s="246" t="str">
        <f>IFERROR(__xludf.DUMMYFUNCTION("IF(REGEXMATCH(C139, ""d""), ""8"","""")"),"")</f>
        <v/>
      </c>
      <c r="AF139" s="245" t="str">
        <f>IFERROR(__xludf.DUMMYFUNCTION("IF(REGEXMATCH(C139, ""D""), ""9"","""")"),"9")</f>
        <v>9</v>
      </c>
      <c r="AG139" s="245" t="str">
        <f>IFERROR(__xludf.DUMMYFUNCTION("IF(REGEXMATCH(C139, ""n""), ""10"","""")"),"")</f>
        <v/>
      </c>
      <c r="AH139" s="246" t="str">
        <f>IFERROR(__xludf.DUMMYFUNCTION("IF(REGEXMATCH(C139, ""N""), ""11"","""")"),"11")</f>
        <v>11</v>
      </c>
      <c r="AI139" s="249" t="str">
        <f>IFERROR(__xludf.DUMMYFUNCTION("IF(REGEXMATCH(C139, ""S""), ""0"","""")"),"0")</f>
        <v>0</v>
      </c>
      <c r="AJ139" s="313" t="str">
        <f t="shared" si="11"/>
        <v>T</v>
      </c>
      <c r="AK139" s="313" t="str">
        <f t="shared" si="12"/>
        <v>-</v>
      </c>
      <c r="AL139" s="313" t="str">
        <f t="shared" si="13"/>
        <v>-</v>
      </c>
      <c r="AM139" s="313" t="str">
        <f t="shared" si="14"/>
        <v>-</v>
      </c>
      <c r="AN139" s="313" t="str">
        <f t="shared" si="15"/>
        <v>-</v>
      </c>
      <c r="AO139" s="314" t="str">
        <f t="shared" si="16"/>
        <v>T</v>
      </c>
      <c r="AP139" s="316">
        <f t="shared" si="17"/>
        <v>2</v>
      </c>
      <c r="AQ139" s="319" t="str">
        <f t="shared" si="18"/>
        <v>-</v>
      </c>
      <c r="AR139" s="320">
        <f t="shared" si="19"/>
        <v>0</v>
      </c>
      <c r="AS139" s="250" t="str">
        <f>IFERROR(__xludf.DUMMYFUNCTION("SUBSTITUTE(SUBSTITUTE(CONCATENATE(JOIN("""",FP139:GA139)),""|"",""x""),""-"",""o"")"),"xoooxxxxoxox")</f>
        <v>xoooxxxxoxox</v>
      </c>
      <c r="AT139" s="323" t="str">
        <f>IFERROR(__xludf.DUMMYFUNCTION("JOIN("""",AS139,AS139)"),"xoooxxxxoxoxxoooxxxxoxox")</f>
        <v>xoooxxxxoxoxxoooxxxxoxox</v>
      </c>
      <c r="AU139" s="256" t="str">
        <f>IFERROR(__xludf.DUMMYFUNCTION("JOIN("""",ArrayFormula(MID(AS139,LEN(AS139)-SEQUENCE(1,LEN(AS139))+1,1)))"),"xoxoxxxxooox")</f>
        <v>xoxoxxxxooox</v>
      </c>
      <c r="AV139" s="256" t="str">
        <f>IFERROR(__xludf.DUMMYFUNCTION("LEFT(CONCATENATE(""x"",JOIN("""",ArrayFormula(MID(AS139,LEN(AS139)-SEQUENCE(1,LEN(AS139))+1,1)))),12)"),"xxoxoxxxxooo")</f>
        <v>xxoxoxxxxooo</v>
      </c>
      <c r="AW139" s="327" t="str">
        <f>IFERROR(__xludf.DUMMYFUNCTION("JOIN("""",AU139,AU139)"),"xoxoxxxxoooxxoxoxxxxooox")</f>
        <v>xoxoxxxxoooxxoxoxxxxooox</v>
      </c>
      <c r="AX139" s="239" t="str">
        <f>IFERROR(__xludf.DUMMYFUNCTION("IF(REGEXMATCH(AW139,AS139),""✔"",""-"")"),"-")</f>
        <v>-</v>
      </c>
      <c r="AY139" s="330" t="str">
        <f t="shared" si="20"/>
        <v>-</v>
      </c>
      <c r="AZ139" s="260" t="str">
        <f t="shared" si="21"/>
        <v>#REF!</v>
      </c>
      <c r="BA139" s="333" t="str">
        <f t="shared" si="22"/>
        <v>xoooxxx</v>
      </c>
      <c r="BB139" s="334" t="str">
        <f t="shared" si="23"/>
        <v>xoxoxx</v>
      </c>
      <c r="BC139" s="335" t="str">
        <f t="shared" si="236"/>
        <v>-</v>
      </c>
      <c r="BD139" s="336" t="str">
        <f t="shared" si="25"/>
        <v>Hindolita: 'xoooxxx' + 'xoxoxx'</v>
      </c>
      <c r="BE139" s="337">
        <f>IFERROR(__xludf.DUMMYFUNCTION("COUNTUNIQUE(FILTER(AT:AT,REGEXMATCH(AT:AT,AS139)))-1"),0.0)</f>
        <v>0</v>
      </c>
      <c r="BF139" s="261" t="str">
        <f>IFERROR(__xludf.DUMMYFUNCTION("IF(BI139=0,""(n/a)"",IF(BJ139=2,""(PAIR)"",IF(REGEXMATCH(AT139,""xoxoxxoxoxox""),""Bilawal"",IF(REGEXMATCH(AT139,""xoxoxooxoxoo""),""Bhupali"",IF(REGEXMATCH(AT139,""xoxoxxoxxoxo""),""Charukeshi"",IF(REGEXMATCH(AT139,""xoxoooxxoxxo""),""Kameshwari"",IF(REG"&amp;"EXMATCH(AT139,""xoxoxooxoxox""),""Shankara"",IF(REGEXMATCH(AT139,""xxooxoxxxoox""),""Basant"",IF(REGEXMATCH(AT139,""xoxoxxxxoxox""),""Bihag"",IF(REGEXMATCH(AT139,""xoxxxxoxoxxx""),""Pilu"",IF(REGEXMATCH(AT139,""xoxxoxoxxoox""),""Kirwani"",IF(REGEXMATCH(AT"&amp;"139,""xoxxoxoxoxxx""),""Mk.Malhar"",IF(REGEXMATCH(AT139,""xxooxxoxxoox""),""Bhairav"",IF(REGEXMATCH(AT139,""xxoxooxxxoox""),""Todi"",IF(REGEXMATCH(AT139,""xxooxoxooxox""),""Marwa"",IF(REGEXMATCH(AT139,""xxoooxoxxooo""),""Gunkali"",IF(REGEXMATCH(AT139,""xo"&amp;"xoxxoxxoox""),""Nat Bhairav"",IF(REGEXMATCH(AT139,""xoxxoooxoxoo""),""Shivranjani"",IF(REGEXMATCH(AT139,""xooxxxoxooxo""),""Jog"",IF(REGEXMATCH(AT139,""xxooxoxoxoox""),""Hemshri"",IF(REGEXMATCH(AT139,""xoooxooxoxxo""),""Kalavati"",IF(REGEXMATCH(AT139,""xx"&amp;"oxoxxoxoox""),""Kedar"",IF(REGEXMATCH(AT139,""xoxxxxoxooxx""),""Gara"",IF(REGEXMATCH(AT139,""xooxoxooxoox""),""Chandrakauns"",IF(REGEXMATCH(AT139,""xoxxxxoxxxox""),""Mand"",IF(REGEXMATCH(AT139,""xoxxxxoxoxox""),""Hanskinkini"",IF(REGEXMATCH(AT139,""xxooxx"&amp;"oxooxo""),""Lilavati"",IF(REGEXMATCH(AT139,""xooxoxoooxox""),""Rajeshwari"",IF(REGEXMATCH(AT139,""xoooxxoxoxxx""),""Khokar"",IF(REGEXMATCH(AT139,""xxooxoxxxxox""),""Maligoura"",""-""))))))))))))))))))))))))))))))"),"(n/a)")</f>
        <v>(n/a)</v>
      </c>
      <c r="BG139" s="239" t="str">
        <f t="shared" si="26"/>
        <v>#REF!</v>
      </c>
      <c r="BH139" s="239">
        <f>IFERROR(__xludf.DUMMYFUNCTION("COUNTUNIQUE(FE139:FO139)-1"),6.0)</f>
        <v>6</v>
      </c>
      <c r="BI139" s="239">
        <f>IFERROR(__xludf.DUMMYFUNCTION("COUNTUNIQUE(FILTER(AT:AT,REGEXMATCH(AT:AT,AS139)))-1"),0.0)</f>
        <v>0</v>
      </c>
      <c r="BJ139" s="239">
        <f>IFERROR(__xludf.DUMMYFUNCTION("COUNTA(FILTER(AT:AT,REGEXMATCH(AT:AT,AS139)))"),1.0)</f>
        <v>1</v>
      </c>
      <c r="BK139" s="341">
        <f>IFERROR(__xludf.DUMMYFUNCTION("COUNTA(FILTER(AT:AT,REGEXMATCH(AT:AT,AS139)))-AR139"),1.0)</f>
        <v>1</v>
      </c>
      <c r="BL139" s="276" t="str">
        <f>IFERROR(__xludf.DUMMYFUNCTION("IF(AS139=""oooooooooooo"",""-"",IF(REGEXMATCH(AT139,""xx""), ""Hemi."", ""Anhemi.""))"),"Hemi.")</f>
        <v>Hemi.</v>
      </c>
      <c r="BM139" s="282" t="str">
        <f>IFERROR(__xludf.DUMMYFUNCTION("IF(AS139=""oooooooooooo"",""-"",IF(REGEXMATCH(AT139,""xxx""), ""Cohem."", ""-""))"),"Cohem.")</f>
        <v>Cohem.</v>
      </c>
      <c r="BN139" s="282" t="str">
        <f>IFERROR(__xludf.DUMMYFUNCTION("IF(AS139=""oooooooooooo"",""-"",IF(REGEXMATCH(AT139,""xxxx""), ""Co-Co."", ""-""))"),"Co-Co.")</f>
        <v>Co-Co.</v>
      </c>
      <c r="BO139" s="342" t="str">
        <f>IFERROR(__xludf.DUMMYFUNCTION("IF(AS139=""oooooooooooo"",""-"",IF(REGEXMATCH(AT139,""xxxxx""), ""CCC."", ""-""))"),"-")</f>
        <v>-</v>
      </c>
      <c r="BP139" s="344" t="str">
        <f t="shared" si="27"/>
        <v>-</v>
      </c>
      <c r="BQ139" s="282" t="str">
        <f>IFERROR(__xludf.DUMMYFUNCTION("IF(REGEXMATCH(JOIN(""-"",EU139:FD139),""TRUE""),""✔"",""-"")"),"-")</f>
        <v>-</v>
      </c>
      <c r="BR139" s="225">
        <f t="shared" si="28"/>
        <v>0</v>
      </c>
      <c r="BS139" s="345" t="str">
        <f>IFERROR(__xludf.DUMMYFUNCTION("SUBSTITUTE(SUBSTITUTE(SUBSTITUTE(SUBSTITUTE(CONCATENATE(JOIN(""-"",GC139:GO139)),""--"",""-""),""--"",""-""),""--"",""-""),""--"",""-"")"),"1-3-4-#4-5-6-7-8")</f>
        <v>1-3-4-#4-5-6-7-8</v>
      </c>
      <c r="BT139" s="299" t="str">
        <f>IFERROR(__xludf.DUMMYFUNCTION("SUBSTITUTE(SUBSTITUTE(SUBSTITUTE(SUBSTITUTE(CONCATENATE(JOIN(""-"",GP139:HB139)),""--"",""-""),""--"",""-""),""--"",""-""),""--"",""-"")"),"S-G3-M1-M2-P-D2-N3-S")</f>
        <v>S-G3-M1-M2-P-D2-N3-S</v>
      </c>
      <c r="BU139" s="348" t="str">
        <f t="shared" si="29"/>
        <v>C-E-F-F#-G-A-B-C</v>
      </c>
      <c r="BV139" s="349" t="str">
        <f t="shared" si="30"/>
        <v>SrRgdnS</v>
      </c>
      <c r="BW139" s="350">
        <f t="shared" si="31"/>
        <v>0</v>
      </c>
      <c r="BX139" s="351">
        <f t="shared" si="32"/>
        <v>1</v>
      </c>
      <c r="BY139" s="392"/>
      <c r="BZ139" s="309" t="str">
        <f>IFERROR(__xludf.DUMMYFUNCTION("IF(REGEXMATCH(C139, ""S""), ""x"",""x"")"),"x")</f>
        <v>x</v>
      </c>
      <c r="CA139" s="245" t="str">
        <f>IFERROR(__xludf.DUMMYFUNCTION("IF(REGEXMATCH(C139, ""r""), ""o"",""x"")"),"x")</f>
        <v>x</v>
      </c>
      <c r="CB139" s="246" t="str">
        <f>IFERROR(__xludf.DUMMYFUNCTION("IF(REGEXMATCH(C139, ""R""), ""o"",""x"")"),"x")</f>
        <v>x</v>
      </c>
      <c r="CC139" s="246" t="str">
        <f>IFERROR(__xludf.DUMMYFUNCTION("IF(REGEXMATCH(C139, ""g""), ""o"",""x"")"),"x")</f>
        <v>x</v>
      </c>
      <c r="CD139" s="245" t="str">
        <f>IFERROR(__xludf.DUMMYFUNCTION("IF(REGEXMATCH(C139, ""G""), ""o"",""x"")"),"o")</f>
        <v>o</v>
      </c>
      <c r="CE139" s="245" t="str">
        <f>IFERROR(__xludf.DUMMYFUNCTION("IF(REGEXMATCH(C139, ""m""), ""o"",""x"")"),"o")</f>
        <v>o</v>
      </c>
      <c r="CF139" s="246" t="str">
        <f>IFERROR(__xludf.DUMMYFUNCTION("IF(REGEXMATCH(C139, ""M""), ""o"",""x"")"),"o")</f>
        <v>o</v>
      </c>
      <c r="CG139" s="245" t="str">
        <f>IFERROR(__xludf.DUMMYFUNCTION("IF(REGEXMATCH(C139, ""P""), ""o"",""x"")"),"o")</f>
        <v>o</v>
      </c>
      <c r="CH139" s="246" t="str">
        <f>IFERROR(__xludf.DUMMYFUNCTION("IF(REGEXMATCH(C139, ""d""), ""o"",""x"")"),"x")</f>
        <v>x</v>
      </c>
      <c r="CI139" s="245" t="str">
        <f>IFERROR(__xludf.DUMMYFUNCTION("IF(REGEXMATCH(C139, ""D""), ""o"",""x"")"),"o")</f>
        <v>o</v>
      </c>
      <c r="CJ139" s="245" t="str">
        <f>IFERROR(__xludf.DUMMYFUNCTION("IF(REGEXMATCH(C139, ""n""), ""o"",""x"")"),"x")</f>
        <v>x</v>
      </c>
      <c r="CK139" s="245" t="str">
        <f>IFERROR(__xludf.DUMMYFUNCTION("IF(REGEXMATCH(C139, ""N""), ""o"",""x"")"),"o")</f>
        <v>o</v>
      </c>
      <c r="CL139" s="356" t="str">
        <f>IFERROR(__xludf.DUMMYFUNCTION("IF(REGEXMATCH(C139, ""S""), ""x"",""x"")"),"x")</f>
        <v>x</v>
      </c>
      <c r="CM139" s="357" t="str">
        <f t="shared" si="33"/>
        <v>xxxxooooxoxo</v>
      </c>
      <c r="CN139" s="358">
        <f t="shared" si="34"/>
        <v>0</v>
      </c>
      <c r="CO139" s="246" t="str">
        <f>IFERROR(__xludf.DUMMYFUNCTION("IF(REGEXMATCH($C139, ""S""), ""S"",""S"")"),"S")</f>
        <v>S</v>
      </c>
      <c r="CP139" s="246" t="str">
        <f>IFERROR(__xludf.DUMMYFUNCTION("IF(REGEXMATCH($C139, ""r""), """",""r"")"),"r")</f>
        <v>r</v>
      </c>
      <c r="CQ139" s="246" t="str">
        <f>IFERROR(__xludf.DUMMYFUNCTION("IF(REGEXMATCH($C139, ""R""), """",""R"")"),"R")</f>
        <v>R</v>
      </c>
      <c r="CR139" s="246" t="str">
        <f>IFERROR(__xludf.DUMMYFUNCTION("IF(REGEXMATCH($C139, ""g""), """",""g"")"),"g")</f>
        <v>g</v>
      </c>
      <c r="CS139" s="246" t="str">
        <f>IFERROR(__xludf.DUMMYFUNCTION("IF(REGEXMATCH($C139, ""G""), """",""G"")"),"")</f>
        <v/>
      </c>
      <c r="CT139" s="246" t="str">
        <f>IFERROR(__xludf.DUMMYFUNCTION("IF(REGEXMATCH($C139, ""m""), """",""m"")"),"")</f>
        <v/>
      </c>
      <c r="CU139" s="246" t="str">
        <f>IFERROR(__xludf.DUMMYFUNCTION("IF(REGEXMATCH($C139, ""M""), """",""M"")"),"")</f>
        <v/>
      </c>
      <c r="CV139" s="246" t="str">
        <f>IFERROR(__xludf.DUMMYFUNCTION("IF(REGEXMATCH($C139, ""P""), """",""P"")"),"")</f>
        <v/>
      </c>
      <c r="CW139" s="246" t="str">
        <f>IFERROR(__xludf.DUMMYFUNCTION("IF(REGEXMATCH($C139, ""d""), """",""d"")"),"d")</f>
        <v>d</v>
      </c>
      <c r="CX139" s="246" t="str">
        <f>IFERROR(__xludf.DUMMYFUNCTION("IF(REGEXMATCH($C139, ""D""), """",""D"")"),"")</f>
        <v/>
      </c>
      <c r="CY139" s="246" t="str">
        <f>IFERROR(__xludf.DUMMYFUNCTION("IF(REGEXMATCH($C139, ""n""), """",""n"")"),"n")</f>
        <v>n</v>
      </c>
      <c r="CZ139" s="246" t="str">
        <f>IFERROR(__xludf.DUMMYFUNCTION("IF(REGEXMATCH($C139, ""N""), """",""N"")"),"")</f>
        <v/>
      </c>
      <c r="DA139" s="246" t="str">
        <f>IFERROR(__xludf.DUMMYFUNCTION("IF(REGEXMATCH($C139, ""S""), ""S"",""S"")"),"S")</f>
        <v>S</v>
      </c>
      <c r="DB139" s="362" t="str">
        <f>IFERROR(__xludf.DUMMYFUNCTION("JOIN("""",CO139:DA139,"""","""")"),"SrRgdnS")</f>
        <v>SrRgdnS</v>
      </c>
      <c r="DC139" s="363"/>
      <c r="DD139" s="301" t="str">
        <f t="shared" si="35"/>
        <v>#REF!</v>
      </c>
      <c r="DE139" s="302" t="str">
        <f t="shared" si="36"/>
        <v>#REF!</v>
      </c>
      <c r="DF139" s="301" t="str">
        <f t="shared" ref="DF139:DG139" si="484">SUBSTITUTE(S139,"-","")</f>
        <v>SGM</v>
      </c>
      <c r="DG139" s="301" t="str">
        <f t="shared" si="484"/>
        <v>PDNS</v>
      </c>
      <c r="DH139" s="302" t="str">
        <f t="shared" si="38"/>
        <v>(n/a)</v>
      </c>
      <c r="DI139" s="301" t="str">
        <f t="shared" si="39"/>
        <v>Hemi.</v>
      </c>
      <c r="DJ139" s="364" t="str">
        <f t="shared" si="40"/>
        <v>Co-Co.</v>
      </c>
      <c r="DK139" s="306" t="str">
        <f t="shared" si="41"/>
        <v>-</v>
      </c>
      <c r="DL139" s="366" t="str">
        <f t="shared" si="42"/>
        <v>-</v>
      </c>
      <c r="DM139" s="308" t="str">
        <f t="shared" si="43"/>
        <v>✔</v>
      </c>
      <c r="DN139" s="306" t="str">
        <f t="shared" si="44"/>
        <v>-</v>
      </c>
      <c r="DO139" s="306" t="str">
        <f t="shared" si="45"/>
        <v>-</v>
      </c>
      <c r="DP139" s="367" t="str">
        <f t="shared" si="46"/>
        <v>-</v>
      </c>
      <c r="DQ139" s="310" t="str">
        <f t="shared" si="47"/>
        <v>-</v>
      </c>
      <c r="DR139" s="310" t="str">
        <f t="shared" si="48"/>
        <v>-</v>
      </c>
      <c r="DS139" s="310" t="str">
        <f t="shared" si="49"/>
        <v>✔</v>
      </c>
      <c r="DT139" s="310" t="str">
        <f t="shared" si="50"/>
        <v>-</v>
      </c>
      <c r="DU139" s="370" t="str">
        <f t="shared" si="51"/>
        <v>-</v>
      </c>
      <c r="DV139" s="306" t="str">
        <f t="shared" si="52"/>
        <v>✔</v>
      </c>
      <c r="DW139" s="306" t="str">
        <f t="shared" si="53"/>
        <v>-</v>
      </c>
      <c r="DX139" s="306" t="str">
        <f t="shared" si="54"/>
        <v>-</v>
      </c>
      <c r="DY139" s="306" t="str">
        <f t="shared" si="55"/>
        <v>-</v>
      </c>
      <c r="DZ139" s="306" t="str">
        <f t="shared" si="56"/>
        <v>-</v>
      </c>
      <c r="EA139" s="367" t="str">
        <f t="shared" si="57"/>
        <v>-</v>
      </c>
      <c r="EB139" s="310" t="str">
        <f>IFERROR(__xludf.DUMMYFUNCTION("IF(REGEXMATCH(AW139,AS139),""✔"",""-"")"),"-")</f>
        <v>-</v>
      </c>
      <c r="EC139" s="310" t="str">
        <f t="shared" si="58"/>
        <v>#REF!</v>
      </c>
      <c r="ED139" s="370" t="str">
        <f t="shared" si="59"/>
        <v>-</v>
      </c>
      <c r="EE139" s="340" t="str">
        <f t="shared" si="60"/>
        <v>S-G-mM-P-D-N-S</v>
      </c>
      <c r="EF139" s="371" t="str">
        <f>IFERROR(__xludf.DUMMYFUNCTION("CONCATENATE(JOIN("""",HC139:HO139))"),"SrgmMPdS")</f>
        <v>SrgmMPdS</v>
      </c>
      <c r="EG139" s="372">
        <f t="shared" si="61"/>
        <v>2</v>
      </c>
      <c r="EH139" s="373" t="str">
        <f>IFERROR(__xludf.DUMMYFUNCTION("CONCATENATE(JOIN("""",JC139:JO139))"),"Ma, Pa, ")</f>
        <v>Ma, Pa, </v>
      </c>
      <c r="EI139" s="322">
        <f t="shared" si="62"/>
        <v>0</v>
      </c>
      <c r="EJ139" s="374" t="str">
        <f>IFERROR(__xludf.DUMMYFUNCTION("CONCATENATE(JOIN("""",KC139:KO139))"),"")</f>
        <v/>
      </c>
      <c r="EK139" s="325" t="str">
        <f t="shared" si="63"/>
        <v>S-G3-M1-M2-P-D2-N3-S</v>
      </c>
      <c r="EL139" s="326" t="str">
        <f t="shared" si="64"/>
        <v>1-3-4-#4-5-6-7-8</v>
      </c>
      <c r="EM139" s="318" t="str">
        <f t="shared" si="65"/>
        <v>#REF!</v>
      </c>
      <c r="EN139" s="328" t="str">
        <f>IFERROR(__xludf.DUMMYFUNCTION("SUBSTITUTE(SUBSTITUTE(SUBSTITUTE(SUBSTITUTE(CONCATENATE(JOIN("" "",HP139:IB139)),""  "","" ""),""  "","" ""),""  "","" ""),""  "","" "")"),"o • • • o o o o • o • o o")</f>
        <v>o • • • o o o o • o • o o</v>
      </c>
      <c r="EO139" s="368" t="str">
        <f t="shared" si="66"/>
        <v>-</v>
      </c>
      <c r="EP139" s="339" t="str">
        <f t="shared" si="67"/>
        <v>-</v>
      </c>
      <c r="EQ139" s="339" t="str">
        <f t="shared" si="68"/>
        <v>Sa-Pa</v>
      </c>
      <c r="ER139" s="339" t="str">
        <f t="shared" si="69"/>
        <v>-</v>
      </c>
      <c r="ES139" s="340" t="str">
        <f t="shared" si="70"/>
        <v>-</v>
      </c>
      <c r="ET139" s="363"/>
      <c r="EU139" s="376" t="b">
        <f>IFERROR(__xludf.DUMMYFUNCTION("arrayformula(sum(--REGEXMATCH(""SRGMPDNS"",split(REGEXREPLACE(C139,""(.)"",""$1~""),""~""))))=len(C139)
"),FALSE)</f>
        <v>0</v>
      </c>
      <c r="EV139" s="290" t="b">
        <f>IFERROR(__xludf.DUMMYFUNCTION("arrayformula(sum(--REGEXMATCH(""SRGmPDNS"",split(REGEXREPLACE(C139,""(.)"",""$1~""),""~""))))=len(C139)"),FALSE)</f>
        <v>0</v>
      </c>
      <c r="EW139" s="290" t="b">
        <f>IFERROR(__xludf.DUMMYFUNCTION("arrayformula(sum(--REGEXMATCH(""SRGmPDnS"",split(REGEXREPLACE(C139,""(.)"",""$1~""),""~""))))=len(C139)"),FALSE)</f>
        <v>0</v>
      </c>
      <c r="EX139" s="290" t="b">
        <f>IFERROR(__xludf.DUMMYFUNCTION("arrayformula(sum(--REGEXMATCH(""SRgmPDnS"",split(REGEXREPLACE(C139,""(.)"",""$1~""),""~""))))=len(C139)"),FALSE)</f>
        <v>0</v>
      </c>
      <c r="EY139" s="290" t="b">
        <f>IFERROR(__xludf.DUMMYFUNCTION("arrayformula(sum(--REGEXMATCH(""SRgmPdnS"",split(REGEXREPLACE(C139,""(.)"",""$1~""),""~""))))=len(C139)"),FALSE)</f>
        <v>0</v>
      </c>
      <c r="EZ139" s="290" t="b">
        <f>IFERROR(__xludf.DUMMYFUNCTION("arrayformula(sum(--REGEXMATCH(""SrgmPdnS"",split(REGEXREPLACE(C139,""(.)"",""$1~""),""~""))))=len(C139)"),FALSE)</f>
        <v>0</v>
      </c>
      <c r="FA139" s="290" t="b">
        <f>IFERROR(__xludf.DUMMYFUNCTION("arrayformula(sum(--REGEXMATCH(""SrGmPdNS"",split(REGEXREPLACE(C139,""(.)"",""$1~""),""~""))))=len(C139)"),FALSE)</f>
        <v>0</v>
      </c>
      <c r="FB139" s="290" t="b">
        <f>IFERROR(__xludf.DUMMYFUNCTION("arrayformula(sum(--REGEXMATCH(""SrGMPDNS"",split(REGEXREPLACE(C139,""(.)"",""$1~""),""~""))))=len(C139)"),FALSE)</f>
        <v>0</v>
      </c>
      <c r="FC139" s="290" t="b">
        <f>IFERROR(__xludf.DUMMYFUNCTION("arrayformula(sum(--REGEXMATCH(""SrGMPdNS"",split(REGEXREPLACE(C139,""(.)"",""$1~""),""~""))))=len(C139)"),FALSE)</f>
        <v>0</v>
      </c>
      <c r="FD139" s="377" t="b">
        <f>IFERROR(__xludf.DUMMYFUNCTION("arrayformula(sum(--REGEXMATCH(""SrgMPdNS"",split(REGEXREPLACE(C139,""(.)"",""$1~""),""~""))))=len(C139)"),FALSE)</f>
        <v>0</v>
      </c>
      <c r="FE139" s="269" t="str">
        <f t="shared" si="71"/>
        <v>-</v>
      </c>
      <c r="FF139" s="269" t="str">
        <f t="shared" si="72"/>
        <v>-</v>
      </c>
      <c r="FG139" s="271" t="str">
        <f t="shared" si="73"/>
        <v>-</v>
      </c>
      <c r="FH139" s="269" t="str">
        <f t="shared" si="74"/>
        <v>xxxxoxoxxoo</v>
      </c>
      <c r="FI139" s="271" t="str">
        <f t="shared" si="75"/>
        <v>xxxoxoxxooo</v>
      </c>
      <c r="FJ139" s="271" t="str">
        <f t="shared" si="76"/>
        <v>xxoxoxxooox</v>
      </c>
      <c r="FK139" s="271" t="str">
        <f t="shared" si="77"/>
        <v>xoxoxxoooxx</v>
      </c>
      <c r="FL139" s="271" t="str">
        <f t="shared" si="78"/>
        <v>-</v>
      </c>
      <c r="FM139" s="271" t="str">
        <f t="shared" si="79"/>
        <v>xoxxoooxxxx</v>
      </c>
      <c r="FN139" s="271" t="str">
        <f t="shared" si="80"/>
        <v>-</v>
      </c>
      <c r="FO139" s="274" t="str">
        <f t="shared" si="81"/>
        <v>xxoooxxxxox</v>
      </c>
      <c r="FP139" s="234" t="str">
        <f t="shared" si="82"/>
        <v>|</v>
      </c>
      <c r="FQ139" s="236" t="str">
        <f t="shared" si="83"/>
        <v>-</v>
      </c>
      <c r="FR139" s="237" t="str">
        <f t="shared" si="84"/>
        <v>-</v>
      </c>
      <c r="FS139" s="236" t="str">
        <f t="shared" si="85"/>
        <v>-</v>
      </c>
      <c r="FT139" s="237" t="str">
        <f t="shared" si="86"/>
        <v>|</v>
      </c>
      <c r="FU139" s="236" t="str">
        <f t="shared" si="87"/>
        <v>|</v>
      </c>
      <c r="FV139" s="237" t="str">
        <f t="shared" si="88"/>
        <v>|</v>
      </c>
      <c r="FW139" s="236" t="str">
        <f t="shared" si="89"/>
        <v>|</v>
      </c>
      <c r="FX139" s="237" t="str">
        <f t="shared" si="90"/>
        <v>-</v>
      </c>
      <c r="FY139" s="236" t="str">
        <f t="shared" si="91"/>
        <v>|</v>
      </c>
      <c r="FZ139" s="237" t="str">
        <f t="shared" si="92"/>
        <v>-</v>
      </c>
      <c r="GA139" s="236" t="str">
        <f t="shared" si="93"/>
        <v>|</v>
      </c>
      <c r="GB139" s="238" t="str">
        <f t="shared" si="94"/>
        <v>|</v>
      </c>
      <c r="GC139" s="244" t="str">
        <f>IFERROR(__xludf.DUMMYFUNCTION("IF(REGEXMATCH(C139, ""S""), ""1"","""")"),"1")</f>
        <v>1</v>
      </c>
      <c r="GD139" s="245" t="str">
        <f>IFERROR(__xludf.DUMMYFUNCTION("IF(REGEXMATCH(C139, ""r""), ""b2"","""")"),"")</f>
        <v/>
      </c>
      <c r="GE139" s="246" t="str">
        <f>IFERROR(__xludf.DUMMYFUNCTION("IF(REGEXMATCH(C139, ""R""), ""2"","""")"),"")</f>
        <v/>
      </c>
      <c r="GF139" s="246" t="str">
        <f>IFERROR(__xludf.DUMMYFUNCTION("IF(REGEXMATCH(C139, ""g""), ""b3"","""")"),"")</f>
        <v/>
      </c>
      <c r="GG139" s="245" t="str">
        <f>IFERROR(__xludf.DUMMYFUNCTION("IF(REGEXMATCH(C139, ""G""), ""3"","""")"),"3")</f>
        <v>3</v>
      </c>
      <c r="GH139" s="245" t="str">
        <f>IFERROR(__xludf.DUMMYFUNCTION("IF(REGEXMATCH(C139, ""m""), ""4"","""")"),"4")</f>
        <v>4</v>
      </c>
      <c r="GI139" s="246" t="str">
        <f>IFERROR(__xludf.DUMMYFUNCTION("IF(REGEXMATCH(C139, ""M""), ""#4"","""")"),"#4")</f>
        <v>#4</v>
      </c>
      <c r="GJ139" s="245" t="str">
        <f>IFERROR(__xludf.DUMMYFUNCTION("IF(REGEXMATCH(C139, ""P""), ""5"","""")"),"5")</f>
        <v>5</v>
      </c>
      <c r="GK139" s="246" t="str">
        <f>IFERROR(__xludf.DUMMYFUNCTION("IF(REGEXMATCH(C139, ""d""), ""b6"","""")"),"")</f>
        <v/>
      </c>
      <c r="GL139" s="245" t="str">
        <f>IFERROR(__xludf.DUMMYFUNCTION("IF(REGEXMATCH(C139, ""D""), ""6"","""")"),"6")</f>
        <v>6</v>
      </c>
      <c r="GM139" s="245" t="str">
        <f>IFERROR(__xludf.DUMMYFUNCTION("IF(REGEXMATCH(C139, ""n""), ""b7"","""")"),"")</f>
        <v/>
      </c>
      <c r="GN139" s="246" t="str">
        <f>IFERROR(__xludf.DUMMYFUNCTION("IF(REGEXMATCH(C139, ""N""), ""7"","""")"),"7")</f>
        <v>7</v>
      </c>
      <c r="GO139" s="249" t="str">
        <f>IFERROR(__xludf.DUMMYFUNCTION("IF(REGEXMATCH(C139, ""S""), ""8"","""")"),"8")</f>
        <v>8</v>
      </c>
      <c r="GP139" s="244" t="str">
        <f>IFERROR(__xludf.DUMMYFUNCTION("IF(REGEXMATCH(C139, ""S""), ""S"","""")"),"S")</f>
        <v>S</v>
      </c>
      <c r="GQ139" s="294" t="str">
        <f>IFERROR(__xludf.DUMMYFUNCTION("IF(REGEXMATCH(C139, ""r""), ""R1"","""")"),"")</f>
        <v/>
      </c>
      <c r="GR139" s="295" t="str">
        <f>IFERROR(__xludf.DUMMYFUNCTION("IF(REGEXMATCH(C139, ""R""), ""R2"","""")"),"")</f>
        <v/>
      </c>
      <c r="GS139" s="295" t="str">
        <f>IFERROR(__xludf.DUMMYFUNCTION("IF(REGEXMATCH(C139, ""g""), ""G2"","""")"),"")</f>
        <v/>
      </c>
      <c r="GT139" s="294" t="str">
        <f>IFERROR(__xludf.DUMMYFUNCTION("IF(REGEXMATCH(C139, ""G""), ""G3"","""")"),"G3")</f>
        <v>G3</v>
      </c>
      <c r="GU139" s="294" t="str">
        <f>IFERROR(__xludf.DUMMYFUNCTION("IF(REGEXMATCH(C139, ""m""), ""M1"","""")"),"M1")</f>
        <v>M1</v>
      </c>
      <c r="GV139" s="295" t="str">
        <f>IFERROR(__xludf.DUMMYFUNCTION("IF(REGEXMATCH(C139, ""M""), ""M2"","""")"),"M2")</f>
        <v>M2</v>
      </c>
      <c r="GW139" s="294" t="str">
        <f>IFERROR(__xludf.DUMMYFUNCTION("IF(REGEXMATCH(C139, ""P""), ""P"","""")"),"P")</f>
        <v>P</v>
      </c>
      <c r="GX139" s="295" t="str">
        <f>IFERROR(__xludf.DUMMYFUNCTION("IF(REGEXMATCH(C139, ""d""), ""D1"","""")"),"")</f>
        <v/>
      </c>
      <c r="GY139" s="294" t="str">
        <f>IFERROR(__xludf.DUMMYFUNCTION("IF(REGEXMATCH(C139, ""D""), ""D2"","""")"),"D2")</f>
        <v>D2</v>
      </c>
      <c r="GZ139" s="294" t="str">
        <f>IFERROR(__xludf.DUMMYFUNCTION("IF(REGEXMATCH(C139, ""n""), ""N2"","""")"),"")</f>
        <v/>
      </c>
      <c r="HA139" s="295" t="str">
        <f>IFERROR(__xludf.DUMMYFUNCTION("IF(REGEXMATCH(C139, ""N""), ""N3"","""")"),"N3")</f>
        <v>N3</v>
      </c>
      <c r="HB139" s="249" t="str">
        <f>IFERROR(__xludf.DUMMYFUNCTION("IF(REGEXMATCH(C139, ""S""), ""S"","""")"),"S")</f>
        <v>S</v>
      </c>
      <c r="HC139" s="331" t="str">
        <f t="shared" si="95"/>
        <v>S</v>
      </c>
      <c r="HD139" s="332" t="str">
        <f t="shared" si="96"/>
        <v>r</v>
      </c>
      <c r="HE139" s="332" t="str">
        <f t="shared" si="97"/>
        <v/>
      </c>
      <c r="HF139" s="332" t="str">
        <f t="shared" si="98"/>
        <v>g</v>
      </c>
      <c r="HG139" s="332" t="str">
        <f t="shared" si="99"/>
        <v/>
      </c>
      <c r="HH139" s="332" t="str">
        <f t="shared" si="100"/>
        <v>m</v>
      </c>
      <c r="HI139" s="332" t="str">
        <f t="shared" si="101"/>
        <v>M</v>
      </c>
      <c r="HJ139" s="332" t="str">
        <f t="shared" si="102"/>
        <v>P</v>
      </c>
      <c r="HK139" s="332" t="str">
        <f t="shared" si="103"/>
        <v>d</v>
      </c>
      <c r="HL139" s="332" t="str">
        <f t="shared" si="104"/>
        <v/>
      </c>
      <c r="HM139" s="332" t="str">
        <f t="shared" si="105"/>
        <v/>
      </c>
      <c r="HN139" s="332" t="str">
        <f t="shared" si="106"/>
        <v/>
      </c>
      <c r="HO139" s="343" t="str">
        <f t="shared" si="107"/>
        <v>S</v>
      </c>
      <c r="HP139" s="331" t="str">
        <f t="shared" si="108"/>
        <v>o</v>
      </c>
      <c r="HQ139" s="332" t="str">
        <f t="shared" si="109"/>
        <v>•</v>
      </c>
      <c r="HR139" s="332" t="str">
        <f t="shared" si="110"/>
        <v>•</v>
      </c>
      <c r="HS139" s="332" t="str">
        <f t="shared" si="111"/>
        <v>•</v>
      </c>
      <c r="HT139" s="332" t="str">
        <f t="shared" si="112"/>
        <v>o</v>
      </c>
      <c r="HU139" s="332" t="str">
        <f t="shared" si="113"/>
        <v>o</v>
      </c>
      <c r="HV139" s="332" t="str">
        <f t="shared" si="114"/>
        <v>o</v>
      </c>
      <c r="HW139" s="332" t="str">
        <f t="shared" si="115"/>
        <v>o</v>
      </c>
      <c r="HX139" s="332" t="str">
        <f t="shared" si="116"/>
        <v>•</v>
      </c>
      <c r="HY139" s="332" t="str">
        <f t="shared" si="117"/>
        <v>o</v>
      </c>
      <c r="HZ139" s="332" t="str">
        <f t="shared" si="118"/>
        <v>•</v>
      </c>
      <c r="IA139" s="332" t="str">
        <f t="shared" si="119"/>
        <v>o</v>
      </c>
      <c r="IB139" s="338" t="str">
        <f t="shared" si="120"/>
        <v>o</v>
      </c>
      <c r="IC139" s="331" t="str">
        <f t="shared" si="121"/>
        <v>•</v>
      </c>
      <c r="ID139" s="332" t="str">
        <f t="shared" si="122"/>
        <v>o</v>
      </c>
      <c r="IE139" s="332" t="str">
        <f t="shared" si="123"/>
        <v>o</v>
      </c>
      <c r="IF139" s="332" t="str">
        <f t="shared" si="124"/>
        <v>o</v>
      </c>
      <c r="IG139" s="332" t="str">
        <f t="shared" si="125"/>
        <v>•</v>
      </c>
      <c r="IH139" s="332" t="str">
        <f t="shared" si="126"/>
        <v>•</v>
      </c>
      <c r="II139" s="332" t="str">
        <f t="shared" si="127"/>
        <v>•</v>
      </c>
      <c r="IJ139" s="332" t="str">
        <f t="shared" si="128"/>
        <v>•</v>
      </c>
      <c r="IK139" s="332" t="str">
        <f t="shared" si="129"/>
        <v>o</v>
      </c>
      <c r="IL139" s="332" t="str">
        <f t="shared" si="130"/>
        <v>•</v>
      </c>
      <c r="IM139" s="332" t="str">
        <f t="shared" si="131"/>
        <v>o</v>
      </c>
      <c r="IN139" s="332" t="str">
        <f t="shared" si="132"/>
        <v>•</v>
      </c>
      <c r="IO139" s="338" t="str">
        <f t="shared" si="133"/>
        <v>•</v>
      </c>
      <c r="IP139" s="346" t="b">
        <f t="shared" si="134"/>
        <v>0</v>
      </c>
      <c r="IQ139" s="347" t="b">
        <f t="shared" si="135"/>
        <v>0</v>
      </c>
      <c r="IR139" s="347" t="b">
        <f t="shared" si="136"/>
        <v>0</v>
      </c>
      <c r="IS139" s="347" t="b">
        <f t="shared" si="137"/>
        <v>0</v>
      </c>
      <c r="IT139" s="347" t="b">
        <f t="shared" si="138"/>
        <v>0</v>
      </c>
      <c r="IU139" s="347" t="b">
        <f t="shared" si="139"/>
        <v>0</v>
      </c>
      <c r="IV139" s="347" t="b">
        <f t="shared" si="140"/>
        <v>1</v>
      </c>
      <c r="IW139" s="347" t="b">
        <f t="shared" si="141"/>
        <v>1</v>
      </c>
      <c r="IX139" s="347" t="b">
        <f t="shared" si="142"/>
        <v>0</v>
      </c>
      <c r="IY139" s="347" t="b">
        <f t="shared" si="143"/>
        <v>0</v>
      </c>
      <c r="IZ139" s="347" t="b">
        <f t="shared" si="144"/>
        <v>0</v>
      </c>
      <c r="JA139" s="347" t="b">
        <f t="shared" si="145"/>
        <v>0</v>
      </c>
      <c r="JB139" s="353" t="b">
        <f t="shared" si="146"/>
        <v>0</v>
      </c>
      <c r="JC139" s="354" t="str">
        <f t="shared" si="147"/>
        <v/>
      </c>
      <c r="JD139" s="355" t="str">
        <f t="shared" si="148"/>
        <v/>
      </c>
      <c r="JE139" s="355" t="str">
        <f t="shared" si="149"/>
        <v/>
      </c>
      <c r="JF139" s="355" t="str">
        <f t="shared" si="150"/>
        <v/>
      </c>
      <c r="JG139" s="355" t="str">
        <f t="shared" si="151"/>
        <v/>
      </c>
      <c r="JH139" s="355" t="str">
        <f t="shared" si="152"/>
        <v/>
      </c>
      <c r="JI139" s="355" t="str">
        <f t="shared" si="153"/>
        <v>Ma, </v>
      </c>
      <c r="JJ139" s="355" t="str">
        <f t="shared" si="154"/>
        <v>Pa, </v>
      </c>
      <c r="JK139" s="355" t="str">
        <f t="shared" si="155"/>
        <v/>
      </c>
      <c r="JL139" s="355" t="str">
        <f t="shared" si="156"/>
        <v/>
      </c>
      <c r="JM139" s="355" t="str">
        <f t="shared" si="157"/>
        <v/>
      </c>
      <c r="JN139" s="355" t="str">
        <f t="shared" si="158"/>
        <v/>
      </c>
      <c r="JO139" s="359" t="str">
        <f t="shared" si="159"/>
        <v/>
      </c>
      <c r="JP139" s="346" t="b">
        <f t="shared" si="160"/>
        <v>0</v>
      </c>
      <c r="JQ139" s="347" t="b">
        <f t="shared" si="161"/>
        <v>0</v>
      </c>
      <c r="JR139" s="347" t="b">
        <f t="shared" si="162"/>
        <v>0</v>
      </c>
      <c r="JS139" s="347" t="b">
        <f t="shared" si="163"/>
        <v>0</v>
      </c>
      <c r="JT139" s="347" t="b">
        <f t="shared" si="164"/>
        <v>0</v>
      </c>
      <c r="JU139" s="347" t="b">
        <f t="shared" si="165"/>
        <v>0</v>
      </c>
      <c r="JV139" s="347" t="b">
        <f t="shared" si="166"/>
        <v>0</v>
      </c>
      <c r="JW139" s="347" t="b">
        <f t="shared" si="167"/>
        <v>0</v>
      </c>
      <c r="JX139" s="347" t="b">
        <f t="shared" si="168"/>
        <v>0</v>
      </c>
      <c r="JY139" s="347" t="b">
        <f t="shared" si="169"/>
        <v>0</v>
      </c>
      <c r="JZ139" s="347" t="b">
        <f t="shared" si="170"/>
        <v>0</v>
      </c>
      <c r="KA139" s="347" t="b">
        <f t="shared" si="171"/>
        <v>0</v>
      </c>
      <c r="KB139" s="365" t="b">
        <f t="shared" si="172"/>
        <v>0</v>
      </c>
      <c r="KC139" s="354" t="str">
        <f t="shared" si="173"/>
        <v/>
      </c>
      <c r="KD139" s="355" t="str">
        <f t="shared" si="174"/>
        <v/>
      </c>
      <c r="KE139" s="355" t="str">
        <f t="shared" si="175"/>
        <v/>
      </c>
      <c r="KF139" s="355" t="str">
        <f t="shared" si="176"/>
        <v/>
      </c>
      <c r="KG139" s="355" t="str">
        <f t="shared" si="177"/>
        <v/>
      </c>
      <c r="KH139" s="355" t="str">
        <f t="shared" si="178"/>
        <v/>
      </c>
      <c r="KI139" s="355" t="str">
        <f t="shared" si="179"/>
        <v/>
      </c>
      <c r="KJ139" s="355" t="str">
        <f t="shared" si="180"/>
        <v/>
      </c>
      <c r="KK139" s="355" t="str">
        <f t="shared" si="181"/>
        <v/>
      </c>
      <c r="KL139" s="355" t="str">
        <f t="shared" si="182"/>
        <v/>
      </c>
      <c r="KM139" s="355" t="str">
        <f t="shared" si="183"/>
        <v/>
      </c>
      <c r="KN139" s="355" t="str">
        <f t="shared" si="184"/>
        <v/>
      </c>
      <c r="KO139" s="359"/>
      <c r="KP139" s="378"/>
      <c r="KQ139" s="379" t="s">
        <v>9</v>
      </c>
      <c r="KR139" s="380" t="s">
        <v>9</v>
      </c>
      <c r="KS139" s="381" t="s">
        <v>9</v>
      </c>
      <c r="KT139" s="382">
        <f t="shared" si="186"/>
        <v>0</v>
      </c>
      <c r="KU139" s="383">
        <f t="shared" si="187"/>
        <v>0</v>
      </c>
      <c r="KV139" s="381" t="str">
        <f t="shared" si="205"/>
        <v>S</v>
      </c>
      <c r="KW139" s="382">
        <f t="shared" si="189"/>
        <v>0</v>
      </c>
      <c r="KX139" s="384">
        <f t="shared" si="190"/>
        <v>0</v>
      </c>
      <c r="KY139" s="382">
        <f t="shared" ref="KY139:KZ139" si="485">KW139-KT139</f>
        <v>0</v>
      </c>
      <c r="KZ139" s="369">
        <f t="shared" si="485"/>
        <v>0</v>
      </c>
      <c r="LA139" s="385" t="str">
        <f t="shared" si="192"/>
        <v>✔</v>
      </c>
      <c r="LB139" s="340" t="str">
        <f>IFERROR(__xludf.DUMMYFUNCTION("JOIN("""",ArrayFormula(MID(KS139,LEN(KS139)-SEQUENCE(1,LEN(KS139))+1,1)))"),"S")</f>
        <v>S</v>
      </c>
      <c r="LC139" s="373" t="str">
        <f>IFERROR(__xludf.DUMMYFUNCTION("JOIN("""",ArrayFormula(MID(KV139,LEN(KV139)-SEQUENCE(1,LEN(KV139))+1,1)))"),"S")</f>
        <v>S</v>
      </c>
      <c r="LD139" s="373" t="str">
        <f t="shared" si="193"/>
        <v>S</v>
      </c>
      <c r="LE139" s="339" t="str">
        <f t="shared" si="194"/>
        <v>S</v>
      </c>
      <c r="LF139" s="386" t="str">
        <f>IFERROR(__xludf.DUMMYFUNCTION("SUBSTITUTE(SUBSTITUTE(CONCATENATE(JOIN("""",LH139:LT139)),""1"",""""),""2"","""")"),"SS")</f>
        <v>SS</v>
      </c>
      <c r="LG139" s="369" t="str">
        <f t="shared" si="195"/>
        <v>-</v>
      </c>
      <c r="LH139" s="387" t="str">
        <f>IFERROR(__xludf.DUMMYFUNCTION("IF(REGEXMATCH(LD139, ""S""), ""S"",IF(REGEXMATCH(LE139, ""S""), ""S"",""""))"),"S")</f>
        <v>S</v>
      </c>
      <c r="LI139" s="299" t="str">
        <f>IFERROR(__xludf.DUMMYFUNCTION("IF(REGEXMATCH(LD139, ""r""), ""r1"",IF(REGEXMATCH(LE139, ""r""), ""r2"",""""))"),"")</f>
        <v/>
      </c>
      <c r="LJ139" s="299" t="str">
        <f>IFERROR(__xludf.DUMMYFUNCTION("IF(REGEXMATCH(LD139, ""R""), ""R1"",IF(REGEXMATCH(LE139, ""R""), ""R2"",""""))"),"")</f>
        <v/>
      </c>
      <c r="LK139" s="299" t="str">
        <f>IFERROR(__xludf.DUMMYFUNCTION("IF(REGEXMATCH(LD139, ""g""), ""g1"",IF(REGEXMATCH(LE139, ""g""), ""g2"",""""))"),"")</f>
        <v/>
      </c>
      <c r="LL139" s="299" t="str">
        <f>IFERROR(__xludf.DUMMYFUNCTION("IF(REGEXMATCH(LD139, ""G""), ""G1"",IF(REGEXMATCH(LE139, ""G""), ""G2"",""""))"),"")</f>
        <v/>
      </c>
      <c r="LM139" s="299" t="str">
        <f>IFERROR(__xludf.DUMMYFUNCTION("IF(REGEXMATCH(LD139, ""m""), ""m1"",IF(REGEXMATCH(LE139, ""m""), ""m2"",""""))"),"")</f>
        <v/>
      </c>
      <c r="LN139" s="299" t="str">
        <f>IFERROR(__xludf.DUMMYFUNCTION("IF(REGEXMATCH(LD139, ""M""), ""M1"",IF(REGEXMATCH(LE139, ""M""), ""M2"",""""))"),"")</f>
        <v/>
      </c>
      <c r="LO139" s="299" t="str">
        <f>IFERROR(__xludf.DUMMYFUNCTION("IF(REGEXMATCH(LD139, ""P""), ""P1"",IF(REGEXMATCH(LE139, ""P""), ""P2"",""""))"),"")</f>
        <v/>
      </c>
      <c r="LP139" s="299" t="str">
        <f>IFERROR(__xludf.DUMMYFUNCTION("IF(REGEXMATCH(LD139, ""d""), ""d1"",IF(REGEXMATCH(LE139, ""d""), ""d2"",""""))"),"")</f>
        <v/>
      </c>
      <c r="LQ139" s="299" t="str">
        <f>IFERROR(__xludf.DUMMYFUNCTION("IF(REGEXMATCH(LD139, ""D""), ""D1"",IF(REGEXMATCH(LE139, ""D""), ""D2"",""""))"),"")</f>
        <v/>
      </c>
      <c r="LR139" s="299" t="str">
        <f>IFERROR(__xludf.DUMMYFUNCTION("IF(REGEXMATCH(LD139, ""n""), ""n1"",IF(REGEXMATCH(LE139, ""n""), ""n2"",""""))"),"")</f>
        <v/>
      </c>
      <c r="LS139" s="299" t="str">
        <f>IFERROR(__xludf.DUMMYFUNCTION("IF(REGEXMATCH(LD139, ""N""), ""N1"",IF(REGEXMATCH(LE139, ""N""), ""N2"",""""))"),"")</f>
        <v/>
      </c>
      <c r="LT139" s="388" t="str">
        <f>IFERROR(__xludf.DUMMYFUNCTION("IF(REGEXMATCH(LD139, ""S""), ""S"",IF(REGEXMATCH(LE139, ""S""), ""S"",""""))"),"S")</f>
        <v>S</v>
      </c>
      <c r="LU139" s="389">
        <f t="shared" si="196"/>
        <v>1</v>
      </c>
      <c r="LV139" s="378"/>
      <c r="LW139" s="369"/>
      <c r="LX139" s="369"/>
    </row>
    <row r="140" ht="18.0" customHeight="1">
      <c r="A140" s="298" t="s">
        <v>799</v>
      </c>
      <c r="B140" s="222" t="s">
        <v>561</v>
      </c>
      <c r="C140" s="233" t="str">
        <f t="shared" si="7"/>
        <v>SRgmPDnS</v>
      </c>
      <c r="D140" s="234" t="str">
        <f>IFERROR(__xludf.DUMMYFUNCTION("IF(REGEXMATCH(C140, ""S""), ""S"","""")"),"S")</f>
        <v>S</v>
      </c>
      <c r="E140" s="236" t="str">
        <f>IFERROR(__xludf.DUMMYFUNCTION("IF(REGEXMATCH(C140, ""r""), ""r"","""")"),"")</f>
        <v/>
      </c>
      <c r="F140" s="237" t="str">
        <f>IFERROR(__xludf.DUMMYFUNCTION("IF(REGEXMATCH(C140, ""R""), ""R"","""")"),"R")</f>
        <v>R</v>
      </c>
      <c r="G140" s="237" t="str">
        <f>IFERROR(__xludf.DUMMYFUNCTION("IF(REGEXMATCH(C140, ""g""), ""g"","""")"),"g")</f>
        <v>g</v>
      </c>
      <c r="H140" s="236" t="str">
        <f>IFERROR(__xludf.DUMMYFUNCTION("IF(REGEXMATCH(C140, ""G""), ""G"","""")"),"")</f>
        <v/>
      </c>
      <c r="I140" s="236" t="str">
        <f>IFERROR(__xludf.DUMMYFUNCTION("IF(REGEXMATCH(C140, ""m""), ""m"","""")"),"m")</f>
        <v>m</v>
      </c>
      <c r="J140" s="237" t="str">
        <f>IFERROR(__xludf.DUMMYFUNCTION("IF(REGEXMATCH(C140, ""M""), ""M"","""")"),"")</f>
        <v/>
      </c>
      <c r="K140" s="236" t="str">
        <f>IFERROR(__xludf.DUMMYFUNCTION("IF(REGEXMATCH(C140, ""P""), ""P"","""")"),"P")</f>
        <v>P</v>
      </c>
      <c r="L140" s="237" t="str">
        <f>IFERROR(__xludf.DUMMYFUNCTION("IF(REGEXMATCH(C140, ""d""), ""d"","""")"),"")</f>
        <v/>
      </c>
      <c r="M140" s="236" t="str">
        <f>IFERROR(__xludf.DUMMYFUNCTION("IF(REGEXMATCH(C140, ""D""), ""D"","""")"),"D")</f>
        <v>D</v>
      </c>
      <c r="N140" s="236" t="str">
        <f>IFERROR(__xludf.DUMMYFUNCTION("IF(REGEXMATCH(C140, ""n""), ""n"","""")"),"n")</f>
        <v>n</v>
      </c>
      <c r="O140" s="237" t="str">
        <f>IFERROR(__xludf.DUMMYFUNCTION("IF(REGEXMATCH(C140, ""N""), ""N"","""")"),"")</f>
        <v/>
      </c>
      <c r="P140" s="238" t="str">
        <f>IFERROR(__xludf.DUMMYFUNCTION("IF(REGEXMATCH(C140, ""S""), ""S"","""")"),"S")</f>
        <v>S</v>
      </c>
      <c r="Q140" s="239" t="str">
        <f>IFERROR(__xludf.DUMMYFUNCTION("SUBSTITUTE(CONCATENATE(JOIN(""-"",D140:J140)),""-"","""")"),"SRgm")</f>
        <v>SRgm</v>
      </c>
      <c r="R140" s="229" t="str">
        <f>IFERROR(__xludf.DUMMYFUNCTION("SUBSTITUTE(CONCATENATE(JOIN(""-"",K140:P140)),""-"","""")"),"PDnS")</f>
        <v>PDnS</v>
      </c>
      <c r="S140" s="282" t="str">
        <f t="shared" si="8"/>
        <v>S-R-G-M</v>
      </c>
      <c r="T140" s="282" t="str">
        <f t="shared" si="9"/>
        <v>P-D-N-S</v>
      </c>
      <c r="U140" s="237" t="str">
        <f>IFERROR(__xludf.DUMMYFUNCTION("SUBSTITUTE(JOIN(""-"",S140,T140),""--"",""-"")"),"S-R-G-M-P-D-N-S")</f>
        <v>S-R-G-M-P-D-N-S</v>
      </c>
      <c r="V140" s="309" t="str">
        <f t="shared" si="10"/>
        <v>RgmDn</v>
      </c>
      <c r="W140" s="244" t="str">
        <f>IFERROR(__xludf.DUMMYFUNCTION("IF(REGEXMATCH(C140, ""S""), ""0"","""")"),"0")</f>
        <v>0</v>
      </c>
      <c r="X140" s="245" t="str">
        <f>IFERROR(__xludf.DUMMYFUNCTION("IF(REGEXMATCH(C140, ""r""), ""1"","""")"),"")</f>
        <v/>
      </c>
      <c r="Y140" s="246" t="str">
        <f>IFERROR(__xludf.DUMMYFUNCTION("IF(REGEXMATCH(C140, ""R""), ""2"","""")"),"2")</f>
        <v>2</v>
      </c>
      <c r="Z140" s="246" t="str">
        <f>IFERROR(__xludf.DUMMYFUNCTION("IF(REGEXMATCH(C140, ""g""), ""3"","""")"),"3")</f>
        <v>3</v>
      </c>
      <c r="AA140" s="245" t="str">
        <f>IFERROR(__xludf.DUMMYFUNCTION("IF(REGEXMATCH(C140, ""G""), ""4"","""")"),"")</f>
        <v/>
      </c>
      <c r="AB140" s="245" t="str">
        <f>IFERROR(__xludf.DUMMYFUNCTION("IF(REGEXMATCH(C140, ""m""), ""5"","""")"),"5")</f>
        <v>5</v>
      </c>
      <c r="AC140" s="246" t="str">
        <f>IFERROR(__xludf.DUMMYFUNCTION("IF(REGEXMATCH(C140, ""M""), ""6"","""")"),"")</f>
        <v/>
      </c>
      <c r="AD140" s="245" t="str">
        <f>IFERROR(__xludf.DUMMYFUNCTION("IF(REGEXMATCH(C140, ""P""), ""7"","""")"),"7")</f>
        <v>7</v>
      </c>
      <c r="AE140" s="246" t="str">
        <f>IFERROR(__xludf.DUMMYFUNCTION("IF(REGEXMATCH(C140, ""d""), ""8"","""")"),"")</f>
        <v/>
      </c>
      <c r="AF140" s="245" t="str">
        <f>IFERROR(__xludf.DUMMYFUNCTION("IF(REGEXMATCH(C140, ""D""), ""9"","""")"),"9")</f>
        <v>9</v>
      </c>
      <c r="AG140" s="245" t="str">
        <f>IFERROR(__xludf.DUMMYFUNCTION("IF(REGEXMATCH(C140, ""n""), ""10"","""")"),"10")</f>
        <v>10</v>
      </c>
      <c r="AH140" s="246" t="str">
        <f>IFERROR(__xludf.DUMMYFUNCTION("IF(REGEXMATCH(C140, ""N""), ""11"","""")"),"")</f>
        <v/>
      </c>
      <c r="AI140" s="249" t="str">
        <f>IFERROR(__xludf.DUMMYFUNCTION("IF(REGEXMATCH(C140, ""S""), ""0"","""")"),"0")</f>
        <v>0</v>
      </c>
      <c r="AJ140" s="313" t="str">
        <f t="shared" si="11"/>
        <v>-</v>
      </c>
      <c r="AK140" s="313" t="str">
        <f t="shared" si="12"/>
        <v>-</v>
      </c>
      <c r="AL140" s="313" t="str">
        <f t="shared" si="13"/>
        <v>-</v>
      </c>
      <c r="AM140" s="313" t="str">
        <f t="shared" si="14"/>
        <v>T</v>
      </c>
      <c r="AN140" s="313" t="str">
        <f t="shared" si="15"/>
        <v>-</v>
      </c>
      <c r="AO140" s="314" t="str">
        <f t="shared" si="16"/>
        <v>-</v>
      </c>
      <c r="AP140" s="316">
        <f t="shared" si="17"/>
        <v>1</v>
      </c>
      <c r="AQ140" s="319" t="str">
        <f t="shared" si="18"/>
        <v>-</v>
      </c>
      <c r="AR140" s="320">
        <f t="shared" si="19"/>
        <v>0</v>
      </c>
      <c r="AS140" s="250" t="str">
        <f>IFERROR(__xludf.DUMMYFUNCTION("SUBSTITUTE(SUBSTITUTE(CONCATENATE(JOIN("""",FP140:GA140)),""|"",""x""),""-"",""o"")"),"xoxxoxoxoxxo")</f>
        <v>xoxxoxoxoxxo</v>
      </c>
      <c r="AT140" s="323" t="str">
        <f>IFERROR(__xludf.DUMMYFUNCTION("JOIN("""",AS140,AS140)"),"xoxxoxoxoxxoxoxxoxoxoxxo")</f>
        <v>xoxxoxoxoxxoxoxxoxoxoxxo</v>
      </c>
      <c r="AU140" s="256" t="str">
        <f>IFERROR(__xludf.DUMMYFUNCTION("JOIN("""",ArrayFormula(MID(AS140,LEN(AS140)-SEQUENCE(1,LEN(AS140))+1,1)))"),"oxxoxoxoxxox")</f>
        <v>oxxoxoxoxxox</v>
      </c>
      <c r="AV140" s="256" t="str">
        <f>IFERROR(__xludf.DUMMYFUNCTION("LEFT(CONCATENATE(""x"",JOIN("""",ArrayFormula(MID(AS140,LEN(AS140)-SEQUENCE(1,LEN(AS140))+1,1)))),12)"),"xoxxoxoxoxxo")</f>
        <v>xoxxoxoxoxxo</v>
      </c>
      <c r="AW140" s="327" t="str">
        <f>IFERROR(__xludf.DUMMYFUNCTION("JOIN("""",AU140,AU140)"),"oxxoxoxoxxoxoxxoxoxoxxox")</f>
        <v>oxxoxoxoxxoxoxxoxoxoxxox</v>
      </c>
      <c r="AX140" s="239" t="str">
        <f>IFERROR(__xludf.DUMMYFUNCTION("IF(REGEXMATCH(AW140,AS140),""✔"",""-"")"),"✔")</f>
        <v>✔</v>
      </c>
      <c r="AY140" s="330" t="str">
        <f t="shared" si="20"/>
        <v>✔</v>
      </c>
      <c r="AZ140" s="260" t="str">
        <f t="shared" si="21"/>
        <v>#REF!</v>
      </c>
      <c r="BA140" s="333" t="str">
        <f t="shared" si="22"/>
        <v>xoxxoxo</v>
      </c>
      <c r="BB140" s="334" t="str">
        <f t="shared" si="23"/>
        <v>xoxxox</v>
      </c>
      <c r="BC140" s="335" t="str">
        <f t="shared" si="236"/>
        <v>✔</v>
      </c>
      <c r="BD140" s="336" t="str">
        <f t="shared" si="25"/>
        <v>Hussaini Kanada: 'xoxxoxo' + 'xoxxox'</v>
      </c>
      <c r="BE140" s="337">
        <f>IFERROR(__xludf.DUMMYFUNCTION("COUNTUNIQUE(FILTER(AT:AT,REGEXMATCH(AT:AT,AS140)))-1"),6.0)</f>
        <v>6</v>
      </c>
      <c r="BF140" s="261" t="str">
        <f>IFERROR(__xludf.DUMMYFUNCTION("IF(BI140=0,""(n/a)"",IF(BJ140=2,""(PAIR)"",IF(REGEXMATCH(AT140,""xoxoxxoxoxox""),""Bilawal"",IF(REGEXMATCH(AT140,""xoxoxooxoxoo""),""Bhupali"",IF(REGEXMATCH(AT140,""xoxoxxoxxoxo""),""Charukeshi"",IF(REGEXMATCH(AT140,""xoxoooxxoxxo""),""Kameshwari"",IF(REG"&amp;"EXMATCH(AT140,""xoxoxooxoxox""),""Shankara"",IF(REGEXMATCH(AT140,""xxooxoxxxoox""),""Basant"",IF(REGEXMATCH(AT140,""xoxoxxxxoxox""),""Bihag"",IF(REGEXMATCH(AT140,""xoxxxxoxoxxx""),""Pilu"",IF(REGEXMATCH(AT140,""xoxxoxoxxoox""),""Kirwani"",IF(REGEXMATCH(AT"&amp;"140,""xoxxoxoxoxxx""),""Mk.Malhar"",IF(REGEXMATCH(AT140,""xxooxxoxxoox""),""Bhairav"",IF(REGEXMATCH(AT140,""xxoxooxxxoox""),""Todi"",IF(REGEXMATCH(AT140,""xxooxoxooxox""),""Marwa"",IF(REGEXMATCH(AT140,""xxoooxoxxooo""),""Gunkali"",IF(REGEXMATCH(AT140,""xo"&amp;"xoxxoxxoox""),""Nat Bhairav"",IF(REGEXMATCH(AT140,""xoxxoooxoxoo""),""Shivranjani"",IF(REGEXMATCH(AT140,""xooxxxoxooxo""),""Jog"",IF(REGEXMATCH(AT140,""xxooxoxoxoox""),""Hemshri"",IF(REGEXMATCH(AT140,""xoooxooxoxxo""),""Kalavati"",IF(REGEXMATCH(AT140,""xx"&amp;"oxoxxoxoox""),""Kedar"",IF(REGEXMATCH(AT140,""xoxxxxoxooxx""),""Gara"",IF(REGEXMATCH(AT140,""xooxoxooxoox""),""Chandrakauns"",IF(REGEXMATCH(AT140,""xoxxxxoxxxox""),""Mand"",IF(REGEXMATCH(AT140,""xoxxxxoxoxox""),""Hanskinkini"",IF(REGEXMATCH(AT140,""xxooxx"&amp;"oxooxo""),""Lilavati"",IF(REGEXMATCH(AT140,""xooxoxoooxox""),""Rajeshwari"",IF(REGEXMATCH(AT140,""xoooxxoxoxxx""),""Khokar"",IF(REGEXMATCH(AT140,""xxooxoxxxxox""),""Maligoura"",""-""))))))))))))))))))))))))))))))"),"Bilawal")</f>
        <v>Bilawal</v>
      </c>
      <c r="BG140" s="239" t="str">
        <f t="shared" si="26"/>
        <v>#REF!</v>
      </c>
      <c r="BH140" s="239">
        <f>IFERROR(__xludf.DUMMYFUNCTION("COUNTUNIQUE(FE140:FO140)-1"),6.0)</f>
        <v>6</v>
      </c>
      <c r="BI140" s="239">
        <f>IFERROR(__xludf.DUMMYFUNCTION("COUNTUNIQUE(FILTER(AT:AT,REGEXMATCH(AT:AT,AS140)))-1"),6.0)</f>
        <v>6</v>
      </c>
      <c r="BJ140" s="239">
        <f>IFERROR(__xludf.DUMMYFUNCTION("COUNTA(FILTER(AT:AT,REGEXMATCH(AT:AT,AS140)))"),48.0)</f>
        <v>48</v>
      </c>
      <c r="BK140" s="341">
        <f>IFERROR(__xludf.DUMMYFUNCTION("COUNTA(FILTER(AT:AT,REGEXMATCH(AT:AT,AS140)))-AR140"),48.0)</f>
        <v>48</v>
      </c>
      <c r="BL140" s="276" t="str">
        <f>IFERROR(__xludf.DUMMYFUNCTION("IF(AS140=""oooooooooooo"",""-"",IF(REGEXMATCH(AT140,""xx""), ""Hemi."", ""Anhemi.""))"),"Hemi.")</f>
        <v>Hemi.</v>
      </c>
      <c r="BM140" s="282" t="str">
        <f>IFERROR(__xludf.DUMMYFUNCTION("IF(AS140=""oooooooooooo"",""-"",IF(REGEXMATCH(AT140,""xxx""), ""Cohem."", ""-""))"),"-")</f>
        <v>-</v>
      </c>
      <c r="BN140" s="282" t="str">
        <f>IFERROR(__xludf.DUMMYFUNCTION("IF(AS140=""oooooooooooo"",""-"",IF(REGEXMATCH(AT140,""xxxx""), ""Co-Co."", ""-""))"),"-")</f>
        <v>-</v>
      </c>
      <c r="BO140" s="342" t="str">
        <f>IFERROR(__xludf.DUMMYFUNCTION("IF(AS140=""oooooooooooo"",""-"",IF(REGEXMATCH(AT140,""xxxxx""), ""CCC."", ""-""))"),"-")</f>
        <v>-</v>
      </c>
      <c r="BP140" s="344" t="str">
        <f t="shared" si="27"/>
        <v>Kafi</v>
      </c>
      <c r="BQ140" s="282" t="str">
        <f>IFERROR(__xludf.DUMMYFUNCTION("IF(REGEXMATCH(JOIN(""-"",EU140:FD140),""TRUE""),""✔"",""-"")"),"✔")</f>
        <v>✔</v>
      </c>
      <c r="BR140" s="225">
        <f t="shared" si="28"/>
        <v>1</v>
      </c>
      <c r="BS140" s="345" t="str">
        <f>IFERROR(__xludf.DUMMYFUNCTION("SUBSTITUTE(SUBSTITUTE(SUBSTITUTE(SUBSTITUTE(CONCATENATE(JOIN(""-"",GC140:GO140)),""--"",""-""),""--"",""-""),""--"",""-""),""--"",""-"")"),"1-2-b3-4-5-6-b7-8")</f>
        <v>1-2-b3-4-5-6-b7-8</v>
      </c>
      <c r="BT140" s="299" t="str">
        <f>IFERROR(__xludf.DUMMYFUNCTION("SUBSTITUTE(SUBSTITUTE(SUBSTITUTE(SUBSTITUTE(CONCATENATE(JOIN(""-"",GP140:HB140)),""--"",""-""),""--"",""-""),""--"",""-""),""--"",""-"")"),"S-R2-G2-M1-P-D2-N2-S")</f>
        <v>S-R2-G2-M1-P-D2-N2-S</v>
      </c>
      <c r="BU140" s="348" t="str">
        <f t="shared" si="29"/>
        <v>C-D-Eb-F-G-A-Bb-C</v>
      </c>
      <c r="BV140" s="349" t="str">
        <f t="shared" si="30"/>
        <v>SrGMdNS</v>
      </c>
      <c r="BW140" s="350">
        <f t="shared" si="31"/>
        <v>1</v>
      </c>
      <c r="BX140" s="351">
        <f t="shared" si="32"/>
        <v>9</v>
      </c>
      <c r="BY140" s="392"/>
      <c r="BZ140" s="309" t="str">
        <f>IFERROR(__xludf.DUMMYFUNCTION("IF(REGEXMATCH(C140, ""S""), ""x"",""x"")"),"x")</f>
        <v>x</v>
      </c>
      <c r="CA140" s="245" t="str">
        <f>IFERROR(__xludf.DUMMYFUNCTION("IF(REGEXMATCH(C140, ""r""), ""o"",""x"")"),"x")</f>
        <v>x</v>
      </c>
      <c r="CB140" s="246" t="str">
        <f>IFERROR(__xludf.DUMMYFUNCTION("IF(REGEXMATCH(C140, ""R""), ""o"",""x"")"),"o")</f>
        <v>o</v>
      </c>
      <c r="CC140" s="246" t="str">
        <f>IFERROR(__xludf.DUMMYFUNCTION("IF(REGEXMATCH(C140, ""g""), ""o"",""x"")"),"o")</f>
        <v>o</v>
      </c>
      <c r="CD140" s="245" t="str">
        <f>IFERROR(__xludf.DUMMYFUNCTION("IF(REGEXMATCH(C140, ""G""), ""o"",""x"")"),"x")</f>
        <v>x</v>
      </c>
      <c r="CE140" s="245" t="str">
        <f>IFERROR(__xludf.DUMMYFUNCTION("IF(REGEXMATCH(C140, ""m""), ""o"",""x"")"),"o")</f>
        <v>o</v>
      </c>
      <c r="CF140" s="246" t="str">
        <f>IFERROR(__xludf.DUMMYFUNCTION("IF(REGEXMATCH(C140, ""M""), ""o"",""x"")"),"x")</f>
        <v>x</v>
      </c>
      <c r="CG140" s="245" t="str">
        <f>IFERROR(__xludf.DUMMYFUNCTION("IF(REGEXMATCH(C140, ""P""), ""o"",""x"")"),"o")</f>
        <v>o</v>
      </c>
      <c r="CH140" s="246" t="str">
        <f>IFERROR(__xludf.DUMMYFUNCTION("IF(REGEXMATCH(C140, ""d""), ""o"",""x"")"),"x")</f>
        <v>x</v>
      </c>
      <c r="CI140" s="245" t="str">
        <f>IFERROR(__xludf.DUMMYFUNCTION("IF(REGEXMATCH(C140, ""D""), ""o"",""x"")"),"o")</f>
        <v>o</v>
      </c>
      <c r="CJ140" s="245" t="str">
        <f>IFERROR(__xludf.DUMMYFUNCTION("IF(REGEXMATCH(C140, ""n""), ""o"",""x"")"),"o")</f>
        <v>o</v>
      </c>
      <c r="CK140" s="245" t="str">
        <f>IFERROR(__xludf.DUMMYFUNCTION("IF(REGEXMATCH(C140, ""N""), ""o"",""x"")"),"x")</f>
        <v>x</v>
      </c>
      <c r="CL140" s="356" t="str">
        <f>IFERROR(__xludf.DUMMYFUNCTION("IF(REGEXMATCH(C140, ""S""), ""x"",""x"")"),"x")</f>
        <v>x</v>
      </c>
      <c r="CM140" s="357" t="str">
        <f t="shared" si="33"/>
        <v>xxooxoxoxoox</v>
      </c>
      <c r="CN140" s="358">
        <f t="shared" si="34"/>
        <v>1</v>
      </c>
      <c r="CO140" s="246" t="str">
        <f>IFERROR(__xludf.DUMMYFUNCTION("IF(REGEXMATCH($C140, ""S""), ""S"",""S"")"),"S")</f>
        <v>S</v>
      </c>
      <c r="CP140" s="246" t="str">
        <f>IFERROR(__xludf.DUMMYFUNCTION("IF(REGEXMATCH($C140, ""r""), """",""r"")"),"r")</f>
        <v>r</v>
      </c>
      <c r="CQ140" s="246" t="str">
        <f>IFERROR(__xludf.DUMMYFUNCTION("IF(REGEXMATCH($C140, ""R""), """",""R"")"),"")</f>
        <v/>
      </c>
      <c r="CR140" s="246" t="str">
        <f>IFERROR(__xludf.DUMMYFUNCTION("IF(REGEXMATCH($C140, ""g""), """",""g"")"),"")</f>
        <v/>
      </c>
      <c r="CS140" s="246" t="str">
        <f>IFERROR(__xludf.DUMMYFUNCTION("IF(REGEXMATCH($C140, ""G""), """",""G"")"),"G")</f>
        <v>G</v>
      </c>
      <c r="CT140" s="246" t="str">
        <f>IFERROR(__xludf.DUMMYFUNCTION("IF(REGEXMATCH($C140, ""m""), """",""m"")"),"")</f>
        <v/>
      </c>
      <c r="CU140" s="246" t="str">
        <f>IFERROR(__xludf.DUMMYFUNCTION("IF(REGEXMATCH($C140, ""M""), """",""M"")"),"M")</f>
        <v>M</v>
      </c>
      <c r="CV140" s="246" t="str">
        <f>IFERROR(__xludf.DUMMYFUNCTION("IF(REGEXMATCH($C140, ""P""), """",""P"")"),"")</f>
        <v/>
      </c>
      <c r="CW140" s="246" t="str">
        <f>IFERROR(__xludf.DUMMYFUNCTION("IF(REGEXMATCH($C140, ""d""), """",""d"")"),"d")</f>
        <v>d</v>
      </c>
      <c r="CX140" s="246" t="str">
        <f>IFERROR(__xludf.DUMMYFUNCTION("IF(REGEXMATCH($C140, ""D""), """",""D"")"),"")</f>
        <v/>
      </c>
      <c r="CY140" s="246" t="str">
        <f>IFERROR(__xludf.DUMMYFUNCTION("IF(REGEXMATCH($C140, ""n""), """",""n"")"),"")</f>
        <v/>
      </c>
      <c r="CZ140" s="246" t="str">
        <f>IFERROR(__xludf.DUMMYFUNCTION("IF(REGEXMATCH($C140, ""N""), """",""N"")"),"N")</f>
        <v>N</v>
      </c>
      <c r="DA140" s="246" t="str">
        <f>IFERROR(__xludf.DUMMYFUNCTION("IF(REGEXMATCH($C140, ""S""), ""S"",""S"")"),"S")</f>
        <v>S</v>
      </c>
      <c r="DB140" s="362" t="str">
        <f>IFERROR(__xludf.DUMMYFUNCTION("JOIN("""",CO140:DA140,"""","""")"),"SrGMdNS")</f>
        <v>SrGMdNS</v>
      </c>
      <c r="DC140" s="363"/>
      <c r="DD140" s="301" t="str">
        <f t="shared" si="35"/>
        <v>#REF!</v>
      </c>
      <c r="DE140" s="302" t="str">
        <f t="shared" si="36"/>
        <v>#REF!</v>
      </c>
      <c r="DF140" s="301" t="str">
        <f t="shared" ref="DF140:DG140" si="486">SUBSTITUTE(S140,"-","")</f>
        <v>SRGM</v>
      </c>
      <c r="DG140" s="301" t="str">
        <f t="shared" si="486"/>
        <v>PDNS</v>
      </c>
      <c r="DH140" s="302" t="str">
        <f t="shared" si="38"/>
        <v>Bilawal</v>
      </c>
      <c r="DI140" s="301" t="str">
        <f t="shared" si="39"/>
        <v>Hemi.</v>
      </c>
      <c r="DJ140" s="364" t="str">
        <f t="shared" si="40"/>
        <v>-</v>
      </c>
      <c r="DK140" s="306" t="str">
        <f t="shared" si="41"/>
        <v>Kafi</v>
      </c>
      <c r="DL140" s="366" t="str">
        <f t="shared" si="42"/>
        <v>-</v>
      </c>
      <c r="DM140" s="308" t="str">
        <f t="shared" si="43"/>
        <v>-</v>
      </c>
      <c r="DN140" s="306" t="str">
        <f t="shared" si="44"/>
        <v>-</v>
      </c>
      <c r="DO140" s="306" t="str">
        <f t="shared" si="45"/>
        <v>-</v>
      </c>
      <c r="DP140" s="367" t="str">
        <f t="shared" si="46"/>
        <v>-</v>
      </c>
      <c r="DQ140" s="310" t="str">
        <f t="shared" si="47"/>
        <v>-</v>
      </c>
      <c r="DR140" s="310" t="str">
        <f t="shared" si="48"/>
        <v>-</v>
      </c>
      <c r="DS140" s="310" t="str">
        <f t="shared" si="49"/>
        <v>-</v>
      </c>
      <c r="DT140" s="310" t="str">
        <f t="shared" si="50"/>
        <v>-</v>
      </c>
      <c r="DU140" s="370" t="str">
        <f t="shared" si="51"/>
        <v>-</v>
      </c>
      <c r="DV140" s="306" t="str">
        <f t="shared" si="52"/>
        <v>-</v>
      </c>
      <c r="DW140" s="306" t="str">
        <f t="shared" si="53"/>
        <v>-</v>
      </c>
      <c r="DX140" s="306" t="str">
        <f t="shared" si="54"/>
        <v>-</v>
      </c>
      <c r="DY140" s="306" t="str">
        <f t="shared" si="55"/>
        <v>-</v>
      </c>
      <c r="DZ140" s="306" t="str">
        <f t="shared" si="56"/>
        <v>-</v>
      </c>
      <c r="EA140" s="367" t="str">
        <f t="shared" si="57"/>
        <v>-</v>
      </c>
      <c r="EB140" s="310" t="str">
        <f>IFERROR(__xludf.DUMMYFUNCTION("IF(REGEXMATCH(AW140,AS140),""✔"",""-"")"),"✔")</f>
        <v>✔</v>
      </c>
      <c r="EC140" s="310" t="str">
        <f t="shared" si="58"/>
        <v>#REF!</v>
      </c>
      <c r="ED140" s="370" t="str">
        <f t="shared" si="59"/>
        <v>✔</v>
      </c>
      <c r="EE140" s="340" t="str">
        <f t="shared" si="60"/>
        <v>S-R-g-m-P-D-n-S</v>
      </c>
      <c r="EF140" s="371" t="str">
        <f>IFERROR(__xludf.DUMMYFUNCTION("CONCATENATE(JOIN("""",HC140:HO140))"),"SRgmPDnS")</f>
        <v>SRgmPDnS</v>
      </c>
      <c r="EG140" s="372">
        <f t="shared" si="61"/>
        <v>1</v>
      </c>
      <c r="EH140" s="373" t="str">
        <f>IFERROR(__xludf.DUMMYFUNCTION("CONCATENATE(JOIN("""",JC140:JO140))"),"Dha, ")</f>
        <v>Dha, </v>
      </c>
      <c r="EI140" s="322">
        <f t="shared" si="62"/>
        <v>0</v>
      </c>
      <c r="EJ140" s="374" t="str">
        <f>IFERROR(__xludf.DUMMYFUNCTION("CONCATENATE(JOIN("""",KC140:KO140))"),"")</f>
        <v/>
      </c>
      <c r="EK140" s="325" t="str">
        <f t="shared" si="63"/>
        <v>S-R2-G2-M1-P-D2-N2-S</v>
      </c>
      <c r="EL140" s="326" t="str">
        <f t="shared" si="64"/>
        <v>1-2-b3-4-5-6-b7-8</v>
      </c>
      <c r="EM140" s="318" t="str">
        <f t="shared" si="65"/>
        <v>#REF!</v>
      </c>
      <c r="EN140" s="328" t="str">
        <f>IFERROR(__xludf.DUMMYFUNCTION("SUBSTITUTE(SUBSTITUTE(SUBSTITUTE(SUBSTITUTE(CONCATENATE(JOIN("" "",HP140:IB140)),""  "","" ""),""  "","" ""),""  "","" ""),""  "","" "")"),"o • o o • o • o • o o • o")</f>
        <v>o • o o • o • o • o o • o</v>
      </c>
      <c r="EO140" s="368" t="str">
        <f t="shared" si="66"/>
        <v>-</v>
      </c>
      <c r="EP140" s="339" t="str">
        <f t="shared" si="67"/>
        <v>-</v>
      </c>
      <c r="EQ140" s="339" t="str">
        <f t="shared" si="68"/>
        <v>Sa-Pa</v>
      </c>
      <c r="ER140" s="339" t="str">
        <f t="shared" si="69"/>
        <v>-</v>
      </c>
      <c r="ES140" s="340" t="str">
        <f t="shared" si="70"/>
        <v>-</v>
      </c>
      <c r="ET140" s="363"/>
      <c r="EU140" s="376" t="b">
        <f>IFERROR(__xludf.DUMMYFUNCTION("arrayformula(sum(--REGEXMATCH(""SRGMPDNS"",split(REGEXREPLACE(C140,""(.)"",""$1~""),""~""))))=len(C140)
"),FALSE)</f>
        <v>0</v>
      </c>
      <c r="EV140" s="290" t="b">
        <f>IFERROR(__xludf.DUMMYFUNCTION("arrayformula(sum(--REGEXMATCH(""SRGmPDNS"",split(REGEXREPLACE(C140,""(.)"",""$1~""),""~""))))=len(C140)"),FALSE)</f>
        <v>0</v>
      </c>
      <c r="EW140" s="290" t="b">
        <f>IFERROR(__xludf.DUMMYFUNCTION("arrayformula(sum(--REGEXMATCH(""SRGmPDnS"",split(REGEXREPLACE(C140,""(.)"",""$1~""),""~""))))=len(C140)"),FALSE)</f>
        <v>0</v>
      </c>
      <c r="EX140" s="290" t="b">
        <f>IFERROR(__xludf.DUMMYFUNCTION("arrayformula(sum(--REGEXMATCH(""SRgmPDnS"",split(REGEXREPLACE(C140,""(.)"",""$1~""),""~""))))=len(C140)"),TRUE)</f>
        <v>1</v>
      </c>
      <c r="EY140" s="290" t="b">
        <f>IFERROR(__xludf.DUMMYFUNCTION("arrayformula(sum(--REGEXMATCH(""SRgmPdnS"",split(REGEXREPLACE(C140,""(.)"",""$1~""),""~""))))=len(C140)"),FALSE)</f>
        <v>0</v>
      </c>
      <c r="EZ140" s="290" t="b">
        <f>IFERROR(__xludf.DUMMYFUNCTION("arrayformula(sum(--REGEXMATCH(""SrgmPdnS"",split(REGEXREPLACE(C140,""(.)"",""$1~""),""~""))))=len(C140)"),FALSE)</f>
        <v>0</v>
      </c>
      <c r="FA140" s="290" t="b">
        <f>IFERROR(__xludf.DUMMYFUNCTION("arrayformula(sum(--REGEXMATCH(""SrGmPdNS"",split(REGEXREPLACE(C140,""(.)"",""$1~""),""~""))))=len(C140)"),FALSE)</f>
        <v>0</v>
      </c>
      <c r="FB140" s="290" t="b">
        <f>IFERROR(__xludf.DUMMYFUNCTION("arrayformula(sum(--REGEXMATCH(""SrGMPDNS"",split(REGEXREPLACE(C140,""(.)"",""$1~""),""~""))))=len(C140)"),FALSE)</f>
        <v>0</v>
      </c>
      <c r="FC140" s="290" t="b">
        <f>IFERROR(__xludf.DUMMYFUNCTION("arrayformula(sum(--REGEXMATCH(""SrGMPdNS"",split(REGEXREPLACE(C140,""(.)"",""$1~""),""~""))))=len(C140)"),FALSE)</f>
        <v>0</v>
      </c>
      <c r="FD140" s="377" t="b">
        <f>IFERROR(__xludf.DUMMYFUNCTION("arrayformula(sum(--REGEXMATCH(""SrgMPdNS"",split(REGEXREPLACE(C140,""(.)"",""$1~""),""~""))))=len(C140)"),FALSE)</f>
        <v>0</v>
      </c>
      <c r="FE140" s="269" t="str">
        <f t="shared" si="71"/>
        <v>-</v>
      </c>
      <c r="FF140" s="269" t="str">
        <f t="shared" si="72"/>
        <v>xxoxoxoxxox</v>
      </c>
      <c r="FG140" s="271" t="str">
        <f t="shared" si="73"/>
        <v>xoxoxoxxoxo</v>
      </c>
      <c r="FH140" s="269" t="str">
        <f t="shared" si="74"/>
        <v>-</v>
      </c>
      <c r="FI140" s="271" t="str">
        <f t="shared" si="75"/>
        <v>xoxoxxoxoxx</v>
      </c>
      <c r="FJ140" s="271" t="str">
        <f t="shared" si="76"/>
        <v>-</v>
      </c>
      <c r="FK140" s="271" t="str">
        <f t="shared" si="77"/>
        <v>xoxxoxoxxox</v>
      </c>
      <c r="FL140" s="271" t="str">
        <f t="shared" si="78"/>
        <v>-</v>
      </c>
      <c r="FM140" s="271" t="str">
        <f t="shared" si="79"/>
        <v>xxoxoxxoxox</v>
      </c>
      <c r="FN140" s="271" t="str">
        <f t="shared" si="80"/>
        <v>xoxoxxoxoxo</v>
      </c>
      <c r="FO140" s="274" t="str">
        <f t="shared" si="81"/>
        <v>-</v>
      </c>
      <c r="FP140" s="234" t="str">
        <f t="shared" si="82"/>
        <v>|</v>
      </c>
      <c r="FQ140" s="236" t="str">
        <f t="shared" si="83"/>
        <v>-</v>
      </c>
      <c r="FR140" s="237" t="str">
        <f t="shared" si="84"/>
        <v>|</v>
      </c>
      <c r="FS140" s="236" t="str">
        <f t="shared" si="85"/>
        <v>|</v>
      </c>
      <c r="FT140" s="237" t="str">
        <f t="shared" si="86"/>
        <v>-</v>
      </c>
      <c r="FU140" s="236" t="str">
        <f t="shared" si="87"/>
        <v>|</v>
      </c>
      <c r="FV140" s="237" t="str">
        <f t="shared" si="88"/>
        <v>-</v>
      </c>
      <c r="FW140" s="236" t="str">
        <f t="shared" si="89"/>
        <v>|</v>
      </c>
      <c r="FX140" s="237" t="str">
        <f t="shared" si="90"/>
        <v>-</v>
      </c>
      <c r="FY140" s="236" t="str">
        <f t="shared" si="91"/>
        <v>|</v>
      </c>
      <c r="FZ140" s="237" t="str">
        <f t="shared" si="92"/>
        <v>|</v>
      </c>
      <c r="GA140" s="236" t="str">
        <f t="shared" si="93"/>
        <v>-</v>
      </c>
      <c r="GB140" s="238" t="str">
        <f t="shared" si="94"/>
        <v>|</v>
      </c>
      <c r="GC140" s="244" t="str">
        <f>IFERROR(__xludf.DUMMYFUNCTION("IF(REGEXMATCH(C140, ""S""), ""1"","""")"),"1")</f>
        <v>1</v>
      </c>
      <c r="GD140" s="245" t="str">
        <f>IFERROR(__xludf.DUMMYFUNCTION("IF(REGEXMATCH(C140, ""r""), ""b2"","""")"),"")</f>
        <v/>
      </c>
      <c r="GE140" s="246" t="str">
        <f>IFERROR(__xludf.DUMMYFUNCTION("IF(REGEXMATCH(C140, ""R""), ""2"","""")"),"2")</f>
        <v>2</v>
      </c>
      <c r="GF140" s="246" t="str">
        <f>IFERROR(__xludf.DUMMYFUNCTION("IF(REGEXMATCH(C140, ""g""), ""b3"","""")"),"b3")</f>
        <v>b3</v>
      </c>
      <c r="GG140" s="245" t="str">
        <f>IFERROR(__xludf.DUMMYFUNCTION("IF(REGEXMATCH(C140, ""G""), ""3"","""")"),"")</f>
        <v/>
      </c>
      <c r="GH140" s="245" t="str">
        <f>IFERROR(__xludf.DUMMYFUNCTION("IF(REGEXMATCH(C140, ""m""), ""4"","""")"),"4")</f>
        <v>4</v>
      </c>
      <c r="GI140" s="246" t="str">
        <f>IFERROR(__xludf.DUMMYFUNCTION("IF(REGEXMATCH(C140, ""M""), ""#4"","""")"),"")</f>
        <v/>
      </c>
      <c r="GJ140" s="245" t="str">
        <f>IFERROR(__xludf.DUMMYFUNCTION("IF(REGEXMATCH(C140, ""P""), ""5"","""")"),"5")</f>
        <v>5</v>
      </c>
      <c r="GK140" s="246" t="str">
        <f>IFERROR(__xludf.DUMMYFUNCTION("IF(REGEXMATCH(C140, ""d""), ""b6"","""")"),"")</f>
        <v/>
      </c>
      <c r="GL140" s="245" t="str">
        <f>IFERROR(__xludf.DUMMYFUNCTION("IF(REGEXMATCH(C140, ""D""), ""6"","""")"),"6")</f>
        <v>6</v>
      </c>
      <c r="GM140" s="245" t="str">
        <f>IFERROR(__xludf.DUMMYFUNCTION("IF(REGEXMATCH(C140, ""n""), ""b7"","""")"),"b7")</f>
        <v>b7</v>
      </c>
      <c r="GN140" s="246" t="str">
        <f>IFERROR(__xludf.DUMMYFUNCTION("IF(REGEXMATCH(C140, ""N""), ""7"","""")"),"")</f>
        <v/>
      </c>
      <c r="GO140" s="249" t="str">
        <f>IFERROR(__xludf.DUMMYFUNCTION("IF(REGEXMATCH(C140, ""S""), ""8"","""")"),"8")</f>
        <v>8</v>
      </c>
      <c r="GP140" s="244" t="str">
        <f>IFERROR(__xludf.DUMMYFUNCTION("IF(REGEXMATCH(C140, ""S""), ""S"","""")"),"S")</f>
        <v>S</v>
      </c>
      <c r="GQ140" s="294" t="str">
        <f>IFERROR(__xludf.DUMMYFUNCTION("IF(REGEXMATCH(C140, ""r""), ""R1"","""")"),"")</f>
        <v/>
      </c>
      <c r="GR140" s="295" t="str">
        <f>IFERROR(__xludf.DUMMYFUNCTION("IF(REGEXMATCH(C140, ""R""), ""R2"","""")"),"R2")</f>
        <v>R2</v>
      </c>
      <c r="GS140" s="295" t="str">
        <f>IFERROR(__xludf.DUMMYFUNCTION("IF(REGEXMATCH(C140, ""g""), ""G2"","""")"),"G2")</f>
        <v>G2</v>
      </c>
      <c r="GT140" s="294" t="str">
        <f>IFERROR(__xludf.DUMMYFUNCTION("IF(REGEXMATCH(C140, ""G""), ""G3"","""")"),"")</f>
        <v/>
      </c>
      <c r="GU140" s="294" t="str">
        <f>IFERROR(__xludf.DUMMYFUNCTION("IF(REGEXMATCH(C140, ""m""), ""M1"","""")"),"M1")</f>
        <v>M1</v>
      </c>
      <c r="GV140" s="295" t="str">
        <f>IFERROR(__xludf.DUMMYFUNCTION("IF(REGEXMATCH(C140, ""M""), ""M2"","""")"),"")</f>
        <v/>
      </c>
      <c r="GW140" s="294" t="str">
        <f>IFERROR(__xludf.DUMMYFUNCTION("IF(REGEXMATCH(C140, ""P""), ""P"","""")"),"P")</f>
        <v>P</v>
      </c>
      <c r="GX140" s="295" t="str">
        <f>IFERROR(__xludf.DUMMYFUNCTION("IF(REGEXMATCH(C140, ""d""), ""D1"","""")"),"")</f>
        <v/>
      </c>
      <c r="GY140" s="294" t="str">
        <f>IFERROR(__xludf.DUMMYFUNCTION("IF(REGEXMATCH(C140, ""D""), ""D2"","""")"),"D2")</f>
        <v>D2</v>
      </c>
      <c r="GZ140" s="294" t="str">
        <f>IFERROR(__xludf.DUMMYFUNCTION("IF(REGEXMATCH(C140, ""n""), ""N2"","""")"),"N2")</f>
        <v>N2</v>
      </c>
      <c r="HA140" s="295" t="str">
        <f>IFERROR(__xludf.DUMMYFUNCTION("IF(REGEXMATCH(C140, ""N""), ""N3"","""")"),"")</f>
        <v/>
      </c>
      <c r="HB140" s="249" t="str">
        <f>IFERROR(__xludf.DUMMYFUNCTION("IF(REGEXMATCH(C140, ""S""), ""S"","""")"),"S")</f>
        <v>S</v>
      </c>
      <c r="HC140" s="331" t="str">
        <f t="shared" si="95"/>
        <v>S</v>
      </c>
      <c r="HD140" s="332" t="str">
        <f t="shared" si="96"/>
        <v/>
      </c>
      <c r="HE140" s="332" t="str">
        <f t="shared" si="97"/>
        <v>R</v>
      </c>
      <c r="HF140" s="332" t="str">
        <f t="shared" si="98"/>
        <v>g</v>
      </c>
      <c r="HG140" s="332" t="str">
        <f t="shared" si="99"/>
        <v/>
      </c>
      <c r="HH140" s="332" t="str">
        <f t="shared" si="100"/>
        <v>m</v>
      </c>
      <c r="HI140" s="332" t="str">
        <f t="shared" si="101"/>
        <v/>
      </c>
      <c r="HJ140" s="332" t="str">
        <f t="shared" si="102"/>
        <v>P</v>
      </c>
      <c r="HK140" s="332" t="str">
        <f t="shared" si="103"/>
        <v/>
      </c>
      <c r="HL140" s="332" t="str">
        <f t="shared" si="104"/>
        <v>D</v>
      </c>
      <c r="HM140" s="332" t="str">
        <f t="shared" si="105"/>
        <v>n</v>
      </c>
      <c r="HN140" s="332" t="str">
        <f t="shared" si="106"/>
        <v/>
      </c>
      <c r="HO140" s="343" t="str">
        <f t="shared" si="107"/>
        <v>S</v>
      </c>
      <c r="HP140" s="331" t="str">
        <f t="shared" si="108"/>
        <v>o</v>
      </c>
      <c r="HQ140" s="332" t="str">
        <f t="shared" si="109"/>
        <v>•</v>
      </c>
      <c r="HR140" s="332" t="str">
        <f t="shared" si="110"/>
        <v>o</v>
      </c>
      <c r="HS140" s="332" t="str">
        <f t="shared" si="111"/>
        <v>o</v>
      </c>
      <c r="HT140" s="332" t="str">
        <f t="shared" si="112"/>
        <v>•</v>
      </c>
      <c r="HU140" s="332" t="str">
        <f t="shared" si="113"/>
        <v>o</v>
      </c>
      <c r="HV140" s="332" t="str">
        <f t="shared" si="114"/>
        <v>•</v>
      </c>
      <c r="HW140" s="332" t="str">
        <f t="shared" si="115"/>
        <v>o</v>
      </c>
      <c r="HX140" s="332" t="str">
        <f t="shared" si="116"/>
        <v>•</v>
      </c>
      <c r="HY140" s="332" t="str">
        <f t="shared" si="117"/>
        <v>o</v>
      </c>
      <c r="HZ140" s="332" t="str">
        <f t="shared" si="118"/>
        <v>o</v>
      </c>
      <c r="IA140" s="332" t="str">
        <f t="shared" si="119"/>
        <v>•</v>
      </c>
      <c r="IB140" s="338" t="str">
        <f t="shared" si="120"/>
        <v>o</v>
      </c>
      <c r="IC140" s="331" t="str">
        <f t="shared" si="121"/>
        <v>•</v>
      </c>
      <c r="ID140" s="332" t="str">
        <f t="shared" si="122"/>
        <v>o</v>
      </c>
      <c r="IE140" s="332" t="str">
        <f t="shared" si="123"/>
        <v>•</v>
      </c>
      <c r="IF140" s="332" t="str">
        <f t="shared" si="124"/>
        <v>•</v>
      </c>
      <c r="IG140" s="332" t="str">
        <f t="shared" si="125"/>
        <v>o</v>
      </c>
      <c r="IH140" s="332" t="str">
        <f t="shared" si="126"/>
        <v>•</v>
      </c>
      <c r="II140" s="332" t="str">
        <f t="shared" si="127"/>
        <v>o</v>
      </c>
      <c r="IJ140" s="332" t="str">
        <f t="shared" si="128"/>
        <v>•</v>
      </c>
      <c r="IK140" s="332" t="str">
        <f t="shared" si="129"/>
        <v>o</v>
      </c>
      <c r="IL140" s="332" t="str">
        <f t="shared" si="130"/>
        <v>•</v>
      </c>
      <c r="IM140" s="332" t="str">
        <f t="shared" si="131"/>
        <v>•</v>
      </c>
      <c r="IN140" s="332" t="str">
        <f t="shared" si="132"/>
        <v>o</v>
      </c>
      <c r="IO140" s="338" t="str">
        <f t="shared" si="133"/>
        <v>•</v>
      </c>
      <c r="IP140" s="346" t="b">
        <f t="shared" si="134"/>
        <v>0</v>
      </c>
      <c r="IQ140" s="347" t="b">
        <f t="shared" si="135"/>
        <v>0</v>
      </c>
      <c r="IR140" s="347" t="b">
        <f t="shared" si="136"/>
        <v>0</v>
      </c>
      <c r="IS140" s="347" t="b">
        <f t="shared" si="137"/>
        <v>0</v>
      </c>
      <c r="IT140" s="347" t="b">
        <f t="shared" si="138"/>
        <v>0</v>
      </c>
      <c r="IU140" s="347" t="b">
        <f t="shared" si="139"/>
        <v>0</v>
      </c>
      <c r="IV140" s="347" t="b">
        <f t="shared" si="140"/>
        <v>0</v>
      </c>
      <c r="IW140" s="347" t="b">
        <f t="shared" si="141"/>
        <v>0</v>
      </c>
      <c r="IX140" s="347" t="b">
        <f t="shared" si="142"/>
        <v>0</v>
      </c>
      <c r="IY140" s="347" t="b">
        <f t="shared" si="143"/>
        <v>1</v>
      </c>
      <c r="IZ140" s="347" t="b">
        <f t="shared" si="144"/>
        <v>0</v>
      </c>
      <c r="JA140" s="347" t="b">
        <f t="shared" si="145"/>
        <v>0</v>
      </c>
      <c r="JB140" s="353" t="b">
        <f t="shared" si="146"/>
        <v>0</v>
      </c>
      <c r="JC140" s="354" t="str">
        <f t="shared" si="147"/>
        <v/>
      </c>
      <c r="JD140" s="355" t="str">
        <f t="shared" si="148"/>
        <v/>
      </c>
      <c r="JE140" s="355" t="str">
        <f t="shared" si="149"/>
        <v/>
      </c>
      <c r="JF140" s="355" t="str">
        <f t="shared" si="150"/>
        <v/>
      </c>
      <c r="JG140" s="355" t="str">
        <f t="shared" si="151"/>
        <v/>
      </c>
      <c r="JH140" s="355" t="str">
        <f t="shared" si="152"/>
        <v/>
      </c>
      <c r="JI140" s="355" t="str">
        <f t="shared" si="153"/>
        <v/>
      </c>
      <c r="JJ140" s="355" t="str">
        <f t="shared" si="154"/>
        <v/>
      </c>
      <c r="JK140" s="355" t="str">
        <f t="shared" si="155"/>
        <v/>
      </c>
      <c r="JL140" s="355" t="str">
        <f t="shared" si="156"/>
        <v>Dha, </v>
      </c>
      <c r="JM140" s="355" t="str">
        <f t="shared" si="157"/>
        <v/>
      </c>
      <c r="JN140" s="355" t="str">
        <f t="shared" si="158"/>
        <v/>
      </c>
      <c r="JO140" s="359" t="str">
        <f t="shared" si="159"/>
        <v/>
      </c>
      <c r="JP140" s="346" t="b">
        <f t="shared" si="160"/>
        <v>0</v>
      </c>
      <c r="JQ140" s="347" t="b">
        <f t="shared" si="161"/>
        <v>0</v>
      </c>
      <c r="JR140" s="347" t="b">
        <f t="shared" si="162"/>
        <v>0</v>
      </c>
      <c r="JS140" s="347" t="b">
        <f t="shared" si="163"/>
        <v>0</v>
      </c>
      <c r="JT140" s="347" t="b">
        <f t="shared" si="164"/>
        <v>0</v>
      </c>
      <c r="JU140" s="347" t="b">
        <f t="shared" si="165"/>
        <v>0</v>
      </c>
      <c r="JV140" s="347" t="b">
        <f t="shared" si="166"/>
        <v>0</v>
      </c>
      <c r="JW140" s="347" t="b">
        <f t="shared" si="167"/>
        <v>0</v>
      </c>
      <c r="JX140" s="347" t="b">
        <f t="shared" si="168"/>
        <v>0</v>
      </c>
      <c r="JY140" s="347" t="b">
        <f t="shared" si="169"/>
        <v>0</v>
      </c>
      <c r="JZ140" s="347" t="b">
        <f t="shared" si="170"/>
        <v>0</v>
      </c>
      <c r="KA140" s="347" t="b">
        <f t="shared" si="171"/>
        <v>0</v>
      </c>
      <c r="KB140" s="365" t="b">
        <f t="shared" si="172"/>
        <v>0</v>
      </c>
      <c r="KC140" s="354" t="str">
        <f t="shared" si="173"/>
        <v/>
      </c>
      <c r="KD140" s="355" t="str">
        <f t="shared" si="174"/>
        <v/>
      </c>
      <c r="KE140" s="355" t="str">
        <f t="shared" si="175"/>
        <v/>
      </c>
      <c r="KF140" s="355" t="str">
        <f t="shared" si="176"/>
        <v/>
      </c>
      <c r="KG140" s="355" t="str">
        <f t="shared" si="177"/>
        <v/>
      </c>
      <c r="KH140" s="355" t="str">
        <f t="shared" si="178"/>
        <v/>
      </c>
      <c r="KI140" s="355" t="str">
        <f t="shared" si="179"/>
        <v/>
      </c>
      <c r="KJ140" s="355" t="str">
        <f t="shared" si="180"/>
        <v/>
      </c>
      <c r="KK140" s="355" t="str">
        <f t="shared" si="181"/>
        <v/>
      </c>
      <c r="KL140" s="355" t="str">
        <f t="shared" si="182"/>
        <v/>
      </c>
      <c r="KM140" s="355" t="str">
        <f t="shared" si="183"/>
        <v/>
      </c>
      <c r="KN140" s="355" t="str">
        <f t="shared" si="184"/>
        <v/>
      </c>
      <c r="KO140" s="359"/>
      <c r="KP140" s="378"/>
      <c r="KQ140" s="379" t="s">
        <v>561</v>
      </c>
      <c r="KR140" s="380" t="s">
        <v>1297</v>
      </c>
      <c r="KS140" s="381" t="str">
        <f>KQ140</f>
        <v>S-R-g-m-P-D-n-S</v>
      </c>
      <c r="KT140" s="382">
        <f t="shared" si="186"/>
        <v>7</v>
      </c>
      <c r="KU140" s="383">
        <f t="shared" si="187"/>
        <v>7</v>
      </c>
      <c r="KV140" s="381" t="str">
        <f t="shared" si="205"/>
        <v>S-n-D-P-m-g-R-S</v>
      </c>
      <c r="KW140" s="382">
        <f t="shared" si="189"/>
        <v>7</v>
      </c>
      <c r="KX140" s="384">
        <f t="shared" si="190"/>
        <v>7</v>
      </c>
      <c r="KY140" s="382">
        <f t="shared" ref="KY140:KZ140" si="487">KW140-KT140</f>
        <v>0</v>
      </c>
      <c r="KZ140" s="369">
        <f t="shared" si="487"/>
        <v>0</v>
      </c>
      <c r="LA140" s="385" t="str">
        <f t="shared" si="192"/>
        <v>✔</v>
      </c>
      <c r="LB140" s="340" t="str">
        <f>IFERROR(__xludf.DUMMYFUNCTION("JOIN("""",ArrayFormula(MID(KS140,LEN(KS140)-SEQUENCE(1,LEN(KS140))+1,1)))"),"S-n-D-P-m-g-R-S")</f>
        <v>S-n-D-P-m-g-R-S</v>
      </c>
      <c r="LC140" s="373" t="str">
        <f>IFERROR(__xludf.DUMMYFUNCTION("JOIN("""",ArrayFormula(MID(KV140,LEN(KV140)-SEQUENCE(1,LEN(KV140))+1,1)))"),"S-R-g-m-P-D-n-S")</f>
        <v>S-R-g-m-P-D-n-S</v>
      </c>
      <c r="LD140" s="373" t="str">
        <f t="shared" si="193"/>
        <v>SRgmPDnS</v>
      </c>
      <c r="LE140" s="339" t="str">
        <f t="shared" si="194"/>
        <v>SRgmPDnS</v>
      </c>
      <c r="LF140" s="386" t="str">
        <f>IFERROR(__xludf.DUMMYFUNCTION("SUBSTITUTE(SUBSTITUTE(CONCATENATE(JOIN("""",LH140:LT140)),""1"",""""),""2"","""")"),"SRgmPDnS")</f>
        <v>SRgmPDnS</v>
      </c>
      <c r="LG140" s="369" t="str">
        <f t="shared" si="195"/>
        <v>✔</v>
      </c>
      <c r="LH140" s="387" t="str">
        <f>IFERROR(__xludf.DUMMYFUNCTION("IF(REGEXMATCH(LD140, ""S""), ""S"",IF(REGEXMATCH(LE140, ""S""), ""S"",""""))"),"S")</f>
        <v>S</v>
      </c>
      <c r="LI140" s="299" t="str">
        <f>IFERROR(__xludf.DUMMYFUNCTION("IF(REGEXMATCH(LD140, ""r""), ""r1"",IF(REGEXMATCH(LE140, ""r""), ""r2"",""""))"),"")</f>
        <v/>
      </c>
      <c r="LJ140" s="299" t="str">
        <f>IFERROR(__xludf.DUMMYFUNCTION("IF(REGEXMATCH(LD140, ""R""), ""R1"",IF(REGEXMATCH(LE140, ""R""), ""R2"",""""))"),"R1")</f>
        <v>R1</v>
      </c>
      <c r="LK140" s="299" t="str">
        <f>IFERROR(__xludf.DUMMYFUNCTION("IF(REGEXMATCH(LD140, ""g""), ""g1"",IF(REGEXMATCH(LE140, ""g""), ""g2"",""""))"),"g1")</f>
        <v>g1</v>
      </c>
      <c r="LL140" s="299" t="str">
        <f>IFERROR(__xludf.DUMMYFUNCTION("IF(REGEXMATCH(LD140, ""G""), ""G1"",IF(REGEXMATCH(LE140, ""G""), ""G2"",""""))"),"")</f>
        <v/>
      </c>
      <c r="LM140" s="299" t="str">
        <f>IFERROR(__xludf.DUMMYFUNCTION("IF(REGEXMATCH(LD140, ""m""), ""m1"",IF(REGEXMATCH(LE140, ""m""), ""m2"",""""))"),"m1")</f>
        <v>m1</v>
      </c>
      <c r="LN140" s="299" t="str">
        <f>IFERROR(__xludf.DUMMYFUNCTION("IF(REGEXMATCH(LD140, ""M""), ""M1"",IF(REGEXMATCH(LE140, ""M""), ""M2"",""""))"),"")</f>
        <v/>
      </c>
      <c r="LO140" s="299" t="str">
        <f>IFERROR(__xludf.DUMMYFUNCTION("IF(REGEXMATCH(LD140, ""P""), ""P1"",IF(REGEXMATCH(LE140, ""P""), ""P2"",""""))"),"P1")</f>
        <v>P1</v>
      </c>
      <c r="LP140" s="299" t="str">
        <f>IFERROR(__xludf.DUMMYFUNCTION("IF(REGEXMATCH(LD140, ""d""), ""d1"",IF(REGEXMATCH(LE140, ""d""), ""d2"",""""))"),"")</f>
        <v/>
      </c>
      <c r="LQ140" s="299" t="str">
        <f>IFERROR(__xludf.DUMMYFUNCTION("IF(REGEXMATCH(LD140, ""D""), ""D1"",IF(REGEXMATCH(LE140, ""D""), ""D2"",""""))"),"D1")</f>
        <v>D1</v>
      </c>
      <c r="LR140" s="299" t="str">
        <f>IFERROR(__xludf.DUMMYFUNCTION("IF(REGEXMATCH(LD140, ""n""), ""n1"",IF(REGEXMATCH(LE140, ""n""), ""n2"",""""))"),"n1")</f>
        <v>n1</v>
      </c>
      <c r="LS140" s="299" t="str">
        <f>IFERROR(__xludf.DUMMYFUNCTION("IF(REGEXMATCH(LD140, ""N""), ""N1"",IF(REGEXMATCH(LE140, ""N""), ""N2"",""""))"),"")</f>
        <v/>
      </c>
      <c r="LT140" s="388" t="str">
        <f>IFERROR(__xludf.DUMMYFUNCTION("IF(REGEXMATCH(LD140, ""S""), ""S"",IF(REGEXMATCH(LE140, ""S""), ""S"",""""))"),"S")</f>
        <v>S</v>
      </c>
      <c r="LU140" s="389">
        <f t="shared" si="196"/>
        <v>1</v>
      </c>
      <c r="LV140" s="378"/>
      <c r="LW140" s="369"/>
      <c r="LX140" s="369"/>
    </row>
    <row r="141" ht="18.0" customHeight="1">
      <c r="A141" s="298" t="s">
        <v>802</v>
      </c>
      <c r="B141" s="222" t="s">
        <v>527</v>
      </c>
      <c r="C141" s="233" t="str">
        <f t="shared" si="7"/>
        <v>SRgmPDnNS</v>
      </c>
      <c r="D141" s="234" t="str">
        <f>IFERROR(__xludf.DUMMYFUNCTION("IF(REGEXMATCH(C141, ""S""), ""S"","""")"),"S")</f>
        <v>S</v>
      </c>
      <c r="E141" s="236" t="str">
        <f>IFERROR(__xludf.DUMMYFUNCTION("IF(REGEXMATCH(C141, ""r""), ""r"","""")"),"")</f>
        <v/>
      </c>
      <c r="F141" s="237" t="str">
        <f>IFERROR(__xludf.DUMMYFUNCTION("IF(REGEXMATCH(C141, ""R""), ""R"","""")"),"R")</f>
        <v>R</v>
      </c>
      <c r="G141" s="237" t="str">
        <f>IFERROR(__xludf.DUMMYFUNCTION("IF(REGEXMATCH(C141, ""g""), ""g"","""")"),"g")</f>
        <v>g</v>
      </c>
      <c r="H141" s="236" t="str">
        <f>IFERROR(__xludf.DUMMYFUNCTION("IF(REGEXMATCH(C141, ""G""), ""G"","""")"),"")</f>
        <v/>
      </c>
      <c r="I141" s="236" t="str">
        <f>IFERROR(__xludf.DUMMYFUNCTION("IF(REGEXMATCH(C141, ""m""), ""m"","""")"),"m")</f>
        <v>m</v>
      </c>
      <c r="J141" s="237" t="str">
        <f>IFERROR(__xludf.DUMMYFUNCTION("IF(REGEXMATCH(C141, ""M""), ""M"","""")"),"")</f>
        <v/>
      </c>
      <c r="K141" s="236" t="str">
        <f>IFERROR(__xludf.DUMMYFUNCTION("IF(REGEXMATCH(C141, ""P""), ""P"","""")"),"P")</f>
        <v>P</v>
      </c>
      <c r="L141" s="237" t="str">
        <f>IFERROR(__xludf.DUMMYFUNCTION("IF(REGEXMATCH(C141, ""d""), ""d"","""")"),"")</f>
        <v/>
      </c>
      <c r="M141" s="236" t="str">
        <f>IFERROR(__xludf.DUMMYFUNCTION("IF(REGEXMATCH(C141, ""D""), ""D"","""")"),"D")</f>
        <v>D</v>
      </c>
      <c r="N141" s="236" t="str">
        <f>IFERROR(__xludf.DUMMYFUNCTION("IF(REGEXMATCH(C141, ""n""), ""n"","""")"),"n")</f>
        <v>n</v>
      </c>
      <c r="O141" s="237" t="str">
        <f>IFERROR(__xludf.DUMMYFUNCTION("IF(REGEXMATCH(C141, ""N""), ""N"","""")"),"N")</f>
        <v>N</v>
      </c>
      <c r="P141" s="238" t="str">
        <f>IFERROR(__xludf.DUMMYFUNCTION("IF(REGEXMATCH(C141, ""S""), ""S"","""")"),"S")</f>
        <v>S</v>
      </c>
      <c r="Q141" s="239" t="str">
        <f>IFERROR(__xludf.DUMMYFUNCTION("SUBSTITUTE(CONCATENATE(JOIN(""-"",D141:J141)),""-"","""")"),"SRgm")</f>
        <v>SRgm</v>
      </c>
      <c r="R141" s="229" t="str">
        <f>IFERROR(__xludf.DUMMYFUNCTION("SUBSTITUTE(CONCATENATE(JOIN(""-"",K141:P141)),""-"","""")"),"PDnNS")</f>
        <v>PDnNS</v>
      </c>
      <c r="S141" s="282" t="str">
        <f t="shared" si="8"/>
        <v>S-R-G-M</v>
      </c>
      <c r="T141" s="282" t="str">
        <f t="shared" si="9"/>
        <v>P-D-N-S</v>
      </c>
      <c r="U141" s="237" t="str">
        <f>IFERROR(__xludf.DUMMYFUNCTION("SUBSTITUTE(JOIN(""-"",S141,T141),""--"",""-"")"),"S-R-G-M-P-D-N-S")</f>
        <v>S-R-G-M-P-D-N-S</v>
      </c>
      <c r="V141" s="309" t="str">
        <f t="shared" si="10"/>
        <v>RgmDnN</v>
      </c>
      <c r="W141" s="244" t="str">
        <f>IFERROR(__xludf.DUMMYFUNCTION("IF(REGEXMATCH(C141, ""S""), ""0"","""")"),"0")</f>
        <v>0</v>
      </c>
      <c r="X141" s="245" t="str">
        <f>IFERROR(__xludf.DUMMYFUNCTION("IF(REGEXMATCH(C141, ""r""), ""1"","""")"),"")</f>
        <v/>
      </c>
      <c r="Y141" s="246" t="str">
        <f>IFERROR(__xludf.DUMMYFUNCTION("IF(REGEXMATCH(C141, ""R""), ""2"","""")"),"2")</f>
        <v>2</v>
      </c>
      <c r="Z141" s="246" t="str">
        <f>IFERROR(__xludf.DUMMYFUNCTION("IF(REGEXMATCH(C141, ""g""), ""3"","""")"),"3")</f>
        <v>3</v>
      </c>
      <c r="AA141" s="245" t="str">
        <f>IFERROR(__xludf.DUMMYFUNCTION("IF(REGEXMATCH(C141, ""G""), ""4"","""")"),"")</f>
        <v/>
      </c>
      <c r="AB141" s="245" t="str">
        <f>IFERROR(__xludf.DUMMYFUNCTION("IF(REGEXMATCH(C141, ""m""), ""5"","""")"),"5")</f>
        <v>5</v>
      </c>
      <c r="AC141" s="246" t="str">
        <f>IFERROR(__xludf.DUMMYFUNCTION("IF(REGEXMATCH(C141, ""M""), ""6"","""")"),"")</f>
        <v/>
      </c>
      <c r="AD141" s="245" t="str">
        <f>IFERROR(__xludf.DUMMYFUNCTION("IF(REGEXMATCH(C141, ""P""), ""7"","""")"),"7")</f>
        <v>7</v>
      </c>
      <c r="AE141" s="246" t="str">
        <f>IFERROR(__xludf.DUMMYFUNCTION("IF(REGEXMATCH(C141, ""d""), ""8"","""")"),"")</f>
        <v/>
      </c>
      <c r="AF141" s="245" t="str">
        <f>IFERROR(__xludf.DUMMYFUNCTION("IF(REGEXMATCH(C141, ""D""), ""9"","""")"),"9")</f>
        <v>9</v>
      </c>
      <c r="AG141" s="245" t="str">
        <f>IFERROR(__xludf.DUMMYFUNCTION("IF(REGEXMATCH(C141, ""n""), ""10"","""")"),"10")</f>
        <v>10</v>
      </c>
      <c r="AH141" s="246" t="str">
        <f>IFERROR(__xludf.DUMMYFUNCTION("IF(REGEXMATCH(C141, ""N""), ""11"","""")"),"11")</f>
        <v>11</v>
      </c>
      <c r="AI141" s="249" t="str">
        <f>IFERROR(__xludf.DUMMYFUNCTION("IF(REGEXMATCH(C141, ""S""), ""0"","""")"),"0")</f>
        <v>0</v>
      </c>
      <c r="AJ141" s="313" t="str">
        <f t="shared" si="11"/>
        <v>-</v>
      </c>
      <c r="AK141" s="313" t="str">
        <f t="shared" si="12"/>
        <v>-</v>
      </c>
      <c r="AL141" s="313" t="str">
        <f t="shared" si="13"/>
        <v>-</v>
      </c>
      <c r="AM141" s="313" t="str">
        <f t="shared" si="14"/>
        <v>T</v>
      </c>
      <c r="AN141" s="313" t="str">
        <f t="shared" si="15"/>
        <v>-</v>
      </c>
      <c r="AO141" s="314" t="str">
        <f t="shared" si="16"/>
        <v>T</v>
      </c>
      <c r="AP141" s="316">
        <f t="shared" si="17"/>
        <v>2</v>
      </c>
      <c r="AQ141" s="319" t="str">
        <f t="shared" si="18"/>
        <v>#REF!</v>
      </c>
      <c r="AR141" s="320">
        <f t="shared" si="19"/>
        <v>0</v>
      </c>
      <c r="AS141" s="250" t="str">
        <f>IFERROR(__xludf.DUMMYFUNCTION("SUBSTITUTE(SUBSTITUTE(CONCATENATE(JOIN("""",FP141:GA141)),""|"",""x""),""-"",""o"")"),"xoxxoxoxoxxx")</f>
        <v>xoxxoxoxoxxx</v>
      </c>
      <c r="AT141" s="323" t="str">
        <f>IFERROR(__xludf.DUMMYFUNCTION("JOIN("""",AS141,AS141)"),"xoxxoxoxoxxxxoxxoxoxoxxx")</f>
        <v>xoxxoxoxoxxxxoxxoxoxoxxx</v>
      </c>
      <c r="AU141" s="256" t="str">
        <f>IFERROR(__xludf.DUMMYFUNCTION("JOIN("""",ArrayFormula(MID(AS141,LEN(AS141)-SEQUENCE(1,LEN(AS141))+1,1)))"),"xxxoxoxoxxox")</f>
        <v>xxxoxoxoxxox</v>
      </c>
      <c r="AV141" s="256" t="str">
        <f>IFERROR(__xludf.DUMMYFUNCTION("LEFT(CONCATENATE(""x"",JOIN("""",ArrayFormula(MID(AS141,LEN(AS141)-SEQUENCE(1,LEN(AS141))+1,1)))),12)"),"xxxxoxoxoxxo")</f>
        <v>xxxxoxoxoxxo</v>
      </c>
      <c r="AW141" s="327" t="str">
        <f>IFERROR(__xludf.DUMMYFUNCTION("JOIN("""",AU141,AU141)"),"xxxoxoxoxxoxxxxoxoxoxxox")</f>
        <v>xxxoxoxoxxoxxxxoxoxoxxox</v>
      </c>
      <c r="AX141" s="239" t="str">
        <f>IFERROR(__xludf.DUMMYFUNCTION("IF(REGEXMATCH(AW141,AS141),""✔"",""-"")"),"-")</f>
        <v>-</v>
      </c>
      <c r="AY141" s="330" t="str">
        <f t="shared" si="20"/>
        <v>-</v>
      </c>
      <c r="AZ141" s="260" t="str">
        <f t="shared" si="21"/>
        <v>#REF!</v>
      </c>
      <c r="BA141" s="333" t="str">
        <f t="shared" si="22"/>
        <v>xoxxoxo</v>
      </c>
      <c r="BB141" s="334" t="str">
        <f t="shared" si="23"/>
        <v>xoxxxx</v>
      </c>
      <c r="BC141" s="335" t="str">
        <f t="shared" si="236"/>
        <v>-</v>
      </c>
      <c r="BD141" s="336" t="str">
        <f t="shared" si="25"/>
        <v>Hussaini Todi: 'xoxxoxo' + 'xoxxxx'</v>
      </c>
      <c r="BE141" s="337">
        <f>IFERROR(__xludf.DUMMYFUNCTION("COUNTUNIQUE(FILTER(AT:AT,REGEXMATCH(AT:AT,AS141)))-1"),3.0)</f>
        <v>3</v>
      </c>
      <c r="BF141" s="261" t="str">
        <f>IFERROR(__xludf.DUMMYFUNCTION("IF(BI141=0,""(n/a)"",IF(BJ141=2,""(PAIR)"",IF(REGEXMATCH(AT141,""xoxoxxoxoxox""),""Bilawal"",IF(REGEXMATCH(AT141,""xoxoxooxoxoo""),""Bhupali"",IF(REGEXMATCH(AT141,""xoxoxxoxxoxo""),""Charukeshi"",IF(REGEXMATCH(AT141,""xoxoooxxoxxo""),""Kameshwari"",IF(REG"&amp;"EXMATCH(AT141,""xoxoxooxoxox""),""Shankara"",IF(REGEXMATCH(AT141,""xxooxoxxxoox""),""Basant"",IF(REGEXMATCH(AT141,""xoxoxxxxoxox""),""Bihag"",IF(REGEXMATCH(AT141,""xoxxxxoxoxxx""),""Pilu"",IF(REGEXMATCH(AT141,""xoxxoxoxxoox""),""Kirwani"",IF(REGEXMATCH(AT"&amp;"141,""xoxxoxoxoxxx""),""Mk.Malhar"",IF(REGEXMATCH(AT141,""xxooxxoxxoox""),""Bhairav"",IF(REGEXMATCH(AT141,""xxoxooxxxoox""),""Todi"",IF(REGEXMATCH(AT141,""xxooxoxooxox""),""Marwa"",IF(REGEXMATCH(AT141,""xxoooxoxxooo""),""Gunkali"",IF(REGEXMATCH(AT141,""xo"&amp;"xoxxoxxoox""),""Nat Bhairav"",IF(REGEXMATCH(AT141,""xoxxoooxoxoo""),""Shivranjani"",IF(REGEXMATCH(AT141,""xooxxxoxooxo""),""Jog"",IF(REGEXMATCH(AT141,""xxooxoxoxoox""),""Hemshri"",IF(REGEXMATCH(AT141,""xoooxooxoxxo""),""Kalavati"",IF(REGEXMATCH(AT141,""xx"&amp;"oxoxxoxoox""),""Kedar"",IF(REGEXMATCH(AT141,""xoxxxxoxooxx""),""Gara"",IF(REGEXMATCH(AT141,""xooxoxooxoox""),""Chandrakauns"",IF(REGEXMATCH(AT141,""xoxxxxoxxxox""),""Mand"",IF(REGEXMATCH(AT141,""xoxxxxoxoxox""),""Hanskinkini"",IF(REGEXMATCH(AT141,""xxooxx"&amp;"oxooxo""),""Lilavati"",IF(REGEXMATCH(AT141,""xooxoxoooxox""),""Rajeshwari"",IF(REGEXMATCH(AT141,""xoooxxoxoxxx""),""Khokar"",IF(REGEXMATCH(AT141,""xxooxoxxxxox""),""Maligoura"",""-""))))))))))))))))))))))))))))))"),"Mk.Malhar")</f>
        <v>Mk.Malhar</v>
      </c>
      <c r="BG141" s="239" t="str">
        <f t="shared" si="26"/>
        <v>#REF!</v>
      </c>
      <c r="BH141" s="239">
        <f>IFERROR(__xludf.DUMMYFUNCTION("COUNTUNIQUE(FE141:FO141)-1"),7.0)</f>
        <v>7</v>
      </c>
      <c r="BI141" s="239">
        <f>IFERROR(__xludf.DUMMYFUNCTION("COUNTUNIQUE(FILTER(AT:AT,REGEXMATCH(AT:AT,AS141)))-1"),3.0)</f>
        <v>3</v>
      </c>
      <c r="BJ141" s="239">
        <f>IFERROR(__xludf.DUMMYFUNCTION("COUNTA(FILTER(AT:AT,REGEXMATCH(AT:AT,AS141)))"),16.0)</f>
        <v>16</v>
      </c>
      <c r="BK141" s="341">
        <f>IFERROR(__xludf.DUMMYFUNCTION("COUNTA(FILTER(AT:AT,REGEXMATCH(AT:AT,AS141)))-AR141"),16.0)</f>
        <v>16</v>
      </c>
      <c r="BL141" s="276" t="str">
        <f>IFERROR(__xludf.DUMMYFUNCTION("IF(AS141=""oooooooooooo"",""-"",IF(REGEXMATCH(AT141,""xx""), ""Hemi."", ""Anhemi.""))"),"Hemi.")</f>
        <v>Hemi.</v>
      </c>
      <c r="BM141" s="282" t="str">
        <f>IFERROR(__xludf.DUMMYFUNCTION("IF(AS141=""oooooooooooo"",""-"",IF(REGEXMATCH(AT141,""xxx""), ""Cohem."", ""-""))"),"Cohem.")</f>
        <v>Cohem.</v>
      </c>
      <c r="BN141" s="282" t="str">
        <f>IFERROR(__xludf.DUMMYFUNCTION("IF(AS141=""oooooooooooo"",""-"",IF(REGEXMATCH(AT141,""xxxx""), ""Co-Co."", ""-""))"),"Co-Co.")</f>
        <v>Co-Co.</v>
      </c>
      <c r="BO141" s="342" t="str">
        <f>IFERROR(__xludf.DUMMYFUNCTION("IF(AS141=""oooooooooooo"",""-"",IF(REGEXMATCH(AT141,""xxxxx""), ""CCC."", ""-""))"),"-")</f>
        <v>-</v>
      </c>
      <c r="BP141" s="344" t="str">
        <f t="shared" si="27"/>
        <v>-</v>
      </c>
      <c r="BQ141" s="282" t="str">
        <f>IFERROR(__xludf.DUMMYFUNCTION("IF(REGEXMATCH(JOIN(""-"",EU141:FD141),""TRUE""),""✔"",""-"")"),"-")</f>
        <v>-</v>
      </c>
      <c r="BR141" s="225">
        <f t="shared" si="28"/>
        <v>0</v>
      </c>
      <c r="BS141" s="345" t="str">
        <f>IFERROR(__xludf.DUMMYFUNCTION("SUBSTITUTE(SUBSTITUTE(SUBSTITUTE(SUBSTITUTE(CONCATENATE(JOIN(""-"",GC141:GO141)),""--"",""-""),""--"",""-""),""--"",""-""),""--"",""-"")"),"1-2-b3-4-5-6-b7-7-8")</f>
        <v>1-2-b3-4-5-6-b7-7-8</v>
      </c>
      <c r="BT141" s="299" t="str">
        <f>IFERROR(__xludf.DUMMYFUNCTION("SUBSTITUTE(SUBSTITUTE(SUBSTITUTE(SUBSTITUTE(CONCATENATE(JOIN(""-"",GP141:HB141)),""--"",""-""),""--"",""-""),""--"",""-""),""--"",""-"")"),"S-R2-G2-M1-P-D2-N2-N3-S")</f>
        <v>S-R2-G2-M1-P-D2-N2-N3-S</v>
      </c>
      <c r="BU141" s="348" t="str">
        <f t="shared" si="29"/>
        <v>C-D-Eb-F-G-A-Bb-B-C</v>
      </c>
      <c r="BV141" s="349" t="str">
        <f t="shared" si="30"/>
        <v>SrGMdS</v>
      </c>
      <c r="BW141" s="350">
        <f t="shared" si="31"/>
        <v>0</v>
      </c>
      <c r="BX141" s="351">
        <f t="shared" si="32"/>
        <v>11</v>
      </c>
      <c r="BY141" s="392"/>
      <c r="BZ141" s="309" t="str">
        <f>IFERROR(__xludf.DUMMYFUNCTION("IF(REGEXMATCH(C141, ""S""), ""x"",""x"")"),"x")</f>
        <v>x</v>
      </c>
      <c r="CA141" s="245" t="str">
        <f>IFERROR(__xludf.DUMMYFUNCTION("IF(REGEXMATCH(C141, ""r""), ""o"",""x"")"),"x")</f>
        <v>x</v>
      </c>
      <c r="CB141" s="246" t="str">
        <f>IFERROR(__xludf.DUMMYFUNCTION("IF(REGEXMATCH(C141, ""R""), ""o"",""x"")"),"o")</f>
        <v>o</v>
      </c>
      <c r="CC141" s="246" t="str">
        <f>IFERROR(__xludf.DUMMYFUNCTION("IF(REGEXMATCH(C141, ""g""), ""o"",""x"")"),"o")</f>
        <v>o</v>
      </c>
      <c r="CD141" s="245" t="str">
        <f>IFERROR(__xludf.DUMMYFUNCTION("IF(REGEXMATCH(C141, ""G""), ""o"",""x"")"),"x")</f>
        <v>x</v>
      </c>
      <c r="CE141" s="245" t="str">
        <f>IFERROR(__xludf.DUMMYFUNCTION("IF(REGEXMATCH(C141, ""m""), ""o"",""x"")"),"o")</f>
        <v>o</v>
      </c>
      <c r="CF141" s="246" t="str">
        <f>IFERROR(__xludf.DUMMYFUNCTION("IF(REGEXMATCH(C141, ""M""), ""o"",""x"")"),"x")</f>
        <v>x</v>
      </c>
      <c r="CG141" s="245" t="str">
        <f>IFERROR(__xludf.DUMMYFUNCTION("IF(REGEXMATCH(C141, ""P""), ""o"",""x"")"),"o")</f>
        <v>o</v>
      </c>
      <c r="CH141" s="246" t="str">
        <f>IFERROR(__xludf.DUMMYFUNCTION("IF(REGEXMATCH(C141, ""d""), ""o"",""x"")"),"x")</f>
        <v>x</v>
      </c>
      <c r="CI141" s="245" t="str">
        <f>IFERROR(__xludf.DUMMYFUNCTION("IF(REGEXMATCH(C141, ""D""), ""o"",""x"")"),"o")</f>
        <v>o</v>
      </c>
      <c r="CJ141" s="245" t="str">
        <f>IFERROR(__xludf.DUMMYFUNCTION("IF(REGEXMATCH(C141, ""n""), ""o"",""x"")"),"o")</f>
        <v>o</v>
      </c>
      <c r="CK141" s="245" t="str">
        <f>IFERROR(__xludf.DUMMYFUNCTION("IF(REGEXMATCH(C141, ""N""), ""o"",""x"")"),"o")</f>
        <v>o</v>
      </c>
      <c r="CL141" s="356" t="str">
        <f>IFERROR(__xludf.DUMMYFUNCTION("IF(REGEXMATCH(C141, ""S""), ""x"",""x"")"),"x")</f>
        <v>x</v>
      </c>
      <c r="CM141" s="357" t="str">
        <f t="shared" si="33"/>
        <v>xxooxoxoxooo</v>
      </c>
      <c r="CN141" s="358">
        <f t="shared" si="34"/>
        <v>0</v>
      </c>
      <c r="CO141" s="246" t="str">
        <f>IFERROR(__xludf.DUMMYFUNCTION("IF(REGEXMATCH($C141, ""S""), ""S"",""S"")"),"S")</f>
        <v>S</v>
      </c>
      <c r="CP141" s="246" t="str">
        <f>IFERROR(__xludf.DUMMYFUNCTION("IF(REGEXMATCH($C141, ""r""), """",""r"")"),"r")</f>
        <v>r</v>
      </c>
      <c r="CQ141" s="246" t="str">
        <f>IFERROR(__xludf.DUMMYFUNCTION("IF(REGEXMATCH($C141, ""R""), """",""R"")"),"")</f>
        <v/>
      </c>
      <c r="CR141" s="246" t="str">
        <f>IFERROR(__xludf.DUMMYFUNCTION("IF(REGEXMATCH($C141, ""g""), """",""g"")"),"")</f>
        <v/>
      </c>
      <c r="CS141" s="246" t="str">
        <f>IFERROR(__xludf.DUMMYFUNCTION("IF(REGEXMATCH($C141, ""G""), """",""G"")"),"G")</f>
        <v>G</v>
      </c>
      <c r="CT141" s="246" t="str">
        <f>IFERROR(__xludf.DUMMYFUNCTION("IF(REGEXMATCH($C141, ""m""), """",""m"")"),"")</f>
        <v/>
      </c>
      <c r="CU141" s="246" t="str">
        <f>IFERROR(__xludf.DUMMYFUNCTION("IF(REGEXMATCH($C141, ""M""), """",""M"")"),"M")</f>
        <v>M</v>
      </c>
      <c r="CV141" s="246" t="str">
        <f>IFERROR(__xludf.DUMMYFUNCTION("IF(REGEXMATCH($C141, ""P""), """",""P"")"),"")</f>
        <v/>
      </c>
      <c r="CW141" s="246" t="str">
        <f>IFERROR(__xludf.DUMMYFUNCTION("IF(REGEXMATCH($C141, ""d""), """",""d"")"),"d")</f>
        <v>d</v>
      </c>
      <c r="CX141" s="246" t="str">
        <f>IFERROR(__xludf.DUMMYFUNCTION("IF(REGEXMATCH($C141, ""D""), """",""D"")"),"")</f>
        <v/>
      </c>
      <c r="CY141" s="246" t="str">
        <f>IFERROR(__xludf.DUMMYFUNCTION("IF(REGEXMATCH($C141, ""n""), """",""n"")"),"")</f>
        <v/>
      </c>
      <c r="CZ141" s="246" t="str">
        <f>IFERROR(__xludf.DUMMYFUNCTION("IF(REGEXMATCH($C141, ""N""), """",""N"")"),"")</f>
        <v/>
      </c>
      <c r="DA141" s="246" t="str">
        <f>IFERROR(__xludf.DUMMYFUNCTION("IF(REGEXMATCH($C141, ""S""), ""S"",""S"")"),"S")</f>
        <v>S</v>
      </c>
      <c r="DB141" s="362" t="str">
        <f>IFERROR(__xludf.DUMMYFUNCTION("JOIN("""",CO141:DA141,"""","""")"),"SrGMdS")</f>
        <v>SrGMdS</v>
      </c>
      <c r="DC141" s="363"/>
      <c r="DD141" s="301" t="str">
        <f t="shared" si="35"/>
        <v>#REF!</v>
      </c>
      <c r="DE141" s="302" t="str">
        <f t="shared" si="36"/>
        <v>#REF!</v>
      </c>
      <c r="DF141" s="301" t="str">
        <f t="shared" ref="DF141:DG141" si="488">SUBSTITUTE(S141,"-","")</f>
        <v>SRGM</v>
      </c>
      <c r="DG141" s="301" t="str">
        <f t="shared" si="488"/>
        <v>PDNS</v>
      </c>
      <c r="DH141" s="302" t="str">
        <f t="shared" si="38"/>
        <v>Mk.Malhar</v>
      </c>
      <c r="DI141" s="301" t="str">
        <f t="shared" si="39"/>
        <v>Hemi.</v>
      </c>
      <c r="DJ141" s="364" t="str">
        <f t="shared" si="40"/>
        <v>Co-Co.</v>
      </c>
      <c r="DK141" s="306" t="str">
        <f t="shared" si="41"/>
        <v>-</v>
      </c>
      <c r="DL141" s="366" t="str">
        <f t="shared" si="42"/>
        <v>-</v>
      </c>
      <c r="DM141" s="308" t="str">
        <f t="shared" si="43"/>
        <v>✔</v>
      </c>
      <c r="DN141" s="306" t="str">
        <f t="shared" si="44"/>
        <v>-</v>
      </c>
      <c r="DO141" s="306" t="str">
        <f t="shared" si="45"/>
        <v>-</v>
      </c>
      <c r="DP141" s="367" t="str">
        <f t="shared" si="46"/>
        <v>-</v>
      </c>
      <c r="DQ141" s="310" t="str">
        <f t="shared" si="47"/>
        <v>-</v>
      </c>
      <c r="DR141" s="310" t="str">
        <f t="shared" si="48"/>
        <v>-</v>
      </c>
      <c r="DS141" s="310" t="str">
        <f t="shared" si="49"/>
        <v>-</v>
      </c>
      <c r="DT141" s="310" t="str">
        <f t="shared" si="50"/>
        <v>-</v>
      </c>
      <c r="DU141" s="370" t="str">
        <f t="shared" si="51"/>
        <v>✔</v>
      </c>
      <c r="DV141" s="306" t="str">
        <f t="shared" si="52"/>
        <v>-</v>
      </c>
      <c r="DW141" s="306" t="str">
        <f t="shared" si="53"/>
        <v>-</v>
      </c>
      <c r="DX141" s="306" t="str">
        <f t="shared" si="54"/>
        <v>-</v>
      </c>
      <c r="DY141" s="306" t="str">
        <f t="shared" si="55"/>
        <v>-</v>
      </c>
      <c r="DZ141" s="306" t="str">
        <f t="shared" si="56"/>
        <v>-</v>
      </c>
      <c r="EA141" s="367" t="str">
        <f t="shared" si="57"/>
        <v>-</v>
      </c>
      <c r="EB141" s="310" t="str">
        <f>IFERROR(__xludf.DUMMYFUNCTION("IF(REGEXMATCH(AW141,AS141),""✔"",""-"")"),"-")</f>
        <v>-</v>
      </c>
      <c r="EC141" s="310" t="str">
        <f t="shared" si="58"/>
        <v>#REF!</v>
      </c>
      <c r="ED141" s="370" t="str">
        <f t="shared" si="59"/>
        <v>-</v>
      </c>
      <c r="EE141" s="340" t="str">
        <f t="shared" si="60"/>
        <v>S-R-g-m-P-D-nN-S</v>
      </c>
      <c r="EF141" s="371" t="str">
        <f>IFERROR(__xludf.DUMMYFUNCTION("CONCATENATE(JOIN("""",HC141:HO141))"),"SrRgmPDnS")</f>
        <v>SrRgmPDnS</v>
      </c>
      <c r="EG141" s="372">
        <f t="shared" si="61"/>
        <v>2</v>
      </c>
      <c r="EH141" s="373" t="str">
        <f>IFERROR(__xludf.DUMMYFUNCTION("CONCATENATE(JOIN("""",JC141:JO141))"),"Dha, Ni, ")</f>
        <v>Dha, Ni, </v>
      </c>
      <c r="EI141" s="322">
        <f t="shared" si="62"/>
        <v>1</v>
      </c>
      <c r="EJ141" s="374" t="str">
        <f>IFERROR(__xludf.DUMMYFUNCTION("CONCATENATE(JOIN("""",KC141:KO141))"),"Ni, ")</f>
        <v>Ni, </v>
      </c>
      <c r="EK141" s="325" t="str">
        <f t="shared" si="63"/>
        <v>S-R2-G2-M1-P-D2-N2-N3-S</v>
      </c>
      <c r="EL141" s="326" t="str">
        <f t="shared" si="64"/>
        <v>1-2-b3-4-5-6-b7-7-8</v>
      </c>
      <c r="EM141" s="318" t="str">
        <f t="shared" si="65"/>
        <v>#REF!</v>
      </c>
      <c r="EN141" s="328" t="str">
        <f>IFERROR(__xludf.DUMMYFUNCTION("SUBSTITUTE(SUBSTITUTE(SUBSTITUTE(SUBSTITUTE(CONCATENATE(JOIN("" "",HP141:IB141)),""  "","" ""),""  "","" ""),""  "","" ""),""  "","" "")"),"o • o o • o • o • o o o o")</f>
        <v>o • o o • o • o • o o o o</v>
      </c>
      <c r="EO141" s="368" t="str">
        <f t="shared" si="66"/>
        <v>-</v>
      </c>
      <c r="EP141" s="339" t="str">
        <f t="shared" si="67"/>
        <v>-</v>
      </c>
      <c r="EQ141" s="339" t="str">
        <f t="shared" si="68"/>
        <v>Sa-Pa</v>
      </c>
      <c r="ER141" s="339" t="str">
        <f t="shared" si="69"/>
        <v>-</v>
      </c>
      <c r="ES141" s="340" t="str">
        <f t="shared" si="70"/>
        <v>-</v>
      </c>
      <c r="ET141" s="363"/>
      <c r="EU141" s="376" t="b">
        <f>IFERROR(__xludf.DUMMYFUNCTION("arrayformula(sum(--REGEXMATCH(""SRGMPDNS"",split(REGEXREPLACE(C141,""(.)"",""$1~""),""~""))))=len(C141)
"),FALSE)</f>
        <v>0</v>
      </c>
      <c r="EV141" s="290" t="b">
        <f>IFERROR(__xludf.DUMMYFUNCTION("arrayformula(sum(--REGEXMATCH(""SRGmPDNS"",split(REGEXREPLACE(C141,""(.)"",""$1~""),""~""))))=len(C141)"),FALSE)</f>
        <v>0</v>
      </c>
      <c r="EW141" s="290" t="b">
        <f>IFERROR(__xludf.DUMMYFUNCTION("arrayformula(sum(--REGEXMATCH(""SRGmPDnS"",split(REGEXREPLACE(C141,""(.)"",""$1~""),""~""))))=len(C141)"),FALSE)</f>
        <v>0</v>
      </c>
      <c r="EX141" s="290" t="b">
        <f>IFERROR(__xludf.DUMMYFUNCTION("arrayformula(sum(--REGEXMATCH(""SRgmPDnS"",split(REGEXREPLACE(C141,""(.)"",""$1~""),""~""))))=len(C141)"),FALSE)</f>
        <v>0</v>
      </c>
      <c r="EY141" s="290" t="b">
        <f>IFERROR(__xludf.DUMMYFUNCTION("arrayformula(sum(--REGEXMATCH(""SRgmPdnS"",split(REGEXREPLACE(C141,""(.)"",""$1~""),""~""))))=len(C141)"),FALSE)</f>
        <v>0</v>
      </c>
      <c r="EZ141" s="290" t="b">
        <f>IFERROR(__xludf.DUMMYFUNCTION("arrayformula(sum(--REGEXMATCH(""SrgmPdnS"",split(REGEXREPLACE(C141,""(.)"",""$1~""),""~""))))=len(C141)"),FALSE)</f>
        <v>0</v>
      </c>
      <c r="FA141" s="290" t="b">
        <f>IFERROR(__xludf.DUMMYFUNCTION("arrayformula(sum(--REGEXMATCH(""SrGmPdNS"",split(REGEXREPLACE(C141,""(.)"",""$1~""),""~""))))=len(C141)"),FALSE)</f>
        <v>0</v>
      </c>
      <c r="FB141" s="290" t="b">
        <f>IFERROR(__xludf.DUMMYFUNCTION("arrayformula(sum(--REGEXMATCH(""SrGMPDNS"",split(REGEXREPLACE(C141,""(.)"",""$1~""),""~""))))=len(C141)"),FALSE)</f>
        <v>0</v>
      </c>
      <c r="FC141" s="290" t="b">
        <f>IFERROR(__xludf.DUMMYFUNCTION("arrayformula(sum(--REGEXMATCH(""SrGMPdNS"",split(REGEXREPLACE(C141,""(.)"",""$1~""),""~""))))=len(C141)"),FALSE)</f>
        <v>0</v>
      </c>
      <c r="FD141" s="377" t="b">
        <f>IFERROR(__xludf.DUMMYFUNCTION("arrayformula(sum(--REGEXMATCH(""SrgMPdNS"",split(REGEXREPLACE(C141,""(.)"",""$1~""),""~""))))=len(C141)"),FALSE)</f>
        <v>0</v>
      </c>
      <c r="FE141" s="269" t="str">
        <f t="shared" si="71"/>
        <v>-</v>
      </c>
      <c r="FF141" s="269" t="str">
        <f t="shared" si="72"/>
        <v>xxoxoxoxxxx</v>
      </c>
      <c r="FG141" s="271" t="str">
        <f t="shared" si="73"/>
        <v>xoxoxoxxxxo</v>
      </c>
      <c r="FH141" s="269" t="str">
        <f t="shared" si="74"/>
        <v>-</v>
      </c>
      <c r="FI141" s="271" t="str">
        <f t="shared" si="75"/>
        <v>xoxoxxxxoxx</v>
      </c>
      <c r="FJ141" s="271" t="str">
        <f t="shared" si="76"/>
        <v>-</v>
      </c>
      <c r="FK141" s="271" t="str">
        <f t="shared" si="77"/>
        <v>xoxxxxoxxox</v>
      </c>
      <c r="FL141" s="271" t="str">
        <f t="shared" si="78"/>
        <v>-</v>
      </c>
      <c r="FM141" s="271" t="str">
        <f t="shared" si="79"/>
        <v>xxxxoxxoxox</v>
      </c>
      <c r="FN141" s="271" t="str">
        <f t="shared" si="80"/>
        <v>xxxoxxoxoxo</v>
      </c>
      <c r="FO141" s="274" t="str">
        <f t="shared" si="81"/>
        <v>xxoxxoxoxox</v>
      </c>
      <c r="FP141" s="234" t="str">
        <f t="shared" si="82"/>
        <v>|</v>
      </c>
      <c r="FQ141" s="236" t="str">
        <f t="shared" si="83"/>
        <v>-</v>
      </c>
      <c r="FR141" s="237" t="str">
        <f t="shared" si="84"/>
        <v>|</v>
      </c>
      <c r="FS141" s="236" t="str">
        <f t="shared" si="85"/>
        <v>|</v>
      </c>
      <c r="FT141" s="237" t="str">
        <f t="shared" si="86"/>
        <v>-</v>
      </c>
      <c r="FU141" s="236" t="str">
        <f t="shared" si="87"/>
        <v>|</v>
      </c>
      <c r="FV141" s="237" t="str">
        <f t="shared" si="88"/>
        <v>-</v>
      </c>
      <c r="FW141" s="236" t="str">
        <f t="shared" si="89"/>
        <v>|</v>
      </c>
      <c r="FX141" s="237" t="str">
        <f t="shared" si="90"/>
        <v>-</v>
      </c>
      <c r="FY141" s="236" t="str">
        <f t="shared" si="91"/>
        <v>|</v>
      </c>
      <c r="FZ141" s="237" t="str">
        <f t="shared" si="92"/>
        <v>|</v>
      </c>
      <c r="GA141" s="236" t="str">
        <f t="shared" si="93"/>
        <v>|</v>
      </c>
      <c r="GB141" s="238" t="str">
        <f t="shared" si="94"/>
        <v>|</v>
      </c>
      <c r="GC141" s="244" t="str">
        <f>IFERROR(__xludf.DUMMYFUNCTION("IF(REGEXMATCH(C141, ""S""), ""1"","""")"),"1")</f>
        <v>1</v>
      </c>
      <c r="GD141" s="245" t="str">
        <f>IFERROR(__xludf.DUMMYFUNCTION("IF(REGEXMATCH(C141, ""r""), ""b2"","""")"),"")</f>
        <v/>
      </c>
      <c r="GE141" s="246" t="str">
        <f>IFERROR(__xludf.DUMMYFUNCTION("IF(REGEXMATCH(C141, ""R""), ""2"","""")"),"2")</f>
        <v>2</v>
      </c>
      <c r="GF141" s="246" t="str">
        <f>IFERROR(__xludf.DUMMYFUNCTION("IF(REGEXMATCH(C141, ""g""), ""b3"","""")"),"b3")</f>
        <v>b3</v>
      </c>
      <c r="GG141" s="245" t="str">
        <f>IFERROR(__xludf.DUMMYFUNCTION("IF(REGEXMATCH(C141, ""G""), ""3"","""")"),"")</f>
        <v/>
      </c>
      <c r="GH141" s="245" t="str">
        <f>IFERROR(__xludf.DUMMYFUNCTION("IF(REGEXMATCH(C141, ""m""), ""4"","""")"),"4")</f>
        <v>4</v>
      </c>
      <c r="GI141" s="246" t="str">
        <f>IFERROR(__xludf.DUMMYFUNCTION("IF(REGEXMATCH(C141, ""M""), ""#4"","""")"),"")</f>
        <v/>
      </c>
      <c r="GJ141" s="245" t="str">
        <f>IFERROR(__xludf.DUMMYFUNCTION("IF(REGEXMATCH(C141, ""P""), ""5"","""")"),"5")</f>
        <v>5</v>
      </c>
      <c r="GK141" s="246" t="str">
        <f>IFERROR(__xludf.DUMMYFUNCTION("IF(REGEXMATCH(C141, ""d""), ""b6"","""")"),"")</f>
        <v/>
      </c>
      <c r="GL141" s="245" t="str">
        <f>IFERROR(__xludf.DUMMYFUNCTION("IF(REGEXMATCH(C141, ""D""), ""6"","""")"),"6")</f>
        <v>6</v>
      </c>
      <c r="GM141" s="245" t="str">
        <f>IFERROR(__xludf.DUMMYFUNCTION("IF(REGEXMATCH(C141, ""n""), ""b7"","""")"),"b7")</f>
        <v>b7</v>
      </c>
      <c r="GN141" s="246" t="str">
        <f>IFERROR(__xludf.DUMMYFUNCTION("IF(REGEXMATCH(C141, ""N""), ""7"","""")"),"7")</f>
        <v>7</v>
      </c>
      <c r="GO141" s="249" t="str">
        <f>IFERROR(__xludf.DUMMYFUNCTION("IF(REGEXMATCH(C141, ""S""), ""8"","""")"),"8")</f>
        <v>8</v>
      </c>
      <c r="GP141" s="244" t="str">
        <f>IFERROR(__xludf.DUMMYFUNCTION("IF(REGEXMATCH(C141, ""S""), ""S"","""")"),"S")</f>
        <v>S</v>
      </c>
      <c r="GQ141" s="294" t="str">
        <f>IFERROR(__xludf.DUMMYFUNCTION("IF(REGEXMATCH(C141, ""r""), ""R1"","""")"),"")</f>
        <v/>
      </c>
      <c r="GR141" s="295" t="str">
        <f>IFERROR(__xludf.DUMMYFUNCTION("IF(REGEXMATCH(C141, ""R""), ""R2"","""")"),"R2")</f>
        <v>R2</v>
      </c>
      <c r="GS141" s="295" t="str">
        <f>IFERROR(__xludf.DUMMYFUNCTION("IF(REGEXMATCH(C141, ""g""), ""G2"","""")"),"G2")</f>
        <v>G2</v>
      </c>
      <c r="GT141" s="294" t="str">
        <f>IFERROR(__xludf.DUMMYFUNCTION("IF(REGEXMATCH(C141, ""G""), ""G3"","""")"),"")</f>
        <v/>
      </c>
      <c r="GU141" s="294" t="str">
        <f>IFERROR(__xludf.DUMMYFUNCTION("IF(REGEXMATCH(C141, ""m""), ""M1"","""")"),"M1")</f>
        <v>M1</v>
      </c>
      <c r="GV141" s="295" t="str">
        <f>IFERROR(__xludf.DUMMYFUNCTION("IF(REGEXMATCH(C141, ""M""), ""M2"","""")"),"")</f>
        <v/>
      </c>
      <c r="GW141" s="294" t="str">
        <f>IFERROR(__xludf.DUMMYFUNCTION("IF(REGEXMATCH(C141, ""P""), ""P"","""")"),"P")</f>
        <v>P</v>
      </c>
      <c r="GX141" s="295" t="str">
        <f>IFERROR(__xludf.DUMMYFUNCTION("IF(REGEXMATCH(C141, ""d""), ""D1"","""")"),"")</f>
        <v/>
      </c>
      <c r="GY141" s="294" t="str">
        <f>IFERROR(__xludf.DUMMYFUNCTION("IF(REGEXMATCH(C141, ""D""), ""D2"","""")"),"D2")</f>
        <v>D2</v>
      </c>
      <c r="GZ141" s="294" t="str">
        <f>IFERROR(__xludf.DUMMYFUNCTION("IF(REGEXMATCH(C141, ""n""), ""N2"","""")"),"N2")</f>
        <v>N2</v>
      </c>
      <c r="HA141" s="295" t="str">
        <f>IFERROR(__xludf.DUMMYFUNCTION("IF(REGEXMATCH(C141, ""N""), ""N3"","""")"),"N3")</f>
        <v>N3</v>
      </c>
      <c r="HB141" s="249" t="str">
        <f>IFERROR(__xludf.DUMMYFUNCTION("IF(REGEXMATCH(C141, ""S""), ""S"","""")"),"S")</f>
        <v>S</v>
      </c>
      <c r="HC141" s="331" t="str">
        <f t="shared" si="95"/>
        <v>S</v>
      </c>
      <c r="HD141" s="332" t="str">
        <f t="shared" si="96"/>
        <v>r</v>
      </c>
      <c r="HE141" s="332" t="str">
        <f t="shared" si="97"/>
        <v>R</v>
      </c>
      <c r="HF141" s="332" t="str">
        <f t="shared" si="98"/>
        <v>g</v>
      </c>
      <c r="HG141" s="332" t="str">
        <f t="shared" si="99"/>
        <v/>
      </c>
      <c r="HH141" s="332" t="str">
        <f t="shared" si="100"/>
        <v>m</v>
      </c>
      <c r="HI141" s="332" t="str">
        <f t="shared" si="101"/>
        <v/>
      </c>
      <c r="HJ141" s="332" t="str">
        <f t="shared" si="102"/>
        <v>P</v>
      </c>
      <c r="HK141" s="332" t="str">
        <f t="shared" si="103"/>
        <v/>
      </c>
      <c r="HL141" s="332" t="str">
        <f t="shared" si="104"/>
        <v>D</v>
      </c>
      <c r="HM141" s="332" t="str">
        <f t="shared" si="105"/>
        <v>n</v>
      </c>
      <c r="HN141" s="332" t="str">
        <f t="shared" si="106"/>
        <v/>
      </c>
      <c r="HO141" s="343" t="str">
        <f t="shared" si="107"/>
        <v>S</v>
      </c>
      <c r="HP141" s="331" t="str">
        <f t="shared" si="108"/>
        <v>o</v>
      </c>
      <c r="HQ141" s="332" t="str">
        <f t="shared" si="109"/>
        <v>•</v>
      </c>
      <c r="HR141" s="332" t="str">
        <f t="shared" si="110"/>
        <v>o</v>
      </c>
      <c r="HS141" s="332" t="str">
        <f t="shared" si="111"/>
        <v>o</v>
      </c>
      <c r="HT141" s="332" t="str">
        <f t="shared" si="112"/>
        <v>•</v>
      </c>
      <c r="HU141" s="332" t="str">
        <f t="shared" si="113"/>
        <v>o</v>
      </c>
      <c r="HV141" s="332" t="str">
        <f t="shared" si="114"/>
        <v>•</v>
      </c>
      <c r="HW141" s="332" t="str">
        <f t="shared" si="115"/>
        <v>o</v>
      </c>
      <c r="HX141" s="332" t="str">
        <f t="shared" si="116"/>
        <v>•</v>
      </c>
      <c r="HY141" s="332" t="str">
        <f t="shared" si="117"/>
        <v>o</v>
      </c>
      <c r="HZ141" s="332" t="str">
        <f t="shared" si="118"/>
        <v>o</v>
      </c>
      <c r="IA141" s="332" t="str">
        <f t="shared" si="119"/>
        <v>o</v>
      </c>
      <c r="IB141" s="338" t="str">
        <f t="shared" si="120"/>
        <v>o</v>
      </c>
      <c r="IC141" s="331" t="str">
        <f t="shared" si="121"/>
        <v>•</v>
      </c>
      <c r="ID141" s="332" t="str">
        <f t="shared" si="122"/>
        <v>o</v>
      </c>
      <c r="IE141" s="332" t="str">
        <f t="shared" si="123"/>
        <v>•</v>
      </c>
      <c r="IF141" s="332" t="str">
        <f t="shared" si="124"/>
        <v>•</v>
      </c>
      <c r="IG141" s="332" t="str">
        <f t="shared" si="125"/>
        <v>o</v>
      </c>
      <c r="IH141" s="332" t="str">
        <f t="shared" si="126"/>
        <v>•</v>
      </c>
      <c r="II141" s="332" t="str">
        <f t="shared" si="127"/>
        <v>o</v>
      </c>
      <c r="IJ141" s="332" t="str">
        <f t="shared" si="128"/>
        <v>•</v>
      </c>
      <c r="IK141" s="332" t="str">
        <f t="shared" si="129"/>
        <v>o</v>
      </c>
      <c r="IL141" s="332" t="str">
        <f t="shared" si="130"/>
        <v>•</v>
      </c>
      <c r="IM141" s="332" t="str">
        <f t="shared" si="131"/>
        <v>•</v>
      </c>
      <c r="IN141" s="332" t="str">
        <f t="shared" si="132"/>
        <v>•</v>
      </c>
      <c r="IO141" s="338" t="str">
        <f t="shared" si="133"/>
        <v>•</v>
      </c>
      <c r="IP141" s="346" t="b">
        <f t="shared" si="134"/>
        <v>0</v>
      </c>
      <c r="IQ141" s="347" t="b">
        <f t="shared" si="135"/>
        <v>0</v>
      </c>
      <c r="IR141" s="347" t="b">
        <f t="shared" si="136"/>
        <v>0</v>
      </c>
      <c r="IS141" s="347" t="b">
        <f t="shared" si="137"/>
        <v>0</v>
      </c>
      <c r="IT141" s="347" t="b">
        <f t="shared" si="138"/>
        <v>0</v>
      </c>
      <c r="IU141" s="347" t="b">
        <f t="shared" si="139"/>
        <v>0</v>
      </c>
      <c r="IV141" s="347" t="b">
        <f t="shared" si="140"/>
        <v>0</v>
      </c>
      <c r="IW141" s="347" t="b">
        <f t="shared" si="141"/>
        <v>0</v>
      </c>
      <c r="IX141" s="347" t="b">
        <f t="shared" si="142"/>
        <v>0</v>
      </c>
      <c r="IY141" s="347" t="b">
        <f t="shared" si="143"/>
        <v>1</v>
      </c>
      <c r="IZ141" s="347" t="b">
        <f t="shared" si="144"/>
        <v>0</v>
      </c>
      <c r="JA141" s="347" t="b">
        <f t="shared" si="145"/>
        <v>1</v>
      </c>
      <c r="JB141" s="353" t="b">
        <f t="shared" si="146"/>
        <v>0</v>
      </c>
      <c r="JC141" s="354" t="str">
        <f t="shared" si="147"/>
        <v/>
      </c>
      <c r="JD141" s="355" t="str">
        <f t="shared" si="148"/>
        <v/>
      </c>
      <c r="JE141" s="355" t="str">
        <f t="shared" si="149"/>
        <v/>
      </c>
      <c r="JF141" s="355" t="str">
        <f t="shared" si="150"/>
        <v/>
      </c>
      <c r="JG141" s="355" t="str">
        <f t="shared" si="151"/>
        <v/>
      </c>
      <c r="JH141" s="355" t="str">
        <f t="shared" si="152"/>
        <v/>
      </c>
      <c r="JI141" s="355" t="str">
        <f t="shared" si="153"/>
        <v/>
      </c>
      <c r="JJ141" s="355" t="str">
        <f t="shared" si="154"/>
        <v/>
      </c>
      <c r="JK141" s="355" t="str">
        <f t="shared" si="155"/>
        <v/>
      </c>
      <c r="JL141" s="355" t="str">
        <f t="shared" si="156"/>
        <v>Dha, </v>
      </c>
      <c r="JM141" s="355" t="str">
        <f t="shared" si="157"/>
        <v/>
      </c>
      <c r="JN141" s="355" t="str">
        <f t="shared" si="158"/>
        <v>Ni, </v>
      </c>
      <c r="JO141" s="359" t="str">
        <f t="shared" si="159"/>
        <v/>
      </c>
      <c r="JP141" s="346" t="b">
        <f t="shared" si="160"/>
        <v>0</v>
      </c>
      <c r="JQ141" s="347" t="b">
        <f t="shared" si="161"/>
        <v>0</v>
      </c>
      <c r="JR141" s="347" t="b">
        <f t="shared" si="162"/>
        <v>0</v>
      </c>
      <c r="JS141" s="347" t="b">
        <f t="shared" si="163"/>
        <v>0</v>
      </c>
      <c r="JT141" s="347" t="b">
        <f t="shared" si="164"/>
        <v>0</v>
      </c>
      <c r="JU141" s="347" t="b">
        <f t="shared" si="165"/>
        <v>0</v>
      </c>
      <c r="JV141" s="347" t="b">
        <f t="shared" si="166"/>
        <v>0</v>
      </c>
      <c r="JW141" s="347" t="b">
        <f t="shared" si="167"/>
        <v>0</v>
      </c>
      <c r="JX141" s="347" t="b">
        <f t="shared" si="168"/>
        <v>0</v>
      </c>
      <c r="JY141" s="347" t="b">
        <f t="shared" si="169"/>
        <v>0</v>
      </c>
      <c r="JZ141" s="347" t="b">
        <f t="shared" si="170"/>
        <v>0</v>
      </c>
      <c r="KA141" s="347" t="b">
        <f t="shared" si="171"/>
        <v>1</v>
      </c>
      <c r="KB141" s="365" t="b">
        <f t="shared" si="172"/>
        <v>0</v>
      </c>
      <c r="KC141" s="354" t="str">
        <f t="shared" si="173"/>
        <v/>
      </c>
      <c r="KD141" s="355" t="str">
        <f t="shared" si="174"/>
        <v/>
      </c>
      <c r="KE141" s="355" t="str">
        <f t="shared" si="175"/>
        <v/>
      </c>
      <c r="KF141" s="355" t="str">
        <f t="shared" si="176"/>
        <v/>
      </c>
      <c r="KG141" s="355" t="str">
        <f t="shared" si="177"/>
        <v/>
      </c>
      <c r="KH141" s="355" t="str">
        <f t="shared" si="178"/>
        <v/>
      </c>
      <c r="KI141" s="355" t="str">
        <f t="shared" si="179"/>
        <v/>
      </c>
      <c r="KJ141" s="355" t="str">
        <f t="shared" si="180"/>
        <v/>
      </c>
      <c r="KK141" s="355" t="str">
        <f t="shared" si="181"/>
        <v/>
      </c>
      <c r="KL141" s="355" t="str">
        <f t="shared" si="182"/>
        <v/>
      </c>
      <c r="KM141" s="355" t="str">
        <f t="shared" si="183"/>
        <v/>
      </c>
      <c r="KN141" s="355" t="str">
        <f t="shared" si="184"/>
        <v>Ni, </v>
      </c>
      <c r="KO141" s="359"/>
      <c r="KP141" s="378"/>
      <c r="KQ141" s="379" t="s">
        <v>9</v>
      </c>
      <c r="KR141" s="380" t="s">
        <v>9</v>
      </c>
      <c r="KS141" s="381" t="s">
        <v>9</v>
      </c>
      <c r="KT141" s="382">
        <f t="shared" si="186"/>
        <v>0</v>
      </c>
      <c r="KU141" s="383">
        <f t="shared" si="187"/>
        <v>0</v>
      </c>
      <c r="KV141" s="381" t="str">
        <f t="shared" si="205"/>
        <v>S</v>
      </c>
      <c r="KW141" s="382">
        <f t="shared" si="189"/>
        <v>0</v>
      </c>
      <c r="KX141" s="384">
        <f t="shared" si="190"/>
        <v>0</v>
      </c>
      <c r="KY141" s="382">
        <f t="shared" ref="KY141:KZ141" si="489">KW141-KT141</f>
        <v>0</v>
      </c>
      <c r="KZ141" s="369">
        <f t="shared" si="489"/>
        <v>0</v>
      </c>
      <c r="LA141" s="385" t="str">
        <f t="shared" si="192"/>
        <v>✔</v>
      </c>
      <c r="LB141" s="340" t="str">
        <f>IFERROR(__xludf.DUMMYFUNCTION("JOIN("""",ArrayFormula(MID(KS141,LEN(KS141)-SEQUENCE(1,LEN(KS141))+1,1)))"),"S")</f>
        <v>S</v>
      </c>
      <c r="LC141" s="373" t="str">
        <f>IFERROR(__xludf.DUMMYFUNCTION("JOIN("""",ArrayFormula(MID(KV141,LEN(KV141)-SEQUENCE(1,LEN(KV141))+1,1)))"),"S")</f>
        <v>S</v>
      </c>
      <c r="LD141" s="373" t="str">
        <f t="shared" si="193"/>
        <v>S</v>
      </c>
      <c r="LE141" s="339" t="str">
        <f t="shared" si="194"/>
        <v>S</v>
      </c>
      <c r="LF141" s="386" t="str">
        <f>IFERROR(__xludf.DUMMYFUNCTION("SUBSTITUTE(SUBSTITUTE(CONCATENATE(JOIN("""",LH141:LT141)),""1"",""""),""2"","""")"),"SS")</f>
        <v>SS</v>
      </c>
      <c r="LG141" s="369" t="str">
        <f t="shared" si="195"/>
        <v>-</v>
      </c>
      <c r="LH141" s="387" t="str">
        <f>IFERROR(__xludf.DUMMYFUNCTION("IF(REGEXMATCH(LD141, ""S""), ""S"",IF(REGEXMATCH(LE141, ""S""), ""S"",""""))"),"S")</f>
        <v>S</v>
      </c>
      <c r="LI141" s="299" t="str">
        <f>IFERROR(__xludf.DUMMYFUNCTION("IF(REGEXMATCH(LD141, ""r""), ""r1"",IF(REGEXMATCH(LE141, ""r""), ""r2"",""""))"),"")</f>
        <v/>
      </c>
      <c r="LJ141" s="299" t="str">
        <f>IFERROR(__xludf.DUMMYFUNCTION("IF(REGEXMATCH(LD141, ""R""), ""R1"",IF(REGEXMATCH(LE141, ""R""), ""R2"",""""))"),"")</f>
        <v/>
      </c>
      <c r="LK141" s="299" t="str">
        <f>IFERROR(__xludf.DUMMYFUNCTION("IF(REGEXMATCH(LD141, ""g""), ""g1"",IF(REGEXMATCH(LE141, ""g""), ""g2"",""""))"),"")</f>
        <v/>
      </c>
      <c r="LL141" s="299" t="str">
        <f>IFERROR(__xludf.DUMMYFUNCTION("IF(REGEXMATCH(LD141, ""G""), ""G1"",IF(REGEXMATCH(LE141, ""G""), ""G2"",""""))"),"")</f>
        <v/>
      </c>
      <c r="LM141" s="299" t="str">
        <f>IFERROR(__xludf.DUMMYFUNCTION("IF(REGEXMATCH(LD141, ""m""), ""m1"",IF(REGEXMATCH(LE141, ""m""), ""m2"",""""))"),"")</f>
        <v/>
      </c>
      <c r="LN141" s="299" t="str">
        <f>IFERROR(__xludf.DUMMYFUNCTION("IF(REGEXMATCH(LD141, ""M""), ""M1"",IF(REGEXMATCH(LE141, ""M""), ""M2"",""""))"),"")</f>
        <v/>
      </c>
      <c r="LO141" s="299" t="str">
        <f>IFERROR(__xludf.DUMMYFUNCTION("IF(REGEXMATCH(LD141, ""P""), ""P1"",IF(REGEXMATCH(LE141, ""P""), ""P2"",""""))"),"")</f>
        <v/>
      </c>
      <c r="LP141" s="299" t="str">
        <f>IFERROR(__xludf.DUMMYFUNCTION("IF(REGEXMATCH(LD141, ""d""), ""d1"",IF(REGEXMATCH(LE141, ""d""), ""d2"",""""))"),"")</f>
        <v/>
      </c>
      <c r="LQ141" s="299" t="str">
        <f>IFERROR(__xludf.DUMMYFUNCTION("IF(REGEXMATCH(LD141, ""D""), ""D1"",IF(REGEXMATCH(LE141, ""D""), ""D2"",""""))"),"")</f>
        <v/>
      </c>
      <c r="LR141" s="299" t="str">
        <f>IFERROR(__xludf.DUMMYFUNCTION("IF(REGEXMATCH(LD141, ""n""), ""n1"",IF(REGEXMATCH(LE141, ""n""), ""n2"",""""))"),"")</f>
        <v/>
      </c>
      <c r="LS141" s="299" t="str">
        <f>IFERROR(__xludf.DUMMYFUNCTION("IF(REGEXMATCH(LD141, ""N""), ""N1"",IF(REGEXMATCH(LE141, ""N""), ""N2"",""""))"),"")</f>
        <v/>
      </c>
      <c r="LT141" s="388" t="str">
        <f>IFERROR(__xludf.DUMMYFUNCTION("IF(REGEXMATCH(LD141, ""S""), ""S"",IF(REGEXMATCH(LE141, ""S""), ""S"",""""))"),"S")</f>
        <v>S</v>
      </c>
      <c r="LU141" s="389">
        <f t="shared" si="196"/>
        <v>1</v>
      </c>
      <c r="LV141" s="378"/>
      <c r="LW141" s="369"/>
      <c r="LX141" s="369"/>
    </row>
    <row r="142" ht="18.0" customHeight="1">
      <c r="A142" s="298" t="s">
        <v>804</v>
      </c>
      <c r="B142" s="222" t="s">
        <v>805</v>
      </c>
      <c r="C142" s="233" t="str">
        <f t="shared" si="7"/>
        <v>SRGmdnS</v>
      </c>
      <c r="D142" s="234" t="str">
        <f>IFERROR(__xludf.DUMMYFUNCTION("IF(REGEXMATCH(C142, ""S""), ""S"","""")"),"S")</f>
        <v>S</v>
      </c>
      <c r="E142" s="236" t="str">
        <f>IFERROR(__xludf.DUMMYFUNCTION("IF(REGEXMATCH(C142, ""r""), ""r"","""")"),"")</f>
        <v/>
      </c>
      <c r="F142" s="237" t="str">
        <f>IFERROR(__xludf.DUMMYFUNCTION("IF(REGEXMATCH(C142, ""R""), ""R"","""")"),"R")</f>
        <v>R</v>
      </c>
      <c r="G142" s="237" t="str">
        <f>IFERROR(__xludf.DUMMYFUNCTION("IF(REGEXMATCH(C142, ""g""), ""g"","""")"),"")</f>
        <v/>
      </c>
      <c r="H142" s="236" t="str">
        <f>IFERROR(__xludf.DUMMYFUNCTION("IF(REGEXMATCH(C142, ""G""), ""G"","""")"),"G")</f>
        <v>G</v>
      </c>
      <c r="I142" s="236" t="str">
        <f>IFERROR(__xludf.DUMMYFUNCTION("IF(REGEXMATCH(C142, ""m""), ""m"","""")"),"m")</f>
        <v>m</v>
      </c>
      <c r="J142" s="237" t="str">
        <f>IFERROR(__xludf.DUMMYFUNCTION("IF(REGEXMATCH(C142, ""M""), ""M"","""")"),"")</f>
        <v/>
      </c>
      <c r="K142" s="236" t="str">
        <f>IFERROR(__xludf.DUMMYFUNCTION("IF(REGEXMATCH(C142, ""P""), ""P"","""")"),"")</f>
        <v/>
      </c>
      <c r="L142" s="237" t="str">
        <f>IFERROR(__xludf.DUMMYFUNCTION("IF(REGEXMATCH(C142, ""d""), ""d"","""")"),"d")</f>
        <v>d</v>
      </c>
      <c r="M142" s="236" t="str">
        <f>IFERROR(__xludf.DUMMYFUNCTION("IF(REGEXMATCH(C142, ""D""), ""D"","""")"),"")</f>
        <v/>
      </c>
      <c r="N142" s="236" t="str">
        <f>IFERROR(__xludf.DUMMYFUNCTION("IF(REGEXMATCH(C142, ""n""), ""n"","""")"),"n")</f>
        <v>n</v>
      </c>
      <c r="O142" s="237" t="str">
        <f>IFERROR(__xludf.DUMMYFUNCTION("IF(REGEXMATCH(C142, ""N""), ""N"","""")"),"")</f>
        <v/>
      </c>
      <c r="P142" s="238" t="str">
        <f>IFERROR(__xludf.DUMMYFUNCTION("IF(REGEXMATCH(C142, ""S""), ""S"","""")"),"S")</f>
        <v>S</v>
      </c>
      <c r="Q142" s="239" t="str">
        <f>IFERROR(__xludf.DUMMYFUNCTION("SUBSTITUTE(CONCATENATE(JOIN(""-"",D142:J142)),""-"","""")"),"SRGm")</f>
        <v>SRGm</v>
      </c>
      <c r="R142" s="229" t="str">
        <f>IFERROR(__xludf.DUMMYFUNCTION("SUBSTITUTE(CONCATENATE(JOIN(""-"",K142:P142)),""-"","""")"),"dnS")</f>
        <v>dnS</v>
      </c>
      <c r="S142" s="282" t="str">
        <f t="shared" si="8"/>
        <v>S-R-G-M</v>
      </c>
      <c r="T142" s="282" t="str">
        <f t="shared" si="9"/>
        <v>D-N-S</v>
      </c>
      <c r="U142" s="237" t="str">
        <f>IFERROR(__xludf.DUMMYFUNCTION("SUBSTITUTE(JOIN(""-"",S142,T142),""--"",""-"")"),"S-R-G-M-D-N-S")</f>
        <v>S-R-G-M-D-N-S</v>
      </c>
      <c r="V142" s="309" t="str">
        <f t="shared" si="10"/>
        <v>RGmdn</v>
      </c>
      <c r="W142" s="244" t="str">
        <f>IFERROR(__xludf.DUMMYFUNCTION("IF(REGEXMATCH(C142, ""S""), ""0"","""")"),"0")</f>
        <v>0</v>
      </c>
      <c r="X142" s="245" t="str">
        <f>IFERROR(__xludf.DUMMYFUNCTION("IF(REGEXMATCH(C142, ""r""), ""1"","""")"),"")</f>
        <v/>
      </c>
      <c r="Y142" s="246" t="str">
        <f>IFERROR(__xludf.DUMMYFUNCTION("IF(REGEXMATCH(C142, ""R""), ""2"","""")"),"2")</f>
        <v>2</v>
      </c>
      <c r="Z142" s="246" t="str">
        <f>IFERROR(__xludf.DUMMYFUNCTION("IF(REGEXMATCH(C142, ""g""), ""3"","""")"),"")</f>
        <v/>
      </c>
      <c r="AA142" s="245" t="str">
        <f>IFERROR(__xludf.DUMMYFUNCTION("IF(REGEXMATCH(C142, ""G""), ""4"","""")"),"4")</f>
        <v>4</v>
      </c>
      <c r="AB142" s="245" t="str">
        <f>IFERROR(__xludf.DUMMYFUNCTION("IF(REGEXMATCH(C142, ""m""), ""5"","""")"),"5")</f>
        <v>5</v>
      </c>
      <c r="AC142" s="246" t="str">
        <f>IFERROR(__xludf.DUMMYFUNCTION("IF(REGEXMATCH(C142, ""M""), ""6"","""")"),"")</f>
        <v/>
      </c>
      <c r="AD142" s="245" t="str">
        <f>IFERROR(__xludf.DUMMYFUNCTION("IF(REGEXMATCH(C142, ""P""), ""7"","""")"),"")</f>
        <v/>
      </c>
      <c r="AE142" s="246" t="str">
        <f>IFERROR(__xludf.DUMMYFUNCTION("IF(REGEXMATCH(C142, ""d""), ""8"","""")"),"8")</f>
        <v>8</v>
      </c>
      <c r="AF142" s="245" t="str">
        <f>IFERROR(__xludf.DUMMYFUNCTION("IF(REGEXMATCH(C142, ""D""), ""9"","""")"),"")</f>
        <v/>
      </c>
      <c r="AG142" s="245" t="str">
        <f>IFERROR(__xludf.DUMMYFUNCTION("IF(REGEXMATCH(C142, ""n""), ""10"","""")"),"10")</f>
        <v>10</v>
      </c>
      <c r="AH142" s="246" t="str">
        <f>IFERROR(__xludf.DUMMYFUNCTION("IF(REGEXMATCH(C142, ""N""), ""11"","""")"),"")</f>
        <v/>
      </c>
      <c r="AI142" s="249" t="str">
        <f>IFERROR(__xludf.DUMMYFUNCTION("IF(REGEXMATCH(C142, ""S""), ""0"","""")"),"0")</f>
        <v>0</v>
      </c>
      <c r="AJ142" s="313" t="str">
        <f t="shared" si="11"/>
        <v>-</v>
      </c>
      <c r="AK142" s="313" t="str">
        <f t="shared" si="12"/>
        <v>-</v>
      </c>
      <c r="AL142" s="313" t="str">
        <f t="shared" si="13"/>
        <v>T</v>
      </c>
      <c r="AM142" s="313" t="str">
        <f t="shared" si="14"/>
        <v>-</v>
      </c>
      <c r="AN142" s="313" t="str">
        <f t="shared" si="15"/>
        <v>T</v>
      </c>
      <c r="AO142" s="314" t="str">
        <f t="shared" si="16"/>
        <v>-</v>
      </c>
      <c r="AP142" s="316">
        <f t="shared" si="17"/>
        <v>2</v>
      </c>
      <c r="AQ142" s="319" t="str">
        <f t="shared" si="18"/>
        <v>#REF!</v>
      </c>
      <c r="AR142" s="320">
        <f t="shared" si="19"/>
        <v>0</v>
      </c>
      <c r="AS142" s="250" t="str">
        <f>IFERROR(__xludf.DUMMYFUNCTION("SUBSTITUTE(SUBSTITUTE(CONCATENATE(JOIN("""",FP142:GA142)),""|"",""x""),""-"",""o"")"),"xoxoxxooxoxo")</f>
        <v>xoxoxxooxoxo</v>
      </c>
      <c r="AT142" s="323" t="str">
        <f>IFERROR(__xludf.DUMMYFUNCTION("JOIN("""",AS142,AS142)"),"xoxoxxooxoxoxoxoxxooxoxo")</f>
        <v>xoxoxxooxoxoxoxoxxooxoxo</v>
      </c>
      <c r="AU142" s="256" t="str">
        <f>IFERROR(__xludf.DUMMYFUNCTION("JOIN("""",ArrayFormula(MID(AS142,LEN(AS142)-SEQUENCE(1,LEN(AS142))+1,1)))"),"oxoxooxxoxox")</f>
        <v>oxoxooxxoxox</v>
      </c>
      <c r="AV142" s="256" t="str">
        <f>IFERROR(__xludf.DUMMYFUNCTION("LEFT(CONCATENATE(""x"",JOIN("""",ArrayFormula(MID(AS142,LEN(AS142)-SEQUENCE(1,LEN(AS142))+1,1)))),12)"),"xoxoxooxxoxo")</f>
        <v>xoxoxooxxoxo</v>
      </c>
      <c r="AW142" s="327" t="str">
        <f>IFERROR(__xludf.DUMMYFUNCTION("JOIN("""",AU142,AU142)"),"oxoxooxxoxoxoxoxooxxoxox")</f>
        <v>oxoxooxxoxoxoxoxooxxoxox</v>
      </c>
      <c r="AX142" s="239" t="str">
        <f>IFERROR(__xludf.DUMMYFUNCTION("IF(REGEXMATCH(AW142,AS142),""✔"",""-"")"),"-")</f>
        <v>-</v>
      </c>
      <c r="AY142" s="330" t="str">
        <f t="shared" si="20"/>
        <v>-</v>
      </c>
      <c r="AZ142" s="260" t="str">
        <f t="shared" si="21"/>
        <v>#REF!</v>
      </c>
      <c r="BA142" s="333" t="str">
        <f t="shared" si="22"/>
        <v>xoxoxxo</v>
      </c>
      <c r="BB142" s="334" t="str">
        <f t="shared" si="23"/>
        <v>oxoxox</v>
      </c>
      <c r="BC142" s="335" t="str">
        <f t="shared" si="236"/>
        <v>-</v>
      </c>
      <c r="BD142" s="336" t="str">
        <f t="shared" si="25"/>
        <v>Imratkauns: 'xoxoxxo' + 'oxoxox'</v>
      </c>
      <c r="BE142" s="337">
        <f>IFERROR(__xludf.DUMMYFUNCTION("COUNTUNIQUE(FILTER(AT:AT,REGEXMATCH(AT:AT,AS142)))-1"),0.0)</f>
        <v>0</v>
      </c>
      <c r="BF142" s="261" t="str">
        <f>IFERROR(__xludf.DUMMYFUNCTION("IF(BI142=0,""(n/a)"",IF(BJ142=2,""(PAIR)"",IF(REGEXMATCH(AT142,""xoxoxxoxoxox""),""Bilawal"",IF(REGEXMATCH(AT142,""xoxoxooxoxoo""),""Bhupali"",IF(REGEXMATCH(AT142,""xoxoxxoxxoxo""),""Charukeshi"",IF(REGEXMATCH(AT142,""xoxoooxxoxxo""),""Kameshwari"",IF(REG"&amp;"EXMATCH(AT142,""xoxoxooxoxox""),""Shankara"",IF(REGEXMATCH(AT142,""xxooxoxxxoox""),""Basant"",IF(REGEXMATCH(AT142,""xoxoxxxxoxox""),""Bihag"",IF(REGEXMATCH(AT142,""xoxxxxoxoxxx""),""Pilu"",IF(REGEXMATCH(AT142,""xoxxoxoxxoox""),""Kirwani"",IF(REGEXMATCH(AT"&amp;"142,""xoxxoxoxoxxx""),""Mk.Malhar"",IF(REGEXMATCH(AT142,""xxooxxoxxoox""),""Bhairav"",IF(REGEXMATCH(AT142,""xxoxooxxxoox""),""Todi"",IF(REGEXMATCH(AT142,""xxooxoxooxox""),""Marwa"",IF(REGEXMATCH(AT142,""xxoooxoxxooo""),""Gunkali"",IF(REGEXMATCH(AT142,""xo"&amp;"xoxxoxxoox""),""Nat Bhairav"",IF(REGEXMATCH(AT142,""xoxxoooxoxoo""),""Shivranjani"",IF(REGEXMATCH(AT142,""xooxxxoxooxo""),""Jog"",IF(REGEXMATCH(AT142,""xxooxoxoxoox""),""Hemshri"",IF(REGEXMATCH(AT142,""xoooxooxoxxo""),""Kalavati"",IF(REGEXMATCH(AT142,""xx"&amp;"oxoxxoxoox""),""Kedar"",IF(REGEXMATCH(AT142,""xoxxxxoxooxx""),""Gara"",IF(REGEXMATCH(AT142,""xooxoxooxoox""),""Chandrakauns"",IF(REGEXMATCH(AT142,""xoxxxxoxxxox""),""Mand"",IF(REGEXMATCH(AT142,""xoxxxxoxoxox""),""Hanskinkini"",IF(REGEXMATCH(AT142,""xxooxx"&amp;"oxooxo""),""Lilavati"",IF(REGEXMATCH(AT142,""xooxoxoooxox""),""Rajeshwari"",IF(REGEXMATCH(AT142,""xoooxxoxoxxx""),""Khokar"",IF(REGEXMATCH(AT142,""xxooxoxxxxox""),""Maligoura"",""-""))))))))))))))))))))))))))))))"),"(n/a)")</f>
        <v>(n/a)</v>
      </c>
      <c r="BG142" s="239" t="str">
        <f t="shared" si="26"/>
        <v>#REF!</v>
      </c>
      <c r="BH142" s="239">
        <f>IFERROR(__xludf.DUMMYFUNCTION("COUNTUNIQUE(FE142:FO142)-1"),5.0)</f>
        <v>5</v>
      </c>
      <c r="BI142" s="239">
        <f>IFERROR(__xludf.DUMMYFUNCTION("COUNTUNIQUE(FILTER(AT:AT,REGEXMATCH(AT:AT,AS142)))-1"),0.0)</f>
        <v>0</v>
      </c>
      <c r="BJ142" s="239">
        <f>IFERROR(__xludf.DUMMYFUNCTION("COUNTA(FILTER(AT:AT,REGEXMATCH(AT:AT,AS142)))"),2.0)</f>
        <v>2</v>
      </c>
      <c r="BK142" s="341">
        <f>IFERROR(__xludf.DUMMYFUNCTION("COUNTA(FILTER(AT:AT,REGEXMATCH(AT:AT,AS142)))-AR142"),2.0)</f>
        <v>2</v>
      </c>
      <c r="BL142" s="276" t="str">
        <f>IFERROR(__xludf.DUMMYFUNCTION("IF(AS142=""oooooooooooo"",""-"",IF(REGEXMATCH(AT142,""xx""), ""Hemi."", ""Anhemi.""))"),"Hemi.")</f>
        <v>Hemi.</v>
      </c>
      <c r="BM142" s="282" t="str">
        <f>IFERROR(__xludf.DUMMYFUNCTION("IF(AS142=""oooooooooooo"",""-"",IF(REGEXMATCH(AT142,""xxx""), ""Cohem."", ""-""))"),"-")</f>
        <v>-</v>
      </c>
      <c r="BN142" s="282" t="str">
        <f>IFERROR(__xludf.DUMMYFUNCTION("IF(AS142=""oooooooooooo"",""-"",IF(REGEXMATCH(AT142,""xxxx""), ""Co-Co."", ""-""))"),"-")</f>
        <v>-</v>
      </c>
      <c r="BO142" s="342" t="str">
        <f>IFERROR(__xludf.DUMMYFUNCTION("IF(AS142=""oooooooooooo"",""-"",IF(REGEXMATCH(AT142,""xxxxx""), ""CCC."", ""-""))"),"-")</f>
        <v>-</v>
      </c>
      <c r="BP142" s="344" t="str">
        <f t="shared" si="27"/>
        <v>-</v>
      </c>
      <c r="BQ142" s="282" t="str">
        <f>IFERROR(__xludf.DUMMYFUNCTION("IF(REGEXMATCH(JOIN(""-"",EU142:FD142),""TRUE""),""✔"",""-"")"),"-")</f>
        <v>-</v>
      </c>
      <c r="BR142" s="225">
        <f t="shared" si="28"/>
        <v>0</v>
      </c>
      <c r="BS142" s="345" t="str">
        <f>IFERROR(__xludf.DUMMYFUNCTION("SUBSTITUTE(SUBSTITUTE(SUBSTITUTE(SUBSTITUTE(CONCATENATE(JOIN(""-"",GC142:GO142)),""--"",""-""),""--"",""-""),""--"",""-""),""--"",""-"")"),"1-2-3-4-b6-b7-8")</f>
        <v>1-2-3-4-b6-b7-8</v>
      </c>
      <c r="BT142" s="299" t="str">
        <f>IFERROR(__xludf.DUMMYFUNCTION("SUBSTITUTE(SUBSTITUTE(SUBSTITUTE(SUBSTITUTE(CONCATENATE(JOIN(""-"",GP142:HB142)),""--"",""-""),""--"",""-""),""--"",""-""),""--"",""-"")"),"S-R2-G3-M1-D1-N2-S")</f>
        <v>S-R2-G3-M1-D1-N2-S</v>
      </c>
      <c r="BU142" s="348" t="str">
        <f t="shared" si="29"/>
        <v>C-D-E-F-Ab-Bb-C</v>
      </c>
      <c r="BV142" s="349" t="str">
        <f t="shared" si="30"/>
        <v>SrgMPDNS</v>
      </c>
      <c r="BW142" s="350">
        <f t="shared" si="31"/>
        <v>1</v>
      </c>
      <c r="BX142" s="351">
        <f t="shared" si="32"/>
        <v>2</v>
      </c>
      <c r="BY142" s="392"/>
      <c r="BZ142" s="309" t="str">
        <f>IFERROR(__xludf.DUMMYFUNCTION("IF(REGEXMATCH(C142, ""S""), ""x"",""x"")"),"x")</f>
        <v>x</v>
      </c>
      <c r="CA142" s="245" t="str">
        <f>IFERROR(__xludf.DUMMYFUNCTION("IF(REGEXMATCH(C142, ""r""), ""o"",""x"")"),"x")</f>
        <v>x</v>
      </c>
      <c r="CB142" s="246" t="str">
        <f>IFERROR(__xludf.DUMMYFUNCTION("IF(REGEXMATCH(C142, ""R""), ""o"",""x"")"),"o")</f>
        <v>o</v>
      </c>
      <c r="CC142" s="246" t="str">
        <f>IFERROR(__xludf.DUMMYFUNCTION("IF(REGEXMATCH(C142, ""g""), ""o"",""x"")"),"x")</f>
        <v>x</v>
      </c>
      <c r="CD142" s="245" t="str">
        <f>IFERROR(__xludf.DUMMYFUNCTION("IF(REGEXMATCH(C142, ""G""), ""o"",""x"")"),"o")</f>
        <v>o</v>
      </c>
      <c r="CE142" s="245" t="str">
        <f>IFERROR(__xludf.DUMMYFUNCTION("IF(REGEXMATCH(C142, ""m""), ""o"",""x"")"),"o")</f>
        <v>o</v>
      </c>
      <c r="CF142" s="246" t="str">
        <f>IFERROR(__xludf.DUMMYFUNCTION("IF(REGEXMATCH(C142, ""M""), ""o"",""x"")"),"x")</f>
        <v>x</v>
      </c>
      <c r="CG142" s="245" t="str">
        <f>IFERROR(__xludf.DUMMYFUNCTION("IF(REGEXMATCH(C142, ""P""), ""o"",""x"")"),"x")</f>
        <v>x</v>
      </c>
      <c r="CH142" s="246" t="str">
        <f>IFERROR(__xludf.DUMMYFUNCTION("IF(REGEXMATCH(C142, ""d""), ""o"",""x"")"),"o")</f>
        <v>o</v>
      </c>
      <c r="CI142" s="245" t="str">
        <f>IFERROR(__xludf.DUMMYFUNCTION("IF(REGEXMATCH(C142, ""D""), ""o"",""x"")"),"x")</f>
        <v>x</v>
      </c>
      <c r="CJ142" s="245" t="str">
        <f>IFERROR(__xludf.DUMMYFUNCTION("IF(REGEXMATCH(C142, ""n""), ""o"",""x"")"),"o")</f>
        <v>o</v>
      </c>
      <c r="CK142" s="245" t="str">
        <f>IFERROR(__xludf.DUMMYFUNCTION("IF(REGEXMATCH(C142, ""N""), ""o"",""x"")"),"x")</f>
        <v>x</v>
      </c>
      <c r="CL142" s="356" t="str">
        <f>IFERROR(__xludf.DUMMYFUNCTION("IF(REGEXMATCH(C142, ""S""), ""x"",""x"")"),"x")</f>
        <v>x</v>
      </c>
      <c r="CM142" s="357" t="str">
        <f t="shared" si="33"/>
        <v>xxoxooxxoxox</v>
      </c>
      <c r="CN142" s="358">
        <f t="shared" si="34"/>
        <v>1</v>
      </c>
      <c r="CO142" s="246" t="str">
        <f>IFERROR(__xludf.DUMMYFUNCTION("IF(REGEXMATCH($C142, ""S""), ""S"",""S"")"),"S")</f>
        <v>S</v>
      </c>
      <c r="CP142" s="246" t="str">
        <f>IFERROR(__xludf.DUMMYFUNCTION("IF(REGEXMATCH($C142, ""r""), """",""r"")"),"r")</f>
        <v>r</v>
      </c>
      <c r="CQ142" s="246" t="str">
        <f>IFERROR(__xludf.DUMMYFUNCTION("IF(REGEXMATCH($C142, ""R""), """",""R"")"),"")</f>
        <v/>
      </c>
      <c r="CR142" s="246" t="str">
        <f>IFERROR(__xludf.DUMMYFUNCTION("IF(REGEXMATCH($C142, ""g""), """",""g"")"),"g")</f>
        <v>g</v>
      </c>
      <c r="CS142" s="246" t="str">
        <f>IFERROR(__xludf.DUMMYFUNCTION("IF(REGEXMATCH($C142, ""G""), """",""G"")"),"")</f>
        <v/>
      </c>
      <c r="CT142" s="246" t="str">
        <f>IFERROR(__xludf.DUMMYFUNCTION("IF(REGEXMATCH($C142, ""m""), """",""m"")"),"")</f>
        <v/>
      </c>
      <c r="CU142" s="246" t="str">
        <f>IFERROR(__xludf.DUMMYFUNCTION("IF(REGEXMATCH($C142, ""M""), """",""M"")"),"M")</f>
        <v>M</v>
      </c>
      <c r="CV142" s="246" t="str">
        <f>IFERROR(__xludf.DUMMYFUNCTION("IF(REGEXMATCH($C142, ""P""), """",""P"")"),"P")</f>
        <v>P</v>
      </c>
      <c r="CW142" s="246" t="str">
        <f>IFERROR(__xludf.DUMMYFUNCTION("IF(REGEXMATCH($C142, ""d""), """",""d"")"),"")</f>
        <v/>
      </c>
      <c r="CX142" s="246" t="str">
        <f>IFERROR(__xludf.DUMMYFUNCTION("IF(REGEXMATCH($C142, ""D""), """",""D"")"),"D")</f>
        <v>D</v>
      </c>
      <c r="CY142" s="246" t="str">
        <f>IFERROR(__xludf.DUMMYFUNCTION("IF(REGEXMATCH($C142, ""n""), """",""n"")"),"")</f>
        <v/>
      </c>
      <c r="CZ142" s="246" t="str">
        <f>IFERROR(__xludf.DUMMYFUNCTION("IF(REGEXMATCH($C142, ""N""), """",""N"")"),"N")</f>
        <v>N</v>
      </c>
      <c r="DA142" s="246" t="str">
        <f>IFERROR(__xludf.DUMMYFUNCTION("IF(REGEXMATCH($C142, ""S""), ""S"",""S"")"),"S")</f>
        <v>S</v>
      </c>
      <c r="DB142" s="362" t="str">
        <f>IFERROR(__xludf.DUMMYFUNCTION("JOIN("""",CO142:DA142,"""","""")"),"SrgMPDNS")</f>
        <v>SrgMPDNS</v>
      </c>
      <c r="DC142" s="363"/>
      <c r="DD142" s="301" t="str">
        <f t="shared" si="35"/>
        <v>#REF!</v>
      </c>
      <c r="DE142" s="302" t="str">
        <f t="shared" si="36"/>
        <v>#REF!</v>
      </c>
      <c r="DF142" s="301" t="str">
        <f t="shared" ref="DF142:DG142" si="490">SUBSTITUTE(S142,"-","")</f>
        <v>SRGM</v>
      </c>
      <c r="DG142" s="301" t="str">
        <f t="shared" si="490"/>
        <v>DNS</v>
      </c>
      <c r="DH142" s="302" t="str">
        <f t="shared" si="38"/>
        <v>(n/a)</v>
      </c>
      <c r="DI142" s="301" t="str">
        <f t="shared" si="39"/>
        <v>Hemi.</v>
      </c>
      <c r="DJ142" s="364" t="str">
        <f t="shared" si="40"/>
        <v>-</v>
      </c>
      <c r="DK142" s="306" t="str">
        <f t="shared" si="41"/>
        <v>-</v>
      </c>
      <c r="DL142" s="366" t="str">
        <f t="shared" si="42"/>
        <v>-</v>
      </c>
      <c r="DM142" s="308" t="str">
        <f t="shared" si="43"/>
        <v>✔</v>
      </c>
      <c r="DN142" s="306" t="str">
        <f t="shared" si="44"/>
        <v>-</v>
      </c>
      <c r="DO142" s="306" t="str">
        <f t="shared" si="45"/>
        <v>-</v>
      </c>
      <c r="DP142" s="367" t="str">
        <f t="shared" si="46"/>
        <v>-</v>
      </c>
      <c r="DQ142" s="310" t="str">
        <f t="shared" si="47"/>
        <v>-</v>
      </c>
      <c r="DR142" s="310" t="str">
        <f t="shared" si="48"/>
        <v>-</v>
      </c>
      <c r="DS142" s="310" t="str">
        <f t="shared" si="49"/>
        <v>-</v>
      </c>
      <c r="DT142" s="310" t="str">
        <f t="shared" si="50"/>
        <v>-</v>
      </c>
      <c r="DU142" s="370" t="str">
        <f t="shared" si="51"/>
        <v>-</v>
      </c>
      <c r="DV142" s="306" t="str">
        <f t="shared" si="52"/>
        <v>-</v>
      </c>
      <c r="DW142" s="306" t="str">
        <f t="shared" si="53"/>
        <v>-</v>
      </c>
      <c r="DX142" s="306" t="str">
        <f t="shared" si="54"/>
        <v>-</v>
      </c>
      <c r="DY142" s="306" t="str">
        <f t="shared" si="55"/>
        <v>✔</v>
      </c>
      <c r="DZ142" s="306" t="str">
        <f t="shared" si="56"/>
        <v>-</v>
      </c>
      <c r="EA142" s="367" t="str">
        <f t="shared" si="57"/>
        <v>-</v>
      </c>
      <c r="EB142" s="310" t="str">
        <f>IFERROR(__xludf.DUMMYFUNCTION("IF(REGEXMATCH(AW142,AS142),""✔"",""-"")"),"-")</f>
        <v>-</v>
      </c>
      <c r="EC142" s="310" t="str">
        <f t="shared" si="58"/>
        <v>#REF!</v>
      </c>
      <c r="ED142" s="370" t="str">
        <f t="shared" si="59"/>
        <v>-</v>
      </c>
      <c r="EE142" s="340" t="str">
        <f t="shared" si="60"/>
        <v>S-R-G-m-d-n-S</v>
      </c>
      <c r="EF142" s="371" t="str">
        <f>IFERROR(__xludf.DUMMYFUNCTION("CONCATENATE(JOIN("""",HC142:HO142))"),"SRGPdnS")</f>
        <v>SRGPdnS</v>
      </c>
      <c r="EG142" s="372">
        <f t="shared" si="61"/>
        <v>4</v>
      </c>
      <c r="EH142" s="373" t="str">
        <f>IFERROR(__xludf.DUMMYFUNCTION("CONCATENATE(JOIN("""",JC142:JO142))"),"Sa, Re, Ga, dha, ")</f>
        <v>Sa, Re, Ga, dha, </v>
      </c>
      <c r="EI142" s="322">
        <f t="shared" si="62"/>
        <v>3</v>
      </c>
      <c r="EJ142" s="374" t="str">
        <f>IFERROR(__xludf.DUMMYFUNCTION("CONCATENATE(JOIN("""",KC142:KO142))"),"Re, Ga, dha, ")</f>
        <v>Re, Ga, dha, </v>
      </c>
      <c r="EK142" s="325" t="str">
        <f t="shared" si="63"/>
        <v>S-R2-G3-M1-D1-N2-S</v>
      </c>
      <c r="EL142" s="326" t="str">
        <f t="shared" si="64"/>
        <v>1-2-3-4-b6-b7-8</v>
      </c>
      <c r="EM142" s="318" t="str">
        <f t="shared" si="65"/>
        <v>#REF!</v>
      </c>
      <c r="EN142" s="328" t="str">
        <f>IFERROR(__xludf.DUMMYFUNCTION("SUBSTITUTE(SUBSTITUTE(SUBSTITUTE(SUBSTITUTE(CONCATENATE(JOIN("" "",HP142:IB142)),""  "","" ""),""  "","" ""),""  "","" ""),""  "","" "")"),"o • o • o o • • o • o • o")</f>
        <v>o • o • o o • • o • o • o</v>
      </c>
      <c r="EO142" s="368" t="str">
        <f t="shared" si="66"/>
        <v>Sa-ma</v>
      </c>
      <c r="EP142" s="339" t="str">
        <f t="shared" si="67"/>
        <v>-</v>
      </c>
      <c r="EQ142" s="339" t="str">
        <f t="shared" si="68"/>
        <v>-</v>
      </c>
      <c r="ER142" s="339" t="str">
        <f t="shared" si="69"/>
        <v>-</v>
      </c>
      <c r="ES142" s="340" t="str">
        <f t="shared" si="70"/>
        <v>Sa-ma</v>
      </c>
      <c r="ET142" s="363"/>
      <c r="EU142" s="376" t="b">
        <f>IFERROR(__xludf.DUMMYFUNCTION("arrayformula(sum(--REGEXMATCH(""SRGMPDNS"",split(REGEXREPLACE(C142,""(.)"",""$1~""),""~""))))=len(C142)
"),FALSE)</f>
        <v>0</v>
      </c>
      <c r="EV142" s="290" t="b">
        <f>IFERROR(__xludf.DUMMYFUNCTION("arrayformula(sum(--REGEXMATCH(""SRGmPDNS"",split(REGEXREPLACE(C142,""(.)"",""$1~""),""~""))))=len(C142)"),FALSE)</f>
        <v>0</v>
      </c>
      <c r="EW142" s="290" t="b">
        <f>IFERROR(__xludf.DUMMYFUNCTION("arrayformula(sum(--REGEXMATCH(""SRGmPDnS"",split(REGEXREPLACE(C142,""(.)"",""$1~""),""~""))))=len(C142)"),FALSE)</f>
        <v>0</v>
      </c>
      <c r="EX142" s="290" t="b">
        <f>IFERROR(__xludf.DUMMYFUNCTION("arrayformula(sum(--REGEXMATCH(""SRgmPDnS"",split(REGEXREPLACE(C142,""(.)"",""$1~""),""~""))))=len(C142)"),FALSE)</f>
        <v>0</v>
      </c>
      <c r="EY142" s="290" t="b">
        <f>IFERROR(__xludf.DUMMYFUNCTION("arrayformula(sum(--REGEXMATCH(""SRgmPdnS"",split(REGEXREPLACE(C142,""(.)"",""$1~""),""~""))))=len(C142)"),FALSE)</f>
        <v>0</v>
      </c>
      <c r="EZ142" s="290" t="b">
        <f>IFERROR(__xludf.DUMMYFUNCTION("arrayformula(sum(--REGEXMATCH(""SrgmPdnS"",split(REGEXREPLACE(C142,""(.)"",""$1~""),""~""))))=len(C142)"),FALSE)</f>
        <v>0</v>
      </c>
      <c r="FA142" s="290" t="b">
        <f>IFERROR(__xludf.DUMMYFUNCTION("arrayformula(sum(--REGEXMATCH(""SrGmPdNS"",split(REGEXREPLACE(C142,""(.)"",""$1~""),""~""))))=len(C142)"),FALSE)</f>
        <v>0</v>
      </c>
      <c r="FB142" s="290" t="b">
        <f>IFERROR(__xludf.DUMMYFUNCTION("arrayformula(sum(--REGEXMATCH(""SrGMPDNS"",split(REGEXREPLACE(C142,""(.)"",""$1~""),""~""))))=len(C142)"),FALSE)</f>
        <v>0</v>
      </c>
      <c r="FC142" s="290" t="b">
        <f>IFERROR(__xludf.DUMMYFUNCTION("arrayformula(sum(--REGEXMATCH(""SrGMPdNS"",split(REGEXREPLACE(C142,""(.)"",""$1~""),""~""))))=len(C142)"),FALSE)</f>
        <v>0</v>
      </c>
      <c r="FD142" s="377" t="b">
        <f>IFERROR(__xludf.DUMMYFUNCTION("arrayformula(sum(--REGEXMATCH(""SrgMPdNS"",split(REGEXREPLACE(C142,""(.)"",""$1~""),""~""))))=len(C142)"),FALSE)</f>
        <v>0</v>
      </c>
      <c r="FE142" s="269" t="str">
        <f t="shared" si="71"/>
        <v>-</v>
      </c>
      <c r="FF142" s="269" t="str">
        <f t="shared" si="72"/>
        <v>xoxxooxoxox</v>
      </c>
      <c r="FG142" s="271" t="str">
        <f t="shared" si="73"/>
        <v>-</v>
      </c>
      <c r="FH142" s="269" t="str">
        <f t="shared" si="74"/>
        <v>xxooxoxoxox</v>
      </c>
      <c r="FI142" s="271" t="str">
        <f t="shared" si="75"/>
        <v>xooxoxoxoxo</v>
      </c>
      <c r="FJ142" s="271" t="str">
        <f t="shared" si="76"/>
        <v>-</v>
      </c>
      <c r="FK142" s="271" t="str">
        <f t="shared" si="77"/>
        <v>-</v>
      </c>
      <c r="FL142" s="271" t="str">
        <f t="shared" si="78"/>
        <v>xoxoxoxoxxo</v>
      </c>
      <c r="FM142" s="271" t="str">
        <f t="shared" si="79"/>
        <v>-</v>
      </c>
      <c r="FN142" s="271" t="str">
        <f t="shared" si="80"/>
        <v>xoxoxoxxoox</v>
      </c>
      <c r="FO142" s="274" t="str">
        <f t="shared" si="81"/>
        <v>-</v>
      </c>
      <c r="FP142" s="234" t="str">
        <f t="shared" si="82"/>
        <v>|</v>
      </c>
      <c r="FQ142" s="236" t="str">
        <f t="shared" si="83"/>
        <v>-</v>
      </c>
      <c r="FR142" s="237" t="str">
        <f t="shared" si="84"/>
        <v>|</v>
      </c>
      <c r="FS142" s="236" t="str">
        <f t="shared" si="85"/>
        <v>-</v>
      </c>
      <c r="FT142" s="237" t="str">
        <f t="shared" si="86"/>
        <v>|</v>
      </c>
      <c r="FU142" s="236" t="str">
        <f t="shared" si="87"/>
        <v>|</v>
      </c>
      <c r="FV142" s="237" t="str">
        <f t="shared" si="88"/>
        <v>-</v>
      </c>
      <c r="FW142" s="236" t="str">
        <f t="shared" si="89"/>
        <v>-</v>
      </c>
      <c r="FX142" s="237" t="str">
        <f t="shared" si="90"/>
        <v>|</v>
      </c>
      <c r="FY142" s="236" t="str">
        <f t="shared" si="91"/>
        <v>-</v>
      </c>
      <c r="FZ142" s="237" t="str">
        <f t="shared" si="92"/>
        <v>|</v>
      </c>
      <c r="GA142" s="236" t="str">
        <f t="shared" si="93"/>
        <v>-</v>
      </c>
      <c r="GB142" s="238" t="str">
        <f t="shared" si="94"/>
        <v>|</v>
      </c>
      <c r="GC142" s="244" t="str">
        <f>IFERROR(__xludf.DUMMYFUNCTION("IF(REGEXMATCH(C142, ""S""), ""1"","""")"),"1")</f>
        <v>1</v>
      </c>
      <c r="GD142" s="245" t="str">
        <f>IFERROR(__xludf.DUMMYFUNCTION("IF(REGEXMATCH(C142, ""r""), ""b2"","""")"),"")</f>
        <v/>
      </c>
      <c r="GE142" s="246" t="str">
        <f>IFERROR(__xludf.DUMMYFUNCTION("IF(REGEXMATCH(C142, ""R""), ""2"","""")"),"2")</f>
        <v>2</v>
      </c>
      <c r="GF142" s="246" t="str">
        <f>IFERROR(__xludf.DUMMYFUNCTION("IF(REGEXMATCH(C142, ""g""), ""b3"","""")"),"")</f>
        <v/>
      </c>
      <c r="GG142" s="245" t="str">
        <f>IFERROR(__xludf.DUMMYFUNCTION("IF(REGEXMATCH(C142, ""G""), ""3"","""")"),"3")</f>
        <v>3</v>
      </c>
      <c r="GH142" s="245" t="str">
        <f>IFERROR(__xludf.DUMMYFUNCTION("IF(REGEXMATCH(C142, ""m""), ""4"","""")"),"4")</f>
        <v>4</v>
      </c>
      <c r="GI142" s="246" t="str">
        <f>IFERROR(__xludf.DUMMYFUNCTION("IF(REGEXMATCH(C142, ""M""), ""#4"","""")"),"")</f>
        <v/>
      </c>
      <c r="GJ142" s="245" t="str">
        <f>IFERROR(__xludf.DUMMYFUNCTION("IF(REGEXMATCH(C142, ""P""), ""5"","""")"),"")</f>
        <v/>
      </c>
      <c r="GK142" s="246" t="str">
        <f>IFERROR(__xludf.DUMMYFUNCTION("IF(REGEXMATCH(C142, ""d""), ""b6"","""")"),"b6")</f>
        <v>b6</v>
      </c>
      <c r="GL142" s="245" t="str">
        <f>IFERROR(__xludf.DUMMYFUNCTION("IF(REGEXMATCH(C142, ""D""), ""6"","""")"),"")</f>
        <v/>
      </c>
      <c r="GM142" s="245" t="str">
        <f>IFERROR(__xludf.DUMMYFUNCTION("IF(REGEXMATCH(C142, ""n""), ""b7"","""")"),"b7")</f>
        <v>b7</v>
      </c>
      <c r="GN142" s="246" t="str">
        <f>IFERROR(__xludf.DUMMYFUNCTION("IF(REGEXMATCH(C142, ""N""), ""7"","""")"),"")</f>
        <v/>
      </c>
      <c r="GO142" s="249" t="str">
        <f>IFERROR(__xludf.DUMMYFUNCTION("IF(REGEXMATCH(C142, ""S""), ""8"","""")"),"8")</f>
        <v>8</v>
      </c>
      <c r="GP142" s="244" t="str">
        <f>IFERROR(__xludf.DUMMYFUNCTION("IF(REGEXMATCH(C142, ""S""), ""S"","""")"),"S")</f>
        <v>S</v>
      </c>
      <c r="GQ142" s="294" t="str">
        <f>IFERROR(__xludf.DUMMYFUNCTION("IF(REGEXMATCH(C142, ""r""), ""R1"","""")"),"")</f>
        <v/>
      </c>
      <c r="GR142" s="295" t="str">
        <f>IFERROR(__xludf.DUMMYFUNCTION("IF(REGEXMATCH(C142, ""R""), ""R2"","""")"),"R2")</f>
        <v>R2</v>
      </c>
      <c r="GS142" s="295" t="str">
        <f>IFERROR(__xludf.DUMMYFUNCTION("IF(REGEXMATCH(C142, ""g""), ""G2"","""")"),"")</f>
        <v/>
      </c>
      <c r="GT142" s="294" t="str">
        <f>IFERROR(__xludf.DUMMYFUNCTION("IF(REGEXMATCH(C142, ""G""), ""G3"","""")"),"G3")</f>
        <v>G3</v>
      </c>
      <c r="GU142" s="294" t="str">
        <f>IFERROR(__xludf.DUMMYFUNCTION("IF(REGEXMATCH(C142, ""m""), ""M1"","""")"),"M1")</f>
        <v>M1</v>
      </c>
      <c r="GV142" s="295" t="str">
        <f>IFERROR(__xludf.DUMMYFUNCTION("IF(REGEXMATCH(C142, ""M""), ""M2"","""")"),"")</f>
        <v/>
      </c>
      <c r="GW142" s="294" t="str">
        <f>IFERROR(__xludf.DUMMYFUNCTION("IF(REGEXMATCH(C142, ""P""), ""P"","""")"),"")</f>
        <v/>
      </c>
      <c r="GX142" s="295" t="str">
        <f>IFERROR(__xludf.DUMMYFUNCTION("IF(REGEXMATCH(C142, ""d""), ""D1"","""")"),"D1")</f>
        <v>D1</v>
      </c>
      <c r="GY142" s="294" t="str">
        <f>IFERROR(__xludf.DUMMYFUNCTION("IF(REGEXMATCH(C142, ""D""), ""D2"","""")"),"")</f>
        <v/>
      </c>
      <c r="GZ142" s="294" t="str">
        <f>IFERROR(__xludf.DUMMYFUNCTION("IF(REGEXMATCH(C142, ""n""), ""N2"","""")"),"N2")</f>
        <v>N2</v>
      </c>
      <c r="HA142" s="295" t="str">
        <f>IFERROR(__xludf.DUMMYFUNCTION("IF(REGEXMATCH(C142, ""N""), ""N3"","""")"),"")</f>
        <v/>
      </c>
      <c r="HB142" s="249" t="str">
        <f>IFERROR(__xludf.DUMMYFUNCTION("IF(REGEXMATCH(C142, ""S""), ""S"","""")"),"S")</f>
        <v>S</v>
      </c>
      <c r="HC142" s="331" t="str">
        <f t="shared" si="95"/>
        <v>S</v>
      </c>
      <c r="HD142" s="332" t="str">
        <f t="shared" si="96"/>
        <v/>
      </c>
      <c r="HE142" s="332" t="str">
        <f t="shared" si="97"/>
        <v>R</v>
      </c>
      <c r="HF142" s="332" t="str">
        <f t="shared" si="98"/>
        <v/>
      </c>
      <c r="HG142" s="332" t="str">
        <f t="shared" si="99"/>
        <v>G</v>
      </c>
      <c r="HH142" s="332" t="str">
        <f t="shared" si="100"/>
        <v/>
      </c>
      <c r="HI142" s="332" t="str">
        <f t="shared" si="101"/>
        <v/>
      </c>
      <c r="HJ142" s="332" t="str">
        <f t="shared" si="102"/>
        <v>P</v>
      </c>
      <c r="HK142" s="332" t="str">
        <f t="shared" si="103"/>
        <v>d</v>
      </c>
      <c r="HL142" s="332" t="str">
        <f t="shared" si="104"/>
        <v/>
      </c>
      <c r="HM142" s="332" t="str">
        <f t="shared" si="105"/>
        <v>n</v>
      </c>
      <c r="HN142" s="332" t="str">
        <f t="shared" si="106"/>
        <v/>
      </c>
      <c r="HO142" s="343" t="str">
        <f t="shared" si="107"/>
        <v>S</v>
      </c>
      <c r="HP142" s="331" t="str">
        <f t="shared" si="108"/>
        <v>o</v>
      </c>
      <c r="HQ142" s="332" t="str">
        <f t="shared" si="109"/>
        <v>•</v>
      </c>
      <c r="HR142" s="332" t="str">
        <f t="shared" si="110"/>
        <v>o</v>
      </c>
      <c r="HS142" s="332" t="str">
        <f t="shared" si="111"/>
        <v>•</v>
      </c>
      <c r="HT142" s="332" t="str">
        <f t="shared" si="112"/>
        <v>o</v>
      </c>
      <c r="HU142" s="332" t="str">
        <f t="shared" si="113"/>
        <v>o</v>
      </c>
      <c r="HV142" s="332" t="str">
        <f t="shared" si="114"/>
        <v>•</v>
      </c>
      <c r="HW142" s="332" t="str">
        <f t="shared" si="115"/>
        <v>•</v>
      </c>
      <c r="HX142" s="332" t="str">
        <f t="shared" si="116"/>
        <v>o</v>
      </c>
      <c r="HY142" s="332" t="str">
        <f t="shared" si="117"/>
        <v>•</v>
      </c>
      <c r="HZ142" s="332" t="str">
        <f t="shared" si="118"/>
        <v>o</v>
      </c>
      <c r="IA142" s="332" t="str">
        <f t="shared" si="119"/>
        <v>•</v>
      </c>
      <c r="IB142" s="338" t="str">
        <f t="shared" si="120"/>
        <v>o</v>
      </c>
      <c r="IC142" s="331" t="str">
        <f t="shared" si="121"/>
        <v>•</v>
      </c>
      <c r="ID142" s="332" t="str">
        <f t="shared" si="122"/>
        <v>o</v>
      </c>
      <c r="IE142" s="332" t="str">
        <f t="shared" si="123"/>
        <v>•</v>
      </c>
      <c r="IF142" s="332" t="str">
        <f t="shared" si="124"/>
        <v>o</v>
      </c>
      <c r="IG142" s="332" t="str">
        <f t="shared" si="125"/>
        <v>•</v>
      </c>
      <c r="IH142" s="332" t="str">
        <f t="shared" si="126"/>
        <v>•</v>
      </c>
      <c r="II142" s="332" t="str">
        <f t="shared" si="127"/>
        <v>o</v>
      </c>
      <c r="IJ142" s="332" t="str">
        <f t="shared" si="128"/>
        <v>o</v>
      </c>
      <c r="IK142" s="332" t="str">
        <f t="shared" si="129"/>
        <v>•</v>
      </c>
      <c r="IL142" s="332" t="str">
        <f t="shared" si="130"/>
        <v>o</v>
      </c>
      <c r="IM142" s="332" t="str">
        <f t="shared" si="131"/>
        <v>•</v>
      </c>
      <c r="IN142" s="332" t="str">
        <f t="shared" si="132"/>
        <v>o</v>
      </c>
      <c r="IO142" s="338" t="str">
        <f t="shared" si="133"/>
        <v>•</v>
      </c>
      <c r="IP142" s="346" t="b">
        <f t="shared" si="134"/>
        <v>1</v>
      </c>
      <c r="IQ142" s="347" t="b">
        <f t="shared" si="135"/>
        <v>0</v>
      </c>
      <c r="IR142" s="347" t="b">
        <f t="shared" si="136"/>
        <v>1</v>
      </c>
      <c r="IS142" s="347" t="b">
        <f t="shared" si="137"/>
        <v>0</v>
      </c>
      <c r="IT142" s="347" t="b">
        <f t="shared" si="138"/>
        <v>1</v>
      </c>
      <c r="IU142" s="347" t="b">
        <f t="shared" si="139"/>
        <v>0</v>
      </c>
      <c r="IV142" s="347" t="b">
        <f t="shared" si="140"/>
        <v>0</v>
      </c>
      <c r="IW142" s="347" t="b">
        <f t="shared" si="141"/>
        <v>0</v>
      </c>
      <c r="IX142" s="347" t="b">
        <f t="shared" si="142"/>
        <v>1</v>
      </c>
      <c r="IY142" s="347" t="b">
        <f t="shared" si="143"/>
        <v>0</v>
      </c>
      <c r="IZ142" s="347" t="b">
        <f t="shared" si="144"/>
        <v>0</v>
      </c>
      <c r="JA142" s="347" t="b">
        <f t="shared" si="145"/>
        <v>0</v>
      </c>
      <c r="JB142" s="353" t="b">
        <f t="shared" si="146"/>
        <v>1</v>
      </c>
      <c r="JC142" s="354" t="str">
        <f t="shared" si="147"/>
        <v>Sa, </v>
      </c>
      <c r="JD142" s="355" t="str">
        <f t="shared" si="148"/>
        <v/>
      </c>
      <c r="JE142" s="355" t="str">
        <f t="shared" si="149"/>
        <v>Re, </v>
      </c>
      <c r="JF142" s="355" t="str">
        <f t="shared" si="150"/>
        <v/>
      </c>
      <c r="JG142" s="355" t="str">
        <f t="shared" si="151"/>
        <v>Ga, </v>
      </c>
      <c r="JH142" s="355" t="str">
        <f t="shared" si="152"/>
        <v/>
      </c>
      <c r="JI142" s="355" t="str">
        <f t="shared" si="153"/>
        <v/>
      </c>
      <c r="JJ142" s="355" t="str">
        <f t="shared" si="154"/>
        <v/>
      </c>
      <c r="JK142" s="355" t="str">
        <f t="shared" si="155"/>
        <v>dha, </v>
      </c>
      <c r="JL142" s="355" t="str">
        <f t="shared" si="156"/>
        <v/>
      </c>
      <c r="JM142" s="355" t="str">
        <f t="shared" si="157"/>
        <v/>
      </c>
      <c r="JN142" s="355" t="str">
        <f t="shared" si="158"/>
        <v/>
      </c>
      <c r="JO142" s="359" t="str">
        <f t="shared" si="159"/>
        <v/>
      </c>
      <c r="JP142" s="346" t="b">
        <f t="shared" si="160"/>
        <v>0</v>
      </c>
      <c r="JQ142" s="347" t="b">
        <f t="shared" si="161"/>
        <v>0</v>
      </c>
      <c r="JR142" s="347" t="b">
        <f t="shared" si="162"/>
        <v>1</v>
      </c>
      <c r="JS142" s="347" t="b">
        <f t="shared" si="163"/>
        <v>0</v>
      </c>
      <c r="JT142" s="347" t="b">
        <f t="shared" si="164"/>
        <v>1</v>
      </c>
      <c r="JU142" s="347" t="b">
        <f t="shared" si="165"/>
        <v>0</v>
      </c>
      <c r="JV142" s="347" t="b">
        <f t="shared" si="166"/>
        <v>0</v>
      </c>
      <c r="JW142" s="347" t="b">
        <f t="shared" si="167"/>
        <v>0</v>
      </c>
      <c r="JX142" s="347" t="b">
        <f t="shared" si="168"/>
        <v>1</v>
      </c>
      <c r="JY142" s="347" t="b">
        <f t="shared" si="169"/>
        <v>0</v>
      </c>
      <c r="JZ142" s="347" t="b">
        <f t="shared" si="170"/>
        <v>0</v>
      </c>
      <c r="KA142" s="347" t="b">
        <f t="shared" si="171"/>
        <v>0</v>
      </c>
      <c r="KB142" s="365" t="b">
        <f t="shared" si="172"/>
        <v>0</v>
      </c>
      <c r="KC142" s="354" t="str">
        <f t="shared" si="173"/>
        <v/>
      </c>
      <c r="KD142" s="355" t="str">
        <f t="shared" si="174"/>
        <v/>
      </c>
      <c r="KE142" s="355" t="str">
        <f t="shared" si="175"/>
        <v>Re, </v>
      </c>
      <c r="KF142" s="355" t="str">
        <f t="shared" si="176"/>
        <v/>
      </c>
      <c r="KG142" s="355" t="str">
        <f t="shared" si="177"/>
        <v>Ga, </v>
      </c>
      <c r="KH142" s="355" t="str">
        <f t="shared" si="178"/>
        <v/>
      </c>
      <c r="KI142" s="355" t="str">
        <f t="shared" si="179"/>
        <v/>
      </c>
      <c r="KJ142" s="355" t="str">
        <f t="shared" si="180"/>
        <v/>
      </c>
      <c r="KK142" s="355" t="str">
        <f t="shared" si="181"/>
        <v>dha, </v>
      </c>
      <c r="KL142" s="355" t="str">
        <f t="shared" si="182"/>
        <v/>
      </c>
      <c r="KM142" s="355" t="str">
        <f t="shared" si="183"/>
        <v/>
      </c>
      <c r="KN142" s="355" t="str">
        <f t="shared" si="184"/>
        <v/>
      </c>
      <c r="KO142" s="359"/>
      <c r="KP142" s="378"/>
      <c r="KQ142" s="379" t="s">
        <v>805</v>
      </c>
      <c r="KR142" s="380" t="s">
        <v>1405</v>
      </c>
      <c r="KS142" s="381" t="str">
        <f t="shared" ref="KS142:KS143" si="493">KQ142</f>
        <v>S-R-G-m-d-n-S</v>
      </c>
      <c r="KT142" s="382">
        <f t="shared" si="186"/>
        <v>6</v>
      </c>
      <c r="KU142" s="383">
        <f t="shared" si="187"/>
        <v>6</v>
      </c>
      <c r="KV142" s="381" t="str">
        <f t="shared" si="205"/>
        <v>S-n-d-m-G-R-S</v>
      </c>
      <c r="KW142" s="382">
        <f t="shared" si="189"/>
        <v>6</v>
      </c>
      <c r="KX142" s="384">
        <f t="shared" si="190"/>
        <v>6</v>
      </c>
      <c r="KY142" s="382">
        <f t="shared" ref="KY142:KZ142" si="491">KW142-KT142</f>
        <v>0</v>
      </c>
      <c r="KZ142" s="369">
        <f t="shared" si="491"/>
        <v>0</v>
      </c>
      <c r="LA142" s="385" t="str">
        <f t="shared" si="192"/>
        <v>✔</v>
      </c>
      <c r="LB142" s="340" t="str">
        <f>IFERROR(__xludf.DUMMYFUNCTION("JOIN("""",ArrayFormula(MID(KS142,LEN(KS142)-SEQUENCE(1,LEN(KS142))+1,1)))"),"S-n-d-m-G-R-S")</f>
        <v>S-n-d-m-G-R-S</v>
      </c>
      <c r="LC142" s="373" t="str">
        <f>IFERROR(__xludf.DUMMYFUNCTION("JOIN("""",ArrayFormula(MID(KV142,LEN(KV142)-SEQUENCE(1,LEN(KV142))+1,1)))"),"S-R-G-m-d-n-S")</f>
        <v>S-R-G-m-d-n-S</v>
      </c>
      <c r="LD142" s="373" t="str">
        <f t="shared" si="193"/>
        <v>SRGmdnS</v>
      </c>
      <c r="LE142" s="339" t="str">
        <f t="shared" si="194"/>
        <v>SRGmdnS</v>
      </c>
      <c r="LF142" s="386" t="str">
        <f>IFERROR(__xludf.DUMMYFUNCTION("SUBSTITUTE(SUBSTITUTE(CONCATENATE(JOIN("""",LH142:LT142)),""1"",""""),""2"","""")"),"SRGmdnS")</f>
        <v>SRGmdnS</v>
      </c>
      <c r="LG142" s="369" t="str">
        <f t="shared" si="195"/>
        <v>✔</v>
      </c>
      <c r="LH142" s="387" t="str">
        <f>IFERROR(__xludf.DUMMYFUNCTION("IF(REGEXMATCH(LD142, ""S""), ""S"",IF(REGEXMATCH(LE142, ""S""), ""S"",""""))"),"S")</f>
        <v>S</v>
      </c>
      <c r="LI142" s="299" t="str">
        <f>IFERROR(__xludf.DUMMYFUNCTION("IF(REGEXMATCH(LD142, ""r""), ""r1"",IF(REGEXMATCH(LE142, ""r""), ""r2"",""""))"),"")</f>
        <v/>
      </c>
      <c r="LJ142" s="299" t="str">
        <f>IFERROR(__xludf.DUMMYFUNCTION("IF(REGEXMATCH(LD142, ""R""), ""R1"",IF(REGEXMATCH(LE142, ""R""), ""R2"",""""))"),"R1")</f>
        <v>R1</v>
      </c>
      <c r="LK142" s="299" t="str">
        <f>IFERROR(__xludf.DUMMYFUNCTION("IF(REGEXMATCH(LD142, ""g""), ""g1"",IF(REGEXMATCH(LE142, ""g""), ""g2"",""""))"),"")</f>
        <v/>
      </c>
      <c r="LL142" s="299" t="str">
        <f>IFERROR(__xludf.DUMMYFUNCTION("IF(REGEXMATCH(LD142, ""G""), ""G1"",IF(REGEXMATCH(LE142, ""G""), ""G2"",""""))"),"G1")</f>
        <v>G1</v>
      </c>
      <c r="LM142" s="299" t="str">
        <f>IFERROR(__xludf.DUMMYFUNCTION("IF(REGEXMATCH(LD142, ""m""), ""m1"",IF(REGEXMATCH(LE142, ""m""), ""m2"",""""))"),"m1")</f>
        <v>m1</v>
      </c>
      <c r="LN142" s="299" t="str">
        <f>IFERROR(__xludf.DUMMYFUNCTION("IF(REGEXMATCH(LD142, ""M""), ""M1"",IF(REGEXMATCH(LE142, ""M""), ""M2"",""""))"),"")</f>
        <v/>
      </c>
      <c r="LO142" s="299" t="str">
        <f>IFERROR(__xludf.DUMMYFUNCTION("IF(REGEXMATCH(LD142, ""P""), ""P1"",IF(REGEXMATCH(LE142, ""P""), ""P2"",""""))"),"")</f>
        <v/>
      </c>
      <c r="LP142" s="299" t="str">
        <f>IFERROR(__xludf.DUMMYFUNCTION("IF(REGEXMATCH(LD142, ""d""), ""d1"",IF(REGEXMATCH(LE142, ""d""), ""d2"",""""))"),"d1")</f>
        <v>d1</v>
      </c>
      <c r="LQ142" s="299" t="str">
        <f>IFERROR(__xludf.DUMMYFUNCTION("IF(REGEXMATCH(LD142, ""D""), ""D1"",IF(REGEXMATCH(LE142, ""D""), ""D2"",""""))"),"")</f>
        <v/>
      </c>
      <c r="LR142" s="299" t="str">
        <f>IFERROR(__xludf.DUMMYFUNCTION("IF(REGEXMATCH(LD142, ""n""), ""n1"",IF(REGEXMATCH(LE142, ""n""), ""n2"",""""))"),"n1")</f>
        <v>n1</v>
      </c>
      <c r="LS142" s="299" t="str">
        <f>IFERROR(__xludf.DUMMYFUNCTION("IF(REGEXMATCH(LD142, ""N""), ""N1"",IF(REGEXMATCH(LE142, ""N""), ""N2"",""""))"),"")</f>
        <v/>
      </c>
      <c r="LT142" s="388" t="str">
        <f>IFERROR(__xludf.DUMMYFUNCTION("IF(REGEXMATCH(LD142, ""S""), ""S"",IF(REGEXMATCH(LE142, ""S""), ""S"",""""))"),"S")</f>
        <v>S</v>
      </c>
      <c r="LU142" s="389">
        <f t="shared" si="196"/>
        <v>1</v>
      </c>
      <c r="LV142" s="378"/>
      <c r="LW142" s="369"/>
      <c r="LX142" s="369"/>
    </row>
    <row r="143" ht="18.0" customHeight="1">
      <c r="A143" s="298" t="s">
        <v>808</v>
      </c>
      <c r="B143" s="222" t="s">
        <v>741</v>
      </c>
      <c r="C143" s="233" t="str">
        <f t="shared" si="7"/>
        <v>SRgGmPDnNS</v>
      </c>
      <c r="D143" s="234" t="str">
        <f>IFERROR(__xludf.DUMMYFUNCTION("IF(REGEXMATCH(C143, ""S""), ""S"","""")"),"S")</f>
        <v>S</v>
      </c>
      <c r="E143" s="236" t="str">
        <f>IFERROR(__xludf.DUMMYFUNCTION("IF(REGEXMATCH(C143, ""r""), ""r"","""")"),"")</f>
        <v/>
      </c>
      <c r="F143" s="237" t="str">
        <f>IFERROR(__xludf.DUMMYFUNCTION("IF(REGEXMATCH(C143, ""R""), ""R"","""")"),"R")</f>
        <v>R</v>
      </c>
      <c r="G143" s="237" t="str">
        <f>IFERROR(__xludf.DUMMYFUNCTION("IF(REGEXMATCH(C143, ""g""), ""g"","""")"),"g")</f>
        <v>g</v>
      </c>
      <c r="H143" s="236" t="str">
        <f>IFERROR(__xludf.DUMMYFUNCTION("IF(REGEXMATCH(C143, ""G""), ""G"","""")"),"G")</f>
        <v>G</v>
      </c>
      <c r="I143" s="236" t="str">
        <f>IFERROR(__xludf.DUMMYFUNCTION("IF(REGEXMATCH(C143, ""m""), ""m"","""")"),"m")</f>
        <v>m</v>
      </c>
      <c r="J143" s="237" t="str">
        <f>IFERROR(__xludf.DUMMYFUNCTION("IF(REGEXMATCH(C143, ""M""), ""M"","""")"),"")</f>
        <v/>
      </c>
      <c r="K143" s="236" t="str">
        <f>IFERROR(__xludf.DUMMYFUNCTION("IF(REGEXMATCH(C143, ""P""), ""P"","""")"),"P")</f>
        <v>P</v>
      </c>
      <c r="L143" s="237" t="str">
        <f>IFERROR(__xludf.DUMMYFUNCTION("IF(REGEXMATCH(C143, ""d""), ""d"","""")"),"")</f>
        <v/>
      </c>
      <c r="M143" s="236" t="str">
        <f>IFERROR(__xludf.DUMMYFUNCTION("IF(REGEXMATCH(C143, ""D""), ""D"","""")"),"D")</f>
        <v>D</v>
      </c>
      <c r="N143" s="236" t="str">
        <f>IFERROR(__xludf.DUMMYFUNCTION("IF(REGEXMATCH(C143, ""n""), ""n"","""")"),"n")</f>
        <v>n</v>
      </c>
      <c r="O143" s="237" t="str">
        <f>IFERROR(__xludf.DUMMYFUNCTION("IF(REGEXMATCH(C143, ""N""), ""N"","""")"),"N")</f>
        <v>N</v>
      </c>
      <c r="P143" s="238" t="str">
        <f>IFERROR(__xludf.DUMMYFUNCTION("IF(REGEXMATCH(C143, ""S""), ""S"","""")"),"S")</f>
        <v>S</v>
      </c>
      <c r="Q143" s="239" t="str">
        <f>IFERROR(__xludf.DUMMYFUNCTION("SUBSTITUTE(CONCATENATE(JOIN(""-"",D143:J143)),""-"","""")"),"SRgGm")</f>
        <v>SRgGm</v>
      </c>
      <c r="R143" s="229" t="str">
        <f>IFERROR(__xludf.DUMMYFUNCTION("SUBSTITUTE(CONCATENATE(JOIN(""-"",K143:P143)),""-"","""")"),"PDnNS")</f>
        <v>PDnNS</v>
      </c>
      <c r="S143" s="282" t="str">
        <f t="shared" si="8"/>
        <v>S-R-G-M</v>
      </c>
      <c r="T143" s="282" t="str">
        <f t="shared" si="9"/>
        <v>P-D-N-S</v>
      </c>
      <c r="U143" s="237" t="str">
        <f>IFERROR(__xludf.DUMMYFUNCTION("SUBSTITUTE(JOIN(""-"",S143,T143),""--"",""-"")"),"S-R-G-M-P-D-N-S")</f>
        <v>S-R-G-M-P-D-N-S</v>
      </c>
      <c r="V143" s="309" t="str">
        <f t="shared" si="10"/>
        <v>RgGmDnN</v>
      </c>
      <c r="W143" s="244" t="str">
        <f>IFERROR(__xludf.DUMMYFUNCTION("IF(REGEXMATCH(C143, ""S""), ""0"","""")"),"0")</f>
        <v>0</v>
      </c>
      <c r="X143" s="245" t="str">
        <f>IFERROR(__xludf.DUMMYFUNCTION("IF(REGEXMATCH(C143, ""r""), ""1"","""")"),"")</f>
        <v/>
      </c>
      <c r="Y143" s="246" t="str">
        <f>IFERROR(__xludf.DUMMYFUNCTION("IF(REGEXMATCH(C143, ""R""), ""2"","""")"),"2")</f>
        <v>2</v>
      </c>
      <c r="Z143" s="246" t="str">
        <f>IFERROR(__xludf.DUMMYFUNCTION("IF(REGEXMATCH(C143, ""g""), ""3"","""")"),"3")</f>
        <v>3</v>
      </c>
      <c r="AA143" s="245" t="str">
        <f>IFERROR(__xludf.DUMMYFUNCTION("IF(REGEXMATCH(C143, ""G""), ""4"","""")"),"4")</f>
        <v>4</v>
      </c>
      <c r="AB143" s="245" t="str">
        <f>IFERROR(__xludf.DUMMYFUNCTION("IF(REGEXMATCH(C143, ""m""), ""5"","""")"),"5")</f>
        <v>5</v>
      </c>
      <c r="AC143" s="246" t="str">
        <f>IFERROR(__xludf.DUMMYFUNCTION("IF(REGEXMATCH(C143, ""M""), ""6"","""")"),"")</f>
        <v/>
      </c>
      <c r="AD143" s="245" t="str">
        <f>IFERROR(__xludf.DUMMYFUNCTION("IF(REGEXMATCH(C143, ""P""), ""7"","""")"),"7")</f>
        <v>7</v>
      </c>
      <c r="AE143" s="246" t="str">
        <f>IFERROR(__xludf.DUMMYFUNCTION("IF(REGEXMATCH(C143, ""d""), ""8"","""")"),"")</f>
        <v/>
      </c>
      <c r="AF143" s="245" t="str">
        <f>IFERROR(__xludf.DUMMYFUNCTION("IF(REGEXMATCH(C143, ""D""), ""9"","""")"),"9")</f>
        <v>9</v>
      </c>
      <c r="AG143" s="245" t="str">
        <f>IFERROR(__xludf.DUMMYFUNCTION("IF(REGEXMATCH(C143, ""n""), ""10"","""")"),"10")</f>
        <v>10</v>
      </c>
      <c r="AH143" s="246" t="str">
        <f>IFERROR(__xludf.DUMMYFUNCTION("IF(REGEXMATCH(C143, ""N""), ""11"","""")"),"11")</f>
        <v>11</v>
      </c>
      <c r="AI143" s="249" t="str">
        <f>IFERROR(__xludf.DUMMYFUNCTION("IF(REGEXMATCH(C143, ""S""), ""0"","""")"),"0")</f>
        <v>0</v>
      </c>
      <c r="AJ143" s="313" t="str">
        <f t="shared" si="11"/>
        <v>-</v>
      </c>
      <c r="AK143" s="313" t="str">
        <f t="shared" si="12"/>
        <v>-</v>
      </c>
      <c r="AL143" s="313" t="str">
        <f t="shared" si="13"/>
        <v>-</v>
      </c>
      <c r="AM143" s="313" t="str">
        <f t="shared" si="14"/>
        <v>T</v>
      </c>
      <c r="AN143" s="313" t="str">
        <f t="shared" si="15"/>
        <v>T</v>
      </c>
      <c r="AO143" s="314" t="str">
        <f t="shared" si="16"/>
        <v>T</v>
      </c>
      <c r="AP143" s="316">
        <f t="shared" si="17"/>
        <v>3</v>
      </c>
      <c r="AQ143" s="319" t="str">
        <f t="shared" si="18"/>
        <v>-</v>
      </c>
      <c r="AR143" s="320">
        <f t="shared" si="19"/>
        <v>0</v>
      </c>
      <c r="AS143" s="250" t="str">
        <f>IFERROR(__xludf.DUMMYFUNCTION("SUBSTITUTE(SUBSTITUTE(CONCATENATE(JOIN("""",FP143:GA143)),""|"",""x""),""-"",""o"")"),"xoxxxxoxoxxx")</f>
        <v>xoxxxxoxoxxx</v>
      </c>
      <c r="AT143" s="323" t="str">
        <f>IFERROR(__xludf.DUMMYFUNCTION("JOIN("""",AS143,AS143)"),"xoxxxxoxoxxxxoxxxxoxoxxx")</f>
        <v>xoxxxxoxoxxxxoxxxxoxoxxx</v>
      </c>
      <c r="AU143" s="256" t="str">
        <f>IFERROR(__xludf.DUMMYFUNCTION("JOIN("""",ArrayFormula(MID(AS143,LEN(AS143)-SEQUENCE(1,LEN(AS143))+1,1)))"),"xxxoxoxxxxox")</f>
        <v>xxxoxoxxxxox</v>
      </c>
      <c r="AV143" s="256" t="str">
        <f>IFERROR(__xludf.DUMMYFUNCTION("LEFT(CONCATENATE(""x"",JOIN("""",ArrayFormula(MID(AS143,LEN(AS143)-SEQUENCE(1,LEN(AS143))+1,1)))),12)"),"xxxxoxoxxxxo")</f>
        <v>xxxxoxoxxxxo</v>
      </c>
      <c r="AW143" s="327" t="str">
        <f>IFERROR(__xludf.DUMMYFUNCTION("JOIN("""",AU143,AU143)"),"xxxoxoxxxxoxxxxoxoxxxxox")</f>
        <v>xxxoxoxxxxoxxxxoxoxxxxox</v>
      </c>
      <c r="AX143" s="239" t="str">
        <f>IFERROR(__xludf.DUMMYFUNCTION("IF(REGEXMATCH(AW143,AS143),""✔"",""-"")"),"✔")</f>
        <v>✔</v>
      </c>
      <c r="AY143" s="330" t="str">
        <f t="shared" si="20"/>
        <v>-</v>
      </c>
      <c r="AZ143" s="260" t="str">
        <f t="shared" si="21"/>
        <v>#REF!</v>
      </c>
      <c r="BA143" s="333" t="str">
        <f t="shared" si="22"/>
        <v>xoxxxxo</v>
      </c>
      <c r="BB143" s="334" t="str">
        <f t="shared" si="23"/>
        <v>xoxxxx</v>
      </c>
      <c r="BC143" s="335" t="str">
        <f t="shared" si="236"/>
        <v>✔</v>
      </c>
      <c r="BD143" s="336" t="str">
        <f t="shared" si="25"/>
        <v>Jaijaiwanti: 'xoxxxxo' + 'xoxxxx'</v>
      </c>
      <c r="BE143" s="337">
        <f>IFERROR(__xludf.DUMMYFUNCTION("COUNTUNIQUE(FILTER(AT:AT,REGEXMATCH(AT:AT,AS143)))-1"),4.0)</f>
        <v>4</v>
      </c>
      <c r="BF143" s="261" t="str">
        <f>IFERROR(__xludf.DUMMYFUNCTION("IF(BI143=0,""(n/a)"",IF(BJ143=2,""(PAIR)"",IF(REGEXMATCH(AT143,""xoxoxxoxoxox""),""Bilawal"",IF(REGEXMATCH(AT143,""xoxoxooxoxoo""),""Bhupali"",IF(REGEXMATCH(AT143,""xoxoxxoxxoxo""),""Charukeshi"",IF(REGEXMATCH(AT143,""xoxoooxxoxxo""),""Kameshwari"",IF(REG"&amp;"EXMATCH(AT143,""xoxoxooxoxox""),""Shankara"",IF(REGEXMATCH(AT143,""xxooxoxxxoox""),""Basant"",IF(REGEXMATCH(AT143,""xoxoxxxxoxox""),""Bihag"",IF(REGEXMATCH(AT143,""xoxxxxoxoxxx""),""Pilu"",IF(REGEXMATCH(AT143,""xoxxoxoxxoox""),""Kirwani"",IF(REGEXMATCH(AT"&amp;"143,""xoxxoxoxoxxx""),""Mk.Malhar"",IF(REGEXMATCH(AT143,""xxooxxoxxoox""),""Bhairav"",IF(REGEXMATCH(AT143,""xxoxooxxxoox""),""Todi"",IF(REGEXMATCH(AT143,""xxooxoxooxox""),""Marwa"",IF(REGEXMATCH(AT143,""xxoooxoxxooo""),""Gunkali"",IF(REGEXMATCH(AT143,""xo"&amp;"xoxxoxxoox""),""Nat Bhairav"",IF(REGEXMATCH(AT143,""xoxxoooxoxoo""),""Shivranjani"",IF(REGEXMATCH(AT143,""xooxxxoxooxo""),""Jog"",IF(REGEXMATCH(AT143,""xxooxoxoxoox""),""Hemshri"",IF(REGEXMATCH(AT143,""xoooxooxoxxo""),""Kalavati"",IF(REGEXMATCH(AT143,""xx"&amp;"oxoxxoxoox""),""Kedar"",IF(REGEXMATCH(AT143,""xoxxxxoxooxx""),""Gara"",IF(REGEXMATCH(AT143,""xooxoxooxoox""),""Chandrakauns"",IF(REGEXMATCH(AT143,""xoxxxxoxxxox""),""Mand"",IF(REGEXMATCH(AT143,""xoxxxxoxoxox""),""Hanskinkini"",IF(REGEXMATCH(AT143,""xxooxx"&amp;"oxooxo""),""Lilavati"",IF(REGEXMATCH(AT143,""xooxoxoooxox""),""Rajeshwari"",IF(REGEXMATCH(AT143,""xoooxxoxoxxx""),""Khokar"",IF(REGEXMATCH(AT143,""xxooxoxxxxox""),""Maligoura"",""-""))))))))))))))))))))))))))))))"),"Pilu")</f>
        <v>Pilu</v>
      </c>
      <c r="BG143" s="239" t="str">
        <f t="shared" si="26"/>
        <v>#REF!</v>
      </c>
      <c r="BH143" s="239">
        <f>IFERROR(__xludf.DUMMYFUNCTION("COUNTUNIQUE(FE143:FO143)-1"),8.0)</f>
        <v>8</v>
      </c>
      <c r="BI143" s="239">
        <f>IFERROR(__xludf.DUMMYFUNCTION("COUNTUNIQUE(FILTER(AT:AT,REGEXMATCH(AT:AT,AS143)))-1"),4.0)</f>
        <v>4</v>
      </c>
      <c r="BJ143" s="239">
        <f>IFERROR(__xludf.DUMMYFUNCTION("COUNTA(FILTER(AT:AT,REGEXMATCH(AT:AT,AS143)))"),26.0)</f>
        <v>26</v>
      </c>
      <c r="BK143" s="341">
        <f>IFERROR(__xludf.DUMMYFUNCTION("COUNTA(FILTER(AT:AT,REGEXMATCH(AT:AT,AS143)))-AR143"),26.0)</f>
        <v>26</v>
      </c>
      <c r="BL143" s="276" t="str">
        <f>IFERROR(__xludf.DUMMYFUNCTION("IF(AS143=""oooooooooooo"",""-"",IF(REGEXMATCH(AT143,""xx""), ""Hemi."", ""Anhemi.""))"),"Hemi.")</f>
        <v>Hemi.</v>
      </c>
      <c r="BM143" s="282" t="str">
        <f>IFERROR(__xludf.DUMMYFUNCTION("IF(AS143=""oooooooooooo"",""-"",IF(REGEXMATCH(AT143,""xxx""), ""Cohem."", ""-""))"),"Cohem.")</f>
        <v>Cohem.</v>
      </c>
      <c r="BN143" s="282" t="str">
        <f>IFERROR(__xludf.DUMMYFUNCTION("IF(AS143=""oooooooooooo"",""-"",IF(REGEXMATCH(AT143,""xxxx""), ""Co-Co."", ""-""))"),"Co-Co.")</f>
        <v>Co-Co.</v>
      </c>
      <c r="BO143" s="342" t="str">
        <f>IFERROR(__xludf.DUMMYFUNCTION("IF(AS143=""oooooooooooo"",""-"",IF(REGEXMATCH(AT143,""xxxxx""), ""CCC."", ""-""))"),"-")</f>
        <v>-</v>
      </c>
      <c r="BP143" s="344" t="str">
        <f t="shared" si="27"/>
        <v>-</v>
      </c>
      <c r="BQ143" s="282" t="str">
        <f>IFERROR(__xludf.DUMMYFUNCTION("IF(REGEXMATCH(JOIN(""-"",EU143:FD143),""TRUE""),""✔"",""-"")"),"-")</f>
        <v>-</v>
      </c>
      <c r="BR143" s="225">
        <f t="shared" si="28"/>
        <v>0</v>
      </c>
      <c r="BS143" s="345" t="str">
        <f>IFERROR(__xludf.DUMMYFUNCTION("SUBSTITUTE(SUBSTITUTE(SUBSTITUTE(SUBSTITUTE(CONCATENATE(JOIN(""-"",GC143:GO143)),""--"",""-""),""--"",""-""),""--"",""-""),""--"",""-"")"),"1-2-b3-3-4-5-6-b7-7-8")</f>
        <v>1-2-b3-3-4-5-6-b7-7-8</v>
      </c>
      <c r="BT143" s="299" t="str">
        <f>IFERROR(__xludf.DUMMYFUNCTION("SUBSTITUTE(SUBSTITUTE(SUBSTITUTE(SUBSTITUTE(CONCATENATE(JOIN(""-"",GP143:HB143)),""--"",""-""),""--"",""-""),""--"",""-""),""--"",""-"")"),"S-R2-G2-G3-M1-P-D2-N2-N3-S")</f>
        <v>S-R2-G2-G3-M1-P-D2-N2-N3-S</v>
      </c>
      <c r="BU143" s="348" t="str">
        <f t="shared" si="29"/>
        <v>C-D-Eb-E-F-G-A-Bb-B-C</v>
      </c>
      <c r="BV143" s="349" t="str">
        <f t="shared" si="30"/>
        <v>SrMdS</v>
      </c>
      <c r="BW143" s="350">
        <f t="shared" si="31"/>
        <v>0</v>
      </c>
      <c r="BX143" s="351">
        <f t="shared" si="32"/>
        <v>11</v>
      </c>
      <c r="BY143" s="392"/>
      <c r="BZ143" s="309" t="str">
        <f>IFERROR(__xludf.DUMMYFUNCTION("IF(REGEXMATCH(C143, ""S""), ""x"",""x"")"),"x")</f>
        <v>x</v>
      </c>
      <c r="CA143" s="245" t="str">
        <f>IFERROR(__xludf.DUMMYFUNCTION("IF(REGEXMATCH(C143, ""r""), ""o"",""x"")"),"x")</f>
        <v>x</v>
      </c>
      <c r="CB143" s="246" t="str">
        <f>IFERROR(__xludf.DUMMYFUNCTION("IF(REGEXMATCH(C143, ""R""), ""o"",""x"")"),"o")</f>
        <v>o</v>
      </c>
      <c r="CC143" s="246" t="str">
        <f>IFERROR(__xludf.DUMMYFUNCTION("IF(REGEXMATCH(C143, ""g""), ""o"",""x"")"),"o")</f>
        <v>o</v>
      </c>
      <c r="CD143" s="245" t="str">
        <f>IFERROR(__xludf.DUMMYFUNCTION("IF(REGEXMATCH(C143, ""G""), ""o"",""x"")"),"o")</f>
        <v>o</v>
      </c>
      <c r="CE143" s="245" t="str">
        <f>IFERROR(__xludf.DUMMYFUNCTION("IF(REGEXMATCH(C143, ""m""), ""o"",""x"")"),"o")</f>
        <v>o</v>
      </c>
      <c r="CF143" s="246" t="str">
        <f>IFERROR(__xludf.DUMMYFUNCTION("IF(REGEXMATCH(C143, ""M""), ""o"",""x"")"),"x")</f>
        <v>x</v>
      </c>
      <c r="CG143" s="245" t="str">
        <f>IFERROR(__xludf.DUMMYFUNCTION("IF(REGEXMATCH(C143, ""P""), ""o"",""x"")"),"o")</f>
        <v>o</v>
      </c>
      <c r="CH143" s="246" t="str">
        <f>IFERROR(__xludf.DUMMYFUNCTION("IF(REGEXMATCH(C143, ""d""), ""o"",""x"")"),"x")</f>
        <v>x</v>
      </c>
      <c r="CI143" s="245" t="str">
        <f>IFERROR(__xludf.DUMMYFUNCTION("IF(REGEXMATCH(C143, ""D""), ""o"",""x"")"),"o")</f>
        <v>o</v>
      </c>
      <c r="CJ143" s="245" t="str">
        <f>IFERROR(__xludf.DUMMYFUNCTION("IF(REGEXMATCH(C143, ""n""), ""o"",""x"")"),"o")</f>
        <v>o</v>
      </c>
      <c r="CK143" s="245" t="str">
        <f>IFERROR(__xludf.DUMMYFUNCTION("IF(REGEXMATCH(C143, ""N""), ""o"",""x"")"),"o")</f>
        <v>o</v>
      </c>
      <c r="CL143" s="356" t="str">
        <f>IFERROR(__xludf.DUMMYFUNCTION("IF(REGEXMATCH(C143, ""S""), ""x"",""x"")"),"x")</f>
        <v>x</v>
      </c>
      <c r="CM143" s="357" t="str">
        <f t="shared" si="33"/>
        <v>xxooooxoxooo</v>
      </c>
      <c r="CN143" s="358">
        <f t="shared" si="34"/>
        <v>0</v>
      </c>
      <c r="CO143" s="246" t="str">
        <f>IFERROR(__xludf.DUMMYFUNCTION("IF(REGEXMATCH($C143, ""S""), ""S"",""S"")"),"S")</f>
        <v>S</v>
      </c>
      <c r="CP143" s="246" t="str">
        <f>IFERROR(__xludf.DUMMYFUNCTION("IF(REGEXMATCH($C143, ""r""), """",""r"")"),"r")</f>
        <v>r</v>
      </c>
      <c r="CQ143" s="246" t="str">
        <f>IFERROR(__xludf.DUMMYFUNCTION("IF(REGEXMATCH($C143, ""R""), """",""R"")"),"")</f>
        <v/>
      </c>
      <c r="CR143" s="246" t="str">
        <f>IFERROR(__xludf.DUMMYFUNCTION("IF(REGEXMATCH($C143, ""g""), """",""g"")"),"")</f>
        <v/>
      </c>
      <c r="CS143" s="246" t="str">
        <f>IFERROR(__xludf.DUMMYFUNCTION("IF(REGEXMATCH($C143, ""G""), """",""G"")"),"")</f>
        <v/>
      </c>
      <c r="CT143" s="246" t="str">
        <f>IFERROR(__xludf.DUMMYFUNCTION("IF(REGEXMATCH($C143, ""m""), """",""m"")"),"")</f>
        <v/>
      </c>
      <c r="CU143" s="246" t="str">
        <f>IFERROR(__xludf.DUMMYFUNCTION("IF(REGEXMATCH($C143, ""M""), """",""M"")"),"M")</f>
        <v>M</v>
      </c>
      <c r="CV143" s="246" t="str">
        <f>IFERROR(__xludf.DUMMYFUNCTION("IF(REGEXMATCH($C143, ""P""), """",""P"")"),"")</f>
        <v/>
      </c>
      <c r="CW143" s="246" t="str">
        <f>IFERROR(__xludf.DUMMYFUNCTION("IF(REGEXMATCH($C143, ""d""), """",""d"")"),"d")</f>
        <v>d</v>
      </c>
      <c r="CX143" s="246" t="str">
        <f>IFERROR(__xludf.DUMMYFUNCTION("IF(REGEXMATCH($C143, ""D""), """",""D"")"),"")</f>
        <v/>
      </c>
      <c r="CY143" s="246" t="str">
        <f>IFERROR(__xludf.DUMMYFUNCTION("IF(REGEXMATCH($C143, ""n""), """",""n"")"),"")</f>
        <v/>
      </c>
      <c r="CZ143" s="246" t="str">
        <f>IFERROR(__xludf.DUMMYFUNCTION("IF(REGEXMATCH($C143, ""N""), """",""N"")"),"")</f>
        <v/>
      </c>
      <c r="DA143" s="246" t="str">
        <f>IFERROR(__xludf.DUMMYFUNCTION("IF(REGEXMATCH($C143, ""S""), ""S"",""S"")"),"S")</f>
        <v>S</v>
      </c>
      <c r="DB143" s="362" t="str">
        <f>IFERROR(__xludf.DUMMYFUNCTION("JOIN("""",CO143:DA143,"""","""")"),"SrMdS")</f>
        <v>SrMdS</v>
      </c>
      <c r="DC143" s="363"/>
      <c r="DD143" s="301" t="str">
        <f t="shared" si="35"/>
        <v>#REF!</v>
      </c>
      <c r="DE143" s="302" t="str">
        <f t="shared" si="36"/>
        <v>#REF!</v>
      </c>
      <c r="DF143" s="301" t="str">
        <f t="shared" ref="DF143:DG143" si="492">SUBSTITUTE(S143,"-","")</f>
        <v>SRGM</v>
      </c>
      <c r="DG143" s="301" t="str">
        <f t="shared" si="492"/>
        <v>PDNS</v>
      </c>
      <c r="DH143" s="302" t="str">
        <f t="shared" si="38"/>
        <v>Pilu</v>
      </c>
      <c r="DI143" s="301" t="str">
        <f t="shared" si="39"/>
        <v>Hemi.</v>
      </c>
      <c r="DJ143" s="364" t="str">
        <f t="shared" si="40"/>
        <v>Co-Co.</v>
      </c>
      <c r="DK143" s="306" t="str">
        <f t="shared" si="41"/>
        <v>-</v>
      </c>
      <c r="DL143" s="366" t="str">
        <f t="shared" si="42"/>
        <v>-</v>
      </c>
      <c r="DM143" s="308" t="str">
        <f t="shared" si="43"/>
        <v>✔</v>
      </c>
      <c r="DN143" s="306" t="str">
        <f t="shared" si="44"/>
        <v>-</v>
      </c>
      <c r="DO143" s="306" t="str">
        <f t="shared" si="45"/>
        <v>-</v>
      </c>
      <c r="DP143" s="367" t="str">
        <f t="shared" si="46"/>
        <v>-</v>
      </c>
      <c r="DQ143" s="310" t="str">
        <f t="shared" si="47"/>
        <v>-</v>
      </c>
      <c r="DR143" s="310" t="str">
        <f t="shared" si="48"/>
        <v>✔</v>
      </c>
      <c r="DS143" s="310" t="str">
        <f t="shared" si="49"/>
        <v>-</v>
      </c>
      <c r="DT143" s="310" t="str">
        <f t="shared" si="50"/>
        <v>-</v>
      </c>
      <c r="DU143" s="370" t="str">
        <f t="shared" si="51"/>
        <v>✔</v>
      </c>
      <c r="DV143" s="306" t="str">
        <f t="shared" si="52"/>
        <v>-</v>
      </c>
      <c r="DW143" s="306" t="str">
        <f t="shared" si="53"/>
        <v>-</v>
      </c>
      <c r="DX143" s="306" t="str">
        <f t="shared" si="54"/>
        <v>-</v>
      </c>
      <c r="DY143" s="306" t="str">
        <f t="shared" si="55"/>
        <v>-</v>
      </c>
      <c r="DZ143" s="306" t="str">
        <f t="shared" si="56"/>
        <v>-</v>
      </c>
      <c r="EA143" s="367" t="str">
        <f t="shared" si="57"/>
        <v>-</v>
      </c>
      <c r="EB143" s="310" t="str">
        <f>IFERROR(__xludf.DUMMYFUNCTION("IF(REGEXMATCH(AW143,AS143),""✔"",""-"")"),"✔")</f>
        <v>✔</v>
      </c>
      <c r="EC143" s="310" t="str">
        <f t="shared" si="58"/>
        <v>#REF!</v>
      </c>
      <c r="ED143" s="370" t="str">
        <f t="shared" si="59"/>
        <v>-</v>
      </c>
      <c r="EE143" s="340" t="str">
        <f t="shared" si="60"/>
        <v>S-R-gG-m-P-D-nN-S</v>
      </c>
      <c r="EF143" s="371" t="str">
        <f>IFERROR(__xludf.DUMMYFUNCTION("CONCATENATE(JOIN("""",HC143:HO143))"),"SrRgmPdDnS")</f>
        <v>SrRgmPdDnS</v>
      </c>
      <c r="EG143" s="372">
        <f t="shared" si="61"/>
        <v>1</v>
      </c>
      <c r="EH143" s="373" t="str">
        <f>IFERROR(__xludf.DUMMYFUNCTION("CONCATENATE(JOIN("""",JC143:JO143))"),"Ni, ")</f>
        <v>Ni, </v>
      </c>
      <c r="EI143" s="322">
        <f t="shared" si="62"/>
        <v>0</v>
      </c>
      <c r="EJ143" s="374" t="str">
        <f>IFERROR(__xludf.DUMMYFUNCTION("CONCATENATE(JOIN("""",KC143:KO143))"),"")</f>
        <v/>
      </c>
      <c r="EK143" s="325" t="str">
        <f t="shared" si="63"/>
        <v>S-R2-G2-G3-M1-P-D2-N2-N3-S</v>
      </c>
      <c r="EL143" s="326" t="str">
        <f t="shared" si="64"/>
        <v>1-2-b3-3-4-5-6-b7-7-8</v>
      </c>
      <c r="EM143" s="318" t="str">
        <f t="shared" si="65"/>
        <v>#REF!</v>
      </c>
      <c r="EN143" s="328" t="str">
        <f>IFERROR(__xludf.DUMMYFUNCTION("SUBSTITUTE(SUBSTITUTE(SUBSTITUTE(SUBSTITUTE(CONCATENATE(JOIN("" "",HP143:IB143)),""  "","" ""),""  "","" ""),""  "","" ""),""  "","" "")"),"o • o o o o • o • o o o o")</f>
        <v>o • o o o o • o • o o o o</v>
      </c>
      <c r="EO143" s="368" t="str">
        <f t="shared" si="66"/>
        <v>-</v>
      </c>
      <c r="EP143" s="339" t="str">
        <f t="shared" si="67"/>
        <v>-</v>
      </c>
      <c r="EQ143" s="339" t="str">
        <f t="shared" si="68"/>
        <v>Sa-Pa</v>
      </c>
      <c r="ER143" s="339" t="str">
        <f t="shared" si="69"/>
        <v>-</v>
      </c>
      <c r="ES143" s="340" t="str">
        <f t="shared" si="70"/>
        <v>-</v>
      </c>
      <c r="ET143" s="363"/>
      <c r="EU143" s="376" t="b">
        <f>IFERROR(__xludf.DUMMYFUNCTION("arrayformula(sum(--REGEXMATCH(""SRGMPDNS"",split(REGEXREPLACE(C143,""(.)"",""$1~""),""~""))))=len(C143)
"),FALSE)</f>
        <v>0</v>
      </c>
      <c r="EV143" s="290" t="b">
        <f>IFERROR(__xludf.DUMMYFUNCTION("arrayformula(sum(--REGEXMATCH(""SRGmPDNS"",split(REGEXREPLACE(C143,""(.)"",""$1~""),""~""))))=len(C143)"),FALSE)</f>
        <v>0</v>
      </c>
      <c r="EW143" s="290" t="b">
        <f>IFERROR(__xludf.DUMMYFUNCTION("arrayformula(sum(--REGEXMATCH(""SRGmPDnS"",split(REGEXREPLACE(C143,""(.)"",""$1~""),""~""))))=len(C143)"),FALSE)</f>
        <v>0</v>
      </c>
      <c r="EX143" s="290" t="b">
        <f>IFERROR(__xludf.DUMMYFUNCTION("arrayformula(sum(--REGEXMATCH(""SRgmPDnS"",split(REGEXREPLACE(C143,""(.)"",""$1~""),""~""))))=len(C143)"),FALSE)</f>
        <v>0</v>
      </c>
      <c r="EY143" s="290" t="b">
        <f>IFERROR(__xludf.DUMMYFUNCTION("arrayformula(sum(--REGEXMATCH(""SRgmPdnS"",split(REGEXREPLACE(C143,""(.)"",""$1~""),""~""))))=len(C143)"),FALSE)</f>
        <v>0</v>
      </c>
      <c r="EZ143" s="290" t="b">
        <f>IFERROR(__xludf.DUMMYFUNCTION("arrayformula(sum(--REGEXMATCH(""SrgmPdnS"",split(REGEXREPLACE(C143,""(.)"",""$1~""),""~""))))=len(C143)"),FALSE)</f>
        <v>0</v>
      </c>
      <c r="FA143" s="290" t="b">
        <f>IFERROR(__xludf.DUMMYFUNCTION("arrayformula(sum(--REGEXMATCH(""SrGmPdNS"",split(REGEXREPLACE(C143,""(.)"",""$1~""),""~""))))=len(C143)"),FALSE)</f>
        <v>0</v>
      </c>
      <c r="FB143" s="290" t="b">
        <f>IFERROR(__xludf.DUMMYFUNCTION("arrayformula(sum(--REGEXMATCH(""SrGMPDNS"",split(REGEXREPLACE(C143,""(.)"",""$1~""),""~""))))=len(C143)"),FALSE)</f>
        <v>0</v>
      </c>
      <c r="FC143" s="290" t="b">
        <f>IFERROR(__xludf.DUMMYFUNCTION("arrayformula(sum(--REGEXMATCH(""SrGMPdNS"",split(REGEXREPLACE(C143,""(.)"",""$1~""),""~""))))=len(C143)"),FALSE)</f>
        <v>0</v>
      </c>
      <c r="FD143" s="377" t="b">
        <f>IFERROR(__xludf.DUMMYFUNCTION("arrayformula(sum(--REGEXMATCH(""SrgMPdNS"",split(REGEXREPLACE(C143,""(.)"",""$1~""),""~""))))=len(C143)"),FALSE)</f>
        <v>0</v>
      </c>
      <c r="FE143" s="269" t="str">
        <f t="shared" si="71"/>
        <v>-</v>
      </c>
      <c r="FF143" s="269" t="str">
        <f t="shared" si="72"/>
        <v>xxxxoxoxxxx</v>
      </c>
      <c r="FG143" s="271" t="str">
        <f t="shared" si="73"/>
        <v>xxxoxoxxxxo</v>
      </c>
      <c r="FH143" s="269" t="str">
        <f t="shared" si="74"/>
        <v>xxoxoxxxxox</v>
      </c>
      <c r="FI143" s="271" t="str">
        <f t="shared" si="75"/>
        <v>xoxoxxxxoxx</v>
      </c>
      <c r="FJ143" s="271" t="str">
        <f t="shared" si="76"/>
        <v>-</v>
      </c>
      <c r="FK143" s="271" t="str">
        <f t="shared" si="77"/>
        <v>xoxxxxoxxxx</v>
      </c>
      <c r="FL143" s="271" t="str">
        <f t="shared" si="78"/>
        <v>-</v>
      </c>
      <c r="FM143" s="271" t="str">
        <f t="shared" si="79"/>
        <v>xxxxoxxxxox</v>
      </c>
      <c r="FN143" s="271" t="str">
        <f t="shared" si="80"/>
        <v>xxxoxxxxoxo</v>
      </c>
      <c r="FO143" s="274" t="str">
        <f t="shared" si="81"/>
        <v>xxoxxxxoxox</v>
      </c>
      <c r="FP143" s="234" t="str">
        <f t="shared" si="82"/>
        <v>|</v>
      </c>
      <c r="FQ143" s="236" t="str">
        <f t="shared" si="83"/>
        <v>-</v>
      </c>
      <c r="FR143" s="237" t="str">
        <f t="shared" si="84"/>
        <v>|</v>
      </c>
      <c r="FS143" s="236" t="str">
        <f t="shared" si="85"/>
        <v>|</v>
      </c>
      <c r="FT143" s="237" t="str">
        <f t="shared" si="86"/>
        <v>|</v>
      </c>
      <c r="FU143" s="236" t="str">
        <f t="shared" si="87"/>
        <v>|</v>
      </c>
      <c r="FV143" s="237" t="str">
        <f t="shared" si="88"/>
        <v>-</v>
      </c>
      <c r="FW143" s="236" t="str">
        <f t="shared" si="89"/>
        <v>|</v>
      </c>
      <c r="FX143" s="237" t="str">
        <f t="shared" si="90"/>
        <v>-</v>
      </c>
      <c r="FY143" s="236" t="str">
        <f t="shared" si="91"/>
        <v>|</v>
      </c>
      <c r="FZ143" s="237" t="str">
        <f t="shared" si="92"/>
        <v>|</v>
      </c>
      <c r="GA143" s="236" t="str">
        <f t="shared" si="93"/>
        <v>|</v>
      </c>
      <c r="GB143" s="238" t="str">
        <f t="shared" si="94"/>
        <v>|</v>
      </c>
      <c r="GC143" s="244" t="str">
        <f>IFERROR(__xludf.DUMMYFUNCTION("IF(REGEXMATCH(C143, ""S""), ""1"","""")"),"1")</f>
        <v>1</v>
      </c>
      <c r="GD143" s="245" t="str">
        <f>IFERROR(__xludf.DUMMYFUNCTION("IF(REGEXMATCH(C143, ""r""), ""b2"","""")"),"")</f>
        <v/>
      </c>
      <c r="GE143" s="246" t="str">
        <f>IFERROR(__xludf.DUMMYFUNCTION("IF(REGEXMATCH(C143, ""R""), ""2"","""")"),"2")</f>
        <v>2</v>
      </c>
      <c r="GF143" s="246" t="str">
        <f>IFERROR(__xludf.DUMMYFUNCTION("IF(REGEXMATCH(C143, ""g""), ""b3"","""")"),"b3")</f>
        <v>b3</v>
      </c>
      <c r="GG143" s="245" t="str">
        <f>IFERROR(__xludf.DUMMYFUNCTION("IF(REGEXMATCH(C143, ""G""), ""3"","""")"),"3")</f>
        <v>3</v>
      </c>
      <c r="GH143" s="245" t="str">
        <f>IFERROR(__xludf.DUMMYFUNCTION("IF(REGEXMATCH(C143, ""m""), ""4"","""")"),"4")</f>
        <v>4</v>
      </c>
      <c r="GI143" s="246" t="str">
        <f>IFERROR(__xludf.DUMMYFUNCTION("IF(REGEXMATCH(C143, ""M""), ""#4"","""")"),"")</f>
        <v/>
      </c>
      <c r="GJ143" s="245" t="str">
        <f>IFERROR(__xludf.DUMMYFUNCTION("IF(REGEXMATCH(C143, ""P""), ""5"","""")"),"5")</f>
        <v>5</v>
      </c>
      <c r="GK143" s="246" t="str">
        <f>IFERROR(__xludf.DUMMYFUNCTION("IF(REGEXMATCH(C143, ""d""), ""b6"","""")"),"")</f>
        <v/>
      </c>
      <c r="GL143" s="245" t="str">
        <f>IFERROR(__xludf.DUMMYFUNCTION("IF(REGEXMATCH(C143, ""D""), ""6"","""")"),"6")</f>
        <v>6</v>
      </c>
      <c r="GM143" s="245" t="str">
        <f>IFERROR(__xludf.DUMMYFUNCTION("IF(REGEXMATCH(C143, ""n""), ""b7"","""")"),"b7")</f>
        <v>b7</v>
      </c>
      <c r="GN143" s="246" t="str">
        <f>IFERROR(__xludf.DUMMYFUNCTION("IF(REGEXMATCH(C143, ""N""), ""7"","""")"),"7")</f>
        <v>7</v>
      </c>
      <c r="GO143" s="249" t="str">
        <f>IFERROR(__xludf.DUMMYFUNCTION("IF(REGEXMATCH(C143, ""S""), ""8"","""")"),"8")</f>
        <v>8</v>
      </c>
      <c r="GP143" s="244" t="str">
        <f>IFERROR(__xludf.DUMMYFUNCTION("IF(REGEXMATCH(C143, ""S""), ""S"","""")"),"S")</f>
        <v>S</v>
      </c>
      <c r="GQ143" s="294" t="str">
        <f>IFERROR(__xludf.DUMMYFUNCTION("IF(REGEXMATCH(C143, ""r""), ""R1"","""")"),"")</f>
        <v/>
      </c>
      <c r="GR143" s="295" t="str">
        <f>IFERROR(__xludf.DUMMYFUNCTION("IF(REGEXMATCH(C143, ""R""), ""R2"","""")"),"R2")</f>
        <v>R2</v>
      </c>
      <c r="GS143" s="295" t="str">
        <f>IFERROR(__xludf.DUMMYFUNCTION("IF(REGEXMATCH(C143, ""g""), ""G2"","""")"),"G2")</f>
        <v>G2</v>
      </c>
      <c r="GT143" s="294" t="str">
        <f>IFERROR(__xludf.DUMMYFUNCTION("IF(REGEXMATCH(C143, ""G""), ""G3"","""")"),"G3")</f>
        <v>G3</v>
      </c>
      <c r="GU143" s="294" t="str">
        <f>IFERROR(__xludf.DUMMYFUNCTION("IF(REGEXMATCH(C143, ""m""), ""M1"","""")"),"M1")</f>
        <v>M1</v>
      </c>
      <c r="GV143" s="295" t="str">
        <f>IFERROR(__xludf.DUMMYFUNCTION("IF(REGEXMATCH(C143, ""M""), ""M2"","""")"),"")</f>
        <v/>
      </c>
      <c r="GW143" s="294" t="str">
        <f>IFERROR(__xludf.DUMMYFUNCTION("IF(REGEXMATCH(C143, ""P""), ""P"","""")"),"P")</f>
        <v>P</v>
      </c>
      <c r="GX143" s="295" t="str">
        <f>IFERROR(__xludf.DUMMYFUNCTION("IF(REGEXMATCH(C143, ""d""), ""D1"","""")"),"")</f>
        <v/>
      </c>
      <c r="GY143" s="294" t="str">
        <f>IFERROR(__xludf.DUMMYFUNCTION("IF(REGEXMATCH(C143, ""D""), ""D2"","""")"),"D2")</f>
        <v>D2</v>
      </c>
      <c r="GZ143" s="294" t="str">
        <f>IFERROR(__xludf.DUMMYFUNCTION("IF(REGEXMATCH(C143, ""n""), ""N2"","""")"),"N2")</f>
        <v>N2</v>
      </c>
      <c r="HA143" s="295" t="str">
        <f>IFERROR(__xludf.DUMMYFUNCTION("IF(REGEXMATCH(C143, ""N""), ""N3"","""")"),"N3")</f>
        <v>N3</v>
      </c>
      <c r="HB143" s="249" t="str">
        <f>IFERROR(__xludf.DUMMYFUNCTION("IF(REGEXMATCH(C143, ""S""), ""S"","""")"),"S")</f>
        <v>S</v>
      </c>
      <c r="HC143" s="331" t="str">
        <f t="shared" si="95"/>
        <v>S</v>
      </c>
      <c r="HD143" s="332" t="str">
        <f t="shared" si="96"/>
        <v>r</v>
      </c>
      <c r="HE143" s="332" t="str">
        <f t="shared" si="97"/>
        <v>R</v>
      </c>
      <c r="HF143" s="332" t="str">
        <f t="shared" si="98"/>
        <v>g</v>
      </c>
      <c r="HG143" s="332" t="str">
        <f t="shared" si="99"/>
        <v/>
      </c>
      <c r="HH143" s="332" t="str">
        <f t="shared" si="100"/>
        <v>m</v>
      </c>
      <c r="HI143" s="332" t="str">
        <f t="shared" si="101"/>
        <v/>
      </c>
      <c r="HJ143" s="332" t="str">
        <f t="shared" si="102"/>
        <v>P</v>
      </c>
      <c r="HK143" s="332" t="str">
        <f t="shared" si="103"/>
        <v>d</v>
      </c>
      <c r="HL143" s="332" t="str">
        <f t="shared" si="104"/>
        <v>D</v>
      </c>
      <c r="HM143" s="332" t="str">
        <f t="shared" si="105"/>
        <v>n</v>
      </c>
      <c r="HN143" s="332" t="str">
        <f t="shared" si="106"/>
        <v/>
      </c>
      <c r="HO143" s="343" t="str">
        <f t="shared" si="107"/>
        <v>S</v>
      </c>
      <c r="HP143" s="331" t="str">
        <f t="shared" si="108"/>
        <v>o</v>
      </c>
      <c r="HQ143" s="332" t="str">
        <f t="shared" si="109"/>
        <v>•</v>
      </c>
      <c r="HR143" s="332" t="str">
        <f t="shared" si="110"/>
        <v>o</v>
      </c>
      <c r="HS143" s="332" t="str">
        <f t="shared" si="111"/>
        <v>o</v>
      </c>
      <c r="HT143" s="332" t="str">
        <f t="shared" si="112"/>
        <v>o</v>
      </c>
      <c r="HU143" s="332" t="str">
        <f t="shared" si="113"/>
        <v>o</v>
      </c>
      <c r="HV143" s="332" t="str">
        <f t="shared" si="114"/>
        <v>•</v>
      </c>
      <c r="HW143" s="332" t="str">
        <f t="shared" si="115"/>
        <v>o</v>
      </c>
      <c r="HX143" s="332" t="str">
        <f t="shared" si="116"/>
        <v>•</v>
      </c>
      <c r="HY143" s="332" t="str">
        <f t="shared" si="117"/>
        <v>o</v>
      </c>
      <c r="HZ143" s="332" t="str">
        <f t="shared" si="118"/>
        <v>o</v>
      </c>
      <c r="IA143" s="332" t="str">
        <f t="shared" si="119"/>
        <v>o</v>
      </c>
      <c r="IB143" s="338" t="str">
        <f t="shared" si="120"/>
        <v>o</v>
      </c>
      <c r="IC143" s="331" t="str">
        <f t="shared" si="121"/>
        <v>•</v>
      </c>
      <c r="ID143" s="332" t="str">
        <f t="shared" si="122"/>
        <v>o</v>
      </c>
      <c r="IE143" s="332" t="str">
        <f t="shared" si="123"/>
        <v>•</v>
      </c>
      <c r="IF143" s="332" t="str">
        <f t="shared" si="124"/>
        <v>•</v>
      </c>
      <c r="IG143" s="332" t="str">
        <f t="shared" si="125"/>
        <v>•</v>
      </c>
      <c r="IH143" s="332" t="str">
        <f t="shared" si="126"/>
        <v>•</v>
      </c>
      <c r="II143" s="332" t="str">
        <f t="shared" si="127"/>
        <v>o</v>
      </c>
      <c r="IJ143" s="332" t="str">
        <f t="shared" si="128"/>
        <v>•</v>
      </c>
      <c r="IK143" s="332" t="str">
        <f t="shared" si="129"/>
        <v>o</v>
      </c>
      <c r="IL143" s="332" t="str">
        <f t="shared" si="130"/>
        <v>•</v>
      </c>
      <c r="IM143" s="332" t="str">
        <f t="shared" si="131"/>
        <v>•</v>
      </c>
      <c r="IN143" s="332" t="str">
        <f t="shared" si="132"/>
        <v>•</v>
      </c>
      <c r="IO143" s="338" t="str">
        <f t="shared" si="133"/>
        <v>•</v>
      </c>
      <c r="IP143" s="346" t="b">
        <f t="shared" si="134"/>
        <v>0</v>
      </c>
      <c r="IQ143" s="347" t="b">
        <f t="shared" si="135"/>
        <v>0</v>
      </c>
      <c r="IR143" s="347" t="b">
        <f t="shared" si="136"/>
        <v>0</v>
      </c>
      <c r="IS143" s="347" t="b">
        <f t="shared" si="137"/>
        <v>0</v>
      </c>
      <c r="IT143" s="347" t="b">
        <f t="shared" si="138"/>
        <v>0</v>
      </c>
      <c r="IU143" s="347" t="b">
        <f t="shared" si="139"/>
        <v>0</v>
      </c>
      <c r="IV143" s="347" t="b">
        <f t="shared" si="140"/>
        <v>0</v>
      </c>
      <c r="IW143" s="347" t="b">
        <f t="shared" si="141"/>
        <v>0</v>
      </c>
      <c r="IX143" s="347" t="b">
        <f t="shared" si="142"/>
        <v>0</v>
      </c>
      <c r="IY143" s="347" t="b">
        <f t="shared" si="143"/>
        <v>0</v>
      </c>
      <c r="IZ143" s="347" t="b">
        <f t="shared" si="144"/>
        <v>0</v>
      </c>
      <c r="JA143" s="347" t="b">
        <f t="shared" si="145"/>
        <v>1</v>
      </c>
      <c r="JB143" s="353" t="b">
        <f t="shared" si="146"/>
        <v>0</v>
      </c>
      <c r="JC143" s="354" t="str">
        <f t="shared" si="147"/>
        <v/>
      </c>
      <c r="JD143" s="355" t="str">
        <f t="shared" si="148"/>
        <v/>
      </c>
      <c r="JE143" s="355" t="str">
        <f t="shared" si="149"/>
        <v/>
      </c>
      <c r="JF143" s="355" t="str">
        <f t="shared" si="150"/>
        <v/>
      </c>
      <c r="JG143" s="355" t="str">
        <f t="shared" si="151"/>
        <v/>
      </c>
      <c r="JH143" s="355" t="str">
        <f t="shared" si="152"/>
        <v/>
      </c>
      <c r="JI143" s="355" t="str">
        <f t="shared" si="153"/>
        <v/>
      </c>
      <c r="JJ143" s="355" t="str">
        <f t="shared" si="154"/>
        <v/>
      </c>
      <c r="JK143" s="355" t="str">
        <f t="shared" si="155"/>
        <v/>
      </c>
      <c r="JL143" s="355" t="str">
        <f t="shared" si="156"/>
        <v/>
      </c>
      <c r="JM143" s="355" t="str">
        <f t="shared" si="157"/>
        <v/>
      </c>
      <c r="JN143" s="355" t="str">
        <f t="shared" si="158"/>
        <v>Ni, </v>
      </c>
      <c r="JO143" s="359" t="str">
        <f t="shared" si="159"/>
        <v/>
      </c>
      <c r="JP143" s="346" t="b">
        <f t="shared" si="160"/>
        <v>0</v>
      </c>
      <c r="JQ143" s="347" t="b">
        <f t="shared" si="161"/>
        <v>0</v>
      </c>
      <c r="JR143" s="347" t="b">
        <f t="shared" si="162"/>
        <v>0</v>
      </c>
      <c r="JS143" s="347" t="b">
        <f t="shared" si="163"/>
        <v>0</v>
      </c>
      <c r="JT143" s="347" t="b">
        <f t="shared" si="164"/>
        <v>0</v>
      </c>
      <c r="JU143" s="347" t="b">
        <f t="shared" si="165"/>
        <v>0</v>
      </c>
      <c r="JV143" s="347" t="b">
        <f t="shared" si="166"/>
        <v>0</v>
      </c>
      <c r="JW143" s="347" t="b">
        <f t="shared" si="167"/>
        <v>0</v>
      </c>
      <c r="JX143" s="347" t="b">
        <f t="shared" si="168"/>
        <v>0</v>
      </c>
      <c r="JY143" s="347" t="b">
        <f t="shared" si="169"/>
        <v>0</v>
      </c>
      <c r="JZ143" s="347" t="b">
        <f t="shared" si="170"/>
        <v>0</v>
      </c>
      <c r="KA143" s="347" t="b">
        <f t="shared" si="171"/>
        <v>0</v>
      </c>
      <c r="KB143" s="365" t="b">
        <f t="shared" si="172"/>
        <v>0</v>
      </c>
      <c r="KC143" s="354" t="str">
        <f t="shared" si="173"/>
        <v/>
      </c>
      <c r="KD143" s="355" t="str">
        <f t="shared" si="174"/>
        <v/>
      </c>
      <c r="KE143" s="355" t="str">
        <f t="shared" si="175"/>
        <v/>
      </c>
      <c r="KF143" s="355" t="str">
        <f t="shared" si="176"/>
        <v/>
      </c>
      <c r="KG143" s="355" t="str">
        <f t="shared" si="177"/>
        <v/>
      </c>
      <c r="KH143" s="355" t="str">
        <f t="shared" si="178"/>
        <v/>
      </c>
      <c r="KI143" s="355" t="str">
        <f t="shared" si="179"/>
        <v/>
      </c>
      <c r="KJ143" s="355" t="str">
        <f t="shared" si="180"/>
        <v/>
      </c>
      <c r="KK143" s="355" t="str">
        <f t="shared" si="181"/>
        <v/>
      </c>
      <c r="KL143" s="355" t="str">
        <f t="shared" si="182"/>
        <v/>
      </c>
      <c r="KM143" s="355" t="str">
        <f t="shared" si="183"/>
        <v/>
      </c>
      <c r="KN143" s="355" t="str">
        <f t="shared" si="184"/>
        <v/>
      </c>
      <c r="KO143" s="359"/>
      <c r="KP143" s="378"/>
      <c r="KQ143" s="379" t="s">
        <v>1406</v>
      </c>
      <c r="KR143" s="380" t="s">
        <v>1407</v>
      </c>
      <c r="KS143" s="381" t="str">
        <f t="shared" si="493"/>
        <v>S-R-gG-m-P-N-S</v>
      </c>
      <c r="KT143" s="382">
        <f t="shared" si="186"/>
        <v>6</v>
      </c>
      <c r="KU143" s="383">
        <f t="shared" si="187"/>
        <v>7</v>
      </c>
      <c r="KV143" s="381" t="str">
        <f t="shared" si="205"/>
        <v>S-Nn-D-P-m-Gg-R-S</v>
      </c>
      <c r="KW143" s="382">
        <f t="shared" si="189"/>
        <v>7</v>
      </c>
      <c r="KX143" s="384">
        <f t="shared" si="190"/>
        <v>9</v>
      </c>
      <c r="KY143" s="382">
        <f t="shared" ref="KY143:KZ143" si="494">KW143-KT143</f>
        <v>1</v>
      </c>
      <c r="KZ143" s="369">
        <f t="shared" si="494"/>
        <v>2</v>
      </c>
      <c r="LA143" s="385" t="str">
        <f t="shared" si="192"/>
        <v>-</v>
      </c>
      <c r="LB143" s="340" t="str">
        <f>IFERROR(__xludf.DUMMYFUNCTION("JOIN("""",ArrayFormula(MID(KS143,LEN(KS143)-SEQUENCE(1,LEN(KS143))+1,1)))"),"S-N-P-m-Gg-R-S")</f>
        <v>S-N-P-m-Gg-R-S</v>
      </c>
      <c r="LC143" s="373" t="str">
        <f>IFERROR(__xludf.DUMMYFUNCTION("JOIN("""",ArrayFormula(MID(KV143,LEN(KV143)-SEQUENCE(1,LEN(KV143))+1,1)))"),"S-R-gG-m-P-D-nN-S")</f>
        <v>S-R-gG-m-P-D-nN-S</v>
      </c>
      <c r="LD143" s="373" t="str">
        <f t="shared" si="193"/>
        <v>SRgGmPNS</v>
      </c>
      <c r="LE143" s="339" t="str">
        <f t="shared" si="194"/>
        <v>SRgGmPDnNS</v>
      </c>
      <c r="LF143" s="386" t="str">
        <f>IFERROR(__xludf.DUMMYFUNCTION("SUBSTITUTE(SUBSTITUTE(CONCATENATE(JOIN("""",LH143:LT143)),""1"",""""),""2"","""")"),"SRgGmPDnNS")</f>
        <v>SRgGmPDnNS</v>
      </c>
      <c r="LG143" s="369" t="str">
        <f t="shared" si="195"/>
        <v>✔</v>
      </c>
      <c r="LH143" s="387" t="str">
        <f>IFERROR(__xludf.DUMMYFUNCTION("IF(REGEXMATCH(LD143, ""S""), ""S"",IF(REGEXMATCH(LE143, ""S""), ""S"",""""))"),"S")</f>
        <v>S</v>
      </c>
      <c r="LI143" s="299" t="str">
        <f>IFERROR(__xludf.DUMMYFUNCTION("IF(REGEXMATCH(LD143, ""r""), ""r1"",IF(REGEXMATCH(LE143, ""r""), ""r2"",""""))"),"")</f>
        <v/>
      </c>
      <c r="LJ143" s="299" t="str">
        <f>IFERROR(__xludf.DUMMYFUNCTION("IF(REGEXMATCH(LD143, ""R""), ""R1"",IF(REGEXMATCH(LE143, ""R""), ""R2"",""""))"),"R1")</f>
        <v>R1</v>
      </c>
      <c r="LK143" s="299" t="str">
        <f>IFERROR(__xludf.DUMMYFUNCTION("IF(REGEXMATCH(LD143, ""g""), ""g1"",IF(REGEXMATCH(LE143, ""g""), ""g2"",""""))"),"g1")</f>
        <v>g1</v>
      </c>
      <c r="LL143" s="299" t="str">
        <f>IFERROR(__xludf.DUMMYFUNCTION("IF(REGEXMATCH(LD143, ""G""), ""G1"",IF(REGEXMATCH(LE143, ""G""), ""G2"",""""))"),"G1")</f>
        <v>G1</v>
      </c>
      <c r="LM143" s="299" t="str">
        <f>IFERROR(__xludf.DUMMYFUNCTION("IF(REGEXMATCH(LD143, ""m""), ""m1"",IF(REGEXMATCH(LE143, ""m""), ""m2"",""""))"),"m1")</f>
        <v>m1</v>
      </c>
      <c r="LN143" s="299" t="str">
        <f>IFERROR(__xludf.DUMMYFUNCTION("IF(REGEXMATCH(LD143, ""M""), ""M1"",IF(REGEXMATCH(LE143, ""M""), ""M2"",""""))"),"")</f>
        <v/>
      </c>
      <c r="LO143" s="299" t="str">
        <f>IFERROR(__xludf.DUMMYFUNCTION("IF(REGEXMATCH(LD143, ""P""), ""P1"",IF(REGEXMATCH(LE143, ""P""), ""P2"",""""))"),"P1")</f>
        <v>P1</v>
      </c>
      <c r="LP143" s="299" t="str">
        <f>IFERROR(__xludf.DUMMYFUNCTION("IF(REGEXMATCH(LD143, ""d""), ""d1"",IF(REGEXMATCH(LE143, ""d""), ""d2"",""""))"),"")</f>
        <v/>
      </c>
      <c r="LQ143" s="299" t="str">
        <f>IFERROR(__xludf.DUMMYFUNCTION("IF(REGEXMATCH(LD143, ""D""), ""D1"",IF(REGEXMATCH(LE143, ""D""), ""D2"",""""))"),"D2")</f>
        <v>D2</v>
      </c>
      <c r="LR143" s="299" t="str">
        <f>IFERROR(__xludf.DUMMYFUNCTION("IF(REGEXMATCH(LD143, ""n""), ""n1"",IF(REGEXMATCH(LE143, ""n""), ""n2"",""""))"),"n2")</f>
        <v>n2</v>
      </c>
      <c r="LS143" s="299" t="str">
        <f>IFERROR(__xludf.DUMMYFUNCTION("IF(REGEXMATCH(LD143, ""N""), ""N1"",IF(REGEXMATCH(LE143, ""N""), ""N2"",""""))"),"N1")</f>
        <v>N1</v>
      </c>
      <c r="LT143" s="388" t="str">
        <f>IFERROR(__xludf.DUMMYFUNCTION("IF(REGEXMATCH(LD143, ""S""), ""S"",IF(REGEXMATCH(LE143, ""S""), ""S"",""""))"),"S")</f>
        <v>S</v>
      </c>
      <c r="LU143" s="389">
        <f t="shared" si="196"/>
        <v>-2</v>
      </c>
      <c r="LV143" s="378"/>
      <c r="LW143" s="369"/>
      <c r="LX143" s="369"/>
    </row>
    <row r="144" ht="18.0" customHeight="1">
      <c r="A144" s="298" t="s">
        <v>810</v>
      </c>
      <c r="B144" s="222" t="s">
        <v>741</v>
      </c>
      <c r="C144" s="233" t="str">
        <f t="shared" si="7"/>
        <v>SRgGmPDnNS</v>
      </c>
      <c r="D144" s="234" t="str">
        <f>IFERROR(__xludf.DUMMYFUNCTION("IF(REGEXMATCH(C144, ""S""), ""S"","""")"),"S")</f>
        <v>S</v>
      </c>
      <c r="E144" s="236" t="str">
        <f>IFERROR(__xludf.DUMMYFUNCTION("IF(REGEXMATCH(C144, ""r""), ""r"","""")"),"")</f>
        <v/>
      </c>
      <c r="F144" s="237" t="str">
        <f>IFERROR(__xludf.DUMMYFUNCTION("IF(REGEXMATCH(C144, ""R""), ""R"","""")"),"R")</f>
        <v>R</v>
      </c>
      <c r="G144" s="237" t="str">
        <f>IFERROR(__xludf.DUMMYFUNCTION("IF(REGEXMATCH(C144, ""g""), ""g"","""")"),"g")</f>
        <v>g</v>
      </c>
      <c r="H144" s="236" t="str">
        <f>IFERROR(__xludf.DUMMYFUNCTION("IF(REGEXMATCH(C144, ""G""), ""G"","""")"),"G")</f>
        <v>G</v>
      </c>
      <c r="I144" s="236" t="str">
        <f>IFERROR(__xludf.DUMMYFUNCTION("IF(REGEXMATCH(C144, ""m""), ""m"","""")"),"m")</f>
        <v>m</v>
      </c>
      <c r="J144" s="237" t="str">
        <f>IFERROR(__xludf.DUMMYFUNCTION("IF(REGEXMATCH(C144, ""M""), ""M"","""")"),"")</f>
        <v/>
      </c>
      <c r="K144" s="236" t="str">
        <f>IFERROR(__xludf.DUMMYFUNCTION("IF(REGEXMATCH(C144, ""P""), ""P"","""")"),"P")</f>
        <v>P</v>
      </c>
      <c r="L144" s="237" t="str">
        <f>IFERROR(__xludf.DUMMYFUNCTION("IF(REGEXMATCH(C144, ""d""), ""d"","""")"),"")</f>
        <v/>
      </c>
      <c r="M144" s="236" t="str">
        <f>IFERROR(__xludf.DUMMYFUNCTION("IF(REGEXMATCH(C144, ""D""), ""D"","""")"),"D")</f>
        <v>D</v>
      </c>
      <c r="N144" s="236" t="str">
        <f>IFERROR(__xludf.DUMMYFUNCTION("IF(REGEXMATCH(C144, ""n""), ""n"","""")"),"n")</f>
        <v>n</v>
      </c>
      <c r="O144" s="237" t="str">
        <f>IFERROR(__xludf.DUMMYFUNCTION("IF(REGEXMATCH(C144, ""N""), ""N"","""")"),"N")</f>
        <v>N</v>
      </c>
      <c r="P144" s="238" t="str">
        <f>IFERROR(__xludf.DUMMYFUNCTION("IF(REGEXMATCH(C144, ""S""), ""S"","""")"),"S")</f>
        <v>S</v>
      </c>
      <c r="Q144" s="239" t="str">
        <f>IFERROR(__xludf.DUMMYFUNCTION("SUBSTITUTE(CONCATENATE(JOIN(""-"",D144:J144)),""-"","""")"),"SRgGm")</f>
        <v>SRgGm</v>
      </c>
      <c r="R144" s="229" t="str">
        <f>IFERROR(__xludf.DUMMYFUNCTION("SUBSTITUTE(CONCATENATE(JOIN(""-"",K144:P144)),""-"","""")"),"PDnNS")</f>
        <v>PDnNS</v>
      </c>
      <c r="S144" s="282" t="str">
        <f t="shared" si="8"/>
        <v>S-R-G-M</v>
      </c>
      <c r="T144" s="282" t="str">
        <f t="shared" si="9"/>
        <v>P-D-N-S</v>
      </c>
      <c r="U144" s="237" t="str">
        <f>IFERROR(__xludf.DUMMYFUNCTION("SUBSTITUTE(JOIN(""-"",S144,T144),""--"",""-"")"),"S-R-G-M-P-D-N-S")</f>
        <v>S-R-G-M-P-D-N-S</v>
      </c>
      <c r="V144" s="309" t="str">
        <f t="shared" si="10"/>
        <v>RgGmDnN</v>
      </c>
      <c r="W144" s="244" t="str">
        <f>IFERROR(__xludf.DUMMYFUNCTION("IF(REGEXMATCH(C144, ""S""), ""0"","""")"),"0")</f>
        <v>0</v>
      </c>
      <c r="X144" s="245" t="str">
        <f>IFERROR(__xludf.DUMMYFUNCTION("IF(REGEXMATCH(C144, ""r""), ""1"","""")"),"")</f>
        <v/>
      </c>
      <c r="Y144" s="246" t="str">
        <f>IFERROR(__xludf.DUMMYFUNCTION("IF(REGEXMATCH(C144, ""R""), ""2"","""")"),"2")</f>
        <v>2</v>
      </c>
      <c r="Z144" s="246" t="str">
        <f>IFERROR(__xludf.DUMMYFUNCTION("IF(REGEXMATCH(C144, ""g""), ""3"","""")"),"3")</f>
        <v>3</v>
      </c>
      <c r="AA144" s="245" t="str">
        <f>IFERROR(__xludf.DUMMYFUNCTION("IF(REGEXMATCH(C144, ""G""), ""4"","""")"),"4")</f>
        <v>4</v>
      </c>
      <c r="AB144" s="245" t="str">
        <f>IFERROR(__xludf.DUMMYFUNCTION("IF(REGEXMATCH(C144, ""m""), ""5"","""")"),"5")</f>
        <v>5</v>
      </c>
      <c r="AC144" s="246" t="str">
        <f>IFERROR(__xludf.DUMMYFUNCTION("IF(REGEXMATCH(C144, ""M""), ""6"","""")"),"")</f>
        <v/>
      </c>
      <c r="AD144" s="245" t="str">
        <f>IFERROR(__xludf.DUMMYFUNCTION("IF(REGEXMATCH(C144, ""P""), ""7"","""")"),"7")</f>
        <v>7</v>
      </c>
      <c r="AE144" s="246" t="str">
        <f>IFERROR(__xludf.DUMMYFUNCTION("IF(REGEXMATCH(C144, ""d""), ""8"","""")"),"")</f>
        <v/>
      </c>
      <c r="AF144" s="245" t="str">
        <f>IFERROR(__xludf.DUMMYFUNCTION("IF(REGEXMATCH(C144, ""D""), ""9"","""")"),"9")</f>
        <v>9</v>
      </c>
      <c r="AG144" s="245" t="str">
        <f>IFERROR(__xludf.DUMMYFUNCTION("IF(REGEXMATCH(C144, ""n""), ""10"","""")"),"10")</f>
        <v>10</v>
      </c>
      <c r="AH144" s="246" t="str">
        <f>IFERROR(__xludf.DUMMYFUNCTION("IF(REGEXMATCH(C144, ""N""), ""11"","""")"),"11")</f>
        <v>11</v>
      </c>
      <c r="AI144" s="249" t="str">
        <f>IFERROR(__xludf.DUMMYFUNCTION("IF(REGEXMATCH(C144, ""S""), ""0"","""")"),"0")</f>
        <v>0</v>
      </c>
      <c r="AJ144" s="313" t="str">
        <f t="shared" si="11"/>
        <v>-</v>
      </c>
      <c r="AK144" s="313" t="str">
        <f t="shared" si="12"/>
        <v>-</v>
      </c>
      <c r="AL144" s="313" t="str">
        <f t="shared" si="13"/>
        <v>-</v>
      </c>
      <c r="AM144" s="313" t="str">
        <f t="shared" si="14"/>
        <v>T</v>
      </c>
      <c r="AN144" s="313" t="str">
        <f t="shared" si="15"/>
        <v>T</v>
      </c>
      <c r="AO144" s="314" t="str">
        <f t="shared" si="16"/>
        <v>T</v>
      </c>
      <c r="AP144" s="316">
        <f t="shared" si="17"/>
        <v>3</v>
      </c>
      <c r="AQ144" s="319" t="str">
        <f t="shared" si="18"/>
        <v>-</v>
      </c>
      <c r="AR144" s="320">
        <f t="shared" si="19"/>
        <v>0</v>
      </c>
      <c r="AS144" s="250" t="str">
        <f>IFERROR(__xludf.DUMMYFUNCTION("SUBSTITUTE(SUBSTITUTE(CONCATENATE(JOIN("""",FP144:GA144)),""|"",""x""),""-"",""o"")"),"xoxxxxoxoxxx")</f>
        <v>xoxxxxoxoxxx</v>
      </c>
      <c r="AT144" s="323" t="str">
        <f>IFERROR(__xludf.DUMMYFUNCTION("JOIN("""",AS144,AS144)"),"xoxxxxoxoxxxxoxxxxoxoxxx")</f>
        <v>xoxxxxoxoxxxxoxxxxoxoxxx</v>
      </c>
      <c r="AU144" s="256" t="str">
        <f>IFERROR(__xludf.DUMMYFUNCTION("JOIN("""",ArrayFormula(MID(AS144,LEN(AS144)-SEQUENCE(1,LEN(AS144))+1,1)))"),"xxxoxoxxxxox")</f>
        <v>xxxoxoxxxxox</v>
      </c>
      <c r="AV144" s="256" t="str">
        <f>IFERROR(__xludf.DUMMYFUNCTION("LEFT(CONCATENATE(""x"",JOIN("""",ArrayFormula(MID(AS144,LEN(AS144)-SEQUENCE(1,LEN(AS144))+1,1)))),12)"),"xxxxoxoxxxxo")</f>
        <v>xxxxoxoxxxxo</v>
      </c>
      <c r="AW144" s="327" t="str">
        <f>IFERROR(__xludf.DUMMYFUNCTION("JOIN("""",AU144,AU144)"),"xxxoxoxxxxoxxxxoxoxxxxox")</f>
        <v>xxxoxoxxxxoxxxxoxoxxxxox</v>
      </c>
      <c r="AX144" s="239" t="str">
        <f>IFERROR(__xludf.DUMMYFUNCTION("IF(REGEXMATCH(AW144,AS144),""✔"",""-"")"),"✔")</f>
        <v>✔</v>
      </c>
      <c r="AY144" s="330" t="str">
        <f t="shared" si="20"/>
        <v>-</v>
      </c>
      <c r="AZ144" s="260" t="str">
        <f t="shared" si="21"/>
        <v>#REF!</v>
      </c>
      <c r="BA144" s="333" t="str">
        <f t="shared" si="22"/>
        <v>xoxxxxo</v>
      </c>
      <c r="BB144" s="334" t="str">
        <f t="shared" si="23"/>
        <v>xoxxxx</v>
      </c>
      <c r="BC144" s="335" t="str">
        <f t="shared" si="236"/>
        <v>✔</v>
      </c>
      <c r="BD144" s="336" t="str">
        <f t="shared" si="25"/>
        <v>Jaijaiwanti Nat: 'xoxxxxo' + 'xoxxxx'</v>
      </c>
      <c r="BE144" s="337">
        <f>IFERROR(__xludf.DUMMYFUNCTION("COUNTUNIQUE(FILTER(AT:AT,REGEXMATCH(AT:AT,AS144)))-1"),4.0)</f>
        <v>4</v>
      </c>
      <c r="BF144" s="261" t="str">
        <f>IFERROR(__xludf.DUMMYFUNCTION("IF(BI144=0,""(n/a)"",IF(BJ144=2,""(PAIR)"",IF(REGEXMATCH(AT144,""xoxoxxoxoxox""),""Bilawal"",IF(REGEXMATCH(AT144,""xoxoxooxoxoo""),""Bhupali"",IF(REGEXMATCH(AT144,""xoxoxxoxxoxo""),""Charukeshi"",IF(REGEXMATCH(AT144,""xoxoooxxoxxo""),""Kameshwari"",IF(REG"&amp;"EXMATCH(AT144,""xoxoxooxoxox""),""Shankara"",IF(REGEXMATCH(AT144,""xxooxoxxxoox""),""Basant"",IF(REGEXMATCH(AT144,""xoxoxxxxoxox""),""Bihag"",IF(REGEXMATCH(AT144,""xoxxxxoxoxxx""),""Pilu"",IF(REGEXMATCH(AT144,""xoxxoxoxxoox""),""Kirwani"",IF(REGEXMATCH(AT"&amp;"144,""xoxxoxoxoxxx""),""Mk.Malhar"",IF(REGEXMATCH(AT144,""xxooxxoxxoox""),""Bhairav"",IF(REGEXMATCH(AT144,""xxoxooxxxoox""),""Todi"",IF(REGEXMATCH(AT144,""xxooxoxooxox""),""Marwa"",IF(REGEXMATCH(AT144,""xxoooxoxxooo""),""Gunkali"",IF(REGEXMATCH(AT144,""xo"&amp;"xoxxoxxoox""),""Nat Bhairav"",IF(REGEXMATCH(AT144,""xoxxoooxoxoo""),""Shivranjani"",IF(REGEXMATCH(AT144,""xooxxxoxooxo""),""Jog"",IF(REGEXMATCH(AT144,""xxooxoxoxoox""),""Hemshri"",IF(REGEXMATCH(AT144,""xoooxooxoxxo""),""Kalavati"",IF(REGEXMATCH(AT144,""xx"&amp;"oxoxxoxoox""),""Kedar"",IF(REGEXMATCH(AT144,""xoxxxxoxooxx""),""Gara"",IF(REGEXMATCH(AT144,""xooxoxooxoox""),""Chandrakauns"",IF(REGEXMATCH(AT144,""xoxxxxoxxxox""),""Mand"",IF(REGEXMATCH(AT144,""xoxxxxoxoxox""),""Hanskinkini"",IF(REGEXMATCH(AT144,""xxooxx"&amp;"oxooxo""),""Lilavati"",IF(REGEXMATCH(AT144,""xooxoxoooxox""),""Rajeshwari"",IF(REGEXMATCH(AT144,""xoooxxoxoxxx""),""Khokar"",IF(REGEXMATCH(AT144,""xxooxoxxxxox""),""Maligoura"",""-""))))))))))))))))))))))))))))))"),"Pilu")</f>
        <v>Pilu</v>
      </c>
      <c r="BG144" s="239" t="str">
        <f t="shared" si="26"/>
        <v>#REF!</v>
      </c>
      <c r="BH144" s="239">
        <f>IFERROR(__xludf.DUMMYFUNCTION("COUNTUNIQUE(FE144:FO144)-1"),8.0)</f>
        <v>8</v>
      </c>
      <c r="BI144" s="239">
        <f>IFERROR(__xludf.DUMMYFUNCTION("COUNTUNIQUE(FILTER(AT:AT,REGEXMATCH(AT:AT,AS144)))-1"),4.0)</f>
        <v>4</v>
      </c>
      <c r="BJ144" s="239">
        <f>IFERROR(__xludf.DUMMYFUNCTION("COUNTA(FILTER(AT:AT,REGEXMATCH(AT:AT,AS144)))"),26.0)</f>
        <v>26</v>
      </c>
      <c r="BK144" s="341">
        <f>IFERROR(__xludf.DUMMYFUNCTION("COUNTA(FILTER(AT:AT,REGEXMATCH(AT:AT,AS144)))-AR144"),26.0)</f>
        <v>26</v>
      </c>
      <c r="BL144" s="276" t="str">
        <f>IFERROR(__xludf.DUMMYFUNCTION("IF(AS144=""oooooooooooo"",""-"",IF(REGEXMATCH(AT144,""xx""), ""Hemi."", ""Anhemi.""))"),"Hemi.")</f>
        <v>Hemi.</v>
      </c>
      <c r="BM144" s="282" t="str">
        <f>IFERROR(__xludf.DUMMYFUNCTION("IF(AS144=""oooooooooooo"",""-"",IF(REGEXMATCH(AT144,""xxx""), ""Cohem."", ""-""))"),"Cohem.")</f>
        <v>Cohem.</v>
      </c>
      <c r="BN144" s="282" t="str">
        <f>IFERROR(__xludf.DUMMYFUNCTION("IF(AS144=""oooooooooooo"",""-"",IF(REGEXMATCH(AT144,""xxxx""), ""Co-Co."", ""-""))"),"Co-Co.")</f>
        <v>Co-Co.</v>
      </c>
      <c r="BO144" s="342" t="str">
        <f>IFERROR(__xludf.DUMMYFUNCTION("IF(AS144=""oooooooooooo"",""-"",IF(REGEXMATCH(AT144,""xxxxx""), ""CCC."", ""-""))"),"-")</f>
        <v>-</v>
      </c>
      <c r="BP144" s="344" t="str">
        <f t="shared" si="27"/>
        <v>-</v>
      </c>
      <c r="BQ144" s="282" t="str">
        <f>IFERROR(__xludf.DUMMYFUNCTION("IF(REGEXMATCH(JOIN(""-"",EU144:FD144),""TRUE""),""✔"",""-"")"),"-")</f>
        <v>-</v>
      </c>
      <c r="BR144" s="225">
        <f t="shared" si="28"/>
        <v>0</v>
      </c>
      <c r="BS144" s="345" t="str">
        <f>IFERROR(__xludf.DUMMYFUNCTION("SUBSTITUTE(SUBSTITUTE(SUBSTITUTE(SUBSTITUTE(CONCATENATE(JOIN(""-"",GC144:GO144)),""--"",""-""),""--"",""-""),""--"",""-""),""--"",""-"")"),"1-2-b3-3-4-5-6-b7-7-8")</f>
        <v>1-2-b3-3-4-5-6-b7-7-8</v>
      </c>
      <c r="BT144" s="299" t="str">
        <f>IFERROR(__xludf.DUMMYFUNCTION("SUBSTITUTE(SUBSTITUTE(SUBSTITUTE(SUBSTITUTE(CONCATENATE(JOIN(""-"",GP144:HB144)),""--"",""-""),""--"",""-""),""--"",""-""),""--"",""-"")"),"S-R2-G2-G3-M1-P-D2-N2-N3-S")</f>
        <v>S-R2-G2-G3-M1-P-D2-N2-N3-S</v>
      </c>
      <c r="BU144" s="348" t="str">
        <f t="shared" si="29"/>
        <v>C-D-Eb-E-F-G-A-Bb-B-C</v>
      </c>
      <c r="BV144" s="349" t="str">
        <f t="shared" si="30"/>
        <v>SrMdS</v>
      </c>
      <c r="BW144" s="350">
        <f t="shared" si="31"/>
        <v>0</v>
      </c>
      <c r="BX144" s="351">
        <f t="shared" si="32"/>
        <v>11</v>
      </c>
      <c r="BY144" s="392"/>
      <c r="BZ144" s="309" t="str">
        <f>IFERROR(__xludf.DUMMYFUNCTION("IF(REGEXMATCH(C144, ""S""), ""x"",""x"")"),"x")</f>
        <v>x</v>
      </c>
      <c r="CA144" s="245" t="str">
        <f>IFERROR(__xludf.DUMMYFUNCTION("IF(REGEXMATCH(C144, ""r""), ""o"",""x"")"),"x")</f>
        <v>x</v>
      </c>
      <c r="CB144" s="246" t="str">
        <f>IFERROR(__xludf.DUMMYFUNCTION("IF(REGEXMATCH(C144, ""R""), ""o"",""x"")"),"o")</f>
        <v>o</v>
      </c>
      <c r="CC144" s="246" t="str">
        <f>IFERROR(__xludf.DUMMYFUNCTION("IF(REGEXMATCH(C144, ""g""), ""o"",""x"")"),"o")</f>
        <v>o</v>
      </c>
      <c r="CD144" s="245" t="str">
        <f>IFERROR(__xludf.DUMMYFUNCTION("IF(REGEXMATCH(C144, ""G""), ""o"",""x"")"),"o")</f>
        <v>o</v>
      </c>
      <c r="CE144" s="245" t="str">
        <f>IFERROR(__xludf.DUMMYFUNCTION("IF(REGEXMATCH(C144, ""m""), ""o"",""x"")"),"o")</f>
        <v>o</v>
      </c>
      <c r="CF144" s="246" t="str">
        <f>IFERROR(__xludf.DUMMYFUNCTION("IF(REGEXMATCH(C144, ""M""), ""o"",""x"")"),"x")</f>
        <v>x</v>
      </c>
      <c r="CG144" s="245" t="str">
        <f>IFERROR(__xludf.DUMMYFUNCTION("IF(REGEXMATCH(C144, ""P""), ""o"",""x"")"),"o")</f>
        <v>o</v>
      </c>
      <c r="CH144" s="246" t="str">
        <f>IFERROR(__xludf.DUMMYFUNCTION("IF(REGEXMATCH(C144, ""d""), ""o"",""x"")"),"x")</f>
        <v>x</v>
      </c>
      <c r="CI144" s="245" t="str">
        <f>IFERROR(__xludf.DUMMYFUNCTION("IF(REGEXMATCH(C144, ""D""), ""o"",""x"")"),"o")</f>
        <v>o</v>
      </c>
      <c r="CJ144" s="245" t="str">
        <f>IFERROR(__xludf.DUMMYFUNCTION("IF(REGEXMATCH(C144, ""n""), ""o"",""x"")"),"o")</f>
        <v>o</v>
      </c>
      <c r="CK144" s="245" t="str">
        <f>IFERROR(__xludf.DUMMYFUNCTION("IF(REGEXMATCH(C144, ""N""), ""o"",""x"")"),"o")</f>
        <v>o</v>
      </c>
      <c r="CL144" s="356" t="str">
        <f>IFERROR(__xludf.DUMMYFUNCTION("IF(REGEXMATCH(C144, ""S""), ""x"",""x"")"),"x")</f>
        <v>x</v>
      </c>
      <c r="CM144" s="357" t="str">
        <f t="shared" si="33"/>
        <v>xxooooxoxooo</v>
      </c>
      <c r="CN144" s="358">
        <f t="shared" si="34"/>
        <v>0</v>
      </c>
      <c r="CO144" s="246" t="str">
        <f>IFERROR(__xludf.DUMMYFUNCTION("IF(REGEXMATCH($C144, ""S""), ""S"",""S"")"),"S")</f>
        <v>S</v>
      </c>
      <c r="CP144" s="246" t="str">
        <f>IFERROR(__xludf.DUMMYFUNCTION("IF(REGEXMATCH($C144, ""r""), """",""r"")"),"r")</f>
        <v>r</v>
      </c>
      <c r="CQ144" s="246" t="str">
        <f>IFERROR(__xludf.DUMMYFUNCTION("IF(REGEXMATCH($C144, ""R""), """",""R"")"),"")</f>
        <v/>
      </c>
      <c r="CR144" s="246" t="str">
        <f>IFERROR(__xludf.DUMMYFUNCTION("IF(REGEXMATCH($C144, ""g""), """",""g"")"),"")</f>
        <v/>
      </c>
      <c r="CS144" s="246" t="str">
        <f>IFERROR(__xludf.DUMMYFUNCTION("IF(REGEXMATCH($C144, ""G""), """",""G"")"),"")</f>
        <v/>
      </c>
      <c r="CT144" s="246" t="str">
        <f>IFERROR(__xludf.DUMMYFUNCTION("IF(REGEXMATCH($C144, ""m""), """",""m"")"),"")</f>
        <v/>
      </c>
      <c r="CU144" s="246" t="str">
        <f>IFERROR(__xludf.DUMMYFUNCTION("IF(REGEXMATCH($C144, ""M""), """",""M"")"),"M")</f>
        <v>M</v>
      </c>
      <c r="CV144" s="246" t="str">
        <f>IFERROR(__xludf.DUMMYFUNCTION("IF(REGEXMATCH($C144, ""P""), """",""P"")"),"")</f>
        <v/>
      </c>
      <c r="CW144" s="246" t="str">
        <f>IFERROR(__xludf.DUMMYFUNCTION("IF(REGEXMATCH($C144, ""d""), """",""d"")"),"d")</f>
        <v>d</v>
      </c>
      <c r="CX144" s="246" t="str">
        <f>IFERROR(__xludf.DUMMYFUNCTION("IF(REGEXMATCH($C144, ""D""), """",""D"")"),"")</f>
        <v/>
      </c>
      <c r="CY144" s="246" t="str">
        <f>IFERROR(__xludf.DUMMYFUNCTION("IF(REGEXMATCH($C144, ""n""), """",""n"")"),"")</f>
        <v/>
      </c>
      <c r="CZ144" s="246" t="str">
        <f>IFERROR(__xludf.DUMMYFUNCTION("IF(REGEXMATCH($C144, ""N""), """",""N"")"),"")</f>
        <v/>
      </c>
      <c r="DA144" s="246" t="str">
        <f>IFERROR(__xludf.DUMMYFUNCTION("IF(REGEXMATCH($C144, ""S""), ""S"",""S"")"),"S")</f>
        <v>S</v>
      </c>
      <c r="DB144" s="362" t="str">
        <f>IFERROR(__xludf.DUMMYFUNCTION("JOIN("""",CO144:DA144,"""","""")"),"SrMdS")</f>
        <v>SrMdS</v>
      </c>
      <c r="DC144" s="363"/>
      <c r="DD144" s="301" t="str">
        <f t="shared" si="35"/>
        <v>#REF!</v>
      </c>
      <c r="DE144" s="302" t="str">
        <f t="shared" si="36"/>
        <v>#REF!</v>
      </c>
      <c r="DF144" s="301" t="str">
        <f t="shared" ref="DF144:DG144" si="495">SUBSTITUTE(S144,"-","")</f>
        <v>SRGM</v>
      </c>
      <c r="DG144" s="301" t="str">
        <f t="shared" si="495"/>
        <v>PDNS</v>
      </c>
      <c r="DH144" s="302" t="str">
        <f t="shared" si="38"/>
        <v>Pilu</v>
      </c>
      <c r="DI144" s="301" t="str">
        <f t="shared" si="39"/>
        <v>Hemi.</v>
      </c>
      <c r="DJ144" s="364" t="str">
        <f t="shared" si="40"/>
        <v>Co-Co.</v>
      </c>
      <c r="DK144" s="306" t="str">
        <f t="shared" si="41"/>
        <v>-</v>
      </c>
      <c r="DL144" s="366" t="str">
        <f t="shared" si="42"/>
        <v>-</v>
      </c>
      <c r="DM144" s="308" t="str">
        <f t="shared" si="43"/>
        <v>✔</v>
      </c>
      <c r="DN144" s="306" t="str">
        <f t="shared" si="44"/>
        <v>-</v>
      </c>
      <c r="DO144" s="306" t="str">
        <f t="shared" si="45"/>
        <v>-</v>
      </c>
      <c r="DP144" s="367" t="str">
        <f t="shared" si="46"/>
        <v>-</v>
      </c>
      <c r="DQ144" s="310" t="str">
        <f t="shared" si="47"/>
        <v>-</v>
      </c>
      <c r="DR144" s="310" t="str">
        <f t="shared" si="48"/>
        <v>✔</v>
      </c>
      <c r="DS144" s="310" t="str">
        <f t="shared" si="49"/>
        <v>-</v>
      </c>
      <c r="DT144" s="310" t="str">
        <f t="shared" si="50"/>
        <v>-</v>
      </c>
      <c r="DU144" s="370" t="str">
        <f t="shared" si="51"/>
        <v>✔</v>
      </c>
      <c r="DV144" s="306" t="str">
        <f t="shared" si="52"/>
        <v>-</v>
      </c>
      <c r="DW144" s="306" t="str">
        <f t="shared" si="53"/>
        <v>-</v>
      </c>
      <c r="DX144" s="306" t="str">
        <f t="shared" si="54"/>
        <v>-</v>
      </c>
      <c r="DY144" s="306" t="str">
        <f t="shared" si="55"/>
        <v>-</v>
      </c>
      <c r="DZ144" s="306" t="str">
        <f t="shared" si="56"/>
        <v>-</v>
      </c>
      <c r="EA144" s="367" t="str">
        <f t="shared" si="57"/>
        <v>-</v>
      </c>
      <c r="EB144" s="310" t="str">
        <f>IFERROR(__xludf.DUMMYFUNCTION("IF(REGEXMATCH(AW144,AS144),""✔"",""-"")"),"✔")</f>
        <v>✔</v>
      </c>
      <c r="EC144" s="310" t="str">
        <f t="shared" si="58"/>
        <v>#REF!</v>
      </c>
      <c r="ED144" s="370" t="str">
        <f t="shared" si="59"/>
        <v>-</v>
      </c>
      <c r="EE144" s="340" t="str">
        <f t="shared" si="60"/>
        <v>S-R-gG-m-P-D-nN-S</v>
      </c>
      <c r="EF144" s="371" t="str">
        <f>IFERROR(__xludf.DUMMYFUNCTION("CONCATENATE(JOIN("""",HC144:HO144))"),"SrRgmPdDnS")</f>
        <v>SrRgmPdDnS</v>
      </c>
      <c r="EG144" s="372">
        <f t="shared" si="61"/>
        <v>1</v>
      </c>
      <c r="EH144" s="373" t="str">
        <f>IFERROR(__xludf.DUMMYFUNCTION("CONCATENATE(JOIN("""",JC144:JO144))"),"Ni, ")</f>
        <v>Ni, </v>
      </c>
      <c r="EI144" s="322">
        <f t="shared" si="62"/>
        <v>0</v>
      </c>
      <c r="EJ144" s="374" t="str">
        <f>IFERROR(__xludf.DUMMYFUNCTION("CONCATENATE(JOIN("""",KC144:KO144))"),"")</f>
        <v/>
      </c>
      <c r="EK144" s="325" t="str">
        <f t="shared" si="63"/>
        <v>S-R2-G2-G3-M1-P-D2-N2-N3-S</v>
      </c>
      <c r="EL144" s="326" t="str">
        <f t="shared" si="64"/>
        <v>1-2-b3-3-4-5-6-b7-7-8</v>
      </c>
      <c r="EM144" s="318" t="str">
        <f t="shared" si="65"/>
        <v>#REF!</v>
      </c>
      <c r="EN144" s="328" t="str">
        <f>IFERROR(__xludf.DUMMYFUNCTION("SUBSTITUTE(SUBSTITUTE(SUBSTITUTE(SUBSTITUTE(CONCATENATE(JOIN("" "",HP144:IB144)),""  "","" ""),""  "","" ""),""  "","" ""),""  "","" "")"),"o • o o o o • o • o o o o")</f>
        <v>o • o o o o • o • o o o o</v>
      </c>
      <c r="EO144" s="368" t="str">
        <f t="shared" si="66"/>
        <v>-</v>
      </c>
      <c r="EP144" s="339" t="str">
        <f t="shared" si="67"/>
        <v>-</v>
      </c>
      <c r="EQ144" s="339" t="str">
        <f t="shared" si="68"/>
        <v>Sa-Pa</v>
      </c>
      <c r="ER144" s="339" t="str">
        <f t="shared" si="69"/>
        <v>-</v>
      </c>
      <c r="ES144" s="340" t="str">
        <f t="shared" si="70"/>
        <v>-</v>
      </c>
      <c r="ET144" s="363"/>
      <c r="EU144" s="376" t="b">
        <f>IFERROR(__xludf.DUMMYFUNCTION("arrayformula(sum(--REGEXMATCH(""SRGMPDNS"",split(REGEXREPLACE(C144,""(.)"",""$1~""),""~""))))=len(C144)
"),FALSE)</f>
        <v>0</v>
      </c>
      <c r="EV144" s="290" t="b">
        <f>IFERROR(__xludf.DUMMYFUNCTION("arrayformula(sum(--REGEXMATCH(""SRGmPDNS"",split(REGEXREPLACE(C144,""(.)"",""$1~""),""~""))))=len(C144)"),FALSE)</f>
        <v>0</v>
      </c>
      <c r="EW144" s="290" t="b">
        <f>IFERROR(__xludf.DUMMYFUNCTION("arrayformula(sum(--REGEXMATCH(""SRGmPDnS"",split(REGEXREPLACE(C144,""(.)"",""$1~""),""~""))))=len(C144)"),FALSE)</f>
        <v>0</v>
      </c>
      <c r="EX144" s="290" t="b">
        <f>IFERROR(__xludf.DUMMYFUNCTION("arrayformula(sum(--REGEXMATCH(""SRgmPDnS"",split(REGEXREPLACE(C144,""(.)"",""$1~""),""~""))))=len(C144)"),FALSE)</f>
        <v>0</v>
      </c>
      <c r="EY144" s="290" t="b">
        <f>IFERROR(__xludf.DUMMYFUNCTION("arrayformula(sum(--REGEXMATCH(""SRgmPdnS"",split(REGEXREPLACE(C144,""(.)"",""$1~""),""~""))))=len(C144)"),FALSE)</f>
        <v>0</v>
      </c>
      <c r="EZ144" s="290" t="b">
        <f>IFERROR(__xludf.DUMMYFUNCTION("arrayformula(sum(--REGEXMATCH(""SrgmPdnS"",split(REGEXREPLACE(C144,""(.)"",""$1~""),""~""))))=len(C144)"),FALSE)</f>
        <v>0</v>
      </c>
      <c r="FA144" s="290" t="b">
        <f>IFERROR(__xludf.DUMMYFUNCTION("arrayformula(sum(--REGEXMATCH(""SrGmPdNS"",split(REGEXREPLACE(C144,""(.)"",""$1~""),""~""))))=len(C144)"),FALSE)</f>
        <v>0</v>
      </c>
      <c r="FB144" s="290" t="b">
        <f>IFERROR(__xludf.DUMMYFUNCTION("arrayformula(sum(--REGEXMATCH(""SrGMPDNS"",split(REGEXREPLACE(C144,""(.)"",""$1~""),""~""))))=len(C144)"),FALSE)</f>
        <v>0</v>
      </c>
      <c r="FC144" s="290" t="b">
        <f>IFERROR(__xludf.DUMMYFUNCTION("arrayformula(sum(--REGEXMATCH(""SrGMPdNS"",split(REGEXREPLACE(C144,""(.)"",""$1~""),""~""))))=len(C144)"),FALSE)</f>
        <v>0</v>
      </c>
      <c r="FD144" s="377" t="b">
        <f>IFERROR(__xludf.DUMMYFUNCTION("arrayformula(sum(--REGEXMATCH(""SrgMPdNS"",split(REGEXREPLACE(C144,""(.)"",""$1~""),""~""))))=len(C144)"),FALSE)</f>
        <v>0</v>
      </c>
      <c r="FE144" s="269" t="str">
        <f t="shared" si="71"/>
        <v>-</v>
      </c>
      <c r="FF144" s="269" t="str">
        <f t="shared" si="72"/>
        <v>xxxxoxoxxxx</v>
      </c>
      <c r="FG144" s="271" t="str">
        <f t="shared" si="73"/>
        <v>xxxoxoxxxxo</v>
      </c>
      <c r="FH144" s="269" t="str">
        <f t="shared" si="74"/>
        <v>xxoxoxxxxox</v>
      </c>
      <c r="FI144" s="271" t="str">
        <f t="shared" si="75"/>
        <v>xoxoxxxxoxx</v>
      </c>
      <c r="FJ144" s="271" t="str">
        <f t="shared" si="76"/>
        <v>-</v>
      </c>
      <c r="FK144" s="271" t="str">
        <f t="shared" si="77"/>
        <v>xoxxxxoxxxx</v>
      </c>
      <c r="FL144" s="271" t="str">
        <f t="shared" si="78"/>
        <v>-</v>
      </c>
      <c r="FM144" s="271" t="str">
        <f t="shared" si="79"/>
        <v>xxxxoxxxxox</v>
      </c>
      <c r="FN144" s="271" t="str">
        <f t="shared" si="80"/>
        <v>xxxoxxxxoxo</v>
      </c>
      <c r="FO144" s="274" t="str">
        <f t="shared" si="81"/>
        <v>xxoxxxxoxox</v>
      </c>
      <c r="FP144" s="234" t="str">
        <f t="shared" si="82"/>
        <v>|</v>
      </c>
      <c r="FQ144" s="236" t="str">
        <f t="shared" si="83"/>
        <v>-</v>
      </c>
      <c r="FR144" s="237" t="str">
        <f t="shared" si="84"/>
        <v>|</v>
      </c>
      <c r="FS144" s="236" t="str">
        <f t="shared" si="85"/>
        <v>|</v>
      </c>
      <c r="FT144" s="237" t="str">
        <f t="shared" si="86"/>
        <v>|</v>
      </c>
      <c r="FU144" s="236" t="str">
        <f t="shared" si="87"/>
        <v>|</v>
      </c>
      <c r="FV144" s="237" t="str">
        <f t="shared" si="88"/>
        <v>-</v>
      </c>
      <c r="FW144" s="236" t="str">
        <f t="shared" si="89"/>
        <v>|</v>
      </c>
      <c r="FX144" s="237" t="str">
        <f t="shared" si="90"/>
        <v>-</v>
      </c>
      <c r="FY144" s="236" t="str">
        <f t="shared" si="91"/>
        <v>|</v>
      </c>
      <c r="FZ144" s="237" t="str">
        <f t="shared" si="92"/>
        <v>|</v>
      </c>
      <c r="GA144" s="236" t="str">
        <f t="shared" si="93"/>
        <v>|</v>
      </c>
      <c r="GB144" s="238" t="str">
        <f t="shared" si="94"/>
        <v>|</v>
      </c>
      <c r="GC144" s="244" t="str">
        <f>IFERROR(__xludf.DUMMYFUNCTION("IF(REGEXMATCH(C144, ""S""), ""1"","""")"),"1")</f>
        <v>1</v>
      </c>
      <c r="GD144" s="245" t="str">
        <f>IFERROR(__xludf.DUMMYFUNCTION("IF(REGEXMATCH(C144, ""r""), ""b2"","""")"),"")</f>
        <v/>
      </c>
      <c r="GE144" s="246" t="str">
        <f>IFERROR(__xludf.DUMMYFUNCTION("IF(REGEXMATCH(C144, ""R""), ""2"","""")"),"2")</f>
        <v>2</v>
      </c>
      <c r="GF144" s="246" t="str">
        <f>IFERROR(__xludf.DUMMYFUNCTION("IF(REGEXMATCH(C144, ""g""), ""b3"","""")"),"b3")</f>
        <v>b3</v>
      </c>
      <c r="GG144" s="245" t="str">
        <f>IFERROR(__xludf.DUMMYFUNCTION("IF(REGEXMATCH(C144, ""G""), ""3"","""")"),"3")</f>
        <v>3</v>
      </c>
      <c r="GH144" s="245" t="str">
        <f>IFERROR(__xludf.DUMMYFUNCTION("IF(REGEXMATCH(C144, ""m""), ""4"","""")"),"4")</f>
        <v>4</v>
      </c>
      <c r="GI144" s="246" t="str">
        <f>IFERROR(__xludf.DUMMYFUNCTION("IF(REGEXMATCH(C144, ""M""), ""#4"","""")"),"")</f>
        <v/>
      </c>
      <c r="GJ144" s="245" t="str">
        <f>IFERROR(__xludf.DUMMYFUNCTION("IF(REGEXMATCH(C144, ""P""), ""5"","""")"),"5")</f>
        <v>5</v>
      </c>
      <c r="GK144" s="246" t="str">
        <f>IFERROR(__xludf.DUMMYFUNCTION("IF(REGEXMATCH(C144, ""d""), ""b6"","""")"),"")</f>
        <v/>
      </c>
      <c r="GL144" s="245" t="str">
        <f>IFERROR(__xludf.DUMMYFUNCTION("IF(REGEXMATCH(C144, ""D""), ""6"","""")"),"6")</f>
        <v>6</v>
      </c>
      <c r="GM144" s="245" t="str">
        <f>IFERROR(__xludf.DUMMYFUNCTION("IF(REGEXMATCH(C144, ""n""), ""b7"","""")"),"b7")</f>
        <v>b7</v>
      </c>
      <c r="GN144" s="246" t="str">
        <f>IFERROR(__xludf.DUMMYFUNCTION("IF(REGEXMATCH(C144, ""N""), ""7"","""")"),"7")</f>
        <v>7</v>
      </c>
      <c r="GO144" s="249" t="str">
        <f>IFERROR(__xludf.DUMMYFUNCTION("IF(REGEXMATCH(C144, ""S""), ""8"","""")"),"8")</f>
        <v>8</v>
      </c>
      <c r="GP144" s="244" t="str">
        <f>IFERROR(__xludf.DUMMYFUNCTION("IF(REGEXMATCH(C144, ""S""), ""S"","""")"),"S")</f>
        <v>S</v>
      </c>
      <c r="GQ144" s="294" t="str">
        <f>IFERROR(__xludf.DUMMYFUNCTION("IF(REGEXMATCH(C144, ""r""), ""R1"","""")"),"")</f>
        <v/>
      </c>
      <c r="GR144" s="295" t="str">
        <f>IFERROR(__xludf.DUMMYFUNCTION("IF(REGEXMATCH(C144, ""R""), ""R2"","""")"),"R2")</f>
        <v>R2</v>
      </c>
      <c r="GS144" s="295" t="str">
        <f>IFERROR(__xludf.DUMMYFUNCTION("IF(REGEXMATCH(C144, ""g""), ""G2"","""")"),"G2")</f>
        <v>G2</v>
      </c>
      <c r="GT144" s="294" t="str">
        <f>IFERROR(__xludf.DUMMYFUNCTION("IF(REGEXMATCH(C144, ""G""), ""G3"","""")"),"G3")</f>
        <v>G3</v>
      </c>
      <c r="GU144" s="294" t="str">
        <f>IFERROR(__xludf.DUMMYFUNCTION("IF(REGEXMATCH(C144, ""m""), ""M1"","""")"),"M1")</f>
        <v>M1</v>
      </c>
      <c r="GV144" s="295" t="str">
        <f>IFERROR(__xludf.DUMMYFUNCTION("IF(REGEXMATCH(C144, ""M""), ""M2"","""")"),"")</f>
        <v/>
      </c>
      <c r="GW144" s="294" t="str">
        <f>IFERROR(__xludf.DUMMYFUNCTION("IF(REGEXMATCH(C144, ""P""), ""P"","""")"),"P")</f>
        <v>P</v>
      </c>
      <c r="GX144" s="295" t="str">
        <f>IFERROR(__xludf.DUMMYFUNCTION("IF(REGEXMATCH(C144, ""d""), ""D1"","""")"),"")</f>
        <v/>
      </c>
      <c r="GY144" s="294" t="str">
        <f>IFERROR(__xludf.DUMMYFUNCTION("IF(REGEXMATCH(C144, ""D""), ""D2"","""")"),"D2")</f>
        <v>D2</v>
      </c>
      <c r="GZ144" s="294" t="str">
        <f>IFERROR(__xludf.DUMMYFUNCTION("IF(REGEXMATCH(C144, ""n""), ""N2"","""")"),"N2")</f>
        <v>N2</v>
      </c>
      <c r="HA144" s="295" t="str">
        <f>IFERROR(__xludf.DUMMYFUNCTION("IF(REGEXMATCH(C144, ""N""), ""N3"","""")"),"N3")</f>
        <v>N3</v>
      </c>
      <c r="HB144" s="249" t="str">
        <f>IFERROR(__xludf.DUMMYFUNCTION("IF(REGEXMATCH(C144, ""S""), ""S"","""")"),"S")</f>
        <v>S</v>
      </c>
      <c r="HC144" s="331" t="str">
        <f t="shared" si="95"/>
        <v>S</v>
      </c>
      <c r="HD144" s="332" t="str">
        <f t="shared" si="96"/>
        <v>r</v>
      </c>
      <c r="HE144" s="332" t="str">
        <f t="shared" si="97"/>
        <v>R</v>
      </c>
      <c r="HF144" s="332" t="str">
        <f t="shared" si="98"/>
        <v>g</v>
      </c>
      <c r="HG144" s="332" t="str">
        <f t="shared" si="99"/>
        <v/>
      </c>
      <c r="HH144" s="332" t="str">
        <f t="shared" si="100"/>
        <v>m</v>
      </c>
      <c r="HI144" s="332" t="str">
        <f t="shared" si="101"/>
        <v/>
      </c>
      <c r="HJ144" s="332" t="str">
        <f t="shared" si="102"/>
        <v>P</v>
      </c>
      <c r="HK144" s="332" t="str">
        <f t="shared" si="103"/>
        <v>d</v>
      </c>
      <c r="HL144" s="332" t="str">
        <f t="shared" si="104"/>
        <v>D</v>
      </c>
      <c r="HM144" s="332" t="str">
        <f t="shared" si="105"/>
        <v>n</v>
      </c>
      <c r="HN144" s="332" t="str">
        <f t="shared" si="106"/>
        <v/>
      </c>
      <c r="HO144" s="343" t="str">
        <f t="shared" si="107"/>
        <v>S</v>
      </c>
      <c r="HP144" s="331" t="str">
        <f t="shared" si="108"/>
        <v>o</v>
      </c>
      <c r="HQ144" s="332" t="str">
        <f t="shared" si="109"/>
        <v>•</v>
      </c>
      <c r="HR144" s="332" t="str">
        <f t="shared" si="110"/>
        <v>o</v>
      </c>
      <c r="HS144" s="332" t="str">
        <f t="shared" si="111"/>
        <v>o</v>
      </c>
      <c r="HT144" s="332" t="str">
        <f t="shared" si="112"/>
        <v>o</v>
      </c>
      <c r="HU144" s="332" t="str">
        <f t="shared" si="113"/>
        <v>o</v>
      </c>
      <c r="HV144" s="332" t="str">
        <f t="shared" si="114"/>
        <v>•</v>
      </c>
      <c r="HW144" s="332" t="str">
        <f t="shared" si="115"/>
        <v>o</v>
      </c>
      <c r="HX144" s="332" t="str">
        <f t="shared" si="116"/>
        <v>•</v>
      </c>
      <c r="HY144" s="332" t="str">
        <f t="shared" si="117"/>
        <v>o</v>
      </c>
      <c r="HZ144" s="332" t="str">
        <f t="shared" si="118"/>
        <v>o</v>
      </c>
      <c r="IA144" s="332" t="str">
        <f t="shared" si="119"/>
        <v>o</v>
      </c>
      <c r="IB144" s="338" t="str">
        <f t="shared" si="120"/>
        <v>o</v>
      </c>
      <c r="IC144" s="331" t="str">
        <f t="shared" si="121"/>
        <v>•</v>
      </c>
      <c r="ID144" s="332" t="str">
        <f t="shared" si="122"/>
        <v>o</v>
      </c>
      <c r="IE144" s="332" t="str">
        <f t="shared" si="123"/>
        <v>•</v>
      </c>
      <c r="IF144" s="332" t="str">
        <f t="shared" si="124"/>
        <v>•</v>
      </c>
      <c r="IG144" s="332" t="str">
        <f t="shared" si="125"/>
        <v>•</v>
      </c>
      <c r="IH144" s="332" t="str">
        <f t="shared" si="126"/>
        <v>•</v>
      </c>
      <c r="II144" s="332" t="str">
        <f t="shared" si="127"/>
        <v>o</v>
      </c>
      <c r="IJ144" s="332" t="str">
        <f t="shared" si="128"/>
        <v>•</v>
      </c>
      <c r="IK144" s="332" t="str">
        <f t="shared" si="129"/>
        <v>o</v>
      </c>
      <c r="IL144" s="332" t="str">
        <f t="shared" si="130"/>
        <v>•</v>
      </c>
      <c r="IM144" s="332" t="str">
        <f t="shared" si="131"/>
        <v>•</v>
      </c>
      <c r="IN144" s="332" t="str">
        <f t="shared" si="132"/>
        <v>•</v>
      </c>
      <c r="IO144" s="338" t="str">
        <f t="shared" si="133"/>
        <v>•</v>
      </c>
      <c r="IP144" s="346" t="b">
        <f t="shared" si="134"/>
        <v>0</v>
      </c>
      <c r="IQ144" s="347" t="b">
        <f t="shared" si="135"/>
        <v>0</v>
      </c>
      <c r="IR144" s="347" t="b">
        <f t="shared" si="136"/>
        <v>0</v>
      </c>
      <c r="IS144" s="347" t="b">
        <f t="shared" si="137"/>
        <v>0</v>
      </c>
      <c r="IT144" s="347" t="b">
        <f t="shared" si="138"/>
        <v>0</v>
      </c>
      <c r="IU144" s="347" t="b">
        <f t="shared" si="139"/>
        <v>0</v>
      </c>
      <c r="IV144" s="347" t="b">
        <f t="shared" si="140"/>
        <v>0</v>
      </c>
      <c r="IW144" s="347" t="b">
        <f t="shared" si="141"/>
        <v>0</v>
      </c>
      <c r="IX144" s="347" t="b">
        <f t="shared" si="142"/>
        <v>0</v>
      </c>
      <c r="IY144" s="347" t="b">
        <f t="shared" si="143"/>
        <v>0</v>
      </c>
      <c r="IZ144" s="347" t="b">
        <f t="shared" si="144"/>
        <v>0</v>
      </c>
      <c r="JA144" s="347" t="b">
        <f t="shared" si="145"/>
        <v>1</v>
      </c>
      <c r="JB144" s="353" t="b">
        <f t="shared" si="146"/>
        <v>0</v>
      </c>
      <c r="JC144" s="354" t="str">
        <f t="shared" si="147"/>
        <v/>
      </c>
      <c r="JD144" s="355" t="str">
        <f t="shared" si="148"/>
        <v/>
      </c>
      <c r="JE144" s="355" t="str">
        <f t="shared" si="149"/>
        <v/>
      </c>
      <c r="JF144" s="355" t="str">
        <f t="shared" si="150"/>
        <v/>
      </c>
      <c r="JG144" s="355" t="str">
        <f t="shared" si="151"/>
        <v/>
      </c>
      <c r="JH144" s="355" t="str">
        <f t="shared" si="152"/>
        <v/>
      </c>
      <c r="JI144" s="355" t="str">
        <f t="shared" si="153"/>
        <v/>
      </c>
      <c r="JJ144" s="355" t="str">
        <f t="shared" si="154"/>
        <v/>
      </c>
      <c r="JK144" s="355" t="str">
        <f t="shared" si="155"/>
        <v/>
      </c>
      <c r="JL144" s="355" t="str">
        <f t="shared" si="156"/>
        <v/>
      </c>
      <c r="JM144" s="355" t="str">
        <f t="shared" si="157"/>
        <v/>
      </c>
      <c r="JN144" s="355" t="str">
        <f t="shared" si="158"/>
        <v>Ni, </v>
      </c>
      <c r="JO144" s="359" t="str">
        <f t="shared" si="159"/>
        <v/>
      </c>
      <c r="JP144" s="346" t="b">
        <f t="shared" si="160"/>
        <v>0</v>
      </c>
      <c r="JQ144" s="347" t="b">
        <f t="shared" si="161"/>
        <v>0</v>
      </c>
      <c r="JR144" s="347" t="b">
        <f t="shared" si="162"/>
        <v>0</v>
      </c>
      <c r="JS144" s="347" t="b">
        <f t="shared" si="163"/>
        <v>0</v>
      </c>
      <c r="JT144" s="347" t="b">
        <f t="shared" si="164"/>
        <v>0</v>
      </c>
      <c r="JU144" s="347" t="b">
        <f t="shared" si="165"/>
        <v>0</v>
      </c>
      <c r="JV144" s="347" t="b">
        <f t="shared" si="166"/>
        <v>0</v>
      </c>
      <c r="JW144" s="347" t="b">
        <f t="shared" si="167"/>
        <v>0</v>
      </c>
      <c r="JX144" s="347" t="b">
        <f t="shared" si="168"/>
        <v>0</v>
      </c>
      <c r="JY144" s="347" t="b">
        <f t="shared" si="169"/>
        <v>0</v>
      </c>
      <c r="JZ144" s="347" t="b">
        <f t="shared" si="170"/>
        <v>0</v>
      </c>
      <c r="KA144" s="347" t="b">
        <f t="shared" si="171"/>
        <v>0</v>
      </c>
      <c r="KB144" s="365" t="b">
        <f t="shared" si="172"/>
        <v>0</v>
      </c>
      <c r="KC144" s="354" t="str">
        <f t="shared" si="173"/>
        <v/>
      </c>
      <c r="KD144" s="355" t="str">
        <f t="shared" si="174"/>
        <v/>
      </c>
      <c r="KE144" s="355" t="str">
        <f t="shared" si="175"/>
        <v/>
      </c>
      <c r="KF144" s="355" t="str">
        <f t="shared" si="176"/>
        <v/>
      </c>
      <c r="KG144" s="355" t="str">
        <f t="shared" si="177"/>
        <v/>
      </c>
      <c r="KH144" s="355" t="str">
        <f t="shared" si="178"/>
        <v/>
      </c>
      <c r="KI144" s="355" t="str">
        <f t="shared" si="179"/>
        <v/>
      </c>
      <c r="KJ144" s="355" t="str">
        <f t="shared" si="180"/>
        <v/>
      </c>
      <c r="KK144" s="355" t="str">
        <f t="shared" si="181"/>
        <v/>
      </c>
      <c r="KL144" s="355" t="str">
        <f t="shared" si="182"/>
        <v/>
      </c>
      <c r="KM144" s="355" t="str">
        <f t="shared" si="183"/>
        <v/>
      </c>
      <c r="KN144" s="355" t="str">
        <f t="shared" si="184"/>
        <v/>
      </c>
      <c r="KO144" s="359"/>
      <c r="KP144" s="378"/>
      <c r="KQ144" s="379" t="s">
        <v>9</v>
      </c>
      <c r="KR144" s="380" t="s">
        <v>9</v>
      </c>
      <c r="KS144" s="381" t="s">
        <v>9</v>
      </c>
      <c r="KT144" s="382">
        <f t="shared" si="186"/>
        <v>0</v>
      </c>
      <c r="KU144" s="383">
        <f t="shared" si="187"/>
        <v>0</v>
      </c>
      <c r="KV144" s="381" t="str">
        <f t="shared" si="205"/>
        <v>S</v>
      </c>
      <c r="KW144" s="382">
        <f t="shared" si="189"/>
        <v>0</v>
      </c>
      <c r="KX144" s="384">
        <f t="shared" si="190"/>
        <v>0</v>
      </c>
      <c r="KY144" s="382">
        <f t="shared" ref="KY144:KZ144" si="496">KW144-KT144</f>
        <v>0</v>
      </c>
      <c r="KZ144" s="369">
        <f t="shared" si="496"/>
        <v>0</v>
      </c>
      <c r="LA144" s="385" t="str">
        <f t="shared" si="192"/>
        <v>✔</v>
      </c>
      <c r="LB144" s="340" t="str">
        <f>IFERROR(__xludf.DUMMYFUNCTION("JOIN("""",ArrayFormula(MID(KS144,LEN(KS144)-SEQUENCE(1,LEN(KS144))+1,1)))"),"S")</f>
        <v>S</v>
      </c>
      <c r="LC144" s="373" t="str">
        <f>IFERROR(__xludf.DUMMYFUNCTION("JOIN("""",ArrayFormula(MID(KV144,LEN(KV144)-SEQUENCE(1,LEN(KV144))+1,1)))"),"S")</f>
        <v>S</v>
      </c>
      <c r="LD144" s="373" t="str">
        <f t="shared" si="193"/>
        <v>S</v>
      </c>
      <c r="LE144" s="339" t="str">
        <f t="shared" si="194"/>
        <v>S</v>
      </c>
      <c r="LF144" s="386" t="str">
        <f>IFERROR(__xludf.DUMMYFUNCTION("SUBSTITUTE(SUBSTITUTE(CONCATENATE(JOIN("""",LH144:LT144)),""1"",""""),""2"","""")"),"SS")</f>
        <v>SS</v>
      </c>
      <c r="LG144" s="369" t="str">
        <f t="shared" si="195"/>
        <v>-</v>
      </c>
      <c r="LH144" s="387" t="str">
        <f>IFERROR(__xludf.DUMMYFUNCTION("IF(REGEXMATCH(LD144, ""S""), ""S"",IF(REGEXMATCH(LE144, ""S""), ""S"",""""))"),"S")</f>
        <v>S</v>
      </c>
      <c r="LI144" s="299" t="str">
        <f>IFERROR(__xludf.DUMMYFUNCTION("IF(REGEXMATCH(LD144, ""r""), ""r1"",IF(REGEXMATCH(LE144, ""r""), ""r2"",""""))"),"")</f>
        <v/>
      </c>
      <c r="LJ144" s="299" t="str">
        <f>IFERROR(__xludf.DUMMYFUNCTION("IF(REGEXMATCH(LD144, ""R""), ""R1"",IF(REGEXMATCH(LE144, ""R""), ""R2"",""""))"),"")</f>
        <v/>
      </c>
      <c r="LK144" s="299" t="str">
        <f>IFERROR(__xludf.DUMMYFUNCTION("IF(REGEXMATCH(LD144, ""g""), ""g1"",IF(REGEXMATCH(LE144, ""g""), ""g2"",""""))"),"")</f>
        <v/>
      </c>
      <c r="LL144" s="299" t="str">
        <f>IFERROR(__xludf.DUMMYFUNCTION("IF(REGEXMATCH(LD144, ""G""), ""G1"",IF(REGEXMATCH(LE144, ""G""), ""G2"",""""))"),"")</f>
        <v/>
      </c>
      <c r="LM144" s="299" t="str">
        <f>IFERROR(__xludf.DUMMYFUNCTION("IF(REGEXMATCH(LD144, ""m""), ""m1"",IF(REGEXMATCH(LE144, ""m""), ""m2"",""""))"),"")</f>
        <v/>
      </c>
      <c r="LN144" s="299" t="str">
        <f>IFERROR(__xludf.DUMMYFUNCTION("IF(REGEXMATCH(LD144, ""M""), ""M1"",IF(REGEXMATCH(LE144, ""M""), ""M2"",""""))"),"")</f>
        <v/>
      </c>
      <c r="LO144" s="299" t="str">
        <f>IFERROR(__xludf.DUMMYFUNCTION("IF(REGEXMATCH(LD144, ""P""), ""P1"",IF(REGEXMATCH(LE144, ""P""), ""P2"",""""))"),"")</f>
        <v/>
      </c>
      <c r="LP144" s="299" t="str">
        <f>IFERROR(__xludf.DUMMYFUNCTION("IF(REGEXMATCH(LD144, ""d""), ""d1"",IF(REGEXMATCH(LE144, ""d""), ""d2"",""""))"),"")</f>
        <v/>
      </c>
      <c r="LQ144" s="299" t="str">
        <f>IFERROR(__xludf.DUMMYFUNCTION("IF(REGEXMATCH(LD144, ""D""), ""D1"",IF(REGEXMATCH(LE144, ""D""), ""D2"",""""))"),"")</f>
        <v/>
      </c>
      <c r="LR144" s="299" t="str">
        <f>IFERROR(__xludf.DUMMYFUNCTION("IF(REGEXMATCH(LD144, ""n""), ""n1"",IF(REGEXMATCH(LE144, ""n""), ""n2"",""""))"),"")</f>
        <v/>
      </c>
      <c r="LS144" s="299" t="str">
        <f>IFERROR(__xludf.DUMMYFUNCTION("IF(REGEXMATCH(LD144, ""N""), ""N1"",IF(REGEXMATCH(LE144, ""N""), ""N2"",""""))"),"")</f>
        <v/>
      </c>
      <c r="LT144" s="388" t="str">
        <f>IFERROR(__xludf.DUMMYFUNCTION("IF(REGEXMATCH(LD144, ""S""), ""S"",IF(REGEXMATCH(LE144, ""S""), ""S"",""""))"),"S")</f>
        <v>S</v>
      </c>
      <c r="LU144" s="389">
        <f t="shared" si="196"/>
        <v>1</v>
      </c>
      <c r="LV144" s="378"/>
      <c r="LW144" s="369"/>
      <c r="LX144" s="369"/>
    </row>
    <row r="145" ht="18.0" customHeight="1">
      <c r="A145" s="298" t="s">
        <v>812</v>
      </c>
      <c r="B145" s="222" t="s">
        <v>813</v>
      </c>
      <c r="C145" s="233" t="str">
        <f t="shared" si="7"/>
        <v>SrRGPDS</v>
      </c>
      <c r="D145" s="234" t="str">
        <f>IFERROR(__xludf.DUMMYFUNCTION("IF(REGEXMATCH(C145, ""S""), ""S"","""")"),"S")</f>
        <v>S</v>
      </c>
      <c r="E145" s="236" t="str">
        <f>IFERROR(__xludf.DUMMYFUNCTION("IF(REGEXMATCH(C145, ""r""), ""r"","""")"),"r")</f>
        <v>r</v>
      </c>
      <c r="F145" s="237" t="str">
        <f>IFERROR(__xludf.DUMMYFUNCTION("IF(REGEXMATCH(C145, ""R""), ""R"","""")"),"R")</f>
        <v>R</v>
      </c>
      <c r="G145" s="237" t="str">
        <f>IFERROR(__xludf.DUMMYFUNCTION("IF(REGEXMATCH(C145, ""g""), ""g"","""")"),"")</f>
        <v/>
      </c>
      <c r="H145" s="236" t="str">
        <f>IFERROR(__xludf.DUMMYFUNCTION("IF(REGEXMATCH(C145, ""G""), ""G"","""")"),"G")</f>
        <v>G</v>
      </c>
      <c r="I145" s="236" t="str">
        <f>IFERROR(__xludf.DUMMYFUNCTION("IF(REGEXMATCH(C145, ""m""), ""m"","""")"),"")</f>
        <v/>
      </c>
      <c r="J145" s="237" t="str">
        <f>IFERROR(__xludf.DUMMYFUNCTION("IF(REGEXMATCH(C145, ""M""), ""M"","""")"),"")</f>
        <v/>
      </c>
      <c r="K145" s="236" t="str">
        <f>IFERROR(__xludf.DUMMYFUNCTION("IF(REGEXMATCH(C145, ""P""), ""P"","""")"),"P")</f>
        <v>P</v>
      </c>
      <c r="L145" s="237" t="str">
        <f>IFERROR(__xludf.DUMMYFUNCTION("IF(REGEXMATCH(C145, ""d""), ""d"","""")"),"")</f>
        <v/>
      </c>
      <c r="M145" s="236" t="str">
        <f>IFERROR(__xludf.DUMMYFUNCTION("IF(REGEXMATCH(C145, ""D""), ""D"","""")"),"D")</f>
        <v>D</v>
      </c>
      <c r="N145" s="236" t="str">
        <f>IFERROR(__xludf.DUMMYFUNCTION("IF(REGEXMATCH(C145, ""n""), ""n"","""")"),"")</f>
        <v/>
      </c>
      <c r="O145" s="237" t="str">
        <f>IFERROR(__xludf.DUMMYFUNCTION("IF(REGEXMATCH(C145, ""N""), ""N"","""")"),"")</f>
        <v/>
      </c>
      <c r="P145" s="238" t="str">
        <f>IFERROR(__xludf.DUMMYFUNCTION("IF(REGEXMATCH(C145, ""S""), ""S"","""")"),"S")</f>
        <v>S</v>
      </c>
      <c r="Q145" s="239" t="str">
        <f>IFERROR(__xludf.DUMMYFUNCTION("SUBSTITUTE(CONCATENATE(JOIN(""-"",D145:J145)),""-"","""")"),"SrRG")</f>
        <v>SrRG</v>
      </c>
      <c r="R145" s="229" t="str">
        <f>IFERROR(__xludf.DUMMYFUNCTION("SUBSTITUTE(CONCATENATE(JOIN(""-"",K145:P145)),""-"","""")"),"PDS")</f>
        <v>PDS</v>
      </c>
      <c r="S145" s="282" t="str">
        <f t="shared" si="8"/>
        <v>S-R-G-</v>
      </c>
      <c r="T145" s="282" t="str">
        <f t="shared" si="9"/>
        <v>P-D-S</v>
      </c>
      <c r="U145" s="237" t="str">
        <f>IFERROR(__xludf.DUMMYFUNCTION("SUBSTITUTE(JOIN(""-"",S145,T145),""--"",""-"")"),"S-R-G-P-D-S")</f>
        <v>S-R-G-P-D-S</v>
      </c>
      <c r="V145" s="309" t="str">
        <f t="shared" si="10"/>
        <v>rRGD</v>
      </c>
      <c r="W145" s="244" t="str">
        <f>IFERROR(__xludf.DUMMYFUNCTION("IF(REGEXMATCH(C145, ""S""), ""0"","""")"),"0")</f>
        <v>0</v>
      </c>
      <c r="X145" s="245" t="str">
        <f>IFERROR(__xludf.DUMMYFUNCTION("IF(REGEXMATCH(C145, ""r""), ""1"","""")"),"1")</f>
        <v>1</v>
      </c>
      <c r="Y145" s="246" t="str">
        <f>IFERROR(__xludf.DUMMYFUNCTION("IF(REGEXMATCH(C145, ""R""), ""2"","""")"),"2")</f>
        <v>2</v>
      </c>
      <c r="Z145" s="246" t="str">
        <f>IFERROR(__xludf.DUMMYFUNCTION("IF(REGEXMATCH(C145, ""g""), ""3"","""")"),"")</f>
        <v/>
      </c>
      <c r="AA145" s="245" t="str">
        <f>IFERROR(__xludf.DUMMYFUNCTION("IF(REGEXMATCH(C145, ""G""), ""4"","""")"),"4")</f>
        <v>4</v>
      </c>
      <c r="AB145" s="245" t="str">
        <f>IFERROR(__xludf.DUMMYFUNCTION("IF(REGEXMATCH(C145, ""m""), ""5"","""")"),"")</f>
        <v/>
      </c>
      <c r="AC145" s="246" t="str">
        <f>IFERROR(__xludf.DUMMYFUNCTION("IF(REGEXMATCH(C145, ""M""), ""6"","""")"),"")</f>
        <v/>
      </c>
      <c r="AD145" s="245" t="str">
        <f>IFERROR(__xludf.DUMMYFUNCTION("IF(REGEXMATCH(C145, ""P""), ""7"","""")"),"7")</f>
        <v>7</v>
      </c>
      <c r="AE145" s="246" t="str">
        <f>IFERROR(__xludf.DUMMYFUNCTION("IF(REGEXMATCH(C145, ""d""), ""8"","""")"),"")</f>
        <v/>
      </c>
      <c r="AF145" s="245" t="str">
        <f>IFERROR(__xludf.DUMMYFUNCTION("IF(REGEXMATCH(C145, ""D""), ""9"","""")"),"9")</f>
        <v>9</v>
      </c>
      <c r="AG145" s="245" t="str">
        <f>IFERROR(__xludf.DUMMYFUNCTION("IF(REGEXMATCH(C145, ""n""), ""10"","""")"),"")</f>
        <v/>
      </c>
      <c r="AH145" s="246" t="str">
        <f>IFERROR(__xludf.DUMMYFUNCTION("IF(REGEXMATCH(C145, ""N""), ""11"","""")"),"")</f>
        <v/>
      </c>
      <c r="AI145" s="249" t="str">
        <f>IFERROR(__xludf.DUMMYFUNCTION("IF(REGEXMATCH(C145, ""S""), ""0"","""")"),"0")</f>
        <v>0</v>
      </c>
      <c r="AJ145" s="313" t="str">
        <f t="shared" si="11"/>
        <v>-</v>
      </c>
      <c r="AK145" s="313" t="str">
        <f t="shared" si="12"/>
        <v>T</v>
      </c>
      <c r="AL145" s="313" t="str">
        <f t="shared" si="13"/>
        <v>-</v>
      </c>
      <c r="AM145" s="313" t="str">
        <f t="shared" si="14"/>
        <v>-</v>
      </c>
      <c r="AN145" s="313" t="str">
        <f t="shared" si="15"/>
        <v>-</v>
      </c>
      <c r="AO145" s="314" t="str">
        <f t="shared" si="16"/>
        <v>-</v>
      </c>
      <c r="AP145" s="316">
        <f t="shared" si="17"/>
        <v>1</v>
      </c>
      <c r="AQ145" s="319" t="str">
        <f t="shared" si="18"/>
        <v>#REF!</v>
      </c>
      <c r="AR145" s="320">
        <f t="shared" si="19"/>
        <v>0</v>
      </c>
      <c r="AS145" s="250" t="str">
        <f>IFERROR(__xludf.DUMMYFUNCTION("SUBSTITUTE(SUBSTITUTE(CONCATENATE(JOIN("""",FP145:GA145)),""|"",""x""),""-"",""o"")"),"xxxoxooxoxoo")</f>
        <v>xxxoxooxoxoo</v>
      </c>
      <c r="AT145" s="323" t="str">
        <f>IFERROR(__xludf.DUMMYFUNCTION("JOIN("""",AS145,AS145)"),"xxxoxooxoxooxxxoxooxoxoo")</f>
        <v>xxxoxooxoxooxxxoxooxoxoo</v>
      </c>
      <c r="AU145" s="256" t="str">
        <f>IFERROR(__xludf.DUMMYFUNCTION("JOIN("""",ArrayFormula(MID(AS145,LEN(AS145)-SEQUENCE(1,LEN(AS145))+1,1)))"),"ooxoxooxoxxx")</f>
        <v>ooxoxooxoxxx</v>
      </c>
      <c r="AV145" s="256" t="str">
        <f>IFERROR(__xludf.DUMMYFUNCTION("LEFT(CONCATENATE(""x"",JOIN("""",ArrayFormula(MID(AS145,LEN(AS145)-SEQUENCE(1,LEN(AS145))+1,1)))),12)"),"xooxoxooxoxx")</f>
        <v>xooxoxooxoxx</v>
      </c>
      <c r="AW145" s="327" t="str">
        <f>IFERROR(__xludf.DUMMYFUNCTION("JOIN("""",AU145,AU145)"),"ooxoxooxoxxxooxoxooxoxxx")</f>
        <v>ooxoxooxoxxxooxoxooxoxxx</v>
      </c>
      <c r="AX145" s="239" t="str">
        <f>IFERROR(__xludf.DUMMYFUNCTION("IF(REGEXMATCH(AW145,AS145),""✔"",""-"")"),"-")</f>
        <v>-</v>
      </c>
      <c r="AY145" s="330" t="str">
        <f t="shared" si="20"/>
        <v>-</v>
      </c>
      <c r="AZ145" s="260" t="str">
        <f t="shared" si="21"/>
        <v>#REF!</v>
      </c>
      <c r="BA145" s="333" t="str">
        <f t="shared" si="22"/>
        <v>xxxoxoo</v>
      </c>
      <c r="BB145" s="334" t="str">
        <f t="shared" si="23"/>
        <v>xoxoox</v>
      </c>
      <c r="BC145" s="335" t="str">
        <f t="shared" si="236"/>
        <v>-</v>
      </c>
      <c r="BD145" s="336" t="str">
        <f t="shared" si="25"/>
        <v>Jait: 'xxxoxoo' + 'xoxoox'</v>
      </c>
      <c r="BE145" s="337">
        <f>IFERROR(__xludf.DUMMYFUNCTION("COUNTUNIQUE(FILTER(AT:AT,REGEXMATCH(AT:AT,AS145)))-1"),3.0)</f>
        <v>3</v>
      </c>
      <c r="BF145" s="261" t="str">
        <f>IFERROR(__xludf.DUMMYFUNCTION("IF(BI145=0,""(n/a)"",IF(BJ145=2,""(PAIR)"",IF(REGEXMATCH(AT145,""xoxoxxoxoxox""),""Bilawal"",IF(REGEXMATCH(AT145,""xoxoxooxoxoo""),""Bhupali"",IF(REGEXMATCH(AT145,""xoxoxxoxxoxo""),""Charukeshi"",IF(REGEXMATCH(AT145,""xoxoooxxoxxo""),""Kameshwari"",IF(REG"&amp;"EXMATCH(AT145,""xoxoxooxoxox""),""Shankara"",IF(REGEXMATCH(AT145,""xxooxoxxxoox""),""Basant"",IF(REGEXMATCH(AT145,""xoxoxxxxoxox""),""Bihag"",IF(REGEXMATCH(AT145,""xoxxxxoxoxxx""),""Pilu"",IF(REGEXMATCH(AT145,""xoxxoxoxxoox""),""Kirwani"",IF(REGEXMATCH(AT"&amp;"145,""xoxxoxoxoxxx""),""Mk.Malhar"",IF(REGEXMATCH(AT145,""xxooxxoxxoox""),""Bhairav"",IF(REGEXMATCH(AT145,""xxoxooxxxoox""),""Todi"",IF(REGEXMATCH(AT145,""xxooxoxooxox""),""Marwa"",IF(REGEXMATCH(AT145,""xxoooxoxxooo""),""Gunkali"",IF(REGEXMATCH(AT145,""xo"&amp;"xoxxoxxoox""),""Nat Bhairav"",IF(REGEXMATCH(AT145,""xoxxoooxoxoo""),""Shivranjani"",IF(REGEXMATCH(AT145,""xooxxxoxooxo""),""Jog"",IF(REGEXMATCH(AT145,""xxooxoxoxoox""),""Hemshri"",IF(REGEXMATCH(AT145,""xoooxooxoxxo""),""Kalavati"",IF(REGEXMATCH(AT145,""xx"&amp;"oxoxxoxoox""),""Kedar"",IF(REGEXMATCH(AT145,""xoxxxxoxooxx""),""Gara"",IF(REGEXMATCH(AT145,""xooxoxooxoox""),""Chandrakauns"",IF(REGEXMATCH(AT145,""xoxxxxoxxxox""),""Mand"",IF(REGEXMATCH(AT145,""xoxxxxoxoxox""),""Hanskinkini"",IF(REGEXMATCH(AT145,""xxooxx"&amp;"oxooxo""),""Lilavati"",IF(REGEXMATCH(AT145,""xooxoxoooxox""),""Rajeshwari"",IF(REGEXMATCH(AT145,""xoooxxoxoxxx""),""Khokar"",IF(REGEXMATCH(AT145,""xxooxoxxxxox""),""Maligoura"",""-""))))))))))))))))))))))))))))))"),"Jog")</f>
        <v>Jog</v>
      </c>
      <c r="BG145" s="239" t="str">
        <f t="shared" si="26"/>
        <v>#REF!</v>
      </c>
      <c r="BH145" s="239">
        <f>IFERROR(__xludf.DUMMYFUNCTION("COUNTUNIQUE(FE145:FO145)-1"),5.0)</f>
        <v>5</v>
      </c>
      <c r="BI145" s="239">
        <f>IFERROR(__xludf.DUMMYFUNCTION("COUNTUNIQUE(FILTER(AT:AT,REGEXMATCH(AT:AT,AS145)))-1"),3.0)</f>
        <v>3</v>
      </c>
      <c r="BJ145" s="239">
        <f>IFERROR(__xludf.DUMMYFUNCTION("COUNTA(FILTER(AT:AT,REGEXMATCH(AT:AT,AS145)))"),4.0)</f>
        <v>4</v>
      </c>
      <c r="BK145" s="341">
        <f>IFERROR(__xludf.DUMMYFUNCTION("COUNTA(FILTER(AT:AT,REGEXMATCH(AT:AT,AS145)))-AR145"),4.0)</f>
        <v>4</v>
      </c>
      <c r="BL145" s="276" t="str">
        <f>IFERROR(__xludf.DUMMYFUNCTION("IF(AS145=""oooooooooooo"",""-"",IF(REGEXMATCH(AT145,""xx""), ""Hemi."", ""Anhemi.""))"),"Hemi.")</f>
        <v>Hemi.</v>
      </c>
      <c r="BM145" s="282" t="str">
        <f>IFERROR(__xludf.DUMMYFUNCTION("IF(AS145=""oooooooooooo"",""-"",IF(REGEXMATCH(AT145,""xxx""), ""Cohem."", ""-""))"),"Cohem.")</f>
        <v>Cohem.</v>
      </c>
      <c r="BN145" s="282" t="str">
        <f>IFERROR(__xludf.DUMMYFUNCTION("IF(AS145=""oooooooooooo"",""-"",IF(REGEXMATCH(AT145,""xxxx""), ""Co-Co."", ""-""))"),"-")</f>
        <v>-</v>
      </c>
      <c r="BO145" s="342" t="str">
        <f>IFERROR(__xludf.DUMMYFUNCTION("IF(AS145=""oooooooooooo"",""-"",IF(REGEXMATCH(AT145,""xxxxx""), ""CCC."", ""-""))"),"-")</f>
        <v>-</v>
      </c>
      <c r="BP145" s="344" t="str">
        <f t="shared" si="27"/>
        <v>-</v>
      </c>
      <c r="BQ145" s="282" t="str">
        <f>IFERROR(__xludf.DUMMYFUNCTION("IF(REGEXMATCH(JOIN(""-"",EU145:FD145),""TRUE""),""✔"",""-"")"),"-")</f>
        <v>-</v>
      </c>
      <c r="BR145" s="225">
        <f t="shared" si="28"/>
        <v>0</v>
      </c>
      <c r="BS145" s="345" t="str">
        <f>IFERROR(__xludf.DUMMYFUNCTION("SUBSTITUTE(SUBSTITUTE(SUBSTITUTE(SUBSTITUTE(CONCATENATE(JOIN(""-"",GC145:GO145)),""--"",""-""),""--"",""-""),""--"",""-""),""--"",""-"")"),"1-b2-2-3-5-6-8")</f>
        <v>1-b2-2-3-5-6-8</v>
      </c>
      <c r="BT145" s="299" t="str">
        <f>IFERROR(__xludf.DUMMYFUNCTION("SUBSTITUTE(SUBSTITUTE(SUBSTITUTE(SUBSTITUTE(CONCATENATE(JOIN(""-"",GP145:HB145)),""--"",""-""),""--"",""-""),""--"",""-""),""--"",""-"")"),"S-R1-R2-G3-P-D2-S")</f>
        <v>S-R1-R2-G3-P-D2-S</v>
      </c>
      <c r="BU145" s="348" t="str">
        <f t="shared" si="29"/>
        <v>C-Db-D-E-G-A-C</v>
      </c>
      <c r="BV145" s="349" t="str">
        <f t="shared" si="30"/>
        <v>SgmMdnNS</v>
      </c>
      <c r="BW145" s="350">
        <f t="shared" si="31"/>
        <v>0</v>
      </c>
      <c r="BX145" s="351">
        <f t="shared" si="32"/>
        <v>1</v>
      </c>
      <c r="BY145" s="352" t="s">
        <v>275</v>
      </c>
      <c r="BZ145" s="309" t="str">
        <f>IFERROR(__xludf.DUMMYFUNCTION("IF(REGEXMATCH(C145, ""S""), ""x"",""x"")"),"x")</f>
        <v>x</v>
      </c>
      <c r="CA145" s="245" t="str">
        <f>IFERROR(__xludf.DUMMYFUNCTION("IF(REGEXMATCH(C145, ""r""), ""o"",""x"")"),"o")</f>
        <v>o</v>
      </c>
      <c r="CB145" s="246" t="str">
        <f>IFERROR(__xludf.DUMMYFUNCTION("IF(REGEXMATCH(C145, ""R""), ""o"",""x"")"),"o")</f>
        <v>o</v>
      </c>
      <c r="CC145" s="246" t="str">
        <f>IFERROR(__xludf.DUMMYFUNCTION("IF(REGEXMATCH(C145, ""g""), ""o"",""x"")"),"x")</f>
        <v>x</v>
      </c>
      <c r="CD145" s="245" t="str">
        <f>IFERROR(__xludf.DUMMYFUNCTION("IF(REGEXMATCH(C145, ""G""), ""o"",""x"")"),"o")</f>
        <v>o</v>
      </c>
      <c r="CE145" s="245" t="str">
        <f>IFERROR(__xludf.DUMMYFUNCTION("IF(REGEXMATCH(C145, ""m""), ""o"",""x"")"),"x")</f>
        <v>x</v>
      </c>
      <c r="CF145" s="246" t="str">
        <f>IFERROR(__xludf.DUMMYFUNCTION("IF(REGEXMATCH(C145, ""M""), ""o"",""x"")"),"x")</f>
        <v>x</v>
      </c>
      <c r="CG145" s="245" t="str">
        <f>IFERROR(__xludf.DUMMYFUNCTION("IF(REGEXMATCH(C145, ""P""), ""o"",""x"")"),"o")</f>
        <v>o</v>
      </c>
      <c r="CH145" s="246" t="str">
        <f>IFERROR(__xludf.DUMMYFUNCTION("IF(REGEXMATCH(C145, ""d""), ""o"",""x"")"),"x")</f>
        <v>x</v>
      </c>
      <c r="CI145" s="245" t="str">
        <f>IFERROR(__xludf.DUMMYFUNCTION("IF(REGEXMATCH(C145, ""D""), ""o"",""x"")"),"o")</f>
        <v>o</v>
      </c>
      <c r="CJ145" s="245" t="str">
        <f>IFERROR(__xludf.DUMMYFUNCTION("IF(REGEXMATCH(C145, ""n""), ""o"",""x"")"),"x")</f>
        <v>x</v>
      </c>
      <c r="CK145" s="245" t="str">
        <f>IFERROR(__xludf.DUMMYFUNCTION("IF(REGEXMATCH(C145, ""N""), ""o"",""x"")"),"x")</f>
        <v>x</v>
      </c>
      <c r="CL145" s="356" t="str">
        <f>IFERROR(__xludf.DUMMYFUNCTION("IF(REGEXMATCH(C145, ""S""), ""x"",""x"")"),"x")</f>
        <v>x</v>
      </c>
      <c r="CM145" s="357" t="str">
        <f t="shared" si="33"/>
        <v>xooxoxxoxoxx</v>
      </c>
      <c r="CN145" s="358">
        <f t="shared" si="34"/>
        <v>0</v>
      </c>
      <c r="CO145" s="246" t="str">
        <f>IFERROR(__xludf.DUMMYFUNCTION("IF(REGEXMATCH($C145, ""S""), ""S"",""S"")"),"S")</f>
        <v>S</v>
      </c>
      <c r="CP145" s="246" t="str">
        <f>IFERROR(__xludf.DUMMYFUNCTION("IF(REGEXMATCH($C145, ""r""), """",""r"")"),"")</f>
        <v/>
      </c>
      <c r="CQ145" s="246" t="str">
        <f>IFERROR(__xludf.DUMMYFUNCTION("IF(REGEXMATCH($C145, ""R""), """",""R"")"),"")</f>
        <v/>
      </c>
      <c r="CR145" s="246" t="str">
        <f>IFERROR(__xludf.DUMMYFUNCTION("IF(REGEXMATCH($C145, ""g""), """",""g"")"),"g")</f>
        <v>g</v>
      </c>
      <c r="CS145" s="246" t="str">
        <f>IFERROR(__xludf.DUMMYFUNCTION("IF(REGEXMATCH($C145, ""G""), """",""G"")"),"")</f>
        <v/>
      </c>
      <c r="CT145" s="246" t="str">
        <f>IFERROR(__xludf.DUMMYFUNCTION("IF(REGEXMATCH($C145, ""m""), """",""m"")"),"m")</f>
        <v>m</v>
      </c>
      <c r="CU145" s="246" t="str">
        <f>IFERROR(__xludf.DUMMYFUNCTION("IF(REGEXMATCH($C145, ""M""), """",""M"")"),"M")</f>
        <v>M</v>
      </c>
      <c r="CV145" s="246" t="str">
        <f>IFERROR(__xludf.DUMMYFUNCTION("IF(REGEXMATCH($C145, ""P""), """",""P"")"),"")</f>
        <v/>
      </c>
      <c r="CW145" s="246" t="str">
        <f>IFERROR(__xludf.DUMMYFUNCTION("IF(REGEXMATCH($C145, ""d""), """",""d"")"),"d")</f>
        <v>d</v>
      </c>
      <c r="CX145" s="246" t="str">
        <f>IFERROR(__xludf.DUMMYFUNCTION("IF(REGEXMATCH($C145, ""D""), """",""D"")"),"")</f>
        <v/>
      </c>
      <c r="CY145" s="246" t="str">
        <f>IFERROR(__xludf.DUMMYFUNCTION("IF(REGEXMATCH($C145, ""n""), """",""n"")"),"n")</f>
        <v>n</v>
      </c>
      <c r="CZ145" s="246" t="str">
        <f>IFERROR(__xludf.DUMMYFUNCTION("IF(REGEXMATCH($C145, ""N""), """",""N"")"),"N")</f>
        <v>N</v>
      </c>
      <c r="DA145" s="246" t="str">
        <f>IFERROR(__xludf.DUMMYFUNCTION("IF(REGEXMATCH($C145, ""S""), ""S"",""S"")"),"S")</f>
        <v>S</v>
      </c>
      <c r="DB145" s="362" t="str">
        <f>IFERROR(__xludf.DUMMYFUNCTION("JOIN("""",CO145:DA145,"""","""")"),"SgmMdnNS")</f>
        <v>SgmMdnNS</v>
      </c>
      <c r="DC145" s="363"/>
      <c r="DD145" s="301" t="str">
        <f t="shared" si="35"/>
        <v>#REF!</v>
      </c>
      <c r="DE145" s="302" t="str">
        <f t="shared" si="36"/>
        <v>#REF!</v>
      </c>
      <c r="DF145" s="301" t="str">
        <f t="shared" ref="DF145:DG145" si="497">SUBSTITUTE(S145,"-","")</f>
        <v>SRG</v>
      </c>
      <c r="DG145" s="301" t="str">
        <f t="shared" si="497"/>
        <v>PDS</v>
      </c>
      <c r="DH145" s="302" t="str">
        <f t="shared" si="38"/>
        <v>Jog</v>
      </c>
      <c r="DI145" s="301" t="str">
        <f t="shared" si="39"/>
        <v>Hemi.</v>
      </c>
      <c r="DJ145" s="364" t="str">
        <f t="shared" si="40"/>
        <v>Cohem.</v>
      </c>
      <c r="DK145" s="306" t="str">
        <f t="shared" si="41"/>
        <v>-</v>
      </c>
      <c r="DL145" s="366" t="str">
        <f t="shared" si="42"/>
        <v>-</v>
      </c>
      <c r="DM145" s="308" t="str">
        <f t="shared" si="43"/>
        <v>✔</v>
      </c>
      <c r="DN145" s="306" t="str">
        <f t="shared" si="44"/>
        <v>-</v>
      </c>
      <c r="DO145" s="306" t="str">
        <f t="shared" si="45"/>
        <v>-</v>
      </c>
      <c r="DP145" s="367" t="str">
        <f t="shared" si="46"/>
        <v>-</v>
      </c>
      <c r="DQ145" s="310" t="str">
        <f t="shared" si="47"/>
        <v>✔</v>
      </c>
      <c r="DR145" s="310" t="str">
        <f t="shared" si="48"/>
        <v>-</v>
      </c>
      <c r="DS145" s="310" t="str">
        <f t="shared" si="49"/>
        <v>-</v>
      </c>
      <c r="DT145" s="310" t="str">
        <f t="shared" si="50"/>
        <v>-</v>
      </c>
      <c r="DU145" s="370" t="str">
        <f t="shared" si="51"/>
        <v>-</v>
      </c>
      <c r="DV145" s="306" t="str">
        <f t="shared" si="52"/>
        <v>-</v>
      </c>
      <c r="DW145" s="306" t="str">
        <f t="shared" si="53"/>
        <v>-</v>
      </c>
      <c r="DX145" s="306" t="str">
        <f t="shared" si="54"/>
        <v>✔</v>
      </c>
      <c r="DY145" s="306" t="str">
        <f t="shared" si="55"/>
        <v>-</v>
      </c>
      <c r="DZ145" s="306" t="str">
        <f t="shared" si="56"/>
        <v>-</v>
      </c>
      <c r="EA145" s="367" t="str">
        <f t="shared" si="57"/>
        <v>✔</v>
      </c>
      <c r="EB145" s="310" t="str">
        <f>IFERROR(__xludf.DUMMYFUNCTION("IF(REGEXMATCH(AW145,AS145),""✔"",""-"")"),"-")</f>
        <v>-</v>
      </c>
      <c r="EC145" s="310" t="str">
        <f t="shared" si="58"/>
        <v>#REF!</v>
      </c>
      <c r="ED145" s="370" t="str">
        <f t="shared" si="59"/>
        <v>-</v>
      </c>
      <c r="EE145" s="340" t="str">
        <f t="shared" si="60"/>
        <v>S-rR-G-P-D-S</v>
      </c>
      <c r="EF145" s="371" t="str">
        <f>IFERROR(__xludf.DUMMYFUNCTION("CONCATENATE(JOIN("""",HC145:HO145))"),"SgmdnNS")</f>
        <v>SgmdnNS</v>
      </c>
      <c r="EG145" s="372">
        <f t="shared" si="61"/>
        <v>2</v>
      </c>
      <c r="EH145" s="373" t="str">
        <f>IFERROR(__xludf.DUMMYFUNCTION("CONCATENATE(JOIN("""",JC145:JO145))"),"re, Ga, ")</f>
        <v>re, Ga, </v>
      </c>
      <c r="EI145" s="322">
        <f t="shared" si="62"/>
        <v>1</v>
      </c>
      <c r="EJ145" s="374" t="str">
        <f>IFERROR(__xludf.DUMMYFUNCTION("CONCATENATE(JOIN("""",KC145:KO145))"),"re, ")</f>
        <v>re, </v>
      </c>
      <c r="EK145" s="325" t="str">
        <f t="shared" si="63"/>
        <v>S-R1-R2-G3-P-D2-S</v>
      </c>
      <c r="EL145" s="326" t="str">
        <f t="shared" si="64"/>
        <v>1-b2-2-3-5-6-8</v>
      </c>
      <c r="EM145" s="318" t="str">
        <f t="shared" si="65"/>
        <v>#REF!</v>
      </c>
      <c r="EN145" s="328" t="str">
        <f>IFERROR(__xludf.DUMMYFUNCTION("SUBSTITUTE(SUBSTITUTE(SUBSTITUTE(SUBSTITUTE(CONCATENATE(JOIN("" "",HP145:IB145)),""  "","" ""),""  "","" ""),""  "","" ""),""  "","" "")"),"o o o • o • • o • o • • o")</f>
        <v>o o o • o • • o • o • • o</v>
      </c>
      <c r="EO145" s="368" t="str">
        <f t="shared" si="66"/>
        <v>Sa-Pa</v>
      </c>
      <c r="EP145" s="339" t="str">
        <f t="shared" si="67"/>
        <v>-</v>
      </c>
      <c r="EQ145" s="339" t="str">
        <f t="shared" si="68"/>
        <v>Sa-Pa</v>
      </c>
      <c r="ER145" s="339" t="str">
        <f t="shared" si="69"/>
        <v>Sa-Pa</v>
      </c>
      <c r="ES145" s="340" t="str">
        <f t="shared" si="70"/>
        <v>-</v>
      </c>
      <c r="ET145" s="363"/>
      <c r="EU145" s="376" t="b">
        <f>IFERROR(__xludf.DUMMYFUNCTION("arrayformula(sum(--REGEXMATCH(""SRGMPDNS"",split(REGEXREPLACE(C145,""(.)"",""$1~""),""~""))))=len(C145)
"),FALSE)</f>
        <v>0</v>
      </c>
      <c r="EV145" s="290" t="b">
        <f>IFERROR(__xludf.DUMMYFUNCTION("arrayformula(sum(--REGEXMATCH(""SRGmPDNS"",split(REGEXREPLACE(C145,""(.)"",""$1~""),""~""))))=len(C145)"),FALSE)</f>
        <v>0</v>
      </c>
      <c r="EW145" s="290" t="b">
        <f>IFERROR(__xludf.DUMMYFUNCTION("arrayformula(sum(--REGEXMATCH(""SRGmPDnS"",split(REGEXREPLACE(C145,""(.)"",""$1~""),""~""))))=len(C145)"),FALSE)</f>
        <v>0</v>
      </c>
      <c r="EX145" s="290" t="b">
        <f>IFERROR(__xludf.DUMMYFUNCTION("arrayformula(sum(--REGEXMATCH(""SRgmPDnS"",split(REGEXREPLACE(C145,""(.)"",""$1~""),""~""))))=len(C145)"),FALSE)</f>
        <v>0</v>
      </c>
      <c r="EY145" s="290" t="b">
        <f>IFERROR(__xludf.DUMMYFUNCTION("arrayformula(sum(--REGEXMATCH(""SRgmPdnS"",split(REGEXREPLACE(C145,""(.)"",""$1~""),""~""))))=len(C145)"),FALSE)</f>
        <v>0</v>
      </c>
      <c r="EZ145" s="290" t="b">
        <f>IFERROR(__xludf.DUMMYFUNCTION("arrayformula(sum(--REGEXMATCH(""SrgmPdnS"",split(REGEXREPLACE(C145,""(.)"",""$1~""),""~""))))=len(C145)"),FALSE)</f>
        <v>0</v>
      </c>
      <c r="FA145" s="290" t="b">
        <f>IFERROR(__xludf.DUMMYFUNCTION("arrayformula(sum(--REGEXMATCH(""SrGmPdNS"",split(REGEXREPLACE(C145,""(.)"",""$1~""),""~""))))=len(C145)"),FALSE)</f>
        <v>0</v>
      </c>
      <c r="FB145" s="290" t="b">
        <f>IFERROR(__xludf.DUMMYFUNCTION("arrayformula(sum(--REGEXMATCH(""SrGMPDNS"",split(REGEXREPLACE(C145,""(.)"",""$1~""),""~""))))=len(C145)"),FALSE)</f>
        <v>0</v>
      </c>
      <c r="FC145" s="290" t="b">
        <f>IFERROR(__xludf.DUMMYFUNCTION("arrayformula(sum(--REGEXMATCH(""SrGMPdNS"",split(REGEXREPLACE(C145,""(.)"",""$1~""),""~""))))=len(C145)"),FALSE)</f>
        <v>0</v>
      </c>
      <c r="FD145" s="377" t="b">
        <f>IFERROR(__xludf.DUMMYFUNCTION("arrayformula(sum(--REGEXMATCH(""SrgMPdNS"",split(REGEXREPLACE(C145,""(.)"",""$1~""),""~""))))=len(C145)"),FALSE)</f>
        <v>0</v>
      </c>
      <c r="FE145" s="269" t="str">
        <f t="shared" si="71"/>
        <v>xxoxooxoxoo</v>
      </c>
      <c r="FF145" s="269" t="str">
        <f t="shared" si="72"/>
        <v>xoxooxoxoox</v>
      </c>
      <c r="FG145" s="271" t="str">
        <f t="shared" si="73"/>
        <v>-</v>
      </c>
      <c r="FH145" s="269" t="str">
        <f t="shared" si="74"/>
        <v>xooxoxooxxx</v>
      </c>
      <c r="FI145" s="271" t="str">
        <f t="shared" si="75"/>
        <v>-</v>
      </c>
      <c r="FJ145" s="271" t="str">
        <f t="shared" si="76"/>
        <v>-</v>
      </c>
      <c r="FK145" s="271" t="str">
        <f t="shared" si="77"/>
        <v>xoxooxxxoxo</v>
      </c>
      <c r="FL145" s="271" t="str">
        <f t="shared" si="78"/>
        <v>-</v>
      </c>
      <c r="FM145" s="271" t="str">
        <f t="shared" si="79"/>
        <v>xooxxxoxoox</v>
      </c>
      <c r="FN145" s="271" t="str">
        <f t="shared" si="80"/>
        <v>-</v>
      </c>
      <c r="FO145" s="274" t="str">
        <f t="shared" si="81"/>
        <v>-</v>
      </c>
      <c r="FP145" s="234" t="str">
        <f t="shared" si="82"/>
        <v>|</v>
      </c>
      <c r="FQ145" s="236" t="str">
        <f t="shared" si="83"/>
        <v>|</v>
      </c>
      <c r="FR145" s="237" t="str">
        <f t="shared" si="84"/>
        <v>|</v>
      </c>
      <c r="FS145" s="236" t="str">
        <f t="shared" si="85"/>
        <v>-</v>
      </c>
      <c r="FT145" s="237" t="str">
        <f t="shared" si="86"/>
        <v>|</v>
      </c>
      <c r="FU145" s="236" t="str">
        <f t="shared" si="87"/>
        <v>-</v>
      </c>
      <c r="FV145" s="237" t="str">
        <f t="shared" si="88"/>
        <v>-</v>
      </c>
      <c r="FW145" s="236" t="str">
        <f t="shared" si="89"/>
        <v>|</v>
      </c>
      <c r="FX145" s="237" t="str">
        <f t="shared" si="90"/>
        <v>-</v>
      </c>
      <c r="FY145" s="236" t="str">
        <f t="shared" si="91"/>
        <v>|</v>
      </c>
      <c r="FZ145" s="237" t="str">
        <f t="shared" si="92"/>
        <v>-</v>
      </c>
      <c r="GA145" s="236" t="str">
        <f t="shared" si="93"/>
        <v>-</v>
      </c>
      <c r="GB145" s="238" t="str">
        <f t="shared" si="94"/>
        <v>|</v>
      </c>
      <c r="GC145" s="244" t="str">
        <f>IFERROR(__xludf.DUMMYFUNCTION("IF(REGEXMATCH(C145, ""S""), ""1"","""")"),"1")</f>
        <v>1</v>
      </c>
      <c r="GD145" s="245" t="str">
        <f>IFERROR(__xludf.DUMMYFUNCTION("IF(REGEXMATCH(C145, ""r""), ""b2"","""")"),"b2")</f>
        <v>b2</v>
      </c>
      <c r="GE145" s="246" t="str">
        <f>IFERROR(__xludf.DUMMYFUNCTION("IF(REGEXMATCH(C145, ""R""), ""2"","""")"),"2")</f>
        <v>2</v>
      </c>
      <c r="GF145" s="246" t="str">
        <f>IFERROR(__xludf.DUMMYFUNCTION("IF(REGEXMATCH(C145, ""g""), ""b3"","""")"),"")</f>
        <v/>
      </c>
      <c r="GG145" s="245" t="str">
        <f>IFERROR(__xludf.DUMMYFUNCTION("IF(REGEXMATCH(C145, ""G""), ""3"","""")"),"3")</f>
        <v>3</v>
      </c>
      <c r="GH145" s="245" t="str">
        <f>IFERROR(__xludf.DUMMYFUNCTION("IF(REGEXMATCH(C145, ""m""), ""4"","""")"),"")</f>
        <v/>
      </c>
      <c r="GI145" s="246" t="str">
        <f>IFERROR(__xludf.DUMMYFUNCTION("IF(REGEXMATCH(C145, ""M""), ""#4"","""")"),"")</f>
        <v/>
      </c>
      <c r="GJ145" s="245" t="str">
        <f>IFERROR(__xludf.DUMMYFUNCTION("IF(REGEXMATCH(C145, ""P""), ""5"","""")"),"5")</f>
        <v>5</v>
      </c>
      <c r="GK145" s="246" t="str">
        <f>IFERROR(__xludf.DUMMYFUNCTION("IF(REGEXMATCH(C145, ""d""), ""b6"","""")"),"")</f>
        <v/>
      </c>
      <c r="GL145" s="245" t="str">
        <f>IFERROR(__xludf.DUMMYFUNCTION("IF(REGEXMATCH(C145, ""D""), ""6"","""")"),"6")</f>
        <v>6</v>
      </c>
      <c r="GM145" s="245" t="str">
        <f>IFERROR(__xludf.DUMMYFUNCTION("IF(REGEXMATCH(C145, ""n""), ""b7"","""")"),"")</f>
        <v/>
      </c>
      <c r="GN145" s="246" t="str">
        <f>IFERROR(__xludf.DUMMYFUNCTION("IF(REGEXMATCH(C145, ""N""), ""7"","""")"),"")</f>
        <v/>
      </c>
      <c r="GO145" s="249" t="str">
        <f>IFERROR(__xludf.DUMMYFUNCTION("IF(REGEXMATCH(C145, ""S""), ""8"","""")"),"8")</f>
        <v>8</v>
      </c>
      <c r="GP145" s="244" t="str">
        <f>IFERROR(__xludf.DUMMYFUNCTION("IF(REGEXMATCH(C145, ""S""), ""S"","""")"),"S")</f>
        <v>S</v>
      </c>
      <c r="GQ145" s="294" t="str">
        <f>IFERROR(__xludf.DUMMYFUNCTION("IF(REGEXMATCH(C145, ""r""), ""R1"","""")"),"R1")</f>
        <v>R1</v>
      </c>
      <c r="GR145" s="295" t="str">
        <f>IFERROR(__xludf.DUMMYFUNCTION("IF(REGEXMATCH(C145, ""R""), ""R2"","""")"),"R2")</f>
        <v>R2</v>
      </c>
      <c r="GS145" s="295" t="str">
        <f>IFERROR(__xludf.DUMMYFUNCTION("IF(REGEXMATCH(C145, ""g""), ""G2"","""")"),"")</f>
        <v/>
      </c>
      <c r="GT145" s="294" t="str">
        <f>IFERROR(__xludf.DUMMYFUNCTION("IF(REGEXMATCH(C145, ""G""), ""G3"","""")"),"G3")</f>
        <v>G3</v>
      </c>
      <c r="GU145" s="294" t="str">
        <f>IFERROR(__xludf.DUMMYFUNCTION("IF(REGEXMATCH(C145, ""m""), ""M1"","""")"),"")</f>
        <v/>
      </c>
      <c r="GV145" s="295" t="str">
        <f>IFERROR(__xludf.DUMMYFUNCTION("IF(REGEXMATCH(C145, ""M""), ""M2"","""")"),"")</f>
        <v/>
      </c>
      <c r="GW145" s="294" t="str">
        <f>IFERROR(__xludf.DUMMYFUNCTION("IF(REGEXMATCH(C145, ""P""), ""P"","""")"),"P")</f>
        <v>P</v>
      </c>
      <c r="GX145" s="295" t="str">
        <f>IFERROR(__xludf.DUMMYFUNCTION("IF(REGEXMATCH(C145, ""d""), ""D1"","""")"),"")</f>
        <v/>
      </c>
      <c r="GY145" s="294" t="str">
        <f>IFERROR(__xludf.DUMMYFUNCTION("IF(REGEXMATCH(C145, ""D""), ""D2"","""")"),"D2")</f>
        <v>D2</v>
      </c>
      <c r="GZ145" s="294" t="str">
        <f>IFERROR(__xludf.DUMMYFUNCTION("IF(REGEXMATCH(C145, ""n""), ""N2"","""")"),"")</f>
        <v/>
      </c>
      <c r="HA145" s="295" t="str">
        <f>IFERROR(__xludf.DUMMYFUNCTION("IF(REGEXMATCH(C145, ""N""), ""N3"","""")"),"")</f>
        <v/>
      </c>
      <c r="HB145" s="249" t="str">
        <f>IFERROR(__xludf.DUMMYFUNCTION("IF(REGEXMATCH(C145, ""S""), ""S"","""")"),"S")</f>
        <v>S</v>
      </c>
      <c r="HC145" s="331" t="str">
        <f t="shared" si="95"/>
        <v>S</v>
      </c>
      <c r="HD145" s="332" t="str">
        <f t="shared" si="96"/>
        <v/>
      </c>
      <c r="HE145" s="332" t="str">
        <f t="shared" si="97"/>
        <v/>
      </c>
      <c r="HF145" s="332" t="str">
        <f t="shared" si="98"/>
        <v>g</v>
      </c>
      <c r="HG145" s="332" t="str">
        <f t="shared" si="99"/>
        <v/>
      </c>
      <c r="HH145" s="332" t="str">
        <f t="shared" si="100"/>
        <v>m</v>
      </c>
      <c r="HI145" s="332" t="str">
        <f t="shared" si="101"/>
        <v/>
      </c>
      <c r="HJ145" s="332" t="str">
        <f t="shared" si="102"/>
        <v/>
      </c>
      <c r="HK145" s="332" t="str">
        <f t="shared" si="103"/>
        <v>d</v>
      </c>
      <c r="HL145" s="332" t="str">
        <f t="shared" si="104"/>
        <v/>
      </c>
      <c r="HM145" s="332" t="str">
        <f t="shared" si="105"/>
        <v>n</v>
      </c>
      <c r="HN145" s="332" t="str">
        <f t="shared" si="106"/>
        <v>N</v>
      </c>
      <c r="HO145" s="343" t="str">
        <f t="shared" si="107"/>
        <v>S</v>
      </c>
      <c r="HP145" s="331" t="str">
        <f t="shared" si="108"/>
        <v>o</v>
      </c>
      <c r="HQ145" s="332" t="str">
        <f t="shared" si="109"/>
        <v>o</v>
      </c>
      <c r="HR145" s="332" t="str">
        <f t="shared" si="110"/>
        <v>o</v>
      </c>
      <c r="HS145" s="332" t="str">
        <f t="shared" si="111"/>
        <v>•</v>
      </c>
      <c r="HT145" s="332" t="str">
        <f t="shared" si="112"/>
        <v>o</v>
      </c>
      <c r="HU145" s="332" t="str">
        <f t="shared" si="113"/>
        <v>•</v>
      </c>
      <c r="HV145" s="332" t="str">
        <f t="shared" si="114"/>
        <v>•</v>
      </c>
      <c r="HW145" s="332" t="str">
        <f t="shared" si="115"/>
        <v>o</v>
      </c>
      <c r="HX145" s="332" t="str">
        <f t="shared" si="116"/>
        <v>•</v>
      </c>
      <c r="HY145" s="332" t="str">
        <f t="shared" si="117"/>
        <v>o</v>
      </c>
      <c r="HZ145" s="332" t="str">
        <f t="shared" si="118"/>
        <v>•</v>
      </c>
      <c r="IA145" s="332" t="str">
        <f t="shared" si="119"/>
        <v>•</v>
      </c>
      <c r="IB145" s="338" t="str">
        <f t="shared" si="120"/>
        <v>o</v>
      </c>
      <c r="IC145" s="331" t="str">
        <f t="shared" si="121"/>
        <v>•</v>
      </c>
      <c r="ID145" s="332" t="str">
        <f t="shared" si="122"/>
        <v>•</v>
      </c>
      <c r="IE145" s="332" t="str">
        <f t="shared" si="123"/>
        <v>•</v>
      </c>
      <c r="IF145" s="332" t="str">
        <f t="shared" si="124"/>
        <v>o</v>
      </c>
      <c r="IG145" s="332" t="str">
        <f t="shared" si="125"/>
        <v>•</v>
      </c>
      <c r="IH145" s="332" t="str">
        <f t="shared" si="126"/>
        <v>o</v>
      </c>
      <c r="II145" s="332" t="str">
        <f t="shared" si="127"/>
        <v>o</v>
      </c>
      <c r="IJ145" s="332" t="str">
        <f t="shared" si="128"/>
        <v>•</v>
      </c>
      <c r="IK145" s="332" t="str">
        <f t="shared" si="129"/>
        <v>o</v>
      </c>
      <c r="IL145" s="332" t="str">
        <f t="shared" si="130"/>
        <v>•</v>
      </c>
      <c r="IM145" s="332" t="str">
        <f t="shared" si="131"/>
        <v>o</v>
      </c>
      <c r="IN145" s="332" t="str">
        <f t="shared" si="132"/>
        <v>o</v>
      </c>
      <c r="IO145" s="338" t="str">
        <f t="shared" si="133"/>
        <v>•</v>
      </c>
      <c r="IP145" s="346" t="b">
        <f t="shared" si="134"/>
        <v>0</v>
      </c>
      <c r="IQ145" s="347" t="b">
        <f t="shared" si="135"/>
        <v>1</v>
      </c>
      <c r="IR145" s="347" t="b">
        <f t="shared" si="136"/>
        <v>0</v>
      </c>
      <c r="IS145" s="347" t="b">
        <f t="shared" si="137"/>
        <v>0</v>
      </c>
      <c r="IT145" s="347" t="b">
        <f t="shared" si="138"/>
        <v>1</v>
      </c>
      <c r="IU145" s="347" t="b">
        <f t="shared" si="139"/>
        <v>0</v>
      </c>
      <c r="IV145" s="347" t="b">
        <f t="shared" si="140"/>
        <v>0</v>
      </c>
      <c r="IW145" s="347" t="b">
        <f t="shared" si="141"/>
        <v>0</v>
      </c>
      <c r="IX145" s="347" t="b">
        <f t="shared" si="142"/>
        <v>0</v>
      </c>
      <c r="IY145" s="347" t="b">
        <f t="shared" si="143"/>
        <v>0</v>
      </c>
      <c r="IZ145" s="347" t="b">
        <f t="shared" si="144"/>
        <v>0</v>
      </c>
      <c r="JA145" s="347" t="b">
        <f t="shared" si="145"/>
        <v>0</v>
      </c>
      <c r="JB145" s="353" t="b">
        <f t="shared" si="146"/>
        <v>0</v>
      </c>
      <c r="JC145" s="354" t="str">
        <f t="shared" si="147"/>
        <v/>
      </c>
      <c r="JD145" s="355" t="str">
        <f t="shared" si="148"/>
        <v>re, </v>
      </c>
      <c r="JE145" s="355" t="str">
        <f t="shared" si="149"/>
        <v/>
      </c>
      <c r="JF145" s="355" t="str">
        <f t="shared" si="150"/>
        <v/>
      </c>
      <c r="JG145" s="355" t="str">
        <f t="shared" si="151"/>
        <v>Ga, </v>
      </c>
      <c r="JH145" s="355" t="str">
        <f t="shared" si="152"/>
        <v/>
      </c>
      <c r="JI145" s="355" t="str">
        <f t="shared" si="153"/>
        <v/>
      </c>
      <c r="JJ145" s="355" t="str">
        <f t="shared" si="154"/>
        <v/>
      </c>
      <c r="JK145" s="355" t="str">
        <f t="shared" si="155"/>
        <v/>
      </c>
      <c r="JL145" s="355" t="str">
        <f t="shared" si="156"/>
        <v/>
      </c>
      <c r="JM145" s="355" t="str">
        <f t="shared" si="157"/>
        <v/>
      </c>
      <c r="JN145" s="355" t="str">
        <f t="shared" si="158"/>
        <v/>
      </c>
      <c r="JO145" s="359" t="str">
        <f t="shared" si="159"/>
        <v/>
      </c>
      <c r="JP145" s="346" t="b">
        <f t="shared" si="160"/>
        <v>0</v>
      </c>
      <c r="JQ145" s="347" t="b">
        <f t="shared" si="161"/>
        <v>1</v>
      </c>
      <c r="JR145" s="347" t="b">
        <f t="shared" si="162"/>
        <v>0</v>
      </c>
      <c r="JS145" s="347" t="b">
        <f t="shared" si="163"/>
        <v>0</v>
      </c>
      <c r="JT145" s="347" t="b">
        <f t="shared" si="164"/>
        <v>0</v>
      </c>
      <c r="JU145" s="347" t="b">
        <f t="shared" si="165"/>
        <v>0</v>
      </c>
      <c r="JV145" s="347" t="b">
        <f t="shared" si="166"/>
        <v>0</v>
      </c>
      <c r="JW145" s="347" t="b">
        <f t="shared" si="167"/>
        <v>0</v>
      </c>
      <c r="JX145" s="347" t="b">
        <f t="shared" si="168"/>
        <v>0</v>
      </c>
      <c r="JY145" s="347" t="b">
        <f t="shared" si="169"/>
        <v>0</v>
      </c>
      <c r="JZ145" s="347" t="b">
        <f t="shared" si="170"/>
        <v>0</v>
      </c>
      <c r="KA145" s="347" t="b">
        <f t="shared" si="171"/>
        <v>0</v>
      </c>
      <c r="KB145" s="365" t="b">
        <f t="shared" si="172"/>
        <v>0</v>
      </c>
      <c r="KC145" s="354" t="str">
        <f t="shared" si="173"/>
        <v/>
      </c>
      <c r="KD145" s="355" t="str">
        <f t="shared" si="174"/>
        <v>re, </v>
      </c>
      <c r="KE145" s="355" t="str">
        <f t="shared" si="175"/>
        <v/>
      </c>
      <c r="KF145" s="355" t="str">
        <f t="shared" si="176"/>
        <v/>
      </c>
      <c r="KG145" s="355" t="str">
        <f t="shared" si="177"/>
        <v/>
      </c>
      <c r="KH145" s="355" t="str">
        <f t="shared" si="178"/>
        <v/>
      </c>
      <c r="KI145" s="355" t="str">
        <f t="shared" si="179"/>
        <v/>
      </c>
      <c r="KJ145" s="355" t="str">
        <f t="shared" si="180"/>
        <v/>
      </c>
      <c r="KK145" s="355" t="str">
        <f t="shared" si="181"/>
        <v/>
      </c>
      <c r="KL145" s="355" t="str">
        <f t="shared" si="182"/>
        <v/>
      </c>
      <c r="KM145" s="355" t="str">
        <f t="shared" si="183"/>
        <v/>
      </c>
      <c r="KN145" s="355" t="str">
        <f t="shared" si="184"/>
        <v/>
      </c>
      <c r="KO145" s="359"/>
      <c r="KP145" s="378"/>
      <c r="KQ145" s="379" t="s">
        <v>619</v>
      </c>
      <c r="KR145" s="380" t="s">
        <v>1408</v>
      </c>
      <c r="KS145" s="381" t="str">
        <f t="shared" ref="KS145:KS150" si="500">KQ145</f>
        <v>S-R-G-P-D-S</v>
      </c>
      <c r="KT145" s="382">
        <f t="shared" si="186"/>
        <v>5</v>
      </c>
      <c r="KU145" s="383">
        <f t="shared" si="187"/>
        <v>5</v>
      </c>
      <c r="KV145" s="381" t="str">
        <f t="shared" si="205"/>
        <v>S-D-P-G-Rr-S</v>
      </c>
      <c r="KW145" s="382">
        <f t="shared" si="189"/>
        <v>5</v>
      </c>
      <c r="KX145" s="384">
        <f t="shared" si="190"/>
        <v>6</v>
      </c>
      <c r="KY145" s="382">
        <f t="shared" ref="KY145:KZ145" si="498">KW145-KT145</f>
        <v>0</v>
      </c>
      <c r="KZ145" s="369">
        <f t="shared" si="498"/>
        <v>1</v>
      </c>
      <c r="LA145" s="385" t="str">
        <f t="shared" si="192"/>
        <v>-</v>
      </c>
      <c r="LB145" s="340" t="str">
        <f>IFERROR(__xludf.DUMMYFUNCTION("JOIN("""",ArrayFormula(MID(KS145,LEN(KS145)-SEQUENCE(1,LEN(KS145))+1,1)))"),"S-D-P-G-R-S")</f>
        <v>S-D-P-G-R-S</v>
      </c>
      <c r="LC145" s="373" t="str">
        <f>IFERROR(__xludf.DUMMYFUNCTION("JOIN("""",ArrayFormula(MID(KV145,LEN(KV145)-SEQUENCE(1,LEN(KV145))+1,1)))"),"S-rR-G-P-D-S")</f>
        <v>S-rR-G-P-D-S</v>
      </c>
      <c r="LD145" s="373" t="str">
        <f t="shared" si="193"/>
        <v>SRGPDS</v>
      </c>
      <c r="LE145" s="339" t="str">
        <f t="shared" si="194"/>
        <v>SrRGPDS</v>
      </c>
      <c r="LF145" s="386" t="str">
        <f>IFERROR(__xludf.DUMMYFUNCTION("SUBSTITUTE(SUBSTITUTE(CONCATENATE(JOIN("""",LH145:LT145)),""1"",""""),""2"","""")"),"SrRGPDS")</f>
        <v>SrRGPDS</v>
      </c>
      <c r="LG145" s="369" t="str">
        <f t="shared" si="195"/>
        <v>✔</v>
      </c>
      <c r="LH145" s="387" t="str">
        <f>IFERROR(__xludf.DUMMYFUNCTION("IF(REGEXMATCH(LD145, ""S""), ""S"",IF(REGEXMATCH(LE145, ""S""), ""S"",""""))"),"S")</f>
        <v>S</v>
      </c>
      <c r="LI145" s="299" t="str">
        <f>IFERROR(__xludf.DUMMYFUNCTION("IF(REGEXMATCH(LD145, ""r""), ""r1"",IF(REGEXMATCH(LE145, ""r""), ""r2"",""""))"),"r2")</f>
        <v>r2</v>
      </c>
      <c r="LJ145" s="299" t="str">
        <f>IFERROR(__xludf.DUMMYFUNCTION("IF(REGEXMATCH(LD145, ""R""), ""R1"",IF(REGEXMATCH(LE145, ""R""), ""R2"",""""))"),"R1")</f>
        <v>R1</v>
      </c>
      <c r="LK145" s="299" t="str">
        <f>IFERROR(__xludf.DUMMYFUNCTION("IF(REGEXMATCH(LD145, ""g""), ""g1"",IF(REGEXMATCH(LE145, ""g""), ""g2"",""""))"),"")</f>
        <v/>
      </c>
      <c r="LL145" s="299" t="str">
        <f>IFERROR(__xludf.DUMMYFUNCTION("IF(REGEXMATCH(LD145, ""G""), ""G1"",IF(REGEXMATCH(LE145, ""G""), ""G2"",""""))"),"G1")</f>
        <v>G1</v>
      </c>
      <c r="LM145" s="299" t="str">
        <f>IFERROR(__xludf.DUMMYFUNCTION("IF(REGEXMATCH(LD145, ""m""), ""m1"",IF(REGEXMATCH(LE145, ""m""), ""m2"",""""))"),"")</f>
        <v/>
      </c>
      <c r="LN145" s="299" t="str">
        <f>IFERROR(__xludf.DUMMYFUNCTION("IF(REGEXMATCH(LD145, ""M""), ""M1"",IF(REGEXMATCH(LE145, ""M""), ""M2"",""""))"),"")</f>
        <v/>
      </c>
      <c r="LO145" s="299" t="str">
        <f>IFERROR(__xludf.DUMMYFUNCTION("IF(REGEXMATCH(LD145, ""P""), ""P1"",IF(REGEXMATCH(LE145, ""P""), ""P2"",""""))"),"P1")</f>
        <v>P1</v>
      </c>
      <c r="LP145" s="299" t="str">
        <f>IFERROR(__xludf.DUMMYFUNCTION("IF(REGEXMATCH(LD145, ""d""), ""d1"",IF(REGEXMATCH(LE145, ""d""), ""d2"",""""))"),"")</f>
        <v/>
      </c>
      <c r="LQ145" s="299" t="str">
        <f>IFERROR(__xludf.DUMMYFUNCTION("IF(REGEXMATCH(LD145, ""D""), ""D1"",IF(REGEXMATCH(LE145, ""D""), ""D2"",""""))"),"D1")</f>
        <v>D1</v>
      </c>
      <c r="LR145" s="299" t="str">
        <f>IFERROR(__xludf.DUMMYFUNCTION("IF(REGEXMATCH(LD145, ""n""), ""n1"",IF(REGEXMATCH(LE145, ""n""), ""n2"",""""))"),"")</f>
        <v/>
      </c>
      <c r="LS145" s="299" t="str">
        <f>IFERROR(__xludf.DUMMYFUNCTION("IF(REGEXMATCH(LD145, ""N""), ""N1"",IF(REGEXMATCH(LE145, ""N""), ""N2"",""""))"),"")</f>
        <v/>
      </c>
      <c r="LT145" s="388" t="str">
        <f>IFERROR(__xludf.DUMMYFUNCTION("IF(REGEXMATCH(LD145, ""S""), ""S"",IF(REGEXMATCH(LE145, ""S""), ""S"",""""))"),"S")</f>
        <v>S</v>
      </c>
      <c r="LU145" s="389">
        <f t="shared" si="196"/>
        <v>0</v>
      </c>
      <c r="LV145" s="378"/>
      <c r="LW145" s="369"/>
      <c r="LX145" s="369"/>
    </row>
    <row r="146" ht="18.0" customHeight="1">
      <c r="A146" s="298" t="s">
        <v>816</v>
      </c>
      <c r="B146" s="222" t="s">
        <v>619</v>
      </c>
      <c r="C146" s="233" t="str">
        <f t="shared" si="7"/>
        <v>SRGPDS</v>
      </c>
      <c r="D146" s="234" t="str">
        <f>IFERROR(__xludf.DUMMYFUNCTION("IF(REGEXMATCH(C146, ""S""), ""S"","""")"),"S")</f>
        <v>S</v>
      </c>
      <c r="E146" s="236" t="str">
        <f>IFERROR(__xludf.DUMMYFUNCTION("IF(REGEXMATCH(C146, ""r""), ""r"","""")"),"")</f>
        <v/>
      </c>
      <c r="F146" s="237" t="str">
        <f>IFERROR(__xludf.DUMMYFUNCTION("IF(REGEXMATCH(C146, ""R""), ""R"","""")"),"R")</f>
        <v>R</v>
      </c>
      <c r="G146" s="237" t="str">
        <f>IFERROR(__xludf.DUMMYFUNCTION("IF(REGEXMATCH(C146, ""g""), ""g"","""")"),"")</f>
        <v/>
      </c>
      <c r="H146" s="236" t="str">
        <f>IFERROR(__xludf.DUMMYFUNCTION("IF(REGEXMATCH(C146, ""G""), ""G"","""")"),"G")</f>
        <v>G</v>
      </c>
      <c r="I146" s="236" t="str">
        <f>IFERROR(__xludf.DUMMYFUNCTION("IF(REGEXMATCH(C146, ""m""), ""m"","""")"),"")</f>
        <v/>
      </c>
      <c r="J146" s="237" t="str">
        <f>IFERROR(__xludf.DUMMYFUNCTION("IF(REGEXMATCH(C146, ""M""), ""M"","""")"),"")</f>
        <v/>
      </c>
      <c r="K146" s="236" t="str">
        <f>IFERROR(__xludf.DUMMYFUNCTION("IF(REGEXMATCH(C146, ""P""), ""P"","""")"),"P")</f>
        <v>P</v>
      </c>
      <c r="L146" s="237" t="str">
        <f>IFERROR(__xludf.DUMMYFUNCTION("IF(REGEXMATCH(C146, ""d""), ""d"","""")"),"")</f>
        <v/>
      </c>
      <c r="M146" s="236" t="str">
        <f>IFERROR(__xludf.DUMMYFUNCTION("IF(REGEXMATCH(C146, ""D""), ""D"","""")"),"D")</f>
        <v>D</v>
      </c>
      <c r="N146" s="236" t="str">
        <f>IFERROR(__xludf.DUMMYFUNCTION("IF(REGEXMATCH(C146, ""n""), ""n"","""")"),"")</f>
        <v/>
      </c>
      <c r="O146" s="237" t="str">
        <f>IFERROR(__xludf.DUMMYFUNCTION("IF(REGEXMATCH(C146, ""N""), ""N"","""")"),"")</f>
        <v/>
      </c>
      <c r="P146" s="238" t="str">
        <f>IFERROR(__xludf.DUMMYFUNCTION("IF(REGEXMATCH(C146, ""S""), ""S"","""")"),"S")</f>
        <v>S</v>
      </c>
      <c r="Q146" s="239" t="str">
        <f>IFERROR(__xludf.DUMMYFUNCTION("SUBSTITUTE(CONCATENATE(JOIN(""-"",D146:J146)),""-"","""")"),"SRG")</f>
        <v>SRG</v>
      </c>
      <c r="R146" s="229" t="str">
        <f>IFERROR(__xludf.DUMMYFUNCTION("SUBSTITUTE(CONCATENATE(JOIN(""-"",K146:P146)),""-"","""")"),"PDS")</f>
        <v>PDS</v>
      </c>
      <c r="S146" s="282" t="str">
        <f t="shared" si="8"/>
        <v>S-R-G-</v>
      </c>
      <c r="T146" s="282" t="str">
        <f t="shared" si="9"/>
        <v>P-D-S</v>
      </c>
      <c r="U146" s="237" t="str">
        <f>IFERROR(__xludf.DUMMYFUNCTION("SUBSTITUTE(JOIN(""-"",S146,T146),""--"",""-"")"),"S-R-G-P-D-S")</f>
        <v>S-R-G-P-D-S</v>
      </c>
      <c r="V146" s="309" t="str">
        <f t="shared" si="10"/>
        <v>RGD</v>
      </c>
      <c r="W146" s="244" t="str">
        <f>IFERROR(__xludf.DUMMYFUNCTION("IF(REGEXMATCH(C146, ""S""), ""0"","""")"),"0")</f>
        <v>0</v>
      </c>
      <c r="X146" s="245" t="str">
        <f>IFERROR(__xludf.DUMMYFUNCTION("IF(REGEXMATCH(C146, ""r""), ""1"","""")"),"")</f>
        <v/>
      </c>
      <c r="Y146" s="246" t="str">
        <f>IFERROR(__xludf.DUMMYFUNCTION("IF(REGEXMATCH(C146, ""R""), ""2"","""")"),"2")</f>
        <v>2</v>
      </c>
      <c r="Z146" s="246" t="str">
        <f>IFERROR(__xludf.DUMMYFUNCTION("IF(REGEXMATCH(C146, ""g""), ""3"","""")"),"")</f>
        <v/>
      </c>
      <c r="AA146" s="245" t="str">
        <f>IFERROR(__xludf.DUMMYFUNCTION("IF(REGEXMATCH(C146, ""G""), ""4"","""")"),"4")</f>
        <v>4</v>
      </c>
      <c r="AB146" s="245" t="str">
        <f>IFERROR(__xludf.DUMMYFUNCTION("IF(REGEXMATCH(C146, ""m""), ""5"","""")"),"")</f>
        <v/>
      </c>
      <c r="AC146" s="246" t="str">
        <f>IFERROR(__xludf.DUMMYFUNCTION("IF(REGEXMATCH(C146, ""M""), ""6"","""")"),"")</f>
        <v/>
      </c>
      <c r="AD146" s="245" t="str">
        <f>IFERROR(__xludf.DUMMYFUNCTION("IF(REGEXMATCH(C146, ""P""), ""7"","""")"),"7")</f>
        <v>7</v>
      </c>
      <c r="AE146" s="246" t="str">
        <f>IFERROR(__xludf.DUMMYFUNCTION("IF(REGEXMATCH(C146, ""d""), ""8"","""")"),"")</f>
        <v/>
      </c>
      <c r="AF146" s="245" t="str">
        <f>IFERROR(__xludf.DUMMYFUNCTION("IF(REGEXMATCH(C146, ""D""), ""9"","""")"),"9")</f>
        <v>9</v>
      </c>
      <c r="AG146" s="245" t="str">
        <f>IFERROR(__xludf.DUMMYFUNCTION("IF(REGEXMATCH(C146, ""n""), ""10"","""")"),"")</f>
        <v/>
      </c>
      <c r="AH146" s="246" t="str">
        <f>IFERROR(__xludf.DUMMYFUNCTION("IF(REGEXMATCH(C146, ""N""), ""11"","""")"),"")</f>
        <v/>
      </c>
      <c r="AI146" s="249" t="str">
        <f>IFERROR(__xludf.DUMMYFUNCTION("IF(REGEXMATCH(C146, ""S""), ""0"","""")"),"0")</f>
        <v>0</v>
      </c>
      <c r="AJ146" s="313" t="str">
        <f t="shared" si="11"/>
        <v>-</v>
      </c>
      <c r="AK146" s="313" t="str">
        <f t="shared" si="12"/>
        <v>-</v>
      </c>
      <c r="AL146" s="313" t="str">
        <f t="shared" si="13"/>
        <v>-</v>
      </c>
      <c r="AM146" s="313" t="str">
        <f t="shared" si="14"/>
        <v>-</v>
      </c>
      <c r="AN146" s="313" t="str">
        <f t="shared" si="15"/>
        <v>-</v>
      </c>
      <c r="AO146" s="314" t="str">
        <f t="shared" si="16"/>
        <v>-</v>
      </c>
      <c r="AP146" s="316">
        <f t="shared" si="17"/>
        <v>0</v>
      </c>
      <c r="AQ146" s="319" t="str">
        <f t="shared" si="18"/>
        <v>-</v>
      </c>
      <c r="AR146" s="320">
        <f t="shared" si="19"/>
        <v>0</v>
      </c>
      <c r="AS146" s="250" t="str">
        <f>IFERROR(__xludf.DUMMYFUNCTION("SUBSTITUTE(SUBSTITUTE(CONCATENATE(JOIN("""",FP146:GA146)),""|"",""x""),""-"",""o"")"),"xoxoxooxoxoo")</f>
        <v>xoxoxooxoxoo</v>
      </c>
      <c r="AT146" s="323" t="str">
        <f>IFERROR(__xludf.DUMMYFUNCTION("JOIN("""",AS146,AS146)"),"xoxoxooxoxooxoxoxooxoxoo")</f>
        <v>xoxoxooxoxooxoxoxooxoxoo</v>
      </c>
      <c r="AU146" s="256" t="str">
        <f>IFERROR(__xludf.DUMMYFUNCTION("JOIN("""",ArrayFormula(MID(AS146,LEN(AS146)-SEQUENCE(1,LEN(AS146))+1,1)))"),"ooxoxooxoxox")</f>
        <v>ooxoxooxoxox</v>
      </c>
      <c r="AV146" s="256" t="str">
        <f>IFERROR(__xludf.DUMMYFUNCTION("LEFT(CONCATENATE(""x"",JOIN("""",ArrayFormula(MID(AS146,LEN(AS146)-SEQUENCE(1,LEN(AS146))+1,1)))),12)"),"xooxoxooxoxo")</f>
        <v>xooxoxooxoxo</v>
      </c>
      <c r="AW146" s="327" t="str">
        <f>IFERROR(__xludf.DUMMYFUNCTION("JOIN("""",AU146,AU146)"),"ooxoxooxoxoxooxoxooxoxox")</f>
        <v>ooxoxooxoxoxooxoxooxoxox</v>
      </c>
      <c r="AX146" s="239" t="str">
        <f>IFERROR(__xludf.DUMMYFUNCTION("IF(REGEXMATCH(AW146,AS146),""✔"",""-"")"),"✔")</f>
        <v>✔</v>
      </c>
      <c r="AY146" s="330" t="str">
        <f t="shared" si="20"/>
        <v>-</v>
      </c>
      <c r="AZ146" s="260" t="str">
        <f t="shared" si="21"/>
        <v>#REF!</v>
      </c>
      <c r="BA146" s="333" t="str">
        <f t="shared" si="22"/>
        <v>xoxoxoo</v>
      </c>
      <c r="BB146" s="334" t="str">
        <f t="shared" si="23"/>
        <v>xoxoox</v>
      </c>
      <c r="BC146" s="335" t="str">
        <f t="shared" si="236"/>
        <v>-</v>
      </c>
      <c r="BD146" s="336" t="str">
        <f t="shared" si="25"/>
        <v>Jait Kalyan: 'xoxoxoo' + 'xoxoox'</v>
      </c>
      <c r="BE146" s="337">
        <f>IFERROR(__xludf.DUMMYFUNCTION("COUNTUNIQUE(FILTER(AT:AT,REGEXMATCH(AT:AT,AS146)))-1"),4.0)</f>
        <v>4</v>
      </c>
      <c r="BF146" s="261" t="str">
        <f>IFERROR(__xludf.DUMMYFUNCTION("IF(BI146=0,""(n/a)"",IF(BJ146=2,""(PAIR)"",IF(REGEXMATCH(AT146,""xoxoxxoxoxox""),""Bilawal"",IF(REGEXMATCH(AT146,""xoxoxooxoxoo""),""Bhupali"",IF(REGEXMATCH(AT146,""xoxoxxoxxoxo""),""Charukeshi"",IF(REGEXMATCH(AT146,""xoxoooxxoxxo""),""Kameshwari"",IF(REG"&amp;"EXMATCH(AT146,""xoxoxooxoxox""),""Shankara"",IF(REGEXMATCH(AT146,""xxooxoxxxoox""),""Basant"",IF(REGEXMATCH(AT146,""xoxoxxxxoxox""),""Bihag"",IF(REGEXMATCH(AT146,""xoxxxxoxoxxx""),""Pilu"",IF(REGEXMATCH(AT146,""xoxxoxoxxoox""),""Kirwani"",IF(REGEXMATCH(AT"&amp;"146,""xoxxoxoxoxxx""),""Mk.Malhar"",IF(REGEXMATCH(AT146,""xxooxxoxxoox""),""Bhairav"",IF(REGEXMATCH(AT146,""xxoxooxxxoox""),""Todi"",IF(REGEXMATCH(AT146,""xxooxoxooxox""),""Marwa"",IF(REGEXMATCH(AT146,""xxoooxoxxooo""),""Gunkali"",IF(REGEXMATCH(AT146,""xo"&amp;"xoxxoxxoox""),""Nat Bhairav"",IF(REGEXMATCH(AT146,""xoxxoooxoxoo""),""Shivranjani"",IF(REGEXMATCH(AT146,""xooxxxoxooxo""),""Jog"",IF(REGEXMATCH(AT146,""xxooxoxoxoox""),""Hemshri"",IF(REGEXMATCH(AT146,""xoooxooxoxxo""),""Kalavati"",IF(REGEXMATCH(AT146,""xx"&amp;"oxoxxoxoox""),""Kedar"",IF(REGEXMATCH(AT146,""xoxxxxoxooxx""),""Gara"",IF(REGEXMATCH(AT146,""xooxoxooxoox""),""Chandrakauns"",IF(REGEXMATCH(AT146,""xoxxxxoxxxox""),""Mand"",IF(REGEXMATCH(AT146,""xoxxxxoxoxox""),""Hanskinkini"",IF(REGEXMATCH(AT146,""xxooxx"&amp;"oxooxo""),""Lilavati"",IF(REGEXMATCH(AT146,""xooxoxoooxox""),""Rajeshwari"",IF(REGEXMATCH(AT146,""xoooxxoxoxxx""),""Khokar"",IF(REGEXMATCH(AT146,""xxooxoxxxxox""),""Maligoura"",""-""))))))))))))))))))))))))))))))"),"Bhupali")</f>
        <v>Bhupali</v>
      </c>
      <c r="BG146" s="239" t="str">
        <f t="shared" si="26"/>
        <v>#REF!</v>
      </c>
      <c r="BH146" s="239">
        <f>IFERROR(__xludf.DUMMYFUNCTION("COUNTUNIQUE(FE146:FO146)-1"),4.0)</f>
        <v>4</v>
      </c>
      <c r="BI146" s="239">
        <f>IFERROR(__xludf.DUMMYFUNCTION("COUNTUNIQUE(FILTER(AT:AT,REGEXMATCH(AT:AT,AS146)))-1"),4.0)</f>
        <v>4</v>
      </c>
      <c r="BJ146" s="239">
        <f>IFERROR(__xludf.DUMMYFUNCTION("COUNTA(FILTER(AT:AT,REGEXMATCH(AT:AT,AS146)))"),11.0)</f>
        <v>11</v>
      </c>
      <c r="BK146" s="341">
        <f>IFERROR(__xludf.DUMMYFUNCTION("COUNTA(FILTER(AT:AT,REGEXMATCH(AT:AT,AS146)))-AR146"),11.0)</f>
        <v>11</v>
      </c>
      <c r="BL146" s="276" t="str">
        <f>IFERROR(__xludf.DUMMYFUNCTION("IF(AS146=""oooooooooooo"",""-"",IF(REGEXMATCH(AT146,""xx""), ""Hemi."", ""Anhemi.""))"),"Anhemi.")</f>
        <v>Anhemi.</v>
      </c>
      <c r="BM146" s="282" t="str">
        <f>IFERROR(__xludf.DUMMYFUNCTION("IF(AS146=""oooooooooooo"",""-"",IF(REGEXMATCH(AT146,""xxx""), ""Cohem."", ""-""))"),"-")</f>
        <v>-</v>
      </c>
      <c r="BN146" s="282" t="str">
        <f>IFERROR(__xludf.DUMMYFUNCTION("IF(AS146=""oooooooooooo"",""-"",IF(REGEXMATCH(AT146,""xxxx""), ""Co-Co."", ""-""))"),"-")</f>
        <v>-</v>
      </c>
      <c r="BO146" s="342" t="str">
        <f>IFERROR(__xludf.DUMMYFUNCTION("IF(AS146=""oooooooooooo"",""-"",IF(REGEXMATCH(AT146,""xxxxx""), ""CCC."", ""-""))"),"-")</f>
        <v>-</v>
      </c>
      <c r="BP146" s="344" t="str">
        <f t="shared" si="27"/>
        <v>-</v>
      </c>
      <c r="BQ146" s="282" t="str">
        <f>IFERROR(__xludf.DUMMYFUNCTION("IF(REGEXMATCH(JOIN(""-"",EU146:FD146),""TRUE""),""✔"",""-"")"),"✔")</f>
        <v>✔</v>
      </c>
      <c r="BR146" s="225">
        <f t="shared" si="28"/>
        <v>3</v>
      </c>
      <c r="BS146" s="345" t="str">
        <f>IFERROR(__xludf.DUMMYFUNCTION("SUBSTITUTE(SUBSTITUTE(SUBSTITUTE(SUBSTITUTE(CONCATENATE(JOIN(""-"",GC146:GO146)),""--"",""-""),""--"",""-""),""--"",""-""),""--"",""-"")"),"1-2-3-5-6-8")</f>
        <v>1-2-3-5-6-8</v>
      </c>
      <c r="BT146" s="299" t="str">
        <f>IFERROR(__xludf.DUMMYFUNCTION("SUBSTITUTE(SUBSTITUTE(SUBSTITUTE(SUBSTITUTE(CONCATENATE(JOIN(""-"",GP146:HB146)),""--"",""-""),""--"",""-""),""--"",""-""),""--"",""-"")"),"S-R2-G3-P-D2-S")</f>
        <v>S-R2-G3-P-D2-S</v>
      </c>
      <c r="BU146" s="348" t="str">
        <f t="shared" si="29"/>
        <v>C-D-E-G-A-C</v>
      </c>
      <c r="BV146" s="349" t="str">
        <f t="shared" si="30"/>
        <v>SrgmMdnNS</v>
      </c>
      <c r="BW146" s="350">
        <f t="shared" si="31"/>
        <v>0</v>
      </c>
      <c r="BX146" s="351">
        <f t="shared" si="32"/>
        <v>4</v>
      </c>
      <c r="BY146" s="392"/>
      <c r="BZ146" s="309" t="str">
        <f>IFERROR(__xludf.DUMMYFUNCTION("IF(REGEXMATCH(C146, ""S""), ""x"",""x"")"),"x")</f>
        <v>x</v>
      </c>
      <c r="CA146" s="245" t="str">
        <f>IFERROR(__xludf.DUMMYFUNCTION("IF(REGEXMATCH(C146, ""r""), ""o"",""x"")"),"x")</f>
        <v>x</v>
      </c>
      <c r="CB146" s="246" t="str">
        <f>IFERROR(__xludf.DUMMYFUNCTION("IF(REGEXMATCH(C146, ""R""), ""o"",""x"")"),"o")</f>
        <v>o</v>
      </c>
      <c r="CC146" s="246" t="str">
        <f>IFERROR(__xludf.DUMMYFUNCTION("IF(REGEXMATCH(C146, ""g""), ""o"",""x"")"),"x")</f>
        <v>x</v>
      </c>
      <c r="CD146" s="245" t="str">
        <f>IFERROR(__xludf.DUMMYFUNCTION("IF(REGEXMATCH(C146, ""G""), ""o"",""x"")"),"o")</f>
        <v>o</v>
      </c>
      <c r="CE146" s="245" t="str">
        <f>IFERROR(__xludf.DUMMYFUNCTION("IF(REGEXMATCH(C146, ""m""), ""o"",""x"")"),"x")</f>
        <v>x</v>
      </c>
      <c r="CF146" s="246" t="str">
        <f>IFERROR(__xludf.DUMMYFUNCTION("IF(REGEXMATCH(C146, ""M""), ""o"",""x"")"),"x")</f>
        <v>x</v>
      </c>
      <c r="CG146" s="245" t="str">
        <f>IFERROR(__xludf.DUMMYFUNCTION("IF(REGEXMATCH(C146, ""P""), ""o"",""x"")"),"o")</f>
        <v>o</v>
      </c>
      <c r="CH146" s="246" t="str">
        <f>IFERROR(__xludf.DUMMYFUNCTION("IF(REGEXMATCH(C146, ""d""), ""o"",""x"")"),"x")</f>
        <v>x</v>
      </c>
      <c r="CI146" s="245" t="str">
        <f>IFERROR(__xludf.DUMMYFUNCTION("IF(REGEXMATCH(C146, ""D""), ""o"",""x"")"),"o")</f>
        <v>o</v>
      </c>
      <c r="CJ146" s="245" t="str">
        <f>IFERROR(__xludf.DUMMYFUNCTION("IF(REGEXMATCH(C146, ""n""), ""o"",""x"")"),"x")</f>
        <v>x</v>
      </c>
      <c r="CK146" s="245" t="str">
        <f>IFERROR(__xludf.DUMMYFUNCTION("IF(REGEXMATCH(C146, ""N""), ""o"",""x"")"),"x")</f>
        <v>x</v>
      </c>
      <c r="CL146" s="356" t="str">
        <f>IFERROR(__xludf.DUMMYFUNCTION("IF(REGEXMATCH(C146, ""S""), ""x"",""x"")"),"x")</f>
        <v>x</v>
      </c>
      <c r="CM146" s="357" t="str">
        <f t="shared" si="33"/>
        <v>xxoxoxxoxoxx</v>
      </c>
      <c r="CN146" s="358">
        <f t="shared" si="34"/>
        <v>0</v>
      </c>
      <c r="CO146" s="246" t="str">
        <f>IFERROR(__xludf.DUMMYFUNCTION("IF(REGEXMATCH($C146, ""S""), ""S"",""S"")"),"S")</f>
        <v>S</v>
      </c>
      <c r="CP146" s="246" t="str">
        <f>IFERROR(__xludf.DUMMYFUNCTION("IF(REGEXMATCH($C146, ""r""), """",""r"")"),"r")</f>
        <v>r</v>
      </c>
      <c r="CQ146" s="246" t="str">
        <f>IFERROR(__xludf.DUMMYFUNCTION("IF(REGEXMATCH($C146, ""R""), """",""R"")"),"")</f>
        <v/>
      </c>
      <c r="CR146" s="246" t="str">
        <f>IFERROR(__xludf.DUMMYFUNCTION("IF(REGEXMATCH($C146, ""g""), """",""g"")"),"g")</f>
        <v>g</v>
      </c>
      <c r="CS146" s="246" t="str">
        <f>IFERROR(__xludf.DUMMYFUNCTION("IF(REGEXMATCH($C146, ""G""), """",""G"")"),"")</f>
        <v/>
      </c>
      <c r="CT146" s="246" t="str">
        <f>IFERROR(__xludf.DUMMYFUNCTION("IF(REGEXMATCH($C146, ""m""), """",""m"")"),"m")</f>
        <v>m</v>
      </c>
      <c r="CU146" s="246" t="str">
        <f>IFERROR(__xludf.DUMMYFUNCTION("IF(REGEXMATCH($C146, ""M""), """",""M"")"),"M")</f>
        <v>M</v>
      </c>
      <c r="CV146" s="246" t="str">
        <f>IFERROR(__xludf.DUMMYFUNCTION("IF(REGEXMATCH($C146, ""P""), """",""P"")"),"")</f>
        <v/>
      </c>
      <c r="CW146" s="246" t="str">
        <f>IFERROR(__xludf.DUMMYFUNCTION("IF(REGEXMATCH($C146, ""d""), """",""d"")"),"d")</f>
        <v>d</v>
      </c>
      <c r="CX146" s="246" t="str">
        <f>IFERROR(__xludf.DUMMYFUNCTION("IF(REGEXMATCH($C146, ""D""), """",""D"")"),"")</f>
        <v/>
      </c>
      <c r="CY146" s="246" t="str">
        <f>IFERROR(__xludf.DUMMYFUNCTION("IF(REGEXMATCH($C146, ""n""), """",""n"")"),"n")</f>
        <v>n</v>
      </c>
      <c r="CZ146" s="246" t="str">
        <f>IFERROR(__xludf.DUMMYFUNCTION("IF(REGEXMATCH($C146, ""N""), """",""N"")"),"N")</f>
        <v>N</v>
      </c>
      <c r="DA146" s="246" t="str">
        <f>IFERROR(__xludf.DUMMYFUNCTION("IF(REGEXMATCH($C146, ""S""), ""S"",""S"")"),"S")</f>
        <v>S</v>
      </c>
      <c r="DB146" s="362" t="str">
        <f>IFERROR(__xludf.DUMMYFUNCTION("JOIN("""",CO146:DA146,"""","""")"),"SrgmMdnNS")</f>
        <v>SrgmMdnNS</v>
      </c>
      <c r="DC146" s="363"/>
      <c r="DD146" s="301" t="str">
        <f t="shared" si="35"/>
        <v>#REF!</v>
      </c>
      <c r="DE146" s="302" t="str">
        <f t="shared" si="36"/>
        <v>#REF!</v>
      </c>
      <c r="DF146" s="301" t="str">
        <f t="shared" ref="DF146:DG146" si="499">SUBSTITUTE(S146,"-","")</f>
        <v>SRG</v>
      </c>
      <c r="DG146" s="301" t="str">
        <f t="shared" si="499"/>
        <v>PDS</v>
      </c>
      <c r="DH146" s="302" t="str">
        <f t="shared" si="38"/>
        <v>Bhupali</v>
      </c>
      <c r="DI146" s="301" t="str">
        <f t="shared" si="39"/>
        <v>Anhemi.</v>
      </c>
      <c r="DJ146" s="364" t="str">
        <f t="shared" si="40"/>
        <v>-</v>
      </c>
      <c r="DK146" s="306" t="str">
        <f t="shared" si="41"/>
        <v>-</v>
      </c>
      <c r="DL146" s="366" t="str">
        <f t="shared" si="42"/>
        <v>✔</v>
      </c>
      <c r="DM146" s="308" t="str">
        <f t="shared" si="43"/>
        <v>-</v>
      </c>
      <c r="DN146" s="306" t="str">
        <f t="shared" si="44"/>
        <v>✔</v>
      </c>
      <c r="DO146" s="306" t="str">
        <f t="shared" si="45"/>
        <v>-</v>
      </c>
      <c r="DP146" s="367" t="str">
        <f t="shared" si="46"/>
        <v>-</v>
      </c>
      <c r="DQ146" s="310" t="str">
        <f t="shared" si="47"/>
        <v>-</v>
      </c>
      <c r="DR146" s="310" t="str">
        <f t="shared" si="48"/>
        <v>-</v>
      </c>
      <c r="DS146" s="310" t="str">
        <f t="shared" si="49"/>
        <v>-</v>
      </c>
      <c r="DT146" s="310" t="str">
        <f t="shared" si="50"/>
        <v>-</v>
      </c>
      <c r="DU146" s="370" t="str">
        <f t="shared" si="51"/>
        <v>-</v>
      </c>
      <c r="DV146" s="306" t="str">
        <f t="shared" si="52"/>
        <v>-</v>
      </c>
      <c r="DW146" s="306" t="str">
        <f t="shared" si="53"/>
        <v>-</v>
      </c>
      <c r="DX146" s="306" t="str">
        <f t="shared" si="54"/>
        <v>✔</v>
      </c>
      <c r="DY146" s="306" t="str">
        <f t="shared" si="55"/>
        <v>-</v>
      </c>
      <c r="DZ146" s="306" t="str">
        <f t="shared" si="56"/>
        <v>-</v>
      </c>
      <c r="EA146" s="367" t="str">
        <f t="shared" si="57"/>
        <v>✔</v>
      </c>
      <c r="EB146" s="310" t="str">
        <f>IFERROR(__xludf.DUMMYFUNCTION("IF(REGEXMATCH(AW146,AS146),""✔"",""-"")"),"✔")</f>
        <v>✔</v>
      </c>
      <c r="EC146" s="310" t="str">
        <f t="shared" si="58"/>
        <v>#REF!</v>
      </c>
      <c r="ED146" s="370" t="str">
        <f t="shared" si="59"/>
        <v>-</v>
      </c>
      <c r="EE146" s="340" t="str">
        <f t="shared" si="60"/>
        <v>S-R-G-P-D-S</v>
      </c>
      <c r="EF146" s="371" t="str">
        <f>IFERROR(__xludf.DUMMYFUNCTION("CONCATENATE(JOIN("""",HC146:HO146))"),"SgmdnS")</f>
        <v>SgmdnS</v>
      </c>
      <c r="EG146" s="372">
        <f t="shared" si="61"/>
        <v>1</v>
      </c>
      <c r="EH146" s="373" t="str">
        <f>IFERROR(__xludf.DUMMYFUNCTION("CONCATENATE(JOIN("""",JC146:JO146))"),"Ga, ")</f>
        <v>Ga, </v>
      </c>
      <c r="EI146" s="322">
        <f t="shared" si="62"/>
        <v>0</v>
      </c>
      <c r="EJ146" s="374" t="str">
        <f>IFERROR(__xludf.DUMMYFUNCTION("CONCATENATE(JOIN("""",KC146:KO146))"),"")</f>
        <v/>
      </c>
      <c r="EK146" s="325" t="str">
        <f t="shared" si="63"/>
        <v>S-R2-G3-P-D2-S</v>
      </c>
      <c r="EL146" s="326" t="str">
        <f t="shared" si="64"/>
        <v>1-2-3-5-6-8</v>
      </c>
      <c r="EM146" s="318" t="str">
        <f t="shared" si="65"/>
        <v>#REF!</v>
      </c>
      <c r="EN146" s="328" t="str">
        <f>IFERROR(__xludf.DUMMYFUNCTION("SUBSTITUTE(SUBSTITUTE(SUBSTITUTE(SUBSTITUTE(CONCATENATE(JOIN("" "",HP146:IB146)),""  "","" ""),""  "","" ""),""  "","" ""),""  "","" "")"),"o • o • o • • o • o • • o")</f>
        <v>o • o • o • • o • o • • o</v>
      </c>
      <c r="EO146" s="368" t="str">
        <f t="shared" si="66"/>
        <v>Sa-Pa</v>
      </c>
      <c r="EP146" s="339" t="str">
        <f t="shared" si="67"/>
        <v>-</v>
      </c>
      <c r="EQ146" s="339" t="str">
        <f t="shared" si="68"/>
        <v>Sa-Pa</v>
      </c>
      <c r="ER146" s="339" t="str">
        <f t="shared" si="69"/>
        <v>Sa-Pa</v>
      </c>
      <c r="ES146" s="340" t="str">
        <f t="shared" si="70"/>
        <v>-</v>
      </c>
      <c r="ET146" s="363"/>
      <c r="EU146" s="376" t="b">
        <f>IFERROR(__xludf.DUMMYFUNCTION("arrayformula(sum(--REGEXMATCH(""SRGMPDNS"",split(REGEXREPLACE(C146,""(.)"",""$1~""),""~""))))=len(C146)
"),TRUE)</f>
        <v>1</v>
      </c>
      <c r="EV146" s="290" t="b">
        <f>IFERROR(__xludf.DUMMYFUNCTION("arrayformula(sum(--REGEXMATCH(""SRGmPDNS"",split(REGEXREPLACE(C146,""(.)"",""$1~""),""~""))))=len(C146)"),TRUE)</f>
        <v>1</v>
      </c>
      <c r="EW146" s="290" t="b">
        <f>IFERROR(__xludf.DUMMYFUNCTION("arrayformula(sum(--REGEXMATCH(""SRGmPDnS"",split(REGEXREPLACE(C146,""(.)"",""$1~""),""~""))))=len(C146)"),TRUE)</f>
        <v>1</v>
      </c>
      <c r="EX146" s="290" t="b">
        <f>IFERROR(__xludf.DUMMYFUNCTION("arrayformula(sum(--REGEXMATCH(""SRgmPDnS"",split(REGEXREPLACE(C146,""(.)"",""$1~""),""~""))))=len(C146)"),FALSE)</f>
        <v>0</v>
      </c>
      <c r="EY146" s="290" t="b">
        <f>IFERROR(__xludf.DUMMYFUNCTION("arrayformula(sum(--REGEXMATCH(""SRgmPdnS"",split(REGEXREPLACE(C146,""(.)"",""$1~""),""~""))))=len(C146)"),FALSE)</f>
        <v>0</v>
      </c>
      <c r="EZ146" s="290" t="b">
        <f>IFERROR(__xludf.DUMMYFUNCTION("arrayformula(sum(--REGEXMATCH(""SrgmPdnS"",split(REGEXREPLACE(C146,""(.)"",""$1~""),""~""))))=len(C146)"),FALSE)</f>
        <v>0</v>
      </c>
      <c r="FA146" s="290" t="b">
        <f>IFERROR(__xludf.DUMMYFUNCTION("arrayformula(sum(--REGEXMATCH(""SrGmPdNS"",split(REGEXREPLACE(C146,""(.)"",""$1~""),""~""))))=len(C146)"),FALSE)</f>
        <v>0</v>
      </c>
      <c r="FB146" s="290" t="b">
        <f>IFERROR(__xludf.DUMMYFUNCTION("arrayformula(sum(--REGEXMATCH(""SrGMPDNS"",split(REGEXREPLACE(C146,""(.)"",""$1~""),""~""))))=len(C146)"),FALSE)</f>
        <v>0</v>
      </c>
      <c r="FC146" s="290" t="b">
        <f>IFERROR(__xludf.DUMMYFUNCTION("arrayformula(sum(--REGEXMATCH(""SrGMPdNS"",split(REGEXREPLACE(C146,""(.)"",""$1~""),""~""))))=len(C146)"),FALSE)</f>
        <v>0</v>
      </c>
      <c r="FD146" s="377" t="b">
        <f>IFERROR(__xludf.DUMMYFUNCTION("arrayformula(sum(--REGEXMATCH(""SrgMPdNS"",split(REGEXREPLACE(C146,""(.)"",""$1~""),""~""))))=len(C146)"),FALSE)</f>
        <v>0</v>
      </c>
      <c r="FE146" s="269" t="str">
        <f t="shared" si="71"/>
        <v>-</v>
      </c>
      <c r="FF146" s="269" t="str">
        <f t="shared" si="72"/>
        <v>xoxooxoxoox</v>
      </c>
      <c r="FG146" s="271" t="str">
        <f t="shared" si="73"/>
        <v>-</v>
      </c>
      <c r="FH146" s="269" t="str">
        <f t="shared" si="74"/>
        <v>xooxoxooxox</v>
      </c>
      <c r="FI146" s="271" t="str">
        <f t="shared" si="75"/>
        <v>-</v>
      </c>
      <c r="FJ146" s="271" t="str">
        <f t="shared" si="76"/>
        <v>-</v>
      </c>
      <c r="FK146" s="271" t="str">
        <f t="shared" si="77"/>
        <v>xoxooxoxoxo</v>
      </c>
      <c r="FL146" s="271" t="str">
        <f t="shared" si="78"/>
        <v>-</v>
      </c>
      <c r="FM146" s="271" t="str">
        <f t="shared" si="79"/>
        <v>xooxoxoxoox</v>
      </c>
      <c r="FN146" s="271" t="str">
        <f t="shared" si="80"/>
        <v>-</v>
      </c>
      <c r="FO146" s="274" t="str">
        <f t="shared" si="81"/>
        <v>-</v>
      </c>
      <c r="FP146" s="234" t="str">
        <f t="shared" si="82"/>
        <v>|</v>
      </c>
      <c r="FQ146" s="236" t="str">
        <f t="shared" si="83"/>
        <v>-</v>
      </c>
      <c r="FR146" s="237" t="str">
        <f t="shared" si="84"/>
        <v>|</v>
      </c>
      <c r="FS146" s="236" t="str">
        <f t="shared" si="85"/>
        <v>-</v>
      </c>
      <c r="FT146" s="237" t="str">
        <f t="shared" si="86"/>
        <v>|</v>
      </c>
      <c r="FU146" s="236" t="str">
        <f t="shared" si="87"/>
        <v>-</v>
      </c>
      <c r="FV146" s="237" t="str">
        <f t="shared" si="88"/>
        <v>-</v>
      </c>
      <c r="FW146" s="236" t="str">
        <f t="shared" si="89"/>
        <v>|</v>
      </c>
      <c r="FX146" s="237" t="str">
        <f t="shared" si="90"/>
        <v>-</v>
      </c>
      <c r="FY146" s="236" t="str">
        <f t="shared" si="91"/>
        <v>|</v>
      </c>
      <c r="FZ146" s="237" t="str">
        <f t="shared" si="92"/>
        <v>-</v>
      </c>
      <c r="GA146" s="236" t="str">
        <f t="shared" si="93"/>
        <v>-</v>
      </c>
      <c r="GB146" s="238" t="str">
        <f t="shared" si="94"/>
        <v>|</v>
      </c>
      <c r="GC146" s="244" t="str">
        <f>IFERROR(__xludf.DUMMYFUNCTION("IF(REGEXMATCH(C146, ""S""), ""1"","""")"),"1")</f>
        <v>1</v>
      </c>
      <c r="GD146" s="245" t="str">
        <f>IFERROR(__xludf.DUMMYFUNCTION("IF(REGEXMATCH(C146, ""r""), ""b2"","""")"),"")</f>
        <v/>
      </c>
      <c r="GE146" s="246" t="str">
        <f>IFERROR(__xludf.DUMMYFUNCTION("IF(REGEXMATCH(C146, ""R""), ""2"","""")"),"2")</f>
        <v>2</v>
      </c>
      <c r="GF146" s="246" t="str">
        <f>IFERROR(__xludf.DUMMYFUNCTION("IF(REGEXMATCH(C146, ""g""), ""b3"","""")"),"")</f>
        <v/>
      </c>
      <c r="GG146" s="245" t="str">
        <f>IFERROR(__xludf.DUMMYFUNCTION("IF(REGEXMATCH(C146, ""G""), ""3"","""")"),"3")</f>
        <v>3</v>
      </c>
      <c r="GH146" s="245" t="str">
        <f>IFERROR(__xludf.DUMMYFUNCTION("IF(REGEXMATCH(C146, ""m""), ""4"","""")"),"")</f>
        <v/>
      </c>
      <c r="GI146" s="246" t="str">
        <f>IFERROR(__xludf.DUMMYFUNCTION("IF(REGEXMATCH(C146, ""M""), ""#4"","""")"),"")</f>
        <v/>
      </c>
      <c r="GJ146" s="245" t="str">
        <f>IFERROR(__xludf.DUMMYFUNCTION("IF(REGEXMATCH(C146, ""P""), ""5"","""")"),"5")</f>
        <v>5</v>
      </c>
      <c r="GK146" s="246" t="str">
        <f>IFERROR(__xludf.DUMMYFUNCTION("IF(REGEXMATCH(C146, ""d""), ""b6"","""")"),"")</f>
        <v/>
      </c>
      <c r="GL146" s="245" t="str">
        <f>IFERROR(__xludf.DUMMYFUNCTION("IF(REGEXMATCH(C146, ""D""), ""6"","""")"),"6")</f>
        <v>6</v>
      </c>
      <c r="GM146" s="245" t="str">
        <f>IFERROR(__xludf.DUMMYFUNCTION("IF(REGEXMATCH(C146, ""n""), ""b7"","""")"),"")</f>
        <v/>
      </c>
      <c r="GN146" s="246" t="str">
        <f>IFERROR(__xludf.DUMMYFUNCTION("IF(REGEXMATCH(C146, ""N""), ""7"","""")"),"")</f>
        <v/>
      </c>
      <c r="GO146" s="249" t="str">
        <f>IFERROR(__xludf.DUMMYFUNCTION("IF(REGEXMATCH(C146, ""S""), ""8"","""")"),"8")</f>
        <v>8</v>
      </c>
      <c r="GP146" s="244" t="str">
        <f>IFERROR(__xludf.DUMMYFUNCTION("IF(REGEXMATCH(C146, ""S""), ""S"","""")"),"S")</f>
        <v>S</v>
      </c>
      <c r="GQ146" s="294" t="str">
        <f>IFERROR(__xludf.DUMMYFUNCTION("IF(REGEXMATCH(C146, ""r""), ""R1"","""")"),"")</f>
        <v/>
      </c>
      <c r="GR146" s="295" t="str">
        <f>IFERROR(__xludf.DUMMYFUNCTION("IF(REGEXMATCH(C146, ""R""), ""R2"","""")"),"R2")</f>
        <v>R2</v>
      </c>
      <c r="GS146" s="295" t="str">
        <f>IFERROR(__xludf.DUMMYFUNCTION("IF(REGEXMATCH(C146, ""g""), ""G2"","""")"),"")</f>
        <v/>
      </c>
      <c r="GT146" s="294" t="str">
        <f>IFERROR(__xludf.DUMMYFUNCTION("IF(REGEXMATCH(C146, ""G""), ""G3"","""")"),"G3")</f>
        <v>G3</v>
      </c>
      <c r="GU146" s="294" t="str">
        <f>IFERROR(__xludf.DUMMYFUNCTION("IF(REGEXMATCH(C146, ""m""), ""M1"","""")"),"")</f>
        <v/>
      </c>
      <c r="GV146" s="295" t="str">
        <f>IFERROR(__xludf.DUMMYFUNCTION("IF(REGEXMATCH(C146, ""M""), ""M2"","""")"),"")</f>
        <v/>
      </c>
      <c r="GW146" s="294" t="str">
        <f>IFERROR(__xludf.DUMMYFUNCTION("IF(REGEXMATCH(C146, ""P""), ""P"","""")"),"P")</f>
        <v>P</v>
      </c>
      <c r="GX146" s="295" t="str">
        <f>IFERROR(__xludf.DUMMYFUNCTION("IF(REGEXMATCH(C146, ""d""), ""D1"","""")"),"")</f>
        <v/>
      </c>
      <c r="GY146" s="294" t="str">
        <f>IFERROR(__xludf.DUMMYFUNCTION("IF(REGEXMATCH(C146, ""D""), ""D2"","""")"),"D2")</f>
        <v>D2</v>
      </c>
      <c r="GZ146" s="294" t="str">
        <f>IFERROR(__xludf.DUMMYFUNCTION("IF(REGEXMATCH(C146, ""n""), ""N2"","""")"),"")</f>
        <v/>
      </c>
      <c r="HA146" s="295" t="str">
        <f>IFERROR(__xludf.DUMMYFUNCTION("IF(REGEXMATCH(C146, ""N""), ""N3"","""")"),"")</f>
        <v/>
      </c>
      <c r="HB146" s="249" t="str">
        <f>IFERROR(__xludf.DUMMYFUNCTION("IF(REGEXMATCH(C146, ""S""), ""S"","""")"),"S")</f>
        <v>S</v>
      </c>
      <c r="HC146" s="331" t="str">
        <f t="shared" si="95"/>
        <v>S</v>
      </c>
      <c r="HD146" s="332" t="str">
        <f t="shared" si="96"/>
        <v/>
      </c>
      <c r="HE146" s="332" t="str">
        <f t="shared" si="97"/>
        <v/>
      </c>
      <c r="HF146" s="332" t="str">
        <f t="shared" si="98"/>
        <v>g</v>
      </c>
      <c r="HG146" s="332" t="str">
        <f t="shared" si="99"/>
        <v/>
      </c>
      <c r="HH146" s="332" t="str">
        <f t="shared" si="100"/>
        <v>m</v>
      </c>
      <c r="HI146" s="332" t="str">
        <f t="shared" si="101"/>
        <v/>
      </c>
      <c r="HJ146" s="332" t="str">
        <f t="shared" si="102"/>
        <v/>
      </c>
      <c r="HK146" s="332" t="str">
        <f t="shared" si="103"/>
        <v>d</v>
      </c>
      <c r="HL146" s="332" t="str">
        <f t="shared" si="104"/>
        <v/>
      </c>
      <c r="HM146" s="332" t="str">
        <f t="shared" si="105"/>
        <v>n</v>
      </c>
      <c r="HN146" s="332" t="str">
        <f t="shared" si="106"/>
        <v/>
      </c>
      <c r="HO146" s="343" t="str">
        <f t="shared" si="107"/>
        <v>S</v>
      </c>
      <c r="HP146" s="331" t="str">
        <f t="shared" si="108"/>
        <v>o</v>
      </c>
      <c r="HQ146" s="332" t="str">
        <f t="shared" si="109"/>
        <v>•</v>
      </c>
      <c r="HR146" s="332" t="str">
        <f t="shared" si="110"/>
        <v>o</v>
      </c>
      <c r="HS146" s="332" t="str">
        <f t="shared" si="111"/>
        <v>•</v>
      </c>
      <c r="HT146" s="332" t="str">
        <f t="shared" si="112"/>
        <v>o</v>
      </c>
      <c r="HU146" s="332" t="str">
        <f t="shared" si="113"/>
        <v>•</v>
      </c>
      <c r="HV146" s="332" t="str">
        <f t="shared" si="114"/>
        <v>•</v>
      </c>
      <c r="HW146" s="332" t="str">
        <f t="shared" si="115"/>
        <v>o</v>
      </c>
      <c r="HX146" s="332" t="str">
        <f t="shared" si="116"/>
        <v>•</v>
      </c>
      <c r="HY146" s="332" t="str">
        <f t="shared" si="117"/>
        <v>o</v>
      </c>
      <c r="HZ146" s="332" t="str">
        <f t="shared" si="118"/>
        <v>•</v>
      </c>
      <c r="IA146" s="332" t="str">
        <f t="shared" si="119"/>
        <v>•</v>
      </c>
      <c r="IB146" s="338" t="str">
        <f t="shared" si="120"/>
        <v>o</v>
      </c>
      <c r="IC146" s="331" t="str">
        <f t="shared" si="121"/>
        <v>•</v>
      </c>
      <c r="ID146" s="332" t="str">
        <f t="shared" si="122"/>
        <v>o</v>
      </c>
      <c r="IE146" s="332" t="str">
        <f t="shared" si="123"/>
        <v>•</v>
      </c>
      <c r="IF146" s="332" t="str">
        <f t="shared" si="124"/>
        <v>o</v>
      </c>
      <c r="IG146" s="332" t="str">
        <f t="shared" si="125"/>
        <v>•</v>
      </c>
      <c r="IH146" s="332" t="str">
        <f t="shared" si="126"/>
        <v>o</v>
      </c>
      <c r="II146" s="332" t="str">
        <f t="shared" si="127"/>
        <v>o</v>
      </c>
      <c r="IJ146" s="332" t="str">
        <f t="shared" si="128"/>
        <v>•</v>
      </c>
      <c r="IK146" s="332" t="str">
        <f t="shared" si="129"/>
        <v>o</v>
      </c>
      <c r="IL146" s="332" t="str">
        <f t="shared" si="130"/>
        <v>•</v>
      </c>
      <c r="IM146" s="332" t="str">
        <f t="shared" si="131"/>
        <v>o</v>
      </c>
      <c r="IN146" s="332" t="str">
        <f t="shared" si="132"/>
        <v>o</v>
      </c>
      <c r="IO146" s="338" t="str">
        <f t="shared" si="133"/>
        <v>•</v>
      </c>
      <c r="IP146" s="346" t="b">
        <f t="shared" si="134"/>
        <v>0</v>
      </c>
      <c r="IQ146" s="347" t="b">
        <f t="shared" si="135"/>
        <v>0</v>
      </c>
      <c r="IR146" s="347" t="b">
        <f t="shared" si="136"/>
        <v>0</v>
      </c>
      <c r="IS146" s="347" t="b">
        <f t="shared" si="137"/>
        <v>0</v>
      </c>
      <c r="IT146" s="347" t="b">
        <f t="shared" si="138"/>
        <v>1</v>
      </c>
      <c r="IU146" s="347" t="b">
        <f t="shared" si="139"/>
        <v>0</v>
      </c>
      <c r="IV146" s="347" t="b">
        <f t="shared" si="140"/>
        <v>0</v>
      </c>
      <c r="IW146" s="347" t="b">
        <f t="shared" si="141"/>
        <v>0</v>
      </c>
      <c r="IX146" s="347" t="b">
        <f t="shared" si="142"/>
        <v>0</v>
      </c>
      <c r="IY146" s="347" t="b">
        <f t="shared" si="143"/>
        <v>0</v>
      </c>
      <c r="IZ146" s="347" t="b">
        <f t="shared" si="144"/>
        <v>0</v>
      </c>
      <c r="JA146" s="347" t="b">
        <f t="shared" si="145"/>
        <v>0</v>
      </c>
      <c r="JB146" s="353" t="b">
        <f t="shared" si="146"/>
        <v>0</v>
      </c>
      <c r="JC146" s="354" t="str">
        <f t="shared" si="147"/>
        <v/>
      </c>
      <c r="JD146" s="355" t="str">
        <f t="shared" si="148"/>
        <v/>
      </c>
      <c r="JE146" s="355" t="str">
        <f t="shared" si="149"/>
        <v/>
      </c>
      <c r="JF146" s="355" t="str">
        <f t="shared" si="150"/>
        <v/>
      </c>
      <c r="JG146" s="355" t="str">
        <f t="shared" si="151"/>
        <v>Ga, </v>
      </c>
      <c r="JH146" s="355" t="str">
        <f t="shared" si="152"/>
        <v/>
      </c>
      <c r="JI146" s="355" t="str">
        <f t="shared" si="153"/>
        <v/>
      </c>
      <c r="JJ146" s="355" t="str">
        <f t="shared" si="154"/>
        <v/>
      </c>
      <c r="JK146" s="355" t="str">
        <f t="shared" si="155"/>
        <v/>
      </c>
      <c r="JL146" s="355" t="str">
        <f t="shared" si="156"/>
        <v/>
      </c>
      <c r="JM146" s="355" t="str">
        <f t="shared" si="157"/>
        <v/>
      </c>
      <c r="JN146" s="355" t="str">
        <f t="shared" si="158"/>
        <v/>
      </c>
      <c r="JO146" s="359" t="str">
        <f t="shared" si="159"/>
        <v/>
      </c>
      <c r="JP146" s="346" t="b">
        <f t="shared" si="160"/>
        <v>0</v>
      </c>
      <c r="JQ146" s="347" t="b">
        <f t="shared" si="161"/>
        <v>0</v>
      </c>
      <c r="JR146" s="347" t="b">
        <f t="shared" si="162"/>
        <v>0</v>
      </c>
      <c r="JS146" s="347" t="b">
        <f t="shared" si="163"/>
        <v>0</v>
      </c>
      <c r="JT146" s="347" t="b">
        <f t="shared" si="164"/>
        <v>0</v>
      </c>
      <c r="JU146" s="347" t="b">
        <f t="shared" si="165"/>
        <v>0</v>
      </c>
      <c r="JV146" s="347" t="b">
        <f t="shared" si="166"/>
        <v>0</v>
      </c>
      <c r="JW146" s="347" t="b">
        <f t="shared" si="167"/>
        <v>0</v>
      </c>
      <c r="JX146" s="347" t="b">
        <f t="shared" si="168"/>
        <v>0</v>
      </c>
      <c r="JY146" s="347" t="b">
        <f t="shared" si="169"/>
        <v>0</v>
      </c>
      <c r="JZ146" s="347" t="b">
        <f t="shared" si="170"/>
        <v>0</v>
      </c>
      <c r="KA146" s="347" t="b">
        <f t="shared" si="171"/>
        <v>0</v>
      </c>
      <c r="KB146" s="365" t="b">
        <f t="shared" si="172"/>
        <v>0</v>
      </c>
      <c r="KC146" s="354" t="str">
        <f t="shared" si="173"/>
        <v/>
      </c>
      <c r="KD146" s="355" t="str">
        <f t="shared" si="174"/>
        <v/>
      </c>
      <c r="KE146" s="355" t="str">
        <f t="shared" si="175"/>
        <v/>
      </c>
      <c r="KF146" s="355" t="str">
        <f t="shared" si="176"/>
        <v/>
      </c>
      <c r="KG146" s="355" t="str">
        <f t="shared" si="177"/>
        <v/>
      </c>
      <c r="KH146" s="355" t="str">
        <f t="shared" si="178"/>
        <v/>
      </c>
      <c r="KI146" s="355" t="str">
        <f t="shared" si="179"/>
        <v/>
      </c>
      <c r="KJ146" s="355" t="str">
        <f t="shared" si="180"/>
        <v/>
      </c>
      <c r="KK146" s="355" t="str">
        <f t="shared" si="181"/>
        <v/>
      </c>
      <c r="KL146" s="355" t="str">
        <f t="shared" si="182"/>
        <v/>
      </c>
      <c r="KM146" s="355" t="str">
        <f t="shared" si="183"/>
        <v/>
      </c>
      <c r="KN146" s="355" t="str">
        <f t="shared" si="184"/>
        <v/>
      </c>
      <c r="KO146" s="359"/>
      <c r="KP146" s="378"/>
      <c r="KQ146" s="379" t="s">
        <v>619</v>
      </c>
      <c r="KR146" s="380" t="s">
        <v>1343</v>
      </c>
      <c r="KS146" s="381" t="str">
        <f t="shared" si="500"/>
        <v>S-R-G-P-D-S</v>
      </c>
      <c r="KT146" s="382">
        <f t="shared" si="186"/>
        <v>5</v>
      </c>
      <c r="KU146" s="383">
        <f t="shared" si="187"/>
        <v>5</v>
      </c>
      <c r="KV146" s="381" t="str">
        <f t="shared" si="205"/>
        <v>S-D-P-G-R-S</v>
      </c>
      <c r="KW146" s="382">
        <f t="shared" si="189"/>
        <v>5</v>
      </c>
      <c r="KX146" s="384">
        <f t="shared" si="190"/>
        <v>5</v>
      </c>
      <c r="KY146" s="382">
        <f t="shared" ref="KY146:KZ146" si="501">KW146-KT146</f>
        <v>0</v>
      </c>
      <c r="KZ146" s="369">
        <f t="shared" si="501"/>
        <v>0</v>
      </c>
      <c r="LA146" s="385" t="str">
        <f t="shared" si="192"/>
        <v>✔</v>
      </c>
      <c r="LB146" s="340" t="str">
        <f>IFERROR(__xludf.DUMMYFUNCTION("JOIN("""",ArrayFormula(MID(KS146,LEN(KS146)-SEQUENCE(1,LEN(KS146))+1,1)))"),"S-D-P-G-R-S")</f>
        <v>S-D-P-G-R-S</v>
      </c>
      <c r="LC146" s="373" t="str">
        <f>IFERROR(__xludf.DUMMYFUNCTION("JOIN("""",ArrayFormula(MID(KV146,LEN(KV146)-SEQUENCE(1,LEN(KV146))+1,1)))"),"S-R-G-P-D-S")</f>
        <v>S-R-G-P-D-S</v>
      </c>
      <c r="LD146" s="373" t="str">
        <f t="shared" si="193"/>
        <v>SRGPDS</v>
      </c>
      <c r="LE146" s="339" t="str">
        <f t="shared" si="194"/>
        <v>SRGPDS</v>
      </c>
      <c r="LF146" s="386" t="str">
        <f>IFERROR(__xludf.DUMMYFUNCTION("SUBSTITUTE(SUBSTITUTE(CONCATENATE(JOIN("""",LH146:LT146)),""1"",""""),""2"","""")"),"SRGPDS")</f>
        <v>SRGPDS</v>
      </c>
      <c r="LG146" s="369" t="str">
        <f t="shared" si="195"/>
        <v>✔</v>
      </c>
      <c r="LH146" s="387" t="str">
        <f>IFERROR(__xludf.DUMMYFUNCTION("IF(REGEXMATCH(LD146, ""S""), ""S"",IF(REGEXMATCH(LE146, ""S""), ""S"",""""))"),"S")</f>
        <v>S</v>
      </c>
      <c r="LI146" s="299" t="str">
        <f>IFERROR(__xludf.DUMMYFUNCTION("IF(REGEXMATCH(LD146, ""r""), ""r1"",IF(REGEXMATCH(LE146, ""r""), ""r2"",""""))"),"")</f>
        <v/>
      </c>
      <c r="LJ146" s="299" t="str">
        <f>IFERROR(__xludf.DUMMYFUNCTION("IF(REGEXMATCH(LD146, ""R""), ""R1"",IF(REGEXMATCH(LE146, ""R""), ""R2"",""""))"),"R1")</f>
        <v>R1</v>
      </c>
      <c r="LK146" s="299" t="str">
        <f>IFERROR(__xludf.DUMMYFUNCTION("IF(REGEXMATCH(LD146, ""g""), ""g1"",IF(REGEXMATCH(LE146, ""g""), ""g2"",""""))"),"")</f>
        <v/>
      </c>
      <c r="LL146" s="299" t="str">
        <f>IFERROR(__xludf.DUMMYFUNCTION("IF(REGEXMATCH(LD146, ""G""), ""G1"",IF(REGEXMATCH(LE146, ""G""), ""G2"",""""))"),"G1")</f>
        <v>G1</v>
      </c>
      <c r="LM146" s="299" t="str">
        <f>IFERROR(__xludf.DUMMYFUNCTION("IF(REGEXMATCH(LD146, ""m""), ""m1"",IF(REGEXMATCH(LE146, ""m""), ""m2"",""""))"),"")</f>
        <v/>
      </c>
      <c r="LN146" s="299" t="str">
        <f>IFERROR(__xludf.DUMMYFUNCTION("IF(REGEXMATCH(LD146, ""M""), ""M1"",IF(REGEXMATCH(LE146, ""M""), ""M2"",""""))"),"")</f>
        <v/>
      </c>
      <c r="LO146" s="299" t="str">
        <f>IFERROR(__xludf.DUMMYFUNCTION("IF(REGEXMATCH(LD146, ""P""), ""P1"",IF(REGEXMATCH(LE146, ""P""), ""P2"",""""))"),"P1")</f>
        <v>P1</v>
      </c>
      <c r="LP146" s="299" t="str">
        <f>IFERROR(__xludf.DUMMYFUNCTION("IF(REGEXMATCH(LD146, ""d""), ""d1"",IF(REGEXMATCH(LE146, ""d""), ""d2"",""""))"),"")</f>
        <v/>
      </c>
      <c r="LQ146" s="299" t="str">
        <f>IFERROR(__xludf.DUMMYFUNCTION("IF(REGEXMATCH(LD146, ""D""), ""D1"",IF(REGEXMATCH(LE146, ""D""), ""D2"",""""))"),"D1")</f>
        <v>D1</v>
      </c>
      <c r="LR146" s="299" t="str">
        <f>IFERROR(__xludf.DUMMYFUNCTION("IF(REGEXMATCH(LD146, ""n""), ""n1"",IF(REGEXMATCH(LE146, ""n""), ""n2"",""""))"),"")</f>
        <v/>
      </c>
      <c r="LS146" s="299" t="str">
        <f>IFERROR(__xludf.DUMMYFUNCTION("IF(REGEXMATCH(LD146, ""N""), ""N1"",IF(REGEXMATCH(LE146, ""N""), ""N2"",""""))"),"")</f>
        <v/>
      </c>
      <c r="LT146" s="388" t="str">
        <f>IFERROR(__xludf.DUMMYFUNCTION("IF(REGEXMATCH(LD146, ""S""), ""S"",IF(REGEXMATCH(LE146, ""S""), ""S"",""""))"),"S")</f>
        <v>S</v>
      </c>
      <c r="LU146" s="389">
        <f t="shared" si="196"/>
        <v>1</v>
      </c>
      <c r="LV146" s="378"/>
      <c r="LW146" s="369"/>
      <c r="LX146" s="369"/>
    </row>
    <row r="147" ht="18.0" customHeight="1">
      <c r="A147" s="298" t="s">
        <v>818</v>
      </c>
      <c r="B147" s="222" t="s">
        <v>339</v>
      </c>
      <c r="C147" s="233" t="str">
        <f t="shared" si="7"/>
        <v>SrGMPdNS</v>
      </c>
      <c r="D147" s="234" t="str">
        <f>IFERROR(__xludf.DUMMYFUNCTION("IF(REGEXMATCH(C147, ""S""), ""S"","""")"),"S")</f>
        <v>S</v>
      </c>
      <c r="E147" s="236" t="str">
        <f>IFERROR(__xludf.DUMMYFUNCTION("IF(REGEXMATCH(C147, ""r""), ""r"","""")"),"r")</f>
        <v>r</v>
      </c>
      <c r="F147" s="237" t="str">
        <f>IFERROR(__xludf.DUMMYFUNCTION("IF(REGEXMATCH(C147, ""R""), ""R"","""")"),"")</f>
        <v/>
      </c>
      <c r="G147" s="237" t="str">
        <f>IFERROR(__xludf.DUMMYFUNCTION("IF(REGEXMATCH(C147, ""g""), ""g"","""")"),"")</f>
        <v/>
      </c>
      <c r="H147" s="236" t="str">
        <f>IFERROR(__xludf.DUMMYFUNCTION("IF(REGEXMATCH(C147, ""G""), ""G"","""")"),"G")</f>
        <v>G</v>
      </c>
      <c r="I147" s="236" t="str">
        <f>IFERROR(__xludf.DUMMYFUNCTION("IF(REGEXMATCH(C147, ""m""), ""m"","""")"),"")</f>
        <v/>
      </c>
      <c r="J147" s="237" t="str">
        <f>IFERROR(__xludf.DUMMYFUNCTION("IF(REGEXMATCH(C147, ""M""), ""M"","""")"),"M")</f>
        <v>M</v>
      </c>
      <c r="K147" s="236" t="str">
        <f>IFERROR(__xludf.DUMMYFUNCTION("IF(REGEXMATCH(C147, ""P""), ""P"","""")"),"P")</f>
        <v>P</v>
      </c>
      <c r="L147" s="237" t="str">
        <f>IFERROR(__xludf.DUMMYFUNCTION("IF(REGEXMATCH(C147, ""d""), ""d"","""")"),"d")</f>
        <v>d</v>
      </c>
      <c r="M147" s="236" t="str">
        <f>IFERROR(__xludf.DUMMYFUNCTION("IF(REGEXMATCH(C147, ""D""), ""D"","""")"),"")</f>
        <v/>
      </c>
      <c r="N147" s="236" t="str">
        <f>IFERROR(__xludf.DUMMYFUNCTION("IF(REGEXMATCH(C147, ""n""), ""n"","""")"),"")</f>
        <v/>
      </c>
      <c r="O147" s="237" t="str">
        <f>IFERROR(__xludf.DUMMYFUNCTION("IF(REGEXMATCH(C147, ""N""), ""N"","""")"),"N")</f>
        <v>N</v>
      </c>
      <c r="P147" s="238" t="str">
        <f>IFERROR(__xludf.DUMMYFUNCTION("IF(REGEXMATCH(C147, ""S""), ""S"","""")"),"S")</f>
        <v>S</v>
      </c>
      <c r="Q147" s="239" t="str">
        <f>IFERROR(__xludf.DUMMYFUNCTION("SUBSTITUTE(CONCATENATE(JOIN(""-"",D147:J147)),""-"","""")"),"SrGM")</f>
        <v>SrGM</v>
      </c>
      <c r="R147" s="229" t="str">
        <f>IFERROR(__xludf.DUMMYFUNCTION("SUBSTITUTE(CONCATENATE(JOIN(""-"",K147:P147)),""-"","""")"),"PdNS")</f>
        <v>PdNS</v>
      </c>
      <c r="S147" s="282" t="str">
        <f t="shared" si="8"/>
        <v>S-R-G-M</v>
      </c>
      <c r="T147" s="282" t="str">
        <f t="shared" si="9"/>
        <v>P-D-N-S</v>
      </c>
      <c r="U147" s="237" t="str">
        <f>IFERROR(__xludf.DUMMYFUNCTION("SUBSTITUTE(JOIN(""-"",S147,T147),""--"",""-"")"),"S-R-G-M-P-D-N-S")</f>
        <v>S-R-G-M-P-D-N-S</v>
      </c>
      <c r="V147" s="309" t="str">
        <f t="shared" si="10"/>
        <v>rGMdN</v>
      </c>
      <c r="W147" s="244" t="str">
        <f>IFERROR(__xludf.DUMMYFUNCTION("IF(REGEXMATCH(C147, ""S""), ""0"","""")"),"0")</f>
        <v>0</v>
      </c>
      <c r="X147" s="245" t="str">
        <f>IFERROR(__xludf.DUMMYFUNCTION("IF(REGEXMATCH(C147, ""r""), ""1"","""")"),"1")</f>
        <v>1</v>
      </c>
      <c r="Y147" s="246" t="str">
        <f>IFERROR(__xludf.DUMMYFUNCTION("IF(REGEXMATCH(C147, ""R""), ""2"","""")"),"")</f>
        <v/>
      </c>
      <c r="Z147" s="246" t="str">
        <f>IFERROR(__xludf.DUMMYFUNCTION("IF(REGEXMATCH(C147, ""g""), ""3"","""")"),"")</f>
        <v/>
      </c>
      <c r="AA147" s="245" t="str">
        <f>IFERROR(__xludf.DUMMYFUNCTION("IF(REGEXMATCH(C147, ""G""), ""4"","""")"),"4")</f>
        <v>4</v>
      </c>
      <c r="AB147" s="245" t="str">
        <f>IFERROR(__xludf.DUMMYFUNCTION("IF(REGEXMATCH(C147, ""m""), ""5"","""")"),"")</f>
        <v/>
      </c>
      <c r="AC147" s="246" t="str">
        <f>IFERROR(__xludf.DUMMYFUNCTION("IF(REGEXMATCH(C147, ""M""), ""6"","""")"),"6")</f>
        <v>6</v>
      </c>
      <c r="AD147" s="245" t="str">
        <f>IFERROR(__xludf.DUMMYFUNCTION("IF(REGEXMATCH(C147, ""P""), ""7"","""")"),"7")</f>
        <v>7</v>
      </c>
      <c r="AE147" s="246" t="str">
        <f>IFERROR(__xludf.DUMMYFUNCTION("IF(REGEXMATCH(C147, ""d""), ""8"","""")"),"8")</f>
        <v>8</v>
      </c>
      <c r="AF147" s="245" t="str">
        <f>IFERROR(__xludf.DUMMYFUNCTION("IF(REGEXMATCH(C147, ""D""), ""9"","""")"),"")</f>
        <v/>
      </c>
      <c r="AG147" s="245" t="str">
        <f>IFERROR(__xludf.DUMMYFUNCTION("IF(REGEXMATCH(C147, ""n""), ""10"","""")"),"")</f>
        <v/>
      </c>
      <c r="AH147" s="246" t="str">
        <f>IFERROR(__xludf.DUMMYFUNCTION("IF(REGEXMATCH(C147, ""N""), ""11"","""")"),"11")</f>
        <v>11</v>
      </c>
      <c r="AI147" s="249" t="str">
        <f>IFERROR(__xludf.DUMMYFUNCTION("IF(REGEXMATCH(C147, ""S""), ""0"","""")"),"0")</f>
        <v>0</v>
      </c>
      <c r="AJ147" s="313" t="str">
        <f t="shared" si="11"/>
        <v>T</v>
      </c>
      <c r="AK147" s="313" t="str">
        <f t="shared" si="12"/>
        <v>T</v>
      </c>
      <c r="AL147" s="313" t="str">
        <f t="shared" si="13"/>
        <v>-</v>
      </c>
      <c r="AM147" s="313" t="str">
        <f t="shared" si="14"/>
        <v>-</v>
      </c>
      <c r="AN147" s="313" t="str">
        <f t="shared" si="15"/>
        <v>-</v>
      </c>
      <c r="AO147" s="314" t="str">
        <f t="shared" si="16"/>
        <v>-</v>
      </c>
      <c r="AP147" s="316">
        <f t="shared" si="17"/>
        <v>2</v>
      </c>
      <c r="AQ147" s="319" t="str">
        <f t="shared" si="18"/>
        <v>-</v>
      </c>
      <c r="AR147" s="320">
        <f t="shared" si="19"/>
        <v>0</v>
      </c>
      <c r="AS147" s="250" t="str">
        <f>IFERROR(__xludf.DUMMYFUNCTION("SUBSTITUTE(SUBSTITUTE(CONCATENATE(JOIN("""",FP147:GA147)),""|"",""x""),""-"",""o"")"),"xxooxoxxxoox")</f>
        <v>xxooxoxxxoox</v>
      </c>
      <c r="AT147" s="323" t="str">
        <f>IFERROR(__xludf.DUMMYFUNCTION("JOIN("""",AS147,AS147)"),"xxooxoxxxooxxxooxoxxxoox")</f>
        <v>xxooxoxxxooxxxooxoxxxoox</v>
      </c>
      <c r="AU147" s="256" t="str">
        <f>IFERROR(__xludf.DUMMYFUNCTION("JOIN("""",ArrayFormula(MID(AS147,LEN(AS147)-SEQUENCE(1,LEN(AS147))+1,1)))"),"xooxxxoxooxx")</f>
        <v>xooxxxoxooxx</v>
      </c>
      <c r="AV147" s="256" t="str">
        <f>IFERROR(__xludf.DUMMYFUNCTION("LEFT(CONCATENATE(""x"",JOIN("""",ArrayFormula(MID(AS147,LEN(AS147)-SEQUENCE(1,LEN(AS147))+1,1)))),12)"),"xxooxxxoxoox")</f>
        <v>xxooxxxoxoox</v>
      </c>
      <c r="AW147" s="327" t="str">
        <f>IFERROR(__xludf.DUMMYFUNCTION("JOIN("""",AU147,AU147)"),"xooxxxoxooxxxooxxxoxooxx")</f>
        <v>xooxxxoxooxxxooxxxoxooxx</v>
      </c>
      <c r="AX147" s="239" t="str">
        <f>IFERROR(__xludf.DUMMYFUNCTION("IF(REGEXMATCH(AW147,AS147),""✔"",""-"")"),"-")</f>
        <v>-</v>
      </c>
      <c r="AY147" s="330" t="str">
        <f t="shared" si="20"/>
        <v>-</v>
      </c>
      <c r="AZ147" s="260" t="str">
        <f t="shared" si="21"/>
        <v>#REF!</v>
      </c>
      <c r="BA147" s="333" t="str">
        <f t="shared" si="22"/>
        <v>xxooxox</v>
      </c>
      <c r="BB147" s="334" t="str">
        <f t="shared" si="23"/>
        <v>xxooxx</v>
      </c>
      <c r="BC147" s="335" t="str">
        <f t="shared" si="236"/>
        <v>-</v>
      </c>
      <c r="BD147" s="336" t="str">
        <f t="shared" si="25"/>
        <v>Jaitashree: 'xxooxox' + 'xxooxx'</v>
      </c>
      <c r="BE147" s="337">
        <f>IFERROR(__xludf.DUMMYFUNCTION("COUNTUNIQUE(FILTER(AT:AT,REGEXMATCH(AT:AT,AS147)))-1"),5.0)</f>
        <v>5</v>
      </c>
      <c r="BF147" s="261" t="str">
        <f>IFERROR(__xludf.DUMMYFUNCTION("IF(BI147=0,""(n/a)"",IF(BJ147=2,""(PAIR)"",IF(REGEXMATCH(AT147,""xoxoxxoxoxox""),""Bilawal"",IF(REGEXMATCH(AT147,""xoxoxooxoxoo""),""Bhupali"",IF(REGEXMATCH(AT147,""xoxoxxoxxoxo""),""Charukeshi"",IF(REGEXMATCH(AT147,""xoxoooxxoxxo""),""Kameshwari"",IF(REG"&amp;"EXMATCH(AT147,""xoxoxooxoxox""),""Shankara"",IF(REGEXMATCH(AT147,""xxooxoxxxoox""),""Basant"",IF(REGEXMATCH(AT147,""xoxoxxxxoxox""),""Bihag"",IF(REGEXMATCH(AT147,""xoxxxxoxoxxx""),""Pilu"",IF(REGEXMATCH(AT147,""xoxxoxoxxoox""),""Kirwani"",IF(REGEXMATCH(AT"&amp;"147,""xoxxoxoxoxxx""),""Mk.Malhar"",IF(REGEXMATCH(AT147,""xxooxxoxxoox""),""Bhairav"",IF(REGEXMATCH(AT147,""xxoxooxxxoox""),""Todi"",IF(REGEXMATCH(AT147,""xxooxoxooxox""),""Marwa"",IF(REGEXMATCH(AT147,""xxoooxoxxooo""),""Gunkali"",IF(REGEXMATCH(AT147,""xo"&amp;"xoxxoxxoox""),""Nat Bhairav"",IF(REGEXMATCH(AT147,""xoxxoooxoxoo""),""Shivranjani"",IF(REGEXMATCH(AT147,""xooxxxoxooxo""),""Jog"",IF(REGEXMATCH(AT147,""xxooxoxoxoox""),""Hemshri"",IF(REGEXMATCH(AT147,""xoooxooxoxxo""),""Kalavati"",IF(REGEXMATCH(AT147,""xx"&amp;"oxoxxoxoox""),""Kedar"",IF(REGEXMATCH(AT147,""xoxxxxoxooxx""),""Gara"",IF(REGEXMATCH(AT147,""xooxoxooxoox""),""Chandrakauns"",IF(REGEXMATCH(AT147,""xoxxxxoxxxox""),""Mand"",IF(REGEXMATCH(AT147,""xoxxxxoxoxox""),""Hanskinkini"",IF(REGEXMATCH(AT147,""xxooxx"&amp;"oxooxo""),""Lilavati"",IF(REGEXMATCH(AT147,""xooxoxoooxox""),""Rajeshwari"",IF(REGEXMATCH(AT147,""xoooxxoxoxxx""),""Khokar"",IF(REGEXMATCH(AT147,""xxooxoxxxxox""),""Maligoura"",""-""))))))))))))))))))))))))))))))"),"Basant")</f>
        <v>Basant</v>
      </c>
      <c r="BG147" s="239" t="str">
        <f t="shared" si="26"/>
        <v>#REF!</v>
      </c>
      <c r="BH147" s="239">
        <f>IFERROR(__xludf.DUMMYFUNCTION("COUNTUNIQUE(FE147:FO147)-1"),6.0)</f>
        <v>6</v>
      </c>
      <c r="BI147" s="239">
        <f>IFERROR(__xludf.DUMMYFUNCTION("COUNTUNIQUE(FILTER(AT:AT,REGEXMATCH(AT:AT,AS147)))-1"),5.0)</f>
        <v>5</v>
      </c>
      <c r="BJ147" s="239">
        <f>IFERROR(__xludf.DUMMYFUNCTION("COUNTA(FILTER(AT:AT,REGEXMATCH(AT:AT,AS147)))"),12.0)</f>
        <v>12</v>
      </c>
      <c r="BK147" s="341">
        <f>IFERROR(__xludf.DUMMYFUNCTION("COUNTA(FILTER(AT:AT,REGEXMATCH(AT:AT,AS147)))-AR147"),12.0)</f>
        <v>12</v>
      </c>
      <c r="BL147" s="276" t="str">
        <f>IFERROR(__xludf.DUMMYFUNCTION("IF(AS147=""oooooooooooo"",""-"",IF(REGEXMATCH(AT147,""xx""), ""Hemi."", ""Anhemi.""))"),"Hemi.")</f>
        <v>Hemi.</v>
      </c>
      <c r="BM147" s="282" t="str">
        <f>IFERROR(__xludf.DUMMYFUNCTION("IF(AS147=""oooooooooooo"",""-"",IF(REGEXMATCH(AT147,""xxx""), ""Cohem."", ""-""))"),"Cohem.")</f>
        <v>Cohem.</v>
      </c>
      <c r="BN147" s="282" t="str">
        <f>IFERROR(__xludf.DUMMYFUNCTION("IF(AS147=""oooooooooooo"",""-"",IF(REGEXMATCH(AT147,""xxxx""), ""Co-Co."", ""-""))"),"-")</f>
        <v>-</v>
      </c>
      <c r="BO147" s="342" t="str">
        <f>IFERROR(__xludf.DUMMYFUNCTION("IF(AS147=""oooooooooooo"",""-"",IF(REGEXMATCH(AT147,""xxxxx""), ""CCC."", ""-""))"),"-")</f>
        <v>-</v>
      </c>
      <c r="BP147" s="344" t="str">
        <f t="shared" si="27"/>
        <v>Poorvi</v>
      </c>
      <c r="BQ147" s="282" t="str">
        <f>IFERROR(__xludf.DUMMYFUNCTION("IF(REGEXMATCH(JOIN(""-"",EU147:FD147),""TRUE""),""✔"",""-"")"),"✔")</f>
        <v>✔</v>
      </c>
      <c r="BR147" s="225">
        <f t="shared" si="28"/>
        <v>1</v>
      </c>
      <c r="BS147" s="345" t="str">
        <f>IFERROR(__xludf.DUMMYFUNCTION("SUBSTITUTE(SUBSTITUTE(SUBSTITUTE(SUBSTITUTE(CONCATENATE(JOIN(""-"",GC147:GO147)),""--"",""-""),""--"",""-""),""--"",""-""),""--"",""-"")"),"1-b2-3-#4-5-b6-7-8")</f>
        <v>1-b2-3-#4-5-b6-7-8</v>
      </c>
      <c r="BT147" s="299" t="str">
        <f>IFERROR(__xludf.DUMMYFUNCTION("SUBSTITUTE(SUBSTITUTE(SUBSTITUTE(SUBSTITUTE(CONCATENATE(JOIN(""-"",GP147:HB147)),""--"",""-""),""--"",""-""),""--"",""-""),""--"",""-"")"),"S-R1-G3-M2-P-D1-N3-S")</f>
        <v>S-R1-G3-M2-P-D1-N3-S</v>
      </c>
      <c r="BU147" s="348" t="str">
        <f t="shared" si="29"/>
        <v>C-Db-E-F#-G-Ab-B-C</v>
      </c>
      <c r="BV147" s="349" t="str">
        <f t="shared" si="30"/>
        <v>SRgmDnS</v>
      </c>
      <c r="BW147" s="350">
        <f t="shared" si="31"/>
        <v>0</v>
      </c>
      <c r="BX147" s="351">
        <f t="shared" si="32"/>
        <v>6</v>
      </c>
      <c r="BY147" s="392"/>
      <c r="BZ147" s="309" t="str">
        <f>IFERROR(__xludf.DUMMYFUNCTION("IF(REGEXMATCH(C147, ""S""), ""x"",""x"")"),"x")</f>
        <v>x</v>
      </c>
      <c r="CA147" s="245" t="str">
        <f>IFERROR(__xludf.DUMMYFUNCTION("IF(REGEXMATCH(C147, ""r""), ""o"",""x"")"),"o")</f>
        <v>o</v>
      </c>
      <c r="CB147" s="246" t="str">
        <f>IFERROR(__xludf.DUMMYFUNCTION("IF(REGEXMATCH(C147, ""R""), ""o"",""x"")"),"x")</f>
        <v>x</v>
      </c>
      <c r="CC147" s="246" t="str">
        <f>IFERROR(__xludf.DUMMYFUNCTION("IF(REGEXMATCH(C147, ""g""), ""o"",""x"")"),"x")</f>
        <v>x</v>
      </c>
      <c r="CD147" s="245" t="str">
        <f>IFERROR(__xludf.DUMMYFUNCTION("IF(REGEXMATCH(C147, ""G""), ""o"",""x"")"),"o")</f>
        <v>o</v>
      </c>
      <c r="CE147" s="245" t="str">
        <f>IFERROR(__xludf.DUMMYFUNCTION("IF(REGEXMATCH(C147, ""m""), ""o"",""x"")"),"x")</f>
        <v>x</v>
      </c>
      <c r="CF147" s="246" t="str">
        <f>IFERROR(__xludf.DUMMYFUNCTION("IF(REGEXMATCH(C147, ""M""), ""o"",""x"")"),"o")</f>
        <v>o</v>
      </c>
      <c r="CG147" s="245" t="str">
        <f>IFERROR(__xludf.DUMMYFUNCTION("IF(REGEXMATCH(C147, ""P""), ""o"",""x"")"),"o")</f>
        <v>o</v>
      </c>
      <c r="CH147" s="246" t="str">
        <f>IFERROR(__xludf.DUMMYFUNCTION("IF(REGEXMATCH(C147, ""d""), ""o"",""x"")"),"o")</f>
        <v>o</v>
      </c>
      <c r="CI147" s="245" t="str">
        <f>IFERROR(__xludf.DUMMYFUNCTION("IF(REGEXMATCH(C147, ""D""), ""o"",""x"")"),"x")</f>
        <v>x</v>
      </c>
      <c r="CJ147" s="245" t="str">
        <f>IFERROR(__xludf.DUMMYFUNCTION("IF(REGEXMATCH(C147, ""n""), ""o"",""x"")"),"x")</f>
        <v>x</v>
      </c>
      <c r="CK147" s="245" t="str">
        <f>IFERROR(__xludf.DUMMYFUNCTION("IF(REGEXMATCH(C147, ""N""), ""o"",""x"")"),"o")</f>
        <v>o</v>
      </c>
      <c r="CL147" s="356" t="str">
        <f>IFERROR(__xludf.DUMMYFUNCTION("IF(REGEXMATCH(C147, ""S""), ""x"",""x"")"),"x")</f>
        <v>x</v>
      </c>
      <c r="CM147" s="357" t="str">
        <f t="shared" si="33"/>
        <v>xoxxoxoooxxo</v>
      </c>
      <c r="CN147" s="358">
        <f t="shared" si="34"/>
        <v>0</v>
      </c>
      <c r="CO147" s="246" t="str">
        <f>IFERROR(__xludf.DUMMYFUNCTION("IF(REGEXMATCH($C147, ""S""), ""S"",""S"")"),"S")</f>
        <v>S</v>
      </c>
      <c r="CP147" s="246" t="str">
        <f>IFERROR(__xludf.DUMMYFUNCTION("IF(REGEXMATCH($C147, ""r""), """",""r"")"),"")</f>
        <v/>
      </c>
      <c r="CQ147" s="246" t="str">
        <f>IFERROR(__xludf.DUMMYFUNCTION("IF(REGEXMATCH($C147, ""R""), """",""R"")"),"R")</f>
        <v>R</v>
      </c>
      <c r="CR147" s="246" t="str">
        <f>IFERROR(__xludf.DUMMYFUNCTION("IF(REGEXMATCH($C147, ""g""), """",""g"")"),"g")</f>
        <v>g</v>
      </c>
      <c r="CS147" s="246" t="str">
        <f>IFERROR(__xludf.DUMMYFUNCTION("IF(REGEXMATCH($C147, ""G""), """",""G"")"),"")</f>
        <v/>
      </c>
      <c r="CT147" s="246" t="str">
        <f>IFERROR(__xludf.DUMMYFUNCTION("IF(REGEXMATCH($C147, ""m""), """",""m"")"),"m")</f>
        <v>m</v>
      </c>
      <c r="CU147" s="246" t="str">
        <f>IFERROR(__xludf.DUMMYFUNCTION("IF(REGEXMATCH($C147, ""M""), """",""M"")"),"")</f>
        <v/>
      </c>
      <c r="CV147" s="246" t="str">
        <f>IFERROR(__xludf.DUMMYFUNCTION("IF(REGEXMATCH($C147, ""P""), """",""P"")"),"")</f>
        <v/>
      </c>
      <c r="CW147" s="246" t="str">
        <f>IFERROR(__xludf.DUMMYFUNCTION("IF(REGEXMATCH($C147, ""d""), """",""d"")"),"")</f>
        <v/>
      </c>
      <c r="CX147" s="246" t="str">
        <f>IFERROR(__xludf.DUMMYFUNCTION("IF(REGEXMATCH($C147, ""D""), """",""D"")"),"D")</f>
        <v>D</v>
      </c>
      <c r="CY147" s="246" t="str">
        <f>IFERROR(__xludf.DUMMYFUNCTION("IF(REGEXMATCH($C147, ""n""), """",""n"")"),"n")</f>
        <v>n</v>
      </c>
      <c r="CZ147" s="246" t="str">
        <f>IFERROR(__xludf.DUMMYFUNCTION("IF(REGEXMATCH($C147, ""N""), """",""N"")"),"")</f>
        <v/>
      </c>
      <c r="DA147" s="246" t="str">
        <f>IFERROR(__xludf.DUMMYFUNCTION("IF(REGEXMATCH($C147, ""S""), ""S"",""S"")"),"S")</f>
        <v>S</v>
      </c>
      <c r="DB147" s="362" t="str">
        <f>IFERROR(__xludf.DUMMYFUNCTION("JOIN("""",CO147:DA147,"""","""")"),"SRgmDnS")</f>
        <v>SRgmDnS</v>
      </c>
      <c r="DC147" s="363"/>
      <c r="DD147" s="301" t="str">
        <f t="shared" si="35"/>
        <v>#REF!</v>
      </c>
      <c r="DE147" s="302" t="str">
        <f t="shared" si="36"/>
        <v>#REF!</v>
      </c>
      <c r="DF147" s="301" t="str">
        <f t="shared" ref="DF147:DG147" si="502">SUBSTITUTE(S147,"-","")</f>
        <v>SRGM</v>
      </c>
      <c r="DG147" s="301" t="str">
        <f t="shared" si="502"/>
        <v>PDNS</v>
      </c>
      <c r="DH147" s="302" t="str">
        <f t="shared" si="38"/>
        <v>Basant</v>
      </c>
      <c r="DI147" s="301" t="str">
        <f t="shared" si="39"/>
        <v>Hemi.</v>
      </c>
      <c r="DJ147" s="364" t="str">
        <f t="shared" si="40"/>
        <v>Cohem.</v>
      </c>
      <c r="DK147" s="306" t="str">
        <f t="shared" si="41"/>
        <v>Poorvi</v>
      </c>
      <c r="DL147" s="366" t="str">
        <f t="shared" si="42"/>
        <v>-</v>
      </c>
      <c r="DM147" s="308" t="str">
        <f t="shared" si="43"/>
        <v>-</v>
      </c>
      <c r="DN147" s="306" t="str">
        <f t="shared" si="44"/>
        <v>-</v>
      </c>
      <c r="DO147" s="306" t="str">
        <f t="shared" si="45"/>
        <v>-</v>
      </c>
      <c r="DP147" s="367" t="str">
        <f t="shared" si="46"/>
        <v>✔</v>
      </c>
      <c r="DQ147" s="310" t="str">
        <f t="shared" si="47"/>
        <v>-</v>
      </c>
      <c r="DR147" s="310" t="str">
        <f t="shared" si="48"/>
        <v>-</v>
      </c>
      <c r="DS147" s="310" t="str">
        <f t="shared" si="49"/>
        <v>-</v>
      </c>
      <c r="DT147" s="310" t="str">
        <f t="shared" si="50"/>
        <v>-</v>
      </c>
      <c r="DU147" s="370" t="str">
        <f t="shared" si="51"/>
        <v>-</v>
      </c>
      <c r="DV147" s="306" t="str">
        <f t="shared" si="52"/>
        <v>-</v>
      </c>
      <c r="DW147" s="306" t="str">
        <f t="shared" si="53"/>
        <v>-</v>
      </c>
      <c r="DX147" s="306" t="str">
        <f t="shared" si="54"/>
        <v>-</v>
      </c>
      <c r="DY147" s="306" t="str">
        <f t="shared" si="55"/>
        <v>-</v>
      </c>
      <c r="DZ147" s="306" t="str">
        <f t="shared" si="56"/>
        <v>-</v>
      </c>
      <c r="EA147" s="367" t="str">
        <f t="shared" si="57"/>
        <v>-</v>
      </c>
      <c r="EB147" s="310" t="str">
        <f>IFERROR(__xludf.DUMMYFUNCTION("IF(REGEXMATCH(AW147,AS147),""✔"",""-"")"),"-")</f>
        <v>-</v>
      </c>
      <c r="EC147" s="310" t="str">
        <f t="shared" si="58"/>
        <v>#REF!</v>
      </c>
      <c r="ED147" s="370" t="str">
        <f t="shared" si="59"/>
        <v>-</v>
      </c>
      <c r="EE147" s="340" t="str">
        <f t="shared" si="60"/>
        <v>S-r-G-M-P-d-N-S</v>
      </c>
      <c r="EF147" s="371" t="str">
        <f>IFERROR(__xludf.DUMMYFUNCTION("CONCATENATE(JOIN("""",HC147:HO147))"),"SrGmMdNS")</f>
        <v>SrGmMdNS</v>
      </c>
      <c r="EG147" s="372">
        <f t="shared" si="61"/>
        <v>2</v>
      </c>
      <c r="EH147" s="373" t="str">
        <f>IFERROR(__xludf.DUMMYFUNCTION("CONCATENATE(JOIN("""",JC147:JO147))"),"Pa, dha, ")</f>
        <v>Pa, dha, </v>
      </c>
      <c r="EI147" s="322">
        <f t="shared" si="62"/>
        <v>0</v>
      </c>
      <c r="EJ147" s="374" t="str">
        <f>IFERROR(__xludf.DUMMYFUNCTION("CONCATENATE(JOIN("""",KC147:KO147))"),"")</f>
        <v/>
      </c>
      <c r="EK147" s="325" t="str">
        <f t="shared" si="63"/>
        <v>S-R1-G3-M2-P-D1-N3-S</v>
      </c>
      <c r="EL147" s="326" t="str">
        <f t="shared" si="64"/>
        <v>1-b2-3-#4-5-b6-7-8</v>
      </c>
      <c r="EM147" s="318" t="str">
        <f t="shared" si="65"/>
        <v>#REF!</v>
      </c>
      <c r="EN147" s="328" t="str">
        <f>IFERROR(__xludf.DUMMYFUNCTION("SUBSTITUTE(SUBSTITUTE(SUBSTITUTE(SUBSTITUTE(CONCATENATE(JOIN("" "",HP147:IB147)),""  "","" ""),""  "","" ""),""  "","" ""),""  "","" "")"),"o o • • o • o o o • • o o")</f>
        <v>o o • • o • o o o • • o o</v>
      </c>
      <c r="EO147" s="368" t="str">
        <f t="shared" si="66"/>
        <v>Sa-Pa</v>
      </c>
      <c r="EP147" s="339" t="str">
        <f t="shared" si="67"/>
        <v>Sa-Pa</v>
      </c>
      <c r="EQ147" s="339" t="str">
        <f t="shared" si="68"/>
        <v>Sa-Pa</v>
      </c>
      <c r="ER147" s="339" t="str">
        <f t="shared" si="69"/>
        <v>-</v>
      </c>
      <c r="ES147" s="340" t="str">
        <f t="shared" si="70"/>
        <v>-</v>
      </c>
      <c r="ET147" s="363"/>
      <c r="EU147" s="376" t="b">
        <f>IFERROR(__xludf.DUMMYFUNCTION("arrayformula(sum(--REGEXMATCH(""SRGMPDNS"",split(REGEXREPLACE(C147,""(.)"",""$1~""),""~""))))=len(C147)
"),FALSE)</f>
        <v>0</v>
      </c>
      <c r="EV147" s="290" t="b">
        <f>IFERROR(__xludf.DUMMYFUNCTION("arrayformula(sum(--REGEXMATCH(""SRGmPDNS"",split(REGEXREPLACE(C147,""(.)"",""$1~""),""~""))))=len(C147)"),FALSE)</f>
        <v>0</v>
      </c>
      <c r="EW147" s="290" t="b">
        <f>IFERROR(__xludf.DUMMYFUNCTION("arrayformula(sum(--REGEXMATCH(""SRGmPDnS"",split(REGEXREPLACE(C147,""(.)"",""$1~""),""~""))))=len(C147)"),FALSE)</f>
        <v>0</v>
      </c>
      <c r="EX147" s="290" t="b">
        <f>IFERROR(__xludf.DUMMYFUNCTION("arrayformula(sum(--REGEXMATCH(""SRgmPDnS"",split(REGEXREPLACE(C147,""(.)"",""$1~""),""~""))))=len(C147)"),FALSE)</f>
        <v>0</v>
      </c>
      <c r="EY147" s="290" t="b">
        <f>IFERROR(__xludf.DUMMYFUNCTION("arrayformula(sum(--REGEXMATCH(""SRgmPdnS"",split(REGEXREPLACE(C147,""(.)"",""$1~""),""~""))))=len(C147)"),FALSE)</f>
        <v>0</v>
      </c>
      <c r="EZ147" s="290" t="b">
        <f>IFERROR(__xludf.DUMMYFUNCTION("arrayformula(sum(--REGEXMATCH(""SrgmPdnS"",split(REGEXREPLACE(C147,""(.)"",""$1~""),""~""))))=len(C147)"),FALSE)</f>
        <v>0</v>
      </c>
      <c r="FA147" s="290" t="b">
        <f>IFERROR(__xludf.DUMMYFUNCTION("arrayformula(sum(--REGEXMATCH(""SrGmPdNS"",split(REGEXREPLACE(C147,""(.)"",""$1~""),""~""))))=len(C147)"),FALSE)</f>
        <v>0</v>
      </c>
      <c r="FB147" s="290" t="b">
        <f>IFERROR(__xludf.DUMMYFUNCTION("arrayformula(sum(--REGEXMATCH(""SrGMPDNS"",split(REGEXREPLACE(C147,""(.)"",""$1~""),""~""))))=len(C147)"),FALSE)</f>
        <v>0</v>
      </c>
      <c r="FC147" s="290" t="b">
        <f>IFERROR(__xludf.DUMMYFUNCTION("arrayformula(sum(--REGEXMATCH(""SrGMPdNS"",split(REGEXREPLACE(C147,""(.)"",""$1~""),""~""))))=len(C147)"),TRUE)</f>
        <v>1</v>
      </c>
      <c r="FD147" s="377" t="b">
        <f>IFERROR(__xludf.DUMMYFUNCTION("arrayformula(sum(--REGEXMATCH(""SrgMPdNS"",split(REGEXREPLACE(C147,""(.)"",""$1~""),""~""))))=len(C147)"),FALSE)</f>
        <v>0</v>
      </c>
      <c r="FE147" s="269" t="str">
        <f t="shared" si="71"/>
        <v>xooxoxxxoox</v>
      </c>
      <c r="FF147" s="269" t="str">
        <f t="shared" si="72"/>
        <v>-</v>
      </c>
      <c r="FG147" s="271" t="str">
        <f t="shared" si="73"/>
        <v>-</v>
      </c>
      <c r="FH147" s="269" t="str">
        <f t="shared" si="74"/>
        <v>xoxxxooxxxo</v>
      </c>
      <c r="FI147" s="271" t="str">
        <f t="shared" si="75"/>
        <v>-</v>
      </c>
      <c r="FJ147" s="271" t="str">
        <f t="shared" si="76"/>
        <v>xxxooxxxoox</v>
      </c>
      <c r="FK147" s="271" t="str">
        <f t="shared" si="77"/>
        <v>xxooxxxooxo</v>
      </c>
      <c r="FL147" s="271" t="str">
        <f t="shared" si="78"/>
        <v>xooxxxooxox</v>
      </c>
      <c r="FM147" s="271" t="str">
        <f t="shared" si="79"/>
        <v>-</v>
      </c>
      <c r="FN147" s="271" t="str">
        <f t="shared" si="80"/>
        <v>-</v>
      </c>
      <c r="FO147" s="274" t="str">
        <f t="shared" si="81"/>
        <v>xxxooxoxxxo</v>
      </c>
      <c r="FP147" s="234" t="str">
        <f t="shared" si="82"/>
        <v>|</v>
      </c>
      <c r="FQ147" s="236" t="str">
        <f t="shared" si="83"/>
        <v>|</v>
      </c>
      <c r="FR147" s="237" t="str">
        <f t="shared" si="84"/>
        <v>-</v>
      </c>
      <c r="FS147" s="236" t="str">
        <f t="shared" si="85"/>
        <v>-</v>
      </c>
      <c r="FT147" s="237" t="str">
        <f t="shared" si="86"/>
        <v>|</v>
      </c>
      <c r="FU147" s="236" t="str">
        <f t="shared" si="87"/>
        <v>-</v>
      </c>
      <c r="FV147" s="237" t="str">
        <f t="shared" si="88"/>
        <v>|</v>
      </c>
      <c r="FW147" s="236" t="str">
        <f t="shared" si="89"/>
        <v>|</v>
      </c>
      <c r="FX147" s="237" t="str">
        <f t="shared" si="90"/>
        <v>|</v>
      </c>
      <c r="FY147" s="236" t="str">
        <f t="shared" si="91"/>
        <v>-</v>
      </c>
      <c r="FZ147" s="237" t="str">
        <f t="shared" si="92"/>
        <v>-</v>
      </c>
      <c r="GA147" s="236" t="str">
        <f t="shared" si="93"/>
        <v>|</v>
      </c>
      <c r="GB147" s="238" t="str">
        <f t="shared" si="94"/>
        <v>|</v>
      </c>
      <c r="GC147" s="244" t="str">
        <f>IFERROR(__xludf.DUMMYFUNCTION("IF(REGEXMATCH(C147, ""S""), ""1"","""")"),"1")</f>
        <v>1</v>
      </c>
      <c r="GD147" s="245" t="str">
        <f>IFERROR(__xludf.DUMMYFUNCTION("IF(REGEXMATCH(C147, ""r""), ""b2"","""")"),"b2")</f>
        <v>b2</v>
      </c>
      <c r="GE147" s="246" t="str">
        <f>IFERROR(__xludf.DUMMYFUNCTION("IF(REGEXMATCH(C147, ""R""), ""2"","""")"),"")</f>
        <v/>
      </c>
      <c r="GF147" s="246" t="str">
        <f>IFERROR(__xludf.DUMMYFUNCTION("IF(REGEXMATCH(C147, ""g""), ""b3"","""")"),"")</f>
        <v/>
      </c>
      <c r="GG147" s="245" t="str">
        <f>IFERROR(__xludf.DUMMYFUNCTION("IF(REGEXMATCH(C147, ""G""), ""3"","""")"),"3")</f>
        <v>3</v>
      </c>
      <c r="GH147" s="245" t="str">
        <f>IFERROR(__xludf.DUMMYFUNCTION("IF(REGEXMATCH(C147, ""m""), ""4"","""")"),"")</f>
        <v/>
      </c>
      <c r="GI147" s="246" t="str">
        <f>IFERROR(__xludf.DUMMYFUNCTION("IF(REGEXMATCH(C147, ""M""), ""#4"","""")"),"#4")</f>
        <v>#4</v>
      </c>
      <c r="GJ147" s="245" t="str">
        <f>IFERROR(__xludf.DUMMYFUNCTION("IF(REGEXMATCH(C147, ""P""), ""5"","""")"),"5")</f>
        <v>5</v>
      </c>
      <c r="GK147" s="246" t="str">
        <f>IFERROR(__xludf.DUMMYFUNCTION("IF(REGEXMATCH(C147, ""d""), ""b6"","""")"),"b6")</f>
        <v>b6</v>
      </c>
      <c r="GL147" s="245" t="str">
        <f>IFERROR(__xludf.DUMMYFUNCTION("IF(REGEXMATCH(C147, ""D""), ""6"","""")"),"")</f>
        <v/>
      </c>
      <c r="GM147" s="245" t="str">
        <f>IFERROR(__xludf.DUMMYFUNCTION("IF(REGEXMATCH(C147, ""n""), ""b7"","""")"),"")</f>
        <v/>
      </c>
      <c r="GN147" s="246" t="str">
        <f>IFERROR(__xludf.DUMMYFUNCTION("IF(REGEXMATCH(C147, ""N""), ""7"","""")"),"7")</f>
        <v>7</v>
      </c>
      <c r="GO147" s="249" t="str">
        <f>IFERROR(__xludf.DUMMYFUNCTION("IF(REGEXMATCH(C147, ""S""), ""8"","""")"),"8")</f>
        <v>8</v>
      </c>
      <c r="GP147" s="244" t="str">
        <f>IFERROR(__xludf.DUMMYFUNCTION("IF(REGEXMATCH(C147, ""S""), ""S"","""")"),"S")</f>
        <v>S</v>
      </c>
      <c r="GQ147" s="294" t="str">
        <f>IFERROR(__xludf.DUMMYFUNCTION("IF(REGEXMATCH(C147, ""r""), ""R1"","""")"),"R1")</f>
        <v>R1</v>
      </c>
      <c r="GR147" s="295" t="str">
        <f>IFERROR(__xludf.DUMMYFUNCTION("IF(REGEXMATCH(C147, ""R""), ""R2"","""")"),"")</f>
        <v/>
      </c>
      <c r="GS147" s="295" t="str">
        <f>IFERROR(__xludf.DUMMYFUNCTION("IF(REGEXMATCH(C147, ""g""), ""G2"","""")"),"")</f>
        <v/>
      </c>
      <c r="GT147" s="294" t="str">
        <f>IFERROR(__xludf.DUMMYFUNCTION("IF(REGEXMATCH(C147, ""G""), ""G3"","""")"),"G3")</f>
        <v>G3</v>
      </c>
      <c r="GU147" s="294" t="str">
        <f>IFERROR(__xludf.DUMMYFUNCTION("IF(REGEXMATCH(C147, ""m""), ""M1"","""")"),"")</f>
        <v/>
      </c>
      <c r="GV147" s="295" t="str">
        <f>IFERROR(__xludf.DUMMYFUNCTION("IF(REGEXMATCH(C147, ""M""), ""M2"","""")"),"M2")</f>
        <v>M2</v>
      </c>
      <c r="GW147" s="294" t="str">
        <f>IFERROR(__xludf.DUMMYFUNCTION("IF(REGEXMATCH(C147, ""P""), ""P"","""")"),"P")</f>
        <v>P</v>
      </c>
      <c r="GX147" s="295" t="str">
        <f>IFERROR(__xludf.DUMMYFUNCTION("IF(REGEXMATCH(C147, ""d""), ""D1"","""")"),"D1")</f>
        <v>D1</v>
      </c>
      <c r="GY147" s="294" t="str">
        <f>IFERROR(__xludf.DUMMYFUNCTION("IF(REGEXMATCH(C147, ""D""), ""D2"","""")"),"")</f>
        <v/>
      </c>
      <c r="GZ147" s="294" t="str">
        <f>IFERROR(__xludf.DUMMYFUNCTION("IF(REGEXMATCH(C147, ""n""), ""N2"","""")"),"")</f>
        <v/>
      </c>
      <c r="HA147" s="295" t="str">
        <f>IFERROR(__xludf.DUMMYFUNCTION("IF(REGEXMATCH(C147, ""N""), ""N3"","""")"),"N3")</f>
        <v>N3</v>
      </c>
      <c r="HB147" s="249" t="str">
        <f>IFERROR(__xludf.DUMMYFUNCTION("IF(REGEXMATCH(C147, ""S""), ""S"","""")"),"S")</f>
        <v>S</v>
      </c>
      <c r="HC147" s="331" t="str">
        <f t="shared" si="95"/>
        <v>S</v>
      </c>
      <c r="HD147" s="332" t="str">
        <f t="shared" si="96"/>
        <v>r</v>
      </c>
      <c r="HE147" s="332" t="str">
        <f t="shared" si="97"/>
        <v/>
      </c>
      <c r="HF147" s="332" t="str">
        <f t="shared" si="98"/>
        <v/>
      </c>
      <c r="HG147" s="332" t="str">
        <f t="shared" si="99"/>
        <v>G</v>
      </c>
      <c r="HH147" s="332" t="str">
        <f t="shared" si="100"/>
        <v>m</v>
      </c>
      <c r="HI147" s="332" t="str">
        <f t="shared" si="101"/>
        <v>M</v>
      </c>
      <c r="HJ147" s="332" t="str">
        <f t="shared" si="102"/>
        <v/>
      </c>
      <c r="HK147" s="332" t="str">
        <f t="shared" si="103"/>
        <v>d</v>
      </c>
      <c r="HL147" s="332" t="str">
        <f t="shared" si="104"/>
        <v/>
      </c>
      <c r="HM147" s="332" t="str">
        <f t="shared" si="105"/>
        <v/>
      </c>
      <c r="HN147" s="332" t="str">
        <f t="shared" si="106"/>
        <v>N</v>
      </c>
      <c r="HO147" s="343" t="str">
        <f t="shared" si="107"/>
        <v>S</v>
      </c>
      <c r="HP147" s="331" t="str">
        <f t="shared" si="108"/>
        <v>o</v>
      </c>
      <c r="HQ147" s="332" t="str">
        <f t="shared" si="109"/>
        <v>o</v>
      </c>
      <c r="HR147" s="332" t="str">
        <f t="shared" si="110"/>
        <v>•</v>
      </c>
      <c r="HS147" s="332" t="str">
        <f t="shared" si="111"/>
        <v>•</v>
      </c>
      <c r="HT147" s="332" t="str">
        <f t="shared" si="112"/>
        <v>o</v>
      </c>
      <c r="HU147" s="332" t="str">
        <f t="shared" si="113"/>
        <v>•</v>
      </c>
      <c r="HV147" s="332" t="str">
        <f t="shared" si="114"/>
        <v>o</v>
      </c>
      <c r="HW147" s="332" t="str">
        <f t="shared" si="115"/>
        <v>o</v>
      </c>
      <c r="HX147" s="332" t="str">
        <f t="shared" si="116"/>
        <v>o</v>
      </c>
      <c r="HY147" s="332" t="str">
        <f t="shared" si="117"/>
        <v>•</v>
      </c>
      <c r="HZ147" s="332" t="str">
        <f t="shared" si="118"/>
        <v>•</v>
      </c>
      <c r="IA147" s="332" t="str">
        <f t="shared" si="119"/>
        <v>o</v>
      </c>
      <c r="IB147" s="338" t="str">
        <f t="shared" si="120"/>
        <v>o</v>
      </c>
      <c r="IC147" s="331" t="str">
        <f t="shared" si="121"/>
        <v>•</v>
      </c>
      <c r="ID147" s="332" t="str">
        <f t="shared" si="122"/>
        <v>•</v>
      </c>
      <c r="IE147" s="332" t="str">
        <f t="shared" si="123"/>
        <v>o</v>
      </c>
      <c r="IF147" s="332" t="str">
        <f t="shared" si="124"/>
        <v>o</v>
      </c>
      <c r="IG147" s="332" t="str">
        <f t="shared" si="125"/>
        <v>•</v>
      </c>
      <c r="IH147" s="332" t="str">
        <f t="shared" si="126"/>
        <v>o</v>
      </c>
      <c r="II147" s="332" t="str">
        <f t="shared" si="127"/>
        <v>•</v>
      </c>
      <c r="IJ147" s="332" t="str">
        <f t="shared" si="128"/>
        <v>•</v>
      </c>
      <c r="IK147" s="332" t="str">
        <f t="shared" si="129"/>
        <v>•</v>
      </c>
      <c r="IL147" s="332" t="str">
        <f t="shared" si="130"/>
        <v>o</v>
      </c>
      <c r="IM147" s="332" t="str">
        <f t="shared" si="131"/>
        <v>o</v>
      </c>
      <c r="IN147" s="332" t="str">
        <f t="shared" si="132"/>
        <v>•</v>
      </c>
      <c r="IO147" s="338" t="str">
        <f t="shared" si="133"/>
        <v>•</v>
      </c>
      <c r="IP147" s="346" t="b">
        <f t="shared" si="134"/>
        <v>0</v>
      </c>
      <c r="IQ147" s="347" t="b">
        <f t="shared" si="135"/>
        <v>0</v>
      </c>
      <c r="IR147" s="347" t="b">
        <f t="shared" si="136"/>
        <v>0</v>
      </c>
      <c r="IS147" s="347" t="b">
        <f t="shared" si="137"/>
        <v>0</v>
      </c>
      <c r="IT147" s="347" t="b">
        <f t="shared" si="138"/>
        <v>0</v>
      </c>
      <c r="IU147" s="347" t="b">
        <f t="shared" si="139"/>
        <v>0</v>
      </c>
      <c r="IV147" s="347" t="b">
        <f t="shared" si="140"/>
        <v>0</v>
      </c>
      <c r="IW147" s="347" t="b">
        <f t="shared" si="141"/>
        <v>1</v>
      </c>
      <c r="IX147" s="347" t="b">
        <f t="shared" si="142"/>
        <v>1</v>
      </c>
      <c r="IY147" s="347" t="b">
        <f t="shared" si="143"/>
        <v>0</v>
      </c>
      <c r="IZ147" s="347" t="b">
        <f t="shared" si="144"/>
        <v>0</v>
      </c>
      <c r="JA147" s="347" t="b">
        <f t="shared" si="145"/>
        <v>0</v>
      </c>
      <c r="JB147" s="353" t="b">
        <f t="shared" si="146"/>
        <v>0</v>
      </c>
      <c r="JC147" s="354" t="str">
        <f t="shared" si="147"/>
        <v/>
      </c>
      <c r="JD147" s="355" t="str">
        <f t="shared" si="148"/>
        <v/>
      </c>
      <c r="JE147" s="355" t="str">
        <f t="shared" si="149"/>
        <v/>
      </c>
      <c r="JF147" s="355" t="str">
        <f t="shared" si="150"/>
        <v/>
      </c>
      <c r="JG147" s="355" t="str">
        <f t="shared" si="151"/>
        <v/>
      </c>
      <c r="JH147" s="355" t="str">
        <f t="shared" si="152"/>
        <v/>
      </c>
      <c r="JI147" s="355" t="str">
        <f t="shared" si="153"/>
        <v/>
      </c>
      <c r="JJ147" s="355" t="str">
        <f t="shared" si="154"/>
        <v>Pa, </v>
      </c>
      <c r="JK147" s="355" t="str">
        <f t="shared" si="155"/>
        <v>dha, </v>
      </c>
      <c r="JL147" s="355" t="str">
        <f t="shared" si="156"/>
        <v/>
      </c>
      <c r="JM147" s="355" t="str">
        <f t="shared" si="157"/>
        <v/>
      </c>
      <c r="JN147" s="355" t="str">
        <f t="shared" si="158"/>
        <v/>
      </c>
      <c r="JO147" s="359" t="str">
        <f t="shared" si="159"/>
        <v/>
      </c>
      <c r="JP147" s="346" t="b">
        <f t="shared" si="160"/>
        <v>0</v>
      </c>
      <c r="JQ147" s="347" t="b">
        <f t="shared" si="161"/>
        <v>0</v>
      </c>
      <c r="JR147" s="347" t="b">
        <f t="shared" si="162"/>
        <v>0</v>
      </c>
      <c r="JS147" s="347" t="b">
        <f t="shared" si="163"/>
        <v>0</v>
      </c>
      <c r="JT147" s="347" t="b">
        <f t="shared" si="164"/>
        <v>0</v>
      </c>
      <c r="JU147" s="347" t="b">
        <f t="shared" si="165"/>
        <v>0</v>
      </c>
      <c r="JV147" s="347" t="b">
        <f t="shared" si="166"/>
        <v>0</v>
      </c>
      <c r="JW147" s="347" t="b">
        <f t="shared" si="167"/>
        <v>0</v>
      </c>
      <c r="JX147" s="347" t="b">
        <f t="shared" si="168"/>
        <v>0</v>
      </c>
      <c r="JY147" s="347" t="b">
        <f t="shared" si="169"/>
        <v>0</v>
      </c>
      <c r="JZ147" s="347" t="b">
        <f t="shared" si="170"/>
        <v>0</v>
      </c>
      <c r="KA147" s="347" t="b">
        <f t="shared" si="171"/>
        <v>0</v>
      </c>
      <c r="KB147" s="365" t="b">
        <f t="shared" si="172"/>
        <v>0</v>
      </c>
      <c r="KC147" s="354" t="str">
        <f t="shared" si="173"/>
        <v/>
      </c>
      <c r="KD147" s="355" t="str">
        <f t="shared" si="174"/>
        <v/>
      </c>
      <c r="KE147" s="355" t="str">
        <f t="shared" si="175"/>
        <v/>
      </c>
      <c r="KF147" s="355" t="str">
        <f t="shared" si="176"/>
        <v/>
      </c>
      <c r="KG147" s="355" t="str">
        <f t="shared" si="177"/>
        <v/>
      </c>
      <c r="KH147" s="355" t="str">
        <f t="shared" si="178"/>
        <v/>
      </c>
      <c r="KI147" s="355" t="str">
        <f t="shared" si="179"/>
        <v/>
      </c>
      <c r="KJ147" s="355" t="str">
        <f t="shared" si="180"/>
        <v/>
      </c>
      <c r="KK147" s="355" t="str">
        <f t="shared" si="181"/>
        <v/>
      </c>
      <c r="KL147" s="355" t="str">
        <f t="shared" si="182"/>
        <v/>
      </c>
      <c r="KM147" s="355" t="str">
        <f t="shared" si="183"/>
        <v/>
      </c>
      <c r="KN147" s="355" t="str">
        <f t="shared" si="184"/>
        <v/>
      </c>
      <c r="KO147" s="359"/>
      <c r="KP147" s="378"/>
      <c r="KQ147" s="379" t="s">
        <v>1409</v>
      </c>
      <c r="KR147" s="380" t="s">
        <v>1315</v>
      </c>
      <c r="KS147" s="381" t="str">
        <f t="shared" si="500"/>
        <v>S-G-P-N-S</v>
      </c>
      <c r="KT147" s="382">
        <f t="shared" si="186"/>
        <v>4</v>
      </c>
      <c r="KU147" s="383">
        <f t="shared" si="187"/>
        <v>4</v>
      </c>
      <c r="KV147" s="381" t="str">
        <f t="shared" si="205"/>
        <v>S-N-d-P-M-G-r-S</v>
      </c>
      <c r="KW147" s="382">
        <f t="shared" si="189"/>
        <v>7</v>
      </c>
      <c r="KX147" s="384">
        <f t="shared" si="190"/>
        <v>7</v>
      </c>
      <c r="KY147" s="382">
        <f t="shared" ref="KY147:KZ147" si="503">KW147-KT147</f>
        <v>3</v>
      </c>
      <c r="KZ147" s="369">
        <f t="shared" si="503"/>
        <v>3</v>
      </c>
      <c r="LA147" s="385" t="str">
        <f t="shared" si="192"/>
        <v>-</v>
      </c>
      <c r="LB147" s="340" t="str">
        <f>IFERROR(__xludf.DUMMYFUNCTION("JOIN("""",ArrayFormula(MID(KS147,LEN(KS147)-SEQUENCE(1,LEN(KS147))+1,1)))"),"S-N-P-G-S")</f>
        <v>S-N-P-G-S</v>
      </c>
      <c r="LC147" s="373" t="str">
        <f>IFERROR(__xludf.DUMMYFUNCTION("JOIN("""",ArrayFormula(MID(KV147,LEN(KV147)-SEQUENCE(1,LEN(KV147))+1,1)))"),"S-r-G-M-P-d-N-S")</f>
        <v>S-r-G-M-P-d-N-S</v>
      </c>
      <c r="LD147" s="373" t="str">
        <f t="shared" si="193"/>
        <v>SGPNS</v>
      </c>
      <c r="LE147" s="339" t="str">
        <f t="shared" si="194"/>
        <v>SrGMPdNS</v>
      </c>
      <c r="LF147" s="386" t="str">
        <f>IFERROR(__xludf.DUMMYFUNCTION("SUBSTITUTE(SUBSTITUTE(CONCATENATE(JOIN("""",LH147:LT147)),""1"",""""),""2"","""")"),"SrGMPdNS")</f>
        <v>SrGMPdNS</v>
      </c>
      <c r="LG147" s="369" t="str">
        <f t="shared" si="195"/>
        <v>✔</v>
      </c>
      <c r="LH147" s="387" t="str">
        <f>IFERROR(__xludf.DUMMYFUNCTION("IF(REGEXMATCH(LD147, ""S""), ""S"",IF(REGEXMATCH(LE147, ""S""), ""S"",""""))"),"S")</f>
        <v>S</v>
      </c>
      <c r="LI147" s="299" t="str">
        <f>IFERROR(__xludf.DUMMYFUNCTION("IF(REGEXMATCH(LD147, ""r""), ""r1"",IF(REGEXMATCH(LE147, ""r""), ""r2"",""""))"),"r2")</f>
        <v>r2</v>
      </c>
      <c r="LJ147" s="299" t="str">
        <f>IFERROR(__xludf.DUMMYFUNCTION("IF(REGEXMATCH(LD147, ""R""), ""R1"",IF(REGEXMATCH(LE147, ""R""), ""R2"",""""))"),"")</f>
        <v/>
      </c>
      <c r="LK147" s="299" t="str">
        <f>IFERROR(__xludf.DUMMYFUNCTION("IF(REGEXMATCH(LD147, ""g""), ""g1"",IF(REGEXMATCH(LE147, ""g""), ""g2"",""""))"),"")</f>
        <v/>
      </c>
      <c r="LL147" s="299" t="str">
        <f>IFERROR(__xludf.DUMMYFUNCTION("IF(REGEXMATCH(LD147, ""G""), ""G1"",IF(REGEXMATCH(LE147, ""G""), ""G2"",""""))"),"G1")</f>
        <v>G1</v>
      </c>
      <c r="LM147" s="299" t="str">
        <f>IFERROR(__xludf.DUMMYFUNCTION("IF(REGEXMATCH(LD147, ""m""), ""m1"",IF(REGEXMATCH(LE147, ""m""), ""m2"",""""))"),"")</f>
        <v/>
      </c>
      <c r="LN147" s="299" t="str">
        <f>IFERROR(__xludf.DUMMYFUNCTION("IF(REGEXMATCH(LD147, ""M""), ""M1"",IF(REGEXMATCH(LE147, ""M""), ""M2"",""""))"),"M2")</f>
        <v>M2</v>
      </c>
      <c r="LO147" s="299" t="str">
        <f>IFERROR(__xludf.DUMMYFUNCTION("IF(REGEXMATCH(LD147, ""P""), ""P1"",IF(REGEXMATCH(LE147, ""P""), ""P2"",""""))"),"P1")</f>
        <v>P1</v>
      </c>
      <c r="LP147" s="299" t="str">
        <f>IFERROR(__xludf.DUMMYFUNCTION("IF(REGEXMATCH(LD147, ""d""), ""d1"",IF(REGEXMATCH(LE147, ""d""), ""d2"",""""))"),"d2")</f>
        <v>d2</v>
      </c>
      <c r="LQ147" s="299" t="str">
        <f>IFERROR(__xludf.DUMMYFUNCTION("IF(REGEXMATCH(LD147, ""D""), ""D1"",IF(REGEXMATCH(LE147, ""D""), ""D2"",""""))"),"")</f>
        <v/>
      </c>
      <c r="LR147" s="299" t="str">
        <f>IFERROR(__xludf.DUMMYFUNCTION("IF(REGEXMATCH(LD147, ""n""), ""n1"",IF(REGEXMATCH(LE147, ""n""), ""n2"",""""))"),"")</f>
        <v/>
      </c>
      <c r="LS147" s="299" t="str">
        <f>IFERROR(__xludf.DUMMYFUNCTION("IF(REGEXMATCH(LD147, ""N""), ""N1"",IF(REGEXMATCH(LE147, ""N""), ""N2"",""""))"),"N1")</f>
        <v>N1</v>
      </c>
      <c r="LT147" s="388" t="str">
        <f>IFERROR(__xludf.DUMMYFUNCTION("IF(REGEXMATCH(LD147, ""S""), ""S"",IF(REGEXMATCH(LE147, ""S""), ""S"",""""))"),"S")</f>
        <v>S</v>
      </c>
      <c r="LU147" s="389">
        <f t="shared" si="196"/>
        <v>-5</v>
      </c>
      <c r="LV147" s="378"/>
      <c r="LW147" s="369"/>
      <c r="LX147" s="369"/>
    </row>
    <row r="148" ht="18.0" customHeight="1">
      <c r="A148" s="298" t="s">
        <v>820</v>
      </c>
      <c r="B148" s="222" t="s">
        <v>524</v>
      </c>
      <c r="C148" s="233" t="str">
        <f t="shared" si="7"/>
        <v>SrgmPDnS</v>
      </c>
      <c r="D148" s="234" t="str">
        <f>IFERROR(__xludf.DUMMYFUNCTION("IF(REGEXMATCH(C148, ""S""), ""S"","""")"),"S")</f>
        <v>S</v>
      </c>
      <c r="E148" s="236" t="str">
        <f>IFERROR(__xludf.DUMMYFUNCTION("IF(REGEXMATCH(C148, ""r""), ""r"","""")"),"r")</f>
        <v>r</v>
      </c>
      <c r="F148" s="237" t="str">
        <f>IFERROR(__xludf.DUMMYFUNCTION("IF(REGEXMATCH(C148, ""R""), ""R"","""")"),"")</f>
        <v/>
      </c>
      <c r="G148" s="237" t="str">
        <f>IFERROR(__xludf.DUMMYFUNCTION("IF(REGEXMATCH(C148, ""g""), ""g"","""")"),"g")</f>
        <v>g</v>
      </c>
      <c r="H148" s="236" t="str">
        <f>IFERROR(__xludf.DUMMYFUNCTION("IF(REGEXMATCH(C148, ""G""), ""G"","""")"),"")</f>
        <v/>
      </c>
      <c r="I148" s="236" t="str">
        <f>IFERROR(__xludf.DUMMYFUNCTION("IF(REGEXMATCH(C148, ""m""), ""m"","""")"),"m")</f>
        <v>m</v>
      </c>
      <c r="J148" s="237" t="str">
        <f>IFERROR(__xludf.DUMMYFUNCTION("IF(REGEXMATCH(C148, ""M""), ""M"","""")"),"")</f>
        <v/>
      </c>
      <c r="K148" s="236" t="str">
        <f>IFERROR(__xludf.DUMMYFUNCTION("IF(REGEXMATCH(C148, ""P""), ""P"","""")"),"P")</f>
        <v>P</v>
      </c>
      <c r="L148" s="237" t="str">
        <f>IFERROR(__xludf.DUMMYFUNCTION("IF(REGEXMATCH(C148, ""d""), ""d"","""")"),"")</f>
        <v/>
      </c>
      <c r="M148" s="236" t="str">
        <f>IFERROR(__xludf.DUMMYFUNCTION("IF(REGEXMATCH(C148, ""D""), ""D"","""")"),"D")</f>
        <v>D</v>
      </c>
      <c r="N148" s="236" t="str">
        <f>IFERROR(__xludf.DUMMYFUNCTION("IF(REGEXMATCH(C148, ""n""), ""n"","""")"),"n")</f>
        <v>n</v>
      </c>
      <c r="O148" s="237" t="str">
        <f>IFERROR(__xludf.DUMMYFUNCTION("IF(REGEXMATCH(C148, ""N""), ""N"","""")"),"")</f>
        <v/>
      </c>
      <c r="P148" s="238" t="str">
        <f>IFERROR(__xludf.DUMMYFUNCTION("IF(REGEXMATCH(C148, ""S""), ""S"","""")"),"S")</f>
        <v>S</v>
      </c>
      <c r="Q148" s="239" t="str">
        <f>IFERROR(__xludf.DUMMYFUNCTION("SUBSTITUTE(CONCATENATE(JOIN(""-"",D148:J148)),""-"","""")"),"Srgm")</f>
        <v>Srgm</v>
      </c>
      <c r="R148" s="229" t="str">
        <f>IFERROR(__xludf.DUMMYFUNCTION("SUBSTITUTE(CONCATENATE(JOIN(""-"",K148:P148)),""-"","""")"),"PDnS")</f>
        <v>PDnS</v>
      </c>
      <c r="S148" s="282" t="str">
        <f t="shared" si="8"/>
        <v>S-R-G-M</v>
      </c>
      <c r="T148" s="282" t="str">
        <f t="shared" si="9"/>
        <v>P-D-N-S</v>
      </c>
      <c r="U148" s="237" t="str">
        <f>IFERROR(__xludf.DUMMYFUNCTION("SUBSTITUTE(JOIN(""-"",S148,T148),""--"",""-"")"),"S-R-G-M-P-D-N-S")</f>
        <v>S-R-G-M-P-D-N-S</v>
      </c>
      <c r="V148" s="309" t="str">
        <f t="shared" si="10"/>
        <v>rgmDn</v>
      </c>
      <c r="W148" s="244" t="str">
        <f>IFERROR(__xludf.DUMMYFUNCTION("IF(REGEXMATCH(C148, ""S""), ""0"","""")"),"0")</f>
        <v>0</v>
      </c>
      <c r="X148" s="245" t="str">
        <f>IFERROR(__xludf.DUMMYFUNCTION("IF(REGEXMATCH(C148, ""r""), ""1"","""")"),"1")</f>
        <v>1</v>
      </c>
      <c r="Y148" s="246" t="str">
        <f>IFERROR(__xludf.DUMMYFUNCTION("IF(REGEXMATCH(C148, ""R""), ""2"","""")"),"")</f>
        <v/>
      </c>
      <c r="Z148" s="246" t="str">
        <f>IFERROR(__xludf.DUMMYFUNCTION("IF(REGEXMATCH(C148, ""g""), ""3"","""")"),"3")</f>
        <v>3</v>
      </c>
      <c r="AA148" s="245" t="str">
        <f>IFERROR(__xludf.DUMMYFUNCTION("IF(REGEXMATCH(C148, ""G""), ""4"","""")"),"")</f>
        <v/>
      </c>
      <c r="AB148" s="245" t="str">
        <f>IFERROR(__xludf.DUMMYFUNCTION("IF(REGEXMATCH(C148, ""m""), ""5"","""")"),"5")</f>
        <v>5</v>
      </c>
      <c r="AC148" s="246" t="str">
        <f>IFERROR(__xludf.DUMMYFUNCTION("IF(REGEXMATCH(C148, ""M""), ""6"","""")"),"")</f>
        <v/>
      </c>
      <c r="AD148" s="245" t="str">
        <f>IFERROR(__xludf.DUMMYFUNCTION("IF(REGEXMATCH(C148, ""P""), ""7"","""")"),"7")</f>
        <v>7</v>
      </c>
      <c r="AE148" s="246" t="str">
        <f>IFERROR(__xludf.DUMMYFUNCTION("IF(REGEXMATCH(C148, ""d""), ""8"","""")"),"")</f>
        <v/>
      </c>
      <c r="AF148" s="245" t="str">
        <f>IFERROR(__xludf.DUMMYFUNCTION("IF(REGEXMATCH(C148, ""D""), ""9"","""")"),"9")</f>
        <v>9</v>
      </c>
      <c r="AG148" s="245" t="str">
        <f>IFERROR(__xludf.DUMMYFUNCTION("IF(REGEXMATCH(C148, ""n""), ""10"","""")"),"10")</f>
        <v>10</v>
      </c>
      <c r="AH148" s="246" t="str">
        <f>IFERROR(__xludf.DUMMYFUNCTION("IF(REGEXMATCH(C148, ""N""), ""11"","""")"),"")</f>
        <v/>
      </c>
      <c r="AI148" s="249" t="str">
        <f>IFERROR(__xludf.DUMMYFUNCTION("IF(REGEXMATCH(C148, ""S""), ""0"","""")"),"0")</f>
        <v>0</v>
      </c>
      <c r="AJ148" s="313" t="str">
        <f t="shared" si="11"/>
        <v>-</v>
      </c>
      <c r="AK148" s="313" t="str">
        <f t="shared" si="12"/>
        <v>T</v>
      </c>
      <c r="AL148" s="313" t="str">
        <f t="shared" si="13"/>
        <v>-</v>
      </c>
      <c r="AM148" s="313" t="str">
        <f t="shared" si="14"/>
        <v>T</v>
      </c>
      <c r="AN148" s="313" t="str">
        <f t="shared" si="15"/>
        <v>-</v>
      </c>
      <c r="AO148" s="314" t="str">
        <f t="shared" si="16"/>
        <v>-</v>
      </c>
      <c r="AP148" s="316">
        <f t="shared" si="17"/>
        <v>2</v>
      </c>
      <c r="AQ148" s="319" t="str">
        <f t="shared" si="18"/>
        <v>#REF!</v>
      </c>
      <c r="AR148" s="320">
        <f t="shared" si="19"/>
        <v>0</v>
      </c>
      <c r="AS148" s="250" t="str">
        <f>IFERROR(__xludf.DUMMYFUNCTION("SUBSTITUTE(SUBSTITUTE(CONCATENATE(JOIN("""",FP148:GA148)),""|"",""x""),""-"",""o"")"),"xxoxoxoxoxxo")</f>
        <v>xxoxoxoxoxxo</v>
      </c>
      <c r="AT148" s="323" t="str">
        <f>IFERROR(__xludf.DUMMYFUNCTION("JOIN("""",AS148,AS148)"),"xxoxoxoxoxxoxxoxoxoxoxxo")</f>
        <v>xxoxoxoxoxxoxxoxoxoxoxxo</v>
      </c>
      <c r="AU148" s="256" t="str">
        <f>IFERROR(__xludf.DUMMYFUNCTION("JOIN("""",ArrayFormula(MID(AS148,LEN(AS148)-SEQUENCE(1,LEN(AS148))+1,1)))"),"oxxoxoxoxoxx")</f>
        <v>oxxoxoxoxoxx</v>
      </c>
      <c r="AV148" s="256" t="str">
        <f>IFERROR(__xludf.DUMMYFUNCTION("LEFT(CONCATENATE(""x"",JOIN("""",ArrayFormula(MID(AS148,LEN(AS148)-SEQUENCE(1,LEN(AS148))+1,1)))),12)"),"xoxxoxoxoxox")</f>
        <v>xoxxoxoxoxox</v>
      </c>
      <c r="AW148" s="327" t="str">
        <f>IFERROR(__xludf.DUMMYFUNCTION("JOIN("""",AU148,AU148)"),"oxxoxoxoxoxxoxxoxoxoxoxx")</f>
        <v>oxxoxoxoxoxxoxxoxoxoxoxx</v>
      </c>
      <c r="AX148" s="239" t="str">
        <f>IFERROR(__xludf.DUMMYFUNCTION("IF(REGEXMATCH(AW148,AS148),""✔"",""-"")"),"✔")</f>
        <v>✔</v>
      </c>
      <c r="AY148" s="330" t="str">
        <f t="shared" si="20"/>
        <v>-</v>
      </c>
      <c r="AZ148" s="260" t="str">
        <f t="shared" si="21"/>
        <v>#REF!</v>
      </c>
      <c r="BA148" s="333" t="str">
        <f t="shared" si="22"/>
        <v>xxoxoxo</v>
      </c>
      <c r="BB148" s="334" t="str">
        <f t="shared" si="23"/>
        <v>xoxxox</v>
      </c>
      <c r="BC148" s="335" t="str">
        <f t="shared" si="236"/>
        <v>-</v>
      </c>
      <c r="BD148" s="336" t="str">
        <f t="shared" si="25"/>
        <v>Jaiwanti Todi: 'xxoxoxo' + 'xoxxox'</v>
      </c>
      <c r="BE148" s="337">
        <f>IFERROR(__xludf.DUMMYFUNCTION("COUNTUNIQUE(FILTER(AT:AT,REGEXMATCH(AT:AT,AS148)))-1"),4.0)</f>
        <v>4</v>
      </c>
      <c r="BF148" s="261" t="str">
        <f>IFERROR(__xludf.DUMMYFUNCTION("IF(BI148=0,""(n/a)"",IF(BJ148=2,""(PAIR)"",IF(REGEXMATCH(AT148,""xoxoxxoxoxox""),""Bilawal"",IF(REGEXMATCH(AT148,""xoxoxooxoxoo""),""Bhupali"",IF(REGEXMATCH(AT148,""xoxoxxoxxoxo""),""Charukeshi"",IF(REGEXMATCH(AT148,""xoxoooxxoxxo""),""Kameshwari"",IF(REG"&amp;"EXMATCH(AT148,""xoxoxooxoxox""),""Shankara"",IF(REGEXMATCH(AT148,""xxooxoxxxoox""),""Basant"",IF(REGEXMATCH(AT148,""xoxoxxxxoxox""),""Bihag"",IF(REGEXMATCH(AT148,""xoxxxxoxoxxx""),""Pilu"",IF(REGEXMATCH(AT148,""xoxxoxoxxoox""),""Kirwani"",IF(REGEXMATCH(AT"&amp;"148,""xoxxoxoxoxxx""),""Mk.Malhar"",IF(REGEXMATCH(AT148,""xxooxxoxxoox""),""Bhairav"",IF(REGEXMATCH(AT148,""xxoxooxxxoox""),""Todi"",IF(REGEXMATCH(AT148,""xxooxoxooxox""),""Marwa"",IF(REGEXMATCH(AT148,""xxoooxoxxooo""),""Gunkali"",IF(REGEXMATCH(AT148,""xo"&amp;"xoxxoxxoox""),""Nat Bhairav"",IF(REGEXMATCH(AT148,""xoxxoooxoxoo""),""Shivranjani"",IF(REGEXMATCH(AT148,""xooxxxoxooxo""),""Jog"",IF(REGEXMATCH(AT148,""xxooxoxoxoox""),""Hemshri"",IF(REGEXMATCH(AT148,""xoooxooxoxxo""),""Kalavati"",IF(REGEXMATCH(AT148,""xx"&amp;"oxoxxoxoox""),""Kedar"",IF(REGEXMATCH(AT148,""xoxxxxoxooxx""),""Gara"",IF(REGEXMATCH(AT148,""xooxoxooxoox""),""Chandrakauns"",IF(REGEXMATCH(AT148,""xoxxxxoxxxox""),""Mand"",IF(REGEXMATCH(AT148,""xoxxxxoxoxox""),""Hanskinkini"",IF(REGEXMATCH(AT148,""xxooxx"&amp;"oxooxo""),""Lilavati"",IF(REGEXMATCH(AT148,""xooxoxoooxox""),""Rajeshwari"",IF(REGEXMATCH(AT148,""xoooxxoxoxxx""),""Khokar"",IF(REGEXMATCH(AT148,""xxooxoxxxxox""),""Maligoura"",""-""))))))))))))))))))))))))))))))"),"Charukeshi")</f>
        <v>Charukeshi</v>
      </c>
      <c r="BG148" s="239" t="str">
        <f t="shared" si="26"/>
        <v>#REF!</v>
      </c>
      <c r="BH148" s="239">
        <f>IFERROR(__xludf.DUMMYFUNCTION("COUNTUNIQUE(FE148:FO148)-1"),6.0)</f>
        <v>6</v>
      </c>
      <c r="BI148" s="239">
        <f>IFERROR(__xludf.DUMMYFUNCTION("COUNTUNIQUE(FILTER(AT:AT,REGEXMATCH(AT:AT,AS148)))-1"),4.0)</f>
        <v>4</v>
      </c>
      <c r="BJ148" s="239">
        <f>IFERROR(__xludf.DUMMYFUNCTION("COUNTA(FILTER(AT:AT,REGEXMATCH(AT:AT,AS148)))"),8.0)</f>
        <v>8</v>
      </c>
      <c r="BK148" s="341">
        <f>IFERROR(__xludf.DUMMYFUNCTION("COUNTA(FILTER(AT:AT,REGEXMATCH(AT:AT,AS148)))-AR148"),8.0)</f>
        <v>8</v>
      </c>
      <c r="BL148" s="276" t="str">
        <f>IFERROR(__xludf.DUMMYFUNCTION("IF(AS148=""oooooooooooo"",""-"",IF(REGEXMATCH(AT148,""xx""), ""Hemi."", ""Anhemi.""))"),"Hemi.")</f>
        <v>Hemi.</v>
      </c>
      <c r="BM148" s="282" t="str">
        <f>IFERROR(__xludf.DUMMYFUNCTION("IF(AS148=""oooooooooooo"",""-"",IF(REGEXMATCH(AT148,""xxx""), ""Cohem."", ""-""))"),"-")</f>
        <v>-</v>
      </c>
      <c r="BN148" s="282" t="str">
        <f>IFERROR(__xludf.DUMMYFUNCTION("IF(AS148=""oooooooooooo"",""-"",IF(REGEXMATCH(AT148,""xxxx""), ""Co-Co."", ""-""))"),"-")</f>
        <v>-</v>
      </c>
      <c r="BO148" s="342" t="str">
        <f>IFERROR(__xludf.DUMMYFUNCTION("IF(AS148=""oooooooooooo"",""-"",IF(REGEXMATCH(AT148,""xxxxx""), ""CCC."", ""-""))"),"-")</f>
        <v>-</v>
      </c>
      <c r="BP148" s="344" t="str">
        <f t="shared" si="27"/>
        <v>-</v>
      </c>
      <c r="BQ148" s="282" t="str">
        <f>IFERROR(__xludf.DUMMYFUNCTION("IF(REGEXMATCH(JOIN(""-"",EU148:FD148),""TRUE""),""✔"",""-"")"),"-")</f>
        <v>-</v>
      </c>
      <c r="BR148" s="225">
        <f t="shared" si="28"/>
        <v>0</v>
      </c>
      <c r="BS148" s="345" t="str">
        <f>IFERROR(__xludf.DUMMYFUNCTION("SUBSTITUTE(SUBSTITUTE(SUBSTITUTE(SUBSTITUTE(CONCATENATE(JOIN(""-"",GC148:GO148)),""--"",""-""),""--"",""-""),""--"",""-""),""--"",""-"")"),"1-b2-b3-4-5-6-b7-8")</f>
        <v>1-b2-b3-4-5-6-b7-8</v>
      </c>
      <c r="BT148" s="299" t="str">
        <f>IFERROR(__xludf.DUMMYFUNCTION("SUBSTITUTE(SUBSTITUTE(SUBSTITUTE(SUBSTITUTE(CONCATENATE(JOIN(""-"",GP148:HB148)),""--"",""-""),""--"",""-""),""--"",""-""),""--"",""-"")"),"S-R1-G2-M1-P-D2-N2-S")</f>
        <v>S-R1-G2-M1-P-D2-N2-S</v>
      </c>
      <c r="BU148" s="348" t="str">
        <f t="shared" si="29"/>
        <v>C-Db-Eb-F-G-A-Bb-C</v>
      </c>
      <c r="BV148" s="349" t="str">
        <f t="shared" si="30"/>
        <v>SRGMdNS</v>
      </c>
      <c r="BW148" s="350">
        <f t="shared" si="31"/>
        <v>0</v>
      </c>
      <c r="BX148" s="351">
        <f t="shared" si="32"/>
        <v>3</v>
      </c>
      <c r="BY148" s="352" t="s">
        <v>275</v>
      </c>
      <c r="BZ148" s="309" t="str">
        <f>IFERROR(__xludf.DUMMYFUNCTION("IF(REGEXMATCH(C148, ""S""), ""x"",""x"")"),"x")</f>
        <v>x</v>
      </c>
      <c r="CA148" s="245" t="str">
        <f>IFERROR(__xludf.DUMMYFUNCTION("IF(REGEXMATCH(C148, ""r""), ""o"",""x"")"),"o")</f>
        <v>o</v>
      </c>
      <c r="CB148" s="246" t="str">
        <f>IFERROR(__xludf.DUMMYFUNCTION("IF(REGEXMATCH(C148, ""R""), ""o"",""x"")"),"x")</f>
        <v>x</v>
      </c>
      <c r="CC148" s="246" t="str">
        <f>IFERROR(__xludf.DUMMYFUNCTION("IF(REGEXMATCH(C148, ""g""), ""o"",""x"")"),"o")</f>
        <v>o</v>
      </c>
      <c r="CD148" s="245" t="str">
        <f>IFERROR(__xludf.DUMMYFUNCTION("IF(REGEXMATCH(C148, ""G""), ""o"",""x"")"),"x")</f>
        <v>x</v>
      </c>
      <c r="CE148" s="245" t="str">
        <f>IFERROR(__xludf.DUMMYFUNCTION("IF(REGEXMATCH(C148, ""m""), ""o"",""x"")"),"o")</f>
        <v>o</v>
      </c>
      <c r="CF148" s="246" t="str">
        <f>IFERROR(__xludf.DUMMYFUNCTION("IF(REGEXMATCH(C148, ""M""), ""o"",""x"")"),"x")</f>
        <v>x</v>
      </c>
      <c r="CG148" s="245" t="str">
        <f>IFERROR(__xludf.DUMMYFUNCTION("IF(REGEXMATCH(C148, ""P""), ""o"",""x"")"),"o")</f>
        <v>o</v>
      </c>
      <c r="CH148" s="246" t="str">
        <f>IFERROR(__xludf.DUMMYFUNCTION("IF(REGEXMATCH(C148, ""d""), ""o"",""x"")"),"x")</f>
        <v>x</v>
      </c>
      <c r="CI148" s="245" t="str">
        <f>IFERROR(__xludf.DUMMYFUNCTION("IF(REGEXMATCH(C148, ""D""), ""o"",""x"")"),"o")</f>
        <v>o</v>
      </c>
      <c r="CJ148" s="245" t="str">
        <f>IFERROR(__xludf.DUMMYFUNCTION("IF(REGEXMATCH(C148, ""n""), ""o"",""x"")"),"o")</f>
        <v>o</v>
      </c>
      <c r="CK148" s="245" t="str">
        <f>IFERROR(__xludf.DUMMYFUNCTION("IF(REGEXMATCH(C148, ""N""), ""o"",""x"")"),"x")</f>
        <v>x</v>
      </c>
      <c r="CL148" s="356" t="str">
        <f>IFERROR(__xludf.DUMMYFUNCTION("IF(REGEXMATCH(C148, ""S""), ""x"",""x"")"),"x")</f>
        <v>x</v>
      </c>
      <c r="CM148" s="357" t="str">
        <f t="shared" si="33"/>
        <v>xoxoxoxoxoox</v>
      </c>
      <c r="CN148" s="358">
        <f t="shared" si="34"/>
        <v>0</v>
      </c>
      <c r="CO148" s="246" t="str">
        <f>IFERROR(__xludf.DUMMYFUNCTION("IF(REGEXMATCH($C148, ""S""), ""S"",""S"")"),"S")</f>
        <v>S</v>
      </c>
      <c r="CP148" s="246" t="str">
        <f>IFERROR(__xludf.DUMMYFUNCTION("IF(REGEXMATCH($C148, ""r""), """",""r"")"),"")</f>
        <v/>
      </c>
      <c r="CQ148" s="246" t="str">
        <f>IFERROR(__xludf.DUMMYFUNCTION("IF(REGEXMATCH($C148, ""R""), """",""R"")"),"R")</f>
        <v>R</v>
      </c>
      <c r="CR148" s="246" t="str">
        <f>IFERROR(__xludf.DUMMYFUNCTION("IF(REGEXMATCH($C148, ""g""), """",""g"")"),"")</f>
        <v/>
      </c>
      <c r="CS148" s="246" t="str">
        <f>IFERROR(__xludf.DUMMYFUNCTION("IF(REGEXMATCH($C148, ""G""), """",""G"")"),"G")</f>
        <v>G</v>
      </c>
      <c r="CT148" s="246" t="str">
        <f>IFERROR(__xludf.DUMMYFUNCTION("IF(REGEXMATCH($C148, ""m""), """",""m"")"),"")</f>
        <v/>
      </c>
      <c r="CU148" s="246" t="str">
        <f>IFERROR(__xludf.DUMMYFUNCTION("IF(REGEXMATCH($C148, ""M""), """",""M"")"),"M")</f>
        <v>M</v>
      </c>
      <c r="CV148" s="246" t="str">
        <f>IFERROR(__xludf.DUMMYFUNCTION("IF(REGEXMATCH($C148, ""P""), """",""P"")"),"")</f>
        <v/>
      </c>
      <c r="CW148" s="246" t="str">
        <f>IFERROR(__xludf.DUMMYFUNCTION("IF(REGEXMATCH($C148, ""d""), """",""d"")"),"d")</f>
        <v>d</v>
      </c>
      <c r="CX148" s="246" t="str">
        <f>IFERROR(__xludf.DUMMYFUNCTION("IF(REGEXMATCH($C148, ""D""), """",""D"")"),"")</f>
        <v/>
      </c>
      <c r="CY148" s="246" t="str">
        <f>IFERROR(__xludf.DUMMYFUNCTION("IF(REGEXMATCH($C148, ""n""), """",""n"")"),"")</f>
        <v/>
      </c>
      <c r="CZ148" s="246" t="str">
        <f>IFERROR(__xludf.DUMMYFUNCTION("IF(REGEXMATCH($C148, ""N""), """",""N"")"),"N")</f>
        <v>N</v>
      </c>
      <c r="DA148" s="246" t="str">
        <f>IFERROR(__xludf.DUMMYFUNCTION("IF(REGEXMATCH($C148, ""S""), ""S"",""S"")"),"S")</f>
        <v>S</v>
      </c>
      <c r="DB148" s="362" t="str">
        <f>IFERROR(__xludf.DUMMYFUNCTION("JOIN("""",CO148:DA148,"""","""")"),"SRGMdNS")</f>
        <v>SRGMdNS</v>
      </c>
      <c r="DC148" s="363"/>
      <c r="DD148" s="301" t="str">
        <f t="shared" si="35"/>
        <v>#REF!</v>
      </c>
      <c r="DE148" s="302" t="str">
        <f t="shared" si="36"/>
        <v>#REF!</v>
      </c>
      <c r="DF148" s="301" t="str">
        <f t="shared" ref="DF148:DG148" si="504">SUBSTITUTE(S148,"-","")</f>
        <v>SRGM</v>
      </c>
      <c r="DG148" s="301" t="str">
        <f t="shared" si="504"/>
        <v>PDNS</v>
      </c>
      <c r="DH148" s="302" t="str">
        <f t="shared" si="38"/>
        <v>Charukeshi</v>
      </c>
      <c r="DI148" s="301" t="str">
        <f t="shared" si="39"/>
        <v>Hemi.</v>
      </c>
      <c r="DJ148" s="364" t="str">
        <f t="shared" si="40"/>
        <v>-</v>
      </c>
      <c r="DK148" s="306" t="str">
        <f t="shared" si="41"/>
        <v>-</v>
      </c>
      <c r="DL148" s="366" t="str">
        <f t="shared" si="42"/>
        <v>-</v>
      </c>
      <c r="DM148" s="308" t="str">
        <f t="shared" si="43"/>
        <v>✔</v>
      </c>
      <c r="DN148" s="306" t="str">
        <f t="shared" si="44"/>
        <v>-</v>
      </c>
      <c r="DO148" s="306" t="str">
        <f t="shared" si="45"/>
        <v>-</v>
      </c>
      <c r="DP148" s="367" t="str">
        <f t="shared" si="46"/>
        <v>-</v>
      </c>
      <c r="DQ148" s="310" t="str">
        <f t="shared" si="47"/>
        <v>-</v>
      </c>
      <c r="DR148" s="310" t="str">
        <f t="shared" si="48"/>
        <v>-</v>
      </c>
      <c r="DS148" s="310" t="str">
        <f t="shared" si="49"/>
        <v>-</v>
      </c>
      <c r="DT148" s="310" t="str">
        <f t="shared" si="50"/>
        <v>-</v>
      </c>
      <c r="DU148" s="370" t="str">
        <f t="shared" si="51"/>
        <v>-</v>
      </c>
      <c r="DV148" s="306" t="str">
        <f t="shared" si="52"/>
        <v>-</v>
      </c>
      <c r="DW148" s="306" t="str">
        <f t="shared" si="53"/>
        <v>-</v>
      </c>
      <c r="DX148" s="306" t="str">
        <f t="shared" si="54"/>
        <v>-</v>
      </c>
      <c r="DY148" s="306" t="str">
        <f t="shared" si="55"/>
        <v>-</v>
      </c>
      <c r="DZ148" s="306" t="str">
        <f t="shared" si="56"/>
        <v>-</v>
      </c>
      <c r="EA148" s="367" t="str">
        <f t="shared" si="57"/>
        <v>-</v>
      </c>
      <c r="EB148" s="310" t="str">
        <f>IFERROR(__xludf.DUMMYFUNCTION("IF(REGEXMATCH(AW148,AS148),""✔"",""-"")"),"✔")</f>
        <v>✔</v>
      </c>
      <c r="EC148" s="310" t="str">
        <f t="shared" si="58"/>
        <v>#REF!</v>
      </c>
      <c r="ED148" s="370" t="str">
        <f t="shared" si="59"/>
        <v>-</v>
      </c>
      <c r="EE148" s="340" t="str">
        <f t="shared" si="60"/>
        <v>S-r-g-m-P-D-n-S</v>
      </c>
      <c r="EF148" s="371" t="str">
        <f>IFERROR(__xludf.DUMMYFUNCTION("CONCATENATE(JOIN("""",HC148:HO148))"),"SRgmPDNS")</f>
        <v>SRgmPDNS</v>
      </c>
      <c r="EG148" s="372">
        <f t="shared" si="61"/>
        <v>3</v>
      </c>
      <c r="EH148" s="373" t="str">
        <f>IFERROR(__xludf.DUMMYFUNCTION("CONCATENATE(JOIN("""",JC148:JO148))"),"re, Pa, Dha, ")</f>
        <v>re, Pa, Dha, </v>
      </c>
      <c r="EI148" s="322">
        <f t="shared" si="62"/>
        <v>2</v>
      </c>
      <c r="EJ148" s="374" t="str">
        <f>IFERROR(__xludf.DUMMYFUNCTION("CONCATENATE(JOIN("""",KC148:KO148))"),"re, Dha, ")</f>
        <v>re, Dha, </v>
      </c>
      <c r="EK148" s="325" t="str">
        <f t="shared" si="63"/>
        <v>S-R1-G2-M1-P-D2-N2-S</v>
      </c>
      <c r="EL148" s="326" t="str">
        <f t="shared" si="64"/>
        <v>1-b2-b3-4-5-6-b7-8</v>
      </c>
      <c r="EM148" s="318" t="str">
        <f t="shared" si="65"/>
        <v>#REF!</v>
      </c>
      <c r="EN148" s="328" t="str">
        <f>IFERROR(__xludf.DUMMYFUNCTION("SUBSTITUTE(SUBSTITUTE(SUBSTITUTE(SUBSTITUTE(CONCATENATE(JOIN("" "",HP148:IB148)),""  "","" ""),""  "","" ""),""  "","" ""),""  "","" "")"),"o o • o • o • o • o o • o")</f>
        <v>o o • o • o • o • o o • o</v>
      </c>
      <c r="EO148" s="368" t="str">
        <f t="shared" si="66"/>
        <v>-</v>
      </c>
      <c r="EP148" s="339" t="str">
        <f t="shared" si="67"/>
        <v>-</v>
      </c>
      <c r="EQ148" s="339" t="str">
        <f t="shared" si="68"/>
        <v>Sa-Pa</v>
      </c>
      <c r="ER148" s="339" t="str">
        <f t="shared" si="69"/>
        <v>-</v>
      </c>
      <c r="ES148" s="340" t="str">
        <f t="shared" si="70"/>
        <v>-</v>
      </c>
      <c r="ET148" s="363"/>
      <c r="EU148" s="376" t="b">
        <f>IFERROR(__xludf.DUMMYFUNCTION("arrayformula(sum(--REGEXMATCH(""SRGMPDNS"",split(REGEXREPLACE(C148,""(.)"",""$1~""),""~""))))=len(C148)
"),FALSE)</f>
        <v>0</v>
      </c>
      <c r="EV148" s="290" t="b">
        <f>IFERROR(__xludf.DUMMYFUNCTION("arrayformula(sum(--REGEXMATCH(""SRGmPDNS"",split(REGEXREPLACE(C148,""(.)"",""$1~""),""~""))))=len(C148)"),FALSE)</f>
        <v>0</v>
      </c>
      <c r="EW148" s="290" t="b">
        <f>IFERROR(__xludf.DUMMYFUNCTION("arrayformula(sum(--REGEXMATCH(""SRGmPDnS"",split(REGEXREPLACE(C148,""(.)"",""$1~""),""~""))))=len(C148)"),FALSE)</f>
        <v>0</v>
      </c>
      <c r="EX148" s="290" t="b">
        <f>IFERROR(__xludf.DUMMYFUNCTION("arrayformula(sum(--REGEXMATCH(""SRgmPDnS"",split(REGEXREPLACE(C148,""(.)"",""$1~""),""~""))))=len(C148)"),FALSE)</f>
        <v>0</v>
      </c>
      <c r="EY148" s="290" t="b">
        <f>IFERROR(__xludf.DUMMYFUNCTION("arrayformula(sum(--REGEXMATCH(""SRgmPdnS"",split(REGEXREPLACE(C148,""(.)"",""$1~""),""~""))))=len(C148)"),FALSE)</f>
        <v>0</v>
      </c>
      <c r="EZ148" s="290" t="b">
        <f>IFERROR(__xludf.DUMMYFUNCTION("arrayformula(sum(--REGEXMATCH(""SrgmPdnS"",split(REGEXREPLACE(C148,""(.)"",""$1~""),""~""))))=len(C148)"),FALSE)</f>
        <v>0</v>
      </c>
      <c r="FA148" s="290" t="b">
        <f>IFERROR(__xludf.DUMMYFUNCTION("arrayformula(sum(--REGEXMATCH(""SrGmPdNS"",split(REGEXREPLACE(C148,""(.)"",""$1~""),""~""))))=len(C148)"),FALSE)</f>
        <v>0</v>
      </c>
      <c r="FB148" s="290" t="b">
        <f>IFERROR(__xludf.DUMMYFUNCTION("arrayformula(sum(--REGEXMATCH(""SrGMPDNS"",split(REGEXREPLACE(C148,""(.)"",""$1~""),""~""))))=len(C148)"),FALSE)</f>
        <v>0</v>
      </c>
      <c r="FC148" s="290" t="b">
        <f>IFERROR(__xludf.DUMMYFUNCTION("arrayformula(sum(--REGEXMATCH(""SrGMPdNS"",split(REGEXREPLACE(C148,""(.)"",""$1~""),""~""))))=len(C148)"),FALSE)</f>
        <v>0</v>
      </c>
      <c r="FD148" s="377" t="b">
        <f>IFERROR(__xludf.DUMMYFUNCTION("arrayformula(sum(--REGEXMATCH(""SrgMPdNS"",split(REGEXREPLACE(C148,""(.)"",""$1~""),""~""))))=len(C148)"),FALSE)</f>
        <v>0</v>
      </c>
      <c r="FE148" s="269" t="str">
        <f t="shared" si="71"/>
        <v>xoxoxoxoxxo</v>
      </c>
      <c r="FF148" s="269" t="str">
        <f t="shared" si="72"/>
        <v>-</v>
      </c>
      <c r="FG148" s="271" t="str">
        <f t="shared" si="73"/>
        <v>xoxoxoxxoxx</v>
      </c>
      <c r="FH148" s="269" t="str">
        <f t="shared" si="74"/>
        <v>-</v>
      </c>
      <c r="FI148" s="271" t="str">
        <f t="shared" si="75"/>
        <v>xoxoxxoxxox</v>
      </c>
      <c r="FJ148" s="271" t="str">
        <f t="shared" si="76"/>
        <v>-</v>
      </c>
      <c r="FK148" s="271" t="str">
        <f t="shared" si="77"/>
        <v>xoxxoxxoxox</v>
      </c>
      <c r="FL148" s="271" t="str">
        <f t="shared" si="78"/>
        <v>-</v>
      </c>
      <c r="FM148" s="271" t="str">
        <f t="shared" si="79"/>
        <v>xxoxxoxoxox</v>
      </c>
      <c r="FN148" s="271" t="str">
        <f t="shared" si="80"/>
        <v>xoxxoxoxoxo</v>
      </c>
      <c r="FO148" s="274" t="str">
        <f t="shared" si="81"/>
        <v>-</v>
      </c>
      <c r="FP148" s="234" t="str">
        <f t="shared" si="82"/>
        <v>|</v>
      </c>
      <c r="FQ148" s="236" t="str">
        <f t="shared" si="83"/>
        <v>|</v>
      </c>
      <c r="FR148" s="237" t="str">
        <f t="shared" si="84"/>
        <v>-</v>
      </c>
      <c r="FS148" s="236" t="str">
        <f t="shared" si="85"/>
        <v>|</v>
      </c>
      <c r="FT148" s="237" t="str">
        <f t="shared" si="86"/>
        <v>-</v>
      </c>
      <c r="FU148" s="236" t="str">
        <f t="shared" si="87"/>
        <v>|</v>
      </c>
      <c r="FV148" s="237" t="str">
        <f t="shared" si="88"/>
        <v>-</v>
      </c>
      <c r="FW148" s="236" t="str">
        <f t="shared" si="89"/>
        <v>|</v>
      </c>
      <c r="FX148" s="237" t="str">
        <f t="shared" si="90"/>
        <v>-</v>
      </c>
      <c r="FY148" s="236" t="str">
        <f t="shared" si="91"/>
        <v>|</v>
      </c>
      <c r="FZ148" s="237" t="str">
        <f t="shared" si="92"/>
        <v>|</v>
      </c>
      <c r="GA148" s="236" t="str">
        <f t="shared" si="93"/>
        <v>-</v>
      </c>
      <c r="GB148" s="238" t="str">
        <f t="shared" si="94"/>
        <v>|</v>
      </c>
      <c r="GC148" s="244" t="str">
        <f>IFERROR(__xludf.DUMMYFUNCTION("IF(REGEXMATCH(C148, ""S""), ""1"","""")"),"1")</f>
        <v>1</v>
      </c>
      <c r="GD148" s="245" t="str">
        <f>IFERROR(__xludf.DUMMYFUNCTION("IF(REGEXMATCH(C148, ""r""), ""b2"","""")"),"b2")</f>
        <v>b2</v>
      </c>
      <c r="GE148" s="246" t="str">
        <f>IFERROR(__xludf.DUMMYFUNCTION("IF(REGEXMATCH(C148, ""R""), ""2"","""")"),"")</f>
        <v/>
      </c>
      <c r="GF148" s="246" t="str">
        <f>IFERROR(__xludf.DUMMYFUNCTION("IF(REGEXMATCH(C148, ""g""), ""b3"","""")"),"b3")</f>
        <v>b3</v>
      </c>
      <c r="GG148" s="245" t="str">
        <f>IFERROR(__xludf.DUMMYFUNCTION("IF(REGEXMATCH(C148, ""G""), ""3"","""")"),"")</f>
        <v/>
      </c>
      <c r="GH148" s="245" t="str">
        <f>IFERROR(__xludf.DUMMYFUNCTION("IF(REGEXMATCH(C148, ""m""), ""4"","""")"),"4")</f>
        <v>4</v>
      </c>
      <c r="GI148" s="246" t="str">
        <f>IFERROR(__xludf.DUMMYFUNCTION("IF(REGEXMATCH(C148, ""M""), ""#4"","""")"),"")</f>
        <v/>
      </c>
      <c r="GJ148" s="245" t="str">
        <f>IFERROR(__xludf.DUMMYFUNCTION("IF(REGEXMATCH(C148, ""P""), ""5"","""")"),"5")</f>
        <v>5</v>
      </c>
      <c r="GK148" s="246" t="str">
        <f>IFERROR(__xludf.DUMMYFUNCTION("IF(REGEXMATCH(C148, ""d""), ""b6"","""")"),"")</f>
        <v/>
      </c>
      <c r="GL148" s="245" t="str">
        <f>IFERROR(__xludf.DUMMYFUNCTION("IF(REGEXMATCH(C148, ""D""), ""6"","""")"),"6")</f>
        <v>6</v>
      </c>
      <c r="GM148" s="245" t="str">
        <f>IFERROR(__xludf.DUMMYFUNCTION("IF(REGEXMATCH(C148, ""n""), ""b7"","""")"),"b7")</f>
        <v>b7</v>
      </c>
      <c r="GN148" s="246" t="str">
        <f>IFERROR(__xludf.DUMMYFUNCTION("IF(REGEXMATCH(C148, ""N""), ""7"","""")"),"")</f>
        <v/>
      </c>
      <c r="GO148" s="249" t="str">
        <f>IFERROR(__xludf.DUMMYFUNCTION("IF(REGEXMATCH(C148, ""S""), ""8"","""")"),"8")</f>
        <v>8</v>
      </c>
      <c r="GP148" s="244" t="str">
        <f>IFERROR(__xludf.DUMMYFUNCTION("IF(REGEXMATCH(C148, ""S""), ""S"","""")"),"S")</f>
        <v>S</v>
      </c>
      <c r="GQ148" s="294" t="str">
        <f>IFERROR(__xludf.DUMMYFUNCTION("IF(REGEXMATCH(C148, ""r""), ""R1"","""")"),"R1")</f>
        <v>R1</v>
      </c>
      <c r="GR148" s="295" t="str">
        <f>IFERROR(__xludf.DUMMYFUNCTION("IF(REGEXMATCH(C148, ""R""), ""R2"","""")"),"")</f>
        <v/>
      </c>
      <c r="GS148" s="295" t="str">
        <f>IFERROR(__xludf.DUMMYFUNCTION("IF(REGEXMATCH(C148, ""g""), ""G2"","""")"),"G2")</f>
        <v>G2</v>
      </c>
      <c r="GT148" s="294" t="str">
        <f>IFERROR(__xludf.DUMMYFUNCTION("IF(REGEXMATCH(C148, ""G""), ""G3"","""")"),"")</f>
        <v/>
      </c>
      <c r="GU148" s="294" t="str">
        <f>IFERROR(__xludf.DUMMYFUNCTION("IF(REGEXMATCH(C148, ""m""), ""M1"","""")"),"M1")</f>
        <v>M1</v>
      </c>
      <c r="GV148" s="295" t="str">
        <f>IFERROR(__xludf.DUMMYFUNCTION("IF(REGEXMATCH(C148, ""M""), ""M2"","""")"),"")</f>
        <v/>
      </c>
      <c r="GW148" s="294" t="str">
        <f>IFERROR(__xludf.DUMMYFUNCTION("IF(REGEXMATCH(C148, ""P""), ""P"","""")"),"P")</f>
        <v>P</v>
      </c>
      <c r="GX148" s="295" t="str">
        <f>IFERROR(__xludf.DUMMYFUNCTION("IF(REGEXMATCH(C148, ""d""), ""D1"","""")"),"")</f>
        <v/>
      </c>
      <c r="GY148" s="294" t="str">
        <f>IFERROR(__xludf.DUMMYFUNCTION("IF(REGEXMATCH(C148, ""D""), ""D2"","""")"),"D2")</f>
        <v>D2</v>
      </c>
      <c r="GZ148" s="294" t="str">
        <f>IFERROR(__xludf.DUMMYFUNCTION("IF(REGEXMATCH(C148, ""n""), ""N2"","""")"),"N2")</f>
        <v>N2</v>
      </c>
      <c r="HA148" s="295" t="str">
        <f>IFERROR(__xludf.DUMMYFUNCTION("IF(REGEXMATCH(C148, ""N""), ""N3"","""")"),"")</f>
        <v/>
      </c>
      <c r="HB148" s="249" t="str">
        <f>IFERROR(__xludf.DUMMYFUNCTION("IF(REGEXMATCH(C148, ""S""), ""S"","""")"),"S")</f>
        <v>S</v>
      </c>
      <c r="HC148" s="331" t="str">
        <f t="shared" si="95"/>
        <v>S</v>
      </c>
      <c r="HD148" s="332" t="str">
        <f t="shared" si="96"/>
        <v/>
      </c>
      <c r="HE148" s="332" t="str">
        <f t="shared" si="97"/>
        <v>R</v>
      </c>
      <c r="HF148" s="332" t="str">
        <f t="shared" si="98"/>
        <v>g</v>
      </c>
      <c r="HG148" s="332" t="str">
        <f t="shared" si="99"/>
        <v/>
      </c>
      <c r="HH148" s="332" t="str">
        <f t="shared" si="100"/>
        <v>m</v>
      </c>
      <c r="HI148" s="332" t="str">
        <f t="shared" si="101"/>
        <v/>
      </c>
      <c r="HJ148" s="332" t="str">
        <f t="shared" si="102"/>
        <v>P</v>
      </c>
      <c r="HK148" s="332" t="str">
        <f t="shared" si="103"/>
        <v/>
      </c>
      <c r="HL148" s="332" t="str">
        <f t="shared" si="104"/>
        <v>D</v>
      </c>
      <c r="HM148" s="332" t="str">
        <f t="shared" si="105"/>
        <v/>
      </c>
      <c r="HN148" s="332" t="str">
        <f t="shared" si="106"/>
        <v>N</v>
      </c>
      <c r="HO148" s="343" t="str">
        <f t="shared" si="107"/>
        <v>S</v>
      </c>
      <c r="HP148" s="331" t="str">
        <f t="shared" si="108"/>
        <v>o</v>
      </c>
      <c r="HQ148" s="332" t="str">
        <f t="shared" si="109"/>
        <v>o</v>
      </c>
      <c r="HR148" s="332" t="str">
        <f t="shared" si="110"/>
        <v>•</v>
      </c>
      <c r="HS148" s="332" t="str">
        <f t="shared" si="111"/>
        <v>o</v>
      </c>
      <c r="HT148" s="332" t="str">
        <f t="shared" si="112"/>
        <v>•</v>
      </c>
      <c r="HU148" s="332" t="str">
        <f t="shared" si="113"/>
        <v>o</v>
      </c>
      <c r="HV148" s="332" t="str">
        <f t="shared" si="114"/>
        <v>•</v>
      </c>
      <c r="HW148" s="332" t="str">
        <f t="shared" si="115"/>
        <v>o</v>
      </c>
      <c r="HX148" s="332" t="str">
        <f t="shared" si="116"/>
        <v>•</v>
      </c>
      <c r="HY148" s="332" t="str">
        <f t="shared" si="117"/>
        <v>o</v>
      </c>
      <c r="HZ148" s="332" t="str">
        <f t="shared" si="118"/>
        <v>o</v>
      </c>
      <c r="IA148" s="332" t="str">
        <f t="shared" si="119"/>
        <v>•</v>
      </c>
      <c r="IB148" s="338" t="str">
        <f t="shared" si="120"/>
        <v>o</v>
      </c>
      <c r="IC148" s="331" t="str">
        <f t="shared" si="121"/>
        <v>•</v>
      </c>
      <c r="ID148" s="332" t="str">
        <f t="shared" si="122"/>
        <v>•</v>
      </c>
      <c r="IE148" s="332" t="str">
        <f t="shared" si="123"/>
        <v>o</v>
      </c>
      <c r="IF148" s="332" t="str">
        <f t="shared" si="124"/>
        <v>•</v>
      </c>
      <c r="IG148" s="332" t="str">
        <f t="shared" si="125"/>
        <v>o</v>
      </c>
      <c r="IH148" s="332" t="str">
        <f t="shared" si="126"/>
        <v>•</v>
      </c>
      <c r="II148" s="332" t="str">
        <f t="shared" si="127"/>
        <v>o</v>
      </c>
      <c r="IJ148" s="332" t="str">
        <f t="shared" si="128"/>
        <v>•</v>
      </c>
      <c r="IK148" s="332" t="str">
        <f t="shared" si="129"/>
        <v>o</v>
      </c>
      <c r="IL148" s="332" t="str">
        <f t="shared" si="130"/>
        <v>•</v>
      </c>
      <c r="IM148" s="332" t="str">
        <f t="shared" si="131"/>
        <v>•</v>
      </c>
      <c r="IN148" s="332" t="str">
        <f t="shared" si="132"/>
        <v>o</v>
      </c>
      <c r="IO148" s="338" t="str">
        <f t="shared" si="133"/>
        <v>•</v>
      </c>
      <c r="IP148" s="346" t="b">
        <f t="shared" si="134"/>
        <v>0</v>
      </c>
      <c r="IQ148" s="347" t="b">
        <f t="shared" si="135"/>
        <v>1</v>
      </c>
      <c r="IR148" s="347" t="b">
        <f t="shared" si="136"/>
        <v>0</v>
      </c>
      <c r="IS148" s="347" t="b">
        <f t="shared" si="137"/>
        <v>0</v>
      </c>
      <c r="IT148" s="347" t="b">
        <f t="shared" si="138"/>
        <v>0</v>
      </c>
      <c r="IU148" s="347" t="b">
        <f t="shared" si="139"/>
        <v>0</v>
      </c>
      <c r="IV148" s="347" t="b">
        <f t="shared" si="140"/>
        <v>0</v>
      </c>
      <c r="IW148" s="347" t="b">
        <f t="shared" si="141"/>
        <v>1</v>
      </c>
      <c r="IX148" s="347" t="b">
        <f t="shared" si="142"/>
        <v>0</v>
      </c>
      <c r="IY148" s="347" t="b">
        <f t="shared" si="143"/>
        <v>1</v>
      </c>
      <c r="IZ148" s="347" t="b">
        <f t="shared" si="144"/>
        <v>0</v>
      </c>
      <c r="JA148" s="347" t="b">
        <f t="shared" si="145"/>
        <v>0</v>
      </c>
      <c r="JB148" s="353" t="b">
        <f t="shared" si="146"/>
        <v>0</v>
      </c>
      <c r="JC148" s="354" t="str">
        <f t="shared" si="147"/>
        <v/>
      </c>
      <c r="JD148" s="355" t="str">
        <f t="shared" si="148"/>
        <v>re, </v>
      </c>
      <c r="JE148" s="355" t="str">
        <f t="shared" si="149"/>
        <v/>
      </c>
      <c r="JF148" s="355" t="str">
        <f t="shared" si="150"/>
        <v/>
      </c>
      <c r="JG148" s="355" t="str">
        <f t="shared" si="151"/>
        <v/>
      </c>
      <c r="JH148" s="355" t="str">
        <f t="shared" si="152"/>
        <v/>
      </c>
      <c r="JI148" s="355" t="str">
        <f t="shared" si="153"/>
        <v/>
      </c>
      <c r="JJ148" s="355" t="str">
        <f t="shared" si="154"/>
        <v>Pa, </v>
      </c>
      <c r="JK148" s="355" t="str">
        <f t="shared" si="155"/>
        <v/>
      </c>
      <c r="JL148" s="355" t="str">
        <f t="shared" si="156"/>
        <v>Dha, </v>
      </c>
      <c r="JM148" s="355" t="str">
        <f t="shared" si="157"/>
        <v/>
      </c>
      <c r="JN148" s="355" t="str">
        <f t="shared" si="158"/>
        <v/>
      </c>
      <c r="JO148" s="359" t="str">
        <f t="shared" si="159"/>
        <v/>
      </c>
      <c r="JP148" s="346" t="b">
        <f t="shared" si="160"/>
        <v>0</v>
      </c>
      <c r="JQ148" s="347" t="b">
        <f t="shared" si="161"/>
        <v>1</v>
      </c>
      <c r="JR148" s="347" t="b">
        <f t="shared" si="162"/>
        <v>0</v>
      </c>
      <c r="JS148" s="347" t="b">
        <f t="shared" si="163"/>
        <v>0</v>
      </c>
      <c r="JT148" s="347" t="b">
        <f t="shared" si="164"/>
        <v>0</v>
      </c>
      <c r="JU148" s="347" t="b">
        <f t="shared" si="165"/>
        <v>0</v>
      </c>
      <c r="JV148" s="347" t="b">
        <f t="shared" si="166"/>
        <v>0</v>
      </c>
      <c r="JW148" s="347" t="b">
        <f t="shared" si="167"/>
        <v>0</v>
      </c>
      <c r="JX148" s="347" t="b">
        <f t="shared" si="168"/>
        <v>0</v>
      </c>
      <c r="JY148" s="347" t="b">
        <f t="shared" si="169"/>
        <v>1</v>
      </c>
      <c r="JZ148" s="347" t="b">
        <f t="shared" si="170"/>
        <v>0</v>
      </c>
      <c r="KA148" s="347" t="b">
        <f t="shared" si="171"/>
        <v>0</v>
      </c>
      <c r="KB148" s="365" t="b">
        <f t="shared" si="172"/>
        <v>0</v>
      </c>
      <c r="KC148" s="354" t="str">
        <f t="shared" si="173"/>
        <v/>
      </c>
      <c r="KD148" s="355" t="str">
        <f t="shared" si="174"/>
        <v>re, </v>
      </c>
      <c r="KE148" s="355" t="str">
        <f t="shared" si="175"/>
        <v/>
      </c>
      <c r="KF148" s="355" t="str">
        <f t="shared" si="176"/>
        <v/>
      </c>
      <c r="KG148" s="355" t="str">
        <f t="shared" si="177"/>
        <v/>
      </c>
      <c r="KH148" s="355" t="str">
        <f t="shared" si="178"/>
        <v/>
      </c>
      <c r="KI148" s="355" t="str">
        <f t="shared" si="179"/>
        <v/>
      </c>
      <c r="KJ148" s="355" t="str">
        <f t="shared" si="180"/>
        <v/>
      </c>
      <c r="KK148" s="355" t="str">
        <f t="shared" si="181"/>
        <v/>
      </c>
      <c r="KL148" s="355" t="str">
        <f t="shared" si="182"/>
        <v>Dha, </v>
      </c>
      <c r="KM148" s="355" t="str">
        <f t="shared" si="183"/>
        <v/>
      </c>
      <c r="KN148" s="355" t="str">
        <f t="shared" si="184"/>
        <v/>
      </c>
      <c r="KO148" s="359"/>
      <c r="KP148" s="378"/>
      <c r="KQ148" s="379" t="s">
        <v>524</v>
      </c>
      <c r="KR148" s="380" t="s">
        <v>1410</v>
      </c>
      <c r="KS148" s="381" t="str">
        <f t="shared" si="500"/>
        <v>S-r-g-m-P-D-n-S</v>
      </c>
      <c r="KT148" s="382">
        <f t="shared" si="186"/>
        <v>7</v>
      </c>
      <c r="KU148" s="383">
        <f t="shared" si="187"/>
        <v>7</v>
      </c>
      <c r="KV148" s="381" t="str">
        <f t="shared" si="205"/>
        <v>S-D-P-m-g-r-S</v>
      </c>
      <c r="KW148" s="382">
        <f t="shared" si="189"/>
        <v>6</v>
      </c>
      <c r="KX148" s="384">
        <f t="shared" si="190"/>
        <v>6</v>
      </c>
      <c r="KY148" s="382">
        <f t="shared" ref="KY148:KZ148" si="505">KW148-KT148</f>
        <v>-1</v>
      </c>
      <c r="KZ148" s="369">
        <f t="shared" si="505"/>
        <v>-1</v>
      </c>
      <c r="LA148" s="385" t="str">
        <f t="shared" si="192"/>
        <v>-</v>
      </c>
      <c r="LB148" s="340" t="str">
        <f>IFERROR(__xludf.DUMMYFUNCTION("JOIN("""",ArrayFormula(MID(KS148,LEN(KS148)-SEQUENCE(1,LEN(KS148))+1,1)))"),"S-n-D-P-m-g-r-S")</f>
        <v>S-n-D-P-m-g-r-S</v>
      </c>
      <c r="LC148" s="373" t="str">
        <f>IFERROR(__xludf.DUMMYFUNCTION("JOIN("""",ArrayFormula(MID(KV148,LEN(KV148)-SEQUENCE(1,LEN(KV148))+1,1)))"),"S-r-g-m-P-D-S")</f>
        <v>S-r-g-m-P-D-S</v>
      </c>
      <c r="LD148" s="373" t="str">
        <f t="shared" si="193"/>
        <v>SrgmPDnS</v>
      </c>
      <c r="LE148" s="339" t="str">
        <f t="shared" si="194"/>
        <v>SrgmPDS</v>
      </c>
      <c r="LF148" s="386" t="str">
        <f>IFERROR(__xludf.DUMMYFUNCTION("SUBSTITUTE(SUBSTITUTE(CONCATENATE(JOIN("""",LH148:LT148)),""1"",""""),""2"","""")"),"SrgmPDnS")</f>
        <v>SrgmPDnS</v>
      </c>
      <c r="LG148" s="369" t="str">
        <f t="shared" si="195"/>
        <v>✔</v>
      </c>
      <c r="LH148" s="387" t="str">
        <f>IFERROR(__xludf.DUMMYFUNCTION("IF(REGEXMATCH(LD148, ""S""), ""S"",IF(REGEXMATCH(LE148, ""S""), ""S"",""""))"),"S")</f>
        <v>S</v>
      </c>
      <c r="LI148" s="299" t="str">
        <f>IFERROR(__xludf.DUMMYFUNCTION("IF(REGEXMATCH(LD148, ""r""), ""r1"",IF(REGEXMATCH(LE148, ""r""), ""r2"",""""))"),"r1")</f>
        <v>r1</v>
      </c>
      <c r="LJ148" s="299" t="str">
        <f>IFERROR(__xludf.DUMMYFUNCTION("IF(REGEXMATCH(LD148, ""R""), ""R1"",IF(REGEXMATCH(LE148, ""R""), ""R2"",""""))"),"")</f>
        <v/>
      </c>
      <c r="LK148" s="299" t="str">
        <f>IFERROR(__xludf.DUMMYFUNCTION("IF(REGEXMATCH(LD148, ""g""), ""g1"",IF(REGEXMATCH(LE148, ""g""), ""g2"",""""))"),"g1")</f>
        <v>g1</v>
      </c>
      <c r="LL148" s="299" t="str">
        <f>IFERROR(__xludf.DUMMYFUNCTION("IF(REGEXMATCH(LD148, ""G""), ""G1"",IF(REGEXMATCH(LE148, ""G""), ""G2"",""""))"),"")</f>
        <v/>
      </c>
      <c r="LM148" s="299" t="str">
        <f>IFERROR(__xludf.DUMMYFUNCTION("IF(REGEXMATCH(LD148, ""m""), ""m1"",IF(REGEXMATCH(LE148, ""m""), ""m2"",""""))"),"m1")</f>
        <v>m1</v>
      </c>
      <c r="LN148" s="299" t="str">
        <f>IFERROR(__xludf.DUMMYFUNCTION("IF(REGEXMATCH(LD148, ""M""), ""M1"",IF(REGEXMATCH(LE148, ""M""), ""M2"",""""))"),"")</f>
        <v/>
      </c>
      <c r="LO148" s="299" t="str">
        <f>IFERROR(__xludf.DUMMYFUNCTION("IF(REGEXMATCH(LD148, ""P""), ""P1"",IF(REGEXMATCH(LE148, ""P""), ""P2"",""""))"),"P1")</f>
        <v>P1</v>
      </c>
      <c r="LP148" s="299" t="str">
        <f>IFERROR(__xludf.DUMMYFUNCTION("IF(REGEXMATCH(LD148, ""d""), ""d1"",IF(REGEXMATCH(LE148, ""d""), ""d2"",""""))"),"")</f>
        <v/>
      </c>
      <c r="LQ148" s="299" t="str">
        <f>IFERROR(__xludf.DUMMYFUNCTION("IF(REGEXMATCH(LD148, ""D""), ""D1"",IF(REGEXMATCH(LE148, ""D""), ""D2"",""""))"),"D1")</f>
        <v>D1</v>
      </c>
      <c r="LR148" s="299" t="str">
        <f>IFERROR(__xludf.DUMMYFUNCTION("IF(REGEXMATCH(LD148, ""n""), ""n1"",IF(REGEXMATCH(LE148, ""n""), ""n2"",""""))"),"n1")</f>
        <v>n1</v>
      </c>
      <c r="LS148" s="299" t="str">
        <f>IFERROR(__xludf.DUMMYFUNCTION("IF(REGEXMATCH(LD148, ""N""), ""N1"",IF(REGEXMATCH(LE148, ""N""), ""N2"",""""))"),"")</f>
        <v/>
      </c>
      <c r="LT148" s="388" t="str">
        <f>IFERROR(__xludf.DUMMYFUNCTION("IF(REGEXMATCH(LD148, ""S""), ""S"",IF(REGEXMATCH(LE148, ""S""), ""S"",""""))"),"S")</f>
        <v>S</v>
      </c>
      <c r="LU148" s="389">
        <f t="shared" si="196"/>
        <v>3</v>
      </c>
      <c r="LV148" s="378"/>
      <c r="LW148" s="369"/>
      <c r="LX148" s="369"/>
    </row>
    <row r="149" ht="18.0" customHeight="1">
      <c r="A149" s="298" t="s">
        <v>822</v>
      </c>
      <c r="B149" s="222" t="s">
        <v>719</v>
      </c>
      <c r="C149" s="233" t="str">
        <f t="shared" si="7"/>
        <v>SRmPDS</v>
      </c>
      <c r="D149" s="234" t="str">
        <f>IFERROR(__xludf.DUMMYFUNCTION("IF(REGEXMATCH(C149, ""S""), ""S"","""")"),"S")</f>
        <v>S</v>
      </c>
      <c r="E149" s="236" t="str">
        <f>IFERROR(__xludf.DUMMYFUNCTION("IF(REGEXMATCH(C149, ""r""), ""r"","""")"),"")</f>
        <v/>
      </c>
      <c r="F149" s="237" t="str">
        <f>IFERROR(__xludf.DUMMYFUNCTION("IF(REGEXMATCH(C149, ""R""), ""R"","""")"),"R")</f>
        <v>R</v>
      </c>
      <c r="G149" s="237" t="str">
        <f>IFERROR(__xludf.DUMMYFUNCTION("IF(REGEXMATCH(C149, ""g""), ""g"","""")"),"")</f>
        <v/>
      </c>
      <c r="H149" s="236" t="str">
        <f>IFERROR(__xludf.DUMMYFUNCTION("IF(REGEXMATCH(C149, ""G""), ""G"","""")"),"")</f>
        <v/>
      </c>
      <c r="I149" s="236" t="str">
        <f>IFERROR(__xludf.DUMMYFUNCTION("IF(REGEXMATCH(C149, ""m""), ""m"","""")"),"m")</f>
        <v>m</v>
      </c>
      <c r="J149" s="237" t="str">
        <f>IFERROR(__xludf.DUMMYFUNCTION("IF(REGEXMATCH(C149, ""M""), ""M"","""")"),"")</f>
        <v/>
      </c>
      <c r="K149" s="236" t="str">
        <f>IFERROR(__xludf.DUMMYFUNCTION("IF(REGEXMATCH(C149, ""P""), ""P"","""")"),"P")</f>
        <v>P</v>
      </c>
      <c r="L149" s="237" t="str">
        <f>IFERROR(__xludf.DUMMYFUNCTION("IF(REGEXMATCH(C149, ""d""), ""d"","""")"),"")</f>
        <v/>
      </c>
      <c r="M149" s="236" t="str">
        <f>IFERROR(__xludf.DUMMYFUNCTION("IF(REGEXMATCH(C149, ""D""), ""D"","""")"),"D")</f>
        <v>D</v>
      </c>
      <c r="N149" s="236" t="str">
        <f>IFERROR(__xludf.DUMMYFUNCTION("IF(REGEXMATCH(C149, ""n""), ""n"","""")"),"")</f>
        <v/>
      </c>
      <c r="O149" s="237" t="str">
        <f>IFERROR(__xludf.DUMMYFUNCTION("IF(REGEXMATCH(C149, ""N""), ""N"","""")"),"")</f>
        <v/>
      </c>
      <c r="P149" s="238" t="str">
        <f>IFERROR(__xludf.DUMMYFUNCTION("IF(REGEXMATCH(C149, ""S""), ""S"","""")"),"S")</f>
        <v>S</v>
      </c>
      <c r="Q149" s="239" t="str">
        <f>IFERROR(__xludf.DUMMYFUNCTION("SUBSTITUTE(CONCATENATE(JOIN(""-"",D149:J149)),""-"","""")"),"SRm")</f>
        <v>SRm</v>
      </c>
      <c r="R149" s="229" t="str">
        <f>IFERROR(__xludf.DUMMYFUNCTION("SUBSTITUTE(CONCATENATE(JOIN(""-"",K149:P149)),""-"","""")"),"PDS")</f>
        <v>PDS</v>
      </c>
      <c r="S149" s="282" t="str">
        <f t="shared" si="8"/>
        <v>S-R-M</v>
      </c>
      <c r="T149" s="282" t="str">
        <f t="shared" si="9"/>
        <v>P-D-S</v>
      </c>
      <c r="U149" s="237" t="str">
        <f>IFERROR(__xludf.DUMMYFUNCTION("SUBSTITUTE(JOIN(""-"",S149,T149),""--"",""-"")"),"S-R-M-P-D-S")</f>
        <v>S-R-M-P-D-S</v>
      </c>
      <c r="V149" s="309" t="str">
        <f t="shared" si="10"/>
        <v>RmD</v>
      </c>
      <c r="W149" s="244" t="str">
        <f>IFERROR(__xludf.DUMMYFUNCTION("IF(REGEXMATCH(C149, ""S""), ""0"","""")"),"0")</f>
        <v>0</v>
      </c>
      <c r="X149" s="245" t="str">
        <f>IFERROR(__xludf.DUMMYFUNCTION("IF(REGEXMATCH(C149, ""r""), ""1"","""")"),"")</f>
        <v/>
      </c>
      <c r="Y149" s="246" t="str">
        <f>IFERROR(__xludf.DUMMYFUNCTION("IF(REGEXMATCH(C149, ""R""), ""2"","""")"),"2")</f>
        <v>2</v>
      </c>
      <c r="Z149" s="246" t="str">
        <f>IFERROR(__xludf.DUMMYFUNCTION("IF(REGEXMATCH(C149, ""g""), ""3"","""")"),"")</f>
        <v/>
      </c>
      <c r="AA149" s="245" t="str">
        <f>IFERROR(__xludf.DUMMYFUNCTION("IF(REGEXMATCH(C149, ""G""), ""4"","""")"),"")</f>
        <v/>
      </c>
      <c r="AB149" s="245" t="str">
        <f>IFERROR(__xludf.DUMMYFUNCTION("IF(REGEXMATCH(C149, ""m""), ""5"","""")"),"5")</f>
        <v>5</v>
      </c>
      <c r="AC149" s="246" t="str">
        <f>IFERROR(__xludf.DUMMYFUNCTION("IF(REGEXMATCH(C149, ""M""), ""6"","""")"),"")</f>
        <v/>
      </c>
      <c r="AD149" s="245" t="str">
        <f>IFERROR(__xludf.DUMMYFUNCTION("IF(REGEXMATCH(C149, ""P""), ""7"","""")"),"7")</f>
        <v>7</v>
      </c>
      <c r="AE149" s="246" t="str">
        <f>IFERROR(__xludf.DUMMYFUNCTION("IF(REGEXMATCH(C149, ""d""), ""8"","""")"),"")</f>
        <v/>
      </c>
      <c r="AF149" s="245" t="str">
        <f>IFERROR(__xludf.DUMMYFUNCTION("IF(REGEXMATCH(C149, ""D""), ""9"","""")"),"9")</f>
        <v>9</v>
      </c>
      <c r="AG149" s="245" t="str">
        <f>IFERROR(__xludf.DUMMYFUNCTION("IF(REGEXMATCH(C149, ""n""), ""10"","""")"),"")</f>
        <v/>
      </c>
      <c r="AH149" s="246" t="str">
        <f>IFERROR(__xludf.DUMMYFUNCTION("IF(REGEXMATCH(C149, ""N""), ""11"","""")"),"")</f>
        <v/>
      </c>
      <c r="AI149" s="249" t="str">
        <f>IFERROR(__xludf.DUMMYFUNCTION("IF(REGEXMATCH(C149, ""S""), ""0"","""")"),"0")</f>
        <v>0</v>
      </c>
      <c r="AJ149" s="313" t="str">
        <f t="shared" si="11"/>
        <v>-</v>
      </c>
      <c r="AK149" s="313" t="str">
        <f t="shared" si="12"/>
        <v>-</v>
      </c>
      <c r="AL149" s="313" t="str">
        <f t="shared" si="13"/>
        <v>-</v>
      </c>
      <c r="AM149" s="313" t="str">
        <f t="shared" si="14"/>
        <v>-</v>
      </c>
      <c r="AN149" s="313" t="str">
        <f t="shared" si="15"/>
        <v>-</v>
      </c>
      <c r="AO149" s="314" t="str">
        <f t="shared" si="16"/>
        <v>-</v>
      </c>
      <c r="AP149" s="316">
        <f t="shared" si="17"/>
        <v>0</v>
      </c>
      <c r="AQ149" s="319" t="str">
        <f t="shared" si="18"/>
        <v>-</v>
      </c>
      <c r="AR149" s="320">
        <f t="shared" si="19"/>
        <v>0</v>
      </c>
      <c r="AS149" s="250" t="str">
        <f>IFERROR(__xludf.DUMMYFUNCTION("SUBSTITUTE(SUBSTITUTE(CONCATENATE(JOIN("""",FP149:GA149)),""|"",""x""),""-"",""o"")"),"xoxooxoxoxoo")</f>
        <v>xoxooxoxoxoo</v>
      </c>
      <c r="AT149" s="323" t="str">
        <f>IFERROR(__xludf.DUMMYFUNCTION("JOIN("""",AS149,AS149)"),"xoxooxoxoxooxoxooxoxoxoo")</f>
        <v>xoxooxoxoxooxoxooxoxoxoo</v>
      </c>
      <c r="AU149" s="256" t="str">
        <f>IFERROR(__xludf.DUMMYFUNCTION("JOIN("""",ArrayFormula(MID(AS149,LEN(AS149)-SEQUENCE(1,LEN(AS149))+1,1)))"),"ooxoxoxooxox")</f>
        <v>ooxoxoxooxox</v>
      </c>
      <c r="AV149" s="256" t="str">
        <f>IFERROR(__xludf.DUMMYFUNCTION("LEFT(CONCATENATE(""x"",JOIN("""",ArrayFormula(MID(AS149,LEN(AS149)-SEQUENCE(1,LEN(AS149))+1,1)))),12)"),"xooxoxoxooxo")</f>
        <v>xooxoxoxooxo</v>
      </c>
      <c r="AW149" s="327" t="str">
        <f>IFERROR(__xludf.DUMMYFUNCTION("JOIN("""",AU149,AU149)"),"ooxoxoxooxoxooxoxoxooxox")</f>
        <v>ooxoxoxooxoxooxoxoxooxox</v>
      </c>
      <c r="AX149" s="239" t="str">
        <f>IFERROR(__xludf.DUMMYFUNCTION("IF(REGEXMATCH(AW149,AS149),""✔"",""-"")"),"✔")</f>
        <v>✔</v>
      </c>
      <c r="AY149" s="330" t="str">
        <f t="shared" si="20"/>
        <v>-</v>
      </c>
      <c r="AZ149" s="260" t="str">
        <f t="shared" si="21"/>
        <v>#REF!</v>
      </c>
      <c r="BA149" s="333" t="str">
        <f t="shared" si="22"/>
        <v>xoxooxo</v>
      </c>
      <c r="BB149" s="334" t="str">
        <f t="shared" si="23"/>
        <v>xoxoox</v>
      </c>
      <c r="BC149" s="335" t="str">
        <f t="shared" si="236"/>
        <v>✔</v>
      </c>
      <c r="BD149" s="336" t="str">
        <f t="shared" si="25"/>
        <v>Jaldhar Kedar: 'xoxooxo' + 'xoxoox'</v>
      </c>
      <c r="BE149" s="337">
        <f>IFERROR(__xludf.DUMMYFUNCTION("COUNTUNIQUE(FILTER(AT:AT,REGEXMATCH(AT:AT,AS149)))-1"),4.0)</f>
        <v>4</v>
      </c>
      <c r="BF149" s="261" t="str">
        <f>IFERROR(__xludf.DUMMYFUNCTION("IF(BI149=0,""(n/a)"",IF(BJ149=2,""(PAIR)"",IF(REGEXMATCH(AT149,""xoxoxxoxoxox""),""Bilawal"",IF(REGEXMATCH(AT149,""xoxoxooxoxoo""),""Bhupali"",IF(REGEXMATCH(AT149,""xoxoxxoxxoxo""),""Charukeshi"",IF(REGEXMATCH(AT149,""xoxoooxxoxxo""),""Kameshwari"",IF(REG"&amp;"EXMATCH(AT149,""xoxoxooxoxox""),""Shankara"",IF(REGEXMATCH(AT149,""xxooxoxxxoox""),""Basant"",IF(REGEXMATCH(AT149,""xoxoxxxxoxox""),""Bihag"",IF(REGEXMATCH(AT149,""xoxxxxoxoxxx""),""Pilu"",IF(REGEXMATCH(AT149,""xoxxoxoxxoox""),""Kirwani"",IF(REGEXMATCH(AT"&amp;"149,""xoxxoxoxoxxx""),""Mk.Malhar"",IF(REGEXMATCH(AT149,""xxooxxoxxoox""),""Bhairav"",IF(REGEXMATCH(AT149,""xxoxooxxxoox""),""Todi"",IF(REGEXMATCH(AT149,""xxooxoxooxox""),""Marwa"",IF(REGEXMATCH(AT149,""xxoooxoxxooo""),""Gunkali"",IF(REGEXMATCH(AT149,""xo"&amp;"xoxxoxxoox""),""Nat Bhairav"",IF(REGEXMATCH(AT149,""xoxxoooxoxoo""),""Shivranjani"",IF(REGEXMATCH(AT149,""xooxxxoxooxo""),""Jog"",IF(REGEXMATCH(AT149,""xxooxoxoxoox""),""Hemshri"",IF(REGEXMATCH(AT149,""xoooxooxoxxo""),""Kalavati"",IF(REGEXMATCH(AT149,""xx"&amp;"oxoxxoxoox""),""Kedar"",IF(REGEXMATCH(AT149,""xoxxxxoxooxx""),""Gara"",IF(REGEXMATCH(AT149,""xooxoxooxoox""),""Chandrakauns"",IF(REGEXMATCH(AT149,""xoxxxxoxxxox""),""Mand"",IF(REGEXMATCH(AT149,""xoxxxxoxoxox""),""Hanskinkini"",IF(REGEXMATCH(AT149,""xxooxx"&amp;"oxooxo""),""Lilavati"",IF(REGEXMATCH(AT149,""xooxoxoooxox""),""Rajeshwari"",IF(REGEXMATCH(AT149,""xoooxxoxoxxx""),""Khokar"",IF(REGEXMATCH(AT149,""xxooxoxxxxox""),""Maligoura"",""-""))))))))))))))))))))))))))))))"),"Bhupali")</f>
        <v>Bhupali</v>
      </c>
      <c r="BG149" s="239" t="str">
        <f t="shared" si="26"/>
        <v>#REF!</v>
      </c>
      <c r="BH149" s="239">
        <f>IFERROR(__xludf.DUMMYFUNCTION("COUNTUNIQUE(FE149:FO149)-1"),4.0)</f>
        <v>4</v>
      </c>
      <c r="BI149" s="239">
        <f>IFERROR(__xludf.DUMMYFUNCTION("COUNTUNIQUE(FILTER(AT:AT,REGEXMATCH(AT:AT,AS149)))-1"),4.0)</f>
        <v>4</v>
      </c>
      <c r="BJ149" s="239">
        <f>IFERROR(__xludf.DUMMYFUNCTION("COUNTA(FILTER(AT:AT,REGEXMATCH(AT:AT,AS149)))"),11.0)</f>
        <v>11</v>
      </c>
      <c r="BK149" s="341">
        <f>IFERROR(__xludf.DUMMYFUNCTION("COUNTA(FILTER(AT:AT,REGEXMATCH(AT:AT,AS149)))-AR149"),11.0)</f>
        <v>11</v>
      </c>
      <c r="BL149" s="276" t="str">
        <f>IFERROR(__xludf.DUMMYFUNCTION("IF(AS149=""oooooooooooo"",""-"",IF(REGEXMATCH(AT149,""xx""), ""Hemi."", ""Anhemi.""))"),"Anhemi.")</f>
        <v>Anhemi.</v>
      </c>
      <c r="BM149" s="282" t="str">
        <f>IFERROR(__xludf.DUMMYFUNCTION("IF(AS149=""oooooooooooo"",""-"",IF(REGEXMATCH(AT149,""xxx""), ""Cohem."", ""-""))"),"-")</f>
        <v>-</v>
      </c>
      <c r="BN149" s="282" t="str">
        <f>IFERROR(__xludf.DUMMYFUNCTION("IF(AS149=""oooooooooooo"",""-"",IF(REGEXMATCH(AT149,""xxxx""), ""Co-Co."", ""-""))"),"-")</f>
        <v>-</v>
      </c>
      <c r="BO149" s="342" t="str">
        <f>IFERROR(__xludf.DUMMYFUNCTION("IF(AS149=""oooooooooooo"",""-"",IF(REGEXMATCH(AT149,""xxxxx""), ""CCC."", ""-""))"),"-")</f>
        <v>-</v>
      </c>
      <c r="BP149" s="344" t="str">
        <f t="shared" si="27"/>
        <v>-</v>
      </c>
      <c r="BQ149" s="282" t="str">
        <f>IFERROR(__xludf.DUMMYFUNCTION("IF(REGEXMATCH(JOIN(""-"",EU149:FD149),""TRUE""),""✔"",""-"")"),"✔")</f>
        <v>✔</v>
      </c>
      <c r="BR149" s="225">
        <f t="shared" si="28"/>
        <v>3</v>
      </c>
      <c r="BS149" s="345" t="str">
        <f>IFERROR(__xludf.DUMMYFUNCTION("SUBSTITUTE(SUBSTITUTE(SUBSTITUTE(SUBSTITUTE(CONCATENATE(JOIN(""-"",GC149:GO149)),""--"",""-""),""--"",""-""),""--"",""-""),""--"",""-"")"),"1-2-4-5-6-8")</f>
        <v>1-2-4-5-6-8</v>
      </c>
      <c r="BT149" s="299" t="str">
        <f>IFERROR(__xludf.DUMMYFUNCTION("SUBSTITUTE(SUBSTITUTE(SUBSTITUTE(SUBSTITUTE(CONCATENATE(JOIN(""-"",GP149:HB149)),""--"",""-""),""--"",""-""),""--"",""-""),""--"",""-"")"),"S-R2-M1-P-D2-S")</f>
        <v>S-R2-M1-P-D2-S</v>
      </c>
      <c r="BU149" s="348" t="str">
        <f t="shared" si="29"/>
        <v>C-D-F-G-A-C</v>
      </c>
      <c r="BV149" s="349" t="str">
        <f t="shared" si="30"/>
        <v>SrgGMdnNS</v>
      </c>
      <c r="BW149" s="350">
        <f t="shared" si="31"/>
        <v>0</v>
      </c>
      <c r="BX149" s="351">
        <f t="shared" si="32"/>
        <v>3</v>
      </c>
      <c r="BY149" s="392"/>
      <c r="BZ149" s="309" t="str">
        <f>IFERROR(__xludf.DUMMYFUNCTION("IF(REGEXMATCH(C149, ""S""), ""x"",""x"")"),"x")</f>
        <v>x</v>
      </c>
      <c r="CA149" s="245" t="str">
        <f>IFERROR(__xludf.DUMMYFUNCTION("IF(REGEXMATCH(C149, ""r""), ""o"",""x"")"),"x")</f>
        <v>x</v>
      </c>
      <c r="CB149" s="246" t="str">
        <f>IFERROR(__xludf.DUMMYFUNCTION("IF(REGEXMATCH(C149, ""R""), ""o"",""x"")"),"o")</f>
        <v>o</v>
      </c>
      <c r="CC149" s="246" t="str">
        <f>IFERROR(__xludf.DUMMYFUNCTION("IF(REGEXMATCH(C149, ""g""), ""o"",""x"")"),"x")</f>
        <v>x</v>
      </c>
      <c r="CD149" s="245" t="str">
        <f>IFERROR(__xludf.DUMMYFUNCTION("IF(REGEXMATCH(C149, ""G""), ""o"",""x"")"),"x")</f>
        <v>x</v>
      </c>
      <c r="CE149" s="245" t="str">
        <f>IFERROR(__xludf.DUMMYFUNCTION("IF(REGEXMATCH(C149, ""m""), ""o"",""x"")"),"o")</f>
        <v>o</v>
      </c>
      <c r="CF149" s="246" t="str">
        <f>IFERROR(__xludf.DUMMYFUNCTION("IF(REGEXMATCH(C149, ""M""), ""o"",""x"")"),"x")</f>
        <v>x</v>
      </c>
      <c r="CG149" s="245" t="str">
        <f>IFERROR(__xludf.DUMMYFUNCTION("IF(REGEXMATCH(C149, ""P""), ""o"",""x"")"),"o")</f>
        <v>o</v>
      </c>
      <c r="CH149" s="246" t="str">
        <f>IFERROR(__xludf.DUMMYFUNCTION("IF(REGEXMATCH(C149, ""d""), ""o"",""x"")"),"x")</f>
        <v>x</v>
      </c>
      <c r="CI149" s="245" t="str">
        <f>IFERROR(__xludf.DUMMYFUNCTION("IF(REGEXMATCH(C149, ""D""), ""o"",""x"")"),"o")</f>
        <v>o</v>
      </c>
      <c r="CJ149" s="245" t="str">
        <f>IFERROR(__xludf.DUMMYFUNCTION("IF(REGEXMATCH(C149, ""n""), ""o"",""x"")"),"x")</f>
        <v>x</v>
      </c>
      <c r="CK149" s="245" t="str">
        <f>IFERROR(__xludf.DUMMYFUNCTION("IF(REGEXMATCH(C149, ""N""), ""o"",""x"")"),"x")</f>
        <v>x</v>
      </c>
      <c r="CL149" s="356" t="str">
        <f>IFERROR(__xludf.DUMMYFUNCTION("IF(REGEXMATCH(C149, ""S""), ""x"",""x"")"),"x")</f>
        <v>x</v>
      </c>
      <c r="CM149" s="357" t="str">
        <f t="shared" si="33"/>
        <v>xxoxxoxoxoxx</v>
      </c>
      <c r="CN149" s="358">
        <f t="shared" si="34"/>
        <v>0</v>
      </c>
      <c r="CO149" s="246" t="str">
        <f>IFERROR(__xludf.DUMMYFUNCTION("IF(REGEXMATCH($C149, ""S""), ""S"",""S"")"),"S")</f>
        <v>S</v>
      </c>
      <c r="CP149" s="246" t="str">
        <f>IFERROR(__xludf.DUMMYFUNCTION("IF(REGEXMATCH($C149, ""r""), """",""r"")"),"r")</f>
        <v>r</v>
      </c>
      <c r="CQ149" s="246" t="str">
        <f>IFERROR(__xludf.DUMMYFUNCTION("IF(REGEXMATCH($C149, ""R""), """",""R"")"),"")</f>
        <v/>
      </c>
      <c r="CR149" s="246" t="str">
        <f>IFERROR(__xludf.DUMMYFUNCTION("IF(REGEXMATCH($C149, ""g""), """",""g"")"),"g")</f>
        <v>g</v>
      </c>
      <c r="CS149" s="246" t="str">
        <f>IFERROR(__xludf.DUMMYFUNCTION("IF(REGEXMATCH($C149, ""G""), """",""G"")"),"G")</f>
        <v>G</v>
      </c>
      <c r="CT149" s="246" t="str">
        <f>IFERROR(__xludf.DUMMYFUNCTION("IF(REGEXMATCH($C149, ""m""), """",""m"")"),"")</f>
        <v/>
      </c>
      <c r="CU149" s="246" t="str">
        <f>IFERROR(__xludf.DUMMYFUNCTION("IF(REGEXMATCH($C149, ""M""), """",""M"")"),"M")</f>
        <v>M</v>
      </c>
      <c r="CV149" s="246" t="str">
        <f>IFERROR(__xludf.DUMMYFUNCTION("IF(REGEXMATCH($C149, ""P""), """",""P"")"),"")</f>
        <v/>
      </c>
      <c r="CW149" s="246" t="str">
        <f>IFERROR(__xludf.DUMMYFUNCTION("IF(REGEXMATCH($C149, ""d""), """",""d"")"),"d")</f>
        <v>d</v>
      </c>
      <c r="CX149" s="246" t="str">
        <f>IFERROR(__xludf.DUMMYFUNCTION("IF(REGEXMATCH($C149, ""D""), """",""D"")"),"")</f>
        <v/>
      </c>
      <c r="CY149" s="246" t="str">
        <f>IFERROR(__xludf.DUMMYFUNCTION("IF(REGEXMATCH($C149, ""n""), """",""n"")"),"n")</f>
        <v>n</v>
      </c>
      <c r="CZ149" s="246" t="str">
        <f>IFERROR(__xludf.DUMMYFUNCTION("IF(REGEXMATCH($C149, ""N""), """",""N"")"),"N")</f>
        <v>N</v>
      </c>
      <c r="DA149" s="246" t="str">
        <f>IFERROR(__xludf.DUMMYFUNCTION("IF(REGEXMATCH($C149, ""S""), ""S"",""S"")"),"S")</f>
        <v>S</v>
      </c>
      <c r="DB149" s="362" t="str">
        <f>IFERROR(__xludf.DUMMYFUNCTION("JOIN("""",CO149:DA149,"""","""")"),"SrgGMdnNS")</f>
        <v>SrgGMdnNS</v>
      </c>
      <c r="DC149" s="363"/>
      <c r="DD149" s="301" t="str">
        <f t="shared" si="35"/>
        <v>#REF!</v>
      </c>
      <c r="DE149" s="302" t="str">
        <f t="shared" si="36"/>
        <v>#REF!</v>
      </c>
      <c r="DF149" s="301" t="str">
        <f t="shared" ref="DF149:DG149" si="506">SUBSTITUTE(S149,"-","")</f>
        <v>SRM</v>
      </c>
      <c r="DG149" s="301" t="str">
        <f t="shared" si="506"/>
        <v>PDS</v>
      </c>
      <c r="DH149" s="302" t="str">
        <f t="shared" si="38"/>
        <v>Bhupali</v>
      </c>
      <c r="DI149" s="301" t="str">
        <f t="shared" si="39"/>
        <v>Anhemi.</v>
      </c>
      <c r="DJ149" s="364" t="str">
        <f t="shared" si="40"/>
        <v>-</v>
      </c>
      <c r="DK149" s="306" t="str">
        <f t="shared" si="41"/>
        <v>-</v>
      </c>
      <c r="DL149" s="366" t="str">
        <f t="shared" si="42"/>
        <v>✔</v>
      </c>
      <c r="DM149" s="308" t="str">
        <f t="shared" si="43"/>
        <v>-</v>
      </c>
      <c r="DN149" s="306" t="str">
        <f t="shared" si="44"/>
        <v>✔</v>
      </c>
      <c r="DO149" s="306" t="str">
        <f t="shared" si="45"/>
        <v>-</v>
      </c>
      <c r="DP149" s="367" t="str">
        <f t="shared" si="46"/>
        <v>-</v>
      </c>
      <c r="DQ149" s="310" t="str">
        <f t="shared" si="47"/>
        <v>-</v>
      </c>
      <c r="DR149" s="310" t="str">
        <f t="shared" si="48"/>
        <v>-</v>
      </c>
      <c r="DS149" s="310" t="str">
        <f t="shared" si="49"/>
        <v>-</v>
      </c>
      <c r="DT149" s="310" t="str">
        <f t="shared" si="50"/>
        <v>-</v>
      </c>
      <c r="DU149" s="370" t="str">
        <f t="shared" si="51"/>
        <v>-</v>
      </c>
      <c r="DV149" s="306" t="str">
        <f t="shared" si="52"/>
        <v>-</v>
      </c>
      <c r="DW149" s="306" t="str">
        <f t="shared" si="53"/>
        <v>✔</v>
      </c>
      <c r="DX149" s="306" t="str">
        <f t="shared" si="54"/>
        <v>-</v>
      </c>
      <c r="DY149" s="306" t="str">
        <f t="shared" si="55"/>
        <v>-</v>
      </c>
      <c r="DZ149" s="306" t="str">
        <f t="shared" si="56"/>
        <v>-</v>
      </c>
      <c r="EA149" s="367" t="str">
        <f t="shared" si="57"/>
        <v>✔</v>
      </c>
      <c r="EB149" s="310" t="str">
        <f>IFERROR(__xludf.DUMMYFUNCTION("IF(REGEXMATCH(AW149,AS149),""✔"",""-"")"),"✔")</f>
        <v>✔</v>
      </c>
      <c r="EC149" s="310" t="str">
        <f t="shared" si="58"/>
        <v>#REF!</v>
      </c>
      <c r="ED149" s="370" t="str">
        <f t="shared" si="59"/>
        <v>-</v>
      </c>
      <c r="EE149" s="340" t="str">
        <f t="shared" si="60"/>
        <v>S-R-m-P-D-S</v>
      </c>
      <c r="EF149" s="371" t="str">
        <f>IFERROR(__xludf.DUMMYFUNCTION("CONCATENATE(JOIN("""",HC149:HO149))"),"SgmPnS")</f>
        <v>SgmPnS</v>
      </c>
      <c r="EG149" s="372">
        <f t="shared" si="61"/>
        <v>1</v>
      </c>
      <c r="EH149" s="373" t="str">
        <f>IFERROR(__xludf.DUMMYFUNCTION("CONCATENATE(JOIN("""",JC149:JO149))"),"Dha, ")</f>
        <v>Dha, </v>
      </c>
      <c r="EI149" s="322">
        <f t="shared" si="62"/>
        <v>0</v>
      </c>
      <c r="EJ149" s="374" t="str">
        <f>IFERROR(__xludf.DUMMYFUNCTION("CONCATENATE(JOIN("""",KC149:KO149))"),"")</f>
        <v/>
      </c>
      <c r="EK149" s="325" t="str">
        <f t="shared" si="63"/>
        <v>S-R2-M1-P-D2-S</v>
      </c>
      <c r="EL149" s="326" t="str">
        <f t="shared" si="64"/>
        <v>1-2-4-5-6-8</v>
      </c>
      <c r="EM149" s="318" t="str">
        <f t="shared" si="65"/>
        <v>#REF!</v>
      </c>
      <c r="EN149" s="328" t="str">
        <f>IFERROR(__xludf.DUMMYFUNCTION("SUBSTITUTE(SUBSTITUTE(SUBSTITUTE(SUBSTITUTE(CONCATENATE(JOIN("" "",HP149:IB149)),""  "","" ""),""  "","" ""),""  "","" ""),""  "","" "")"),"o • o • • o • o • o • • o")</f>
        <v>o • o • • o • o • o • • o</v>
      </c>
      <c r="EO149" s="368" t="str">
        <f t="shared" si="66"/>
        <v>-</v>
      </c>
      <c r="EP149" s="339" t="str">
        <f t="shared" si="67"/>
        <v>-</v>
      </c>
      <c r="EQ149" s="339" t="str">
        <f t="shared" si="68"/>
        <v>Sa-Pa</v>
      </c>
      <c r="ER149" s="339" t="str">
        <f t="shared" si="69"/>
        <v>-</v>
      </c>
      <c r="ES149" s="340" t="str">
        <f t="shared" si="70"/>
        <v>-</v>
      </c>
      <c r="ET149" s="363"/>
      <c r="EU149" s="376" t="b">
        <f>IFERROR(__xludf.DUMMYFUNCTION("arrayformula(sum(--REGEXMATCH(""SRGMPDNS"",split(REGEXREPLACE(C149,""(.)"",""$1~""),""~""))))=len(C149)
"),FALSE)</f>
        <v>0</v>
      </c>
      <c r="EV149" s="290" t="b">
        <f>IFERROR(__xludf.DUMMYFUNCTION("arrayformula(sum(--REGEXMATCH(""SRGmPDNS"",split(REGEXREPLACE(C149,""(.)"",""$1~""),""~""))))=len(C149)"),TRUE)</f>
        <v>1</v>
      </c>
      <c r="EW149" s="290" t="b">
        <f>IFERROR(__xludf.DUMMYFUNCTION("arrayformula(sum(--REGEXMATCH(""SRGmPDnS"",split(REGEXREPLACE(C149,""(.)"",""$1~""),""~""))))=len(C149)"),TRUE)</f>
        <v>1</v>
      </c>
      <c r="EX149" s="290" t="b">
        <f>IFERROR(__xludf.DUMMYFUNCTION("arrayformula(sum(--REGEXMATCH(""SRgmPDnS"",split(REGEXREPLACE(C149,""(.)"",""$1~""),""~""))))=len(C149)"),TRUE)</f>
        <v>1</v>
      </c>
      <c r="EY149" s="290" t="b">
        <f>IFERROR(__xludf.DUMMYFUNCTION("arrayformula(sum(--REGEXMATCH(""SRgmPdnS"",split(REGEXREPLACE(C149,""(.)"",""$1~""),""~""))))=len(C149)"),FALSE)</f>
        <v>0</v>
      </c>
      <c r="EZ149" s="290" t="b">
        <f>IFERROR(__xludf.DUMMYFUNCTION("arrayformula(sum(--REGEXMATCH(""SrgmPdnS"",split(REGEXREPLACE(C149,""(.)"",""$1~""),""~""))))=len(C149)"),FALSE)</f>
        <v>0</v>
      </c>
      <c r="FA149" s="290" t="b">
        <f>IFERROR(__xludf.DUMMYFUNCTION("arrayformula(sum(--REGEXMATCH(""SrGmPdNS"",split(REGEXREPLACE(C149,""(.)"",""$1~""),""~""))))=len(C149)"),FALSE)</f>
        <v>0</v>
      </c>
      <c r="FB149" s="290" t="b">
        <f>IFERROR(__xludf.DUMMYFUNCTION("arrayformula(sum(--REGEXMATCH(""SrGMPDNS"",split(REGEXREPLACE(C149,""(.)"",""$1~""),""~""))))=len(C149)"),FALSE)</f>
        <v>0</v>
      </c>
      <c r="FC149" s="290" t="b">
        <f>IFERROR(__xludf.DUMMYFUNCTION("arrayformula(sum(--REGEXMATCH(""SrGMPdNS"",split(REGEXREPLACE(C149,""(.)"",""$1~""),""~""))))=len(C149)"),FALSE)</f>
        <v>0</v>
      </c>
      <c r="FD149" s="377" t="b">
        <f>IFERROR(__xludf.DUMMYFUNCTION("arrayformula(sum(--REGEXMATCH(""SrgMPdNS"",split(REGEXREPLACE(C149,""(.)"",""$1~""),""~""))))=len(C149)"),FALSE)</f>
        <v>0</v>
      </c>
      <c r="FE149" s="269" t="str">
        <f t="shared" si="71"/>
        <v>-</v>
      </c>
      <c r="FF149" s="269" t="str">
        <f t="shared" si="72"/>
        <v>xooxoxoxoox</v>
      </c>
      <c r="FG149" s="271" t="str">
        <f t="shared" si="73"/>
        <v>-</v>
      </c>
      <c r="FH149" s="269" t="str">
        <f t="shared" si="74"/>
        <v>-</v>
      </c>
      <c r="FI149" s="271" t="str">
        <f t="shared" si="75"/>
        <v>xoxoxooxoxo</v>
      </c>
      <c r="FJ149" s="271" t="str">
        <f t="shared" si="76"/>
        <v>-</v>
      </c>
      <c r="FK149" s="271" t="str">
        <f t="shared" si="77"/>
        <v>xoxooxoxoox</v>
      </c>
      <c r="FL149" s="271" t="str">
        <f t="shared" si="78"/>
        <v>-</v>
      </c>
      <c r="FM149" s="271" t="str">
        <f t="shared" si="79"/>
        <v>xooxoxooxox</v>
      </c>
      <c r="FN149" s="271" t="str">
        <f t="shared" si="80"/>
        <v>-</v>
      </c>
      <c r="FO149" s="274" t="str">
        <f t="shared" si="81"/>
        <v>-</v>
      </c>
      <c r="FP149" s="234" t="str">
        <f t="shared" si="82"/>
        <v>|</v>
      </c>
      <c r="FQ149" s="236" t="str">
        <f t="shared" si="83"/>
        <v>-</v>
      </c>
      <c r="FR149" s="237" t="str">
        <f t="shared" si="84"/>
        <v>|</v>
      </c>
      <c r="FS149" s="236" t="str">
        <f t="shared" si="85"/>
        <v>-</v>
      </c>
      <c r="FT149" s="237" t="str">
        <f t="shared" si="86"/>
        <v>-</v>
      </c>
      <c r="FU149" s="236" t="str">
        <f t="shared" si="87"/>
        <v>|</v>
      </c>
      <c r="FV149" s="237" t="str">
        <f t="shared" si="88"/>
        <v>-</v>
      </c>
      <c r="FW149" s="236" t="str">
        <f t="shared" si="89"/>
        <v>|</v>
      </c>
      <c r="FX149" s="237" t="str">
        <f t="shared" si="90"/>
        <v>-</v>
      </c>
      <c r="FY149" s="236" t="str">
        <f t="shared" si="91"/>
        <v>|</v>
      </c>
      <c r="FZ149" s="237" t="str">
        <f t="shared" si="92"/>
        <v>-</v>
      </c>
      <c r="GA149" s="236" t="str">
        <f t="shared" si="93"/>
        <v>-</v>
      </c>
      <c r="GB149" s="238" t="str">
        <f t="shared" si="94"/>
        <v>|</v>
      </c>
      <c r="GC149" s="244" t="str">
        <f>IFERROR(__xludf.DUMMYFUNCTION("IF(REGEXMATCH(C149, ""S""), ""1"","""")"),"1")</f>
        <v>1</v>
      </c>
      <c r="GD149" s="245" t="str">
        <f>IFERROR(__xludf.DUMMYFUNCTION("IF(REGEXMATCH(C149, ""r""), ""b2"","""")"),"")</f>
        <v/>
      </c>
      <c r="GE149" s="246" t="str">
        <f>IFERROR(__xludf.DUMMYFUNCTION("IF(REGEXMATCH(C149, ""R""), ""2"","""")"),"2")</f>
        <v>2</v>
      </c>
      <c r="GF149" s="246" t="str">
        <f>IFERROR(__xludf.DUMMYFUNCTION("IF(REGEXMATCH(C149, ""g""), ""b3"","""")"),"")</f>
        <v/>
      </c>
      <c r="GG149" s="245" t="str">
        <f>IFERROR(__xludf.DUMMYFUNCTION("IF(REGEXMATCH(C149, ""G""), ""3"","""")"),"")</f>
        <v/>
      </c>
      <c r="GH149" s="245" t="str">
        <f>IFERROR(__xludf.DUMMYFUNCTION("IF(REGEXMATCH(C149, ""m""), ""4"","""")"),"4")</f>
        <v>4</v>
      </c>
      <c r="GI149" s="246" t="str">
        <f>IFERROR(__xludf.DUMMYFUNCTION("IF(REGEXMATCH(C149, ""M""), ""#4"","""")"),"")</f>
        <v/>
      </c>
      <c r="GJ149" s="245" t="str">
        <f>IFERROR(__xludf.DUMMYFUNCTION("IF(REGEXMATCH(C149, ""P""), ""5"","""")"),"5")</f>
        <v>5</v>
      </c>
      <c r="GK149" s="246" t="str">
        <f>IFERROR(__xludf.DUMMYFUNCTION("IF(REGEXMATCH(C149, ""d""), ""b6"","""")"),"")</f>
        <v/>
      </c>
      <c r="GL149" s="245" t="str">
        <f>IFERROR(__xludf.DUMMYFUNCTION("IF(REGEXMATCH(C149, ""D""), ""6"","""")"),"6")</f>
        <v>6</v>
      </c>
      <c r="GM149" s="245" t="str">
        <f>IFERROR(__xludf.DUMMYFUNCTION("IF(REGEXMATCH(C149, ""n""), ""b7"","""")"),"")</f>
        <v/>
      </c>
      <c r="GN149" s="246" t="str">
        <f>IFERROR(__xludf.DUMMYFUNCTION("IF(REGEXMATCH(C149, ""N""), ""7"","""")"),"")</f>
        <v/>
      </c>
      <c r="GO149" s="249" t="str">
        <f>IFERROR(__xludf.DUMMYFUNCTION("IF(REGEXMATCH(C149, ""S""), ""8"","""")"),"8")</f>
        <v>8</v>
      </c>
      <c r="GP149" s="244" t="str">
        <f>IFERROR(__xludf.DUMMYFUNCTION("IF(REGEXMATCH(C149, ""S""), ""S"","""")"),"S")</f>
        <v>S</v>
      </c>
      <c r="GQ149" s="294" t="str">
        <f>IFERROR(__xludf.DUMMYFUNCTION("IF(REGEXMATCH(C149, ""r""), ""R1"","""")"),"")</f>
        <v/>
      </c>
      <c r="GR149" s="295" t="str">
        <f>IFERROR(__xludf.DUMMYFUNCTION("IF(REGEXMATCH(C149, ""R""), ""R2"","""")"),"R2")</f>
        <v>R2</v>
      </c>
      <c r="GS149" s="295" t="str">
        <f>IFERROR(__xludf.DUMMYFUNCTION("IF(REGEXMATCH(C149, ""g""), ""G2"","""")"),"")</f>
        <v/>
      </c>
      <c r="GT149" s="294" t="str">
        <f>IFERROR(__xludf.DUMMYFUNCTION("IF(REGEXMATCH(C149, ""G""), ""G3"","""")"),"")</f>
        <v/>
      </c>
      <c r="GU149" s="294" t="str">
        <f>IFERROR(__xludf.DUMMYFUNCTION("IF(REGEXMATCH(C149, ""m""), ""M1"","""")"),"M1")</f>
        <v>M1</v>
      </c>
      <c r="GV149" s="295" t="str">
        <f>IFERROR(__xludf.DUMMYFUNCTION("IF(REGEXMATCH(C149, ""M""), ""M2"","""")"),"")</f>
        <v/>
      </c>
      <c r="GW149" s="294" t="str">
        <f>IFERROR(__xludf.DUMMYFUNCTION("IF(REGEXMATCH(C149, ""P""), ""P"","""")"),"P")</f>
        <v>P</v>
      </c>
      <c r="GX149" s="295" t="str">
        <f>IFERROR(__xludf.DUMMYFUNCTION("IF(REGEXMATCH(C149, ""d""), ""D1"","""")"),"")</f>
        <v/>
      </c>
      <c r="GY149" s="294" t="str">
        <f>IFERROR(__xludf.DUMMYFUNCTION("IF(REGEXMATCH(C149, ""D""), ""D2"","""")"),"D2")</f>
        <v>D2</v>
      </c>
      <c r="GZ149" s="294" t="str">
        <f>IFERROR(__xludf.DUMMYFUNCTION("IF(REGEXMATCH(C149, ""n""), ""N2"","""")"),"")</f>
        <v/>
      </c>
      <c r="HA149" s="295" t="str">
        <f>IFERROR(__xludf.DUMMYFUNCTION("IF(REGEXMATCH(C149, ""N""), ""N3"","""")"),"")</f>
        <v/>
      </c>
      <c r="HB149" s="249" t="str">
        <f>IFERROR(__xludf.DUMMYFUNCTION("IF(REGEXMATCH(C149, ""S""), ""S"","""")"),"S")</f>
        <v>S</v>
      </c>
      <c r="HC149" s="331" t="str">
        <f t="shared" si="95"/>
        <v>S</v>
      </c>
      <c r="HD149" s="332" t="str">
        <f t="shared" si="96"/>
        <v/>
      </c>
      <c r="HE149" s="332" t="str">
        <f t="shared" si="97"/>
        <v/>
      </c>
      <c r="HF149" s="332" t="str">
        <f t="shared" si="98"/>
        <v>g</v>
      </c>
      <c r="HG149" s="332" t="str">
        <f t="shared" si="99"/>
        <v/>
      </c>
      <c r="HH149" s="332" t="str">
        <f t="shared" si="100"/>
        <v>m</v>
      </c>
      <c r="HI149" s="332" t="str">
        <f t="shared" si="101"/>
        <v/>
      </c>
      <c r="HJ149" s="332" t="str">
        <f t="shared" si="102"/>
        <v>P</v>
      </c>
      <c r="HK149" s="332" t="str">
        <f t="shared" si="103"/>
        <v/>
      </c>
      <c r="HL149" s="332" t="str">
        <f t="shared" si="104"/>
        <v/>
      </c>
      <c r="HM149" s="332" t="str">
        <f t="shared" si="105"/>
        <v>n</v>
      </c>
      <c r="HN149" s="332" t="str">
        <f t="shared" si="106"/>
        <v/>
      </c>
      <c r="HO149" s="343" t="str">
        <f t="shared" si="107"/>
        <v>S</v>
      </c>
      <c r="HP149" s="331" t="str">
        <f t="shared" si="108"/>
        <v>o</v>
      </c>
      <c r="HQ149" s="332" t="str">
        <f t="shared" si="109"/>
        <v>•</v>
      </c>
      <c r="HR149" s="332" t="str">
        <f t="shared" si="110"/>
        <v>o</v>
      </c>
      <c r="HS149" s="332" t="str">
        <f t="shared" si="111"/>
        <v>•</v>
      </c>
      <c r="HT149" s="332" t="str">
        <f t="shared" si="112"/>
        <v>•</v>
      </c>
      <c r="HU149" s="332" t="str">
        <f t="shared" si="113"/>
        <v>o</v>
      </c>
      <c r="HV149" s="332" t="str">
        <f t="shared" si="114"/>
        <v>•</v>
      </c>
      <c r="HW149" s="332" t="str">
        <f t="shared" si="115"/>
        <v>o</v>
      </c>
      <c r="HX149" s="332" t="str">
        <f t="shared" si="116"/>
        <v>•</v>
      </c>
      <c r="HY149" s="332" t="str">
        <f t="shared" si="117"/>
        <v>o</v>
      </c>
      <c r="HZ149" s="332" t="str">
        <f t="shared" si="118"/>
        <v>•</v>
      </c>
      <c r="IA149" s="332" t="str">
        <f t="shared" si="119"/>
        <v>•</v>
      </c>
      <c r="IB149" s="338" t="str">
        <f t="shared" si="120"/>
        <v>o</v>
      </c>
      <c r="IC149" s="331" t="str">
        <f t="shared" si="121"/>
        <v>•</v>
      </c>
      <c r="ID149" s="332" t="str">
        <f t="shared" si="122"/>
        <v>o</v>
      </c>
      <c r="IE149" s="332" t="str">
        <f t="shared" si="123"/>
        <v>•</v>
      </c>
      <c r="IF149" s="332" t="str">
        <f t="shared" si="124"/>
        <v>o</v>
      </c>
      <c r="IG149" s="332" t="str">
        <f t="shared" si="125"/>
        <v>o</v>
      </c>
      <c r="IH149" s="332" t="str">
        <f t="shared" si="126"/>
        <v>•</v>
      </c>
      <c r="II149" s="332" t="str">
        <f t="shared" si="127"/>
        <v>o</v>
      </c>
      <c r="IJ149" s="332" t="str">
        <f t="shared" si="128"/>
        <v>•</v>
      </c>
      <c r="IK149" s="332" t="str">
        <f t="shared" si="129"/>
        <v>o</v>
      </c>
      <c r="IL149" s="332" t="str">
        <f t="shared" si="130"/>
        <v>•</v>
      </c>
      <c r="IM149" s="332" t="str">
        <f t="shared" si="131"/>
        <v>o</v>
      </c>
      <c r="IN149" s="332" t="str">
        <f t="shared" si="132"/>
        <v>o</v>
      </c>
      <c r="IO149" s="338" t="str">
        <f t="shared" si="133"/>
        <v>•</v>
      </c>
      <c r="IP149" s="346" t="b">
        <f t="shared" si="134"/>
        <v>0</v>
      </c>
      <c r="IQ149" s="347" t="b">
        <f t="shared" si="135"/>
        <v>0</v>
      </c>
      <c r="IR149" s="347" t="b">
        <f t="shared" si="136"/>
        <v>0</v>
      </c>
      <c r="IS149" s="347" t="b">
        <f t="shared" si="137"/>
        <v>0</v>
      </c>
      <c r="IT149" s="347" t="b">
        <f t="shared" si="138"/>
        <v>0</v>
      </c>
      <c r="IU149" s="347" t="b">
        <f t="shared" si="139"/>
        <v>0</v>
      </c>
      <c r="IV149" s="347" t="b">
        <f t="shared" si="140"/>
        <v>0</v>
      </c>
      <c r="IW149" s="347" t="b">
        <f t="shared" si="141"/>
        <v>0</v>
      </c>
      <c r="IX149" s="347" t="b">
        <f t="shared" si="142"/>
        <v>0</v>
      </c>
      <c r="IY149" s="347" t="b">
        <f t="shared" si="143"/>
        <v>1</v>
      </c>
      <c r="IZ149" s="347" t="b">
        <f t="shared" si="144"/>
        <v>0</v>
      </c>
      <c r="JA149" s="347" t="b">
        <f t="shared" si="145"/>
        <v>0</v>
      </c>
      <c r="JB149" s="353" t="b">
        <f t="shared" si="146"/>
        <v>0</v>
      </c>
      <c r="JC149" s="354" t="str">
        <f t="shared" si="147"/>
        <v/>
      </c>
      <c r="JD149" s="355" t="str">
        <f t="shared" si="148"/>
        <v/>
      </c>
      <c r="JE149" s="355" t="str">
        <f t="shared" si="149"/>
        <v/>
      </c>
      <c r="JF149" s="355" t="str">
        <f t="shared" si="150"/>
        <v/>
      </c>
      <c r="JG149" s="355" t="str">
        <f t="shared" si="151"/>
        <v/>
      </c>
      <c r="JH149" s="355" t="str">
        <f t="shared" si="152"/>
        <v/>
      </c>
      <c r="JI149" s="355" t="str">
        <f t="shared" si="153"/>
        <v/>
      </c>
      <c r="JJ149" s="355" t="str">
        <f t="shared" si="154"/>
        <v/>
      </c>
      <c r="JK149" s="355" t="str">
        <f t="shared" si="155"/>
        <v/>
      </c>
      <c r="JL149" s="355" t="str">
        <f t="shared" si="156"/>
        <v>Dha, </v>
      </c>
      <c r="JM149" s="355" t="str">
        <f t="shared" si="157"/>
        <v/>
      </c>
      <c r="JN149" s="355" t="str">
        <f t="shared" si="158"/>
        <v/>
      </c>
      <c r="JO149" s="359" t="str">
        <f t="shared" si="159"/>
        <v/>
      </c>
      <c r="JP149" s="346" t="b">
        <f t="shared" si="160"/>
        <v>0</v>
      </c>
      <c r="JQ149" s="347" t="b">
        <f t="shared" si="161"/>
        <v>0</v>
      </c>
      <c r="JR149" s="347" t="b">
        <f t="shared" si="162"/>
        <v>0</v>
      </c>
      <c r="JS149" s="347" t="b">
        <f t="shared" si="163"/>
        <v>0</v>
      </c>
      <c r="JT149" s="347" t="b">
        <f t="shared" si="164"/>
        <v>0</v>
      </c>
      <c r="JU149" s="347" t="b">
        <f t="shared" si="165"/>
        <v>0</v>
      </c>
      <c r="JV149" s="347" t="b">
        <f t="shared" si="166"/>
        <v>0</v>
      </c>
      <c r="JW149" s="347" t="b">
        <f t="shared" si="167"/>
        <v>0</v>
      </c>
      <c r="JX149" s="347" t="b">
        <f t="shared" si="168"/>
        <v>0</v>
      </c>
      <c r="JY149" s="347" t="b">
        <f t="shared" si="169"/>
        <v>0</v>
      </c>
      <c r="JZ149" s="347" t="b">
        <f t="shared" si="170"/>
        <v>0</v>
      </c>
      <c r="KA149" s="347" t="b">
        <f t="shared" si="171"/>
        <v>0</v>
      </c>
      <c r="KB149" s="365" t="b">
        <f t="shared" si="172"/>
        <v>0</v>
      </c>
      <c r="KC149" s="354" t="str">
        <f t="shared" si="173"/>
        <v/>
      </c>
      <c r="KD149" s="355" t="str">
        <f t="shared" si="174"/>
        <v/>
      </c>
      <c r="KE149" s="355" t="str">
        <f t="shared" si="175"/>
        <v/>
      </c>
      <c r="KF149" s="355" t="str">
        <f t="shared" si="176"/>
        <v/>
      </c>
      <c r="KG149" s="355" t="str">
        <f t="shared" si="177"/>
        <v/>
      </c>
      <c r="KH149" s="355" t="str">
        <f t="shared" si="178"/>
        <v/>
      </c>
      <c r="KI149" s="355" t="str">
        <f t="shared" si="179"/>
        <v/>
      </c>
      <c r="KJ149" s="355" t="str">
        <f t="shared" si="180"/>
        <v/>
      </c>
      <c r="KK149" s="355" t="str">
        <f t="shared" si="181"/>
        <v/>
      </c>
      <c r="KL149" s="355" t="str">
        <f t="shared" si="182"/>
        <v/>
      </c>
      <c r="KM149" s="355" t="str">
        <f t="shared" si="183"/>
        <v/>
      </c>
      <c r="KN149" s="355" t="str">
        <f t="shared" si="184"/>
        <v/>
      </c>
      <c r="KO149" s="359"/>
      <c r="KP149" s="378"/>
      <c r="KQ149" s="379" t="s">
        <v>719</v>
      </c>
      <c r="KR149" s="380" t="s">
        <v>1386</v>
      </c>
      <c r="KS149" s="381" t="str">
        <f t="shared" si="500"/>
        <v>S-R-m-P-D-S</v>
      </c>
      <c r="KT149" s="382">
        <f t="shared" si="186"/>
        <v>5</v>
      </c>
      <c r="KU149" s="383">
        <f t="shared" si="187"/>
        <v>5</v>
      </c>
      <c r="KV149" s="381" t="str">
        <f t="shared" si="205"/>
        <v>S-D-P-m-R-S</v>
      </c>
      <c r="KW149" s="382">
        <f t="shared" si="189"/>
        <v>5</v>
      </c>
      <c r="KX149" s="384">
        <f t="shared" si="190"/>
        <v>5</v>
      </c>
      <c r="KY149" s="382">
        <f t="shared" ref="KY149:KZ149" si="507">KW149-KT149</f>
        <v>0</v>
      </c>
      <c r="KZ149" s="369">
        <f t="shared" si="507"/>
        <v>0</v>
      </c>
      <c r="LA149" s="385" t="str">
        <f t="shared" si="192"/>
        <v>✔</v>
      </c>
      <c r="LB149" s="340" t="str">
        <f>IFERROR(__xludf.DUMMYFUNCTION("JOIN("""",ArrayFormula(MID(KS149,LEN(KS149)-SEQUENCE(1,LEN(KS149))+1,1)))"),"S-D-P-m-R-S")</f>
        <v>S-D-P-m-R-S</v>
      </c>
      <c r="LC149" s="373" t="str">
        <f>IFERROR(__xludf.DUMMYFUNCTION("JOIN("""",ArrayFormula(MID(KV149,LEN(KV149)-SEQUENCE(1,LEN(KV149))+1,1)))"),"S-R-m-P-D-S")</f>
        <v>S-R-m-P-D-S</v>
      </c>
      <c r="LD149" s="373" t="str">
        <f t="shared" si="193"/>
        <v>SRmPDS</v>
      </c>
      <c r="LE149" s="339" t="str">
        <f t="shared" si="194"/>
        <v>SRmPDS</v>
      </c>
      <c r="LF149" s="386" t="str">
        <f>IFERROR(__xludf.DUMMYFUNCTION("SUBSTITUTE(SUBSTITUTE(CONCATENATE(JOIN("""",LH149:LT149)),""1"",""""),""2"","""")"),"SRmPDS")</f>
        <v>SRmPDS</v>
      </c>
      <c r="LG149" s="369" t="str">
        <f t="shared" si="195"/>
        <v>✔</v>
      </c>
      <c r="LH149" s="387" t="str">
        <f>IFERROR(__xludf.DUMMYFUNCTION("IF(REGEXMATCH(LD149, ""S""), ""S"",IF(REGEXMATCH(LE149, ""S""), ""S"",""""))"),"S")</f>
        <v>S</v>
      </c>
      <c r="LI149" s="299" t="str">
        <f>IFERROR(__xludf.DUMMYFUNCTION("IF(REGEXMATCH(LD149, ""r""), ""r1"",IF(REGEXMATCH(LE149, ""r""), ""r2"",""""))"),"")</f>
        <v/>
      </c>
      <c r="LJ149" s="299" t="str">
        <f>IFERROR(__xludf.DUMMYFUNCTION("IF(REGEXMATCH(LD149, ""R""), ""R1"",IF(REGEXMATCH(LE149, ""R""), ""R2"",""""))"),"R1")</f>
        <v>R1</v>
      </c>
      <c r="LK149" s="299" t="str">
        <f>IFERROR(__xludf.DUMMYFUNCTION("IF(REGEXMATCH(LD149, ""g""), ""g1"",IF(REGEXMATCH(LE149, ""g""), ""g2"",""""))"),"")</f>
        <v/>
      </c>
      <c r="LL149" s="299" t="str">
        <f>IFERROR(__xludf.DUMMYFUNCTION("IF(REGEXMATCH(LD149, ""G""), ""G1"",IF(REGEXMATCH(LE149, ""G""), ""G2"",""""))"),"")</f>
        <v/>
      </c>
      <c r="LM149" s="299" t="str">
        <f>IFERROR(__xludf.DUMMYFUNCTION("IF(REGEXMATCH(LD149, ""m""), ""m1"",IF(REGEXMATCH(LE149, ""m""), ""m2"",""""))"),"m1")</f>
        <v>m1</v>
      </c>
      <c r="LN149" s="299" t="str">
        <f>IFERROR(__xludf.DUMMYFUNCTION("IF(REGEXMATCH(LD149, ""M""), ""M1"",IF(REGEXMATCH(LE149, ""M""), ""M2"",""""))"),"")</f>
        <v/>
      </c>
      <c r="LO149" s="299" t="str">
        <f>IFERROR(__xludf.DUMMYFUNCTION("IF(REGEXMATCH(LD149, ""P""), ""P1"",IF(REGEXMATCH(LE149, ""P""), ""P2"",""""))"),"P1")</f>
        <v>P1</v>
      </c>
      <c r="LP149" s="299" t="str">
        <f>IFERROR(__xludf.DUMMYFUNCTION("IF(REGEXMATCH(LD149, ""d""), ""d1"",IF(REGEXMATCH(LE149, ""d""), ""d2"",""""))"),"")</f>
        <v/>
      </c>
      <c r="LQ149" s="299" t="str">
        <f>IFERROR(__xludf.DUMMYFUNCTION("IF(REGEXMATCH(LD149, ""D""), ""D1"",IF(REGEXMATCH(LE149, ""D""), ""D2"",""""))"),"D1")</f>
        <v>D1</v>
      </c>
      <c r="LR149" s="299" t="str">
        <f>IFERROR(__xludf.DUMMYFUNCTION("IF(REGEXMATCH(LD149, ""n""), ""n1"",IF(REGEXMATCH(LE149, ""n""), ""n2"",""""))"),"")</f>
        <v/>
      </c>
      <c r="LS149" s="299" t="str">
        <f>IFERROR(__xludf.DUMMYFUNCTION("IF(REGEXMATCH(LD149, ""N""), ""N1"",IF(REGEXMATCH(LE149, ""N""), ""N2"",""""))"),"")</f>
        <v/>
      </c>
      <c r="LT149" s="388" t="str">
        <f>IFERROR(__xludf.DUMMYFUNCTION("IF(REGEXMATCH(LD149, ""S""), ""S"",IF(REGEXMATCH(LE149, ""S""), ""S"",""""))"),"S")</f>
        <v>S</v>
      </c>
      <c r="LU149" s="389">
        <f t="shared" si="196"/>
        <v>1</v>
      </c>
      <c r="LV149" s="378"/>
      <c r="LW149" s="369"/>
      <c r="LX149" s="369"/>
    </row>
    <row r="150" ht="18.0" customHeight="1">
      <c r="A150" s="298" t="s">
        <v>824</v>
      </c>
      <c r="B150" s="222" t="s">
        <v>825</v>
      </c>
      <c r="C150" s="233" t="str">
        <f t="shared" si="7"/>
        <v>SRGPDnS</v>
      </c>
      <c r="D150" s="234" t="str">
        <f>IFERROR(__xludf.DUMMYFUNCTION("IF(REGEXMATCH(C150, ""S""), ""S"","""")"),"S")</f>
        <v>S</v>
      </c>
      <c r="E150" s="236" t="str">
        <f>IFERROR(__xludf.DUMMYFUNCTION("IF(REGEXMATCH(C150, ""r""), ""r"","""")"),"")</f>
        <v/>
      </c>
      <c r="F150" s="237" t="str">
        <f>IFERROR(__xludf.DUMMYFUNCTION("IF(REGEXMATCH(C150, ""R""), ""R"","""")"),"R")</f>
        <v>R</v>
      </c>
      <c r="G150" s="237" t="str">
        <f>IFERROR(__xludf.DUMMYFUNCTION("IF(REGEXMATCH(C150, ""g""), ""g"","""")"),"")</f>
        <v/>
      </c>
      <c r="H150" s="236" t="str">
        <f>IFERROR(__xludf.DUMMYFUNCTION("IF(REGEXMATCH(C150, ""G""), ""G"","""")"),"G")</f>
        <v>G</v>
      </c>
      <c r="I150" s="236" t="str">
        <f>IFERROR(__xludf.DUMMYFUNCTION("IF(REGEXMATCH(C150, ""m""), ""m"","""")"),"")</f>
        <v/>
      </c>
      <c r="J150" s="237" t="str">
        <f>IFERROR(__xludf.DUMMYFUNCTION("IF(REGEXMATCH(C150, ""M""), ""M"","""")"),"")</f>
        <v/>
      </c>
      <c r="K150" s="236" t="str">
        <f>IFERROR(__xludf.DUMMYFUNCTION("IF(REGEXMATCH(C150, ""P""), ""P"","""")"),"P")</f>
        <v>P</v>
      </c>
      <c r="L150" s="237" t="str">
        <f>IFERROR(__xludf.DUMMYFUNCTION("IF(REGEXMATCH(C150, ""d""), ""d"","""")"),"")</f>
        <v/>
      </c>
      <c r="M150" s="236" t="str">
        <f>IFERROR(__xludf.DUMMYFUNCTION("IF(REGEXMATCH(C150, ""D""), ""D"","""")"),"D")</f>
        <v>D</v>
      </c>
      <c r="N150" s="236" t="str">
        <f>IFERROR(__xludf.DUMMYFUNCTION("IF(REGEXMATCH(C150, ""n""), ""n"","""")"),"n")</f>
        <v>n</v>
      </c>
      <c r="O150" s="237" t="str">
        <f>IFERROR(__xludf.DUMMYFUNCTION("IF(REGEXMATCH(C150, ""N""), ""N"","""")"),"")</f>
        <v/>
      </c>
      <c r="P150" s="238" t="str">
        <f>IFERROR(__xludf.DUMMYFUNCTION("IF(REGEXMATCH(C150, ""S""), ""S"","""")"),"S")</f>
        <v>S</v>
      </c>
      <c r="Q150" s="239" t="str">
        <f>IFERROR(__xludf.DUMMYFUNCTION("SUBSTITUTE(CONCATENATE(JOIN(""-"",D150:J150)),""-"","""")"),"SRG")</f>
        <v>SRG</v>
      </c>
      <c r="R150" s="229" t="str">
        <f>IFERROR(__xludf.DUMMYFUNCTION("SUBSTITUTE(CONCATENATE(JOIN(""-"",K150:P150)),""-"","""")"),"PDnS")</f>
        <v>PDnS</v>
      </c>
      <c r="S150" s="282" t="str">
        <f t="shared" si="8"/>
        <v>S-R-G-</v>
      </c>
      <c r="T150" s="282" t="str">
        <f t="shared" si="9"/>
        <v>P-D-N-S</v>
      </c>
      <c r="U150" s="237" t="str">
        <f>IFERROR(__xludf.DUMMYFUNCTION("SUBSTITUTE(JOIN(""-"",S150,T150),""--"",""-"")"),"S-R-G-P-D-N-S")</f>
        <v>S-R-G-P-D-N-S</v>
      </c>
      <c r="V150" s="309" t="str">
        <f t="shared" si="10"/>
        <v>RGDn</v>
      </c>
      <c r="W150" s="244" t="str">
        <f>IFERROR(__xludf.DUMMYFUNCTION("IF(REGEXMATCH(C150, ""S""), ""0"","""")"),"0")</f>
        <v>0</v>
      </c>
      <c r="X150" s="245" t="str">
        <f>IFERROR(__xludf.DUMMYFUNCTION("IF(REGEXMATCH(C150, ""r""), ""1"","""")"),"")</f>
        <v/>
      </c>
      <c r="Y150" s="246" t="str">
        <f>IFERROR(__xludf.DUMMYFUNCTION("IF(REGEXMATCH(C150, ""R""), ""2"","""")"),"2")</f>
        <v>2</v>
      </c>
      <c r="Z150" s="246" t="str">
        <f>IFERROR(__xludf.DUMMYFUNCTION("IF(REGEXMATCH(C150, ""g""), ""3"","""")"),"")</f>
        <v/>
      </c>
      <c r="AA150" s="245" t="str">
        <f>IFERROR(__xludf.DUMMYFUNCTION("IF(REGEXMATCH(C150, ""G""), ""4"","""")"),"4")</f>
        <v>4</v>
      </c>
      <c r="AB150" s="245" t="str">
        <f>IFERROR(__xludf.DUMMYFUNCTION("IF(REGEXMATCH(C150, ""m""), ""5"","""")"),"")</f>
        <v/>
      </c>
      <c r="AC150" s="246" t="str">
        <f>IFERROR(__xludf.DUMMYFUNCTION("IF(REGEXMATCH(C150, ""M""), ""6"","""")"),"")</f>
        <v/>
      </c>
      <c r="AD150" s="245" t="str">
        <f>IFERROR(__xludf.DUMMYFUNCTION("IF(REGEXMATCH(C150, ""P""), ""7"","""")"),"7")</f>
        <v>7</v>
      </c>
      <c r="AE150" s="246" t="str">
        <f>IFERROR(__xludf.DUMMYFUNCTION("IF(REGEXMATCH(C150, ""d""), ""8"","""")"),"")</f>
        <v/>
      </c>
      <c r="AF150" s="245" t="str">
        <f>IFERROR(__xludf.DUMMYFUNCTION("IF(REGEXMATCH(C150, ""D""), ""9"","""")"),"9")</f>
        <v>9</v>
      </c>
      <c r="AG150" s="245" t="str">
        <f>IFERROR(__xludf.DUMMYFUNCTION("IF(REGEXMATCH(C150, ""n""), ""10"","""")"),"10")</f>
        <v>10</v>
      </c>
      <c r="AH150" s="246" t="str">
        <f>IFERROR(__xludf.DUMMYFUNCTION("IF(REGEXMATCH(C150, ""N""), ""11"","""")"),"")</f>
        <v/>
      </c>
      <c r="AI150" s="249" t="str">
        <f>IFERROR(__xludf.DUMMYFUNCTION("IF(REGEXMATCH(C150, ""S""), ""0"","""")"),"0")</f>
        <v>0</v>
      </c>
      <c r="AJ150" s="313" t="str">
        <f t="shared" si="11"/>
        <v>-</v>
      </c>
      <c r="AK150" s="313" t="str">
        <f t="shared" si="12"/>
        <v>-</v>
      </c>
      <c r="AL150" s="313" t="str">
        <f t="shared" si="13"/>
        <v>-</v>
      </c>
      <c r="AM150" s="313" t="str">
        <f t="shared" si="14"/>
        <v>-</v>
      </c>
      <c r="AN150" s="313" t="str">
        <f t="shared" si="15"/>
        <v>T</v>
      </c>
      <c r="AO150" s="314" t="str">
        <f t="shared" si="16"/>
        <v>-</v>
      </c>
      <c r="AP150" s="316">
        <f t="shared" si="17"/>
        <v>1</v>
      </c>
      <c r="AQ150" s="319" t="str">
        <f t="shared" si="18"/>
        <v>#REF!</v>
      </c>
      <c r="AR150" s="320">
        <f t="shared" si="19"/>
        <v>0</v>
      </c>
      <c r="AS150" s="250" t="str">
        <f>IFERROR(__xludf.DUMMYFUNCTION("SUBSTITUTE(SUBSTITUTE(CONCATENATE(JOIN("""",FP150:GA150)),""|"",""x""),""-"",""o"")"),"xoxoxooxoxxo")</f>
        <v>xoxoxooxoxxo</v>
      </c>
      <c r="AT150" s="323" t="str">
        <f>IFERROR(__xludf.DUMMYFUNCTION("JOIN("""",AS150,AS150)"),"xoxoxooxoxxoxoxoxooxoxxo")</f>
        <v>xoxoxooxoxxoxoxoxooxoxxo</v>
      </c>
      <c r="AU150" s="256" t="str">
        <f>IFERROR(__xludf.DUMMYFUNCTION("JOIN("""",ArrayFormula(MID(AS150,LEN(AS150)-SEQUENCE(1,LEN(AS150))+1,1)))"),"oxxoxooxoxox")</f>
        <v>oxxoxooxoxox</v>
      </c>
      <c r="AV150" s="256" t="str">
        <f>IFERROR(__xludf.DUMMYFUNCTION("LEFT(CONCATENATE(""x"",JOIN("""",ArrayFormula(MID(AS150,LEN(AS150)-SEQUENCE(1,LEN(AS150))+1,1)))),12)"),"xoxxoxooxoxo")</f>
        <v>xoxxoxooxoxo</v>
      </c>
      <c r="AW150" s="327" t="str">
        <f>IFERROR(__xludf.DUMMYFUNCTION("JOIN("""",AU150,AU150)"),"oxxoxooxoxoxoxxoxooxoxox")</f>
        <v>oxxoxooxoxoxoxxoxooxoxox</v>
      </c>
      <c r="AX150" s="239" t="str">
        <f>IFERROR(__xludf.DUMMYFUNCTION("IF(REGEXMATCH(AW150,AS150),""✔"",""-"")"),"-")</f>
        <v>-</v>
      </c>
      <c r="AY150" s="330" t="str">
        <f t="shared" si="20"/>
        <v>-</v>
      </c>
      <c r="AZ150" s="260" t="str">
        <f t="shared" si="21"/>
        <v>#REF!</v>
      </c>
      <c r="BA150" s="333" t="str">
        <f t="shared" si="22"/>
        <v>xoxoxoo</v>
      </c>
      <c r="BB150" s="334" t="str">
        <f t="shared" si="23"/>
        <v>xoxxox</v>
      </c>
      <c r="BC150" s="335" t="str">
        <f t="shared" si="236"/>
        <v>-</v>
      </c>
      <c r="BD150" s="336" t="str">
        <f t="shared" si="25"/>
        <v>Jansammohini: 'xoxoxoo' + 'xoxxox'</v>
      </c>
      <c r="BE150" s="337">
        <f>IFERROR(__xludf.DUMMYFUNCTION("COUNTUNIQUE(FILTER(AT:AT,REGEXMATCH(AT:AT,AS150)))-1"),1.0)</f>
        <v>1</v>
      </c>
      <c r="BF150" s="261" t="str">
        <f>IFERROR(__xludf.DUMMYFUNCTION("IF(BI150=0,""(n/a)"",IF(BJ150=2,""(PAIR)"",IF(REGEXMATCH(AT150,""xoxoxxoxoxox""),""Bilawal"",IF(REGEXMATCH(AT150,""xoxoxooxoxoo""),""Bhupali"",IF(REGEXMATCH(AT150,""xoxoxxoxxoxo""),""Charukeshi"",IF(REGEXMATCH(AT150,""xoxoooxxoxxo""),""Kameshwari"",IF(REG"&amp;"EXMATCH(AT150,""xoxoxooxoxox""),""Shankara"",IF(REGEXMATCH(AT150,""xxooxoxxxoox""),""Basant"",IF(REGEXMATCH(AT150,""xoxoxxxxoxox""),""Bihag"",IF(REGEXMATCH(AT150,""xoxxxxoxoxxx""),""Pilu"",IF(REGEXMATCH(AT150,""xoxxoxoxxoox""),""Kirwani"",IF(REGEXMATCH(AT"&amp;"150,""xoxxoxoxoxxx""),""Mk.Malhar"",IF(REGEXMATCH(AT150,""xxooxxoxxoox""),""Bhairav"",IF(REGEXMATCH(AT150,""xxoxooxxxoox""),""Todi"",IF(REGEXMATCH(AT150,""xxooxoxooxox""),""Marwa"",IF(REGEXMATCH(AT150,""xxoooxoxxooo""),""Gunkali"",IF(REGEXMATCH(AT150,""xo"&amp;"xoxxoxxoox""),""Nat Bhairav"",IF(REGEXMATCH(AT150,""xoxxoooxoxoo""),""Shivranjani"",IF(REGEXMATCH(AT150,""xooxxxoxooxo""),""Jog"",IF(REGEXMATCH(AT150,""xxooxoxoxoox""),""Hemshri"",IF(REGEXMATCH(AT150,""xoooxooxoxxo""),""Kalavati"",IF(REGEXMATCH(AT150,""xx"&amp;"oxoxxoxoox""),""Kedar"",IF(REGEXMATCH(AT150,""xoxxxxoxooxx""),""Gara"",IF(REGEXMATCH(AT150,""xooxoxooxoox""),""Chandrakauns"",IF(REGEXMATCH(AT150,""xoxxxxoxxxox""),""Mand"",IF(REGEXMATCH(AT150,""xoxxxxoxoxox""),""Hanskinkini"",IF(REGEXMATCH(AT150,""xxooxx"&amp;"oxooxo""),""Lilavati"",IF(REGEXMATCH(AT150,""xooxoxoooxox""),""Rajeshwari"",IF(REGEXMATCH(AT150,""xoooxxoxoxxx""),""Khokar"",IF(REGEXMATCH(AT150,""xxooxoxxxxox""),""Maligoura"",""-""))))))))))))))))))))))))))))))"),"-")</f>
        <v>-</v>
      </c>
      <c r="BG150" s="239" t="str">
        <f t="shared" si="26"/>
        <v>#REF!</v>
      </c>
      <c r="BH150" s="239">
        <f>IFERROR(__xludf.DUMMYFUNCTION("COUNTUNIQUE(FE150:FO150)-1"),5.0)</f>
        <v>5</v>
      </c>
      <c r="BI150" s="239">
        <f>IFERROR(__xludf.DUMMYFUNCTION("COUNTUNIQUE(FILTER(AT:AT,REGEXMATCH(AT:AT,AS150)))-1"),1.0)</f>
        <v>1</v>
      </c>
      <c r="BJ150" s="239">
        <f>IFERROR(__xludf.DUMMYFUNCTION("COUNTA(FILTER(AT:AT,REGEXMATCH(AT:AT,AS150)))"),3.0)</f>
        <v>3</v>
      </c>
      <c r="BK150" s="341">
        <f>IFERROR(__xludf.DUMMYFUNCTION("COUNTA(FILTER(AT:AT,REGEXMATCH(AT:AT,AS150)))-AR150"),3.0)</f>
        <v>3</v>
      </c>
      <c r="BL150" s="276" t="str">
        <f>IFERROR(__xludf.DUMMYFUNCTION("IF(AS150=""oooooooooooo"",""-"",IF(REGEXMATCH(AT150,""xx""), ""Hemi."", ""Anhemi.""))"),"Hemi.")</f>
        <v>Hemi.</v>
      </c>
      <c r="BM150" s="282" t="str">
        <f>IFERROR(__xludf.DUMMYFUNCTION("IF(AS150=""oooooooooooo"",""-"",IF(REGEXMATCH(AT150,""xxx""), ""Cohem."", ""-""))"),"-")</f>
        <v>-</v>
      </c>
      <c r="BN150" s="282" t="str">
        <f>IFERROR(__xludf.DUMMYFUNCTION("IF(AS150=""oooooooooooo"",""-"",IF(REGEXMATCH(AT150,""xxxx""), ""Co-Co."", ""-""))"),"-")</f>
        <v>-</v>
      </c>
      <c r="BO150" s="342" t="str">
        <f>IFERROR(__xludf.DUMMYFUNCTION("IF(AS150=""oooooooooooo"",""-"",IF(REGEXMATCH(AT150,""xxxxx""), ""CCC."", ""-""))"),"-")</f>
        <v>-</v>
      </c>
      <c r="BP150" s="344" t="str">
        <f t="shared" si="27"/>
        <v>-</v>
      </c>
      <c r="BQ150" s="282" t="str">
        <f>IFERROR(__xludf.DUMMYFUNCTION("IF(REGEXMATCH(JOIN(""-"",EU150:FD150),""TRUE""),""✔"",""-"")"),"✔")</f>
        <v>✔</v>
      </c>
      <c r="BR150" s="225">
        <f t="shared" si="28"/>
        <v>1</v>
      </c>
      <c r="BS150" s="345" t="str">
        <f>IFERROR(__xludf.DUMMYFUNCTION("SUBSTITUTE(SUBSTITUTE(SUBSTITUTE(SUBSTITUTE(CONCATENATE(JOIN(""-"",GC150:GO150)),""--"",""-""),""--"",""-""),""--"",""-""),""--"",""-"")"),"1-2-3-5-6-b7-8")</f>
        <v>1-2-3-5-6-b7-8</v>
      </c>
      <c r="BT150" s="299" t="str">
        <f>IFERROR(__xludf.DUMMYFUNCTION("SUBSTITUTE(SUBSTITUTE(SUBSTITUTE(SUBSTITUTE(CONCATENATE(JOIN(""-"",GP150:HB150)),""--"",""-""),""--"",""-""),""--"",""-""),""--"",""-"")"),"S-R2-G3-P-D2-N2-S")</f>
        <v>S-R2-G3-P-D2-N2-S</v>
      </c>
      <c r="BU150" s="348" t="str">
        <f t="shared" si="29"/>
        <v>C-D-E-G-A-Bb-C</v>
      </c>
      <c r="BV150" s="349" t="str">
        <f t="shared" si="30"/>
        <v>SrgmMdNS</v>
      </c>
      <c r="BW150" s="350">
        <f t="shared" si="31"/>
        <v>0</v>
      </c>
      <c r="BX150" s="351">
        <f t="shared" si="32"/>
        <v>1</v>
      </c>
      <c r="BY150" s="392"/>
      <c r="BZ150" s="309" t="str">
        <f>IFERROR(__xludf.DUMMYFUNCTION("IF(REGEXMATCH(C150, ""S""), ""x"",""x"")"),"x")</f>
        <v>x</v>
      </c>
      <c r="CA150" s="245" t="str">
        <f>IFERROR(__xludf.DUMMYFUNCTION("IF(REGEXMATCH(C150, ""r""), ""o"",""x"")"),"x")</f>
        <v>x</v>
      </c>
      <c r="CB150" s="246" t="str">
        <f>IFERROR(__xludf.DUMMYFUNCTION("IF(REGEXMATCH(C150, ""R""), ""o"",""x"")"),"o")</f>
        <v>o</v>
      </c>
      <c r="CC150" s="246" t="str">
        <f>IFERROR(__xludf.DUMMYFUNCTION("IF(REGEXMATCH(C150, ""g""), ""o"",""x"")"),"x")</f>
        <v>x</v>
      </c>
      <c r="CD150" s="245" t="str">
        <f>IFERROR(__xludf.DUMMYFUNCTION("IF(REGEXMATCH(C150, ""G""), ""o"",""x"")"),"o")</f>
        <v>o</v>
      </c>
      <c r="CE150" s="245" t="str">
        <f>IFERROR(__xludf.DUMMYFUNCTION("IF(REGEXMATCH(C150, ""m""), ""o"",""x"")"),"x")</f>
        <v>x</v>
      </c>
      <c r="CF150" s="246" t="str">
        <f>IFERROR(__xludf.DUMMYFUNCTION("IF(REGEXMATCH(C150, ""M""), ""o"",""x"")"),"x")</f>
        <v>x</v>
      </c>
      <c r="CG150" s="245" t="str">
        <f>IFERROR(__xludf.DUMMYFUNCTION("IF(REGEXMATCH(C150, ""P""), ""o"",""x"")"),"o")</f>
        <v>o</v>
      </c>
      <c r="CH150" s="246" t="str">
        <f>IFERROR(__xludf.DUMMYFUNCTION("IF(REGEXMATCH(C150, ""d""), ""o"",""x"")"),"x")</f>
        <v>x</v>
      </c>
      <c r="CI150" s="245" t="str">
        <f>IFERROR(__xludf.DUMMYFUNCTION("IF(REGEXMATCH(C150, ""D""), ""o"",""x"")"),"o")</f>
        <v>o</v>
      </c>
      <c r="CJ150" s="245" t="str">
        <f>IFERROR(__xludf.DUMMYFUNCTION("IF(REGEXMATCH(C150, ""n""), ""o"",""x"")"),"o")</f>
        <v>o</v>
      </c>
      <c r="CK150" s="245" t="str">
        <f>IFERROR(__xludf.DUMMYFUNCTION("IF(REGEXMATCH(C150, ""N""), ""o"",""x"")"),"x")</f>
        <v>x</v>
      </c>
      <c r="CL150" s="356" t="str">
        <f>IFERROR(__xludf.DUMMYFUNCTION("IF(REGEXMATCH(C150, ""S""), ""x"",""x"")"),"x")</f>
        <v>x</v>
      </c>
      <c r="CM150" s="357" t="str">
        <f t="shared" si="33"/>
        <v>xxoxoxxoxoox</v>
      </c>
      <c r="CN150" s="358">
        <f t="shared" si="34"/>
        <v>0</v>
      </c>
      <c r="CO150" s="246" t="str">
        <f>IFERROR(__xludf.DUMMYFUNCTION("IF(REGEXMATCH($C150, ""S""), ""S"",""S"")"),"S")</f>
        <v>S</v>
      </c>
      <c r="CP150" s="246" t="str">
        <f>IFERROR(__xludf.DUMMYFUNCTION("IF(REGEXMATCH($C150, ""r""), """",""r"")"),"r")</f>
        <v>r</v>
      </c>
      <c r="CQ150" s="246" t="str">
        <f>IFERROR(__xludf.DUMMYFUNCTION("IF(REGEXMATCH($C150, ""R""), """",""R"")"),"")</f>
        <v/>
      </c>
      <c r="CR150" s="246" t="str">
        <f>IFERROR(__xludf.DUMMYFUNCTION("IF(REGEXMATCH($C150, ""g""), """",""g"")"),"g")</f>
        <v>g</v>
      </c>
      <c r="CS150" s="246" t="str">
        <f>IFERROR(__xludf.DUMMYFUNCTION("IF(REGEXMATCH($C150, ""G""), """",""G"")"),"")</f>
        <v/>
      </c>
      <c r="CT150" s="246" t="str">
        <f>IFERROR(__xludf.DUMMYFUNCTION("IF(REGEXMATCH($C150, ""m""), """",""m"")"),"m")</f>
        <v>m</v>
      </c>
      <c r="CU150" s="246" t="str">
        <f>IFERROR(__xludf.DUMMYFUNCTION("IF(REGEXMATCH($C150, ""M""), """",""M"")"),"M")</f>
        <v>M</v>
      </c>
      <c r="CV150" s="246" t="str">
        <f>IFERROR(__xludf.DUMMYFUNCTION("IF(REGEXMATCH($C150, ""P""), """",""P"")"),"")</f>
        <v/>
      </c>
      <c r="CW150" s="246" t="str">
        <f>IFERROR(__xludf.DUMMYFUNCTION("IF(REGEXMATCH($C150, ""d""), """",""d"")"),"d")</f>
        <v>d</v>
      </c>
      <c r="CX150" s="246" t="str">
        <f>IFERROR(__xludf.DUMMYFUNCTION("IF(REGEXMATCH($C150, ""D""), """",""D"")"),"")</f>
        <v/>
      </c>
      <c r="CY150" s="246" t="str">
        <f>IFERROR(__xludf.DUMMYFUNCTION("IF(REGEXMATCH($C150, ""n""), """",""n"")"),"")</f>
        <v/>
      </c>
      <c r="CZ150" s="246" t="str">
        <f>IFERROR(__xludf.DUMMYFUNCTION("IF(REGEXMATCH($C150, ""N""), """",""N"")"),"N")</f>
        <v>N</v>
      </c>
      <c r="DA150" s="246" t="str">
        <f>IFERROR(__xludf.DUMMYFUNCTION("IF(REGEXMATCH($C150, ""S""), ""S"",""S"")"),"S")</f>
        <v>S</v>
      </c>
      <c r="DB150" s="362" t="str">
        <f>IFERROR(__xludf.DUMMYFUNCTION("JOIN("""",CO150:DA150,"""","""")"),"SrgmMdNS")</f>
        <v>SrgmMdNS</v>
      </c>
      <c r="DC150" s="363"/>
      <c r="DD150" s="301" t="str">
        <f t="shared" si="35"/>
        <v>#REF!</v>
      </c>
      <c r="DE150" s="302" t="str">
        <f t="shared" si="36"/>
        <v>#REF!</v>
      </c>
      <c r="DF150" s="301" t="str">
        <f t="shared" ref="DF150:DG150" si="508">SUBSTITUTE(S150,"-","")</f>
        <v>SRG</v>
      </c>
      <c r="DG150" s="301" t="str">
        <f t="shared" si="508"/>
        <v>PDNS</v>
      </c>
      <c r="DH150" s="302" t="str">
        <f t="shared" si="38"/>
        <v>-</v>
      </c>
      <c r="DI150" s="301" t="str">
        <f t="shared" si="39"/>
        <v>Hemi.</v>
      </c>
      <c r="DJ150" s="364" t="str">
        <f t="shared" si="40"/>
        <v>-</v>
      </c>
      <c r="DK150" s="306" t="str">
        <f t="shared" si="41"/>
        <v>-</v>
      </c>
      <c r="DL150" s="366" t="str">
        <f t="shared" si="42"/>
        <v>✔</v>
      </c>
      <c r="DM150" s="308" t="str">
        <f t="shared" si="43"/>
        <v>-</v>
      </c>
      <c r="DN150" s="306" t="str">
        <f t="shared" si="44"/>
        <v>-</v>
      </c>
      <c r="DO150" s="306" t="str">
        <f t="shared" si="45"/>
        <v>-</v>
      </c>
      <c r="DP150" s="367" t="str">
        <f t="shared" si="46"/>
        <v>-</v>
      </c>
      <c r="DQ150" s="310" t="str">
        <f t="shared" si="47"/>
        <v>-</v>
      </c>
      <c r="DR150" s="310" t="str">
        <f t="shared" si="48"/>
        <v>-</v>
      </c>
      <c r="DS150" s="310" t="str">
        <f t="shared" si="49"/>
        <v>-</v>
      </c>
      <c r="DT150" s="310" t="str">
        <f t="shared" si="50"/>
        <v>-</v>
      </c>
      <c r="DU150" s="370" t="str">
        <f t="shared" si="51"/>
        <v>-</v>
      </c>
      <c r="DV150" s="306" t="str">
        <f t="shared" si="52"/>
        <v>-</v>
      </c>
      <c r="DW150" s="306" t="str">
        <f t="shared" si="53"/>
        <v>-</v>
      </c>
      <c r="DX150" s="306" t="str">
        <f t="shared" si="54"/>
        <v>✔</v>
      </c>
      <c r="DY150" s="306" t="str">
        <f t="shared" si="55"/>
        <v>-</v>
      </c>
      <c r="DZ150" s="306" t="str">
        <f t="shared" si="56"/>
        <v>-</v>
      </c>
      <c r="EA150" s="367" t="str">
        <f t="shared" si="57"/>
        <v>-</v>
      </c>
      <c r="EB150" s="310" t="str">
        <f>IFERROR(__xludf.DUMMYFUNCTION("IF(REGEXMATCH(AW150,AS150),""✔"",""-"")"),"-")</f>
        <v>-</v>
      </c>
      <c r="EC150" s="310" t="str">
        <f t="shared" si="58"/>
        <v>#REF!</v>
      </c>
      <c r="ED150" s="370" t="str">
        <f t="shared" si="59"/>
        <v>-</v>
      </c>
      <c r="EE150" s="340" t="str">
        <f t="shared" si="60"/>
        <v>S-R-G-P-D-n-S</v>
      </c>
      <c r="EF150" s="371" t="str">
        <f>IFERROR(__xludf.DUMMYFUNCTION("CONCATENATE(JOIN("""",HC150:HO150))"),"SRgmdnS")</f>
        <v>SRgmdnS</v>
      </c>
      <c r="EG150" s="372">
        <f t="shared" si="61"/>
        <v>2</v>
      </c>
      <c r="EH150" s="373" t="str">
        <f>IFERROR(__xludf.DUMMYFUNCTION("CONCATENATE(JOIN("""",JC150:JO150))"),"Ga, ni, ")</f>
        <v>Ga, ni, </v>
      </c>
      <c r="EI150" s="322">
        <f t="shared" si="62"/>
        <v>1</v>
      </c>
      <c r="EJ150" s="374" t="str">
        <f>IFERROR(__xludf.DUMMYFUNCTION("CONCATENATE(JOIN("""",KC150:KO150))"),"ni, ")</f>
        <v>ni, </v>
      </c>
      <c r="EK150" s="325" t="str">
        <f t="shared" si="63"/>
        <v>S-R2-G3-P-D2-N2-S</v>
      </c>
      <c r="EL150" s="326" t="str">
        <f t="shared" si="64"/>
        <v>1-2-3-5-6-b7-8</v>
      </c>
      <c r="EM150" s="318" t="str">
        <f t="shared" si="65"/>
        <v>#REF!</v>
      </c>
      <c r="EN150" s="328" t="str">
        <f>IFERROR(__xludf.DUMMYFUNCTION("SUBSTITUTE(SUBSTITUTE(SUBSTITUTE(SUBSTITUTE(CONCATENATE(JOIN("" "",HP150:IB150)),""  "","" ""),""  "","" ""),""  "","" ""),""  "","" "")"),"o • o • o • • o • o o • o")</f>
        <v>o • o • o • • o • o o • o</v>
      </c>
      <c r="EO150" s="368" t="str">
        <f t="shared" si="66"/>
        <v>Sa-Pa</v>
      </c>
      <c r="EP150" s="339" t="str">
        <f t="shared" si="67"/>
        <v>-</v>
      </c>
      <c r="EQ150" s="339" t="str">
        <f t="shared" si="68"/>
        <v>Sa-Pa</v>
      </c>
      <c r="ER150" s="339" t="str">
        <f t="shared" si="69"/>
        <v>Sa-Pa</v>
      </c>
      <c r="ES150" s="340" t="str">
        <f t="shared" si="70"/>
        <v>-</v>
      </c>
      <c r="ET150" s="363"/>
      <c r="EU150" s="376" t="b">
        <f>IFERROR(__xludf.DUMMYFUNCTION("arrayformula(sum(--REGEXMATCH(""SRGMPDNS"",split(REGEXREPLACE(C150,""(.)"",""$1~""),""~""))))=len(C150)
"),FALSE)</f>
        <v>0</v>
      </c>
      <c r="EV150" s="290" t="b">
        <f>IFERROR(__xludf.DUMMYFUNCTION("arrayformula(sum(--REGEXMATCH(""SRGmPDNS"",split(REGEXREPLACE(C150,""(.)"",""$1~""),""~""))))=len(C150)"),FALSE)</f>
        <v>0</v>
      </c>
      <c r="EW150" s="290" t="b">
        <f>IFERROR(__xludf.DUMMYFUNCTION("arrayformula(sum(--REGEXMATCH(""SRGmPDnS"",split(REGEXREPLACE(C150,""(.)"",""$1~""),""~""))))=len(C150)"),TRUE)</f>
        <v>1</v>
      </c>
      <c r="EX150" s="290" t="b">
        <f>IFERROR(__xludf.DUMMYFUNCTION("arrayformula(sum(--REGEXMATCH(""SRgmPDnS"",split(REGEXREPLACE(C150,""(.)"",""$1~""),""~""))))=len(C150)"),FALSE)</f>
        <v>0</v>
      </c>
      <c r="EY150" s="290" t="b">
        <f>IFERROR(__xludf.DUMMYFUNCTION("arrayformula(sum(--REGEXMATCH(""SRgmPdnS"",split(REGEXREPLACE(C150,""(.)"",""$1~""),""~""))))=len(C150)"),FALSE)</f>
        <v>0</v>
      </c>
      <c r="EZ150" s="290" t="b">
        <f>IFERROR(__xludf.DUMMYFUNCTION("arrayformula(sum(--REGEXMATCH(""SrgmPdnS"",split(REGEXREPLACE(C150,""(.)"",""$1~""),""~""))))=len(C150)"),FALSE)</f>
        <v>0</v>
      </c>
      <c r="FA150" s="290" t="b">
        <f>IFERROR(__xludf.DUMMYFUNCTION("arrayformula(sum(--REGEXMATCH(""SrGmPdNS"",split(REGEXREPLACE(C150,""(.)"",""$1~""),""~""))))=len(C150)"),FALSE)</f>
        <v>0</v>
      </c>
      <c r="FB150" s="290" t="b">
        <f>IFERROR(__xludf.DUMMYFUNCTION("arrayformula(sum(--REGEXMATCH(""SrGMPDNS"",split(REGEXREPLACE(C150,""(.)"",""$1~""),""~""))))=len(C150)"),FALSE)</f>
        <v>0</v>
      </c>
      <c r="FC150" s="290" t="b">
        <f>IFERROR(__xludf.DUMMYFUNCTION("arrayformula(sum(--REGEXMATCH(""SrGMPdNS"",split(REGEXREPLACE(C150,""(.)"",""$1~""),""~""))))=len(C150)"),FALSE)</f>
        <v>0</v>
      </c>
      <c r="FD150" s="377" t="b">
        <f>IFERROR(__xludf.DUMMYFUNCTION("arrayformula(sum(--REGEXMATCH(""SrgMPdNS"",split(REGEXREPLACE(C150,""(.)"",""$1~""),""~""))))=len(C150)"),FALSE)</f>
        <v>0</v>
      </c>
      <c r="FE150" s="269" t="str">
        <f t="shared" si="71"/>
        <v>-</v>
      </c>
      <c r="FF150" s="269" t="str">
        <f t="shared" si="72"/>
        <v>xoxooxoxxox</v>
      </c>
      <c r="FG150" s="271" t="str">
        <f t="shared" si="73"/>
        <v>-</v>
      </c>
      <c r="FH150" s="269" t="str">
        <f t="shared" si="74"/>
        <v>xooxoxxoxox</v>
      </c>
      <c r="FI150" s="271" t="str">
        <f t="shared" si="75"/>
        <v>-</v>
      </c>
      <c r="FJ150" s="271" t="str">
        <f t="shared" si="76"/>
        <v>-</v>
      </c>
      <c r="FK150" s="271" t="str">
        <f t="shared" si="77"/>
        <v>xoxxoxoxoxo</v>
      </c>
      <c r="FL150" s="271" t="str">
        <f t="shared" si="78"/>
        <v>-</v>
      </c>
      <c r="FM150" s="271" t="str">
        <f t="shared" si="79"/>
        <v>xxoxoxoxoox</v>
      </c>
      <c r="FN150" s="271" t="str">
        <f t="shared" si="80"/>
        <v>xoxoxoxooxo</v>
      </c>
      <c r="FO150" s="274" t="str">
        <f t="shared" si="81"/>
        <v>-</v>
      </c>
      <c r="FP150" s="234" t="str">
        <f t="shared" si="82"/>
        <v>|</v>
      </c>
      <c r="FQ150" s="236" t="str">
        <f t="shared" si="83"/>
        <v>-</v>
      </c>
      <c r="FR150" s="237" t="str">
        <f t="shared" si="84"/>
        <v>|</v>
      </c>
      <c r="FS150" s="236" t="str">
        <f t="shared" si="85"/>
        <v>-</v>
      </c>
      <c r="FT150" s="237" t="str">
        <f t="shared" si="86"/>
        <v>|</v>
      </c>
      <c r="FU150" s="236" t="str">
        <f t="shared" si="87"/>
        <v>-</v>
      </c>
      <c r="FV150" s="237" t="str">
        <f t="shared" si="88"/>
        <v>-</v>
      </c>
      <c r="FW150" s="236" t="str">
        <f t="shared" si="89"/>
        <v>|</v>
      </c>
      <c r="FX150" s="237" t="str">
        <f t="shared" si="90"/>
        <v>-</v>
      </c>
      <c r="FY150" s="236" t="str">
        <f t="shared" si="91"/>
        <v>|</v>
      </c>
      <c r="FZ150" s="237" t="str">
        <f t="shared" si="92"/>
        <v>|</v>
      </c>
      <c r="GA150" s="236" t="str">
        <f t="shared" si="93"/>
        <v>-</v>
      </c>
      <c r="GB150" s="238" t="str">
        <f t="shared" si="94"/>
        <v>|</v>
      </c>
      <c r="GC150" s="244" t="str">
        <f>IFERROR(__xludf.DUMMYFUNCTION("IF(REGEXMATCH(C150, ""S""), ""1"","""")"),"1")</f>
        <v>1</v>
      </c>
      <c r="GD150" s="245" t="str">
        <f>IFERROR(__xludf.DUMMYFUNCTION("IF(REGEXMATCH(C150, ""r""), ""b2"","""")"),"")</f>
        <v/>
      </c>
      <c r="GE150" s="246" t="str">
        <f>IFERROR(__xludf.DUMMYFUNCTION("IF(REGEXMATCH(C150, ""R""), ""2"","""")"),"2")</f>
        <v>2</v>
      </c>
      <c r="GF150" s="246" t="str">
        <f>IFERROR(__xludf.DUMMYFUNCTION("IF(REGEXMATCH(C150, ""g""), ""b3"","""")"),"")</f>
        <v/>
      </c>
      <c r="GG150" s="245" t="str">
        <f>IFERROR(__xludf.DUMMYFUNCTION("IF(REGEXMATCH(C150, ""G""), ""3"","""")"),"3")</f>
        <v>3</v>
      </c>
      <c r="GH150" s="245" t="str">
        <f>IFERROR(__xludf.DUMMYFUNCTION("IF(REGEXMATCH(C150, ""m""), ""4"","""")"),"")</f>
        <v/>
      </c>
      <c r="GI150" s="246" t="str">
        <f>IFERROR(__xludf.DUMMYFUNCTION("IF(REGEXMATCH(C150, ""M""), ""#4"","""")"),"")</f>
        <v/>
      </c>
      <c r="GJ150" s="245" t="str">
        <f>IFERROR(__xludf.DUMMYFUNCTION("IF(REGEXMATCH(C150, ""P""), ""5"","""")"),"5")</f>
        <v>5</v>
      </c>
      <c r="GK150" s="246" t="str">
        <f>IFERROR(__xludf.DUMMYFUNCTION("IF(REGEXMATCH(C150, ""d""), ""b6"","""")"),"")</f>
        <v/>
      </c>
      <c r="GL150" s="245" t="str">
        <f>IFERROR(__xludf.DUMMYFUNCTION("IF(REGEXMATCH(C150, ""D""), ""6"","""")"),"6")</f>
        <v>6</v>
      </c>
      <c r="GM150" s="245" t="str">
        <f>IFERROR(__xludf.DUMMYFUNCTION("IF(REGEXMATCH(C150, ""n""), ""b7"","""")"),"b7")</f>
        <v>b7</v>
      </c>
      <c r="GN150" s="246" t="str">
        <f>IFERROR(__xludf.DUMMYFUNCTION("IF(REGEXMATCH(C150, ""N""), ""7"","""")"),"")</f>
        <v/>
      </c>
      <c r="GO150" s="249" t="str">
        <f>IFERROR(__xludf.DUMMYFUNCTION("IF(REGEXMATCH(C150, ""S""), ""8"","""")"),"8")</f>
        <v>8</v>
      </c>
      <c r="GP150" s="244" t="str">
        <f>IFERROR(__xludf.DUMMYFUNCTION("IF(REGEXMATCH(C150, ""S""), ""S"","""")"),"S")</f>
        <v>S</v>
      </c>
      <c r="GQ150" s="294" t="str">
        <f>IFERROR(__xludf.DUMMYFUNCTION("IF(REGEXMATCH(C150, ""r""), ""R1"","""")"),"")</f>
        <v/>
      </c>
      <c r="GR150" s="295" t="str">
        <f>IFERROR(__xludf.DUMMYFUNCTION("IF(REGEXMATCH(C150, ""R""), ""R2"","""")"),"R2")</f>
        <v>R2</v>
      </c>
      <c r="GS150" s="295" t="str">
        <f>IFERROR(__xludf.DUMMYFUNCTION("IF(REGEXMATCH(C150, ""g""), ""G2"","""")"),"")</f>
        <v/>
      </c>
      <c r="GT150" s="294" t="str">
        <f>IFERROR(__xludf.DUMMYFUNCTION("IF(REGEXMATCH(C150, ""G""), ""G3"","""")"),"G3")</f>
        <v>G3</v>
      </c>
      <c r="GU150" s="294" t="str">
        <f>IFERROR(__xludf.DUMMYFUNCTION("IF(REGEXMATCH(C150, ""m""), ""M1"","""")"),"")</f>
        <v/>
      </c>
      <c r="GV150" s="295" t="str">
        <f>IFERROR(__xludf.DUMMYFUNCTION("IF(REGEXMATCH(C150, ""M""), ""M2"","""")"),"")</f>
        <v/>
      </c>
      <c r="GW150" s="294" t="str">
        <f>IFERROR(__xludf.DUMMYFUNCTION("IF(REGEXMATCH(C150, ""P""), ""P"","""")"),"P")</f>
        <v>P</v>
      </c>
      <c r="GX150" s="295" t="str">
        <f>IFERROR(__xludf.DUMMYFUNCTION("IF(REGEXMATCH(C150, ""d""), ""D1"","""")"),"")</f>
        <v/>
      </c>
      <c r="GY150" s="294" t="str">
        <f>IFERROR(__xludf.DUMMYFUNCTION("IF(REGEXMATCH(C150, ""D""), ""D2"","""")"),"D2")</f>
        <v>D2</v>
      </c>
      <c r="GZ150" s="294" t="str">
        <f>IFERROR(__xludf.DUMMYFUNCTION("IF(REGEXMATCH(C150, ""n""), ""N2"","""")"),"N2")</f>
        <v>N2</v>
      </c>
      <c r="HA150" s="295" t="str">
        <f>IFERROR(__xludf.DUMMYFUNCTION("IF(REGEXMATCH(C150, ""N""), ""N3"","""")"),"")</f>
        <v/>
      </c>
      <c r="HB150" s="249" t="str">
        <f>IFERROR(__xludf.DUMMYFUNCTION("IF(REGEXMATCH(C150, ""S""), ""S"","""")"),"S")</f>
        <v>S</v>
      </c>
      <c r="HC150" s="331" t="str">
        <f t="shared" si="95"/>
        <v>S</v>
      </c>
      <c r="HD150" s="332" t="str">
        <f t="shared" si="96"/>
        <v/>
      </c>
      <c r="HE150" s="332" t="str">
        <f t="shared" si="97"/>
        <v>R</v>
      </c>
      <c r="HF150" s="332" t="str">
        <f t="shared" si="98"/>
        <v>g</v>
      </c>
      <c r="HG150" s="332" t="str">
        <f t="shared" si="99"/>
        <v/>
      </c>
      <c r="HH150" s="332" t="str">
        <f t="shared" si="100"/>
        <v>m</v>
      </c>
      <c r="HI150" s="332" t="str">
        <f t="shared" si="101"/>
        <v/>
      </c>
      <c r="HJ150" s="332" t="str">
        <f t="shared" si="102"/>
        <v/>
      </c>
      <c r="HK150" s="332" t="str">
        <f t="shared" si="103"/>
        <v>d</v>
      </c>
      <c r="HL150" s="332" t="str">
        <f t="shared" si="104"/>
        <v/>
      </c>
      <c r="HM150" s="332" t="str">
        <f t="shared" si="105"/>
        <v>n</v>
      </c>
      <c r="HN150" s="332" t="str">
        <f t="shared" si="106"/>
        <v/>
      </c>
      <c r="HO150" s="343" t="str">
        <f t="shared" si="107"/>
        <v>S</v>
      </c>
      <c r="HP150" s="331" t="str">
        <f t="shared" si="108"/>
        <v>o</v>
      </c>
      <c r="HQ150" s="332" t="str">
        <f t="shared" si="109"/>
        <v>•</v>
      </c>
      <c r="HR150" s="332" t="str">
        <f t="shared" si="110"/>
        <v>o</v>
      </c>
      <c r="HS150" s="332" t="str">
        <f t="shared" si="111"/>
        <v>•</v>
      </c>
      <c r="HT150" s="332" t="str">
        <f t="shared" si="112"/>
        <v>o</v>
      </c>
      <c r="HU150" s="332" t="str">
        <f t="shared" si="113"/>
        <v>•</v>
      </c>
      <c r="HV150" s="332" t="str">
        <f t="shared" si="114"/>
        <v>•</v>
      </c>
      <c r="HW150" s="332" t="str">
        <f t="shared" si="115"/>
        <v>o</v>
      </c>
      <c r="HX150" s="332" t="str">
        <f t="shared" si="116"/>
        <v>•</v>
      </c>
      <c r="HY150" s="332" t="str">
        <f t="shared" si="117"/>
        <v>o</v>
      </c>
      <c r="HZ150" s="332" t="str">
        <f t="shared" si="118"/>
        <v>o</v>
      </c>
      <c r="IA150" s="332" t="str">
        <f t="shared" si="119"/>
        <v>•</v>
      </c>
      <c r="IB150" s="338" t="str">
        <f t="shared" si="120"/>
        <v>o</v>
      </c>
      <c r="IC150" s="331" t="str">
        <f t="shared" si="121"/>
        <v>•</v>
      </c>
      <c r="ID150" s="332" t="str">
        <f t="shared" si="122"/>
        <v>o</v>
      </c>
      <c r="IE150" s="332" t="str">
        <f t="shared" si="123"/>
        <v>•</v>
      </c>
      <c r="IF150" s="332" t="str">
        <f t="shared" si="124"/>
        <v>o</v>
      </c>
      <c r="IG150" s="332" t="str">
        <f t="shared" si="125"/>
        <v>•</v>
      </c>
      <c r="IH150" s="332" t="str">
        <f t="shared" si="126"/>
        <v>o</v>
      </c>
      <c r="II150" s="332" t="str">
        <f t="shared" si="127"/>
        <v>o</v>
      </c>
      <c r="IJ150" s="332" t="str">
        <f t="shared" si="128"/>
        <v>•</v>
      </c>
      <c r="IK150" s="332" t="str">
        <f t="shared" si="129"/>
        <v>o</v>
      </c>
      <c r="IL150" s="332" t="str">
        <f t="shared" si="130"/>
        <v>•</v>
      </c>
      <c r="IM150" s="332" t="str">
        <f t="shared" si="131"/>
        <v>•</v>
      </c>
      <c r="IN150" s="332" t="str">
        <f t="shared" si="132"/>
        <v>o</v>
      </c>
      <c r="IO150" s="338" t="str">
        <f t="shared" si="133"/>
        <v>•</v>
      </c>
      <c r="IP150" s="346" t="b">
        <f t="shared" si="134"/>
        <v>0</v>
      </c>
      <c r="IQ150" s="347" t="b">
        <f t="shared" si="135"/>
        <v>0</v>
      </c>
      <c r="IR150" s="347" t="b">
        <f t="shared" si="136"/>
        <v>0</v>
      </c>
      <c r="IS150" s="347" t="b">
        <f t="shared" si="137"/>
        <v>0</v>
      </c>
      <c r="IT150" s="347" t="b">
        <f t="shared" si="138"/>
        <v>1</v>
      </c>
      <c r="IU150" s="347" t="b">
        <f t="shared" si="139"/>
        <v>0</v>
      </c>
      <c r="IV150" s="347" t="b">
        <f t="shared" si="140"/>
        <v>0</v>
      </c>
      <c r="IW150" s="347" t="b">
        <f t="shared" si="141"/>
        <v>0</v>
      </c>
      <c r="IX150" s="347" t="b">
        <f t="shared" si="142"/>
        <v>0</v>
      </c>
      <c r="IY150" s="347" t="b">
        <f t="shared" si="143"/>
        <v>0</v>
      </c>
      <c r="IZ150" s="347" t="b">
        <f t="shared" si="144"/>
        <v>1</v>
      </c>
      <c r="JA150" s="347" t="b">
        <f t="shared" si="145"/>
        <v>0</v>
      </c>
      <c r="JB150" s="353" t="b">
        <f t="shared" si="146"/>
        <v>0</v>
      </c>
      <c r="JC150" s="354" t="str">
        <f t="shared" si="147"/>
        <v/>
      </c>
      <c r="JD150" s="355" t="str">
        <f t="shared" si="148"/>
        <v/>
      </c>
      <c r="JE150" s="355" t="str">
        <f t="shared" si="149"/>
        <v/>
      </c>
      <c r="JF150" s="355" t="str">
        <f t="shared" si="150"/>
        <v/>
      </c>
      <c r="JG150" s="355" t="str">
        <f t="shared" si="151"/>
        <v>Ga, </v>
      </c>
      <c r="JH150" s="355" t="str">
        <f t="shared" si="152"/>
        <v/>
      </c>
      <c r="JI150" s="355" t="str">
        <f t="shared" si="153"/>
        <v/>
      </c>
      <c r="JJ150" s="355" t="str">
        <f t="shared" si="154"/>
        <v/>
      </c>
      <c r="JK150" s="355" t="str">
        <f t="shared" si="155"/>
        <v/>
      </c>
      <c r="JL150" s="355" t="str">
        <f t="shared" si="156"/>
        <v/>
      </c>
      <c r="JM150" s="355" t="str">
        <f t="shared" si="157"/>
        <v>ni, </v>
      </c>
      <c r="JN150" s="355" t="str">
        <f t="shared" si="158"/>
        <v/>
      </c>
      <c r="JO150" s="359" t="str">
        <f t="shared" si="159"/>
        <v/>
      </c>
      <c r="JP150" s="346" t="b">
        <f t="shared" si="160"/>
        <v>0</v>
      </c>
      <c r="JQ150" s="347" t="b">
        <f t="shared" si="161"/>
        <v>0</v>
      </c>
      <c r="JR150" s="347" t="b">
        <f t="shared" si="162"/>
        <v>0</v>
      </c>
      <c r="JS150" s="347" t="b">
        <f t="shared" si="163"/>
        <v>0</v>
      </c>
      <c r="JT150" s="347" t="b">
        <f t="shared" si="164"/>
        <v>0</v>
      </c>
      <c r="JU150" s="347" t="b">
        <f t="shared" si="165"/>
        <v>0</v>
      </c>
      <c r="JV150" s="347" t="b">
        <f t="shared" si="166"/>
        <v>0</v>
      </c>
      <c r="JW150" s="347" t="b">
        <f t="shared" si="167"/>
        <v>0</v>
      </c>
      <c r="JX150" s="347" t="b">
        <f t="shared" si="168"/>
        <v>0</v>
      </c>
      <c r="JY150" s="347" t="b">
        <f t="shared" si="169"/>
        <v>0</v>
      </c>
      <c r="JZ150" s="347" t="b">
        <f t="shared" si="170"/>
        <v>1</v>
      </c>
      <c r="KA150" s="347" t="b">
        <f t="shared" si="171"/>
        <v>0</v>
      </c>
      <c r="KB150" s="365" t="b">
        <f t="shared" si="172"/>
        <v>0</v>
      </c>
      <c r="KC150" s="354" t="str">
        <f t="shared" si="173"/>
        <v/>
      </c>
      <c r="KD150" s="355" t="str">
        <f t="shared" si="174"/>
        <v/>
      </c>
      <c r="KE150" s="355" t="str">
        <f t="shared" si="175"/>
        <v/>
      </c>
      <c r="KF150" s="355" t="str">
        <f t="shared" si="176"/>
        <v/>
      </c>
      <c r="KG150" s="355" t="str">
        <f t="shared" si="177"/>
        <v/>
      </c>
      <c r="KH150" s="355" t="str">
        <f t="shared" si="178"/>
        <v/>
      </c>
      <c r="KI150" s="355" t="str">
        <f t="shared" si="179"/>
        <v/>
      </c>
      <c r="KJ150" s="355" t="str">
        <f t="shared" si="180"/>
        <v/>
      </c>
      <c r="KK150" s="355" t="str">
        <f t="shared" si="181"/>
        <v/>
      </c>
      <c r="KL150" s="355" t="str">
        <f t="shared" si="182"/>
        <v/>
      </c>
      <c r="KM150" s="355" t="str">
        <f t="shared" si="183"/>
        <v>ni, </v>
      </c>
      <c r="KN150" s="355" t="str">
        <f t="shared" si="184"/>
        <v/>
      </c>
      <c r="KO150" s="359"/>
      <c r="KP150" s="378"/>
      <c r="KQ150" s="379" t="s">
        <v>854</v>
      </c>
      <c r="KR150" s="380" t="s">
        <v>1411</v>
      </c>
      <c r="KS150" s="381" t="str">
        <f t="shared" si="500"/>
        <v>S-G-P-D-n-S</v>
      </c>
      <c r="KT150" s="382">
        <f t="shared" si="186"/>
        <v>5</v>
      </c>
      <c r="KU150" s="383">
        <f t="shared" si="187"/>
        <v>5</v>
      </c>
      <c r="KV150" s="381" t="str">
        <f t="shared" si="205"/>
        <v>S-n-D-P-G-R-S</v>
      </c>
      <c r="KW150" s="382">
        <f t="shared" si="189"/>
        <v>6</v>
      </c>
      <c r="KX150" s="384">
        <f t="shared" si="190"/>
        <v>6</v>
      </c>
      <c r="KY150" s="382">
        <f t="shared" ref="KY150:KZ150" si="509">KW150-KT150</f>
        <v>1</v>
      </c>
      <c r="KZ150" s="369">
        <f t="shared" si="509"/>
        <v>1</v>
      </c>
      <c r="LA150" s="385" t="str">
        <f t="shared" si="192"/>
        <v>-</v>
      </c>
      <c r="LB150" s="340" t="str">
        <f>IFERROR(__xludf.DUMMYFUNCTION("JOIN("""",ArrayFormula(MID(KS150,LEN(KS150)-SEQUENCE(1,LEN(KS150))+1,1)))"),"S-n-D-P-G-S")</f>
        <v>S-n-D-P-G-S</v>
      </c>
      <c r="LC150" s="373" t="str">
        <f>IFERROR(__xludf.DUMMYFUNCTION("JOIN("""",ArrayFormula(MID(KV150,LEN(KV150)-SEQUENCE(1,LEN(KV150))+1,1)))"),"S-R-G-P-D-n-S")</f>
        <v>S-R-G-P-D-n-S</v>
      </c>
      <c r="LD150" s="373" t="str">
        <f t="shared" si="193"/>
        <v>SGPDnS</v>
      </c>
      <c r="LE150" s="339" t="str">
        <f t="shared" si="194"/>
        <v>SRGPDnS</v>
      </c>
      <c r="LF150" s="386" t="str">
        <f>IFERROR(__xludf.DUMMYFUNCTION("SUBSTITUTE(SUBSTITUTE(CONCATENATE(JOIN("""",LH150:LT150)),""1"",""""),""2"","""")"),"SRGPDnS")</f>
        <v>SRGPDnS</v>
      </c>
      <c r="LG150" s="369" t="str">
        <f t="shared" si="195"/>
        <v>✔</v>
      </c>
      <c r="LH150" s="387" t="str">
        <f>IFERROR(__xludf.DUMMYFUNCTION("IF(REGEXMATCH(LD150, ""S""), ""S"",IF(REGEXMATCH(LE150, ""S""), ""S"",""""))"),"S")</f>
        <v>S</v>
      </c>
      <c r="LI150" s="299" t="str">
        <f>IFERROR(__xludf.DUMMYFUNCTION("IF(REGEXMATCH(LD150, ""r""), ""r1"",IF(REGEXMATCH(LE150, ""r""), ""r2"",""""))"),"")</f>
        <v/>
      </c>
      <c r="LJ150" s="299" t="str">
        <f>IFERROR(__xludf.DUMMYFUNCTION("IF(REGEXMATCH(LD150, ""R""), ""R1"",IF(REGEXMATCH(LE150, ""R""), ""R2"",""""))"),"R2")</f>
        <v>R2</v>
      </c>
      <c r="LK150" s="299" t="str">
        <f>IFERROR(__xludf.DUMMYFUNCTION("IF(REGEXMATCH(LD150, ""g""), ""g1"",IF(REGEXMATCH(LE150, ""g""), ""g2"",""""))"),"")</f>
        <v/>
      </c>
      <c r="LL150" s="299" t="str">
        <f>IFERROR(__xludf.DUMMYFUNCTION("IF(REGEXMATCH(LD150, ""G""), ""G1"",IF(REGEXMATCH(LE150, ""G""), ""G2"",""""))"),"G1")</f>
        <v>G1</v>
      </c>
      <c r="LM150" s="299" t="str">
        <f>IFERROR(__xludf.DUMMYFUNCTION("IF(REGEXMATCH(LD150, ""m""), ""m1"",IF(REGEXMATCH(LE150, ""m""), ""m2"",""""))"),"")</f>
        <v/>
      </c>
      <c r="LN150" s="299" t="str">
        <f>IFERROR(__xludf.DUMMYFUNCTION("IF(REGEXMATCH(LD150, ""M""), ""M1"",IF(REGEXMATCH(LE150, ""M""), ""M2"",""""))"),"")</f>
        <v/>
      </c>
      <c r="LO150" s="299" t="str">
        <f>IFERROR(__xludf.DUMMYFUNCTION("IF(REGEXMATCH(LD150, ""P""), ""P1"",IF(REGEXMATCH(LE150, ""P""), ""P2"",""""))"),"P1")</f>
        <v>P1</v>
      </c>
      <c r="LP150" s="299" t="str">
        <f>IFERROR(__xludf.DUMMYFUNCTION("IF(REGEXMATCH(LD150, ""d""), ""d1"",IF(REGEXMATCH(LE150, ""d""), ""d2"",""""))"),"")</f>
        <v/>
      </c>
      <c r="LQ150" s="299" t="str">
        <f>IFERROR(__xludf.DUMMYFUNCTION("IF(REGEXMATCH(LD150, ""D""), ""D1"",IF(REGEXMATCH(LE150, ""D""), ""D2"",""""))"),"D1")</f>
        <v>D1</v>
      </c>
      <c r="LR150" s="299" t="str">
        <f>IFERROR(__xludf.DUMMYFUNCTION("IF(REGEXMATCH(LD150, ""n""), ""n1"",IF(REGEXMATCH(LE150, ""n""), ""n2"",""""))"),"n1")</f>
        <v>n1</v>
      </c>
      <c r="LS150" s="299" t="str">
        <f>IFERROR(__xludf.DUMMYFUNCTION("IF(REGEXMATCH(LD150, ""N""), ""N1"",IF(REGEXMATCH(LE150, ""N""), ""N2"",""""))"),"")</f>
        <v/>
      </c>
      <c r="LT150" s="388" t="str">
        <f>IFERROR(__xludf.DUMMYFUNCTION("IF(REGEXMATCH(LD150, ""S""), ""S"",IF(REGEXMATCH(LE150, ""S""), ""S"",""""))"),"S")</f>
        <v>S</v>
      </c>
      <c r="LU150" s="389">
        <f t="shared" si="196"/>
        <v>-1</v>
      </c>
      <c r="LV150" s="378"/>
      <c r="LW150" s="369"/>
      <c r="LX150" s="369"/>
    </row>
    <row r="151" ht="18.0" customHeight="1">
      <c r="A151" s="298" t="s">
        <v>1412</v>
      </c>
      <c r="B151" s="222" t="s">
        <v>1413</v>
      </c>
      <c r="C151" s="233" t="str">
        <f t="shared" si="7"/>
        <v>SRgPdS</v>
      </c>
      <c r="D151" s="234" t="str">
        <f>IFERROR(__xludf.DUMMYFUNCTION("IF(REGEXMATCH(C151, ""S""), ""S"","""")"),"S")</f>
        <v>S</v>
      </c>
      <c r="E151" s="236" t="str">
        <f>IFERROR(__xludf.DUMMYFUNCTION("IF(REGEXMATCH(C151, ""r""), ""r"","""")"),"")</f>
        <v/>
      </c>
      <c r="F151" s="237" t="str">
        <f>IFERROR(__xludf.DUMMYFUNCTION("IF(REGEXMATCH(C151, ""R""), ""R"","""")"),"R")</f>
        <v>R</v>
      </c>
      <c r="G151" s="237" t="str">
        <f>IFERROR(__xludf.DUMMYFUNCTION("IF(REGEXMATCH(C151, ""g""), ""g"","""")"),"g")</f>
        <v>g</v>
      </c>
      <c r="H151" s="236" t="str">
        <f>IFERROR(__xludf.DUMMYFUNCTION("IF(REGEXMATCH(C151, ""G""), ""G"","""")"),"")</f>
        <v/>
      </c>
      <c r="I151" s="236" t="str">
        <f>IFERROR(__xludf.DUMMYFUNCTION("IF(REGEXMATCH(C151, ""m""), ""m"","""")"),"")</f>
        <v/>
      </c>
      <c r="J151" s="237" t="str">
        <f>IFERROR(__xludf.DUMMYFUNCTION("IF(REGEXMATCH(C151, ""M""), ""M"","""")"),"")</f>
        <v/>
      </c>
      <c r="K151" s="236" t="str">
        <f>IFERROR(__xludf.DUMMYFUNCTION("IF(REGEXMATCH(C151, ""P""), ""P"","""")"),"P")</f>
        <v>P</v>
      </c>
      <c r="L151" s="237" t="str">
        <f>IFERROR(__xludf.DUMMYFUNCTION("IF(REGEXMATCH(C151, ""d""), ""d"","""")"),"d")</f>
        <v>d</v>
      </c>
      <c r="M151" s="236" t="str">
        <f>IFERROR(__xludf.DUMMYFUNCTION("IF(REGEXMATCH(C151, ""D""), ""D"","""")"),"")</f>
        <v/>
      </c>
      <c r="N151" s="236" t="str">
        <f>IFERROR(__xludf.DUMMYFUNCTION("IF(REGEXMATCH(C151, ""n""), ""n"","""")"),"")</f>
        <v/>
      </c>
      <c r="O151" s="237" t="str">
        <f>IFERROR(__xludf.DUMMYFUNCTION("IF(REGEXMATCH(C151, ""N""), ""N"","""")"),"")</f>
        <v/>
      </c>
      <c r="P151" s="238" t="str">
        <f>IFERROR(__xludf.DUMMYFUNCTION("IF(REGEXMATCH(C151, ""S""), ""S"","""")"),"S")</f>
        <v>S</v>
      </c>
      <c r="Q151" s="239" t="str">
        <f>IFERROR(__xludf.DUMMYFUNCTION("SUBSTITUTE(CONCATENATE(JOIN(""-"",D151:J151)),""-"","""")"),"SRg")</f>
        <v>SRg</v>
      </c>
      <c r="R151" s="229" t="str">
        <f>IFERROR(__xludf.DUMMYFUNCTION("SUBSTITUTE(CONCATENATE(JOIN(""-"",K151:P151)),""-"","""")"),"PdS")</f>
        <v>PdS</v>
      </c>
      <c r="S151" s="282" t="str">
        <f t="shared" si="8"/>
        <v>S-R-G-</v>
      </c>
      <c r="T151" s="282" t="str">
        <f t="shared" si="9"/>
        <v>P-D-S</v>
      </c>
      <c r="U151" s="237" t="str">
        <f>IFERROR(__xludf.DUMMYFUNCTION("SUBSTITUTE(JOIN(""-"",S151,T151),""--"",""-"")"),"S-R-G-P-D-S")</f>
        <v>S-R-G-P-D-S</v>
      </c>
      <c r="V151" s="309" t="str">
        <f t="shared" si="10"/>
        <v>Rgd</v>
      </c>
      <c r="W151" s="244" t="str">
        <f>IFERROR(__xludf.DUMMYFUNCTION("IF(REGEXMATCH(C151, ""S""), ""0"","""")"),"0")</f>
        <v>0</v>
      </c>
      <c r="X151" s="245" t="str">
        <f>IFERROR(__xludf.DUMMYFUNCTION("IF(REGEXMATCH(C151, ""r""), ""1"","""")"),"")</f>
        <v/>
      </c>
      <c r="Y151" s="246" t="str">
        <f>IFERROR(__xludf.DUMMYFUNCTION("IF(REGEXMATCH(C151, ""R""), ""2"","""")"),"2")</f>
        <v>2</v>
      </c>
      <c r="Z151" s="246" t="str">
        <f>IFERROR(__xludf.DUMMYFUNCTION("IF(REGEXMATCH(C151, ""g""), ""3"","""")"),"3")</f>
        <v>3</v>
      </c>
      <c r="AA151" s="245" t="str">
        <f>IFERROR(__xludf.DUMMYFUNCTION("IF(REGEXMATCH(C151, ""G""), ""4"","""")"),"")</f>
        <v/>
      </c>
      <c r="AB151" s="245" t="str">
        <f>IFERROR(__xludf.DUMMYFUNCTION("IF(REGEXMATCH(C151, ""m""), ""5"","""")"),"")</f>
        <v/>
      </c>
      <c r="AC151" s="246" t="str">
        <f>IFERROR(__xludf.DUMMYFUNCTION("IF(REGEXMATCH(C151, ""M""), ""6"","""")"),"")</f>
        <v/>
      </c>
      <c r="AD151" s="245" t="str">
        <f>IFERROR(__xludf.DUMMYFUNCTION("IF(REGEXMATCH(C151, ""P""), ""7"","""")"),"7")</f>
        <v>7</v>
      </c>
      <c r="AE151" s="246" t="str">
        <f>IFERROR(__xludf.DUMMYFUNCTION("IF(REGEXMATCH(C151, ""d""), ""8"","""")"),"8")</f>
        <v>8</v>
      </c>
      <c r="AF151" s="245" t="str">
        <f>IFERROR(__xludf.DUMMYFUNCTION("IF(REGEXMATCH(C151, ""D""), ""9"","""")"),"")</f>
        <v/>
      </c>
      <c r="AG151" s="245" t="str">
        <f>IFERROR(__xludf.DUMMYFUNCTION("IF(REGEXMATCH(C151, ""n""), ""10"","""")"),"")</f>
        <v/>
      </c>
      <c r="AH151" s="246" t="str">
        <f>IFERROR(__xludf.DUMMYFUNCTION("IF(REGEXMATCH(C151, ""N""), ""11"","""")"),"")</f>
        <v/>
      </c>
      <c r="AI151" s="249" t="str">
        <f>IFERROR(__xludf.DUMMYFUNCTION("IF(REGEXMATCH(C151, ""S""), ""0"","""")"),"0")</f>
        <v>0</v>
      </c>
      <c r="AJ151" s="313" t="str">
        <f t="shared" si="11"/>
        <v>-</v>
      </c>
      <c r="AK151" s="313" t="str">
        <f t="shared" si="12"/>
        <v>-</v>
      </c>
      <c r="AL151" s="313" t="str">
        <f t="shared" si="13"/>
        <v>T</v>
      </c>
      <c r="AM151" s="313" t="str">
        <f t="shared" si="14"/>
        <v>-</v>
      </c>
      <c r="AN151" s="313" t="str">
        <f t="shared" si="15"/>
        <v>-</v>
      </c>
      <c r="AO151" s="314" t="str">
        <f t="shared" si="16"/>
        <v>-</v>
      </c>
      <c r="AP151" s="316">
        <f t="shared" si="17"/>
        <v>1</v>
      </c>
      <c r="AQ151" s="319" t="str">
        <f t="shared" si="18"/>
        <v>-</v>
      </c>
      <c r="AR151" s="320">
        <f t="shared" si="19"/>
        <v>0</v>
      </c>
      <c r="AS151" s="250" t="str">
        <f>IFERROR(__xludf.DUMMYFUNCTION("SUBSTITUTE(SUBSTITUTE(CONCATENATE(JOIN("""",FP151:GA151)),""|"",""x""),""-"",""o"")"),"xoxxoooxxooo")</f>
        <v>xoxxoooxxooo</v>
      </c>
      <c r="AT151" s="323" t="str">
        <f>IFERROR(__xludf.DUMMYFUNCTION("JOIN("""",AS151,AS151)"),"xoxxoooxxoooxoxxoooxxooo")</f>
        <v>xoxxoooxxoooxoxxoooxxooo</v>
      </c>
      <c r="AU151" s="256" t="str">
        <f>IFERROR(__xludf.DUMMYFUNCTION("JOIN("""",ArrayFormula(MID(AS151,LEN(AS151)-SEQUENCE(1,LEN(AS151))+1,1)))"),"oooxxoooxxox")</f>
        <v>oooxxoooxxox</v>
      </c>
      <c r="AV151" s="256" t="str">
        <f>IFERROR(__xludf.DUMMYFUNCTION("LEFT(CONCATENATE(""x"",JOIN("""",ArrayFormula(MID(AS151,LEN(AS151)-SEQUENCE(1,LEN(AS151))+1,1)))),12)"),"xoooxxoooxxo")</f>
        <v>xoooxxoooxxo</v>
      </c>
      <c r="AW151" s="327" t="str">
        <f>IFERROR(__xludf.DUMMYFUNCTION("JOIN("""",AU151,AU151)"),"oooxxoooxxoxoooxxoooxxox")</f>
        <v>oooxxoooxxoxoooxxoooxxox</v>
      </c>
      <c r="AX151" s="239" t="str">
        <f>IFERROR(__xludf.DUMMYFUNCTION("IF(REGEXMATCH(AW151,AS151),""✔"",""-"")"),"-")</f>
        <v>-</v>
      </c>
      <c r="AY151" s="330" t="str">
        <f t="shared" si="20"/>
        <v>-</v>
      </c>
      <c r="AZ151" s="260" t="str">
        <f t="shared" si="21"/>
        <v>#REF!</v>
      </c>
      <c r="BA151" s="333" t="str">
        <f t="shared" si="22"/>
        <v>xoxxooo</v>
      </c>
      <c r="BB151" s="334" t="str">
        <f t="shared" si="23"/>
        <v>xxooox</v>
      </c>
      <c r="BC151" s="335" t="str">
        <f t="shared" si="236"/>
        <v>-</v>
      </c>
      <c r="BD151" s="336" t="str">
        <f t="shared" si="25"/>
        <v>Japaniya: 'xoxxooo' + 'xxooox'</v>
      </c>
      <c r="BE151" s="337">
        <f>IFERROR(__xludf.DUMMYFUNCTION("COUNTUNIQUE(FILTER(AT:AT,REGEXMATCH(AT:AT,AS151)))-1"),3.0)</f>
        <v>3</v>
      </c>
      <c r="BF151" s="261" t="str">
        <f>IFERROR(__xludf.DUMMYFUNCTION("IF(BI151=0,""(n/a)"",IF(BJ151=2,""(PAIR)"",IF(REGEXMATCH(AT151,""xoxoxxoxoxox""),""Bilawal"",IF(REGEXMATCH(AT151,""xoxoxooxoxoo""),""Bhupali"",IF(REGEXMATCH(AT151,""xoxoxxoxxoxo""),""Charukeshi"",IF(REGEXMATCH(AT151,""xoxoooxxoxxo""),""Kameshwari"",IF(REG"&amp;"EXMATCH(AT151,""xoxoxooxoxox""),""Shankara"",IF(REGEXMATCH(AT151,""xxooxoxxxoox""),""Basant"",IF(REGEXMATCH(AT151,""xoxoxxxxoxox""),""Bihag"",IF(REGEXMATCH(AT151,""xoxxxxoxoxxx""),""Pilu"",IF(REGEXMATCH(AT151,""xoxxoxoxxoox""),""Kirwani"",IF(REGEXMATCH(AT"&amp;"151,""xoxxoxoxoxxx""),""Mk.Malhar"",IF(REGEXMATCH(AT151,""xxooxxoxxoox""),""Bhairav"",IF(REGEXMATCH(AT151,""xxoxooxxxoox""),""Todi"",IF(REGEXMATCH(AT151,""xxooxoxooxox""),""Marwa"",IF(REGEXMATCH(AT151,""xxoooxoxxooo""),""Gunkali"",IF(REGEXMATCH(AT151,""xo"&amp;"xoxxoxxoox""),""Nat Bhairav"",IF(REGEXMATCH(AT151,""xoxxoooxoxoo""),""Shivranjani"",IF(REGEXMATCH(AT151,""xooxxxoxooxo""),""Jog"",IF(REGEXMATCH(AT151,""xxooxoxoxoox""),""Hemshri"",IF(REGEXMATCH(AT151,""xoooxooxoxxo""),""Kalavati"",IF(REGEXMATCH(AT151,""xx"&amp;"oxoxxoxoox""),""Kedar"",IF(REGEXMATCH(AT151,""xoxxxxoxooxx""),""Gara"",IF(REGEXMATCH(AT151,""xooxoxooxoox""),""Chandrakauns"",IF(REGEXMATCH(AT151,""xoxxxxoxxxox""),""Mand"",IF(REGEXMATCH(AT151,""xoxxxxoxoxox""),""Hanskinkini"",IF(REGEXMATCH(AT151,""xxooxx"&amp;"oxooxo""),""Lilavati"",IF(REGEXMATCH(AT151,""xooxoxoooxox""),""Rajeshwari"",IF(REGEXMATCH(AT151,""xoooxxoxoxxx""),""Khokar"",IF(REGEXMATCH(AT151,""xxooxoxxxxox""),""Maligoura"",""-""))))))))))))))))))))))))))))))"),"Gunkali")</f>
        <v>Gunkali</v>
      </c>
      <c r="BG151" s="239" t="str">
        <f t="shared" si="26"/>
        <v>#REF!</v>
      </c>
      <c r="BH151" s="239">
        <f>IFERROR(__xludf.DUMMYFUNCTION("COUNTUNIQUE(FE151:FO151)-1"),4.0)</f>
        <v>4</v>
      </c>
      <c r="BI151" s="239">
        <f>IFERROR(__xludf.DUMMYFUNCTION("COUNTUNIQUE(FILTER(AT:AT,REGEXMATCH(AT:AT,AS151)))-1"),3.0)</f>
        <v>3</v>
      </c>
      <c r="BJ151" s="239">
        <f>IFERROR(__xludf.DUMMYFUNCTION("COUNTA(FILTER(AT:AT,REGEXMATCH(AT:AT,AS151)))"),6.0)</f>
        <v>6</v>
      </c>
      <c r="BK151" s="341">
        <f>IFERROR(__xludf.DUMMYFUNCTION("COUNTA(FILTER(AT:AT,REGEXMATCH(AT:AT,AS151)))-AR151"),6.0)</f>
        <v>6</v>
      </c>
      <c r="BL151" s="276" t="str">
        <f>IFERROR(__xludf.DUMMYFUNCTION("IF(AS151=""oooooooooooo"",""-"",IF(REGEXMATCH(AT151,""xx""), ""Hemi."", ""Anhemi.""))"),"Hemi.")</f>
        <v>Hemi.</v>
      </c>
      <c r="BM151" s="282" t="str">
        <f>IFERROR(__xludf.DUMMYFUNCTION("IF(AS151=""oooooooooooo"",""-"",IF(REGEXMATCH(AT151,""xxx""), ""Cohem."", ""-""))"),"-")</f>
        <v>-</v>
      </c>
      <c r="BN151" s="282" t="str">
        <f>IFERROR(__xludf.DUMMYFUNCTION("IF(AS151=""oooooooooooo"",""-"",IF(REGEXMATCH(AT151,""xxxx""), ""Co-Co."", ""-""))"),"-")</f>
        <v>-</v>
      </c>
      <c r="BO151" s="342" t="str">
        <f>IFERROR(__xludf.DUMMYFUNCTION("IF(AS151=""oooooooooooo"",""-"",IF(REGEXMATCH(AT151,""xxxxx""), ""CCC."", ""-""))"),"-")</f>
        <v>-</v>
      </c>
      <c r="BP151" s="344" t="str">
        <f t="shared" si="27"/>
        <v>-</v>
      </c>
      <c r="BQ151" s="282" t="str">
        <f>IFERROR(__xludf.DUMMYFUNCTION("IF(REGEXMATCH(JOIN(""-"",EU151:FD151),""TRUE""),""✔"",""-"")"),"✔")</f>
        <v>✔</v>
      </c>
      <c r="BR151" s="225">
        <f t="shared" si="28"/>
        <v>1</v>
      </c>
      <c r="BS151" s="345" t="str">
        <f>IFERROR(__xludf.DUMMYFUNCTION("SUBSTITUTE(SUBSTITUTE(SUBSTITUTE(SUBSTITUTE(CONCATENATE(JOIN(""-"",GC151:GO151)),""--"",""-""),""--"",""-""),""--"",""-""),""--"",""-"")"),"1-2-b3-5-b6-8")</f>
        <v>1-2-b3-5-b6-8</v>
      </c>
      <c r="BT151" s="299" t="str">
        <f>IFERROR(__xludf.DUMMYFUNCTION("SUBSTITUTE(SUBSTITUTE(SUBSTITUTE(SUBSTITUTE(CONCATENATE(JOIN(""-"",GP151:HB151)),""--"",""-""),""--"",""-""),""--"",""-""),""--"",""-"")"),"S-R2-G2-P-D1-S")</f>
        <v>S-R2-G2-P-D1-S</v>
      </c>
      <c r="BU151" s="348" t="str">
        <f t="shared" si="29"/>
        <v>C-D-Eb-G-Ab-C</v>
      </c>
      <c r="BV151" s="349" t="str">
        <f t="shared" si="30"/>
        <v>SrGmMDnNS</v>
      </c>
      <c r="BW151" s="350">
        <f t="shared" si="31"/>
        <v>0</v>
      </c>
      <c r="BX151" s="351">
        <f t="shared" si="32"/>
        <v>1</v>
      </c>
      <c r="BY151" s="392"/>
      <c r="BZ151" s="309" t="str">
        <f>IFERROR(__xludf.DUMMYFUNCTION("IF(REGEXMATCH(C151, ""S""), ""x"",""x"")"),"x")</f>
        <v>x</v>
      </c>
      <c r="CA151" s="245" t="str">
        <f>IFERROR(__xludf.DUMMYFUNCTION("IF(REGEXMATCH(C151, ""r""), ""o"",""x"")"),"x")</f>
        <v>x</v>
      </c>
      <c r="CB151" s="246" t="str">
        <f>IFERROR(__xludf.DUMMYFUNCTION("IF(REGEXMATCH(C151, ""R""), ""o"",""x"")"),"o")</f>
        <v>o</v>
      </c>
      <c r="CC151" s="246" t="str">
        <f>IFERROR(__xludf.DUMMYFUNCTION("IF(REGEXMATCH(C151, ""g""), ""o"",""x"")"),"o")</f>
        <v>o</v>
      </c>
      <c r="CD151" s="245" t="str">
        <f>IFERROR(__xludf.DUMMYFUNCTION("IF(REGEXMATCH(C151, ""G""), ""o"",""x"")"),"x")</f>
        <v>x</v>
      </c>
      <c r="CE151" s="245" t="str">
        <f>IFERROR(__xludf.DUMMYFUNCTION("IF(REGEXMATCH(C151, ""m""), ""o"",""x"")"),"x")</f>
        <v>x</v>
      </c>
      <c r="CF151" s="246" t="str">
        <f>IFERROR(__xludf.DUMMYFUNCTION("IF(REGEXMATCH(C151, ""M""), ""o"",""x"")"),"x")</f>
        <v>x</v>
      </c>
      <c r="CG151" s="245" t="str">
        <f>IFERROR(__xludf.DUMMYFUNCTION("IF(REGEXMATCH(C151, ""P""), ""o"",""x"")"),"o")</f>
        <v>o</v>
      </c>
      <c r="CH151" s="246" t="str">
        <f>IFERROR(__xludf.DUMMYFUNCTION("IF(REGEXMATCH(C151, ""d""), ""o"",""x"")"),"o")</f>
        <v>o</v>
      </c>
      <c r="CI151" s="245" t="str">
        <f>IFERROR(__xludf.DUMMYFUNCTION("IF(REGEXMATCH(C151, ""D""), ""o"",""x"")"),"x")</f>
        <v>x</v>
      </c>
      <c r="CJ151" s="245" t="str">
        <f>IFERROR(__xludf.DUMMYFUNCTION("IF(REGEXMATCH(C151, ""n""), ""o"",""x"")"),"x")</f>
        <v>x</v>
      </c>
      <c r="CK151" s="245" t="str">
        <f>IFERROR(__xludf.DUMMYFUNCTION("IF(REGEXMATCH(C151, ""N""), ""o"",""x"")"),"x")</f>
        <v>x</v>
      </c>
      <c r="CL151" s="356" t="str">
        <f>IFERROR(__xludf.DUMMYFUNCTION("IF(REGEXMATCH(C151, ""S""), ""x"",""x"")"),"x")</f>
        <v>x</v>
      </c>
      <c r="CM151" s="357" t="str">
        <f t="shared" si="33"/>
        <v>xxooxxxooxxx</v>
      </c>
      <c r="CN151" s="358">
        <f t="shared" si="34"/>
        <v>0</v>
      </c>
      <c r="CO151" s="246" t="str">
        <f>IFERROR(__xludf.DUMMYFUNCTION("IF(REGEXMATCH($C151, ""S""), ""S"",""S"")"),"S")</f>
        <v>S</v>
      </c>
      <c r="CP151" s="246" t="str">
        <f>IFERROR(__xludf.DUMMYFUNCTION("IF(REGEXMATCH($C151, ""r""), """",""r"")"),"r")</f>
        <v>r</v>
      </c>
      <c r="CQ151" s="246" t="str">
        <f>IFERROR(__xludf.DUMMYFUNCTION("IF(REGEXMATCH($C151, ""R""), """",""R"")"),"")</f>
        <v/>
      </c>
      <c r="CR151" s="246" t="str">
        <f>IFERROR(__xludf.DUMMYFUNCTION("IF(REGEXMATCH($C151, ""g""), """",""g"")"),"")</f>
        <v/>
      </c>
      <c r="CS151" s="246" t="str">
        <f>IFERROR(__xludf.DUMMYFUNCTION("IF(REGEXMATCH($C151, ""G""), """",""G"")"),"G")</f>
        <v>G</v>
      </c>
      <c r="CT151" s="246" t="str">
        <f>IFERROR(__xludf.DUMMYFUNCTION("IF(REGEXMATCH($C151, ""m""), """",""m"")"),"m")</f>
        <v>m</v>
      </c>
      <c r="CU151" s="246" t="str">
        <f>IFERROR(__xludf.DUMMYFUNCTION("IF(REGEXMATCH($C151, ""M""), """",""M"")"),"M")</f>
        <v>M</v>
      </c>
      <c r="CV151" s="246" t="str">
        <f>IFERROR(__xludf.DUMMYFUNCTION("IF(REGEXMATCH($C151, ""P""), """",""P"")"),"")</f>
        <v/>
      </c>
      <c r="CW151" s="246" t="str">
        <f>IFERROR(__xludf.DUMMYFUNCTION("IF(REGEXMATCH($C151, ""d""), """",""d"")"),"")</f>
        <v/>
      </c>
      <c r="CX151" s="246" t="str">
        <f>IFERROR(__xludf.DUMMYFUNCTION("IF(REGEXMATCH($C151, ""D""), """",""D"")"),"D")</f>
        <v>D</v>
      </c>
      <c r="CY151" s="246" t="str">
        <f>IFERROR(__xludf.DUMMYFUNCTION("IF(REGEXMATCH($C151, ""n""), """",""n"")"),"n")</f>
        <v>n</v>
      </c>
      <c r="CZ151" s="246" t="str">
        <f>IFERROR(__xludf.DUMMYFUNCTION("IF(REGEXMATCH($C151, ""N""), """",""N"")"),"N")</f>
        <v>N</v>
      </c>
      <c r="DA151" s="246" t="str">
        <f>IFERROR(__xludf.DUMMYFUNCTION("IF(REGEXMATCH($C151, ""S""), ""S"",""S"")"),"S")</f>
        <v>S</v>
      </c>
      <c r="DB151" s="362" t="str">
        <f>IFERROR(__xludf.DUMMYFUNCTION("JOIN("""",CO151:DA151,"""","""")"),"SrGmMDnNS")</f>
        <v>SrGmMDnNS</v>
      </c>
      <c r="DC151" s="363"/>
      <c r="DD151" s="301" t="str">
        <f t="shared" si="35"/>
        <v>#REF!</v>
      </c>
      <c r="DE151" s="302" t="str">
        <f t="shared" si="36"/>
        <v>#REF!</v>
      </c>
      <c r="DF151" s="301" t="str">
        <f t="shared" ref="DF151:DG151" si="510">SUBSTITUTE(S151,"-","")</f>
        <v>SRG</v>
      </c>
      <c r="DG151" s="301" t="str">
        <f t="shared" si="510"/>
        <v>PDS</v>
      </c>
      <c r="DH151" s="302" t="str">
        <f t="shared" si="38"/>
        <v>Gunkali</v>
      </c>
      <c r="DI151" s="301" t="str">
        <f t="shared" si="39"/>
        <v>Hemi.</v>
      </c>
      <c r="DJ151" s="364" t="str">
        <f t="shared" si="40"/>
        <v>-</v>
      </c>
      <c r="DK151" s="306" t="str">
        <f t="shared" si="41"/>
        <v>-</v>
      </c>
      <c r="DL151" s="366" t="str">
        <f t="shared" si="42"/>
        <v>✔</v>
      </c>
      <c r="DM151" s="308" t="str">
        <f t="shared" si="43"/>
        <v>-</v>
      </c>
      <c r="DN151" s="306" t="str">
        <f t="shared" si="44"/>
        <v>-</v>
      </c>
      <c r="DO151" s="306" t="str">
        <f t="shared" si="45"/>
        <v>-</v>
      </c>
      <c r="DP151" s="367" t="str">
        <f t="shared" si="46"/>
        <v>-</v>
      </c>
      <c r="DQ151" s="310" t="str">
        <f t="shared" si="47"/>
        <v>-</v>
      </c>
      <c r="DR151" s="310" t="str">
        <f t="shared" si="48"/>
        <v>-</v>
      </c>
      <c r="DS151" s="310" t="str">
        <f t="shared" si="49"/>
        <v>-</v>
      </c>
      <c r="DT151" s="310" t="str">
        <f t="shared" si="50"/>
        <v>-</v>
      </c>
      <c r="DU151" s="370" t="str">
        <f t="shared" si="51"/>
        <v>-</v>
      </c>
      <c r="DV151" s="306" t="str">
        <f t="shared" si="52"/>
        <v>-</v>
      </c>
      <c r="DW151" s="306" t="str">
        <f t="shared" si="53"/>
        <v>-</v>
      </c>
      <c r="DX151" s="306" t="str">
        <f t="shared" si="54"/>
        <v>✔</v>
      </c>
      <c r="DY151" s="306" t="str">
        <f t="shared" si="55"/>
        <v>-</v>
      </c>
      <c r="DZ151" s="306" t="str">
        <f t="shared" si="56"/>
        <v>-</v>
      </c>
      <c r="EA151" s="367" t="str">
        <f t="shared" si="57"/>
        <v>✔</v>
      </c>
      <c r="EB151" s="310" t="str">
        <f>IFERROR(__xludf.DUMMYFUNCTION("IF(REGEXMATCH(AW151,AS151),""✔"",""-"")"),"-")</f>
        <v>-</v>
      </c>
      <c r="EC151" s="310" t="str">
        <f t="shared" si="58"/>
        <v>#REF!</v>
      </c>
      <c r="ED151" s="370" t="str">
        <f t="shared" si="59"/>
        <v>-</v>
      </c>
      <c r="EE151" s="340" t="str">
        <f t="shared" si="60"/>
        <v>S-R-g-P-d-S</v>
      </c>
      <c r="EF151" s="371" t="str">
        <f>IFERROR(__xludf.DUMMYFUNCTION("CONCATENATE(JOIN("""",HC151:HO151))"),"SGmDnS")</f>
        <v>SGmDnS</v>
      </c>
      <c r="EG151" s="372">
        <f t="shared" si="61"/>
        <v>2</v>
      </c>
      <c r="EH151" s="373" t="str">
        <f>IFERROR(__xludf.DUMMYFUNCTION("CONCATENATE(JOIN("""",JC151:JO151))"),"Re, ga, ")</f>
        <v>Re, ga, </v>
      </c>
      <c r="EI151" s="322">
        <f t="shared" si="62"/>
        <v>0</v>
      </c>
      <c r="EJ151" s="374" t="str">
        <f>IFERROR(__xludf.DUMMYFUNCTION("CONCATENATE(JOIN("""",KC151:KO151))"),"")</f>
        <v/>
      </c>
      <c r="EK151" s="325" t="str">
        <f t="shared" si="63"/>
        <v>S-R2-G2-P-D1-S</v>
      </c>
      <c r="EL151" s="326" t="str">
        <f t="shared" si="64"/>
        <v>1-2-b3-5-b6-8</v>
      </c>
      <c r="EM151" s="318" t="str">
        <f t="shared" si="65"/>
        <v>#REF!</v>
      </c>
      <c r="EN151" s="328" t="str">
        <f>IFERROR(__xludf.DUMMYFUNCTION("SUBSTITUTE(SUBSTITUTE(SUBSTITUTE(SUBSTITUTE(CONCATENATE(JOIN("" "",HP151:IB151)),""  "","" ""),""  "","" ""),""  "","" ""),""  "","" "")"),"o • o o • • • o o • • • o")</f>
        <v>o • o o • • • o o • • • o</v>
      </c>
      <c r="EO151" s="368" t="str">
        <f t="shared" si="66"/>
        <v>Sa-Pa</v>
      </c>
      <c r="EP151" s="339" t="str">
        <f t="shared" si="67"/>
        <v>-</v>
      </c>
      <c r="EQ151" s="339" t="str">
        <f t="shared" si="68"/>
        <v>Sa-Pa</v>
      </c>
      <c r="ER151" s="339" t="str">
        <f t="shared" si="69"/>
        <v>Sa-Pa</v>
      </c>
      <c r="ES151" s="340" t="str">
        <f t="shared" si="70"/>
        <v>-</v>
      </c>
      <c r="ET151" s="363"/>
      <c r="EU151" s="376" t="b">
        <f>IFERROR(__xludf.DUMMYFUNCTION("arrayformula(sum(--REGEXMATCH(""SRGMPDNS"",split(REGEXREPLACE(C151,""(.)"",""$1~""),""~""))))=len(C151)
"),FALSE)</f>
        <v>0</v>
      </c>
      <c r="EV151" s="290" t="b">
        <f>IFERROR(__xludf.DUMMYFUNCTION("arrayformula(sum(--REGEXMATCH(""SRGmPDNS"",split(REGEXREPLACE(C151,""(.)"",""$1~""),""~""))))=len(C151)"),FALSE)</f>
        <v>0</v>
      </c>
      <c r="EW151" s="290" t="b">
        <f>IFERROR(__xludf.DUMMYFUNCTION("arrayformula(sum(--REGEXMATCH(""SRGmPDnS"",split(REGEXREPLACE(C151,""(.)"",""$1~""),""~""))))=len(C151)"),FALSE)</f>
        <v>0</v>
      </c>
      <c r="EX151" s="290" t="b">
        <f>IFERROR(__xludf.DUMMYFUNCTION("arrayformula(sum(--REGEXMATCH(""SRgmPDnS"",split(REGEXREPLACE(C151,""(.)"",""$1~""),""~""))))=len(C151)"),FALSE)</f>
        <v>0</v>
      </c>
      <c r="EY151" s="290" t="b">
        <f>IFERROR(__xludf.DUMMYFUNCTION("arrayformula(sum(--REGEXMATCH(""SRgmPdnS"",split(REGEXREPLACE(C151,""(.)"",""$1~""),""~""))))=len(C151)"),TRUE)</f>
        <v>1</v>
      </c>
      <c r="EZ151" s="290" t="b">
        <f>IFERROR(__xludf.DUMMYFUNCTION("arrayformula(sum(--REGEXMATCH(""SrgmPdnS"",split(REGEXREPLACE(C151,""(.)"",""$1~""),""~""))))=len(C151)"),FALSE)</f>
        <v>0</v>
      </c>
      <c r="FA151" s="290" t="b">
        <f>IFERROR(__xludf.DUMMYFUNCTION("arrayformula(sum(--REGEXMATCH(""SrGmPdNS"",split(REGEXREPLACE(C151,""(.)"",""$1~""),""~""))))=len(C151)"),FALSE)</f>
        <v>0</v>
      </c>
      <c r="FB151" s="290" t="b">
        <f>IFERROR(__xludf.DUMMYFUNCTION("arrayformula(sum(--REGEXMATCH(""SrGMPDNS"",split(REGEXREPLACE(C151,""(.)"",""$1~""),""~""))))=len(C151)"),FALSE)</f>
        <v>0</v>
      </c>
      <c r="FC151" s="290" t="b">
        <f>IFERROR(__xludf.DUMMYFUNCTION("arrayformula(sum(--REGEXMATCH(""SrGMPdNS"",split(REGEXREPLACE(C151,""(.)"",""$1~""),""~""))))=len(C151)"),FALSE)</f>
        <v>0</v>
      </c>
      <c r="FD151" s="377" t="b">
        <f>IFERROR(__xludf.DUMMYFUNCTION("arrayformula(sum(--REGEXMATCH(""SrgMPdNS"",split(REGEXREPLACE(C151,""(.)"",""$1~""),""~""))))=len(C151)"),FALSE)</f>
        <v>0</v>
      </c>
      <c r="FE151" s="269" t="str">
        <f t="shared" si="71"/>
        <v>-</v>
      </c>
      <c r="FF151" s="269" t="str">
        <f t="shared" si="72"/>
        <v>xxoooxxooox</v>
      </c>
      <c r="FG151" s="271" t="str">
        <f t="shared" si="73"/>
        <v>xoooxxoooxo</v>
      </c>
      <c r="FH151" s="269" t="str">
        <f t="shared" si="74"/>
        <v>-</v>
      </c>
      <c r="FI151" s="271" t="str">
        <f t="shared" si="75"/>
        <v>-</v>
      </c>
      <c r="FJ151" s="271" t="str">
        <f t="shared" si="76"/>
        <v>-</v>
      </c>
      <c r="FK151" s="271" t="str">
        <f t="shared" si="77"/>
        <v>xxoooxoxxoo</v>
      </c>
      <c r="FL151" s="271" t="str">
        <f t="shared" si="78"/>
        <v>xoooxoxxooo</v>
      </c>
      <c r="FM151" s="271" t="str">
        <f t="shared" si="79"/>
        <v>-</v>
      </c>
      <c r="FN151" s="271" t="str">
        <f t="shared" si="80"/>
        <v>-</v>
      </c>
      <c r="FO151" s="274" t="str">
        <f t="shared" si="81"/>
        <v>-</v>
      </c>
      <c r="FP151" s="234" t="str">
        <f t="shared" si="82"/>
        <v>|</v>
      </c>
      <c r="FQ151" s="236" t="str">
        <f t="shared" si="83"/>
        <v>-</v>
      </c>
      <c r="FR151" s="237" t="str">
        <f t="shared" si="84"/>
        <v>|</v>
      </c>
      <c r="FS151" s="236" t="str">
        <f t="shared" si="85"/>
        <v>|</v>
      </c>
      <c r="FT151" s="237" t="str">
        <f t="shared" si="86"/>
        <v>-</v>
      </c>
      <c r="FU151" s="236" t="str">
        <f t="shared" si="87"/>
        <v>-</v>
      </c>
      <c r="FV151" s="237" t="str">
        <f t="shared" si="88"/>
        <v>-</v>
      </c>
      <c r="FW151" s="236" t="str">
        <f t="shared" si="89"/>
        <v>|</v>
      </c>
      <c r="FX151" s="237" t="str">
        <f t="shared" si="90"/>
        <v>|</v>
      </c>
      <c r="FY151" s="236" t="str">
        <f t="shared" si="91"/>
        <v>-</v>
      </c>
      <c r="FZ151" s="237" t="str">
        <f t="shared" si="92"/>
        <v>-</v>
      </c>
      <c r="GA151" s="236" t="str">
        <f t="shared" si="93"/>
        <v>-</v>
      </c>
      <c r="GB151" s="238" t="str">
        <f t="shared" si="94"/>
        <v>|</v>
      </c>
      <c r="GC151" s="244" t="str">
        <f>IFERROR(__xludf.DUMMYFUNCTION("IF(REGEXMATCH(C151, ""S""), ""1"","""")"),"1")</f>
        <v>1</v>
      </c>
      <c r="GD151" s="245" t="str">
        <f>IFERROR(__xludf.DUMMYFUNCTION("IF(REGEXMATCH(C151, ""r""), ""b2"","""")"),"")</f>
        <v/>
      </c>
      <c r="GE151" s="246" t="str">
        <f>IFERROR(__xludf.DUMMYFUNCTION("IF(REGEXMATCH(C151, ""R""), ""2"","""")"),"2")</f>
        <v>2</v>
      </c>
      <c r="GF151" s="246" t="str">
        <f>IFERROR(__xludf.DUMMYFUNCTION("IF(REGEXMATCH(C151, ""g""), ""b3"","""")"),"b3")</f>
        <v>b3</v>
      </c>
      <c r="GG151" s="245" t="str">
        <f>IFERROR(__xludf.DUMMYFUNCTION("IF(REGEXMATCH(C151, ""G""), ""3"","""")"),"")</f>
        <v/>
      </c>
      <c r="GH151" s="245" t="str">
        <f>IFERROR(__xludf.DUMMYFUNCTION("IF(REGEXMATCH(C151, ""m""), ""4"","""")"),"")</f>
        <v/>
      </c>
      <c r="GI151" s="246" t="str">
        <f>IFERROR(__xludf.DUMMYFUNCTION("IF(REGEXMATCH(C151, ""M""), ""#4"","""")"),"")</f>
        <v/>
      </c>
      <c r="GJ151" s="245" t="str">
        <f>IFERROR(__xludf.DUMMYFUNCTION("IF(REGEXMATCH(C151, ""P""), ""5"","""")"),"5")</f>
        <v>5</v>
      </c>
      <c r="GK151" s="246" t="str">
        <f>IFERROR(__xludf.DUMMYFUNCTION("IF(REGEXMATCH(C151, ""d""), ""b6"","""")"),"b6")</f>
        <v>b6</v>
      </c>
      <c r="GL151" s="245" t="str">
        <f>IFERROR(__xludf.DUMMYFUNCTION("IF(REGEXMATCH(C151, ""D""), ""6"","""")"),"")</f>
        <v/>
      </c>
      <c r="GM151" s="245" t="str">
        <f>IFERROR(__xludf.DUMMYFUNCTION("IF(REGEXMATCH(C151, ""n""), ""b7"","""")"),"")</f>
        <v/>
      </c>
      <c r="GN151" s="246" t="str">
        <f>IFERROR(__xludf.DUMMYFUNCTION("IF(REGEXMATCH(C151, ""N""), ""7"","""")"),"")</f>
        <v/>
      </c>
      <c r="GO151" s="249" t="str">
        <f>IFERROR(__xludf.DUMMYFUNCTION("IF(REGEXMATCH(C151, ""S""), ""8"","""")"),"8")</f>
        <v>8</v>
      </c>
      <c r="GP151" s="244" t="str">
        <f>IFERROR(__xludf.DUMMYFUNCTION("IF(REGEXMATCH(C151, ""S""), ""S"","""")"),"S")</f>
        <v>S</v>
      </c>
      <c r="GQ151" s="294" t="str">
        <f>IFERROR(__xludf.DUMMYFUNCTION("IF(REGEXMATCH(C151, ""r""), ""R1"","""")"),"")</f>
        <v/>
      </c>
      <c r="GR151" s="295" t="str">
        <f>IFERROR(__xludf.DUMMYFUNCTION("IF(REGEXMATCH(C151, ""R""), ""R2"","""")"),"R2")</f>
        <v>R2</v>
      </c>
      <c r="GS151" s="295" t="str">
        <f>IFERROR(__xludf.DUMMYFUNCTION("IF(REGEXMATCH(C151, ""g""), ""G2"","""")"),"G2")</f>
        <v>G2</v>
      </c>
      <c r="GT151" s="294" t="str">
        <f>IFERROR(__xludf.DUMMYFUNCTION("IF(REGEXMATCH(C151, ""G""), ""G3"","""")"),"")</f>
        <v/>
      </c>
      <c r="GU151" s="294" t="str">
        <f>IFERROR(__xludf.DUMMYFUNCTION("IF(REGEXMATCH(C151, ""m""), ""M1"","""")"),"")</f>
        <v/>
      </c>
      <c r="GV151" s="295" t="str">
        <f>IFERROR(__xludf.DUMMYFUNCTION("IF(REGEXMATCH(C151, ""M""), ""M2"","""")"),"")</f>
        <v/>
      </c>
      <c r="GW151" s="294" t="str">
        <f>IFERROR(__xludf.DUMMYFUNCTION("IF(REGEXMATCH(C151, ""P""), ""P"","""")"),"P")</f>
        <v>P</v>
      </c>
      <c r="GX151" s="295" t="str">
        <f>IFERROR(__xludf.DUMMYFUNCTION("IF(REGEXMATCH(C151, ""d""), ""D1"","""")"),"D1")</f>
        <v>D1</v>
      </c>
      <c r="GY151" s="294" t="str">
        <f>IFERROR(__xludf.DUMMYFUNCTION("IF(REGEXMATCH(C151, ""D""), ""D2"","""")"),"")</f>
        <v/>
      </c>
      <c r="GZ151" s="294" t="str">
        <f>IFERROR(__xludf.DUMMYFUNCTION("IF(REGEXMATCH(C151, ""n""), ""N2"","""")"),"")</f>
        <v/>
      </c>
      <c r="HA151" s="295" t="str">
        <f>IFERROR(__xludf.DUMMYFUNCTION("IF(REGEXMATCH(C151, ""N""), ""N3"","""")"),"")</f>
        <v/>
      </c>
      <c r="HB151" s="249" t="str">
        <f>IFERROR(__xludf.DUMMYFUNCTION("IF(REGEXMATCH(C151, ""S""), ""S"","""")"),"S")</f>
        <v>S</v>
      </c>
      <c r="HC151" s="331" t="str">
        <f t="shared" si="95"/>
        <v>S</v>
      </c>
      <c r="HD151" s="332" t="str">
        <f t="shared" si="96"/>
        <v/>
      </c>
      <c r="HE151" s="332" t="str">
        <f t="shared" si="97"/>
        <v/>
      </c>
      <c r="HF151" s="332" t="str">
        <f t="shared" si="98"/>
        <v/>
      </c>
      <c r="HG151" s="332" t="str">
        <f t="shared" si="99"/>
        <v>G</v>
      </c>
      <c r="HH151" s="332" t="str">
        <f t="shared" si="100"/>
        <v>m</v>
      </c>
      <c r="HI151" s="332" t="str">
        <f t="shared" si="101"/>
        <v/>
      </c>
      <c r="HJ151" s="332" t="str">
        <f t="shared" si="102"/>
        <v/>
      </c>
      <c r="HK151" s="332" t="str">
        <f t="shared" si="103"/>
        <v/>
      </c>
      <c r="HL151" s="332" t="str">
        <f t="shared" si="104"/>
        <v>D</v>
      </c>
      <c r="HM151" s="332" t="str">
        <f t="shared" si="105"/>
        <v>n</v>
      </c>
      <c r="HN151" s="332" t="str">
        <f t="shared" si="106"/>
        <v/>
      </c>
      <c r="HO151" s="343" t="str">
        <f t="shared" si="107"/>
        <v>S</v>
      </c>
      <c r="HP151" s="331" t="str">
        <f t="shared" si="108"/>
        <v>o</v>
      </c>
      <c r="HQ151" s="332" t="str">
        <f t="shared" si="109"/>
        <v>•</v>
      </c>
      <c r="HR151" s="332" t="str">
        <f t="shared" si="110"/>
        <v>o</v>
      </c>
      <c r="HS151" s="332" t="str">
        <f t="shared" si="111"/>
        <v>o</v>
      </c>
      <c r="HT151" s="332" t="str">
        <f t="shared" si="112"/>
        <v>•</v>
      </c>
      <c r="HU151" s="332" t="str">
        <f t="shared" si="113"/>
        <v>•</v>
      </c>
      <c r="HV151" s="332" t="str">
        <f t="shared" si="114"/>
        <v>•</v>
      </c>
      <c r="HW151" s="332" t="str">
        <f t="shared" si="115"/>
        <v>o</v>
      </c>
      <c r="HX151" s="332" t="str">
        <f t="shared" si="116"/>
        <v>o</v>
      </c>
      <c r="HY151" s="332" t="str">
        <f t="shared" si="117"/>
        <v>•</v>
      </c>
      <c r="HZ151" s="332" t="str">
        <f t="shared" si="118"/>
        <v>•</v>
      </c>
      <c r="IA151" s="332" t="str">
        <f t="shared" si="119"/>
        <v>•</v>
      </c>
      <c r="IB151" s="338" t="str">
        <f t="shared" si="120"/>
        <v>o</v>
      </c>
      <c r="IC151" s="331" t="str">
        <f t="shared" si="121"/>
        <v>•</v>
      </c>
      <c r="ID151" s="332" t="str">
        <f t="shared" si="122"/>
        <v>o</v>
      </c>
      <c r="IE151" s="332" t="str">
        <f t="shared" si="123"/>
        <v>•</v>
      </c>
      <c r="IF151" s="332" t="str">
        <f t="shared" si="124"/>
        <v>•</v>
      </c>
      <c r="IG151" s="332" t="str">
        <f t="shared" si="125"/>
        <v>o</v>
      </c>
      <c r="IH151" s="332" t="str">
        <f t="shared" si="126"/>
        <v>o</v>
      </c>
      <c r="II151" s="332" t="str">
        <f t="shared" si="127"/>
        <v>o</v>
      </c>
      <c r="IJ151" s="332" t="str">
        <f t="shared" si="128"/>
        <v>•</v>
      </c>
      <c r="IK151" s="332" t="str">
        <f t="shared" si="129"/>
        <v>•</v>
      </c>
      <c r="IL151" s="332" t="str">
        <f t="shared" si="130"/>
        <v>o</v>
      </c>
      <c r="IM151" s="332" t="str">
        <f t="shared" si="131"/>
        <v>o</v>
      </c>
      <c r="IN151" s="332" t="str">
        <f t="shared" si="132"/>
        <v>o</v>
      </c>
      <c r="IO151" s="338" t="str">
        <f t="shared" si="133"/>
        <v>•</v>
      </c>
      <c r="IP151" s="346" t="b">
        <f t="shared" si="134"/>
        <v>0</v>
      </c>
      <c r="IQ151" s="347" t="b">
        <f t="shared" si="135"/>
        <v>0</v>
      </c>
      <c r="IR151" s="347" t="b">
        <f t="shared" si="136"/>
        <v>1</v>
      </c>
      <c r="IS151" s="347" t="b">
        <f t="shared" si="137"/>
        <v>1</v>
      </c>
      <c r="IT151" s="347" t="b">
        <f t="shared" si="138"/>
        <v>0</v>
      </c>
      <c r="IU151" s="347" t="b">
        <f t="shared" si="139"/>
        <v>0</v>
      </c>
      <c r="IV151" s="347" t="b">
        <f t="shared" si="140"/>
        <v>0</v>
      </c>
      <c r="IW151" s="347" t="b">
        <f t="shared" si="141"/>
        <v>0</v>
      </c>
      <c r="IX151" s="347" t="b">
        <f t="shared" si="142"/>
        <v>0</v>
      </c>
      <c r="IY151" s="347" t="b">
        <f t="shared" si="143"/>
        <v>0</v>
      </c>
      <c r="IZ151" s="347" t="b">
        <f t="shared" si="144"/>
        <v>0</v>
      </c>
      <c r="JA151" s="347" t="b">
        <f t="shared" si="145"/>
        <v>0</v>
      </c>
      <c r="JB151" s="353" t="b">
        <f t="shared" si="146"/>
        <v>0</v>
      </c>
      <c r="JC151" s="354" t="str">
        <f t="shared" si="147"/>
        <v/>
      </c>
      <c r="JD151" s="355" t="str">
        <f t="shared" si="148"/>
        <v/>
      </c>
      <c r="JE151" s="355" t="str">
        <f t="shared" si="149"/>
        <v>Re, </v>
      </c>
      <c r="JF151" s="355" t="str">
        <f t="shared" si="150"/>
        <v>ga, </v>
      </c>
      <c r="JG151" s="355" t="str">
        <f t="shared" si="151"/>
        <v/>
      </c>
      <c r="JH151" s="355" t="str">
        <f t="shared" si="152"/>
        <v/>
      </c>
      <c r="JI151" s="355" t="str">
        <f t="shared" si="153"/>
        <v/>
      </c>
      <c r="JJ151" s="355" t="str">
        <f t="shared" si="154"/>
        <v/>
      </c>
      <c r="JK151" s="355" t="str">
        <f t="shared" si="155"/>
        <v/>
      </c>
      <c r="JL151" s="355" t="str">
        <f t="shared" si="156"/>
        <v/>
      </c>
      <c r="JM151" s="355" t="str">
        <f t="shared" si="157"/>
        <v/>
      </c>
      <c r="JN151" s="355" t="str">
        <f t="shared" si="158"/>
        <v/>
      </c>
      <c r="JO151" s="359" t="str">
        <f t="shared" si="159"/>
        <v/>
      </c>
      <c r="JP151" s="346" t="b">
        <f t="shared" si="160"/>
        <v>0</v>
      </c>
      <c r="JQ151" s="347" t="b">
        <f t="shared" si="161"/>
        <v>0</v>
      </c>
      <c r="JR151" s="347" t="b">
        <f t="shared" si="162"/>
        <v>0</v>
      </c>
      <c r="JS151" s="347" t="b">
        <f t="shared" si="163"/>
        <v>0</v>
      </c>
      <c r="JT151" s="347" t="b">
        <f t="shared" si="164"/>
        <v>0</v>
      </c>
      <c r="JU151" s="347" t="b">
        <f t="shared" si="165"/>
        <v>0</v>
      </c>
      <c r="JV151" s="347" t="b">
        <f t="shared" si="166"/>
        <v>0</v>
      </c>
      <c r="JW151" s="347" t="b">
        <f t="shared" si="167"/>
        <v>0</v>
      </c>
      <c r="JX151" s="347" t="b">
        <f t="shared" si="168"/>
        <v>0</v>
      </c>
      <c r="JY151" s="347" t="b">
        <f t="shared" si="169"/>
        <v>0</v>
      </c>
      <c r="JZ151" s="347" t="b">
        <f t="shared" si="170"/>
        <v>0</v>
      </c>
      <c r="KA151" s="347" t="b">
        <f t="shared" si="171"/>
        <v>0</v>
      </c>
      <c r="KB151" s="365" t="b">
        <f t="shared" si="172"/>
        <v>0</v>
      </c>
      <c r="KC151" s="354" t="str">
        <f t="shared" si="173"/>
        <v/>
      </c>
      <c r="KD151" s="355" t="str">
        <f t="shared" si="174"/>
        <v/>
      </c>
      <c r="KE151" s="355" t="str">
        <f t="shared" si="175"/>
        <v/>
      </c>
      <c r="KF151" s="355" t="str">
        <f t="shared" si="176"/>
        <v/>
      </c>
      <c r="KG151" s="355" t="str">
        <f t="shared" si="177"/>
        <v/>
      </c>
      <c r="KH151" s="355" t="str">
        <f t="shared" si="178"/>
        <v/>
      </c>
      <c r="KI151" s="355" t="str">
        <f t="shared" si="179"/>
        <v/>
      </c>
      <c r="KJ151" s="355" t="str">
        <f t="shared" si="180"/>
        <v/>
      </c>
      <c r="KK151" s="355" t="str">
        <f t="shared" si="181"/>
        <v/>
      </c>
      <c r="KL151" s="355" t="str">
        <f t="shared" si="182"/>
        <v/>
      </c>
      <c r="KM151" s="355" t="str">
        <f t="shared" si="183"/>
        <v/>
      </c>
      <c r="KN151" s="355" t="str">
        <f t="shared" si="184"/>
        <v/>
      </c>
      <c r="KO151" s="359"/>
      <c r="KP151" s="378"/>
      <c r="KQ151" s="379" t="s">
        <v>9</v>
      </c>
      <c r="KR151" s="380" t="s">
        <v>9</v>
      </c>
      <c r="KS151" s="381" t="s">
        <v>9</v>
      </c>
      <c r="KT151" s="382">
        <f t="shared" si="186"/>
        <v>0</v>
      </c>
      <c r="KU151" s="383">
        <f t="shared" si="187"/>
        <v>0</v>
      </c>
      <c r="KV151" s="381" t="str">
        <f t="shared" si="205"/>
        <v>S</v>
      </c>
      <c r="KW151" s="382">
        <f t="shared" si="189"/>
        <v>0</v>
      </c>
      <c r="KX151" s="384">
        <f t="shared" si="190"/>
        <v>0</v>
      </c>
      <c r="KY151" s="382">
        <f t="shared" ref="KY151:KZ151" si="511">KW151-KT151</f>
        <v>0</v>
      </c>
      <c r="KZ151" s="369">
        <f t="shared" si="511"/>
        <v>0</v>
      </c>
      <c r="LA151" s="385" t="str">
        <f t="shared" si="192"/>
        <v>✔</v>
      </c>
      <c r="LB151" s="340" t="str">
        <f>IFERROR(__xludf.DUMMYFUNCTION("JOIN("""",ArrayFormula(MID(KS151,LEN(KS151)-SEQUENCE(1,LEN(KS151))+1,1)))"),"S")</f>
        <v>S</v>
      </c>
      <c r="LC151" s="373" t="str">
        <f>IFERROR(__xludf.DUMMYFUNCTION("JOIN("""",ArrayFormula(MID(KV151,LEN(KV151)-SEQUENCE(1,LEN(KV151))+1,1)))"),"S")</f>
        <v>S</v>
      </c>
      <c r="LD151" s="373" t="str">
        <f t="shared" si="193"/>
        <v>S</v>
      </c>
      <c r="LE151" s="339" t="str">
        <f t="shared" si="194"/>
        <v>S</v>
      </c>
      <c r="LF151" s="386" t="str">
        <f>IFERROR(__xludf.DUMMYFUNCTION("SUBSTITUTE(SUBSTITUTE(CONCATENATE(JOIN("""",LH151:LT151)),""1"",""""),""2"","""")"),"SS")</f>
        <v>SS</v>
      </c>
      <c r="LG151" s="369" t="str">
        <f t="shared" si="195"/>
        <v>-</v>
      </c>
      <c r="LH151" s="387" t="str">
        <f>IFERROR(__xludf.DUMMYFUNCTION("IF(REGEXMATCH(LD151, ""S""), ""S"",IF(REGEXMATCH(LE151, ""S""), ""S"",""""))"),"S")</f>
        <v>S</v>
      </c>
      <c r="LI151" s="299" t="str">
        <f>IFERROR(__xludf.DUMMYFUNCTION("IF(REGEXMATCH(LD151, ""r""), ""r1"",IF(REGEXMATCH(LE151, ""r""), ""r2"",""""))"),"")</f>
        <v/>
      </c>
      <c r="LJ151" s="299" t="str">
        <f>IFERROR(__xludf.DUMMYFUNCTION("IF(REGEXMATCH(LD151, ""R""), ""R1"",IF(REGEXMATCH(LE151, ""R""), ""R2"",""""))"),"")</f>
        <v/>
      </c>
      <c r="LK151" s="299" t="str">
        <f>IFERROR(__xludf.DUMMYFUNCTION("IF(REGEXMATCH(LD151, ""g""), ""g1"",IF(REGEXMATCH(LE151, ""g""), ""g2"",""""))"),"")</f>
        <v/>
      </c>
      <c r="LL151" s="299" t="str">
        <f>IFERROR(__xludf.DUMMYFUNCTION("IF(REGEXMATCH(LD151, ""G""), ""G1"",IF(REGEXMATCH(LE151, ""G""), ""G2"",""""))"),"")</f>
        <v/>
      </c>
      <c r="LM151" s="299" t="str">
        <f>IFERROR(__xludf.DUMMYFUNCTION("IF(REGEXMATCH(LD151, ""m""), ""m1"",IF(REGEXMATCH(LE151, ""m""), ""m2"",""""))"),"")</f>
        <v/>
      </c>
      <c r="LN151" s="299" t="str">
        <f>IFERROR(__xludf.DUMMYFUNCTION("IF(REGEXMATCH(LD151, ""M""), ""M1"",IF(REGEXMATCH(LE151, ""M""), ""M2"",""""))"),"")</f>
        <v/>
      </c>
      <c r="LO151" s="299" t="str">
        <f>IFERROR(__xludf.DUMMYFUNCTION("IF(REGEXMATCH(LD151, ""P""), ""P1"",IF(REGEXMATCH(LE151, ""P""), ""P2"",""""))"),"")</f>
        <v/>
      </c>
      <c r="LP151" s="299" t="str">
        <f>IFERROR(__xludf.DUMMYFUNCTION("IF(REGEXMATCH(LD151, ""d""), ""d1"",IF(REGEXMATCH(LE151, ""d""), ""d2"",""""))"),"")</f>
        <v/>
      </c>
      <c r="LQ151" s="299" t="str">
        <f>IFERROR(__xludf.DUMMYFUNCTION("IF(REGEXMATCH(LD151, ""D""), ""D1"",IF(REGEXMATCH(LE151, ""D""), ""D2"",""""))"),"")</f>
        <v/>
      </c>
      <c r="LR151" s="299" t="str">
        <f>IFERROR(__xludf.DUMMYFUNCTION("IF(REGEXMATCH(LD151, ""n""), ""n1"",IF(REGEXMATCH(LE151, ""n""), ""n2"",""""))"),"")</f>
        <v/>
      </c>
      <c r="LS151" s="299" t="str">
        <f>IFERROR(__xludf.DUMMYFUNCTION("IF(REGEXMATCH(LD151, ""N""), ""N1"",IF(REGEXMATCH(LE151, ""N""), ""N2"",""""))"),"")</f>
        <v/>
      </c>
      <c r="LT151" s="388" t="str">
        <f>IFERROR(__xludf.DUMMYFUNCTION("IF(REGEXMATCH(LD151, ""S""), ""S"",IF(REGEXMATCH(LE151, ""S""), ""S"",""""))"),"S")</f>
        <v>S</v>
      </c>
      <c r="LU151" s="389">
        <f t="shared" si="196"/>
        <v>1</v>
      </c>
      <c r="LV151" s="378"/>
      <c r="LW151" s="369"/>
      <c r="LX151" s="369"/>
    </row>
    <row r="152" ht="18.0" customHeight="1">
      <c r="A152" s="298" t="s">
        <v>827</v>
      </c>
      <c r="B152" s="222" t="s">
        <v>828</v>
      </c>
      <c r="C152" s="233" t="str">
        <f t="shared" si="7"/>
        <v>SrRgGmPdnNS</v>
      </c>
      <c r="D152" s="234" t="str">
        <f>IFERROR(__xludf.DUMMYFUNCTION("IF(REGEXMATCH(C152, ""S""), ""S"","""")"),"S")</f>
        <v>S</v>
      </c>
      <c r="E152" s="236" t="str">
        <f>IFERROR(__xludf.DUMMYFUNCTION("IF(REGEXMATCH(C152, ""r""), ""r"","""")"),"r")</f>
        <v>r</v>
      </c>
      <c r="F152" s="237" t="str">
        <f>IFERROR(__xludf.DUMMYFUNCTION("IF(REGEXMATCH(C152, ""R""), ""R"","""")"),"R")</f>
        <v>R</v>
      </c>
      <c r="G152" s="237" t="str">
        <f>IFERROR(__xludf.DUMMYFUNCTION("IF(REGEXMATCH(C152, ""g""), ""g"","""")"),"g")</f>
        <v>g</v>
      </c>
      <c r="H152" s="236" t="str">
        <f>IFERROR(__xludf.DUMMYFUNCTION("IF(REGEXMATCH(C152, ""G""), ""G"","""")"),"G")</f>
        <v>G</v>
      </c>
      <c r="I152" s="236" t="str">
        <f>IFERROR(__xludf.DUMMYFUNCTION("IF(REGEXMATCH(C152, ""m""), ""m"","""")"),"m")</f>
        <v>m</v>
      </c>
      <c r="J152" s="237" t="str">
        <f>IFERROR(__xludf.DUMMYFUNCTION("IF(REGEXMATCH(C152, ""M""), ""M"","""")"),"")</f>
        <v/>
      </c>
      <c r="K152" s="236" t="str">
        <f>IFERROR(__xludf.DUMMYFUNCTION("IF(REGEXMATCH(C152, ""P""), ""P"","""")"),"P")</f>
        <v>P</v>
      </c>
      <c r="L152" s="237" t="str">
        <f>IFERROR(__xludf.DUMMYFUNCTION("IF(REGEXMATCH(C152, ""d""), ""d"","""")"),"d")</f>
        <v>d</v>
      </c>
      <c r="M152" s="236" t="str">
        <f>IFERROR(__xludf.DUMMYFUNCTION("IF(REGEXMATCH(C152, ""D""), ""D"","""")"),"")</f>
        <v/>
      </c>
      <c r="N152" s="236" t="str">
        <f>IFERROR(__xludf.DUMMYFUNCTION("IF(REGEXMATCH(C152, ""n""), ""n"","""")"),"n")</f>
        <v>n</v>
      </c>
      <c r="O152" s="237" t="str">
        <f>IFERROR(__xludf.DUMMYFUNCTION("IF(REGEXMATCH(C152, ""N""), ""N"","""")"),"N")</f>
        <v>N</v>
      </c>
      <c r="P152" s="238" t="str">
        <f>IFERROR(__xludf.DUMMYFUNCTION("IF(REGEXMATCH(C152, ""S""), ""S"","""")"),"S")</f>
        <v>S</v>
      </c>
      <c r="Q152" s="239" t="str">
        <f>IFERROR(__xludf.DUMMYFUNCTION("SUBSTITUTE(CONCATENATE(JOIN(""-"",D152:J152)),""-"","""")"),"SrRgGm")</f>
        <v>SrRgGm</v>
      </c>
      <c r="R152" s="229" t="str">
        <f>IFERROR(__xludf.DUMMYFUNCTION("SUBSTITUTE(CONCATENATE(JOIN(""-"",K152:P152)),""-"","""")"),"PdnNS")</f>
        <v>PdnNS</v>
      </c>
      <c r="S152" s="282" t="str">
        <f t="shared" si="8"/>
        <v>S-R-G-M</v>
      </c>
      <c r="T152" s="282" t="str">
        <f t="shared" si="9"/>
        <v>P-D-N-S</v>
      </c>
      <c r="U152" s="237" t="str">
        <f>IFERROR(__xludf.DUMMYFUNCTION("SUBSTITUTE(JOIN(""-"",S152,T152),""--"",""-"")"),"S-R-G-M-P-D-N-S")</f>
        <v>S-R-G-M-P-D-N-S</v>
      </c>
      <c r="V152" s="309" t="str">
        <f t="shared" si="10"/>
        <v>rRgGmdnN</v>
      </c>
      <c r="W152" s="244" t="str">
        <f>IFERROR(__xludf.DUMMYFUNCTION("IF(REGEXMATCH(C152, ""S""), ""0"","""")"),"0")</f>
        <v>0</v>
      </c>
      <c r="X152" s="245" t="str">
        <f>IFERROR(__xludf.DUMMYFUNCTION("IF(REGEXMATCH(C152, ""r""), ""1"","""")"),"1")</f>
        <v>1</v>
      </c>
      <c r="Y152" s="246" t="str">
        <f>IFERROR(__xludf.DUMMYFUNCTION("IF(REGEXMATCH(C152, ""R""), ""2"","""")"),"2")</f>
        <v>2</v>
      </c>
      <c r="Z152" s="246" t="str">
        <f>IFERROR(__xludf.DUMMYFUNCTION("IF(REGEXMATCH(C152, ""g""), ""3"","""")"),"3")</f>
        <v>3</v>
      </c>
      <c r="AA152" s="245" t="str">
        <f>IFERROR(__xludf.DUMMYFUNCTION("IF(REGEXMATCH(C152, ""G""), ""4"","""")"),"4")</f>
        <v>4</v>
      </c>
      <c r="AB152" s="245" t="str">
        <f>IFERROR(__xludf.DUMMYFUNCTION("IF(REGEXMATCH(C152, ""m""), ""5"","""")"),"5")</f>
        <v>5</v>
      </c>
      <c r="AC152" s="246" t="str">
        <f>IFERROR(__xludf.DUMMYFUNCTION("IF(REGEXMATCH(C152, ""M""), ""6"","""")"),"")</f>
        <v/>
      </c>
      <c r="AD152" s="245" t="str">
        <f>IFERROR(__xludf.DUMMYFUNCTION("IF(REGEXMATCH(C152, ""P""), ""7"","""")"),"7")</f>
        <v>7</v>
      </c>
      <c r="AE152" s="246" t="str">
        <f>IFERROR(__xludf.DUMMYFUNCTION("IF(REGEXMATCH(C152, ""d""), ""8"","""")"),"8")</f>
        <v>8</v>
      </c>
      <c r="AF152" s="245" t="str">
        <f>IFERROR(__xludf.DUMMYFUNCTION("IF(REGEXMATCH(C152, ""D""), ""9"","""")"),"")</f>
        <v/>
      </c>
      <c r="AG152" s="245" t="str">
        <f>IFERROR(__xludf.DUMMYFUNCTION("IF(REGEXMATCH(C152, ""n""), ""10"","""")"),"10")</f>
        <v>10</v>
      </c>
      <c r="AH152" s="246" t="str">
        <f>IFERROR(__xludf.DUMMYFUNCTION("IF(REGEXMATCH(C152, ""N""), ""11"","""")"),"11")</f>
        <v>11</v>
      </c>
      <c r="AI152" s="249" t="str">
        <f>IFERROR(__xludf.DUMMYFUNCTION("IF(REGEXMATCH(C152, ""S""), ""0"","""")"),"0")</f>
        <v>0</v>
      </c>
      <c r="AJ152" s="313" t="str">
        <f t="shared" si="11"/>
        <v>-</v>
      </c>
      <c r="AK152" s="313" t="str">
        <f t="shared" si="12"/>
        <v>T</v>
      </c>
      <c r="AL152" s="313" t="str">
        <f t="shared" si="13"/>
        <v>T</v>
      </c>
      <c r="AM152" s="313" t="str">
        <f t="shared" si="14"/>
        <v>-</v>
      </c>
      <c r="AN152" s="313" t="str">
        <f t="shared" si="15"/>
        <v>T</v>
      </c>
      <c r="AO152" s="314" t="str">
        <f t="shared" si="16"/>
        <v>T</v>
      </c>
      <c r="AP152" s="316">
        <f t="shared" si="17"/>
        <v>4</v>
      </c>
      <c r="AQ152" s="319" t="str">
        <f t="shared" si="18"/>
        <v>-</v>
      </c>
      <c r="AR152" s="320">
        <f t="shared" si="19"/>
        <v>0</v>
      </c>
      <c r="AS152" s="250" t="str">
        <f>IFERROR(__xludf.DUMMYFUNCTION("SUBSTITUTE(SUBSTITUTE(CONCATENATE(JOIN("""",FP152:GA152)),""|"",""x""),""-"",""o"")"),"xxxxxxoxxoxx")</f>
        <v>xxxxxxoxxoxx</v>
      </c>
      <c r="AT152" s="323" t="str">
        <f>IFERROR(__xludf.DUMMYFUNCTION("JOIN("""",AS152,AS152)"),"xxxxxxoxxoxxxxxxxxoxxoxx")</f>
        <v>xxxxxxoxxoxxxxxxxxoxxoxx</v>
      </c>
      <c r="AU152" s="256" t="str">
        <f>IFERROR(__xludf.DUMMYFUNCTION("JOIN("""",ArrayFormula(MID(AS152,LEN(AS152)-SEQUENCE(1,LEN(AS152))+1,1)))"),"xxoxxoxxxxxx")</f>
        <v>xxoxxoxxxxxx</v>
      </c>
      <c r="AV152" s="256" t="str">
        <f>IFERROR(__xludf.DUMMYFUNCTION("LEFT(CONCATENATE(""x"",JOIN("""",ArrayFormula(MID(AS152,LEN(AS152)-SEQUENCE(1,LEN(AS152))+1,1)))),12)"),"xxxoxxoxxxxx")</f>
        <v>xxxoxxoxxxxx</v>
      </c>
      <c r="AW152" s="327" t="str">
        <f>IFERROR(__xludf.DUMMYFUNCTION("JOIN("""",AU152,AU152)"),"xxoxxoxxxxxxxxoxxoxxxxxx")</f>
        <v>xxoxxoxxxxxxxxoxxoxxxxxx</v>
      </c>
      <c r="AX152" s="239" t="str">
        <f>IFERROR(__xludf.DUMMYFUNCTION("IF(REGEXMATCH(AW152,AS152),""✔"",""-"")"),"✔")</f>
        <v>✔</v>
      </c>
      <c r="AY152" s="330" t="str">
        <f t="shared" si="20"/>
        <v>-</v>
      </c>
      <c r="AZ152" s="260" t="str">
        <f t="shared" si="21"/>
        <v>#REF!</v>
      </c>
      <c r="BA152" s="333" t="str">
        <f t="shared" si="22"/>
        <v>xxxxxxo</v>
      </c>
      <c r="BB152" s="334" t="str">
        <f t="shared" si="23"/>
        <v>xxoxxx</v>
      </c>
      <c r="BC152" s="335" t="str">
        <f t="shared" si="236"/>
        <v>-</v>
      </c>
      <c r="BD152" s="336" t="str">
        <f t="shared" si="25"/>
        <v>Jaun Bhairav: 'xxxxxxo' + 'xxoxxx'</v>
      </c>
      <c r="BE152" s="337">
        <f>IFERROR(__xludf.DUMMYFUNCTION("COUNTUNIQUE(FILTER(AT:AT,REGEXMATCH(AT:AT,AS152)))-1"),0.0)</f>
        <v>0</v>
      </c>
      <c r="BF152" s="261" t="str">
        <f>IFERROR(__xludf.DUMMYFUNCTION("IF(BI152=0,""(n/a)"",IF(BJ152=2,""(PAIR)"",IF(REGEXMATCH(AT152,""xoxoxxoxoxox""),""Bilawal"",IF(REGEXMATCH(AT152,""xoxoxooxoxoo""),""Bhupali"",IF(REGEXMATCH(AT152,""xoxoxxoxxoxo""),""Charukeshi"",IF(REGEXMATCH(AT152,""xoxoooxxoxxo""),""Kameshwari"",IF(REG"&amp;"EXMATCH(AT152,""xoxoxooxoxox""),""Shankara"",IF(REGEXMATCH(AT152,""xxooxoxxxoox""),""Basant"",IF(REGEXMATCH(AT152,""xoxoxxxxoxox""),""Bihag"",IF(REGEXMATCH(AT152,""xoxxxxoxoxxx""),""Pilu"",IF(REGEXMATCH(AT152,""xoxxoxoxxoox""),""Kirwani"",IF(REGEXMATCH(AT"&amp;"152,""xoxxoxoxoxxx""),""Mk.Malhar"",IF(REGEXMATCH(AT152,""xxooxxoxxoox""),""Bhairav"",IF(REGEXMATCH(AT152,""xxoxooxxxoox""),""Todi"",IF(REGEXMATCH(AT152,""xxooxoxooxox""),""Marwa"",IF(REGEXMATCH(AT152,""xxoooxoxxooo""),""Gunkali"",IF(REGEXMATCH(AT152,""xo"&amp;"xoxxoxxoox""),""Nat Bhairav"",IF(REGEXMATCH(AT152,""xoxxoooxoxoo""),""Shivranjani"",IF(REGEXMATCH(AT152,""xooxxxoxooxo""),""Jog"",IF(REGEXMATCH(AT152,""xxooxoxoxoox""),""Hemshri"",IF(REGEXMATCH(AT152,""xoooxooxoxxo""),""Kalavati"",IF(REGEXMATCH(AT152,""xx"&amp;"oxoxxoxoox""),""Kedar"",IF(REGEXMATCH(AT152,""xoxxxxoxooxx""),""Gara"",IF(REGEXMATCH(AT152,""xooxoxooxoox""),""Chandrakauns"",IF(REGEXMATCH(AT152,""xoxxxxoxxxox""),""Mand"",IF(REGEXMATCH(AT152,""xoxxxxoxoxox""),""Hanskinkini"",IF(REGEXMATCH(AT152,""xxooxx"&amp;"oxooxo""),""Lilavati"",IF(REGEXMATCH(AT152,""xooxoxoooxox""),""Rajeshwari"",IF(REGEXMATCH(AT152,""xoooxxoxoxxx""),""Khokar"",IF(REGEXMATCH(AT152,""xxooxoxxxxox""),""Maligoura"",""-""))))))))))))))))))))))))))))))"),"(n/a)")</f>
        <v>(n/a)</v>
      </c>
      <c r="BG152" s="239" t="str">
        <f t="shared" si="26"/>
        <v>#REF!</v>
      </c>
      <c r="BH152" s="239">
        <f>IFERROR(__xludf.DUMMYFUNCTION("COUNTUNIQUE(FE152:FO152)-1"),9.0)</f>
        <v>9</v>
      </c>
      <c r="BI152" s="239">
        <f>IFERROR(__xludf.DUMMYFUNCTION("COUNTUNIQUE(FILTER(AT:AT,REGEXMATCH(AT:AT,AS152)))-1"),0.0)</f>
        <v>0</v>
      </c>
      <c r="BJ152" s="239">
        <f>IFERROR(__xludf.DUMMYFUNCTION("COUNTA(FILTER(AT:AT,REGEXMATCH(AT:AT,AS152)))"),1.0)</f>
        <v>1</v>
      </c>
      <c r="BK152" s="341">
        <f>IFERROR(__xludf.DUMMYFUNCTION("COUNTA(FILTER(AT:AT,REGEXMATCH(AT:AT,AS152)))-AR152"),1.0)</f>
        <v>1</v>
      </c>
      <c r="BL152" s="276" t="str">
        <f>IFERROR(__xludf.DUMMYFUNCTION("IF(AS152=""oooooooooooo"",""-"",IF(REGEXMATCH(AT152,""xx""), ""Hemi."", ""Anhemi.""))"),"Hemi.")</f>
        <v>Hemi.</v>
      </c>
      <c r="BM152" s="282" t="str">
        <f>IFERROR(__xludf.DUMMYFUNCTION("IF(AS152=""oooooooooooo"",""-"",IF(REGEXMATCH(AT152,""xxx""), ""Cohem."", ""-""))"),"Cohem.")</f>
        <v>Cohem.</v>
      </c>
      <c r="BN152" s="282" t="str">
        <f>IFERROR(__xludf.DUMMYFUNCTION("IF(AS152=""oooooooooooo"",""-"",IF(REGEXMATCH(AT152,""xxxx""), ""Co-Co."", ""-""))"),"Co-Co.")</f>
        <v>Co-Co.</v>
      </c>
      <c r="BO152" s="342" t="str">
        <f>IFERROR(__xludf.DUMMYFUNCTION("IF(AS152=""oooooooooooo"",""-"",IF(REGEXMATCH(AT152,""xxxxx""), ""CCC."", ""-""))"),"CCC.")</f>
        <v>CCC.</v>
      </c>
      <c r="BP152" s="344" t="str">
        <f t="shared" si="27"/>
        <v>-</v>
      </c>
      <c r="BQ152" s="282" t="str">
        <f>IFERROR(__xludf.DUMMYFUNCTION("IF(REGEXMATCH(JOIN(""-"",EU152:FD152),""TRUE""),""✔"",""-"")"),"-")</f>
        <v>-</v>
      </c>
      <c r="BR152" s="225">
        <f t="shared" si="28"/>
        <v>0</v>
      </c>
      <c r="BS152" s="345" t="str">
        <f>IFERROR(__xludf.DUMMYFUNCTION("SUBSTITUTE(SUBSTITUTE(SUBSTITUTE(SUBSTITUTE(CONCATENATE(JOIN(""-"",GC152:GO152)),""--"",""-""),""--"",""-""),""--"",""-""),""--"",""-"")"),"1-b2-2-b3-3-4-5-b6-b7-7-8")</f>
        <v>1-b2-2-b3-3-4-5-b6-b7-7-8</v>
      </c>
      <c r="BT152" s="299" t="str">
        <f>IFERROR(__xludf.DUMMYFUNCTION("SUBSTITUTE(SUBSTITUTE(SUBSTITUTE(SUBSTITUTE(CONCATENATE(JOIN(""-"",GP152:HB152)),""--"",""-""),""--"",""-""),""--"",""-""),""--"",""-"")"),"S-R1-R2-G2-G3-M1-P-D1-N2-N3-S")</f>
        <v>S-R1-R2-G2-G3-M1-P-D1-N2-N3-S</v>
      </c>
      <c r="BU152" s="348" t="str">
        <f t="shared" si="29"/>
        <v>C-Db-D-Eb-E-F-G-Ab-Bb-B-C</v>
      </c>
      <c r="BV152" s="349" t="str">
        <f t="shared" si="30"/>
        <v>SMDS</v>
      </c>
      <c r="BW152" s="350">
        <f t="shared" si="31"/>
        <v>0</v>
      </c>
      <c r="BX152" s="351">
        <f t="shared" si="32"/>
        <v>1</v>
      </c>
      <c r="BY152" s="352" t="s">
        <v>275</v>
      </c>
      <c r="BZ152" s="309" t="str">
        <f>IFERROR(__xludf.DUMMYFUNCTION("IF(REGEXMATCH(C152, ""S""), ""x"",""x"")"),"x")</f>
        <v>x</v>
      </c>
      <c r="CA152" s="245" t="str">
        <f>IFERROR(__xludf.DUMMYFUNCTION("IF(REGEXMATCH(C152, ""r""), ""o"",""x"")"),"o")</f>
        <v>o</v>
      </c>
      <c r="CB152" s="246" t="str">
        <f>IFERROR(__xludf.DUMMYFUNCTION("IF(REGEXMATCH(C152, ""R""), ""o"",""x"")"),"o")</f>
        <v>o</v>
      </c>
      <c r="CC152" s="246" t="str">
        <f>IFERROR(__xludf.DUMMYFUNCTION("IF(REGEXMATCH(C152, ""g""), ""o"",""x"")"),"o")</f>
        <v>o</v>
      </c>
      <c r="CD152" s="245" t="str">
        <f>IFERROR(__xludf.DUMMYFUNCTION("IF(REGEXMATCH(C152, ""G""), ""o"",""x"")"),"o")</f>
        <v>o</v>
      </c>
      <c r="CE152" s="245" t="str">
        <f>IFERROR(__xludf.DUMMYFUNCTION("IF(REGEXMATCH(C152, ""m""), ""o"",""x"")"),"o")</f>
        <v>o</v>
      </c>
      <c r="CF152" s="246" t="str">
        <f>IFERROR(__xludf.DUMMYFUNCTION("IF(REGEXMATCH(C152, ""M""), ""o"",""x"")"),"x")</f>
        <v>x</v>
      </c>
      <c r="CG152" s="245" t="str">
        <f>IFERROR(__xludf.DUMMYFUNCTION("IF(REGEXMATCH(C152, ""P""), ""o"",""x"")"),"o")</f>
        <v>o</v>
      </c>
      <c r="CH152" s="246" t="str">
        <f>IFERROR(__xludf.DUMMYFUNCTION("IF(REGEXMATCH(C152, ""d""), ""o"",""x"")"),"o")</f>
        <v>o</v>
      </c>
      <c r="CI152" s="245" t="str">
        <f>IFERROR(__xludf.DUMMYFUNCTION("IF(REGEXMATCH(C152, ""D""), ""o"",""x"")"),"x")</f>
        <v>x</v>
      </c>
      <c r="CJ152" s="245" t="str">
        <f>IFERROR(__xludf.DUMMYFUNCTION("IF(REGEXMATCH(C152, ""n""), ""o"",""x"")"),"o")</f>
        <v>o</v>
      </c>
      <c r="CK152" s="245" t="str">
        <f>IFERROR(__xludf.DUMMYFUNCTION("IF(REGEXMATCH(C152, ""N""), ""o"",""x"")"),"o")</f>
        <v>o</v>
      </c>
      <c r="CL152" s="356" t="str">
        <f>IFERROR(__xludf.DUMMYFUNCTION("IF(REGEXMATCH(C152, ""S""), ""x"",""x"")"),"x")</f>
        <v>x</v>
      </c>
      <c r="CM152" s="357" t="str">
        <f t="shared" si="33"/>
        <v>xoooooxooxoo</v>
      </c>
      <c r="CN152" s="358">
        <f t="shared" si="34"/>
        <v>0</v>
      </c>
      <c r="CO152" s="246" t="str">
        <f>IFERROR(__xludf.DUMMYFUNCTION("IF(REGEXMATCH($C152, ""S""), ""S"",""S"")"),"S")</f>
        <v>S</v>
      </c>
      <c r="CP152" s="246" t="str">
        <f>IFERROR(__xludf.DUMMYFUNCTION("IF(REGEXMATCH($C152, ""r""), """",""r"")"),"")</f>
        <v/>
      </c>
      <c r="CQ152" s="246" t="str">
        <f>IFERROR(__xludf.DUMMYFUNCTION("IF(REGEXMATCH($C152, ""R""), """",""R"")"),"")</f>
        <v/>
      </c>
      <c r="CR152" s="246" t="str">
        <f>IFERROR(__xludf.DUMMYFUNCTION("IF(REGEXMATCH($C152, ""g""), """",""g"")"),"")</f>
        <v/>
      </c>
      <c r="CS152" s="246" t="str">
        <f>IFERROR(__xludf.DUMMYFUNCTION("IF(REGEXMATCH($C152, ""G""), """",""G"")"),"")</f>
        <v/>
      </c>
      <c r="CT152" s="246" t="str">
        <f>IFERROR(__xludf.DUMMYFUNCTION("IF(REGEXMATCH($C152, ""m""), """",""m"")"),"")</f>
        <v/>
      </c>
      <c r="CU152" s="246" t="str">
        <f>IFERROR(__xludf.DUMMYFUNCTION("IF(REGEXMATCH($C152, ""M""), """",""M"")"),"M")</f>
        <v>M</v>
      </c>
      <c r="CV152" s="246" t="str">
        <f>IFERROR(__xludf.DUMMYFUNCTION("IF(REGEXMATCH($C152, ""P""), """",""P"")"),"")</f>
        <v/>
      </c>
      <c r="CW152" s="246" t="str">
        <f>IFERROR(__xludf.DUMMYFUNCTION("IF(REGEXMATCH($C152, ""d""), """",""d"")"),"")</f>
        <v/>
      </c>
      <c r="CX152" s="246" t="str">
        <f>IFERROR(__xludf.DUMMYFUNCTION("IF(REGEXMATCH($C152, ""D""), """",""D"")"),"D")</f>
        <v>D</v>
      </c>
      <c r="CY152" s="246" t="str">
        <f>IFERROR(__xludf.DUMMYFUNCTION("IF(REGEXMATCH($C152, ""n""), """",""n"")"),"")</f>
        <v/>
      </c>
      <c r="CZ152" s="246" t="str">
        <f>IFERROR(__xludf.DUMMYFUNCTION("IF(REGEXMATCH($C152, ""N""), """",""N"")"),"")</f>
        <v/>
      </c>
      <c r="DA152" s="246" t="str">
        <f>IFERROR(__xludf.DUMMYFUNCTION("IF(REGEXMATCH($C152, ""S""), ""S"",""S"")"),"S")</f>
        <v>S</v>
      </c>
      <c r="DB152" s="362" t="str">
        <f>IFERROR(__xludf.DUMMYFUNCTION("JOIN("""",CO152:DA152,"""","""")"),"SMDS")</f>
        <v>SMDS</v>
      </c>
      <c r="DC152" s="363"/>
      <c r="DD152" s="301" t="str">
        <f t="shared" si="35"/>
        <v>#REF!</v>
      </c>
      <c r="DE152" s="302" t="str">
        <f t="shared" si="36"/>
        <v>#REF!</v>
      </c>
      <c r="DF152" s="301" t="str">
        <f t="shared" ref="DF152:DG152" si="512">SUBSTITUTE(S152,"-","")</f>
        <v>SRGM</v>
      </c>
      <c r="DG152" s="301" t="str">
        <f t="shared" si="512"/>
        <v>PDNS</v>
      </c>
      <c r="DH152" s="302" t="str">
        <f t="shared" si="38"/>
        <v>(n/a)</v>
      </c>
      <c r="DI152" s="301" t="str">
        <f t="shared" si="39"/>
        <v>Hemi.</v>
      </c>
      <c r="DJ152" s="364" t="str">
        <f t="shared" si="40"/>
        <v>CCC.</v>
      </c>
      <c r="DK152" s="306" t="str">
        <f t="shared" si="41"/>
        <v>-</v>
      </c>
      <c r="DL152" s="366" t="str">
        <f t="shared" si="42"/>
        <v>-</v>
      </c>
      <c r="DM152" s="308" t="str">
        <f t="shared" si="43"/>
        <v>✔</v>
      </c>
      <c r="DN152" s="306" t="str">
        <f t="shared" si="44"/>
        <v>-</v>
      </c>
      <c r="DO152" s="306" t="str">
        <f t="shared" si="45"/>
        <v>-</v>
      </c>
      <c r="DP152" s="367" t="str">
        <f t="shared" si="46"/>
        <v>-</v>
      </c>
      <c r="DQ152" s="310" t="str">
        <f t="shared" si="47"/>
        <v>✔</v>
      </c>
      <c r="DR152" s="310" t="str">
        <f t="shared" si="48"/>
        <v>✔</v>
      </c>
      <c r="DS152" s="310" t="str">
        <f t="shared" si="49"/>
        <v>-</v>
      </c>
      <c r="DT152" s="310" t="str">
        <f t="shared" si="50"/>
        <v>-</v>
      </c>
      <c r="DU152" s="370" t="str">
        <f t="shared" si="51"/>
        <v>✔</v>
      </c>
      <c r="DV152" s="306" t="str">
        <f t="shared" si="52"/>
        <v>-</v>
      </c>
      <c r="DW152" s="306" t="str">
        <f t="shared" si="53"/>
        <v>-</v>
      </c>
      <c r="DX152" s="306" t="str">
        <f t="shared" si="54"/>
        <v>-</v>
      </c>
      <c r="DY152" s="306" t="str">
        <f t="shared" si="55"/>
        <v>-</v>
      </c>
      <c r="DZ152" s="306" t="str">
        <f t="shared" si="56"/>
        <v>-</v>
      </c>
      <c r="EA152" s="367" t="str">
        <f t="shared" si="57"/>
        <v>-</v>
      </c>
      <c r="EB152" s="310" t="str">
        <f>IFERROR(__xludf.DUMMYFUNCTION("IF(REGEXMATCH(AW152,AS152),""✔"",""-"")"),"✔")</f>
        <v>✔</v>
      </c>
      <c r="EC152" s="310" t="str">
        <f t="shared" si="58"/>
        <v>#REF!</v>
      </c>
      <c r="ED152" s="370" t="str">
        <f t="shared" si="59"/>
        <v>-</v>
      </c>
      <c r="EE152" s="340" t="str">
        <f t="shared" si="60"/>
        <v>S-rR-gG-m-P-d-nN-S</v>
      </c>
      <c r="EF152" s="371" t="str">
        <f>IFERROR(__xludf.DUMMYFUNCTION("CONCATENATE(JOIN("""",HC152:HO152))"),"SrRGmPdDnNS")</f>
        <v>SrRGmPdDnNS</v>
      </c>
      <c r="EG152" s="372">
        <f t="shared" si="61"/>
        <v>2</v>
      </c>
      <c r="EH152" s="373" t="str">
        <f>IFERROR(__xludf.DUMMYFUNCTION("CONCATENATE(JOIN("""",JC152:JO152))"),"Re, Ni, ")</f>
        <v>Re, Ni, </v>
      </c>
      <c r="EI152" s="322">
        <f t="shared" si="62"/>
        <v>0</v>
      </c>
      <c r="EJ152" s="374" t="str">
        <f>IFERROR(__xludf.DUMMYFUNCTION("CONCATENATE(JOIN("""",KC152:KO152))"),"")</f>
        <v/>
      </c>
      <c r="EK152" s="325" t="str">
        <f t="shared" si="63"/>
        <v>S-R1-R2-G2-G3-M1-P-D1-N2-N3-S</v>
      </c>
      <c r="EL152" s="326" t="str">
        <f t="shared" si="64"/>
        <v>1-b2-2-b3-3-4-5-b6-b7-7-8</v>
      </c>
      <c r="EM152" s="318" t="str">
        <f t="shared" si="65"/>
        <v>#REF!</v>
      </c>
      <c r="EN152" s="328" t="str">
        <f>IFERROR(__xludf.DUMMYFUNCTION("SUBSTITUTE(SUBSTITUTE(SUBSTITUTE(SUBSTITUTE(CONCATENATE(JOIN("" "",HP152:IB152)),""  "","" ""),""  "","" ""),""  "","" ""),""  "","" "")"),"o o o o o o • o o • o o o")</f>
        <v>o o o o o o • o o • o o o</v>
      </c>
      <c r="EO152" s="368" t="str">
        <f t="shared" si="66"/>
        <v>-</v>
      </c>
      <c r="EP152" s="339" t="str">
        <f t="shared" si="67"/>
        <v>-</v>
      </c>
      <c r="EQ152" s="339" t="str">
        <f t="shared" si="68"/>
        <v>Sa-Pa</v>
      </c>
      <c r="ER152" s="339" t="str">
        <f t="shared" si="69"/>
        <v>-</v>
      </c>
      <c r="ES152" s="340" t="str">
        <f t="shared" si="70"/>
        <v>-</v>
      </c>
      <c r="ET152" s="363"/>
      <c r="EU152" s="376" t="b">
        <f>IFERROR(__xludf.DUMMYFUNCTION("arrayformula(sum(--REGEXMATCH(""SRGMPDNS"",split(REGEXREPLACE(C152,""(.)"",""$1~""),""~""))))=len(C152)
"),FALSE)</f>
        <v>0</v>
      </c>
      <c r="EV152" s="290" t="b">
        <f>IFERROR(__xludf.DUMMYFUNCTION("arrayformula(sum(--REGEXMATCH(""SRGmPDNS"",split(REGEXREPLACE(C152,""(.)"",""$1~""),""~""))))=len(C152)"),FALSE)</f>
        <v>0</v>
      </c>
      <c r="EW152" s="290" t="b">
        <f>IFERROR(__xludf.DUMMYFUNCTION("arrayformula(sum(--REGEXMATCH(""SRGmPDnS"",split(REGEXREPLACE(C152,""(.)"",""$1~""),""~""))))=len(C152)"),FALSE)</f>
        <v>0</v>
      </c>
      <c r="EX152" s="290" t="b">
        <f>IFERROR(__xludf.DUMMYFUNCTION("arrayformula(sum(--REGEXMATCH(""SRgmPDnS"",split(REGEXREPLACE(C152,""(.)"",""$1~""),""~""))))=len(C152)"),FALSE)</f>
        <v>0</v>
      </c>
      <c r="EY152" s="290" t="b">
        <f>IFERROR(__xludf.DUMMYFUNCTION("arrayformula(sum(--REGEXMATCH(""SRgmPdnS"",split(REGEXREPLACE(C152,""(.)"",""$1~""),""~""))))=len(C152)"),FALSE)</f>
        <v>0</v>
      </c>
      <c r="EZ152" s="290" t="b">
        <f>IFERROR(__xludf.DUMMYFUNCTION("arrayformula(sum(--REGEXMATCH(""SrgmPdnS"",split(REGEXREPLACE(C152,""(.)"",""$1~""),""~""))))=len(C152)"),FALSE)</f>
        <v>0</v>
      </c>
      <c r="FA152" s="290" t="b">
        <f>IFERROR(__xludf.DUMMYFUNCTION("arrayformula(sum(--REGEXMATCH(""SrGmPdNS"",split(REGEXREPLACE(C152,""(.)"",""$1~""),""~""))))=len(C152)"),FALSE)</f>
        <v>0</v>
      </c>
      <c r="FB152" s="290" t="b">
        <f>IFERROR(__xludf.DUMMYFUNCTION("arrayformula(sum(--REGEXMATCH(""SrGMPDNS"",split(REGEXREPLACE(C152,""(.)"",""$1~""),""~""))))=len(C152)"),FALSE)</f>
        <v>0</v>
      </c>
      <c r="FC152" s="290" t="b">
        <f>IFERROR(__xludf.DUMMYFUNCTION("arrayformula(sum(--REGEXMATCH(""SrGMPdNS"",split(REGEXREPLACE(C152,""(.)"",""$1~""),""~""))))=len(C152)"),FALSE)</f>
        <v>0</v>
      </c>
      <c r="FD152" s="377" t="b">
        <f>IFERROR(__xludf.DUMMYFUNCTION("arrayformula(sum(--REGEXMATCH(""SrgMPdNS"",split(REGEXREPLACE(C152,""(.)"",""$1~""),""~""))))=len(C152)"),FALSE)</f>
        <v>0</v>
      </c>
      <c r="FE152" s="269" t="str">
        <f t="shared" si="71"/>
        <v>xxxxxoxxoxx</v>
      </c>
      <c r="FF152" s="269" t="str">
        <f t="shared" si="72"/>
        <v>xxxxoxxoxxx</v>
      </c>
      <c r="FG152" s="271" t="str">
        <f t="shared" si="73"/>
        <v>xxxoxxoxxxx</v>
      </c>
      <c r="FH152" s="269" t="str">
        <f t="shared" si="74"/>
        <v>xxoxxoxxxxx</v>
      </c>
      <c r="FI152" s="271" t="str">
        <f t="shared" si="75"/>
        <v>xoxxoxxxxxx</v>
      </c>
      <c r="FJ152" s="271" t="str">
        <f t="shared" si="76"/>
        <v>-</v>
      </c>
      <c r="FK152" s="271" t="str">
        <f t="shared" si="77"/>
        <v>xxoxxxxxxxx</v>
      </c>
      <c r="FL152" s="271" t="str">
        <f t="shared" si="78"/>
        <v>xoxxxxxxxxo</v>
      </c>
      <c r="FM152" s="271" t="str">
        <f t="shared" si="79"/>
        <v>-</v>
      </c>
      <c r="FN152" s="271" t="str">
        <f t="shared" si="80"/>
        <v>xxxxxxxxoxx</v>
      </c>
      <c r="FO152" s="274" t="str">
        <f t="shared" si="81"/>
        <v>xxxxxxxoxxo</v>
      </c>
      <c r="FP152" s="234" t="str">
        <f t="shared" si="82"/>
        <v>|</v>
      </c>
      <c r="FQ152" s="236" t="str">
        <f t="shared" si="83"/>
        <v>|</v>
      </c>
      <c r="FR152" s="237" t="str">
        <f t="shared" si="84"/>
        <v>|</v>
      </c>
      <c r="FS152" s="236" t="str">
        <f t="shared" si="85"/>
        <v>|</v>
      </c>
      <c r="FT152" s="237" t="str">
        <f t="shared" si="86"/>
        <v>|</v>
      </c>
      <c r="FU152" s="236" t="str">
        <f t="shared" si="87"/>
        <v>|</v>
      </c>
      <c r="FV152" s="237" t="str">
        <f t="shared" si="88"/>
        <v>-</v>
      </c>
      <c r="FW152" s="236" t="str">
        <f t="shared" si="89"/>
        <v>|</v>
      </c>
      <c r="FX152" s="237" t="str">
        <f t="shared" si="90"/>
        <v>|</v>
      </c>
      <c r="FY152" s="236" t="str">
        <f t="shared" si="91"/>
        <v>-</v>
      </c>
      <c r="FZ152" s="237" t="str">
        <f t="shared" si="92"/>
        <v>|</v>
      </c>
      <c r="GA152" s="236" t="str">
        <f t="shared" si="93"/>
        <v>|</v>
      </c>
      <c r="GB152" s="238" t="str">
        <f t="shared" si="94"/>
        <v>|</v>
      </c>
      <c r="GC152" s="244" t="str">
        <f>IFERROR(__xludf.DUMMYFUNCTION("IF(REGEXMATCH(C152, ""S""), ""1"","""")"),"1")</f>
        <v>1</v>
      </c>
      <c r="GD152" s="245" t="str">
        <f>IFERROR(__xludf.DUMMYFUNCTION("IF(REGEXMATCH(C152, ""r""), ""b2"","""")"),"b2")</f>
        <v>b2</v>
      </c>
      <c r="GE152" s="246" t="str">
        <f>IFERROR(__xludf.DUMMYFUNCTION("IF(REGEXMATCH(C152, ""R""), ""2"","""")"),"2")</f>
        <v>2</v>
      </c>
      <c r="GF152" s="246" t="str">
        <f>IFERROR(__xludf.DUMMYFUNCTION("IF(REGEXMATCH(C152, ""g""), ""b3"","""")"),"b3")</f>
        <v>b3</v>
      </c>
      <c r="GG152" s="245" t="str">
        <f>IFERROR(__xludf.DUMMYFUNCTION("IF(REGEXMATCH(C152, ""G""), ""3"","""")"),"3")</f>
        <v>3</v>
      </c>
      <c r="GH152" s="245" t="str">
        <f>IFERROR(__xludf.DUMMYFUNCTION("IF(REGEXMATCH(C152, ""m""), ""4"","""")"),"4")</f>
        <v>4</v>
      </c>
      <c r="GI152" s="246" t="str">
        <f>IFERROR(__xludf.DUMMYFUNCTION("IF(REGEXMATCH(C152, ""M""), ""#4"","""")"),"")</f>
        <v/>
      </c>
      <c r="GJ152" s="245" t="str">
        <f>IFERROR(__xludf.DUMMYFUNCTION("IF(REGEXMATCH(C152, ""P""), ""5"","""")"),"5")</f>
        <v>5</v>
      </c>
      <c r="GK152" s="246" t="str">
        <f>IFERROR(__xludf.DUMMYFUNCTION("IF(REGEXMATCH(C152, ""d""), ""b6"","""")"),"b6")</f>
        <v>b6</v>
      </c>
      <c r="GL152" s="245" t="str">
        <f>IFERROR(__xludf.DUMMYFUNCTION("IF(REGEXMATCH(C152, ""D""), ""6"","""")"),"")</f>
        <v/>
      </c>
      <c r="GM152" s="245" t="str">
        <f>IFERROR(__xludf.DUMMYFUNCTION("IF(REGEXMATCH(C152, ""n""), ""b7"","""")"),"b7")</f>
        <v>b7</v>
      </c>
      <c r="GN152" s="246" t="str">
        <f>IFERROR(__xludf.DUMMYFUNCTION("IF(REGEXMATCH(C152, ""N""), ""7"","""")"),"7")</f>
        <v>7</v>
      </c>
      <c r="GO152" s="249" t="str">
        <f>IFERROR(__xludf.DUMMYFUNCTION("IF(REGEXMATCH(C152, ""S""), ""8"","""")"),"8")</f>
        <v>8</v>
      </c>
      <c r="GP152" s="244" t="str">
        <f>IFERROR(__xludf.DUMMYFUNCTION("IF(REGEXMATCH(C152, ""S""), ""S"","""")"),"S")</f>
        <v>S</v>
      </c>
      <c r="GQ152" s="294" t="str">
        <f>IFERROR(__xludf.DUMMYFUNCTION("IF(REGEXMATCH(C152, ""r""), ""R1"","""")"),"R1")</f>
        <v>R1</v>
      </c>
      <c r="GR152" s="295" t="str">
        <f>IFERROR(__xludf.DUMMYFUNCTION("IF(REGEXMATCH(C152, ""R""), ""R2"","""")"),"R2")</f>
        <v>R2</v>
      </c>
      <c r="GS152" s="295" t="str">
        <f>IFERROR(__xludf.DUMMYFUNCTION("IF(REGEXMATCH(C152, ""g""), ""G2"","""")"),"G2")</f>
        <v>G2</v>
      </c>
      <c r="GT152" s="294" t="str">
        <f>IFERROR(__xludf.DUMMYFUNCTION("IF(REGEXMATCH(C152, ""G""), ""G3"","""")"),"G3")</f>
        <v>G3</v>
      </c>
      <c r="GU152" s="294" t="str">
        <f>IFERROR(__xludf.DUMMYFUNCTION("IF(REGEXMATCH(C152, ""m""), ""M1"","""")"),"M1")</f>
        <v>M1</v>
      </c>
      <c r="GV152" s="295" t="str">
        <f>IFERROR(__xludf.DUMMYFUNCTION("IF(REGEXMATCH(C152, ""M""), ""M2"","""")"),"")</f>
        <v/>
      </c>
      <c r="GW152" s="294" t="str">
        <f>IFERROR(__xludf.DUMMYFUNCTION("IF(REGEXMATCH(C152, ""P""), ""P"","""")"),"P")</f>
        <v>P</v>
      </c>
      <c r="GX152" s="295" t="str">
        <f>IFERROR(__xludf.DUMMYFUNCTION("IF(REGEXMATCH(C152, ""d""), ""D1"","""")"),"D1")</f>
        <v>D1</v>
      </c>
      <c r="GY152" s="294" t="str">
        <f>IFERROR(__xludf.DUMMYFUNCTION("IF(REGEXMATCH(C152, ""D""), ""D2"","""")"),"")</f>
        <v/>
      </c>
      <c r="GZ152" s="294" t="str">
        <f>IFERROR(__xludf.DUMMYFUNCTION("IF(REGEXMATCH(C152, ""n""), ""N2"","""")"),"N2")</f>
        <v>N2</v>
      </c>
      <c r="HA152" s="295" t="str">
        <f>IFERROR(__xludf.DUMMYFUNCTION("IF(REGEXMATCH(C152, ""N""), ""N3"","""")"),"N3")</f>
        <v>N3</v>
      </c>
      <c r="HB152" s="249" t="str">
        <f>IFERROR(__xludf.DUMMYFUNCTION("IF(REGEXMATCH(C152, ""S""), ""S"","""")"),"S")</f>
        <v>S</v>
      </c>
      <c r="HC152" s="331" t="str">
        <f t="shared" si="95"/>
        <v>S</v>
      </c>
      <c r="HD152" s="332" t="str">
        <f t="shared" si="96"/>
        <v>r</v>
      </c>
      <c r="HE152" s="332" t="str">
        <f t="shared" si="97"/>
        <v>R</v>
      </c>
      <c r="HF152" s="332" t="str">
        <f t="shared" si="98"/>
        <v/>
      </c>
      <c r="HG152" s="332" t="str">
        <f t="shared" si="99"/>
        <v>G</v>
      </c>
      <c r="HH152" s="332" t="str">
        <f t="shared" si="100"/>
        <v>m</v>
      </c>
      <c r="HI152" s="332" t="str">
        <f t="shared" si="101"/>
        <v/>
      </c>
      <c r="HJ152" s="332" t="str">
        <f t="shared" si="102"/>
        <v>P</v>
      </c>
      <c r="HK152" s="332" t="str">
        <f t="shared" si="103"/>
        <v>d</v>
      </c>
      <c r="HL152" s="332" t="str">
        <f t="shared" si="104"/>
        <v>D</v>
      </c>
      <c r="HM152" s="332" t="str">
        <f t="shared" si="105"/>
        <v>n</v>
      </c>
      <c r="HN152" s="332" t="str">
        <f t="shared" si="106"/>
        <v>N</v>
      </c>
      <c r="HO152" s="343" t="str">
        <f t="shared" si="107"/>
        <v>S</v>
      </c>
      <c r="HP152" s="331" t="str">
        <f t="shared" si="108"/>
        <v>o</v>
      </c>
      <c r="HQ152" s="332" t="str">
        <f t="shared" si="109"/>
        <v>o</v>
      </c>
      <c r="HR152" s="332" t="str">
        <f t="shared" si="110"/>
        <v>o</v>
      </c>
      <c r="HS152" s="332" t="str">
        <f t="shared" si="111"/>
        <v>o</v>
      </c>
      <c r="HT152" s="332" t="str">
        <f t="shared" si="112"/>
        <v>o</v>
      </c>
      <c r="HU152" s="332" t="str">
        <f t="shared" si="113"/>
        <v>o</v>
      </c>
      <c r="HV152" s="332" t="str">
        <f t="shared" si="114"/>
        <v>•</v>
      </c>
      <c r="HW152" s="332" t="str">
        <f t="shared" si="115"/>
        <v>o</v>
      </c>
      <c r="HX152" s="332" t="str">
        <f t="shared" si="116"/>
        <v>o</v>
      </c>
      <c r="HY152" s="332" t="str">
        <f t="shared" si="117"/>
        <v>•</v>
      </c>
      <c r="HZ152" s="332" t="str">
        <f t="shared" si="118"/>
        <v>o</v>
      </c>
      <c r="IA152" s="332" t="str">
        <f t="shared" si="119"/>
        <v>o</v>
      </c>
      <c r="IB152" s="338" t="str">
        <f t="shared" si="120"/>
        <v>o</v>
      </c>
      <c r="IC152" s="331" t="str">
        <f t="shared" si="121"/>
        <v>•</v>
      </c>
      <c r="ID152" s="332" t="str">
        <f t="shared" si="122"/>
        <v>•</v>
      </c>
      <c r="IE152" s="332" t="str">
        <f t="shared" si="123"/>
        <v>•</v>
      </c>
      <c r="IF152" s="332" t="str">
        <f t="shared" si="124"/>
        <v>•</v>
      </c>
      <c r="IG152" s="332" t="str">
        <f t="shared" si="125"/>
        <v>•</v>
      </c>
      <c r="IH152" s="332" t="str">
        <f t="shared" si="126"/>
        <v>•</v>
      </c>
      <c r="II152" s="332" t="str">
        <f t="shared" si="127"/>
        <v>o</v>
      </c>
      <c r="IJ152" s="332" t="str">
        <f t="shared" si="128"/>
        <v>•</v>
      </c>
      <c r="IK152" s="332" t="str">
        <f t="shared" si="129"/>
        <v>•</v>
      </c>
      <c r="IL152" s="332" t="str">
        <f t="shared" si="130"/>
        <v>o</v>
      </c>
      <c r="IM152" s="332" t="str">
        <f t="shared" si="131"/>
        <v>•</v>
      </c>
      <c r="IN152" s="332" t="str">
        <f t="shared" si="132"/>
        <v>•</v>
      </c>
      <c r="IO152" s="338" t="str">
        <f t="shared" si="133"/>
        <v>•</v>
      </c>
      <c r="IP152" s="346" t="b">
        <f t="shared" si="134"/>
        <v>0</v>
      </c>
      <c r="IQ152" s="347" t="b">
        <f t="shared" si="135"/>
        <v>0</v>
      </c>
      <c r="IR152" s="347" t="b">
        <f t="shared" si="136"/>
        <v>1</v>
      </c>
      <c r="IS152" s="347" t="b">
        <f t="shared" si="137"/>
        <v>0</v>
      </c>
      <c r="IT152" s="347" t="b">
        <f t="shared" si="138"/>
        <v>0</v>
      </c>
      <c r="IU152" s="347" t="b">
        <f t="shared" si="139"/>
        <v>0</v>
      </c>
      <c r="IV152" s="347" t="b">
        <f t="shared" si="140"/>
        <v>0</v>
      </c>
      <c r="IW152" s="347" t="b">
        <f t="shared" si="141"/>
        <v>0</v>
      </c>
      <c r="IX152" s="347" t="b">
        <f t="shared" si="142"/>
        <v>0</v>
      </c>
      <c r="IY152" s="347" t="b">
        <f t="shared" si="143"/>
        <v>0</v>
      </c>
      <c r="IZ152" s="347" t="b">
        <f t="shared" si="144"/>
        <v>0</v>
      </c>
      <c r="JA152" s="347" t="b">
        <f t="shared" si="145"/>
        <v>1</v>
      </c>
      <c r="JB152" s="353" t="b">
        <f t="shared" si="146"/>
        <v>0</v>
      </c>
      <c r="JC152" s="354" t="str">
        <f t="shared" si="147"/>
        <v/>
      </c>
      <c r="JD152" s="355" t="str">
        <f t="shared" si="148"/>
        <v/>
      </c>
      <c r="JE152" s="355" t="str">
        <f t="shared" si="149"/>
        <v>Re, </v>
      </c>
      <c r="JF152" s="355" t="str">
        <f t="shared" si="150"/>
        <v/>
      </c>
      <c r="JG152" s="355" t="str">
        <f t="shared" si="151"/>
        <v/>
      </c>
      <c r="JH152" s="355" t="str">
        <f t="shared" si="152"/>
        <v/>
      </c>
      <c r="JI152" s="355" t="str">
        <f t="shared" si="153"/>
        <v/>
      </c>
      <c r="JJ152" s="355" t="str">
        <f t="shared" si="154"/>
        <v/>
      </c>
      <c r="JK152" s="355" t="str">
        <f t="shared" si="155"/>
        <v/>
      </c>
      <c r="JL152" s="355" t="str">
        <f t="shared" si="156"/>
        <v/>
      </c>
      <c r="JM152" s="355" t="str">
        <f t="shared" si="157"/>
        <v/>
      </c>
      <c r="JN152" s="355" t="str">
        <f t="shared" si="158"/>
        <v>Ni, </v>
      </c>
      <c r="JO152" s="359" t="str">
        <f t="shared" si="159"/>
        <v/>
      </c>
      <c r="JP152" s="346" t="b">
        <f t="shared" si="160"/>
        <v>0</v>
      </c>
      <c r="JQ152" s="347" t="b">
        <f t="shared" si="161"/>
        <v>0</v>
      </c>
      <c r="JR152" s="347" t="b">
        <f t="shared" si="162"/>
        <v>0</v>
      </c>
      <c r="JS152" s="347" t="b">
        <f t="shared" si="163"/>
        <v>0</v>
      </c>
      <c r="JT152" s="347" t="b">
        <f t="shared" si="164"/>
        <v>0</v>
      </c>
      <c r="JU152" s="347" t="b">
        <f t="shared" si="165"/>
        <v>0</v>
      </c>
      <c r="JV152" s="347" t="b">
        <f t="shared" si="166"/>
        <v>0</v>
      </c>
      <c r="JW152" s="347" t="b">
        <f t="shared" si="167"/>
        <v>0</v>
      </c>
      <c r="JX152" s="347" t="b">
        <f t="shared" si="168"/>
        <v>0</v>
      </c>
      <c r="JY152" s="347" t="b">
        <f t="shared" si="169"/>
        <v>0</v>
      </c>
      <c r="JZ152" s="347" t="b">
        <f t="shared" si="170"/>
        <v>0</v>
      </c>
      <c r="KA152" s="347" t="b">
        <f t="shared" si="171"/>
        <v>0</v>
      </c>
      <c r="KB152" s="365" t="b">
        <f t="shared" si="172"/>
        <v>0</v>
      </c>
      <c r="KC152" s="354" t="str">
        <f t="shared" si="173"/>
        <v/>
      </c>
      <c r="KD152" s="355" t="str">
        <f t="shared" si="174"/>
        <v/>
      </c>
      <c r="KE152" s="355" t="str">
        <f t="shared" si="175"/>
        <v/>
      </c>
      <c r="KF152" s="355" t="str">
        <f t="shared" si="176"/>
        <v/>
      </c>
      <c r="KG152" s="355" t="str">
        <f t="shared" si="177"/>
        <v/>
      </c>
      <c r="KH152" s="355" t="str">
        <f t="shared" si="178"/>
        <v/>
      </c>
      <c r="KI152" s="355" t="str">
        <f t="shared" si="179"/>
        <v/>
      </c>
      <c r="KJ152" s="355" t="str">
        <f t="shared" si="180"/>
        <v/>
      </c>
      <c r="KK152" s="355" t="str">
        <f t="shared" si="181"/>
        <v/>
      </c>
      <c r="KL152" s="355" t="str">
        <f t="shared" si="182"/>
        <v/>
      </c>
      <c r="KM152" s="355" t="str">
        <f t="shared" si="183"/>
        <v/>
      </c>
      <c r="KN152" s="355" t="str">
        <f t="shared" si="184"/>
        <v/>
      </c>
      <c r="KO152" s="359"/>
      <c r="KP152" s="378"/>
      <c r="KQ152" s="379" t="s">
        <v>9</v>
      </c>
      <c r="KR152" s="380" t="s">
        <v>9</v>
      </c>
      <c r="KS152" s="381" t="s">
        <v>9</v>
      </c>
      <c r="KT152" s="382">
        <f t="shared" si="186"/>
        <v>0</v>
      </c>
      <c r="KU152" s="383">
        <f t="shared" si="187"/>
        <v>0</v>
      </c>
      <c r="KV152" s="381" t="str">
        <f t="shared" si="205"/>
        <v>S</v>
      </c>
      <c r="KW152" s="382">
        <f t="shared" si="189"/>
        <v>0</v>
      </c>
      <c r="KX152" s="384">
        <f t="shared" si="190"/>
        <v>0</v>
      </c>
      <c r="KY152" s="382">
        <f t="shared" ref="KY152:KZ152" si="513">KW152-KT152</f>
        <v>0</v>
      </c>
      <c r="KZ152" s="369">
        <f t="shared" si="513"/>
        <v>0</v>
      </c>
      <c r="LA152" s="385" t="str">
        <f t="shared" si="192"/>
        <v>✔</v>
      </c>
      <c r="LB152" s="340" t="str">
        <f>IFERROR(__xludf.DUMMYFUNCTION("JOIN("""",ArrayFormula(MID(KS152,LEN(KS152)-SEQUENCE(1,LEN(KS152))+1,1)))"),"S")</f>
        <v>S</v>
      </c>
      <c r="LC152" s="373" t="str">
        <f>IFERROR(__xludf.DUMMYFUNCTION("JOIN("""",ArrayFormula(MID(KV152,LEN(KV152)-SEQUENCE(1,LEN(KV152))+1,1)))"),"S")</f>
        <v>S</v>
      </c>
      <c r="LD152" s="373" t="str">
        <f t="shared" si="193"/>
        <v>S</v>
      </c>
      <c r="LE152" s="339" t="str">
        <f t="shared" si="194"/>
        <v>S</v>
      </c>
      <c r="LF152" s="386" t="str">
        <f>IFERROR(__xludf.DUMMYFUNCTION("SUBSTITUTE(SUBSTITUTE(CONCATENATE(JOIN("""",LH152:LT152)),""1"",""""),""2"","""")"),"SS")</f>
        <v>SS</v>
      </c>
      <c r="LG152" s="369" t="str">
        <f t="shared" si="195"/>
        <v>-</v>
      </c>
      <c r="LH152" s="387" t="str">
        <f>IFERROR(__xludf.DUMMYFUNCTION("IF(REGEXMATCH(LD152, ""S""), ""S"",IF(REGEXMATCH(LE152, ""S""), ""S"",""""))"),"S")</f>
        <v>S</v>
      </c>
      <c r="LI152" s="299" t="str">
        <f>IFERROR(__xludf.DUMMYFUNCTION("IF(REGEXMATCH(LD152, ""r""), ""r1"",IF(REGEXMATCH(LE152, ""r""), ""r2"",""""))"),"")</f>
        <v/>
      </c>
      <c r="LJ152" s="299" t="str">
        <f>IFERROR(__xludf.DUMMYFUNCTION("IF(REGEXMATCH(LD152, ""R""), ""R1"",IF(REGEXMATCH(LE152, ""R""), ""R2"",""""))"),"")</f>
        <v/>
      </c>
      <c r="LK152" s="299" t="str">
        <f>IFERROR(__xludf.DUMMYFUNCTION("IF(REGEXMATCH(LD152, ""g""), ""g1"",IF(REGEXMATCH(LE152, ""g""), ""g2"",""""))"),"")</f>
        <v/>
      </c>
      <c r="LL152" s="299" t="str">
        <f>IFERROR(__xludf.DUMMYFUNCTION("IF(REGEXMATCH(LD152, ""G""), ""G1"",IF(REGEXMATCH(LE152, ""G""), ""G2"",""""))"),"")</f>
        <v/>
      </c>
      <c r="LM152" s="299" t="str">
        <f>IFERROR(__xludf.DUMMYFUNCTION("IF(REGEXMATCH(LD152, ""m""), ""m1"",IF(REGEXMATCH(LE152, ""m""), ""m2"",""""))"),"")</f>
        <v/>
      </c>
      <c r="LN152" s="299" t="str">
        <f>IFERROR(__xludf.DUMMYFUNCTION("IF(REGEXMATCH(LD152, ""M""), ""M1"",IF(REGEXMATCH(LE152, ""M""), ""M2"",""""))"),"")</f>
        <v/>
      </c>
      <c r="LO152" s="299" t="str">
        <f>IFERROR(__xludf.DUMMYFUNCTION("IF(REGEXMATCH(LD152, ""P""), ""P1"",IF(REGEXMATCH(LE152, ""P""), ""P2"",""""))"),"")</f>
        <v/>
      </c>
      <c r="LP152" s="299" t="str">
        <f>IFERROR(__xludf.DUMMYFUNCTION("IF(REGEXMATCH(LD152, ""d""), ""d1"",IF(REGEXMATCH(LE152, ""d""), ""d2"",""""))"),"")</f>
        <v/>
      </c>
      <c r="LQ152" s="299" t="str">
        <f>IFERROR(__xludf.DUMMYFUNCTION("IF(REGEXMATCH(LD152, ""D""), ""D1"",IF(REGEXMATCH(LE152, ""D""), ""D2"",""""))"),"")</f>
        <v/>
      </c>
      <c r="LR152" s="299" t="str">
        <f>IFERROR(__xludf.DUMMYFUNCTION("IF(REGEXMATCH(LD152, ""n""), ""n1"",IF(REGEXMATCH(LE152, ""n""), ""n2"",""""))"),"")</f>
        <v/>
      </c>
      <c r="LS152" s="299" t="str">
        <f>IFERROR(__xludf.DUMMYFUNCTION("IF(REGEXMATCH(LD152, ""N""), ""N1"",IF(REGEXMATCH(LE152, ""N""), ""N2"",""""))"),"")</f>
        <v/>
      </c>
      <c r="LT152" s="388" t="str">
        <f>IFERROR(__xludf.DUMMYFUNCTION("IF(REGEXMATCH(LD152, ""S""), ""S"",IF(REGEXMATCH(LE152, ""S""), ""S"",""""))"),"S")</f>
        <v>S</v>
      </c>
      <c r="LU152" s="389">
        <f t="shared" si="196"/>
        <v>1</v>
      </c>
      <c r="LV152" s="378"/>
      <c r="LW152" s="369"/>
      <c r="LX152" s="369"/>
    </row>
    <row r="153" ht="18.0" customHeight="1">
      <c r="A153" s="298" t="s">
        <v>830</v>
      </c>
      <c r="B153" s="222" t="s">
        <v>405</v>
      </c>
      <c r="C153" s="233" t="str">
        <f t="shared" si="7"/>
        <v>SRgmPdnS</v>
      </c>
      <c r="D153" s="234" t="str">
        <f>IFERROR(__xludf.DUMMYFUNCTION("IF(REGEXMATCH(C153, ""S""), ""S"","""")"),"S")</f>
        <v>S</v>
      </c>
      <c r="E153" s="236" t="str">
        <f>IFERROR(__xludf.DUMMYFUNCTION("IF(REGEXMATCH(C153, ""r""), ""r"","""")"),"")</f>
        <v/>
      </c>
      <c r="F153" s="237" t="str">
        <f>IFERROR(__xludf.DUMMYFUNCTION("IF(REGEXMATCH(C153, ""R""), ""R"","""")"),"R")</f>
        <v>R</v>
      </c>
      <c r="G153" s="237" t="str">
        <f>IFERROR(__xludf.DUMMYFUNCTION("IF(REGEXMATCH(C153, ""g""), ""g"","""")"),"g")</f>
        <v>g</v>
      </c>
      <c r="H153" s="236" t="str">
        <f>IFERROR(__xludf.DUMMYFUNCTION("IF(REGEXMATCH(C153, ""G""), ""G"","""")"),"")</f>
        <v/>
      </c>
      <c r="I153" s="236" t="str">
        <f>IFERROR(__xludf.DUMMYFUNCTION("IF(REGEXMATCH(C153, ""m""), ""m"","""")"),"m")</f>
        <v>m</v>
      </c>
      <c r="J153" s="237" t="str">
        <f>IFERROR(__xludf.DUMMYFUNCTION("IF(REGEXMATCH(C153, ""M""), ""M"","""")"),"")</f>
        <v/>
      </c>
      <c r="K153" s="236" t="str">
        <f>IFERROR(__xludf.DUMMYFUNCTION("IF(REGEXMATCH(C153, ""P""), ""P"","""")"),"P")</f>
        <v>P</v>
      </c>
      <c r="L153" s="237" t="str">
        <f>IFERROR(__xludf.DUMMYFUNCTION("IF(REGEXMATCH(C153, ""d""), ""d"","""")"),"d")</f>
        <v>d</v>
      </c>
      <c r="M153" s="236" t="str">
        <f>IFERROR(__xludf.DUMMYFUNCTION("IF(REGEXMATCH(C153, ""D""), ""D"","""")"),"")</f>
        <v/>
      </c>
      <c r="N153" s="236" t="str">
        <f>IFERROR(__xludf.DUMMYFUNCTION("IF(REGEXMATCH(C153, ""n""), ""n"","""")"),"n")</f>
        <v>n</v>
      </c>
      <c r="O153" s="237" t="str">
        <f>IFERROR(__xludf.DUMMYFUNCTION("IF(REGEXMATCH(C153, ""N""), ""N"","""")"),"")</f>
        <v/>
      </c>
      <c r="P153" s="238" t="str">
        <f>IFERROR(__xludf.DUMMYFUNCTION("IF(REGEXMATCH(C153, ""S""), ""S"","""")"),"S")</f>
        <v>S</v>
      </c>
      <c r="Q153" s="239" t="str">
        <f>IFERROR(__xludf.DUMMYFUNCTION("SUBSTITUTE(CONCATENATE(JOIN(""-"",D153:J153)),""-"","""")"),"SRgm")</f>
        <v>SRgm</v>
      </c>
      <c r="R153" s="229" t="str">
        <f>IFERROR(__xludf.DUMMYFUNCTION("SUBSTITUTE(CONCATENATE(JOIN(""-"",K153:P153)),""-"","""")"),"PdnS")</f>
        <v>PdnS</v>
      </c>
      <c r="S153" s="282" t="str">
        <f t="shared" si="8"/>
        <v>S-R-G-M</v>
      </c>
      <c r="T153" s="282" t="str">
        <f t="shared" si="9"/>
        <v>P-D-N-S</v>
      </c>
      <c r="U153" s="237" t="str">
        <f>IFERROR(__xludf.DUMMYFUNCTION("SUBSTITUTE(JOIN(""-"",S153,T153),""--"",""-"")"),"S-R-G-M-P-D-N-S")</f>
        <v>S-R-G-M-P-D-N-S</v>
      </c>
      <c r="V153" s="309" t="str">
        <f t="shared" si="10"/>
        <v>Rgmdn</v>
      </c>
      <c r="W153" s="244" t="str">
        <f>IFERROR(__xludf.DUMMYFUNCTION("IF(REGEXMATCH(C153, ""S""), ""0"","""")"),"0")</f>
        <v>0</v>
      </c>
      <c r="X153" s="245" t="str">
        <f>IFERROR(__xludf.DUMMYFUNCTION("IF(REGEXMATCH(C153, ""r""), ""1"","""")"),"")</f>
        <v/>
      </c>
      <c r="Y153" s="246" t="str">
        <f>IFERROR(__xludf.DUMMYFUNCTION("IF(REGEXMATCH(C153, ""R""), ""2"","""")"),"2")</f>
        <v>2</v>
      </c>
      <c r="Z153" s="246" t="str">
        <f>IFERROR(__xludf.DUMMYFUNCTION("IF(REGEXMATCH(C153, ""g""), ""3"","""")"),"3")</f>
        <v>3</v>
      </c>
      <c r="AA153" s="245" t="str">
        <f>IFERROR(__xludf.DUMMYFUNCTION("IF(REGEXMATCH(C153, ""G""), ""4"","""")"),"")</f>
        <v/>
      </c>
      <c r="AB153" s="245" t="str">
        <f>IFERROR(__xludf.DUMMYFUNCTION("IF(REGEXMATCH(C153, ""m""), ""5"","""")"),"5")</f>
        <v>5</v>
      </c>
      <c r="AC153" s="246" t="str">
        <f>IFERROR(__xludf.DUMMYFUNCTION("IF(REGEXMATCH(C153, ""M""), ""6"","""")"),"")</f>
        <v/>
      </c>
      <c r="AD153" s="245" t="str">
        <f>IFERROR(__xludf.DUMMYFUNCTION("IF(REGEXMATCH(C153, ""P""), ""7"","""")"),"7")</f>
        <v>7</v>
      </c>
      <c r="AE153" s="246" t="str">
        <f>IFERROR(__xludf.DUMMYFUNCTION("IF(REGEXMATCH(C153, ""d""), ""8"","""")"),"8")</f>
        <v>8</v>
      </c>
      <c r="AF153" s="245" t="str">
        <f>IFERROR(__xludf.DUMMYFUNCTION("IF(REGEXMATCH(C153, ""D""), ""9"","""")"),"")</f>
        <v/>
      </c>
      <c r="AG153" s="245" t="str">
        <f>IFERROR(__xludf.DUMMYFUNCTION("IF(REGEXMATCH(C153, ""n""), ""10"","""")"),"10")</f>
        <v>10</v>
      </c>
      <c r="AH153" s="246" t="str">
        <f>IFERROR(__xludf.DUMMYFUNCTION("IF(REGEXMATCH(C153, ""N""), ""11"","""")"),"")</f>
        <v/>
      </c>
      <c r="AI153" s="249" t="str">
        <f>IFERROR(__xludf.DUMMYFUNCTION("IF(REGEXMATCH(C153, ""S""), ""0"","""")"),"0")</f>
        <v>0</v>
      </c>
      <c r="AJ153" s="313" t="str">
        <f t="shared" si="11"/>
        <v>-</v>
      </c>
      <c r="AK153" s="313" t="str">
        <f t="shared" si="12"/>
        <v>-</v>
      </c>
      <c r="AL153" s="313" t="str">
        <f t="shared" si="13"/>
        <v>T</v>
      </c>
      <c r="AM153" s="313" t="str">
        <f t="shared" si="14"/>
        <v>-</v>
      </c>
      <c r="AN153" s="313" t="str">
        <f t="shared" si="15"/>
        <v>-</v>
      </c>
      <c r="AO153" s="314" t="str">
        <f t="shared" si="16"/>
        <v>-</v>
      </c>
      <c r="AP153" s="316">
        <f t="shared" si="17"/>
        <v>1</v>
      </c>
      <c r="AQ153" s="319" t="str">
        <f t="shared" si="18"/>
        <v>-</v>
      </c>
      <c r="AR153" s="320">
        <f t="shared" si="19"/>
        <v>0</v>
      </c>
      <c r="AS153" s="250" t="str">
        <f>IFERROR(__xludf.DUMMYFUNCTION("SUBSTITUTE(SUBSTITUTE(CONCATENATE(JOIN("""",FP153:GA153)),""|"",""x""),""-"",""o"")"),"xoxxoxoxxoxo")</f>
        <v>xoxxoxoxxoxo</v>
      </c>
      <c r="AT153" s="323" t="str">
        <f>IFERROR(__xludf.DUMMYFUNCTION("JOIN("""",AS153,AS153)"),"xoxxoxoxxoxoxoxxoxoxxoxo")</f>
        <v>xoxxoxoxxoxoxoxxoxoxxoxo</v>
      </c>
      <c r="AU153" s="256" t="str">
        <f>IFERROR(__xludf.DUMMYFUNCTION("JOIN("""",ArrayFormula(MID(AS153,LEN(AS153)-SEQUENCE(1,LEN(AS153))+1,1)))"),"oxoxxoxoxxox")</f>
        <v>oxoxxoxoxxox</v>
      </c>
      <c r="AV153" s="256" t="str">
        <f>IFERROR(__xludf.DUMMYFUNCTION("LEFT(CONCATENATE(""x"",JOIN("""",ArrayFormula(MID(AS153,LEN(AS153)-SEQUENCE(1,LEN(AS153))+1,1)))),12)"),"xoxoxxoxoxxo")</f>
        <v>xoxoxxoxoxxo</v>
      </c>
      <c r="AW153" s="327" t="str">
        <f>IFERROR(__xludf.DUMMYFUNCTION("JOIN("""",AU153,AU153)"),"oxoxxoxoxxoxoxoxxoxoxxox")</f>
        <v>oxoxxoxoxxoxoxoxxoxoxxox</v>
      </c>
      <c r="AX153" s="239" t="str">
        <f>IFERROR(__xludf.DUMMYFUNCTION("IF(REGEXMATCH(AW153,AS153),""✔"",""-"")"),"✔")</f>
        <v>✔</v>
      </c>
      <c r="AY153" s="330" t="str">
        <f t="shared" si="20"/>
        <v>-</v>
      </c>
      <c r="AZ153" s="260" t="str">
        <f t="shared" si="21"/>
        <v>#REF!</v>
      </c>
      <c r="BA153" s="333" t="str">
        <f t="shared" si="22"/>
        <v>xoxxoxo</v>
      </c>
      <c r="BB153" s="334" t="str">
        <f t="shared" si="23"/>
        <v>xxoxox</v>
      </c>
      <c r="BC153" s="335" t="str">
        <f t="shared" si="236"/>
        <v>-</v>
      </c>
      <c r="BD153" s="336" t="str">
        <f t="shared" si="25"/>
        <v>Jaunpuri: 'xoxxoxo' + 'xxoxox'</v>
      </c>
      <c r="BE153" s="337">
        <f>IFERROR(__xludf.DUMMYFUNCTION("COUNTUNIQUE(FILTER(AT:AT,REGEXMATCH(AT:AT,AS153)))-1"),6.0)</f>
        <v>6</v>
      </c>
      <c r="BF153" s="261" t="str">
        <f>IFERROR(__xludf.DUMMYFUNCTION("IF(BI153=0,""(n/a)"",IF(BJ153=2,""(PAIR)"",IF(REGEXMATCH(AT153,""xoxoxxoxoxox""),""Bilawal"",IF(REGEXMATCH(AT153,""xoxoxooxoxoo""),""Bhupali"",IF(REGEXMATCH(AT153,""xoxoxxoxxoxo""),""Charukeshi"",IF(REGEXMATCH(AT153,""xoxoooxxoxxo""),""Kameshwari"",IF(REG"&amp;"EXMATCH(AT153,""xoxoxooxoxox""),""Shankara"",IF(REGEXMATCH(AT153,""xxooxoxxxoox""),""Basant"",IF(REGEXMATCH(AT153,""xoxoxxxxoxox""),""Bihag"",IF(REGEXMATCH(AT153,""xoxxxxoxoxxx""),""Pilu"",IF(REGEXMATCH(AT153,""xoxxoxoxxoox""),""Kirwani"",IF(REGEXMATCH(AT"&amp;"153,""xoxxoxoxoxxx""),""Mk.Malhar"",IF(REGEXMATCH(AT153,""xxooxxoxxoox""),""Bhairav"",IF(REGEXMATCH(AT153,""xxoxooxxxoox""),""Todi"",IF(REGEXMATCH(AT153,""xxooxoxooxox""),""Marwa"",IF(REGEXMATCH(AT153,""xxoooxoxxooo""),""Gunkali"",IF(REGEXMATCH(AT153,""xo"&amp;"xoxxoxxoox""),""Nat Bhairav"",IF(REGEXMATCH(AT153,""xoxxoooxoxoo""),""Shivranjani"",IF(REGEXMATCH(AT153,""xooxxxoxooxo""),""Jog"",IF(REGEXMATCH(AT153,""xxooxoxoxoox""),""Hemshri"",IF(REGEXMATCH(AT153,""xoooxooxoxxo""),""Kalavati"",IF(REGEXMATCH(AT153,""xx"&amp;"oxoxxoxoox""),""Kedar"",IF(REGEXMATCH(AT153,""xoxxxxoxooxx""),""Gara"",IF(REGEXMATCH(AT153,""xooxoxooxoox""),""Chandrakauns"",IF(REGEXMATCH(AT153,""xoxxxxoxxxox""),""Mand"",IF(REGEXMATCH(AT153,""xoxxxxoxoxox""),""Hanskinkini"",IF(REGEXMATCH(AT153,""xxooxx"&amp;"oxooxo""),""Lilavati"",IF(REGEXMATCH(AT153,""xooxoxoooxox""),""Rajeshwari"",IF(REGEXMATCH(AT153,""xoooxxoxoxxx""),""Khokar"",IF(REGEXMATCH(AT153,""xxooxoxxxxox""),""Maligoura"",""-""))))))))))))))))))))))))))))))"),"Bilawal")</f>
        <v>Bilawal</v>
      </c>
      <c r="BG153" s="239" t="str">
        <f t="shared" si="26"/>
        <v>#REF!</v>
      </c>
      <c r="BH153" s="239">
        <f>IFERROR(__xludf.DUMMYFUNCTION("COUNTUNIQUE(FE153:FO153)-1"),6.0)</f>
        <v>6</v>
      </c>
      <c r="BI153" s="239">
        <f>IFERROR(__xludf.DUMMYFUNCTION("COUNTUNIQUE(FILTER(AT:AT,REGEXMATCH(AT:AT,AS153)))-1"),6.0)</f>
        <v>6</v>
      </c>
      <c r="BJ153" s="239">
        <f>IFERROR(__xludf.DUMMYFUNCTION("COUNTA(FILTER(AT:AT,REGEXMATCH(AT:AT,AS153)))"),48.0)</f>
        <v>48</v>
      </c>
      <c r="BK153" s="341">
        <f>IFERROR(__xludf.DUMMYFUNCTION("COUNTA(FILTER(AT:AT,REGEXMATCH(AT:AT,AS153)))-AR153"),48.0)</f>
        <v>48</v>
      </c>
      <c r="BL153" s="276" t="str">
        <f>IFERROR(__xludf.DUMMYFUNCTION("IF(AS153=""oooooooooooo"",""-"",IF(REGEXMATCH(AT153,""xx""), ""Hemi."", ""Anhemi.""))"),"Hemi.")</f>
        <v>Hemi.</v>
      </c>
      <c r="BM153" s="282" t="str">
        <f>IFERROR(__xludf.DUMMYFUNCTION("IF(AS153=""oooooooooooo"",""-"",IF(REGEXMATCH(AT153,""xxx""), ""Cohem."", ""-""))"),"-")</f>
        <v>-</v>
      </c>
      <c r="BN153" s="282" t="str">
        <f>IFERROR(__xludf.DUMMYFUNCTION("IF(AS153=""oooooooooooo"",""-"",IF(REGEXMATCH(AT153,""xxxx""), ""Co-Co."", ""-""))"),"-")</f>
        <v>-</v>
      </c>
      <c r="BO153" s="342" t="str">
        <f>IFERROR(__xludf.DUMMYFUNCTION("IF(AS153=""oooooooooooo"",""-"",IF(REGEXMATCH(AT153,""xxxxx""), ""CCC."", ""-""))"),"-")</f>
        <v>-</v>
      </c>
      <c r="BP153" s="344" t="str">
        <f t="shared" si="27"/>
        <v>Asavari</v>
      </c>
      <c r="BQ153" s="282" t="str">
        <f>IFERROR(__xludf.DUMMYFUNCTION("IF(REGEXMATCH(JOIN(""-"",EU153:FD153),""TRUE""),""✔"",""-"")"),"✔")</f>
        <v>✔</v>
      </c>
      <c r="BR153" s="225">
        <f t="shared" si="28"/>
        <v>1</v>
      </c>
      <c r="BS153" s="345" t="str">
        <f>IFERROR(__xludf.DUMMYFUNCTION("SUBSTITUTE(SUBSTITUTE(SUBSTITUTE(SUBSTITUTE(CONCATENATE(JOIN(""-"",GC153:GO153)),""--"",""-""),""--"",""-""),""--"",""-""),""--"",""-"")"),"1-2-b3-4-5-b6-b7-8")</f>
        <v>1-2-b3-4-5-b6-b7-8</v>
      </c>
      <c r="BT153" s="299" t="str">
        <f>IFERROR(__xludf.DUMMYFUNCTION("SUBSTITUTE(SUBSTITUTE(SUBSTITUTE(SUBSTITUTE(CONCATENATE(JOIN(""-"",GP153:HB153)),""--"",""-""),""--"",""-""),""--"",""-""),""--"",""-"")"),"S-R2-G2-M1-P-D1-N2-S")</f>
        <v>S-R2-G2-M1-P-D1-N2-S</v>
      </c>
      <c r="BU153" s="348" t="str">
        <f t="shared" si="29"/>
        <v>C-D-Eb-F-G-Ab-Bb-C</v>
      </c>
      <c r="BV153" s="349" t="str">
        <f t="shared" si="30"/>
        <v>SrGMDNS</v>
      </c>
      <c r="BW153" s="350">
        <f t="shared" si="31"/>
        <v>3</v>
      </c>
      <c r="BX153" s="351">
        <f t="shared" si="32"/>
        <v>7</v>
      </c>
      <c r="BY153" s="392"/>
      <c r="BZ153" s="309" t="str">
        <f>IFERROR(__xludf.DUMMYFUNCTION("IF(REGEXMATCH(C153, ""S""), ""x"",""x"")"),"x")</f>
        <v>x</v>
      </c>
      <c r="CA153" s="245" t="str">
        <f>IFERROR(__xludf.DUMMYFUNCTION("IF(REGEXMATCH(C153, ""r""), ""o"",""x"")"),"x")</f>
        <v>x</v>
      </c>
      <c r="CB153" s="246" t="str">
        <f>IFERROR(__xludf.DUMMYFUNCTION("IF(REGEXMATCH(C153, ""R""), ""o"",""x"")"),"o")</f>
        <v>o</v>
      </c>
      <c r="CC153" s="246" t="str">
        <f>IFERROR(__xludf.DUMMYFUNCTION("IF(REGEXMATCH(C153, ""g""), ""o"",""x"")"),"o")</f>
        <v>o</v>
      </c>
      <c r="CD153" s="245" t="str">
        <f>IFERROR(__xludf.DUMMYFUNCTION("IF(REGEXMATCH(C153, ""G""), ""o"",""x"")"),"x")</f>
        <v>x</v>
      </c>
      <c r="CE153" s="245" t="str">
        <f>IFERROR(__xludf.DUMMYFUNCTION("IF(REGEXMATCH(C153, ""m""), ""o"",""x"")"),"o")</f>
        <v>o</v>
      </c>
      <c r="CF153" s="246" t="str">
        <f>IFERROR(__xludf.DUMMYFUNCTION("IF(REGEXMATCH(C153, ""M""), ""o"",""x"")"),"x")</f>
        <v>x</v>
      </c>
      <c r="CG153" s="245" t="str">
        <f>IFERROR(__xludf.DUMMYFUNCTION("IF(REGEXMATCH(C153, ""P""), ""o"",""x"")"),"o")</f>
        <v>o</v>
      </c>
      <c r="CH153" s="246" t="str">
        <f>IFERROR(__xludf.DUMMYFUNCTION("IF(REGEXMATCH(C153, ""d""), ""o"",""x"")"),"o")</f>
        <v>o</v>
      </c>
      <c r="CI153" s="245" t="str">
        <f>IFERROR(__xludf.DUMMYFUNCTION("IF(REGEXMATCH(C153, ""D""), ""o"",""x"")"),"x")</f>
        <v>x</v>
      </c>
      <c r="CJ153" s="245" t="str">
        <f>IFERROR(__xludf.DUMMYFUNCTION("IF(REGEXMATCH(C153, ""n""), ""o"",""x"")"),"o")</f>
        <v>o</v>
      </c>
      <c r="CK153" s="245" t="str">
        <f>IFERROR(__xludf.DUMMYFUNCTION("IF(REGEXMATCH(C153, ""N""), ""o"",""x"")"),"x")</f>
        <v>x</v>
      </c>
      <c r="CL153" s="356" t="str">
        <f>IFERROR(__xludf.DUMMYFUNCTION("IF(REGEXMATCH(C153, ""S""), ""x"",""x"")"),"x")</f>
        <v>x</v>
      </c>
      <c r="CM153" s="357" t="str">
        <f t="shared" si="33"/>
        <v>xxooxoxooxox</v>
      </c>
      <c r="CN153" s="358">
        <f t="shared" si="34"/>
        <v>3</v>
      </c>
      <c r="CO153" s="246" t="str">
        <f>IFERROR(__xludf.DUMMYFUNCTION("IF(REGEXMATCH($C153, ""S""), ""S"",""S"")"),"S")</f>
        <v>S</v>
      </c>
      <c r="CP153" s="246" t="str">
        <f>IFERROR(__xludf.DUMMYFUNCTION("IF(REGEXMATCH($C153, ""r""), """",""r"")"),"r")</f>
        <v>r</v>
      </c>
      <c r="CQ153" s="246" t="str">
        <f>IFERROR(__xludf.DUMMYFUNCTION("IF(REGEXMATCH($C153, ""R""), """",""R"")"),"")</f>
        <v/>
      </c>
      <c r="CR153" s="246" t="str">
        <f>IFERROR(__xludf.DUMMYFUNCTION("IF(REGEXMATCH($C153, ""g""), """",""g"")"),"")</f>
        <v/>
      </c>
      <c r="CS153" s="246" t="str">
        <f>IFERROR(__xludf.DUMMYFUNCTION("IF(REGEXMATCH($C153, ""G""), """",""G"")"),"G")</f>
        <v>G</v>
      </c>
      <c r="CT153" s="246" t="str">
        <f>IFERROR(__xludf.DUMMYFUNCTION("IF(REGEXMATCH($C153, ""m""), """",""m"")"),"")</f>
        <v/>
      </c>
      <c r="CU153" s="246" t="str">
        <f>IFERROR(__xludf.DUMMYFUNCTION("IF(REGEXMATCH($C153, ""M""), """",""M"")"),"M")</f>
        <v>M</v>
      </c>
      <c r="CV153" s="246" t="str">
        <f>IFERROR(__xludf.DUMMYFUNCTION("IF(REGEXMATCH($C153, ""P""), """",""P"")"),"")</f>
        <v/>
      </c>
      <c r="CW153" s="246" t="str">
        <f>IFERROR(__xludf.DUMMYFUNCTION("IF(REGEXMATCH($C153, ""d""), """",""d"")"),"")</f>
        <v/>
      </c>
      <c r="CX153" s="246" t="str">
        <f>IFERROR(__xludf.DUMMYFUNCTION("IF(REGEXMATCH($C153, ""D""), """",""D"")"),"D")</f>
        <v>D</v>
      </c>
      <c r="CY153" s="246" t="str">
        <f>IFERROR(__xludf.DUMMYFUNCTION("IF(REGEXMATCH($C153, ""n""), """",""n"")"),"")</f>
        <v/>
      </c>
      <c r="CZ153" s="246" t="str">
        <f>IFERROR(__xludf.DUMMYFUNCTION("IF(REGEXMATCH($C153, ""N""), """",""N"")"),"N")</f>
        <v>N</v>
      </c>
      <c r="DA153" s="246" t="str">
        <f>IFERROR(__xludf.DUMMYFUNCTION("IF(REGEXMATCH($C153, ""S""), ""S"",""S"")"),"S")</f>
        <v>S</v>
      </c>
      <c r="DB153" s="362" t="str">
        <f>IFERROR(__xludf.DUMMYFUNCTION("JOIN("""",CO153:DA153,"""","""")"),"SrGMDNS")</f>
        <v>SrGMDNS</v>
      </c>
      <c r="DC153" s="363"/>
      <c r="DD153" s="301" t="str">
        <f t="shared" si="35"/>
        <v>#REF!</v>
      </c>
      <c r="DE153" s="302" t="str">
        <f t="shared" si="36"/>
        <v>#REF!</v>
      </c>
      <c r="DF153" s="301" t="str">
        <f t="shared" ref="DF153:DG153" si="514">SUBSTITUTE(S153,"-","")</f>
        <v>SRGM</v>
      </c>
      <c r="DG153" s="301" t="str">
        <f t="shared" si="514"/>
        <v>PDNS</v>
      </c>
      <c r="DH153" s="302" t="str">
        <f t="shared" si="38"/>
        <v>Bilawal</v>
      </c>
      <c r="DI153" s="301" t="str">
        <f t="shared" si="39"/>
        <v>Hemi.</v>
      </c>
      <c r="DJ153" s="364" t="str">
        <f t="shared" si="40"/>
        <v>-</v>
      </c>
      <c r="DK153" s="306" t="str">
        <f t="shared" si="41"/>
        <v>Asavari</v>
      </c>
      <c r="DL153" s="366" t="str">
        <f t="shared" si="42"/>
        <v>-</v>
      </c>
      <c r="DM153" s="308" t="str">
        <f t="shared" si="43"/>
        <v>-</v>
      </c>
      <c r="DN153" s="306" t="str">
        <f t="shared" si="44"/>
        <v>-</v>
      </c>
      <c r="DO153" s="306" t="str">
        <f t="shared" si="45"/>
        <v>-</v>
      </c>
      <c r="DP153" s="367" t="str">
        <f t="shared" si="46"/>
        <v>-</v>
      </c>
      <c r="DQ153" s="310" t="str">
        <f t="shared" si="47"/>
        <v>-</v>
      </c>
      <c r="DR153" s="310" t="str">
        <f t="shared" si="48"/>
        <v>-</v>
      </c>
      <c r="DS153" s="310" t="str">
        <f t="shared" si="49"/>
        <v>-</v>
      </c>
      <c r="DT153" s="310" t="str">
        <f t="shared" si="50"/>
        <v>-</v>
      </c>
      <c r="DU153" s="370" t="str">
        <f t="shared" si="51"/>
        <v>-</v>
      </c>
      <c r="DV153" s="306" t="str">
        <f t="shared" si="52"/>
        <v>-</v>
      </c>
      <c r="DW153" s="306" t="str">
        <f t="shared" si="53"/>
        <v>-</v>
      </c>
      <c r="DX153" s="306" t="str">
        <f t="shared" si="54"/>
        <v>-</v>
      </c>
      <c r="DY153" s="306" t="str">
        <f t="shared" si="55"/>
        <v>-</v>
      </c>
      <c r="DZ153" s="306" t="str">
        <f t="shared" si="56"/>
        <v>-</v>
      </c>
      <c r="EA153" s="367" t="str">
        <f t="shared" si="57"/>
        <v>-</v>
      </c>
      <c r="EB153" s="310" t="str">
        <f>IFERROR(__xludf.DUMMYFUNCTION("IF(REGEXMATCH(AW153,AS153),""✔"",""-"")"),"✔")</f>
        <v>✔</v>
      </c>
      <c r="EC153" s="310" t="str">
        <f t="shared" si="58"/>
        <v>#REF!</v>
      </c>
      <c r="ED153" s="370" t="str">
        <f t="shared" si="59"/>
        <v>-</v>
      </c>
      <c r="EE153" s="340" t="str">
        <f t="shared" si="60"/>
        <v>S-R-g-m-P-d-n-S</v>
      </c>
      <c r="EF153" s="371" t="str">
        <f>IFERROR(__xludf.DUMMYFUNCTION("CONCATENATE(JOIN("""",HC153:HO153))"),"SRGmPDnS")</f>
        <v>SRGmPDnS</v>
      </c>
      <c r="EG153" s="372">
        <f t="shared" si="61"/>
        <v>1</v>
      </c>
      <c r="EH153" s="373" t="str">
        <f>IFERROR(__xludf.DUMMYFUNCTION("CONCATENATE(JOIN("""",JC153:JO153))"),"Re, ")</f>
        <v>Re, </v>
      </c>
      <c r="EI153" s="322">
        <f t="shared" si="62"/>
        <v>0</v>
      </c>
      <c r="EJ153" s="374" t="str">
        <f>IFERROR(__xludf.DUMMYFUNCTION("CONCATENATE(JOIN("""",KC153:KO153))"),"")</f>
        <v/>
      </c>
      <c r="EK153" s="325" t="str">
        <f t="shared" si="63"/>
        <v>S-R2-G2-M1-P-D1-N2-S</v>
      </c>
      <c r="EL153" s="326" t="str">
        <f t="shared" si="64"/>
        <v>1-2-b3-4-5-b6-b7-8</v>
      </c>
      <c r="EM153" s="318" t="str">
        <f t="shared" si="65"/>
        <v>#REF!</v>
      </c>
      <c r="EN153" s="328" t="str">
        <f>IFERROR(__xludf.DUMMYFUNCTION("SUBSTITUTE(SUBSTITUTE(SUBSTITUTE(SUBSTITUTE(CONCATENATE(JOIN("" "",HP153:IB153)),""  "","" ""),""  "","" ""),""  "","" ""),""  "","" "")"),"o • o o • o • o o • o • o")</f>
        <v>o • o o • o • o o • o • o</v>
      </c>
      <c r="EO153" s="368" t="str">
        <f t="shared" si="66"/>
        <v>-</v>
      </c>
      <c r="EP153" s="339" t="str">
        <f t="shared" si="67"/>
        <v>-</v>
      </c>
      <c r="EQ153" s="339" t="str">
        <f t="shared" si="68"/>
        <v>Sa-Pa</v>
      </c>
      <c r="ER153" s="339" t="str">
        <f t="shared" si="69"/>
        <v>-</v>
      </c>
      <c r="ES153" s="340" t="str">
        <f t="shared" si="70"/>
        <v>-</v>
      </c>
      <c r="ET153" s="363"/>
      <c r="EU153" s="376" t="b">
        <f>IFERROR(__xludf.DUMMYFUNCTION("arrayformula(sum(--REGEXMATCH(""SRGMPDNS"",split(REGEXREPLACE(C153,""(.)"",""$1~""),""~""))))=len(C153)
"),FALSE)</f>
        <v>0</v>
      </c>
      <c r="EV153" s="290" t="b">
        <f>IFERROR(__xludf.DUMMYFUNCTION("arrayformula(sum(--REGEXMATCH(""SRGmPDNS"",split(REGEXREPLACE(C153,""(.)"",""$1~""),""~""))))=len(C153)"),FALSE)</f>
        <v>0</v>
      </c>
      <c r="EW153" s="290" t="b">
        <f>IFERROR(__xludf.DUMMYFUNCTION("arrayformula(sum(--REGEXMATCH(""SRGmPDnS"",split(REGEXREPLACE(C153,""(.)"",""$1~""),""~""))))=len(C153)"),FALSE)</f>
        <v>0</v>
      </c>
      <c r="EX153" s="290" t="b">
        <f>IFERROR(__xludf.DUMMYFUNCTION("arrayformula(sum(--REGEXMATCH(""SRgmPDnS"",split(REGEXREPLACE(C153,""(.)"",""$1~""),""~""))))=len(C153)"),FALSE)</f>
        <v>0</v>
      </c>
      <c r="EY153" s="290" t="b">
        <f>IFERROR(__xludf.DUMMYFUNCTION("arrayformula(sum(--REGEXMATCH(""SRgmPdnS"",split(REGEXREPLACE(C153,""(.)"",""$1~""),""~""))))=len(C153)"),TRUE)</f>
        <v>1</v>
      </c>
      <c r="EZ153" s="290" t="b">
        <f>IFERROR(__xludf.DUMMYFUNCTION("arrayformula(sum(--REGEXMATCH(""SrgmPdnS"",split(REGEXREPLACE(C153,""(.)"",""$1~""),""~""))))=len(C153)"),FALSE)</f>
        <v>0</v>
      </c>
      <c r="FA153" s="290" t="b">
        <f>IFERROR(__xludf.DUMMYFUNCTION("arrayformula(sum(--REGEXMATCH(""SrGmPdNS"",split(REGEXREPLACE(C153,""(.)"",""$1~""),""~""))))=len(C153)"),FALSE)</f>
        <v>0</v>
      </c>
      <c r="FB153" s="290" t="b">
        <f>IFERROR(__xludf.DUMMYFUNCTION("arrayformula(sum(--REGEXMATCH(""SrGMPDNS"",split(REGEXREPLACE(C153,""(.)"",""$1~""),""~""))))=len(C153)"),FALSE)</f>
        <v>0</v>
      </c>
      <c r="FC153" s="290" t="b">
        <f>IFERROR(__xludf.DUMMYFUNCTION("arrayformula(sum(--REGEXMATCH(""SrGMPdNS"",split(REGEXREPLACE(C153,""(.)"",""$1~""),""~""))))=len(C153)"),FALSE)</f>
        <v>0</v>
      </c>
      <c r="FD153" s="377" t="b">
        <f>IFERROR(__xludf.DUMMYFUNCTION("arrayformula(sum(--REGEXMATCH(""SrgMPdNS"",split(REGEXREPLACE(C153,""(.)"",""$1~""),""~""))))=len(C153)"),FALSE)</f>
        <v>0</v>
      </c>
      <c r="FE153" s="269" t="str">
        <f t="shared" si="71"/>
        <v>-</v>
      </c>
      <c r="FF153" s="269" t="str">
        <f t="shared" si="72"/>
        <v>xxoxoxxoxox</v>
      </c>
      <c r="FG153" s="271" t="str">
        <f t="shared" si="73"/>
        <v>xoxoxxoxoxo</v>
      </c>
      <c r="FH153" s="269" t="str">
        <f t="shared" si="74"/>
        <v>-</v>
      </c>
      <c r="FI153" s="271" t="str">
        <f t="shared" si="75"/>
        <v>xoxxoxoxoxx</v>
      </c>
      <c r="FJ153" s="271" t="str">
        <f t="shared" si="76"/>
        <v>-</v>
      </c>
      <c r="FK153" s="271" t="str">
        <f t="shared" si="77"/>
        <v>xxoxoxoxxox</v>
      </c>
      <c r="FL153" s="271" t="str">
        <f t="shared" si="78"/>
        <v>xoxoxoxxoxo</v>
      </c>
      <c r="FM153" s="271" t="str">
        <f t="shared" si="79"/>
        <v>-</v>
      </c>
      <c r="FN153" s="271" t="str">
        <f t="shared" si="80"/>
        <v>xoxoxxoxoxx</v>
      </c>
      <c r="FO153" s="274" t="str">
        <f t="shared" si="81"/>
        <v>-</v>
      </c>
      <c r="FP153" s="234" t="str">
        <f t="shared" si="82"/>
        <v>|</v>
      </c>
      <c r="FQ153" s="236" t="str">
        <f t="shared" si="83"/>
        <v>-</v>
      </c>
      <c r="FR153" s="237" t="str">
        <f t="shared" si="84"/>
        <v>|</v>
      </c>
      <c r="FS153" s="236" t="str">
        <f t="shared" si="85"/>
        <v>|</v>
      </c>
      <c r="FT153" s="237" t="str">
        <f t="shared" si="86"/>
        <v>-</v>
      </c>
      <c r="FU153" s="236" t="str">
        <f t="shared" si="87"/>
        <v>|</v>
      </c>
      <c r="FV153" s="237" t="str">
        <f t="shared" si="88"/>
        <v>-</v>
      </c>
      <c r="FW153" s="236" t="str">
        <f t="shared" si="89"/>
        <v>|</v>
      </c>
      <c r="FX153" s="237" t="str">
        <f t="shared" si="90"/>
        <v>|</v>
      </c>
      <c r="FY153" s="236" t="str">
        <f t="shared" si="91"/>
        <v>-</v>
      </c>
      <c r="FZ153" s="237" t="str">
        <f t="shared" si="92"/>
        <v>|</v>
      </c>
      <c r="GA153" s="236" t="str">
        <f t="shared" si="93"/>
        <v>-</v>
      </c>
      <c r="GB153" s="238" t="str">
        <f t="shared" si="94"/>
        <v>|</v>
      </c>
      <c r="GC153" s="244" t="str">
        <f>IFERROR(__xludf.DUMMYFUNCTION("IF(REGEXMATCH(C153, ""S""), ""1"","""")"),"1")</f>
        <v>1</v>
      </c>
      <c r="GD153" s="245" t="str">
        <f>IFERROR(__xludf.DUMMYFUNCTION("IF(REGEXMATCH(C153, ""r""), ""b2"","""")"),"")</f>
        <v/>
      </c>
      <c r="GE153" s="246" t="str">
        <f>IFERROR(__xludf.DUMMYFUNCTION("IF(REGEXMATCH(C153, ""R""), ""2"","""")"),"2")</f>
        <v>2</v>
      </c>
      <c r="GF153" s="246" t="str">
        <f>IFERROR(__xludf.DUMMYFUNCTION("IF(REGEXMATCH(C153, ""g""), ""b3"","""")"),"b3")</f>
        <v>b3</v>
      </c>
      <c r="GG153" s="245" t="str">
        <f>IFERROR(__xludf.DUMMYFUNCTION("IF(REGEXMATCH(C153, ""G""), ""3"","""")"),"")</f>
        <v/>
      </c>
      <c r="GH153" s="245" t="str">
        <f>IFERROR(__xludf.DUMMYFUNCTION("IF(REGEXMATCH(C153, ""m""), ""4"","""")"),"4")</f>
        <v>4</v>
      </c>
      <c r="GI153" s="246" t="str">
        <f>IFERROR(__xludf.DUMMYFUNCTION("IF(REGEXMATCH(C153, ""M""), ""#4"","""")"),"")</f>
        <v/>
      </c>
      <c r="GJ153" s="245" t="str">
        <f>IFERROR(__xludf.DUMMYFUNCTION("IF(REGEXMATCH(C153, ""P""), ""5"","""")"),"5")</f>
        <v>5</v>
      </c>
      <c r="GK153" s="246" t="str">
        <f>IFERROR(__xludf.DUMMYFUNCTION("IF(REGEXMATCH(C153, ""d""), ""b6"","""")"),"b6")</f>
        <v>b6</v>
      </c>
      <c r="GL153" s="245" t="str">
        <f>IFERROR(__xludf.DUMMYFUNCTION("IF(REGEXMATCH(C153, ""D""), ""6"","""")"),"")</f>
        <v/>
      </c>
      <c r="GM153" s="245" t="str">
        <f>IFERROR(__xludf.DUMMYFUNCTION("IF(REGEXMATCH(C153, ""n""), ""b7"","""")"),"b7")</f>
        <v>b7</v>
      </c>
      <c r="GN153" s="246" t="str">
        <f>IFERROR(__xludf.DUMMYFUNCTION("IF(REGEXMATCH(C153, ""N""), ""7"","""")"),"")</f>
        <v/>
      </c>
      <c r="GO153" s="249" t="str">
        <f>IFERROR(__xludf.DUMMYFUNCTION("IF(REGEXMATCH(C153, ""S""), ""8"","""")"),"8")</f>
        <v>8</v>
      </c>
      <c r="GP153" s="244" t="str">
        <f>IFERROR(__xludf.DUMMYFUNCTION("IF(REGEXMATCH(C153, ""S""), ""S"","""")"),"S")</f>
        <v>S</v>
      </c>
      <c r="GQ153" s="294" t="str">
        <f>IFERROR(__xludf.DUMMYFUNCTION("IF(REGEXMATCH(C153, ""r""), ""R1"","""")"),"")</f>
        <v/>
      </c>
      <c r="GR153" s="295" t="str">
        <f>IFERROR(__xludf.DUMMYFUNCTION("IF(REGEXMATCH(C153, ""R""), ""R2"","""")"),"R2")</f>
        <v>R2</v>
      </c>
      <c r="GS153" s="295" t="str">
        <f>IFERROR(__xludf.DUMMYFUNCTION("IF(REGEXMATCH(C153, ""g""), ""G2"","""")"),"G2")</f>
        <v>G2</v>
      </c>
      <c r="GT153" s="294" t="str">
        <f>IFERROR(__xludf.DUMMYFUNCTION("IF(REGEXMATCH(C153, ""G""), ""G3"","""")"),"")</f>
        <v/>
      </c>
      <c r="GU153" s="294" t="str">
        <f>IFERROR(__xludf.DUMMYFUNCTION("IF(REGEXMATCH(C153, ""m""), ""M1"","""")"),"M1")</f>
        <v>M1</v>
      </c>
      <c r="GV153" s="295" t="str">
        <f>IFERROR(__xludf.DUMMYFUNCTION("IF(REGEXMATCH(C153, ""M""), ""M2"","""")"),"")</f>
        <v/>
      </c>
      <c r="GW153" s="294" t="str">
        <f>IFERROR(__xludf.DUMMYFUNCTION("IF(REGEXMATCH(C153, ""P""), ""P"","""")"),"P")</f>
        <v>P</v>
      </c>
      <c r="GX153" s="295" t="str">
        <f>IFERROR(__xludf.DUMMYFUNCTION("IF(REGEXMATCH(C153, ""d""), ""D1"","""")"),"D1")</f>
        <v>D1</v>
      </c>
      <c r="GY153" s="294" t="str">
        <f>IFERROR(__xludf.DUMMYFUNCTION("IF(REGEXMATCH(C153, ""D""), ""D2"","""")"),"")</f>
        <v/>
      </c>
      <c r="GZ153" s="294" t="str">
        <f>IFERROR(__xludf.DUMMYFUNCTION("IF(REGEXMATCH(C153, ""n""), ""N2"","""")"),"N2")</f>
        <v>N2</v>
      </c>
      <c r="HA153" s="295" t="str">
        <f>IFERROR(__xludf.DUMMYFUNCTION("IF(REGEXMATCH(C153, ""N""), ""N3"","""")"),"")</f>
        <v/>
      </c>
      <c r="HB153" s="249" t="str">
        <f>IFERROR(__xludf.DUMMYFUNCTION("IF(REGEXMATCH(C153, ""S""), ""S"","""")"),"S")</f>
        <v>S</v>
      </c>
      <c r="HC153" s="331" t="str">
        <f t="shared" si="95"/>
        <v>S</v>
      </c>
      <c r="HD153" s="332" t="str">
        <f t="shared" si="96"/>
        <v/>
      </c>
      <c r="HE153" s="332" t="str">
        <f t="shared" si="97"/>
        <v>R</v>
      </c>
      <c r="HF153" s="332" t="str">
        <f t="shared" si="98"/>
        <v/>
      </c>
      <c r="HG153" s="332" t="str">
        <f t="shared" si="99"/>
        <v>G</v>
      </c>
      <c r="HH153" s="332" t="str">
        <f t="shared" si="100"/>
        <v>m</v>
      </c>
      <c r="HI153" s="332" t="str">
        <f t="shared" si="101"/>
        <v/>
      </c>
      <c r="HJ153" s="332" t="str">
        <f t="shared" si="102"/>
        <v>P</v>
      </c>
      <c r="HK153" s="332" t="str">
        <f t="shared" si="103"/>
        <v/>
      </c>
      <c r="HL153" s="332" t="str">
        <f t="shared" si="104"/>
        <v>D</v>
      </c>
      <c r="HM153" s="332" t="str">
        <f t="shared" si="105"/>
        <v>n</v>
      </c>
      <c r="HN153" s="332" t="str">
        <f t="shared" si="106"/>
        <v/>
      </c>
      <c r="HO153" s="343" t="str">
        <f t="shared" si="107"/>
        <v>S</v>
      </c>
      <c r="HP153" s="331" t="str">
        <f t="shared" si="108"/>
        <v>o</v>
      </c>
      <c r="HQ153" s="332" t="str">
        <f t="shared" si="109"/>
        <v>•</v>
      </c>
      <c r="HR153" s="332" t="str">
        <f t="shared" si="110"/>
        <v>o</v>
      </c>
      <c r="HS153" s="332" t="str">
        <f t="shared" si="111"/>
        <v>o</v>
      </c>
      <c r="HT153" s="332" t="str">
        <f t="shared" si="112"/>
        <v>•</v>
      </c>
      <c r="HU153" s="332" t="str">
        <f t="shared" si="113"/>
        <v>o</v>
      </c>
      <c r="HV153" s="332" t="str">
        <f t="shared" si="114"/>
        <v>•</v>
      </c>
      <c r="HW153" s="332" t="str">
        <f t="shared" si="115"/>
        <v>o</v>
      </c>
      <c r="HX153" s="332" t="str">
        <f t="shared" si="116"/>
        <v>o</v>
      </c>
      <c r="HY153" s="332" t="str">
        <f t="shared" si="117"/>
        <v>•</v>
      </c>
      <c r="HZ153" s="332" t="str">
        <f t="shared" si="118"/>
        <v>o</v>
      </c>
      <c r="IA153" s="332" t="str">
        <f t="shared" si="119"/>
        <v>•</v>
      </c>
      <c r="IB153" s="338" t="str">
        <f t="shared" si="120"/>
        <v>o</v>
      </c>
      <c r="IC153" s="331" t="str">
        <f t="shared" si="121"/>
        <v>•</v>
      </c>
      <c r="ID153" s="332" t="str">
        <f t="shared" si="122"/>
        <v>o</v>
      </c>
      <c r="IE153" s="332" t="str">
        <f t="shared" si="123"/>
        <v>•</v>
      </c>
      <c r="IF153" s="332" t="str">
        <f t="shared" si="124"/>
        <v>•</v>
      </c>
      <c r="IG153" s="332" t="str">
        <f t="shared" si="125"/>
        <v>o</v>
      </c>
      <c r="IH153" s="332" t="str">
        <f t="shared" si="126"/>
        <v>•</v>
      </c>
      <c r="II153" s="332" t="str">
        <f t="shared" si="127"/>
        <v>o</v>
      </c>
      <c r="IJ153" s="332" t="str">
        <f t="shared" si="128"/>
        <v>•</v>
      </c>
      <c r="IK153" s="332" t="str">
        <f t="shared" si="129"/>
        <v>•</v>
      </c>
      <c r="IL153" s="332" t="str">
        <f t="shared" si="130"/>
        <v>o</v>
      </c>
      <c r="IM153" s="332" t="str">
        <f t="shared" si="131"/>
        <v>•</v>
      </c>
      <c r="IN153" s="332" t="str">
        <f t="shared" si="132"/>
        <v>o</v>
      </c>
      <c r="IO153" s="338" t="str">
        <f t="shared" si="133"/>
        <v>•</v>
      </c>
      <c r="IP153" s="346" t="b">
        <f t="shared" si="134"/>
        <v>0</v>
      </c>
      <c r="IQ153" s="347" t="b">
        <f t="shared" si="135"/>
        <v>0</v>
      </c>
      <c r="IR153" s="347" t="b">
        <f t="shared" si="136"/>
        <v>1</v>
      </c>
      <c r="IS153" s="347" t="b">
        <f t="shared" si="137"/>
        <v>0</v>
      </c>
      <c r="IT153" s="347" t="b">
        <f t="shared" si="138"/>
        <v>0</v>
      </c>
      <c r="IU153" s="347" t="b">
        <f t="shared" si="139"/>
        <v>0</v>
      </c>
      <c r="IV153" s="347" t="b">
        <f t="shared" si="140"/>
        <v>0</v>
      </c>
      <c r="IW153" s="347" t="b">
        <f t="shared" si="141"/>
        <v>0</v>
      </c>
      <c r="IX153" s="347" t="b">
        <f t="shared" si="142"/>
        <v>0</v>
      </c>
      <c r="IY153" s="347" t="b">
        <f t="shared" si="143"/>
        <v>0</v>
      </c>
      <c r="IZ153" s="347" t="b">
        <f t="shared" si="144"/>
        <v>0</v>
      </c>
      <c r="JA153" s="347" t="b">
        <f t="shared" si="145"/>
        <v>0</v>
      </c>
      <c r="JB153" s="353" t="b">
        <f t="shared" si="146"/>
        <v>0</v>
      </c>
      <c r="JC153" s="354" t="str">
        <f t="shared" si="147"/>
        <v/>
      </c>
      <c r="JD153" s="355" t="str">
        <f t="shared" si="148"/>
        <v/>
      </c>
      <c r="JE153" s="355" t="str">
        <f t="shared" si="149"/>
        <v>Re, </v>
      </c>
      <c r="JF153" s="355" t="str">
        <f t="shared" si="150"/>
        <v/>
      </c>
      <c r="JG153" s="355" t="str">
        <f t="shared" si="151"/>
        <v/>
      </c>
      <c r="JH153" s="355" t="str">
        <f t="shared" si="152"/>
        <v/>
      </c>
      <c r="JI153" s="355" t="str">
        <f t="shared" si="153"/>
        <v/>
      </c>
      <c r="JJ153" s="355" t="str">
        <f t="shared" si="154"/>
        <v/>
      </c>
      <c r="JK153" s="355" t="str">
        <f t="shared" si="155"/>
        <v/>
      </c>
      <c r="JL153" s="355" t="str">
        <f t="shared" si="156"/>
        <v/>
      </c>
      <c r="JM153" s="355" t="str">
        <f t="shared" si="157"/>
        <v/>
      </c>
      <c r="JN153" s="355" t="str">
        <f t="shared" si="158"/>
        <v/>
      </c>
      <c r="JO153" s="359" t="str">
        <f t="shared" si="159"/>
        <v/>
      </c>
      <c r="JP153" s="346" t="b">
        <f t="shared" si="160"/>
        <v>0</v>
      </c>
      <c r="JQ153" s="347" t="b">
        <f t="shared" si="161"/>
        <v>0</v>
      </c>
      <c r="JR153" s="347" t="b">
        <f t="shared" si="162"/>
        <v>0</v>
      </c>
      <c r="JS153" s="347" t="b">
        <f t="shared" si="163"/>
        <v>0</v>
      </c>
      <c r="JT153" s="347" t="b">
        <f t="shared" si="164"/>
        <v>0</v>
      </c>
      <c r="JU153" s="347" t="b">
        <f t="shared" si="165"/>
        <v>0</v>
      </c>
      <c r="JV153" s="347" t="b">
        <f t="shared" si="166"/>
        <v>0</v>
      </c>
      <c r="JW153" s="347" t="b">
        <f t="shared" si="167"/>
        <v>0</v>
      </c>
      <c r="JX153" s="347" t="b">
        <f t="shared" si="168"/>
        <v>0</v>
      </c>
      <c r="JY153" s="347" t="b">
        <f t="shared" si="169"/>
        <v>0</v>
      </c>
      <c r="JZ153" s="347" t="b">
        <f t="shared" si="170"/>
        <v>0</v>
      </c>
      <c r="KA153" s="347" t="b">
        <f t="shared" si="171"/>
        <v>0</v>
      </c>
      <c r="KB153" s="365" t="b">
        <f t="shared" si="172"/>
        <v>0</v>
      </c>
      <c r="KC153" s="354" t="str">
        <f t="shared" si="173"/>
        <v/>
      </c>
      <c r="KD153" s="355" t="str">
        <f t="shared" si="174"/>
        <v/>
      </c>
      <c r="KE153" s="355" t="str">
        <f t="shared" si="175"/>
        <v/>
      </c>
      <c r="KF153" s="355" t="str">
        <f t="shared" si="176"/>
        <v/>
      </c>
      <c r="KG153" s="355" t="str">
        <f t="shared" si="177"/>
        <v/>
      </c>
      <c r="KH153" s="355" t="str">
        <f t="shared" si="178"/>
        <v/>
      </c>
      <c r="KI153" s="355" t="str">
        <f t="shared" si="179"/>
        <v/>
      </c>
      <c r="KJ153" s="355" t="str">
        <f t="shared" si="180"/>
        <v/>
      </c>
      <c r="KK153" s="355" t="str">
        <f t="shared" si="181"/>
        <v/>
      </c>
      <c r="KL153" s="355" t="str">
        <f t="shared" si="182"/>
        <v/>
      </c>
      <c r="KM153" s="355" t="str">
        <f t="shared" si="183"/>
        <v/>
      </c>
      <c r="KN153" s="355" t="str">
        <f t="shared" si="184"/>
        <v/>
      </c>
      <c r="KO153" s="359"/>
      <c r="KP153" s="378"/>
      <c r="KQ153" s="379" t="s">
        <v>430</v>
      </c>
      <c r="KR153" s="380" t="s">
        <v>431</v>
      </c>
      <c r="KS153" s="381" t="str">
        <f>KQ153</f>
        <v>S-R-m-P-d-n-S</v>
      </c>
      <c r="KT153" s="382">
        <f t="shared" si="186"/>
        <v>6</v>
      </c>
      <c r="KU153" s="383">
        <f t="shared" si="187"/>
        <v>6</v>
      </c>
      <c r="KV153" s="381" t="str">
        <f t="shared" si="205"/>
        <v>S-n-d-P-m-g-R-S</v>
      </c>
      <c r="KW153" s="382">
        <f t="shared" si="189"/>
        <v>7</v>
      </c>
      <c r="KX153" s="384">
        <f t="shared" si="190"/>
        <v>7</v>
      </c>
      <c r="KY153" s="382">
        <f t="shared" ref="KY153:KZ153" si="515">KW153-KT153</f>
        <v>1</v>
      </c>
      <c r="KZ153" s="369">
        <f t="shared" si="515"/>
        <v>1</v>
      </c>
      <c r="LA153" s="385" t="str">
        <f t="shared" si="192"/>
        <v>-</v>
      </c>
      <c r="LB153" s="340" t="str">
        <f>IFERROR(__xludf.DUMMYFUNCTION("JOIN("""",ArrayFormula(MID(KS153,LEN(KS153)-SEQUENCE(1,LEN(KS153))+1,1)))"),"S-n-d-P-m-R-S")</f>
        <v>S-n-d-P-m-R-S</v>
      </c>
      <c r="LC153" s="373" t="str">
        <f>IFERROR(__xludf.DUMMYFUNCTION("JOIN("""",ArrayFormula(MID(KV153,LEN(KV153)-SEQUENCE(1,LEN(KV153))+1,1)))"),"S-R-g-m-P-d-n-S")</f>
        <v>S-R-g-m-P-d-n-S</v>
      </c>
      <c r="LD153" s="373" t="str">
        <f t="shared" si="193"/>
        <v>SRmPdnS</v>
      </c>
      <c r="LE153" s="339" t="str">
        <f t="shared" si="194"/>
        <v>SRgmPdnS</v>
      </c>
      <c r="LF153" s="386" t="str">
        <f>IFERROR(__xludf.DUMMYFUNCTION("SUBSTITUTE(SUBSTITUTE(CONCATENATE(JOIN("""",LH153:LT153)),""1"",""""),""2"","""")"),"SRgmPdnS")</f>
        <v>SRgmPdnS</v>
      </c>
      <c r="LG153" s="369" t="str">
        <f t="shared" si="195"/>
        <v>✔</v>
      </c>
      <c r="LH153" s="387" t="str">
        <f>IFERROR(__xludf.DUMMYFUNCTION("IF(REGEXMATCH(LD153, ""S""), ""S"",IF(REGEXMATCH(LE153, ""S""), ""S"",""""))"),"S")</f>
        <v>S</v>
      </c>
      <c r="LI153" s="299" t="str">
        <f>IFERROR(__xludf.DUMMYFUNCTION("IF(REGEXMATCH(LD153, ""r""), ""r1"",IF(REGEXMATCH(LE153, ""r""), ""r2"",""""))"),"")</f>
        <v/>
      </c>
      <c r="LJ153" s="299" t="str">
        <f>IFERROR(__xludf.DUMMYFUNCTION("IF(REGEXMATCH(LD153, ""R""), ""R1"",IF(REGEXMATCH(LE153, ""R""), ""R2"",""""))"),"R1")</f>
        <v>R1</v>
      </c>
      <c r="LK153" s="299" t="str">
        <f>IFERROR(__xludf.DUMMYFUNCTION("IF(REGEXMATCH(LD153, ""g""), ""g1"",IF(REGEXMATCH(LE153, ""g""), ""g2"",""""))"),"g2")</f>
        <v>g2</v>
      </c>
      <c r="LL153" s="299" t="str">
        <f>IFERROR(__xludf.DUMMYFUNCTION("IF(REGEXMATCH(LD153, ""G""), ""G1"",IF(REGEXMATCH(LE153, ""G""), ""G2"",""""))"),"")</f>
        <v/>
      </c>
      <c r="LM153" s="299" t="str">
        <f>IFERROR(__xludf.DUMMYFUNCTION("IF(REGEXMATCH(LD153, ""m""), ""m1"",IF(REGEXMATCH(LE153, ""m""), ""m2"",""""))"),"m1")</f>
        <v>m1</v>
      </c>
      <c r="LN153" s="299" t="str">
        <f>IFERROR(__xludf.DUMMYFUNCTION("IF(REGEXMATCH(LD153, ""M""), ""M1"",IF(REGEXMATCH(LE153, ""M""), ""M2"",""""))"),"")</f>
        <v/>
      </c>
      <c r="LO153" s="299" t="str">
        <f>IFERROR(__xludf.DUMMYFUNCTION("IF(REGEXMATCH(LD153, ""P""), ""P1"",IF(REGEXMATCH(LE153, ""P""), ""P2"",""""))"),"P1")</f>
        <v>P1</v>
      </c>
      <c r="LP153" s="299" t="str">
        <f>IFERROR(__xludf.DUMMYFUNCTION("IF(REGEXMATCH(LD153, ""d""), ""d1"",IF(REGEXMATCH(LE153, ""d""), ""d2"",""""))"),"d1")</f>
        <v>d1</v>
      </c>
      <c r="LQ153" s="299" t="str">
        <f>IFERROR(__xludf.DUMMYFUNCTION("IF(REGEXMATCH(LD153, ""D""), ""D1"",IF(REGEXMATCH(LE153, ""D""), ""D2"",""""))"),"")</f>
        <v/>
      </c>
      <c r="LR153" s="299" t="str">
        <f>IFERROR(__xludf.DUMMYFUNCTION("IF(REGEXMATCH(LD153, ""n""), ""n1"",IF(REGEXMATCH(LE153, ""n""), ""n2"",""""))"),"n1")</f>
        <v>n1</v>
      </c>
      <c r="LS153" s="299" t="str">
        <f>IFERROR(__xludf.DUMMYFUNCTION("IF(REGEXMATCH(LD153, ""N""), ""N1"",IF(REGEXMATCH(LE153, ""N""), ""N2"",""""))"),"")</f>
        <v/>
      </c>
      <c r="LT153" s="388" t="str">
        <f>IFERROR(__xludf.DUMMYFUNCTION("IF(REGEXMATCH(LD153, ""S""), ""S"",IF(REGEXMATCH(LE153, ""S""), ""S"",""""))"),"S")</f>
        <v>S</v>
      </c>
      <c r="LU153" s="389">
        <f t="shared" si="196"/>
        <v>-1</v>
      </c>
      <c r="LV153" s="378"/>
      <c r="LW153" s="369"/>
      <c r="LX153" s="369"/>
    </row>
    <row r="154" ht="18.0" customHeight="1">
      <c r="A154" s="298" t="s">
        <v>832</v>
      </c>
      <c r="B154" s="222" t="s">
        <v>741</v>
      </c>
      <c r="C154" s="233" t="str">
        <f t="shared" si="7"/>
        <v>SRgGmPDnNS</v>
      </c>
      <c r="D154" s="234" t="str">
        <f>IFERROR(__xludf.DUMMYFUNCTION("IF(REGEXMATCH(C154, ""S""), ""S"","""")"),"S")</f>
        <v>S</v>
      </c>
      <c r="E154" s="236" t="str">
        <f>IFERROR(__xludf.DUMMYFUNCTION("IF(REGEXMATCH(C154, ""r""), ""r"","""")"),"")</f>
        <v/>
      </c>
      <c r="F154" s="237" t="str">
        <f>IFERROR(__xludf.DUMMYFUNCTION("IF(REGEXMATCH(C154, ""R""), ""R"","""")"),"R")</f>
        <v>R</v>
      </c>
      <c r="G154" s="237" t="str">
        <f>IFERROR(__xludf.DUMMYFUNCTION("IF(REGEXMATCH(C154, ""g""), ""g"","""")"),"g")</f>
        <v>g</v>
      </c>
      <c r="H154" s="236" t="str">
        <f>IFERROR(__xludf.DUMMYFUNCTION("IF(REGEXMATCH(C154, ""G""), ""G"","""")"),"G")</f>
        <v>G</v>
      </c>
      <c r="I154" s="236" t="str">
        <f>IFERROR(__xludf.DUMMYFUNCTION("IF(REGEXMATCH(C154, ""m""), ""m"","""")"),"m")</f>
        <v>m</v>
      </c>
      <c r="J154" s="237" t="str">
        <f>IFERROR(__xludf.DUMMYFUNCTION("IF(REGEXMATCH(C154, ""M""), ""M"","""")"),"")</f>
        <v/>
      </c>
      <c r="K154" s="236" t="str">
        <f>IFERROR(__xludf.DUMMYFUNCTION("IF(REGEXMATCH(C154, ""P""), ""P"","""")"),"P")</f>
        <v>P</v>
      </c>
      <c r="L154" s="237" t="str">
        <f>IFERROR(__xludf.DUMMYFUNCTION("IF(REGEXMATCH(C154, ""d""), ""d"","""")"),"")</f>
        <v/>
      </c>
      <c r="M154" s="236" t="str">
        <f>IFERROR(__xludf.DUMMYFUNCTION("IF(REGEXMATCH(C154, ""D""), ""D"","""")"),"D")</f>
        <v>D</v>
      </c>
      <c r="N154" s="236" t="str">
        <f>IFERROR(__xludf.DUMMYFUNCTION("IF(REGEXMATCH(C154, ""n""), ""n"","""")"),"n")</f>
        <v>n</v>
      </c>
      <c r="O154" s="237" t="str">
        <f>IFERROR(__xludf.DUMMYFUNCTION("IF(REGEXMATCH(C154, ""N""), ""N"","""")"),"N")</f>
        <v>N</v>
      </c>
      <c r="P154" s="238" t="str">
        <f>IFERROR(__xludf.DUMMYFUNCTION("IF(REGEXMATCH(C154, ""S""), ""S"","""")"),"S")</f>
        <v>S</v>
      </c>
      <c r="Q154" s="239" t="str">
        <f>IFERROR(__xludf.DUMMYFUNCTION("SUBSTITUTE(CONCATENATE(JOIN(""-"",D154:J154)),""-"","""")"),"SRgGm")</f>
        <v>SRgGm</v>
      </c>
      <c r="R154" s="229" t="str">
        <f>IFERROR(__xludf.DUMMYFUNCTION("SUBSTITUTE(CONCATENATE(JOIN(""-"",K154:P154)),""-"","""")"),"PDnNS")</f>
        <v>PDnNS</v>
      </c>
      <c r="S154" s="282" t="str">
        <f t="shared" si="8"/>
        <v>S-R-G-M</v>
      </c>
      <c r="T154" s="282" t="str">
        <f t="shared" si="9"/>
        <v>P-D-N-S</v>
      </c>
      <c r="U154" s="237" t="str">
        <f>IFERROR(__xludf.DUMMYFUNCTION("SUBSTITUTE(JOIN(""-"",S154,T154),""--"",""-"")"),"S-R-G-M-P-D-N-S")</f>
        <v>S-R-G-M-P-D-N-S</v>
      </c>
      <c r="V154" s="309" t="str">
        <f t="shared" si="10"/>
        <v>RgGmDnN</v>
      </c>
      <c r="W154" s="244" t="str">
        <f>IFERROR(__xludf.DUMMYFUNCTION("IF(REGEXMATCH(C154, ""S""), ""0"","""")"),"0")</f>
        <v>0</v>
      </c>
      <c r="X154" s="245" t="str">
        <f>IFERROR(__xludf.DUMMYFUNCTION("IF(REGEXMATCH(C154, ""r""), ""1"","""")"),"")</f>
        <v/>
      </c>
      <c r="Y154" s="246" t="str">
        <f>IFERROR(__xludf.DUMMYFUNCTION("IF(REGEXMATCH(C154, ""R""), ""2"","""")"),"2")</f>
        <v>2</v>
      </c>
      <c r="Z154" s="246" t="str">
        <f>IFERROR(__xludf.DUMMYFUNCTION("IF(REGEXMATCH(C154, ""g""), ""3"","""")"),"3")</f>
        <v>3</v>
      </c>
      <c r="AA154" s="245" t="str">
        <f>IFERROR(__xludf.DUMMYFUNCTION("IF(REGEXMATCH(C154, ""G""), ""4"","""")"),"4")</f>
        <v>4</v>
      </c>
      <c r="AB154" s="245" t="str">
        <f>IFERROR(__xludf.DUMMYFUNCTION("IF(REGEXMATCH(C154, ""m""), ""5"","""")"),"5")</f>
        <v>5</v>
      </c>
      <c r="AC154" s="246" t="str">
        <f>IFERROR(__xludf.DUMMYFUNCTION("IF(REGEXMATCH(C154, ""M""), ""6"","""")"),"")</f>
        <v/>
      </c>
      <c r="AD154" s="245" t="str">
        <f>IFERROR(__xludf.DUMMYFUNCTION("IF(REGEXMATCH(C154, ""P""), ""7"","""")"),"7")</f>
        <v>7</v>
      </c>
      <c r="AE154" s="246" t="str">
        <f>IFERROR(__xludf.DUMMYFUNCTION("IF(REGEXMATCH(C154, ""d""), ""8"","""")"),"")</f>
        <v/>
      </c>
      <c r="AF154" s="245" t="str">
        <f>IFERROR(__xludf.DUMMYFUNCTION("IF(REGEXMATCH(C154, ""D""), ""9"","""")"),"9")</f>
        <v>9</v>
      </c>
      <c r="AG154" s="245" t="str">
        <f>IFERROR(__xludf.DUMMYFUNCTION("IF(REGEXMATCH(C154, ""n""), ""10"","""")"),"10")</f>
        <v>10</v>
      </c>
      <c r="AH154" s="246" t="str">
        <f>IFERROR(__xludf.DUMMYFUNCTION("IF(REGEXMATCH(C154, ""N""), ""11"","""")"),"11")</f>
        <v>11</v>
      </c>
      <c r="AI154" s="249" t="str">
        <f>IFERROR(__xludf.DUMMYFUNCTION("IF(REGEXMATCH(C154, ""S""), ""0"","""")"),"0")</f>
        <v>0</v>
      </c>
      <c r="AJ154" s="313" t="str">
        <f t="shared" si="11"/>
        <v>-</v>
      </c>
      <c r="AK154" s="313" t="str">
        <f t="shared" si="12"/>
        <v>-</v>
      </c>
      <c r="AL154" s="313" t="str">
        <f t="shared" si="13"/>
        <v>-</v>
      </c>
      <c r="AM154" s="313" t="str">
        <f t="shared" si="14"/>
        <v>T</v>
      </c>
      <c r="AN154" s="313" t="str">
        <f t="shared" si="15"/>
        <v>T</v>
      </c>
      <c r="AO154" s="314" t="str">
        <f t="shared" si="16"/>
        <v>T</v>
      </c>
      <c r="AP154" s="316">
        <f t="shared" si="17"/>
        <v>3</v>
      </c>
      <c r="AQ154" s="319" t="str">
        <f t="shared" si="18"/>
        <v>-</v>
      </c>
      <c r="AR154" s="320">
        <f t="shared" si="19"/>
        <v>0</v>
      </c>
      <c r="AS154" s="250" t="str">
        <f>IFERROR(__xludf.DUMMYFUNCTION("SUBSTITUTE(SUBSTITUTE(CONCATENATE(JOIN("""",FP154:GA154)),""|"",""x""),""-"",""o"")"),"xoxxxxoxoxxx")</f>
        <v>xoxxxxoxoxxx</v>
      </c>
      <c r="AT154" s="323" t="str">
        <f>IFERROR(__xludf.DUMMYFUNCTION("JOIN("""",AS154,AS154)"),"xoxxxxoxoxxxxoxxxxoxoxxx")</f>
        <v>xoxxxxoxoxxxxoxxxxoxoxxx</v>
      </c>
      <c r="AU154" s="256" t="str">
        <f>IFERROR(__xludf.DUMMYFUNCTION("JOIN("""",ArrayFormula(MID(AS154,LEN(AS154)-SEQUENCE(1,LEN(AS154))+1,1)))"),"xxxoxoxxxxox")</f>
        <v>xxxoxoxxxxox</v>
      </c>
      <c r="AV154" s="256" t="str">
        <f>IFERROR(__xludf.DUMMYFUNCTION("LEFT(CONCATENATE(""x"",JOIN("""",ArrayFormula(MID(AS154,LEN(AS154)-SEQUENCE(1,LEN(AS154))+1,1)))),12)"),"xxxxoxoxxxxo")</f>
        <v>xxxxoxoxxxxo</v>
      </c>
      <c r="AW154" s="327" t="str">
        <f>IFERROR(__xludf.DUMMYFUNCTION("JOIN("""",AU154,AU154)"),"xxxoxoxxxxoxxxxoxoxxxxox")</f>
        <v>xxxoxoxxxxoxxxxoxoxxxxox</v>
      </c>
      <c r="AX154" s="239" t="str">
        <f>IFERROR(__xludf.DUMMYFUNCTION("IF(REGEXMATCH(AW154,AS154),""✔"",""-"")"),"✔")</f>
        <v>✔</v>
      </c>
      <c r="AY154" s="330" t="str">
        <f t="shared" si="20"/>
        <v>-</v>
      </c>
      <c r="AZ154" s="260" t="str">
        <f t="shared" si="21"/>
        <v>#REF!</v>
      </c>
      <c r="BA154" s="333" t="str">
        <f t="shared" si="22"/>
        <v>xoxxxxo</v>
      </c>
      <c r="BB154" s="334" t="str">
        <f t="shared" si="23"/>
        <v>xoxxxx</v>
      </c>
      <c r="BC154" s="335" t="str">
        <f t="shared" si="236"/>
        <v>✔</v>
      </c>
      <c r="BD154" s="336" t="str">
        <f t="shared" si="25"/>
        <v>Jayant Malhar: 'xoxxxxo' + 'xoxxxx'</v>
      </c>
      <c r="BE154" s="337">
        <f>IFERROR(__xludf.DUMMYFUNCTION("COUNTUNIQUE(FILTER(AT:AT,REGEXMATCH(AT:AT,AS154)))-1"),4.0)</f>
        <v>4</v>
      </c>
      <c r="BF154" s="261" t="str">
        <f>IFERROR(__xludf.DUMMYFUNCTION("IF(BI154=0,""(n/a)"",IF(BJ154=2,""(PAIR)"",IF(REGEXMATCH(AT154,""xoxoxxoxoxox""),""Bilawal"",IF(REGEXMATCH(AT154,""xoxoxooxoxoo""),""Bhupali"",IF(REGEXMATCH(AT154,""xoxoxxoxxoxo""),""Charukeshi"",IF(REGEXMATCH(AT154,""xoxoooxxoxxo""),""Kameshwari"",IF(REG"&amp;"EXMATCH(AT154,""xoxoxooxoxox""),""Shankara"",IF(REGEXMATCH(AT154,""xxooxoxxxoox""),""Basant"",IF(REGEXMATCH(AT154,""xoxoxxxxoxox""),""Bihag"",IF(REGEXMATCH(AT154,""xoxxxxoxoxxx""),""Pilu"",IF(REGEXMATCH(AT154,""xoxxoxoxxoox""),""Kirwani"",IF(REGEXMATCH(AT"&amp;"154,""xoxxoxoxoxxx""),""Mk.Malhar"",IF(REGEXMATCH(AT154,""xxooxxoxxoox""),""Bhairav"",IF(REGEXMATCH(AT154,""xxoxooxxxoox""),""Todi"",IF(REGEXMATCH(AT154,""xxooxoxooxox""),""Marwa"",IF(REGEXMATCH(AT154,""xxoooxoxxooo""),""Gunkali"",IF(REGEXMATCH(AT154,""xo"&amp;"xoxxoxxoox""),""Nat Bhairav"",IF(REGEXMATCH(AT154,""xoxxoooxoxoo""),""Shivranjani"",IF(REGEXMATCH(AT154,""xooxxxoxooxo""),""Jog"",IF(REGEXMATCH(AT154,""xxooxoxoxoox""),""Hemshri"",IF(REGEXMATCH(AT154,""xoooxooxoxxo""),""Kalavati"",IF(REGEXMATCH(AT154,""xx"&amp;"oxoxxoxoox""),""Kedar"",IF(REGEXMATCH(AT154,""xoxxxxoxooxx""),""Gara"",IF(REGEXMATCH(AT154,""xooxoxooxoox""),""Chandrakauns"",IF(REGEXMATCH(AT154,""xoxxxxoxxxox""),""Mand"",IF(REGEXMATCH(AT154,""xoxxxxoxoxox""),""Hanskinkini"",IF(REGEXMATCH(AT154,""xxooxx"&amp;"oxooxo""),""Lilavati"",IF(REGEXMATCH(AT154,""xooxoxoooxox""),""Rajeshwari"",IF(REGEXMATCH(AT154,""xoooxxoxoxxx""),""Khokar"",IF(REGEXMATCH(AT154,""xxooxoxxxxox""),""Maligoura"",""-""))))))))))))))))))))))))))))))"),"Pilu")</f>
        <v>Pilu</v>
      </c>
      <c r="BG154" s="239" t="str">
        <f t="shared" si="26"/>
        <v>#REF!</v>
      </c>
      <c r="BH154" s="239">
        <f>IFERROR(__xludf.DUMMYFUNCTION("COUNTUNIQUE(FE154:FO154)-1"),8.0)</f>
        <v>8</v>
      </c>
      <c r="BI154" s="239">
        <f>IFERROR(__xludf.DUMMYFUNCTION("COUNTUNIQUE(FILTER(AT:AT,REGEXMATCH(AT:AT,AS154)))-1"),4.0)</f>
        <v>4</v>
      </c>
      <c r="BJ154" s="239">
        <f>IFERROR(__xludf.DUMMYFUNCTION("COUNTA(FILTER(AT:AT,REGEXMATCH(AT:AT,AS154)))"),26.0)</f>
        <v>26</v>
      </c>
      <c r="BK154" s="341">
        <f>IFERROR(__xludf.DUMMYFUNCTION("COUNTA(FILTER(AT:AT,REGEXMATCH(AT:AT,AS154)))-AR154"),26.0)</f>
        <v>26</v>
      </c>
      <c r="BL154" s="276" t="str">
        <f>IFERROR(__xludf.DUMMYFUNCTION("IF(AS154=""oooooooooooo"",""-"",IF(REGEXMATCH(AT154,""xx""), ""Hemi."", ""Anhemi.""))"),"Hemi.")</f>
        <v>Hemi.</v>
      </c>
      <c r="BM154" s="282" t="str">
        <f>IFERROR(__xludf.DUMMYFUNCTION("IF(AS154=""oooooooooooo"",""-"",IF(REGEXMATCH(AT154,""xxx""), ""Cohem."", ""-""))"),"Cohem.")</f>
        <v>Cohem.</v>
      </c>
      <c r="BN154" s="282" t="str">
        <f>IFERROR(__xludf.DUMMYFUNCTION("IF(AS154=""oooooooooooo"",""-"",IF(REGEXMATCH(AT154,""xxxx""), ""Co-Co."", ""-""))"),"Co-Co.")</f>
        <v>Co-Co.</v>
      </c>
      <c r="BO154" s="342" t="str">
        <f>IFERROR(__xludf.DUMMYFUNCTION("IF(AS154=""oooooooooooo"",""-"",IF(REGEXMATCH(AT154,""xxxxx""), ""CCC."", ""-""))"),"-")</f>
        <v>-</v>
      </c>
      <c r="BP154" s="344" t="str">
        <f t="shared" si="27"/>
        <v>-</v>
      </c>
      <c r="BQ154" s="282" t="str">
        <f>IFERROR(__xludf.DUMMYFUNCTION("IF(REGEXMATCH(JOIN(""-"",EU154:FD154),""TRUE""),""✔"",""-"")"),"-")</f>
        <v>-</v>
      </c>
      <c r="BR154" s="225">
        <f t="shared" si="28"/>
        <v>0</v>
      </c>
      <c r="BS154" s="345" t="str">
        <f>IFERROR(__xludf.DUMMYFUNCTION("SUBSTITUTE(SUBSTITUTE(SUBSTITUTE(SUBSTITUTE(CONCATENATE(JOIN(""-"",GC154:GO154)),""--"",""-""),""--"",""-""),""--"",""-""),""--"",""-"")"),"1-2-b3-3-4-5-6-b7-7-8")</f>
        <v>1-2-b3-3-4-5-6-b7-7-8</v>
      </c>
      <c r="BT154" s="299" t="str">
        <f>IFERROR(__xludf.DUMMYFUNCTION("SUBSTITUTE(SUBSTITUTE(SUBSTITUTE(SUBSTITUTE(CONCATENATE(JOIN(""-"",GP154:HB154)),""--"",""-""),""--"",""-""),""--"",""-""),""--"",""-"")"),"S-R2-G2-G3-M1-P-D2-N2-N3-S")</f>
        <v>S-R2-G2-G3-M1-P-D2-N2-N3-S</v>
      </c>
      <c r="BU154" s="348" t="str">
        <f t="shared" si="29"/>
        <v>C-D-Eb-E-F-G-A-Bb-B-C</v>
      </c>
      <c r="BV154" s="349" t="str">
        <f t="shared" si="30"/>
        <v>SrMdS</v>
      </c>
      <c r="BW154" s="350">
        <f t="shared" si="31"/>
        <v>0</v>
      </c>
      <c r="BX154" s="351">
        <f t="shared" si="32"/>
        <v>11</v>
      </c>
      <c r="BY154" s="392"/>
      <c r="BZ154" s="309" t="str">
        <f>IFERROR(__xludf.DUMMYFUNCTION("IF(REGEXMATCH(C154, ""S""), ""x"",""x"")"),"x")</f>
        <v>x</v>
      </c>
      <c r="CA154" s="245" t="str">
        <f>IFERROR(__xludf.DUMMYFUNCTION("IF(REGEXMATCH(C154, ""r""), ""o"",""x"")"),"x")</f>
        <v>x</v>
      </c>
      <c r="CB154" s="246" t="str">
        <f>IFERROR(__xludf.DUMMYFUNCTION("IF(REGEXMATCH(C154, ""R""), ""o"",""x"")"),"o")</f>
        <v>o</v>
      </c>
      <c r="CC154" s="246" t="str">
        <f>IFERROR(__xludf.DUMMYFUNCTION("IF(REGEXMATCH(C154, ""g""), ""o"",""x"")"),"o")</f>
        <v>o</v>
      </c>
      <c r="CD154" s="245" t="str">
        <f>IFERROR(__xludf.DUMMYFUNCTION("IF(REGEXMATCH(C154, ""G""), ""o"",""x"")"),"o")</f>
        <v>o</v>
      </c>
      <c r="CE154" s="245" t="str">
        <f>IFERROR(__xludf.DUMMYFUNCTION("IF(REGEXMATCH(C154, ""m""), ""o"",""x"")"),"o")</f>
        <v>o</v>
      </c>
      <c r="CF154" s="246" t="str">
        <f>IFERROR(__xludf.DUMMYFUNCTION("IF(REGEXMATCH(C154, ""M""), ""o"",""x"")"),"x")</f>
        <v>x</v>
      </c>
      <c r="CG154" s="245" t="str">
        <f>IFERROR(__xludf.DUMMYFUNCTION("IF(REGEXMATCH(C154, ""P""), ""o"",""x"")"),"o")</f>
        <v>o</v>
      </c>
      <c r="CH154" s="246" t="str">
        <f>IFERROR(__xludf.DUMMYFUNCTION("IF(REGEXMATCH(C154, ""d""), ""o"",""x"")"),"x")</f>
        <v>x</v>
      </c>
      <c r="CI154" s="245" t="str">
        <f>IFERROR(__xludf.DUMMYFUNCTION("IF(REGEXMATCH(C154, ""D""), ""o"",""x"")"),"o")</f>
        <v>o</v>
      </c>
      <c r="CJ154" s="245" t="str">
        <f>IFERROR(__xludf.DUMMYFUNCTION("IF(REGEXMATCH(C154, ""n""), ""o"",""x"")"),"o")</f>
        <v>o</v>
      </c>
      <c r="CK154" s="245" t="str">
        <f>IFERROR(__xludf.DUMMYFUNCTION("IF(REGEXMATCH(C154, ""N""), ""o"",""x"")"),"o")</f>
        <v>o</v>
      </c>
      <c r="CL154" s="356" t="str">
        <f>IFERROR(__xludf.DUMMYFUNCTION("IF(REGEXMATCH(C154, ""S""), ""x"",""x"")"),"x")</f>
        <v>x</v>
      </c>
      <c r="CM154" s="357" t="str">
        <f t="shared" si="33"/>
        <v>xxooooxoxooo</v>
      </c>
      <c r="CN154" s="358">
        <f t="shared" si="34"/>
        <v>0</v>
      </c>
      <c r="CO154" s="246" t="str">
        <f>IFERROR(__xludf.DUMMYFUNCTION("IF(REGEXMATCH($C154, ""S""), ""S"",""S"")"),"S")</f>
        <v>S</v>
      </c>
      <c r="CP154" s="246" t="str">
        <f>IFERROR(__xludf.DUMMYFUNCTION("IF(REGEXMATCH($C154, ""r""), """",""r"")"),"r")</f>
        <v>r</v>
      </c>
      <c r="CQ154" s="246" t="str">
        <f>IFERROR(__xludf.DUMMYFUNCTION("IF(REGEXMATCH($C154, ""R""), """",""R"")"),"")</f>
        <v/>
      </c>
      <c r="CR154" s="246" t="str">
        <f>IFERROR(__xludf.DUMMYFUNCTION("IF(REGEXMATCH($C154, ""g""), """",""g"")"),"")</f>
        <v/>
      </c>
      <c r="CS154" s="246" t="str">
        <f>IFERROR(__xludf.DUMMYFUNCTION("IF(REGEXMATCH($C154, ""G""), """",""G"")"),"")</f>
        <v/>
      </c>
      <c r="CT154" s="246" t="str">
        <f>IFERROR(__xludf.DUMMYFUNCTION("IF(REGEXMATCH($C154, ""m""), """",""m"")"),"")</f>
        <v/>
      </c>
      <c r="CU154" s="246" t="str">
        <f>IFERROR(__xludf.DUMMYFUNCTION("IF(REGEXMATCH($C154, ""M""), """",""M"")"),"M")</f>
        <v>M</v>
      </c>
      <c r="CV154" s="246" t="str">
        <f>IFERROR(__xludf.DUMMYFUNCTION("IF(REGEXMATCH($C154, ""P""), """",""P"")"),"")</f>
        <v/>
      </c>
      <c r="CW154" s="246" t="str">
        <f>IFERROR(__xludf.DUMMYFUNCTION("IF(REGEXMATCH($C154, ""d""), """",""d"")"),"d")</f>
        <v>d</v>
      </c>
      <c r="CX154" s="246" t="str">
        <f>IFERROR(__xludf.DUMMYFUNCTION("IF(REGEXMATCH($C154, ""D""), """",""D"")"),"")</f>
        <v/>
      </c>
      <c r="CY154" s="246" t="str">
        <f>IFERROR(__xludf.DUMMYFUNCTION("IF(REGEXMATCH($C154, ""n""), """",""n"")"),"")</f>
        <v/>
      </c>
      <c r="CZ154" s="246" t="str">
        <f>IFERROR(__xludf.DUMMYFUNCTION("IF(REGEXMATCH($C154, ""N""), """",""N"")"),"")</f>
        <v/>
      </c>
      <c r="DA154" s="246" t="str">
        <f>IFERROR(__xludf.DUMMYFUNCTION("IF(REGEXMATCH($C154, ""S""), ""S"",""S"")"),"S")</f>
        <v>S</v>
      </c>
      <c r="DB154" s="362" t="str">
        <f>IFERROR(__xludf.DUMMYFUNCTION("JOIN("""",CO154:DA154,"""","""")"),"SrMdS")</f>
        <v>SrMdS</v>
      </c>
      <c r="DC154" s="363"/>
      <c r="DD154" s="301" t="str">
        <f t="shared" si="35"/>
        <v>#REF!</v>
      </c>
      <c r="DE154" s="302" t="str">
        <f t="shared" si="36"/>
        <v>#REF!</v>
      </c>
      <c r="DF154" s="301" t="str">
        <f t="shared" ref="DF154:DG154" si="516">SUBSTITUTE(S154,"-","")</f>
        <v>SRGM</v>
      </c>
      <c r="DG154" s="301" t="str">
        <f t="shared" si="516"/>
        <v>PDNS</v>
      </c>
      <c r="DH154" s="302" t="str">
        <f t="shared" si="38"/>
        <v>Pilu</v>
      </c>
      <c r="DI154" s="301" t="str">
        <f t="shared" si="39"/>
        <v>Hemi.</v>
      </c>
      <c r="DJ154" s="364" t="str">
        <f t="shared" si="40"/>
        <v>Co-Co.</v>
      </c>
      <c r="DK154" s="306" t="str">
        <f t="shared" si="41"/>
        <v>-</v>
      </c>
      <c r="DL154" s="366" t="str">
        <f t="shared" si="42"/>
        <v>-</v>
      </c>
      <c r="DM154" s="308" t="str">
        <f t="shared" si="43"/>
        <v>✔</v>
      </c>
      <c r="DN154" s="306" t="str">
        <f t="shared" si="44"/>
        <v>-</v>
      </c>
      <c r="DO154" s="306" t="str">
        <f t="shared" si="45"/>
        <v>-</v>
      </c>
      <c r="DP154" s="367" t="str">
        <f t="shared" si="46"/>
        <v>-</v>
      </c>
      <c r="DQ154" s="310" t="str">
        <f t="shared" si="47"/>
        <v>-</v>
      </c>
      <c r="DR154" s="310" t="str">
        <f t="shared" si="48"/>
        <v>✔</v>
      </c>
      <c r="DS154" s="310" t="str">
        <f t="shared" si="49"/>
        <v>-</v>
      </c>
      <c r="DT154" s="310" t="str">
        <f t="shared" si="50"/>
        <v>-</v>
      </c>
      <c r="DU154" s="370" t="str">
        <f t="shared" si="51"/>
        <v>✔</v>
      </c>
      <c r="DV154" s="306" t="str">
        <f t="shared" si="52"/>
        <v>-</v>
      </c>
      <c r="DW154" s="306" t="str">
        <f t="shared" si="53"/>
        <v>-</v>
      </c>
      <c r="DX154" s="306" t="str">
        <f t="shared" si="54"/>
        <v>-</v>
      </c>
      <c r="DY154" s="306" t="str">
        <f t="shared" si="55"/>
        <v>-</v>
      </c>
      <c r="DZ154" s="306" t="str">
        <f t="shared" si="56"/>
        <v>-</v>
      </c>
      <c r="EA154" s="367" t="str">
        <f t="shared" si="57"/>
        <v>-</v>
      </c>
      <c r="EB154" s="310" t="str">
        <f>IFERROR(__xludf.DUMMYFUNCTION("IF(REGEXMATCH(AW154,AS154),""✔"",""-"")"),"✔")</f>
        <v>✔</v>
      </c>
      <c r="EC154" s="310" t="str">
        <f t="shared" si="58"/>
        <v>#REF!</v>
      </c>
      <c r="ED154" s="370" t="str">
        <f t="shared" si="59"/>
        <v>-</v>
      </c>
      <c r="EE154" s="340" t="str">
        <f t="shared" si="60"/>
        <v>S-R-gG-m-P-D-nN-S</v>
      </c>
      <c r="EF154" s="371" t="str">
        <f>IFERROR(__xludf.DUMMYFUNCTION("CONCATENATE(JOIN("""",HC154:HO154))"),"SrRgmPdDnS")</f>
        <v>SrRgmPdDnS</v>
      </c>
      <c r="EG154" s="372">
        <f t="shared" si="61"/>
        <v>1</v>
      </c>
      <c r="EH154" s="373" t="str">
        <f>IFERROR(__xludf.DUMMYFUNCTION("CONCATENATE(JOIN("""",JC154:JO154))"),"Ni, ")</f>
        <v>Ni, </v>
      </c>
      <c r="EI154" s="322">
        <f t="shared" si="62"/>
        <v>0</v>
      </c>
      <c r="EJ154" s="374" t="str">
        <f>IFERROR(__xludf.DUMMYFUNCTION("CONCATENATE(JOIN("""",KC154:KO154))"),"")</f>
        <v/>
      </c>
      <c r="EK154" s="325" t="str">
        <f t="shared" si="63"/>
        <v>S-R2-G2-G3-M1-P-D2-N2-N3-S</v>
      </c>
      <c r="EL154" s="326" t="str">
        <f t="shared" si="64"/>
        <v>1-2-b3-3-4-5-6-b7-7-8</v>
      </c>
      <c r="EM154" s="318" t="str">
        <f t="shared" si="65"/>
        <v>#REF!</v>
      </c>
      <c r="EN154" s="328" t="str">
        <f>IFERROR(__xludf.DUMMYFUNCTION("SUBSTITUTE(SUBSTITUTE(SUBSTITUTE(SUBSTITUTE(CONCATENATE(JOIN("" "",HP154:IB154)),""  "","" ""),""  "","" ""),""  "","" ""),""  "","" "")"),"o • o o o o • o • o o o o")</f>
        <v>o • o o o o • o • o o o o</v>
      </c>
      <c r="EO154" s="368" t="str">
        <f t="shared" si="66"/>
        <v>-</v>
      </c>
      <c r="EP154" s="339" t="str">
        <f t="shared" si="67"/>
        <v>-</v>
      </c>
      <c r="EQ154" s="339" t="str">
        <f t="shared" si="68"/>
        <v>Sa-Pa</v>
      </c>
      <c r="ER154" s="339" t="str">
        <f t="shared" si="69"/>
        <v>-</v>
      </c>
      <c r="ES154" s="340" t="str">
        <f t="shared" si="70"/>
        <v>-</v>
      </c>
      <c r="ET154" s="363"/>
      <c r="EU154" s="376" t="b">
        <f>IFERROR(__xludf.DUMMYFUNCTION("arrayformula(sum(--REGEXMATCH(""SRGMPDNS"",split(REGEXREPLACE(C154,""(.)"",""$1~""),""~""))))=len(C154)
"),FALSE)</f>
        <v>0</v>
      </c>
      <c r="EV154" s="290" t="b">
        <f>IFERROR(__xludf.DUMMYFUNCTION("arrayformula(sum(--REGEXMATCH(""SRGmPDNS"",split(REGEXREPLACE(C154,""(.)"",""$1~""),""~""))))=len(C154)"),FALSE)</f>
        <v>0</v>
      </c>
      <c r="EW154" s="290" t="b">
        <f>IFERROR(__xludf.DUMMYFUNCTION("arrayformula(sum(--REGEXMATCH(""SRGmPDnS"",split(REGEXREPLACE(C154,""(.)"",""$1~""),""~""))))=len(C154)"),FALSE)</f>
        <v>0</v>
      </c>
      <c r="EX154" s="290" t="b">
        <f>IFERROR(__xludf.DUMMYFUNCTION("arrayformula(sum(--REGEXMATCH(""SRgmPDnS"",split(REGEXREPLACE(C154,""(.)"",""$1~""),""~""))))=len(C154)"),FALSE)</f>
        <v>0</v>
      </c>
      <c r="EY154" s="290" t="b">
        <f>IFERROR(__xludf.DUMMYFUNCTION("arrayformula(sum(--REGEXMATCH(""SRgmPdnS"",split(REGEXREPLACE(C154,""(.)"",""$1~""),""~""))))=len(C154)"),FALSE)</f>
        <v>0</v>
      </c>
      <c r="EZ154" s="290" t="b">
        <f>IFERROR(__xludf.DUMMYFUNCTION("arrayformula(sum(--REGEXMATCH(""SrgmPdnS"",split(REGEXREPLACE(C154,""(.)"",""$1~""),""~""))))=len(C154)"),FALSE)</f>
        <v>0</v>
      </c>
      <c r="FA154" s="290" t="b">
        <f>IFERROR(__xludf.DUMMYFUNCTION("arrayformula(sum(--REGEXMATCH(""SrGmPdNS"",split(REGEXREPLACE(C154,""(.)"",""$1~""),""~""))))=len(C154)"),FALSE)</f>
        <v>0</v>
      </c>
      <c r="FB154" s="290" t="b">
        <f>IFERROR(__xludf.DUMMYFUNCTION("arrayformula(sum(--REGEXMATCH(""SrGMPDNS"",split(REGEXREPLACE(C154,""(.)"",""$1~""),""~""))))=len(C154)"),FALSE)</f>
        <v>0</v>
      </c>
      <c r="FC154" s="290" t="b">
        <f>IFERROR(__xludf.DUMMYFUNCTION("arrayformula(sum(--REGEXMATCH(""SrGMPdNS"",split(REGEXREPLACE(C154,""(.)"",""$1~""),""~""))))=len(C154)"),FALSE)</f>
        <v>0</v>
      </c>
      <c r="FD154" s="377" t="b">
        <f>IFERROR(__xludf.DUMMYFUNCTION("arrayformula(sum(--REGEXMATCH(""SrgMPdNS"",split(REGEXREPLACE(C154,""(.)"",""$1~""),""~""))))=len(C154)"),FALSE)</f>
        <v>0</v>
      </c>
      <c r="FE154" s="269" t="str">
        <f t="shared" si="71"/>
        <v>-</v>
      </c>
      <c r="FF154" s="269" t="str">
        <f t="shared" si="72"/>
        <v>xxxxoxoxxxx</v>
      </c>
      <c r="FG154" s="271" t="str">
        <f t="shared" si="73"/>
        <v>xxxoxoxxxxo</v>
      </c>
      <c r="FH154" s="269" t="str">
        <f t="shared" si="74"/>
        <v>xxoxoxxxxox</v>
      </c>
      <c r="FI154" s="271" t="str">
        <f t="shared" si="75"/>
        <v>xoxoxxxxoxx</v>
      </c>
      <c r="FJ154" s="271" t="str">
        <f t="shared" si="76"/>
        <v>-</v>
      </c>
      <c r="FK154" s="271" t="str">
        <f t="shared" si="77"/>
        <v>xoxxxxoxxxx</v>
      </c>
      <c r="FL154" s="271" t="str">
        <f t="shared" si="78"/>
        <v>-</v>
      </c>
      <c r="FM154" s="271" t="str">
        <f t="shared" si="79"/>
        <v>xxxxoxxxxox</v>
      </c>
      <c r="FN154" s="271" t="str">
        <f t="shared" si="80"/>
        <v>xxxoxxxxoxo</v>
      </c>
      <c r="FO154" s="274" t="str">
        <f t="shared" si="81"/>
        <v>xxoxxxxoxox</v>
      </c>
      <c r="FP154" s="234" t="str">
        <f t="shared" si="82"/>
        <v>|</v>
      </c>
      <c r="FQ154" s="236" t="str">
        <f t="shared" si="83"/>
        <v>-</v>
      </c>
      <c r="FR154" s="237" t="str">
        <f t="shared" si="84"/>
        <v>|</v>
      </c>
      <c r="FS154" s="236" t="str">
        <f t="shared" si="85"/>
        <v>|</v>
      </c>
      <c r="FT154" s="237" t="str">
        <f t="shared" si="86"/>
        <v>|</v>
      </c>
      <c r="FU154" s="236" t="str">
        <f t="shared" si="87"/>
        <v>|</v>
      </c>
      <c r="FV154" s="237" t="str">
        <f t="shared" si="88"/>
        <v>-</v>
      </c>
      <c r="FW154" s="236" t="str">
        <f t="shared" si="89"/>
        <v>|</v>
      </c>
      <c r="FX154" s="237" t="str">
        <f t="shared" si="90"/>
        <v>-</v>
      </c>
      <c r="FY154" s="236" t="str">
        <f t="shared" si="91"/>
        <v>|</v>
      </c>
      <c r="FZ154" s="237" t="str">
        <f t="shared" si="92"/>
        <v>|</v>
      </c>
      <c r="GA154" s="236" t="str">
        <f t="shared" si="93"/>
        <v>|</v>
      </c>
      <c r="GB154" s="238" t="str">
        <f t="shared" si="94"/>
        <v>|</v>
      </c>
      <c r="GC154" s="244" t="str">
        <f>IFERROR(__xludf.DUMMYFUNCTION("IF(REGEXMATCH(C154, ""S""), ""1"","""")"),"1")</f>
        <v>1</v>
      </c>
      <c r="GD154" s="245" t="str">
        <f>IFERROR(__xludf.DUMMYFUNCTION("IF(REGEXMATCH(C154, ""r""), ""b2"","""")"),"")</f>
        <v/>
      </c>
      <c r="GE154" s="246" t="str">
        <f>IFERROR(__xludf.DUMMYFUNCTION("IF(REGEXMATCH(C154, ""R""), ""2"","""")"),"2")</f>
        <v>2</v>
      </c>
      <c r="GF154" s="246" t="str">
        <f>IFERROR(__xludf.DUMMYFUNCTION("IF(REGEXMATCH(C154, ""g""), ""b3"","""")"),"b3")</f>
        <v>b3</v>
      </c>
      <c r="GG154" s="245" t="str">
        <f>IFERROR(__xludf.DUMMYFUNCTION("IF(REGEXMATCH(C154, ""G""), ""3"","""")"),"3")</f>
        <v>3</v>
      </c>
      <c r="GH154" s="245" t="str">
        <f>IFERROR(__xludf.DUMMYFUNCTION("IF(REGEXMATCH(C154, ""m""), ""4"","""")"),"4")</f>
        <v>4</v>
      </c>
      <c r="GI154" s="246" t="str">
        <f>IFERROR(__xludf.DUMMYFUNCTION("IF(REGEXMATCH(C154, ""M""), ""#4"","""")"),"")</f>
        <v/>
      </c>
      <c r="GJ154" s="245" t="str">
        <f>IFERROR(__xludf.DUMMYFUNCTION("IF(REGEXMATCH(C154, ""P""), ""5"","""")"),"5")</f>
        <v>5</v>
      </c>
      <c r="GK154" s="246" t="str">
        <f>IFERROR(__xludf.DUMMYFUNCTION("IF(REGEXMATCH(C154, ""d""), ""b6"","""")"),"")</f>
        <v/>
      </c>
      <c r="GL154" s="245" t="str">
        <f>IFERROR(__xludf.DUMMYFUNCTION("IF(REGEXMATCH(C154, ""D""), ""6"","""")"),"6")</f>
        <v>6</v>
      </c>
      <c r="GM154" s="245" t="str">
        <f>IFERROR(__xludf.DUMMYFUNCTION("IF(REGEXMATCH(C154, ""n""), ""b7"","""")"),"b7")</f>
        <v>b7</v>
      </c>
      <c r="GN154" s="246" t="str">
        <f>IFERROR(__xludf.DUMMYFUNCTION("IF(REGEXMATCH(C154, ""N""), ""7"","""")"),"7")</f>
        <v>7</v>
      </c>
      <c r="GO154" s="249" t="str">
        <f>IFERROR(__xludf.DUMMYFUNCTION("IF(REGEXMATCH(C154, ""S""), ""8"","""")"),"8")</f>
        <v>8</v>
      </c>
      <c r="GP154" s="244" t="str">
        <f>IFERROR(__xludf.DUMMYFUNCTION("IF(REGEXMATCH(C154, ""S""), ""S"","""")"),"S")</f>
        <v>S</v>
      </c>
      <c r="GQ154" s="294" t="str">
        <f>IFERROR(__xludf.DUMMYFUNCTION("IF(REGEXMATCH(C154, ""r""), ""R1"","""")"),"")</f>
        <v/>
      </c>
      <c r="GR154" s="295" t="str">
        <f>IFERROR(__xludf.DUMMYFUNCTION("IF(REGEXMATCH(C154, ""R""), ""R2"","""")"),"R2")</f>
        <v>R2</v>
      </c>
      <c r="GS154" s="295" t="str">
        <f>IFERROR(__xludf.DUMMYFUNCTION("IF(REGEXMATCH(C154, ""g""), ""G2"","""")"),"G2")</f>
        <v>G2</v>
      </c>
      <c r="GT154" s="294" t="str">
        <f>IFERROR(__xludf.DUMMYFUNCTION("IF(REGEXMATCH(C154, ""G""), ""G3"","""")"),"G3")</f>
        <v>G3</v>
      </c>
      <c r="GU154" s="294" t="str">
        <f>IFERROR(__xludf.DUMMYFUNCTION("IF(REGEXMATCH(C154, ""m""), ""M1"","""")"),"M1")</f>
        <v>M1</v>
      </c>
      <c r="GV154" s="295" t="str">
        <f>IFERROR(__xludf.DUMMYFUNCTION("IF(REGEXMATCH(C154, ""M""), ""M2"","""")"),"")</f>
        <v/>
      </c>
      <c r="GW154" s="294" t="str">
        <f>IFERROR(__xludf.DUMMYFUNCTION("IF(REGEXMATCH(C154, ""P""), ""P"","""")"),"P")</f>
        <v>P</v>
      </c>
      <c r="GX154" s="295" t="str">
        <f>IFERROR(__xludf.DUMMYFUNCTION("IF(REGEXMATCH(C154, ""d""), ""D1"","""")"),"")</f>
        <v/>
      </c>
      <c r="GY154" s="294" t="str">
        <f>IFERROR(__xludf.DUMMYFUNCTION("IF(REGEXMATCH(C154, ""D""), ""D2"","""")"),"D2")</f>
        <v>D2</v>
      </c>
      <c r="GZ154" s="294" t="str">
        <f>IFERROR(__xludf.DUMMYFUNCTION("IF(REGEXMATCH(C154, ""n""), ""N2"","""")"),"N2")</f>
        <v>N2</v>
      </c>
      <c r="HA154" s="295" t="str">
        <f>IFERROR(__xludf.DUMMYFUNCTION("IF(REGEXMATCH(C154, ""N""), ""N3"","""")"),"N3")</f>
        <v>N3</v>
      </c>
      <c r="HB154" s="249" t="str">
        <f>IFERROR(__xludf.DUMMYFUNCTION("IF(REGEXMATCH(C154, ""S""), ""S"","""")"),"S")</f>
        <v>S</v>
      </c>
      <c r="HC154" s="331" t="str">
        <f t="shared" si="95"/>
        <v>S</v>
      </c>
      <c r="HD154" s="332" t="str">
        <f t="shared" si="96"/>
        <v>r</v>
      </c>
      <c r="HE154" s="332" t="str">
        <f t="shared" si="97"/>
        <v>R</v>
      </c>
      <c r="HF154" s="332" t="str">
        <f t="shared" si="98"/>
        <v>g</v>
      </c>
      <c r="HG154" s="332" t="str">
        <f t="shared" si="99"/>
        <v/>
      </c>
      <c r="HH154" s="332" t="str">
        <f t="shared" si="100"/>
        <v>m</v>
      </c>
      <c r="HI154" s="332" t="str">
        <f t="shared" si="101"/>
        <v/>
      </c>
      <c r="HJ154" s="332" t="str">
        <f t="shared" si="102"/>
        <v>P</v>
      </c>
      <c r="HK154" s="332" t="str">
        <f t="shared" si="103"/>
        <v>d</v>
      </c>
      <c r="HL154" s="332" t="str">
        <f t="shared" si="104"/>
        <v>D</v>
      </c>
      <c r="HM154" s="332" t="str">
        <f t="shared" si="105"/>
        <v>n</v>
      </c>
      <c r="HN154" s="332" t="str">
        <f t="shared" si="106"/>
        <v/>
      </c>
      <c r="HO154" s="343" t="str">
        <f t="shared" si="107"/>
        <v>S</v>
      </c>
      <c r="HP154" s="331" t="str">
        <f t="shared" si="108"/>
        <v>o</v>
      </c>
      <c r="HQ154" s="332" t="str">
        <f t="shared" si="109"/>
        <v>•</v>
      </c>
      <c r="HR154" s="332" t="str">
        <f t="shared" si="110"/>
        <v>o</v>
      </c>
      <c r="HS154" s="332" t="str">
        <f t="shared" si="111"/>
        <v>o</v>
      </c>
      <c r="HT154" s="332" t="str">
        <f t="shared" si="112"/>
        <v>o</v>
      </c>
      <c r="HU154" s="332" t="str">
        <f t="shared" si="113"/>
        <v>o</v>
      </c>
      <c r="HV154" s="332" t="str">
        <f t="shared" si="114"/>
        <v>•</v>
      </c>
      <c r="HW154" s="332" t="str">
        <f t="shared" si="115"/>
        <v>o</v>
      </c>
      <c r="HX154" s="332" t="str">
        <f t="shared" si="116"/>
        <v>•</v>
      </c>
      <c r="HY154" s="332" t="str">
        <f t="shared" si="117"/>
        <v>o</v>
      </c>
      <c r="HZ154" s="332" t="str">
        <f t="shared" si="118"/>
        <v>o</v>
      </c>
      <c r="IA154" s="332" t="str">
        <f t="shared" si="119"/>
        <v>o</v>
      </c>
      <c r="IB154" s="338" t="str">
        <f t="shared" si="120"/>
        <v>o</v>
      </c>
      <c r="IC154" s="331" t="str">
        <f t="shared" si="121"/>
        <v>•</v>
      </c>
      <c r="ID154" s="332" t="str">
        <f t="shared" si="122"/>
        <v>o</v>
      </c>
      <c r="IE154" s="332" t="str">
        <f t="shared" si="123"/>
        <v>•</v>
      </c>
      <c r="IF154" s="332" t="str">
        <f t="shared" si="124"/>
        <v>•</v>
      </c>
      <c r="IG154" s="332" t="str">
        <f t="shared" si="125"/>
        <v>•</v>
      </c>
      <c r="IH154" s="332" t="str">
        <f t="shared" si="126"/>
        <v>•</v>
      </c>
      <c r="II154" s="332" t="str">
        <f t="shared" si="127"/>
        <v>o</v>
      </c>
      <c r="IJ154" s="332" t="str">
        <f t="shared" si="128"/>
        <v>•</v>
      </c>
      <c r="IK154" s="332" t="str">
        <f t="shared" si="129"/>
        <v>o</v>
      </c>
      <c r="IL154" s="332" t="str">
        <f t="shared" si="130"/>
        <v>•</v>
      </c>
      <c r="IM154" s="332" t="str">
        <f t="shared" si="131"/>
        <v>•</v>
      </c>
      <c r="IN154" s="332" t="str">
        <f t="shared" si="132"/>
        <v>•</v>
      </c>
      <c r="IO154" s="338" t="str">
        <f t="shared" si="133"/>
        <v>•</v>
      </c>
      <c r="IP154" s="346" t="b">
        <f t="shared" si="134"/>
        <v>0</v>
      </c>
      <c r="IQ154" s="347" t="b">
        <f t="shared" si="135"/>
        <v>0</v>
      </c>
      <c r="IR154" s="347" t="b">
        <f t="shared" si="136"/>
        <v>0</v>
      </c>
      <c r="IS154" s="347" t="b">
        <f t="shared" si="137"/>
        <v>0</v>
      </c>
      <c r="IT154" s="347" t="b">
        <f t="shared" si="138"/>
        <v>0</v>
      </c>
      <c r="IU154" s="347" t="b">
        <f t="shared" si="139"/>
        <v>0</v>
      </c>
      <c r="IV154" s="347" t="b">
        <f t="shared" si="140"/>
        <v>0</v>
      </c>
      <c r="IW154" s="347" t="b">
        <f t="shared" si="141"/>
        <v>0</v>
      </c>
      <c r="IX154" s="347" t="b">
        <f t="shared" si="142"/>
        <v>0</v>
      </c>
      <c r="IY154" s="347" t="b">
        <f t="shared" si="143"/>
        <v>0</v>
      </c>
      <c r="IZ154" s="347" t="b">
        <f t="shared" si="144"/>
        <v>0</v>
      </c>
      <c r="JA154" s="347" t="b">
        <f t="shared" si="145"/>
        <v>1</v>
      </c>
      <c r="JB154" s="353" t="b">
        <f t="shared" si="146"/>
        <v>0</v>
      </c>
      <c r="JC154" s="354" t="str">
        <f t="shared" si="147"/>
        <v/>
      </c>
      <c r="JD154" s="355" t="str">
        <f t="shared" si="148"/>
        <v/>
      </c>
      <c r="JE154" s="355" t="str">
        <f t="shared" si="149"/>
        <v/>
      </c>
      <c r="JF154" s="355" t="str">
        <f t="shared" si="150"/>
        <v/>
      </c>
      <c r="JG154" s="355" t="str">
        <f t="shared" si="151"/>
        <v/>
      </c>
      <c r="JH154" s="355" t="str">
        <f t="shared" si="152"/>
        <v/>
      </c>
      <c r="JI154" s="355" t="str">
        <f t="shared" si="153"/>
        <v/>
      </c>
      <c r="JJ154" s="355" t="str">
        <f t="shared" si="154"/>
        <v/>
      </c>
      <c r="JK154" s="355" t="str">
        <f t="shared" si="155"/>
        <v/>
      </c>
      <c r="JL154" s="355" t="str">
        <f t="shared" si="156"/>
        <v/>
      </c>
      <c r="JM154" s="355" t="str">
        <f t="shared" si="157"/>
        <v/>
      </c>
      <c r="JN154" s="355" t="str">
        <f t="shared" si="158"/>
        <v>Ni, </v>
      </c>
      <c r="JO154" s="359" t="str">
        <f t="shared" si="159"/>
        <v/>
      </c>
      <c r="JP154" s="346" t="b">
        <f t="shared" si="160"/>
        <v>0</v>
      </c>
      <c r="JQ154" s="347" t="b">
        <f t="shared" si="161"/>
        <v>0</v>
      </c>
      <c r="JR154" s="347" t="b">
        <f t="shared" si="162"/>
        <v>0</v>
      </c>
      <c r="JS154" s="347" t="b">
        <f t="shared" si="163"/>
        <v>0</v>
      </c>
      <c r="JT154" s="347" t="b">
        <f t="shared" si="164"/>
        <v>0</v>
      </c>
      <c r="JU154" s="347" t="b">
        <f t="shared" si="165"/>
        <v>0</v>
      </c>
      <c r="JV154" s="347" t="b">
        <f t="shared" si="166"/>
        <v>0</v>
      </c>
      <c r="JW154" s="347" t="b">
        <f t="shared" si="167"/>
        <v>0</v>
      </c>
      <c r="JX154" s="347" t="b">
        <f t="shared" si="168"/>
        <v>0</v>
      </c>
      <c r="JY154" s="347" t="b">
        <f t="shared" si="169"/>
        <v>0</v>
      </c>
      <c r="JZ154" s="347" t="b">
        <f t="shared" si="170"/>
        <v>0</v>
      </c>
      <c r="KA154" s="347" t="b">
        <f t="shared" si="171"/>
        <v>0</v>
      </c>
      <c r="KB154" s="365" t="b">
        <f t="shared" si="172"/>
        <v>0</v>
      </c>
      <c r="KC154" s="354" t="str">
        <f t="shared" si="173"/>
        <v/>
      </c>
      <c r="KD154" s="355" t="str">
        <f t="shared" si="174"/>
        <v/>
      </c>
      <c r="KE154" s="355" t="str">
        <f t="shared" si="175"/>
        <v/>
      </c>
      <c r="KF154" s="355" t="str">
        <f t="shared" si="176"/>
        <v/>
      </c>
      <c r="KG154" s="355" t="str">
        <f t="shared" si="177"/>
        <v/>
      </c>
      <c r="KH154" s="355" t="str">
        <f t="shared" si="178"/>
        <v/>
      </c>
      <c r="KI154" s="355" t="str">
        <f t="shared" si="179"/>
        <v/>
      </c>
      <c r="KJ154" s="355" t="str">
        <f t="shared" si="180"/>
        <v/>
      </c>
      <c r="KK154" s="355" t="str">
        <f t="shared" si="181"/>
        <v/>
      </c>
      <c r="KL154" s="355" t="str">
        <f t="shared" si="182"/>
        <v/>
      </c>
      <c r="KM154" s="355" t="str">
        <f t="shared" si="183"/>
        <v/>
      </c>
      <c r="KN154" s="355" t="str">
        <f t="shared" si="184"/>
        <v/>
      </c>
      <c r="KO154" s="359"/>
      <c r="KP154" s="378"/>
      <c r="KQ154" s="379" t="s">
        <v>9</v>
      </c>
      <c r="KR154" s="380" t="s">
        <v>9</v>
      </c>
      <c r="KS154" s="381" t="s">
        <v>9</v>
      </c>
      <c r="KT154" s="382">
        <f t="shared" si="186"/>
        <v>0</v>
      </c>
      <c r="KU154" s="383">
        <f t="shared" si="187"/>
        <v>0</v>
      </c>
      <c r="KV154" s="381" t="str">
        <f t="shared" si="205"/>
        <v>S</v>
      </c>
      <c r="KW154" s="382">
        <f t="shared" si="189"/>
        <v>0</v>
      </c>
      <c r="KX154" s="384">
        <f t="shared" si="190"/>
        <v>0</v>
      </c>
      <c r="KY154" s="382">
        <f t="shared" ref="KY154:KZ154" si="517">KW154-KT154</f>
        <v>0</v>
      </c>
      <c r="KZ154" s="369">
        <f t="shared" si="517"/>
        <v>0</v>
      </c>
      <c r="LA154" s="385" t="str">
        <f t="shared" si="192"/>
        <v>✔</v>
      </c>
      <c r="LB154" s="340" t="str">
        <f>IFERROR(__xludf.DUMMYFUNCTION("JOIN("""",ArrayFormula(MID(KS154,LEN(KS154)-SEQUENCE(1,LEN(KS154))+1,1)))"),"S")</f>
        <v>S</v>
      </c>
      <c r="LC154" s="373" t="str">
        <f>IFERROR(__xludf.DUMMYFUNCTION("JOIN("""",ArrayFormula(MID(KV154,LEN(KV154)-SEQUENCE(1,LEN(KV154))+1,1)))"),"S")</f>
        <v>S</v>
      </c>
      <c r="LD154" s="373" t="str">
        <f t="shared" si="193"/>
        <v>S</v>
      </c>
      <c r="LE154" s="339" t="str">
        <f t="shared" si="194"/>
        <v>S</v>
      </c>
      <c r="LF154" s="386" t="str">
        <f>IFERROR(__xludf.DUMMYFUNCTION("SUBSTITUTE(SUBSTITUTE(CONCATENATE(JOIN("""",LH154:LT154)),""1"",""""),""2"","""")"),"SS")</f>
        <v>SS</v>
      </c>
      <c r="LG154" s="369" t="str">
        <f t="shared" si="195"/>
        <v>-</v>
      </c>
      <c r="LH154" s="387" t="str">
        <f>IFERROR(__xludf.DUMMYFUNCTION("IF(REGEXMATCH(LD154, ""S""), ""S"",IF(REGEXMATCH(LE154, ""S""), ""S"",""""))"),"S")</f>
        <v>S</v>
      </c>
      <c r="LI154" s="299" t="str">
        <f>IFERROR(__xludf.DUMMYFUNCTION("IF(REGEXMATCH(LD154, ""r""), ""r1"",IF(REGEXMATCH(LE154, ""r""), ""r2"",""""))"),"")</f>
        <v/>
      </c>
      <c r="LJ154" s="299" t="str">
        <f>IFERROR(__xludf.DUMMYFUNCTION("IF(REGEXMATCH(LD154, ""R""), ""R1"",IF(REGEXMATCH(LE154, ""R""), ""R2"",""""))"),"")</f>
        <v/>
      </c>
      <c r="LK154" s="299" t="str">
        <f>IFERROR(__xludf.DUMMYFUNCTION("IF(REGEXMATCH(LD154, ""g""), ""g1"",IF(REGEXMATCH(LE154, ""g""), ""g2"",""""))"),"")</f>
        <v/>
      </c>
      <c r="LL154" s="299" t="str">
        <f>IFERROR(__xludf.DUMMYFUNCTION("IF(REGEXMATCH(LD154, ""G""), ""G1"",IF(REGEXMATCH(LE154, ""G""), ""G2"",""""))"),"")</f>
        <v/>
      </c>
      <c r="LM154" s="299" t="str">
        <f>IFERROR(__xludf.DUMMYFUNCTION("IF(REGEXMATCH(LD154, ""m""), ""m1"",IF(REGEXMATCH(LE154, ""m""), ""m2"",""""))"),"")</f>
        <v/>
      </c>
      <c r="LN154" s="299" t="str">
        <f>IFERROR(__xludf.DUMMYFUNCTION("IF(REGEXMATCH(LD154, ""M""), ""M1"",IF(REGEXMATCH(LE154, ""M""), ""M2"",""""))"),"")</f>
        <v/>
      </c>
      <c r="LO154" s="299" t="str">
        <f>IFERROR(__xludf.DUMMYFUNCTION("IF(REGEXMATCH(LD154, ""P""), ""P1"",IF(REGEXMATCH(LE154, ""P""), ""P2"",""""))"),"")</f>
        <v/>
      </c>
      <c r="LP154" s="299" t="str">
        <f>IFERROR(__xludf.DUMMYFUNCTION("IF(REGEXMATCH(LD154, ""d""), ""d1"",IF(REGEXMATCH(LE154, ""d""), ""d2"",""""))"),"")</f>
        <v/>
      </c>
      <c r="LQ154" s="299" t="str">
        <f>IFERROR(__xludf.DUMMYFUNCTION("IF(REGEXMATCH(LD154, ""D""), ""D1"",IF(REGEXMATCH(LE154, ""D""), ""D2"",""""))"),"")</f>
        <v/>
      </c>
      <c r="LR154" s="299" t="str">
        <f>IFERROR(__xludf.DUMMYFUNCTION("IF(REGEXMATCH(LD154, ""n""), ""n1"",IF(REGEXMATCH(LE154, ""n""), ""n2"",""""))"),"")</f>
        <v/>
      </c>
      <c r="LS154" s="299" t="str">
        <f>IFERROR(__xludf.DUMMYFUNCTION("IF(REGEXMATCH(LD154, ""N""), ""N1"",IF(REGEXMATCH(LE154, ""N""), ""N2"",""""))"),"")</f>
        <v/>
      </c>
      <c r="LT154" s="388" t="str">
        <f>IFERROR(__xludf.DUMMYFUNCTION("IF(REGEXMATCH(LD154, ""S""), ""S"",IF(REGEXMATCH(LE154, ""S""), ""S"",""""))"),"S")</f>
        <v>S</v>
      </c>
      <c r="LU154" s="389">
        <f t="shared" si="196"/>
        <v>1</v>
      </c>
      <c r="LV154" s="378"/>
      <c r="LW154" s="369"/>
      <c r="LX154" s="369"/>
    </row>
    <row r="155" ht="18.0" customHeight="1">
      <c r="A155" s="298" t="s">
        <v>834</v>
      </c>
      <c r="B155" s="222" t="s">
        <v>738</v>
      </c>
      <c r="C155" s="233" t="str">
        <f t="shared" si="7"/>
        <v>SRGmPDnS</v>
      </c>
      <c r="D155" s="234" t="str">
        <f>IFERROR(__xludf.DUMMYFUNCTION("IF(REGEXMATCH(C155, ""S""), ""S"","""")"),"S")</f>
        <v>S</v>
      </c>
      <c r="E155" s="236" t="str">
        <f>IFERROR(__xludf.DUMMYFUNCTION("IF(REGEXMATCH(C155, ""r""), ""r"","""")"),"")</f>
        <v/>
      </c>
      <c r="F155" s="237" t="str">
        <f>IFERROR(__xludf.DUMMYFUNCTION("IF(REGEXMATCH(C155, ""R""), ""R"","""")"),"R")</f>
        <v>R</v>
      </c>
      <c r="G155" s="237" t="str">
        <f>IFERROR(__xludf.DUMMYFUNCTION("IF(REGEXMATCH(C155, ""g""), ""g"","""")"),"")</f>
        <v/>
      </c>
      <c r="H155" s="236" t="str">
        <f>IFERROR(__xludf.DUMMYFUNCTION("IF(REGEXMATCH(C155, ""G""), ""G"","""")"),"G")</f>
        <v>G</v>
      </c>
      <c r="I155" s="236" t="str">
        <f>IFERROR(__xludf.DUMMYFUNCTION("IF(REGEXMATCH(C155, ""m""), ""m"","""")"),"m")</f>
        <v>m</v>
      </c>
      <c r="J155" s="237" t="str">
        <f>IFERROR(__xludf.DUMMYFUNCTION("IF(REGEXMATCH(C155, ""M""), ""M"","""")"),"")</f>
        <v/>
      </c>
      <c r="K155" s="236" t="str">
        <f>IFERROR(__xludf.DUMMYFUNCTION("IF(REGEXMATCH(C155, ""P""), ""P"","""")"),"P")</f>
        <v>P</v>
      </c>
      <c r="L155" s="237" t="str">
        <f>IFERROR(__xludf.DUMMYFUNCTION("IF(REGEXMATCH(C155, ""d""), ""d"","""")"),"")</f>
        <v/>
      </c>
      <c r="M155" s="236" t="str">
        <f>IFERROR(__xludf.DUMMYFUNCTION("IF(REGEXMATCH(C155, ""D""), ""D"","""")"),"D")</f>
        <v>D</v>
      </c>
      <c r="N155" s="236" t="str">
        <f>IFERROR(__xludf.DUMMYFUNCTION("IF(REGEXMATCH(C155, ""n""), ""n"","""")"),"n")</f>
        <v>n</v>
      </c>
      <c r="O155" s="237" t="str">
        <f>IFERROR(__xludf.DUMMYFUNCTION("IF(REGEXMATCH(C155, ""N""), ""N"","""")"),"")</f>
        <v/>
      </c>
      <c r="P155" s="238" t="str">
        <f>IFERROR(__xludf.DUMMYFUNCTION("IF(REGEXMATCH(C155, ""S""), ""S"","""")"),"S")</f>
        <v>S</v>
      </c>
      <c r="Q155" s="239" t="str">
        <f>IFERROR(__xludf.DUMMYFUNCTION("SUBSTITUTE(CONCATENATE(JOIN(""-"",D155:J155)),""-"","""")"),"SRGm")</f>
        <v>SRGm</v>
      </c>
      <c r="R155" s="229" t="str">
        <f>IFERROR(__xludf.DUMMYFUNCTION("SUBSTITUTE(CONCATENATE(JOIN(""-"",K155:P155)),""-"","""")"),"PDnS")</f>
        <v>PDnS</v>
      </c>
      <c r="S155" s="282" t="str">
        <f t="shared" si="8"/>
        <v>S-R-G-M</v>
      </c>
      <c r="T155" s="282" t="str">
        <f t="shared" si="9"/>
        <v>P-D-N-S</v>
      </c>
      <c r="U155" s="237" t="str">
        <f>IFERROR(__xludf.DUMMYFUNCTION("SUBSTITUTE(JOIN(""-"",S155,T155),""--"",""-"")"),"S-R-G-M-P-D-N-S")</f>
        <v>S-R-G-M-P-D-N-S</v>
      </c>
      <c r="V155" s="309" t="str">
        <f t="shared" si="10"/>
        <v>RGmDn</v>
      </c>
      <c r="W155" s="244" t="str">
        <f>IFERROR(__xludf.DUMMYFUNCTION("IF(REGEXMATCH(C155, ""S""), ""0"","""")"),"0")</f>
        <v>0</v>
      </c>
      <c r="X155" s="245" t="str">
        <f>IFERROR(__xludf.DUMMYFUNCTION("IF(REGEXMATCH(C155, ""r""), ""1"","""")"),"")</f>
        <v/>
      </c>
      <c r="Y155" s="246" t="str">
        <f>IFERROR(__xludf.DUMMYFUNCTION("IF(REGEXMATCH(C155, ""R""), ""2"","""")"),"2")</f>
        <v>2</v>
      </c>
      <c r="Z155" s="246" t="str">
        <f>IFERROR(__xludf.DUMMYFUNCTION("IF(REGEXMATCH(C155, ""g""), ""3"","""")"),"")</f>
        <v/>
      </c>
      <c r="AA155" s="245" t="str">
        <f>IFERROR(__xludf.DUMMYFUNCTION("IF(REGEXMATCH(C155, ""G""), ""4"","""")"),"4")</f>
        <v>4</v>
      </c>
      <c r="AB155" s="245" t="str">
        <f>IFERROR(__xludf.DUMMYFUNCTION("IF(REGEXMATCH(C155, ""m""), ""5"","""")"),"5")</f>
        <v>5</v>
      </c>
      <c r="AC155" s="246" t="str">
        <f>IFERROR(__xludf.DUMMYFUNCTION("IF(REGEXMATCH(C155, ""M""), ""6"","""")"),"")</f>
        <v/>
      </c>
      <c r="AD155" s="245" t="str">
        <f>IFERROR(__xludf.DUMMYFUNCTION("IF(REGEXMATCH(C155, ""P""), ""7"","""")"),"7")</f>
        <v>7</v>
      </c>
      <c r="AE155" s="246" t="str">
        <f>IFERROR(__xludf.DUMMYFUNCTION("IF(REGEXMATCH(C155, ""d""), ""8"","""")"),"")</f>
        <v/>
      </c>
      <c r="AF155" s="245" t="str">
        <f>IFERROR(__xludf.DUMMYFUNCTION("IF(REGEXMATCH(C155, ""D""), ""9"","""")"),"9")</f>
        <v>9</v>
      </c>
      <c r="AG155" s="245" t="str">
        <f>IFERROR(__xludf.DUMMYFUNCTION("IF(REGEXMATCH(C155, ""n""), ""10"","""")"),"10")</f>
        <v>10</v>
      </c>
      <c r="AH155" s="246" t="str">
        <f>IFERROR(__xludf.DUMMYFUNCTION("IF(REGEXMATCH(C155, ""N""), ""11"","""")"),"")</f>
        <v/>
      </c>
      <c r="AI155" s="249" t="str">
        <f>IFERROR(__xludf.DUMMYFUNCTION("IF(REGEXMATCH(C155, ""S""), ""0"","""")"),"0")</f>
        <v>0</v>
      </c>
      <c r="AJ155" s="313" t="str">
        <f t="shared" si="11"/>
        <v>-</v>
      </c>
      <c r="AK155" s="313" t="str">
        <f t="shared" si="12"/>
        <v>-</v>
      </c>
      <c r="AL155" s="313" t="str">
        <f t="shared" si="13"/>
        <v>-</v>
      </c>
      <c r="AM155" s="313" t="str">
        <f t="shared" si="14"/>
        <v>-</v>
      </c>
      <c r="AN155" s="313" t="str">
        <f t="shared" si="15"/>
        <v>T</v>
      </c>
      <c r="AO155" s="314" t="str">
        <f t="shared" si="16"/>
        <v>-</v>
      </c>
      <c r="AP155" s="316">
        <f t="shared" si="17"/>
        <v>1</v>
      </c>
      <c r="AQ155" s="319" t="str">
        <f t="shared" si="18"/>
        <v>-</v>
      </c>
      <c r="AR155" s="320">
        <f t="shared" si="19"/>
        <v>0</v>
      </c>
      <c r="AS155" s="250" t="str">
        <f>IFERROR(__xludf.DUMMYFUNCTION("SUBSTITUTE(SUBSTITUTE(CONCATENATE(JOIN("""",FP155:GA155)),""|"",""x""),""-"",""o"")"),"xoxoxxoxoxxo")</f>
        <v>xoxoxxoxoxxo</v>
      </c>
      <c r="AT155" s="323" t="str">
        <f>IFERROR(__xludf.DUMMYFUNCTION("JOIN("""",AS155,AS155)"),"xoxoxxoxoxxoxoxoxxoxoxxo")</f>
        <v>xoxoxxoxoxxoxoxoxxoxoxxo</v>
      </c>
      <c r="AU155" s="256" t="str">
        <f>IFERROR(__xludf.DUMMYFUNCTION("JOIN("""",ArrayFormula(MID(AS155,LEN(AS155)-SEQUENCE(1,LEN(AS155))+1,1)))"),"oxxoxoxxoxox")</f>
        <v>oxxoxoxxoxox</v>
      </c>
      <c r="AV155" s="256" t="str">
        <f>IFERROR(__xludf.DUMMYFUNCTION("LEFT(CONCATENATE(""x"",JOIN("""",ArrayFormula(MID(AS155,LEN(AS155)-SEQUENCE(1,LEN(AS155))+1,1)))),12)"),"xoxxoxoxxoxo")</f>
        <v>xoxxoxoxxoxo</v>
      </c>
      <c r="AW155" s="327" t="str">
        <f>IFERROR(__xludf.DUMMYFUNCTION("JOIN("""",AU155,AU155)"),"oxxoxoxxoxoxoxxoxoxxoxox")</f>
        <v>oxxoxoxxoxoxoxxoxoxxoxox</v>
      </c>
      <c r="AX155" s="239" t="str">
        <f>IFERROR(__xludf.DUMMYFUNCTION("IF(REGEXMATCH(AW155,AS155),""✔"",""-"")"),"✔")</f>
        <v>✔</v>
      </c>
      <c r="AY155" s="330" t="str">
        <f t="shared" si="20"/>
        <v>-</v>
      </c>
      <c r="AZ155" s="260" t="str">
        <f t="shared" si="21"/>
        <v>#REF!</v>
      </c>
      <c r="BA155" s="333" t="str">
        <f t="shared" si="22"/>
        <v>xoxoxxo</v>
      </c>
      <c r="BB155" s="334" t="str">
        <f t="shared" si="23"/>
        <v>xoxxox</v>
      </c>
      <c r="BC155" s="335" t="str">
        <f t="shared" si="236"/>
        <v>-</v>
      </c>
      <c r="BD155" s="336" t="str">
        <f t="shared" si="25"/>
        <v>Jhinjhoti: 'xoxoxxo' + 'xoxxox'</v>
      </c>
      <c r="BE155" s="337">
        <f>IFERROR(__xludf.DUMMYFUNCTION("COUNTUNIQUE(FILTER(AT:AT,REGEXMATCH(AT:AT,AS155)))-1"),6.0)</f>
        <v>6</v>
      </c>
      <c r="BF155" s="261" t="str">
        <f>IFERROR(__xludf.DUMMYFUNCTION("IF(BI155=0,""(n/a)"",IF(BJ155=2,""(PAIR)"",IF(REGEXMATCH(AT155,""xoxoxxoxoxox""),""Bilawal"",IF(REGEXMATCH(AT155,""xoxoxooxoxoo""),""Bhupali"",IF(REGEXMATCH(AT155,""xoxoxxoxxoxo""),""Charukeshi"",IF(REGEXMATCH(AT155,""xoxoooxxoxxo""),""Kameshwari"",IF(REG"&amp;"EXMATCH(AT155,""xoxoxooxoxox""),""Shankara"",IF(REGEXMATCH(AT155,""xxooxoxxxoox""),""Basant"",IF(REGEXMATCH(AT155,""xoxoxxxxoxox""),""Bihag"",IF(REGEXMATCH(AT155,""xoxxxxoxoxxx""),""Pilu"",IF(REGEXMATCH(AT155,""xoxxoxoxxoox""),""Kirwani"",IF(REGEXMATCH(AT"&amp;"155,""xoxxoxoxoxxx""),""Mk.Malhar"",IF(REGEXMATCH(AT155,""xxooxxoxxoox""),""Bhairav"",IF(REGEXMATCH(AT155,""xxoxooxxxoox""),""Todi"",IF(REGEXMATCH(AT155,""xxooxoxooxox""),""Marwa"",IF(REGEXMATCH(AT155,""xxoooxoxxooo""),""Gunkali"",IF(REGEXMATCH(AT155,""xo"&amp;"xoxxoxxoox""),""Nat Bhairav"",IF(REGEXMATCH(AT155,""xoxxoooxoxoo""),""Shivranjani"",IF(REGEXMATCH(AT155,""xooxxxoxooxo""),""Jog"",IF(REGEXMATCH(AT155,""xxooxoxoxoox""),""Hemshri"",IF(REGEXMATCH(AT155,""xoooxooxoxxo""),""Kalavati"",IF(REGEXMATCH(AT155,""xx"&amp;"oxoxxoxoox""),""Kedar"",IF(REGEXMATCH(AT155,""xoxxxxoxooxx""),""Gara"",IF(REGEXMATCH(AT155,""xooxoxooxoox""),""Chandrakauns"",IF(REGEXMATCH(AT155,""xoxxxxoxxxox""),""Mand"",IF(REGEXMATCH(AT155,""xoxxxxoxoxox""),""Hanskinkini"",IF(REGEXMATCH(AT155,""xxooxx"&amp;"oxooxo""),""Lilavati"",IF(REGEXMATCH(AT155,""xooxoxoooxox""),""Rajeshwari"",IF(REGEXMATCH(AT155,""xoooxxoxoxxx""),""Khokar"",IF(REGEXMATCH(AT155,""xxooxoxxxxox""),""Maligoura"",""-""))))))))))))))))))))))))))))))"),"Bilawal")</f>
        <v>Bilawal</v>
      </c>
      <c r="BG155" s="239" t="str">
        <f t="shared" si="26"/>
        <v>#REF!</v>
      </c>
      <c r="BH155" s="239">
        <f>IFERROR(__xludf.DUMMYFUNCTION("COUNTUNIQUE(FE155:FO155)-1"),6.0)</f>
        <v>6</v>
      </c>
      <c r="BI155" s="239">
        <f>IFERROR(__xludf.DUMMYFUNCTION("COUNTUNIQUE(FILTER(AT:AT,REGEXMATCH(AT:AT,AS155)))-1"),6.0)</f>
        <v>6</v>
      </c>
      <c r="BJ155" s="239">
        <f>IFERROR(__xludf.DUMMYFUNCTION("COUNTA(FILTER(AT:AT,REGEXMATCH(AT:AT,AS155)))"),48.0)</f>
        <v>48</v>
      </c>
      <c r="BK155" s="341">
        <f>IFERROR(__xludf.DUMMYFUNCTION("COUNTA(FILTER(AT:AT,REGEXMATCH(AT:AT,AS155)))-AR155"),48.0)</f>
        <v>48</v>
      </c>
      <c r="BL155" s="276" t="str">
        <f>IFERROR(__xludf.DUMMYFUNCTION("IF(AS155=""oooooooooooo"",""-"",IF(REGEXMATCH(AT155,""xx""), ""Hemi."", ""Anhemi.""))"),"Hemi.")</f>
        <v>Hemi.</v>
      </c>
      <c r="BM155" s="282" t="str">
        <f>IFERROR(__xludf.DUMMYFUNCTION("IF(AS155=""oooooooooooo"",""-"",IF(REGEXMATCH(AT155,""xxx""), ""Cohem."", ""-""))"),"-")</f>
        <v>-</v>
      </c>
      <c r="BN155" s="282" t="str">
        <f>IFERROR(__xludf.DUMMYFUNCTION("IF(AS155=""oooooooooooo"",""-"",IF(REGEXMATCH(AT155,""xxxx""), ""Co-Co."", ""-""))"),"-")</f>
        <v>-</v>
      </c>
      <c r="BO155" s="342" t="str">
        <f>IFERROR(__xludf.DUMMYFUNCTION("IF(AS155=""oooooooooooo"",""-"",IF(REGEXMATCH(AT155,""xxxxx""), ""CCC."", ""-""))"),"-")</f>
        <v>-</v>
      </c>
      <c r="BP155" s="344" t="str">
        <f t="shared" si="27"/>
        <v>Khamaj</v>
      </c>
      <c r="BQ155" s="282" t="str">
        <f>IFERROR(__xludf.DUMMYFUNCTION("IF(REGEXMATCH(JOIN(""-"",EU155:FD155),""TRUE""),""✔"",""-"")"),"✔")</f>
        <v>✔</v>
      </c>
      <c r="BR155" s="225">
        <f t="shared" si="28"/>
        <v>1</v>
      </c>
      <c r="BS155" s="345" t="str">
        <f>IFERROR(__xludf.DUMMYFUNCTION("SUBSTITUTE(SUBSTITUTE(SUBSTITUTE(SUBSTITUTE(CONCATENATE(JOIN(""-"",GC155:GO155)),""--"",""-""),""--"",""-""),""--"",""-""),""--"",""-"")"),"1-2-3-4-5-6-b7-8")</f>
        <v>1-2-3-4-5-6-b7-8</v>
      </c>
      <c r="BT155" s="299" t="str">
        <f>IFERROR(__xludf.DUMMYFUNCTION("SUBSTITUTE(SUBSTITUTE(SUBSTITUTE(SUBSTITUTE(CONCATENATE(JOIN(""-"",GP155:HB155)),""--"",""-""),""--"",""-""),""--"",""-""),""--"",""-"")"),"S-R2-G3-M1-P-D2-N2-S")</f>
        <v>S-R2-G3-M1-P-D2-N2-S</v>
      </c>
      <c r="BU155" s="348" t="str">
        <f t="shared" si="29"/>
        <v>C-D-E-F-G-A-Bb-C</v>
      </c>
      <c r="BV155" s="349" t="str">
        <f t="shared" si="30"/>
        <v>SrgMdNS</v>
      </c>
      <c r="BW155" s="350">
        <f t="shared" si="31"/>
        <v>1</v>
      </c>
      <c r="BX155" s="351">
        <f t="shared" si="32"/>
        <v>8</v>
      </c>
      <c r="BY155" s="392"/>
      <c r="BZ155" s="309" t="str">
        <f>IFERROR(__xludf.DUMMYFUNCTION("IF(REGEXMATCH(C155, ""S""), ""x"",""x"")"),"x")</f>
        <v>x</v>
      </c>
      <c r="CA155" s="245" t="str">
        <f>IFERROR(__xludf.DUMMYFUNCTION("IF(REGEXMATCH(C155, ""r""), ""o"",""x"")"),"x")</f>
        <v>x</v>
      </c>
      <c r="CB155" s="246" t="str">
        <f>IFERROR(__xludf.DUMMYFUNCTION("IF(REGEXMATCH(C155, ""R""), ""o"",""x"")"),"o")</f>
        <v>o</v>
      </c>
      <c r="CC155" s="246" t="str">
        <f>IFERROR(__xludf.DUMMYFUNCTION("IF(REGEXMATCH(C155, ""g""), ""o"",""x"")"),"x")</f>
        <v>x</v>
      </c>
      <c r="CD155" s="245" t="str">
        <f>IFERROR(__xludf.DUMMYFUNCTION("IF(REGEXMATCH(C155, ""G""), ""o"",""x"")"),"o")</f>
        <v>o</v>
      </c>
      <c r="CE155" s="245" t="str">
        <f>IFERROR(__xludf.DUMMYFUNCTION("IF(REGEXMATCH(C155, ""m""), ""o"",""x"")"),"o")</f>
        <v>o</v>
      </c>
      <c r="CF155" s="246" t="str">
        <f>IFERROR(__xludf.DUMMYFUNCTION("IF(REGEXMATCH(C155, ""M""), ""o"",""x"")"),"x")</f>
        <v>x</v>
      </c>
      <c r="CG155" s="245" t="str">
        <f>IFERROR(__xludf.DUMMYFUNCTION("IF(REGEXMATCH(C155, ""P""), ""o"",""x"")"),"o")</f>
        <v>o</v>
      </c>
      <c r="CH155" s="246" t="str">
        <f>IFERROR(__xludf.DUMMYFUNCTION("IF(REGEXMATCH(C155, ""d""), ""o"",""x"")"),"x")</f>
        <v>x</v>
      </c>
      <c r="CI155" s="245" t="str">
        <f>IFERROR(__xludf.DUMMYFUNCTION("IF(REGEXMATCH(C155, ""D""), ""o"",""x"")"),"o")</f>
        <v>o</v>
      </c>
      <c r="CJ155" s="245" t="str">
        <f>IFERROR(__xludf.DUMMYFUNCTION("IF(REGEXMATCH(C155, ""n""), ""o"",""x"")"),"o")</f>
        <v>o</v>
      </c>
      <c r="CK155" s="245" t="str">
        <f>IFERROR(__xludf.DUMMYFUNCTION("IF(REGEXMATCH(C155, ""N""), ""o"",""x"")"),"x")</f>
        <v>x</v>
      </c>
      <c r="CL155" s="356" t="str">
        <f>IFERROR(__xludf.DUMMYFUNCTION("IF(REGEXMATCH(C155, ""S""), ""x"",""x"")"),"x")</f>
        <v>x</v>
      </c>
      <c r="CM155" s="357" t="str">
        <f t="shared" si="33"/>
        <v>xxoxooxoxoox</v>
      </c>
      <c r="CN155" s="358">
        <f t="shared" si="34"/>
        <v>1</v>
      </c>
      <c r="CO155" s="246" t="str">
        <f>IFERROR(__xludf.DUMMYFUNCTION("IF(REGEXMATCH($C155, ""S""), ""S"",""S"")"),"S")</f>
        <v>S</v>
      </c>
      <c r="CP155" s="246" t="str">
        <f>IFERROR(__xludf.DUMMYFUNCTION("IF(REGEXMATCH($C155, ""r""), """",""r"")"),"r")</f>
        <v>r</v>
      </c>
      <c r="CQ155" s="246" t="str">
        <f>IFERROR(__xludf.DUMMYFUNCTION("IF(REGEXMATCH($C155, ""R""), """",""R"")"),"")</f>
        <v/>
      </c>
      <c r="CR155" s="246" t="str">
        <f>IFERROR(__xludf.DUMMYFUNCTION("IF(REGEXMATCH($C155, ""g""), """",""g"")"),"g")</f>
        <v>g</v>
      </c>
      <c r="CS155" s="246" t="str">
        <f>IFERROR(__xludf.DUMMYFUNCTION("IF(REGEXMATCH($C155, ""G""), """",""G"")"),"")</f>
        <v/>
      </c>
      <c r="CT155" s="246" t="str">
        <f>IFERROR(__xludf.DUMMYFUNCTION("IF(REGEXMATCH($C155, ""m""), """",""m"")"),"")</f>
        <v/>
      </c>
      <c r="CU155" s="246" t="str">
        <f>IFERROR(__xludf.DUMMYFUNCTION("IF(REGEXMATCH($C155, ""M""), """",""M"")"),"M")</f>
        <v>M</v>
      </c>
      <c r="CV155" s="246" t="str">
        <f>IFERROR(__xludf.DUMMYFUNCTION("IF(REGEXMATCH($C155, ""P""), """",""P"")"),"")</f>
        <v/>
      </c>
      <c r="CW155" s="246" t="str">
        <f>IFERROR(__xludf.DUMMYFUNCTION("IF(REGEXMATCH($C155, ""d""), """",""d"")"),"d")</f>
        <v>d</v>
      </c>
      <c r="CX155" s="246" t="str">
        <f>IFERROR(__xludf.DUMMYFUNCTION("IF(REGEXMATCH($C155, ""D""), """",""D"")"),"")</f>
        <v/>
      </c>
      <c r="CY155" s="246" t="str">
        <f>IFERROR(__xludf.DUMMYFUNCTION("IF(REGEXMATCH($C155, ""n""), """",""n"")"),"")</f>
        <v/>
      </c>
      <c r="CZ155" s="246" t="str">
        <f>IFERROR(__xludf.DUMMYFUNCTION("IF(REGEXMATCH($C155, ""N""), """",""N"")"),"N")</f>
        <v>N</v>
      </c>
      <c r="DA155" s="246" t="str">
        <f>IFERROR(__xludf.DUMMYFUNCTION("IF(REGEXMATCH($C155, ""S""), ""S"",""S"")"),"S")</f>
        <v>S</v>
      </c>
      <c r="DB155" s="362" t="str">
        <f>IFERROR(__xludf.DUMMYFUNCTION("JOIN("""",CO155:DA155,"""","""")"),"SrgMdNS")</f>
        <v>SrgMdNS</v>
      </c>
      <c r="DC155" s="363"/>
      <c r="DD155" s="301" t="str">
        <f t="shared" si="35"/>
        <v>#REF!</v>
      </c>
      <c r="DE155" s="302" t="str">
        <f t="shared" si="36"/>
        <v>#REF!</v>
      </c>
      <c r="DF155" s="301" t="str">
        <f t="shared" ref="DF155:DG155" si="518">SUBSTITUTE(S155,"-","")</f>
        <v>SRGM</v>
      </c>
      <c r="DG155" s="301" t="str">
        <f t="shared" si="518"/>
        <v>PDNS</v>
      </c>
      <c r="DH155" s="302" t="str">
        <f t="shared" si="38"/>
        <v>Bilawal</v>
      </c>
      <c r="DI155" s="301" t="str">
        <f t="shared" si="39"/>
        <v>Hemi.</v>
      </c>
      <c r="DJ155" s="364" t="str">
        <f t="shared" si="40"/>
        <v>-</v>
      </c>
      <c r="DK155" s="306" t="str">
        <f t="shared" si="41"/>
        <v>Khamaj</v>
      </c>
      <c r="DL155" s="366" t="str">
        <f t="shared" si="42"/>
        <v>-</v>
      </c>
      <c r="DM155" s="308" t="str">
        <f t="shared" si="43"/>
        <v>-</v>
      </c>
      <c r="DN155" s="306" t="str">
        <f t="shared" si="44"/>
        <v>-</v>
      </c>
      <c r="DO155" s="306" t="str">
        <f t="shared" si="45"/>
        <v>-</v>
      </c>
      <c r="DP155" s="367" t="str">
        <f t="shared" si="46"/>
        <v>-</v>
      </c>
      <c r="DQ155" s="310" t="str">
        <f t="shared" si="47"/>
        <v>-</v>
      </c>
      <c r="DR155" s="310" t="str">
        <f t="shared" si="48"/>
        <v>-</v>
      </c>
      <c r="DS155" s="310" t="str">
        <f t="shared" si="49"/>
        <v>-</v>
      </c>
      <c r="DT155" s="310" t="str">
        <f t="shared" si="50"/>
        <v>-</v>
      </c>
      <c r="DU155" s="370" t="str">
        <f t="shared" si="51"/>
        <v>-</v>
      </c>
      <c r="DV155" s="306" t="str">
        <f t="shared" si="52"/>
        <v>-</v>
      </c>
      <c r="DW155" s="306" t="str">
        <f t="shared" si="53"/>
        <v>-</v>
      </c>
      <c r="DX155" s="306" t="str">
        <f t="shared" si="54"/>
        <v>-</v>
      </c>
      <c r="DY155" s="306" t="str">
        <f t="shared" si="55"/>
        <v>-</v>
      </c>
      <c r="DZ155" s="306" t="str">
        <f t="shared" si="56"/>
        <v>-</v>
      </c>
      <c r="EA155" s="367" t="str">
        <f t="shared" si="57"/>
        <v>-</v>
      </c>
      <c r="EB155" s="310" t="str">
        <f>IFERROR(__xludf.DUMMYFUNCTION("IF(REGEXMATCH(AW155,AS155),""✔"",""-"")"),"✔")</f>
        <v>✔</v>
      </c>
      <c r="EC155" s="310" t="str">
        <f t="shared" si="58"/>
        <v>#REF!</v>
      </c>
      <c r="ED155" s="370" t="str">
        <f t="shared" si="59"/>
        <v>-</v>
      </c>
      <c r="EE155" s="340" t="str">
        <f t="shared" si="60"/>
        <v>S-R-G-m-P-D-n-S</v>
      </c>
      <c r="EF155" s="371" t="str">
        <f>IFERROR(__xludf.DUMMYFUNCTION("CONCATENATE(JOIN("""",HC155:HO155))"),"SRgmPdnS")</f>
        <v>SRgmPdnS</v>
      </c>
      <c r="EG155" s="372">
        <f t="shared" si="61"/>
        <v>1</v>
      </c>
      <c r="EH155" s="373" t="str">
        <f>IFERROR(__xludf.DUMMYFUNCTION("CONCATENATE(JOIN("""",JC155:JO155))"),"Ga, ")</f>
        <v>Ga, </v>
      </c>
      <c r="EI155" s="322">
        <f t="shared" si="62"/>
        <v>0</v>
      </c>
      <c r="EJ155" s="374" t="str">
        <f>IFERROR(__xludf.DUMMYFUNCTION("CONCATENATE(JOIN("""",KC155:KO155))"),"")</f>
        <v/>
      </c>
      <c r="EK155" s="325" t="str">
        <f t="shared" si="63"/>
        <v>S-R2-G3-M1-P-D2-N2-S</v>
      </c>
      <c r="EL155" s="326" t="str">
        <f t="shared" si="64"/>
        <v>1-2-3-4-5-6-b7-8</v>
      </c>
      <c r="EM155" s="318" t="str">
        <f t="shared" si="65"/>
        <v>#REF!</v>
      </c>
      <c r="EN155" s="328" t="str">
        <f>IFERROR(__xludf.DUMMYFUNCTION("SUBSTITUTE(SUBSTITUTE(SUBSTITUTE(SUBSTITUTE(CONCATENATE(JOIN("" "",HP155:IB155)),""  "","" ""),""  "","" ""),""  "","" ""),""  "","" "")"),"o • o • o o • o • o o • o")</f>
        <v>o • o • o o • o • o o • o</v>
      </c>
      <c r="EO155" s="368" t="str">
        <f t="shared" si="66"/>
        <v>-</v>
      </c>
      <c r="EP155" s="339" t="str">
        <f t="shared" si="67"/>
        <v>-</v>
      </c>
      <c r="EQ155" s="339" t="str">
        <f t="shared" si="68"/>
        <v>Sa-Pa</v>
      </c>
      <c r="ER155" s="339" t="str">
        <f t="shared" si="69"/>
        <v>-</v>
      </c>
      <c r="ES155" s="340" t="str">
        <f t="shared" si="70"/>
        <v>-</v>
      </c>
      <c r="ET155" s="363"/>
      <c r="EU155" s="376" t="b">
        <f>IFERROR(__xludf.DUMMYFUNCTION("arrayformula(sum(--REGEXMATCH(""SRGMPDNS"",split(REGEXREPLACE(C155,""(.)"",""$1~""),""~""))))=len(C155)
"),FALSE)</f>
        <v>0</v>
      </c>
      <c r="EV155" s="290" t="b">
        <f>IFERROR(__xludf.DUMMYFUNCTION("arrayformula(sum(--REGEXMATCH(""SRGmPDNS"",split(REGEXREPLACE(C155,""(.)"",""$1~""),""~""))))=len(C155)"),FALSE)</f>
        <v>0</v>
      </c>
      <c r="EW155" s="290" t="b">
        <f>IFERROR(__xludf.DUMMYFUNCTION("arrayformula(sum(--REGEXMATCH(""SRGmPDnS"",split(REGEXREPLACE(C155,""(.)"",""$1~""),""~""))))=len(C155)"),TRUE)</f>
        <v>1</v>
      </c>
      <c r="EX155" s="290" t="b">
        <f>IFERROR(__xludf.DUMMYFUNCTION("arrayformula(sum(--REGEXMATCH(""SRgmPDnS"",split(REGEXREPLACE(C155,""(.)"",""$1~""),""~""))))=len(C155)"),FALSE)</f>
        <v>0</v>
      </c>
      <c r="EY155" s="290" t="b">
        <f>IFERROR(__xludf.DUMMYFUNCTION("arrayformula(sum(--REGEXMATCH(""SRgmPdnS"",split(REGEXREPLACE(C155,""(.)"",""$1~""),""~""))))=len(C155)"),FALSE)</f>
        <v>0</v>
      </c>
      <c r="EZ155" s="290" t="b">
        <f>IFERROR(__xludf.DUMMYFUNCTION("arrayformula(sum(--REGEXMATCH(""SrgmPdnS"",split(REGEXREPLACE(C155,""(.)"",""$1~""),""~""))))=len(C155)"),FALSE)</f>
        <v>0</v>
      </c>
      <c r="FA155" s="290" t="b">
        <f>IFERROR(__xludf.DUMMYFUNCTION("arrayformula(sum(--REGEXMATCH(""SrGmPdNS"",split(REGEXREPLACE(C155,""(.)"",""$1~""),""~""))))=len(C155)"),FALSE)</f>
        <v>0</v>
      </c>
      <c r="FB155" s="290" t="b">
        <f>IFERROR(__xludf.DUMMYFUNCTION("arrayformula(sum(--REGEXMATCH(""SrGMPDNS"",split(REGEXREPLACE(C155,""(.)"",""$1~""),""~""))))=len(C155)"),FALSE)</f>
        <v>0</v>
      </c>
      <c r="FC155" s="290" t="b">
        <f>IFERROR(__xludf.DUMMYFUNCTION("arrayformula(sum(--REGEXMATCH(""SrGMPdNS"",split(REGEXREPLACE(C155,""(.)"",""$1~""),""~""))))=len(C155)"),FALSE)</f>
        <v>0</v>
      </c>
      <c r="FD155" s="377" t="b">
        <f>IFERROR(__xludf.DUMMYFUNCTION("arrayformula(sum(--REGEXMATCH(""SrgMPdNS"",split(REGEXREPLACE(C155,""(.)"",""$1~""),""~""))))=len(C155)"),FALSE)</f>
        <v>0</v>
      </c>
      <c r="FE155" s="269" t="str">
        <f t="shared" si="71"/>
        <v>-</v>
      </c>
      <c r="FF155" s="269" t="str">
        <f t="shared" si="72"/>
        <v>xoxxoxoxxox</v>
      </c>
      <c r="FG155" s="271" t="str">
        <f t="shared" si="73"/>
        <v>-</v>
      </c>
      <c r="FH155" s="269" t="str">
        <f t="shared" si="74"/>
        <v>xxoxoxxoxox</v>
      </c>
      <c r="FI155" s="271" t="str">
        <f t="shared" si="75"/>
        <v>xoxoxxoxoxo</v>
      </c>
      <c r="FJ155" s="271" t="str">
        <f t="shared" si="76"/>
        <v>-</v>
      </c>
      <c r="FK155" s="271" t="str">
        <f t="shared" si="77"/>
        <v>xoxxoxoxoxx</v>
      </c>
      <c r="FL155" s="271" t="str">
        <f t="shared" si="78"/>
        <v>-</v>
      </c>
      <c r="FM155" s="271" t="str">
        <f t="shared" si="79"/>
        <v>xxoxoxoxxox</v>
      </c>
      <c r="FN155" s="271" t="str">
        <f t="shared" si="80"/>
        <v>xoxoxoxxoxo</v>
      </c>
      <c r="FO155" s="274" t="str">
        <f t="shared" si="81"/>
        <v>-</v>
      </c>
      <c r="FP155" s="234" t="str">
        <f t="shared" si="82"/>
        <v>|</v>
      </c>
      <c r="FQ155" s="236" t="str">
        <f t="shared" si="83"/>
        <v>-</v>
      </c>
      <c r="FR155" s="237" t="str">
        <f t="shared" si="84"/>
        <v>|</v>
      </c>
      <c r="FS155" s="236" t="str">
        <f t="shared" si="85"/>
        <v>-</v>
      </c>
      <c r="FT155" s="237" t="str">
        <f t="shared" si="86"/>
        <v>|</v>
      </c>
      <c r="FU155" s="236" t="str">
        <f t="shared" si="87"/>
        <v>|</v>
      </c>
      <c r="FV155" s="237" t="str">
        <f t="shared" si="88"/>
        <v>-</v>
      </c>
      <c r="FW155" s="236" t="str">
        <f t="shared" si="89"/>
        <v>|</v>
      </c>
      <c r="FX155" s="237" t="str">
        <f t="shared" si="90"/>
        <v>-</v>
      </c>
      <c r="FY155" s="236" t="str">
        <f t="shared" si="91"/>
        <v>|</v>
      </c>
      <c r="FZ155" s="237" t="str">
        <f t="shared" si="92"/>
        <v>|</v>
      </c>
      <c r="GA155" s="236" t="str">
        <f t="shared" si="93"/>
        <v>-</v>
      </c>
      <c r="GB155" s="238" t="str">
        <f t="shared" si="94"/>
        <v>|</v>
      </c>
      <c r="GC155" s="244" t="str">
        <f>IFERROR(__xludf.DUMMYFUNCTION("IF(REGEXMATCH(C155, ""S""), ""1"","""")"),"1")</f>
        <v>1</v>
      </c>
      <c r="GD155" s="245" t="str">
        <f>IFERROR(__xludf.DUMMYFUNCTION("IF(REGEXMATCH(C155, ""r""), ""b2"","""")"),"")</f>
        <v/>
      </c>
      <c r="GE155" s="246" t="str">
        <f>IFERROR(__xludf.DUMMYFUNCTION("IF(REGEXMATCH(C155, ""R""), ""2"","""")"),"2")</f>
        <v>2</v>
      </c>
      <c r="GF155" s="246" t="str">
        <f>IFERROR(__xludf.DUMMYFUNCTION("IF(REGEXMATCH(C155, ""g""), ""b3"","""")"),"")</f>
        <v/>
      </c>
      <c r="GG155" s="245" t="str">
        <f>IFERROR(__xludf.DUMMYFUNCTION("IF(REGEXMATCH(C155, ""G""), ""3"","""")"),"3")</f>
        <v>3</v>
      </c>
      <c r="GH155" s="245" t="str">
        <f>IFERROR(__xludf.DUMMYFUNCTION("IF(REGEXMATCH(C155, ""m""), ""4"","""")"),"4")</f>
        <v>4</v>
      </c>
      <c r="GI155" s="246" t="str">
        <f>IFERROR(__xludf.DUMMYFUNCTION("IF(REGEXMATCH(C155, ""M""), ""#4"","""")"),"")</f>
        <v/>
      </c>
      <c r="GJ155" s="245" t="str">
        <f>IFERROR(__xludf.DUMMYFUNCTION("IF(REGEXMATCH(C155, ""P""), ""5"","""")"),"5")</f>
        <v>5</v>
      </c>
      <c r="GK155" s="246" t="str">
        <f>IFERROR(__xludf.DUMMYFUNCTION("IF(REGEXMATCH(C155, ""d""), ""b6"","""")"),"")</f>
        <v/>
      </c>
      <c r="GL155" s="245" t="str">
        <f>IFERROR(__xludf.DUMMYFUNCTION("IF(REGEXMATCH(C155, ""D""), ""6"","""")"),"6")</f>
        <v>6</v>
      </c>
      <c r="GM155" s="245" t="str">
        <f>IFERROR(__xludf.DUMMYFUNCTION("IF(REGEXMATCH(C155, ""n""), ""b7"","""")"),"b7")</f>
        <v>b7</v>
      </c>
      <c r="GN155" s="246" t="str">
        <f>IFERROR(__xludf.DUMMYFUNCTION("IF(REGEXMATCH(C155, ""N""), ""7"","""")"),"")</f>
        <v/>
      </c>
      <c r="GO155" s="249" t="str">
        <f>IFERROR(__xludf.DUMMYFUNCTION("IF(REGEXMATCH(C155, ""S""), ""8"","""")"),"8")</f>
        <v>8</v>
      </c>
      <c r="GP155" s="244" t="str">
        <f>IFERROR(__xludf.DUMMYFUNCTION("IF(REGEXMATCH(C155, ""S""), ""S"","""")"),"S")</f>
        <v>S</v>
      </c>
      <c r="GQ155" s="294" t="str">
        <f>IFERROR(__xludf.DUMMYFUNCTION("IF(REGEXMATCH(C155, ""r""), ""R1"","""")"),"")</f>
        <v/>
      </c>
      <c r="GR155" s="295" t="str">
        <f>IFERROR(__xludf.DUMMYFUNCTION("IF(REGEXMATCH(C155, ""R""), ""R2"","""")"),"R2")</f>
        <v>R2</v>
      </c>
      <c r="GS155" s="295" t="str">
        <f>IFERROR(__xludf.DUMMYFUNCTION("IF(REGEXMATCH(C155, ""g""), ""G2"","""")"),"")</f>
        <v/>
      </c>
      <c r="GT155" s="294" t="str">
        <f>IFERROR(__xludf.DUMMYFUNCTION("IF(REGEXMATCH(C155, ""G""), ""G3"","""")"),"G3")</f>
        <v>G3</v>
      </c>
      <c r="GU155" s="294" t="str">
        <f>IFERROR(__xludf.DUMMYFUNCTION("IF(REGEXMATCH(C155, ""m""), ""M1"","""")"),"M1")</f>
        <v>M1</v>
      </c>
      <c r="GV155" s="295" t="str">
        <f>IFERROR(__xludf.DUMMYFUNCTION("IF(REGEXMATCH(C155, ""M""), ""M2"","""")"),"")</f>
        <v/>
      </c>
      <c r="GW155" s="294" t="str">
        <f>IFERROR(__xludf.DUMMYFUNCTION("IF(REGEXMATCH(C155, ""P""), ""P"","""")"),"P")</f>
        <v>P</v>
      </c>
      <c r="GX155" s="295" t="str">
        <f>IFERROR(__xludf.DUMMYFUNCTION("IF(REGEXMATCH(C155, ""d""), ""D1"","""")"),"")</f>
        <v/>
      </c>
      <c r="GY155" s="294" t="str">
        <f>IFERROR(__xludf.DUMMYFUNCTION("IF(REGEXMATCH(C155, ""D""), ""D2"","""")"),"D2")</f>
        <v>D2</v>
      </c>
      <c r="GZ155" s="294" t="str">
        <f>IFERROR(__xludf.DUMMYFUNCTION("IF(REGEXMATCH(C155, ""n""), ""N2"","""")"),"N2")</f>
        <v>N2</v>
      </c>
      <c r="HA155" s="295" t="str">
        <f>IFERROR(__xludf.DUMMYFUNCTION("IF(REGEXMATCH(C155, ""N""), ""N3"","""")"),"")</f>
        <v/>
      </c>
      <c r="HB155" s="249" t="str">
        <f>IFERROR(__xludf.DUMMYFUNCTION("IF(REGEXMATCH(C155, ""S""), ""S"","""")"),"S")</f>
        <v>S</v>
      </c>
      <c r="HC155" s="331" t="str">
        <f t="shared" si="95"/>
        <v>S</v>
      </c>
      <c r="HD155" s="332" t="str">
        <f t="shared" si="96"/>
        <v/>
      </c>
      <c r="HE155" s="332" t="str">
        <f t="shared" si="97"/>
        <v>R</v>
      </c>
      <c r="HF155" s="332" t="str">
        <f t="shared" si="98"/>
        <v>g</v>
      </c>
      <c r="HG155" s="332" t="str">
        <f t="shared" si="99"/>
        <v/>
      </c>
      <c r="HH155" s="332" t="str">
        <f t="shared" si="100"/>
        <v>m</v>
      </c>
      <c r="HI155" s="332" t="str">
        <f t="shared" si="101"/>
        <v/>
      </c>
      <c r="HJ155" s="332" t="str">
        <f t="shared" si="102"/>
        <v>P</v>
      </c>
      <c r="HK155" s="332" t="str">
        <f t="shared" si="103"/>
        <v>d</v>
      </c>
      <c r="HL155" s="332" t="str">
        <f t="shared" si="104"/>
        <v/>
      </c>
      <c r="HM155" s="332" t="str">
        <f t="shared" si="105"/>
        <v>n</v>
      </c>
      <c r="HN155" s="332" t="str">
        <f t="shared" si="106"/>
        <v/>
      </c>
      <c r="HO155" s="343" t="str">
        <f t="shared" si="107"/>
        <v>S</v>
      </c>
      <c r="HP155" s="331" t="str">
        <f t="shared" si="108"/>
        <v>o</v>
      </c>
      <c r="HQ155" s="332" t="str">
        <f t="shared" si="109"/>
        <v>•</v>
      </c>
      <c r="HR155" s="332" t="str">
        <f t="shared" si="110"/>
        <v>o</v>
      </c>
      <c r="HS155" s="332" t="str">
        <f t="shared" si="111"/>
        <v>•</v>
      </c>
      <c r="HT155" s="332" t="str">
        <f t="shared" si="112"/>
        <v>o</v>
      </c>
      <c r="HU155" s="332" t="str">
        <f t="shared" si="113"/>
        <v>o</v>
      </c>
      <c r="HV155" s="332" t="str">
        <f t="shared" si="114"/>
        <v>•</v>
      </c>
      <c r="HW155" s="332" t="str">
        <f t="shared" si="115"/>
        <v>o</v>
      </c>
      <c r="HX155" s="332" t="str">
        <f t="shared" si="116"/>
        <v>•</v>
      </c>
      <c r="HY155" s="332" t="str">
        <f t="shared" si="117"/>
        <v>o</v>
      </c>
      <c r="HZ155" s="332" t="str">
        <f t="shared" si="118"/>
        <v>o</v>
      </c>
      <c r="IA155" s="332" t="str">
        <f t="shared" si="119"/>
        <v>•</v>
      </c>
      <c r="IB155" s="338" t="str">
        <f t="shared" si="120"/>
        <v>o</v>
      </c>
      <c r="IC155" s="331" t="str">
        <f t="shared" si="121"/>
        <v>•</v>
      </c>
      <c r="ID155" s="332" t="str">
        <f t="shared" si="122"/>
        <v>o</v>
      </c>
      <c r="IE155" s="332" t="str">
        <f t="shared" si="123"/>
        <v>•</v>
      </c>
      <c r="IF155" s="332" t="str">
        <f t="shared" si="124"/>
        <v>o</v>
      </c>
      <c r="IG155" s="332" t="str">
        <f t="shared" si="125"/>
        <v>•</v>
      </c>
      <c r="IH155" s="332" t="str">
        <f t="shared" si="126"/>
        <v>•</v>
      </c>
      <c r="II155" s="332" t="str">
        <f t="shared" si="127"/>
        <v>o</v>
      </c>
      <c r="IJ155" s="332" t="str">
        <f t="shared" si="128"/>
        <v>•</v>
      </c>
      <c r="IK155" s="332" t="str">
        <f t="shared" si="129"/>
        <v>o</v>
      </c>
      <c r="IL155" s="332" t="str">
        <f t="shared" si="130"/>
        <v>•</v>
      </c>
      <c r="IM155" s="332" t="str">
        <f t="shared" si="131"/>
        <v>•</v>
      </c>
      <c r="IN155" s="332" t="str">
        <f t="shared" si="132"/>
        <v>o</v>
      </c>
      <c r="IO155" s="338" t="str">
        <f t="shared" si="133"/>
        <v>•</v>
      </c>
      <c r="IP155" s="346" t="b">
        <f t="shared" si="134"/>
        <v>0</v>
      </c>
      <c r="IQ155" s="347" t="b">
        <f t="shared" si="135"/>
        <v>0</v>
      </c>
      <c r="IR155" s="347" t="b">
        <f t="shared" si="136"/>
        <v>0</v>
      </c>
      <c r="IS155" s="347" t="b">
        <f t="shared" si="137"/>
        <v>0</v>
      </c>
      <c r="IT155" s="347" t="b">
        <f t="shared" si="138"/>
        <v>1</v>
      </c>
      <c r="IU155" s="347" t="b">
        <f t="shared" si="139"/>
        <v>0</v>
      </c>
      <c r="IV155" s="347" t="b">
        <f t="shared" si="140"/>
        <v>0</v>
      </c>
      <c r="IW155" s="347" t="b">
        <f t="shared" si="141"/>
        <v>0</v>
      </c>
      <c r="IX155" s="347" t="b">
        <f t="shared" si="142"/>
        <v>0</v>
      </c>
      <c r="IY155" s="347" t="b">
        <f t="shared" si="143"/>
        <v>0</v>
      </c>
      <c r="IZ155" s="347" t="b">
        <f t="shared" si="144"/>
        <v>0</v>
      </c>
      <c r="JA155" s="347" t="b">
        <f t="shared" si="145"/>
        <v>0</v>
      </c>
      <c r="JB155" s="353" t="b">
        <f t="shared" si="146"/>
        <v>0</v>
      </c>
      <c r="JC155" s="354" t="str">
        <f t="shared" si="147"/>
        <v/>
      </c>
      <c r="JD155" s="355" t="str">
        <f t="shared" si="148"/>
        <v/>
      </c>
      <c r="JE155" s="355" t="str">
        <f t="shared" si="149"/>
        <v/>
      </c>
      <c r="JF155" s="355" t="str">
        <f t="shared" si="150"/>
        <v/>
      </c>
      <c r="JG155" s="355" t="str">
        <f t="shared" si="151"/>
        <v>Ga, </v>
      </c>
      <c r="JH155" s="355" t="str">
        <f t="shared" si="152"/>
        <v/>
      </c>
      <c r="JI155" s="355" t="str">
        <f t="shared" si="153"/>
        <v/>
      </c>
      <c r="JJ155" s="355" t="str">
        <f t="shared" si="154"/>
        <v/>
      </c>
      <c r="JK155" s="355" t="str">
        <f t="shared" si="155"/>
        <v/>
      </c>
      <c r="JL155" s="355" t="str">
        <f t="shared" si="156"/>
        <v/>
      </c>
      <c r="JM155" s="355" t="str">
        <f t="shared" si="157"/>
        <v/>
      </c>
      <c r="JN155" s="355" t="str">
        <f t="shared" si="158"/>
        <v/>
      </c>
      <c r="JO155" s="359" t="str">
        <f t="shared" si="159"/>
        <v/>
      </c>
      <c r="JP155" s="346" t="b">
        <f t="shared" si="160"/>
        <v>0</v>
      </c>
      <c r="JQ155" s="347" t="b">
        <f t="shared" si="161"/>
        <v>0</v>
      </c>
      <c r="JR155" s="347" t="b">
        <f t="shared" si="162"/>
        <v>0</v>
      </c>
      <c r="JS155" s="347" t="b">
        <f t="shared" si="163"/>
        <v>0</v>
      </c>
      <c r="JT155" s="347" t="b">
        <f t="shared" si="164"/>
        <v>0</v>
      </c>
      <c r="JU155" s="347" t="b">
        <f t="shared" si="165"/>
        <v>0</v>
      </c>
      <c r="JV155" s="347" t="b">
        <f t="shared" si="166"/>
        <v>0</v>
      </c>
      <c r="JW155" s="347" t="b">
        <f t="shared" si="167"/>
        <v>0</v>
      </c>
      <c r="JX155" s="347" t="b">
        <f t="shared" si="168"/>
        <v>0</v>
      </c>
      <c r="JY155" s="347" t="b">
        <f t="shared" si="169"/>
        <v>0</v>
      </c>
      <c r="JZ155" s="347" t="b">
        <f t="shared" si="170"/>
        <v>0</v>
      </c>
      <c r="KA155" s="347" t="b">
        <f t="shared" si="171"/>
        <v>0</v>
      </c>
      <c r="KB155" s="365" t="b">
        <f t="shared" si="172"/>
        <v>0</v>
      </c>
      <c r="KC155" s="354" t="str">
        <f t="shared" si="173"/>
        <v/>
      </c>
      <c r="KD155" s="355" t="str">
        <f t="shared" si="174"/>
        <v/>
      </c>
      <c r="KE155" s="355" t="str">
        <f t="shared" si="175"/>
        <v/>
      </c>
      <c r="KF155" s="355" t="str">
        <f t="shared" si="176"/>
        <v/>
      </c>
      <c r="KG155" s="355" t="str">
        <f t="shared" si="177"/>
        <v/>
      </c>
      <c r="KH155" s="355" t="str">
        <f t="shared" si="178"/>
        <v/>
      </c>
      <c r="KI155" s="355" t="str">
        <f t="shared" si="179"/>
        <v/>
      </c>
      <c r="KJ155" s="355" t="str">
        <f t="shared" si="180"/>
        <v/>
      </c>
      <c r="KK155" s="355" t="str">
        <f t="shared" si="181"/>
        <v/>
      </c>
      <c r="KL155" s="355" t="str">
        <f t="shared" si="182"/>
        <v/>
      </c>
      <c r="KM155" s="355" t="str">
        <f t="shared" si="183"/>
        <v/>
      </c>
      <c r="KN155" s="355" t="str">
        <f t="shared" si="184"/>
        <v/>
      </c>
      <c r="KO155" s="359"/>
      <c r="KP155" s="378"/>
      <c r="KQ155" s="379" t="s">
        <v>719</v>
      </c>
      <c r="KR155" s="380" t="s">
        <v>1256</v>
      </c>
      <c r="KS155" s="381" t="str">
        <f t="shared" ref="KS155:KS156" si="521">KQ155</f>
        <v>S-R-m-P-D-S</v>
      </c>
      <c r="KT155" s="382">
        <f t="shared" si="186"/>
        <v>5</v>
      </c>
      <c r="KU155" s="383">
        <f t="shared" si="187"/>
        <v>5</v>
      </c>
      <c r="KV155" s="381" t="str">
        <f t="shared" si="205"/>
        <v>S-n-D-P-m-G-R-S</v>
      </c>
      <c r="KW155" s="382">
        <f t="shared" si="189"/>
        <v>7</v>
      </c>
      <c r="KX155" s="384">
        <f t="shared" si="190"/>
        <v>7</v>
      </c>
      <c r="KY155" s="382">
        <f t="shared" ref="KY155:KZ155" si="519">KW155-KT155</f>
        <v>2</v>
      </c>
      <c r="KZ155" s="369">
        <f t="shared" si="519"/>
        <v>2</v>
      </c>
      <c r="LA155" s="385" t="str">
        <f t="shared" si="192"/>
        <v>-</v>
      </c>
      <c r="LB155" s="340" t="str">
        <f>IFERROR(__xludf.DUMMYFUNCTION("JOIN("""",ArrayFormula(MID(KS155,LEN(KS155)-SEQUENCE(1,LEN(KS155))+1,1)))"),"S-D-P-m-R-S")</f>
        <v>S-D-P-m-R-S</v>
      </c>
      <c r="LC155" s="373" t="str">
        <f>IFERROR(__xludf.DUMMYFUNCTION("JOIN("""",ArrayFormula(MID(KV155,LEN(KV155)-SEQUENCE(1,LEN(KV155))+1,1)))"),"S-R-G-m-P-D-n-S")</f>
        <v>S-R-G-m-P-D-n-S</v>
      </c>
      <c r="LD155" s="373" t="str">
        <f t="shared" si="193"/>
        <v>SRmPDS</v>
      </c>
      <c r="LE155" s="339" t="str">
        <f t="shared" si="194"/>
        <v>SRGmPDnS</v>
      </c>
      <c r="LF155" s="386" t="str">
        <f>IFERROR(__xludf.DUMMYFUNCTION("SUBSTITUTE(SUBSTITUTE(CONCATENATE(JOIN("""",LH155:LT155)),""1"",""""),""2"","""")"),"SRGmPDnS")</f>
        <v>SRGmPDnS</v>
      </c>
      <c r="LG155" s="369" t="str">
        <f t="shared" si="195"/>
        <v>✔</v>
      </c>
      <c r="LH155" s="387" t="str">
        <f>IFERROR(__xludf.DUMMYFUNCTION("IF(REGEXMATCH(LD155, ""S""), ""S"",IF(REGEXMATCH(LE155, ""S""), ""S"",""""))"),"S")</f>
        <v>S</v>
      </c>
      <c r="LI155" s="299" t="str">
        <f>IFERROR(__xludf.DUMMYFUNCTION("IF(REGEXMATCH(LD155, ""r""), ""r1"",IF(REGEXMATCH(LE155, ""r""), ""r2"",""""))"),"")</f>
        <v/>
      </c>
      <c r="LJ155" s="299" t="str">
        <f>IFERROR(__xludf.DUMMYFUNCTION("IF(REGEXMATCH(LD155, ""R""), ""R1"",IF(REGEXMATCH(LE155, ""R""), ""R2"",""""))"),"R1")</f>
        <v>R1</v>
      </c>
      <c r="LK155" s="299" t="str">
        <f>IFERROR(__xludf.DUMMYFUNCTION("IF(REGEXMATCH(LD155, ""g""), ""g1"",IF(REGEXMATCH(LE155, ""g""), ""g2"",""""))"),"")</f>
        <v/>
      </c>
      <c r="LL155" s="299" t="str">
        <f>IFERROR(__xludf.DUMMYFUNCTION("IF(REGEXMATCH(LD155, ""G""), ""G1"",IF(REGEXMATCH(LE155, ""G""), ""G2"",""""))"),"G2")</f>
        <v>G2</v>
      </c>
      <c r="LM155" s="299" t="str">
        <f>IFERROR(__xludf.DUMMYFUNCTION("IF(REGEXMATCH(LD155, ""m""), ""m1"",IF(REGEXMATCH(LE155, ""m""), ""m2"",""""))"),"m1")</f>
        <v>m1</v>
      </c>
      <c r="LN155" s="299" t="str">
        <f>IFERROR(__xludf.DUMMYFUNCTION("IF(REGEXMATCH(LD155, ""M""), ""M1"",IF(REGEXMATCH(LE155, ""M""), ""M2"",""""))"),"")</f>
        <v/>
      </c>
      <c r="LO155" s="299" t="str">
        <f>IFERROR(__xludf.DUMMYFUNCTION("IF(REGEXMATCH(LD155, ""P""), ""P1"",IF(REGEXMATCH(LE155, ""P""), ""P2"",""""))"),"P1")</f>
        <v>P1</v>
      </c>
      <c r="LP155" s="299" t="str">
        <f>IFERROR(__xludf.DUMMYFUNCTION("IF(REGEXMATCH(LD155, ""d""), ""d1"",IF(REGEXMATCH(LE155, ""d""), ""d2"",""""))"),"")</f>
        <v/>
      </c>
      <c r="LQ155" s="299" t="str">
        <f>IFERROR(__xludf.DUMMYFUNCTION("IF(REGEXMATCH(LD155, ""D""), ""D1"",IF(REGEXMATCH(LE155, ""D""), ""D2"",""""))"),"D1")</f>
        <v>D1</v>
      </c>
      <c r="LR155" s="299" t="str">
        <f>IFERROR(__xludf.DUMMYFUNCTION("IF(REGEXMATCH(LD155, ""n""), ""n1"",IF(REGEXMATCH(LE155, ""n""), ""n2"",""""))"),"n2")</f>
        <v>n2</v>
      </c>
      <c r="LS155" s="299" t="str">
        <f>IFERROR(__xludf.DUMMYFUNCTION("IF(REGEXMATCH(LD155, ""N""), ""N1"",IF(REGEXMATCH(LE155, ""N""), ""N2"",""""))"),"")</f>
        <v/>
      </c>
      <c r="LT155" s="388" t="str">
        <f>IFERROR(__xludf.DUMMYFUNCTION("IF(REGEXMATCH(LD155, ""S""), ""S"",IF(REGEXMATCH(LE155, ""S""), ""S"",""""))"),"S")</f>
        <v>S</v>
      </c>
      <c r="LU155" s="389">
        <f t="shared" si="196"/>
        <v>-3</v>
      </c>
      <c r="LV155" s="378"/>
      <c r="LW155" s="369"/>
      <c r="LX155" s="369"/>
    </row>
    <row r="156" ht="18.0" customHeight="1">
      <c r="A156" s="298" t="s">
        <v>837</v>
      </c>
      <c r="B156" s="222" t="s">
        <v>838</v>
      </c>
      <c r="C156" s="233" t="str">
        <f t="shared" si="7"/>
        <v>SgGmPnS</v>
      </c>
      <c r="D156" s="234" t="str">
        <f>IFERROR(__xludf.DUMMYFUNCTION("IF(REGEXMATCH(C156, ""S""), ""S"","""")"),"S")</f>
        <v>S</v>
      </c>
      <c r="E156" s="236" t="str">
        <f>IFERROR(__xludf.DUMMYFUNCTION("IF(REGEXMATCH(C156, ""r""), ""r"","""")"),"")</f>
        <v/>
      </c>
      <c r="F156" s="237" t="str">
        <f>IFERROR(__xludf.DUMMYFUNCTION("IF(REGEXMATCH(C156, ""R""), ""R"","""")"),"")</f>
        <v/>
      </c>
      <c r="G156" s="237" t="str">
        <f>IFERROR(__xludf.DUMMYFUNCTION("IF(REGEXMATCH(C156, ""g""), ""g"","""")"),"g")</f>
        <v>g</v>
      </c>
      <c r="H156" s="236" t="str">
        <f>IFERROR(__xludf.DUMMYFUNCTION("IF(REGEXMATCH(C156, ""G""), ""G"","""")"),"G")</f>
        <v>G</v>
      </c>
      <c r="I156" s="236" t="str">
        <f>IFERROR(__xludf.DUMMYFUNCTION("IF(REGEXMATCH(C156, ""m""), ""m"","""")"),"m")</f>
        <v>m</v>
      </c>
      <c r="J156" s="237" t="str">
        <f>IFERROR(__xludf.DUMMYFUNCTION("IF(REGEXMATCH(C156, ""M""), ""M"","""")"),"")</f>
        <v/>
      </c>
      <c r="K156" s="236" t="str">
        <f>IFERROR(__xludf.DUMMYFUNCTION("IF(REGEXMATCH(C156, ""P""), ""P"","""")"),"P")</f>
        <v>P</v>
      </c>
      <c r="L156" s="237" t="str">
        <f>IFERROR(__xludf.DUMMYFUNCTION("IF(REGEXMATCH(C156, ""d""), ""d"","""")"),"")</f>
        <v/>
      </c>
      <c r="M156" s="236" t="str">
        <f>IFERROR(__xludf.DUMMYFUNCTION("IF(REGEXMATCH(C156, ""D""), ""D"","""")"),"")</f>
        <v/>
      </c>
      <c r="N156" s="236" t="str">
        <f>IFERROR(__xludf.DUMMYFUNCTION("IF(REGEXMATCH(C156, ""n""), ""n"","""")"),"n")</f>
        <v>n</v>
      </c>
      <c r="O156" s="237" t="str">
        <f>IFERROR(__xludf.DUMMYFUNCTION("IF(REGEXMATCH(C156, ""N""), ""N"","""")"),"")</f>
        <v/>
      </c>
      <c r="P156" s="238" t="str">
        <f>IFERROR(__xludf.DUMMYFUNCTION("IF(REGEXMATCH(C156, ""S""), ""S"","""")"),"S")</f>
        <v>S</v>
      </c>
      <c r="Q156" s="239" t="str">
        <f>IFERROR(__xludf.DUMMYFUNCTION("SUBSTITUTE(CONCATENATE(JOIN(""-"",D156:J156)),""-"","""")"),"SgGm")</f>
        <v>SgGm</v>
      </c>
      <c r="R156" s="229" t="str">
        <f>IFERROR(__xludf.DUMMYFUNCTION("SUBSTITUTE(CONCATENATE(JOIN(""-"",K156:P156)),""-"","""")"),"PnS")</f>
        <v>PnS</v>
      </c>
      <c r="S156" s="282" t="str">
        <f t="shared" si="8"/>
        <v>S-G-M</v>
      </c>
      <c r="T156" s="282" t="str">
        <f t="shared" si="9"/>
        <v>P-N-S</v>
      </c>
      <c r="U156" s="237" t="str">
        <f>IFERROR(__xludf.DUMMYFUNCTION("SUBSTITUTE(JOIN(""-"",S156,T156),""--"",""-"")"),"S-G-M-P-N-S")</f>
        <v>S-G-M-P-N-S</v>
      </c>
      <c r="V156" s="309" t="str">
        <f t="shared" si="10"/>
        <v>gGmn</v>
      </c>
      <c r="W156" s="244" t="str">
        <f>IFERROR(__xludf.DUMMYFUNCTION("IF(REGEXMATCH(C156, ""S""), ""0"","""")"),"0")</f>
        <v>0</v>
      </c>
      <c r="X156" s="245" t="str">
        <f>IFERROR(__xludf.DUMMYFUNCTION("IF(REGEXMATCH(C156, ""r""), ""1"","""")"),"")</f>
        <v/>
      </c>
      <c r="Y156" s="246" t="str">
        <f>IFERROR(__xludf.DUMMYFUNCTION("IF(REGEXMATCH(C156, ""R""), ""2"","""")"),"")</f>
        <v/>
      </c>
      <c r="Z156" s="246" t="str">
        <f>IFERROR(__xludf.DUMMYFUNCTION("IF(REGEXMATCH(C156, ""g""), ""3"","""")"),"3")</f>
        <v>3</v>
      </c>
      <c r="AA156" s="245" t="str">
        <f>IFERROR(__xludf.DUMMYFUNCTION("IF(REGEXMATCH(C156, ""G""), ""4"","""")"),"4")</f>
        <v>4</v>
      </c>
      <c r="AB156" s="245" t="str">
        <f>IFERROR(__xludf.DUMMYFUNCTION("IF(REGEXMATCH(C156, ""m""), ""5"","""")"),"5")</f>
        <v>5</v>
      </c>
      <c r="AC156" s="246" t="str">
        <f>IFERROR(__xludf.DUMMYFUNCTION("IF(REGEXMATCH(C156, ""M""), ""6"","""")"),"")</f>
        <v/>
      </c>
      <c r="AD156" s="245" t="str">
        <f>IFERROR(__xludf.DUMMYFUNCTION("IF(REGEXMATCH(C156, ""P""), ""7"","""")"),"7")</f>
        <v>7</v>
      </c>
      <c r="AE156" s="246" t="str">
        <f>IFERROR(__xludf.DUMMYFUNCTION("IF(REGEXMATCH(C156, ""d""), ""8"","""")"),"")</f>
        <v/>
      </c>
      <c r="AF156" s="245" t="str">
        <f>IFERROR(__xludf.DUMMYFUNCTION("IF(REGEXMATCH(C156, ""D""), ""9"","""")"),"")</f>
        <v/>
      </c>
      <c r="AG156" s="245" t="str">
        <f>IFERROR(__xludf.DUMMYFUNCTION("IF(REGEXMATCH(C156, ""n""), ""10"","""")"),"10")</f>
        <v>10</v>
      </c>
      <c r="AH156" s="246" t="str">
        <f>IFERROR(__xludf.DUMMYFUNCTION("IF(REGEXMATCH(C156, ""N""), ""11"","""")"),"")</f>
        <v/>
      </c>
      <c r="AI156" s="249" t="str">
        <f>IFERROR(__xludf.DUMMYFUNCTION("IF(REGEXMATCH(C156, ""S""), ""0"","""")"),"0")</f>
        <v>0</v>
      </c>
      <c r="AJ156" s="313" t="str">
        <f t="shared" si="11"/>
        <v>-</v>
      </c>
      <c r="AK156" s="313" t="str">
        <f t="shared" si="12"/>
        <v>-</v>
      </c>
      <c r="AL156" s="313" t="str">
        <f t="shared" si="13"/>
        <v>-</v>
      </c>
      <c r="AM156" s="313" t="str">
        <f t="shared" si="14"/>
        <v>-</v>
      </c>
      <c r="AN156" s="313" t="str">
        <f t="shared" si="15"/>
        <v>T</v>
      </c>
      <c r="AO156" s="314" t="str">
        <f t="shared" si="16"/>
        <v>-</v>
      </c>
      <c r="AP156" s="316">
        <f t="shared" si="17"/>
        <v>1</v>
      </c>
      <c r="AQ156" s="319" t="str">
        <f t="shared" si="18"/>
        <v>#REF!</v>
      </c>
      <c r="AR156" s="320">
        <f t="shared" si="19"/>
        <v>0</v>
      </c>
      <c r="AS156" s="250" t="str">
        <f>IFERROR(__xludf.DUMMYFUNCTION("SUBSTITUTE(SUBSTITUTE(CONCATENATE(JOIN("""",FP156:GA156)),""|"",""x""),""-"",""o"")"),"xooxxxoxooxo")</f>
        <v>xooxxxoxooxo</v>
      </c>
      <c r="AT156" s="323" t="str">
        <f>IFERROR(__xludf.DUMMYFUNCTION("JOIN("""",AS156,AS156)"),"xooxxxoxooxoxooxxxoxooxo")</f>
        <v>xooxxxoxooxoxooxxxoxooxo</v>
      </c>
      <c r="AU156" s="256" t="str">
        <f>IFERROR(__xludf.DUMMYFUNCTION("JOIN("""",ArrayFormula(MID(AS156,LEN(AS156)-SEQUENCE(1,LEN(AS156))+1,1)))"),"oxooxoxxxoox")</f>
        <v>oxooxoxxxoox</v>
      </c>
      <c r="AV156" s="256" t="str">
        <f>IFERROR(__xludf.DUMMYFUNCTION("LEFT(CONCATENATE(""x"",JOIN("""",ArrayFormula(MID(AS156,LEN(AS156)-SEQUENCE(1,LEN(AS156))+1,1)))),12)"),"xoxooxoxxxoo")</f>
        <v>xoxooxoxxxoo</v>
      </c>
      <c r="AW156" s="327" t="str">
        <f>IFERROR(__xludf.DUMMYFUNCTION("JOIN("""",AU156,AU156)"),"oxooxoxxxooxoxooxoxxxoox")</f>
        <v>oxooxoxxxooxoxooxoxxxoox</v>
      </c>
      <c r="AX156" s="239" t="str">
        <f>IFERROR(__xludf.DUMMYFUNCTION("IF(REGEXMATCH(AW156,AS156),""✔"",""-"")"),"-")</f>
        <v>-</v>
      </c>
      <c r="AY156" s="330" t="str">
        <f t="shared" si="20"/>
        <v>-</v>
      </c>
      <c r="AZ156" s="260" t="str">
        <f t="shared" si="21"/>
        <v>#REF!</v>
      </c>
      <c r="BA156" s="333" t="str">
        <f t="shared" si="22"/>
        <v>xooxxxo</v>
      </c>
      <c r="BB156" s="334" t="str">
        <f t="shared" si="23"/>
        <v>xooxox</v>
      </c>
      <c r="BC156" s="335" t="str">
        <f t="shared" si="236"/>
        <v>-</v>
      </c>
      <c r="BD156" s="336" t="str">
        <f t="shared" si="25"/>
        <v>Jog: 'xooxxxo' + 'xooxox'</v>
      </c>
      <c r="BE156" s="337">
        <f>IFERROR(__xludf.DUMMYFUNCTION("COUNTUNIQUE(FILTER(AT:AT,REGEXMATCH(AT:AT,AS156)))-1"),3.0)</f>
        <v>3</v>
      </c>
      <c r="BF156" s="261" t="str">
        <f>IFERROR(__xludf.DUMMYFUNCTION("IF(BI156=0,""(n/a)"",IF(BJ156=2,""(PAIR)"",IF(REGEXMATCH(AT156,""xoxoxxoxoxox""),""Bilawal"",IF(REGEXMATCH(AT156,""xoxoxooxoxoo""),""Bhupali"",IF(REGEXMATCH(AT156,""xoxoxxoxxoxo""),""Charukeshi"",IF(REGEXMATCH(AT156,""xoxoooxxoxxo""),""Kameshwari"",IF(REG"&amp;"EXMATCH(AT156,""xoxoxooxoxox""),""Shankara"",IF(REGEXMATCH(AT156,""xxooxoxxxoox""),""Basant"",IF(REGEXMATCH(AT156,""xoxoxxxxoxox""),""Bihag"",IF(REGEXMATCH(AT156,""xoxxxxoxoxxx""),""Pilu"",IF(REGEXMATCH(AT156,""xoxxoxoxxoox""),""Kirwani"",IF(REGEXMATCH(AT"&amp;"156,""xoxxoxoxoxxx""),""Mk.Malhar"",IF(REGEXMATCH(AT156,""xxooxxoxxoox""),""Bhairav"",IF(REGEXMATCH(AT156,""xxoxooxxxoox""),""Todi"",IF(REGEXMATCH(AT156,""xxooxoxooxox""),""Marwa"",IF(REGEXMATCH(AT156,""xxoooxoxxooo""),""Gunkali"",IF(REGEXMATCH(AT156,""xo"&amp;"xoxxoxxoox""),""Nat Bhairav"",IF(REGEXMATCH(AT156,""xoxxoooxoxoo""),""Shivranjani"",IF(REGEXMATCH(AT156,""xooxxxoxooxo""),""Jog"",IF(REGEXMATCH(AT156,""xxooxoxoxoox""),""Hemshri"",IF(REGEXMATCH(AT156,""xoooxooxoxxo""),""Kalavati"",IF(REGEXMATCH(AT156,""xx"&amp;"oxoxxoxoox""),""Kedar"",IF(REGEXMATCH(AT156,""xoxxxxoxooxx""),""Gara"",IF(REGEXMATCH(AT156,""xooxoxooxoox""),""Chandrakauns"",IF(REGEXMATCH(AT156,""xoxxxxoxxxox""),""Mand"",IF(REGEXMATCH(AT156,""xoxxxxoxoxox""),""Hanskinkini"",IF(REGEXMATCH(AT156,""xxooxx"&amp;"oxooxo""),""Lilavati"",IF(REGEXMATCH(AT156,""xooxoxoooxox""),""Rajeshwari"",IF(REGEXMATCH(AT156,""xoooxxoxoxxx""),""Khokar"",IF(REGEXMATCH(AT156,""xxooxoxxxxox""),""Maligoura"",""-""))))))))))))))))))))))))))))))"),"Jog")</f>
        <v>Jog</v>
      </c>
      <c r="BG156" s="239" t="str">
        <f t="shared" si="26"/>
        <v>#REF!</v>
      </c>
      <c r="BH156" s="239">
        <f>IFERROR(__xludf.DUMMYFUNCTION("COUNTUNIQUE(FE156:FO156)-1"),5.0)</f>
        <v>5</v>
      </c>
      <c r="BI156" s="239">
        <f>IFERROR(__xludf.DUMMYFUNCTION("COUNTUNIQUE(FILTER(AT:AT,REGEXMATCH(AT:AT,AS156)))-1"),3.0)</f>
        <v>3</v>
      </c>
      <c r="BJ156" s="239">
        <f>IFERROR(__xludf.DUMMYFUNCTION("COUNTA(FILTER(AT:AT,REGEXMATCH(AT:AT,AS156)))"),4.0)</f>
        <v>4</v>
      </c>
      <c r="BK156" s="341">
        <f>IFERROR(__xludf.DUMMYFUNCTION("COUNTA(FILTER(AT:AT,REGEXMATCH(AT:AT,AS156)))-AR156"),4.0)</f>
        <v>4</v>
      </c>
      <c r="BL156" s="276" t="str">
        <f>IFERROR(__xludf.DUMMYFUNCTION("IF(AS156=""oooooooooooo"",""-"",IF(REGEXMATCH(AT156,""xx""), ""Hemi."", ""Anhemi.""))"),"Hemi.")</f>
        <v>Hemi.</v>
      </c>
      <c r="BM156" s="282" t="str">
        <f>IFERROR(__xludf.DUMMYFUNCTION("IF(AS156=""oooooooooooo"",""-"",IF(REGEXMATCH(AT156,""xxx""), ""Cohem."", ""-""))"),"Cohem.")</f>
        <v>Cohem.</v>
      </c>
      <c r="BN156" s="282" t="str">
        <f>IFERROR(__xludf.DUMMYFUNCTION("IF(AS156=""oooooooooooo"",""-"",IF(REGEXMATCH(AT156,""xxxx""), ""Co-Co."", ""-""))"),"-")</f>
        <v>-</v>
      </c>
      <c r="BO156" s="342" t="str">
        <f>IFERROR(__xludf.DUMMYFUNCTION("IF(AS156=""oooooooooooo"",""-"",IF(REGEXMATCH(AT156,""xxxxx""), ""CCC."", ""-""))"),"-")</f>
        <v>-</v>
      </c>
      <c r="BP156" s="344" t="str">
        <f t="shared" si="27"/>
        <v>-</v>
      </c>
      <c r="BQ156" s="282" t="str">
        <f>IFERROR(__xludf.DUMMYFUNCTION("IF(REGEXMATCH(JOIN(""-"",EU156:FD156),""TRUE""),""✔"",""-"")"),"-")</f>
        <v>-</v>
      </c>
      <c r="BR156" s="225">
        <f t="shared" si="28"/>
        <v>0</v>
      </c>
      <c r="BS156" s="345" t="str">
        <f>IFERROR(__xludf.DUMMYFUNCTION("SUBSTITUTE(SUBSTITUTE(SUBSTITUTE(SUBSTITUTE(CONCATENATE(JOIN(""-"",GC156:GO156)),""--"",""-""),""--"",""-""),""--"",""-""),""--"",""-"")"),"1-b3-3-4-5-b7-8")</f>
        <v>1-b3-3-4-5-b7-8</v>
      </c>
      <c r="BT156" s="299" t="str">
        <f>IFERROR(__xludf.DUMMYFUNCTION("SUBSTITUTE(SUBSTITUTE(SUBSTITUTE(SUBSTITUTE(CONCATENATE(JOIN(""-"",GP156:HB156)),""--"",""-""),""--"",""-""),""--"",""-""),""--"",""-"")"),"S-G2-G3-M1-P-N2-S")</f>
        <v>S-G2-G3-M1-P-N2-S</v>
      </c>
      <c r="BU156" s="348" t="str">
        <f t="shared" si="29"/>
        <v>C-Eb-E-F-G-Bb-C</v>
      </c>
      <c r="BV156" s="349" t="str">
        <f t="shared" si="30"/>
        <v>SrRMdDNS</v>
      </c>
      <c r="BW156" s="350">
        <f t="shared" si="31"/>
        <v>0</v>
      </c>
      <c r="BX156" s="351">
        <f t="shared" si="32"/>
        <v>1</v>
      </c>
      <c r="BY156" s="392"/>
      <c r="BZ156" s="309" t="str">
        <f>IFERROR(__xludf.DUMMYFUNCTION("IF(REGEXMATCH(C156, ""S""), ""x"",""x"")"),"x")</f>
        <v>x</v>
      </c>
      <c r="CA156" s="245" t="str">
        <f>IFERROR(__xludf.DUMMYFUNCTION("IF(REGEXMATCH(C156, ""r""), ""o"",""x"")"),"x")</f>
        <v>x</v>
      </c>
      <c r="CB156" s="246" t="str">
        <f>IFERROR(__xludf.DUMMYFUNCTION("IF(REGEXMATCH(C156, ""R""), ""o"",""x"")"),"x")</f>
        <v>x</v>
      </c>
      <c r="CC156" s="246" t="str">
        <f>IFERROR(__xludf.DUMMYFUNCTION("IF(REGEXMATCH(C156, ""g""), ""o"",""x"")"),"o")</f>
        <v>o</v>
      </c>
      <c r="CD156" s="245" t="str">
        <f>IFERROR(__xludf.DUMMYFUNCTION("IF(REGEXMATCH(C156, ""G""), ""o"",""x"")"),"o")</f>
        <v>o</v>
      </c>
      <c r="CE156" s="245" t="str">
        <f>IFERROR(__xludf.DUMMYFUNCTION("IF(REGEXMATCH(C156, ""m""), ""o"",""x"")"),"o")</f>
        <v>o</v>
      </c>
      <c r="CF156" s="246" t="str">
        <f>IFERROR(__xludf.DUMMYFUNCTION("IF(REGEXMATCH(C156, ""M""), ""o"",""x"")"),"x")</f>
        <v>x</v>
      </c>
      <c r="CG156" s="245" t="str">
        <f>IFERROR(__xludf.DUMMYFUNCTION("IF(REGEXMATCH(C156, ""P""), ""o"",""x"")"),"o")</f>
        <v>o</v>
      </c>
      <c r="CH156" s="246" t="str">
        <f>IFERROR(__xludf.DUMMYFUNCTION("IF(REGEXMATCH(C156, ""d""), ""o"",""x"")"),"x")</f>
        <v>x</v>
      </c>
      <c r="CI156" s="245" t="str">
        <f>IFERROR(__xludf.DUMMYFUNCTION("IF(REGEXMATCH(C156, ""D""), ""o"",""x"")"),"x")</f>
        <v>x</v>
      </c>
      <c r="CJ156" s="245" t="str">
        <f>IFERROR(__xludf.DUMMYFUNCTION("IF(REGEXMATCH(C156, ""n""), ""o"",""x"")"),"o")</f>
        <v>o</v>
      </c>
      <c r="CK156" s="245" t="str">
        <f>IFERROR(__xludf.DUMMYFUNCTION("IF(REGEXMATCH(C156, ""N""), ""o"",""x"")"),"x")</f>
        <v>x</v>
      </c>
      <c r="CL156" s="356" t="str">
        <f>IFERROR(__xludf.DUMMYFUNCTION("IF(REGEXMATCH(C156, ""S""), ""x"",""x"")"),"x")</f>
        <v>x</v>
      </c>
      <c r="CM156" s="357" t="str">
        <f t="shared" si="33"/>
        <v>xxxoooxoxxox</v>
      </c>
      <c r="CN156" s="358">
        <f t="shared" si="34"/>
        <v>0</v>
      </c>
      <c r="CO156" s="246" t="str">
        <f>IFERROR(__xludf.DUMMYFUNCTION("IF(REGEXMATCH($C156, ""S""), ""S"",""S"")"),"S")</f>
        <v>S</v>
      </c>
      <c r="CP156" s="246" t="str">
        <f>IFERROR(__xludf.DUMMYFUNCTION("IF(REGEXMATCH($C156, ""r""), """",""r"")"),"r")</f>
        <v>r</v>
      </c>
      <c r="CQ156" s="246" t="str">
        <f>IFERROR(__xludf.DUMMYFUNCTION("IF(REGEXMATCH($C156, ""R""), """",""R"")"),"R")</f>
        <v>R</v>
      </c>
      <c r="CR156" s="246" t="str">
        <f>IFERROR(__xludf.DUMMYFUNCTION("IF(REGEXMATCH($C156, ""g""), """",""g"")"),"")</f>
        <v/>
      </c>
      <c r="CS156" s="246" t="str">
        <f>IFERROR(__xludf.DUMMYFUNCTION("IF(REGEXMATCH($C156, ""G""), """",""G"")"),"")</f>
        <v/>
      </c>
      <c r="CT156" s="246" t="str">
        <f>IFERROR(__xludf.DUMMYFUNCTION("IF(REGEXMATCH($C156, ""m""), """",""m"")"),"")</f>
        <v/>
      </c>
      <c r="CU156" s="246" t="str">
        <f>IFERROR(__xludf.DUMMYFUNCTION("IF(REGEXMATCH($C156, ""M""), """",""M"")"),"M")</f>
        <v>M</v>
      </c>
      <c r="CV156" s="246" t="str">
        <f>IFERROR(__xludf.DUMMYFUNCTION("IF(REGEXMATCH($C156, ""P""), """",""P"")"),"")</f>
        <v/>
      </c>
      <c r="CW156" s="246" t="str">
        <f>IFERROR(__xludf.DUMMYFUNCTION("IF(REGEXMATCH($C156, ""d""), """",""d"")"),"d")</f>
        <v>d</v>
      </c>
      <c r="CX156" s="246" t="str">
        <f>IFERROR(__xludf.DUMMYFUNCTION("IF(REGEXMATCH($C156, ""D""), """",""D"")"),"D")</f>
        <v>D</v>
      </c>
      <c r="CY156" s="246" t="str">
        <f>IFERROR(__xludf.DUMMYFUNCTION("IF(REGEXMATCH($C156, ""n""), """",""n"")"),"")</f>
        <v/>
      </c>
      <c r="CZ156" s="246" t="str">
        <f>IFERROR(__xludf.DUMMYFUNCTION("IF(REGEXMATCH($C156, ""N""), """",""N"")"),"N")</f>
        <v>N</v>
      </c>
      <c r="DA156" s="246" t="str">
        <f>IFERROR(__xludf.DUMMYFUNCTION("IF(REGEXMATCH($C156, ""S""), ""S"",""S"")"),"S")</f>
        <v>S</v>
      </c>
      <c r="DB156" s="362" t="str">
        <f>IFERROR(__xludf.DUMMYFUNCTION("JOIN("""",CO156:DA156,"""","""")"),"SrRMdDNS")</f>
        <v>SrRMdDNS</v>
      </c>
      <c r="DC156" s="363"/>
      <c r="DD156" s="301" t="str">
        <f t="shared" si="35"/>
        <v>#REF!</v>
      </c>
      <c r="DE156" s="302" t="str">
        <f t="shared" si="36"/>
        <v>#REF!</v>
      </c>
      <c r="DF156" s="301" t="str">
        <f t="shared" ref="DF156:DG156" si="520">SUBSTITUTE(S156,"-","")</f>
        <v>SGM</v>
      </c>
      <c r="DG156" s="301" t="str">
        <f t="shared" si="520"/>
        <v>PNS</v>
      </c>
      <c r="DH156" s="302" t="str">
        <f t="shared" si="38"/>
        <v>Jog</v>
      </c>
      <c r="DI156" s="301" t="str">
        <f t="shared" si="39"/>
        <v>Hemi.</v>
      </c>
      <c r="DJ156" s="364" t="str">
        <f t="shared" si="40"/>
        <v>Cohem.</v>
      </c>
      <c r="DK156" s="306" t="str">
        <f t="shared" si="41"/>
        <v>-</v>
      </c>
      <c r="DL156" s="366" t="str">
        <f t="shared" si="42"/>
        <v>-</v>
      </c>
      <c r="DM156" s="308" t="str">
        <f t="shared" si="43"/>
        <v>✔</v>
      </c>
      <c r="DN156" s="306" t="str">
        <f t="shared" si="44"/>
        <v>-</v>
      </c>
      <c r="DO156" s="306" t="str">
        <f t="shared" si="45"/>
        <v>-</v>
      </c>
      <c r="DP156" s="367" t="str">
        <f t="shared" si="46"/>
        <v>-</v>
      </c>
      <c r="DQ156" s="310" t="str">
        <f t="shared" si="47"/>
        <v>-</v>
      </c>
      <c r="DR156" s="310" t="str">
        <f t="shared" si="48"/>
        <v>✔</v>
      </c>
      <c r="DS156" s="310" t="str">
        <f t="shared" si="49"/>
        <v>-</v>
      </c>
      <c r="DT156" s="310" t="str">
        <f t="shared" si="50"/>
        <v>-</v>
      </c>
      <c r="DU156" s="370" t="str">
        <f t="shared" si="51"/>
        <v>-</v>
      </c>
      <c r="DV156" s="306" t="str">
        <f t="shared" si="52"/>
        <v>✔</v>
      </c>
      <c r="DW156" s="306" t="str">
        <f t="shared" si="53"/>
        <v>-</v>
      </c>
      <c r="DX156" s="306" t="str">
        <f t="shared" si="54"/>
        <v>-</v>
      </c>
      <c r="DY156" s="306" t="str">
        <f t="shared" si="55"/>
        <v>-</v>
      </c>
      <c r="DZ156" s="306" t="str">
        <f t="shared" si="56"/>
        <v>✔</v>
      </c>
      <c r="EA156" s="367" t="str">
        <f t="shared" si="57"/>
        <v>-</v>
      </c>
      <c r="EB156" s="310" t="str">
        <f>IFERROR(__xludf.DUMMYFUNCTION("IF(REGEXMATCH(AW156,AS156),""✔"",""-"")"),"-")</f>
        <v>-</v>
      </c>
      <c r="EC156" s="310" t="str">
        <f t="shared" si="58"/>
        <v>#REF!</v>
      </c>
      <c r="ED156" s="370" t="str">
        <f t="shared" si="59"/>
        <v>-</v>
      </c>
      <c r="EE156" s="340" t="str">
        <f t="shared" si="60"/>
        <v>S-gG-m-P-n-S</v>
      </c>
      <c r="EF156" s="371" t="str">
        <f>IFERROR(__xludf.DUMMYFUNCTION("CONCATENATE(JOIN("""",HC156:HO156))"),"SRmPdDS")</f>
        <v>SRmPdDS</v>
      </c>
      <c r="EG156" s="372">
        <f t="shared" si="61"/>
        <v>2</v>
      </c>
      <c r="EH156" s="373" t="str">
        <f>IFERROR(__xludf.DUMMYFUNCTION("CONCATENATE(JOIN("""",JC156:JO156))"),"Ga, Pa, ")</f>
        <v>Ga, Pa, </v>
      </c>
      <c r="EI156" s="322">
        <f t="shared" si="62"/>
        <v>1</v>
      </c>
      <c r="EJ156" s="374" t="str">
        <f>IFERROR(__xludf.DUMMYFUNCTION("CONCATENATE(JOIN("""",KC156:KO156))"),"Ga, ")</f>
        <v>Ga, </v>
      </c>
      <c r="EK156" s="325" t="str">
        <f t="shared" si="63"/>
        <v>S-G2-G3-M1-P-N2-S</v>
      </c>
      <c r="EL156" s="326" t="str">
        <f t="shared" si="64"/>
        <v>1-b3-3-4-5-b7-8</v>
      </c>
      <c r="EM156" s="318" t="str">
        <f t="shared" si="65"/>
        <v>#REF!</v>
      </c>
      <c r="EN156" s="328" t="str">
        <f>IFERROR(__xludf.DUMMYFUNCTION("SUBSTITUTE(SUBSTITUTE(SUBSTITUTE(SUBSTITUTE(CONCATENATE(JOIN("" "",HP156:IB156)),""  "","" ""),""  "","" ""),""  "","" ""),""  "","" "")"),"o • • o o o • o • • o • o")</f>
        <v>o • • o o o • o • • o • o</v>
      </c>
      <c r="EO156" s="368" t="str">
        <f t="shared" si="66"/>
        <v>-</v>
      </c>
      <c r="EP156" s="339" t="str">
        <f t="shared" si="67"/>
        <v>-</v>
      </c>
      <c r="EQ156" s="339" t="str">
        <f t="shared" si="68"/>
        <v>Sa-Pa</v>
      </c>
      <c r="ER156" s="339" t="str">
        <f t="shared" si="69"/>
        <v>-</v>
      </c>
      <c r="ES156" s="340" t="str">
        <f t="shared" si="70"/>
        <v>-</v>
      </c>
      <c r="ET156" s="363"/>
      <c r="EU156" s="376" t="b">
        <f>IFERROR(__xludf.DUMMYFUNCTION("arrayformula(sum(--REGEXMATCH(""SRGMPDNS"",split(REGEXREPLACE(C156,""(.)"",""$1~""),""~""))))=len(C156)
"),FALSE)</f>
        <v>0</v>
      </c>
      <c r="EV156" s="290" t="b">
        <f>IFERROR(__xludf.DUMMYFUNCTION("arrayformula(sum(--REGEXMATCH(""SRGmPDNS"",split(REGEXREPLACE(C156,""(.)"",""$1~""),""~""))))=len(C156)"),FALSE)</f>
        <v>0</v>
      </c>
      <c r="EW156" s="290" t="b">
        <f>IFERROR(__xludf.DUMMYFUNCTION("arrayformula(sum(--REGEXMATCH(""SRGmPDnS"",split(REGEXREPLACE(C156,""(.)"",""$1~""),""~""))))=len(C156)"),FALSE)</f>
        <v>0</v>
      </c>
      <c r="EX156" s="290" t="b">
        <f>IFERROR(__xludf.DUMMYFUNCTION("arrayformula(sum(--REGEXMATCH(""SRgmPDnS"",split(REGEXREPLACE(C156,""(.)"",""$1~""),""~""))))=len(C156)"),FALSE)</f>
        <v>0</v>
      </c>
      <c r="EY156" s="290" t="b">
        <f>IFERROR(__xludf.DUMMYFUNCTION("arrayformula(sum(--REGEXMATCH(""SRgmPdnS"",split(REGEXREPLACE(C156,""(.)"",""$1~""),""~""))))=len(C156)"),FALSE)</f>
        <v>0</v>
      </c>
      <c r="EZ156" s="290" t="b">
        <f>IFERROR(__xludf.DUMMYFUNCTION("arrayformula(sum(--REGEXMATCH(""SrgmPdnS"",split(REGEXREPLACE(C156,""(.)"",""$1~""),""~""))))=len(C156)"),FALSE)</f>
        <v>0</v>
      </c>
      <c r="FA156" s="290" t="b">
        <f>IFERROR(__xludf.DUMMYFUNCTION("arrayformula(sum(--REGEXMATCH(""SrGmPdNS"",split(REGEXREPLACE(C156,""(.)"",""$1~""),""~""))))=len(C156)"),FALSE)</f>
        <v>0</v>
      </c>
      <c r="FB156" s="290" t="b">
        <f>IFERROR(__xludf.DUMMYFUNCTION("arrayformula(sum(--REGEXMATCH(""SrGMPDNS"",split(REGEXREPLACE(C156,""(.)"",""$1~""),""~""))))=len(C156)"),FALSE)</f>
        <v>0</v>
      </c>
      <c r="FC156" s="290" t="b">
        <f>IFERROR(__xludf.DUMMYFUNCTION("arrayformula(sum(--REGEXMATCH(""SrGMPdNS"",split(REGEXREPLACE(C156,""(.)"",""$1~""),""~""))))=len(C156)"),FALSE)</f>
        <v>0</v>
      </c>
      <c r="FD156" s="377" t="b">
        <f>IFERROR(__xludf.DUMMYFUNCTION("arrayformula(sum(--REGEXMATCH(""SrgMPdNS"",split(REGEXREPLACE(C156,""(.)"",""$1~""),""~""))))=len(C156)"),FALSE)</f>
        <v>0</v>
      </c>
      <c r="FE156" s="269" t="str">
        <f t="shared" si="71"/>
        <v>-</v>
      </c>
      <c r="FF156" s="269" t="str">
        <f t="shared" si="72"/>
        <v>-</v>
      </c>
      <c r="FG156" s="271" t="str">
        <f t="shared" si="73"/>
        <v>xxxoxooxoxo</v>
      </c>
      <c r="FH156" s="269" t="str">
        <f t="shared" si="74"/>
        <v>xxoxooxoxoo</v>
      </c>
      <c r="FI156" s="271" t="str">
        <f t="shared" si="75"/>
        <v>xoxooxoxoox</v>
      </c>
      <c r="FJ156" s="271" t="str">
        <f t="shared" si="76"/>
        <v>-</v>
      </c>
      <c r="FK156" s="271" t="str">
        <f t="shared" si="77"/>
        <v>xooxoxooxxx</v>
      </c>
      <c r="FL156" s="271" t="str">
        <f t="shared" si="78"/>
        <v>-</v>
      </c>
      <c r="FM156" s="271" t="str">
        <f t="shared" si="79"/>
        <v>-</v>
      </c>
      <c r="FN156" s="271" t="str">
        <f t="shared" si="80"/>
        <v>xoxooxxxoxo</v>
      </c>
      <c r="FO156" s="274" t="str">
        <f t="shared" si="81"/>
        <v>-</v>
      </c>
      <c r="FP156" s="234" t="str">
        <f t="shared" si="82"/>
        <v>|</v>
      </c>
      <c r="FQ156" s="236" t="str">
        <f t="shared" si="83"/>
        <v>-</v>
      </c>
      <c r="FR156" s="237" t="str">
        <f t="shared" si="84"/>
        <v>-</v>
      </c>
      <c r="FS156" s="236" t="str">
        <f t="shared" si="85"/>
        <v>|</v>
      </c>
      <c r="FT156" s="237" t="str">
        <f t="shared" si="86"/>
        <v>|</v>
      </c>
      <c r="FU156" s="236" t="str">
        <f t="shared" si="87"/>
        <v>|</v>
      </c>
      <c r="FV156" s="237" t="str">
        <f t="shared" si="88"/>
        <v>-</v>
      </c>
      <c r="FW156" s="236" t="str">
        <f t="shared" si="89"/>
        <v>|</v>
      </c>
      <c r="FX156" s="237" t="str">
        <f t="shared" si="90"/>
        <v>-</v>
      </c>
      <c r="FY156" s="236" t="str">
        <f t="shared" si="91"/>
        <v>-</v>
      </c>
      <c r="FZ156" s="237" t="str">
        <f t="shared" si="92"/>
        <v>|</v>
      </c>
      <c r="GA156" s="236" t="str">
        <f t="shared" si="93"/>
        <v>-</v>
      </c>
      <c r="GB156" s="238" t="str">
        <f t="shared" si="94"/>
        <v>|</v>
      </c>
      <c r="GC156" s="244" t="str">
        <f>IFERROR(__xludf.DUMMYFUNCTION("IF(REGEXMATCH(C156, ""S""), ""1"","""")"),"1")</f>
        <v>1</v>
      </c>
      <c r="GD156" s="245" t="str">
        <f>IFERROR(__xludf.DUMMYFUNCTION("IF(REGEXMATCH(C156, ""r""), ""b2"","""")"),"")</f>
        <v/>
      </c>
      <c r="GE156" s="246" t="str">
        <f>IFERROR(__xludf.DUMMYFUNCTION("IF(REGEXMATCH(C156, ""R""), ""2"","""")"),"")</f>
        <v/>
      </c>
      <c r="GF156" s="246" t="str">
        <f>IFERROR(__xludf.DUMMYFUNCTION("IF(REGEXMATCH(C156, ""g""), ""b3"","""")"),"b3")</f>
        <v>b3</v>
      </c>
      <c r="GG156" s="245" t="str">
        <f>IFERROR(__xludf.DUMMYFUNCTION("IF(REGEXMATCH(C156, ""G""), ""3"","""")"),"3")</f>
        <v>3</v>
      </c>
      <c r="GH156" s="245" t="str">
        <f>IFERROR(__xludf.DUMMYFUNCTION("IF(REGEXMATCH(C156, ""m""), ""4"","""")"),"4")</f>
        <v>4</v>
      </c>
      <c r="GI156" s="246" t="str">
        <f>IFERROR(__xludf.DUMMYFUNCTION("IF(REGEXMATCH(C156, ""M""), ""#4"","""")"),"")</f>
        <v/>
      </c>
      <c r="GJ156" s="245" t="str">
        <f>IFERROR(__xludf.DUMMYFUNCTION("IF(REGEXMATCH(C156, ""P""), ""5"","""")"),"5")</f>
        <v>5</v>
      </c>
      <c r="GK156" s="246" t="str">
        <f>IFERROR(__xludf.DUMMYFUNCTION("IF(REGEXMATCH(C156, ""d""), ""b6"","""")"),"")</f>
        <v/>
      </c>
      <c r="GL156" s="245" t="str">
        <f>IFERROR(__xludf.DUMMYFUNCTION("IF(REGEXMATCH(C156, ""D""), ""6"","""")"),"")</f>
        <v/>
      </c>
      <c r="GM156" s="245" t="str">
        <f>IFERROR(__xludf.DUMMYFUNCTION("IF(REGEXMATCH(C156, ""n""), ""b7"","""")"),"b7")</f>
        <v>b7</v>
      </c>
      <c r="GN156" s="246" t="str">
        <f>IFERROR(__xludf.DUMMYFUNCTION("IF(REGEXMATCH(C156, ""N""), ""7"","""")"),"")</f>
        <v/>
      </c>
      <c r="GO156" s="249" t="str">
        <f>IFERROR(__xludf.DUMMYFUNCTION("IF(REGEXMATCH(C156, ""S""), ""8"","""")"),"8")</f>
        <v>8</v>
      </c>
      <c r="GP156" s="244" t="str">
        <f>IFERROR(__xludf.DUMMYFUNCTION("IF(REGEXMATCH(C156, ""S""), ""S"","""")"),"S")</f>
        <v>S</v>
      </c>
      <c r="GQ156" s="294" t="str">
        <f>IFERROR(__xludf.DUMMYFUNCTION("IF(REGEXMATCH(C156, ""r""), ""R1"","""")"),"")</f>
        <v/>
      </c>
      <c r="GR156" s="295" t="str">
        <f>IFERROR(__xludf.DUMMYFUNCTION("IF(REGEXMATCH(C156, ""R""), ""R2"","""")"),"")</f>
        <v/>
      </c>
      <c r="GS156" s="295" t="str">
        <f>IFERROR(__xludf.DUMMYFUNCTION("IF(REGEXMATCH(C156, ""g""), ""G2"","""")"),"G2")</f>
        <v>G2</v>
      </c>
      <c r="GT156" s="294" t="str">
        <f>IFERROR(__xludf.DUMMYFUNCTION("IF(REGEXMATCH(C156, ""G""), ""G3"","""")"),"G3")</f>
        <v>G3</v>
      </c>
      <c r="GU156" s="294" t="str">
        <f>IFERROR(__xludf.DUMMYFUNCTION("IF(REGEXMATCH(C156, ""m""), ""M1"","""")"),"M1")</f>
        <v>M1</v>
      </c>
      <c r="GV156" s="295" t="str">
        <f>IFERROR(__xludf.DUMMYFUNCTION("IF(REGEXMATCH(C156, ""M""), ""M2"","""")"),"")</f>
        <v/>
      </c>
      <c r="GW156" s="294" t="str">
        <f>IFERROR(__xludf.DUMMYFUNCTION("IF(REGEXMATCH(C156, ""P""), ""P"","""")"),"P")</f>
        <v>P</v>
      </c>
      <c r="GX156" s="295" t="str">
        <f>IFERROR(__xludf.DUMMYFUNCTION("IF(REGEXMATCH(C156, ""d""), ""D1"","""")"),"")</f>
        <v/>
      </c>
      <c r="GY156" s="294" t="str">
        <f>IFERROR(__xludf.DUMMYFUNCTION("IF(REGEXMATCH(C156, ""D""), ""D2"","""")"),"")</f>
        <v/>
      </c>
      <c r="GZ156" s="294" t="str">
        <f>IFERROR(__xludf.DUMMYFUNCTION("IF(REGEXMATCH(C156, ""n""), ""N2"","""")"),"N2")</f>
        <v>N2</v>
      </c>
      <c r="HA156" s="295" t="str">
        <f>IFERROR(__xludf.DUMMYFUNCTION("IF(REGEXMATCH(C156, ""N""), ""N3"","""")"),"")</f>
        <v/>
      </c>
      <c r="HB156" s="249" t="str">
        <f>IFERROR(__xludf.DUMMYFUNCTION("IF(REGEXMATCH(C156, ""S""), ""S"","""")"),"S")</f>
        <v>S</v>
      </c>
      <c r="HC156" s="331" t="str">
        <f t="shared" si="95"/>
        <v>S</v>
      </c>
      <c r="HD156" s="332" t="str">
        <f t="shared" si="96"/>
        <v/>
      </c>
      <c r="HE156" s="332" t="str">
        <f t="shared" si="97"/>
        <v>R</v>
      </c>
      <c r="HF156" s="332" t="str">
        <f t="shared" si="98"/>
        <v/>
      </c>
      <c r="HG156" s="332" t="str">
        <f t="shared" si="99"/>
        <v/>
      </c>
      <c r="HH156" s="332" t="str">
        <f t="shared" si="100"/>
        <v>m</v>
      </c>
      <c r="HI156" s="332" t="str">
        <f t="shared" si="101"/>
        <v/>
      </c>
      <c r="HJ156" s="332" t="str">
        <f t="shared" si="102"/>
        <v>P</v>
      </c>
      <c r="HK156" s="332" t="str">
        <f t="shared" si="103"/>
        <v>d</v>
      </c>
      <c r="HL156" s="332" t="str">
        <f t="shared" si="104"/>
        <v>D</v>
      </c>
      <c r="HM156" s="332" t="str">
        <f t="shared" si="105"/>
        <v/>
      </c>
      <c r="HN156" s="332" t="str">
        <f t="shared" si="106"/>
        <v/>
      </c>
      <c r="HO156" s="343" t="str">
        <f t="shared" si="107"/>
        <v>S</v>
      </c>
      <c r="HP156" s="331" t="str">
        <f t="shared" si="108"/>
        <v>o</v>
      </c>
      <c r="HQ156" s="332" t="str">
        <f t="shared" si="109"/>
        <v>•</v>
      </c>
      <c r="HR156" s="332" t="str">
        <f t="shared" si="110"/>
        <v>•</v>
      </c>
      <c r="HS156" s="332" t="str">
        <f t="shared" si="111"/>
        <v>o</v>
      </c>
      <c r="HT156" s="332" t="str">
        <f t="shared" si="112"/>
        <v>o</v>
      </c>
      <c r="HU156" s="332" t="str">
        <f t="shared" si="113"/>
        <v>o</v>
      </c>
      <c r="HV156" s="332" t="str">
        <f t="shared" si="114"/>
        <v>•</v>
      </c>
      <c r="HW156" s="332" t="str">
        <f t="shared" si="115"/>
        <v>o</v>
      </c>
      <c r="HX156" s="332" t="str">
        <f t="shared" si="116"/>
        <v>•</v>
      </c>
      <c r="HY156" s="332" t="str">
        <f t="shared" si="117"/>
        <v>•</v>
      </c>
      <c r="HZ156" s="332" t="str">
        <f t="shared" si="118"/>
        <v>o</v>
      </c>
      <c r="IA156" s="332" t="str">
        <f t="shared" si="119"/>
        <v>•</v>
      </c>
      <c r="IB156" s="338" t="str">
        <f t="shared" si="120"/>
        <v>o</v>
      </c>
      <c r="IC156" s="331" t="str">
        <f t="shared" si="121"/>
        <v>•</v>
      </c>
      <c r="ID156" s="332" t="str">
        <f t="shared" si="122"/>
        <v>o</v>
      </c>
      <c r="IE156" s="332" t="str">
        <f t="shared" si="123"/>
        <v>o</v>
      </c>
      <c r="IF156" s="332" t="str">
        <f t="shared" si="124"/>
        <v>•</v>
      </c>
      <c r="IG156" s="332" t="str">
        <f t="shared" si="125"/>
        <v>•</v>
      </c>
      <c r="IH156" s="332" t="str">
        <f t="shared" si="126"/>
        <v>•</v>
      </c>
      <c r="II156" s="332" t="str">
        <f t="shared" si="127"/>
        <v>o</v>
      </c>
      <c r="IJ156" s="332" t="str">
        <f t="shared" si="128"/>
        <v>•</v>
      </c>
      <c r="IK156" s="332" t="str">
        <f t="shared" si="129"/>
        <v>o</v>
      </c>
      <c r="IL156" s="332" t="str">
        <f t="shared" si="130"/>
        <v>o</v>
      </c>
      <c r="IM156" s="332" t="str">
        <f t="shared" si="131"/>
        <v>•</v>
      </c>
      <c r="IN156" s="332" t="str">
        <f t="shared" si="132"/>
        <v>o</v>
      </c>
      <c r="IO156" s="338" t="str">
        <f t="shared" si="133"/>
        <v>•</v>
      </c>
      <c r="IP156" s="346" t="b">
        <f t="shared" si="134"/>
        <v>0</v>
      </c>
      <c r="IQ156" s="347" t="b">
        <f t="shared" si="135"/>
        <v>0</v>
      </c>
      <c r="IR156" s="347" t="b">
        <f t="shared" si="136"/>
        <v>0</v>
      </c>
      <c r="IS156" s="347" t="b">
        <f t="shared" si="137"/>
        <v>0</v>
      </c>
      <c r="IT156" s="347" t="b">
        <f t="shared" si="138"/>
        <v>1</v>
      </c>
      <c r="IU156" s="347" t="b">
        <f t="shared" si="139"/>
        <v>0</v>
      </c>
      <c r="IV156" s="347" t="b">
        <f t="shared" si="140"/>
        <v>0</v>
      </c>
      <c r="IW156" s="347" t="b">
        <f t="shared" si="141"/>
        <v>1</v>
      </c>
      <c r="IX156" s="347" t="b">
        <f t="shared" si="142"/>
        <v>0</v>
      </c>
      <c r="IY156" s="347" t="b">
        <f t="shared" si="143"/>
        <v>0</v>
      </c>
      <c r="IZ156" s="347" t="b">
        <f t="shared" si="144"/>
        <v>0</v>
      </c>
      <c r="JA156" s="347" t="b">
        <f t="shared" si="145"/>
        <v>0</v>
      </c>
      <c r="JB156" s="353" t="b">
        <f t="shared" si="146"/>
        <v>0</v>
      </c>
      <c r="JC156" s="354" t="str">
        <f t="shared" si="147"/>
        <v/>
      </c>
      <c r="JD156" s="355" t="str">
        <f t="shared" si="148"/>
        <v/>
      </c>
      <c r="JE156" s="355" t="str">
        <f t="shared" si="149"/>
        <v/>
      </c>
      <c r="JF156" s="355" t="str">
        <f t="shared" si="150"/>
        <v/>
      </c>
      <c r="JG156" s="355" t="str">
        <f t="shared" si="151"/>
        <v>Ga, </v>
      </c>
      <c r="JH156" s="355" t="str">
        <f t="shared" si="152"/>
        <v/>
      </c>
      <c r="JI156" s="355" t="str">
        <f t="shared" si="153"/>
        <v/>
      </c>
      <c r="JJ156" s="355" t="str">
        <f t="shared" si="154"/>
        <v>Pa, </v>
      </c>
      <c r="JK156" s="355" t="str">
        <f t="shared" si="155"/>
        <v/>
      </c>
      <c r="JL156" s="355" t="str">
        <f t="shared" si="156"/>
        <v/>
      </c>
      <c r="JM156" s="355" t="str">
        <f t="shared" si="157"/>
        <v/>
      </c>
      <c r="JN156" s="355" t="str">
        <f t="shared" si="158"/>
        <v/>
      </c>
      <c r="JO156" s="359" t="str">
        <f t="shared" si="159"/>
        <v/>
      </c>
      <c r="JP156" s="346" t="b">
        <f t="shared" si="160"/>
        <v>0</v>
      </c>
      <c r="JQ156" s="347" t="b">
        <f t="shared" si="161"/>
        <v>0</v>
      </c>
      <c r="JR156" s="347" t="b">
        <f t="shared" si="162"/>
        <v>0</v>
      </c>
      <c r="JS156" s="347" t="b">
        <f t="shared" si="163"/>
        <v>0</v>
      </c>
      <c r="JT156" s="347" t="b">
        <f t="shared" si="164"/>
        <v>1</v>
      </c>
      <c r="JU156" s="347" t="b">
        <f t="shared" si="165"/>
        <v>0</v>
      </c>
      <c r="JV156" s="347" t="b">
        <f t="shared" si="166"/>
        <v>0</v>
      </c>
      <c r="JW156" s="347" t="b">
        <f t="shared" si="167"/>
        <v>0</v>
      </c>
      <c r="JX156" s="347" t="b">
        <f t="shared" si="168"/>
        <v>0</v>
      </c>
      <c r="JY156" s="347" t="b">
        <f t="shared" si="169"/>
        <v>0</v>
      </c>
      <c r="JZ156" s="347" t="b">
        <f t="shared" si="170"/>
        <v>0</v>
      </c>
      <c r="KA156" s="347" t="b">
        <f t="shared" si="171"/>
        <v>0</v>
      </c>
      <c r="KB156" s="365" t="b">
        <f t="shared" si="172"/>
        <v>0</v>
      </c>
      <c r="KC156" s="354" t="str">
        <f t="shared" si="173"/>
        <v/>
      </c>
      <c r="KD156" s="355" t="str">
        <f t="shared" si="174"/>
        <v/>
      </c>
      <c r="KE156" s="355" t="str">
        <f t="shared" si="175"/>
        <v/>
      </c>
      <c r="KF156" s="355" t="str">
        <f t="shared" si="176"/>
        <v/>
      </c>
      <c r="KG156" s="355" t="str">
        <f t="shared" si="177"/>
        <v>Ga, </v>
      </c>
      <c r="KH156" s="355" t="str">
        <f t="shared" si="178"/>
        <v/>
      </c>
      <c r="KI156" s="355" t="str">
        <f t="shared" si="179"/>
        <v/>
      </c>
      <c r="KJ156" s="355" t="str">
        <f t="shared" si="180"/>
        <v/>
      </c>
      <c r="KK156" s="355" t="str">
        <f t="shared" si="181"/>
        <v/>
      </c>
      <c r="KL156" s="355" t="str">
        <f t="shared" si="182"/>
        <v/>
      </c>
      <c r="KM156" s="355" t="str">
        <f t="shared" si="183"/>
        <v/>
      </c>
      <c r="KN156" s="355" t="str">
        <f t="shared" si="184"/>
        <v/>
      </c>
      <c r="KO156" s="359"/>
      <c r="KP156" s="378"/>
      <c r="KQ156" s="379" t="s">
        <v>1339</v>
      </c>
      <c r="KR156" s="380" t="s">
        <v>1414</v>
      </c>
      <c r="KS156" s="381" t="str">
        <f t="shared" si="521"/>
        <v>S-G-m-P-n-S</v>
      </c>
      <c r="KT156" s="382">
        <f t="shared" si="186"/>
        <v>5</v>
      </c>
      <c r="KU156" s="383">
        <f t="shared" si="187"/>
        <v>5</v>
      </c>
      <c r="KV156" s="381" t="str">
        <f t="shared" si="205"/>
        <v>S-n-P-m-Gg-S</v>
      </c>
      <c r="KW156" s="382">
        <f t="shared" si="189"/>
        <v>5</v>
      </c>
      <c r="KX156" s="384">
        <f t="shared" si="190"/>
        <v>6</v>
      </c>
      <c r="KY156" s="382">
        <f t="shared" ref="KY156:KZ156" si="522">KW156-KT156</f>
        <v>0</v>
      </c>
      <c r="KZ156" s="369">
        <f t="shared" si="522"/>
        <v>1</v>
      </c>
      <c r="LA156" s="385" t="str">
        <f t="shared" si="192"/>
        <v>-</v>
      </c>
      <c r="LB156" s="340" t="str">
        <f>IFERROR(__xludf.DUMMYFUNCTION("JOIN("""",ArrayFormula(MID(KS156,LEN(KS156)-SEQUENCE(1,LEN(KS156))+1,1)))"),"S-n-P-m-G-S")</f>
        <v>S-n-P-m-G-S</v>
      </c>
      <c r="LC156" s="373" t="str">
        <f>IFERROR(__xludf.DUMMYFUNCTION("JOIN("""",ArrayFormula(MID(KV156,LEN(KV156)-SEQUENCE(1,LEN(KV156))+1,1)))"),"S-gG-m-P-n-S")</f>
        <v>S-gG-m-P-n-S</v>
      </c>
      <c r="LD156" s="373" t="str">
        <f t="shared" si="193"/>
        <v>SGmPnS</v>
      </c>
      <c r="LE156" s="339" t="str">
        <f t="shared" si="194"/>
        <v>SgGmPnS</v>
      </c>
      <c r="LF156" s="386" t="str">
        <f>IFERROR(__xludf.DUMMYFUNCTION("SUBSTITUTE(SUBSTITUTE(CONCATENATE(JOIN("""",LH156:LT156)),""1"",""""),""2"","""")"),"SgGmPnS")</f>
        <v>SgGmPnS</v>
      </c>
      <c r="LG156" s="369" t="str">
        <f t="shared" si="195"/>
        <v>✔</v>
      </c>
      <c r="LH156" s="387" t="str">
        <f>IFERROR(__xludf.DUMMYFUNCTION("IF(REGEXMATCH(LD156, ""S""), ""S"",IF(REGEXMATCH(LE156, ""S""), ""S"",""""))"),"S")</f>
        <v>S</v>
      </c>
      <c r="LI156" s="299" t="str">
        <f>IFERROR(__xludf.DUMMYFUNCTION("IF(REGEXMATCH(LD156, ""r""), ""r1"",IF(REGEXMATCH(LE156, ""r""), ""r2"",""""))"),"")</f>
        <v/>
      </c>
      <c r="LJ156" s="299" t="str">
        <f>IFERROR(__xludf.DUMMYFUNCTION("IF(REGEXMATCH(LD156, ""R""), ""R1"",IF(REGEXMATCH(LE156, ""R""), ""R2"",""""))"),"")</f>
        <v/>
      </c>
      <c r="LK156" s="299" t="str">
        <f>IFERROR(__xludf.DUMMYFUNCTION("IF(REGEXMATCH(LD156, ""g""), ""g1"",IF(REGEXMATCH(LE156, ""g""), ""g2"",""""))"),"g2")</f>
        <v>g2</v>
      </c>
      <c r="LL156" s="299" t="str">
        <f>IFERROR(__xludf.DUMMYFUNCTION("IF(REGEXMATCH(LD156, ""G""), ""G1"",IF(REGEXMATCH(LE156, ""G""), ""G2"",""""))"),"G1")</f>
        <v>G1</v>
      </c>
      <c r="LM156" s="299" t="str">
        <f>IFERROR(__xludf.DUMMYFUNCTION("IF(REGEXMATCH(LD156, ""m""), ""m1"",IF(REGEXMATCH(LE156, ""m""), ""m2"",""""))"),"m1")</f>
        <v>m1</v>
      </c>
      <c r="LN156" s="299" t="str">
        <f>IFERROR(__xludf.DUMMYFUNCTION("IF(REGEXMATCH(LD156, ""M""), ""M1"",IF(REGEXMATCH(LE156, ""M""), ""M2"",""""))"),"")</f>
        <v/>
      </c>
      <c r="LO156" s="299" t="str">
        <f>IFERROR(__xludf.DUMMYFUNCTION("IF(REGEXMATCH(LD156, ""P""), ""P1"",IF(REGEXMATCH(LE156, ""P""), ""P2"",""""))"),"P1")</f>
        <v>P1</v>
      </c>
      <c r="LP156" s="299" t="str">
        <f>IFERROR(__xludf.DUMMYFUNCTION("IF(REGEXMATCH(LD156, ""d""), ""d1"",IF(REGEXMATCH(LE156, ""d""), ""d2"",""""))"),"")</f>
        <v/>
      </c>
      <c r="LQ156" s="299" t="str">
        <f>IFERROR(__xludf.DUMMYFUNCTION("IF(REGEXMATCH(LD156, ""D""), ""D1"",IF(REGEXMATCH(LE156, ""D""), ""D2"",""""))"),"")</f>
        <v/>
      </c>
      <c r="LR156" s="299" t="str">
        <f>IFERROR(__xludf.DUMMYFUNCTION("IF(REGEXMATCH(LD156, ""n""), ""n1"",IF(REGEXMATCH(LE156, ""n""), ""n2"",""""))"),"n1")</f>
        <v>n1</v>
      </c>
      <c r="LS156" s="299" t="str">
        <f>IFERROR(__xludf.DUMMYFUNCTION("IF(REGEXMATCH(LD156, ""N""), ""N1"",IF(REGEXMATCH(LE156, ""N""), ""N2"",""""))"),"")</f>
        <v/>
      </c>
      <c r="LT156" s="388" t="str">
        <f>IFERROR(__xludf.DUMMYFUNCTION("IF(REGEXMATCH(LD156, ""S""), ""S"",IF(REGEXMATCH(LE156, ""S""), ""S"",""""))"),"S")</f>
        <v>S</v>
      </c>
      <c r="LU156" s="389">
        <f t="shared" si="196"/>
        <v>0</v>
      </c>
      <c r="LV156" s="378"/>
      <c r="LW156" s="369"/>
      <c r="LX156" s="369"/>
    </row>
    <row r="157" ht="18.0" customHeight="1">
      <c r="A157" s="298" t="s">
        <v>1415</v>
      </c>
      <c r="B157" s="222" t="s">
        <v>1416</v>
      </c>
      <c r="C157" s="233" t="str">
        <f t="shared" si="7"/>
        <v>SgGmPnNS</v>
      </c>
      <c r="D157" s="234" t="str">
        <f>IFERROR(__xludf.DUMMYFUNCTION("IF(REGEXMATCH(C157, ""S""), ""S"","""")"),"S")</f>
        <v>S</v>
      </c>
      <c r="E157" s="236" t="str">
        <f>IFERROR(__xludf.DUMMYFUNCTION("IF(REGEXMATCH(C157, ""r""), ""r"","""")"),"")</f>
        <v/>
      </c>
      <c r="F157" s="237" t="str">
        <f>IFERROR(__xludf.DUMMYFUNCTION("IF(REGEXMATCH(C157, ""R""), ""R"","""")"),"")</f>
        <v/>
      </c>
      <c r="G157" s="237" t="str">
        <f>IFERROR(__xludf.DUMMYFUNCTION("IF(REGEXMATCH(C157, ""g""), ""g"","""")"),"g")</f>
        <v>g</v>
      </c>
      <c r="H157" s="236" t="str">
        <f>IFERROR(__xludf.DUMMYFUNCTION("IF(REGEXMATCH(C157, ""G""), ""G"","""")"),"G")</f>
        <v>G</v>
      </c>
      <c r="I157" s="236" t="str">
        <f>IFERROR(__xludf.DUMMYFUNCTION("IF(REGEXMATCH(C157, ""m""), ""m"","""")"),"m")</f>
        <v>m</v>
      </c>
      <c r="J157" s="237" t="str">
        <f>IFERROR(__xludf.DUMMYFUNCTION("IF(REGEXMATCH(C157, ""M""), ""M"","""")"),"")</f>
        <v/>
      </c>
      <c r="K157" s="236" t="str">
        <f>IFERROR(__xludf.DUMMYFUNCTION("IF(REGEXMATCH(C157, ""P""), ""P"","""")"),"P")</f>
        <v>P</v>
      </c>
      <c r="L157" s="237" t="str">
        <f>IFERROR(__xludf.DUMMYFUNCTION("IF(REGEXMATCH(C157, ""d""), ""d"","""")"),"")</f>
        <v/>
      </c>
      <c r="M157" s="236" t="str">
        <f>IFERROR(__xludf.DUMMYFUNCTION("IF(REGEXMATCH(C157, ""D""), ""D"","""")"),"")</f>
        <v/>
      </c>
      <c r="N157" s="236" t="str">
        <f>IFERROR(__xludf.DUMMYFUNCTION("IF(REGEXMATCH(C157, ""n""), ""n"","""")"),"n")</f>
        <v>n</v>
      </c>
      <c r="O157" s="237" t="str">
        <f>IFERROR(__xludf.DUMMYFUNCTION("IF(REGEXMATCH(C157, ""N""), ""N"","""")"),"N")</f>
        <v>N</v>
      </c>
      <c r="P157" s="238" t="str">
        <f>IFERROR(__xludf.DUMMYFUNCTION("IF(REGEXMATCH(C157, ""S""), ""S"","""")"),"S")</f>
        <v>S</v>
      </c>
      <c r="Q157" s="239" t="str">
        <f>IFERROR(__xludf.DUMMYFUNCTION("SUBSTITUTE(CONCATENATE(JOIN(""-"",D157:J157)),""-"","""")"),"SgGm")</f>
        <v>SgGm</v>
      </c>
      <c r="R157" s="229" t="str">
        <f>IFERROR(__xludf.DUMMYFUNCTION("SUBSTITUTE(CONCATENATE(JOIN(""-"",K157:P157)),""-"","""")"),"PnNS")</f>
        <v>PnNS</v>
      </c>
      <c r="S157" s="282" t="str">
        <f t="shared" si="8"/>
        <v>S-G-M</v>
      </c>
      <c r="T157" s="282" t="str">
        <f t="shared" si="9"/>
        <v>P-N-S</v>
      </c>
      <c r="U157" s="237" t="str">
        <f>IFERROR(__xludf.DUMMYFUNCTION("SUBSTITUTE(JOIN(""-"",S157,T157),""--"",""-"")"),"S-G-M-P-N-S")</f>
        <v>S-G-M-P-N-S</v>
      </c>
      <c r="V157" s="309" t="str">
        <f t="shared" si="10"/>
        <v>gGmnN</v>
      </c>
      <c r="W157" s="244" t="str">
        <f>IFERROR(__xludf.DUMMYFUNCTION("IF(REGEXMATCH(C157, ""S""), ""0"","""")"),"0")</f>
        <v>0</v>
      </c>
      <c r="X157" s="245" t="str">
        <f>IFERROR(__xludf.DUMMYFUNCTION("IF(REGEXMATCH(C157, ""r""), ""1"","""")"),"")</f>
        <v/>
      </c>
      <c r="Y157" s="246" t="str">
        <f>IFERROR(__xludf.DUMMYFUNCTION("IF(REGEXMATCH(C157, ""R""), ""2"","""")"),"")</f>
        <v/>
      </c>
      <c r="Z157" s="246" t="str">
        <f>IFERROR(__xludf.DUMMYFUNCTION("IF(REGEXMATCH(C157, ""g""), ""3"","""")"),"3")</f>
        <v>3</v>
      </c>
      <c r="AA157" s="245" t="str">
        <f>IFERROR(__xludf.DUMMYFUNCTION("IF(REGEXMATCH(C157, ""G""), ""4"","""")"),"4")</f>
        <v>4</v>
      </c>
      <c r="AB157" s="245" t="str">
        <f>IFERROR(__xludf.DUMMYFUNCTION("IF(REGEXMATCH(C157, ""m""), ""5"","""")"),"5")</f>
        <v>5</v>
      </c>
      <c r="AC157" s="246" t="str">
        <f>IFERROR(__xludf.DUMMYFUNCTION("IF(REGEXMATCH(C157, ""M""), ""6"","""")"),"")</f>
        <v/>
      </c>
      <c r="AD157" s="245" t="str">
        <f>IFERROR(__xludf.DUMMYFUNCTION("IF(REGEXMATCH(C157, ""P""), ""7"","""")"),"7")</f>
        <v>7</v>
      </c>
      <c r="AE157" s="246" t="str">
        <f>IFERROR(__xludf.DUMMYFUNCTION("IF(REGEXMATCH(C157, ""d""), ""8"","""")"),"")</f>
        <v/>
      </c>
      <c r="AF157" s="245" t="str">
        <f>IFERROR(__xludf.DUMMYFUNCTION("IF(REGEXMATCH(C157, ""D""), ""9"","""")"),"")</f>
        <v/>
      </c>
      <c r="AG157" s="245" t="str">
        <f>IFERROR(__xludf.DUMMYFUNCTION("IF(REGEXMATCH(C157, ""n""), ""10"","""")"),"10")</f>
        <v>10</v>
      </c>
      <c r="AH157" s="246" t="str">
        <f>IFERROR(__xludf.DUMMYFUNCTION("IF(REGEXMATCH(C157, ""N""), ""11"","""")"),"11")</f>
        <v>11</v>
      </c>
      <c r="AI157" s="249" t="str">
        <f>IFERROR(__xludf.DUMMYFUNCTION("IF(REGEXMATCH(C157, ""S""), ""0"","""")"),"0")</f>
        <v>0</v>
      </c>
      <c r="AJ157" s="313" t="str">
        <f t="shared" si="11"/>
        <v>-</v>
      </c>
      <c r="AK157" s="313" t="str">
        <f t="shared" si="12"/>
        <v>-</v>
      </c>
      <c r="AL157" s="313" t="str">
        <f t="shared" si="13"/>
        <v>-</v>
      </c>
      <c r="AM157" s="313" t="str">
        <f t="shared" si="14"/>
        <v>-</v>
      </c>
      <c r="AN157" s="313" t="str">
        <f t="shared" si="15"/>
        <v>T</v>
      </c>
      <c r="AO157" s="314" t="str">
        <f t="shared" si="16"/>
        <v>T</v>
      </c>
      <c r="AP157" s="316">
        <f t="shared" si="17"/>
        <v>2</v>
      </c>
      <c r="AQ157" s="319" t="str">
        <f t="shared" si="18"/>
        <v>-</v>
      </c>
      <c r="AR157" s="320">
        <f t="shared" si="19"/>
        <v>0</v>
      </c>
      <c r="AS157" s="250" t="str">
        <f>IFERROR(__xludf.DUMMYFUNCTION("SUBSTITUTE(SUBSTITUTE(CONCATENATE(JOIN("""",FP157:GA157)),""|"",""x""),""-"",""o"")"),"xooxxxoxooxx")</f>
        <v>xooxxxoxooxx</v>
      </c>
      <c r="AT157" s="323" t="str">
        <f>IFERROR(__xludf.DUMMYFUNCTION("JOIN("""",AS157,AS157)"),"xooxxxoxooxxxooxxxoxooxx")</f>
        <v>xooxxxoxooxxxooxxxoxooxx</v>
      </c>
      <c r="AU157" s="256" t="str">
        <f>IFERROR(__xludf.DUMMYFUNCTION("JOIN("""",ArrayFormula(MID(AS157,LEN(AS157)-SEQUENCE(1,LEN(AS157))+1,1)))"),"xxooxoxxxoox")</f>
        <v>xxooxoxxxoox</v>
      </c>
      <c r="AV157" s="256" t="str">
        <f>IFERROR(__xludf.DUMMYFUNCTION("LEFT(CONCATENATE(""x"",JOIN("""",ArrayFormula(MID(AS157,LEN(AS157)-SEQUENCE(1,LEN(AS157))+1,1)))),12)"),"xxxooxoxxxoo")</f>
        <v>xxxooxoxxxoo</v>
      </c>
      <c r="AW157" s="327" t="str">
        <f>IFERROR(__xludf.DUMMYFUNCTION("JOIN("""",AU157,AU157)"),"xxooxoxxxooxxxooxoxxxoox")</f>
        <v>xxooxoxxxooxxxooxoxxxoox</v>
      </c>
      <c r="AX157" s="239" t="str">
        <f>IFERROR(__xludf.DUMMYFUNCTION("IF(REGEXMATCH(AW157,AS157),""✔"",""-"")"),"-")</f>
        <v>-</v>
      </c>
      <c r="AY157" s="330" t="str">
        <f t="shared" si="20"/>
        <v>-</v>
      </c>
      <c r="AZ157" s="260" t="str">
        <f t="shared" si="21"/>
        <v>#REF!</v>
      </c>
      <c r="BA157" s="333" t="str">
        <f t="shared" si="22"/>
        <v>xooxxxo</v>
      </c>
      <c r="BB157" s="334" t="str">
        <f t="shared" si="23"/>
        <v>xooxxx</v>
      </c>
      <c r="BC157" s="335" t="str">
        <f t="shared" si="236"/>
        <v>✔</v>
      </c>
      <c r="BD157" s="336" t="str">
        <f t="shared" si="25"/>
        <v>Jog Tilang: 'xooxxxo' + 'xooxxx'</v>
      </c>
      <c r="BE157" s="337">
        <f>IFERROR(__xludf.DUMMYFUNCTION("COUNTUNIQUE(FILTER(AT:AT,REGEXMATCH(AT:AT,AS157)))-1"),3.0)</f>
        <v>3</v>
      </c>
      <c r="BF157" s="261" t="str">
        <f>IFERROR(__xludf.DUMMYFUNCTION("IF(BI157=0,""(n/a)"",IF(BJ157=2,""(PAIR)"",IF(REGEXMATCH(AT157,""xoxoxxoxoxox""),""Bilawal"",IF(REGEXMATCH(AT157,""xoxoxooxoxoo""),""Bhupali"",IF(REGEXMATCH(AT157,""xoxoxxoxxoxo""),""Charukeshi"",IF(REGEXMATCH(AT157,""xoxoooxxoxxo""),""Kameshwari"",IF(REG"&amp;"EXMATCH(AT157,""xoxoxooxoxox""),""Shankara"",IF(REGEXMATCH(AT157,""xxooxoxxxoox""),""Basant"",IF(REGEXMATCH(AT157,""xoxoxxxxoxox""),""Bihag"",IF(REGEXMATCH(AT157,""xoxxxxoxoxxx""),""Pilu"",IF(REGEXMATCH(AT157,""xoxxoxoxxoox""),""Kirwani"",IF(REGEXMATCH(AT"&amp;"157,""xoxxoxoxoxxx""),""Mk.Malhar"",IF(REGEXMATCH(AT157,""xxooxxoxxoox""),""Bhairav"",IF(REGEXMATCH(AT157,""xxoxooxxxoox""),""Todi"",IF(REGEXMATCH(AT157,""xxooxoxooxox""),""Marwa"",IF(REGEXMATCH(AT157,""xxoooxoxxooo""),""Gunkali"",IF(REGEXMATCH(AT157,""xo"&amp;"xoxxoxxoox""),""Nat Bhairav"",IF(REGEXMATCH(AT157,""xoxxoooxoxoo""),""Shivranjani"",IF(REGEXMATCH(AT157,""xooxxxoxooxo""),""Jog"",IF(REGEXMATCH(AT157,""xxooxoxoxoox""),""Hemshri"",IF(REGEXMATCH(AT157,""xoooxooxoxxo""),""Kalavati"",IF(REGEXMATCH(AT157,""xx"&amp;"oxoxxoxoox""),""Kedar"",IF(REGEXMATCH(AT157,""xoxxxxoxooxx""),""Gara"",IF(REGEXMATCH(AT157,""xooxoxooxoox""),""Chandrakauns"",IF(REGEXMATCH(AT157,""xoxxxxoxxxox""),""Mand"",IF(REGEXMATCH(AT157,""xoxxxxoxoxox""),""Hanskinkini"",IF(REGEXMATCH(AT157,""xxooxx"&amp;"oxooxo""),""Lilavati"",IF(REGEXMATCH(AT157,""xooxoxoooxox""),""Rajeshwari"",IF(REGEXMATCH(AT157,""xoooxxoxoxxx""),""Khokar"",IF(REGEXMATCH(AT157,""xxooxoxxxxox""),""Maligoura"",""-""))))))))))))))))))))))))))))))"),"Todi")</f>
        <v>Todi</v>
      </c>
      <c r="BG157" s="239" t="str">
        <f t="shared" si="26"/>
        <v>#REF!</v>
      </c>
      <c r="BH157" s="239">
        <f>IFERROR(__xludf.DUMMYFUNCTION("COUNTUNIQUE(FE157:FO157)-1"),6.0)</f>
        <v>6</v>
      </c>
      <c r="BI157" s="239">
        <f>IFERROR(__xludf.DUMMYFUNCTION("COUNTUNIQUE(FILTER(AT:AT,REGEXMATCH(AT:AT,AS157)))-1"),3.0)</f>
        <v>3</v>
      </c>
      <c r="BJ157" s="239">
        <f>IFERROR(__xludf.DUMMYFUNCTION("COUNTA(FILTER(AT:AT,REGEXMATCH(AT:AT,AS157)))"),6.0)</f>
        <v>6</v>
      </c>
      <c r="BK157" s="341">
        <f>IFERROR(__xludf.DUMMYFUNCTION("COUNTA(FILTER(AT:AT,REGEXMATCH(AT:AT,AS157)))-AR157"),6.0)</f>
        <v>6</v>
      </c>
      <c r="BL157" s="276" t="str">
        <f>IFERROR(__xludf.DUMMYFUNCTION("IF(AS157=""oooooooooooo"",""-"",IF(REGEXMATCH(AT157,""xx""), ""Hemi."", ""Anhemi.""))"),"Hemi.")</f>
        <v>Hemi.</v>
      </c>
      <c r="BM157" s="282" t="str">
        <f>IFERROR(__xludf.DUMMYFUNCTION("IF(AS157=""oooooooooooo"",""-"",IF(REGEXMATCH(AT157,""xxx""), ""Cohem."", ""-""))"),"Cohem.")</f>
        <v>Cohem.</v>
      </c>
      <c r="BN157" s="282" t="str">
        <f>IFERROR(__xludf.DUMMYFUNCTION("IF(AS157=""oooooooooooo"",""-"",IF(REGEXMATCH(AT157,""xxxx""), ""Co-Co."", ""-""))"),"-")</f>
        <v>-</v>
      </c>
      <c r="BO157" s="342" t="str">
        <f>IFERROR(__xludf.DUMMYFUNCTION("IF(AS157=""oooooooooooo"",""-"",IF(REGEXMATCH(AT157,""xxxxx""), ""CCC."", ""-""))"),"-")</f>
        <v>-</v>
      </c>
      <c r="BP157" s="344" t="str">
        <f t="shared" si="27"/>
        <v>-</v>
      </c>
      <c r="BQ157" s="282" t="str">
        <f>IFERROR(__xludf.DUMMYFUNCTION("IF(REGEXMATCH(JOIN(""-"",EU157:FD157),""TRUE""),""✔"",""-"")"),"-")</f>
        <v>-</v>
      </c>
      <c r="BR157" s="225">
        <f t="shared" si="28"/>
        <v>0</v>
      </c>
      <c r="BS157" s="345" t="str">
        <f>IFERROR(__xludf.DUMMYFUNCTION("SUBSTITUTE(SUBSTITUTE(SUBSTITUTE(SUBSTITUTE(CONCATENATE(JOIN(""-"",GC157:GO157)),""--"",""-""),""--"",""-""),""--"",""-""),""--"",""-"")"),"1-b3-3-4-5-b7-7-8")</f>
        <v>1-b3-3-4-5-b7-7-8</v>
      </c>
      <c r="BT157" s="299" t="str">
        <f>IFERROR(__xludf.DUMMYFUNCTION("SUBSTITUTE(SUBSTITUTE(SUBSTITUTE(SUBSTITUTE(CONCATENATE(JOIN(""-"",GP157:HB157)),""--"",""-""),""--"",""-""),""--"",""-""),""--"",""-"")"),"S-G2-G3-M1-P-N2-N3-S")</f>
        <v>S-G2-G3-M1-P-N2-N3-S</v>
      </c>
      <c r="BU157" s="348" t="str">
        <f t="shared" si="29"/>
        <v>C-Eb-E-F-G-Bb-B-C</v>
      </c>
      <c r="BV157" s="349" t="str">
        <f t="shared" si="30"/>
        <v>SrRMdDS</v>
      </c>
      <c r="BW157" s="350">
        <f t="shared" si="31"/>
        <v>0</v>
      </c>
      <c r="BX157" s="351">
        <f t="shared" si="32"/>
        <v>1</v>
      </c>
      <c r="BY157" s="392"/>
      <c r="BZ157" s="309" t="str">
        <f>IFERROR(__xludf.DUMMYFUNCTION("IF(REGEXMATCH(C157, ""S""), ""x"",""x"")"),"x")</f>
        <v>x</v>
      </c>
      <c r="CA157" s="245" t="str">
        <f>IFERROR(__xludf.DUMMYFUNCTION("IF(REGEXMATCH(C157, ""r""), ""o"",""x"")"),"x")</f>
        <v>x</v>
      </c>
      <c r="CB157" s="246" t="str">
        <f>IFERROR(__xludf.DUMMYFUNCTION("IF(REGEXMATCH(C157, ""R""), ""o"",""x"")"),"x")</f>
        <v>x</v>
      </c>
      <c r="CC157" s="246" t="str">
        <f>IFERROR(__xludf.DUMMYFUNCTION("IF(REGEXMATCH(C157, ""g""), ""o"",""x"")"),"o")</f>
        <v>o</v>
      </c>
      <c r="CD157" s="245" t="str">
        <f>IFERROR(__xludf.DUMMYFUNCTION("IF(REGEXMATCH(C157, ""G""), ""o"",""x"")"),"o")</f>
        <v>o</v>
      </c>
      <c r="CE157" s="245" t="str">
        <f>IFERROR(__xludf.DUMMYFUNCTION("IF(REGEXMATCH(C157, ""m""), ""o"",""x"")"),"o")</f>
        <v>o</v>
      </c>
      <c r="CF157" s="246" t="str">
        <f>IFERROR(__xludf.DUMMYFUNCTION("IF(REGEXMATCH(C157, ""M""), ""o"",""x"")"),"x")</f>
        <v>x</v>
      </c>
      <c r="CG157" s="245" t="str">
        <f>IFERROR(__xludf.DUMMYFUNCTION("IF(REGEXMATCH(C157, ""P""), ""o"",""x"")"),"o")</f>
        <v>o</v>
      </c>
      <c r="CH157" s="246" t="str">
        <f>IFERROR(__xludf.DUMMYFUNCTION("IF(REGEXMATCH(C157, ""d""), ""o"",""x"")"),"x")</f>
        <v>x</v>
      </c>
      <c r="CI157" s="245" t="str">
        <f>IFERROR(__xludf.DUMMYFUNCTION("IF(REGEXMATCH(C157, ""D""), ""o"",""x"")"),"x")</f>
        <v>x</v>
      </c>
      <c r="CJ157" s="245" t="str">
        <f>IFERROR(__xludf.DUMMYFUNCTION("IF(REGEXMATCH(C157, ""n""), ""o"",""x"")"),"o")</f>
        <v>o</v>
      </c>
      <c r="CK157" s="245" t="str">
        <f>IFERROR(__xludf.DUMMYFUNCTION("IF(REGEXMATCH(C157, ""N""), ""o"",""x"")"),"o")</f>
        <v>o</v>
      </c>
      <c r="CL157" s="356" t="str">
        <f>IFERROR(__xludf.DUMMYFUNCTION("IF(REGEXMATCH(C157, ""S""), ""x"",""x"")"),"x")</f>
        <v>x</v>
      </c>
      <c r="CM157" s="357" t="str">
        <f t="shared" si="33"/>
        <v>xxxoooxoxxoo</v>
      </c>
      <c r="CN157" s="358">
        <f t="shared" si="34"/>
        <v>0</v>
      </c>
      <c r="CO157" s="246" t="str">
        <f>IFERROR(__xludf.DUMMYFUNCTION("IF(REGEXMATCH($C157, ""S""), ""S"",""S"")"),"S")</f>
        <v>S</v>
      </c>
      <c r="CP157" s="246" t="str">
        <f>IFERROR(__xludf.DUMMYFUNCTION("IF(REGEXMATCH($C157, ""r""), """",""r"")"),"r")</f>
        <v>r</v>
      </c>
      <c r="CQ157" s="246" t="str">
        <f>IFERROR(__xludf.DUMMYFUNCTION("IF(REGEXMATCH($C157, ""R""), """",""R"")"),"R")</f>
        <v>R</v>
      </c>
      <c r="CR157" s="246" t="str">
        <f>IFERROR(__xludf.DUMMYFUNCTION("IF(REGEXMATCH($C157, ""g""), """",""g"")"),"")</f>
        <v/>
      </c>
      <c r="CS157" s="246" t="str">
        <f>IFERROR(__xludf.DUMMYFUNCTION("IF(REGEXMATCH($C157, ""G""), """",""G"")"),"")</f>
        <v/>
      </c>
      <c r="CT157" s="246" t="str">
        <f>IFERROR(__xludf.DUMMYFUNCTION("IF(REGEXMATCH($C157, ""m""), """",""m"")"),"")</f>
        <v/>
      </c>
      <c r="CU157" s="246" t="str">
        <f>IFERROR(__xludf.DUMMYFUNCTION("IF(REGEXMATCH($C157, ""M""), """",""M"")"),"M")</f>
        <v>M</v>
      </c>
      <c r="CV157" s="246" t="str">
        <f>IFERROR(__xludf.DUMMYFUNCTION("IF(REGEXMATCH($C157, ""P""), """",""P"")"),"")</f>
        <v/>
      </c>
      <c r="CW157" s="246" t="str">
        <f>IFERROR(__xludf.DUMMYFUNCTION("IF(REGEXMATCH($C157, ""d""), """",""d"")"),"d")</f>
        <v>d</v>
      </c>
      <c r="CX157" s="246" t="str">
        <f>IFERROR(__xludf.DUMMYFUNCTION("IF(REGEXMATCH($C157, ""D""), """",""D"")"),"D")</f>
        <v>D</v>
      </c>
      <c r="CY157" s="246" t="str">
        <f>IFERROR(__xludf.DUMMYFUNCTION("IF(REGEXMATCH($C157, ""n""), """",""n"")"),"")</f>
        <v/>
      </c>
      <c r="CZ157" s="246" t="str">
        <f>IFERROR(__xludf.DUMMYFUNCTION("IF(REGEXMATCH($C157, ""N""), """",""N"")"),"")</f>
        <v/>
      </c>
      <c r="DA157" s="246" t="str">
        <f>IFERROR(__xludf.DUMMYFUNCTION("IF(REGEXMATCH($C157, ""S""), ""S"",""S"")"),"S")</f>
        <v>S</v>
      </c>
      <c r="DB157" s="362" t="str">
        <f>IFERROR(__xludf.DUMMYFUNCTION("JOIN("""",CO157:DA157,"""","""")"),"SrRMdDS")</f>
        <v>SrRMdDS</v>
      </c>
      <c r="DC157" s="363"/>
      <c r="DD157" s="301" t="str">
        <f t="shared" si="35"/>
        <v>#REF!</v>
      </c>
      <c r="DE157" s="302" t="str">
        <f t="shared" si="36"/>
        <v>#REF!</v>
      </c>
      <c r="DF157" s="301" t="str">
        <f t="shared" ref="DF157:DG157" si="523">SUBSTITUTE(S157,"-","")</f>
        <v>SGM</v>
      </c>
      <c r="DG157" s="301" t="str">
        <f t="shared" si="523"/>
        <v>PNS</v>
      </c>
      <c r="DH157" s="302" t="str">
        <f t="shared" si="38"/>
        <v>Todi</v>
      </c>
      <c r="DI157" s="301" t="str">
        <f t="shared" si="39"/>
        <v>Hemi.</v>
      </c>
      <c r="DJ157" s="364" t="str">
        <f t="shared" si="40"/>
        <v>Cohem.</v>
      </c>
      <c r="DK157" s="306" t="str">
        <f t="shared" si="41"/>
        <v>-</v>
      </c>
      <c r="DL157" s="366" t="str">
        <f t="shared" si="42"/>
        <v>-</v>
      </c>
      <c r="DM157" s="308" t="str">
        <f t="shared" si="43"/>
        <v>✔</v>
      </c>
      <c r="DN157" s="306" t="str">
        <f t="shared" si="44"/>
        <v>-</v>
      </c>
      <c r="DO157" s="306" t="str">
        <f t="shared" si="45"/>
        <v>-</v>
      </c>
      <c r="DP157" s="367" t="str">
        <f t="shared" si="46"/>
        <v>-</v>
      </c>
      <c r="DQ157" s="310" t="str">
        <f t="shared" si="47"/>
        <v>-</v>
      </c>
      <c r="DR157" s="310" t="str">
        <f t="shared" si="48"/>
        <v>✔</v>
      </c>
      <c r="DS157" s="310" t="str">
        <f t="shared" si="49"/>
        <v>-</v>
      </c>
      <c r="DT157" s="310" t="str">
        <f t="shared" si="50"/>
        <v>-</v>
      </c>
      <c r="DU157" s="370" t="str">
        <f t="shared" si="51"/>
        <v>✔</v>
      </c>
      <c r="DV157" s="306" t="str">
        <f t="shared" si="52"/>
        <v>✔</v>
      </c>
      <c r="DW157" s="306" t="str">
        <f t="shared" si="53"/>
        <v>-</v>
      </c>
      <c r="DX157" s="306" t="str">
        <f t="shared" si="54"/>
        <v>-</v>
      </c>
      <c r="DY157" s="306" t="str">
        <f t="shared" si="55"/>
        <v>-</v>
      </c>
      <c r="DZ157" s="306" t="str">
        <f t="shared" si="56"/>
        <v>✔</v>
      </c>
      <c r="EA157" s="367" t="str">
        <f t="shared" si="57"/>
        <v>-</v>
      </c>
      <c r="EB157" s="310" t="str">
        <f>IFERROR(__xludf.DUMMYFUNCTION("IF(REGEXMATCH(AW157,AS157),""✔"",""-"")"),"-")</f>
        <v>-</v>
      </c>
      <c r="EC157" s="310" t="str">
        <f t="shared" si="58"/>
        <v>#REF!</v>
      </c>
      <c r="ED157" s="370" t="str">
        <f t="shared" si="59"/>
        <v>-</v>
      </c>
      <c r="EE157" s="340" t="str">
        <f t="shared" si="60"/>
        <v>S-gG-m-P-nN-S</v>
      </c>
      <c r="EF157" s="371" t="str">
        <f>IFERROR(__xludf.DUMMYFUNCTION("CONCATENATE(JOIN("""",HC157:HO157))"),"SrRmPdDS")</f>
        <v>SrRmPdDS</v>
      </c>
      <c r="EG157" s="372">
        <f t="shared" si="61"/>
        <v>2</v>
      </c>
      <c r="EH157" s="373" t="str">
        <f>IFERROR(__xludf.DUMMYFUNCTION("CONCATENATE(JOIN("""",JC157:JO157))"),"Pa, Ni, ")</f>
        <v>Pa, Ni, </v>
      </c>
      <c r="EI157" s="322">
        <f t="shared" si="62"/>
        <v>0</v>
      </c>
      <c r="EJ157" s="374" t="str">
        <f>IFERROR(__xludf.DUMMYFUNCTION("CONCATENATE(JOIN("""",KC157:KO157))"),"")</f>
        <v/>
      </c>
      <c r="EK157" s="325" t="str">
        <f t="shared" si="63"/>
        <v>S-G2-G3-M1-P-N2-N3-S</v>
      </c>
      <c r="EL157" s="326" t="str">
        <f t="shared" si="64"/>
        <v>1-b3-3-4-5-b7-7-8</v>
      </c>
      <c r="EM157" s="318" t="str">
        <f t="shared" si="65"/>
        <v>#REF!</v>
      </c>
      <c r="EN157" s="328" t="str">
        <f>IFERROR(__xludf.DUMMYFUNCTION("SUBSTITUTE(SUBSTITUTE(SUBSTITUTE(SUBSTITUTE(CONCATENATE(JOIN("" "",HP157:IB157)),""  "","" ""),""  "","" ""),""  "","" ""),""  "","" "")"),"o • • o o o • o • • o o o")</f>
        <v>o • • o o o • o • • o o o</v>
      </c>
      <c r="EO157" s="368" t="str">
        <f t="shared" si="66"/>
        <v>-</v>
      </c>
      <c r="EP157" s="339" t="str">
        <f t="shared" si="67"/>
        <v>-</v>
      </c>
      <c r="EQ157" s="339" t="str">
        <f t="shared" si="68"/>
        <v>Sa-Pa</v>
      </c>
      <c r="ER157" s="339" t="str">
        <f t="shared" si="69"/>
        <v>-</v>
      </c>
      <c r="ES157" s="340" t="str">
        <f t="shared" si="70"/>
        <v>-</v>
      </c>
      <c r="ET157" s="363"/>
      <c r="EU157" s="376" t="b">
        <f>IFERROR(__xludf.DUMMYFUNCTION("arrayformula(sum(--REGEXMATCH(""SRGMPDNS"",split(REGEXREPLACE(C157,""(.)"",""$1~""),""~""))))=len(C157)
"),FALSE)</f>
        <v>0</v>
      </c>
      <c r="EV157" s="290" t="b">
        <f>IFERROR(__xludf.DUMMYFUNCTION("arrayformula(sum(--REGEXMATCH(""SRGmPDNS"",split(REGEXREPLACE(C157,""(.)"",""$1~""),""~""))))=len(C157)"),FALSE)</f>
        <v>0</v>
      </c>
      <c r="EW157" s="290" t="b">
        <f>IFERROR(__xludf.DUMMYFUNCTION("arrayformula(sum(--REGEXMATCH(""SRGmPDnS"",split(REGEXREPLACE(C157,""(.)"",""$1~""),""~""))))=len(C157)"),FALSE)</f>
        <v>0</v>
      </c>
      <c r="EX157" s="290" t="b">
        <f>IFERROR(__xludf.DUMMYFUNCTION("arrayformula(sum(--REGEXMATCH(""SRgmPDnS"",split(REGEXREPLACE(C157,""(.)"",""$1~""),""~""))))=len(C157)"),FALSE)</f>
        <v>0</v>
      </c>
      <c r="EY157" s="290" t="b">
        <f>IFERROR(__xludf.DUMMYFUNCTION("arrayformula(sum(--REGEXMATCH(""SRgmPdnS"",split(REGEXREPLACE(C157,""(.)"",""$1~""),""~""))))=len(C157)"),FALSE)</f>
        <v>0</v>
      </c>
      <c r="EZ157" s="290" t="b">
        <f>IFERROR(__xludf.DUMMYFUNCTION("arrayformula(sum(--REGEXMATCH(""SrgmPdnS"",split(REGEXREPLACE(C157,""(.)"",""$1~""),""~""))))=len(C157)"),FALSE)</f>
        <v>0</v>
      </c>
      <c r="FA157" s="290" t="b">
        <f>IFERROR(__xludf.DUMMYFUNCTION("arrayformula(sum(--REGEXMATCH(""SrGmPdNS"",split(REGEXREPLACE(C157,""(.)"",""$1~""),""~""))))=len(C157)"),FALSE)</f>
        <v>0</v>
      </c>
      <c r="FB157" s="290" t="b">
        <f>IFERROR(__xludf.DUMMYFUNCTION("arrayformula(sum(--REGEXMATCH(""SrGMPDNS"",split(REGEXREPLACE(C157,""(.)"",""$1~""),""~""))))=len(C157)"),FALSE)</f>
        <v>0</v>
      </c>
      <c r="FC157" s="290" t="b">
        <f>IFERROR(__xludf.DUMMYFUNCTION("arrayformula(sum(--REGEXMATCH(""SrGMPdNS"",split(REGEXREPLACE(C157,""(.)"",""$1~""),""~""))))=len(C157)"),FALSE)</f>
        <v>0</v>
      </c>
      <c r="FD157" s="377" t="b">
        <f>IFERROR(__xludf.DUMMYFUNCTION("arrayformula(sum(--REGEXMATCH(""SrgMPdNS"",split(REGEXREPLACE(C157,""(.)"",""$1~""),""~""))))=len(C157)"),FALSE)</f>
        <v>0</v>
      </c>
      <c r="FE157" s="269" t="str">
        <f t="shared" si="71"/>
        <v>-</v>
      </c>
      <c r="FF157" s="269" t="str">
        <f t="shared" si="72"/>
        <v>-</v>
      </c>
      <c r="FG157" s="271" t="str">
        <f t="shared" si="73"/>
        <v>xxxoxooxxxo</v>
      </c>
      <c r="FH157" s="269" t="str">
        <f t="shared" si="74"/>
        <v>xxoxooxxxoo</v>
      </c>
      <c r="FI157" s="271" t="str">
        <f t="shared" si="75"/>
        <v>xoxooxxxoox</v>
      </c>
      <c r="FJ157" s="271" t="str">
        <f t="shared" si="76"/>
        <v>-</v>
      </c>
      <c r="FK157" s="271" t="str">
        <f t="shared" si="77"/>
        <v>xooxxxooxxx</v>
      </c>
      <c r="FL157" s="271" t="str">
        <f t="shared" si="78"/>
        <v>-</v>
      </c>
      <c r="FM157" s="271" t="str">
        <f t="shared" si="79"/>
        <v>-</v>
      </c>
      <c r="FN157" s="271" t="str">
        <f t="shared" si="80"/>
        <v>xxxooxxxoxo</v>
      </c>
      <c r="FO157" s="274" t="str">
        <f t="shared" si="81"/>
        <v>xxooxxxoxoo</v>
      </c>
      <c r="FP157" s="234" t="str">
        <f t="shared" si="82"/>
        <v>|</v>
      </c>
      <c r="FQ157" s="236" t="str">
        <f t="shared" si="83"/>
        <v>-</v>
      </c>
      <c r="FR157" s="237" t="str">
        <f t="shared" si="84"/>
        <v>-</v>
      </c>
      <c r="FS157" s="236" t="str">
        <f t="shared" si="85"/>
        <v>|</v>
      </c>
      <c r="FT157" s="237" t="str">
        <f t="shared" si="86"/>
        <v>|</v>
      </c>
      <c r="FU157" s="236" t="str">
        <f t="shared" si="87"/>
        <v>|</v>
      </c>
      <c r="FV157" s="237" t="str">
        <f t="shared" si="88"/>
        <v>-</v>
      </c>
      <c r="FW157" s="236" t="str">
        <f t="shared" si="89"/>
        <v>|</v>
      </c>
      <c r="FX157" s="237" t="str">
        <f t="shared" si="90"/>
        <v>-</v>
      </c>
      <c r="FY157" s="236" t="str">
        <f t="shared" si="91"/>
        <v>-</v>
      </c>
      <c r="FZ157" s="237" t="str">
        <f t="shared" si="92"/>
        <v>|</v>
      </c>
      <c r="GA157" s="236" t="str">
        <f t="shared" si="93"/>
        <v>|</v>
      </c>
      <c r="GB157" s="238" t="str">
        <f t="shared" si="94"/>
        <v>|</v>
      </c>
      <c r="GC157" s="244" t="str">
        <f>IFERROR(__xludf.DUMMYFUNCTION("IF(REGEXMATCH(C157, ""S""), ""1"","""")"),"1")</f>
        <v>1</v>
      </c>
      <c r="GD157" s="245" t="str">
        <f>IFERROR(__xludf.DUMMYFUNCTION("IF(REGEXMATCH(C157, ""r""), ""b2"","""")"),"")</f>
        <v/>
      </c>
      <c r="GE157" s="246" t="str">
        <f>IFERROR(__xludf.DUMMYFUNCTION("IF(REGEXMATCH(C157, ""R""), ""2"","""")"),"")</f>
        <v/>
      </c>
      <c r="GF157" s="246" t="str">
        <f>IFERROR(__xludf.DUMMYFUNCTION("IF(REGEXMATCH(C157, ""g""), ""b3"","""")"),"b3")</f>
        <v>b3</v>
      </c>
      <c r="GG157" s="245" t="str">
        <f>IFERROR(__xludf.DUMMYFUNCTION("IF(REGEXMATCH(C157, ""G""), ""3"","""")"),"3")</f>
        <v>3</v>
      </c>
      <c r="GH157" s="245" t="str">
        <f>IFERROR(__xludf.DUMMYFUNCTION("IF(REGEXMATCH(C157, ""m""), ""4"","""")"),"4")</f>
        <v>4</v>
      </c>
      <c r="GI157" s="246" t="str">
        <f>IFERROR(__xludf.DUMMYFUNCTION("IF(REGEXMATCH(C157, ""M""), ""#4"","""")"),"")</f>
        <v/>
      </c>
      <c r="GJ157" s="245" t="str">
        <f>IFERROR(__xludf.DUMMYFUNCTION("IF(REGEXMATCH(C157, ""P""), ""5"","""")"),"5")</f>
        <v>5</v>
      </c>
      <c r="GK157" s="246" t="str">
        <f>IFERROR(__xludf.DUMMYFUNCTION("IF(REGEXMATCH(C157, ""d""), ""b6"","""")"),"")</f>
        <v/>
      </c>
      <c r="GL157" s="245" t="str">
        <f>IFERROR(__xludf.DUMMYFUNCTION("IF(REGEXMATCH(C157, ""D""), ""6"","""")"),"")</f>
        <v/>
      </c>
      <c r="GM157" s="245" t="str">
        <f>IFERROR(__xludf.DUMMYFUNCTION("IF(REGEXMATCH(C157, ""n""), ""b7"","""")"),"b7")</f>
        <v>b7</v>
      </c>
      <c r="GN157" s="246" t="str">
        <f>IFERROR(__xludf.DUMMYFUNCTION("IF(REGEXMATCH(C157, ""N""), ""7"","""")"),"7")</f>
        <v>7</v>
      </c>
      <c r="GO157" s="249" t="str">
        <f>IFERROR(__xludf.DUMMYFUNCTION("IF(REGEXMATCH(C157, ""S""), ""8"","""")"),"8")</f>
        <v>8</v>
      </c>
      <c r="GP157" s="244" t="str">
        <f>IFERROR(__xludf.DUMMYFUNCTION("IF(REGEXMATCH(C157, ""S""), ""S"","""")"),"S")</f>
        <v>S</v>
      </c>
      <c r="GQ157" s="294" t="str">
        <f>IFERROR(__xludf.DUMMYFUNCTION("IF(REGEXMATCH(C157, ""r""), ""R1"","""")"),"")</f>
        <v/>
      </c>
      <c r="GR157" s="295" t="str">
        <f>IFERROR(__xludf.DUMMYFUNCTION("IF(REGEXMATCH(C157, ""R""), ""R2"","""")"),"")</f>
        <v/>
      </c>
      <c r="GS157" s="295" t="str">
        <f>IFERROR(__xludf.DUMMYFUNCTION("IF(REGEXMATCH(C157, ""g""), ""G2"","""")"),"G2")</f>
        <v>G2</v>
      </c>
      <c r="GT157" s="294" t="str">
        <f>IFERROR(__xludf.DUMMYFUNCTION("IF(REGEXMATCH(C157, ""G""), ""G3"","""")"),"G3")</f>
        <v>G3</v>
      </c>
      <c r="GU157" s="294" t="str">
        <f>IFERROR(__xludf.DUMMYFUNCTION("IF(REGEXMATCH(C157, ""m""), ""M1"","""")"),"M1")</f>
        <v>M1</v>
      </c>
      <c r="GV157" s="295" t="str">
        <f>IFERROR(__xludf.DUMMYFUNCTION("IF(REGEXMATCH(C157, ""M""), ""M2"","""")"),"")</f>
        <v/>
      </c>
      <c r="GW157" s="294" t="str">
        <f>IFERROR(__xludf.DUMMYFUNCTION("IF(REGEXMATCH(C157, ""P""), ""P"","""")"),"P")</f>
        <v>P</v>
      </c>
      <c r="GX157" s="295" t="str">
        <f>IFERROR(__xludf.DUMMYFUNCTION("IF(REGEXMATCH(C157, ""d""), ""D1"","""")"),"")</f>
        <v/>
      </c>
      <c r="GY157" s="294" t="str">
        <f>IFERROR(__xludf.DUMMYFUNCTION("IF(REGEXMATCH(C157, ""D""), ""D2"","""")"),"")</f>
        <v/>
      </c>
      <c r="GZ157" s="294" t="str">
        <f>IFERROR(__xludf.DUMMYFUNCTION("IF(REGEXMATCH(C157, ""n""), ""N2"","""")"),"N2")</f>
        <v>N2</v>
      </c>
      <c r="HA157" s="295" t="str">
        <f>IFERROR(__xludf.DUMMYFUNCTION("IF(REGEXMATCH(C157, ""N""), ""N3"","""")"),"N3")</f>
        <v>N3</v>
      </c>
      <c r="HB157" s="249" t="str">
        <f>IFERROR(__xludf.DUMMYFUNCTION("IF(REGEXMATCH(C157, ""S""), ""S"","""")"),"S")</f>
        <v>S</v>
      </c>
      <c r="HC157" s="331" t="str">
        <f t="shared" si="95"/>
        <v>S</v>
      </c>
      <c r="HD157" s="332" t="str">
        <f t="shared" si="96"/>
        <v>r</v>
      </c>
      <c r="HE157" s="332" t="str">
        <f t="shared" si="97"/>
        <v>R</v>
      </c>
      <c r="HF157" s="332" t="str">
        <f t="shared" si="98"/>
        <v/>
      </c>
      <c r="HG157" s="332" t="str">
        <f t="shared" si="99"/>
        <v/>
      </c>
      <c r="HH157" s="332" t="str">
        <f t="shared" si="100"/>
        <v>m</v>
      </c>
      <c r="HI157" s="332" t="str">
        <f t="shared" si="101"/>
        <v/>
      </c>
      <c r="HJ157" s="332" t="str">
        <f t="shared" si="102"/>
        <v>P</v>
      </c>
      <c r="HK157" s="332" t="str">
        <f t="shared" si="103"/>
        <v>d</v>
      </c>
      <c r="HL157" s="332" t="str">
        <f t="shared" si="104"/>
        <v>D</v>
      </c>
      <c r="HM157" s="332" t="str">
        <f t="shared" si="105"/>
        <v/>
      </c>
      <c r="HN157" s="332" t="str">
        <f t="shared" si="106"/>
        <v/>
      </c>
      <c r="HO157" s="343" t="str">
        <f t="shared" si="107"/>
        <v>S</v>
      </c>
      <c r="HP157" s="331" t="str">
        <f t="shared" si="108"/>
        <v>o</v>
      </c>
      <c r="HQ157" s="332" t="str">
        <f t="shared" si="109"/>
        <v>•</v>
      </c>
      <c r="HR157" s="332" t="str">
        <f t="shared" si="110"/>
        <v>•</v>
      </c>
      <c r="HS157" s="332" t="str">
        <f t="shared" si="111"/>
        <v>o</v>
      </c>
      <c r="HT157" s="332" t="str">
        <f t="shared" si="112"/>
        <v>o</v>
      </c>
      <c r="HU157" s="332" t="str">
        <f t="shared" si="113"/>
        <v>o</v>
      </c>
      <c r="HV157" s="332" t="str">
        <f t="shared" si="114"/>
        <v>•</v>
      </c>
      <c r="HW157" s="332" t="str">
        <f t="shared" si="115"/>
        <v>o</v>
      </c>
      <c r="HX157" s="332" t="str">
        <f t="shared" si="116"/>
        <v>•</v>
      </c>
      <c r="HY157" s="332" t="str">
        <f t="shared" si="117"/>
        <v>•</v>
      </c>
      <c r="HZ157" s="332" t="str">
        <f t="shared" si="118"/>
        <v>o</v>
      </c>
      <c r="IA157" s="332" t="str">
        <f t="shared" si="119"/>
        <v>o</v>
      </c>
      <c r="IB157" s="338" t="str">
        <f t="shared" si="120"/>
        <v>o</v>
      </c>
      <c r="IC157" s="331" t="str">
        <f t="shared" si="121"/>
        <v>•</v>
      </c>
      <c r="ID157" s="332" t="str">
        <f t="shared" si="122"/>
        <v>o</v>
      </c>
      <c r="IE157" s="332" t="str">
        <f t="shared" si="123"/>
        <v>o</v>
      </c>
      <c r="IF157" s="332" t="str">
        <f t="shared" si="124"/>
        <v>•</v>
      </c>
      <c r="IG157" s="332" t="str">
        <f t="shared" si="125"/>
        <v>•</v>
      </c>
      <c r="IH157" s="332" t="str">
        <f t="shared" si="126"/>
        <v>•</v>
      </c>
      <c r="II157" s="332" t="str">
        <f t="shared" si="127"/>
        <v>o</v>
      </c>
      <c r="IJ157" s="332" t="str">
        <f t="shared" si="128"/>
        <v>•</v>
      </c>
      <c r="IK157" s="332" t="str">
        <f t="shared" si="129"/>
        <v>o</v>
      </c>
      <c r="IL157" s="332" t="str">
        <f t="shared" si="130"/>
        <v>o</v>
      </c>
      <c r="IM157" s="332" t="str">
        <f t="shared" si="131"/>
        <v>•</v>
      </c>
      <c r="IN157" s="332" t="str">
        <f t="shared" si="132"/>
        <v>•</v>
      </c>
      <c r="IO157" s="338" t="str">
        <f t="shared" si="133"/>
        <v>•</v>
      </c>
      <c r="IP157" s="346" t="b">
        <f t="shared" si="134"/>
        <v>0</v>
      </c>
      <c r="IQ157" s="347" t="b">
        <f t="shared" si="135"/>
        <v>0</v>
      </c>
      <c r="IR157" s="347" t="b">
        <f t="shared" si="136"/>
        <v>0</v>
      </c>
      <c r="IS157" s="347" t="b">
        <f t="shared" si="137"/>
        <v>0</v>
      </c>
      <c r="IT157" s="347" t="b">
        <f t="shared" si="138"/>
        <v>0</v>
      </c>
      <c r="IU157" s="347" t="b">
        <f t="shared" si="139"/>
        <v>0</v>
      </c>
      <c r="IV157" s="347" t="b">
        <f t="shared" si="140"/>
        <v>0</v>
      </c>
      <c r="IW157" s="347" t="b">
        <f t="shared" si="141"/>
        <v>1</v>
      </c>
      <c r="IX157" s="347" t="b">
        <f t="shared" si="142"/>
        <v>0</v>
      </c>
      <c r="IY157" s="347" t="b">
        <f t="shared" si="143"/>
        <v>0</v>
      </c>
      <c r="IZ157" s="347" t="b">
        <f t="shared" si="144"/>
        <v>0</v>
      </c>
      <c r="JA157" s="347" t="b">
        <f t="shared" si="145"/>
        <v>1</v>
      </c>
      <c r="JB157" s="353" t="b">
        <f t="shared" si="146"/>
        <v>0</v>
      </c>
      <c r="JC157" s="354" t="str">
        <f t="shared" si="147"/>
        <v/>
      </c>
      <c r="JD157" s="355" t="str">
        <f t="shared" si="148"/>
        <v/>
      </c>
      <c r="JE157" s="355" t="str">
        <f t="shared" si="149"/>
        <v/>
      </c>
      <c r="JF157" s="355" t="str">
        <f t="shared" si="150"/>
        <v/>
      </c>
      <c r="JG157" s="355" t="str">
        <f t="shared" si="151"/>
        <v/>
      </c>
      <c r="JH157" s="355" t="str">
        <f t="shared" si="152"/>
        <v/>
      </c>
      <c r="JI157" s="355" t="str">
        <f t="shared" si="153"/>
        <v/>
      </c>
      <c r="JJ157" s="355" t="str">
        <f t="shared" si="154"/>
        <v>Pa, </v>
      </c>
      <c r="JK157" s="355" t="str">
        <f t="shared" si="155"/>
        <v/>
      </c>
      <c r="JL157" s="355" t="str">
        <f t="shared" si="156"/>
        <v/>
      </c>
      <c r="JM157" s="355" t="str">
        <f t="shared" si="157"/>
        <v/>
      </c>
      <c r="JN157" s="355" t="str">
        <f t="shared" si="158"/>
        <v>Ni, </v>
      </c>
      <c r="JO157" s="359" t="str">
        <f t="shared" si="159"/>
        <v/>
      </c>
      <c r="JP157" s="346" t="b">
        <f t="shared" si="160"/>
        <v>0</v>
      </c>
      <c r="JQ157" s="347" t="b">
        <f t="shared" si="161"/>
        <v>0</v>
      </c>
      <c r="JR157" s="347" t="b">
        <f t="shared" si="162"/>
        <v>0</v>
      </c>
      <c r="JS157" s="347" t="b">
        <f t="shared" si="163"/>
        <v>0</v>
      </c>
      <c r="JT157" s="347" t="b">
        <f t="shared" si="164"/>
        <v>0</v>
      </c>
      <c r="JU157" s="347" t="b">
        <f t="shared" si="165"/>
        <v>0</v>
      </c>
      <c r="JV157" s="347" t="b">
        <f t="shared" si="166"/>
        <v>0</v>
      </c>
      <c r="JW157" s="347" t="b">
        <f t="shared" si="167"/>
        <v>0</v>
      </c>
      <c r="JX157" s="347" t="b">
        <f t="shared" si="168"/>
        <v>0</v>
      </c>
      <c r="JY157" s="347" t="b">
        <f t="shared" si="169"/>
        <v>0</v>
      </c>
      <c r="JZ157" s="347" t="b">
        <f t="shared" si="170"/>
        <v>0</v>
      </c>
      <c r="KA157" s="347" t="b">
        <f t="shared" si="171"/>
        <v>0</v>
      </c>
      <c r="KB157" s="365" t="b">
        <f t="shared" si="172"/>
        <v>0</v>
      </c>
      <c r="KC157" s="354" t="str">
        <f t="shared" si="173"/>
        <v/>
      </c>
      <c r="KD157" s="355" t="str">
        <f t="shared" si="174"/>
        <v/>
      </c>
      <c r="KE157" s="355" t="str">
        <f t="shared" si="175"/>
        <v/>
      </c>
      <c r="KF157" s="355" t="str">
        <f t="shared" si="176"/>
        <v/>
      </c>
      <c r="KG157" s="355" t="str">
        <f t="shared" si="177"/>
        <v/>
      </c>
      <c r="KH157" s="355" t="str">
        <f t="shared" si="178"/>
        <v/>
      </c>
      <c r="KI157" s="355" t="str">
        <f t="shared" si="179"/>
        <v/>
      </c>
      <c r="KJ157" s="355" t="str">
        <f t="shared" si="180"/>
        <v/>
      </c>
      <c r="KK157" s="355" t="str">
        <f t="shared" si="181"/>
        <v/>
      </c>
      <c r="KL157" s="355" t="str">
        <f t="shared" si="182"/>
        <v/>
      </c>
      <c r="KM157" s="355" t="str">
        <f t="shared" si="183"/>
        <v/>
      </c>
      <c r="KN157" s="355" t="str">
        <f t="shared" si="184"/>
        <v/>
      </c>
      <c r="KO157" s="359"/>
      <c r="KP157" s="378"/>
      <c r="KQ157" s="379" t="s">
        <v>9</v>
      </c>
      <c r="KR157" s="380" t="s">
        <v>9</v>
      </c>
      <c r="KS157" s="381" t="s">
        <v>9</v>
      </c>
      <c r="KT157" s="382">
        <f t="shared" si="186"/>
        <v>0</v>
      </c>
      <c r="KU157" s="383">
        <f t="shared" si="187"/>
        <v>0</v>
      </c>
      <c r="KV157" s="381" t="str">
        <f t="shared" si="205"/>
        <v>S</v>
      </c>
      <c r="KW157" s="382">
        <f t="shared" si="189"/>
        <v>0</v>
      </c>
      <c r="KX157" s="384">
        <f t="shared" si="190"/>
        <v>0</v>
      </c>
      <c r="KY157" s="382">
        <f t="shared" ref="KY157:KZ157" si="524">KW157-KT157</f>
        <v>0</v>
      </c>
      <c r="KZ157" s="369">
        <f t="shared" si="524"/>
        <v>0</v>
      </c>
      <c r="LA157" s="385" t="str">
        <f t="shared" si="192"/>
        <v>✔</v>
      </c>
      <c r="LB157" s="340" t="str">
        <f>IFERROR(__xludf.DUMMYFUNCTION("JOIN("""",ArrayFormula(MID(KS157,LEN(KS157)-SEQUENCE(1,LEN(KS157))+1,1)))"),"S")</f>
        <v>S</v>
      </c>
      <c r="LC157" s="373" t="str">
        <f>IFERROR(__xludf.DUMMYFUNCTION("JOIN("""",ArrayFormula(MID(KV157,LEN(KV157)-SEQUENCE(1,LEN(KV157))+1,1)))"),"S")</f>
        <v>S</v>
      </c>
      <c r="LD157" s="373" t="str">
        <f t="shared" si="193"/>
        <v>S</v>
      </c>
      <c r="LE157" s="339" t="str">
        <f t="shared" si="194"/>
        <v>S</v>
      </c>
      <c r="LF157" s="386" t="str">
        <f>IFERROR(__xludf.DUMMYFUNCTION("SUBSTITUTE(SUBSTITUTE(CONCATENATE(JOIN("""",LH157:LT157)),""1"",""""),""2"","""")"),"SS")</f>
        <v>SS</v>
      </c>
      <c r="LG157" s="369" t="str">
        <f t="shared" si="195"/>
        <v>-</v>
      </c>
      <c r="LH157" s="387" t="str">
        <f>IFERROR(__xludf.DUMMYFUNCTION("IF(REGEXMATCH(LD157, ""S""), ""S"",IF(REGEXMATCH(LE157, ""S""), ""S"",""""))"),"S")</f>
        <v>S</v>
      </c>
      <c r="LI157" s="299" t="str">
        <f>IFERROR(__xludf.DUMMYFUNCTION("IF(REGEXMATCH(LD157, ""r""), ""r1"",IF(REGEXMATCH(LE157, ""r""), ""r2"",""""))"),"")</f>
        <v/>
      </c>
      <c r="LJ157" s="299" t="str">
        <f>IFERROR(__xludf.DUMMYFUNCTION("IF(REGEXMATCH(LD157, ""R""), ""R1"",IF(REGEXMATCH(LE157, ""R""), ""R2"",""""))"),"")</f>
        <v/>
      </c>
      <c r="LK157" s="299" t="str">
        <f>IFERROR(__xludf.DUMMYFUNCTION("IF(REGEXMATCH(LD157, ""g""), ""g1"",IF(REGEXMATCH(LE157, ""g""), ""g2"",""""))"),"")</f>
        <v/>
      </c>
      <c r="LL157" s="299" t="str">
        <f>IFERROR(__xludf.DUMMYFUNCTION("IF(REGEXMATCH(LD157, ""G""), ""G1"",IF(REGEXMATCH(LE157, ""G""), ""G2"",""""))"),"")</f>
        <v/>
      </c>
      <c r="LM157" s="299" t="str">
        <f>IFERROR(__xludf.DUMMYFUNCTION("IF(REGEXMATCH(LD157, ""m""), ""m1"",IF(REGEXMATCH(LE157, ""m""), ""m2"",""""))"),"")</f>
        <v/>
      </c>
      <c r="LN157" s="299" t="str">
        <f>IFERROR(__xludf.DUMMYFUNCTION("IF(REGEXMATCH(LD157, ""M""), ""M1"",IF(REGEXMATCH(LE157, ""M""), ""M2"",""""))"),"")</f>
        <v/>
      </c>
      <c r="LO157" s="299" t="str">
        <f>IFERROR(__xludf.DUMMYFUNCTION("IF(REGEXMATCH(LD157, ""P""), ""P1"",IF(REGEXMATCH(LE157, ""P""), ""P2"",""""))"),"")</f>
        <v/>
      </c>
      <c r="LP157" s="299" t="str">
        <f>IFERROR(__xludf.DUMMYFUNCTION("IF(REGEXMATCH(LD157, ""d""), ""d1"",IF(REGEXMATCH(LE157, ""d""), ""d2"",""""))"),"")</f>
        <v/>
      </c>
      <c r="LQ157" s="299" t="str">
        <f>IFERROR(__xludf.DUMMYFUNCTION("IF(REGEXMATCH(LD157, ""D""), ""D1"",IF(REGEXMATCH(LE157, ""D""), ""D2"",""""))"),"")</f>
        <v/>
      </c>
      <c r="LR157" s="299" t="str">
        <f>IFERROR(__xludf.DUMMYFUNCTION("IF(REGEXMATCH(LD157, ""n""), ""n1"",IF(REGEXMATCH(LE157, ""n""), ""n2"",""""))"),"")</f>
        <v/>
      </c>
      <c r="LS157" s="299" t="str">
        <f>IFERROR(__xludf.DUMMYFUNCTION("IF(REGEXMATCH(LD157, ""N""), ""N1"",IF(REGEXMATCH(LE157, ""N""), ""N2"",""""))"),"")</f>
        <v/>
      </c>
      <c r="LT157" s="388" t="str">
        <f>IFERROR(__xludf.DUMMYFUNCTION("IF(REGEXMATCH(LD157, ""S""), ""S"",IF(REGEXMATCH(LE157, ""S""), ""S"",""""))"),"S")</f>
        <v>S</v>
      </c>
      <c r="LU157" s="389">
        <f t="shared" si="196"/>
        <v>1</v>
      </c>
      <c r="LV157" s="378"/>
      <c r="LW157" s="369"/>
      <c r="LX157" s="369"/>
    </row>
    <row r="158" ht="18.0" customHeight="1">
      <c r="A158" s="298" t="s">
        <v>839</v>
      </c>
      <c r="B158" s="222" t="s">
        <v>840</v>
      </c>
      <c r="C158" s="233" t="str">
        <f t="shared" si="7"/>
        <v>SgGmDnS</v>
      </c>
      <c r="D158" s="234" t="str">
        <f>IFERROR(__xludf.DUMMYFUNCTION("IF(REGEXMATCH(C158, ""S""), ""S"","""")"),"S")</f>
        <v>S</v>
      </c>
      <c r="E158" s="236" t="str">
        <f>IFERROR(__xludf.DUMMYFUNCTION("IF(REGEXMATCH(C158, ""r""), ""r"","""")"),"")</f>
        <v/>
      </c>
      <c r="F158" s="237" t="str">
        <f>IFERROR(__xludf.DUMMYFUNCTION("IF(REGEXMATCH(C158, ""R""), ""R"","""")"),"")</f>
        <v/>
      </c>
      <c r="G158" s="237" t="str">
        <f>IFERROR(__xludf.DUMMYFUNCTION("IF(REGEXMATCH(C158, ""g""), ""g"","""")"),"g")</f>
        <v>g</v>
      </c>
      <c r="H158" s="236" t="str">
        <f>IFERROR(__xludf.DUMMYFUNCTION("IF(REGEXMATCH(C158, ""G""), ""G"","""")"),"G")</f>
        <v>G</v>
      </c>
      <c r="I158" s="236" t="str">
        <f>IFERROR(__xludf.DUMMYFUNCTION("IF(REGEXMATCH(C158, ""m""), ""m"","""")"),"m")</f>
        <v>m</v>
      </c>
      <c r="J158" s="237" t="str">
        <f>IFERROR(__xludf.DUMMYFUNCTION("IF(REGEXMATCH(C158, ""M""), ""M"","""")"),"")</f>
        <v/>
      </c>
      <c r="K158" s="236" t="str">
        <f>IFERROR(__xludf.DUMMYFUNCTION("IF(REGEXMATCH(C158, ""P""), ""P"","""")"),"")</f>
        <v/>
      </c>
      <c r="L158" s="237" t="str">
        <f>IFERROR(__xludf.DUMMYFUNCTION("IF(REGEXMATCH(C158, ""d""), ""d"","""")"),"")</f>
        <v/>
      </c>
      <c r="M158" s="236" t="str">
        <f>IFERROR(__xludf.DUMMYFUNCTION("IF(REGEXMATCH(C158, ""D""), ""D"","""")"),"D")</f>
        <v>D</v>
      </c>
      <c r="N158" s="236" t="str">
        <f>IFERROR(__xludf.DUMMYFUNCTION("IF(REGEXMATCH(C158, ""n""), ""n"","""")"),"n")</f>
        <v>n</v>
      </c>
      <c r="O158" s="237" t="str">
        <f>IFERROR(__xludf.DUMMYFUNCTION("IF(REGEXMATCH(C158, ""N""), ""N"","""")"),"")</f>
        <v/>
      </c>
      <c r="P158" s="238" t="str">
        <f>IFERROR(__xludf.DUMMYFUNCTION("IF(REGEXMATCH(C158, ""S""), ""S"","""")"),"S")</f>
        <v>S</v>
      </c>
      <c r="Q158" s="239" t="str">
        <f>IFERROR(__xludf.DUMMYFUNCTION("SUBSTITUTE(CONCATENATE(JOIN(""-"",D158:J158)),""-"","""")"),"SgGm")</f>
        <v>SgGm</v>
      </c>
      <c r="R158" s="229" t="str">
        <f>IFERROR(__xludf.DUMMYFUNCTION("SUBSTITUTE(CONCATENATE(JOIN(""-"",K158:P158)),""-"","""")"),"DnS")</f>
        <v>DnS</v>
      </c>
      <c r="S158" s="282" t="str">
        <f t="shared" si="8"/>
        <v>S-G-M</v>
      </c>
      <c r="T158" s="282" t="str">
        <f t="shared" si="9"/>
        <v>D-N-S</v>
      </c>
      <c r="U158" s="237" t="str">
        <f>IFERROR(__xludf.DUMMYFUNCTION("SUBSTITUTE(JOIN(""-"",S158,T158),""--"",""-"")"),"S-G-M-D-N-S")</f>
        <v>S-G-M-D-N-S</v>
      </c>
      <c r="V158" s="309" t="str">
        <f t="shared" si="10"/>
        <v>gGmDn</v>
      </c>
      <c r="W158" s="244" t="str">
        <f>IFERROR(__xludf.DUMMYFUNCTION("IF(REGEXMATCH(C158, ""S""), ""0"","""")"),"0")</f>
        <v>0</v>
      </c>
      <c r="X158" s="245" t="str">
        <f>IFERROR(__xludf.DUMMYFUNCTION("IF(REGEXMATCH(C158, ""r""), ""1"","""")"),"")</f>
        <v/>
      </c>
      <c r="Y158" s="246" t="str">
        <f>IFERROR(__xludf.DUMMYFUNCTION("IF(REGEXMATCH(C158, ""R""), ""2"","""")"),"")</f>
        <v/>
      </c>
      <c r="Z158" s="246" t="str">
        <f>IFERROR(__xludf.DUMMYFUNCTION("IF(REGEXMATCH(C158, ""g""), ""3"","""")"),"3")</f>
        <v>3</v>
      </c>
      <c r="AA158" s="245" t="str">
        <f>IFERROR(__xludf.DUMMYFUNCTION("IF(REGEXMATCH(C158, ""G""), ""4"","""")"),"4")</f>
        <v>4</v>
      </c>
      <c r="AB158" s="245" t="str">
        <f>IFERROR(__xludf.DUMMYFUNCTION("IF(REGEXMATCH(C158, ""m""), ""5"","""")"),"5")</f>
        <v>5</v>
      </c>
      <c r="AC158" s="246" t="str">
        <f>IFERROR(__xludf.DUMMYFUNCTION("IF(REGEXMATCH(C158, ""M""), ""6"","""")"),"")</f>
        <v/>
      </c>
      <c r="AD158" s="245" t="str">
        <f>IFERROR(__xludf.DUMMYFUNCTION("IF(REGEXMATCH(C158, ""P""), ""7"","""")"),"")</f>
        <v/>
      </c>
      <c r="AE158" s="246" t="str">
        <f>IFERROR(__xludf.DUMMYFUNCTION("IF(REGEXMATCH(C158, ""d""), ""8"","""")"),"")</f>
        <v/>
      </c>
      <c r="AF158" s="245" t="str">
        <f>IFERROR(__xludf.DUMMYFUNCTION("IF(REGEXMATCH(C158, ""D""), ""9"","""")"),"9")</f>
        <v>9</v>
      </c>
      <c r="AG158" s="245" t="str">
        <f>IFERROR(__xludf.DUMMYFUNCTION("IF(REGEXMATCH(C158, ""n""), ""10"","""")"),"10")</f>
        <v>10</v>
      </c>
      <c r="AH158" s="246" t="str">
        <f>IFERROR(__xludf.DUMMYFUNCTION("IF(REGEXMATCH(C158, ""N""), ""11"","""")"),"")</f>
        <v/>
      </c>
      <c r="AI158" s="249" t="str">
        <f>IFERROR(__xludf.DUMMYFUNCTION("IF(REGEXMATCH(C158, ""S""), ""0"","""")"),"0")</f>
        <v>0</v>
      </c>
      <c r="AJ158" s="313" t="str">
        <f t="shared" si="11"/>
        <v>-</v>
      </c>
      <c r="AK158" s="313" t="str">
        <f t="shared" si="12"/>
        <v>-</v>
      </c>
      <c r="AL158" s="313" t="str">
        <f t="shared" si="13"/>
        <v>-</v>
      </c>
      <c r="AM158" s="313" t="str">
        <f t="shared" si="14"/>
        <v>T</v>
      </c>
      <c r="AN158" s="313" t="str">
        <f t="shared" si="15"/>
        <v>T</v>
      </c>
      <c r="AO158" s="314" t="str">
        <f t="shared" si="16"/>
        <v>-</v>
      </c>
      <c r="AP158" s="316">
        <f t="shared" si="17"/>
        <v>2</v>
      </c>
      <c r="AQ158" s="319" t="str">
        <f t="shared" si="18"/>
        <v>-</v>
      </c>
      <c r="AR158" s="320">
        <f t="shared" si="19"/>
        <v>0</v>
      </c>
      <c r="AS158" s="250" t="str">
        <f>IFERROR(__xludf.DUMMYFUNCTION("SUBSTITUTE(SUBSTITUTE(CONCATENATE(JOIN("""",FP158:GA158)),""|"",""x""),""-"",""o"")"),"xooxxxoooxxo")</f>
        <v>xooxxxoooxxo</v>
      </c>
      <c r="AT158" s="323" t="str">
        <f>IFERROR(__xludf.DUMMYFUNCTION("JOIN("""",AS158,AS158)"),"xooxxxoooxxoxooxxxoooxxo")</f>
        <v>xooxxxoooxxoxooxxxoooxxo</v>
      </c>
      <c r="AU158" s="256" t="str">
        <f>IFERROR(__xludf.DUMMYFUNCTION("JOIN("""",ArrayFormula(MID(AS158,LEN(AS158)-SEQUENCE(1,LEN(AS158))+1,1)))"),"oxxoooxxxoox")</f>
        <v>oxxoooxxxoox</v>
      </c>
      <c r="AV158" s="256" t="str">
        <f>IFERROR(__xludf.DUMMYFUNCTION("LEFT(CONCATENATE(""x"",JOIN("""",ArrayFormula(MID(AS158,LEN(AS158)-SEQUENCE(1,LEN(AS158))+1,1)))),12)"),"xoxxoooxxxoo")</f>
        <v>xoxxoooxxxoo</v>
      </c>
      <c r="AW158" s="327" t="str">
        <f>IFERROR(__xludf.DUMMYFUNCTION("JOIN("""",AU158,AU158)"),"oxxoooxxxooxoxxoooxxxoox")</f>
        <v>oxxoooxxxooxoxxoooxxxoox</v>
      </c>
      <c r="AX158" s="239" t="str">
        <f>IFERROR(__xludf.DUMMYFUNCTION("IF(REGEXMATCH(AW158,AS158),""✔"",""-"")"),"-")</f>
        <v>-</v>
      </c>
      <c r="AY158" s="330" t="str">
        <f t="shared" si="20"/>
        <v>-</v>
      </c>
      <c r="AZ158" s="260" t="str">
        <f t="shared" si="21"/>
        <v>#REF!</v>
      </c>
      <c r="BA158" s="333" t="str">
        <f t="shared" si="22"/>
        <v>xooxxxo</v>
      </c>
      <c r="BB158" s="334" t="str">
        <f t="shared" si="23"/>
        <v>ooxxox</v>
      </c>
      <c r="BC158" s="335" t="str">
        <f t="shared" si="236"/>
        <v>-</v>
      </c>
      <c r="BD158" s="336" t="str">
        <f t="shared" si="25"/>
        <v>Jogeshwari: 'xooxxxo' + 'ooxxox'</v>
      </c>
      <c r="BE158" s="337">
        <f>IFERROR(__xludf.DUMMYFUNCTION("COUNTUNIQUE(FILTER(AT:AT,REGEXMATCH(AT:AT,AS158)))-1"),1.0)</f>
        <v>1</v>
      </c>
      <c r="BF158" s="261" t="str">
        <f>IFERROR(__xludf.DUMMYFUNCTION("IF(BI158=0,""(n/a)"",IF(BJ158=2,""(PAIR)"",IF(REGEXMATCH(AT158,""xoxoxxoxoxox""),""Bilawal"",IF(REGEXMATCH(AT158,""xoxoxooxoxoo""),""Bhupali"",IF(REGEXMATCH(AT158,""xoxoxxoxxoxo""),""Charukeshi"",IF(REGEXMATCH(AT158,""xoxoooxxoxxo""),""Kameshwari"",IF(REG"&amp;"EXMATCH(AT158,""xoxoxooxoxox""),""Shankara"",IF(REGEXMATCH(AT158,""xxooxoxxxoox""),""Basant"",IF(REGEXMATCH(AT158,""xoxoxxxxoxox""),""Bihag"",IF(REGEXMATCH(AT158,""xoxxxxoxoxxx""),""Pilu"",IF(REGEXMATCH(AT158,""xoxxoxoxxoox""),""Kirwani"",IF(REGEXMATCH(AT"&amp;"158,""xoxxoxoxoxxx""),""Mk.Malhar"",IF(REGEXMATCH(AT158,""xxooxxoxxoox""),""Bhairav"",IF(REGEXMATCH(AT158,""xxoxooxxxoox""),""Todi"",IF(REGEXMATCH(AT158,""xxooxoxooxox""),""Marwa"",IF(REGEXMATCH(AT158,""xxoooxoxxooo""),""Gunkali"",IF(REGEXMATCH(AT158,""xo"&amp;"xoxxoxxoox""),""Nat Bhairav"",IF(REGEXMATCH(AT158,""xoxxoooxoxoo""),""Shivranjani"",IF(REGEXMATCH(AT158,""xooxxxoxooxo""),""Jog"",IF(REGEXMATCH(AT158,""xxooxoxoxoox""),""Hemshri"",IF(REGEXMATCH(AT158,""xoooxooxoxxo""),""Kalavati"",IF(REGEXMATCH(AT158,""xx"&amp;"oxoxxoxoox""),""Kedar"",IF(REGEXMATCH(AT158,""xoxxxxoxooxx""),""Gara"",IF(REGEXMATCH(AT158,""xooxoxooxoox""),""Chandrakauns"",IF(REGEXMATCH(AT158,""xoxxxxoxxxox""),""Mand"",IF(REGEXMATCH(AT158,""xoxxxxoxoxox""),""Hanskinkini"",IF(REGEXMATCH(AT158,""xxooxx"&amp;"oxooxo""),""Lilavati"",IF(REGEXMATCH(AT158,""xooxoxoooxox""),""Rajeshwari"",IF(REGEXMATCH(AT158,""xoooxxoxoxxx""),""Khokar"",IF(REGEXMATCH(AT158,""xxooxoxxxxox""),""Maligoura"",""-""))))))))))))))))))))))))))))))"),"(PAIR)")</f>
        <v>(PAIR)</v>
      </c>
      <c r="BG158" s="239" t="str">
        <f t="shared" si="26"/>
        <v>#REF!</v>
      </c>
      <c r="BH158" s="239">
        <f>IFERROR(__xludf.DUMMYFUNCTION("COUNTUNIQUE(FE158:FO158)-1"),5.0)</f>
        <v>5</v>
      </c>
      <c r="BI158" s="239">
        <f>IFERROR(__xludf.DUMMYFUNCTION("COUNTUNIQUE(FILTER(AT:AT,REGEXMATCH(AT:AT,AS158)))-1"),1.0)</f>
        <v>1</v>
      </c>
      <c r="BJ158" s="239">
        <f>IFERROR(__xludf.DUMMYFUNCTION("COUNTA(FILTER(AT:AT,REGEXMATCH(AT:AT,AS158)))"),2.0)</f>
        <v>2</v>
      </c>
      <c r="BK158" s="341">
        <f>IFERROR(__xludf.DUMMYFUNCTION("COUNTA(FILTER(AT:AT,REGEXMATCH(AT:AT,AS158)))-AR158"),2.0)</f>
        <v>2</v>
      </c>
      <c r="BL158" s="276" t="str">
        <f>IFERROR(__xludf.DUMMYFUNCTION("IF(AS158=""oooooooooooo"",""-"",IF(REGEXMATCH(AT158,""xx""), ""Hemi."", ""Anhemi.""))"),"Hemi.")</f>
        <v>Hemi.</v>
      </c>
      <c r="BM158" s="282" t="str">
        <f>IFERROR(__xludf.DUMMYFUNCTION("IF(AS158=""oooooooooooo"",""-"",IF(REGEXMATCH(AT158,""xxx""), ""Cohem."", ""-""))"),"Cohem.")</f>
        <v>Cohem.</v>
      </c>
      <c r="BN158" s="282" t="str">
        <f>IFERROR(__xludf.DUMMYFUNCTION("IF(AS158=""oooooooooooo"",""-"",IF(REGEXMATCH(AT158,""xxxx""), ""Co-Co."", ""-""))"),"-")</f>
        <v>-</v>
      </c>
      <c r="BO158" s="342" t="str">
        <f>IFERROR(__xludf.DUMMYFUNCTION("IF(AS158=""oooooooooooo"",""-"",IF(REGEXMATCH(AT158,""xxxxx""), ""CCC."", ""-""))"),"-")</f>
        <v>-</v>
      </c>
      <c r="BP158" s="344" t="str">
        <f t="shared" si="27"/>
        <v>-</v>
      </c>
      <c r="BQ158" s="282" t="str">
        <f>IFERROR(__xludf.DUMMYFUNCTION("IF(REGEXMATCH(JOIN(""-"",EU158:FD158),""TRUE""),""✔"",""-"")"),"-")</f>
        <v>-</v>
      </c>
      <c r="BR158" s="225">
        <f t="shared" si="28"/>
        <v>0</v>
      </c>
      <c r="BS158" s="345" t="str">
        <f>IFERROR(__xludf.DUMMYFUNCTION("SUBSTITUTE(SUBSTITUTE(SUBSTITUTE(SUBSTITUTE(CONCATENATE(JOIN(""-"",GC158:GO158)),""--"",""-""),""--"",""-""),""--"",""-""),""--"",""-"")"),"1-b3-3-4-6-b7-8")</f>
        <v>1-b3-3-4-6-b7-8</v>
      </c>
      <c r="BT158" s="299" t="str">
        <f>IFERROR(__xludf.DUMMYFUNCTION("SUBSTITUTE(SUBSTITUTE(SUBSTITUTE(SUBSTITUTE(CONCATENATE(JOIN(""-"",GP158:HB158)),""--"",""-""),""--"",""-""),""--"",""-""),""--"",""-"")"),"S-G2-G3-M1-D2-N2-S")</f>
        <v>S-G2-G3-M1-D2-N2-S</v>
      </c>
      <c r="BU158" s="348" t="str">
        <f t="shared" si="29"/>
        <v>C-Eb-E-F-A-Bb-C</v>
      </c>
      <c r="BV158" s="349" t="str">
        <f t="shared" si="30"/>
        <v>SrRMPdNS</v>
      </c>
      <c r="BW158" s="350">
        <f t="shared" si="31"/>
        <v>0</v>
      </c>
      <c r="BX158" s="351">
        <f t="shared" si="32"/>
        <v>1</v>
      </c>
      <c r="BY158" s="392"/>
      <c r="BZ158" s="309" t="str">
        <f>IFERROR(__xludf.DUMMYFUNCTION("IF(REGEXMATCH(C158, ""S""), ""x"",""x"")"),"x")</f>
        <v>x</v>
      </c>
      <c r="CA158" s="245" t="str">
        <f>IFERROR(__xludf.DUMMYFUNCTION("IF(REGEXMATCH(C158, ""r""), ""o"",""x"")"),"x")</f>
        <v>x</v>
      </c>
      <c r="CB158" s="246" t="str">
        <f>IFERROR(__xludf.DUMMYFUNCTION("IF(REGEXMATCH(C158, ""R""), ""o"",""x"")"),"x")</f>
        <v>x</v>
      </c>
      <c r="CC158" s="246" t="str">
        <f>IFERROR(__xludf.DUMMYFUNCTION("IF(REGEXMATCH(C158, ""g""), ""o"",""x"")"),"o")</f>
        <v>o</v>
      </c>
      <c r="CD158" s="245" t="str">
        <f>IFERROR(__xludf.DUMMYFUNCTION("IF(REGEXMATCH(C158, ""G""), ""o"",""x"")"),"o")</f>
        <v>o</v>
      </c>
      <c r="CE158" s="245" t="str">
        <f>IFERROR(__xludf.DUMMYFUNCTION("IF(REGEXMATCH(C158, ""m""), ""o"",""x"")"),"o")</f>
        <v>o</v>
      </c>
      <c r="CF158" s="246" t="str">
        <f>IFERROR(__xludf.DUMMYFUNCTION("IF(REGEXMATCH(C158, ""M""), ""o"",""x"")"),"x")</f>
        <v>x</v>
      </c>
      <c r="CG158" s="245" t="str">
        <f>IFERROR(__xludf.DUMMYFUNCTION("IF(REGEXMATCH(C158, ""P""), ""o"",""x"")"),"x")</f>
        <v>x</v>
      </c>
      <c r="CH158" s="246" t="str">
        <f>IFERROR(__xludf.DUMMYFUNCTION("IF(REGEXMATCH(C158, ""d""), ""o"",""x"")"),"x")</f>
        <v>x</v>
      </c>
      <c r="CI158" s="245" t="str">
        <f>IFERROR(__xludf.DUMMYFUNCTION("IF(REGEXMATCH(C158, ""D""), ""o"",""x"")"),"o")</f>
        <v>o</v>
      </c>
      <c r="CJ158" s="245" t="str">
        <f>IFERROR(__xludf.DUMMYFUNCTION("IF(REGEXMATCH(C158, ""n""), ""o"",""x"")"),"o")</f>
        <v>o</v>
      </c>
      <c r="CK158" s="245" t="str">
        <f>IFERROR(__xludf.DUMMYFUNCTION("IF(REGEXMATCH(C158, ""N""), ""o"",""x"")"),"x")</f>
        <v>x</v>
      </c>
      <c r="CL158" s="356" t="str">
        <f>IFERROR(__xludf.DUMMYFUNCTION("IF(REGEXMATCH(C158, ""S""), ""x"",""x"")"),"x")</f>
        <v>x</v>
      </c>
      <c r="CM158" s="357" t="str">
        <f t="shared" si="33"/>
        <v>xxxoooxxxoox</v>
      </c>
      <c r="CN158" s="358">
        <f t="shared" si="34"/>
        <v>0</v>
      </c>
      <c r="CO158" s="246" t="str">
        <f>IFERROR(__xludf.DUMMYFUNCTION("IF(REGEXMATCH($C158, ""S""), ""S"",""S"")"),"S")</f>
        <v>S</v>
      </c>
      <c r="CP158" s="246" t="str">
        <f>IFERROR(__xludf.DUMMYFUNCTION("IF(REGEXMATCH($C158, ""r""), """",""r"")"),"r")</f>
        <v>r</v>
      </c>
      <c r="CQ158" s="246" t="str">
        <f>IFERROR(__xludf.DUMMYFUNCTION("IF(REGEXMATCH($C158, ""R""), """",""R"")"),"R")</f>
        <v>R</v>
      </c>
      <c r="CR158" s="246" t="str">
        <f>IFERROR(__xludf.DUMMYFUNCTION("IF(REGEXMATCH($C158, ""g""), """",""g"")"),"")</f>
        <v/>
      </c>
      <c r="CS158" s="246" t="str">
        <f>IFERROR(__xludf.DUMMYFUNCTION("IF(REGEXMATCH($C158, ""G""), """",""G"")"),"")</f>
        <v/>
      </c>
      <c r="CT158" s="246" t="str">
        <f>IFERROR(__xludf.DUMMYFUNCTION("IF(REGEXMATCH($C158, ""m""), """",""m"")"),"")</f>
        <v/>
      </c>
      <c r="CU158" s="246" t="str">
        <f>IFERROR(__xludf.DUMMYFUNCTION("IF(REGEXMATCH($C158, ""M""), """",""M"")"),"M")</f>
        <v>M</v>
      </c>
      <c r="CV158" s="246" t="str">
        <f>IFERROR(__xludf.DUMMYFUNCTION("IF(REGEXMATCH($C158, ""P""), """",""P"")"),"P")</f>
        <v>P</v>
      </c>
      <c r="CW158" s="246" t="str">
        <f>IFERROR(__xludf.DUMMYFUNCTION("IF(REGEXMATCH($C158, ""d""), """",""d"")"),"d")</f>
        <v>d</v>
      </c>
      <c r="CX158" s="246" t="str">
        <f>IFERROR(__xludf.DUMMYFUNCTION("IF(REGEXMATCH($C158, ""D""), """",""D"")"),"")</f>
        <v/>
      </c>
      <c r="CY158" s="246" t="str">
        <f>IFERROR(__xludf.DUMMYFUNCTION("IF(REGEXMATCH($C158, ""n""), """",""n"")"),"")</f>
        <v/>
      </c>
      <c r="CZ158" s="246" t="str">
        <f>IFERROR(__xludf.DUMMYFUNCTION("IF(REGEXMATCH($C158, ""N""), """",""N"")"),"N")</f>
        <v>N</v>
      </c>
      <c r="DA158" s="246" t="str">
        <f>IFERROR(__xludf.DUMMYFUNCTION("IF(REGEXMATCH($C158, ""S""), ""S"",""S"")"),"S")</f>
        <v>S</v>
      </c>
      <c r="DB158" s="362" t="str">
        <f>IFERROR(__xludf.DUMMYFUNCTION("JOIN("""",CO158:DA158,"""","""")"),"SrRMPdNS")</f>
        <v>SrRMPdNS</v>
      </c>
      <c r="DC158" s="363"/>
      <c r="DD158" s="301" t="str">
        <f t="shared" si="35"/>
        <v>#REF!</v>
      </c>
      <c r="DE158" s="302" t="str">
        <f t="shared" si="36"/>
        <v>#REF!</v>
      </c>
      <c r="DF158" s="301" t="str">
        <f t="shared" ref="DF158:DG158" si="525">SUBSTITUTE(S158,"-","")</f>
        <v>SGM</v>
      </c>
      <c r="DG158" s="301" t="str">
        <f t="shared" si="525"/>
        <v>DNS</v>
      </c>
      <c r="DH158" s="302" t="str">
        <f t="shared" si="38"/>
        <v>(PAIR)</v>
      </c>
      <c r="DI158" s="301" t="str">
        <f t="shared" si="39"/>
        <v>Hemi.</v>
      </c>
      <c r="DJ158" s="364" t="str">
        <f t="shared" si="40"/>
        <v>Cohem.</v>
      </c>
      <c r="DK158" s="306" t="str">
        <f t="shared" si="41"/>
        <v>-</v>
      </c>
      <c r="DL158" s="366" t="str">
        <f t="shared" si="42"/>
        <v>-</v>
      </c>
      <c r="DM158" s="308" t="str">
        <f t="shared" si="43"/>
        <v>✔</v>
      </c>
      <c r="DN158" s="306" t="str">
        <f t="shared" si="44"/>
        <v>-</v>
      </c>
      <c r="DO158" s="306" t="str">
        <f t="shared" si="45"/>
        <v>-</v>
      </c>
      <c r="DP158" s="367" t="str">
        <f t="shared" si="46"/>
        <v>-</v>
      </c>
      <c r="DQ158" s="310" t="str">
        <f t="shared" si="47"/>
        <v>-</v>
      </c>
      <c r="DR158" s="310" t="str">
        <f t="shared" si="48"/>
        <v>✔</v>
      </c>
      <c r="DS158" s="310" t="str">
        <f t="shared" si="49"/>
        <v>-</v>
      </c>
      <c r="DT158" s="310" t="str">
        <f t="shared" si="50"/>
        <v>-</v>
      </c>
      <c r="DU158" s="370" t="str">
        <f t="shared" si="51"/>
        <v>-</v>
      </c>
      <c r="DV158" s="306" t="str">
        <f t="shared" si="52"/>
        <v>✔</v>
      </c>
      <c r="DW158" s="306" t="str">
        <f t="shared" si="53"/>
        <v>-</v>
      </c>
      <c r="DX158" s="306" t="str">
        <f t="shared" si="54"/>
        <v>-</v>
      </c>
      <c r="DY158" s="306" t="str">
        <f t="shared" si="55"/>
        <v>✔</v>
      </c>
      <c r="DZ158" s="306" t="str">
        <f t="shared" si="56"/>
        <v>-</v>
      </c>
      <c r="EA158" s="367" t="str">
        <f t="shared" si="57"/>
        <v>-</v>
      </c>
      <c r="EB158" s="310" t="str">
        <f>IFERROR(__xludf.DUMMYFUNCTION("IF(REGEXMATCH(AW158,AS158),""✔"",""-"")"),"-")</f>
        <v>-</v>
      </c>
      <c r="EC158" s="310" t="str">
        <f t="shared" si="58"/>
        <v>#REF!</v>
      </c>
      <c r="ED158" s="370" t="str">
        <f t="shared" si="59"/>
        <v>-</v>
      </c>
      <c r="EE158" s="340" t="str">
        <f t="shared" si="60"/>
        <v>S-gG-m-D-n-S</v>
      </c>
      <c r="EF158" s="371" t="str">
        <f>IFERROR(__xludf.DUMMYFUNCTION("CONCATENATE(JOIN("""",HC158:HO158))"),"SRgPdDS")</f>
        <v>SRgPdDS</v>
      </c>
      <c r="EG158" s="372">
        <f t="shared" si="61"/>
        <v>2</v>
      </c>
      <c r="EH158" s="373" t="str">
        <f>IFERROR(__xludf.DUMMYFUNCTION("CONCATENATE(JOIN("""",JC158:JO158))"),"Sa, Ga, ")</f>
        <v>Sa, Ga, </v>
      </c>
      <c r="EI158" s="322">
        <f t="shared" si="62"/>
        <v>0</v>
      </c>
      <c r="EJ158" s="374" t="str">
        <f>IFERROR(__xludf.DUMMYFUNCTION("CONCATENATE(JOIN("""",KC158:KO158))"),"")</f>
        <v/>
      </c>
      <c r="EK158" s="325" t="str">
        <f t="shared" si="63"/>
        <v>S-G2-G3-M1-D2-N2-S</v>
      </c>
      <c r="EL158" s="326" t="str">
        <f t="shared" si="64"/>
        <v>1-b3-3-4-6-b7-8</v>
      </c>
      <c r="EM158" s="318" t="str">
        <f t="shared" si="65"/>
        <v>#REF!</v>
      </c>
      <c r="EN158" s="328" t="str">
        <f>IFERROR(__xludf.DUMMYFUNCTION("SUBSTITUTE(SUBSTITUTE(SUBSTITUTE(SUBSTITUTE(CONCATENATE(JOIN("" "",HP158:IB158)),""  "","" ""),""  "","" ""),""  "","" ""),""  "","" "")"),"o • • o o o • • • o o • o")</f>
        <v>o • • o o o • • • o o • o</v>
      </c>
      <c r="EO158" s="368" t="str">
        <f t="shared" si="66"/>
        <v>Sa-ma</v>
      </c>
      <c r="EP158" s="339" t="str">
        <f t="shared" si="67"/>
        <v>-</v>
      </c>
      <c r="EQ158" s="339" t="str">
        <f t="shared" si="68"/>
        <v>-</v>
      </c>
      <c r="ER158" s="339" t="str">
        <f t="shared" si="69"/>
        <v>-</v>
      </c>
      <c r="ES158" s="340" t="str">
        <f t="shared" si="70"/>
        <v>Sa-ma</v>
      </c>
      <c r="ET158" s="363"/>
      <c r="EU158" s="376" t="b">
        <f>IFERROR(__xludf.DUMMYFUNCTION("arrayformula(sum(--REGEXMATCH(""SRGMPDNS"",split(REGEXREPLACE(C158,""(.)"",""$1~""),""~""))))=len(C158)
"),FALSE)</f>
        <v>0</v>
      </c>
      <c r="EV158" s="290" t="b">
        <f>IFERROR(__xludf.DUMMYFUNCTION("arrayformula(sum(--REGEXMATCH(""SRGmPDNS"",split(REGEXREPLACE(C158,""(.)"",""$1~""),""~""))))=len(C158)"),FALSE)</f>
        <v>0</v>
      </c>
      <c r="EW158" s="290" t="b">
        <f>IFERROR(__xludf.DUMMYFUNCTION("arrayformula(sum(--REGEXMATCH(""SRGmPDnS"",split(REGEXREPLACE(C158,""(.)"",""$1~""),""~""))))=len(C158)"),FALSE)</f>
        <v>0</v>
      </c>
      <c r="EX158" s="290" t="b">
        <f>IFERROR(__xludf.DUMMYFUNCTION("arrayformula(sum(--REGEXMATCH(""SRgmPDnS"",split(REGEXREPLACE(C158,""(.)"",""$1~""),""~""))))=len(C158)"),FALSE)</f>
        <v>0</v>
      </c>
      <c r="EY158" s="290" t="b">
        <f>IFERROR(__xludf.DUMMYFUNCTION("arrayformula(sum(--REGEXMATCH(""SRgmPdnS"",split(REGEXREPLACE(C158,""(.)"",""$1~""),""~""))))=len(C158)"),FALSE)</f>
        <v>0</v>
      </c>
      <c r="EZ158" s="290" t="b">
        <f>IFERROR(__xludf.DUMMYFUNCTION("arrayformula(sum(--REGEXMATCH(""SrgmPdnS"",split(REGEXREPLACE(C158,""(.)"",""$1~""),""~""))))=len(C158)"),FALSE)</f>
        <v>0</v>
      </c>
      <c r="FA158" s="290" t="b">
        <f>IFERROR(__xludf.DUMMYFUNCTION("arrayformula(sum(--REGEXMATCH(""SrGmPdNS"",split(REGEXREPLACE(C158,""(.)"",""$1~""),""~""))))=len(C158)"),FALSE)</f>
        <v>0</v>
      </c>
      <c r="FB158" s="290" t="b">
        <f>IFERROR(__xludf.DUMMYFUNCTION("arrayformula(sum(--REGEXMATCH(""SrGMPDNS"",split(REGEXREPLACE(C158,""(.)"",""$1~""),""~""))))=len(C158)"),FALSE)</f>
        <v>0</v>
      </c>
      <c r="FC158" s="290" t="b">
        <f>IFERROR(__xludf.DUMMYFUNCTION("arrayformula(sum(--REGEXMATCH(""SrGMPdNS"",split(REGEXREPLACE(C158,""(.)"",""$1~""),""~""))))=len(C158)"),FALSE)</f>
        <v>0</v>
      </c>
      <c r="FD158" s="377" t="b">
        <f>IFERROR(__xludf.DUMMYFUNCTION("arrayformula(sum(--REGEXMATCH(""SrgMPdNS"",split(REGEXREPLACE(C158,""(.)"",""$1~""),""~""))))=len(C158)"),FALSE)</f>
        <v>0</v>
      </c>
      <c r="FE158" s="269" t="str">
        <f t="shared" si="71"/>
        <v>-</v>
      </c>
      <c r="FF158" s="269" t="str">
        <f t="shared" si="72"/>
        <v>-</v>
      </c>
      <c r="FG158" s="271" t="str">
        <f t="shared" si="73"/>
        <v>xxxoooxxoxo</v>
      </c>
      <c r="FH158" s="269" t="str">
        <f t="shared" si="74"/>
        <v>xxoooxxoxoo</v>
      </c>
      <c r="FI158" s="271" t="str">
        <f t="shared" si="75"/>
        <v>xoooxxoxoox</v>
      </c>
      <c r="FJ158" s="271" t="str">
        <f t="shared" si="76"/>
        <v>-</v>
      </c>
      <c r="FK158" s="271" t="str">
        <f t="shared" si="77"/>
        <v>-</v>
      </c>
      <c r="FL158" s="271" t="str">
        <f t="shared" si="78"/>
        <v>-</v>
      </c>
      <c r="FM158" s="271" t="str">
        <f t="shared" si="79"/>
        <v>xxoxooxxxoo</v>
      </c>
      <c r="FN158" s="271" t="str">
        <f t="shared" si="80"/>
        <v>xoxooxxxooo</v>
      </c>
      <c r="FO158" s="274" t="str">
        <f t="shared" si="81"/>
        <v>-</v>
      </c>
      <c r="FP158" s="234" t="str">
        <f t="shared" si="82"/>
        <v>|</v>
      </c>
      <c r="FQ158" s="236" t="str">
        <f t="shared" si="83"/>
        <v>-</v>
      </c>
      <c r="FR158" s="237" t="str">
        <f t="shared" si="84"/>
        <v>-</v>
      </c>
      <c r="FS158" s="236" t="str">
        <f t="shared" si="85"/>
        <v>|</v>
      </c>
      <c r="FT158" s="237" t="str">
        <f t="shared" si="86"/>
        <v>|</v>
      </c>
      <c r="FU158" s="236" t="str">
        <f t="shared" si="87"/>
        <v>|</v>
      </c>
      <c r="FV158" s="237" t="str">
        <f t="shared" si="88"/>
        <v>-</v>
      </c>
      <c r="FW158" s="236" t="str">
        <f t="shared" si="89"/>
        <v>-</v>
      </c>
      <c r="FX158" s="237" t="str">
        <f t="shared" si="90"/>
        <v>-</v>
      </c>
      <c r="FY158" s="236" t="str">
        <f t="shared" si="91"/>
        <v>|</v>
      </c>
      <c r="FZ158" s="237" t="str">
        <f t="shared" si="92"/>
        <v>|</v>
      </c>
      <c r="GA158" s="236" t="str">
        <f t="shared" si="93"/>
        <v>-</v>
      </c>
      <c r="GB158" s="238" t="str">
        <f t="shared" si="94"/>
        <v>|</v>
      </c>
      <c r="GC158" s="244" t="str">
        <f>IFERROR(__xludf.DUMMYFUNCTION("IF(REGEXMATCH(C158, ""S""), ""1"","""")"),"1")</f>
        <v>1</v>
      </c>
      <c r="GD158" s="245" t="str">
        <f>IFERROR(__xludf.DUMMYFUNCTION("IF(REGEXMATCH(C158, ""r""), ""b2"","""")"),"")</f>
        <v/>
      </c>
      <c r="GE158" s="246" t="str">
        <f>IFERROR(__xludf.DUMMYFUNCTION("IF(REGEXMATCH(C158, ""R""), ""2"","""")"),"")</f>
        <v/>
      </c>
      <c r="GF158" s="246" t="str">
        <f>IFERROR(__xludf.DUMMYFUNCTION("IF(REGEXMATCH(C158, ""g""), ""b3"","""")"),"b3")</f>
        <v>b3</v>
      </c>
      <c r="GG158" s="245" t="str">
        <f>IFERROR(__xludf.DUMMYFUNCTION("IF(REGEXMATCH(C158, ""G""), ""3"","""")"),"3")</f>
        <v>3</v>
      </c>
      <c r="GH158" s="245" t="str">
        <f>IFERROR(__xludf.DUMMYFUNCTION("IF(REGEXMATCH(C158, ""m""), ""4"","""")"),"4")</f>
        <v>4</v>
      </c>
      <c r="GI158" s="246" t="str">
        <f>IFERROR(__xludf.DUMMYFUNCTION("IF(REGEXMATCH(C158, ""M""), ""#4"","""")"),"")</f>
        <v/>
      </c>
      <c r="GJ158" s="245" t="str">
        <f>IFERROR(__xludf.DUMMYFUNCTION("IF(REGEXMATCH(C158, ""P""), ""5"","""")"),"")</f>
        <v/>
      </c>
      <c r="GK158" s="246" t="str">
        <f>IFERROR(__xludf.DUMMYFUNCTION("IF(REGEXMATCH(C158, ""d""), ""b6"","""")"),"")</f>
        <v/>
      </c>
      <c r="GL158" s="245" t="str">
        <f>IFERROR(__xludf.DUMMYFUNCTION("IF(REGEXMATCH(C158, ""D""), ""6"","""")"),"6")</f>
        <v>6</v>
      </c>
      <c r="GM158" s="245" t="str">
        <f>IFERROR(__xludf.DUMMYFUNCTION("IF(REGEXMATCH(C158, ""n""), ""b7"","""")"),"b7")</f>
        <v>b7</v>
      </c>
      <c r="GN158" s="246" t="str">
        <f>IFERROR(__xludf.DUMMYFUNCTION("IF(REGEXMATCH(C158, ""N""), ""7"","""")"),"")</f>
        <v/>
      </c>
      <c r="GO158" s="249" t="str">
        <f>IFERROR(__xludf.DUMMYFUNCTION("IF(REGEXMATCH(C158, ""S""), ""8"","""")"),"8")</f>
        <v>8</v>
      </c>
      <c r="GP158" s="244" t="str">
        <f>IFERROR(__xludf.DUMMYFUNCTION("IF(REGEXMATCH(C158, ""S""), ""S"","""")"),"S")</f>
        <v>S</v>
      </c>
      <c r="GQ158" s="294" t="str">
        <f>IFERROR(__xludf.DUMMYFUNCTION("IF(REGEXMATCH(C158, ""r""), ""R1"","""")"),"")</f>
        <v/>
      </c>
      <c r="GR158" s="295" t="str">
        <f>IFERROR(__xludf.DUMMYFUNCTION("IF(REGEXMATCH(C158, ""R""), ""R2"","""")"),"")</f>
        <v/>
      </c>
      <c r="GS158" s="295" t="str">
        <f>IFERROR(__xludf.DUMMYFUNCTION("IF(REGEXMATCH(C158, ""g""), ""G2"","""")"),"G2")</f>
        <v>G2</v>
      </c>
      <c r="GT158" s="294" t="str">
        <f>IFERROR(__xludf.DUMMYFUNCTION("IF(REGEXMATCH(C158, ""G""), ""G3"","""")"),"G3")</f>
        <v>G3</v>
      </c>
      <c r="GU158" s="294" t="str">
        <f>IFERROR(__xludf.DUMMYFUNCTION("IF(REGEXMATCH(C158, ""m""), ""M1"","""")"),"M1")</f>
        <v>M1</v>
      </c>
      <c r="GV158" s="295" t="str">
        <f>IFERROR(__xludf.DUMMYFUNCTION("IF(REGEXMATCH(C158, ""M""), ""M2"","""")"),"")</f>
        <v/>
      </c>
      <c r="GW158" s="294" t="str">
        <f>IFERROR(__xludf.DUMMYFUNCTION("IF(REGEXMATCH(C158, ""P""), ""P"","""")"),"")</f>
        <v/>
      </c>
      <c r="GX158" s="295" t="str">
        <f>IFERROR(__xludf.DUMMYFUNCTION("IF(REGEXMATCH(C158, ""d""), ""D1"","""")"),"")</f>
        <v/>
      </c>
      <c r="GY158" s="294" t="str">
        <f>IFERROR(__xludf.DUMMYFUNCTION("IF(REGEXMATCH(C158, ""D""), ""D2"","""")"),"D2")</f>
        <v>D2</v>
      </c>
      <c r="GZ158" s="294" t="str">
        <f>IFERROR(__xludf.DUMMYFUNCTION("IF(REGEXMATCH(C158, ""n""), ""N2"","""")"),"N2")</f>
        <v>N2</v>
      </c>
      <c r="HA158" s="295" t="str">
        <f>IFERROR(__xludf.DUMMYFUNCTION("IF(REGEXMATCH(C158, ""N""), ""N3"","""")"),"")</f>
        <v/>
      </c>
      <c r="HB158" s="249" t="str">
        <f>IFERROR(__xludf.DUMMYFUNCTION("IF(REGEXMATCH(C158, ""S""), ""S"","""")"),"S")</f>
        <v>S</v>
      </c>
      <c r="HC158" s="331" t="str">
        <f t="shared" si="95"/>
        <v>S</v>
      </c>
      <c r="HD158" s="332" t="str">
        <f t="shared" si="96"/>
        <v/>
      </c>
      <c r="HE158" s="332" t="str">
        <f t="shared" si="97"/>
        <v>R</v>
      </c>
      <c r="HF158" s="332" t="str">
        <f t="shared" si="98"/>
        <v>g</v>
      </c>
      <c r="HG158" s="332" t="str">
        <f t="shared" si="99"/>
        <v/>
      </c>
      <c r="HH158" s="332" t="str">
        <f t="shared" si="100"/>
        <v/>
      </c>
      <c r="HI158" s="332" t="str">
        <f t="shared" si="101"/>
        <v/>
      </c>
      <c r="HJ158" s="332" t="str">
        <f t="shared" si="102"/>
        <v>P</v>
      </c>
      <c r="HK158" s="332" t="str">
        <f t="shared" si="103"/>
        <v>d</v>
      </c>
      <c r="HL158" s="332" t="str">
        <f t="shared" si="104"/>
        <v>D</v>
      </c>
      <c r="HM158" s="332" t="str">
        <f t="shared" si="105"/>
        <v/>
      </c>
      <c r="HN158" s="332" t="str">
        <f t="shared" si="106"/>
        <v/>
      </c>
      <c r="HO158" s="343" t="str">
        <f t="shared" si="107"/>
        <v>S</v>
      </c>
      <c r="HP158" s="331" t="str">
        <f t="shared" si="108"/>
        <v>o</v>
      </c>
      <c r="HQ158" s="332" t="str">
        <f t="shared" si="109"/>
        <v>•</v>
      </c>
      <c r="HR158" s="332" t="str">
        <f t="shared" si="110"/>
        <v>•</v>
      </c>
      <c r="HS158" s="332" t="str">
        <f t="shared" si="111"/>
        <v>o</v>
      </c>
      <c r="HT158" s="332" t="str">
        <f t="shared" si="112"/>
        <v>o</v>
      </c>
      <c r="HU158" s="332" t="str">
        <f t="shared" si="113"/>
        <v>o</v>
      </c>
      <c r="HV158" s="332" t="str">
        <f t="shared" si="114"/>
        <v>•</v>
      </c>
      <c r="HW158" s="332" t="str">
        <f t="shared" si="115"/>
        <v>•</v>
      </c>
      <c r="HX158" s="332" t="str">
        <f t="shared" si="116"/>
        <v>•</v>
      </c>
      <c r="HY158" s="332" t="str">
        <f t="shared" si="117"/>
        <v>o</v>
      </c>
      <c r="HZ158" s="332" t="str">
        <f t="shared" si="118"/>
        <v>o</v>
      </c>
      <c r="IA158" s="332" t="str">
        <f t="shared" si="119"/>
        <v>•</v>
      </c>
      <c r="IB158" s="338" t="str">
        <f t="shared" si="120"/>
        <v>o</v>
      </c>
      <c r="IC158" s="331" t="str">
        <f t="shared" si="121"/>
        <v>•</v>
      </c>
      <c r="ID158" s="332" t="str">
        <f t="shared" si="122"/>
        <v>o</v>
      </c>
      <c r="IE158" s="332" t="str">
        <f t="shared" si="123"/>
        <v>o</v>
      </c>
      <c r="IF158" s="332" t="str">
        <f t="shared" si="124"/>
        <v>•</v>
      </c>
      <c r="IG158" s="332" t="str">
        <f t="shared" si="125"/>
        <v>•</v>
      </c>
      <c r="IH158" s="332" t="str">
        <f t="shared" si="126"/>
        <v>•</v>
      </c>
      <c r="II158" s="332" t="str">
        <f t="shared" si="127"/>
        <v>o</v>
      </c>
      <c r="IJ158" s="332" t="str">
        <f t="shared" si="128"/>
        <v>o</v>
      </c>
      <c r="IK158" s="332" t="str">
        <f t="shared" si="129"/>
        <v>o</v>
      </c>
      <c r="IL158" s="332" t="str">
        <f t="shared" si="130"/>
        <v>•</v>
      </c>
      <c r="IM158" s="332" t="str">
        <f t="shared" si="131"/>
        <v>•</v>
      </c>
      <c r="IN158" s="332" t="str">
        <f t="shared" si="132"/>
        <v>o</v>
      </c>
      <c r="IO158" s="338" t="str">
        <f t="shared" si="133"/>
        <v>•</v>
      </c>
      <c r="IP158" s="346" t="b">
        <f t="shared" si="134"/>
        <v>1</v>
      </c>
      <c r="IQ158" s="347" t="b">
        <f t="shared" si="135"/>
        <v>0</v>
      </c>
      <c r="IR158" s="347" t="b">
        <f t="shared" si="136"/>
        <v>0</v>
      </c>
      <c r="IS158" s="347" t="b">
        <f t="shared" si="137"/>
        <v>0</v>
      </c>
      <c r="IT158" s="347" t="b">
        <f t="shared" si="138"/>
        <v>1</v>
      </c>
      <c r="IU158" s="347" t="b">
        <f t="shared" si="139"/>
        <v>0</v>
      </c>
      <c r="IV158" s="347" t="b">
        <f t="shared" si="140"/>
        <v>0</v>
      </c>
      <c r="IW158" s="347" t="b">
        <f t="shared" si="141"/>
        <v>0</v>
      </c>
      <c r="IX158" s="347" t="b">
        <f t="shared" si="142"/>
        <v>0</v>
      </c>
      <c r="IY158" s="347" t="b">
        <f t="shared" si="143"/>
        <v>0</v>
      </c>
      <c r="IZ158" s="347" t="b">
        <f t="shared" si="144"/>
        <v>0</v>
      </c>
      <c r="JA158" s="347" t="b">
        <f t="shared" si="145"/>
        <v>0</v>
      </c>
      <c r="JB158" s="353" t="b">
        <f t="shared" si="146"/>
        <v>1</v>
      </c>
      <c r="JC158" s="354" t="str">
        <f t="shared" si="147"/>
        <v>Sa, </v>
      </c>
      <c r="JD158" s="355" t="str">
        <f t="shared" si="148"/>
        <v/>
      </c>
      <c r="JE158" s="355" t="str">
        <f t="shared" si="149"/>
        <v/>
      </c>
      <c r="JF158" s="355" t="str">
        <f t="shared" si="150"/>
        <v/>
      </c>
      <c r="JG158" s="355" t="str">
        <f t="shared" si="151"/>
        <v>Ga, </v>
      </c>
      <c r="JH158" s="355" t="str">
        <f t="shared" si="152"/>
        <v/>
      </c>
      <c r="JI158" s="355" t="str">
        <f t="shared" si="153"/>
        <v/>
      </c>
      <c r="JJ158" s="355" t="str">
        <f t="shared" si="154"/>
        <v/>
      </c>
      <c r="JK158" s="355" t="str">
        <f t="shared" si="155"/>
        <v/>
      </c>
      <c r="JL158" s="355" t="str">
        <f t="shared" si="156"/>
        <v/>
      </c>
      <c r="JM158" s="355" t="str">
        <f t="shared" si="157"/>
        <v/>
      </c>
      <c r="JN158" s="355" t="str">
        <f t="shared" si="158"/>
        <v/>
      </c>
      <c r="JO158" s="359" t="str">
        <f t="shared" si="159"/>
        <v/>
      </c>
      <c r="JP158" s="346" t="b">
        <f t="shared" si="160"/>
        <v>0</v>
      </c>
      <c r="JQ158" s="347" t="b">
        <f t="shared" si="161"/>
        <v>0</v>
      </c>
      <c r="JR158" s="347" t="b">
        <f t="shared" si="162"/>
        <v>0</v>
      </c>
      <c r="JS158" s="347" t="b">
        <f t="shared" si="163"/>
        <v>0</v>
      </c>
      <c r="JT158" s="347" t="b">
        <f t="shared" si="164"/>
        <v>0</v>
      </c>
      <c r="JU158" s="347" t="b">
        <f t="shared" si="165"/>
        <v>0</v>
      </c>
      <c r="JV158" s="347" t="b">
        <f t="shared" si="166"/>
        <v>0</v>
      </c>
      <c r="JW158" s="347" t="b">
        <f t="shared" si="167"/>
        <v>0</v>
      </c>
      <c r="JX158" s="347" t="b">
        <f t="shared" si="168"/>
        <v>0</v>
      </c>
      <c r="JY158" s="347" t="b">
        <f t="shared" si="169"/>
        <v>0</v>
      </c>
      <c r="JZ158" s="347" t="b">
        <f t="shared" si="170"/>
        <v>0</v>
      </c>
      <c r="KA158" s="347" t="b">
        <f t="shared" si="171"/>
        <v>0</v>
      </c>
      <c r="KB158" s="365" t="b">
        <f t="shared" si="172"/>
        <v>0</v>
      </c>
      <c r="KC158" s="354" t="str">
        <f t="shared" si="173"/>
        <v/>
      </c>
      <c r="KD158" s="355" t="str">
        <f t="shared" si="174"/>
        <v/>
      </c>
      <c r="KE158" s="355" t="str">
        <f t="shared" si="175"/>
        <v/>
      </c>
      <c r="KF158" s="355" t="str">
        <f t="shared" si="176"/>
        <v/>
      </c>
      <c r="KG158" s="355" t="str">
        <f t="shared" si="177"/>
        <v/>
      </c>
      <c r="KH158" s="355" t="str">
        <f t="shared" si="178"/>
        <v/>
      </c>
      <c r="KI158" s="355" t="str">
        <f t="shared" si="179"/>
        <v/>
      </c>
      <c r="KJ158" s="355" t="str">
        <f t="shared" si="180"/>
        <v/>
      </c>
      <c r="KK158" s="355" t="str">
        <f t="shared" si="181"/>
        <v/>
      </c>
      <c r="KL158" s="355" t="str">
        <f t="shared" si="182"/>
        <v/>
      </c>
      <c r="KM158" s="355" t="str">
        <f t="shared" si="183"/>
        <v/>
      </c>
      <c r="KN158" s="355" t="str">
        <f t="shared" si="184"/>
        <v/>
      </c>
      <c r="KO158" s="359"/>
      <c r="KP158" s="378"/>
      <c r="KQ158" s="379" t="s">
        <v>1417</v>
      </c>
      <c r="KR158" s="380" t="s">
        <v>1418</v>
      </c>
      <c r="KS158" s="381" t="str">
        <f t="shared" ref="KS158:KS161" si="528">KQ158</f>
        <v>S-G-m-D-n-S</v>
      </c>
      <c r="KT158" s="382">
        <f t="shared" si="186"/>
        <v>5</v>
      </c>
      <c r="KU158" s="383">
        <f t="shared" si="187"/>
        <v>5</v>
      </c>
      <c r="KV158" s="381" t="str">
        <f t="shared" si="205"/>
        <v>S-n-D-m-Gg-S</v>
      </c>
      <c r="KW158" s="382">
        <f t="shared" si="189"/>
        <v>5</v>
      </c>
      <c r="KX158" s="384">
        <f t="shared" si="190"/>
        <v>6</v>
      </c>
      <c r="KY158" s="382">
        <f t="shared" ref="KY158:KZ158" si="526">KW158-KT158</f>
        <v>0</v>
      </c>
      <c r="KZ158" s="369">
        <f t="shared" si="526"/>
        <v>1</v>
      </c>
      <c r="LA158" s="385" t="str">
        <f t="shared" si="192"/>
        <v>-</v>
      </c>
      <c r="LB158" s="340" t="str">
        <f>IFERROR(__xludf.DUMMYFUNCTION("JOIN("""",ArrayFormula(MID(KS158,LEN(KS158)-SEQUENCE(1,LEN(KS158))+1,1)))"),"S-n-D-m-G-S")</f>
        <v>S-n-D-m-G-S</v>
      </c>
      <c r="LC158" s="373" t="str">
        <f>IFERROR(__xludf.DUMMYFUNCTION("JOIN("""",ArrayFormula(MID(KV158,LEN(KV158)-SEQUENCE(1,LEN(KV158))+1,1)))"),"S-gG-m-D-n-S")</f>
        <v>S-gG-m-D-n-S</v>
      </c>
      <c r="LD158" s="373" t="str">
        <f t="shared" si="193"/>
        <v>SGmDnS</v>
      </c>
      <c r="LE158" s="339" t="str">
        <f t="shared" si="194"/>
        <v>SgGmDnS</v>
      </c>
      <c r="LF158" s="386" t="str">
        <f>IFERROR(__xludf.DUMMYFUNCTION("SUBSTITUTE(SUBSTITUTE(CONCATENATE(JOIN("""",LH158:LT158)),""1"",""""),""2"","""")"),"SgGmDnS")</f>
        <v>SgGmDnS</v>
      </c>
      <c r="LG158" s="369" t="str">
        <f t="shared" si="195"/>
        <v>✔</v>
      </c>
      <c r="LH158" s="387" t="str">
        <f>IFERROR(__xludf.DUMMYFUNCTION("IF(REGEXMATCH(LD158, ""S""), ""S"",IF(REGEXMATCH(LE158, ""S""), ""S"",""""))"),"S")</f>
        <v>S</v>
      </c>
      <c r="LI158" s="299" t="str">
        <f>IFERROR(__xludf.DUMMYFUNCTION("IF(REGEXMATCH(LD158, ""r""), ""r1"",IF(REGEXMATCH(LE158, ""r""), ""r2"",""""))"),"")</f>
        <v/>
      </c>
      <c r="LJ158" s="299" t="str">
        <f>IFERROR(__xludf.DUMMYFUNCTION("IF(REGEXMATCH(LD158, ""R""), ""R1"",IF(REGEXMATCH(LE158, ""R""), ""R2"",""""))"),"")</f>
        <v/>
      </c>
      <c r="LK158" s="299" t="str">
        <f>IFERROR(__xludf.DUMMYFUNCTION("IF(REGEXMATCH(LD158, ""g""), ""g1"",IF(REGEXMATCH(LE158, ""g""), ""g2"",""""))"),"g2")</f>
        <v>g2</v>
      </c>
      <c r="LL158" s="299" t="str">
        <f>IFERROR(__xludf.DUMMYFUNCTION("IF(REGEXMATCH(LD158, ""G""), ""G1"",IF(REGEXMATCH(LE158, ""G""), ""G2"",""""))"),"G1")</f>
        <v>G1</v>
      </c>
      <c r="LM158" s="299" t="str">
        <f>IFERROR(__xludf.DUMMYFUNCTION("IF(REGEXMATCH(LD158, ""m""), ""m1"",IF(REGEXMATCH(LE158, ""m""), ""m2"",""""))"),"m1")</f>
        <v>m1</v>
      </c>
      <c r="LN158" s="299" t="str">
        <f>IFERROR(__xludf.DUMMYFUNCTION("IF(REGEXMATCH(LD158, ""M""), ""M1"",IF(REGEXMATCH(LE158, ""M""), ""M2"",""""))"),"")</f>
        <v/>
      </c>
      <c r="LO158" s="299" t="str">
        <f>IFERROR(__xludf.DUMMYFUNCTION("IF(REGEXMATCH(LD158, ""P""), ""P1"",IF(REGEXMATCH(LE158, ""P""), ""P2"",""""))"),"")</f>
        <v/>
      </c>
      <c r="LP158" s="299" t="str">
        <f>IFERROR(__xludf.DUMMYFUNCTION("IF(REGEXMATCH(LD158, ""d""), ""d1"",IF(REGEXMATCH(LE158, ""d""), ""d2"",""""))"),"")</f>
        <v/>
      </c>
      <c r="LQ158" s="299" t="str">
        <f>IFERROR(__xludf.DUMMYFUNCTION("IF(REGEXMATCH(LD158, ""D""), ""D1"",IF(REGEXMATCH(LE158, ""D""), ""D2"",""""))"),"D1")</f>
        <v>D1</v>
      </c>
      <c r="LR158" s="299" t="str">
        <f>IFERROR(__xludf.DUMMYFUNCTION("IF(REGEXMATCH(LD158, ""n""), ""n1"",IF(REGEXMATCH(LE158, ""n""), ""n2"",""""))"),"n1")</f>
        <v>n1</v>
      </c>
      <c r="LS158" s="299" t="str">
        <f>IFERROR(__xludf.DUMMYFUNCTION("IF(REGEXMATCH(LD158, ""N""), ""N1"",IF(REGEXMATCH(LE158, ""N""), ""N2"",""""))"),"")</f>
        <v/>
      </c>
      <c r="LT158" s="388" t="str">
        <f>IFERROR(__xludf.DUMMYFUNCTION("IF(REGEXMATCH(LD158, ""S""), ""S"",IF(REGEXMATCH(LE158, ""S""), ""S"",""""))"),"S")</f>
        <v>S</v>
      </c>
      <c r="LU158" s="389">
        <f t="shared" si="196"/>
        <v>0</v>
      </c>
      <c r="LV158" s="378"/>
      <c r="LW158" s="369"/>
      <c r="LX158" s="369"/>
    </row>
    <row r="159" ht="18.0" customHeight="1">
      <c r="A159" s="298" t="s">
        <v>842</v>
      </c>
      <c r="B159" s="222" t="s">
        <v>843</v>
      </c>
      <c r="C159" s="233" t="str">
        <f t="shared" si="7"/>
        <v>SgGmPDnS</v>
      </c>
      <c r="D159" s="234" t="str">
        <f>IFERROR(__xludf.DUMMYFUNCTION("IF(REGEXMATCH(C159, ""S""), ""S"","""")"),"S")</f>
        <v>S</v>
      </c>
      <c r="E159" s="236" t="str">
        <f>IFERROR(__xludf.DUMMYFUNCTION("IF(REGEXMATCH(C159, ""r""), ""r"","""")"),"")</f>
        <v/>
      </c>
      <c r="F159" s="237" t="str">
        <f>IFERROR(__xludf.DUMMYFUNCTION("IF(REGEXMATCH(C159, ""R""), ""R"","""")"),"")</f>
        <v/>
      </c>
      <c r="G159" s="237" t="str">
        <f>IFERROR(__xludf.DUMMYFUNCTION("IF(REGEXMATCH(C159, ""g""), ""g"","""")"),"g")</f>
        <v>g</v>
      </c>
      <c r="H159" s="236" t="str">
        <f>IFERROR(__xludf.DUMMYFUNCTION("IF(REGEXMATCH(C159, ""G""), ""G"","""")"),"G")</f>
        <v>G</v>
      </c>
      <c r="I159" s="236" t="str">
        <f>IFERROR(__xludf.DUMMYFUNCTION("IF(REGEXMATCH(C159, ""m""), ""m"","""")"),"m")</f>
        <v>m</v>
      </c>
      <c r="J159" s="237" t="str">
        <f>IFERROR(__xludf.DUMMYFUNCTION("IF(REGEXMATCH(C159, ""M""), ""M"","""")"),"")</f>
        <v/>
      </c>
      <c r="K159" s="236" t="str">
        <f>IFERROR(__xludf.DUMMYFUNCTION("IF(REGEXMATCH(C159, ""P""), ""P"","""")"),"P")</f>
        <v>P</v>
      </c>
      <c r="L159" s="237" t="str">
        <f>IFERROR(__xludf.DUMMYFUNCTION("IF(REGEXMATCH(C159, ""d""), ""d"","""")"),"")</f>
        <v/>
      </c>
      <c r="M159" s="236" t="str">
        <f>IFERROR(__xludf.DUMMYFUNCTION("IF(REGEXMATCH(C159, ""D""), ""D"","""")"),"D")</f>
        <v>D</v>
      </c>
      <c r="N159" s="236" t="str">
        <f>IFERROR(__xludf.DUMMYFUNCTION("IF(REGEXMATCH(C159, ""n""), ""n"","""")"),"n")</f>
        <v>n</v>
      </c>
      <c r="O159" s="237" t="str">
        <f>IFERROR(__xludf.DUMMYFUNCTION("IF(REGEXMATCH(C159, ""N""), ""N"","""")"),"")</f>
        <v/>
      </c>
      <c r="P159" s="238" t="str">
        <f>IFERROR(__xludf.DUMMYFUNCTION("IF(REGEXMATCH(C159, ""S""), ""S"","""")"),"S")</f>
        <v>S</v>
      </c>
      <c r="Q159" s="239" t="str">
        <f>IFERROR(__xludf.DUMMYFUNCTION("SUBSTITUTE(CONCATENATE(JOIN(""-"",D159:J159)),""-"","""")"),"SgGm")</f>
        <v>SgGm</v>
      </c>
      <c r="R159" s="229" t="str">
        <f>IFERROR(__xludf.DUMMYFUNCTION("SUBSTITUTE(CONCATENATE(JOIN(""-"",K159:P159)),""-"","""")"),"PDnS")</f>
        <v>PDnS</v>
      </c>
      <c r="S159" s="282" t="str">
        <f t="shared" si="8"/>
        <v>S-G-M</v>
      </c>
      <c r="T159" s="282" t="str">
        <f t="shared" si="9"/>
        <v>P-D-N-S</v>
      </c>
      <c r="U159" s="237" t="str">
        <f>IFERROR(__xludf.DUMMYFUNCTION("SUBSTITUTE(JOIN(""-"",S159,T159),""--"",""-"")"),"S-G-M-P-D-N-S")</f>
        <v>S-G-M-P-D-N-S</v>
      </c>
      <c r="V159" s="309" t="str">
        <f t="shared" si="10"/>
        <v>gGmDn</v>
      </c>
      <c r="W159" s="244" t="str">
        <f>IFERROR(__xludf.DUMMYFUNCTION("IF(REGEXMATCH(C159, ""S""), ""0"","""")"),"0")</f>
        <v>0</v>
      </c>
      <c r="X159" s="245" t="str">
        <f>IFERROR(__xludf.DUMMYFUNCTION("IF(REGEXMATCH(C159, ""r""), ""1"","""")"),"")</f>
        <v/>
      </c>
      <c r="Y159" s="246" t="str">
        <f>IFERROR(__xludf.DUMMYFUNCTION("IF(REGEXMATCH(C159, ""R""), ""2"","""")"),"")</f>
        <v/>
      </c>
      <c r="Z159" s="246" t="str">
        <f>IFERROR(__xludf.DUMMYFUNCTION("IF(REGEXMATCH(C159, ""g""), ""3"","""")"),"3")</f>
        <v>3</v>
      </c>
      <c r="AA159" s="245" t="str">
        <f>IFERROR(__xludf.DUMMYFUNCTION("IF(REGEXMATCH(C159, ""G""), ""4"","""")"),"4")</f>
        <v>4</v>
      </c>
      <c r="AB159" s="245" t="str">
        <f>IFERROR(__xludf.DUMMYFUNCTION("IF(REGEXMATCH(C159, ""m""), ""5"","""")"),"5")</f>
        <v>5</v>
      </c>
      <c r="AC159" s="246" t="str">
        <f>IFERROR(__xludf.DUMMYFUNCTION("IF(REGEXMATCH(C159, ""M""), ""6"","""")"),"")</f>
        <v/>
      </c>
      <c r="AD159" s="245" t="str">
        <f>IFERROR(__xludf.DUMMYFUNCTION("IF(REGEXMATCH(C159, ""P""), ""7"","""")"),"7")</f>
        <v>7</v>
      </c>
      <c r="AE159" s="246" t="str">
        <f>IFERROR(__xludf.DUMMYFUNCTION("IF(REGEXMATCH(C159, ""d""), ""8"","""")"),"")</f>
        <v/>
      </c>
      <c r="AF159" s="245" t="str">
        <f>IFERROR(__xludf.DUMMYFUNCTION("IF(REGEXMATCH(C159, ""D""), ""9"","""")"),"9")</f>
        <v>9</v>
      </c>
      <c r="AG159" s="245" t="str">
        <f>IFERROR(__xludf.DUMMYFUNCTION("IF(REGEXMATCH(C159, ""n""), ""10"","""")"),"10")</f>
        <v>10</v>
      </c>
      <c r="AH159" s="246" t="str">
        <f>IFERROR(__xludf.DUMMYFUNCTION("IF(REGEXMATCH(C159, ""N""), ""11"","""")"),"")</f>
        <v/>
      </c>
      <c r="AI159" s="249" t="str">
        <f>IFERROR(__xludf.DUMMYFUNCTION("IF(REGEXMATCH(C159, ""S""), ""0"","""")"),"0")</f>
        <v>0</v>
      </c>
      <c r="AJ159" s="313" t="str">
        <f t="shared" si="11"/>
        <v>-</v>
      </c>
      <c r="AK159" s="313" t="str">
        <f t="shared" si="12"/>
        <v>-</v>
      </c>
      <c r="AL159" s="313" t="str">
        <f t="shared" si="13"/>
        <v>-</v>
      </c>
      <c r="AM159" s="313" t="str">
        <f t="shared" si="14"/>
        <v>T</v>
      </c>
      <c r="AN159" s="313" t="str">
        <f t="shared" si="15"/>
        <v>T</v>
      </c>
      <c r="AO159" s="314" t="str">
        <f t="shared" si="16"/>
        <v>-</v>
      </c>
      <c r="AP159" s="316">
        <f t="shared" si="17"/>
        <v>2</v>
      </c>
      <c r="AQ159" s="319" t="str">
        <f t="shared" si="18"/>
        <v>-</v>
      </c>
      <c r="AR159" s="320">
        <f t="shared" si="19"/>
        <v>0</v>
      </c>
      <c r="AS159" s="250" t="str">
        <f>IFERROR(__xludf.DUMMYFUNCTION("SUBSTITUTE(SUBSTITUTE(CONCATENATE(JOIN("""",FP159:GA159)),""|"",""x""),""-"",""o"")"),"xooxxxoxoxxo")</f>
        <v>xooxxxoxoxxo</v>
      </c>
      <c r="AT159" s="323" t="str">
        <f>IFERROR(__xludf.DUMMYFUNCTION("JOIN("""",AS159,AS159)"),"xooxxxoxoxxoxooxxxoxoxxo")</f>
        <v>xooxxxoxoxxoxooxxxoxoxxo</v>
      </c>
      <c r="AU159" s="256" t="str">
        <f>IFERROR(__xludf.DUMMYFUNCTION("JOIN("""",ArrayFormula(MID(AS159,LEN(AS159)-SEQUENCE(1,LEN(AS159))+1,1)))"),"oxxoxoxxxoox")</f>
        <v>oxxoxoxxxoox</v>
      </c>
      <c r="AV159" s="256" t="str">
        <f>IFERROR(__xludf.DUMMYFUNCTION("LEFT(CONCATENATE(""x"",JOIN("""",ArrayFormula(MID(AS159,LEN(AS159)-SEQUENCE(1,LEN(AS159))+1,1)))),12)"),"xoxxoxoxxxoo")</f>
        <v>xoxxoxoxxxoo</v>
      </c>
      <c r="AW159" s="327" t="str">
        <f>IFERROR(__xludf.DUMMYFUNCTION("JOIN("""",AU159,AU159)"),"oxxoxoxxxooxoxxoxoxxxoox")</f>
        <v>oxxoxoxxxooxoxxoxoxxxoox</v>
      </c>
      <c r="AX159" s="239" t="str">
        <f>IFERROR(__xludf.DUMMYFUNCTION("IF(REGEXMATCH(AW159,AS159),""✔"",""-"")"),"-")</f>
        <v>-</v>
      </c>
      <c r="AY159" s="330" t="str">
        <f t="shared" si="20"/>
        <v>-</v>
      </c>
      <c r="AZ159" s="260" t="str">
        <f t="shared" si="21"/>
        <v>#REF!</v>
      </c>
      <c r="BA159" s="333" t="str">
        <f t="shared" si="22"/>
        <v>xooxxxo</v>
      </c>
      <c r="BB159" s="334" t="str">
        <f t="shared" si="23"/>
        <v>xoxxox</v>
      </c>
      <c r="BC159" s="335" t="str">
        <f t="shared" si="236"/>
        <v>-</v>
      </c>
      <c r="BD159" s="336" t="str">
        <f t="shared" si="25"/>
        <v>Jogeshwari Pancham: 'xooxxxo' + 'xoxxox'</v>
      </c>
      <c r="BE159" s="337">
        <f>IFERROR(__xludf.DUMMYFUNCTION("COUNTUNIQUE(FILTER(AT:AT,REGEXMATCH(AT:AT,AS159)))-1"),2.0)</f>
        <v>2</v>
      </c>
      <c r="BF159" s="261" t="str">
        <f>IFERROR(__xludf.DUMMYFUNCTION("IF(BI159=0,""(n/a)"",IF(BJ159=2,""(PAIR)"",IF(REGEXMATCH(AT159,""xoxoxxoxoxox""),""Bilawal"",IF(REGEXMATCH(AT159,""xoxoxooxoxoo""),""Bhupali"",IF(REGEXMATCH(AT159,""xoxoxxoxxoxo""),""Charukeshi"",IF(REGEXMATCH(AT159,""xoxoooxxoxxo""),""Kameshwari"",IF(REG"&amp;"EXMATCH(AT159,""xoxoxooxoxox""),""Shankara"",IF(REGEXMATCH(AT159,""xxooxoxxxoox""),""Basant"",IF(REGEXMATCH(AT159,""xoxoxxxxoxox""),""Bihag"",IF(REGEXMATCH(AT159,""xoxxxxoxoxxx""),""Pilu"",IF(REGEXMATCH(AT159,""xoxxoxoxxoox""),""Kirwani"",IF(REGEXMATCH(AT"&amp;"159,""xoxxoxoxoxxx""),""Mk.Malhar"",IF(REGEXMATCH(AT159,""xxooxxoxxoox""),""Bhairav"",IF(REGEXMATCH(AT159,""xxoxooxxxoox""),""Todi"",IF(REGEXMATCH(AT159,""xxooxoxooxox""),""Marwa"",IF(REGEXMATCH(AT159,""xxoooxoxxooo""),""Gunkali"",IF(REGEXMATCH(AT159,""xo"&amp;"xoxxoxxoox""),""Nat Bhairav"",IF(REGEXMATCH(AT159,""xoxxoooxoxoo""),""Shivranjani"",IF(REGEXMATCH(AT159,""xooxxxoxooxo""),""Jog"",IF(REGEXMATCH(AT159,""xxooxoxoxoox""),""Hemshri"",IF(REGEXMATCH(AT159,""xoooxooxoxxo""),""Kalavati"",IF(REGEXMATCH(AT159,""xx"&amp;"oxoxxoxoox""),""Kedar"",IF(REGEXMATCH(AT159,""xoxxxxoxooxx""),""Gara"",IF(REGEXMATCH(AT159,""xooxoxooxoox""),""Chandrakauns"",IF(REGEXMATCH(AT159,""xoxxxxoxxxox""),""Mand"",IF(REGEXMATCH(AT159,""xoxxxxoxoxox""),""Hanskinkini"",IF(REGEXMATCH(AT159,""xxooxx"&amp;"oxooxo""),""Lilavati"",IF(REGEXMATCH(AT159,""xooxoxoooxox""),""Rajeshwari"",IF(REGEXMATCH(AT159,""xoooxxoxoxxx""),""Khokar"",IF(REGEXMATCH(AT159,""xxooxoxxxxox""),""Maligoura"",""-""))))))))))))))))))))))))))))))"),"Kedar")</f>
        <v>Kedar</v>
      </c>
      <c r="BG159" s="239" t="str">
        <f t="shared" si="26"/>
        <v>#REF!</v>
      </c>
      <c r="BH159" s="239">
        <f>IFERROR(__xludf.DUMMYFUNCTION("COUNTUNIQUE(FE159:FO159)-1"),6.0)</f>
        <v>6</v>
      </c>
      <c r="BI159" s="239">
        <f>IFERROR(__xludf.DUMMYFUNCTION("COUNTUNIQUE(FILTER(AT:AT,REGEXMATCH(AT:AT,AS159)))-1"),2.0)</f>
        <v>2</v>
      </c>
      <c r="BJ159" s="239">
        <f>IFERROR(__xludf.DUMMYFUNCTION("COUNTA(FILTER(AT:AT,REGEXMATCH(AT:AT,AS159)))"),5.0)</f>
        <v>5</v>
      </c>
      <c r="BK159" s="341">
        <f>IFERROR(__xludf.DUMMYFUNCTION("COUNTA(FILTER(AT:AT,REGEXMATCH(AT:AT,AS159)))-AR159"),5.0)</f>
        <v>5</v>
      </c>
      <c r="BL159" s="276" t="str">
        <f>IFERROR(__xludf.DUMMYFUNCTION("IF(AS159=""oooooooooooo"",""-"",IF(REGEXMATCH(AT159,""xx""), ""Hemi."", ""Anhemi.""))"),"Hemi.")</f>
        <v>Hemi.</v>
      </c>
      <c r="BM159" s="282" t="str">
        <f>IFERROR(__xludf.DUMMYFUNCTION("IF(AS159=""oooooooooooo"",""-"",IF(REGEXMATCH(AT159,""xxx""), ""Cohem."", ""-""))"),"Cohem.")</f>
        <v>Cohem.</v>
      </c>
      <c r="BN159" s="282" t="str">
        <f>IFERROR(__xludf.DUMMYFUNCTION("IF(AS159=""oooooooooooo"",""-"",IF(REGEXMATCH(AT159,""xxxx""), ""Co-Co."", ""-""))"),"-")</f>
        <v>-</v>
      </c>
      <c r="BO159" s="342" t="str">
        <f>IFERROR(__xludf.DUMMYFUNCTION("IF(AS159=""oooooooooooo"",""-"",IF(REGEXMATCH(AT159,""xxxxx""), ""CCC."", ""-""))"),"-")</f>
        <v>-</v>
      </c>
      <c r="BP159" s="344" t="str">
        <f t="shared" si="27"/>
        <v>-</v>
      </c>
      <c r="BQ159" s="282" t="str">
        <f>IFERROR(__xludf.DUMMYFUNCTION("IF(REGEXMATCH(JOIN(""-"",EU159:FD159),""TRUE""),""✔"",""-"")"),"-")</f>
        <v>-</v>
      </c>
      <c r="BR159" s="225">
        <f t="shared" si="28"/>
        <v>0</v>
      </c>
      <c r="BS159" s="345" t="str">
        <f>IFERROR(__xludf.DUMMYFUNCTION("SUBSTITUTE(SUBSTITUTE(SUBSTITUTE(SUBSTITUTE(CONCATENATE(JOIN(""-"",GC159:GO159)),""--"",""-""),""--"",""-""),""--"",""-""),""--"",""-"")"),"1-b3-3-4-5-6-b7-8")</f>
        <v>1-b3-3-4-5-6-b7-8</v>
      </c>
      <c r="BT159" s="299" t="str">
        <f>IFERROR(__xludf.DUMMYFUNCTION("SUBSTITUTE(SUBSTITUTE(SUBSTITUTE(SUBSTITUTE(CONCATENATE(JOIN(""-"",GP159:HB159)),""--"",""-""),""--"",""-""),""--"",""-""),""--"",""-"")"),"S-G2-G3-M1-P-D2-N2-S")</f>
        <v>S-G2-G3-M1-P-D2-N2-S</v>
      </c>
      <c r="BU159" s="348" t="str">
        <f t="shared" si="29"/>
        <v>C-Eb-E-F-G-A-Bb-C</v>
      </c>
      <c r="BV159" s="349" t="str">
        <f t="shared" si="30"/>
        <v>SrRMdNS</v>
      </c>
      <c r="BW159" s="350">
        <f t="shared" si="31"/>
        <v>0</v>
      </c>
      <c r="BX159" s="351">
        <f t="shared" si="32"/>
        <v>1</v>
      </c>
      <c r="BY159" s="392"/>
      <c r="BZ159" s="309" t="str">
        <f>IFERROR(__xludf.DUMMYFUNCTION("IF(REGEXMATCH(C159, ""S""), ""x"",""x"")"),"x")</f>
        <v>x</v>
      </c>
      <c r="CA159" s="245" t="str">
        <f>IFERROR(__xludf.DUMMYFUNCTION("IF(REGEXMATCH(C159, ""r""), ""o"",""x"")"),"x")</f>
        <v>x</v>
      </c>
      <c r="CB159" s="246" t="str">
        <f>IFERROR(__xludf.DUMMYFUNCTION("IF(REGEXMATCH(C159, ""R""), ""o"",""x"")"),"x")</f>
        <v>x</v>
      </c>
      <c r="CC159" s="246" t="str">
        <f>IFERROR(__xludf.DUMMYFUNCTION("IF(REGEXMATCH(C159, ""g""), ""o"",""x"")"),"o")</f>
        <v>o</v>
      </c>
      <c r="CD159" s="245" t="str">
        <f>IFERROR(__xludf.DUMMYFUNCTION("IF(REGEXMATCH(C159, ""G""), ""o"",""x"")"),"o")</f>
        <v>o</v>
      </c>
      <c r="CE159" s="245" t="str">
        <f>IFERROR(__xludf.DUMMYFUNCTION("IF(REGEXMATCH(C159, ""m""), ""o"",""x"")"),"o")</f>
        <v>o</v>
      </c>
      <c r="CF159" s="246" t="str">
        <f>IFERROR(__xludf.DUMMYFUNCTION("IF(REGEXMATCH(C159, ""M""), ""o"",""x"")"),"x")</f>
        <v>x</v>
      </c>
      <c r="CG159" s="245" t="str">
        <f>IFERROR(__xludf.DUMMYFUNCTION("IF(REGEXMATCH(C159, ""P""), ""o"",""x"")"),"o")</f>
        <v>o</v>
      </c>
      <c r="CH159" s="246" t="str">
        <f>IFERROR(__xludf.DUMMYFUNCTION("IF(REGEXMATCH(C159, ""d""), ""o"",""x"")"),"x")</f>
        <v>x</v>
      </c>
      <c r="CI159" s="245" t="str">
        <f>IFERROR(__xludf.DUMMYFUNCTION("IF(REGEXMATCH(C159, ""D""), ""o"",""x"")"),"o")</f>
        <v>o</v>
      </c>
      <c r="CJ159" s="245" t="str">
        <f>IFERROR(__xludf.DUMMYFUNCTION("IF(REGEXMATCH(C159, ""n""), ""o"",""x"")"),"o")</f>
        <v>o</v>
      </c>
      <c r="CK159" s="245" t="str">
        <f>IFERROR(__xludf.DUMMYFUNCTION("IF(REGEXMATCH(C159, ""N""), ""o"",""x"")"),"x")</f>
        <v>x</v>
      </c>
      <c r="CL159" s="356" t="str">
        <f>IFERROR(__xludf.DUMMYFUNCTION("IF(REGEXMATCH(C159, ""S""), ""x"",""x"")"),"x")</f>
        <v>x</v>
      </c>
      <c r="CM159" s="357" t="str">
        <f t="shared" si="33"/>
        <v>xxxoooxoxoox</v>
      </c>
      <c r="CN159" s="358">
        <f t="shared" si="34"/>
        <v>0</v>
      </c>
      <c r="CO159" s="246" t="str">
        <f>IFERROR(__xludf.DUMMYFUNCTION("IF(REGEXMATCH($C159, ""S""), ""S"",""S"")"),"S")</f>
        <v>S</v>
      </c>
      <c r="CP159" s="246" t="str">
        <f>IFERROR(__xludf.DUMMYFUNCTION("IF(REGEXMATCH($C159, ""r""), """",""r"")"),"r")</f>
        <v>r</v>
      </c>
      <c r="CQ159" s="246" t="str">
        <f>IFERROR(__xludf.DUMMYFUNCTION("IF(REGEXMATCH($C159, ""R""), """",""R"")"),"R")</f>
        <v>R</v>
      </c>
      <c r="CR159" s="246" t="str">
        <f>IFERROR(__xludf.DUMMYFUNCTION("IF(REGEXMATCH($C159, ""g""), """",""g"")"),"")</f>
        <v/>
      </c>
      <c r="CS159" s="246" t="str">
        <f>IFERROR(__xludf.DUMMYFUNCTION("IF(REGEXMATCH($C159, ""G""), """",""G"")"),"")</f>
        <v/>
      </c>
      <c r="CT159" s="246" t="str">
        <f>IFERROR(__xludf.DUMMYFUNCTION("IF(REGEXMATCH($C159, ""m""), """",""m"")"),"")</f>
        <v/>
      </c>
      <c r="CU159" s="246" t="str">
        <f>IFERROR(__xludf.DUMMYFUNCTION("IF(REGEXMATCH($C159, ""M""), """",""M"")"),"M")</f>
        <v>M</v>
      </c>
      <c r="CV159" s="246" t="str">
        <f>IFERROR(__xludf.DUMMYFUNCTION("IF(REGEXMATCH($C159, ""P""), """",""P"")"),"")</f>
        <v/>
      </c>
      <c r="CW159" s="246" t="str">
        <f>IFERROR(__xludf.DUMMYFUNCTION("IF(REGEXMATCH($C159, ""d""), """",""d"")"),"d")</f>
        <v>d</v>
      </c>
      <c r="CX159" s="246" t="str">
        <f>IFERROR(__xludf.DUMMYFUNCTION("IF(REGEXMATCH($C159, ""D""), """",""D"")"),"")</f>
        <v/>
      </c>
      <c r="CY159" s="246" t="str">
        <f>IFERROR(__xludf.DUMMYFUNCTION("IF(REGEXMATCH($C159, ""n""), """",""n"")"),"")</f>
        <v/>
      </c>
      <c r="CZ159" s="246" t="str">
        <f>IFERROR(__xludf.DUMMYFUNCTION("IF(REGEXMATCH($C159, ""N""), """",""N"")"),"N")</f>
        <v>N</v>
      </c>
      <c r="DA159" s="246" t="str">
        <f>IFERROR(__xludf.DUMMYFUNCTION("IF(REGEXMATCH($C159, ""S""), ""S"",""S"")"),"S")</f>
        <v>S</v>
      </c>
      <c r="DB159" s="362" t="str">
        <f>IFERROR(__xludf.DUMMYFUNCTION("JOIN("""",CO159:DA159,"""","""")"),"SrRMdNS")</f>
        <v>SrRMdNS</v>
      </c>
      <c r="DC159" s="363"/>
      <c r="DD159" s="301" t="str">
        <f t="shared" si="35"/>
        <v>#REF!</v>
      </c>
      <c r="DE159" s="302" t="str">
        <f t="shared" si="36"/>
        <v>#REF!</v>
      </c>
      <c r="DF159" s="301" t="str">
        <f t="shared" ref="DF159:DG159" si="527">SUBSTITUTE(S159,"-","")</f>
        <v>SGM</v>
      </c>
      <c r="DG159" s="301" t="str">
        <f t="shared" si="527"/>
        <v>PDNS</v>
      </c>
      <c r="DH159" s="302" t="str">
        <f t="shared" si="38"/>
        <v>Kedar</v>
      </c>
      <c r="DI159" s="301" t="str">
        <f t="shared" si="39"/>
        <v>Hemi.</v>
      </c>
      <c r="DJ159" s="364" t="str">
        <f t="shared" si="40"/>
        <v>Cohem.</v>
      </c>
      <c r="DK159" s="306" t="str">
        <f t="shared" si="41"/>
        <v>-</v>
      </c>
      <c r="DL159" s="366" t="str">
        <f t="shared" si="42"/>
        <v>-</v>
      </c>
      <c r="DM159" s="308" t="str">
        <f t="shared" si="43"/>
        <v>✔</v>
      </c>
      <c r="DN159" s="306" t="str">
        <f t="shared" si="44"/>
        <v>-</v>
      </c>
      <c r="DO159" s="306" t="str">
        <f t="shared" si="45"/>
        <v>-</v>
      </c>
      <c r="DP159" s="367" t="str">
        <f t="shared" si="46"/>
        <v>-</v>
      </c>
      <c r="DQ159" s="310" t="str">
        <f t="shared" si="47"/>
        <v>-</v>
      </c>
      <c r="DR159" s="310" t="str">
        <f t="shared" si="48"/>
        <v>✔</v>
      </c>
      <c r="DS159" s="310" t="str">
        <f t="shared" si="49"/>
        <v>-</v>
      </c>
      <c r="DT159" s="310" t="str">
        <f t="shared" si="50"/>
        <v>-</v>
      </c>
      <c r="DU159" s="370" t="str">
        <f t="shared" si="51"/>
        <v>-</v>
      </c>
      <c r="DV159" s="306" t="str">
        <f t="shared" si="52"/>
        <v>✔</v>
      </c>
      <c r="DW159" s="306" t="str">
        <f t="shared" si="53"/>
        <v>-</v>
      </c>
      <c r="DX159" s="306" t="str">
        <f t="shared" si="54"/>
        <v>-</v>
      </c>
      <c r="DY159" s="306" t="str">
        <f t="shared" si="55"/>
        <v>-</v>
      </c>
      <c r="DZ159" s="306" t="str">
        <f t="shared" si="56"/>
        <v>-</v>
      </c>
      <c r="EA159" s="367" t="str">
        <f t="shared" si="57"/>
        <v>-</v>
      </c>
      <c r="EB159" s="310" t="str">
        <f>IFERROR(__xludf.DUMMYFUNCTION("IF(REGEXMATCH(AW159,AS159),""✔"",""-"")"),"-")</f>
        <v>-</v>
      </c>
      <c r="EC159" s="310" t="str">
        <f t="shared" si="58"/>
        <v>#REF!</v>
      </c>
      <c r="ED159" s="370" t="str">
        <f t="shared" si="59"/>
        <v>-</v>
      </c>
      <c r="EE159" s="340" t="str">
        <f t="shared" si="60"/>
        <v>S-gG-m-P-D-n-S</v>
      </c>
      <c r="EF159" s="371" t="str">
        <f>IFERROR(__xludf.DUMMYFUNCTION("CONCATENATE(JOIN("""",HC159:HO159))"),"SRgmPdDS")</f>
        <v>SRgmPdDS</v>
      </c>
      <c r="EG159" s="372">
        <f t="shared" si="61"/>
        <v>2</v>
      </c>
      <c r="EH159" s="373" t="str">
        <f>IFERROR(__xludf.DUMMYFUNCTION("CONCATENATE(JOIN("""",JC159:JO159))"),"Ga, Pa, ")</f>
        <v>Ga, Pa, </v>
      </c>
      <c r="EI159" s="322">
        <f t="shared" si="62"/>
        <v>0</v>
      </c>
      <c r="EJ159" s="374" t="str">
        <f>IFERROR(__xludf.DUMMYFUNCTION("CONCATENATE(JOIN("""",KC159:KO159))"),"")</f>
        <v/>
      </c>
      <c r="EK159" s="325" t="str">
        <f t="shared" si="63"/>
        <v>S-G2-G3-M1-P-D2-N2-S</v>
      </c>
      <c r="EL159" s="326" t="str">
        <f t="shared" si="64"/>
        <v>1-b3-3-4-5-6-b7-8</v>
      </c>
      <c r="EM159" s="318" t="str">
        <f t="shared" si="65"/>
        <v>#REF!</v>
      </c>
      <c r="EN159" s="328" t="str">
        <f>IFERROR(__xludf.DUMMYFUNCTION("SUBSTITUTE(SUBSTITUTE(SUBSTITUTE(SUBSTITUTE(CONCATENATE(JOIN("" "",HP159:IB159)),""  "","" ""),""  "","" ""),""  "","" ""),""  "","" "")"),"o • • o o o • o • o o • o")</f>
        <v>o • • o o o • o • o o • o</v>
      </c>
      <c r="EO159" s="368" t="str">
        <f t="shared" si="66"/>
        <v>-</v>
      </c>
      <c r="EP159" s="339" t="str">
        <f t="shared" si="67"/>
        <v>-</v>
      </c>
      <c r="EQ159" s="339" t="str">
        <f t="shared" si="68"/>
        <v>Sa-Pa</v>
      </c>
      <c r="ER159" s="339" t="str">
        <f t="shared" si="69"/>
        <v>-</v>
      </c>
      <c r="ES159" s="340" t="str">
        <f t="shared" si="70"/>
        <v>-</v>
      </c>
      <c r="ET159" s="363"/>
      <c r="EU159" s="376" t="b">
        <f>IFERROR(__xludf.DUMMYFUNCTION("arrayformula(sum(--REGEXMATCH(""SRGMPDNS"",split(REGEXREPLACE(C159,""(.)"",""$1~""),""~""))))=len(C159)
"),FALSE)</f>
        <v>0</v>
      </c>
      <c r="EV159" s="290" t="b">
        <f>IFERROR(__xludf.DUMMYFUNCTION("arrayformula(sum(--REGEXMATCH(""SRGmPDNS"",split(REGEXREPLACE(C159,""(.)"",""$1~""),""~""))))=len(C159)"),FALSE)</f>
        <v>0</v>
      </c>
      <c r="EW159" s="290" t="b">
        <f>IFERROR(__xludf.DUMMYFUNCTION("arrayformula(sum(--REGEXMATCH(""SRGmPDnS"",split(REGEXREPLACE(C159,""(.)"",""$1~""),""~""))))=len(C159)"),FALSE)</f>
        <v>0</v>
      </c>
      <c r="EX159" s="290" t="b">
        <f>IFERROR(__xludf.DUMMYFUNCTION("arrayformula(sum(--REGEXMATCH(""SRgmPDnS"",split(REGEXREPLACE(C159,""(.)"",""$1~""),""~""))))=len(C159)"),FALSE)</f>
        <v>0</v>
      </c>
      <c r="EY159" s="290" t="b">
        <f>IFERROR(__xludf.DUMMYFUNCTION("arrayformula(sum(--REGEXMATCH(""SRgmPdnS"",split(REGEXREPLACE(C159,""(.)"",""$1~""),""~""))))=len(C159)"),FALSE)</f>
        <v>0</v>
      </c>
      <c r="EZ159" s="290" t="b">
        <f>IFERROR(__xludf.DUMMYFUNCTION("arrayformula(sum(--REGEXMATCH(""SrgmPdnS"",split(REGEXREPLACE(C159,""(.)"",""$1~""),""~""))))=len(C159)"),FALSE)</f>
        <v>0</v>
      </c>
      <c r="FA159" s="290" t="b">
        <f>IFERROR(__xludf.DUMMYFUNCTION("arrayformula(sum(--REGEXMATCH(""SrGmPdNS"",split(REGEXREPLACE(C159,""(.)"",""$1~""),""~""))))=len(C159)"),FALSE)</f>
        <v>0</v>
      </c>
      <c r="FB159" s="290" t="b">
        <f>IFERROR(__xludf.DUMMYFUNCTION("arrayformula(sum(--REGEXMATCH(""SrGMPDNS"",split(REGEXREPLACE(C159,""(.)"",""$1~""),""~""))))=len(C159)"),FALSE)</f>
        <v>0</v>
      </c>
      <c r="FC159" s="290" t="b">
        <f>IFERROR(__xludf.DUMMYFUNCTION("arrayformula(sum(--REGEXMATCH(""SrGMPdNS"",split(REGEXREPLACE(C159,""(.)"",""$1~""),""~""))))=len(C159)"),FALSE)</f>
        <v>0</v>
      </c>
      <c r="FD159" s="377" t="b">
        <f>IFERROR(__xludf.DUMMYFUNCTION("arrayformula(sum(--REGEXMATCH(""SrgMPdNS"",split(REGEXREPLACE(C159,""(.)"",""$1~""),""~""))))=len(C159)"),FALSE)</f>
        <v>0</v>
      </c>
      <c r="FE159" s="269" t="str">
        <f t="shared" si="71"/>
        <v>-</v>
      </c>
      <c r="FF159" s="269" t="str">
        <f t="shared" si="72"/>
        <v>-</v>
      </c>
      <c r="FG159" s="271" t="str">
        <f t="shared" si="73"/>
        <v>xxxoxoxxoxo</v>
      </c>
      <c r="FH159" s="269" t="str">
        <f t="shared" si="74"/>
        <v>xxoxoxxoxoo</v>
      </c>
      <c r="FI159" s="271" t="str">
        <f t="shared" si="75"/>
        <v>xoxoxxoxoox</v>
      </c>
      <c r="FJ159" s="271" t="str">
        <f t="shared" si="76"/>
        <v>-</v>
      </c>
      <c r="FK159" s="271" t="str">
        <f t="shared" si="77"/>
        <v>xoxxoxooxxx</v>
      </c>
      <c r="FL159" s="271" t="str">
        <f t="shared" si="78"/>
        <v>-</v>
      </c>
      <c r="FM159" s="271" t="str">
        <f t="shared" si="79"/>
        <v>xxoxooxxxox</v>
      </c>
      <c r="FN159" s="271" t="str">
        <f t="shared" si="80"/>
        <v>xoxooxxxoxo</v>
      </c>
      <c r="FO159" s="274" t="str">
        <f t="shared" si="81"/>
        <v>-</v>
      </c>
      <c r="FP159" s="234" t="str">
        <f t="shared" si="82"/>
        <v>|</v>
      </c>
      <c r="FQ159" s="236" t="str">
        <f t="shared" si="83"/>
        <v>-</v>
      </c>
      <c r="FR159" s="237" t="str">
        <f t="shared" si="84"/>
        <v>-</v>
      </c>
      <c r="FS159" s="236" t="str">
        <f t="shared" si="85"/>
        <v>|</v>
      </c>
      <c r="FT159" s="237" t="str">
        <f t="shared" si="86"/>
        <v>|</v>
      </c>
      <c r="FU159" s="236" t="str">
        <f t="shared" si="87"/>
        <v>|</v>
      </c>
      <c r="FV159" s="237" t="str">
        <f t="shared" si="88"/>
        <v>-</v>
      </c>
      <c r="FW159" s="236" t="str">
        <f t="shared" si="89"/>
        <v>|</v>
      </c>
      <c r="FX159" s="237" t="str">
        <f t="shared" si="90"/>
        <v>-</v>
      </c>
      <c r="FY159" s="236" t="str">
        <f t="shared" si="91"/>
        <v>|</v>
      </c>
      <c r="FZ159" s="237" t="str">
        <f t="shared" si="92"/>
        <v>|</v>
      </c>
      <c r="GA159" s="236" t="str">
        <f t="shared" si="93"/>
        <v>-</v>
      </c>
      <c r="GB159" s="238" t="str">
        <f t="shared" si="94"/>
        <v>|</v>
      </c>
      <c r="GC159" s="244" t="str">
        <f>IFERROR(__xludf.DUMMYFUNCTION("IF(REGEXMATCH(C159, ""S""), ""1"","""")"),"1")</f>
        <v>1</v>
      </c>
      <c r="GD159" s="245" t="str">
        <f>IFERROR(__xludf.DUMMYFUNCTION("IF(REGEXMATCH(C159, ""r""), ""b2"","""")"),"")</f>
        <v/>
      </c>
      <c r="GE159" s="246" t="str">
        <f>IFERROR(__xludf.DUMMYFUNCTION("IF(REGEXMATCH(C159, ""R""), ""2"","""")"),"")</f>
        <v/>
      </c>
      <c r="GF159" s="246" t="str">
        <f>IFERROR(__xludf.DUMMYFUNCTION("IF(REGEXMATCH(C159, ""g""), ""b3"","""")"),"b3")</f>
        <v>b3</v>
      </c>
      <c r="GG159" s="245" t="str">
        <f>IFERROR(__xludf.DUMMYFUNCTION("IF(REGEXMATCH(C159, ""G""), ""3"","""")"),"3")</f>
        <v>3</v>
      </c>
      <c r="GH159" s="245" t="str">
        <f>IFERROR(__xludf.DUMMYFUNCTION("IF(REGEXMATCH(C159, ""m""), ""4"","""")"),"4")</f>
        <v>4</v>
      </c>
      <c r="GI159" s="246" t="str">
        <f>IFERROR(__xludf.DUMMYFUNCTION("IF(REGEXMATCH(C159, ""M""), ""#4"","""")"),"")</f>
        <v/>
      </c>
      <c r="GJ159" s="245" t="str">
        <f>IFERROR(__xludf.DUMMYFUNCTION("IF(REGEXMATCH(C159, ""P""), ""5"","""")"),"5")</f>
        <v>5</v>
      </c>
      <c r="GK159" s="246" t="str">
        <f>IFERROR(__xludf.DUMMYFUNCTION("IF(REGEXMATCH(C159, ""d""), ""b6"","""")"),"")</f>
        <v/>
      </c>
      <c r="GL159" s="245" t="str">
        <f>IFERROR(__xludf.DUMMYFUNCTION("IF(REGEXMATCH(C159, ""D""), ""6"","""")"),"6")</f>
        <v>6</v>
      </c>
      <c r="GM159" s="245" t="str">
        <f>IFERROR(__xludf.DUMMYFUNCTION("IF(REGEXMATCH(C159, ""n""), ""b7"","""")"),"b7")</f>
        <v>b7</v>
      </c>
      <c r="GN159" s="246" t="str">
        <f>IFERROR(__xludf.DUMMYFUNCTION("IF(REGEXMATCH(C159, ""N""), ""7"","""")"),"")</f>
        <v/>
      </c>
      <c r="GO159" s="249" t="str">
        <f>IFERROR(__xludf.DUMMYFUNCTION("IF(REGEXMATCH(C159, ""S""), ""8"","""")"),"8")</f>
        <v>8</v>
      </c>
      <c r="GP159" s="244" t="str">
        <f>IFERROR(__xludf.DUMMYFUNCTION("IF(REGEXMATCH(C159, ""S""), ""S"","""")"),"S")</f>
        <v>S</v>
      </c>
      <c r="GQ159" s="294" t="str">
        <f>IFERROR(__xludf.DUMMYFUNCTION("IF(REGEXMATCH(C159, ""r""), ""R1"","""")"),"")</f>
        <v/>
      </c>
      <c r="GR159" s="295" t="str">
        <f>IFERROR(__xludf.DUMMYFUNCTION("IF(REGEXMATCH(C159, ""R""), ""R2"","""")"),"")</f>
        <v/>
      </c>
      <c r="GS159" s="295" t="str">
        <f>IFERROR(__xludf.DUMMYFUNCTION("IF(REGEXMATCH(C159, ""g""), ""G2"","""")"),"G2")</f>
        <v>G2</v>
      </c>
      <c r="GT159" s="294" t="str">
        <f>IFERROR(__xludf.DUMMYFUNCTION("IF(REGEXMATCH(C159, ""G""), ""G3"","""")"),"G3")</f>
        <v>G3</v>
      </c>
      <c r="GU159" s="294" t="str">
        <f>IFERROR(__xludf.DUMMYFUNCTION("IF(REGEXMATCH(C159, ""m""), ""M1"","""")"),"M1")</f>
        <v>M1</v>
      </c>
      <c r="GV159" s="295" t="str">
        <f>IFERROR(__xludf.DUMMYFUNCTION("IF(REGEXMATCH(C159, ""M""), ""M2"","""")"),"")</f>
        <v/>
      </c>
      <c r="GW159" s="294" t="str">
        <f>IFERROR(__xludf.DUMMYFUNCTION("IF(REGEXMATCH(C159, ""P""), ""P"","""")"),"P")</f>
        <v>P</v>
      </c>
      <c r="GX159" s="295" t="str">
        <f>IFERROR(__xludf.DUMMYFUNCTION("IF(REGEXMATCH(C159, ""d""), ""D1"","""")"),"")</f>
        <v/>
      </c>
      <c r="GY159" s="294" t="str">
        <f>IFERROR(__xludf.DUMMYFUNCTION("IF(REGEXMATCH(C159, ""D""), ""D2"","""")"),"D2")</f>
        <v>D2</v>
      </c>
      <c r="GZ159" s="294" t="str">
        <f>IFERROR(__xludf.DUMMYFUNCTION("IF(REGEXMATCH(C159, ""n""), ""N2"","""")"),"N2")</f>
        <v>N2</v>
      </c>
      <c r="HA159" s="295" t="str">
        <f>IFERROR(__xludf.DUMMYFUNCTION("IF(REGEXMATCH(C159, ""N""), ""N3"","""")"),"")</f>
        <v/>
      </c>
      <c r="HB159" s="249" t="str">
        <f>IFERROR(__xludf.DUMMYFUNCTION("IF(REGEXMATCH(C159, ""S""), ""S"","""")"),"S")</f>
        <v>S</v>
      </c>
      <c r="HC159" s="331" t="str">
        <f t="shared" si="95"/>
        <v>S</v>
      </c>
      <c r="HD159" s="332" t="str">
        <f t="shared" si="96"/>
        <v/>
      </c>
      <c r="HE159" s="332" t="str">
        <f t="shared" si="97"/>
        <v>R</v>
      </c>
      <c r="HF159" s="332" t="str">
        <f t="shared" si="98"/>
        <v>g</v>
      </c>
      <c r="HG159" s="332" t="str">
        <f t="shared" si="99"/>
        <v/>
      </c>
      <c r="HH159" s="332" t="str">
        <f t="shared" si="100"/>
        <v>m</v>
      </c>
      <c r="HI159" s="332" t="str">
        <f t="shared" si="101"/>
        <v/>
      </c>
      <c r="HJ159" s="332" t="str">
        <f t="shared" si="102"/>
        <v>P</v>
      </c>
      <c r="HK159" s="332" t="str">
        <f t="shared" si="103"/>
        <v>d</v>
      </c>
      <c r="HL159" s="332" t="str">
        <f t="shared" si="104"/>
        <v>D</v>
      </c>
      <c r="HM159" s="332" t="str">
        <f t="shared" si="105"/>
        <v/>
      </c>
      <c r="HN159" s="332" t="str">
        <f t="shared" si="106"/>
        <v/>
      </c>
      <c r="HO159" s="343" t="str">
        <f t="shared" si="107"/>
        <v>S</v>
      </c>
      <c r="HP159" s="331" t="str">
        <f t="shared" si="108"/>
        <v>o</v>
      </c>
      <c r="HQ159" s="332" t="str">
        <f t="shared" si="109"/>
        <v>•</v>
      </c>
      <c r="HR159" s="332" t="str">
        <f t="shared" si="110"/>
        <v>•</v>
      </c>
      <c r="HS159" s="332" t="str">
        <f t="shared" si="111"/>
        <v>o</v>
      </c>
      <c r="HT159" s="332" t="str">
        <f t="shared" si="112"/>
        <v>o</v>
      </c>
      <c r="HU159" s="332" t="str">
        <f t="shared" si="113"/>
        <v>o</v>
      </c>
      <c r="HV159" s="332" t="str">
        <f t="shared" si="114"/>
        <v>•</v>
      </c>
      <c r="HW159" s="332" t="str">
        <f t="shared" si="115"/>
        <v>o</v>
      </c>
      <c r="HX159" s="332" t="str">
        <f t="shared" si="116"/>
        <v>•</v>
      </c>
      <c r="HY159" s="332" t="str">
        <f t="shared" si="117"/>
        <v>o</v>
      </c>
      <c r="HZ159" s="332" t="str">
        <f t="shared" si="118"/>
        <v>o</v>
      </c>
      <c r="IA159" s="332" t="str">
        <f t="shared" si="119"/>
        <v>•</v>
      </c>
      <c r="IB159" s="338" t="str">
        <f t="shared" si="120"/>
        <v>o</v>
      </c>
      <c r="IC159" s="331" t="str">
        <f t="shared" si="121"/>
        <v>•</v>
      </c>
      <c r="ID159" s="332" t="str">
        <f t="shared" si="122"/>
        <v>o</v>
      </c>
      <c r="IE159" s="332" t="str">
        <f t="shared" si="123"/>
        <v>o</v>
      </c>
      <c r="IF159" s="332" t="str">
        <f t="shared" si="124"/>
        <v>•</v>
      </c>
      <c r="IG159" s="332" t="str">
        <f t="shared" si="125"/>
        <v>•</v>
      </c>
      <c r="IH159" s="332" t="str">
        <f t="shared" si="126"/>
        <v>•</v>
      </c>
      <c r="II159" s="332" t="str">
        <f t="shared" si="127"/>
        <v>o</v>
      </c>
      <c r="IJ159" s="332" t="str">
        <f t="shared" si="128"/>
        <v>•</v>
      </c>
      <c r="IK159" s="332" t="str">
        <f t="shared" si="129"/>
        <v>o</v>
      </c>
      <c r="IL159" s="332" t="str">
        <f t="shared" si="130"/>
        <v>•</v>
      </c>
      <c r="IM159" s="332" t="str">
        <f t="shared" si="131"/>
        <v>•</v>
      </c>
      <c r="IN159" s="332" t="str">
        <f t="shared" si="132"/>
        <v>o</v>
      </c>
      <c r="IO159" s="338" t="str">
        <f t="shared" si="133"/>
        <v>•</v>
      </c>
      <c r="IP159" s="346" t="b">
        <f t="shared" si="134"/>
        <v>0</v>
      </c>
      <c r="IQ159" s="347" t="b">
        <f t="shared" si="135"/>
        <v>0</v>
      </c>
      <c r="IR159" s="347" t="b">
        <f t="shared" si="136"/>
        <v>0</v>
      </c>
      <c r="IS159" s="347" t="b">
        <f t="shared" si="137"/>
        <v>0</v>
      </c>
      <c r="IT159" s="347" t="b">
        <f t="shared" si="138"/>
        <v>1</v>
      </c>
      <c r="IU159" s="347" t="b">
        <f t="shared" si="139"/>
        <v>0</v>
      </c>
      <c r="IV159" s="347" t="b">
        <f t="shared" si="140"/>
        <v>0</v>
      </c>
      <c r="IW159" s="347" t="b">
        <f t="shared" si="141"/>
        <v>1</v>
      </c>
      <c r="IX159" s="347" t="b">
        <f t="shared" si="142"/>
        <v>0</v>
      </c>
      <c r="IY159" s="347" t="b">
        <f t="shared" si="143"/>
        <v>0</v>
      </c>
      <c r="IZ159" s="347" t="b">
        <f t="shared" si="144"/>
        <v>0</v>
      </c>
      <c r="JA159" s="347" t="b">
        <f t="shared" si="145"/>
        <v>0</v>
      </c>
      <c r="JB159" s="353" t="b">
        <f t="shared" si="146"/>
        <v>0</v>
      </c>
      <c r="JC159" s="354" t="str">
        <f t="shared" si="147"/>
        <v/>
      </c>
      <c r="JD159" s="355" t="str">
        <f t="shared" si="148"/>
        <v/>
      </c>
      <c r="JE159" s="355" t="str">
        <f t="shared" si="149"/>
        <v/>
      </c>
      <c r="JF159" s="355" t="str">
        <f t="shared" si="150"/>
        <v/>
      </c>
      <c r="JG159" s="355" t="str">
        <f t="shared" si="151"/>
        <v>Ga, </v>
      </c>
      <c r="JH159" s="355" t="str">
        <f t="shared" si="152"/>
        <v/>
      </c>
      <c r="JI159" s="355" t="str">
        <f t="shared" si="153"/>
        <v/>
      </c>
      <c r="JJ159" s="355" t="str">
        <f t="shared" si="154"/>
        <v>Pa, </v>
      </c>
      <c r="JK159" s="355" t="str">
        <f t="shared" si="155"/>
        <v/>
      </c>
      <c r="JL159" s="355" t="str">
        <f t="shared" si="156"/>
        <v/>
      </c>
      <c r="JM159" s="355" t="str">
        <f t="shared" si="157"/>
        <v/>
      </c>
      <c r="JN159" s="355" t="str">
        <f t="shared" si="158"/>
        <v/>
      </c>
      <c r="JO159" s="359" t="str">
        <f t="shared" si="159"/>
        <v/>
      </c>
      <c r="JP159" s="346" t="b">
        <f t="shared" si="160"/>
        <v>0</v>
      </c>
      <c r="JQ159" s="347" t="b">
        <f t="shared" si="161"/>
        <v>0</v>
      </c>
      <c r="JR159" s="347" t="b">
        <f t="shared" si="162"/>
        <v>0</v>
      </c>
      <c r="JS159" s="347" t="b">
        <f t="shared" si="163"/>
        <v>0</v>
      </c>
      <c r="JT159" s="347" t="b">
        <f t="shared" si="164"/>
        <v>0</v>
      </c>
      <c r="JU159" s="347" t="b">
        <f t="shared" si="165"/>
        <v>0</v>
      </c>
      <c r="JV159" s="347" t="b">
        <f t="shared" si="166"/>
        <v>0</v>
      </c>
      <c r="JW159" s="347" t="b">
        <f t="shared" si="167"/>
        <v>0</v>
      </c>
      <c r="JX159" s="347" t="b">
        <f t="shared" si="168"/>
        <v>0</v>
      </c>
      <c r="JY159" s="347" t="b">
        <f t="shared" si="169"/>
        <v>0</v>
      </c>
      <c r="JZ159" s="347" t="b">
        <f t="shared" si="170"/>
        <v>0</v>
      </c>
      <c r="KA159" s="347" t="b">
        <f t="shared" si="171"/>
        <v>0</v>
      </c>
      <c r="KB159" s="365" t="b">
        <f t="shared" si="172"/>
        <v>0</v>
      </c>
      <c r="KC159" s="354" t="str">
        <f t="shared" si="173"/>
        <v/>
      </c>
      <c r="KD159" s="355" t="str">
        <f t="shared" si="174"/>
        <v/>
      </c>
      <c r="KE159" s="355" t="str">
        <f t="shared" si="175"/>
        <v/>
      </c>
      <c r="KF159" s="355" t="str">
        <f t="shared" si="176"/>
        <v/>
      </c>
      <c r="KG159" s="355" t="str">
        <f t="shared" si="177"/>
        <v/>
      </c>
      <c r="KH159" s="355" t="str">
        <f t="shared" si="178"/>
        <v/>
      </c>
      <c r="KI159" s="355" t="str">
        <f t="shared" si="179"/>
        <v/>
      </c>
      <c r="KJ159" s="355" t="str">
        <f t="shared" si="180"/>
        <v/>
      </c>
      <c r="KK159" s="355" t="str">
        <f t="shared" si="181"/>
        <v/>
      </c>
      <c r="KL159" s="355" t="str">
        <f t="shared" si="182"/>
        <v/>
      </c>
      <c r="KM159" s="355" t="str">
        <f t="shared" si="183"/>
        <v/>
      </c>
      <c r="KN159" s="355" t="str">
        <f t="shared" si="184"/>
        <v/>
      </c>
      <c r="KO159" s="359"/>
      <c r="KP159" s="378"/>
      <c r="KQ159" s="379" t="s">
        <v>1359</v>
      </c>
      <c r="KR159" s="380" t="s">
        <v>1419</v>
      </c>
      <c r="KS159" s="381" t="str">
        <f t="shared" si="528"/>
        <v>S-G-m-P-D-n-S</v>
      </c>
      <c r="KT159" s="382">
        <f t="shared" si="186"/>
        <v>6</v>
      </c>
      <c r="KU159" s="383">
        <f t="shared" si="187"/>
        <v>6</v>
      </c>
      <c r="KV159" s="381" t="str">
        <f t="shared" si="205"/>
        <v>S-n-D-P-m-Gg-S</v>
      </c>
      <c r="KW159" s="382">
        <f t="shared" si="189"/>
        <v>6</v>
      </c>
      <c r="KX159" s="384">
        <f t="shared" si="190"/>
        <v>7</v>
      </c>
      <c r="KY159" s="382">
        <f t="shared" ref="KY159:KZ159" si="529">KW159-KT159</f>
        <v>0</v>
      </c>
      <c r="KZ159" s="369">
        <f t="shared" si="529"/>
        <v>1</v>
      </c>
      <c r="LA159" s="385" t="str">
        <f t="shared" si="192"/>
        <v>-</v>
      </c>
      <c r="LB159" s="340" t="str">
        <f>IFERROR(__xludf.DUMMYFUNCTION("JOIN("""",ArrayFormula(MID(KS159,LEN(KS159)-SEQUENCE(1,LEN(KS159))+1,1)))"),"S-n-D-P-m-G-S")</f>
        <v>S-n-D-P-m-G-S</v>
      </c>
      <c r="LC159" s="373" t="str">
        <f>IFERROR(__xludf.DUMMYFUNCTION("JOIN("""",ArrayFormula(MID(KV159,LEN(KV159)-SEQUENCE(1,LEN(KV159))+1,1)))"),"S-gG-m-P-D-n-S")</f>
        <v>S-gG-m-P-D-n-S</v>
      </c>
      <c r="LD159" s="373" t="str">
        <f t="shared" si="193"/>
        <v>SGmPDnS</v>
      </c>
      <c r="LE159" s="339" t="str">
        <f t="shared" si="194"/>
        <v>SgGmPDnS</v>
      </c>
      <c r="LF159" s="386" t="str">
        <f>IFERROR(__xludf.DUMMYFUNCTION("SUBSTITUTE(SUBSTITUTE(CONCATENATE(JOIN("""",LH159:LT159)),""1"",""""),""2"","""")"),"SgGmPDnS")</f>
        <v>SgGmPDnS</v>
      </c>
      <c r="LG159" s="369" t="str">
        <f t="shared" si="195"/>
        <v>✔</v>
      </c>
      <c r="LH159" s="387" t="str">
        <f>IFERROR(__xludf.DUMMYFUNCTION("IF(REGEXMATCH(LD159, ""S""), ""S"",IF(REGEXMATCH(LE159, ""S""), ""S"",""""))"),"S")</f>
        <v>S</v>
      </c>
      <c r="LI159" s="299" t="str">
        <f>IFERROR(__xludf.DUMMYFUNCTION("IF(REGEXMATCH(LD159, ""r""), ""r1"",IF(REGEXMATCH(LE159, ""r""), ""r2"",""""))"),"")</f>
        <v/>
      </c>
      <c r="LJ159" s="299" t="str">
        <f>IFERROR(__xludf.DUMMYFUNCTION("IF(REGEXMATCH(LD159, ""R""), ""R1"",IF(REGEXMATCH(LE159, ""R""), ""R2"",""""))"),"")</f>
        <v/>
      </c>
      <c r="LK159" s="299" t="str">
        <f>IFERROR(__xludf.DUMMYFUNCTION("IF(REGEXMATCH(LD159, ""g""), ""g1"",IF(REGEXMATCH(LE159, ""g""), ""g2"",""""))"),"g2")</f>
        <v>g2</v>
      </c>
      <c r="LL159" s="299" t="str">
        <f>IFERROR(__xludf.DUMMYFUNCTION("IF(REGEXMATCH(LD159, ""G""), ""G1"",IF(REGEXMATCH(LE159, ""G""), ""G2"",""""))"),"G1")</f>
        <v>G1</v>
      </c>
      <c r="LM159" s="299" t="str">
        <f>IFERROR(__xludf.DUMMYFUNCTION("IF(REGEXMATCH(LD159, ""m""), ""m1"",IF(REGEXMATCH(LE159, ""m""), ""m2"",""""))"),"m1")</f>
        <v>m1</v>
      </c>
      <c r="LN159" s="299" t="str">
        <f>IFERROR(__xludf.DUMMYFUNCTION("IF(REGEXMATCH(LD159, ""M""), ""M1"",IF(REGEXMATCH(LE159, ""M""), ""M2"",""""))"),"")</f>
        <v/>
      </c>
      <c r="LO159" s="299" t="str">
        <f>IFERROR(__xludf.DUMMYFUNCTION("IF(REGEXMATCH(LD159, ""P""), ""P1"",IF(REGEXMATCH(LE159, ""P""), ""P2"",""""))"),"P1")</f>
        <v>P1</v>
      </c>
      <c r="LP159" s="299" t="str">
        <f>IFERROR(__xludf.DUMMYFUNCTION("IF(REGEXMATCH(LD159, ""d""), ""d1"",IF(REGEXMATCH(LE159, ""d""), ""d2"",""""))"),"")</f>
        <v/>
      </c>
      <c r="LQ159" s="299" t="str">
        <f>IFERROR(__xludf.DUMMYFUNCTION("IF(REGEXMATCH(LD159, ""D""), ""D1"",IF(REGEXMATCH(LE159, ""D""), ""D2"",""""))"),"D1")</f>
        <v>D1</v>
      </c>
      <c r="LR159" s="299" t="str">
        <f>IFERROR(__xludf.DUMMYFUNCTION("IF(REGEXMATCH(LD159, ""n""), ""n1"",IF(REGEXMATCH(LE159, ""n""), ""n2"",""""))"),"n1")</f>
        <v>n1</v>
      </c>
      <c r="LS159" s="299" t="str">
        <f>IFERROR(__xludf.DUMMYFUNCTION("IF(REGEXMATCH(LD159, ""N""), ""N1"",IF(REGEXMATCH(LE159, ""N""), ""N2"",""""))"),"")</f>
        <v/>
      </c>
      <c r="LT159" s="388" t="str">
        <f>IFERROR(__xludf.DUMMYFUNCTION("IF(REGEXMATCH(LD159, ""S""), ""S"",IF(REGEXMATCH(LE159, ""S""), ""S"",""""))"),"S")</f>
        <v>S</v>
      </c>
      <c r="LU159" s="389">
        <f t="shared" si="196"/>
        <v>0</v>
      </c>
      <c r="LV159" s="378"/>
      <c r="LW159" s="369"/>
      <c r="LX159" s="369"/>
    </row>
    <row r="160" ht="18.0" customHeight="1">
      <c r="A160" s="298" t="s">
        <v>845</v>
      </c>
      <c r="B160" s="222" t="s">
        <v>846</v>
      </c>
      <c r="C160" s="233" t="str">
        <f t="shared" si="7"/>
        <v>SrmPdNS</v>
      </c>
      <c r="D160" s="234" t="str">
        <f>IFERROR(__xludf.DUMMYFUNCTION("IF(REGEXMATCH(C160, ""S""), ""S"","""")"),"S")</f>
        <v>S</v>
      </c>
      <c r="E160" s="236" t="str">
        <f>IFERROR(__xludf.DUMMYFUNCTION("IF(REGEXMATCH(C160, ""r""), ""r"","""")"),"r")</f>
        <v>r</v>
      </c>
      <c r="F160" s="237" t="str">
        <f>IFERROR(__xludf.DUMMYFUNCTION("IF(REGEXMATCH(C160, ""R""), ""R"","""")"),"")</f>
        <v/>
      </c>
      <c r="G160" s="237" t="str">
        <f>IFERROR(__xludf.DUMMYFUNCTION("IF(REGEXMATCH(C160, ""g""), ""g"","""")"),"")</f>
        <v/>
      </c>
      <c r="H160" s="236" t="str">
        <f>IFERROR(__xludf.DUMMYFUNCTION("IF(REGEXMATCH(C160, ""G""), ""G"","""")"),"")</f>
        <v/>
      </c>
      <c r="I160" s="236" t="str">
        <f>IFERROR(__xludf.DUMMYFUNCTION("IF(REGEXMATCH(C160, ""m""), ""m"","""")"),"m")</f>
        <v>m</v>
      </c>
      <c r="J160" s="237" t="str">
        <f>IFERROR(__xludf.DUMMYFUNCTION("IF(REGEXMATCH(C160, ""M""), ""M"","""")"),"")</f>
        <v/>
      </c>
      <c r="K160" s="236" t="str">
        <f>IFERROR(__xludf.DUMMYFUNCTION("IF(REGEXMATCH(C160, ""P""), ""P"","""")"),"P")</f>
        <v>P</v>
      </c>
      <c r="L160" s="237" t="str">
        <f>IFERROR(__xludf.DUMMYFUNCTION("IF(REGEXMATCH(C160, ""d""), ""d"","""")"),"d")</f>
        <v>d</v>
      </c>
      <c r="M160" s="236" t="str">
        <f>IFERROR(__xludf.DUMMYFUNCTION("IF(REGEXMATCH(C160, ""D""), ""D"","""")"),"")</f>
        <v/>
      </c>
      <c r="N160" s="236" t="str">
        <f>IFERROR(__xludf.DUMMYFUNCTION("IF(REGEXMATCH(C160, ""n""), ""n"","""")"),"")</f>
        <v/>
      </c>
      <c r="O160" s="237" t="str">
        <f>IFERROR(__xludf.DUMMYFUNCTION("IF(REGEXMATCH(C160, ""N""), ""N"","""")"),"N")</f>
        <v>N</v>
      </c>
      <c r="P160" s="238" t="str">
        <f>IFERROR(__xludf.DUMMYFUNCTION("IF(REGEXMATCH(C160, ""S""), ""S"","""")"),"S")</f>
        <v>S</v>
      </c>
      <c r="Q160" s="239" t="str">
        <f>IFERROR(__xludf.DUMMYFUNCTION("SUBSTITUTE(CONCATENATE(JOIN(""-"",D160:J160)),""-"","""")"),"Srm")</f>
        <v>Srm</v>
      </c>
      <c r="R160" s="229" t="str">
        <f>IFERROR(__xludf.DUMMYFUNCTION("SUBSTITUTE(CONCATENATE(JOIN(""-"",K160:P160)),""-"","""")"),"PdNS")</f>
        <v>PdNS</v>
      </c>
      <c r="S160" s="282" t="str">
        <f t="shared" si="8"/>
        <v>S-R-M</v>
      </c>
      <c r="T160" s="282" t="str">
        <f t="shared" si="9"/>
        <v>P-D-N-S</v>
      </c>
      <c r="U160" s="237" t="str">
        <f>IFERROR(__xludf.DUMMYFUNCTION("SUBSTITUTE(JOIN(""-"",S160,T160),""--"",""-"")"),"S-R-M-P-D-N-S")</f>
        <v>S-R-M-P-D-N-S</v>
      </c>
      <c r="V160" s="309" t="str">
        <f t="shared" si="10"/>
        <v>rmdN</v>
      </c>
      <c r="W160" s="244" t="str">
        <f>IFERROR(__xludf.DUMMYFUNCTION("IF(REGEXMATCH(C160, ""S""), ""0"","""")"),"0")</f>
        <v>0</v>
      </c>
      <c r="X160" s="245" t="str">
        <f>IFERROR(__xludf.DUMMYFUNCTION("IF(REGEXMATCH(C160, ""r""), ""1"","""")"),"1")</f>
        <v>1</v>
      </c>
      <c r="Y160" s="246" t="str">
        <f>IFERROR(__xludf.DUMMYFUNCTION("IF(REGEXMATCH(C160, ""R""), ""2"","""")"),"")</f>
        <v/>
      </c>
      <c r="Z160" s="246" t="str">
        <f>IFERROR(__xludf.DUMMYFUNCTION("IF(REGEXMATCH(C160, ""g""), ""3"","""")"),"")</f>
        <v/>
      </c>
      <c r="AA160" s="245" t="str">
        <f>IFERROR(__xludf.DUMMYFUNCTION("IF(REGEXMATCH(C160, ""G""), ""4"","""")"),"")</f>
        <v/>
      </c>
      <c r="AB160" s="245" t="str">
        <f>IFERROR(__xludf.DUMMYFUNCTION("IF(REGEXMATCH(C160, ""m""), ""5"","""")"),"5")</f>
        <v>5</v>
      </c>
      <c r="AC160" s="246" t="str">
        <f>IFERROR(__xludf.DUMMYFUNCTION("IF(REGEXMATCH(C160, ""M""), ""6"","""")"),"")</f>
        <v/>
      </c>
      <c r="AD160" s="245" t="str">
        <f>IFERROR(__xludf.DUMMYFUNCTION("IF(REGEXMATCH(C160, ""P""), ""7"","""")"),"7")</f>
        <v>7</v>
      </c>
      <c r="AE160" s="246" t="str">
        <f>IFERROR(__xludf.DUMMYFUNCTION("IF(REGEXMATCH(C160, ""d""), ""8"","""")"),"8")</f>
        <v>8</v>
      </c>
      <c r="AF160" s="245" t="str">
        <f>IFERROR(__xludf.DUMMYFUNCTION("IF(REGEXMATCH(C160, ""D""), ""9"","""")"),"")</f>
        <v/>
      </c>
      <c r="AG160" s="245" t="str">
        <f>IFERROR(__xludf.DUMMYFUNCTION("IF(REGEXMATCH(C160, ""n""), ""10"","""")"),"")</f>
        <v/>
      </c>
      <c r="AH160" s="246" t="str">
        <f>IFERROR(__xludf.DUMMYFUNCTION("IF(REGEXMATCH(C160, ""N""), ""11"","""")"),"11")</f>
        <v>11</v>
      </c>
      <c r="AI160" s="249" t="str">
        <f>IFERROR(__xludf.DUMMYFUNCTION("IF(REGEXMATCH(C160, ""S""), ""0"","""")"),"0")</f>
        <v>0</v>
      </c>
      <c r="AJ160" s="313" t="str">
        <f t="shared" si="11"/>
        <v>-</v>
      </c>
      <c r="AK160" s="313" t="str">
        <f t="shared" si="12"/>
        <v>T</v>
      </c>
      <c r="AL160" s="313" t="str">
        <f t="shared" si="13"/>
        <v>-</v>
      </c>
      <c r="AM160" s="313" t="str">
        <f t="shared" si="14"/>
        <v>-</v>
      </c>
      <c r="AN160" s="313" t="str">
        <f t="shared" si="15"/>
        <v>-</v>
      </c>
      <c r="AO160" s="314" t="str">
        <f t="shared" si="16"/>
        <v>T</v>
      </c>
      <c r="AP160" s="316">
        <f t="shared" si="17"/>
        <v>2</v>
      </c>
      <c r="AQ160" s="319" t="str">
        <f t="shared" si="18"/>
        <v>#REF!</v>
      </c>
      <c r="AR160" s="320">
        <f t="shared" si="19"/>
        <v>0</v>
      </c>
      <c r="AS160" s="250" t="str">
        <f>IFERROR(__xludf.DUMMYFUNCTION("SUBSTITUTE(SUBSTITUTE(CONCATENATE(JOIN("""",FP160:GA160)),""|"",""x""),""-"",""o"")"),"xxoooxoxxoox")</f>
        <v>xxoooxoxxoox</v>
      </c>
      <c r="AT160" s="323" t="str">
        <f>IFERROR(__xludf.DUMMYFUNCTION("JOIN("""",AS160,AS160)"),"xxoooxoxxooxxxoooxoxxoox")</f>
        <v>xxoooxoxxooxxxoooxoxxoox</v>
      </c>
      <c r="AU160" s="256" t="str">
        <f>IFERROR(__xludf.DUMMYFUNCTION("JOIN("""",ArrayFormula(MID(AS160,LEN(AS160)-SEQUENCE(1,LEN(AS160))+1,1)))"),"xooxxoxoooxx")</f>
        <v>xooxxoxoooxx</v>
      </c>
      <c r="AV160" s="256" t="str">
        <f>IFERROR(__xludf.DUMMYFUNCTION("LEFT(CONCATENATE(""x"",JOIN("""",ArrayFormula(MID(AS160,LEN(AS160)-SEQUENCE(1,LEN(AS160))+1,1)))),12)"),"xxooxxoxooox")</f>
        <v>xxooxxoxooox</v>
      </c>
      <c r="AW160" s="327" t="str">
        <f>IFERROR(__xludf.DUMMYFUNCTION("JOIN("""",AU160,AU160)"),"xooxxoxoooxxxooxxoxoooxx")</f>
        <v>xooxxoxoooxxxooxxoxoooxx</v>
      </c>
      <c r="AX160" s="239" t="str">
        <f>IFERROR(__xludf.DUMMYFUNCTION("IF(REGEXMATCH(AW160,AS160),""✔"",""-"")"),"-")</f>
        <v>-</v>
      </c>
      <c r="AY160" s="330" t="str">
        <f t="shared" si="20"/>
        <v>-</v>
      </c>
      <c r="AZ160" s="260" t="str">
        <f t="shared" si="21"/>
        <v>#REF!</v>
      </c>
      <c r="BA160" s="333" t="str">
        <f t="shared" si="22"/>
        <v>xxoooxo</v>
      </c>
      <c r="BB160" s="334" t="str">
        <f t="shared" si="23"/>
        <v>xxooxx</v>
      </c>
      <c r="BC160" s="335" t="str">
        <f t="shared" si="236"/>
        <v>-</v>
      </c>
      <c r="BD160" s="336" t="str">
        <f t="shared" si="25"/>
        <v>Jogiya: 'xxoooxo' + 'xxooxx'</v>
      </c>
      <c r="BE160" s="337">
        <f>IFERROR(__xludf.DUMMYFUNCTION("COUNTUNIQUE(FILTER(AT:AT,REGEXMATCH(AT:AT,AS160)))-1"),0.0)</f>
        <v>0</v>
      </c>
      <c r="BF160" s="261" t="str">
        <f>IFERROR(__xludf.DUMMYFUNCTION("IF(BI160=0,""(n/a)"",IF(BJ160=2,""(PAIR)"",IF(REGEXMATCH(AT160,""xoxoxxoxoxox""),""Bilawal"",IF(REGEXMATCH(AT160,""xoxoxooxoxoo""),""Bhupali"",IF(REGEXMATCH(AT160,""xoxoxxoxxoxo""),""Charukeshi"",IF(REGEXMATCH(AT160,""xoxoooxxoxxo""),""Kameshwari"",IF(REG"&amp;"EXMATCH(AT160,""xoxoxooxoxox""),""Shankara"",IF(REGEXMATCH(AT160,""xxooxoxxxoox""),""Basant"",IF(REGEXMATCH(AT160,""xoxoxxxxoxox""),""Bihag"",IF(REGEXMATCH(AT160,""xoxxxxoxoxxx""),""Pilu"",IF(REGEXMATCH(AT160,""xoxxoxoxxoox""),""Kirwani"",IF(REGEXMATCH(AT"&amp;"160,""xoxxoxoxoxxx""),""Mk.Malhar"",IF(REGEXMATCH(AT160,""xxooxxoxxoox""),""Bhairav"",IF(REGEXMATCH(AT160,""xxoxooxxxoox""),""Todi"",IF(REGEXMATCH(AT160,""xxooxoxooxox""),""Marwa"",IF(REGEXMATCH(AT160,""xxoooxoxxooo""),""Gunkali"",IF(REGEXMATCH(AT160,""xo"&amp;"xoxxoxxoox""),""Nat Bhairav"",IF(REGEXMATCH(AT160,""xoxxoooxoxoo""),""Shivranjani"",IF(REGEXMATCH(AT160,""xooxxxoxooxo""),""Jog"",IF(REGEXMATCH(AT160,""xxooxoxoxoox""),""Hemshri"",IF(REGEXMATCH(AT160,""xoooxooxoxxo""),""Kalavati"",IF(REGEXMATCH(AT160,""xx"&amp;"oxoxxoxoox""),""Kedar"",IF(REGEXMATCH(AT160,""xoxxxxoxooxx""),""Gara"",IF(REGEXMATCH(AT160,""xooxoxooxoox""),""Chandrakauns"",IF(REGEXMATCH(AT160,""xoxxxxoxxxox""),""Mand"",IF(REGEXMATCH(AT160,""xoxxxxoxoxox""),""Hanskinkini"",IF(REGEXMATCH(AT160,""xxooxx"&amp;"oxooxo""),""Lilavati"",IF(REGEXMATCH(AT160,""xooxoxoooxox""),""Rajeshwari"",IF(REGEXMATCH(AT160,""xoooxxoxoxxx""),""Khokar"",IF(REGEXMATCH(AT160,""xxooxoxxxxox""),""Maligoura"",""-""))))))))))))))))))))))))))))))"),"(n/a)")</f>
        <v>(n/a)</v>
      </c>
      <c r="BG160" s="239" t="str">
        <f t="shared" si="26"/>
        <v>#REF!</v>
      </c>
      <c r="BH160" s="239">
        <f>IFERROR(__xludf.DUMMYFUNCTION("COUNTUNIQUE(FE160:FO160)-1"),5.0)</f>
        <v>5</v>
      </c>
      <c r="BI160" s="239">
        <f>IFERROR(__xludf.DUMMYFUNCTION("COUNTUNIQUE(FILTER(AT:AT,REGEXMATCH(AT:AT,AS160)))-1"),0.0)</f>
        <v>0</v>
      </c>
      <c r="BJ160" s="239">
        <f>IFERROR(__xludf.DUMMYFUNCTION("COUNTA(FILTER(AT:AT,REGEXMATCH(AT:AT,AS160)))"),1.0)</f>
        <v>1</v>
      </c>
      <c r="BK160" s="341">
        <f>IFERROR(__xludf.DUMMYFUNCTION("COUNTA(FILTER(AT:AT,REGEXMATCH(AT:AT,AS160)))-AR160"),1.0)</f>
        <v>1</v>
      </c>
      <c r="BL160" s="276" t="str">
        <f>IFERROR(__xludf.DUMMYFUNCTION("IF(AS160=""oooooooooooo"",""-"",IF(REGEXMATCH(AT160,""xx""), ""Hemi."", ""Anhemi.""))"),"Hemi.")</f>
        <v>Hemi.</v>
      </c>
      <c r="BM160" s="282" t="str">
        <f>IFERROR(__xludf.DUMMYFUNCTION("IF(AS160=""oooooooooooo"",""-"",IF(REGEXMATCH(AT160,""xxx""), ""Cohem."", ""-""))"),"Cohem.")</f>
        <v>Cohem.</v>
      </c>
      <c r="BN160" s="282" t="str">
        <f>IFERROR(__xludf.DUMMYFUNCTION("IF(AS160=""oooooooooooo"",""-"",IF(REGEXMATCH(AT160,""xxxx""), ""Co-Co."", ""-""))"),"-")</f>
        <v>-</v>
      </c>
      <c r="BO160" s="342" t="str">
        <f>IFERROR(__xludf.DUMMYFUNCTION("IF(AS160=""oooooooooooo"",""-"",IF(REGEXMATCH(AT160,""xxxxx""), ""CCC."", ""-""))"),"-")</f>
        <v>-</v>
      </c>
      <c r="BP160" s="344" t="str">
        <f t="shared" si="27"/>
        <v>-</v>
      </c>
      <c r="BQ160" s="282" t="str">
        <f>IFERROR(__xludf.DUMMYFUNCTION("IF(REGEXMATCH(JOIN(""-"",EU160:FD160),""TRUE""),""✔"",""-"")"),"✔")</f>
        <v>✔</v>
      </c>
      <c r="BR160" s="225">
        <f t="shared" si="28"/>
        <v>1</v>
      </c>
      <c r="BS160" s="345" t="str">
        <f>IFERROR(__xludf.DUMMYFUNCTION("SUBSTITUTE(SUBSTITUTE(SUBSTITUTE(SUBSTITUTE(CONCATENATE(JOIN(""-"",GC160:GO160)),""--"",""-""),""--"",""-""),""--"",""-""),""--"",""-"")"),"1-b2-4-5-b6-7-8")</f>
        <v>1-b2-4-5-b6-7-8</v>
      </c>
      <c r="BT160" s="299" t="str">
        <f>IFERROR(__xludf.DUMMYFUNCTION("SUBSTITUTE(SUBSTITUTE(SUBSTITUTE(SUBSTITUTE(CONCATENATE(JOIN(""-"",GP160:HB160)),""--"",""-""),""--"",""-""),""--"",""-""),""--"",""-"")"),"S-R1-M1-P-D1-N3-S")</f>
        <v>S-R1-M1-P-D1-N3-S</v>
      </c>
      <c r="BU160" s="348" t="str">
        <f t="shared" si="29"/>
        <v>C-Db-F-G-Ab-B-C</v>
      </c>
      <c r="BV160" s="349" t="str">
        <f t="shared" si="30"/>
        <v>SRgGMDnS</v>
      </c>
      <c r="BW160" s="350">
        <f t="shared" si="31"/>
        <v>0</v>
      </c>
      <c r="BX160" s="351">
        <f t="shared" si="32"/>
        <v>1</v>
      </c>
      <c r="BY160" s="392"/>
      <c r="BZ160" s="309" t="str">
        <f>IFERROR(__xludf.DUMMYFUNCTION("IF(REGEXMATCH(C160, ""S""), ""x"",""x"")"),"x")</f>
        <v>x</v>
      </c>
      <c r="CA160" s="245" t="str">
        <f>IFERROR(__xludf.DUMMYFUNCTION("IF(REGEXMATCH(C160, ""r""), ""o"",""x"")"),"o")</f>
        <v>o</v>
      </c>
      <c r="CB160" s="246" t="str">
        <f>IFERROR(__xludf.DUMMYFUNCTION("IF(REGEXMATCH(C160, ""R""), ""o"",""x"")"),"x")</f>
        <v>x</v>
      </c>
      <c r="CC160" s="246" t="str">
        <f>IFERROR(__xludf.DUMMYFUNCTION("IF(REGEXMATCH(C160, ""g""), ""o"",""x"")"),"x")</f>
        <v>x</v>
      </c>
      <c r="CD160" s="245" t="str">
        <f>IFERROR(__xludf.DUMMYFUNCTION("IF(REGEXMATCH(C160, ""G""), ""o"",""x"")"),"x")</f>
        <v>x</v>
      </c>
      <c r="CE160" s="245" t="str">
        <f>IFERROR(__xludf.DUMMYFUNCTION("IF(REGEXMATCH(C160, ""m""), ""o"",""x"")"),"o")</f>
        <v>o</v>
      </c>
      <c r="CF160" s="246" t="str">
        <f>IFERROR(__xludf.DUMMYFUNCTION("IF(REGEXMATCH(C160, ""M""), ""o"",""x"")"),"x")</f>
        <v>x</v>
      </c>
      <c r="CG160" s="245" t="str">
        <f>IFERROR(__xludf.DUMMYFUNCTION("IF(REGEXMATCH(C160, ""P""), ""o"",""x"")"),"o")</f>
        <v>o</v>
      </c>
      <c r="CH160" s="246" t="str">
        <f>IFERROR(__xludf.DUMMYFUNCTION("IF(REGEXMATCH(C160, ""d""), ""o"",""x"")"),"o")</f>
        <v>o</v>
      </c>
      <c r="CI160" s="245" t="str">
        <f>IFERROR(__xludf.DUMMYFUNCTION("IF(REGEXMATCH(C160, ""D""), ""o"",""x"")"),"x")</f>
        <v>x</v>
      </c>
      <c r="CJ160" s="245" t="str">
        <f>IFERROR(__xludf.DUMMYFUNCTION("IF(REGEXMATCH(C160, ""n""), ""o"",""x"")"),"x")</f>
        <v>x</v>
      </c>
      <c r="CK160" s="245" t="str">
        <f>IFERROR(__xludf.DUMMYFUNCTION("IF(REGEXMATCH(C160, ""N""), ""o"",""x"")"),"o")</f>
        <v>o</v>
      </c>
      <c r="CL160" s="356" t="str">
        <f>IFERROR(__xludf.DUMMYFUNCTION("IF(REGEXMATCH(C160, ""S""), ""x"",""x"")"),"x")</f>
        <v>x</v>
      </c>
      <c r="CM160" s="357" t="str">
        <f t="shared" si="33"/>
        <v>xoxxxoxooxxo</v>
      </c>
      <c r="CN160" s="358">
        <f t="shared" si="34"/>
        <v>0</v>
      </c>
      <c r="CO160" s="246" t="str">
        <f>IFERROR(__xludf.DUMMYFUNCTION("IF(REGEXMATCH($C160, ""S""), ""S"",""S"")"),"S")</f>
        <v>S</v>
      </c>
      <c r="CP160" s="246" t="str">
        <f>IFERROR(__xludf.DUMMYFUNCTION("IF(REGEXMATCH($C160, ""r""), """",""r"")"),"")</f>
        <v/>
      </c>
      <c r="CQ160" s="246" t="str">
        <f>IFERROR(__xludf.DUMMYFUNCTION("IF(REGEXMATCH($C160, ""R""), """",""R"")"),"R")</f>
        <v>R</v>
      </c>
      <c r="CR160" s="246" t="str">
        <f>IFERROR(__xludf.DUMMYFUNCTION("IF(REGEXMATCH($C160, ""g""), """",""g"")"),"g")</f>
        <v>g</v>
      </c>
      <c r="CS160" s="246" t="str">
        <f>IFERROR(__xludf.DUMMYFUNCTION("IF(REGEXMATCH($C160, ""G""), """",""G"")"),"G")</f>
        <v>G</v>
      </c>
      <c r="CT160" s="246" t="str">
        <f>IFERROR(__xludf.DUMMYFUNCTION("IF(REGEXMATCH($C160, ""m""), """",""m"")"),"")</f>
        <v/>
      </c>
      <c r="CU160" s="246" t="str">
        <f>IFERROR(__xludf.DUMMYFUNCTION("IF(REGEXMATCH($C160, ""M""), """",""M"")"),"M")</f>
        <v>M</v>
      </c>
      <c r="CV160" s="246" t="str">
        <f>IFERROR(__xludf.DUMMYFUNCTION("IF(REGEXMATCH($C160, ""P""), """",""P"")"),"")</f>
        <v/>
      </c>
      <c r="CW160" s="246" t="str">
        <f>IFERROR(__xludf.DUMMYFUNCTION("IF(REGEXMATCH($C160, ""d""), """",""d"")"),"")</f>
        <v/>
      </c>
      <c r="CX160" s="246" t="str">
        <f>IFERROR(__xludf.DUMMYFUNCTION("IF(REGEXMATCH($C160, ""D""), """",""D"")"),"D")</f>
        <v>D</v>
      </c>
      <c r="CY160" s="246" t="str">
        <f>IFERROR(__xludf.DUMMYFUNCTION("IF(REGEXMATCH($C160, ""n""), """",""n"")"),"n")</f>
        <v>n</v>
      </c>
      <c r="CZ160" s="246" t="str">
        <f>IFERROR(__xludf.DUMMYFUNCTION("IF(REGEXMATCH($C160, ""N""), """",""N"")"),"")</f>
        <v/>
      </c>
      <c r="DA160" s="246" t="str">
        <f>IFERROR(__xludf.DUMMYFUNCTION("IF(REGEXMATCH($C160, ""S""), ""S"",""S"")"),"S")</f>
        <v>S</v>
      </c>
      <c r="DB160" s="362" t="str">
        <f>IFERROR(__xludf.DUMMYFUNCTION("JOIN("""",CO160:DA160,"""","""")"),"SRgGMDnS")</f>
        <v>SRgGMDnS</v>
      </c>
      <c r="DC160" s="363"/>
      <c r="DD160" s="301" t="str">
        <f t="shared" si="35"/>
        <v>#REF!</v>
      </c>
      <c r="DE160" s="302" t="str">
        <f t="shared" si="36"/>
        <v>#REF!</v>
      </c>
      <c r="DF160" s="301" t="str">
        <f t="shared" ref="DF160:DG160" si="530">SUBSTITUTE(S160,"-","")</f>
        <v>SRM</v>
      </c>
      <c r="DG160" s="301" t="str">
        <f t="shared" si="530"/>
        <v>PDNS</v>
      </c>
      <c r="DH160" s="302" t="str">
        <f t="shared" si="38"/>
        <v>(n/a)</v>
      </c>
      <c r="DI160" s="301" t="str">
        <f t="shared" si="39"/>
        <v>Hemi.</v>
      </c>
      <c r="DJ160" s="364" t="str">
        <f t="shared" si="40"/>
        <v>Cohem.</v>
      </c>
      <c r="DK160" s="306" t="str">
        <f t="shared" si="41"/>
        <v>-</v>
      </c>
      <c r="DL160" s="366" t="str">
        <f t="shared" si="42"/>
        <v>✔</v>
      </c>
      <c r="DM160" s="308" t="str">
        <f t="shared" si="43"/>
        <v>-</v>
      </c>
      <c r="DN160" s="306" t="str">
        <f t="shared" si="44"/>
        <v>-</v>
      </c>
      <c r="DO160" s="306" t="str">
        <f t="shared" si="45"/>
        <v>-</v>
      </c>
      <c r="DP160" s="367" t="str">
        <f t="shared" si="46"/>
        <v>-</v>
      </c>
      <c r="DQ160" s="310" t="str">
        <f t="shared" si="47"/>
        <v>-</v>
      </c>
      <c r="DR160" s="310" t="str">
        <f t="shared" si="48"/>
        <v>-</v>
      </c>
      <c r="DS160" s="310" t="str">
        <f t="shared" si="49"/>
        <v>-</v>
      </c>
      <c r="DT160" s="310" t="str">
        <f t="shared" si="50"/>
        <v>-</v>
      </c>
      <c r="DU160" s="370" t="str">
        <f t="shared" si="51"/>
        <v>-</v>
      </c>
      <c r="DV160" s="306" t="str">
        <f t="shared" si="52"/>
        <v>-</v>
      </c>
      <c r="DW160" s="306" t="str">
        <f t="shared" si="53"/>
        <v>✔</v>
      </c>
      <c r="DX160" s="306" t="str">
        <f t="shared" si="54"/>
        <v>-</v>
      </c>
      <c r="DY160" s="306" t="str">
        <f t="shared" si="55"/>
        <v>-</v>
      </c>
      <c r="DZ160" s="306" t="str">
        <f t="shared" si="56"/>
        <v>-</v>
      </c>
      <c r="EA160" s="367" t="str">
        <f t="shared" si="57"/>
        <v>-</v>
      </c>
      <c r="EB160" s="310" t="str">
        <f>IFERROR(__xludf.DUMMYFUNCTION("IF(REGEXMATCH(AW160,AS160),""✔"",""-"")"),"-")</f>
        <v>-</v>
      </c>
      <c r="EC160" s="310" t="str">
        <f t="shared" si="58"/>
        <v>#REF!</v>
      </c>
      <c r="ED160" s="370" t="str">
        <f t="shared" si="59"/>
        <v>-</v>
      </c>
      <c r="EE160" s="340" t="str">
        <f t="shared" si="60"/>
        <v>S-r-m-P-d-N-S</v>
      </c>
      <c r="EF160" s="371" t="str">
        <f>IFERROR(__xludf.DUMMYFUNCTION("CONCATENATE(JOIN("""",HC160:HO160))"),"SrGmPNS")</f>
        <v>SrGmPNS</v>
      </c>
      <c r="EG160" s="372">
        <f t="shared" si="61"/>
        <v>3</v>
      </c>
      <c r="EH160" s="373" t="str">
        <f>IFERROR(__xludf.DUMMYFUNCTION("CONCATENATE(JOIN("""",JC160:JO160))"),"Pa, dha, Ni, ")</f>
        <v>Pa, dha, Ni, </v>
      </c>
      <c r="EI160" s="322">
        <f t="shared" si="62"/>
        <v>1</v>
      </c>
      <c r="EJ160" s="374" t="str">
        <f>IFERROR(__xludf.DUMMYFUNCTION("CONCATENATE(JOIN("""",KC160:KO160))"),"Ni, ")</f>
        <v>Ni, </v>
      </c>
      <c r="EK160" s="325" t="str">
        <f t="shared" si="63"/>
        <v>S-R1-M1-P-D1-N3-S</v>
      </c>
      <c r="EL160" s="326" t="str">
        <f t="shared" si="64"/>
        <v>1-b2-4-5-b6-7-8</v>
      </c>
      <c r="EM160" s="318" t="str">
        <f t="shared" si="65"/>
        <v>#REF!</v>
      </c>
      <c r="EN160" s="328" t="str">
        <f>IFERROR(__xludf.DUMMYFUNCTION("SUBSTITUTE(SUBSTITUTE(SUBSTITUTE(SUBSTITUTE(CONCATENATE(JOIN("" "",HP160:IB160)),""  "","" ""),""  "","" ""),""  "","" ""),""  "","" "")"),"o o • • • o • o o • • o o")</f>
        <v>o o • • • o • o o • • o o</v>
      </c>
      <c r="EO160" s="368" t="str">
        <f t="shared" si="66"/>
        <v>-</v>
      </c>
      <c r="EP160" s="339" t="str">
        <f t="shared" si="67"/>
        <v>-</v>
      </c>
      <c r="EQ160" s="339" t="str">
        <f t="shared" si="68"/>
        <v>Sa-Pa</v>
      </c>
      <c r="ER160" s="339" t="str">
        <f t="shared" si="69"/>
        <v>-</v>
      </c>
      <c r="ES160" s="340" t="str">
        <f t="shared" si="70"/>
        <v>-</v>
      </c>
      <c r="ET160" s="363"/>
      <c r="EU160" s="376" t="b">
        <f>IFERROR(__xludf.DUMMYFUNCTION("arrayformula(sum(--REGEXMATCH(""SRGMPDNS"",split(REGEXREPLACE(C160,""(.)"",""$1~""),""~""))))=len(C160)
"),FALSE)</f>
        <v>0</v>
      </c>
      <c r="EV160" s="290" t="b">
        <f>IFERROR(__xludf.DUMMYFUNCTION("arrayformula(sum(--REGEXMATCH(""SRGmPDNS"",split(REGEXREPLACE(C160,""(.)"",""$1~""),""~""))))=len(C160)"),FALSE)</f>
        <v>0</v>
      </c>
      <c r="EW160" s="290" t="b">
        <f>IFERROR(__xludf.DUMMYFUNCTION("arrayformula(sum(--REGEXMATCH(""SRGmPDnS"",split(REGEXREPLACE(C160,""(.)"",""$1~""),""~""))))=len(C160)"),FALSE)</f>
        <v>0</v>
      </c>
      <c r="EX160" s="290" t="b">
        <f>IFERROR(__xludf.DUMMYFUNCTION("arrayformula(sum(--REGEXMATCH(""SRgmPDnS"",split(REGEXREPLACE(C160,""(.)"",""$1~""),""~""))))=len(C160)"),FALSE)</f>
        <v>0</v>
      </c>
      <c r="EY160" s="290" t="b">
        <f>IFERROR(__xludf.DUMMYFUNCTION("arrayformula(sum(--REGEXMATCH(""SRgmPdnS"",split(REGEXREPLACE(C160,""(.)"",""$1~""),""~""))))=len(C160)"),FALSE)</f>
        <v>0</v>
      </c>
      <c r="EZ160" s="290" t="b">
        <f>IFERROR(__xludf.DUMMYFUNCTION("arrayformula(sum(--REGEXMATCH(""SrgmPdnS"",split(REGEXREPLACE(C160,""(.)"",""$1~""),""~""))))=len(C160)"),FALSE)</f>
        <v>0</v>
      </c>
      <c r="FA160" s="290" t="b">
        <f>IFERROR(__xludf.DUMMYFUNCTION("arrayformula(sum(--REGEXMATCH(""SrGmPdNS"",split(REGEXREPLACE(C160,""(.)"",""$1~""),""~""))))=len(C160)"),TRUE)</f>
        <v>1</v>
      </c>
      <c r="FB160" s="290" t="b">
        <f>IFERROR(__xludf.DUMMYFUNCTION("arrayformula(sum(--REGEXMATCH(""SrGMPDNS"",split(REGEXREPLACE(C160,""(.)"",""$1~""),""~""))))=len(C160)"),FALSE)</f>
        <v>0</v>
      </c>
      <c r="FC160" s="290" t="b">
        <f>IFERROR(__xludf.DUMMYFUNCTION("arrayformula(sum(--REGEXMATCH(""SrGMPdNS"",split(REGEXREPLACE(C160,""(.)"",""$1~""),""~""))))=len(C160)"),FALSE)</f>
        <v>0</v>
      </c>
      <c r="FD160" s="377" t="b">
        <f>IFERROR(__xludf.DUMMYFUNCTION("arrayformula(sum(--REGEXMATCH(""SrgMPdNS"",split(REGEXREPLACE(C160,""(.)"",""$1~""),""~""))))=len(C160)"),FALSE)</f>
        <v>0</v>
      </c>
      <c r="FE160" s="269" t="str">
        <f t="shared" si="71"/>
        <v>xoooxoxxoox</v>
      </c>
      <c r="FF160" s="269" t="str">
        <f t="shared" si="72"/>
        <v>-</v>
      </c>
      <c r="FG160" s="271" t="str">
        <f t="shared" si="73"/>
        <v>-</v>
      </c>
      <c r="FH160" s="269" t="str">
        <f t="shared" si="74"/>
        <v>-</v>
      </c>
      <c r="FI160" s="271" t="str">
        <f t="shared" si="75"/>
        <v>xoxxooxxxoo</v>
      </c>
      <c r="FJ160" s="271" t="str">
        <f t="shared" si="76"/>
        <v>-</v>
      </c>
      <c r="FK160" s="271" t="str">
        <f t="shared" si="77"/>
        <v>xxooxxxooox</v>
      </c>
      <c r="FL160" s="271" t="str">
        <f t="shared" si="78"/>
        <v>xooxxxoooxo</v>
      </c>
      <c r="FM160" s="271" t="str">
        <f t="shared" si="79"/>
        <v>-</v>
      </c>
      <c r="FN160" s="271" t="str">
        <f t="shared" si="80"/>
        <v>-</v>
      </c>
      <c r="FO160" s="274" t="str">
        <f t="shared" si="81"/>
        <v>xxxoooxoxxo</v>
      </c>
      <c r="FP160" s="234" t="str">
        <f t="shared" si="82"/>
        <v>|</v>
      </c>
      <c r="FQ160" s="236" t="str">
        <f t="shared" si="83"/>
        <v>|</v>
      </c>
      <c r="FR160" s="237" t="str">
        <f t="shared" si="84"/>
        <v>-</v>
      </c>
      <c r="FS160" s="236" t="str">
        <f t="shared" si="85"/>
        <v>-</v>
      </c>
      <c r="FT160" s="237" t="str">
        <f t="shared" si="86"/>
        <v>-</v>
      </c>
      <c r="FU160" s="236" t="str">
        <f t="shared" si="87"/>
        <v>|</v>
      </c>
      <c r="FV160" s="237" t="str">
        <f t="shared" si="88"/>
        <v>-</v>
      </c>
      <c r="FW160" s="236" t="str">
        <f t="shared" si="89"/>
        <v>|</v>
      </c>
      <c r="FX160" s="237" t="str">
        <f t="shared" si="90"/>
        <v>|</v>
      </c>
      <c r="FY160" s="236" t="str">
        <f t="shared" si="91"/>
        <v>-</v>
      </c>
      <c r="FZ160" s="237" t="str">
        <f t="shared" si="92"/>
        <v>-</v>
      </c>
      <c r="GA160" s="236" t="str">
        <f t="shared" si="93"/>
        <v>|</v>
      </c>
      <c r="GB160" s="238" t="str">
        <f t="shared" si="94"/>
        <v>|</v>
      </c>
      <c r="GC160" s="244" t="str">
        <f>IFERROR(__xludf.DUMMYFUNCTION("IF(REGEXMATCH(C160, ""S""), ""1"","""")"),"1")</f>
        <v>1</v>
      </c>
      <c r="GD160" s="245" t="str">
        <f>IFERROR(__xludf.DUMMYFUNCTION("IF(REGEXMATCH(C160, ""r""), ""b2"","""")"),"b2")</f>
        <v>b2</v>
      </c>
      <c r="GE160" s="246" t="str">
        <f>IFERROR(__xludf.DUMMYFUNCTION("IF(REGEXMATCH(C160, ""R""), ""2"","""")"),"")</f>
        <v/>
      </c>
      <c r="GF160" s="246" t="str">
        <f>IFERROR(__xludf.DUMMYFUNCTION("IF(REGEXMATCH(C160, ""g""), ""b3"","""")"),"")</f>
        <v/>
      </c>
      <c r="GG160" s="245" t="str">
        <f>IFERROR(__xludf.DUMMYFUNCTION("IF(REGEXMATCH(C160, ""G""), ""3"","""")"),"")</f>
        <v/>
      </c>
      <c r="GH160" s="245" t="str">
        <f>IFERROR(__xludf.DUMMYFUNCTION("IF(REGEXMATCH(C160, ""m""), ""4"","""")"),"4")</f>
        <v>4</v>
      </c>
      <c r="GI160" s="246" t="str">
        <f>IFERROR(__xludf.DUMMYFUNCTION("IF(REGEXMATCH(C160, ""M""), ""#4"","""")"),"")</f>
        <v/>
      </c>
      <c r="GJ160" s="245" t="str">
        <f>IFERROR(__xludf.DUMMYFUNCTION("IF(REGEXMATCH(C160, ""P""), ""5"","""")"),"5")</f>
        <v>5</v>
      </c>
      <c r="GK160" s="246" t="str">
        <f>IFERROR(__xludf.DUMMYFUNCTION("IF(REGEXMATCH(C160, ""d""), ""b6"","""")"),"b6")</f>
        <v>b6</v>
      </c>
      <c r="GL160" s="245" t="str">
        <f>IFERROR(__xludf.DUMMYFUNCTION("IF(REGEXMATCH(C160, ""D""), ""6"","""")"),"")</f>
        <v/>
      </c>
      <c r="GM160" s="245" t="str">
        <f>IFERROR(__xludf.DUMMYFUNCTION("IF(REGEXMATCH(C160, ""n""), ""b7"","""")"),"")</f>
        <v/>
      </c>
      <c r="GN160" s="246" t="str">
        <f>IFERROR(__xludf.DUMMYFUNCTION("IF(REGEXMATCH(C160, ""N""), ""7"","""")"),"7")</f>
        <v>7</v>
      </c>
      <c r="GO160" s="249" t="str">
        <f>IFERROR(__xludf.DUMMYFUNCTION("IF(REGEXMATCH(C160, ""S""), ""8"","""")"),"8")</f>
        <v>8</v>
      </c>
      <c r="GP160" s="244" t="str">
        <f>IFERROR(__xludf.DUMMYFUNCTION("IF(REGEXMATCH(C160, ""S""), ""S"","""")"),"S")</f>
        <v>S</v>
      </c>
      <c r="GQ160" s="294" t="str">
        <f>IFERROR(__xludf.DUMMYFUNCTION("IF(REGEXMATCH(C160, ""r""), ""R1"","""")"),"R1")</f>
        <v>R1</v>
      </c>
      <c r="GR160" s="295" t="str">
        <f>IFERROR(__xludf.DUMMYFUNCTION("IF(REGEXMATCH(C160, ""R""), ""R2"","""")"),"")</f>
        <v/>
      </c>
      <c r="GS160" s="295" t="str">
        <f>IFERROR(__xludf.DUMMYFUNCTION("IF(REGEXMATCH(C160, ""g""), ""G2"","""")"),"")</f>
        <v/>
      </c>
      <c r="GT160" s="294" t="str">
        <f>IFERROR(__xludf.DUMMYFUNCTION("IF(REGEXMATCH(C160, ""G""), ""G3"","""")"),"")</f>
        <v/>
      </c>
      <c r="GU160" s="294" t="str">
        <f>IFERROR(__xludf.DUMMYFUNCTION("IF(REGEXMATCH(C160, ""m""), ""M1"","""")"),"M1")</f>
        <v>M1</v>
      </c>
      <c r="GV160" s="295" t="str">
        <f>IFERROR(__xludf.DUMMYFUNCTION("IF(REGEXMATCH(C160, ""M""), ""M2"","""")"),"")</f>
        <v/>
      </c>
      <c r="GW160" s="294" t="str">
        <f>IFERROR(__xludf.DUMMYFUNCTION("IF(REGEXMATCH(C160, ""P""), ""P"","""")"),"P")</f>
        <v>P</v>
      </c>
      <c r="GX160" s="295" t="str">
        <f>IFERROR(__xludf.DUMMYFUNCTION("IF(REGEXMATCH(C160, ""d""), ""D1"","""")"),"D1")</f>
        <v>D1</v>
      </c>
      <c r="GY160" s="294" t="str">
        <f>IFERROR(__xludf.DUMMYFUNCTION("IF(REGEXMATCH(C160, ""D""), ""D2"","""")"),"")</f>
        <v/>
      </c>
      <c r="GZ160" s="294" t="str">
        <f>IFERROR(__xludf.DUMMYFUNCTION("IF(REGEXMATCH(C160, ""n""), ""N2"","""")"),"")</f>
        <v/>
      </c>
      <c r="HA160" s="295" t="str">
        <f>IFERROR(__xludf.DUMMYFUNCTION("IF(REGEXMATCH(C160, ""N""), ""N3"","""")"),"N3")</f>
        <v>N3</v>
      </c>
      <c r="HB160" s="249" t="str">
        <f>IFERROR(__xludf.DUMMYFUNCTION("IF(REGEXMATCH(C160, ""S""), ""S"","""")"),"S")</f>
        <v>S</v>
      </c>
      <c r="HC160" s="331" t="str">
        <f t="shared" si="95"/>
        <v>S</v>
      </c>
      <c r="HD160" s="332" t="str">
        <f t="shared" si="96"/>
        <v>r</v>
      </c>
      <c r="HE160" s="332" t="str">
        <f t="shared" si="97"/>
        <v/>
      </c>
      <c r="HF160" s="332" t="str">
        <f t="shared" si="98"/>
        <v/>
      </c>
      <c r="HG160" s="332" t="str">
        <f t="shared" si="99"/>
        <v>G</v>
      </c>
      <c r="HH160" s="332" t="str">
        <f t="shared" si="100"/>
        <v>m</v>
      </c>
      <c r="HI160" s="332" t="str">
        <f t="shared" si="101"/>
        <v/>
      </c>
      <c r="HJ160" s="332" t="str">
        <f t="shared" si="102"/>
        <v>P</v>
      </c>
      <c r="HK160" s="332" t="str">
        <f t="shared" si="103"/>
        <v/>
      </c>
      <c r="HL160" s="332" t="str">
        <f t="shared" si="104"/>
        <v/>
      </c>
      <c r="HM160" s="332" t="str">
        <f t="shared" si="105"/>
        <v/>
      </c>
      <c r="HN160" s="332" t="str">
        <f t="shared" si="106"/>
        <v>N</v>
      </c>
      <c r="HO160" s="343" t="str">
        <f t="shared" si="107"/>
        <v>S</v>
      </c>
      <c r="HP160" s="331" t="str">
        <f t="shared" si="108"/>
        <v>o</v>
      </c>
      <c r="HQ160" s="332" t="str">
        <f t="shared" si="109"/>
        <v>o</v>
      </c>
      <c r="HR160" s="332" t="str">
        <f t="shared" si="110"/>
        <v>•</v>
      </c>
      <c r="HS160" s="332" t="str">
        <f t="shared" si="111"/>
        <v>•</v>
      </c>
      <c r="HT160" s="332" t="str">
        <f t="shared" si="112"/>
        <v>•</v>
      </c>
      <c r="HU160" s="332" t="str">
        <f t="shared" si="113"/>
        <v>o</v>
      </c>
      <c r="HV160" s="332" t="str">
        <f t="shared" si="114"/>
        <v>•</v>
      </c>
      <c r="HW160" s="332" t="str">
        <f t="shared" si="115"/>
        <v>o</v>
      </c>
      <c r="HX160" s="332" t="str">
        <f t="shared" si="116"/>
        <v>o</v>
      </c>
      <c r="HY160" s="332" t="str">
        <f t="shared" si="117"/>
        <v>•</v>
      </c>
      <c r="HZ160" s="332" t="str">
        <f t="shared" si="118"/>
        <v>•</v>
      </c>
      <c r="IA160" s="332" t="str">
        <f t="shared" si="119"/>
        <v>o</v>
      </c>
      <c r="IB160" s="338" t="str">
        <f t="shared" si="120"/>
        <v>o</v>
      </c>
      <c r="IC160" s="331" t="str">
        <f t="shared" si="121"/>
        <v>•</v>
      </c>
      <c r="ID160" s="332" t="str">
        <f t="shared" si="122"/>
        <v>•</v>
      </c>
      <c r="IE160" s="332" t="str">
        <f t="shared" si="123"/>
        <v>o</v>
      </c>
      <c r="IF160" s="332" t="str">
        <f t="shared" si="124"/>
        <v>o</v>
      </c>
      <c r="IG160" s="332" t="str">
        <f t="shared" si="125"/>
        <v>o</v>
      </c>
      <c r="IH160" s="332" t="str">
        <f t="shared" si="126"/>
        <v>•</v>
      </c>
      <c r="II160" s="332" t="str">
        <f t="shared" si="127"/>
        <v>o</v>
      </c>
      <c r="IJ160" s="332" t="str">
        <f t="shared" si="128"/>
        <v>•</v>
      </c>
      <c r="IK160" s="332" t="str">
        <f t="shared" si="129"/>
        <v>•</v>
      </c>
      <c r="IL160" s="332" t="str">
        <f t="shared" si="130"/>
        <v>o</v>
      </c>
      <c r="IM160" s="332" t="str">
        <f t="shared" si="131"/>
        <v>o</v>
      </c>
      <c r="IN160" s="332" t="str">
        <f t="shared" si="132"/>
        <v>•</v>
      </c>
      <c r="IO160" s="338" t="str">
        <f t="shared" si="133"/>
        <v>•</v>
      </c>
      <c r="IP160" s="346" t="b">
        <f t="shared" si="134"/>
        <v>0</v>
      </c>
      <c r="IQ160" s="347" t="b">
        <f t="shared" si="135"/>
        <v>0</v>
      </c>
      <c r="IR160" s="347" t="b">
        <f t="shared" si="136"/>
        <v>0</v>
      </c>
      <c r="IS160" s="347" t="b">
        <f t="shared" si="137"/>
        <v>0</v>
      </c>
      <c r="IT160" s="347" t="b">
        <f t="shared" si="138"/>
        <v>0</v>
      </c>
      <c r="IU160" s="347" t="b">
        <f t="shared" si="139"/>
        <v>0</v>
      </c>
      <c r="IV160" s="347" t="b">
        <f t="shared" si="140"/>
        <v>0</v>
      </c>
      <c r="IW160" s="347" t="b">
        <f t="shared" si="141"/>
        <v>1</v>
      </c>
      <c r="IX160" s="347" t="b">
        <f t="shared" si="142"/>
        <v>1</v>
      </c>
      <c r="IY160" s="347" t="b">
        <f t="shared" si="143"/>
        <v>0</v>
      </c>
      <c r="IZ160" s="347" t="b">
        <f t="shared" si="144"/>
        <v>0</v>
      </c>
      <c r="JA160" s="347" t="b">
        <f t="shared" si="145"/>
        <v>1</v>
      </c>
      <c r="JB160" s="353" t="b">
        <f t="shared" si="146"/>
        <v>0</v>
      </c>
      <c r="JC160" s="354" t="str">
        <f t="shared" si="147"/>
        <v/>
      </c>
      <c r="JD160" s="355" t="str">
        <f t="shared" si="148"/>
        <v/>
      </c>
      <c r="JE160" s="355" t="str">
        <f t="shared" si="149"/>
        <v/>
      </c>
      <c r="JF160" s="355" t="str">
        <f t="shared" si="150"/>
        <v/>
      </c>
      <c r="JG160" s="355" t="str">
        <f t="shared" si="151"/>
        <v/>
      </c>
      <c r="JH160" s="355" t="str">
        <f t="shared" si="152"/>
        <v/>
      </c>
      <c r="JI160" s="355" t="str">
        <f t="shared" si="153"/>
        <v/>
      </c>
      <c r="JJ160" s="355" t="str">
        <f t="shared" si="154"/>
        <v>Pa, </v>
      </c>
      <c r="JK160" s="355" t="str">
        <f t="shared" si="155"/>
        <v>dha, </v>
      </c>
      <c r="JL160" s="355" t="str">
        <f t="shared" si="156"/>
        <v/>
      </c>
      <c r="JM160" s="355" t="str">
        <f t="shared" si="157"/>
        <v/>
      </c>
      <c r="JN160" s="355" t="str">
        <f t="shared" si="158"/>
        <v>Ni, </v>
      </c>
      <c r="JO160" s="359" t="str">
        <f t="shared" si="159"/>
        <v/>
      </c>
      <c r="JP160" s="346" t="b">
        <f t="shared" si="160"/>
        <v>0</v>
      </c>
      <c r="JQ160" s="347" t="b">
        <f t="shared" si="161"/>
        <v>0</v>
      </c>
      <c r="JR160" s="347" t="b">
        <f t="shared" si="162"/>
        <v>0</v>
      </c>
      <c r="JS160" s="347" t="b">
        <f t="shared" si="163"/>
        <v>0</v>
      </c>
      <c r="JT160" s="347" t="b">
        <f t="shared" si="164"/>
        <v>0</v>
      </c>
      <c r="JU160" s="347" t="b">
        <f t="shared" si="165"/>
        <v>0</v>
      </c>
      <c r="JV160" s="347" t="b">
        <f t="shared" si="166"/>
        <v>0</v>
      </c>
      <c r="JW160" s="347" t="b">
        <f t="shared" si="167"/>
        <v>0</v>
      </c>
      <c r="JX160" s="347" t="b">
        <f t="shared" si="168"/>
        <v>0</v>
      </c>
      <c r="JY160" s="347" t="b">
        <f t="shared" si="169"/>
        <v>0</v>
      </c>
      <c r="JZ160" s="347" t="b">
        <f t="shared" si="170"/>
        <v>0</v>
      </c>
      <c r="KA160" s="347" t="b">
        <f t="shared" si="171"/>
        <v>1</v>
      </c>
      <c r="KB160" s="365" t="b">
        <f t="shared" si="172"/>
        <v>0</v>
      </c>
      <c r="KC160" s="354" t="str">
        <f t="shared" si="173"/>
        <v/>
      </c>
      <c r="KD160" s="355" t="str">
        <f t="shared" si="174"/>
        <v/>
      </c>
      <c r="KE160" s="355" t="str">
        <f t="shared" si="175"/>
        <v/>
      </c>
      <c r="KF160" s="355" t="str">
        <f t="shared" si="176"/>
        <v/>
      </c>
      <c r="KG160" s="355" t="str">
        <f t="shared" si="177"/>
        <v/>
      </c>
      <c r="KH160" s="355" t="str">
        <f t="shared" si="178"/>
        <v/>
      </c>
      <c r="KI160" s="355" t="str">
        <f t="shared" si="179"/>
        <v/>
      </c>
      <c r="KJ160" s="355" t="str">
        <f t="shared" si="180"/>
        <v/>
      </c>
      <c r="KK160" s="355" t="str">
        <f t="shared" si="181"/>
        <v/>
      </c>
      <c r="KL160" s="355" t="str">
        <f t="shared" si="182"/>
        <v/>
      </c>
      <c r="KM160" s="355" t="str">
        <f t="shared" si="183"/>
        <v/>
      </c>
      <c r="KN160" s="355" t="str">
        <f t="shared" si="184"/>
        <v>Ni, </v>
      </c>
      <c r="KO160" s="359"/>
      <c r="KP160" s="378"/>
      <c r="KQ160" s="379" t="s">
        <v>764</v>
      </c>
      <c r="KR160" s="380" t="s">
        <v>1420</v>
      </c>
      <c r="KS160" s="381" t="str">
        <f t="shared" si="528"/>
        <v>S-r-m-P-d-S</v>
      </c>
      <c r="KT160" s="382">
        <f t="shared" si="186"/>
        <v>5</v>
      </c>
      <c r="KU160" s="383">
        <f t="shared" si="187"/>
        <v>5</v>
      </c>
      <c r="KV160" s="381" t="str">
        <f t="shared" si="205"/>
        <v>S-N-d-P-m-r-S</v>
      </c>
      <c r="KW160" s="382">
        <f t="shared" si="189"/>
        <v>6</v>
      </c>
      <c r="KX160" s="384">
        <f t="shared" si="190"/>
        <v>6</v>
      </c>
      <c r="KY160" s="382">
        <f t="shared" ref="KY160:KZ160" si="531">KW160-KT160</f>
        <v>1</v>
      </c>
      <c r="KZ160" s="369">
        <f t="shared" si="531"/>
        <v>1</v>
      </c>
      <c r="LA160" s="385" t="str">
        <f t="shared" si="192"/>
        <v>-</v>
      </c>
      <c r="LB160" s="340" t="str">
        <f>IFERROR(__xludf.DUMMYFUNCTION("JOIN("""",ArrayFormula(MID(KS160,LEN(KS160)-SEQUENCE(1,LEN(KS160))+1,1)))"),"S-d-P-m-r-S")</f>
        <v>S-d-P-m-r-S</v>
      </c>
      <c r="LC160" s="373" t="str">
        <f>IFERROR(__xludf.DUMMYFUNCTION("JOIN("""",ArrayFormula(MID(KV160,LEN(KV160)-SEQUENCE(1,LEN(KV160))+1,1)))"),"S-r-m-P-d-N-S")</f>
        <v>S-r-m-P-d-N-S</v>
      </c>
      <c r="LD160" s="373" t="str">
        <f t="shared" si="193"/>
        <v>SrmPdS</v>
      </c>
      <c r="LE160" s="339" t="str">
        <f t="shared" si="194"/>
        <v>SrmPdNS</v>
      </c>
      <c r="LF160" s="386" t="str">
        <f>IFERROR(__xludf.DUMMYFUNCTION("SUBSTITUTE(SUBSTITUTE(CONCATENATE(JOIN("""",LH160:LT160)),""1"",""""),""2"","""")"),"SrmPdNS")</f>
        <v>SrmPdNS</v>
      </c>
      <c r="LG160" s="369" t="str">
        <f t="shared" si="195"/>
        <v>✔</v>
      </c>
      <c r="LH160" s="387" t="str">
        <f>IFERROR(__xludf.DUMMYFUNCTION("IF(REGEXMATCH(LD160, ""S""), ""S"",IF(REGEXMATCH(LE160, ""S""), ""S"",""""))"),"S")</f>
        <v>S</v>
      </c>
      <c r="LI160" s="299" t="str">
        <f>IFERROR(__xludf.DUMMYFUNCTION("IF(REGEXMATCH(LD160, ""r""), ""r1"",IF(REGEXMATCH(LE160, ""r""), ""r2"",""""))"),"r1")</f>
        <v>r1</v>
      </c>
      <c r="LJ160" s="299" t="str">
        <f>IFERROR(__xludf.DUMMYFUNCTION("IF(REGEXMATCH(LD160, ""R""), ""R1"",IF(REGEXMATCH(LE160, ""R""), ""R2"",""""))"),"")</f>
        <v/>
      </c>
      <c r="LK160" s="299" t="str">
        <f>IFERROR(__xludf.DUMMYFUNCTION("IF(REGEXMATCH(LD160, ""g""), ""g1"",IF(REGEXMATCH(LE160, ""g""), ""g2"",""""))"),"")</f>
        <v/>
      </c>
      <c r="LL160" s="299" t="str">
        <f>IFERROR(__xludf.DUMMYFUNCTION("IF(REGEXMATCH(LD160, ""G""), ""G1"",IF(REGEXMATCH(LE160, ""G""), ""G2"",""""))"),"")</f>
        <v/>
      </c>
      <c r="LM160" s="299" t="str">
        <f>IFERROR(__xludf.DUMMYFUNCTION("IF(REGEXMATCH(LD160, ""m""), ""m1"",IF(REGEXMATCH(LE160, ""m""), ""m2"",""""))"),"m1")</f>
        <v>m1</v>
      </c>
      <c r="LN160" s="299" t="str">
        <f>IFERROR(__xludf.DUMMYFUNCTION("IF(REGEXMATCH(LD160, ""M""), ""M1"",IF(REGEXMATCH(LE160, ""M""), ""M2"",""""))"),"")</f>
        <v/>
      </c>
      <c r="LO160" s="299" t="str">
        <f>IFERROR(__xludf.DUMMYFUNCTION("IF(REGEXMATCH(LD160, ""P""), ""P1"",IF(REGEXMATCH(LE160, ""P""), ""P2"",""""))"),"P1")</f>
        <v>P1</v>
      </c>
      <c r="LP160" s="299" t="str">
        <f>IFERROR(__xludf.DUMMYFUNCTION("IF(REGEXMATCH(LD160, ""d""), ""d1"",IF(REGEXMATCH(LE160, ""d""), ""d2"",""""))"),"d1")</f>
        <v>d1</v>
      </c>
      <c r="LQ160" s="299" t="str">
        <f>IFERROR(__xludf.DUMMYFUNCTION("IF(REGEXMATCH(LD160, ""D""), ""D1"",IF(REGEXMATCH(LE160, ""D""), ""D2"",""""))"),"")</f>
        <v/>
      </c>
      <c r="LR160" s="299" t="str">
        <f>IFERROR(__xludf.DUMMYFUNCTION("IF(REGEXMATCH(LD160, ""n""), ""n1"",IF(REGEXMATCH(LE160, ""n""), ""n2"",""""))"),"")</f>
        <v/>
      </c>
      <c r="LS160" s="299" t="str">
        <f>IFERROR(__xludf.DUMMYFUNCTION("IF(REGEXMATCH(LD160, ""N""), ""N1"",IF(REGEXMATCH(LE160, ""N""), ""N2"",""""))"),"N2")</f>
        <v>N2</v>
      </c>
      <c r="LT160" s="388" t="str">
        <f>IFERROR(__xludf.DUMMYFUNCTION("IF(REGEXMATCH(LD160, ""S""), ""S"",IF(REGEXMATCH(LE160, ""S""), ""S"",""""))"),"S")</f>
        <v>S</v>
      </c>
      <c r="LU160" s="389">
        <f t="shared" si="196"/>
        <v>-1</v>
      </c>
      <c r="LV160" s="378"/>
      <c r="LW160" s="369"/>
      <c r="LX160" s="369"/>
    </row>
    <row r="161" ht="18.0" customHeight="1">
      <c r="A161" s="447" t="s">
        <v>470</v>
      </c>
      <c r="B161" s="222" t="s">
        <v>471</v>
      </c>
      <c r="C161" s="233" t="str">
        <f t="shared" si="7"/>
        <v>SgGmPdNS</v>
      </c>
      <c r="D161" s="234" t="str">
        <f>IFERROR(__xludf.DUMMYFUNCTION("IF(REGEXMATCH(C161, ""S""), ""S"","""")"),"S")</f>
        <v>S</v>
      </c>
      <c r="E161" s="236" t="str">
        <f>IFERROR(__xludf.DUMMYFUNCTION("IF(REGEXMATCH(C161, ""r""), ""r"","""")"),"")</f>
        <v/>
      </c>
      <c r="F161" s="237" t="str">
        <f>IFERROR(__xludf.DUMMYFUNCTION("IF(REGEXMATCH(C161, ""R""), ""R"","""")"),"")</f>
        <v/>
      </c>
      <c r="G161" s="237" t="str">
        <f>IFERROR(__xludf.DUMMYFUNCTION("IF(REGEXMATCH(C161, ""g""), ""g"","""")"),"g")</f>
        <v>g</v>
      </c>
      <c r="H161" s="236" t="str">
        <f>IFERROR(__xludf.DUMMYFUNCTION("IF(REGEXMATCH(C161, ""G""), ""G"","""")"),"G")</f>
        <v>G</v>
      </c>
      <c r="I161" s="236" t="str">
        <f>IFERROR(__xludf.DUMMYFUNCTION("IF(REGEXMATCH(C161, ""m""), ""m"","""")"),"m")</f>
        <v>m</v>
      </c>
      <c r="J161" s="237" t="str">
        <f>IFERROR(__xludf.DUMMYFUNCTION("IF(REGEXMATCH(C161, ""M""), ""M"","""")"),"")</f>
        <v/>
      </c>
      <c r="K161" s="236" t="str">
        <f>IFERROR(__xludf.DUMMYFUNCTION("IF(REGEXMATCH(C161, ""P""), ""P"","""")"),"P")</f>
        <v>P</v>
      </c>
      <c r="L161" s="237" t="str">
        <f>IFERROR(__xludf.DUMMYFUNCTION("IF(REGEXMATCH(C161, ""d""), ""d"","""")"),"d")</f>
        <v>d</v>
      </c>
      <c r="M161" s="236" t="str">
        <f>IFERROR(__xludf.DUMMYFUNCTION("IF(REGEXMATCH(C161, ""D""), ""D"","""")"),"")</f>
        <v/>
      </c>
      <c r="N161" s="236" t="str">
        <f>IFERROR(__xludf.DUMMYFUNCTION("IF(REGEXMATCH(C161, ""n""), ""n"","""")"),"")</f>
        <v/>
      </c>
      <c r="O161" s="237" t="str">
        <f>IFERROR(__xludf.DUMMYFUNCTION("IF(REGEXMATCH(C161, ""N""), ""N"","""")"),"N")</f>
        <v>N</v>
      </c>
      <c r="P161" s="238" t="str">
        <f>IFERROR(__xludf.DUMMYFUNCTION("IF(REGEXMATCH(C161, ""S""), ""S"","""")"),"S")</f>
        <v>S</v>
      </c>
      <c r="Q161" s="239" t="str">
        <f>IFERROR(__xludf.DUMMYFUNCTION("SUBSTITUTE(CONCATENATE(JOIN(""-"",D161:J161)),""-"","""")"),"SgGm")</f>
        <v>SgGm</v>
      </c>
      <c r="R161" s="229" t="str">
        <f>IFERROR(__xludf.DUMMYFUNCTION("SUBSTITUTE(CONCATENATE(JOIN(""-"",K161:P161)),""-"","""")"),"PdNS")</f>
        <v>PdNS</v>
      </c>
      <c r="S161" s="282" t="str">
        <f t="shared" si="8"/>
        <v>S-G-M</v>
      </c>
      <c r="T161" s="282" t="str">
        <f t="shared" si="9"/>
        <v>P-D-N-S</v>
      </c>
      <c r="U161" s="237" t="str">
        <f>IFERROR(__xludf.DUMMYFUNCTION("SUBSTITUTE(JOIN(""-"",S161,T161),""--"",""-"")"),"S-G-M-P-D-N-S")</f>
        <v>S-G-M-P-D-N-S</v>
      </c>
      <c r="V161" s="309" t="str">
        <f t="shared" si="10"/>
        <v>gGmdN</v>
      </c>
      <c r="W161" s="244" t="str">
        <f>IFERROR(__xludf.DUMMYFUNCTION("IF(REGEXMATCH(C161, ""S""), ""0"","""")"),"0")</f>
        <v>0</v>
      </c>
      <c r="X161" s="245" t="str">
        <f>IFERROR(__xludf.DUMMYFUNCTION("IF(REGEXMATCH(C161, ""r""), ""1"","""")"),"")</f>
        <v/>
      </c>
      <c r="Y161" s="246" t="str">
        <f>IFERROR(__xludf.DUMMYFUNCTION("IF(REGEXMATCH(C161, ""R""), ""2"","""")"),"")</f>
        <v/>
      </c>
      <c r="Z161" s="246" t="str">
        <f>IFERROR(__xludf.DUMMYFUNCTION("IF(REGEXMATCH(C161, ""g""), ""3"","""")"),"3")</f>
        <v>3</v>
      </c>
      <c r="AA161" s="245" t="str">
        <f>IFERROR(__xludf.DUMMYFUNCTION("IF(REGEXMATCH(C161, ""G""), ""4"","""")"),"4")</f>
        <v>4</v>
      </c>
      <c r="AB161" s="245" t="str">
        <f>IFERROR(__xludf.DUMMYFUNCTION("IF(REGEXMATCH(C161, ""m""), ""5"","""")"),"5")</f>
        <v>5</v>
      </c>
      <c r="AC161" s="246" t="str">
        <f>IFERROR(__xludf.DUMMYFUNCTION("IF(REGEXMATCH(C161, ""M""), ""6"","""")"),"")</f>
        <v/>
      </c>
      <c r="AD161" s="245" t="str">
        <f>IFERROR(__xludf.DUMMYFUNCTION("IF(REGEXMATCH(C161, ""P""), ""7"","""")"),"7")</f>
        <v>7</v>
      </c>
      <c r="AE161" s="246" t="str">
        <f>IFERROR(__xludf.DUMMYFUNCTION("IF(REGEXMATCH(C161, ""d""), ""8"","""")"),"8")</f>
        <v>8</v>
      </c>
      <c r="AF161" s="245" t="str">
        <f>IFERROR(__xludf.DUMMYFUNCTION("IF(REGEXMATCH(C161, ""D""), ""9"","""")"),"")</f>
        <v/>
      </c>
      <c r="AG161" s="245" t="str">
        <f>IFERROR(__xludf.DUMMYFUNCTION("IF(REGEXMATCH(C161, ""n""), ""10"","""")"),"")</f>
        <v/>
      </c>
      <c r="AH161" s="246" t="str">
        <f>IFERROR(__xludf.DUMMYFUNCTION("IF(REGEXMATCH(C161, ""N""), ""11"","""")"),"11")</f>
        <v>11</v>
      </c>
      <c r="AI161" s="249" t="str">
        <f>IFERROR(__xludf.DUMMYFUNCTION("IF(REGEXMATCH(C161, ""S""), ""0"","""")"),"0")</f>
        <v>0</v>
      </c>
      <c r="AJ161" s="313" t="str">
        <f t="shared" si="11"/>
        <v>-</v>
      </c>
      <c r="AK161" s="313" t="str">
        <f t="shared" si="12"/>
        <v>-</v>
      </c>
      <c r="AL161" s="313" t="str">
        <f t="shared" si="13"/>
        <v>-</v>
      </c>
      <c r="AM161" s="313" t="str">
        <f t="shared" si="14"/>
        <v>-</v>
      </c>
      <c r="AN161" s="313" t="str">
        <f t="shared" si="15"/>
        <v>-</v>
      </c>
      <c r="AO161" s="314" t="str">
        <f t="shared" si="16"/>
        <v>T</v>
      </c>
      <c r="AP161" s="316">
        <f t="shared" si="17"/>
        <v>1</v>
      </c>
      <c r="AQ161" s="319" t="str">
        <f t="shared" si="18"/>
        <v>-</v>
      </c>
      <c r="AR161" s="320">
        <f t="shared" si="19"/>
        <v>0</v>
      </c>
      <c r="AS161" s="250" t="str">
        <f>IFERROR(__xludf.DUMMYFUNCTION("SUBSTITUTE(SUBSTITUTE(CONCATENATE(JOIN("""",FP161:GA161)),""|"",""x""),""-"",""o"")"),"xooxxxoxxoox")</f>
        <v>xooxxxoxxoox</v>
      </c>
      <c r="AT161" s="323" t="str">
        <f>IFERROR(__xludf.DUMMYFUNCTION("JOIN("""",AS161,AS161)"),"xooxxxoxxooxxooxxxoxxoox")</f>
        <v>xooxxxoxxooxxooxxxoxxoox</v>
      </c>
      <c r="AU161" s="256" t="str">
        <f>IFERROR(__xludf.DUMMYFUNCTION("JOIN("""",ArrayFormula(MID(AS161,LEN(AS161)-SEQUENCE(1,LEN(AS161))+1,1)))"),"xooxxoxxxoox")</f>
        <v>xooxxoxxxoox</v>
      </c>
      <c r="AV161" s="256" t="str">
        <f>IFERROR(__xludf.DUMMYFUNCTION("LEFT(CONCATENATE(""x"",JOIN("""",ArrayFormula(MID(AS161,LEN(AS161)-SEQUENCE(1,LEN(AS161))+1,1)))),12)"),"xxooxxoxxxoo")</f>
        <v>xxooxxoxxxoo</v>
      </c>
      <c r="AW161" s="327" t="str">
        <f>IFERROR(__xludf.DUMMYFUNCTION("JOIN("""",AU161,AU161)"),"xooxxoxxxooxxooxxoxxxoox")</f>
        <v>xooxxoxxxooxxooxxoxxxoox</v>
      </c>
      <c r="AX161" s="239" t="str">
        <f>IFERROR(__xludf.DUMMYFUNCTION("IF(REGEXMATCH(AW161,AS161),""✔"",""-"")"),"-")</f>
        <v>-</v>
      </c>
      <c r="AY161" s="330" t="str">
        <f t="shared" si="20"/>
        <v>-</v>
      </c>
      <c r="AZ161" s="260" t="str">
        <f t="shared" si="21"/>
        <v>#REF!</v>
      </c>
      <c r="BA161" s="333" t="str">
        <f t="shared" si="22"/>
        <v>xooxxxo</v>
      </c>
      <c r="BB161" s="334" t="str">
        <f t="shared" si="23"/>
        <v>xxooxx</v>
      </c>
      <c r="BC161" s="335" t="str">
        <f t="shared" si="236"/>
        <v>-</v>
      </c>
      <c r="BD161" s="336" t="str">
        <f t="shared" si="25"/>
        <v>Jogkauns: 'xooxxxo' + 'xxooxx'</v>
      </c>
      <c r="BE161" s="337">
        <f>IFERROR(__xludf.DUMMYFUNCTION("COUNTUNIQUE(FILTER(AT:AT,REGEXMATCH(AT:AT,AS161)))-1"),0.0)</f>
        <v>0</v>
      </c>
      <c r="BF161" s="261" t="str">
        <f>IFERROR(__xludf.DUMMYFUNCTION("IF(BI161=0,""(n/a)"",IF(BJ161=2,""(PAIR)"",IF(REGEXMATCH(AT161,""xoxoxxoxoxox""),""Bilawal"",IF(REGEXMATCH(AT161,""xoxoxooxoxoo""),""Bhupali"",IF(REGEXMATCH(AT161,""xoxoxxoxxoxo""),""Charukeshi"",IF(REGEXMATCH(AT161,""xoxoooxxoxxo""),""Kameshwari"",IF(REG"&amp;"EXMATCH(AT161,""xoxoxooxoxox""),""Shankara"",IF(REGEXMATCH(AT161,""xxooxoxxxoox""),""Basant"",IF(REGEXMATCH(AT161,""xoxoxxxxoxox""),""Bihag"",IF(REGEXMATCH(AT161,""xoxxxxoxoxxx""),""Pilu"",IF(REGEXMATCH(AT161,""xoxxoxoxxoox""),""Kirwani"",IF(REGEXMATCH(AT"&amp;"161,""xoxxoxoxoxxx""),""Mk.Malhar"",IF(REGEXMATCH(AT161,""xxooxxoxxoox""),""Bhairav"",IF(REGEXMATCH(AT161,""xxoxooxxxoox""),""Todi"",IF(REGEXMATCH(AT161,""xxooxoxooxox""),""Marwa"",IF(REGEXMATCH(AT161,""xxoooxoxxooo""),""Gunkali"",IF(REGEXMATCH(AT161,""xo"&amp;"xoxxoxxoox""),""Nat Bhairav"",IF(REGEXMATCH(AT161,""xoxxoooxoxoo""),""Shivranjani"",IF(REGEXMATCH(AT161,""xooxxxoxooxo""),""Jog"",IF(REGEXMATCH(AT161,""xxooxoxoxoox""),""Hemshri"",IF(REGEXMATCH(AT161,""xoooxooxoxxo""),""Kalavati"",IF(REGEXMATCH(AT161,""xx"&amp;"oxoxxoxoox""),""Kedar"",IF(REGEXMATCH(AT161,""xoxxxxoxooxx""),""Gara"",IF(REGEXMATCH(AT161,""xooxoxooxoox""),""Chandrakauns"",IF(REGEXMATCH(AT161,""xoxxxxoxxxox""),""Mand"",IF(REGEXMATCH(AT161,""xoxxxxoxoxox""),""Hanskinkini"",IF(REGEXMATCH(AT161,""xxooxx"&amp;"oxooxo""),""Lilavati"",IF(REGEXMATCH(AT161,""xooxoxoooxox""),""Rajeshwari"",IF(REGEXMATCH(AT161,""xoooxxoxoxxx""),""Khokar"",IF(REGEXMATCH(AT161,""xxooxoxxxxox""),""Maligoura"",""-""))))))))))))))))))))))))))))))"),"(n/a)")</f>
        <v>(n/a)</v>
      </c>
      <c r="BG161" s="239" t="str">
        <f t="shared" si="26"/>
        <v>#REF!</v>
      </c>
      <c r="BH161" s="239">
        <f>IFERROR(__xludf.DUMMYFUNCTION("COUNTUNIQUE(FE161:FO161)-1"),6.0)</f>
        <v>6</v>
      </c>
      <c r="BI161" s="239">
        <f>IFERROR(__xludf.DUMMYFUNCTION("COUNTUNIQUE(FILTER(AT:AT,REGEXMATCH(AT:AT,AS161)))-1"),0.0)</f>
        <v>0</v>
      </c>
      <c r="BJ161" s="239">
        <f>IFERROR(__xludf.DUMMYFUNCTION("COUNTA(FILTER(AT:AT,REGEXMATCH(AT:AT,AS161)))"),1.0)</f>
        <v>1</v>
      </c>
      <c r="BK161" s="341">
        <f>IFERROR(__xludf.DUMMYFUNCTION("COUNTA(FILTER(AT:AT,REGEXMATCH(AT:AT,AS161)))-AR161"),1.0)</f>
        <v>1</v>
      </c>
      <c r="BL161" s="276" t="str">
        <f>IFERROR(__xludf.DUMMYFUNCTION("IF(AS161=""oooooooooooo"",""-"",IF(REGEXMATCH(AT161,""xx""), ""Hemi."", ""Anhemi.""))"),"Hemi.")</f>
        <v>Hemi.</v>
      </c>
      <c r="BM161" s="282" t="str">
        <f>IFERROR(__xludf.DUMMYFUNCTION("IF(AS161=""oooooooooooo"",""-"",IF(REGEXMATCH(AT161,""xxx""), ""Cohem."", ""-""))"),"Cohem.")</f>
        <v>Cohem.</v>
      </c>
      <c r="BN161" s="282" t="str">
        <f>IFERROR(__xludf.DUMMYFUNCTION("IF(AS161=""oooooooooooo"",""-"",IF(REGEXMATCH(AT161,""xxxx""), ""Co-Co."", ""-""))"),"-")</f>
        <v>-</v>
      </c>
      <c r="BO161" s="342" t="str">
        <f>IFERROR(__xludf.DUMMYFUNCTION("IF(AS161=""oooooooooooo"",""-"",IF(REGEXMATCH(AT161,""xxxxx""), ""CCC."", ""-""))"),"-")</f>
        <v>-</v>
      </c>
      <c r="BP161" s="344" t="str">
        <f t="shared" si="27"/>
        <v>-</v>
      </c>
      <c r="BQ161" s="282" t="str">
        <f>IFERROR(__xludf.DUMMYFUNCTION("IF(REGEXMATCH(JOIN(""-"",EU161:FD161),""TRUE""),""✔"",""-"")"),"-")</f>
        <v>-</v>
      </c>
      <c r="BR161" s="225">
        <f t="shared" si="28"/>
        <v>0</v>
      </c>
      <c r="BS161" s="345" t="str">
        <f>IFERROR(__xludf.DUMMYFUNCTION("SUBSTITUTE(SUBSTITUTE(SUBSTITUTE(SUBSTITUTE(CONCATENATE(JOIN(""-"",GC161:GO161)),""--"",""-""),""--"",""-""),""--"",""-""),""--"",""-"")"),"1-b3-3-4-5-b6-7-8")</f>
        <v>1-b3-3-4-5-b6-7-8</v>
      </c>
      <c r="BT161" s="299" t="str">
        <f>IFERROR(__xludf.DUMMYFUNCTION("SUBSTITUTE(SUBSTITUTE(SUBSTITUTE(SUBSTITUTE(CONCATENATE(JOIN(""-"",GP161:HB161)),""--"",""-""),""--"",""-""),""--"",""-""),""--"",""-"")"),"S-G2-G3-M1-P-D1-N3-S")</f>
        <v>S-G2-G3-M1-P-D1-N3-S</v>
      </c>
      <c r="BU161" s="348" t="str">
        <f t="shared" si="29"/>
        <v>C-Eb-E-F-G-Ab-B-C</v>
      </c>
      <c r="BV161" s="349" t="str">
        <f t="shared" si="30"/>
        <v>SrRMDnS</v>
      </c>
      <c r="BW161" s="350">
        <f t="shared" si="31"/>
        <v>0</v>
      </c>
      <c r="BX161" s="351">
        <f t="shared" si="32"/>
        <v>1</v>
      </c>
      <c r="BY161" s="392"/>
      <c r="BZ161" s="309" t="str">
        <f>IFERROR(__xludf.DUMMYFUNCTION("IF(REGEXMATCH(C161, ""S""), ""x"",""x"")"),"x")</f>
        <v>x</v>
      </c>
      <c r="CA161" s="245" t="str">
        <f>IFERROR(__xludf.DUMMYFUNCTION("IF(REGEXMATCH(C161, ""r""), ""o"",""x"")"),"x")</f>
        <v>x</v>
      </c>
      <c r="CB161" s="246" t="str">
        <f>IFERROR(__xludf.DUMMYFUNCTION("IF(REGEXMATCH(C161, ""R""), ""o"",""x"")"),"x")</f>
        <v>x</v>
      </c>
      <c r="CC161" s="246" t="str">
        <f>IFERROR(__xludf.DUMMYFUNCTION("IF(REGEXMATCH(C161, ""g""), ""o"",""x"")"),"o")</f>
        <v>o</v>
      </c>
      <c r="CD161" s="245" t="str">
        <f>IFERROR(__xludf.DUMMYFUNCTION("IF(REGEXMATCH(C161, ""G""), ""o"",""x"")"),"o")</f>
        <v>o</v>
      </c>
      <c r="CE161" s="245" t="str">
        <f>IFERROR(__xludf.DUMMYFUNCTION("IF(REGEXMATCH(C161, ""m""), ""o"",""x"")"),"o")</f>
        <v>o</v>
      </c>
      <c r="CF161" s="246" t="str">
        <f>IFERROR(__xludf.DUMMYFUNCTION("IF(REGEXMATCH(C161, ""M""), ""o"",""x"")"),"x")</f>
        <v>x</v>
      </c>
      <c r="CG161" s="245" t="str">
        <f>IFERROR(__xludf.DUMMYFUNCTION("IF(REGEXMATCH(C161, ""P""), ""o"",""x"")"),"o")</f>
        <v>o</v>
      </c>
      <c r="CH161" s="246" t="str">
        <f>IFERROR(__xludf.DUMMYFUNCTION("IF(REGEXMATCH(C161, ""d""), ""o"",""x"")"),"o")</f>
        <v>o</v>
      </c>
      <c r="CI161" s="245" t="str">
        <f>IFERROR(__xludf.DUMMYFUNCTION("IF(REGEXMATCH(C161, ""D""), ""o"",""x"")"),"x")</f>
        <v>x</v>
      </c>
      <c r="CJ161" s="245" t="str">
        <f>IFERROR(__xludf.DUMMYFUNCTION("IF(REGEXMATCH(C161, ""n""), ""o"",""x"")"),"x")</f>
        <v>x</v>
      </c>
      <c r="CK161" s="245" t="str">
        <f>IFERROR(__xludf.DUMMYFUNCTION("IF(REGEXMATCH(C161, ""N""), ""o"",""x"")"),"o")</f>
        <v>o</v>
      </c>
      <c r="CL161" s="356" t="str">
        <f>IFERROR(__xludf.DUMMYFUNCTION("IF(REGEXMATCH(C161, ""S""), ""x"",""x"")"),"x")</f>
        <v>x</v>
      </c>
      <c r="CM161" s="357" t="str">
        <f t="shared" si="33"/>
        <v>xxxoooxooxxo</v>
      </c>
      <c r="CN161" s="358">
        <f t="shared" si="34"/>
        <v>0</v>
      </c>
      <c r="CO161" s="246" t="str">
        <f>IFERROR(__xludf.DUMMYFUNCTION("IF(REGEXMATCH($C161, ""S""), ""S"",""S"")"),"S")</f>
        <v>S</v>
      </c>
      <c r="CP161" s="246" t="str">
        <f>IFERROR(__xludf.DUMMYFUNCTION("IF(REGEXMATCH($C161, ""r""), """",""r"")"),"r")</f>
        <v>r</v>
      </c>
      <c r="CQ161" s="246" t="str">
        <f>IFERROR(__xludf.DUMMYFUNCTION("IF(REGEXMATCH($C161, ""R""), """",""R"")"),"R")</f>
        <v>R</v>
      </c>
      <c r="CR161" s="246" t="str">
        <f>IFERROR(__xludf.DUMMYFUNCTION("IF(REGEXMATCH($C161, ""g""), """",""g"")"),"")</f>
        <v/>
      </c>
      <c r="CS161" s="246" t="str">
        <f>IFERROR(__xludf.DUMMYFUNCTION("IF(REGEXMATCH($C161, ""G""), """",""G"")"),"")</f>
        <v/>
      </c>
      <c r="CT161" s="246" t="str">
        <f>IFERROR(__xludf.DUMMYFUNCTION("IF(REGEXMATCH($C161, ""m""), """",""m"")"),"")</f>
        <v/>
      </c>
      <c r="CU161" s="246" t="str">
        <f>IFERROR(__xludf.DUMMYFUNCTION("IF(REGEXMATCH($C161, ""M""), """",""M"")"),"M")</f>
        <v>M</v>
      </c>
      <c r="CV161" s="246" t="str">
        <f>IFERROR(__xludf.DUMMYFUNCTION("IF(REGEXMATCH($C161, ""P""), """",""P"")"),"")</f>
        <v/>
      </c>
      <c r="CW161" s="246" t="str">
        <f>IFERROR(__xludf.DUMMYFUNCTION("IF(REGEXMATCH($C161, ""d""), """",""d"")"),"")</f>
        <v/>
      </c>
      <c r="CX161" s="246" t="str">
        <f>IFERROR(__xludf.DUMMYFUNCTION("IF(REGEXMATCH($C161, ""D""), """",""D"")"),"D")</f>
        <v>D</v>
      </c>
      <c r="CY161" s="246" t="str">
        <f>IFERROR(__xludf.DUMMYFUNCTION("IF(REGEXMATCH($C161, ""n""), """",""n"")"),"n")</f>
        <v>n</v>
      </c>
      <c r="CZ161" s="246" t="str">
        <f>IFERROR(__xludf.DUMMYFUNCTION("IF(REGEXMATCH($C161, ""N""), """",""N"")"),"")</f>
        <v/>
      </c>
      <c r="DA161" s="246" t="str">
        <f>IFERROR(__xludf.DUMMYFUNCTION("IF(REGEXMATCH($C161, ""S""), ""S"",""S"")"),"S")</f>
        <v>S</v>
      </c>
      <c r="DB161" s="362" t="str">
        <f>IFERROR(__xludf.DUMMYFUNCTION("JOIN("""",CO161:DA161,"""","""")"),"SrRMDnS")</f>
        <v>SrRMDnS</v>
      </c>
      <c r="DC161" s="363"/>
      <c r="DD161" s="301" t="str">
        <f t="shared" si="35"/>
        <v>#REF!</v>
      </c>
      <c r="DE161" s="302" t="str">
        <f t="shared" si="36"/>
        <v>#REF!</v>
      </c>
      <c r="DF161" s="301" t="str">
        <f t="shared" ref="DF161:DG161" si="532">SUBSTITUTE(S161,"-","")</f>
        <v>SGM</v>
      </c>
      <c r="DG161" s="301" t="str">
        <f t="shared" si="532"/>
        <v>PDNS</v>
      </c>
      <c r="DH161" s="302" t="str">
        <f t="shared" si="38"/>
        <v>(n/a)</v>
      </c>
      <c r="DI161" s="301" t="str">
        <f t="shared" si="39"/>
        <v>Hemi.</v>
      </c>
      <c r="DJ161" s="364" t="str">
        <f t="shared" si="40"/>
        <v>Cohem.</v>
      </c>
      <c r="DK161" s="306" t="str">
        <f t="shared" si="41"/>
        <v>-</v>
      </c>
      <c r="DL161" s="366" t="str">
        <f t="shared" si="42"/>
        <v>-</v>
      </c>
      <c r="DM161" s="308" t="str">
        <f t="shared" si="43"/>
        <v>✔</v>
      </c>
      <c r="DN161" s="306" t="str">
        <f t="shared" si="44"/>
        <v>-</v>
      </c>
      <c r="DO161" s="306" t="str">
        <f t="shared" si="45"/>
        <v>-</v>
      </c>
      <c r="DP161" s="367" t="str">
        <f t="shared" si="46"/>
        <v>-</v>
      </c>
      <c r="DQ161" s="310" t="str">
        <f t="shared" si="47"/>
        <v>-</v>
      </c>
      <c r="DR161" s="310" t="str">
        <f t="shared" si="48"/>
        <v>✔</v>
      </c>
      <c r="DS161" s="310" t="str">
        <f t="shared" si="49"/>
        <v>-</v>
      </c>
      <c r="DT161" s="310" t="str">
        <f t="shared" si="50"/>
        <v>-</v>
      </c>
      <c r="DU161" s="370" t="str">
        <f t="shared" si="51"/>
        <v>-</v>
      </c>
      <c r="DV161" s="306" t="str">
        <f t="shared" si="52"/>
        <v>✔</v>
      </c>
      <c r="DW161" s="306" t="str">
        <f t="shared" si="53"/>
        <v>-</v>
      </c>
      <c r="DX161" s="306" t="str">
        <f t="shared" si="54"/>
        <v>-</v>
      </c>
      <c r="DY161" s="306" t="str">
        <f t="shared" si="55"/>
        <v>-</v>
      </c>
      <c r="DZ161" s="306" t="str">
        <f t="shared" si="56"/>
        <v>-</v>
      </c>
      <c r="EA161" s="367" t="str">
        <f t="shared" si="57"/>
        <v>-</v>
      </c>
      <c r="EB161" s="310" t="str">
        <f>IFERROR(__xludf.DUMMYFUNCTION("IF(REGEXMATCH(AW161,AS161),""✔"",""-"")"),"-")</f>
        <v>-</v>
      </c>
      <c r="EC161" s="310" t="str">
        <f t="shared" si="58"/>
        <v>#REF!</v>
      </c>
      <c r="ED161" s="370" t="str">
        <f t="shared" si="59"/>
        <v>-</v>
      </c>
      <c r="EE161" s="340" t="str">
        <f t="shared" si="60"/>
        <v>S-gG-m-P-d-N-S</v>
      </c>
      <c r="EF161" s="371" t="str">
        <f>IFERROR(__xludf.DUMMYFUNCTION("CONCATENATE(JOIN("""",HC161:HO161))"),"SrGmPdDS")</f>
        <v>SrGmPdDS</v>
      </c>
      <c r="EG161" s="372">
        <f t="shared" si="61"/>
        <v>3</v>
      </c>
      <c r="EH161" s="373" t="str">
        <f>IFERROR(__xludf.DUMMYFUNCTION("CONCATENATE(JOIN("""",JC161:JO161))"),"ga, Pa, Ni, ")</f>
        <v>ga, Pa, Ni, </v>
      </c>
      <c r="EI161" s="322">
        <f t="shared" si="62"/>
        <v>0</v>
      </c>
      <c r="EJ161" s="374" t="str">
        <f>IFERROR(__xludf.DUMMYFUNCTION("CONCATENATE(JOIN("""",KC161:KO161))"),"")</f>
        <v/>
      </c>
      <c r="EK161" s="325" t="str">
        <f t="shared" si="63"/>
        <v>S-G2-G3-M1-P-D1-N3-S</v>
      </c>
      <c r="EL161" s="326" t="str">
        <f t="shared" si="64"/>
        <v>1-b3-3-4-5-b6-7-8</v>
      </c>
      <c r="EM161" s="318" t="str">
        <f t="shared" si="65"/>
        <v>#REF!</v>
      </c>
      <c r="EN161" s="328" t="str">
        <f>IFERROR(__xludf.DUMMYFUNCTION("SUBSTITUTE(SUBSTITUTE(SUBSTITUTE(SUBSTITUTE(CONCATENATE(JOIN("" "",HP161:IB161)),""  "","" ""),""  "","" ""),""  "","" ""),""  "","" "")"),"o • • o o o • o o • • o o")</f>
        <v>o • • o o o • o o • • o o</v>
      </c>
      <c r="EO161" s="368" t="str">
        <f t="shared" si="66"/>
        <v>-</v>
      </c>
      <c r="EP161" s="339" t="str">
        <f t="shared" si="67"/>
        <v>-</v>
      </c>
      <c r="EQ161" s="339" t="str">
        <f t="shared" si="68"/>
        <v>Sa-Pa</v>
      </c>
      <c r="ER161" s="339" t="str">
        <f t="shared" si="69"/>
        <v>-</v>
      </c>
      <c r="ES161" s="340" t="str">
        <f t="shared" si="70"/>
        <v>-</v>
      </c>
      <c r="ET161" s="363"/>
      <c r="EU161" s="376" t="b">
        <f>IFERROR(__xludf.DUMMYFUNCTION("arrayformula(sum(--REGEXMATCH(""SRGMPDNS"",split(REGEXREPLACE(C161,""(.)"",""$1~""),""~""))))=len(C161)
"),FALSE)</f>
        <v>0</v>
      </c>
      <c r="EV161" s="290" t="b">
        <f>IFERROR(__xludf.DUMMYFUNCTION("arrayformula(sum(--REGEXMATCH(""SRGmPDNS"",split(REGEXREPLACE(C161,""(.)"",""$1~""),""~""))))=len(C161)"),FALSE)</f>
        <v>0</v>
      </c>
      <c r="EW161" s="290" t="b">
        <f>IFERROR(__xludf.DUMMYFUNCTION("arrayformula(sum(--REGEXMATCH(""SRGmPDnS"",split(REGEXREPLACE(C161,""(.)"",""$1~""),""~""))))=len(C161)"),FALSE)</f>
        <v>0</v>
      </c>
      <c r="EX161" s="290" t="b">
        <f>IFERROR(__xludf.DUMMYFUNCTION("arrayformula(sum(--REGEXMATCH(""SRgmPDnS"",split(REGEXREPLACE(C161,""(.)"",""$1~""),""~""))))=len(C161)"),FALSE)</f>
        <v>0</v>
      </c>
      <c r="EY161" s="290" t="b">
        <f>IFERROR(__xludf.DUMMYFUNCTION("arrayformula(sum(--REGEXMATCH(""SRgmPdnS"",split(REGEXREPLACE(C161,""(.)"",""$1~""),""~""))))=len(C161)"),FALSE)</f>
        <v>0</v>
      </c>
      <c r="EZ161" s="290" t="b">
        <f>IFERROR(__xludf.DUMMYFUNCTION("arrayformula(sum(--REGEXMATCH(""SrgmPdnS"",split(REGEXREPLACE(C161,""(.)"",""$1~""),""~""))))=len(C161)"),FALSE)</f>
        <v>0</v>
      </c>
      <c r="FA161" s="290" t="b">
        <f>IFERROR(__xludf.DUMMYFUNCTION("arrayformula(sum(--REGEXMATCH(""SrGmPdNS"",split(REGEXREPLACE(C161,""(.)"",""$1~""),""~""))))=len(C161)"),FALSE)</f>
        <v>0</v>
      </c>
      <c r="FB161" s="290" t="b">
        <f>IFERROR(__xludf.DUMMYFUNCTION("arrayformula(sum(--REGEXMATCH(""SrGMPDNS"",split(REGEXREPLACE(C161,""(.)"",""$1~""),""~""))))=len(C161)"),FALSE)</f>
        <v>0</v>
      </c>
      <c r="FC161" s="290" t="b">
        <f>IFERROR(__xludf.DUMMYFUNCTION("arrayformula(sum(--REGEXMATCH(""SrGMPdNS"",split(REGEXREPLACE(C161,""(.)"",""$1~""),""~""))))=len(C161)"),FALSE)</f>
        <v>0</v>
      </c>
      <c r="FD161" s="377" t="b">
        <f>IFERROR(__xludf.DUMMYFUNCTION("arrayformula(sum(--REGEXMATCH(""SrgMPdNS"",split(REGEXREPLACE(C161,""(.)"",""$1~""),""~""))))=len(C161)"),FALSE)</f>
        <v>0</v>
      </c>
      <c r="FE161" s="269" t="str">
        <f t="shared" si="71"/>
        <v>-</v>
      </c>
      <c r="FF161" s="269" t="str">
        <f t="shared" si="72"/>
        <v>-</v>
      </c>
      <c r="FG161" s="271" t="str">
        <f t="shared" si="73"/>
        <v>xxxoxxooxxo</v>
      </c>
      <c r="FH161" s="269" t="str">
        <f t="shared" si="74"/>
        <v>xxoxxooxxoo</v>
      </c>
      <c r="FI161" s="271" t="str">
        <f t="shared" si="75"/>
        <v>xoxxooxxoox</v>
      </c>
      <c r="FJ161" s="271" t="str">
        <f t="shared" si="76"/>
        <v>-</v>
      </c>
      <c r="FK161" s="271" t="str">
        <f t="shared" si="77"/>
        <v>xxooxxooxxx</v>
      </c>
      <c r="FL161" s="271" t="str">
        <f t="shared" si="78"/>
        <v>xooxxooxxxo</v>
      </c>
      <c r="FM161" s="271" t="str">
        <f t="shared" si="79"/>
        <v>-</v>
      </c>
      <c r="FN161" s="271" t="str">
        <f t="shared" si="80"/>
        <v>-</v>
      </c>
      <c r="FO161" s="274" t="str">
        <f t="shared" si="81"/>
        <v>xxooxxxoxxo</v>
      </c>
      <c r="FP161" s="234" t="str">
        <f t="shared" si="82"/>
        <v>|</v>
      </c>
      <c r="FQ161" s="236" t="str">
        <f t="shared" si="83"/>
        <v>-</v>
      </c>
      <c r="FR161" s="237" t="str">
        <f t="shared" si="84"/>
        <v>-</v>
      </c>
      <c r="FS161" s="236" t="str">
        <f t="shared" si="85"/>
        <v>|</v>
      </c>
      <c r="FT161" s="237" t="str">
        <f t="shared" si="86"/>
        <v>|</v>
      </c>
      <c r="FU161" s="236" t="str">
        <f t="shared" si="87"/>
        <v>|</v>
      </c>
      <c r="FV161" s="237" t="str">
        <f t="shared" si="88"/>
        <v>-</v>
      </c>
      <c r="FW161" s="236" t="str">
        <f t="shared" si="89"/>
        <v>|</v>
      </c>
      <c r="FX161" s="237" t="str">
        <f t="shared" si="90"/>
        <v>|</v>
      </c>
      <c r="FY161" s="236" t="str">
        <f t="shared" si="91"/>
        <v>-</v>
      </c>
      <c r="FZ161" s="237" t="str">
        <f t="shared" si="92"/>
        <v>-</v>
      </c>
      <c r="GA161" s="236" t="str">
        <f t="shared" si="93"/>
        <v>|</v>
      </c>
      <c r="GB161" s="238" t="str">
        <f t="shared" si="94"/>
        <v>|</v>
      </c>
      <c r="GC161" s="244" t="str">
        <f>IFERROR(__xludf.DUMMYFUNCTION("IF(REGEXMATCH(C161, ""S""), ""1"","""")"),"1")</f>
        <v>1</v>
      </c>
      <c r="GD161" s="245" t="str">
        <f>IFERROR(__xludf.DUMMYFUNCTION("IF(REGEXMATCH(C161, ""r""), ""b2"","""")"),"")</f>
        <v/>
      </c>
      <c r="GE161" s="246" t="str">
        <f>IFERROR(__xludf.DUMMYFUNCTION("IF(REGEXMATCH(C161, ""R""), ""2"","""")"),"")</f>
        <v/>
      </c>
      <c r="GF161" s="246" t="str">
        <f>IFERROR(__xludf.DUMMYFUNCTION("IF(REGEXMATCH(C161, ""g""), ""b3"","""")"),"b3")</f>
        <v>b3</v>
      </c>
      <c r="GG161" s="245" t="str">
        <f>IFERROR(__xludf.DUMMYFUNCTION("IF(REGEXMATCH(C161, ""G""), ""3"","""")"),"3")</f>
        <v>3</v>
      </c>
      <c r="GH161" s="245" t="str">
        <f>IFERROR(__xludf.DUMMYFUNCTION("IF(REGEXMATCH(C161, ""m""), ""4"","""")"),"4")</f>
        <v>4</v>
      </c>
      <c r="GI161" s="246" t="str">
        <f>IFERROR(__xludf.DUMMYFUNCTION("IF(REGEXMATCH(C161, ""M""), ""#4"","""")"),"")</f>
        <v/>
      </c>
      <c r="GJ161" s="245" t="str">
        <f>IFERROR(__xludf.DUMMYFUNCTION("IF(REGEXMATCH(C161, ""P""), ""5"","""")"),"5")</f>
        <v>5</v>
      </c>
      <c r="GK161" s="246" t="str">
        <f>IFERROR(__xludf.DUMMYFUNCTION("IF(REGEXMATCH(C161, ""d""), ""b6"","""")"),"b6")</f>
        <v>b6</v>
      </c>
      <c r="GL161" s="245" t="str">
        <f>IFERROR(__xludf.DUMMYFUNCTION("IF(REGEXMATCH(C161, ""D""), ""6"","""")"),"")</f>
        <v/>
      </c>
      <c r="GM161" s="245" t="str">
        <f>IFERROR(__xludf.DUMMYFUNCTION("IF(REGEXMATCH(C161, ""n""), ""b7"","""")"),"")</f>
        <v/>
      </c>
      <c r="GN161" s="246" t="str">
        <f>IFERROR(__xludf.DUMMYFUNCTION("IF(REGEXMATCH(C161, ""N""), ""7"","""")"),"7")</f>
        <v>7</v>
      </c>
      <c r="GO161" s="249" t="str">
        <f>IFERROR(__xludf.DUMMYFUNCTION("IF(REGEXMATCH(C161, ""S""), ""8"","""")"),"8")</f>
        <v>8</v>
      </c>
      <c r="GP161" s="244" t="str">
        <f>IFERROR(__xludf.DUMMYFUNCTION("IF(REGEXMATCH(C161, ""S""), ""S"","""")"),"S")</f>
        <v>S</v>
      </c>
      <c r="GQ161" s="294" t="str">
        <f>IFERROR(__xludf.DUMMYFUNCTION("IF(REGEXMATCH(C161, ""r""), ""R1"","""")"),"")</f>
        <v/>
      </c>
      <c r="GR161" s="295" t="str">
        <f>IFERROR(__xludf.DUMMYFUNCTION("IF(REGEXMATCH(C161, ""R""), ""R2"","""")"),"")</f>
        <v/>
      </c>
      <c r="GS161" s="295" t="str">
        <f>IFERROR(__xludf.DUMMYFUNCTION("IF(REGEXMATCH(C161, ""g""), ""G2"","""")"),"G2")</f>
        <v>G2</v>
      </c>
      <c r="GT161" s="294" t="str">
        <f>IFERROR(__xludf.DUMMYFUNCTION("IF(REGEXMATCH(C161, ""G""), ""G3"","""")"),"G3")</f>
        <v>G3</v>
      </c>
      <c r="GU161" s="294" t="str">
        <f>IFERROR(__xludf.DUMMYFUNCTION("IF(REGEXMATCH(C161, ""m""), ""M1"","""")"),"M1")</f>
        <v>M1</v>
      </c>
      <c r="GV161" s="295" t="str">
        <f>IFERROR(__xludf.DUMMYFUNCTION("IF(REGEXMATCH(C161, ""M""), ""M2"","""")"),"")</f>
        <v/>
      </c>
      <c r="GW161" s="294" t="str">
        <f>IFERROR(__xludf.DUMMYFUNCTION("IF(REGEXMATCH(C161, ""P""), ""P"","""")"),"P")</f>
        <v>P</v>
      </c>
      <c r="GX161" s="295" t="str">
        <f>IFERROR(__xludf.DUMMYFUNCTION("IF(REGEXMATCH(C161, ""d""), ""D1"","""")"),"D1")</f>
        <v>D1</v>
      </c>
      <c r="GY161" s="294" t="str">
        <f>IFERROR(__xludf.DUMMYFUNCTION("IF(REGEXMATCH(C161, ""D""), ""D2"","""")"),"")</f>
        <v/>
      </c>
      <c r="GZ161" s="294" t="str">
        <f>IFERROR(__xludf.DUMMYFUNCTION("IF(REGEXMATCH(C161, ""n""), ""N2"","""")"),"")</f>
        <v/>
      </c>
      <c r="HA161" s="295" t="str">
        <f>IFERROR(__xludf.DUMMYFUNCTION("IF(REGEXMATCH(C161, ""N""), ""N3"","""")"),"N3")</f>
        <v>N3</v>
      </c>
      <c r="HB161" s="249" t="str">
        <f>IFERROR(__xludf.DUMMYFUNCTION("IF(REGEXMATCH(C161, ""S""), ""S"","""")"),"S")</f>
        <v>S</v>
      </c>
      <c r="HC161" s="331" t="str">
        <f t="shared" si="95"/>
        <v>S</v>
      </c>
      <c r="HD161" s="332" t="str">
        <f t="shared" si="96"/>
        <v>r</v>
      </c>
      <c r="HE161" s="332" t="str">
        <f t="shared" si="97"/>
        <v/>
      </c>
      <c r="HF161" s="332" t="str">
        <f t="shared" si="98"/>
        <v/>
      </c>
      <c r="HG161" s="332" t="str">
        <f t="shared" si="99"/>
        <v>G</v>
      </c>
      <c r="HH161" s="332" t="str">
        <f t="shared" si="100"/>
        <v>m</v>
      </c>
      <c r="HI161" s="332" t="str">
        <f t="shared" si="101"/>
        <v/>
      </c>
      <c r="HJ161" s="332" t="str">
        <f t="shared" si="102"/>
        <v>P</v>
      </c>
      <c r="HK161" s="332" t="str">
        <f t="shared" si="103"/>
        <v>d</v>
      </c>
      <c r="HL161" s="332" t="str">
        <f t="shared" si="104"/>
        <v>D</v>
      </c>
      <c r="HM161" s="332" t="str">
        <f t="shared" si="105"/>
        <v/>
      </c>
      <c r="HN161" s="332" t="str">
        <f t="shared" si="106"/>
        <v/>
      </c>
      <c r="HO161" s="343" t="str">
        <f t="shared" si="107"/>
        <v>S</v>
      </c>
      <c r="HP161" s="331" t="str">
        <f t="shared" si="108"/>
        <v>o</v>
      </c>
      <c r="HQ161" s="332" t="str">
        <f t="shared" si="109"/>
        <v>•</v>
      </c>
      <c r="HR161" s="332" t="str">
        <f t="shared" si="110"/>
        <v>•</v>
      </c>
      <c r="HS161" s="332" t="str">
        <f t="shared" si="111"/>
        <v>o</v>
      </c>
      <c r="HT161" s="332" t="str">
        <f t="shared" si="112"/>
        <v>o</v>
      </c>
      <c r="HU161" s="332" t="str">
        <f t="shared" si="113"/>
        <v>o</v>
      </c>
      <c r="HV161" s="332" t="str">
        <f t="shared" si="114"/>
        <v>•</v>
      </c>
      <c r="HW161" s="332" t="str">
        <f t="shared" si="115"/>
        <v>o</v>
      </c>
      <c r="HX161" s="332" t="str">
        <f t="shared" si="116"/>
        <v>o</v>
      </c>
      <c r="HY161" s="332" t="str">
        <f t="shared" si="117"/>
        <v>•</v>
      </c>
      <c r="HZ161" s="332" t="str">
        <f t="shared" si="118"/>
        <v>•</v>
      </c>
      <c r="IA161" s="332" t="str">
        <f t="shared" si="119"/>
        <v>o</v>
      </c>
      <c r="IB161" s="338" t="str">
        <f t="shared" si="120"/>
        <v>o</v>
      </c>
      <c r="IC161" s="331" t="str">
        <f t="shared" si="121"/>
        <v>•</v>
      </c>
      <c r="ID161" s="332" t="str">
        <f t="shared" si="122"/>
        <v>o</v>
      </c>
      <c r="IE161" s="332" t="str">
        <f t="shared" si="123"/>
        <v>o</v>
      </c>
      <c r="IF161" s="332" t="str">
        <f t="shared" si="124"/>
        <v>•</v>
      </c>
      <c r="IG161" s="332" t="str">
        <f t="shared" si="125"/>
        <v>•</v>
      </c>
      <c r="IH161" s="332" t="str">
        <f t="shared" si="126"/>
        <v>•</v>
      </c>
      <c r="II161" s="332" t="str">
        <f t="shared" si="127"/>
        <v>o</v>
      </c>
      <c r="IJ161" s="332" t="str">
        <f t="shared" si="128"/>
        <v>•</v>
      </c>
      <c r="IK161" s="332" t="str">
        <f t="shared" si="129"/>
        <v>•</v>
      </c>
      <c r="IL161" s="332" t="str">
        <f t="shared" si="130"/>
        <v>o</v>
      </c>
      <c r="IM161" s="332" t="str">
        <f t="shared" si="131"/>
        <v>o</v>
      </c>
      <c r="IN161" s="332" t="str">
        <f t="shared" si="132"/>
        <v>•</v>
      </c>
      <c r="IO161" s="338" t="str">
        <f t="shared" si="133"/>
        <v>•</v>
      </c>
      <c r="IP161" s="346" t="b">
        <f t="shared" si="134"/>
        <v>0</v>
      </c>
      <c r="IQ161" s="347" t="b">
        <f t="shared" si="135"/>
        <v>0</v>
      </c>
      <c r="IR161" s="347" t="b">
        <f t="shared" si="136"/>
        <v>0</v>
      </c>
      <c r="IS161" s="347" t="b">
        <f t="shared" si="137"/>
        <v>1</v>
      </c>
      <c r="IT161" s="347" t="b">
        <f t="shared" si="138"/>
        <v>0</v>
      </c>
      <c r="IU161" s="347" t="b">
        <f t="shared" si="139"/>
        <v>0</v>
      </c>
      <c r="IV161" s="347" t="b">
        <f t="shared" si="140"/>
        <v>0</v>
      </c>
      <c r="IW161" s="347" t="b">
        <f t="shared" si="141"/>
        <v>1</v>
      </c>
      <c r="IX161" s="347" t="b">
        <f t="shared" si="142"/>
        <v>0</v>
      </c>
      <c r="IY161" s="347" t="b">
        <f t="shared" si="143"/>
        <v>0</v>
      </c>
      <c r="IZ161" s="347" t="b">
        <f t="shared" si="144"/>
        <v>0</v>
      </c>
      <c r="JA161" s="347" t="b">
        <f t="shared" si="145"/>
        <v>1</v>
      </c>
      <c r="JB161" s="353" t="b">
        <f t="shared" si="146"/>
        <v>0</v>
      </c>
      <c r="JC161" s="354" t="str">
        <f t="shared" si="147"/>
        <v/>
      </c>
      <c r="JD161" s="355" t="str">
        <f t="shared" si="148"/>
        <v/>
      </c>
      <c r="JE161" s="355" t="str">
        <f t="shared" si="149"/>
        <v/>
      </c>
      <c r="JF161" s="355" t="str">
        <f t="shared" si="150"/>
        <v>ga, </v>
      </c>
      <c r="JG161" s="355" t="str">
        <f t="shared" si="151"/>
        <v/>
      </c>
      <c r="JH161" s="355" t="str">
        <f t="shared" si="152"/>
        <v/>
      </c>
      <c r="JI161" s="355" t="str">
        <f t="shared" si="153"/>
        <v/>
      </c>
      <c r="JJ161" s="355" t="str">
        <f t="shared" si="154"/>
        <v>Pa, </v>
      </c>
      <c r="JK161" s="355" t="str">
        <f t="shared" si="155"/>
        <v/>
      </c>
      <c r="JL161" s="355" t="str">
        <f t="shared" si="156"/>
        <v/>
      </c>
      <c r="JM161" s="355" t="str">
        <f t="shared" si="157"/>
        <v/>
      </c>
      <c r="JN161" s="355" t="str">
        <f t="shared" si="158"/>
        <v>Ni, </v>
      </c>
      <c r="JO161" s="359" t="str">
        <f t="shared" si="159"/>
        <v/>
      </c>
      <c r="JP161" s="346" t="b">
        <f t="shared" si="160"/>
        <v>0</v>
      </c>
      <c r="JQ161" s="347" t="b">
        <f t="shared" si="161"/>
        <v>0</v>
      </c>
      <c r="JR161" s="347" t="b">
        <f t="shared" si="162"/>
        <v>0</v>
      </c>
      <c r="JS161" s="347" t="b">
        <f t="shared" si="163"/>
        <v>0</v>
      </c>
      <c r="JT161" s="347" t="b">
        <f t="shared" si="164"/>
        <v>0</v>
      </c>
      <c r="JU161" s="347" t="b">
        <f t="shared" si="165"/>
        <v>0</v>
      </c>
      <c r="JV161" s="347" t="b">
        <f t="shared" si="166"/>
        <v>0</v>
      </c>
      <c r="JW161" s="347" t="b">
        <f t="shared" si="167"/>
        <v>0</v>
      </c>
      <c r="JX161" s="347" t="b">
        <f t="shared" si="168"/>
        <v>0</v>
      </c>
      <c r="JY161" s="347" t="b">
        <f t="shared" si="169"/>
        <v>0</v>
      </c>
      <c r="JZ161" s="347" t="b">
        <f t="shared" si="170"/>
        <v>0</v>
      </c>
      <c r="KA161" s="347" t="b">
        <f t="shared" si="171"/>
        <v>0</v>
      </c>
      <c r="KB161" s="365" t="b">
        <f t="shared" si="172"/>
        <v>0</v>
      </c>
      <c r="KC161" s="354" t="str">
        <f t="shared" si="173"/>
        <v/>
      </c>
      <c r="KD161" s="355" t="str">
        <f t="shared" si="174"/>
        <v/>
      </c>
      <c r="KE161" s="355" t="str">
        <f t="shared" si="175"/>
        <v/>
      </c>
      <c r="KF161" s="355" t="str">
        <f t="shared" si="176"/>
        <v/>
      </c>
      <c r="KG161" s="355" t="str">
        <f t="shared" si="177"/>
        <v/>
      </c>
      <c r="KH161" s="355" t="str">
        <f t="shared" si="178"/>
        <v/>
      </c>
      <c r="KI161" s="355" t="str">
        <f t="shared" si="179"/>
        <v/>
      </c>
      <c r="KJ161" s="355" t="str">
        <f t="shared" si="180"/>
        <v/>
      </c>
      <c r="KK161" s="355" t="str">
        <f t="shared" si="181"/>
        <v/>
      </c>
      <c r="KL161" s="355" t="str">
        <f t="shared" si="182"/>
        <v/>
      </c>
      <c r="KM161" s="355" t="str">
        <f t="shared" si="183"/>
        <v/>
      </c>
      <c r="KN161" s="355" t="str">
        <f t="shared" si="184"/>
        <v/>
      </c>
      <c r="KO161" s="359"/>
      <c r="KP161" s="378"/>
      <c r="KQ161" s="379" t="s">
        <v>1255</v>
      </c>
      <c r="KR161" s="380" t="s">
        <v>1421</v>
      </c>
      <c r="KS161" s="381" t="str">
        <f t="shared" si="528"/>
        <v>S-G-m-d-N-S</v>
      </c>
      <c r="KT161" s="382">
        <f t="shared" si="186"/>
        <v>5</v>
      </c>
      <c r="KU161" s="383">
        <f t="shared" si="187"/>
        <v>5</v>
      </c>
      <c r="KV161" s="381" t="str">
        <f t="shared" si="205"/>
        <v>S-N-d-P-m-Gg-S</v>
      </c>
      <c r="KW161" s="382">
        <f t="shared" si="189"/>
        <v>6</v>
      </c>
      <c r="KX161" s="384">
        <f t="shared" si="190"/>
        <v>7</v>
      </c>
      <c r="KY161" s="382">
        <f t="shared" ref="KY161:KZ161" si="533">KW161-KT161</f>
        <v>1</v>
      </c>
      <c r="KZ161" s="369">
        <f t="shared" si="533"/>
        <v>2</v>
      </c>
      <c r="LA161" s="385" t="str">
        <f t="shared" si="192"/>
        <v>-</v>
      </c>
      <c r="LB161" s="340" t="str">
        <f>IFERROR(__xludf.DUMMYFUNCTION("JOIN("""",ArrayFormula(MID(KS161,LEN(KS161)-SEQUENCE(1,LEN(KS161))+1,1)))"),"S-N-d-m-G-S")</f>
        <v>S-N-d-m-G-S</v>
      </c>
      <c r="LC161" s="373" t="str">
        <f>IFERROR(__xludf.DUMMYFUNCTION("JOIN("""",ArrayFormula(MID(KV161,LEN(KV161)-SEQUENCE(1,LEN(KV161))+1,1)))"),"S-gG-m-P-d-N-S")</f>
        <v>S-gG-m-P-d-N-S</v>
      </c>
      <c r="LD161" s="373" t="str">
        <f t="shared" si="193"/>
        <v>SGmdNS</v>
      </c>
      <c r="LE161" s="339" t="str">
        <f t="shared" si="194"/>
        <v>SgGmPdNS</v>
      </c>
      <c r="LF161" s="386" t="str">
        <f>IFERROR(__xludf.DUMMYFUNCTION("SUBSTITUTE(SUBSTITUTE(CONCATENATE(JOIN("""",LH161:LT161)),""1"",""""),""2"","""")"),"SgGmPdNS")</f>
        <v>SgGmPdNS</v>
      </c>
      <c r="LG161" s="369" t="str">
        <f t="shared" si="195"/>
        <v>✔</v>
      </c>
      <c r="LH161" s="387" t="str">
        <f>IFERROR(__xludf.DUMMYFUNCTION("IF(REGEXMATCH(LD161, ""S""), ""S"",IF(REGEXMATCH(LE161, ""S""), ""S"",""""))"),"S")</f>
        <v>S</v>
      </c>
      <c r="LI161" s="299" t="str">
        <f>IFERROR(__xludf.DUMMYFUNCTION("IF(REGEXMATCH(LD161, ""r""), ""r1"",IF(REGEXMATCH(LE161, ""r""), ""r2"",""""))"),"")</f>
        <v/>
      </c>
      <c r="LJ161" s="299" t="str">
        <f>IFERROR(__xludf.DUMMYFUNCTION("IF(REGEXMATCH(LD161, ""R""), ""R1"",IF(REGEXMATCH(LE161, ""R""), ""R2"",""""))"),"")</f>
        <v/>
      </c>
      <c r="LK161" s="299" t="str">
        <f>IFERROR(__xludf.DUMMYFUNCTION("IF(REGEXMATCH(LD161, ""g""), ""g1"",IF(REGEXMATCH(LE161, ""g""), ""g2"",""""))"),"g2")</f>
        <v>g2</v>
      </c>
      <c r="LL161" s="299" t="str">
        <f>IFERROR(__xludf.DUMMYFUNCTION("IF(REGEXMATCH(LD161, ""G""), ""G1"",IF(REGEXMATCH(LE161, ""G""), ""G2"",""""))"),"G1")</f>
        <v>G1</v>
      </c>
      <c r="LM161" s="299" t="str">
        <f>IFERROR(__xludf.DUMMYFUNCTION("IF(REGEXMATCH(LD161, ""m""), ""m1"",IF(REGEXMATCH(LE161, ""m""), ""m2"",""""))"),"m1")</f>
        <v>m1</v>
      </c>
      <c r="LN161" s="299" t="str">
        <f>IFERROR(__xludf.DUMMYFUNCTION("IF(REGEXMATCH(LD161, ""M""), ""M1"",IF(REGEXMATCH(LE161, ""M""), ""M2"",""""))"),"")</f>
        <v/>
      </c>
      <c r="LO161" s="299" t="str">
        <f>IFERROR(__xludf.DUMMYFUNCTION("IF(REGEXMATCH(LD161, ""P""), ""P1"",IF(REGEXMATCH(LE161, ""P""), ""P2"",""""))"),"P2")</f>
        <v>P2</v>
      </c>
      <c r="LP161" s="299" t="str">
        <f>IFERROR(__xludf.DUMMYFUNCTION("IF(REGEXMATCH(LD161, ""d""), ""d1"",IF(REGEXMATCH(LE161, ""d""), ""d2"",""""))"),"d1")</f>
        <v>d1</v>
      </c>
      <c r="LQ161" s="299" t="str">
        <f>IFERROR(__xludf.DUMMYFUNCTION("IF(REGEXMATCH(LD161, ""D""), ""D1"",IF(REGEXMATCH(LE161, ""D""), ""D2"",""""))"),"")</f>
        <v/>
      </c>
      <c r="LR161" s="299" t="str">
        <f>IFERROR(__xludf.DUMMYFUNCTION("IF(REGEXMATCH(LD161, ""n""), ""n1"",IF(REGEXMATCH(LE161, ""n""), ""n2"",""""))"),"")</f>
        <v/>
      </c>
      <c r="LS161" s="299" t="str">
        <f>IFERROR(__xludf.DUMMYFUNCTION("IF(REGEXMATCH(LD161, ""N""), ""N1"",IF(REGEXMATCH(LE161, ""N""), ""N2"",""""))"),"N1")</f>
        <v>N1</v>
      </c>
      <c r="LT161" s="388" t="str">
        <f>IFERROR(__xludf.DUMMYFUNCTION("IF(REGEXMATCH(LD161, ""S""), ""S"",IF(REGEXMATCH(LE161, ""S""), ""S"",""""))"),"S")</f>
        <v>S</v>
      </c>
      <c r="LU161" s="389">
        <f t="shared" si="196"/>
        <v>-2</v>
      </c>
      <c r="LV161" s="378"/>
      <c r="LW161" s="369"/>
      <c r="LX161" s="369"/>
    </row>
    <row r="162" ht="18.0" customHeight="1">
      <c r="A162" s="298" t="s">
        <v>1422</v>
      </c>
      <c r="B162" s="222" t="s">
        <v>405</v>
      </c>
      <c r="C162" s="233" t="str">
        <f t="shared" si="7"/>
        <v>SRgmPdnS</v>
      </c>
      <c r="D162" s="234" t="str">
        <f>IFERROR(__xludf.DUMMYFUNCTION("IF(REGEXMATCH(C162, ""S""), ""S"","""")"),"S")</f>
        <v>S</v>
      </c>
      <c r="E162" s="236" t="str">
        <f>IFERROR(__xludf.DUMMYFUNCTION("IF(REGEXMATCH(C162, ""r""), ""r"","""")"),"")</f>
        <v/>
      </c>
      <c r="F162" s="237" t="str">
        <f>IFERROR(__xludf.DUMMYFUNCTION("IF(REGEXMATCH(C162, ""R""), ""R"","""")"),"R")</f>
        <v>R</v>
      </c>
      <c r="G162" s="237" t="str">
        <f>IFERROR(__xludf.DUMMYFUNCTION("IF(REGEXMATCH(C162, ""g""), ""g"","""")"),"g")</f>
        <v>g</v>
      </c>
      <c r="H162" s="236" t="str">
        <f>IFERROR(__xludf.DUMMYFUNCTION("IF(REGEXMATCH(C162, ""G""), ""G"","""")"),"")</f>
        <v/>
      </c>
      <c r="I162" s="236" t="str">
        <f>IFERROR(__xludf.DUMMYFUNCTION("IF(REGEXMATCH(C162, ""m""), ""m"","""")"),"m")</f>
        <v>m</v>
      </c>
      <c r="J162" s="237" t="str">
        <f>IFERROR(__xludf.DUMMYFUNCTION("IF(REGEXMATCH(C162, ""M""), ""M"","""")"),"")</f>
        <v/>
      </c>
      <c r="K162" s="236" t="str">
        <f>IFERROR(__xludf.DUMMYFUNCTION("IF(REGEXMATCH(C162, ""P""), ""P"","""")"),"P")</f>
        <v>P</v>
      </c>
      <c r="L162" s="237" t="str">
        <f>IFERROR(__xludf.DUMMYFUNCTION("IF(REGEXMATCH(C162, ""d""), ""d"","""")"),"d")</f>
        <v>d</v>
      </c>
      <c r="M162" s="236" t="str">
        <f>IFERROR(__xludf.DUMMYFUNCTION("IF(REGEXMATCH(C162, ""D""), ""D"","""")"),"")</f>
        <v/>
      </c>
      <c r="N162" s="236" t="str">
        <f>IFERROR(__xludf.DUMMYFUNCTION("IF(REGEXMATCH(C162, ""n""), ""n"","""")"),"n")</f>
        <v>n</v>
      </c>
      <c r="O162" s="237" t="str">
        <f>IFERROR(__xludf.DUMMYFUNCTION("IF(REGEXMATCH(C162, ""N""), ""N"","""")"),"")</f>
        <v/>
      </c>
      <c r="P162" s="238" t="str">
        <f>IFERROR(__xludf.DUMMYFUNCTION("IF(REGEXMATCH(C162, ""S""), ""S"","""")"),"S")</f>
        <v>S</v>
      </c>
      <c r="Q162" s="239" t="str">
        <f>IFERROR(__xludf.DUMMYFUNCTION("SUBSTITUTE(CONCATENATE(JOIN(""-"",D162:J162)),""-"","""")"),"SRgm")</f>
        <v>SRgm</v>
      </c>
      <c r="R162" s="229" t="str">
        <f>IFERROR(__xludf.DUMMYFUNCTION("SUBSTITUTE(CONCATENATE(JOIN(""-"",K162:P162)),""-"","""")"),"PdnS")</f>
        <v>PdnS</v>
      </c>
      <c r="S162" s="282" t="str">
        <f t="shared" si="8"/>
        <v>S-R-G-M</v>
      </c>
      <c r="T162" s="282" t="str">
        <f t="shared" si="9"/>
        <v>P-D-N-S</v>
      </c>
      <c r="U162" s="237" t="str">
        <f>IFERROR(__xludf.DUMMYFUNCTION("SUBSTITUTE(JOIN(""-"",S162,T162),""--"",""-"")"),"S-R-G-M-P-D-N-S")</f>
        <v>S-R-G-M-P-D-N-S</v>
      </c>
      <c r="V162" s="309" t="str">
        <f t="shared" si="10"/>
        <v>Rgmdn</v>
      </c>
      <c r="W162" s="244" t="str">
        <f>IFERROR(__xludf.DUMMYFUNCTION("IF(REGEXMATCH(C162, ""S""), ""0"","""")"),"0")</f>
        <v>0</v>
      </c>
      <c r="X162" s="245" t="str">
        <f>IFERROR(__xludf.DUMMYFUNCTION("IF(REGEXMATCH(C162, ""r""), ""1"","""")"),"")</f>
        <v/>
      </c>
      <c r="Y162" s="246" t="str">
        <f>IFERROR(__xludf.DUMMYFUNCTION("IF(REGEXMATCH(C162, ""R""), ""2"","""")"),"2")</f>
        <v>2</v>
      </c>
      <c r="Z162" s="246" t="str">
        <f>IFERROR(__xludf.DUMMYFUNCTION("IF(REGEXMATCH(C162, ""g""), ""3"","""")"),"3")</f>
        <v>3</v>
      </c>
      <c r="AA162" s="245" t="str">
        <f>IFERROR(__xludf.DUMMYFUNCTION("IF(REGEXMATCH(C162, ""G""), ""4"","""")"),"")</f>
        <v/>
      </c>
      <c r="AB162" s="245" t="str">
        <f>IFERROR(__xludf.DUMMYFUNCTION("IF(REGEXMATCH(C162, ""m""), ""5"","""")"),"5")</f>
        <v>5</v>
      </c>
      <c r="AC162" s="246" t="str">
        <f>IFERROR(__xludf.DUMMYFUNCTION("IF(REGEXMATCH(C162, ""M""), ""6"","""")"),"")</f>
        <v/>
      </c>
      <c r="AD162" s="245" t="str">
        <f>IFERROR(__xludf.DUMMYFUNCTION("IF(REGEXMATCH(C162, ""P""), ""7"","""")"),"7")</f>
        <v>7</v>
      </c>
      <c r="AE162" s="246" t="str">
        <f>IFERROR(__xludf.DUMMYFUNCTION("IF(REGEXMATCH(C162, ""d""), ""8"","""")"),"8")</f>
        <v>8</v>
      </c>
      <c r="AF162" s="245" t="str">
        <f>IFERROR(__xludf.DUMMYFUNCTION("IF(REGEXMATCH(C162, ""D""), ""9"","""")"),"")</f>
        <v/>
      </c>
      <c r="AG162" s="245" t="str">
        <f>IFERROR(__xludf.DUMMYFUNCTION("IF(REGEXMATCH(C162, ""n""), ""10"","""")"),"10")</f>
        <v>10</v>
      </c>
      <c r="AH162" s="246" t="str">
        <f>IFERROR(__xludf.DUMMYFUNCTION("IF(REGEXMATCH(C162, ""N""), ""11"","""")"),"")</f>
        <v/>
      </c>
      <c r="AI162" s="249" t="str">
        <f>IFERROR(__xludf.DUMMYFUNCTION("IF(REGEXMATCH(C162, ""S""), ""0"","""")"),"0")</f>
        <v>0</v>
      </c>
      <c r="AJ162" s="313" t="str">
        <f t="shared" si="11"/>
        <v>-</v>
      </c>
      <c r="AK162" s="313" t="str">
        <f t="shared" si="12"/>
        <v>-</v>
      </c>
      <c r="AL162" s="313" t="str">
        <f t="shared" si="13"/>
        <v>T</v>
      </c>
      <c r="AM162" s="313" t="str">
        <f t="shared" si="14"/>
        <v>-</v>
      </c>
      <c r="AN162" s="313" t="str">
        <f t="shared" si="15"/>
        <v>-</v>
      </c>
      <c r="AO162" s="314" t="str">
        <f t="shared" si="16"/>
        <v>-</v>
      </c>
      <c r="AP162" s="316">
        <f t="shared" si="17"/>
        <v>1</v>
      </c>
      <c r="AQ162" s="319" t="str">
        <f t="shared" si="18"/>
        <v>-</v>
      </c>
      <c r="AR162" s="320">
        <f t="shared" si="19"/>
        <v>0</v>
      </c>
      <c r="AS162" s="250" t="str">
        <f>IFERROR(__xludf.DUMMYFUNCTION("SUBSTITUTE(SUBSTITUTE(CONCATENATE(JOIN("""",FP162:GA162)),""|"",""x""),""-"",""o"")"),"xoxxoxoxxoxo")</f>
        <v>xoxxoxoxxoxo</v>
      </c>
      <c r="AT162" s="323" t="str">
        <f>IFERROR(__xludf.DUMMYFUNCTION("JOIN("""",AS162,AS162)"),"xoxxoxoxxoxoxoxxoxoxxoxo")</f>
        <v>xoxxoxoxxoxoxoxxoxoxxoxo</v>
      </c>
      <c r="AU162" s="256" t="str">
        <f>IFERROR(__xludf.DUMMYFUNCTION("JOIN("""",ArrayFormula(MID(AS162,LEN(AS162)-SEQUENCE(1,LEN(AS162))+1,1)))"),"oxoxxoxoxxox")</f>
        <v>oxoxxoxoxxox</v>
      </c>
      <c r="AV162" s="256" t="str">
        <f>IFERROR(__xludf.DUMMYFUNCTION("LEFT(CONCATENATE(""x"",JOIN("""",ArrayFormula(MID(AS162,LEN(AS162)-SEQUENCE(1,LEN(AS162))+1,1)))),12)"),"xoxoxxoxoxxo")</f>
        <v>xoxoxxoxoxxo</v>
      </c>
      <c r="AW162" s="327" t="str">
        <f>IFERROR(__xludf.DUMMYFUNCTION("JOIN("""",AU162,AU162)"),"oxoxxoxoxxoxoxoxxoxoxxox")</f>
        <v>oxoxxoxoxxoxoxoxxoxoxxox</v>
      </c>
      <c r="AX162" s="239" t="str">
        <f>IFERROR(__xludf.DUMMYFUNCTION("IF(REGEXMATCH(AW162,AS162),""✔"",""-"")"),"✔")</f>
        <v>✔</v>
      </c>
      <c r="AY162" s="330" t="str">
        <f t="shared" si="20"/>
        <v>-</v>
      </c>
      <c r="AZ162" s="260" t="str">
        <f t="shared" si="21"/>
        <v>#REF!</v>
      </c>
      <c r="BA162" s="333" t="str">
        <f t="shared" si="22"/>
        <v>xoxxoxo</v>
      </c>
      <c r="BB162" s="334" t="str">
        <f t="shared" si="23"/>
        <v>xxoxox</v>
      </c>
      <c r="BC162" s="335" t="str">
        <f t="shared" si="236"/>
        <v>-</v>
      </c>
      <c r="BD162" s="336" t="str">
        <f t="shared" si="25"/>
        <v>Jungala: 'xoxxoxo' + 'xxoxox'</v>
      </c>
      <c r="BE162" s="337">
        <f>IFERROR(__xludf.DUMMYFUNCTION("COUNTUNIQUE(FILTER(AT:AT,REGEXMATCH(AT:AT,AS162)))-1"),6.0)</f>
        <v>6</v>
      </c>
      <c r="BF162" s="261" t="str">
        <f>IFERROR(__xludf.DUMMYFUNCTION("IF(BI162=0,""(n/a)"",IF(BJ162=2,""(PAIR)"",IF(REGEXMATCH(AT162,""xoxoxxoxoxox""),""Bilawal"",IF(REGEXMATCH(AT162,""xoxoxooxoxoo""),""Bhupali"",IF(REGEXMATCH(AT162,""xoxoxxoxxoxo""),""Charukeshi"",IF(REGEXMATCH(AT162,""xoxoooxxoxxo""),""Kameshwari"",IF(REG"&amp;"EXMATCH(AT162,""xoxoxooxoxox""),""Shankara"",IF(REGEXMATCH(AT162,""xxooxoxxxoox""),""Basant"",IF(REGEXMATCH(AT162,""xoxoxxxxoxox""),""Bihag"",IF(REGEXMATCH(AT162,""xoxxxxoxoxxx""),""Pilu"",IF(REGEXMATCH(AT162,""xoxxoxoxxoox""),""Kirwani"",IF(REGEXMATCH(AT"&amp;"162,""xoxxoxoxoxxx""),""Mk.Malhar"",IF(REGEXMATCH(AT162,""xxooxxoxxoox""),""Bhairav"",IF(REGEXMATCH(AT162,""xxoxooxxxoox""),""Todi"",IF(REGEXMATCH(AT162,""xxooxoxooxox""),""Marwa"",IF(REGEXMATCH(AT162,""xxoooxoxxooo""),""Gunkali"",IF(REGEXMATCH(AT162,""xo"&amp;"xoxxoxxoox""),""Nat Bhairav"",IF(REGEXMATCH(AT162,""xoxxoooxoxoo""),""Shivranjani"",IF(REGEXMATCH(AT162,""xooxxxoxooxo""),""Jog"",IF(REGEXMATCH(AT162,""xxooxoxoxoox""),""Hemshri"",IF(REGEXMATCH(AT162,""xoooxooxoxxo""),""Kalavati"",IF(REGEXMATCH(AT162,""xx"&amp;"oxoxxoxoox""),""Kedar"",IF(REGEXMATCH(AT162,""xoxxxxoxooxx""),""Gara"",IF(REGEXMATCH(AT162,""xooxoxooxoox""),""Chandrakauns"",IF(REGEXMATCH(AT162,""xoxxxxoxxxox""),""Mand"",IF(REGEXMATCH(AT162,""xoxxxxoxoxox""),""Hanskinkini"",IF(REGEXMATCH(AT162,""xxooxx"&amp;"oxooxo""),""Lilavati"",IF(REGEXMATCH(AT162,""xooxoxoooxox""),""Rajeshwari"",IF(REGEXMATCH(AT162,""xoooxxoxoxxx""),""Khokar"",IF(REGEXMATCH(AT162,""xxooxoxxxxox""),""Maligoura"",""-""))))))))))))))))))))))))))))))"),"Bilawal")</f>
        <v>Bilawal</v>
      </c>
      <c r="BG162" s="239" t="str">
        <f t="shared" si="26"/>
        <v>#REF!</v>
      </c>
      <c r="BH162" s="239">
        <f>IFERROR(__xludf.DUMMYFUNCTION("COUNTUNIQUE(FE162:FO162)-1"),6.0)</f>
        <v>6</v>
      </c>
      <c r="BI162" s="239">
        <f>IFERROR(__xludf.DUMMYFUNCTION("COUNTUNIQUE(FILTER(AT:AT,REGEXMATCH(AT:AT,AS162)))-1"),6.0)</f>
        <v>6</v>
      </c>
      <c r="BJ162" s="239">
        <f>IFERROR(__xludf.DUMMYFUNCTION("COUNTA(FILTER(AT:AT,REGEXMATCH(AT:AT,AS162)))"),48.0)</f>
        <v>48</v>
      </c>
      <c r="BK162" s="341">
        <f>IFERROR(__xludf.DUMMYFUNCTION("COUNTA(FILTER(AT:AT,REGEXMATCH(AT:AT,AS162)))-AR162"),48.0)</f>
        <v>48</v>
      </c>
      <c r="BL162" s="276" t="str">
        <f>IFERROR(__xludf.DUMMYFUNCTION("IF(AS162=""oooooooooooo"",""-"",IF(REGEXMATCH(AT162,""xx""), ""Hemi."", ""Anhemi.""))"),"Hemi.")</f>
        <v>Hemi.</v>
      </c>
      <c r="BM162" s="282" t="str">
        <f>IFERROR(__xludf.DUMMYFUNCTION("IF(AS162=""oooooooooooo"",""-"",IF(REGEXMATCH(AT162,""xxx""), ""Cohem."", ""-""))"),"-")</f>
        <v>-</v>
      </c>
      <c r="BN162" s="282" t="str">
        <f>IFERROR(__xludf.DUMMYFUNCTION("IF(AS162=""oooooooooooo"",""-"",IF(REGEXMATCH(AT162,""xxxx""), ""Co-Co."", ""-""))"),"-")</f>
        <v>-</v>
      </c>
      <c r="BO162" s="342" t="str">
        <f>IFERROR(__xludf.DUMMYFUNCTION("IF(AS162=""oooooooooooo"",""-"",IF(REGEXMATCH(AT162,""xxxxx""), ""CCC."", ""-""))"),"-")</f>
        <v>-</v>
      </c>
      <c r="BP162" s="344" t="str">
        <f t="shared" si="27"/>
        <v>Asavari</v>
      </c>
      <c r="BQ162" s="282" t="str">
        <f>IFERROR(__xludf.DUMMYFUNCTION("IF(REGEXMATCH(JOIN(""-"",EU162:FD162),""TRUE""),""✔"",""-"")"),"✔")</f>
        <v>✔</v>
      </c>
      <c r="BR162" s="225">
        <f t="shared" si="28"/>
        <v>1</v>
      </c>
      <c r="BS162" s="345" t="str">
        <f>IFERROR(__xludf.DUMMYFUNCTION("SUBSTITUTE(SUBSTITUTE(SUBSTITUTE(SUBSTITUTE(CONCATENATE(JOIN(""-"",GC162:GO162)),""--"",""-""),""--"",""-""),""--"",""-""),""--"",""-"")"),"1-2-b3-4-5-b6-b7-8")</f>
        <v>1-2-b3-4-5-b6-b7-8</v>
      </c>
      <c r="BT162" s="299" t="str">
        <f>IFERROR(__xludf.DUMMYFUNCTION("SUBSTITUTE(SUBSTITUTE(SUBSTITUTE(SUBSTITUTE(CONCATENATE(JOIN(""-"",GP162:HB162)),""--"",""-""),""--"",""-""),""--"",""-""),""--"",""-"")"),"S-R2-G2-M1-P-D1-N2-S")</f>
        <v>S-R2-G2-M1-P-D1-N2-S</v>
      </c>
      <c r="BU162" s="348" t="str">
        <f t="shared" si="29"/>
        <v>C-D-Eb-F-G-Ab-Bb-C</v>
      </c>
      <c r="BV162" s="349" t="str">
        <f t="shared" si="30"/>
        <v>SrGMDNS</v>
      </c>
      <c r="BW162" s="350">
        <f t="shared" si="31"/>
        <v>3</v>
      </c>
      <c r="BX162" s="351">
        <f t="shared" si="32"/>
        <v>7</v>
      </c>
      <c r="BY162" s="392"/>
      <c r="BZ162" s="309" t="str">
        <f>IFERROR(__xludf.DUMMYFUNCTION("IF(REGEXMATCH(C162, ""S""), ""x"",""x"")"),"x")</f>
        <v>x</v>
      </c>
      <c r="CA162" s="245" t="str">
        <f>IFERROR(__xludf.DUMMYFUNCTION("IF(REGEXMATCH(C162, ""r""), ""o"",""x"")"),"x")</f>
        <v>x</v>
      </c>
      <c r="CB162" s="246" t="str">
        <f>IFERROR(__xludf.DUMMYFUNCTION("IF(REGEXMATCH(C162, ""R""), ""o"",""x"")"),"o")</f>
        <v>o</v>
      </c>
      <c r="CC162" s="246" t="str">
        <f>IFERROR(__xludf.DUMMYFUNCTION("IF(REGEXMATCH(C162, ""g""), ""o"",""x"")"),"o")</f>
        <v>o</v>
      </c>
      <c r="CD162" s="245" t="str">
        <f>IFERROR(__xludf.DUMMYFUNCTION("IF(REGEXMATCH(C162, ""G""), ""o"",""x"")"),"x")</f>
        <v>x</v>
      </c>
      <c r="CE162" s="245" t="str">
        <f>IFERROR(__xludf.DUMMYFUNCTION("IF(REGEXMATCH(C162, ""m""), ""o"",""x"")"),"o")</f>
        <v>o</v>
      </c>
      <c r="CF162" s="246" t="str">
        <f>IFERROR(__xludf.DUMMYFUNCTION("IF(REGEXMATCH(C162, ""M""), ""o"",""x"")"),"x")</f>
        <v>x</v>
      </c>
      <c r="CG162" s="245" t="str">
        <f>IFERROR(__xludf.DUMMYFUNCTION("IF(REGEXMATCH(C162, ""P""), ""o"",""x"")"),"o")</f>
        <v>o</v>
      </c>
      <c r="CH162" s="246" t="str">
        <f>IFERROR(__xludf.DUMMYFUNCTION("IF(REGEXMATCH(C162, ""d""), ""o"",""x"")"),"o")</f>
        <v>o</v>
      </c>
      <c r="CI162" s="245" t="str">
        <f>IFERROR(__xludf.DUMMYFUNCTION("IF(REGEXMATCH(C162, ""D""), ""o"",""x"")"),"x")</f>
        <v>x</v>
      </c>
      <c r="CJ162" s="245" t="str">
        <f>IFERROR(__xludf.DUMMYFUNCTION("IF(REGEXMATCH(C162, ""n""), ""o"",""x"")"),"o")</f>
        <v>o</v>
      </c>
      <c r="CK162" s="245" t="str">
        <f>IFERROR(__xludf.DUMMYFUNCTION("IF(REGEXMATCH(C162, ""N""), ""o"",""x"")"),"x")</f>
        <v>x</v>
      </c>
      <c r="CL162" s="356" t="str">
        <f>IFERROR(__xludf.DUMMYFUNCTION("IF(REGEXMATCH(C162, ""S""), ""x"",""x"")"),"x")</f>
        <v>x</v>
      </c>
      <c r="CM162" s="357" t="str">
        <f t="shared" si="33"/>
        <v>xxooxoxooxox</v>
      </c>
      <c r="CN162" s="358">
        <f t="shared" si="34"/>
        <v>3</v>
      </c>
      <c r="CO162" s="246" t="str">
        <f>IFERROR(__xludf.DUMMYFUNCTION("IF(REGEXMATCH($C162, ""S""), ""S"",""S"")"),"S")</f>
        <v>S</v>
      </c>
      <c r="CP162" s="246" t="str">
        <f>IFERROR(__xludf.DUMMYFUNCTION("IF(REGEXMATCH($C162, ""r""), """",""r"")"),"r")</f>
        <v>r</v>
      </c>
      <c r="CQ162" s="246" t="str">
        <f>IFERROR(__xludf.DUMMYFUNCTION("IF(REGEXMATCH($C162, ""R""), """",""R"")"),"")</f>
        <v/>
      </c>
      <c r="CR162" s="246" t="str">
        <f>IFERROR(__xludf.DUMMYFUNCTION("IF(REGEXMATCH($C162, ""g""), """",""g"")"),"")</f>
        <v/>
      </c>
      <c r="CS162" s="246" t="str">
        <f>IFERROR(__xludf.DUMMYFUNCTION("IF(REGEXMATCH($C162, ""G""), """",""G"")"),"G")</f>
        <v>G</v>
      </c>
      <c r="CT162" s="246" t="str">
        <f>IFERROR(__xludf.DUMMYFUNCTION("IF(REGEXMATCH($C162, ""m""), """",""m"")"),"")</f>
        <v/>
      </c>
      <c r="CU162" s="246" t="str">
        <f>IFERROR(__xludf.DUMMYFUNCTION("IF(REGEXMATCH($C162, ""M""), """",""M"")"),"M")</f>
        <v>M</v>
      </c>
      <c r="CV162" s="246" t="str">
        <f>IFERROR(__xludf.DUMMYFUNCTION("IF(REGEXMATCH($C162, ""P""), """",""P"")"),"")</f>
        <v/>
      </c>
      <c r="CW162" s="246" t="str">
        <f>IFERROR(__xludf.DUMMYFUNCTION("IF(REGEXMATCH($C162, ""d""), """",""d"")"),"")</f>
        <v/>
      </c>
      <c r="CX162" s="246" t="str">
        <f>IFERROR(__xludf.DUMMYFUNCTION("IF(REGEXMATCH($C162, ""D""), """",""D"")"),"D")</f>
        <v>D</v>
      </c>
      <c r="CY162" s="246" t="str">
        <f>IFERROR(__xludf.DUMMYFUNCTION("IF(REGEXMATCH($C162, ""n""), """",""n"")"),"")</f>
        <v/>
      </c>
      <c r="CZ162" s="246" t="str">
        <f>IFERROR(__xludf.DUMMYFUNCTION("IF(REGEXMATCH($C162, ""N""), """",""N"")"),"N")</f>
        <v>N</v>
      </c>
      <c r="DA162" s="246" t="str">
        <f>IFERROR(__xludf.DUMMYFUNCTION("IF(REGEXMATCH($C162, ""S""), ""S"",""S"")"),"S")</f>
        <v>S</v>
      </c>
      <c r="DB162" s="362" t="str">
        <f>IFERROR(__xludf.DUMMYFUNCTION("JOIN("""",CO162:DA162,"""","""")"),"SrGMDNS")</f>
        <v>SrGMDNS</v>
      </c>
      <c r="DC162" s="363"/>
      <c r="DD162" s="301" t="str">
        <f t="shared" si="35"/>
        <v>#REF!</v>
      </c>
      <c r="DE162" s="302" t="str">
        <f t="shared" si="36"/>
        <v>#REF!</v>
      </c>
      <c r="DF162" s="301" t="str">
        <f t="shared" ref="DF162:DG162" si="534">SUBSTITUTE(S162,"-","")</f>
        <v>SRGM</v>
      </c>
      <c r="DG162" s="301" t="str">
        <f t="shared" si="534"/>
        <v>PDNS</v>
      </c>
      <c r="DH162" s="302" t="str">
        <f t="shared" si="38"/>
        <v>Bilawal</v>
      </c>
      <c r="DI162" s="301" t="str">
        <f t="shared" si="39"/>
        <v>Hemi.</v>
      </c>
      <c r="DJ162" s="364" t="str">
        <f t="shared" si="40"/>
        <v>-</v>
      </c>
      <c r="DK162" s="306" t="str">
        <f t="shared" si="41"/>
        <v>Asavari</v>
      </c>
      <c r="DL162" s="366" t="str">
        <f t="shared" si="42"/>
        <v>-</v>
      </c>
      <c r="DM162" s="308" t="str">
        <f t="shared" si="43"/>
        <v>-</v>
      </c>
      <c r="DN162" s="306" t="str">
        <f t="shared" si="44"/>
        <v>-</v>
      </c>
      <c r="DO162" s="306" t="str">
        <f t="shared" si="45"/>
        <v>-</v>
      </c>
      <c r="DP162" s="367" t="str">
        <f t="shared" si="46"/>
        <v>-</v>
      </c>
      <c r="DQ162" s="310" t="str">
        <f t="shared" si="47"/>
        <v>-</v>
      </c>
      <c r="DR162" s="310" t="str">
        <f t="shared" si="48"/>
        <v>-</v>
      </c>
      <c r="DS162" s="310" t="str">
        <f t="shared" si="49"/>
        <v>-</v>
      </c>
      <c r="DT162" s="310" t="str">
        <f t="shared" si="50"/>
        <v>-</v>
      </c>
      <c r="DU162" s="370" t="str">
        <f t="shared" si="51"/>
        <v>-</v>
      </c>
      <c r="DV162" s="306" t="str">
        <f t="shared" si="52"/>
        <v>-</v>
      </c>
      <c r="DW162" s="306" t="str">
        <f t="shared" si="53"/>
        <v>-</v>
      </c>
      <c r="DX162" s="306" t="str">
        <f t="shared" si="54"/>
        <v>-</v>
      </c>
      <c r="DY162" s="306" t="str">
        <f t="shared" si="55"/>
        <v>-</v>
      </c>
      <c r="DZ162" s="306" t="str">
        <f t="shared" si="56"/>
        <v>-</v>
      </c>
      <c r="EA162" s="367" t="str">
        <f t="shared" si="57"/>
        <v>-</v>
      </c>
      <c r="EB162" s="310" t="str">
        <f>IFERROR(__xludf.DUMMYFUNCTION("IF(REGEXMATCH(AW162,AS162),""✔"",""-"")"),"✔")</f>
        <v>✔</v>
      </c>
      <c r="EC162" s="310" t="str">
        <f t="shared" si="58"/>
        <v>#REF!</v>
      </c>
      <c r="ED162" s="370" t="str">
        <f t="shared" si="59"/>
        <v>-</v>
      </c>
      <c r="EE162" s="340" t="str">
        <f t="shared" si="60"/>
        <v>S-R-g-m-P-d-n-S</v>
      </c>
      <c r="EF162" s="371" t="str">
        <f>IFERROR(__xludf.DUMMYFUNCTION("CONCATENATE(JOIN("""",HC162:HO162))"),"SRGmPDnS")</f>
        <v>SRGmPDnS</v>
      </c>
      <c r="EG162" s="372">
        <f t="shared" si="61"/>
        <v>1</v>
      </c>
      <c r="EH162" s="373" t="str">
        <f>IFERROR(__xludf.DUMMYFUNCTION("CONCATENATE(JOIN("""",JC162:JO162))"),"Re, ")</f>
        <v>Re, </v>
      </c>
      <c r="EI162" s="322">
        <f t="shared" si="62"/>
        <v>0</v>
      </c>
      <c r="EJ162" s="374" t="str">
        <f>IFERROR(__xludf.DUMMYFUNCTION("CONCATENATE(JOIN("""",KC162:KO162))"),"")</f>
        <v/>
      </c>
      <c r="EK162" s="325" t="str">
        <f t="shared" si="63"/>
        <v>S-R2-G2-M1-P-D1-N2-S</v>
      </c>
      <c r="EL162" s="326" t="str">
        <f t="shared" si="64"/>
        <v>1-2-b3-4-5-b6-b7-8</v>
      </c>
      <c r="EM162" s="318" t="str">
        <f t="shared" si="65"/>
        <v>#REF!</v>
      </c>
      <c r="EN162" s="328" t="str">
        <f>IFERROR(__xludf.DUMMYFUNCTION("SUBSTITUTE(SUBSTITUTE(SUBSTITUTE(SUBSTITUTE(CONCATENATE(JOIN("" "",HP162:IB162)),""  "","" ""),""  "","" ""),""  "","" ""),""  "","" "")"),"o • o o • o • o o • o • o")</f>
        <v>o • o o • o • o o • o • o</v>
      </c>
      <c r="EO162" s="368" t="str">
        <f t="shared" si="66"/>
        <v>-</v>
      </c>
      <c r="EP162" s="339" t="str">
        <f t="shared" si="67"/>
        <v>-</v>
      </c>
      <c r="EQ162" s="339" t="str">
        <f t="shared" si="68"/>
        <v>Sa-Pa</v>
      </c>
      <c r="ER162" s="339" t="str">
        <f t="shared" si="69"/>
        <v>-</v>
      </c>
      <c r="ES162" s="340" t="str">
        <f t="shared" si="70"/>
        <v>-</v>
      </c>
      <c r="ET162" s="363"/>
      <c r="EU162" s="376" t="b">
        <f>IFERROR(__xludf.DUMMYFUNCTION("arrayformula(sum(--REGEXMATCH(""SRGMPDNS"",split(REGEXREPLACE(C162,""(.)"",""$1~""),""~""))))=len(C162)
"),FALSE)</f>
        <v>0</v>
      </c>
      <c r="EV162" s="290" t="b">
        <f>IFERROR(__xludf.DUMMYFUNCTION("arrayformula(sum(--REGEXMATCH(""SRGmPDNS"",split(REGEXREPLACE(C162,""(.)"",""$1~""),""~""))))=len(C162)"),FALSE)</f>
        <v>0</v>
      </c>
      <c r="EW162" s="290" t="b">
        <f>IFERROR(__xludf.DUMMYFUNCTION("arrayformula(sum(--REGEXMATCH(""SRGmPDnS"",split(REGEXREPLACE(C162,""(.)"",""$1~""),""~""))))=len(C162)"),FALSE)</f>
        <v>0</v>
      </c>
      <c r="EX162" s="290" t="b">
        <f>IFERROR(__xludf.DUMMYFUNCTION("arrayformula(sum(--REGEXMATCH(""SRgmPDnS"",split(REGEXREPLACE(C162,""(.)"",""$1~""),""~""))))=len(C162)"),FALSE)</f>
        <v>0</v>
      </c>
      <c r="EY162" s="290" t="b">
        <f>IFERROR(__xludf.DUMMYFUNCTION("arrayformula(sum(--REGEXMATCH(""SRgmPdnS"",split(REGEXREPLACE(C162,""(.)"",""$1~""),""~""))))=len(C162)"),TRUE)</f>
        <v>1</v>
      </c>
      <c r="EZ162" s="290" t="b">
        <f>IFERROR(__xludf.DUMMYFUNCTION("arrayformula(sum(--REGEXMATCH(""SrgmPdnS"",split(REGEXREPLACE(C162,""(.)"",""$1~""),""~""))))=len(C162)"),FALSE)</f>
        <v>0</v>
      </c>
      <c r="FA162" s="290" t="b">
        <f>IFERROR(__xludf.DUMMYFUNCTION("arrayformula(sum(--REGEXMATCH(""SrGmPdNS"",split(REGEXREPLACE(C162,""(.)"",""$1~""),""~""))))=len(C162)"),FALSE)</f>
        <v>0</v>
      </c>
      <c r="FB162" s="290" t="b">
        <f>IFERROR(__xludf.DUMMYFUNCTION("arrayformula(sum(--REGEXMATCH(""SrGMPDNS"",split(REGEXREPLACE(C162,""(.)"",""$1~""),""~""))))=len(C162)"),FALSE)</f>
        <v>0</v>
      </c>
      <c r="FC162" s="290" t="b">
        <f>IFERROR(__xludf.DUMMYFUNCTION("arrayformula(sum(--REGEXMATCH(""SrGMPdNS"",split(REGEXREPLACE(C162,""(.)"",""$1~""),""~""))))=len(C162)"),FALSE)</f>
        <v>0</v>
      </c>
      <c r="FD162" s="377" t="b">
        <f>IFERROR(__xludf.DUMMYFUNCTION("arrayformula(sum(--REGEXMATCH(""SrgMPdNS"",split(REGEXREPLACE(C162,""(.)"",""$1~""),""~""))))=len(C162)"),FALSE)</f>
        <v>0</v>
      </c>
      <c r="FE162" s="269" t="str">
        <f t="shared" si="71"/>
        <v>-</v>
      </c>
      <c r="FF162" s="269" t="str">
        <f t="shared" si="72"/>
        <v>xxoxoxxoxox</v>
      </c>
      <c r="FG162" s="271" t="str">
        <f t="shared" si="73"/>
        <v>xoxoxxoxoxo</v>
      </c>
      <c r="FH162" s="269" t="str">
        <f t="shared" si="74"/>
        <v>-</v>
      </c>
      <c r="FI162" s="271" t="str">
        <f t="shared" si="75"/>
        <v>xoxxoxoxoxx</v>
      </c>
      <c r="FJ162" s="271" t="str">
        <f t="shared" si="76"/>
        <v>-</v>
      </c>
      <c r="FK162" s="271" t="str">
        <f t="shared" si="77"/>
        <v>xxoxoxoxxox</v>
      </c>
      <c r="FL162" s="271" t="str">
        <f t="shared" si="78"/>
        <v>xoxoxoxxoxo</v>
      </c>
      <c r="FM162" s="271" t="str">
        <f t="shared" si="79"/>
        <v>-</v>
      </c>
      <c r="FN162" s="271" t="str">
        <f t="shared" si="80"/>
        <v>xoxoxxoxoxx</v>
      </c>
      <c r="FO162" s="274" t="str">
        <f t="shared" si="81"/>
        <v>-</v>
      </c>
      <c r="FP162" s="234" t="str">
        <f t="shared" si="82"/>
        <v>|</v>
      </c>
      <c r="FQ162" s="236" t="str">
        <f t="shared" si="83"/>
        <v>-</v>
      </c>
      <c r="FR162" s="237" t="str">
        <f t="shared" si="84"/>
        <v>|</v>
      </c>
      <c r="FS162" s="236" t="str">
        <f t="shared" si="85"/>
        <v>|</v>
      </c>
      <c r="FT162" s="237" t="str">
        <f t="shared" si="86"/>
        <v>-</v>
      </c>
      <c r="FU162" s="236" t="str">
        <f t="shared" si="87"/>
        <v>|</v>
      </c>
      <c r="FV162" s="237" t="str">
        <f t="shared" si="88"/>
        <v>-</v>
      </c>
      <c r="FW162" s="236" t="str">
        <f t="shared" si="89"/>
        <v>|</v>
      </c>
      <c r="FX162" s="237" t="str">
        <f t="shared" si="90"/>
        <v>|</v>
      </c>
      <c r="FY162" s="236" t="str">
        <f t="shared" si="91"/>
        <v>-</v>
      </c>
      <c r="FZ162" s="237" t="str">
        <f t="shared" si="92"/>
        <v>|</v>
      </c>
      <c r="GA162" s="236" t="str">
        <f t="shared" si="93"/>
        <v>-</v>
      </c>
      <c r="GB162" s="238" t="str">
        <f t="shared" si="94"/>
        <v>|</v>
      </c>
      <c r="GC162" s="244" t="str">
        <f>IFERROR(__xludf.DUMMYFUNCTION("IF(REGEXMATCH(C162, ""S""), ""1"","""")"),"1")</f>
        <v>1</v>
      </c>
      <c r="GD162" s="245" t="str">
        <f>IFERROR(__xludf.DUMMYFUNCTION("IF(REGEXMATCH(C162, ""r""), ""b2"","""")"),"")</f>
        <v/>
      </c>
      <c r="GE162" s="246" t="str">
        <f>IFERROR(__xludf.DUMMYFUNCTION("IF(REGEXMATCH(C162, ""R""), ""2"","""")"),"2")</f>
        <v>2</v>
      </c>
      <c r="GF162" s="246" t="str">
        <f>IFERROR(__xludf.DUMMYFUNCTION("IF(REGEXMATCH(C162, ""g""), ""b3"","""")"),"b3")</f>
        <v>b3</v>
      </c>
      <c r="GG162" s="245" t="str">
        <f>IFERROR(__xludf.DUMMYFUNCTION("IF(REGEXMATCH(C162, ""G""), ""3"","""")"),"")</f>
        <v/>
      </c>
      <c r="GH162" s="245" t="str">
        <f>IFERROR(__xludf.DUMMYFUNCTION("IF(REGEXMATCH(C162, ""m""), ""4"","""")"),"4")</f>
        <v>4</v>
      </c>
      <c r="GI162" s="246" t="str">
        <f>IFERROR(__xludf.DUMMYFUNCTION("IF(REGEXMATCH(C162, ""M""), ""#4"","""")"),"")</f>
        <v/>
      </c>
      <c r="GJ162" s="245" t="str">
        <f>IFERROR(__xludf.DUMMYFUNCTION("IF(REGEXMATCH(C162, ""P""), ""5"","""")"),"5")</f>
        <v>5</v>
      </c>
      <c r="GK162" s="246" t="str">
        <f>IFERROR(__xludf.DUMMYFUNCTION("IF(REGEXMATCH(C162, ""d""), ""b6"","""")"),"b6")</f>
        <v>b6</v>
      </c>
      <c r="GL162" s="245" t="str">
        <f>IFERROR(__xludf.DUMMYFUNCTION("IF(REGEXMATCH(C162, ""D""), ""6"","""")"),"")</f>
        <v/>
      </c>
      <c r="GM162" s="245" t="str">
        <f>IFERROR(__xludf.DUMMYFUNCTION("IF(REGEXMATCH(C162, ""n""), ""b7"","""")"),"b7")</f>
        <v>b7</v>
      </c>
      <c r="GN162" s="246" t="str">
        <f>IFERROR(__xludf.DUMMYFUNCTION("IF(REGEXMATCH(C162, ""N""), ""7"","""")"),"")</f>
        <v/>
      </c>
      <c r="GO162" s="249" t="str">
        <f>IFERROR(__xludf.DUMMYFUNCTION("IF(REGEXMATCH(C162, ""S""), ""8"","""")"),"8")</f>
        <v>8</v>
      </c>
      <c r="GP162" s="244" t="str">
        <f>IFERROR(__xludf.DUMMYFUNCTION("IF(REGEXMATCH(C162, ""S""), ""S"","""")"),"S")</f>
        <v>S</v>
      </c>
      <c r="GQ162" s="294" t="str">
        <f>IFERROR(__xludf.DUMMYFUNCTION("IF(REGEXMATCH(C162, ""r""), ""R1"","""")"),"")</f>
        <v/>
      </c>
      <c r="GR162" s="295" t="str">
        <f>IFERROR(__xludf.DUMMYFUNCTION("IF(REGEXMATCH(C162, ""R""), ""R2"","""")"),"R2")</f>
        <v>R2</v>
      </c>
      <c r="GS162" s="295" t="str">
        <f>IFERROR(__xludf.DUMMYFUNCTION("IF(REGEXMATCH(C162, ""g""), ""G2"","""")"),"G2")</f>
        <v>G2</v>
      </c>
      <c r="GT162" s="294" t="str">
        <f>IFERROR(__xludf.DUMMYFUNCTION("IF(REGEXMATCH(C162, ""G""), ""G3"","""")"),"")</f>
        <v/>
      </c>
      <c r="GU162" s="294" t="str">
        <f>IFERROR(__xludf.DUMMYFUNCTION("IF(REGEXMATCH(C162, ""m""), ""M1"","""")"),"M1")</f>
        <v>M1</v>
      </c>
      <c r="GV162" s="295" t="str">
        <f>IFERROR(__xludf.DUMMYFUNCTION("IF(REGEXMATCH(C162, ""M""), ""M2"","""")"),"")</f>
        <v/>
      </c>
      <c r="GW162" s="294" t="str">
        <f>IFERROR(__xludf.DUMMYFUNCTION("IF(REGEXMATCH(C162, ""P""), ""P"","""")"),"P")</f>
        <v>P</v>
      </c>
      <c r="GX162" s="295" t="str">
        <f>IFERROR(__xludf.DUMMYFUNCTION("IF(REGEXMATCH(C162, ""d""), ""D1"","""")"),"D1")</f>
        <v>D1</v>
      </c>
      <c r="GY162" s="294" t="str">
        <f>IFERROR(__xludf.DUMMYFUNCTION("IF(REGEXMATCH(C162, ""D""), ""D2"","""")"),"")</f>
        <v/>
      </c>
      <c r="GZ162" s="294" t="str">
        <f>IFERROR(__xludf.DUMMYFUNCTION("IF(REGEXMATCH(C162, ""n""), ""N2"","""")"),"N2")</f>
        <v>N2</v>
      </c>
      <c r="HA162" s="295" t="str">
        <f>IFERROR(__xludf.DUMMYFUNCTION("IF(REGEXMATCH(C162, ""N""), ""N3"","""")"),"")</f>
        <v/>
      </c>
      <c r="HB162" s="249" t="str">
        <f>IFERROR(__xludf.DUMMYFUNCTION("IF(REGEXMATCH(C162, ""S""), ""S"","""")"),"S")</f>
        <v>S</v>
      </c>
      <c r="HC162" s="331" t="str">
        <f t="shared" si="95"/>
        <v>S</v>
      </c>
      <c r="HD162" s="332" t="str">
        <f t="shared" si="96"/>
        <v/>
      </c>
      <c r="HE162" s="332" t="str">
        <f t="shared" si="97"/>
        <v>R</v>
      </c>
      <c r="HF162" s="332" t="str">
        <f t="shared" si="98"/>
        <v/>
      </c>
      <c r="HG162" s="332" t="str">
        <f t="shared" si="99"/>
        <v>G</v>
      </c>
      <c r="HH162" s="332" t="str">
        <f t="shared" si="100"/>
        <v>m</v>
      </c>
      <c r="HI162" s="332" t="str">
        <f t="shared" si="101"/>
        <v/>
      </c>
      <c r="HJ162" s="332" t="str">
        <f t="shared" si="102"/>
        <v>P</v>
      </c>
      <c r="HK162" s="332" t="str">
        <f t="shared" si="103"/>
        <v/>
      </c>
      <c r="HL162" s="332" t="str">
        <f t="shared" si="104"/>
        <v>D</v>
      </c>
      <c r="HM162" s="332" t="str">
        <f t="shared" si="105"/>
        <v>n</v>
      </c>
      <c r="HN162" s="332" t="str">
        <f t="shared" si="106"/>
        <v/>
      </c>
      <c r="HO162" s="343" t="str">
        <f t="shared" si="107"/>
        <v>S</v>
      </c>
      <c r="HP162" s="331" t="str">
        <f t="shared" si="108"/>
        <v>o</v>
      </c>
      <c r="HQ162" s="332" t="str">
        <f t="shared" si="109"/>
        <v>•</v>
      </c>
      <c r="HR162" s="332" t="str">
        <f t="shared" si="110"/>
        <v>o</v>
      </c>
      <c r="HS162" s="332" t="str">
        <f t="shared" si="111"/>
        <v>o</v>
      </c>
      <c r="HT162" s="332" t="str">
        <f t="shared" si="112"/>
        <v>•</v>
      </c>
      <c r="HU162" s="332" t="str">
        <f t="shared" si="113"/>
        <v>o</v>
      </c>
      <c r="HV162" s="332" t="str">
        <f t="shared" si="114"/>
        <v>•</v>
      </c>
      <c r="HW162" s="332" t="str">
        <f t="shared" si="115"/>
        <v>o</v>
      </c>
      <c r="HX162" s="332" t="str">
        <f t="shared" si="116"/>
        <v>o</v>
      </c>
      <c r="HY162" s="332" t="str">
        <f t="shared" si="117"/>
        <v>•</v>
      </c>
      <c r="HZ162" s="332" t="str">
        <f t="shared" si="118"/>
        <v>o</v>
      </c>
      <c r="IA162" s="332" t="str">
        <f t="shared" si="119"/>
        <v>•</v>
      </c>
      <c r="IB162" s="338" t="str">
        <f t="shared" si="120"/>
        <v>o</v>
      </c>
      <c r="IC162" s="331" t="str">
        <f t="shared" si="121"/>
        <v>•</v>
      </c>
      <c r="ID162" s="332" t="str">
        <f t="shared" si="122"/>
        <v>o</v>
      </c>
      <c r="IE162" s="332" t="str">
        <f t="shared" si="123"/>
        <v>•</v>
      </c>
      <c r="IF162" s="332" t="str">
        <f t="shared" si="124"/>
        <v>•</v>
      </c>
      <c r="IG162" s="332" t="str">
        <f t="shared" si="125"/>
        <v>o</v>
      </c>
      <c r="IH162" s="332" t="str">
        <f t="shared" si="126"/>
        <v>•</v>
      </c>
      <c r="II162" s="332" t="str">
        <f t="shared" si="127"/>
        <v>o</v>
      </c>
      <c r="IJ162" s="332" t="str">
        <f t="shared" si="128"/>
        <v>•</v>
      </c>
      <c r="IK162" s="332" t="str">
        <f t="shared" si="129"/>
        <v>•</v>
      </c>
      <c r="IL162" s="332" t="str">
        <f t="shared" si="130"/>
        <v>o</v>
      </c>
      <c r="IM162" s="332" t="str">
        <f t="shared" si="131"/>
        <v>•</v>
      </c>
      <c r="IN162" s="332" t="str">
        <f t="shared" si="132"/>
        <v>o</v>
      </c>
      <c r="IO162" s="338" t="str">
        <f t="shared" si="133"/>
        <v>•</v>
      </c>
      <c r="IP162" s="346" t="b">
        <f t="shared" si="134"/>
        <v>0</v>
      </c>
      <c r="IQ162" s="347" t="b">
        <f t="shared" si="135"/>
        <v>0</v>
      </c>
      <c r="IR162" s="347" t="b">
        <f t="shared" si="136"/>
        <v>1</v>
      </c>
      <c r="IS162" s="347" t="b">
        <f t="shared" si="137"/>
        <v>0</v>
      </c>
      <c r="IT162" s="347" t="b">
        <f t="shared" si="138"/>
        <v>0</v>
      </c>
      <c r="IU162" s="347" t="b">
        <f t="shared" si="139"/>
        <v>0</v>
      </c>
      <c r="IV162" s="347" t="b">
        <f t="shared" si="140"/>
        <v>0</v>
      </c>
      <c r="IW162" s="347" t="b">
        <f t="shared" si="141"/>
        <v>0</v>
      </c>
      <c r="IX162" s="347" t="b">
        <f t="shared" si="142"/>
        <v>0</v>
      </c>
      <c r="IY162" s="347" t="b">
        <f t="shared" si="143"/>
        <v>0</v>
      </c>
      <c r="IZ162" s="347" t="b">
        <f t="shared" si="144"/>
        <v>0</v>
      </c>
      <c r="JA162" s="347" t="b">
        <f t="shared" si="145"/>
        <v>0</v>
      </c>
      <c r="JB162" s="353" t="b">
        <f t="shared" si="146"/>
        <v>0</v>
      </c>
      <c r="JC162" s="354" t="str">
        <f t="shared" si="147"/>
        <v/>
      </c>
      <c r="JD162" s="355" t="str">
        <f t="shared" si="148"/>
        <v/>
      </c>
      <c r="JE162" s="355" t="str">
        <f t="shared" si="149"/>
        <v>Re, </v>
      </c>
      <c r="JF162" s="355" t="str">
        <f t="shared" si="150"/>
        <v/>
      </c>
      <c r="JG162" s="355" t="str">
        <f t="shared" si="151"/>
        <v/>
      </c>
      <c r="JH162" s="355" t="str">
        <f t="shared" si="152"/>
        <v/>
      </c>
      <c r="JI162" s="355" t="str">
        <f t="shared" si="153"/>
        <v/>
      </c>
      <c r="JJ162" s="355" t="str">
        <f t="shared" si="154"/>
        <v/>
      </c>
      <c r="JK162" s="355" t="str">
        <f t="shared" si="155"/>
        <v/>
      </c>
      <c r="JL162" s="355" t="str">
        <f t="shared" si="156"/>
        <v/>
      </c>
      <c r="JM162" s="355" t="str">
        <f t="shared" si="157"/>
        <v/>
      </c>
      <c r="JN162" s="355" t="str">
        <f t="shared" si="158"/>
        <v/>
      </c>
      <c r="JO162" s="359" t="str">
        <f t="shared" si="159"/>
        <v/>
      </c>
      <c r="JP162" s="346" t="b">
        <f t="shared" si="160"/>
        <v>0</v>
      </c>
      <c r="JQ162" s="347" t="b">
        <f t="shared" si="161"/>
        <v>0</v>
      </c>
      <c r="JR162" s="347" t="b">
        <f t="shared" si="162"/>
        <v>0</v>
      </c>
      <c r="JS162" s="347" t="b">
        <f t="shared" si="163"/>
        <v>0</v>
      </c>
      <c r="JT162" s="347" t="b">
        <f t="shared" si="164"/>
        <v>0</v>
      </c>
      <c r="JU162" s="347" t="b">
        <f t="shared" si="165"/>
        <v>0</v>
      </c>
      <c r="JV162" s="347" t="b">
        <f t="shared" si="166"/>
        <v>0</v>
      </c>
      <c r="JW162" s="347" t="b">
        <f t="shared" si="167"/>
        <v>0</v>
      </c>
      <c r="JX162" s="347" t="b">
        <f t="shared" si="168"/>
        <v>0</v>
      </c>
      <c r="JY162" s="347" t="b">
        <f t="shared" si="169"/>
        <v>0</v>
      </c>
      <c r="JZ162" s="347" t="b">
        <f t="shared" si="170"/>
        <v>0</v>
      </c>
      <c r="KA162" s="347" t="b">
        <f t="shared" si="171"/>
        <v>0</v>
      </c>
      <c r="KB162" s="365" t="b">
        <f t="shared" si="172"/>
        <v>0</v>
      </c>
      <c r="KC162" s="354" t="str">
        <f t="shared" si="173"/>
        <v/>
      </c>
      <c r="KD162" s="355" t="str">
        <f t="shared" si="174"/>
        <v/>
      </c>
      <c r="KE162" s="355" t="str">
        <f t="shared" si="175"/>
        <v/>
      </c>
      <c r="KF162" s="355" t="str">
        <f t="shared" si="176"/>
        <v/>
      </c>
      <c r="KG162" s="355" t="str">
        <f t="shared" si="177"/>
        <v/>
      </c>
      <c r="KH162" s="355" t="str">
        <f t="shared" si="178"/>
        <v/>
      </c>
      <c r="KI162" s="355" t="str">
        <f t="shared" si="179"/>
        <v/>
      </c>
      <c r="KJ162" s="355" t="str">
        <f t="shared" si="180"/>
        <v/>
      </c>
      <c r="KK162" s="355" t="str">
        <f t="shared" si="181"/>
        <v/>
      </c>
      <c r="KL162" s="355" t="str">
        <f t="shared" si="182"/>
        <v/>
      </c>
      <c r="KM162" s="355" t="str">
        <f t="shared" si="183"/>
        <v/>
      </c>
      <c r="KN162" s="355" t="str">
        <f t="shared" si="184"/>
        <v/>
      </c>
      <c r="KO162" s="359"/>
      <c r="KP162" s="378"/>
      <c r="KQ162" s="379" t="s">
        <v>9</v>
      </c>
      <c r="KR162" s="380" t="s">
        <v>9</v>
      </c>
      <c r="KS162" s="381" t="s">
        <v>9</v>
      </c>
      <c r="KT162" s="382">
        <f t="shared" si="186"/>
        <v>0</v>
      </c>
      <c r="KU162" s="383">
        <f t="shared" si="187"/>
        <v>0</v>
      </c>
      <c r="KV162" s="381" t="str">
        <f t="shared" si="205"/>
        <v>S</v>
      </c>
      <c r="KW162" s="382">
        <f t="shared" si="189"/>
        <v>0</v>
      </c>
      <c r="KX162" s="384">
        <f t="shared" si="190"/>
        <v>0</v>
      </c>
      <c r="KY162" s="382">
        <f t="shared" ref="KY162:KZ162" si="535">KW162-KT162</f>
        <v>0</v>
      </c>
      <c r="KZ162" s="369">
        <f t="shared" si="535"/>
        <v>0</v>
      </c>
      <c r="LA162" s="385" t="str">
        <f t="shared" si="192"/>
        <v>✔</v>
      </c>
      <c r="LB162" s="340" t="str">
        <f>IFERROR(__xludf.DUMMYFUNCTION("JOIN("""",ArrayFormula(MID(KS162,LEN(KS162)-SEQUENCE(1,LEN(KS162))+1,1)))"),"S")</f>
        <v>S</v>
      </c>
      <c r="LC162" s="373" t="str">
        <f>IFERROR(__xludf.DUMMYFUNCTION("JOIN("""",ArrayFormula(MID(KV162,LEN(KV162)-SEQUENCE(1,LEN(KV162))+1,1)))"),"S")</f>
        <v>S</v>
      </c>
      <c r="LD162" s="373" t="str">
        <f t="shared" si="193"/>
        <v>S</v>
      </c>
      <c r="LE162" s="339" t="str">
        <f t="shared" si="194"/>
        <v>S</v>
      </c>
      <c r="LF162" s="386" t="str">
        <f>IFERROR(__xludf.DUMMYFUNCTION("SUBSTITUTE(SUBSTITUTE(CONCATENATE(JOIN("""",LH162:LT162)),""1"",""""),""2"","""")"),"SS")</f>
        <v>SS</v>
      </c>
      <c r="LG162" s="369" t="str">
        <f t="shared" si="195"/>
        <v>-</v>
      </c>
      <c r="LH162" s="387" t="str">
        <f>IFERROR(__xludf.DUMMYFUNCTION("IF(REGEXMATCH(LD162, ""S""), ""S"",IF(REGEXMATCH(LE162, ""S""), ""S"",""""))"),"S")</f>
        <v>S</v>
      </c>
      <c r="LI162" s="299" t="str">
        <f>IFERROR(__xludf.DUMMYFUNCTION("IF(REGEXMATCH(LD162, ""r""), ""r1"",IF(REGEXMATCH(LE162, ""r""), ""r2"",""""))"),"")</f>
        <v/>
      </c>
      <c r="LJ162" s="299" t="str">
        <f>IFERROR(__xludf.DUMMYFUNCTION("IF(REGEXMATCH(LD162, ""R""), ""R1"",IF(REGEXMATCH(LE162, ""R""), ""R2"",""""))"),"")</f>
        <v/>
      </c>
      <c r="LK162" s="299" t="str">
        <f>IFERROR(__xludf.DUMMYFUNCTION("IF(REGEXMATCH(LD162, ""g""), ""g1"",IF(REGEXMATCH(LE162, ""g""), ""g2"",""""))"),"")</f>
        <v/>
      </c>
      <c r="LL162" s="299" t="str">
        <f>IFERROR(__xludf.DUMMYFUNCTION("IF(REGEXMATCH(LD162, ""G""), ""G1"",IF(REGEXMATCH(LE162, ""G""), ""G2"",""""))"),"")</f>
        <v/>
      </c>
      <c r="LM162" s="299" t="str">
        <f>IFERROR(__xludf.DUMMYFUNCTION("IF(REGEXMATCH(LD162, ""m""), ""m1"",IF(REGEXMATCH(LE162, ""m""), ""m2"",""""))"),"")</f>
        <v/>
      </c>
      <c r="LN162" s="299" t="str">
        <f>IFERROR(__xludf.DUMMYFUNCTION("IF(REGEXMATCH(LD162, ""M""), ""M1"",IF(REGEXMATCH(LE162, ""M""), ""M2"",""""))"),"")</f>
        <v/>
      </c>
      <c r="LO162" s="299" t="str">
        <f>IFERROR(__xludf.DUMMYFUNCTION("IF(REGEXMATCH(LD162, ""P""), ""P1"",IF(REGEXMATCH(LE162, ""P""), ""P2"",""""))"),"")</f>
        <v/>
      </c>
      <c r="LP162" s="299" t="str">
        <f>IFERROR(__xludf.DUMMYFUNCTION("IF(REGEXMATCH(LD162, ""d""), ""d1"",IF(REGEXMATCH(LE162, ""d""), ""d2"",""""))"),"")</f>
        <v/>
      </c>
      <c r="LQ162" s="299" t="str">
        <f>IFERROR(__xludf.DUMMYFUNCTION("IF(REGEXMATCH(LD162, ""D""), ""D1"",IF(REGEXMATCH(LE162, ""D""), ""D2"",""""))"),"")</f>
        <v/>
      </c>
      <c r="LR162" s="299" t="str">
        <f>IFERROR(__xludf.DUMMYFUNCTION("IF(REGEXMATCH(LD162, ""n""), ""n1"",IF(REGEXMATCH(LE162, ""n""), ""n2"",""""))"),"")</f>
        <v/>
      </c>
      <c r="LS162" s="299" t="str">
        <f>IFERROR(__xludf.DUMMYFUNCTION("IF(REGEXMATCH(LD162, ""N""), ""N1"",IF(REGEXMATCH(LE162, ""N""), ""N2"",""""))"),"")</f>
        <v/>
      </c>
      <c r="LT162" s="388" t="str">
        <f>IFERROR(__xludf.DUMMYFUNCTION("IF(REGEXMATCH(LD162, ""S""), ""S"",IF(REGEXMATCH(LE162, ""S""), ""S"",""""))"),"S")</f>
        <v>S</v>
      </c>
      <c r="LU162" s="389">
        <f t="shared" si="196"/>
        <v>1</v>
      </c>
      <c r="LV162" s="378"/>
      <c r="LW162" s="369"/>
      <c r="LX162" s="369"/>
    </row>
    <row r="163" ht="18.0" customHeight="1">
      <c r="A163" s="298" t="s">
        <v>848</v>
      </c>
      <c r="B163" s="222" t="s">
        <v>849</v>
      </c>
      <c r="C163" s="233" t="str">
        <f t="shared" si="7"/>
        <v>SrGmPdDnNS</v>
      </c>
      <c r="D163" s="234" t="str">
        <f>IFERROR(__xludf.DUMMYFUNCTION("IF(REGEXMATCH(C163, ""S""), ""S"","""")"),"S")</f>
        <v>S</v>
      </c>
      <c r="E163" s="236" t="str">
        <f>IFERROR(__xludf.DUMMYFUNCTION("IF(REGEXMATCH(C163, ""r""), ""r"","""")"),"r")</f>
        <v>r</v>
      </c>
      <c r="F163" s="237" t="str">
        <f>IFERROR(__xludf.DUMMYFUNCTION("IF(REGEXMATCH(C163, ""R""), ""R"","""")"),"")</f>
        <v/>
      </c>
      <c r="G163" s="237" t="str">
        <f>IFERROR(__xludf.DUMMYFUNCTION("IF(REGEXMATCH(C163, ""g""), ""g"","""")"),"")</f>
        <v/>
      </c>
      <c r="H163" s="236" t="str">
        <f>IFERROR(__xludf.DUMMYFUNCTION("IF(REGEXMATCH(C163, ""G""), ""G"","""")"),"G")</f>
        <v>G</v>
      </c>
      <c r="I163" s="236" t="str">
        <f>IFERROR(__xludf.DUMMYFUNCTION("IF(REGEXMATCH(C163, ""m""), ""m"","""")"),"m")</f>
        <v>m</v>
      </c>
      <c r="J163" s="237" t="str">
        <f>IFERROR(__xludf.DUMMYFUNCTION("IF(REGEXMATCH(C163, ""M""), ""M"","""")"),"")</f>
        <v/>
      </c>
      <c r="K163" s="236" t="str">
        <f>IFERROR(__xludf.DUMMYFUNCTION("IF(REGEXMATCH(C163, ""P""), ""P"","""")"),"P")</f>
        <v>P</v>
      </c>
      <c r="L163" s="237" t="str">
        <f>IFERROR(__xludf.DUMMYFUNCTION("IF(REGEXMATCH(C163, ""d""), ""d"","""")"),"d")</f>
        <v>d</v>
      </c>
      <c r="M163" s="236" t="str">
        <f>IFERROR(__xludf.DUMMYFUNCTION("IF(REGEXMATCH(C163, ""D""), ""D"","""")"),"D")</f>
        <v>D</v>
      </c>
      <c r="N163" s="236" t="str">
        <f>IFERROR(__xludf.DUMMYFUNCTION("IF(REGEXMATCH(C163, ""n""), ""n"","""")"),"n")</f>
        <v>n</v>
      </c>
      <c r="O163" s="237" t="str">
        <f>IFERROR(__xludf.DUMMYFUNCTION("IF(REGEXMATCH(C163, ""N""), ""N"","""")"),"N")</f>
        <v>N</v>
      </c>
      <c r="P163" s="238" t="str">
        <f>IFERROR(__xludf.DUMMYFUNCTION("IF(REGEXMATCH(C163, ""S""), ""S"","""")"),"S")</f>
        <v>S</v>
      </c>
      <c r="Q163" s="239" t="str">
        <f>IFERROR(__xludf.DUMMYFUNCTION("SUBSTITUTE(CONCATENATE(JOIN(""-"",D163:J163)),""-"","""")"),"SrGm")</f>
        <v>SrGm</v>
      </c>
      <c r="R163" s="229" t="str">
        <f>IFERROR(__xludf.DUMMYFUNCTION("SUBSTITUTE(CONCATENATE(JOIN(""-"",K163:P163)),""-"","""")"),"PdDnNS")</f>
        <v>PdDnNS</v>
      </c>
      <c r="S163" s="282" t="str">
        <f t="shared" si="8"/>
        <v>S-R-G-M</v>
      </c>
      <c r="T163" s="282" t="str">
        <f t="shared" si="9"/>
        <v>P-D-N-S</v>
      </c>
      <c r="U163" s="237" t="str">
        <f>IFERROR(__xludf.DUMMYFUNCTION("SUBSTITUTE(JOIN(""-"",S163,T163),""--"",""-"")"),"S-R-G-M-P-D-N-S")</f>
        <v>S-R-G-M-P-D-N-S</v>
      </c>
      <c r="V163" s="309" t="str">
        <f t="shared" si="10"/>
        <v>rGmdDnN</v>
      </c>
      <c r="W163" s="244" t="str">
        <f>IFERROR(__xludf.DUMMYFUNCTION("IF(REGEXMATCH(C163, ""S""), ""0"","""")"),"0")</f>
        <v>0</v>
      </c>
      <c r="X163" s="245" t="str">
        <f>IFERROR(__xludf.DUMMYFUNCTION("IF(REGEXMATCH(C163, ""r""), ""1"","""")"),"1")</f>
        <v>1</v>
      </c>
      <c r="Y163" s="246" t="str">
        <f>IFERROR(__xludf.DUMMYFUNCTION("IF(REGEXMATCH(C163, ""R""), ""2"","""")"),"")</f>
        <v/>
      </c>
      <c r="Z163" s="246" t="str">
        <f>IFERROR(__xludf.DUMMYFUNCTION("IF(REGEXMATCH(C163, ""g""), ""3"","""")"),"")</f>
        <v/>
      </c>
      <c r="AA163" s="245" t="str">
        <f>IFERROR(__xludf.DUMMYFUNCTION("IF(REGEXMATCH(C163, ""G""), ""4"","""")"),"4")</f>
        <v>4</v>
      </c>
      <c r="AB163" s="245" t="str">
        <f>IFERROR(__xludf.DUMMYFUNCTION("IF(REGEXMATCH(C163, ""m""), ""5"","""")"),"5")</f>
        <v>5</v>
      </c>
      <c r="AC163" s="246" t="str">
        <f>IFERROR(__xludf.DUMMYFUNCTION("IF(REGEXMATCH(C163, ""M""), ""6"","""")"),"")</f>
        <v/>
      </c>
      <c r="AD163" s="245" t="str">
        <f>IFERROR(__xludf.DUMMYFUNCTION("IF(REGEXMATCH(C163, ""P""), ""7"","""")"),"7")</f>
        <v>7</v>
      </c>
      <c r="AE163" s="246" t="str">
        <f>IFERROR(__xludf.DUMMYFUNCTION("IF(REGEXMATCH(C163, ""d""), ""8"","""")"),"8")</f>
        <v>8</v>
      </c>
      <c r="AF163" s="245" t="str">
        <f>IFERROR(__xludf.DUMMYFUNCTION("IF(REGEXMATCH(C163, ""D""), ""9"","""")"),"9")</f>
        <v>9</v>
      </c>
      <c r="AG163" s="245" t="str">
        <f>IFERROR(__xludf.DUMMYFUNCTION("IF(REGEXMATCH(C163, ""n""), ""10"","""")"),"10")</f>
        <v>10</v>
      </c>
      <c r="AH163" s="246" t="str">
        <f>IFERROR(__xludf.DUMMYFUNCTION("IF(REGEXMATCH(C163, ""N""), ""11"","""")"),"11")</f>
        <v>11</v>
      </c>
      <c r="AI163" s="249" t="str">
        <f>IFERROR(__xludf.DUMMYFUNCTION("IF(REGEXMATCH(C163, ""S""), ""0"","""")"),"0")</f>
        <v>0</v>
      </c>
      <c r="AJ163" s="313" t="str">
        <f t="shared" si="11"/>
        <v>-</v>
      </c>
      <c r="AK163" s="313" t="str">
        <f t="shared" si="12"/>
        <v>T</v>
      </c>
      <c r="AL163" s="313" t="str">
        <f t="shared" si="13"/>
        <v>-</v>
      </c>
      <c r="AM163" s="313" t="str">
        <f t="shared" si="14"/>
        <v>-</v>
      </c>
      <c r="AN163" s="313" t="str">
        <f t="shared" si="15"/>
        <v>T</v>
      </c>
      <c r="AO163" s="314" t="str">
        <f t="shared" si="16"/>
        <v>T</v>
      </c>
      <c r="AP163" s="316">
        <f t="shared" si="17"/>
        <v>3</v>
      </c>
      <c r="AQ163" s="319" t="str">
        <f t="shared" si="18"/>
        <v>-</v>
      </c>
      <c r="AR163" s="320">
        <f t="shared" si="19"/>
        <v>0</v>
      </c>
      <c r="AS163" s="250" t="str">
        <f>IFERROR(__xludf.DUMMYFUNCTION("SUBSTITUTE(SUBSTITUTE(CONCATENATE(JOIN("""",FP163:GA163)),""|"",""x""),""-"",""o"")"),"xxooxxoxxxxx")</f>
        <v>xxooxxoxxxxx</v>
      </c>
      <c r="AT163" s="323" t="str">
        <f>IFERROR(__xludf.DUMMYFUNCTION("JOIN("""",AS163,AS163)"),"xxooxxoxxxxxxxooxxoxxxxx")</f>
        <v>xxooxxoxxxxxxxooxxoxxxxx</v>
      </c>
      <c r="AU163" s="256" t="str">
        <f>IFERROR(__xludf.DUMMYFUNCTION("JOIN("""",ArrayFormula(MID(AS163,LEN(AS163)-SEQUENCE(1,LEN(AS163))+1,1)))"),"xxxxxoxxooxx")</f>
        <v>xxxxxoxxooxx</v>
      </c>
      <c r="AV163" s="256" t="str">
        <f>IFERROR(__xludf.DUMMYFUNCTION("LEFT(CONCATENATE(""x"",JOIN("""",ArrayFormula(MID(AS163,LEN(AS163)-SEQUENCE(1,LEN(AS163))+1,1)))),12)"),"xxxxxxoxxoox")</f>
        <v>xxxxxxoxxoox</v>
      </c>
      <c r="AW163" s="327" t="str">
        <f>IFERROR(__xludf.DUMMYFUNCTION("JOIN("""",AU163,AU163)"),"xxxxxoxxooxxxxxxxoxxooxx")</f>
        <v>xxxxxoxxooxxxxxxxoxxooxx</v>
      </c>
      <c r="AX163" s="239" t="str">
        <f>IFERROR(__xludf.DUMMYFUNCTION("IF(REGEXMATCH(AW163,AS163),""✔"",""-"")"),"-")</f>
        <v>-</v>
      </c>
      <c r="AY163" s="330" t="str">
        <f t="shared" si="20"/>
        <v>-</v>
      </c>
      <c r="AZ163" s="260" t="str">
        <f t="shared" si="21"/>
        <v>#REF!</v>
      </c>
      <c r="BA163" s="333" t="str">
        <f t="shared" si="22"/>
        <v>xxooxxo</v>
      </c>
      <c r="BB163" s="334" t="str">
        <f t="shared" si="23"/>
        <v>xxxxxx</v>
      </c>
      <c r="BC163" s="335" t="str">
        <f t="shared" si="236"/>
        <v>-</v>
      </c>
      <c r="BD163" s="336" t="str">
        <f t="shared" si="25"/>
        <v>Kabiri Bhairav: 'xxooxxo' + 'xxxxxx'</v>
      </c>
      <c r="BE163" s="337">
        <f>IFERROR(__xludf.DUMMYFUNCTION("COUNTUNIQUE(FILTER(AT:AT,REGEXMATCH(AT:AT,AS163)))-1"),0.0)</f>
        <v>0</v>
      </c>
      <c r="BF163" s="261" t="str">
        <f>IFERROR(__xludf.DUMMYFUNCTION("IF(BI163=0,""(n/a)"",IF(BJ163=2,""(PAIR)"",IF(REGEXMATCH(AT163,""xoxoxxoxoxox""),""Bilawal"",IF(REGEXMATCH(AT163,""xoxoxooxoxoo""),""Bhupali"",IF(REGEXMATCH(AT163,""xoxoxxoxxoxo""),""Charukeshi"",IF(REGEXMATCH(AT163,""xoxoooxxoxxo""),""Kameshwari"",IF(REG"&amp;"EXMATCH(AT163,""xoxoxooxoxox""),""Shankara"",IF(REGEXMATCH(AT163,""xxooxoxxxoox""),""Basant"",IF(REGEXMATCH(AT163,""xoxoxxxxoxox""),""Bihag"",IF(REGEXMATCH(AT163,""xoxxxxoxoxxx""),""Pilu"",IF(REGEXMATCH(AT163,""xoxxoxoxxoox""),""Kirwani"",IF(REGEXMATCH(AT"&amp;"163,""xoxxoxoxoxxx""),""Mk.Malhar"",IF(REGEXMATCH(AT163,""xxooxxoxxoox""),""Bhairav"",IF(REGEXMATCH(AT163,""xxoxooxxxoox""),""Todi"",IF(REGEXMATCH(AT163,""xxooxoxooxox""),""Marwa"",IF(REGEXMATCH(AT163,""xxoooxoxxooo""),""Gunkali"",IF(REGEXMATCH(AT163,""xo"&amp;"xoxxoxxoox""),""Nat Bhairav"",IF(REGEXMATCH(AT163,""xoxxoooxoxoo""),""Shivranjani"",IF(REGEXMATCH(AT163,""xooxxxoxooxo""),""Jog"",IF(REGEXMATCH(AT163,""xxooxoxoxoox""),""Hemshri"",IF(REGEXMATCH(AT163,""xoooxooxoxxo""),""Kalavati"",IF(REGEXMATCH(AT163,""xx"&amp;"oxoxxoxoox""),""Kedar"",IF(REGEXMATCH(AT163,""xoxxxxoxooxx""),""Gara"",IF(REGEXMATCH(AT163,""xooxoxooxoox""),""Chandrakauns"",IF(REGEXMATCH(AT163,""xoxxxxoxxxox""),""Mand"",IF(REGEXMATCH(AT163,""xoxxxxoxoxox""),""Hanskinkini"",IF(REGEXMATCH(AT163,""xxooxx"&amp;"oxooxo""),""Lilavati"",IF(REGEXMATCH(AT163,""xooxoxoooxox""),""Rajeshwari"",IF(REGEXMATCH(AT163,""xoooxxoxoxxx""),""Khokar"",IF(REGEXMATCH(AT163,""xxooxoxxxxox""),""Maligoura"",""-""))))))))))))))))))))))))))))))"),"(n/a)")</f>
        <v>(n/a)</v>
      </c>
      <c r="BG163" s="239" t="str">
        <f t="shared" si="26"/>
        <v>#REF!</v>
      </c>
      <c r="BH163" s="239">
        <f>IFERROR(__xludf.DUMMYFUNCTION("COUNTUNIQUE(FE163:FO163)-1"),8.0)</f>
        <v>8</v>
      </c>
      <c r="BI163" s="239">
        <f>IFERROR(__xludf.DUMMYFUNCTION("COUNTUNIQUE(FILTER(AT:AT,REGEXMATCH(AT:AT,AS163)))-1"),0.0)</f>
        <v>0</v>
      </c>
      <c r="BJ163" s="239">
        <f>IFERROR(__xludf.DUMMYFUNCTION("COUNTA(FILTER(AT:AT,REGEXMATCH(AT:AT,AS163)))"),2.0)</f>
        <v>2</v>
      </c>
      <c r="BK163" s="341">
        <f>IFERROR(__xludf.DUMMYFUNCTION("COUNTA(FILTER(AT:AT,REGEXMATCH(AT:AT,AS163)))-AR163"),2.0)</f>
        <v>2</v>
      </c>
      <c r="BL163" s="276" t="str">
        <f>IFERROR(__xludf.DUMMYFUNCTION("IF(AS163=""oooooooooooo"",""-"",IF(REGEXMATCH(AT163,""xx""), ""Hemi."", ""Anhemi.""))"),"Hemi.")</f>
        <v>Hemi.</v>
      </c>
      <c r="BM163" s="282" t="str">
        <f>IFERROR(__xludf.DUMMYFUNCTION("IF(AS163=""oooooooooooo"",""-"",IF(REGEXMATCH(AT163,""xxx""), ""Cohem."", ""-""))"),"Cohem.")</f>
        <v>Cohem.</v>
      </c>
      <c r="BN163" s="282" t="str">
        <f>IFERROR(__xludf.DUMMYFUNCTION("IF(AS163=""oooooooooooo"",""-"",IF(REGEXMATCH(AT163,""xxxx""), ""Co-Co."", ""-""))"),"Co-Co.")</f>
        <v>Co-Co.</v>
      </c>
      <c r="BO163" s="342" t="str">
        <f>IFERROR(__xludf.DUMMYFUNCTION("IF(AS163=""oooooooooooo"",""-"",IF(REGEXMATCH(AT163,""xxxxx""), ""CCC."", ""-""))"),"CCC.")</f>
        <v>CCC.</v>
      </c>
      <c r="BP163" s="344" t="str">
        <f t="shared" si="27"/>
        <v>-</v>
      </c>
      <c r="BQ163" s="282" t="str">
        <f>IFERROR(__xludf.DUMMYFUNCTION("IF(REGEXMATCH(JOIN(""-"",EU163:FD163),""TRUE""),""✔"",""-"")"),"-")</f>
        <v>-</v>
      </c>
      <c r="BR163" s="225">
        <f t="shared" si="28"/>
        <v>0</v>
      </c>
      <c r="BS163" s="345" t="str">
        <f>IFERROR(__xludf.DUMMYFUNCTION("SUBSTITUTE(SUBSTITUTE(SUBSTITUTE(SUBSTITUTE(CONCATENATE(JOIN(""-"",GC163:GO163)),""--"",""-""),""--"",""-""),""--"",""-""),""--"",""-"")"),"1-b2-3-4-5-b6-6-b7-7-8")</f>
        <v>1-b2-3-4-5-b6-6-b7-7-8</v>
      </c>
      <c r="BT163" s="299" t="str">
        <f>IFERROR(__xludf.DUMMYFUNCTION("SUBSTITUTE(SUBSTITUTE(SUBSTITUTE(SUBSTITUTE(CONCATENATE(JOIN(""-"",GP163:HB163)),""--"",""-""),""--"",""-""),""--"",""-""),""--"",""-"")"),"S-R1-G3-M1-P-D1-D2-N2-N3-S")</f>
        <v>S-R1-G3-M1-P-D1-D2-N2-N3-S</v>
      </c>
      <c r="BU163" s="348" t="str">
        <f t="shared" si="29"/>
        <v>C-Db-E-F-G-Ab-A-Bb-B-C</v>
      </c>
      <c r="BV163" s="349" t="str">
        <f t="shared" si="30"/>
        <v>SRgMS</v>
      </c>
      <c r="BW163" s="350">
        <f t="shared" si="31"/>
        <v>0</v>
      </c>
      <c r="BX163" s="351">
        <f t="shared" si="32"/>
        <v>2</v>
      </c>
      <c r="BY163" s="392"/>
      <c r="BZ163" s="309" t="str">
        <f>IFERROR(__xludf.DUMMYFUNCTION("IF(REGEXMATCH(C163, ""S""), ""x"",""x"")"),"x")</f>
        <v>x</v>
      </c>
      <c r="CA163" s="245" t="str">
        <f>IFERROR(__xludf.DUMMYFUNCTION("IF(REGEXMATCH(C163, ""r""), ""o"",""x"")"),"o")</f>
        <v>o</v>
      </c>
      <c r="CB163" s="246" t="str">
        <f>IFERROR(__xludf.DUMMYFUNCTION("IF(REGEXMATCH(C163, ""R""), ""o"",""x"")"),"x")</f>
        <v>x</v>
      </c>
      <c r="CC163" s="246" t="str">
        <f>IFERROR(__xludf.DUMMYFUNCTION("IF(REGEXMATCH(C163, ""g""), ""o"",""x"")"),"x")</f>
        <v>x</v>
      </c>
      <c r="CD163" s="245" t="str">
        <f>IFERROR(__xludf.DUMMYFUNCTION("IF(REGEXMATCH(C163, ""G""), ""o"",""x"")"),"o")</f>
        <v>o</v>
      </c>
      <c r="CE163" s="245" t="str">
        <f>IFERROR(__xludf.DUMMYFUNCTION("IF(REGEXMATCH(C163, ""m""), ""o"",""x"")"),"o")</f>
        <v>o</v>
      </c>
      <c r="CF163" s="246" t="str">
        <f>IFERROR(__xludf.DUMMYFUNCTION("IF(REGEXMATCH(C163, ""M""), ""o"",""x"")"),"x")</f>
        <v>x</v>
      </c>
      <c r="CG163" s="245" t="str">
        <f>IFERROR(__xludf.DUMMYFUNCTION("IF(REGEXMATCH(C163, ""P""), ""o"",""x"")"),"o")</f>
        <v>o</v>
      </c>
      <c r="CH163" s="246" t="str">
        <f>IFERROR(__xludf.DUMMYFUNCTION("IF(REGEXMATCH(C163, ""d""), ""o"",""x"")"),"o")</f>
        <v>o</v>
      </c>
      <c r="CI163" s="245" t="str">
        <f>IFERROR(__xludf.DUMMYFUNCTION("IF(REGEXMATCH(C163, ""D""), ""o"",""x"")"),"o")</f>
        <v>o</v>
      </c>
      <c r="CJ163" s="245" t="str">
        <f>IFERROR(__xludf.DUMMYFUNCTION("IF(REGEXMATCH(C163, ""n""), ""o"",""x"")"),"o")</f>
        <v>o</v>
      </c>
      <c r="CK163" s="245" t="str">
        <f>IFERROR(__xludf.DUMMYFUNCTION("IF(REGEXMATCH(C163, ""N""), ""o"",""x"")"),"o")</f>
        <v>o</v>
      </c>
      <c r="CL163" s="356" t="str">
        <f>IFERROR(__xludf.DUMMYFUNCTION("IF(REGEXMATCH(C163, ""S""), ""x"",""x"")"),"x")</f>
        <v>x</v>
      </c>
      <c r="CM163" s="357" t="str">
        <f t="shared" si="33"/>
        <v>xoxxooxooooo</v>
      </c>
      <c r="CN163" s="358">
        <f t="shared" si="34"/>
        <v>0</v>
      </c>
      <c r="CO163" s="246" t="str">
        <f>IFERROR(__xludf.DUMMYFUNCTION("IF(REGEXMATCH($C163, ""S""), ""S"",""S"")"),"S")</f>
        <v>S</v>
      </c>
      <c r="CP163" s="246" t="str">
        <f>IFERROR(__xludf.DUMMYFUNCTION("IF(REGEXMATCH($C163, ""r""), """",""r"")"),"")</f>
        <v/>
      </c>
      <c r="CQ163" s="246" t="str">
        <f>IFERROR(__xludf.DUMMYFUNCTION("IF(REGEXMATCH($C163, ""R""), """",""R"")"),"R")</f>
        <v>R</v>
      </c>
      <c r="CR163" s="246" t="str">
        <f>IFERROR(__xludf.DUMMYFUNCTION("IF(REGEXMATCH($C163, ""g""), """",""g"")"),"g")</f>
        <v>g</v>
      </c>
      <c r="CS163" s="246" t="str">
        <f>IFERROR(__xludf.DUMMYFUNCTION("IF(REGEXMATCH($C163, ""G""), """",""G"")"),"")</f>
        <v/>
      </c>
      <c r="CT163" s="246" t="str">
        <f>IFERROR(__xludf.DUMMYFUNCTION("IF(REGEXMATCH($C163, ""m""), """",""m"")"),"")</f>
        <v/>
      </c>
      <c r="CU163" s="246" t="str">
        <f>IFERROR(__xludf.DUMMYFUNCTION("IF(REGEXMATCH($C163, ""M""), """",""M"")"),"M")</f>
        <v>M</v>
      </c>
      <c r="CV163" s="246" t="str">
        <f>IFERROR(__xludf.DUMMYFUNCTION("IF(REGEXMATCH($C163, ""P""), """",""P"")"),"")</f>
        <v/>
      </c>
      <c r="CW163" s="246" t="str">
        <f>IFERROR(__xludf.DUMMYFUNCTION("IF(REGEXMATCH($C163, ""d""), """",""d"")"),"")</f>
        <v/>
      </c>
      <c r="CX163" s="246" t="str">
        <f>IFERROR(__xludf.DUMMYFUNCTION("IF(REGEXMATCH($C163, ""D""), """",""D"")"),"")</f>
        <v/>
      </c>
      <c r="CY163" s="246" t="str">
        <f>IFERROR(__xludf.DUMMYFUNCTION("IF(REGEXMATCH($C163, ""n""), """",""n"")"),"")</f>
        <v/>
      </c>
      <c r="CZ163" s="246" t="str">
        <f>IFERROR(__xludf.DUMMYFUNCTION("IF(REGEXMATCH($C163, ""N""), """",""N"")"),"")</f>
        <v/>
      </c>
      <c r="DA163" s="246" t="str">
        <f>IFERROR(__xludf.DUMMYFUNCTION("IF(REGEXMATCH($C163, ""S""), ""S"",""S"")"),"S")</f>
        <v>S</v>
      </c>
      <c r="DB163" s="362" t="str">
        <f>IFERROR(__xludf.DUMMYFUNCTION("JOIN("""",CO163:DA163,"""","""")"),"SRgMS")</f>
        <v>SRgMS</v>
      </c>
      <c r="DC163" s="363"/>
      <c r="DD163" s="301" t="str">
        <f t="shared" si="35"/>
        <v>#REF!</v>
      </c>
      <c r="DE163" s="302" t="str">
        <f t="shared" si="36"/>
        <v>#REF!</v>
      </c>
      <c r="DF163" s="301" t="str">
        <f t="shared" ref="DF163:DG163" si="536">SUBSTITUTE(S163,"-","")</f>
        <v>SRGM</v>
      </c>
      <c r="DG163" s="301" t="str">
        <f t="shared" si="536"/>
        <v>PDNS</v>
      </c>
      <c r="DH163" s="302" t="str">
        <f t="shared" si="38"/>
        <v>(n/a)</v>
      </c>
      <c r="DI163" s="301" t="str">
        <f t="shared" si="39"/>
        <v>Hemi.</v>
      </c>
      <c r="DJ163" s="364" t="str">
        <f t="shared" si="40"/>
        <v>CCC.</v>
      </c>
      <c r="DK163" s="306" t="str">
        <f t="shared" si="41"/>
        <v>-</v>
      </c>
      <c r="DL163" s="366" t="str">
        <f t="shared" si="42"/>
        <v>-</v>
      </c>
      <c r="DM163" s="308" t="str">
        <f t="shared" si="43"/>
        <v>✔</v>
      </c>
      <c r="DN163" s="306" t="str">
        <f t="shared" si="44"/>
        <v>-</v>
      </c>
      <c r="DO163" s="306" t="str">
        <f t="shared" si="45"/>
        <v>-</v>
      </c>
      <c r="DP163" s="367" t="str">
        <f t="shared" si="46"/>
        <v>-</v>
      </c>
      <c r="DQ163" s="310" t="str">
        <f t="shared" si="47"/>
        <v>-</v>
      </c>
      <c r="DR163" s="310" t="str">
        <f t="shared" si="48"/>
        <v>-</v>
      </c>
      <c r="DS163" s="310" t="str">
        <f t="shared" si="49"/>
        <v>-</v>
      </c>
      <c r="DT163" s="310" t="str">
        <f t="shared" si="50"/>
        <v>✔</v>
      </c>
      <c r="DU163" s="370" t="str">
        <f t="shared" si="51"/>
        <v>✔</v>
      </c>
      <c r="DV163" s="306" t="str">
        <f t="shared" si="52"/>
        <v>-</v>
      </c>
      <c r="DW163" s="306" t="str">
        <f t="shared" si="53"/>
        <v>-</v>
      </c>
      <c r="DX163" s="306" t="str">
        <f t="shared" si="54"/>
        <v>-</v>
      </c>
      <c r="DY163" s="306" t="str">
        <f t="shared" si="55"/>
        <v>-</v>
      </c>
      <c r="DZ163" s="306" t="str">
        <f t="shared" si="56"/>
        <v>-</v>
      </c>
      <c r="EA163" s="367" t="str">
        <f t="shared" si="57"/>
        <v>-</v>
      </c>
      <c r="EB163" s="310" t="str">
        <f>IFERROR(__xludf.DUMMYFUNCTION("IF(REGEXMATCH(AW163,AS163),""✔"",""-"")"),"-")</f>
        <v>-</v>
      </c>
      <c r="EC163" s="310" t="str">
        <f t="shared" si="58"/>
        <v>#REF!</v>
      </c>
      <c r="ED163" s="370" t="str">
        <f t="shared" si="59"/>
        <v>-</v>
      </c>
      <c r="EE163" s="340" t="str">
        <f t="shared" si="60"/>
        <v>S-r-G-m-P-dD-nN-S</v>
      </c>
      <c r="EF163" s="371" t="str">
        <f>IFERROR(__xludf.DUMMYFUNCTION("CONCATENATE(JOIN("""",HC163:HO163))"),"SrRgGmPdNS")</f>
        <v>SrRgGmPdNS</v>
      </c>
      <c r="EG163" s="372">
        <f t="shared" si="61"/>
        <v>3</v>
      </c>
      <c r="EH163" s="373" t="str">
        <f>IFERROR(__xludf.DUMMYFUNCTION("CONCATENATE(JOIN("""",JC163:JO163))"),"Pa, dha, Ni, ")</f>
        <v>Pa, dha, Ni, </v>
      </c>
      <c r="EI163" s="322">
        <f t="shared" si="62"/>
        <v>0</v>
      </c>
      <c r="EJ163" s="374" t="str">
        <f>IFERROR(__xludf.DUMMYFUNCTION("CONCATENATE(JOIN("""",KC163:KO163))"),"")</f>
        <v/>
      </c>
      <c r="EK163" s="325" t="str">
        <f t="shared" si="63"/>
        <v>S-R1-G3-M1-P-D1-D2-N2-N3-S</v>
      </c>
      <c r="EL163" s="326" t="str">
        <f t="shared" si="64"/>
        <v>1-b2-3-4-5-b6-6-b7-7-8</v>
      </c>
      <c r="EM163" s="318" t="str">
        <f t="shared" si="65"/>
        <v>#REF!</v>
      </c>
      <c r="EN163" s="328" t="str">
        <f>IFERROR(__xludf.DUMMYFUNCTION("SUBSTITUTE(SUBSTITUTE(SUBSTITUTE(SUBSTITUTE(CONCATENATE(JOIN("" "",HP163:IB163)),""  "","" ""),""  "","" ""),""  "","" ""),""  "","" "")"),"o o • • o o • o o o o o o")</f>
        <v>o o • • o o • o o o o o o</v>
      </c>
      <c r="EO163" s="368" t="str">
        <f t="shared" si="66"/>
        <v>-</v>
      </c>
      <c r="EP163" s="339" t="str">
        <f t="shared" si="67"/>
        <v>-</v>
      </c>
      <c r="EQ163" s="339" t="str">
        <f t="shared" si="68"/>
        <v>Sa-Pa</v>
      </c>
      <c r="ER163" s="339" t="str">
        <f t="shared" si="69"/>
        <v>-</v>
      </c>
      <c r="ES163" s="340" t="str">
        <f t="shared" si="70"/>
        <v>-</v>
      </c>
      <c r="ET163" s="363"/>
      <c r="EU163" s="376" t="b">
        <f>IFERROR(__xludf.DUMMYFUNCTION("arrayformula(sum(--REGEXMATCH(""SRGMPDNS"",split(REGEXREPLACE(C163,""(.)"",""$1~""),""~""))))=len(C163)
"),FALSE)</f>
        <v>0</v>
      </c>
      <c r="EV163" s="290" t="b">
        <f>IFERROR(__xludf.DUMMYFUNCTION("arrayformula(sum(--REGEXMATCH(""SRGmPDNS"",split(REGEXREPLACE(C163,""(.)"",""$1~""),""~""))))=len(C163)"),FALSE)</f>
        <v>0</v>
      </c>
      <c r="EW163" s="290" t="b">
        <f>IFERROR(__xludf.DUMMYFUNCTION("arrayformula(sum(--REGEXMATCH(""SRGmPDnS"",split(REGEXREPLACE(C163,""(.)"",""$1~""),""~""))))=len(C163)"),FALSE)</f>
        <v>0</v>
      </c>
      <c r="EX163" s="290" t="b">
        <f>IFERROR(__xludf.DUMMYFUNCTION("arrayformula(sum(--REGEXMATCH(""SRgmPDnS"",split(REGEXREPLACE(C163,""(.)"",""$1~""),""~""))))=len(C163)"),FALSE)</f>
        <v>0</v>
      </c>
      <c r="EY163" s="290" t="b">
        <f>IFERROR(__xludf.DUMMYFUNCTION("arrayformula(sum(--REGEXMATCH(""SRgmPdnS"",split(REGEXREPLACE(C163,""(.)"",""$1~""),""~""))))=len(C163)"),FALSE)</f>
        <v>0</v>
      </c>
      <c r="EZ163" s="290" t="b">
        <f>IFERROR(__xludf.DUMMYFUNCTION("arrayformula(sum(--REGEXMATCH(""SrgmPdnS"",split(REGEXREPLACE(C163,""(.)"",""$1~""),""~""))))=len(C163)"),FALSE)</f>
        <v>0</v>
      </c>
      <c r="FA163" s="290" t="b">
        <f>IFERROR(__xludf.DUMMYFUNCTION("arrayformula(sum(--REGEXMATCH(""SrGmPdNS"",split(REGEXREPLACE(C163,""(.)"",""$1~""),""~""))))=len(C163)"),FALSE)</f>
        <v>0</v>
      </c>
      <c r="FB163" s="290" t="b">
        <f>IFERROR(__xludf.DUMMYFUNCTION("arrayformula(sum(--REGEXMATCH(""SrGMPDNS"",split(REGEXREPLACE(C163,""(.)"",""$1~""),""~""))))=len(C163)"),FALSE)</f>
        <v>0</v>
      </c>
      <c r="FC163" s="290" t="b">
        <f>IFERROR(__xludf.DUMMYFUNCTION("arrayformula(sum(--REGEXMATCH(""SrGMPdNS"",split(REGEXREPLACE(C163,""(.)"",""$1~""),""~""))))=len(C163)"),FALSE)</f>
        <v>0</v>
      </c>
      <c r="FD163" s="377" t="b">
        <f>IFERROR(__xludf.DUMMYFUNCTION("arrayformula(sum(--REGEXMATCH(""SrgMPdNS"",split(REGEXREPLACE(C163,""(.)"",""$1~""),""~""))))=len(C163)"),FALSE)</f>
        <v>0</v>
      </c>
      <c r="FE163" s="269" t="str">
        <f t="shared" si="71"/>
        <v>xooxxoxxxxx</v>
      </c>
      <c r="FF163" s="269" t="str">
        <f t="shared" si="72"/>
        <v>-</v>
      </c>
      <c r="FG163" s="271" t="str">
        <f t="shared" si="73"/>
        <v>-</v>
      </c>
      <c r="FH163" s="269" t="str">
        <f t="shared" si="74"/>
        <v>xxoxxxxxxxo</v>
      </c>
      <c r="FI163" s="271" t="str">
        <f t="shared" si="75"/>
        <v>xoxxxxxxxoo</v>
      </c>
      <c r="FJ163" s="271" t="str">
        <f t="shared" si="76"/>
        <v>-</v>
      </c>
      <c r="FK163" s="271" t="str">
        <f t="shared" si="77"/>
        <v>xxxxxxxooxx</v>
      </c>
      <c r="FL163" s="271" t="str">
        <f t="shared" si="78"/>
        <v>xxxxxxooxxo</v>
      </c>
      <c r="FM163" s="271" t="str">
        <f t="shared" si="79"/>
        <v>xxxxxooxxox</v>
      </c>
      <c r="FN163" s="271" t="str">
        <f t="shared" si="80"/>
        <v>xxxxooxxoxx</v>
      </c>
      <c r="FO163" s="274" t="str">
        <f t="shared" si="81"/>
        <v>xxxooxxoxxx</v>
      </c>
      <c r="FP163" s="234" t="str">
        <f t="shared" si="82"/>
        <v>|</v>
      </c>
      <c r="FQ163" s="236" t="str">
        <f t="shared" si="83"/>
        <v>|</v>
      </c>
      <c r="FR163" s="237" t="str">
        <f t="shared" si="84"/>
        <v>-</v>
      </c>
      <c r="FS163" s="236" t="str">
        <f t="shared" si="85"/>
        <v>-</v>
      </c>
      <c r="FT163" s="237" t="str">
        <f t="shared" si="86"/>
        <v>|</v>
      </c>
      <c r="FU163" s="236" t="str">
        <f t="shared" si="87"/>
        <v>|</v>
      </c>
      <c r="FV163" s="237" t="str">
        <f t="shared" si="88"/>
        <v>-</v>
      </c>
      <c r="FW163" s="236" t="str">
        <f t="shared" si="89"/>
        <v>|</v>
      </c>
      <c r="FX163" s="237" t="str">
        <f t="shared" si="90"/>
        <v>|</v>
      </c>
      <c r="FY163" s="236" t="str">
        <f t="shared" si="91"/>
        <v>|</v>
      </c>
      <c r="FZ163" s="237" t="str">
        <f t="shared" si="92"/>
        <v>|</v>
      </c>
      <c r="GA163" s="236" t="str">
        <f t="shared" si="93"/>
        <v>|</v>
      </c>
      <c r="GB163" s="238" t="str">
        <f t="shared" si="94"/>
        <v>|</v>
      </c>
      <c r="GC163" s="244" t="str">
        <f>IFERROR(__xludf.DUMMYFUNCTION("IF(REGEXMATCH(C163, ""S""), ""1"","""")"),"1")</f>
        <v>1</v>
      </c>
      <c r="GD163" s="245" t="str">
        <f>IFERROR(__xludf.DUMMYFUNCTION("IF(REGEXMATCH(C163, ""r""), ""b2"","""")"),"b2")</f>
        <v>b2</v>
      </c>
      <c r="GE163" s="246" t="str">
        <f>IFERROR(__xludf.DUMMYFUNCTION("IF(REGEXMATCH(C163, ""R""), ""2"","""")"),"")</f>
        <v/>
      </c>
      <c r="GF163" s="246" t="str">
        <f>IFERROR(__xludf.DUMMYFUNCTION("IF(REGEXMATCH(C163, ""g""), ""b3"","""")"),"")</f>
        <v/>
      </c>
      <c r="GG163" s="245" t="str">
        <f>IFERROR(__xludf.DUMMYFUNCTION("IF(REGEXMATCH(C163, ""G""), ""3"","""")"),"3")</f>
        <v>3</v>
      </c>
      <c r="GH163" s="245" t="str">
        <f>IFERROR(__xludf.DUMMYFUNCTION("IF(REGEXMATCH(C163, ""m""), ""4"","""")"),"4")</f>
        <v>4</v>
      </c>
      <c r="GI163" s="246" t="str">
        <f>IFERROR(__xludf.DUMMYFUNCTION("IF(REGEXMATCH(C163, ""M""), ""#4"","""")"),"")</f>
        <v/>
      </c>
      <c r="GJ163" s="245" t="str">
        <f>IFERROR(__xludf.DUMMYFUNCTION("IF(REGEXMATCH(C163, ""P""), ""5"","""")"),"5")</f>
        <v>5</v>
      </c>
      <c r="GK163" s="246" t="str">
        <f>IFERROR(__xludf.DUMMYFUNCTION("IF(REGEXMATCH(C163, ""d""), ""b6"","""")"),"b6")</f>
        <v>b6</v>
      </c>
      <c r="GL163" s="245" t="str">
        <f>IFERROR(__xludf.DUMMYFUNCTION("IF(REGEXMATCH(C163, ""D""), ""6"","""")"),"6")</f>
        <v>6</v>
      </c>
      <c r="GM163" s="245" t="str">
        <f>IFERROR(__xludf.DUMMYFUNCTION("IF(REGEXMATCH(C163, ""n""), ""b7"","""")"),"b7")</f>
        <v>b7</v>
      </c>
      <c r="GN163" s="246" t="str">
        <f>IFERROR(__xludf.DUMMYFUNCTION("IF(REGEXMATCH(C163, ""N""), ""7"","""")"),"7")</f>
        <v>7</v>
      </c>
      <c r="GO163" s="249" t="str">
        <f>IFERROR(__xludf.DUMMYFUNCTION("IF(REGEXMATCH(C163, ""S""), ""8"","""")"),"8")</f>
        <v>8</v>
      </c>
      <c r="GP163" s="244" t="str">
        <f>IFERROR(__xludf.DUMMYFUNCTION("IF(REGEXMATCH(C163, ""S""), ""S"","""")"),"S")</f>
        <v>S</v>
      </c>
      <c r="GQ163" s="294" t="str">
        <f>IFERROR(__xludf.DUMMYFUNCTION("IF(REGEXMATCH(C163, ""r""), ""R1"","""")"),"R1")</f>
        <v>R1</v>
      </c>
      <c r="GR163" s="295" t="str">
        <f>IFERROR(__xludf.DUMMYFUNCTION("IF(REGEXMATCH(C163, ""R""), ""R2"","""")"),"")</f>
        <v/>
      </c>
      <c r="GS163" s="295" t="str">
        <f>IFERROR(__xludf.DUMMYFUNCTION("IF(REGEXMATCH(C163, ""g""), ""G2"","""")"),"")</f>
        <v/>
      </c>
      <c r="GT163" s="294" t="str">
        <f>IFERROR(__xludf.DUMMYFUNCTION("IF(REGEXMATCH(C163, ""G""), ""G3"","""")"),"G3")</f>
        <v>G3</v>
      </c>
      <c r="GU163" s="294" t="str">
        <f>IFERROR(__xludf.DUMMYFUNCTION("IF(REGEXMATCH(C163, ""m""), ""M1"","""")"),"M1")</f>
        <v>M1</v>
      </c>
      <c r="GV163" s="295" t="str">
        <f>IFERROR(__xludf.DUMMYFUNCTION("IF(REGEXMATCH(C163, ""M""), ""M2"","""")"),"")</f>
        <v/>
      </c>
      <c r="GW163" s="294" t="str">
        <f>IFERROR(__xludf.DUMMYFUNCTION("IF(REGEXMATCH(C163, ""P""), ""P"","""")"),"P")</f>
        <v>P</v>
      </c>
      <c r="GX163" s="295" t="str">
        <f>IFERROR(__xludf.DUMMYFUNCTION("IF(REGEXMATCH(C163, ""d""), ""D1"","""")"),"D1")</f>
        <v>D1</v>
      </c>
      <c r="GY163" s="294" t="str">
        <f>IFERROR(__xludf.DUMMYFUNCTION("IF(REGEXMATCH(C163, ""D""), ""D2"","""")"),"D2")</f>
        <v>D2</v>
      </c>
      <c r="GZ163" s="294" t="str">
        <f>IFERROR(__xludf.DUMMYFUNCTION("IF(REGEXMATCH(C163, ""n""), ""N2"","""")"),"N2")</f>
        <v>N2</v>
      </c>
      <c r="HA163" s="295" t="str">
        <f>IFERROR(__xludf.DUMMYFUNCTION("IF(REGEXMATCH(C163, ""N""), ""N3"","""")"),"N3")</f>
        <v>N3</v>
      </c>
      <c r="HB163" s="249" t="str">
        <f>IFERROR(__xludf.DUMMYFUNCTION("IF(REGEXMATCH(C163, ""S""), ""S"","""")"),"S")</f>
        <v>S</v>
      </c>
      <c r="HC163" s="331" t="str">
        <f t="shared" si="95"/>
        <v>S</v>
      </c>
      <c r="HD163" s="332" t="str">
        <f t="shared" si="96"/>
        <v>r</v>
      </c>
      <c r="HE163" s="332" t="str">
        <f t="shared" si="97"/>
        <v>R</v>
      </c>
      <c r="HF163" s="332" t="str">
        <f t="shared" si="98"/>
        <v>g</v>
      </c>
      <c r="HG163" s="332" t="str">
        <f t="shared" si="99"/>
        <v>G</v>
      </c>
      <c r="HH163" s="332" t="str">
        <f t="shared" si="100"/>
        <v>m</v>
      </c>
      <c r="HI163" s="332" t="str">
        <f t="shared" si="101"/>
        <v/>
      </c>
      <c r="HJ163" s="332" t="str">
        <f t="shared" si="102"/>
        <v>P</v>
      </c>
      <c r="HK163" s="332" t="str">
        <f t="shared" si="103"/>
        <v>d</v>
      </c>
      <c r="HL163" s="332" t="str">
        <f t="shared" si="104"/>
        <v/>
      </c>
      <c r="HM163" s="332" t="str">
        <f t="shared" si="105"/>
        <v/>
      </c>
      <c r="HN163" s="332" t="str">
        <f t="shared" si="106"/>
        <v>N</v>
      </c>
      <c r="HO163" s="343" t="str">
        <f t="shared" si="107"/>
        <v>S</v>
      </c>
      <c r="HP163" s="331" t="str">
        <f t="shared" si="108"/>
        <v>o</v>
      </c>
      <c r="HQ163" s="332" t="str">
        <f t="shared" si="109"/>
        <v>o</v>
      </c>
      <c r="HR163" s="332" t="str">
        <f t="shared" si="110"/>
        <v>•</v>
      </c>
      <c r="HS163" s="332" t="str">
        <f t="shared" si="111"/>
        <v>•</v>
      </c>
      <c r="HT163" s="332" t="str">
        <f t="shared" si="112"/>
        <v>o</v>
      </c>
      <c r="HU163" s="332" t="str">
        <f t="shared" si="113"/>
        <v>o</v>
      </c>
      <c r="HV163" s="332" t="str">
        <f t="shared" si="114"/>
        <v>•</v>
      </c>
      <c r="HW163" s="332" t="str">
        <f t="shared" si="115"/>
        <v>o</v>
      </c>
      <c r="HX163" s="332" t="str">
        <f t="shared" si="116"/>
        <v>o</v>
      </c>
      <c r="HY163" s="332" t="str">
        <f t="shared" si="117"/>
        <v>o</v>
      </c>
      <c r="HZ163" s="332" t="str">
        <f t="shared" si="118"/>
        <v>o</v>
      </c>
      <c r="IA163" s="332" t="str">
        <f t="shared" si="119"/>
        <v>o</v>
      </c>
      <c r="IB163" s="338" t="str">
        <f t="shared" si="120"/>
        <v>o</v>
      </c>
      <c r="IC163" s="331" t="str">
        <f t="shared" si="121"/>
        <v>•</v>
      </c>
      <c r="ID163" s="332" t="str">
        <f t="shared" si="122"/>
        <v>•</v>
      </c>
      <c r="IE163" s="332" t="str">
        <f t="shared" si="123"/>
        <v>o</v>
      </c>
      <c r="IF163" s="332" t="str">
        <f t="shared" si="124"/>
        <v>o</v>
      </c>
      <c r="IG163" s="332" t="str">
        <f t="shared" si="125"/>
        <v>•</v>
      </c>
      <c r="IH163" s="332" t="str">
        <f t="shared" si="126"/>
        <v>•</v>
      </c>
      <c r="II163" s="332" t="str">
        <f t="shared" si="127"/>
        <v>o</v>
      </c>
      <c r="IJ163" s="332" t="str">
        <f t="shared" si="128"/>
        <v>•</v>
      </c>
      <c r="IK163" s="332" t="str">
        <f t="shared" si="129"/>
        <v>•</v>
      </c>
      <c r="IL163" s="332" t="str">
        <f t="shared" si="130"/>
        <v>•</v>
      </c>
      <c r="IM163" s="332" t="str">
        <f t="shared" si="131"/>
        <v>•</v>
      </c>
      <c r="IN163" s="332" t="str">
        <f t="shared" si="132"/>
        <v>•</v>
      </c>
      <c r="IO163" s="338" t="str">
        <f t="shared" si="133"/>
        <v>•</v>
      </c>
      <c r="IP163" s="346" t="b">
        <f t="shared" si="134"/>
        <v>0</v>
      </c>
      <c r="IQ163" s="347" t="b">
        <f t="shared" si="135"/>
        <v>0</v>
      </c>
      <c r="IR163" s="347" t="b">
        <f t="shared" si="136"/>
        <v>0</v>
      </c>
      <c r="IS163" s="347" t="b">
        <f t="shared" si="137"/>
        <v>0</v>
      </c>
      <c r="IT163" s="347" t="b">
        <f t="shared" si="138"/>
        <v>0</v>
      </c>
      <c r="IU163" s="347" t="b">
        <f t="shared" si="139"/>
        <v>0</v>
      </c>
      <c r="IV163" s="347" t="b">
        <f t="shared" si="140"/>
        <v>0</v>
      </c>
      <c r="IW163" s="347" t="b">
        <f t="shared" si="141"/>
        <v>1</v>
      </c>
      <c r="IX163" s="347" t="b">
        <f t="shared" si="142"/>
        <v>1</v>
      </c>
      <c r="IY163" s="347" t="b">
        <f t="shared" si="143"/>
        <v>0</v>
      </c>
      <c r="IZ163" s="347" t="b">
        <f t="shared" si="144"/>
        <v>0</v>
      </c>
      <c r="JA163" s="347" t="b">
        <f t="shared" si="145"/>
        <v>1</v>
      </c>
      <c r="JB163" s="353" t="b">
        <f t="shared" si="146"/>
        <v>0</v>
      </c>
      <c r="JC163" s="354" t="str">
        <f t="shared" si="147"/>
        <v/>
      </c>
      <c r="JD163" s="355" t="str">
        <f t="shared" si="148"/>
        <v/>
      </c>
      <c r="JE163" s="355" t="str">
        <f t="shared" si="149"/>
        <v/>
      </c>
      <c r="JF163" s="355" t="str">
        <f t="shared" si="150"/>
        <v/>
      </c>
      <c r="JG163" s="355" t="str">
        <f t="shared" si="151"/>
        <v/>
      </c>
      <c r="JH163" s="355" t="str">
        <f t="shared" si="152"/>
        <v/>
      </c>
      <c r="JI163" s="355" t="str">
        <f t="shared" si="153"/>
        <v/>
      </c>
      <c r="JJ163" s="355" t="str">
        <f t="shared" si="154"/>
        <v>Pa, </v>
      </c>
      <c r="JK163" s="355" t="str">
        <f t="shared" si="155"/>
        <v>dha, </v>
      </c>
      <c r="JL163" s="355" t="str">
        <f t="shared" si="156"/>
        <v/>
      </c>
      <c r="JM163" s="355" t="str">
        <f t="shared" si="157"/>
        <v/>
      </c>
      <c r="JN163" s="355" t="str">
        <f t="shared" si="158"/>
        <v>Ni, </v>
      </c>
      <c r="JO163" s="359" t="str">
        <f t="shared" si="159"/>
        <v/>
      </c>
      <c r="JP163" s="346" t="b">
        <f t="shared" si="160"/>
        <v>0</v>
      </c>
      <c r="JQ163" s="347" t="b">
        <f t="shared" si="161"/>
        <v>0</v>
      </c>
      <c r="JR163" s="347" t="b">
        <f t="shared" si="162"/>
        <v>0</v>
      </c>
      <c r="JS163" s="347" t="b">
        <f t="shared" si="163"/>
        <v>0</v>
      </c>
      <c r="JT163" s="347" t="b">
        <f t="shared" si="164"/>
        <v>0</v>
      </c>
      <c r="JU163" s="347" t="b">
        <f t="shared" si="165"/>
        <v>0</v>
      </c>
      <c r="JV163" s="347" t="b">
        <f t="shared" si="166"/>
        <v>0</v>
      </c>
      <c r="JW163" s="347" t="b">
        <f t="shared" si="167"/>
        <v>0</v>
      </c>
      <c r="JX163" s="347" t="b">
        <f t="shared" si="168"/>
        <v>0</v>
      </c>
      <c r="JY163" s="347" t="b">
        <f t="shared" si="169"/>
        <v>0</v>
      </c>
      <c r="JZ163" s="347" t="b">
        <f t="shared" si="170"/>
        <v>0</v>
      </c>
      <c r="KA163" s="347" t="b">
        <f t="shared" si="171"/>
        <v>0</v>
      </c>
      <c r="KB163" s="365" t="b">
        <f t="shared" si="172"/>
        <v>0</v>
      </c>
      <c r="KC163" s="354" t="str">
        <f t="shared" si="173"/>
        <v/>
      </c>
      <c r="KD163" s="355" t="str">
        <f t="shared" si="174"/>
        <v/>
      </c>
      <c r="KE163" s="355" t="str">
        <f t="shared" si="175"/>
        <v/>
      </c>
      <c r="KF163" s="355" t="str">
        <f t="shared" si="176"/>
        <v/>
      </c>
      <c r="KG163" s="355" t="str">
        <f t="shared" si="177"/>
        <v/>
      </c>
      <c r="KH163" s="355" t="str">
        <f t="shared" si="178"/>
        <v/>
      </c>
      <c r="KI163" s="355" t="str">
        <f t="shared" si="179"/>
        <v/>
      </c>
      <c r="KJ163" s="355" t="str">
        <f t="shared" si="180"/>
        <v/>
      </c>
      <c r="KK163" s="355" t="str">
        <f t="shared" si="181"/>
        <v/>
      </c>
      <c r="KL163" s="355" t="str">
        <f t="shared" si="182"/>
        <v/>
      </c>
      <c r="KM163" s="355" t="str">
        <f t="shared" si="183"/>
        <v/>
      </c>
      <c r="KN163" s="355" t="str">
        <f t="shared" si="184"/>
        <v/>
      </c>
      <c r="KO163" s="359"/>
      <c r="KP163" s="378"/>
      <c r="KQ163" s="379" t="s">
        <v>9</v>
      </c>
      <c r="KR163" s="380" t="s">
        <v>9</v>
      </c>
      <c r="KS163" s="381" t="s">
        <v>9</v>
      </c>
      <c r="KT163" s="382">
        <f t="shared" si="186"/>
        <v>0</v>
      </c>
      <c r="KU163" s="383">
        <f t="shared" si="187"/>
        <v>0</v>
      </c>
      <c r="KV163" s="381" t="str">
        <f t="shared" si="205"/>
        <v>S</v>
      </c>
      <c r="KW163" s="382">
        <f t="shared" si="189"/>
        <v>0</v>
      </c>
      <c r="KX163" s="384">
        <f t="shared" si="190"/>
        <v>0</v>
      </c>
      <c r="KY163" s="382">
        <f t="shared" ref="KY163:KZ163" si="537">KW163-KT163</f>
        <v>0</v>
      </c>
      <c r="KZ163" s="369">
        <f t="shared" si="537"/>
        <v>0</v>
      </c>
      <c r="LA163" s="385" t="str">
        <f t="shared" si="192"/>
        <v>✔</v>
      </c>
      <c r="LB163" s="340" t="str">
        <f>IFERROR(__xludf.DUMMYFUNCTION("JOIN("""",ArrayFormula(MID(KS163,LEN(KS163)-SEQUENCE(1,LEN(KS163))+1,1)))"),"S")</f>
        <v>S</v>
      </c>
      <c r="LC163" s="373" t="str">
        <f>IFERROR(__xludf.DUMMYFUNCTION("JOIN("""",ArrayFormula(MID(KV163,LEN(KV163)-SEQUENCE(1,LEN(KV163))+1,1)))"),"S")</f>
        <v>S</v>
      </c>
      <c r="LD163" s="373" t="str">
        <f t="shared" si="193"/>
        <v>S</v>
      </c>
      <c r="LE163" s="339" t="str">
        <f t="shared" si="194"/>
        <v>S</v>
      </c>
      <c r="LF163" s="386" t="str">
        <f>IFERROR(__xludf.DUMMYFUNCTION("SUBSTITUTE(SUBSTITUTE(CONCATENATE(JOIN("""",LH163:LT163)),""1"",""""),""2"","""")"),"SS")</f>
        <v>SS</v>
      </c>
      <c r="LG163" s="369" t="str">
        <f t="shared" si="195"/>
        <v>-</v>
      </c>
      <c r="LH163" s="387" t="str">
        <f>IFERROR(__xludf.DUMMYFUNCTION("IF(REGEXMATCH(LD163, ""S""), ""S"",IF(REGEXMATCH(LE163, ""S""), ""S"",""""))"),"S")</f>
        <v>S</v>
      </c>
      <c r="LI163" s="299" t="str">
        <f>IFERROR(__xludf.DUMMYFUNCTION("IF(REGEXMATCH(LD163, ""r""), ""r1"",IF(REGEXMATCH(LE163, ""r""), ""r2"",""""))"),"")</f>
        <v/>
      </c>
      <c r="LJ163" s="299" t="str">
        <f>IFERROR(__xludf.DUMMYFUNCTION("IF(REGEXMATCH(LD163, ""R""), ""R1"",IF(REGEXMATCH(LE163, ""R""), ""R2"",""""))"),"")</f>
        <v/>
      </c>
      <c r="LK163" s="299" t="str">
        <f>IFERROR(__xludf.DUMMYFUNCTION("IF(REGEXMATCH(LD163, ""g""), ""g1"",IF(REGEXMATCH(LE163, ""g""), ""g2"",""""))"),"")</f>
        <v/>
      </c>
      <c r="LL163" s="299" t="str">
        <f>IFERROR(__xludf.DUMMYFUNCTION("IF(REGEXMATCH(LD163, ""G""), ""G1"",IF(REGEXMATCH(LE163, ""G""), ""G2"",""""))"),"")</f>
        <v/>
      </c>
      <c r="LM163" s="299" t="str">
        <f>IFERROR(__xludf.DUMMYFUNCTION("IF(REGEXMATCH(LD163, ""m""), ""m1"",IF(REGEXMATCH(LE163, ""m""), ""m2"",""""))"),"")</f>
        <v/>
      </c>
      <c r="LN163" s="299" t="str">
        <f>IFERROR(__xludf.DUMMYFUNCTION("IF(REGEXMATCH(LD163, ""M""), ""M1"",IF(REGEXMATCH(LE163, ""M""), ""M2"",""""))"),"")</f>
        <v/>
      </c>
      <c r="LO163" s="299" t="str">
        <f>IFERROR(__xludf.DUMMYFUNCTION("IF(REGEXMATCH(LD163, ""P""), ""P1"",IF(REGEXMATCH(LE163, ""P""), ""P2"",""""))"),"")</f>
        <v/>
      </c>
      <c r="LP163" s="299" t="str">
        <f>IFERROR(__xludf.DUMMYFUNCTION("IF(REGEXMATCH(LD163, ""d""), ""d1"",IF(REGEXMATCH(LE163, ""d""), ""d2"",""""))"),"")</f>
        <v/>
      </c>
      <c r="LQ163" s="299" t="str">
        <f>IFERROR(__xludf.DUMMYFUNCTION("IF(REGEXMATCH(LD163, ""D""), ""D1"",IF(REGEXMATCH(LE163, ""D""), ""D2"",""""))"),"")</f>
        <v/>
      </c>
      <c r="LR163" s="299" t="str">
        <f>IFERROR(__xludf.DUMMYFUNCTION("IF(REGEXMATCH(LD163, ""n""), ""n1"",IF(REGEXMATCH(LE163, ""n""), ""n2"",""""))"),"")</f>
        <v/>
      </c>
      <c r="LS163" s="299" t="str">
        <f>IFERROR(__xludf.DUMMYFUNCTION("IF(REGEXMATCH(LD163, ""N""), ""N1"",IF(REGEXMATCH(LE163, ""N""), ""N2"",""""))"),"")</f>
        <v/>
      </c>
      <c r="LT163" s="388" t="str">
        <f>IFERROR(__xludf.DUMMYFUNCTION("IF(REGEXMATCH(LD163, ""S""), ""S"",IF(REGEXMATCH(LE163, ""S""), ""S"",""""))"),"S")</f>
        <v>S</v>
      </c>
      <c r="LU163" s="389">
        <f t="shared" si="196"/>
        <v>1</v>
      </c>
      <c r="LV163" s="378"/>
      <c r="LW163" s="369"/>
      <c r="LX163" s="369"/>
    </row>
    <row r="164" ht="18.0" customHeight="1">
      <c r="A164" s="298" t="s">
        <v>121</v>
      </c>
      <c r="B164" s="222" t="s">
        <v>561</v>
      </c>
      <c r="C164" s="233" t="str">
        <f t="shared" si="7"/>
        <v>SRgmPDnS</v>
      </c>
      <c r="D164" s="234" t="str">
        <f>IFERROR(__xludf.DUMMYFUNCTION("IF(REGEXMATCH(C164, ""S""), ""S"","""")"),"S")</f>
        <v>S</v>
      </c>
      <c r="E164" s="236" t="str">
        <f>IFERROR(__xludf.DUMMYFUNCTION("IF(REGEXMATCH(C164, ""r""), ""r"","""")"),"")</f>
        <v/>
      </c>
      <c r="F164" s="237" t="str">
        <f>IFERROR(__xludf.DUMMYFUNCTION("IF(REGEXMATCH(C164, ""R""), ""R"","""")"),"R")</f>
        <v>R</v>
      </c>
      <c r="G164" s="237" t="str">
        <f>IFERROR(__xludf.DUMMYFUNCTION("IF(REGEXMATCH(C164, ""g""), ""g"","""")"),"g")</f>
        <v>g</v>
      </c>
      <c r="H164" s="236" t="str">
        <f>IFERROR(__xludf.DUMMYFUNCTION("IF(REGEXMATCH(C164, ""G""), ""G"","""")"),"")</f>
        <v/>
      </c>
      <c r="I164" s="236" t="str">
        <f>IFERROR(__xludf.DUMMYFUNCTION("IF(REGEXMATCH(C164, ""m""), ""m"","""")"),"m")</f>
        <v>m</v>
      </c>
      <c r="J164" s="237" t="str">
        <f>IFERROR(__xludf.DUMMYFUNCTION("IF(REGEXMATCH(C164, ""M""), ""M"","""")"),"")</f>
        <v/>
      </c>
      <c r="K164" s="236" t="str">
        <f>IFERROR(__xludf.DUMMYFUNCTION("IF(REGEXMATCH(C164, ""P""), ""P"","""")"),"P")</f>
        <v>P</v>
      </c>
      <c r="L164" s="237" t="str">
        <f>IFERROR(__xludf.DUMMYFUNCTION("IF(REGEXMATCH(C164, ""d""), ""d"","""")"),"")</f>
        <v/>
      </c>
      <c r="M164" s="236" t="str">
        <f>IFERROR(__xludf.DUMMYFUNCTION("IF(REGEXMATCH(C164, ""D""), ""D"","""")"),"D")</f>
        <v>D</v>
      </c>
      <c r="N164" s="236" t="str">
        <f>IFERROR(__xludf.DUMMYFUNCTION("IF(REGEXMATCH(C164, ""n""), ""n"","""")"),"n")</f>
        <v>n</v>
      </c>
      <c r="O164" s="237" t="str">
        <f>IFERROR(__xludf.DUMMYFUNCTION("IF(REGEXMATCH(C164, ""N""), ""N"","""")"),"")</f>
        <v/>
      </c>
      <c r="P164" s="238" t="str">
        <f>IFERROR(__xludf.DUMMYFUNCTION("IF(REGEXMATCH(C164, ""S""), ""S"","""")"),"S")</f>
        <v>S</v>
      </c>
      <c r="Q164" s="239" t="str">
        <f>IFERROR(__xludf.DUMMYFUNCTION("SUBSTITUTE(CONCATENATE(JOIN(""-"",D164:J164)),""-"","""")"),"SRgm")</f>
        <v>SRgm</v>
      </c>
      <c r="R164" s="229" t="str">
        <f>IFERROR(__xludf.DUMMYFUNCTION("SUBSTITUTE(CONCATENATE(JOIN(""-"",K164:P164)),""-"","""")"),"PDnS")</f>
        <v>PDnS</v>
      </c>
      <c r="S164" s="282" t="str">
        <f t="shared" si="8"/>
        <v>S-R-G-M</v>
      </c>
      <c r="T164" s="282" t="str">
        <f t="shared" si="9"/>
        <v>P-D-N-S</v>
      </c>
      <c r="U164" s="237" t="str">
        <f>IFERROR(__xludf.DUMMYFUNCTION("SUBSTITUTE(JOIN(""-"",S164,T164),""--"",""-"")"),"S-R-G-M-P-D-N-S")</f>
        <v>S-R-G-M-P-D-N-S</v>
      </c>
      <c r="V164" s="309" t="str">
        <f t="shared" si="10"/>
        <v>RgmDn</v>
      </c>
      <c r="W164" s="244" t="str">
        <f>IFERROR(__xludf.DUMMYFUNCTION("IF(REGEXMATCH(C164, ""S""), ""0"","""")"),"0")</f>
        <v>0</v>
      </c>
      <c r="X164" s="245" t="str">
        <f>IFERROR(__xludf.DUMMYFUNCTION("IF(REGEXMATCH(C164, ""r""), ""1"","""")"),"")</f>
        <v/>
      </c>
      <c r="Y164" s="246" t="str">
        <f>IFERROR(__xludf.DUMMYFUNCTION("IF(REGEXMATCH(C164, ""R""), ""2"","""")"),"2")</f>
        <v>2</v>
      </c>
      <c r="Z164" s="246" t="str">
        <f>IFERROR(__xludf.DUMMYFUNCTION("IF(REGEXMATCH(C164, ""g""), ""3"","""")"),"3")</f>
        <v>3</v>
      </c>
      <c r="AA164" s="245" t="str">
        <f>IFERROR(__xludf.DUMMYFUNCTION("IF(REGEXMATCH(C164, ""G""), ""4"","""")"),"")</f>
        <v/>
      </c>
      <c r="AB164" s="245" t="str">
        <f>IFERROR(__xludf.DUMMYFUNCTION("IF(REGEXMATCH(C164, ""m""), ""5"","""")"),"5")</f>
        <v>5</v>
      </c>
      <c r="AC164" s="246" t="str">
        <f>IFERROR(__xludf.DUMMYFUNCTION("IF(REGEXMATCH(C164, ""M""), ""6"","""")"),"")</f>
        <v/>
      </c>
      <c r="AD164" s="245" t="str">
        <f>IFERROR(__xludf.DUMMYFUNCTION("IF(REGEXMATCH(C164, ""P""), ""7"","""")"),"7")</f>
        <v>7</v>
      </c>
      <c r="AE164" s="246" t="str">
        <f>IFERROR(__xludf.DUMMYFUNCTION("IF(REGEXMATCH(C164, ""d""), ""8"","""")"),"")</f>
        <v/>
      </c>
      <c r="AF164" s="245" t="str">
        <f>IFERROR(__xludf.DUMMYFUNCTION("IF(REGEXMATCH(C164, ""D""), ""9"","""")"),"9")</f>
        <v>9</v>
      </c>
      <c r="AG164" s="245" t="str">
        <f>IFERROR(__xludf.DUMMYFUNCTION("IF(REGEXMATCH(C164, ""n""), ""10"","""")"),"10")</f>
        <v>10</v>
      </c>
      <c r="AH164" s="246" t="str">
        <f>IFERROR(__xludf.DUMMYFUNCTION("IF(REGEXMATCH(C164, ""N""), ""11"","""")"),"")</f>
        <v/>
      </c>
      <c r="AI164" s="249" t="str">
        <f>IFERROR(__xludf.DUMMYFUNCTION("IF(REGEXMATCH(C164, ""S""), ""0"","""")"),"0")</f>
        <v>0</v>
      </c>
      <c r="AJ164" s="313" t="str">
        <f t="shared" si="11"/>
        <v>-</v>
      </c>
      <c r="AK164" s="313" t="str">
        <f t="shared" si="12"/>
        <v>-</v>
      </c>
      <c r="AL164" s="313" t="str">
        <f t="shared" si="13"/>
        <v>-</v>
      </c>
      <c r="AM164" s="313" t="str">
        <f t="shared" si="14"/>
        <v>T</v>
      </c>
      <c r="AN164" s="313" t="str">
        <f t="shared" si="15"/>
        <v>-</v>
      </c>
      <c r="AO164" s="314" t="str">
        <f t="shared" si="16"/>
        <v>-</v>
      </c>
      <c r="AP164" s="316">
        <f t="shared" si="17"/>
        <v>1</v>
      </c>
      <c r="AQ164" s="319" t="str">
        <f t="shared" si="18"/>
        <v>-</v>
      </c>
      <c r="AR164" s="320">
        <f t="shared" si="19"/>
        <v>0</v>
      </c>
      <c r="AS164" s="250" t="str">
        <f>IFERROR(__xludf.DUMMYFUNCTION("SUBSTITUTE(SUBSTITUTE(CONCATENATE(JOIN("""",FP164:GA164)),""|"",""x""),""-"",""o"")"),"xoxxoxoxoxxo")</f>
        <v>xoxxoxoxoxxo</v>
      </c>
      <c r="AT164" s="323" t="str">
        <f>IFERROR(__xludf.DUMMYFUNCTION("JOIN("""",AS164,AS164)"),"xoxxoxoxoxxoxoxxoxoxoxxo")</f>
        <v>xoxxoxoxoxxoxoxxoxoxoxxo</v>
      </c>
      <c r="AU164" s="256" t="str">
        <f>IFERROR(__xludf.DUMMYFUNCTION("JOIN("""",ArrayFormula(MID(AS164,LEN(AS164)-SEQUENCE(1,LEN(AS164))+1,1)))"),"oxxoxoxoxxox")</f>
        <v>oxxoxoxoxxox</v>
      </c>
      <c r="AV164" s="256" t="str">
        <f>IFERROR(__xludf.DUMMYFUNCTION("LEFT(CONCATENATE(""x"",JOIN("""",ArrayFormula(MID(AS164,LEN(AS164)-SEQUENCE(1,LEN(AS164))+1,1)))),12)"),"xoxxoxoxoxxo")</f>
        <v>xoxxoxoxoxxo</v>
      </c>
      <c r="AW164" s="327" t="str">
        <f>IFERROR(__xludf.DUMMYFUNCTION("JOIN("""",AU164,AU164)"),"oxxoxoxoxxoxoxxoxoxoxxox")</f>
        <v>oxxoxoxoxxoxoxxoxoxoxxox</v>
      </c>
      <c r="AX164" s="239" t="str">
        <f>IFERROR(__xludf.DUMMYFUNCTION("IF(REGEXMATCH(AW164,AS164),""✔"",""-"")"),"✔")</f>
        <v>✔</v>
      </c>
      <c r="AY164" s="330" t="str">
        <f t="shared" si="20"/>
        <v>✔</v>
      </c>
      <c r="AZ164" s="260" t="str">
        <f t="shared" si="21"/>
        <v>#REF!</v>
      </c>
      <c r="BA164" s="333" t="str">
        <f t="shared" si="22"/>
        <v>xoxxoxo</v>
      </c>
      <c r="BB164" s="334" t="str">
        <f t="shared" si="23"/>
        <v>xoxxox</v>
      </c>
      <c r="BC164" s="335" t="str">
        <f t="shared" si="236"/>
        <v>✔</v>
      </c>
      <c r="BD164" s="336" t="str">
        <f t="shared" si="25"/>
        <v>Kafi: 'xoxxoxo' + 'xoxxox'</v>
      </c>
      <c r="BE164" s="337">
        <f>IFERROR(__xludf.DUMMYFUNCTION("COUNTUNIQUE(FILTER(AT:AT,REGEXMATCH(AT:AT,AS164)))-1"),6.0)</f>
        <v>6</v>
      </c>
      <c r="BF164" s="261" t="str">
        <f>IFERROR(__xludf.DUMMYFUNCTION("IF(BI164=0,""(n/a)"",IF(BJ164=2,""(PAIR)"",IF(REGEXMATCH(AT164,""xoxoxxoxoxox""),""Bilawal"",IF(REGEXMATCH(AT164,""xoxoxooxoxoo""),""Bhupali"",IF(REGEXMATCH(AT164,""xoxoxxoxxoxo""),""Charukeshi"",IF(REGEXMATCH(AT164,""xoxoooxxoxxo""),""Kameshwari"",IF(REG"&amp;"EXMATCH(AT164,""xoxoxooxoxox""),""Shankara"",IF(REGEXMATCH(AT164,""xxooxoxxxoox""),""Basant"",IF(REGEXMATCH(AT164,""xoxoxxxxoxox""),""Bihag"",IF(REGEXMATCH(AT164,""xoxxxxoxoxxx""),""Pilu"",IF(REGEXMATCH(AT164,""xoxxoxoxxoox""),""Kirwani"",IF(REGEXMATCH(AT"&amp;"164,""xoxxoxoxoxxx""),""Mk.Malhar"",IF(REGEXMATCH(AT164,""xxooxxoxxoox""),""Bhairav"",IF(REGEXMATCH(AT164,""xxoxooxxxoox""),""Todi"",IF(REGEXMATCH(AT164,""xxooxoxooxox""),""Marwa"",IF(REGEXMATCH(AT164,""xxoooxoxxooo""),""Gunkali"",IF(REGEXMATCH(AT164,""xo"&amp;"xoxxoxxoox""),""Nat Bhairav"",IF(REGEXMATCH(AT164,""xoxxoooxoxoo""),""Shivranjani"",IF(REGEXMATCH(AT164,""xooxxxoxooxo""),""Jog"",IF(REGEXMATCH(AT164,""xxooxoxoxoox""),""Hemshri"",IF(REGEXMATCH(AT164,""xoooxooxoxxo""),""Kalavati"",IF(REGEXMATCH(AT164,""xx"&amp;"oxoxxoxoox""),""Kedar"",IF(REGEXMATCH(AT164,""xoxxxxoxooxx""),""Gara"",IF(REGEXMATCH(AT164,""xooxoxooxoox""),""Chandrakauns"",IF(REGEXMATCH(AT164,""xoxxxxoxxxox""),""Mand"",IF(REGEXMATCH(AT164,""xoxxxxoxoxox""),""Hanskinkini"",IF(REGEXMATCH(AT164,""xxooxx"&amp;"oxooxo""),""Lilavati"",IF(REGEXMATCH(AT164,""xooxoxoooxox""),""Rajeshwari"",IF(REGEXMATCH(AT164,""xoooxxoxoxxx""),""Khokar"",IF(REGEXMATCH(AT164,""xxooxoxxxxox""),""Maligoura"",""-""))))))))))))))))))))))))))))))"),"Bilawal")</f>
        <v>Bilawal</v>
      </c>
      <c r="BG164" s="239" t="str">
        <f t="shared" si="26"/>
        <v>#REF!</v>
      </c>
      <c r="BH164" s="239">
        <f>IFERROR(__xludf.DUMMYFUNCTION("COUNTUNIQUE(FE164:FO164)-1"),6.0)</f>
        <v>6</v>
      </c>
      <c r="BI164" s="239">
        <f>IFERROR(__xludf.DUMMYFUNCTION("COUNTUNIQUE(FILTER(AT:AT,REGEXMATCH(AT:AT,AS164)))-1"),6.0)</f>
        <v>6</v>
      </c>
      <c r="BJ164" s="239">
        <f>IFERROR(__xludf.DUMMYFUNCTION("COUNTA(FILTER(AT:AT,REGEXMATCH(AT:AT,AS164)))"),48.0)</f>
        <v>48</v>
      </c>
      <c r="BK164" s="341">
        <f>IFERROR(__xludf.DUMMYFUNCTION("COUNTA(FILTER(AT:AT,REGEXMATCH(AT:AT,AS164)))-AR164"),48.0)</f>
        <v>48</v>
      </c>
      <c r="BL164" s="276" t="str">
        <f>IFERROR(__xludf.DUMMYFUNCTION("IF(AS164=""oooooooooooo"",""-"",IF(REGEXMATCH(AT164,""xx""), ""Hemi."", ""Anhemi.""))"),"Hemi.")</f>
        <v>Hemi.</v>
      </c>
      <c r="BM164" s="282" t="str">
        <f>IFERROR(__xludf.DUMMYFUNCTION("IF(AS164=""oooooooooooo"",""-"",IF(REGEXMATCH(AT164,""xxx""), ""Cohem."", ""-""))"),"-")</f>
        <v>-</v>
      </c>
      <c r="BN164" s="282" t="str">
        <f>IFERROR(__xludf.DUMMYFUNCTION("IF(AS164=""oooooooooooo"",""-"",IF(REGEXMATCH(AT164,""xxxx""), ""Co-Co."", ""-""))"),"-")</f>
        <v>-</v>
      </c>
      <c r="BO164" s="342" t="str">
        <f>IFERROR(__xludf.DUMMYFUNCTION("IF(AS164=""oooooooooooo"",""-"",IF(REGEXMATCH(AT164,""xxxxx""), ""CCC."", ""-""))"),"-")</f>
        <v>-</v>
      </c>
      <c r="BP164" s="344" t="str">
        <f t="shared" si="27"/>
        <v>Kafi</v>
      </c>
      <c r="BQ164" s="282" t="str">
        <f>IFERROR(__xludf.DUMMYFUNCTION("IF(REGEXMATCH(JOIN(""-"",EU164:FD164),""TRUE""),""✔"",""-"")"),"✔")</f>
        <v>✔</v>
      </c>
      <c r="BR164" s="225">
        <f t="shared" si="28"/>
        <v>1</v>
      </c>
      <c r="BS164" s="345" t="str">
        <f>IFERROR(__xludf.DUMMYFUNCTION("SUBSTITUTE(SUBSTITUTE(SUBSTITUTE(SUBSTITUTE(CONCATENATE(JOIN(""-"",GC164:GO164)),""--"",""-""),""--"",""-""),""--"",""-""),""--"",""-"")"),"1-2-b3-4-5-6-b7-8")</f>
        <v>1-2-b3-4-5-6-b7-8</v>
      </c>
      <c r="BT164" s="299" t="str">
        <f>IFERROR(__xludf.DUMMYFUNCTION("SUBSTITUTE(SUBSTITUTE(SUBSTITUTE(SUBSTITUTE(CONCATENATE(JOIN(""-"",GP164:HB164)),""--"",""-""),""--"",""-""),""--"",""-""),""--"",""-"")"),"S-R2-G2-M1-P-D2-N2-S")</f>
        <v>S-R2-G2-M1-P-D2-N2-S</v>
      </c>
      <c r="BU164" s="348" t="str">
        <f t="shared" si="29"/>
        <v>C-D-Eb-F-G-A-Bb-C</v>
      </c>
      <c r="BV164" s="349" t="str">
        <f t="shared" si="30"/>
        <v>SrGMdNS</v>
      </c>
      <c r="BW164" s="350">
        <f t="shared" si="31"/>
        <v>1</v>
      </c>
      <c r="BX164" s="351">
        <f t="shared" si="32"/>
        <v>9</v>
      </c>
      <c r="BY164" s="392"/>
      <c r="BZ164" s="309" t="str">
        <f>IFERROR(__xludf.DUMMYFUNCTION("IF(REGEXMATCH(C164, ""S""), ""x"",""x"")"),"x")</f>
        <v>x</v>
      </c>
      <c r="CA164" s="245" t="str">
        <f>IFERROR(__xludf.DUMMYFUNCTION("IF(REGEXMATCH(C164, ""r""), ""o"",""x"")"),"x")</f>
        <v>x</v>
      </c>
      <c r="CB164" s="246" t="str">
        <f>IFERROR(__xludf.DUMMYFUNCTION("IF(REGEXMATCH(C164, ""R""), ""o"",""x"")"),"o")</f>
        <v>o</v>
      </c>
      <c r="CC164" s="246" t="str">
        <f>IFERROR(__xludf.DUMMYFUNCTION("IF(REGEXMATCH(C164, ""g""), ""o"",""x"")"),"o")</f>
        <v>o</v>
      </c>
      <c r="CD164" s="245" t="str">
        <f>IFERROR(__xludf.DUMMYFUNCTION("IF(REGEXMATCH(C164, ""G""), ""o"",""x"")"),"x")</f>
        <v>x</v>
      </c>
      <c r="CE164" s="245" t="str">
        <f>IFERROR(__xludf.DUMMYFUNCTION("IF(REGEXMATCH(C164, ""m""), ""o"",""x"")"),"o")</f>
        <v>o</v>
      </c>
      <c r="CF164" s="246" t="str">
        <f>IFERROR(__xludf.DUMMYFUNCTION("IF(REGEXMATCH(C164, ""M""), ""o"",""x"")"),"x")</f>
        <v>x</v>
      </c>
      <c r="CG164" s="245" t="str">
        <f>IFERROR(__xludf.DUMMYFUNCTION("IF(REGEXMATCH(C164, ""P""), ""o"",""x"")"),"o")</f>
        <v>o</v>
      </c>
      <c r="CH164" s="246" t="str">
        <f>IFERROR(__xludf.DUMMYFUNCTION("IF(REGEXMATCH(C164, ""d""), ""o"",""x"")"),"x")</f>
        <v>x</v>
      </c>
      <c r="CI164" s="245" t="str">
        <f>IFERROR(__xludf.DUMMYFUNCTION("IF(REGEXMATCH(C164, ""D""), ""o"",""x"")"),"o")</f>
        <v>o</v>
      </c>
      <c r="CJ164" s="245" t="str">
        <f>IFERROR(__xludf.DUMMYFUNCTION("IF(REGEXMATCH(C164, ""n""), ""o"",""x"")"),"o")</f>
        <v>o</v>
      </c>
      <c r="CK164" s="245" t="str">
        <f>IFERROR(__xludf.DUMMYFUNCTION("IF(REGEXMATCH(C164, ""N""), ""o"",""x"")"),"x")</f>
        <v>x</v>
      </c>
      <c r="CL164" s="356" t="str">
        <f>IFERROR(__xludf.DUMMYFUNCTION("IF(REGEXMATCH(C164, ""S""), ""x"",""x"")"),"x")</f>
        <v>x</v>
      </c>
      <c r="CM164" s="357" t="str">
        <f t="shared" si="33"/>
        <v>xxooxoxoxoox</v>
      </c>
      <c r="CN164" s="358">
        <f t="shared" si="34"/>
        <v>1</v>
      </c>
      <c r="CO164" s="246" t="str">
        <f>IFERROR(__xludf.DUMMYFUNCTION("IF(REGEXMATCH($C164, ""S""), ""S"",""S"")"),"S")</f>
        <v>S</v>
      </c>
      <c r="CP164" s="246" t="str">
        <f>IFERROR(__xludf.DUMMYFUNCTION("IF(REGEXMATCH($C164, ""r""), """",""r"")"),"r")</f>
        <v>r</v>
      </c>
      <c r="CQ164" s="246" t="str">
        <f>IFERROR(__xludf.DUMMYFUNCTION("IF(REGEXMATCH($C164, ""R""), """",""R"")"),"")</f>
        <v/>
      </c>
      <c r="CR164" s="246" t="str">
        <f>IFERROR(__xludf.DUMMYFUNCTION("IF(REGEXMATCH($C164, ""g""), """",""g"")"),"")</f>
        <v/>
      </c>
      <c r="CS164" s="246" t="str">
        <f>IFERROR(__xludf.DUMMYFUNCTION("IF(REGEXMATCH($C164, ""G""), """",""G"")"),"G")</f>
        <v>G</v>
      </c>
      <c r="CT164" s="246" t="str">
        <f>IFERROR(__xludf.DUMMYFUNCTION("IF(REGEXMATCH($C164, ""m""), """",""m"")"),"")</f>
        <v/>
      </c>
      <c r="CU164" s="246" t="str">
        <f>IFERROR(__xludf.DUMMYFUNCTION("IF(REGEXMATCH($C164, ""M""), """",""M"")"),"M")</f>
        <v>M</v>
      </c>
      <c r="CV164" s="246" t="str">
        <f>IFERROR(__xludf.DUMMYFUNCTION("IF(REGEXMATCH($C164, ""P""), """",""P"")"),"")</f>
        <v/>
      </c>
      <c r="CW164" s="246" t="str">
        <f>IFERROR(__xludf.DUMMYFUNCTION("IF(REGEXMATCH($C164, ""d""), """",""d"")"),"d")</f>
        <v>d</v>
      </c>
      <c r="CX164" s="246" t="str">
        <f>IFERROR(__xludf.DUMMYFUNCTION("IF(REGEXMATCH($C164, ""D""), """",""D"")"),"")</f>
        <v/>
      </c>
      <c r="CY164" s="246" t="str">
        <f>IFERROR(__xludf.DUMMYFUNCTION("IF(REGEXMATCH($C164, ""n""), """",""n"")"),"")</f>
        <v/>
      </c>
      <c r="CZ164" s="246" t="str">
        <f>IFERROR(__xludf.DUMMYFUNCTION("IF(REGEXMATCH($C164, ""N""), """",""N"")"),"N")</f>
        <v>N</v>
      </c>
      <c r="DA164" s="246" t="str">
        <f>IFERROR(__xludf.DUMMYFUNCTION("IF(REGEXMATCH($C164, ""S""), ""S"",""S"")"),"S")</f>
        <v>S</v>
      </c>
      <c r="DB164" s="362" t="str">
        <f>IFERROR(__xludf.DUMMYFUNCTION("JOIN("""",CO164:DA164,"""","""")"),"SrGMdNS")</f>
        <v>SrGMdNS</v>
      </c>
      <c r="DC164" s="363"/>
      <c r="DD164" s="301" t="str">
        <f t="shared" si="35"/>
        <v>#REF!</v>
      </c>
      <c r="DE164" s="302" t="str">
        <f t="shared" si="36"/>
        <v>#REF!</v>
      </c>
      <c r="DF164" s="301" t="str">
        <f t="shared" ref="DF164:DG164" si="538">SUBSTITUTE(S164,"-","")</f>
        <v>SRGM</v>
      </c>
      <c r="DG164" s="301" t="str">
        <f t="shared" si="538"/>
        <v>PDNS</v>
      </c>
      <c r="DH164" s="302" t="str">
        <f t="shared" si="38"/>
        <v>Bilawal</v>
      </c>
      <c r="DI164" s="301" t="str">
        <f t="shared" si="39"/>
        <v>Hemi.</v>
      </c>
      <c r="DJ164" s="364" t="str">
        <f t="shared" si="40"/>
        <v>-</v>
      </c>
      <c r="DK164" s="306" t="str">
        <f t="shared" si="41"/>
        <v>Kafi</v>
      </c>
      <c r="DL164" s="366" t="str">
        <f t="shared" si="42"/>
        <v>-</v>
      </c>
      <c r="DM164" s="308" t="str">
        <f t="shared" si="43"/>
        <v>-</v>
      </c>
      <c r="DN164" s="306" t="str">
        <f t="shared" si="44"/>
        <v>-</v>
      </c>
      <c r="DO164" s="306" t="str">
        <f t="shared" si="45"/>
        <v>-</v>
      </c>
      <c r="DP164" s="367" t="str">
        <f t="shared" si="46"/>
        <v>-</v>
      </c>
      <c r="DQ164" s="310" t="str">
        <f t="shared" si="47"/>
        <v>-</v>
      </c>
      <c r="DR164" s="310" t="str">
        <f t="shared" si="48"/>
        <v>-</v>
      </c>
      <c r="DS164" s="310" t="str">
        <f t="shared" si="49"/>
        <v>-</v>
      </c>
      <c r="DT164" s="310" t="str">
        <f t="shared" si="50"/>
        <v>-</v>
      </c>
      <c r="DU164" s="370" t="str">
        <f t="shared" si="51"/>
        <v>-</v>
      </c>
      <c r="DV164" s="306" t="str">
        <f t="shared" si="52"/>
        <v>-</v>
      </c>
      <c r="DW164" s="306" t="str">
        <f t="shared" si="53"/>
        <v>-</v>
      </c>
      <c r="DX164" s="306" t="str">
        <f t="shared" si="54"/>
        <v>-</v>
      </c>
      <c r="DY164" s="306" t="str">
        <f t="shared" si="55"/>
        <v>-</v>
      </c>
      <c r="DZ164" s="306" t="str">
        <f t="shared" si="56"/>
        <v>-</v>
      </c>
      <c r="EA164" s="367" t="str">
        <f t="shared" si="57"/>
        <v>-</v>
      </c>
      <c r="EB164" s="310" t="str">
        <f>IFERROR(__xludf.DUMMYFUNCTION("IF(REGEXMATCH(AW164,AS164),""✔"",""-"")"),"✔")</f>
        <v>✔</v>
      </c>
      <c r="EC164" s="310" t="str">
        <f t="shared" si="58"/>
        <v>#REF!</v>
      </c>
      <c r="ED164" s="370" t="str">
        <f t="shared" si="59"/>
        <v>✔</v>
      </c>
      <c r="EE164" s="340" t="str">
        <f t="shared" si="60"/>
        <v>S-R-g-m-P-D-n-S</v>
      </c>
      <c r="EF164" s="371" t="str">
        <f>IFERROR(__xludf.DUMMYFUNCTION("CONCATENATE(JOIN("""",HC164:HO164))"),"SRgmPDnS")</f>
        <v>SRgmPDnS</v>
      </c>
      <c r="EG164" s="372">
        <f t="shared" si="61"/>
        <v>1</v>
      </c>
      <c r="EH164" s="373" t="str">
        <f>IFERROR(__xludf.DUMMYFUNCTION("CONCATENATE(JOIN("""",JC164:JO164))"),"Dha, ")</f>
        <v>Dha, </v>
      </c>
      <c r="EI164" s="322">
        <f t="shared" si="62"/>
        <v>0</v>
      </c>
      <c r="EJ164" s="374" t="str">
        <f>IFERROR(__xludf.DUMMYFUNCTION("CONCATENATE(JOIN("""",KC164:KO164))"),"")</f>
        <v/>
      </c>
      <c r="EK164" s="325" t="str">
        <f t="shared" si="63"/>
        <v>S-R2-G2-M1-P-D2-N2-S</v>
      </c>
      <c r="EL164" s="326" t="str">
        <f t="shared" si="64"/>
        <v>1-2-b3-4-5-6-b7-8</v>
      </c>
      <c r="EM164" s="318" t="str">
        <f t="shared" si="65"/>
        <v>#REF!</v>
      </c>
      <c r="EN164" s="328" t="str">
        <f>IFERROR(__xludf.DUMMYFUNCTION("SUBSTITUTE(SUBSTITUTE(SUBSTITUTE(SUBSTITUTE(CONCATENATE(JOIN("" "",HP164:IB164)),""  "","" ""),""  "","" ""),""  "","" ""),""  "","" "")"),"o • o o • o • o • o o • o")</f>
        <v>o • o o • o • o • o o • o</v>
      </c>
      <c r="EO164" s="368" t="str">
        <f t="shared" si="66"/>
        <v>-</v>
      </c>
      <c r="EP164" s="339" t="str">
        <f t="shared" si="67"/>
        <v>-</v>
      </c>
      <c r="EQ164" s="339" t="str">
        <f t="shared" si="68"/>
        <v>Sa-Pa</v>
      </c>
      <c r="ER164" s="339" t="str">
        <f t="shared" si="69"/>
        <v>-</v>
      </c>
      <c r="ES164" s="340" t="str">
        <f t="shared" si="70"/>
        <v>-</v>
      </c>
      <c r="ET164" s="363"/>
      <c r="EU164" s="376" t="b">
        <f>IFERROR(__xludf.DUMMYFUNCTION("arrayformula(sum(--REGEXMATCH(""SRGMPDNS"",split(REGEXREPLACE(C164,""(.)"",""$1~""),""~""))))=len(C164)
"),FALSE)</f>
        <v>0</v>
      </c>
      <c r="EV164" s="290" t="b">
        <f>IFERROR(__xludf.DUMMYFUNCTION("arrayformula(sum(--REGEXMATCH(""SRGmPDNS"",split(REGEXREPLACE(C164,""(.)"",""$1~""),""~""))))=len(C164)"),FALSE)</f>
        <v>0</v>
      </c>
      <c r="EW164" s="290" t="b">
        <f>IFERROR(__xludf.DUMMYFUNCTION("arrayformula(sum(--REGEXMATCH(""SRGmPDnS"",split(REGEXREPLACE(C164,""(.)"",""$1~""),""~""))))=len(C164)"),FALSE)</f>
        <v>0</v>
      </c>
      <c r="EX164" s="290" t="b">
        <f>IFERROR(__xludf.DUMMYFUNCTION("arrayformula(sum(--REGEXMATCH(""SRgmPDnS"",split(REGEXREPLACE(C164,""(.)"",""$1~""),""~""))))=len(C164)"),TRUE)</f>
        <v>1</v>
      </c>
      <c r="EY164" s="290" t="b">
        <f>IFERROR(__xludf.DUMMYFUNCTION("arrayformula(sum(--REGEXMATCH(""SRgmPdnS"",split(REGEXREPLACE(C164,""(.)"",""$1~""),""~""))))=len(C164)"),FALSE)</f>
        <v>0</v>
      </c>
      <c r="EZ164" s="290" t="b">
        <f>IFERROR(__xludf.DUMMYFUNCTION("arrayformula(sum(--REGEXMATCH(""SrgmPdnS"",split(REGEXREPLACE(C164,""(.)"",""$1~""),""~""))))=len(C164)"),FALSE)</f>
        <v>0</v>
      </c>
      <c r="FA164" s="290" t="b">
        <f>IFERROR(__xludf.DUMMYFUNCTION("arrayformula(sum(--REGEXMATCH(""SrGmPdNS"",split(REGEXREPLACE(C164,""(.)"",""$1~""),""~""))))=len(C164)"),FALSE)</f>
        <v>0</v>
      </c>
      <c r="FB164" s="290" t="b">
        <f>IFERROR(__xludf.DUMMYFUNCTION("arrayformula(sum(--REGEXMATCH(""SrGMPDNS"",split(REGEXREPLACE(C164,""(.)"",""$1~""),""~""))))=len(C164)"),FALSE)</f>
        <v>0</v>
      </c>
      <c r="FC164" s="290" t="b">
        <f>IFERROR(__xludf.DUMMYFUNCTION("arrayformula(sum(--REGEXMATCH(""SrGMPdNS"",split(REGEXREPLACE(C164,""(.)"",""$1~""),""~""))))=len(C164)"),FALSE)</f>
        <v>0</v>
      </c>
      <c r="FD164" s="377" t="b">
        <f>IFERROR(__xludf.DUMMYFUNCTION("arrayformula(sum(--REGEXMATCH(""SrgMPdNS"",split(REGEXREPLACE(C164,""(.)"",""$1~""),""~""))))=len(C164)"),FALSE)</f>
        <v>0</v>
      </c>
      <c r="FE164" s="269" t="str">
        <f t="shared" si="71"/>
        <v>-</v>
      </c>
      <c r="FF164" s="269" t="str">
        <f t="shared" si="72"/>
        <v>xxoxoxoxxox</v>
      </c>
      <c r="FG164" s="271" t="str">
        <f t="shared" si="73"/>
        <v>xoxoxoxxoxo</v>
      </c>
      <c r="FH164" s="269" t="str">
        <f t="shared" si="74"/>
        <v>-</v>
      </c>
      <c r="FI164" s="271" t="str">
        <f t="shared" si="75"/>
        <v>xoxoxxoxoxx</v>
      </c>
      <c r="FJ164" s="271" t="str">
        <f t="shared" si="76"/>
        <v>-</v>
      </c>
      <c r="FK164" s="271" t="str">
        <f t="shared" si="77"/>
        <v>xoxxoxoxxox</v>
      </c>
      <c r="FL164" s="271" t="str">
        <f t="shared" si="78"/>
        <v>-</v>
      </c>
      <c r="FM164" s="271" t="str">
        <f t="shared" si="79"/>
        <v>xxoxoxxoxox</v>
      </c>
      <c r="FN164" s="271" t="str">
        <f t="shared" si="80"/>
        <v>xoxoxxoxoxo</v>
      </c>
      <c r="FO164" s="274" t="str">
        <f t="shared" si="81"/>
        <v>-</v>
      </c>
      <c r="FP164" s="234" t="str">
        <f t="shared" si="82"/>
        <v>|</v>
      </c>
      <c r="FQ164" s="236" t="str">
        <f t="shared" si="83"/>
        <v>-</v>
      </c>
      <c r="FR164" s="237" t="str">
        <f t="shared" si="84"/>
        <v>|</v>
      </c>
      <c r="FS164" s="236" t="str">
        <f t="shared" si="85"/>
        <v>|</v>
      </c>
      <c r="FT164" s="237" t="str">
        <f t="shared" si="86"/>
        <v>-</v>
      </c>
      <c r="FU164" s="236" t="str">
        <f t="shared" si="87"/>
        <v>|</v>
      </c>
      <c r="FV164" s="237" t="str">
        <f t="shared" si="88"/>
        <v>-</v>
      </c>
      <c r="FW164" s="236" t="str">
        <f t="shared" si="89"/>
        <v>|</v>
      </c>
      <c r="FX164" s="237" t="str">
        <f t="shared" si="90"/>
        <v>-</v>
      </c>
      <c r="FY164" s="236" t="str">
        <f t="shared" si="91"/>
        <v>|</v>
      </c>
      <c r="FZ164" s="237" t="str">
        <f t="shared" si="92"/>
        <v>|</v>
      </c>
      <c r="GA164" s="236" t="str">
        <f t="shared" si="93"/>
        <v>-</v>
      </c>
      <c r="GB164" s="238" t="str">
        <f t="shared" si="94"/>
        <v>|</v>
      </c>
      <c r="GC164" s="244" t="str">
        <f>IFERROR(__xludf.DUMMYFUNCTION("IF(REGEXMATCH(C164, ""S""), ""1"","""")"),"1")</f>
        <v>1</v>
      </c>
      <c r="GD164" s="245" t="str">
        <f>IFERROR(__xludf.DUMMYFUNCTION("IF(REGEXMATCH(C164, ""r""), ""b2"","""")"),"")</f>
        <v/>
      </c>
      <c r="GE164" s="246" t="str">
        <f>IFERROR(__xludf.DUMMYFUNCTION("IF(REGEXMATCH(C164, ""R""), ""2"","""")"),"2")</f>
        <v>2</v>
      </c>
      <c r="GF164" s="246" t="str">
        <f>IFERROR(__xludf.DUMMYFUNCTION("IF(REGEXMATCH(C164, ""g""), ""b3"","""")"),"b3")</f>
        <v>b3</v>
      </c>
      <c r="GG164" s="245" t="str">
        <f>IFERROR(__xludf.DUMMYFUNCTION("IF(REGEXMATCH(C164, ""G""), ""3"","""")"),"")</f>
        <v/>
      </c>
      <c r="GH164" s="245" t="str">
        <f>IFERROR(__xludf.DUMMYFUNCTION("IF(REGEXMATCH(C164, ""m""), ""4"","""")"),"4")</f>
        <v>4</v>
      </c>
      <c r="GI164" s="246" t="str">
        <f>IFERROR(__xludf.DUMMYFUNCTION("IF(REGEXMATCH(C164, ""M""), ""#4"","""")"),"")</f>
        <v/>
      </c>
      <c r="GJ164" s="245" t="str">
        <f>IFERROR(__xludf.DUMMYFUNCTION("IF(REGEXMATCH(C164, ""P""), ""5"","""")"),"5")</f>
        <v>5</v>
      </c>
      <c r="GK164" s="246" t="str">
        <f>IFERROR(__xludf.DUMMYFUNCTION("IF(REGEXMATCH(C164, ""d""), ""b6"","""")"),"")</f>
        <v/>
      </c>
      <c r="GL164" s="245" t="str">
        <f>IFERROR(__xludf.DUMMYFUNCTION("IF(REGEXMATCH(C164, ""D""), ""6"","""")"),"6")</f>
        <v>6</v>
      </c>
      <c r="GM164" s="245" t="str">
        <f>IFERROR(__xludf.DUMMYFUNCTION("IF(REGEXMATCH(C164, ""n""), ""b7"","""")"),"b7")</f>
        <v>b7</v>
      </c>
      <c r="GN164" s="246" t="str">
        <f>IFERROR(__xludf.DUMMYFUNCTION("IF(REGEXMATCH(C164, ""N""), ""7"","""")"),"")</f>
        <v/>
      </c>
      <c r="GO164" s="249" t="str">
        <f>IFERROR(__xludf.DUMMYFUNCTION("IF(REGEXMATCH(C164, ""S""), ""8"","""")"),"8")</f>
        <v>8</v>
      </c>
      <c r="GP164" s="244" t="str">
        <f>IFERROR(__xludf.DUMMYFUNCTION("IF(REGEXMATCH(C164, ""S""), ""S"","""")"),"S")</f>
        <v>S</v>
      </c>
      <c r="GQ164" s="294" t="str">
        <f>IFERROR(__xludf.DUMMYFUNCTION("IF(REGEXMATCH(C164, ""r""), ""R1"","""")"),"")</f>
        <v/>
      </c>
      <c r="GR164" s="295" t="str">
        <f>IFERROR(__xludf.DUMMYFUNCTION("IF(REGEXMATCH(C164, ""R""), ""R2"","""")"),"R2")</f>
        <v>R2</v>
      </c>
      <c r="GS164" s="295" t="str">
        <f>IFERROR(__xludf.DUMMYFUNCTION("IF(REGEXMATCH(C164, ""g""), ""G2"","""")"),"G2")</f>
        <v>G2</v>
      </c>
      <c r="GT164" s="294" t="str">
        <f>IFERROR(__xludf.DUMMYFUNCTION("IF(REGEXMATCH(C164, ""G""), ""G3"","""")"),"")</f>
        <v/>
      </c>
      <c r="GU164" s="294" t="str">
        <f>IFERROR(__xludf.DUMMYFUNCTION("IF(REGEXMATCH(C164, ""m""), ""M1"","""")"),"M1")</f>
        <v>M1</v>
      </c>
      <c r="GV164" s="295" t="str">
        <f>IFERROR(__xludf.DUMMYFUNCTION("IF(REGEXMATCH(C164, ""M""), ""M2"","""")"),"")</f>
        <v/>
      </c>
      <c r="GW164" s="294" t="str">
        <f>IFERROR(__xludf.DUMMYFUNCTION("IF(REGEXMATCH(C164, ""P""), ""P"","""")"),"P")</f>
        <v>P</v>
      </c>
      <c r="GX164" s="295" t="str">
        <f>IFERROR(__xludf.DUMMYFUNCTION("IF(REGEXMATCH(C164, ""d""), ""D1"","""")"),"")</f>
        <v/>
      </c>
      <c r="GY164" s="294" t="str">
        <f>IFERROR(__xludf.DUMMYFUNCTION("IF(REGEXMATCH(C164, ""D""), ""D2"","""")"),"D2")</f>
        <v>D2</v>
      </c>
      <c r="GZ164" s="294" t="str">
        <f>IFERROR(__xludf.DUMMYFUNCTION("IF(REGEXMATCH(C164, ""n""), ""N2"","""")"),"N2")</f>
        <v>N2</v>
      </c>
      <c r="HA164" s="295" t="str">
        <f>IFERROR(__xludf.DUMMYFUNCTION("IF(REGEXMATCH(C164, ""N""), ""N3"","""")"),"")</f>
        <v/>
      </c>
      <c r="HB164" s="249" t="str">
        <f>IFERROR(__xludf.DUMMYFUNCTION("IF(REGEXMATCH(C164, ""S""), ""S"","""")"),"S")</f>
        <v>S</v>
      </c>
      <c r="HC164" s="331" t="str">
        <f t="shared" si="95"/>
        <v>S</v>
      </c>
      <c r="HD164" s="332" t="str">
        <f t="shared" si="96"/>
        <v/>
      </c>
      <c r="HE164" s="332" t="str">
        <f t="shared" si="97"/>
        <v>R</v>
      </c>
      <c r="HF164" s="332" t="str">
        <f t="shared" si="98"/>
        <v>g</v>
      </c>
      <c r="HG164" s="332" t="str">
        <f t="shared" si="99"/>
        <v/>
      </c>
      <c r="HH164" s="332" t="str">
        <f t="shared" si="100"/>
        <v>m</v>
      </c>
      <c r="HI164" s="332" t="str">
        <f t="shared" si="101"/>
        <v/>
      </c>
      <c r="HJ164" s="332" t="str">
        <f t="shared" si="102"/>
        <v>P</v>
      </c>
      <c r="HK164" s="332" t="str">
        <f t="shared" si="103"/>
        <v/>
      </c>
      <c r="HL164" s="332" t="str">
        <f t="shared" si="104"/>
        <v>D</v>
      </c>
      <c r="HM164" s="332" t="str">
        <f t="shared" si="105"/>
        <v>n</v>
      </c>
      <c r="HN164" s="332" t="str">
        <f t="shared" si="106"/>
        <v/>
      </c>
      <c r="HO164" s="343" t="str">
        <f t="shared" si="107"/>
        <v>S</v>
      </c>
      <c r="HP164" s="331" t="str">
        <f t="shared" si="108"/>
        <v>o</v>
      </c>
      <c r="HQ164" s="332" t="str">
        <f t="shared" si="109"/>
        <v>•</v>
      </c>
      <c r="HR164" s="332" t="str">
        <f t="shared" si="110"/>
        <v>o</v>
      </c>
      <c r="HS164" s="332" t="str">
        <f t="shared" si="111"/>
        <v>o</v>
      </c>
      <c r="HT164" s="332" t="str">
        <f t="shared" si="112"/>
        <v>•</v>
      </c>
      <c r="HU164" s="332" t="str">
        <f t="shared" si="113"/>
        <v>o</v>
      </c>
      <c r="HV164" s="332" t="str">
        <f t="shared" si="114"/>
        <v>•</v>
      </c>
      <c r="HW164" s="332" t="str">
        <f t="shared" si="115"/>
        <v>o</v>
      </c>
      <c r="HX164" s="332" t="str">
        <f t="shared" si="116"/>
        <v>•</v>
      </c>
      <c r="HY164" s="332" t="str">
        <f t="shared" si="117"/>
        <v>o</v>
      </c>
      <c r="HZ164" s="332" t="str">
        <f t="shared" si="118"/>
        <v>o</v>
      </c>
      <c r="IA164" s="332" t="str">
        <f t="shared" si="119"/>
        <v>•</v>
      </c>
      <c r="IB164" s="338" t="str">
        <f t="shared" si="120"/>
        <v>o</v>
      </c>
      <c r="IC164" s="331" t="str">
        <f t="shared" si="121"/>
        <v>•</v>
      </c>
      <c r="ID164" s="332" t="str">
        <f t="shared" si="122"/>
        <v>o</v>
      </c>
      <c r="IE164" s="332" t="str">
        <f t="shared" si="123"/>
        <v>•</v>
      </c>
      <c r="IF164" s="332" t="str">
        <f t="shared" si="124"/>
        <v>•</v>
      </c>
      <c r="IG164" s="332" t="str">
        <f t="shared" si="125"/>
        <v>o</v>
      </c>
      <c r="IH164" s="332" t="str">
        <f t="shared" si="126"/>
        <v>•</v>
      </c>
      <c r="II164" s="332" t="str">
        <f t="shared" si="127"/>
        <v>o</v>
      </c>
      <c r="IJ164" s="332" t="str">
        <f t="shared" si="128"/>
        <v>•</v>
      </c>
      <c r="IK164" s="332" t="str">
        <f t="shared" si="129"/>
        <v>o</v>
      </c>
      <c r="IL164" s="332" t="str">
        <f t="shared" si="130"/>
        <v>•</v>
      </c>
      <c r="IM164" s="332" t="str">
        <f t="shared" si="131"/>
        <v>•</v>
      </c>
      <c r="IN164" s="332" t="str">
        <f t="shared" si="132"/>
        <v>o</v>
      </c>
      <c r="IO164" s="338" t="str">
        <f t="shared" si="133"/>
        <v>•</v>
      </c>
      <c r="IP164" s="346" t="b">
        <f t="shared" si="134"/>
        <v>0</v>
      </c>
      <c r="IQ164" s="347" t="b">
        <f t="shared" si="135"/>
        <v>0</v>
      </c>
      <c r="IR164" s="347" t="b">
        <f t="shared" si="136"/>
        <v>0</v>
      </c>
      <c r="IS164" s="347" t="b">
        <f t="shared" si="137"/>
        <v>0</v>
      </c>
      <c r="IT164" s="347" t="b">
        <f t="shared" si="138"/>
        <v>0</v>
      </c>
      <c r="IU164" s="347" t="b">
        <f t="shared" si="139"/>
        <v>0</v>
      </c>
      <c r="IV164" s="347" t="b">
        <f t="shared" si="140"/>
        <v>0</v>
      </c>
      <c r="IW164" s="347" t="b">
        <f t="shared" si="141"/>
        <v>0</v>
      </c>
      <c r="IX164" s="347" t="b">
        <f t="shared" si="142"/>
        <v>0</v>
      </c>
      <c r="IY164" s="347" t="b">
        <f t="shared" si="143"/>
        <v>1</v>
      </c>
      <c r="IZ164" s="347" t="b">
        <f t="shared" si="144"/>
        <v>0</v>
      </c>
      <c r="JA164" s="347" t="b">
        <f t="shared" si="145"/>
        <v>0</v>
      </c>
      <c r="JB164" s="353" t="b">
        <f t="shared" si="146"/>
        <v>0</v>
      </c>
      <c r="JC164" s="354" t="str">
        <f t="shared" si="147"/>
        <v/>
      </c>
      <c r="JD164" s="355" t="str">
        <f t="shared" si="148"/>
        <v/>
      </c>
      <c r="JE164" s="355" t="str">
        <f t="shared" si="149"/>
        <v/>
      </c>
      <c r="JF164" s="355" t="str">
        <f t="shared" si="150"/>
        <v/>
      </c>
      <c r="JG164" s="355" t="str">
        <f t="shared" si="151"/>
        <v/>
      </c>
      <c r="JH164" s="355" t="str">
        <f t="shared" si="152"/>
        <v/>
      </c>
      <c r="JI164" s="355" t="str">
        <f t="shared" si="153"/>
        <v/>
      </c>
      <c r="JJ164" s="355" t="str">
        <f t="shared" si="154"/>
        <v/>
      </c>
      <c r="JK164" s="355" t="str">
        <f t="shared" si="155"/>
        <v/>
      </c>
      <c r="JL164" s="355" t="str">
        <f t="shared" si="156"/>
        <v>Dha, </v>
      </c>
      <c r="JM164" s="355" t="str">
        <f t="shared" si="157"/>
        <v/>
      </c>
      <c r="JN164" s="355" t="str">
        <f t="shared" si="158"/>
        <v/>
      </c>
      <c r="JO164" s="359" t="str">
        <f t="shared" si="159"/>
        <v/>
      </c>
      <c r="JP164" s="346" t="b">
        <f t="shared" si="160"/>
        <v>0</v>
      </c>
      <c r="JQ164" s="347" t="b">
        <f t="shared" si="161"/>
        <v>0</v>
      </c>
      <c r="JR164" s="347" t="b">
        <f t="shared" si="162"/>
        <v>0</v>
      </c>
      <c r="JS164" s="347" t="b">
        <f t="shared" si="163"/>
        <v>0</v>
      </c>
      <c r="JT164" s="347" t="b">
        <f t="shared" si="164"/>
        <v>0</v>
      </c>
      <c r="JU164" s="347" t="b">
        <f t="shared" si="165"/>
        <v>0</v>
      </c>
      <c r="JV164" s="347" t="b">
        <f t="shared" si="166"/>
        <v>0</v>
      </c>
      <c r="JW164" s="347" t="b">
        <f t="shared" si="167"/>
        <v>0</v>
      </c>
      <c r="JX164" s="347" t="b">
        <f t="shared" si="168"/>
        <v>0</v>
      </c>
      <c r="JY164" s="347" t="b">
        <f t="shared" si="169"/>
        <v>0</v>
      </c>
      <c r="JZ164" s="347" t="b">
        <f t="shared" si="170"/>
        <v>0</v>
      </c>
      <c r="KA164" s="347" t="b">
        <f t="shared" si="171"/>
        <v>0</v>
      </c>
      <c r="KB164" s="365" t="b">
        <f t="shared" si="172"/>
        <v>0</v>
      </c>
      <c r="KC164" s="354" t="str">
        <f t="shared" si="173"/>
        <v/>
      </c>
      <c r="KD164" s="355" t="str">
        <f t="shared" si="174"/>
        <v/>
      </c>
      <c r="KE164" s="355" t="str">
        <f t="shared" si="175"/>
        <v/>
      </c>
      <c r="KF164" s="355" t="str">
        <f t="shared" si="176"/>
        <v/>
      </c>
      <c r="KG164" s="355" t="str">
        <f t="shared" si="177"/>
        <v/>
      </c>
      <c r="KH164" s="355" t="str">
        <f t="shared" si="178"/>
        <v/>
      </c>
      <c r="KI164" s="355" t="str">
        <f t="shared" si="179"/>
        <v/>
      </c>
      <c r="KJ164" s="355" t="str">
        <f t="shared" si="180"/>
        <v/>
      </c>
      <c r="KK164" s="355" t="str">
        <f t="shared" si="181"/>
        <v/>
      </c>
      <c r="KL164" s="355" t="str">
        <f t="shared" si="182"/>
        <v/>
      </c>
      <c r="KM164" s="355" t="str">
        <f t="shared" si="183"/>
        <v/>
      </c>
      <c r="KN164" s="355" t="str">
        <f t="shared" si="184"/>
        <v/>
      </c>
      <c r="KO164" s="359"/>
      <c r="KP164" s="378"/>
      <c r="KQ164" s="379" t="s">
        <v>561</v>
      </c>
      <c r="KR164" s="380" t="s">
        <v>1297</v>
      </c>
      <c r="KS164" s="381" t="str">
        <f>KQ164</f>
        <v>S-R-g-m-P-D-n-S</v>
      </c>
      <c r="KT164" s="382">
        <f t="shared" si="186"/>
        <v>7</v>
      </c>
      <c r="KU164" s="383">
        <f t="shared" si="187"/>
        <v>7</v>
      </c>
      <c r="KV164" s="381" t="str">
        <f t="shared" si="205"/>
        <v>S-n-D-P-m-g-R-S</v>
      </c>
      <c r="KW164" s="382">
        <f t="shared" si="189"/>
        <v>7</v>
      </c>
      <c r="KX164" s="384">
        <f t="shared" si="190"/>
        <v>7</v>
      </c>
      <c r="KY164" s="382">
        <f t="shared" ref="KY164:KZ164" si="539">KW164-KT164</f>
        <v>0</v>
      </c>
      <c r="KZ164" s="369">
        <f t="shared" si="539"/>
        <v>0</v>
      </c>
      <c r="LA164" s="385" t="str">
        <f t="shared" si="192"/>
        <v>✔</v>
      </c>
      <c r="LB164" s="340" t="str">
        <f>IFERROR(__xludf.DUMMYFUNCTION("JOIN("""",ArrayFormula(MID(KS164,LEN(KS164)-SEQUENCE(1,LEN(KS164))+1,1)))"),"S-n-D-P-m-g-R-S")</f>
        <v>S-n-D-P-m-g-R-S</v>
      </c>
      <c r="LC164" s="373" t="str">
        <f>IFERROR(__xludf.DUMMYFUNCTION("JOIN("""",ArrayFormula(MID(KV164,LEN(KV164)-SEQUENCE(1,LEN(KV164))+1,1)))"),"S-R-g-m-P-D-n-S")</f>
        <v>S-R-g-m-P-D-n-S</v>
      </c>
      <c r="LD164" s="373" t="str">
        <f t="shared" si="193"/>
        <v>SRgmPDnS</v>
      </c>
      <c r="LE164" s="339" t="str">
        <f t="shared" si="194"/>
        <v>SRgmPDnS</v>
      </c>
      <c r="LF164" s="386" t="str">
        <f>IFERROR(__xludf.DUMMYFUNCTION("SUBSTITUTE(SUBSTITUTE(CONCATENATE(JOIN("""",LH164:LT164)),""1"",""""),""2"","""")"),"SRgmPDnS")</f>
        <v>SRgmPDnS</v>
      </c>
      <c r="LG164" s="369" t="str">
        <f t="shared" si="195"/>
        <v>✔</v>
      </c>
      <c r="LH164" s="387" t="str">
        <f>IFERROR(__xludf.DUMMYFUNCTION("IF(REGEXMATCH(LD164, ""S""), ""S"",IF(REGEXMATCH(LE164, ""S""), ""S"",""""))"),"S")</f>
        <v>S</v>
      </c>
      <c r="LI164" s="299" t="str">
        <f>IFERROR(__xludf.DUMMYFUNCTION("IF(REGEXMATCH(LD164, ""r""), ""r1"",IF(REGEXMATCH(LE164, ""r""), ""r2"",""""))"),"")</f>
        <v/>
      </c>
      <c r="LJ164" s="299" t="str">
        <f>IFERROR(__xludf.DUMMYFUNCTION("IF(REGEXMATCH(LD164, ""R""), ""R1"",IF(REGEXMATCH(LE164, ""R""), ""R2"",""""))"),"R1")</f>
        <v>R1</v>
      </c>
      <c r="LK164" s="299" t="str">
        <f>IFERROR(__xludf.DUMMYFUNCTION("IF(REGEXMATCH(LD164, ""g""), ""g1"",IF(REGEXMATCH(LE164, ""g""), ""g2"",""""))"),"g1")</f>
        <v>g1</v>
      </c>
      <c r="LL164" s="299" t="str">
        <f>IFERROR(__xludf.DUMMYFUNCTION("IF(REGEXMATCH(LD164, ""G""), ""G1"",IF(REGEXMATCH(LE164, ""G""), ""G2"",""""))"),"")</f>
        <v/>
      </c>
      <c r="LM164" s="299" t="str">
        <f>IFERROR(__xludf.DUMMYFUNCTION("IF(REGEXMATCH(LD164, ""m""), ""m1"",IF(REGEXMATCH(LE164, ""m""), ""m2"",""""))"),"m1")</f>
        <v>m1</v>
      </c>
      <c r="LN164" s="299" t="str">
        <f>IFERROR(__xludf.DUMMYFUNCTION("IF(REGEXMATCH(LD164, ""M""), ""M1"",IF(REGEXMATCH(LE164, ""M""), ""M2"",""""))"),"")</f>
        <v/>
      </c>
      <c r="LO164" s="299" t="str">
        <f>IFERROR(__xludf.DUMMYFUNCTION("IF(REGEXMATCH(LD164, ""P""), ""P1"",IF(REGEXMATCH(LE164, ""P""), ""P2"",""""))"),"P1")</f>
        <v>P1</v>
      </c>
      <c r="LP164" s="299" t="str">
        <f>IFERROR(__xludf.DUMMYFUNCTION("IF(REGEXMATCH(LD164, ""d""), ""d1"",IF(REGEXMATCH(LE164, ""d""), ""d2"",""""))"),"")</f>
        <v/>
      </c>
      <c r="LQ164" s="299" t="str">
        <f>IFERROR(__xludf.DUMMYFUNCTION("IF(REGEXMATCH(LD164, ""D""), ""D1"",IF(REGEXMATCH(LE164, ""D""), ""D2"",""""))"),"D1")</f>
        <v>D1</v>
      </c>
      <c r="LR164" s="299" t="str">
        <f>IFERROR(__xludf.DUMMYFUNCTION("IF(REGEXMATCH(LD164, ""n""), ""n1"",IF(REGEXMATCH(LE164, ""n""), ""n2"",""""))"),"n1")</f>
        <v>n1</v>
      </c>
      <c r="LS164" s="299" t="str">
        <f>IFERROR(__xludf.DUMMYFUNCTION("IF(REGEXMATCH(LD164, ""N""), ""N1"",IF(REGEXMATCH(LE164, ""N""), ""N2"",""""))"),"")</f>
        <v/>
      </c>
      <c r="LT164" s="388" t="str">
        <f>IFERROR(__xludf.DUMMYFUNCTION("IF(REGEXMATCH(LD164, ""S""), ""S"",IF(REGEXMATCH(LE164, ""S""), ""S"",""""))"),"S")</f>
        <v>S</v>
      </c>
      <c r="LU164" s="389">
        <f t="shared" si="196"/>
        <v>1</v>
      </c>
      <c r="LV164" s="378"/>
      <c r="LW164" s="369"/>
      <c r="LX164" s="369"/>
    </row>
    <row r="165" ht="18.0" customHeight="1">
      <c r="A165" s="298" t="s">
        <v>851</v>
      </c>
      <c r="B165" s="222" t="s">
        <v>738</v>
      </c>
      <c r="C165" s="233" t="str">
        <f t="shared" si="7"/>
        <v>SRGmPDnS</v>
      </c>
      <c r="D165" s="234" t="str">
        <f>IFERROR(__xludf.DUMMYFUNCTION("IF(REGEXMATCH(C165, ""S""), ""S"","""")"),"S")</f>
        <v>S</v>
      </c>
      <c r="E165" s="236" t="str">
        <f>IFERROR(__xludf.DUMMYFUNCTION("IF(REGEXMATCH(C165, ""r""), ""r"","""")"),"")</f>
        <v/>
      </c>
      <c r="F165" s="237" t="str">
        <f>IFERROR(__xludf.DUMMYFUNCTION("IF(REGEXMATCH(C165, ""R""), ""R"","""")"),"R")</f>
        <v>R</v>
      </c>
      <c r="G165" s="237" t="str">
        <f>IFERROR(__xludf.DUMMYFUNCTION("IF(REGEXMATCH(C165, ""g""), ""g"","""")"),"")</f>
        <v/>
      </c>
      <c r="H165" s="236" t="str">
        <f>IFERROR(__xludf.DUMMYFUNCTION("IF(REGEXMATCH(C165, ""G""), ""G"","""")"),"G")</f>
        <v>G</v>
      </c>
      <c r="I165" s="236" t="str">
        <f>IFERROR(__xludf.DUMMYFUNCTION("IF(REGEXMATCH(C165, ""m""), ""m"","""")"),"m")</f>
        <v>m</v>
      </c>
      <c r="J165" s="237" t="str">
        <f>IFERROR(__xludf.DUMMYFUNCTION("IF(REGEXMATCH(C165, ""M""), ""M"","""")"),"")</f>
        <v/>
      </c>
      <c r="K165" s="236" t="str">
        <f>IFERROR(__xludf.DUMMYFUNCTION("IF(REGEXMATCH(C165, ""P""), ""P"","""")"),"P")</f>
        <v>P</v>
      </c>
      <c r="L165" s="237" t="str">
        <f>IFERROR(__xludf.DUMMYFUNCTION("IF(REGEXMATCH(C165, ""d""), ""d"","""")"),"")</f>
        <v/>
      </c>
      <c r="M165" s="236" t="str">
        <f>IFERROR(__xludf.DUMMYFUNCTION("IF(REGEXMATCH(C165, ""D""), ""D"","""")"),"D")</f>
        <v>D</v>
      </c>
      <c r="N165" s="236" t="str">
        <f>IFERROR(__xludf.DUMMYFUNCTION("IF(REGEXMATCH(C165, ""n""), ""n"","""")"),"n")</f>
        <v>n</v>
      </c>
      <c r="O165" s="237" t="str">
        <f>IFERROR(__xludf.DUMMYFUNCTION("IF(REGEXMATCH(C165, ""N""), ""N"","""")"),"")</f>
        <v/>
      </c>
      <c r="P165" s="238" t="str">
        <f>IFERROR(__xludf.DUMMYFUNCTION("IF(REGEXMATCH(C165, ""S""), ""S"","""")"),"S")</f>
        <v>S</v>
      </c>
      <c r="Q165" s="239" t="str">
        <f>IFERROR(__xludf.DUMMYFUNCTION("SUBSTITUTE(CONCATENATE(JOIN(""-"",D165:J165)),""-"","""")"),"SRGm")</f>
        <v>SRGm</v>
      </c>
      <c r="R165" s="229" t="str">
        <f>IFERROR(__xludf.DUMMYFUNCTION("SUBSTITUTE(CONCATENATE(JOIN(""-"",K165:P165)),""-"","""")"),"PDnS")</f>
        <v>PDnS</v>
      </c>
      <c r="S165" s="282" t="str">
        <f t="shared" si="8"/>
        <v>S-R-G-M</v>
      </c>
      <c r="T165" s="282" t="str">
        <f t="shared" si="9"/>
        <v>P-D-N-S</v>
      </c>
      <c r="U165" s="237" t="str">
        <f>IFERROR(__xludf.DUMMYFUNCTION("SUBSTITUTE(JOIN(""-"",S165,T165),""--"",""-"")"),"S-R-G-M-P-D-N-S")</f>
        <v>S-R-G-M-P-D-N-S</v>
      </c>
      <c r="V165" s="309" t="str">
        <f t="shared" si="10"/>
        <v>RGmDn</v>
      </c>
      <c r="W165" s="244" t="str">
        <f>IFERROR(__xludf.DUMMYFUNCTION("IF(REGEXMATCH(C165, ""S""), ""0"","""")"),"0")</f>
        <v>0</v>
      </c>
      <c r="X165" s="245" t="str">
        <f>IFERROR(__xludf.DUMMYFUNCTION("IF(REGEXMATCH(C165, ""r""), ""1"","""")"),"")</f>
        <v/>
      </c>
      <c r="Y165" s="246" t="str">
        <f>IFERROR(__xludf.DUMMYFUNCTION("IF(REGEXMATCH(C165, ""R""), ""2"","""")"),"2")</f>
        <v>2</v>
      </c>
      <c r="Z165" s="246" t="str">
        <f>IFERROR(__xludf.DUMMYFUNCTION("IF(REGEXMATCH(C165, ""g""), ""3"","""")"),"")</f>
        <v/>
      </c>
      <c r="AA165" s="245" t="str">
        <f>IFERROR(__xludf.DUMMYFUNCTION("IF(REGEXMATCH(C165, ""G""), ""4"","""")"),"4")</f>
        <v>4</v>
      </c>
      <c r="AB165" s="245" t="str">
        <f>IFERROR(__xludf.DUMMYFUNCTION("IF(REGEXMATCH(C165, ""m""), ""5"","""")"),"5")</f>
        <v>5</v>
      </c>
      <c r="AC165" s="246" t="str">
        <f>IFERROR(__xludf.DUMMYFUNCTION("IF(REGEXMATCH(C165, ""M""), ""6"","""")"),"")</f>
        <v/>
      </c>
      <c r="AD165" s="245" t="str">
        <f>IFERROR(__xludf.DUMMYFUNCTION("IF(REGEXMATCH(C165, ""P""), ""7"","""")"),"7")</f>
        <v>7</v>
      </c>
      <c r="AE165" s="246" t="str">
        <f>IFERROR(__xludf.DUMMYFUNCTION("IF(REGEXMATCH(C165, ""d""), ""8"","""")"),"")</f>
        <v/>
      </c>
      <c r="AF165" s="245" t="str">
        <f>IFERROR(__xludf.DUMMYFUNCTION("IF(REGEXMATCH(C165, ""D""), ""9"","""")"),"9")</f>
        <v>9</v>
      </c>
      <c r="AG165" s="245" t="str">
        <f>IFERROR(__xludf.DUMMYFUNCTION("IF(REGEXMATCH(C165, ""n""), ""10"","""")"),"10")</f>
        <v>10</v>
      </c>
      <c r="AH165" s="246" t="str">
        <f>IFERROR(__xludf.DUMMYFUNCTION("IF(REGEXMATCH(C165, ""N""), ""11"","""")"),"")</f>
        <v/>
      </c>
      <c r="AI165" s="249" t="str">
        <f>IFERROR(__xludf.DUMMYFUNCTION("IF(REGEXMATCH(C165, ""S""), ""0"","""")"),"0")</f>
        <v>0</v>
      </c>
      <c r="AJ165" s="313" t="str">
        <f t="shared" si="11"/>
        <v>-</v>
      </c>
      <c r="AK165" s="313" t="str">
        <f t="shared" si="12"/>
        <v>-</v>
      </c>
      <c r="AL165" s="313" t="str">
        <f t="shared" si="13"/>
        <v>-</v>
      </c>
      <c r="AM165" s="313" t="str">
        <f t="shared" si="14"/>
        <v>-</v>
      </c>
      <c r="AN165" s="313" t="str">
        <f t="shared" si="15"/>
        <v>T</v>
      </c>
      <c r="AO165" s="314" t="str">
        <f t="shared" si="16"/>
        <v>-</v>
      </c>
      <c r="AP165" s="316">
        <f t="shared" si="17"/>
        <v>1</v>
      </c>
      <c r="AQ165" s="319" t="str">
        <f t="shared" si="18"/>
        <v>-</v>
      </c>
      <c r="AR165" s="320">
        <f t="shared" si="19"/>
        <v>0</v>
      </c>
      <c r="AS165" s="250" t="str">
        <f>IFERROR(__xludf.DUMMYFUNCTION("SUBSTITUTE(SUBSTITUTE(CONCATENATE(JOIN("""",FP165:GA165)),""|"",""x""),""-"",""o"")"),"xoxoxxoxoxxo")</f>
        <v>xoxoxxoxoxxo</v>
      </c>
      <c r="AT165" s="323" t="str">
        <f>IFERROR(__xludf.DUMMYFUNCTION("JOIN("""",AS165,AS165)"),"xoxoxxoxoxxoxoxoxxoxoxxo")</f>
        <v>xoxoxxoxoxxoxoxoxxoxoxxo</v>
      </c>
      <c r="AU165" s="256" t="str">
        <f>IFERROR(__xludf.DUMMYFUNCTION("JOIN("""",ArrayFormula(MID(AS165,LEN(AS165)-SEQUENCE(1,LEN(AS165))+1,1)))"),"oxxoxoxxoxox")</f>
        <v>oxxoxoxxoxox</v>
      </c>
      <c r="AV165" s="256" t="str">
        <f>IFERROR(__xludf.DUMMYFUNCTION("LEFT(CONCATENATE(""x"",JOIN("""",ArrayFormula(MID(AS165,LEN(AS165)-SEQUENCE(1,LEN(AS165))+1,1)))),12)"),"xoxxoxoxxoxo")</f>
        <v>xoxxoxoxxoxo</v>
      </c>
      <c r="AW165" s="327" t="str">
        <f>IFERROR(__xludf.DUMMYFUNCTION("JOIN("""",AU165,AU165)"),"oxxoxoxxoxoxoxxoxoxxoxox")</f>
        <v>oxxoxoxxoxoxoxxoxoxxoxox</v>
      </c>
      <c r="AX165" s="239" t="str">
        <f>IFERROR(__xludf.DUMMYFUNCTION("IF(REGEXMATCH(AW165,AS165),""✔"",""-"")"),"✔")</f>
        <v>✔</v>
      </c>
      <c r="AY165" s="330" t="str">
        <f t="shared" si="20"/>
        <v>-</v>
      </c>
      <c r="AZ165" s="260" t="str">
        <f t="shared" si="21"/>
        <v>#REF!</v>
      </c>
      <c r="BA165" s="333" t="str">
        <f t="shared" si="22"/>
        <v>xoxoxxo</v>
      </c>
      <c r="BB165" s="334" t="str">
        <f t="shared" si="23"/>
        <v>xoxxox</v>
      </c>
      <c r="BC165" s="335" t="str">
        <f t="shared" si="236"/>
        <v>-</v>
      </c>
      <c r="BD165" s="336" t="str">
        <f t="shared" si="25"/>
        <v>Kalashri: 'xoxoxxo' + 'xoxxox'</v>
      </c>
      <c r="BE165" s="337">
        <f>IFERROR(__xludf.DUMMYFUNCTION("COUNTUNIQUE(FILTER(AT:AT,REGEXMATCH(AT:AT,AS165)))-1"),6.0)</f>
        <v>6</v>
      </c>
      <c r="BF165" s="261" t="str">
        <f>IFERROR(__xludf.DUMMYFUNCTION("IF(BI165=0,""(n/a)"",IF(BJ165=2,""(PAIR)"",IF(REGEXMATCH(AT165,""xoxoxxoxoxox""),""Bilawal"",IF(REGEXMATCH(AT165,""xoxoxooxoxoo""),""Bhupali"",IF(REGEXMATCH(AT165,""xoxoxxoxxoxo""),""Charukeshi"",IF(REGEXMATCH(AT165,""xoxoooxxoxxo""),""Kameshwari"",IF(REG"&amp;"EXMATCH(AT165,""xoxoxooxoxox""),""Shankara"",IF(REGEXMATCH(AT165,""xxooxoxxxoox""),""Basant"",IF(REGEXMATCH(AT165,""xoxoxxxxoxox""),""Bihag"",IF(REGEXMATCH(AT165,""xoxxxxoxoxxx""),""Pilu"",IF(REGEXMATCH(AT165,""xoxxoxoxxoox""),""Kirwani"",IF(REGEXMATCH(AT"&amp;"165,""xoxxoxoxoxxx""),""Mk.Malhar"",IF(REGEXMATCH(AT165,""xxooxxoxxoox""),""Bhairav"",IF(REGEXMATCH(AT165,""xxoxooxxxoox""),""Todi"",IF(REGEXMATCH(AT165,""xxooxoxooxox""),""Marwa"",IF(REGEXMATCH(AT165,""xxoooxoxxooo""),""Gunkali"",IF(REGEXMATCH(AT165,""xo"&amp;"xoxxoxxoox""),""Nat Bhairav"",IF(REGEXMATCH(AT165,""xoxxoooxoxoo""),""Shivranjani"",IF(REGEXMATCH(AT165,""xooxxxoxooxo""),""Jog"",IF(REGEXMATCH(AT165,""xxooxoxoxoox""),""Hemshri"",IF(REGEXMATCH(AT165,""xoooxooxoxxo""),""Kalavati"",IF(REGEXMATCH(AT165,""xx"&amp;"oxoxxoxoox""),""Kedar"",IF(REGEXMATCH(AT165,""xoxxxxoxooxx""),""Gara"",IF(REGEXMATCH(AT165,""xooxoxooxoox""),""Chandrakauns"",IF(REGEXMATCH(AT165,""xoxxxxoxxxox""),""Mand"",IF(REGEXMATCH(AT165,""xoxxxxoxoxox""),""Hanskinkini"",IF(REGEXMATCH(AT165,""xxooxx"&amp;"oxooxo""),""Lilavati"",IF(REGEXMATCH(AT165,""xooxoxoooxox""),""Rajeshwari"",IF(REGEXMATCH(AT165,""xoooxxoxoxxx""),""Khokar"",IF(REGEXMATCH(AT165,""xxooxoxxxxox""),""Maligoura"",""-""))))))))))))))))))))))))))))))"),"Bilawal")</f>
        <v>Bilawal</v>
      </c>
      <c r="BG165" s="239" t="str">
        <f t="shared" si="26"/>
        <v>#REF!</v>
      </c>
      <c r="BH165" s="239">
        <f>IFERROR(__xludf.DUMMYFUNCTION("COUNTUNIQUE(FE165:FO165)-1"),6.0)</f>
        <v>6</v>
      </c>
      <c r="BI165" s="239">
        <f>IFERROR(__xludf.DUMMYFUNCTION("COUNTUNIQUE(FILTER(AT:AT,REGEXMATCH(AT:AT,AS165)))-1"),6.0)</f>
        <v>6</v>
      </c>
      <c r="BJ165" s="239">
        <f>IFERROR(__xludf.DUMMYFUNCTION("COUNTA(FILTER(AT:AT,REGEXMATCH(AT:AT,AS165)))"),48.0)</f>
        <v>48</v>
      </c>
      <c r="BK165" s="341">
        <f>IFERROR(__xludf.DUMMYFUNCTION("COUNTA(FILTER(AT:AT,REGEXMATCH(AT:AT,AS165)))-AR165"),48.0)</f>
        <v>48</v>
      </c>
      <c r="BL165" s="276" t="str">
        <f>IFERROR(__xludf.DUMMYFUNCTION("IF(AS165=""oooooooooooo"",""-"",IF(REGEXMATCH(AT165,""xx""), ""Hemi."", ""Anhemi.""))"),"Hemi.")</f>
        <v>Hemi.</v>
      </c>
      <c r="BM165" s="282" t="str">
        <f>IFERROR(__xludf.DUMMYFUNCTION("IF(AS165=""oooooooooooo"",""-"",IF(REGEXMATCH(AT165,""xxx""), ""Cohem."", ""-""))"),"-")</f>
        <v>-</v>
      </c>
      <c r="BN165" s="282" t="str">
        <f>IFERROR(__xludf.DUMMYFUNCTION("IF(AS165=""oooooooooooo"",""-"",IF(REGEXMATCH(AT165,""xxxx""), ""Co-Co."", ""-""))"),"-")</f>
        <v>-</v>
      </c>
      <c r="BO165" s="342" t="str">
        <f>IFERROR(__xludf.DUMMYFUNCTION("IF(AS165=""oooooooooooo"",""-"",IF(REGEXMATCH(AT165,""xxxxx""), ""CCC."", ""-""))"),"-")</f>
        <v>-</v>
      </c>
      <c r="BP165" s="344" t="str">
        <f t="shared" si="27"/>
        <v>Khamaj</v>
      </c>
      <c r="BQ165" s="282" t="str">
        <f>IFERROR(__xludf.DUMMYFUNCTION("IF(REGEXMATCH(JOIN(""-"",EU165:FD165),""TRUE""),""✔"",""-"")"),"✔")</f>
        <v>✔</v>
      </c>
      <c r="BR165" s="225">
        <f t="shared" si="28"/>
        <v>1</v>
      </c>
      <c r="BS165" s="345" t="str">
        <f>IFERROR(__xludf.DUMMYFUNCTION("SUBSTITUTE(SUBSTITUTE(SUBSTITUTE(SUBSTITUTE(CONCATENATE(JOIN(""-"",GC165:GO165)),""--"",""-""),""--"",""-""),""--"",""-""),""--"",""-"")"),"1-2-3-4-5-6-b7-8")</f>
        <v>1-2-3-4-5-6-b7-8</v>
      </c>
      <c r="BT165" s="299" t="str">
        <f>IFERROR(__xludf.DUMMYFUNCTION("SUBSTITUTE(SUBSTITUTE(SUBSTITUTE(SUBSTITUTE(CONCATENATE(JOIN(""-"",GP165:HB165)),""--"",""-""),""--"",""-""),""--"",""-""),""--"",""-"")"),"S-R2-G3-M1-P-D2-N2-S")</f>
        <v>S-R2-G3-M1-P-D2-N2-S</v>
      </c>
      <c r="BU165" s="348" t="str">
        <f t="shared" si="29"/>
        <v>C-D-E-F-G-A-Bb-C</v>
      </c>
      <c r="BV165" s="349" t="str">
        <f t="shared" si="30"/>
        <v>SrgMdNS</v>
      </c>
      <c r="BW165" s="350">
        <f t="shared" si="31"/>
        <v>1</v>
      </c>
      <c r="BX165" s="351">
        <f t="shared" si="32"/>
        <v>8</v>
      </c>
      <c r="BY165" s="392"/>
      <c r="BZ165" s="309" t="str">
        <f>IFERROR(__xludf.DUMMYFUNCTION("IF(REGEXMATCH(C165, ""S""), ""x"",""x"")"),"x")</f>
        <v>x</v>
      </c>
      <c r="CA165" s="245" t="str">
        <f>IFERROR(__xludf.DUMMYFUNCTION("IF(REGEXMATCH(C165, ""r""), ""o"",""x"")"),"x")</f>
        <v>x</v>
      </c>
      <c r="CB165" s="246" t="str">
        <f>IFERROR(__xludf.DUMMYFUNCTION("IF(REGEXMATCH(C165, ""R""), ""o"",""x"")"),"o")</f>
        <v>o</v>
      </c>
      <c r="CC165" s="246" t="str">
        <f>IFERROR(__xludf.DUMMYFUNCTION("IF(REGEXMATCH(C165, ""g""), ""o"",""x"")"),"x")</f>
        <v>x</v>
      </c>
      <c r="CD165" s="245" t="str">
        <f>IFERROR(__xludf.DUMMYFUNCTION("IF(REGEXMATCH(C165, ""G""), ""o"",""x"")"),"o")</f>
        <v>o</v>
      </c>
      <c r="CE165" s="245" t="str">
        <f>IFERROR(__xludf.DUMMYFUNCTION("IF(REGEXMATCH(C165, ""m""), ""o"",""x"")"),"o")</f>
        <v>o</v>
      </c>
      <c r="CF165" s="246" t="str">
        <f>IFERROR(__xludf.DUMMYFUNCTION("IF(REGEXMATCH(C165, ""M""), ""o"",""x"")"),"x")</f>
        <v>x</v>
      </c>
      <c r="CG165" s="245" t="str">
        <f>IFERROR(__xludf.DUMMYFUNCTION("IF(REGEXMATCH(C165, ""P""), ""o"",""x"")"),"o")</f>
        <v>o</v>
      </c>
      <c r="CH165" s="246" t="str">
        <f>IFERROR(__xludf.DUMMYFUNCTION("IF(REGEXMATCH(C165, ""d""), ""o"",""x"")"),"x")</f>
        <v>x</v>
      </c>
      <c r="CI165" s="245" t="str">
        <f>IFERROR(__xludf.DUMMYFUNCTION("IF(REGEXMATCH(C165, ""D""), ""o"",""x"")"),"o")</f>
        <v>o</v>
      </c>
      <c r="CJ165" s="245" t="str">
        <f>IFERROR(__xludf.DUMMYFUNCTION("IF(REGEXMATCH(C165, ""n""), ""o"",""x"")"),"o")</f>
        <v>o</v>
      </c>
      <c r="CK165" s="245" t="str">
        <f>IFERROR(__xludf.DUMMYFUNCTION("IF(REGEXMATCH(C165, ""N""), ""o"",""x"")"),"x")</f>
        <v>x</v>
      </c>
      <c r="CL165" s="356" t="str">
        <f>IFERROR(__xludf.DUMMYFUNCTION("IF(REGEXMATCH(C165, ""S""), ""x"",""x"")"),"x")</f>
        <v>x</v>
      </c>
      <c r="CM165" s="357" t="str">
        <f t="shared" si="33"/>
        <v>xxoxooxoxoox</v>
      </c>
      <c r="CN165" s="358">
        <f t="shared" si="34"/>
        <v>1</v>
      </c>
      <c r="CO165" s="246" t="str">
        <f>IFERROR(__xludf.DUMMYFUNCTION("IF(REGEXMATCH($C165, ""S""), ""S"",""S"")"),"S")</f>
        <v>S</v>
      </c>
      <c r="CP165" s="246" t="str">
        <f>IFERROR(__xludf.DUMMYFUNCTION("IF(REGEXMATCH($C165, ""r""), """",""r"")"),"r")</f>
        <v>r</v>
      </c>
      <c r="CQ165" s="246" t="str">
        <f>IFERROR(__xludf.DUMMYFUNCTION("IF(REGEXMATCH($C165, ""R""), """",""R"")"),"")</f>
        <v/>
      </c>
      <c r="CR165" s="246" t="str">
        <f>IFERROR(__xludf.DUMMYFUNCTION("IF(REGEXMATCH($C165, ""g""), """",""g"")"),"g")</f>
        <v>g</v>
      </c>
      <c r="CS165" s="246" t="str">
        <f>IFERROR(__xludf.DUMMYFUNCTION("IF(REGEXMATCH($C165, ""G""), """",""G"")"),"")</f>
        <v/>
      </c>
      <c r="CT165" s="246" t="str">
        <f>IFERROR(__xludf.DUMMYFUNCTION("IF(REGEXMATCH($C165, ""m""), """",""m"")"),"")</f>
        <v/>
      </c>
      <c r="CU165" s="246" t="str">
        <f>IFERROR(__xludf.DUMMYFUNCTION("IF(REGEXMATCH($C165, ""M""), """",""M"")"),"M")</f>
        <v>M</v>
      </c>
      <c r="CV165" s="246" t="str">
        <f>IFERROR(__xludf.DUMMYFUNCTION("IF(REGEXMATCH($C165, ""P""), """",""P"")"),"")</f>
        <v/>
      </c>
      <c r="CW165" s="246" t="str">
        <f>IFERROR(__xludf.DUMMYFUNCTION("IF(REGEXMATCH($C165, ""d""), """",""d"")"),"d")</f>
        <v>d</v>
      </c>
      <c r="CX165" s="246" t="str">
        <f>IFERROR(__xludf.DUMMYFUNCTION("IF(REGEXMATCH($C165, ""D""), """",""D"")"),"")</f>
        <v/>
      </c>
      <c r="CY165" s="246" t="str">
        <f>IFERROR(__xludf.DUMMYFUNCTION("IF(REGEXMATCH($C165, ""n""), """",""n"")"),"")</f>
        <v/>
      </c>
      <c r="CZ165" s="246" t="str">
        <f>IFERROR(__xludf.DUMMYFUNCTION("IF(REGEXMATCH($C165, ""N""), """",""N"")"),"N")</f>
        <v>N</v>
      </c>
      <c r="DA165" s="246" t="str">
        <f>IFERROR(__xludf.DUMMYFUNCTION("IF(REGEXMATCH($C165, ""S""), ""S"",""S"")"),"S")</f>
        <v>S</v>
      </c>
      <c r="DB165" s="362" t="str">
        <f>IFERROR(__xludf.DUMMYFUNCTION("JOIN("""",CO165:DA165,"""","""")"),"SrgMdNS")</f>
        <v>SrgMdNS</v>
      </c>
      <c r="DC165" s="363"/>
      <c r="DD165" s="301" t="str">
        <f t="shared" si="35"/>
        <v>#REF!</v>
      </c>
      <c r="DE165" s="302" t="str">
        <f t="shared" si="36"/>
        <v>#REF!</v>
      </c>
      <c r="DF165" s="301" t="str">
        <f t="shared" ref="DF165:DG165" si="540">SUBSTITUTE(S165,"-","")</f>
        <v>SRGM</v>
      </c>
      <c r="DG165" s="301" t="str">
        <f t="shared" si="540"/>
        <v>PDNS</v>
      </c>
      <c r="DH165" s="302" t="str">
        <f t="shared" si="38"/>
        <v>Bilawal</v>
      </c>
      <c r="DI165" s="301" t="str">
        <f t="shared" si="39"/>
        <v>Hemi.</v>
      </c>
      <c r="DJ165" s="364" t="str">
        <f t="shared" si="40"/>
        <v>-</v>
      </c>
      <c r="DK165" s="306" t="str">
        <f t="shared" si="41"/>
        <v>Khamaj</v>
      </c>
      <c r="DL165" s="366" t="str">
        <f t="shared" si="42"/>
        <v>-</v>
      </c>
      <c r="DM165" s="308" t="str">
        <f t="shared" si="43"/>
        <v>-</v>
      </c>
      <c r="DN165" s="306" t="str">
        <f t="shared" si="44"/>
        <v>-</v>
      </c>
      <c r="DO165" s="306" t="str">
        <f t="shared" si="45"/>
        <v>-</v>
      </c>
      <c r="DP165" s="367" t="str">
        <f t="shared" si="46"/>
        <v>-</v>
      </c>
      <c r="DQ165" s="310" t="str">
        <f t="shared" si="47"/>
        <v>-</v>
      </c>
      <c r="DR165" s="310" t="str">
        <f t="shared" si="48"/>
        <v>-</v>
      </c>
      <c r="DS165" s="310" t="str">
        <f t="shared" si="49"/>
        <v>-</v>
      </c>
      <c r="DT165" s="310" t="str">
        <f t="shared" si="50"/>
        <v>-</v>
      </c>
      <c r="DU165" s="370" t="str">
        <f t="shared" si="51"/>
        <v>-</v>
      </c>
      <c r="DV165" s="306" t="str">
        <f t="shared" si="52"/>
        <v>-</v>
      </c>
      <c r="DW165" s="306" t="str">
        <f t="shared" si="53"/>
        <v>-</v>
      </c>
      <c r="DX165" s="306" t="str">
        <f t="shared" si="54"/>
        <v>-</v>
      </c>
      <c r="DY165" s="306" t="str">
        <f t="shared" si="55"/>
        <v>-</v>
      </c>
      <c r="DZ165" s="306" t="str">
        <f t="shared" si="56"/>
        <v>-</v>
      </c>
      <c r="EA165" s="367" t="str">
        <f t="shared" si="57"/>
        <v>-</v>
      </c>
      <c r="EB165" s="310" t="str">
        <f>IFERROR(__xludf.DUMMYFUNCTION("IF(REGEXMATCH(AW165,AS165),""✔"",""-"")"),"✔")</f>
        <v>✔</v>
      </c>
      <c r="EC165" s="310" t="str">
        <f t="shared" si="58"/>
        <v>#REF!</v>
      </c>
      <c r="ED165" s="370" t="str">
        <f t="shared" si="59"/>
        <v>-</v>
      </c>
      <c r="EE165" s="340" t="str">
        <f t="shared" si="60"/>
        <v>S-R-G-m-P-D-n-S</v>
      </c>
      <c r="EF165" s="371" t="str">
        <f>IFERROR(__xludf.DUMMYFUNCTION("CONCATENATE(JOIN("""",HC165:HO165))"),"SRgmPdnS")</f>
        <v>SRgmPdnS</v>
      </c>
      <c r="EG165" s="372">
        <f t="shared" si="61"/>
        <v>1</v>
      </c>
      <c r="EH165" s="373" t="str">
        <f>IFERROR(__xludf.DUMMYFUNCTION("CONCATENATE(JOIN("""",JC165:JO165))"),"Ga, ")</f>
        <v>Ga, </v>
      </c>
      <c r="EI165" s="322">
        <f t="shared" si="62"/>
        <v>0</v>
      </c>
      <c r="EJ165" s="374" t="str">
        <f>IFERROR(__xludf.DUMMYFUNCTION("CONCATENATE(JOIN("""",KC165:KO165))"),"")</f>
        <v/>
      </c>
      <c r="EK165" s="325" t="str">
        <f t="shared" si="63"/>
        <v>S-R2-G3-M1-P-D2-N2-S</v>
      </c>
      <c r="EL165" s="326" t="str">
        <f t="shared" si="64"/>
        <v>1-2-3-4-5-6-b7-8</v>
      </c>
      <c r="EM165" s="318" t="str">
        <f t="shared" si="65"/>
        <v>#REF!</v>
      </c>
      <c r="EN165" s="328" t="str">
        <f>IFERROR(__xludf.DUMMYFUNCTION("SUBSTITUTE(SUBSTITUTE(SUBSTITUTE(SUBSTITUTE(CONCATENATE(JOIN("" "",HP165:IB165)),""  "","" ""),""  "","" ""),""  "","" ""),""  "","" "")"),"o • o • o o • o • o o • o")</f>
        <v>o • o • o o • o • o o • o</v>
      </c>
      <c r="EO165" s="368" t="str">
        <f t="shared" si="66"/>
        <v>-</v>
      </c>
      <c r="EP165" s="339" t="str">
        <f t="shared" si="67"/>
        <v>-</v>
      </c>
      <c r="EQ165" s="339" t="str">
        <f t="shared" si="68"/>
        <v>Sa-Pa</v>
      </c>
      <c r="ER165" s="339" t="str">
        <f t="shared" si="69"/>
        <v>-</v>
      </c>
      <c r="ES165" s="340" t="str">
        <f t="shared" si="70"/>
        <v>-</v>
      </c>
      <c r="ET165" s="363"/>
      <c r="EU165" s="376" t="b">
        <f>IFERROR(__xludf.DUMMYFUNCTION("arrayformula(sum(--REGEXMATCH(""SRGMPDNS"",split(REGEXREPLACE(C165,""(.)"",""$1~""),""~""))))=len(C165)
"),FALSE)</f>
        <v>0</v>
      </c>
      <c r="EV165" s="290" t="b">
        <f>IFERROR(__xludf.DUMMYFUNCTION("arrayformula(sum(--REGEXMATCH(""SRGmPDNS"",split(REGEXREPLACE(C165,""(.)"",""$1~""),""~""))))=len(C165)"),FALSE)</f>
        <v>0</v>
      </c>
      <c r="EW165" s="290" t="b">
        <f>IFERROR(__xludf.DUMMYFUNCTION("arrayformula(sum(--REGEXMATCH(""SRGmPDnS"",split(REGEXREPLACE(C165,""(.)"",""$1~""),""~""))))=len(C165)"),TRUE)</f>
        <v>1</v>
      </c>
      <c r="EX165" s="290" t="b">
        <f>IFERROR(__xludf.DUMMYFUNCTION("arrayformula(sum(--REGEXMATCH(""SRgmPDnS"",split(REGEXREPLACE(C165,""(.)"",""$1~""),""~""))))=len(C165)"),FALSE)</f>
        <v>0</v>
      </c>
      <c r="EY165" s="290" t="b">
        <f>IFERROR(__xludf.DUMMYFUNCTION("arrayformula(sum(--REGEXMATCH(""SRgmPdnS"",split(REGEXREPLACE(C165,""(.)"",""$1~""),""~""))))=len(C165)"),FALSE)</f>
        <v>0</v>
      </c>
      <c r="EZ165" s="290" t="b">
        <f>IFERROR(__xludf.DUMMYFUNCTION("arrayformula(sum(--REGEXMATCH(""SrgmPdnS"",split(REGEXREPLACE(C165,""(.)"",""$1~""),""~""))))=len(C165)"),FALSE)</f>
        <v>0</v>
      </c>
      <c r="FA165" s="290" t="b">
        <f>IFERROR(__xludf.DUMMYFUNCTION("arrayformula(sum(--REGEXMATCH(""SrGmPdNS"",split(REGEXREPLACE(C165,""(.)"",""$1~""),""~""))))=len(C165)"),FALSE)</f>
        <v>0</v>
      </c>
      <c r="FB165" s="290" t="b">
        <f>IFERROR(__xludf.DUMMYFUNCTION("arrayformula(sum(--REGEXMATCH(""SrGMPDNS"",split(REGEXREPLACE(C165,""(.)"",""$1~""),""~""))))=len(C165)"),FALSE)</f>
        <v>0</v>
      </c>
      <c r="FC165" s="290" t="b">
        <f>IFERROR(__xludf.DUMMYFUNCTION("arrayformula(sum(--REGEXMATCH(""SrGMPdNS"",split(REGEXREPLACE(C165,""(.)"",""$1~""),""~""))))=len(C165)"),FALSE)</f>
        <v>0</v>
      </c>
      <c r="FD165" s="377" t="b">
        <f>IFERROR(__xludf.DUMMYFUNCTION("arrayformula(sum(--REGEXMATCH(""SrgMPdNS"",split(REGEXREPLACE(C165,""(.)"",""$1~""),""~""))))=len(C165)"),FALSE)</f>
        <v>0</v>
      </c>
      <c r="FE165" s="269" t="str">
        <f t="shared" si="71"/>
        <v>-</v>
      </c>
      <c r="FF165" s="269" t="str">
        <f t="shared" si="72"/>
        <v>xoxxoxoxxox</v>
      </c>
      <c r="FG165" s="271" t="str">
        <f t="shared" si="73"/>
        <v>-</v>
      </c>
      <c r="FH165" s="269" t="str">
        <f t="shared" si="74"/>
        <v>xxoxoxxoxox</v>
      </c>
      <c r="FI165" s="271" t="str">
        <f t="shared" si="75"/>
        <v>xoxoxxoxoxo</v>
      </c>
      <c r="FJ165" s="271" t="str">
        <f t="shared" si="76"/>
        <v>-</v>
      </c>
      <c r="FK165" s="271" t="str">
        <f t="shared" si="77"/>
        <v>xoxxoxoxoxx</v>
      </c>
      <c r="FL165" s="271" t="str">
        <f t="shared" si="78"/>
        <v>-</v>
      </c>
      <c r="FM165" s="271" t="str">
        <f t="shared" si="79"/>
        <v>xxoxoxoxxox</v>
      </c>
      <c r="FN165" s="271" t="str">
        <f t="shared" si="80"/>
        <v>xoxoxoxxoxo</v>
      </c>
      <c r="FO165" s="274" t="str">
        <f t="shared" si="81"/>
        <v>-</v>
      </c>
      <c r="FP165" s="234" t="str">
        <f t="shared" si="82"/>
        <v>|</v>
      </c>
      <c r="FQ165" s="236" t="str">
        <f t="shared" si="83"/>
        <v>-</v>
      </c>
      <c r="FR165" s="237" t="str">
        <f t="shared" si="84"/>
        <v>|</v>
      </c>
      <c r="FS165" s="236" t="str">
        <f t="shared" si="85"/>
        <v>-</v>
      </c>
      <c r="FT165" s="237" t="str">
        <f t="shared" si="86"/>
        <v>|</v>
      </c>
      <c r="FU165" s="236" t="str">
        <f t="shared" si="87"/>
        <v>|</v>
      </c>
      <c r="FV165" s="237" t="str">
        <f t="shared" si="88"/>
        <v>-</v>
      </c>
      <c r="FW165" s="236" t="str">
        <f t="shared" si="89"/>
        <v>|</v>
      </c>
      <c r="FX165" s="237" t="str">
        <f t="shared" si="90"/>
        <v>-</v>
      </c>
      <c r="FY165" s="236" t="str">
        <f t="shared" si="91"/>
        <v>|</v>
      </c>
      <c r="FZ165" s="237" t="str">
        <f t="shared" si="92"/>
        <v>|</v>
      </c>
      <c r="GA165" s="236" t="str">
        <f t="shared" si="93"/>
        <v>-</v>
      </c>
      <c r="GB165" s="238" t="str">
        <f t="shared" si="94"/>
        <v>|</v>
      </c>
      <c r="GC165" s="244" t="str">
        <f>IFERROR(__xludf.DUMMYFUNCTION("IF(REGEXMATCH(C165, ""S""), ""1"","""")"),"1")</f>
        <v>1</v>
      </c>
      <c r="GD165" s="245" t="str">
        <f>IFERROR(__xludf.DUMMYFUNCTION("IF(REGEXMATCH(C165, ""r""), ""b2"","""")"),"")</f>
        <v/>
      </c>
      <c r="GE165" s="246" t="str">
        <f>IFERROR(__xludf.DUMMYFUNCTION("IF(REGEXMATCH(C165, ""R""), ""2"","""")"),"2")</f>
        <v>2</v>
      </c>
      <c r="GF165" s="246" t="str">
        <f>IFERROR(__xludf.DUMMYFUNCTION("IF(REGEXMATCH(C165, ""g""), ""b3"","""")"),"")</f>
        <v/>
      </c>
      <c r="GG165" s="245" t="str">
        <f>IFERROR(__xludf.DUMMYFUNCTION("IF(REGEXMATCH(C165, ""G""), ""3"","""")"),"3")</f>
        <v>3</v>
      </c>
      <c r="GH165" s="245" t="str">
        <f>IFERROR(__xludf.DUMMYFUNCTION("IF(REGEXMATCH(C165, ""m""), ""4"","""")"),"4")</f>
        <v>4</v>
      </c>
      <c r="GI165" s="246" t="str">
        <f>IFERROR(__xludf.DUMMYFUNCTION("IF(REGEXMATCH(C165, ""M""), ""#4"","""")"),"")</f>
        <v/>
      </c>
      <c r="GJ165" s="245" t="str">
        <f>IFERROR(__xludf.DUMMYFUNCTION("IF(REGEXMATCH(C165, ""P""), ""5"","""")"),"5")</f>
        <v>5</v>
      </c>
      <c r="GK165" s="246" t="str">
        <f>IFERROR(__xludf.DUMMYFUNCTION("IF(REGEXMATCH(C165, ""d""), ""b6"","""")"),"")</f>
        <v/>
      </c>
      <c r="GL165" s="245" t="str">
        <f>IFERROR(__xludf.DUMMYFUNCTION("IF(REGEXMATCH(C165, ""D""), ""6"","""")"),"6")</f>
        <v>6</v>
      </c>
      <c r="GM165" s="245" t="str">
        <f>IFERROR(__xludf.DUMMYFUNCTION("IF(REGEXMATCH(C165, ""n""), ""b7"","""")"),"b7")</f>
        <v>b7</v>
      </c>
      <c r="GN165" s="246" t="str">
        <f>IFERROR(__xludf.DUMMYFUNCTION("IF(REGEXMATCH(C165, ""N""), ""7"","""")"),"")</f>
        <v/>
      </c>
      <c r="GO165" s="249" t="str">
        <f>IFERROR(__xludf.DUMMYFUNCTION("IF(REGEXMATCH(C165, ""S""), ""8"","""")"),"8")</f>
        <v>8</v>
      </c>
      <c r="GP165" s="244" t="str">
        <f>IFERROR(__xludf.DUMMYFUNCTION("IF(REGEXMATCH(C165, ""S""), ""S"","""")"),"S")</f>
        <v>S</v>
      </c>
      <c r="GQ165" s="294" t="str">
        <f>IFERROR(__xludf.DUMMYFUNCTION("IF(REGEXMATCH(C165, ""r""), ""R1"","""")"),"")</f>
        <v/>
      </c>
      <c r="GR165" s="295" t="str">
        <f>IFERROR(__xludf.DUMMYFUNCTION("IF(REGEXMATCH(C165, ""R""), ""R2"","""")"),"R2")</f>
        <v>R2</v>
      </c>
      <c r="GS165" s="295" t="str">
        <f>IFERROR(__xludf.DUMMYFUNCTION("IF(REGEXMATCH(C165, ""g""), ""G2"","""")"),"")</f>
        <v/>
      </c>
      <c r="GT165" s="294" t="str">
        <f>IFERROR(__xludf.DUMMYFUNCTION("IF(REGEXMATCH(C165, ""G""), ""G3"","""")"),"G3")</f>
        <v>G3</v>
      </c>
      <c r="GU165" s="294" t="str">
        <f>IFERROR(__xludf.DUMMYFUNCTION("IF(REGEXMATCH(C165, ""m""), ""M1"","""")"),"M1")</f>
        <v>M1</v>
      </c>
      <c r="GV165" s="295" t="str">
        <f>IFERROR(__xludf.DUMMYFUNCTION("IF(REGEXMATCH(C165, ""M""), ""M2"","""")"),"")</f>
        <v/>
      </c>
      <c r="GW165" s="294" t="str">
        <f>IFERROR(__xludf.DUMMYFUNCTION("IF(REGEXMATCH(C165, ""P""), ""P"","""")"),"P")</f>
        <v>P</v>
      </c>
      <c r="GX165" s="295" t="str">
        <f>IFERROR(__xludf.DUMMYFUNCTION("IF(REGEXMATCH(C165, ""d""), ""D1"","""")"),"")</f>
        <v/>
      </c>
      <c r="GY165" s="294" t="str">
        <f>IFERROR(__xludf.DUMMYFUNCTION("IF(REGEXMATCH(C165, ""D""), ""D2"","""")"),"D2")</f>
        <v>D2</v>
      </c>
      <c r="GZ165" s="294" t="str">
        <f>IFERROR(__xludf.DUMMYFUNCTION("IF(REGEXMATCH(C165, ""n""), ""N2"","""")"),"N2")</f>
        <v>N2</v>
      </c>
      <c r="HA165" s="295" t="str">
        <f>IFERROR(__xludf.DUMMYFUNCTION("IF(REGEXMATCH(C165, ""N""), ""N3"","""")"),"")</f>
        <v/>
      </c>
      <c r="HB165" s="249" t="str">
        <f>IFERROR(__xludf.DUMMYFUNCTION("IF(REGEXMATCH(C165, ""S""), ""S"","""")"),"S")</f>
        <v>S</v>
      </c>
      <c r="HC165" s="331" t="str">
        <f t="shared" si="95"/>
        <v>S</v>
      </c>
      <c r="HD165" s="332" t="str">
        <f t="shared" si="96"/>
        <v/>
      </c>
      <c r="HE165" s="332" t="str">
        <f t="shared" si="97"/>
        <v>R</v>
      </c>
      <c r="HF165" s="332" t="str">
        <f t="shared" si="98"/>
        <v>g</v>
      </c>
      <c r="HG165" s="332" t="str">
        <f t="shared" si="99"/>
        <v/>
      </c>
      <c r="HH165" s="332" t="str">
        <f t="shared" si="100"/>
        <v>m</v>
      </c>
      <c r="HI165" s="332" t="str">
        <f t="shared" si="101"/>
        <v/>
      </c>
      <c r="HJ165" s="332" t="str">
        <f t="shared" si="102"/>
        <v>P</v>
      </c>
      <c r="HK165" s="332" t="str">
        <f t="shared" si="103"/>
        <v>d</v>
      </c>
      <c r="HL165" s="332" t="str">
        <f t="shared" si="104"/>
        <v/>
      </c>
      <c r="HM165" s="332" t="str">
        <f t="shared" si="105"/>
        <v>n</v>
      </c>
      <c r="HN165" s="332" t="str">
        <f t="shared" si="106"/>
        <v/>
      </c>
      <c r="HO165" s="343" t="str">
        <f t="shared" si="107"/>
        <v>S</v>
      </c>
      <c r="HP165" s="331" t="str">
        <f t="shared" si="108"/>
        <v>o</v>
      </c>
      <c r="HQ165" s="332" t="str">
        <f t="shared" si="109"/>
        <v>•</v>
      </c>
      <c r="HR165" s="332" t="str">
        <f t="shared" si="110"/>
        <v>o</v>
      </c>
      <c r="HS165" s="332" t="str">
        <f t="shared" si="111"/>
        <v>•</v>
      </c>
      <c r="HT165" s="332" t="str">
        <f t="shared" si="112"/>
        <v>o</v>
      </c>
      <c r="HU165" s="332" t="str">
        <f t="shared" si="113"/>
        <v>o</v>
      </c>
      <c r="HV165" s="332" t="str">
        <f t="shared" si="114"/>
        <v>•</v>
      </c>
      <c r="HW165" s="332" t="str">
        <f t="shared" si="115"/>
        <v>o</v>
      </c>
      <c r="HX165" s="332" t="str">
        <f t="shared" si="116"/>
        <v>•</v>
      </c>
      <c r="HY165" s="332" t="str">
        <f t="shared" si="117"/>
        <v>o</v>
      </c>
      <c r="HZ165" s="332" t="str">
        <f t="shared" si="118"/>
        <v>o</v>
      </c>
      <c r="IA165" s="332" t="str">
        <f t="shared" si="119"/>
        <v>•</v>
      </c>
      <c r="IB165" s="338" t="str">
        <f t="shared" si="120"/>
        <v>o</v>
      </c>
      <c r="IC165" s="331" t="str">
        <f t="shared" si="121"/>
        <v>•</v>
      </c>
      <c r="ID165" s="332" t="str">
        <f t="shared" si="122"/>
        <v>o</v>
      </c>
      <c r="IE165" s="332" t="str">
        <f t="shared" si="123"/>
        <v>•</v>
      </c>
      <c r="IF165" s="332" t="str">
        <f t="shared" si="124"/>
        <v>o</v>
      </c>
      <c r="IG165" s="332" t="str">
        <f t="shared" si="125"/>
        <v>•</v>
      </c>
      <c r="IH165" s="332" t="str">
        <f t="shared" si="126"/>
        <v>•</v>
      </c>
      <c r="II165" s="332" t="str">
        <f t="shared" si="127"/>
        <v>o</v>
      </c>
      <c r="IJ165" s="332" t="str">
        <f t="shared" si="128"/>
        <v>•</v>
      </c>
      <c r="IK165" s="332" t="str">
        <f t="shared" si="129"/>
        <v>o</v>
      </c>
      <c r="IL165" s="332" t="str">
        <f t="shared" si="130"/>
        <v>•</v>
      </c>
      <c r="IM165" s="332" t="str">
        <f t="shared" si="131"/>
        <v>•</v>
      </c>
      <c r="IN165" s="332" t="str">
        <f t="shared" si="132"/>
        <v>o</v>
      </c>
      <c r="IO165" s="338" t="str">
        <f t="shared" si="133"/>
        <v>•</v>
      </c>
      <c r="IP165" s="346" t="b">
        <f t="shared" si="134"/>
        <v>0</v>
      </c>
      <c r="IQ165" s="347" t="b">
        <f t="shared" si="135"/>
        <v>0</v>
      </c>
      <c r="IR165" s="347" t="b">
        <f t="shared" si="136"/>
        <v>0</v>
      </c>
      <c r="IS165" s="347" t="b">
        <f t="shared" si="137"/>
        <v>0</v>
      </c>
      <c r="IT165" s="347" t="b">
        <f t="shared" si="138"/>
        <v>1</v>
      </c>
      <c r="IU165" s="347" t="b">
        <f t="shared" si="139"/>
        <v>0</v>
      </c>
      <c r="IV165" s="347" t="b">
        <f t="shared" si="140"/>
        <v>0</v>
      </c>
      <c r="IW165" s="347" t="b">
        <f t="shared" si="141"/>
        <v>0</v>
      </c>
      <c r="IX165" s="347" t="b">
        <f t="shared" si="142"/>
        <v>0</v>
      </c>
      <c r="IY165" s="347" t="b">
        <f t="shared" si="143"/>
        <v>0</v>
      </c>
      <c r="IZ165" s="347" t="b">
        <f t="shared" si="144"/>
        <v>0</v>
      </c>
      <c r="JA165" s="347" t="b">
        <f t="shared" si="145"/>
        <v>0</v>
      </c>
      <c r="JB165" s="353" t="b">
        <f t="shared" si="146"/>
        <v>0</v>
      </c>
      <c r="JC165" s="354" t="str">
        <f t="shared" si="147"/>
        <v/>
      </c>
      <c r="JD165" s="355" t="str">
        <f t="shared" si="148"/>
        <v/>
      </c>
      <c r="JE165" s="355" t="str">
        <f t="shared" si="149"/>
        <v/>
      </c>
      <c r="JF165" s="355" t="str">
        <f t="shared" si="150"/>
        <v/>
      </c>
      <c r="JG165" s="355" t="str">
        <f t="shared" si="151"/>
        <v>Ga, </v>
      </c>
      <c r="JH165" s="355" t="str">
        <f t="shared" si="152"/>
        <v/>
      </c>
      <c r="JI165" s="355" t="str">
        <f t="shared" si="153"/>
        <v/>
      </c>
      <c r="JJ165" s="355" t="str">
        <f t="shared" si="154"/>
        <v/>
      </c>
      <c r="JK165" s="355" t="str">
        <f t="shared" si="155"/>
        <v/>
      </c>
      <c r="JL165" s="355" t="str">
        <f t="shared" si="156"/>
        <v/>
      </c>
      <c r="JM165" s="355" t="str">
        <f t="shared" si="157"/>
        <v/>
      </c>
      <c r="JN165" s="355" t="str">
        <f t="shared" si="158"/>
        <v/>
      </c>
      <c r="JO165" s="359" t="str">
        <f t="shared" si="159"/>
        <v/>
      </c>
      <c r="JP165" s="346" t="b">
        <f t="shared" si="160"/>
        <v>0</v>
      </c>
      <c r="JQ165" s="347" t="b">
        <f t="shared" si="161"/>
        <v>0</v>
      </c>
      <c r="JR165" s="347" t="b">
        <f t="shared" si="162"/>
        <v>0</v>
      </c>
      <c r="JS165" s="347" t="b">
        <f t="shared" si="163"/>
        <v>0</v>
      </c>
      <c r="JT165" s="347" t="b">
        <f t="shared" si="164"/>
        <v>0</v>
      </c>
      <c r="JU165" s="347" t="b">
        <f t="shared" si="165"/>
        <v>0</v>
      </c>
      <c r="JV165" s="347" t="b">
        <f t="shared" si="166"/>
        <v>0</v>
      </c>
      <c r="JW165" s="347" t="b">
        <f t="shared" si="167"/>
        <v>0</v>
      </c>
      <c r="JX165" s="347" t="b">
        <f t="shared" si="168"/>
        <v>0</v>
      </c>
      <c r="JY165" s="347" t="b">
        <f t="shared" si="169"/>
        <v>0</v>
      </c>
      <c r="JZ165" s="347" t="b">
        <f t="shared" si="170"/>
        <v>0</v>
      </c>
      <c r="KA165" s="347" t="b">
        <f t="shared" si="171"/>
        <v>0</v>
      </c>
      <c r="KB165" s="365" t="b">
        <f t="shared" si="172"/>
        <v>0</v>
      </c>
      <c r="KC165" s="354" t="str">
        <f t="shared" si="173"/>
        <v/>
      </c>
      <c r="KD165" s="355" t="str">
        <f t="shared" si="174"/>
        <v/>
      </c>
      <c r="KE165" s="355" t="str">
        <f t="shared" si="175"/>
        <v/>
      </c>
      <c r="KF165" s="355" t="str">
        <f t="shared" si="176"/>
        <v/>
      </c>
      <c r="KG165" s="355" t="str">
        <f t="shared" si="177"/>
        <v/>
      </c>
      <c r="KH165" s="355" t="str">
        <f t="shared" si="178"/>
        <v/>
      </c>
      <c r="KI165" s="355" t="str">
        <f t="shared" si="179"/>
        <v/>
      </c>
      <c r="KJ165" s="355" t="str">
        <f t="shared" si="180"/>
        <v/>
      </c>
      <c r="KK165" s="355" t="str">
        <f t="shared" si="181"/>
        <v/>
      </c>
      <c r="KL165" s="355" t="str">
        <f t="shared" si="182"/>
        <v/>
      </c>
      <c r="KM165" s="355" t="str">
        <f t="shared" si="183"/>
        <v/>
      </c>
      <c r="KN165" s="355" t="str">
        <f t="shared" si="184"/>
        <v/>
      </c>
      <c r="KO165" s="359"/>
      <c r="KP165" s="378"/>
      <c r="KQ165" s="379" t="s">
        <v>854</v>
      </c>
      <c r="KR165" s="380" t="s">
        <v>1256</v>
      </c>
      <c r="KS165" s="381" t="s">
        <v>9</v>
      </c>
      <c r="KT165" s="382">
        <f t="shared" si="186"/>
        <v>0</v>
      </c>
      <c r="KU165" s="383">
        <f t="shared" si="187"/>
        <v>0</v>
      </c>
      <c r="KV165" s="381" t="str">
        <f t="shared" si="205"/>
        <v>S-n-D-P-m-G-R-S</v>
      </c>
      <c r="KW165" s="382">
        <f t="shared" si="189"/>
        <v>7</v>
      </c>
      <c r="KX165" s="384">
        <f t="shared" si="190"/>
        <v>7</v>
      </c>
      <c r="KY165" s="382">
        <f t="shared" ref="KY165:KZ165" si="541">KW165-KT165</f>
        <v>7</v>
      </c>
      <c r="KZ165" s="369">
        <f t="shared" si="541"/>
        <v>7</v>
      </c>
      <c r="LA165" s="385" t="str">
        <f t="shared" si="192"/>
        <v>-</v>
      </c>
      <c r="LB165" s="340" t="str">
        <f>IFERROR(__xludf.DUMMYFUNCTION("JOIN("""",ArrayFormula(MID(KS165,LEN(KS165)-SEQUENCE(1,LEN(KS165))+1,1)))"),"S")</f>
        <v>S</v>
      </c>
      <c r="LC165" s="373" t="str">
        <f>IFERROR(__xludf.DUMMYFUNCTION("JOIN("""",ArrayFormula(MID(KV165,LEN(KV165)-SEQUENCE(1,LEN(KV165))+1,1)))"),"S-R-G-m-P-D-n-S")</f>
        <v>S-R-G-m-P-D-n-S</v>
      </c>
      <c r="LD165" s="373" t="str">
        <f t="shared" si="193"/>
        <v>S</v>
      </c>
      <c r="LE165" s="339" t="str">
        <f t="shared" si="194"/>
        <v>SRGmPDnS</v>
      </c>
      <c r="LF165" s="386" t="str">
        <f>IFERROR(__xludf.DUMMYFUNCTION("SUBSTITUTE(SUBSTITUTE(CONCATENATE(JOIN("""",LH165:LT165)),""1"",""""),""2"","""")"),"SRGmPDnS")</f>
        <v>SRGmPDnS</v>
      </c>
      <c r="LG165" s="369" t="str">
        <f t="shared" si="195"/>
        <v>✔</v>
      </c>
      <c r="LH165" s="387" t="str">
        <f>IFERROR(__xludf.DUMMYFUNCTION("IF(REGEXMATCH(LD165, ""S""), ""S"",IF(REGEXMATCH(LE165, ""S""), ""S"",""""))"),"S")</f>
        <v>S</v>
      </c>
      <c r="LI165" s="299" t="str">
        <f>IFERROR(__xludf.DUMMYFUNCTION("IF(REGEXMATCH(LD165, ""r""), ""r1"",IF(REGEXMATCH(LE165, ""r""), ""r2"",""""))"),"")</f>
        <v/>
      </c>
      <c r="LJ165" s="299" t="str">
        <f>IFERROR(__xludf.DUMMYFUNCTION("IF(REGEXMATCH(LD165, ""R""), ""R1"",IF(REGEXMATCH(LE165, ""R""), ""R2"",""""))"),"R2")</f>
        <v>R2</v>
      </c>
      <c r="LK165" s="299" t="str">
        <f>IFERROR(__xludf.DUMMYFUNCTION("IF(REGEXMATCH(LD165, ""g""), ""g1"",IF(REGEXMATCH(LE165, ""g""), ""g2"",""""))"),"")</f>
        <v/>
      </c>
      <c r="LL165" s="299" t="str">
        <f>IFERROR(__xludf.DUMMYFUNCTION("IF(REGEXMATCH(LD165, ""G""), ""G1"",IF(REGEXMATCH(LE165, ""G""), ""G2"",""""))"),"G2")</f>
        <v>G2</v>
      </c>
      <c r="LM165" s="299" t="str">
        <f>IFERROR(__xludf.DUMMYFUNCTION("IF(REGEXMATCH(LD165, ""m""), ""m1"",IF(REGEXMATCH(LE165, ""m""), ""m2"",""""))"),"m2")</f>
        <v>m2</v>
      </c>
      <c r="LN165" s="299" t="str">
        <f>IFERROR(__xludf.DUMMYFUNCTION("IF(REGEXMATCH(LD165, ""M""), ""M1"",IF(REGEXMATCH(LE165, ""M""), ""M2"",""""))"),"")</f>
        <v/>
      </c>
      <c r="LO165" s="299" t="str">
        <f>IFERROR(__xludf.DUMMYFUNCTION("IF(REGEXMATCH(LD165, ""P""), ""P1"",IF(REGEXMATCH(LE165, ""P""), ""P2"",""""))"),"P2")</f>
        <v>P2</v>
      </c>
      <c r="LP165" s="299" t="str">
        <f>IFERROR(__xludf.DUMMYFUNCTION("IF(REGEXMATCH(LD165, ""d""), ""d1"",IF(REGEXMATCH(LE165, ""d""), ""d2"",""""))"),"")</f>
        <v/>
      </c>
      <c r="LQ165" s="299" t="str">
        <f>IFERROR(__xludf.DUMMYFUNCTION("IF(REGEXMATCH(LD165, ""D""), ""D1"",IF(REGEXMATCH(LE165, ""D""), ""D2"",""""))"),"D2")</f>
        <v>D2</v>
      </c>
      <c r="LR165" s="299" t="str">
        <f>IFERROR(__xludf.DUMMYFUNCTION("IF(REGEXMATCH(LD165, ""n""), ""n1"",IF(REGEXMATCH(LE165, ""n""), ""n2"",""""))"),"n2")</f>
        <v>n2</v>
      </c>
      <c r="LS165" s="299" t="str">
        <f>IFERROR(__xludf.DUMMYFUNCTION("IF(REGEXMATCH(LD165, ""N""), ""N1"",IF(REGEXMATCH(LE165, ""N""), ""N2"",""""))"),"")</f>
        <v/>
      </c>
      <c r="LT165" s="388" t="str">
        <f>IFERROR(__xludf.DUMMYFUNCTION("IF(REGEXMATCH(LD165, ""S""), ""S"",IF(REGEXMATCH(LE165, ""S""), ""S"",""""))"),"S")</f>
        <v>S</v>
      </c>
      <c r="LU165" s="389">
        <f t="shared" si="196"/>
        <v>-13</v>
      </c>
      <c r="LV165" s="378"/>
      <c r="LW165" s="369"/>
      <c r="LX165" s="369"/>
    </row>
    <row r="166" ht="18.0" customHeight="1">
      <c r="A166" s="298" t="s">
        <v>853</v>
      </c>
      <c r="B166" s="222" t="s">
        <v>854</v>
      </c>
      <c r="C166" s="233" t="str">
        <f t="shared" si="7"/>
        <v>SGPDnS</v>
      </c>
      <c r="D166" s="234" t="str">
        <f>IFERROR(__xludf.DUMMYFUNCTION("IF(REGEXMATCH(C166, ""S""), ""S"","""")"),"S")</f>
        <v>S</v>
      </c>
      <c r="E166" s="236" t="str">
        <f>IFERROR(__xludf.DUMMYFUNCTION("IF(REGEXMATCH(C166, ""r""), ""r"","""")"),"")</f>
        <v/>
      </c>
      <c r="F166" s="237" t="str">
        <f>IFERROR(__xludf.DUMMYFUNCTION("IF(REGEXMATCH(C166, ""R""), ""R"","""")"),"")</f>
        <v/>
      </c>
      <c r="G166" s="237" t="str">
        <f>IFERROR(__xludf.DUMMYFUNCTION("IF(REGEXMATCH(C166, ""g""), ""g"","""")"),"")</f>
        <v/>
      </c>
      <c r="H166" s="236" t="str">
        <f>IFERROR(__xludf.DUMMYFUNCTION("IF(REGEXMATCH(C166, ""G""), ""G"","""")"),"G")</f>
        <v>G</v>
      </c>
      <c r="I166" s="236" t="str">
        <f>IFERROR(__xludf.DUMMYFUNCTION("IF(REGEXMATCH(C166, ""m""), ""m"","""")"),"")</f>
        <v/>
      </c>
      <c r="J166" s="237" t="str">
        <f>IFERROR(__xludf.DUMMYFUNCTION("IF(REGEXMATCH(C166, ""M""), ""M"","""")"),"")</f>
        <v/>
      </c>
      <c r="K166" s="236" t="str">
        <f>IFERROR(__xludf.DUMMYFUNCTION("IF(REGEXMATCH(C166, ""P""), ""P"","""")"),"P")</f>
        <v>P</v>
      </c>
      <c r="L166" s="237" t="str">
        <f>IFERROR(__xludf.DUMMYFUNCTION("IF(REGEXMATCH(C166, ""d""), ""d"","""")"),"")</f>
        <v/>
      </c>
      <c r="M166" s="236" t="str">
        <f>IFERROR(__xludf.DUMMYFUNCTION("IF(REGEXMATCH(C166, ""D""), ""D"","""")"),"D")</f>
        <v>D</v>
      </c>
      <c r="N166" s="236" t="str">
        <f>IFERROR(__xludf.DUMMYFUNCTION("IF(REGEXMATCH(C166, ""n""), ""n"","""")"),"n")</f>
        <v>n</v>
      </c>
      <c r="O166" s="237" t="str">
        <f>IFERROR(__xludf.DUMMYFUNCTION("IF(REGEXMATCH(C166, ""N""), ""N"","""")"),"")</f>
        <v/>
      </c>
      <c r="P166" s="238" t="str">
        <f>IFERROR(__xludf.DUMMYFUNCTION("IF(REGEXMATCH(C166, ""S""), ""S"","""")"),"S")</f>
        <v>S</v>
      </c>
      <c r="Q166" s="239" t="str">
        <f>IFERROR(__xludf.DUMMYFUNCTION("SUBSTITUTE(CONCATENATE(JOIN(""-"",D166:J166)),""-"","""")"),"SG")</f>
        <v>SG</v>
      </c>
      <c r="R166" s="229" t="str">
        <f>IFERROR(__xludf.DUMMYFUNCTION("SUBSTITUTE(CONCATENATE(JOIN(""-"",K166:P166)),""-"","""")"),"PDnS")</f>
        <v>PDnS</v>
      </c>
      <c r="S166" s="282" t="str">
        <f t="shared" si="8"/>
        <v>S-G-</v>
      </c>
      <c r="T166" s="282" t="str">
        <f t="shared" si="9"/>
        <v>P-D-N-S</v>
      </c>
      <c r="U166" s="237" t="str">
        <f>IFERROR(__xludf.DUMMYFUNCTION("SUBSTITUTE(JOIN(""-"",S166,T166),""--"",""-"")"),"S-G-P-D-N-S")</f>
        <v>S-G-P-D-N-S</v>
      </c>
      <c r="V166" s="309" t="str">
        <f t="shared" si="10"/>
        <v>GDn</v>
      </c>
      <c r="W166" s="244" t="str">
        <f>IFERROR(__xludf.DUMMYFUNCTION("IF(REGEXMATCH(C166, ""S""), ""0"","""")"),"0")</f>
        <v>0</v>
      </c>
      <c r="X166" s="245" t="str">
        <f>IFERROR(__xludf.DUMMYFUNCTION("IF(REGEXMATCH(C166, ""r""), ""1"","""")"),"")</f>
        <v/>
      </c>
      <c r="Y166" s="246" t="str">
        <f>IFERROR(__xludf.DUMMYFUNCTION("IF(REGEXMATCH(C166, ""R""), ""2"","""")"),"")</f>
        <v/>
      </c>
      <c r="Z166" s="246" t="str">
        <f>IFERROR(__xludf.DUMMYFUNCTION("IF(REGEXMATCH(C166, ""g""), ""3"","""")"),"")</f>
        <v/>
      </c>
      <c r="AA166" s="245" t="str">
        <f>IFERROR(__xludf.DUMMYFUNCTION("IF(REGEXMATCH(C166, ""G""), ""4"","""")"),"4")</f>
        <v>4</v>
      </c>
      <c r="AB166" s="245" t="str">
        <f>IFERROR(__xludf.DUMMYFUNCTION("IF(REGEXMATCH(C166, ""m""), ""5"","""")"),"")</f>
        <v/>
      </c>
      <c r="AC166" s="246" t="str">
        <f>IFERROR(__xludf.DUMMYFUNCTION("IF(REGEXMATCH(C166, ""M""), ""6"","""")"),"")</f>
        <v/>
      </c>
      <c r="AD166" s="245" t="str">
        <f>IFERROR(__xludf.DUMMYFUNCTION("IF(REGEXMATCH(C166, ""P""), ""7"","""")"),"7")</f>
        <v>7</v>
      </c>
      <c r="AE166" s="246" t="str">
        <f>IFERROR(__xludf.DUMMYFUNCTION("IF(REGEXMATCH(C166, ""d""), ""8"","""")"),"")</f>
        <v/>
      </c>
      <c r="AF166" s="245" t="str">
        <f>IFERROR(__xludf.DUMMYFUNCTION("IF(REGEXMATCH(C166, ""D""), ""9"","""")"),"9")</f>
        <v>9</v>
      </c>
      <c r="AG166" s="245" t="str">
        <f>IFERROR(__xludf.DUMMYFUNCTION("IF(REGEXMATCH(C166, ""n""), ""10"","""")"),"10")</f>
        <v>10</v>
      </c>
      <c r="AH166" s="246" t="str">
        <f>IFERROR(__xludf.DUMMYFUNCTION("IF(REGEXMATCH(C166, ""N""), ""11"","""")"),"")</f>
        <v/>
      </c>
      <c r="AI166" s="249" t="str">
        <f>IFERROR(__xludf.DUMMYFUNCTION("IF(REGEXMATCH(C166, ""S""), ""0"","""")"),"0")</f>
        <v>0</v>
      </c>
      <c r="AJ166" s="313" t="str">
        <f t="shared" si="11"/>
        <v>-</v>
      </c>
      <c r="AK166" s="313" t="str">
        <f t="shared" si="12"/>
        <v>-</v>
      </c>
      <c r="AL166" s="313" t="str">
        <f t="shared" si="13"/>
        <v>-</v>
      </c>
      <c r="AM166" s="313" t="str">
        <f t="shared" si="14"/>
        <v>-</v>
      </c>
      <c r="AN166" s="313" t="str">
        <f t="shared" si="15"/>
        <v>T</v>
      </c>
      <c r="AO166" s="314" t="str">
        <f t="shared" si="16"/>
        <v>-</v>
      </c>
      <c r="AP166" s="316">
        <f t="shared" si="17"/>
        <v>1</v>
      </c>
      <c r="AQ166" s="319" t="str">
        <f t="shared" si="18"/>
        <v>#REF!</v>
      </c>
      <c r="AR166" s="320">
        <f t="shared" si="19"/>
        <v>0</v>
      </c>
      <c r="AS166" s="250" t="str">
        <f>IFERROR(__xludf.DUMMYFUNCTION("SUBSTITUTE(SUBSTITUTE(CONCATENATE(JOIN("""",FP166:GA166)),""|"",""x""),""-"",""o"")"),"xoooxooxoxxo")</f>
        <v>xoooxooxoxxo</v>
      </c>
      <c r="AT166" s="323" t="str">
        <f>IFERROR(__xludf.DUMMYFUNCTION("JOIN("""",AS166,AS166)"),"xoooxooxoxxoxoooxooxoxxo")</f>
        <v>xoooxooxoxxoxoooxooxoxxo</v>
      </c>
      <c r="AU166" s="256" t="str">
        <f>IFERROR(__xludf.DUMMYFUNCTION("JOIN("""",ArrayFormula(MID(AS166,LEN(AS166)-SEQUENCE(1,LEN(AS166))+1,1)))"),"oxxoxooxooox")</f>
        <v>oxxoxooxooox</v>
      </c>
      <c r="AV166" s="256" t="str">
        <f>IFERROR(__xludf.DUMMYFUNCTION("LEFT(CONCATENATE(""x"",JOIN("""",ArrayFormula(MID(AS166,LEN(AS166)-SEQUENCE(1,LEN(AS166))+1,1)))),12)"),"xoxxoxooxooo")</f>
        <v>xoxxoxooxooo</v>
      </c>
      <c r="AW166" s="327" t="str">
        <f>IFERROR(__xludf.DUMMYFUNCTION("JOIN("""",AU166,AU166)"),"oxxoxooxoooxoxxoxooxooox")</f>
        <v>oxxoxooxoooxoxxoxooxooox</v>
      </c>
      <c r="AX166" s="239" t="str">
        <f>IFERROR(__xludf.DUMMYFUNCTION("IF(REGEXMATCH(AW166,AS166),""✔"",""-"")"),"-")</f>
        <v>-</v>
      </c>
      <c r="AY166" s="330" t="str">
        <f t="shared" si="20"/>
        <v>-</v>
      </c>
      <c r="AZ166" s="260" t="str">
        <f t="shared" si="21"/>
        <v>#REF!</v>
      </c>
      <c r="BA166" s="333" t="str">
        <f t="shared" si="22"/>
        <v>xoooxoo</v>
      </c>
      <c r="BB166" s="334" t="str">
        <f t="shared" si="23"/>
        <v>xoxxox</v>
      </c>
      <c r="BC166" s="335" t="str">
        <f t="shared" si="236"/>
        <v>-</v>
      </c>
      <c r="BD166" s="336" t="str">
        <f t="shared" si="25"/>
        <v>Kalavati: 'xoooxoo' + 'xoxxox'</v>
      </c>
      <c r="BE166" s="337">
        <f>IFERROR(__xludf.DUMMYFUNCTION("COUNTUNIQUE(FILTER(AT:AT,REGEXMATCH(AT:AT,AS166)))-1"),2.0)</f>
        <v>2</v>
      </c>
      <c r="BF166" s="261" t="str">
        <f>IFERROR(__xludf.DUMMYFUNCTION("IF(BI166=0,""(n/a)"",IF(BJ166=2,""(PAIR)"",IF(REGEXMATCH(AT166,""xoxoxxoxoxox""),""Bilawal"",IF(REGEXMATCH(AT166,""xoxoxooxoxoo""),""Bhupali"",IF(REGEXMATCH(AT166,""xoxoxxoxxoxo""),""Charukeshi"",IF(REGEXMATCH(AT166,""xoxoooxxoxxo""),""Kameshwari"",IF(REG"&amp;"EXMATCH(AT166,""xoxoxooxoxox""),""Shankara"",IF(REGEXMATCH(AT166,""xxooxoxxxoox""),""Basant"",IF(REGEXMATCH(AT166,""xoxoxxxxoxox""),""Bihag"",IF(REGEXMATCH(AT166,""xoxxxxoxoxxx""),""Pilu"",IF(REGEXMATCH(AT166,""xoxxoxoxxoox""),""Kirwani"",IF(REGEXMATCH(AT"&amp;"166,""xoxxoxoxoxxx""),""Mk.Malhar"",IF(REGEXMATCH(AT166,""xxooxxoxxoox""),""Bhairav"",IF(REGEXMATCH(AT166,""xxoxooxxxoox""),""Todi"",IF(REGEXMATCH(AT166,""xxooxoxooxox""),""Marwa"",IF(REGEXMATCH(AT166,""xxoooxoxxooo""),""Gunkali"",IF(REGEXMATCH(AT166,""xo"&amp;"xoxxoxxoox""),""Nat Bhairav"",IF(REGEXMATCH(AT166,""xoxxoooxoxoo""),""Shivranjani"",IF(REGEXMATCH(AT166,""xooxxxoxooxo""),""Jog"",IF(REGEXMATCH(AT166,""xxooxoxoxoox""),""Hemshri"",IF(REGEXMATCH(AT166,""xoooxooxoxxo""),""Kalavati"",IF(REGEXMATCH(AT166,""xx"&amp;"oxoxxoxoox""),""Kedar"",IF(REGEXMATCH(AT166,""xoxxxxoxooxx""),""Gara"",IF(REGEXMATCH(AT166,""xooxoxooxoox""),""Chandrakauns"",IF(REGEXMATCH(AT166,""xoxxxxoxxxox""),""Mand"",IF(REGEXMATCH(AT166,""xoxxxxoxoxox""),""Hanskinkini"",IF(REGEXMATCH(AT166,""xxooxx"&amp;"oxooxo""),""Lilavati"",IF(REGEXMATCH(AT166,""xooxoxoooxox""),""Rajeshwari"",IF(REGEXMATCH(AT166,""xoooxxoxoxxx""),""Khokar"",IF(REGEXMATCH(AT166,""xxooxoxxxxox""),""Maligoura"",""-""))))))))))))))))))))))))))))))"),"Kalavati")</f>
        <v>Kalavati</v>
      </c>
      <c r="BG166" s="239" t="str">
        <f t="shared" si="26"/>
        <v>#REF!</v>
      </c>
      <c r="BH166" s="239">
        <f>IFERROR(__xludf.DUMMYFUNCTION("COUNTUNIQUE(FE166:FO166)-1"),4.0)</f>
        <v>4</v>
      </c>
      <c r="BI166" s="239">
        <f>IFERROR(__xludf.DUMMYFUNCTION("COUNTUNIQUE(FILTER(AT:AT,REGEXMATCH(AT:AT,AS166)))-1"),2.0)</f>
        <v>2</v>
      </c>
      <c r="BJ166" s="239">
        <f>IFERROR(__xludf.DUMMYFUNCTION("COUNTA(FILTER(AT:AT,REGEXMATCH(AT:AT,AS166)))"),3.0)</f>
        <v>3</v>
      </c>
      <c r="BK166" s="341">
        <f>IFERROR(__xludf.DUMMYFUNCTION("COUNTA(FILTER(AT:AT,REGEXMATCH(AT:AT,AS166)))-AR166"),3.0)</f>
        <v>3</v>
      </c>
      <c r="BL166" s="276" t="str">
        <f>IFERROR(__xludf.DUMMYFUNCTION("IF(AS166=""oooooooooooo"",""-"",IF(REGEXMATCH(AT166,""xx""), ""Hemi."", ""Anhemi.""))"),"Hemi.")</f>
        <v>Hemi.</v>
      </c>
      <c r="BM166" s="282" t="str">
        <f>IFERROR(__xludf.DUMMYFUNCTION("IF(AS166=""oooooooooooo"",""-"",IF(REGEXMATCH(AT166,""xxx""), ""Cohem."", ""-""))"),"-")</f>
        <v>-</v>
      </c>
      <c r="BN166" s="282" t="str">
        <f>IFERROR(__xludf.DUMMYFUNCTION("IF(AS166=""oooooooooooo"",""-"",IF(REGEXMATCH(AT166,""xxxx""), ""Co-Co."", ""-""))"),"-")</f>
        <v>-</v>
      </c>
      <c r="BO166" s="342" t="str">
        <f>IFERROR(__xludf.DUMMYFUNCTION("IF(AS166=""oooooooooooo"",""-"",IF(REGEXMATCH(AT166,""xxxxx""), ""CCC."", ""-""))"),"-")</f>
        <v>-</v>
      </c>
      <c r="BP166" s="344" t="str">
        <f t="shared" si="27"/>
        <v>-</v>
      </c>
      <c r="BQ166" s="282" t="str">
        <f>IFERROR(__xludf.DUMMYFUNCTION("IF(REGEXMATCH(JOIN(""-"",EU166:FD166),""TRUE""),""✔"",""-"")"),"✔")</f>
        <v>✔</v>
      </c>
      <c r="BR166" s="225">
        <f t="shared" si="28"/>
        <v>1</v>
      </c>
      <c r="BS166" s="345" t="str">
        <f>IFERROR(__xludf.DUMMYFUNCTION("SUBSTITUTE(SUBSTITUTE(SUBSTITUTE(SUBSTITUTE(CONCATENATE(JOIN(""-"",GC166:GO166)),""--"",""-""),""--"",""-""),""--"",""-""),""--"",""-"")"),"1-3-5-6-b7-8")</f>
        <v>1-3-5-6-b7-8</v>
      </c>
      <c r="BT166" s="299" t="str">
        <f>IFERROR(__xludf.DUMMYFUNCTION("SUBSTITUTE(SUBSTITUTE(SUBSTITUTE(SUBSTITUTE(CONCATENATE(JOIN(""-"",GP166:HB166)),""--"",""-""),""--"",""-""),""--"",""-""),""--"",""-"")"),"S-G3-P-D2-N2-S")</f>
        <v>S-G3-P-D2-N2-S</v>
      </c>
      <c r="BU166" s="348" t="str">
        <f t="shared" si="29"/>
        <v>C-E-G-A-Bb-C</v>
      </c>
      <c r="BV166" s="349" t="str">
        <f t="shared" si="30"/>
        <v>SrRgmMdNS</v>
      </c>
      <c r="BW166" s="350">
        <f t="shared" si="31"/>
        <v>0</v>
      </c>
      <c r="BX166" s="351">
        <f t="shared" si="32"/>
        <v>1</v>
      </c>
      <c r="BY166" s="392"/>
      <c r="BZ166" s="309" t="str">
        <f>IFERROR(__xludf.DUMMYFUNCTION("IF(REGEXMATCH(C166, ""S""), ""x"",""x"")"),"x")</f>
        <v>x</v>
      </c>
      <c r="CA166" s="245" t="str">
        <f>IFERROR(__xludf.DUMMYFUNCTION("IF(REGEXMATCH(C166, ""r""), ""o"",""x"")"),"x")</f>
        <v>x</v>
      </c>
      <c r="CB166" s="246" t="str">
        <f>IFERROR(__xludf.DUMMYFUNCTION("IF(REGEXMATCH(C166, ""R""), ""o"",""x"")"),"x")</f>
        <v>x</v>
      </c>
      <c r="CC166" s="246" t="str">
        <f>IFERROR(__xludf.DUMMYFUNCTION("IF(REGEXMATCH(C166, ""g""), ""o"",""x"")"),"x")</f>
        <v>x</v>
      </c>
      <c r="CD166" s="245" t="str">
        <f>IFERROR(__xludf.DUMMYFUNCTION("IF(REGEXMATCH(C166, ""G""), ""o"",""x"")"),"o")</f>
        <v>o</v>
      </c>
      <c r="CE166" s="245" t="str">
        <f>IFERROR(__xludf.DUMMYFUNCTION("IF(REGEXMATCH(C166, ""m""), ""o"",""x"")"),"x")</f>
        <v>x</v>
      </c>
      <c r="CF166" s="246" t="str">
        <f>IFERROR(__xludf.DUMMYFUNCTION("IF(REGEXMATCH(C166, ""M""), ""o"",""x"")"),"x")</f>
        <v>x</v>
      </c>
      <c r="CG166" s="245" t="str">
        <f>IFERROR(__xludf.DUMMYFUNCTION("IF(REGEXMATCH(C166, ""P""), ""o"",""x"")"),"o")</f>
        <v>o</v>
      </c>
      <c r="CH166" s="246" t="str">
        <f>IFERROR(__xludf.DUMMYFUNCTION("IF(REGEXMATCH(C166, ""d""), ""o"",""x"")"),"x")</f>
        <v>x</v>
      </c>
      <c r="CI166" s="245" t="str">
        <f>IFERROR(__xludf.DUMMYFUNCTION("IF(REGEXMATCH(C166, ""D""), ""o"",""x"")"),"o")</f>
        <v>o</v>
      </c>
      <c r="CJ166" s="245" t="str">
        <f>IFERROR(__xludf.DUMMYFUNCTION("IF(REGEXMATCH(C166, ""n""), ""o"",""x"")"),"o")</f>
        <v>o</v>
      </c>
      <c r="CK166" s="245" t="str">
        <f>IFERROR(__xludf.DUMMYFUNCTION("IF(REGEXMATCH(C166, ""N""), ""o"",""x"")"),"x")</f>
        <v>x</v>
      </c>
      <c r="CL166" s="356" t="str">
        <f>IFERROR(__xludf.DUMMYFUNCTION("IF(REGEXMATCH(C166, ""S""), ""x"",""x"")"),"x")</f>
        <v>x</v>
      </c>
      <c r="CM166" s="357" t="str">
        <f t="shared" si="33"/>
        <v>xxxxoxxoxoox</v>
      </c>
      <c r="CN166" s="358">
        <f t="shared" si="34"/>
        <v>0</v>
      </c>
      <c r="CO166" s="246" t="str">
        <f>IFERROR(__xludf.DUMMYFUNCTION("IF(REGEXMATCH($C166, ""S""), ""S"",""S"")"),"S")</f>
        <v>S</v>
      </c>
      <c r="CP166" s="246" t="str">
        <f>IFERROR(__xludf.DUMMYFUNCTION("IF(REGEXMATCH($C166, ""r""), """",""r"")"),"r")</f>
        <v>r</v>
      </c>
      <c r="CQ166" s="246" t="str">
        <f>IFERROR(__xludf.DUMMYFUNCTION("IF(REGEXMATCH($C166, ""R""), """",""R"")"),"R")</f>
        <v>R</v>
      </c>
      <c r="CR166" s="246" t="str">
        <f>IFERROR(__xludf.DUMMYFUNCTION("IF(REGEXMATCH($C166, ""g""), """",""g"")"),"g")</f>
        <v>g</v>
      </c>
      <c r="CS166" s="246" t="str">
        <f>IFERROR(__xludf.DUMMYFUNCTION("IF(REGEXMATCH($C166, ""G""), """",""G"")"),"")</f>
        <v/>
      </c>
      <c r="CT166" s="246" t="str">
        <f>IFERROR(__xludf.DUMMYFUNCTION("IF(REGEXMATCH($C166, ""m""), """",""m"")"),"m")</f>
        <v>m</v>
      </c>
      <c r="CU166" s="246" t="str">
        <f>IFERROR(__xludf.DUMMYFUNCTION("IF(REGEXMATCH($C166, ""M""), """",""M"")"),"M")</f>
        <v>M</v>
      </c>
      <c r="CV166" s="246" t="str">
        <f>IFERROR(__xludf.DUMMYFUNCTION("IF(REGEXMATCH($C166, ""P""), """",""P"")"),"")</f>
        <v/>
      </c>
      <c r="CW166" s="246" t="str">
        <f>IFERROR(__xludf.DUMMYFUNCTION("IF(REGEXMATCH($C166, ""d""), """",""d"")"),"d")</f>
        <v>d</v>
      </c>
      <c r="CX166" s="246" t="str">
        <f>IFERROR(__xludf.DUMMYFUNCTION("IF(REGEXMATCH($C166, ""D""), """",""D"")"),"")</f>
        <v/>
      </c>
      <c r="CY166" s="246" t="str">
        <f>IFERROR(__xludf.DUMMYFUNCTION("IF(REGEXMATCH($C166, ""n""), """",""n"")"),"")</f>
        <v/>
      </c>
      <c r="CZ166" s="246" t="str">
        <f>IFERROR(__xludf.DUMMYFUNCTION("IF(REGEXMATCH($C166, ""N""), """",""N"")"),"N")</f>
        <v>N</v>
      </c>
      <c r="DA166" s="246" t="str">
        <f>IFERROR(__xludf.DUMMYFUNCTION("IF(REGEXMATCH($C166, ""S""), ""S"",""S"")"),"S")</f>
        <v>S</v>
      </c>
      <c r="DB166" s="362" t="str">
        <f>IFERROR(__xludf.DUMMYFUNCTION("JOIN("""",CO166:DA166,"""","""")"),"SrRgmMdNS")</f>
        <v>SrRgmMdNS</v>
      </c>
      <c r="DC166" s="363"/>
      <c r="DD166" s="301" t="str">
        <f t="shared" si="35"/>
        <v>#REF!</v>
      </c>
      <c r="DE166" s="302" t="str">
        <f t="shared" si="36"/>
        <v>#REF!</v>
      </c>
      <c r="DF166" s="301" t="str">
        <f t="shared" ref="DF166:DG166" si="542">SUBSTITUTE(S166,"-","")</f>
        <v>SG</v>
      </c>
      <c r="DG166" s="301" t="str">
        <f t="shared" si="542"/>
        <v>PDNS</v>
      </c>
      <c r="DH166" s="302" t="str">
        <f t="shared" si="38"/>
        <v>Kalavati</v>
      </c>
      <c r="DI166" s="301" t="str">
        <f t="shared" si="39"/>
        <v>Hemi.</v>
      </c>
      <c r="DJ166" s="364" t="str">
        <f t="shared" si="40"/>
        <v>-</v>
      </c>
      <c r="DK166" s="306" t="str">
        <f t="shared" si="41"/>
        <v>-</v>
      </c>
      <c r="DL166" s="366" t="str">
        <f t="shared" si="42"/>
        <v>✔</v>
      </c>
      <c r="DM166" s="308" t="str">
        <f t="shared" si="43"/>
        <v>-</v>
      </c>
      <c r="DN166" s="306" t="str">
        <f t="shared" si="44"/>
        <v>-</v>
      </c>
      <c r="DO166" s="306" t="str">
        <f t="shared" si="45"/>
        <v>-</v>
      </c>
      <c r="DP166" s="367" t="str">
        <f t="shared" si="46"/>
        <v>-</v>
      </c>
      <c r="DQ166" s="310" t="str">
        <f t="shared" si="47"/>
        <v>-</v>
      </c>
      <c r="DR166" s="310" t="str">
        <f t="shared" si="48"/>
        <v>-</v>
      </c>
      <c r="DS166" s="310" t="str">
        <f t="shared" si="49"/>
        <v>-</v>
      </c>
      <c r="DT166" s="310" t="str">
        <f t="shared" si="50"/>
        <v>-</v>
      </c>
      <c r="DU166" s="370" t="str">
        <f t="shared" si="51"/>
        <v>-</v>
      </c>
      <c r="DV166" s="306" t="str">
        <f t="shared" si="52"/>
        <v>✔</v>
      </c>
      <c r="DW166" s="306" t="str">
        <f t="shared" si="53"/>
        <v>-</v>
      </c>
      <c r="DX166" s="306" t="str">
        <f t="shared" si="54"/>
        <v>✔</v>
      </c>
      <c r="DY166" s="306" t="str">
        <f t="shared" si="55"/>
        <v>-</v>
      </c>
      <c r="DZ166" s="306" t="str">
        <f t="shared" si="56"/>
        <v>-</v>
      </c>
      <c r="EA166" s="367" t="str">
        <f t="shared" si="57"/>
        <v>-</v>
      </c>
      <c r="EB166" s="310" t="str">
        <f>IFERROR(__xludf.DUMMYFUNCTION("IF(REGEXMATCH(AW166,AS166),""✔"",""-"")"),"-")</f>
        <v>-</v>
      </c>
      <c r="EC166" s="310" t="str">
        <f t="shared" si="58"/>
        <v>#REF!</v>
      </c>
      <c r="ED166" s="370" t="str">
        <f t="shared" si="59"/>
        <v>-</v>
      </c>
      <c r="EE166" s="340" t="str">
        <f t="shared" si="60"/>
        <v>S-G-P-D-n-S</v>
      </c>
      <c r="EF166" s="371" t="str">
        <f>IFERROR(__xludf.DUMMYFUNCTION("CONCATENATE(JOIN("""",HC166:HO166))"),"SRgmdS")</f>
        <v>SRgmdS</v>
      </c>
      <c r="EG166" s="372">
        <f t="shared" si="61"/>
        <v>3</v>
      </c>
      <c r="EH166" s="373" t="str">
        <f>IFERROR(__xludf.DUMMYFUNCTION("CONCATENATE(JOIN("""",JC166:JO166))"),"Ga, Pa, ni, ")</f>
        <v>Ga, Pa, ni, </v>
      </c>
      <c r="EI166" s="322">
        <f t="shared" si="62"/>
        <v>1</v>
      </c>
      <c r="EJ166" s="374" t="str">
        <f>IFERROR(__xludf.DUMMYFUNCTION("CONCATENATE(JOIN("""",KC166:KO166))"),"ni, ")</f>
        <v>ni, </v>
      </c>
      <c r="EK166" s="325" t="str">
        <f t="shared" si="63"/>
        <v>S-G3-P-D2-N2-S</v>
      </c>
      <c r="EL166" s="326" t="str">
        <f t="shared" si="64"/>
        <v>1-3-5-6-b7-8</v>
      </c>
      <c r="EM166" s="318" t="str">
        <f t="shared" si="65"/>
        <v>#REF!</v>
      </c>
      <c r="EN166" s="328" t="str">
        <f>IFERROR(__xludf.DUMMYFUNCTION("SUBSTITUTE(SUBSTITUTE(SUBSTITUTE(SUBSTITUTE(CONCATENATE(JOIN("" "",HP166:IB166)),""  "","" ""),""  "","" ""),""  "","" ""),""  "","" "")"),"o • • • o • • o • o o • o")</f>
        <v>o • • • o • • o • o o • o</v>
      </c>
      <c r="EO166" s="368" t="str">
        <f t="shared" si="66"/>
        <v>Sa-Pa</v>
      </c>
      <c r="EP166" s="339" t="str">
        <f t="shared" si="67"/>
        <v>-</v>
      </c>
      <c r="EQ166" s="339" t="str">
        <f t="shared" si="68"/>
        <v>Sa-Pa</v>
      </c>
      <c r="ER166" s="339" t="str">
        <f t="shared" si="69"/>
        <v>Sa-Pa</v>
      </c>
      <c r="ES166" s="340" t="str">
        <f t="shared" si="70"/>
        <v>-</v>
      </c>
      <c r="ET166" s="363"/>
      <c r="EU166" s="376" t="b">
        <f>IFERROR(__xludf.DUMMYFUNCTION("arrayformula(sum(--REGEXMATCH(""SRGMPDNS"",split(REGEXREPLACE(C166,""(.)"",""$1~""),""~""))))=len(C166)
"),FALSE)</f>
        <v>0</v>
      </c>
      <c r="EV166" s="290" t="b">
        <f>IFERROR(__xludf.DUMMYFUNCTION("arrayformula(sum(--REGEXMATCH(""SRGmPDNS"",split(REGEXREPLACE(C166,""(.)"",""$1~""),""~""))))=len(C166)"),FALSE)</f>
        <v>0</v>
      </c>
      <c r="EW166" s="290" t="b">
        <f>IFERROR(__xludf.DUMMYFUNCTION("arrayformula(sum(--REGEXMATCH(""SRGmPDnS"",split(REGEXREPLACE(C166,""(.)"",""$1~""),""~""))))=len(C166)"),TRUE)</f>
        <v>1</v>
      </c>
      <c r="EX166" s="290" t="b">
        <f>IFERROR(__xludf.DUMMYFUNCTION("arrayformula(sum(--REGEXMATCH(""SRgmPDnS"",split(REGEXREPLACE(C166,""(.)"",""$1~""),""~""))))=len(C166)"),FALSE)</f>
        <v>0</v>
      </c>
      <c r="EY166" s="290" t="b">
        <f>IFERROR(__xludf.DUMMYFUNCTION("arrayformula(sum(--REGEXMATCH(""SRgmPdnS"",split(REGEXREPLACE(C166,""(.)"",""$1~""),""~""))))=len(C166)"),FALSE)</f>
        <v>0</v>
      </c>
      <c r="EZ166" s="290" t="b">
        <f>IFERROR(__xludf.DUMMYFUNCTION("arrayformula(sum(--REGEXMATCH(""SrgmPdnS"",split(REGEXREPLACE(C166,""(.)"",""$1~""),""~""))))=len(C166)"),FALSE)</f>
        <v>0</v>
      </c>
      <c r="FA166" s="290" t="b">
        <f>IFERROR(__xludf.DUMMYFUNCTION("arrayformula(sum(--REGEXMATCH(""SrGmPdNS"",split(REGEXREPLACE(C166,""(.)"",""$1~""),""~""))))=len(C166)"),FALSE)</f>
        <v>0</v>
      </c>
      <c r="FB166" s="290" t="b">
        <f>IFERROR(__xludf.DUMMYFUNCTION("arrayformula(sum(--REGEXMATCH(""SrGMPDNS"",split(REGEXREPLACE(C166,""(.)"",""$1~""),""~""))))=len(C166)"),FALSE)</f>
        <v>0</v>
      </c>
      <c r="FC166" s="290" t="b">
        <f>IFERROR(__xludf.DUMMYFUNCTION("arrayformula(sum(--REGEXMATCH(""SrGMPdNS"",split(REGEXREPLACE(C166,""(.)"",""$1~""),""~""))))=len(C166)"),FALSE)</f>
        <v>0</v>
      </c>
      <c r="FD166" s="377" t="b">
        <f>IFERROR(__xludf.DUMMYFUNCTION("arrayformula(sum(--REGEXMATCH(""SrgMPdNS"",split(REGEXREPLACE(C166,""(.)"",""$1~""),""~""))))=len(C166)"),FALSE)</f>
        <v>0</v>
      </c>
      <c r="FE166" s="269" t="str">
        <f t="shared" si="71"/>
        <v>-</v>
      </c>
      <c r="FF166" s="269" t="str">
        <f t="shared" si="72"/>
        <v>-</v>
      </c>
      <c r="FG166" s="271" t="str">
        <f t="shared" si="73"/>
        <v>-</v>
      </c>
      <c r="FH166" s="269" t="str">
        <f t="shared" si="74"/>
        <v>xooxoxxoxoo</v>
      </c>
      <c r="FI166" s="271" t="str">
        <f t="shared" si="75"/>
        <v>-</v>
      </c>
      <c r="FJ166" s="271" t="str">
        <f t="shared" si="76"/>
        <v>-</v>
      </c>
      <c r="FK166" s="271" t="str">
        <f t="shared" si="77"/>
        <v>xoxxoxoooxo</v>
      </c>
      <c r="FL166" s="271" t="str">
        <f t="shared" si="78"/>
        <v>-</v>
      </c>
      <c r="FM166" s="271" t="str">
        <f t="shared" si="79"/>
        <v>xxoxoooxoox</v>
      </c>
      <c r="FN166" s="271" t="str">
        <f t="shared" si="80"/>
        <v>xoxoooxooxo</v>
      </c>
      <c r="FO166" s="274" t="str">
        <f t="shared" si="81"/>
        <v>-</v>
      </c>
      <c r="FP166" s="234" t="str">
        <f t="shared" si="82"/>
        <v>|</v>
      </c>
      <c r="FQ166" s="236" t="str">
        <f t="shared" si="83"/>
        <v>-</v>
      </c>
      <c r="FR166" s="237" t="str">
        <f t="shared" si="84"/>
        <v>-</v>
      </c>
      <c r="FS166" s="236" t="str">
        <f t="shared" si="85"/>
        <v>-</v>
      </c>
      <c r="FT166" s="237" t="str">
        <f t="shared" si="86"/>
        <v>|</v>
      </c>
      <c r="FU166" s="236" t="str">
        <f t="shared" si="87"/>
        <v>-</v>
      </c>
      <c r="FV166" s="237" t="str">
        <f t="shared" si="88"/>
        <v>-</v>
      </c>
      <c r="FW166" s="236" t="str">
        <f t="shared" si="89"/>
        <v>|</v>
      </c>
      <c r="FX166" s="237" t="str">
        <f t="shared" si="90"/>
        <v>-</v>
      </c>
      <c r="FY166" s="236" t="str">
        <f t="shared" si="91"/>
        <v>|</v>
      </c>
      <c r="FZ166" s="237" t="str">
        <f t="shared" si="92"/>
        <v>|</v>
      </c>
      <c r="GA166" s="236" t="str">
        <f t="shared" si="93"/>
        <v>-</v>
      </c>
      <c r="GB166" s="238" t="str">
        <f t="shared" si="94"/>
        <v>|</v>
      </c>
      <c r="GC166" s="244" t="str">
        <f>IFERROR(__xludf.DUMMYFUNCTION("IF(REGEXMATCH(C166, ""S""), ""1"","""")"),"1")</f>
        <v>1</v>
      </c>
      <c r="GD166" s="245" t="str">
        <f>IFERROR(__xludf.DUMMYFUNCTION("IF(REGEXMATCH(C166, ""r""), ""b2"","""")"),"")</f>
        <v/>
      </c>
      <c r="GE166" s="246" t="str">
        <f>IFERROR(__xludf.DUMMYFUNCTION("IF(REGEXMATCH(C166, ""R""), ""2"","""")"),"")</f>
        <v/>
      </c>
      <c r="GF166" s="246" t="str">
        <f>IFERROR(__xludf.DUMMYFUNCTION("IF(REGEXMATCH(C166, ""g""), ""b3"","""")"),"")</f>
        <v/>
      </c>
      <c r="GG166" s="245" t="str">
        <f>IFERROR(__xludf.DUMMYFUNCTION("IF(REGEXMATCH(C166, ""G""), ""3"","""")"),"3")</f>
        <v>3</v>
      </c>
      <c r="GH166" s="245" t="str">
        <f>IFERROR(__xludf.DUMMYFUNCTION("IF(REGEXMATCH(C166, ""m""), ""4"","""")"),"")</f>
        <v/>
      </c>
      <c r="GI166" s="246" t="str">
        <f>IFERROR(__xludf.DUMMYFUNCTION("IF(REGEXMATCH(C166, ""M""), ""#4"","""")"),"")</f>
        <v/>
      </c>
      <c r="GJ166" s="245" t="str">
        <f>IFERROR(__xludf.DUMMYFUNCTION("IF(REGEXMATCH(C166, ""P""), ""5"","""")"),"5")</f>
        <v>5</v>
      </c>
      <c r="GK166" s="246" t="str">
        <f>IFERROR(__xludf.DUMMYFUNCTION("IF(REGEXMATCH(C166, ""d""), ""b6"","""")"),"")</f>
        <v/>
      </c>
      <c r="GL166" s="245" t="str">
        <f>IFERROR(__xludf.DUMMYFUNCTION("IF(REGEXMATCH(C166, ""D""), ""6"","""")"),"6")</f>
        <v>6</v>
      </c>
      <c r="GM166" s="245" t="str">
        <f>IFERROR(__xludf.DUMMYFUNCTION("IF(REGEXMATCH(C166, ""n""), ""b7"","""")"),"b7")</f>
        <v>b7</v>
      </c>
      <c r="GN166" s="246" t="str">
        <f>IFERROR(__xludf.DUMMYFUNCTION("IF(REGEXMATCH(C166, ""N""), ""7"","""")"),"")</f>
        <v/>
      </c>
      <c r="GO166" s="249" t="str">
        <f>IFERROR(__xludf.DUMMYFUNCTION("IF(REGEXMATCH(C166, ""S""), ""8"","""")"),"8")</f>
        <v>8</v>
      </c>
      <c r="GP166" s="244" t="str">
        <f>IFERROR(__xludf.DUMMYFUNCTION("IF(REGEXMATCH(C166, ""S""), ""S"","""")"),"S")</f>
        <v>S</v>
      </c>
      <c r="GQ166" s="294" t="str">
        <f>IFERROR(__xludf.DUMMYFUNCTION("IF(REGEXMATCH(C166, ""r""), ""R1"","""")"),"")</f>
        <v/>
      </c>
      <c r="GR166" s="295" t="str">
        <f>IFERROR(__xludf.DUMMYFUNCTION("IF(REGEXMATCH(C166, ""R""), ""R2"","""")"),"")</f>
        <v/>
      </c>
      <c r="GS166" s="295" t="str">
        <f>IFERROR(__xludf.DUMMYFUNCTION("IF(REGEXMATCH(C166, ""g""), ""G2"","""")"),"")</f>
        <v/>
      </c>
      <c r="GT166" s="294" t="str">
        <f>IFERROR(__xludf.DUMMYFUNCTION("IF(REGEXMATCH(C166, ""G""), ""G3"","""")"),"G3")</f>
        <v>G3</v>
      </c>
      <c r="GU166" s="294" t="str">
        <f>IFERROR(__xludf.DUMMYFUNCTION("IF(REGEXMATCH(C166, ""m""), ""M1"","""")"),"")</f>
        <v/>
      </c>
      <c r="GV166" s="295" t="str">
        <f>IFERROR(__xludf.DUMMYFUNCTION("IF(REGEXMATCH(C166, ""M""), ""M2"","""")"),"")</f>
        <v/>
      </c>
      <c r="GW166" s="294" t="str">
        <f>IFERROR(__xludf.DUMMYFUNCTION("IF(REGEXMATCH(C166, ""P""), ""P"","""")"),"P")</f>
        <v>P</v>
      </c>
      <c r="GX166" s="295" t="str">
        <f>IFERROR(__xludf.DUMMYFUNCTION("IF(REGEXMATCH(C166, ""d""), ""D1"","""")"),"")</f>
        <v/>
      </c>
      <c r="GY166" s="294" t="str">
        <f>IFERROR(__xludf.DUMMYFUNCTION("IF(REGEXMATCH(C166, ""D""), ""D2"","""")"),"D2")</f>
        <v>D2</v>
      </c>
      <c r="GZ166" s="294" t="str">
        <f>IFERROR(__xludf.DUMMYFUNCTION("IF(REGEXMATCH(C166, ""n""), ""N2"","""")"),"N2")</f>
        <v>N2</v>
      </c>
      <c r="HA166" s="295" t="str">
        <f>IFERROR(__xludf.DUMMYFUNCTION("IF(REGEXMATCH(C166, ""N""), ""N3"","""")"),"")</f>
        <v/>
      </c>
      <c r="HB166" s="249" t="str">
        <f>IFERROR(__xludf.DUMMYFUNCTION("IF(REGEXMATCH(C166, ""S""), ""S"","""")"),"S")</f>
        <v>S</v>
      </c>
      <c r="HC166" s="331" t="str">
        <f t="shared" si="95"/>
        <v>S</v>
      </c>
      <c r="HD166" s="332" t="str">
        <f t="shared" si="96"/>
        <v/>
      </c>
      <c r="HE166" s="332" t="str">
        <f t="shared" si="97"/>
        <v>R</v>
      </c>
      <c r="HF166" s="332" t="str">
        <f t="shared" si="98"/>
        <v>g</v>
      </c>
      <c r="HG166" s="332" t="str">
        <f t="shared" si="99"/>
        <v/>
      </c>
      <c r="HH166" s="332" t="str">
        <f t="shared" si="100"/>
        <v>m</v>
      </c>
      <c r="HI166" s="332" t="str">
        <f t="shared" si="101"/>
        <v/>
      </c>
      <c r="HJ166" s="332" t="str">
        <f t="shared" si="102"/>
        <v/>
      </c>
      <c r="HK166" s="332" t="str">
        <f t="shared" si="103"/>
        <v>d</v>
      </c>
      <c r="HL166" s="332" t="str">
        <f t="shared" si="104"/>
        <v/>
      </c>
      <c r="HM166" s="332" t="str">
        <f t="shared" si="105"/>
        <v/>
      </c>
      <c r="HN166" s="332" t="str">
        <f t="shared" si="106"/>
        <v/>
      </c>
      <c r="HO166" s="343" t="str">
        <f t="shared" si="107"/>
        <v>S</v>
      </c>
      <c r="HP166" s="331" t="str">
        <f t="shared" si="108"/>
        <v>o</v>
      </c>
      <c r="HQ166" s="332" t="str">
        <f t="shared" si="109"/>
        <v>•</v>
      </c>
      <c r="HR166" s="332" t="str">
        <f t="shared" si="110"/>
        <v>•</v>
      </c>
      <c r="HS166" s="332" t="str">
        <f t="shared" si="111"/>
        <v>•</v>
      </c>
      <c r="HT166" s="332" t="str">
        <f t="shared" si="112"/>
        <v>o</v>
      </c>
      <c r="HU166" s="332" t="str">
        <f t="shared" si="113"/>
        <v>•</v>
      </c>
      <c r="HV166" s="332" t="str">
        <f t="shared" si="114"/>
        <v>•</v>
      </c>
      <c r="HW166" s="332" t="str">
        <f t="shared" si="115"/>
        <v>o</v>
      </c>
      <c r="HX166" s="332" t="str">
        <f t="shared" si="116"/>
        <v>•</v>
      </c>
      <c r="HY166" s="332" t="str">
        <f t="shared" si="117"/>
        <v>o</v>
      </c>
      <c r="HZ166" s="332" t="str">
        <f t="shared" si="118"/>
        <v>o</v>
      </c>
      <c r="IA166" s="332" t="str">
        <f t="shared" si="119"/>
        <v>•</v>
      </c>
      <c r="IB166" s="338" t="str">
        <f t="shared" si="120"/>
        <v>o</v>
      </c>
      <c r="IC166" s="331" t="str">
        <f t="shared" si="121"/>
        <v>•</v>
      </c>
      <c r="ID166" s="332" t="str">
        <f t="shared" si="122"/>
        <v>o</v>
      </c>
      <c r="IE166" s="332" t="str">
        <f t="shared" si="123"/>
        <v>o</v>
      </c>
      <c r="IF166" s="332" t="str">
        <f t="shared" si="124"/>
        <v>o</v>
      </c>
      <c r="IG166" s="332" t="str">
        <f t="shared" si="125"/>
        <v>•</v>
      </c>
      <c r="IH166" s="332" t="str">
        <f t="shared" si="126"/>
        <v>o</v>
      </c>
      <c r="II166" s="332" t="str">
        <f t="shared" si="127"/>
        <v>o</v>
      </c>
      <c r="IJ166" s="332" t="str">
        <f t="shared" si="128"/>
        <v>•</v>
      </c>
      <c r="IK166" s="332" t="str">
        <f t="shared" si="129"/>
        <v>o</v>
      </c>
      <c r="IL166" s="332" t="str">
        <f t="shared" si="130"/>
        <v>•</v>
      </c>
      <c r="IM166" s="332" t="str">
        <f t="shared" si="131"/>
        <v>•</v>
      </c>
      <c r="IN166" s="332" t="str">
        <f t="shared" si="132"/>
        <v>o</v>
      </c>
      <c r="IO166" s="338" t="str">
        <f t="shared" si="133"/>
        <v>•</v>
      </c>
      <c r="IP166" s="346" t="b">
        <f t="shared" si="134"/>
        <v>0</v>
      </c>
      <c r="IQ166" s="347" t="b">
        <f t="shared" si="135"/>
        <v>0</v>
      </c>
      <c r="IR166" s="347" t="b">
        <f t="shared" si="136"/>
        <v>0</v>
      </c>
      <c r="IS166" s="347" t="b">
        <f t="shared" si="137"/>
        <v>0</v>
      </c>
      <c r="IT166" s="347" t="b">
        <f t="shared" si="138"/>
        <v>1</v>
      </c>
      <c r="IU166" s="347" t="b">
        <f t="shared" si="139"/>
        <v>0</v>
      </c>
      <c r="IV166" s="347" t="b">
        <f t="shared" si="140"/>
        <v>0</v>
      </c>
      <c r="IW166" s="347" t="b">
        <f t="shared" si="141"/>
        <v>1</v>
      </c>
      <c r="IX166" s="347" t="b">
        <f t="shared" si="142"/>
        <v>0</v>
      </c>
      <c r="IY166" s="347" t="b">
        <f t="shared" si="143"/>
        <v>0</v>
      </c>
      <c r="IZ166" s="347" t="b">
        <f t="shared" si="144"/>
        <v>1</v>
      </c>
      <c r="JA166" s="347" t="b">
        <f t="shared" si="145"/>
        <v>0</v>
      </c>
      <c r="JB166" s="353" t="b">
        <f t="shared" si="146"/>
        <v>0</v>
      </c>
      <c r="JC166" s="354" t="str">
        <f t="shared" si="147"/>
        <v/>
      </c>
      <c r="JD166" s="355" t="str">
        <f t="shared" si="148"/>
        <v/>
      </c>
      <c r="JE166" s="355" t="str">
        <f t="shared" si="149"/>
        <v/>
      </c>
      <c r="JF166" s="355" t="str">
        <f t="shared" si="150"/>
        <v/>
      </c>
      <c r="JG166" s="355" t="str">
        <f t="shared" si="151"/>
        <v>Ga, </v>
      </c>
      <c r="JH166" s="355" t="str">
        <f t="shared" si="152"/>
        <v/>
      </c>
      <c r="JI166" s="355" t="str">
        <f t="shared" si="153"/>
        <v/>
      </c>
      <c r="JJ166" s="355" t="str">
        <f t="shared" si="154"/>
        <v>Pa, </v>
      </c>
      <c r="JK166" s="355" t="str">
        <f t="shared" si="155"/>
        <v/>
      </c>
      <c r="JL166" s="355" t="str">
        <f t="shared" si="156"/>
        <v/>
      </c>
      <c r="JM166" s="355" t="str">
        <f t="shared" si="157"/>
        <v>ni, </v>
      </c>
      <c r="JN166" s="355" t="str">
        <f t="shared" si="158"/>
        <v/>
      </c>
      <c r="JO166" s="359" t="str">
        <f t="shared" si="159"/>
        <v/>
      </c>
      <c r="JP166" s="346" t="b">
        <f t="shared" si="160"/>
        <v>0</v>
      </c>
      <c r="JQ166" s="347" t="b">
        <f t="shared" si="161"/>
        <v>0</v>
      </c>
      <c r="JR166" s="347" t="b">
        <f t="shared" si="162"/>
        <v>0</v>
      </c>
      <c r="JS166" s="347" t="b">
        <f t="shared" si="163"/>
        <v>0</v>
      </c>
      <c r="JT166" s="347" t="b">
        <f t="shared" si="164"/>
        <v>0</v>
      </c>
      <c r="JU166" s="347" t="b">
        <f t="shared" si="165"/>
        <v>0</v>
      </c>
      <c r="JV166" s="347" t="b">
        <f t="shared" si="166"/>
        <v>0</v>
      </c>
      <c r="JW166" s="347" t="b">
        <f t="shared" si="167"/>
        <v>0</v>
      </c>
      <c r="JX166" s="347" t="b">
        <f t="shared" si="168"/>
        <v>0</v>
      </c>
      <c r="JY166" s="347" t="b">
        <f t="shared" si="169"/>
        <v>0</v>
      </c>
      <c r="JZ166" s="347" t="b">
        <f t="shared" si="170"/>
        <v>1</v>
      </c>
      <c r="KA166" s="347" t="b">
        <f t="shared" si="171"/>
        <v>0</v>
      </c>
      <c r="KB166" s="365" t="b">
        <f t="shared" si="172"/>
        <v>0</v>
      </c>
      <c r="KC166" s="354" t="str">
        <f t="shared" si="173"/>
        <v/>
      </c>
      <c r="KD166" s="355" t="str">
        <f t="shared" si="174"/>
        <v/>
      </c>
      <c r="KE166" s="355" t="str">
        <f t="shared" si="175"/>
        <v/>
      </c>
      <c r="KF166" s="355" t="str">
        <f t="shared" si="176"/>
        <v/>
      </c>
      <c r="KG166" s="355" t="str">
        <f t="shared" si="177"/>
        <v/>
      </c>
      <c r="KH166" s="355" t="str">
        <f t="shared" si="178"/>
        <v/>
      </c>
      <c r="KI166" s="355" t="str">
        <f t="shared" si="179"/>
        <v/>
      </c>
      <c r="KJ166" s="355" t="str">
        <f t="shared" si="180"/>
        <v/>
      </c>
      <c r="KK166" s="355" t="str">
        <f t="shared" si="181"/>
        <v/>
      </c>
      <c r="KL166" s="355" t="str">
        <f t="shared" si="182"/>
        <v/>
      </c>
      <c r="KM166" s="355" t="str">
        <f t="shared" si="183"/>
        <v>ni, </v>
      </c>
      <c r="KN166" s="355" t="str">
        <f t="shared" si="184"/>
        <v/>
      </c>
      <c r="KO166" s="359"/>
      <c r="KP166" s="378"/>
      <c r="KQ166" s="379" t="s">
        <v>854</v>
      </c>
      <c r="KR166" s="380" t="s">
        <v>1423</v>
      </c>
      <c r="KS166" s="381" t="str">
        <f t="shared" ref="KS166:KS170" si="545">KQ166</f>
        <v>S-G-P-D-n-S</v>
      </c>
      <c r="KT166" s="382">
        <f t="shared" si="186"/>
        <v>5</v>
      </c>
      <c r="KU166" s="383">
        <f t="shared" si="187"/>
        <v>5</v>
      </c>
      <c r="KV166" s="381" t="str">
        <f t="shared" si="205"/>
        <v>S-n-D-P-G-S</v>
      </c>
      <c r="KW166" s="382">
        <f t="shared" si="189"/>
        <v>5</v>
      </c>
      <c r="KX166" s="384">
        <f t="shared" si="190"/>
        <v>5</v>
      </c>
      <c r="KY166" s="382">
        <f t="shared" ref="KY166:KZ166" si="543">KW166-KT166</f>
        <v>0</v>
      </c>
      <c r="KZ166" s="369">
        <f t="shared" si="543"/>
        <v>0</v>
      </c>
      <c r="LA166" s="385" t="str">
        <f t="shared" si="192"/>
        <v>✔</v>
      </c>
      <c r="LB166" s="340" t="str">
        <f>IFERROR(__xludf.DUMMYFUNCTION("JOIN("""",ArrayFormula(MID(KS166,LEN(KS166)-SEQUENCE(1,LEN(KS166))+1,1)))"),"S-n-D-P-G-S")</f>
        <v>S-n-D-P-G-S</v>
      </c>
      <c r="LC166" s="373" t="str">
        <f>IFERROR(__xludf.DUMMYFUNCTION("JOIN("""",ArrayFormula(MID(KV166,LEN(KV166)-SEQUENCE(1,LEN(KV166))+1,1)))"),"S-G-P-D-n-S")</f>
        <v>S-G-P-D-n-S</v>
      </c>
      <c r="LD166" s="373" t="str">
        <f t="shared" si="193"/>
        <v>SGPDnS</v>
      </c>
      <c r="LE166" s="339" t="str">
        <f t="shared" si="194"/>
        <v>SGPDnS</v>
      </c>
      <c r="LF166" s="386" t="str">
        <f>IFERROR(__xludf.DUMMYFUNCTION("SUBSTITUTE(SUBSTITUTE(CONCATENATE(JOIN("""",LH166:LT166)),""1"",""""),""2"","""")"),"SGPDnS")</f>
        <v>SGPDnS</v>
      </c>
      <c r="LG166" s="369" t="str">
        <f t="shared" si="195"/>
        <v>✔</v>
      </c>
      <c r="LH166" s="387" t="str">
        <f>IFERROR(__xludf.DUMMYFUNCTION("IF(REGEXMATCH(LD166, ""S""), ""S"",IF(REGEXMATCH(LE166, ""S""), ""S"",""""))"),"S")</f>
        <v>S</v>
      </c>
      <c r="LI166" s="299" t="str">
        <f>IFERROR(__xludf.DUMMYFUNCTION("IF(REGEXMATCH(LD166, ""r""), ""r1"",IF(REGEXMATCH(LE166, ""r""), ""r2"",""""))"),"")</f>
        <v/>
      </c>
      <c r="LJ166" s="299" t="str">
        <f>IFERROR(__xludf.DUMMYFUNCTION("IF(REGEXMATCH(LD166, ""R""), ""R1"",IF(REGEXMATCH(LE166, ""R""), ""R2"",""""))"),"")</f>
        <v/>
      </c>
      <c r="LK166" s="299" t="str">
        <f>IFERROR(__xludf.DUMMYFUNCTION("IF(REGEXMATCH(LD166, ""g""), ""g1"",IF(REGEXMATCH(LE166, ""g""), ""g2"",""""))"),"")</f>
        <v/>
      </c>
      <c r="LL166" s="299" t="str">
        <f>IFERROR(__xludf.DUMMYFUNCTION("IF(REGEXMATCH(LD166, ""G""), ""G1"",IF(REGEXMATCH(LE166, ""G""), ""G2"",""""))"),"G1")</f>
        <v>G1</v>
      </c>
      <c r="LM166" s="299" t="str">
        <f>IFERROR(__xludf.DUMMYFUNCTION("IF(REGEXMATCH(LD166, ""m""), ""m1"",IF(REGEXMATCH(LE166, ""m""), ""m2"",""""))"),"")</f>
        <v/>
      </c>
      <c r="LN166" s="299" t="str">
        <f>IFERROR(__xludf.DUMMYFUNCTION("IF(REGEXMATCH(LD166, ""M""), ""M1"",IF(REGEXMATCH(LE166, ""M""), ""M2"",""""))"),"")</f>
        <v/>
      </c>
      <c r="LO166" s="299" t="str">
        <f>IFERROR(__xludf.DUMMYFUNCTION("IF(REGEXMATCH(LD166, ""P""), ""P1"",IF(REGEXMATCH(LE166, ""P""), ""P2"",""""))"),"P1")</f>
        <v>P1</v>
      </c>
      <c r="LP166" s="299" t="str">
        <f>IFERROR(__xludf.DUMMYFUNCTION("IF(REGEXMATCH(LD166, ""d""), ""d1"",IF(REGEXMATCH(LE166, ""d""), ""d2"",""""))"),"")</f>
        <v/>
      </c>
      <c r="LQ166" s="299" t="str">
        <f>IFERROR(__xludf.DUMMYFUNCTION("IF(REGEXMATCH(LD166, ""D""), ""D1"",IF(REGEXMATCH(LE166, ""D""), ""D2"",""""))"),"D1")</f>
        <v>D1</v>
      </c>
      <c r="LR166" s="299" t="str">
        <f>IFERROR(__xludf.DUMMYFUNCTION("IF(REGEXMATCH(LD166, ""n""), ""n1"",IF(REGEXMATCH(LE166, ""n""), ""n2"",""""))"),"n1")</f>
        <v>n1</v>
      </c>
      <c r="LS166" s="299" t="str">
        <f>IFERROR(__xludf.DUMMYFUNCTION("IF(REGEXMATCH(LD166, ""N""), ""N1"",IF(REGEXMATCH(LE166, ""N""), ""N2"",""""))"),"")</f>
        <v/>
      </c>
      <c r="LT166" s="388" t="str">
        <f>IFERROR(__xludf.DUMMYFUNCTION("IF(REGEXMATCH(LD166, ""S""), ""S"",IF(REGEXMATCH(LE166, ""S""), ""S"",""""))"),"S")</f>
        <v>S</v>
      </c>
      <c r="LU166" s="389">
        <f t="shared" si="196"/>
        <v>1</v>
      </c>
      <c r="LV166" s="378"/>
      <c r="LW166" s="369"/>
      <c r="LX166" s="369"/>
    </row>
    <row r="167" ht="18.0" customHeight="1">
      <c r="A167" s="298" t="s">
        <v>855</v>
      </c>
      <c r="B167" s="222" t="s">
        <v>591</v>
      </c>
      <c r="C167" s="233" t="str">
        <f t="shared" si="7"/>
        <v>SrGmPdNS</v>
      </c>
      <c r="D167" s="234" t="str">
        <f>IFERROR(__xludf.DUMMYFUNCTION("IF(REGEXMATCH(C167, ""S""), ""S"","""")"),"S")</f>
        <v>S</v>
      </c>
      <c r="E167" s="236" t="str">
        <f>IFERROR(__xludf.DUMMYFUNCTION("IF(REGEXMATCH(C167, ""r""), ""r"","""")"),"r")</f>
        <v>r</v>
      </c>
      <c r="F167" s="237" t="str">
        <f>IFERROR(__xludf.DUMMYFUNCTION("IF(REGEXMATCH(C167, ""R""), ""R"","""")"),"")</f>
        <v/>
      </c>
      <c r="G167" s="237" t="str">
        <f>IFERROR(__xludf.DUMMYFUNCTION("IF(REGEXMATCH(C167, ""g""), ""g"","""")"),"")</f>
        <v/>
      </c>
      <c r="H167" s="236" t="str">
        <f>IFERROR(__xludf.DUMMYFUNCTION("IF(REGEXMATCH(C167, ""G""), ""G"","""")"),"G")</f>
        <v>G</v>
      </c>
      <c r="I167" s="236" t="str">
        <f>IFERROR(__xludf.DUMMYFUNCTION("IF(REGEXMATCH(C167, ""m""), ""m"","""")"),"m")</f>
        <v>m</v>
      </c>
      <c r="J167" s="237" t="str">
        <f>IFERROR(__xludf.DUMMYFUNCTION("IF(REGEXMATCH(C167, ""M""), ""M"","""")"),"")</f>
        <v/>
      </c>
      <c r="K167" s="236" t="str">
        <f>IFERROR(__xludf.DUMMYFUNCTION("IF(REGEXMATCH(C167, ""P""), ""P"","""")"),"P")</f>
        <v>P</v>
      </c>
      <c r="L167" s="237" t="str">
        <f>IFERROR(__xludf.DUMMYFUNCTION("IF(REGEXMATCH(C167, ""d""), ""d"","""")"),"d")</f>
        <v>d</v>
      </c>
      <c r="M167" s="236" t="str">
        <f>IFERROR(__xludf.DUMMYFUNCTION("IF(REGEXMATCH(C167, ""D""), ""D"","""")"),"")</f>
        <v/>
      </c>
      <c r="N167" s="236" t="str">
        <f>IFERROR(__xludf.DUMMYFUNCTION("IF(REGEXMATCH(C167, ""n""), ""n"","""")"),"")</f>
        <v/>
      </c>
      <c r="O167" s="237" t="str">
        <f>IFERROR(__xludf.DUMMYFUNCTION("IF(REGEXMATCH(C167, ""N""), ""N"","""")"),"N")</f>
        <v>N</v>
      </c>
      <c r="P167" s="238" t="str">
        <f>IFERROR(__xludf.DUMMYFUNCTION("IF(REGEXMATCH(C167, ""S""), ""S"","""")"),"S")</f>
        <v>S</v>
      </c>
      <c r="Q167" s="239" t="str">
        <f>IFERROR(__xludf.DUMMYFUNCTION("SUBSTITUTE(CONCATENATE(JOIN(""-"",D167:J167)),""-"","""")"),"SrGm")</f>
        <v>SrGm</v>
      </c>
      <c r="R167" s="229" t="str">
        <f>IFERROR(__xludf.DUMMYFUNCTION("SUBSTITUTE(CONCATENATE(JOIN(""-"",K167:P167)),""-"","""")"),"PdNS")</f>
        <v>PdNS</v>
      </c>
      <c r="S167" s="282" t="str">
        <f t="shared" si="8"/>
        <v>S-R-G-M</v>
      </c>
      <c r="T167" s="282" t="str">
        <f t="shared" si="9"/>
        <v>P-D-N-S</v>
      </c>
      <c r="U167" s="237" t="str">
        <f>IFERROR(__xludf.DUMMYFUNCTION("SUBSTITUTE(JOIN(""-"",S167,T167),""--"",""-"")"),"S-R-G-M-P-D-N-S")</f>
        <v>S-R-G-M-P-D-N-S</v>
      </c>
      <c r="V167" s="309" t="str">
        <f t="shared" si="10"/>
        <v>rGmdN</v>
      </c>
      <c r="W167" s="244" t="str">
        <f>IFERROR(__xludf.DUMMYFUNCTION("IF(REGEXMATCH(C167, ""S""), ""0"","""")"),"0")</f>
        <v>0</v>
      </c>
      <c r="X167" s="245" t="str">
        <f>IFERROR(__xludf.DUMMYFUNCTION("IF(REGEXMATCH(C167, ""r""), ""1"","""")"),"1")</f>
        <v>1</v>
      </c>
      <c r="Y167" s="246" t="str">
        <f>IFERROR(__xludf.DUMMYFUNCTION("IF(REGEXMATCH(C167, ""R""), ""2"","""")"),"")</f>
        <v/>
      </c>
      <c r="Z167" s="246" t="str">
        <f>IFERROR(__xludf.DUMMYFUNCTION("IF(REGEXMATCH(C167, ""g""), ""3"","""")"),"")</f>
        <v/>
      </c>
      <c r="AA167" s="245" t="str">
        <f>IFERROR(__xludf.DUMMYFUNCTION("IF(REGEXMATCH(C167, ""G""), ""4"","""")"),"4")</f>
        <v>4</v>
      </c>
      <c r="AB167" s="245" t="str">
        <f>IFERROR(__xludf.DUMMYFUNCTION("IF(REGEXMATCH(C167, ""m""), ""5"","""")"),"5")</f>
        <v>5</v>
      </c>
      <c r="AC167" s="246" t="str">
        <f>IFERROR(__xludf.DUMMYFUNCTION("IF(REGEXMATCH(C167, ""M""), ""6"","""")"),"")</f>
        <v/>
      </c>
      <c r="AD167" s="245" t="str">
        <f>IFERROR(__xludf.DUMMYFUNCTION("IF(REGEXMATCH(C167, ""P""), ""7"","""")"),"7")</f>
        <v>7</v>
      </c>
      <c r="AE167" s="246" t="str">
        <f>IFERROR(__xludf.DUMMYFUNCTION("IF(REGEXMATCH(C167, ""d""), ""8"","""")"),"8")</f>
        <v>8</v>
      </c>
      <c r="AF167" s="245" t="str">
        <f>IFERROR(__xludf.DUMMYFUNCTION("IF(REGEXMATCH(C167, ""D""), ""9"","""")"),"")</f>
        <v/>
      </c>
      <c r="AG167" s="245" t="str">
        <f>IFERROR(__xludf.DUMMYFUNCTION("IF(REGEXMATCH(C167, ""n""), ""10"","""")"),"")</f>
        <v/>
      </c>
      <c r="AH167" s="246" t="str">
        <f>IFERROR(__xludf.DUMMYFUNCTION("IF(REGEXMATCH(C167, ""N""), ""11"","""")"),"11")</f>
        <v>11</v>
      </c>
      <c r="AI167" s="249" t="str">
        <f>IFERROR(__xludf.DUMMYFUNCTION("IF(REGEXMATCH(C167, ""S""), ""0"","""")"),"0")</f>
        <v>0</v>
      </c>
      <c r="AJ167" s="313" t="str">
        <f t="shared" si="11"/>
        <v>-</v>
      </c>
      <c r="AK167" s="313" t="str">
        <f t="shared" si="12"/>
        <v>T</v>
      </c>
      <c r="AL167" s="313" t="str">
        <f t="shared" si="13"/>
        <v>-</v>
      </c>
      <c r="AM167" s="313" t="str">
        <f t="shared" si="14"/>
        <v>-</v>
      </c>
      <c r="AN167" s="313" t="str">
        <f t="shared" si="15"/>
        <v>-</v>
      </c>
      <c r="AO167" s="314" t="str">
        <f t="shared" si="16"/>
        <v>T</v>
      </c>
      <c r="AP167" s="316">
        <f t="shared" si="17"/>
        <v>2</v>
      </c>
      <c r="AQ167" s="319" t="str">
        <f t="shared" si="18"/>
        <v>-</v>
      </c>
      <c r="AR167" s="320">
        <f t="shared" si="19"/>
        <v>0</v>
      </c>
      <c r="AS167" s="250" t="str">
        <f>IFERROR(__xludf.DUMMYFUNCTION("SUBSTITUTE(SUBSTITUTE(CONCATENATE(JOIN("""",FP167:GA167)),""|"",""x""),""-"",""o"")"),"xxooxxoxxoox")</f>
        <v>xxooxxoxxoox</v>
      </c>
      <c r="AT167" s="323" t="str">
        <f>IFERROR(__xludf.DUMMYFUNCTION("JOIN("""",AS167,AS167)"),"xxooxxoxxooxxxooxxoxxoox")</f>
        <v>xxooxxoxxooxxxooxxoxxoox</v>
      </c>
      <c r="AU167" s="256" t="str">
        <f>IFERROR(__xludf.DUMMYFUNCTION("JOIN("""",ArrayFormula(MID(AS167,LEN(AS167)-SEQUENCE(1,LEN(AS167))+1,1)))"),"xooxxoxxooxx")</f>
        <v>xooxxoxxooxx</v>
      </c>
      <c r="AV167" s="256" t="str">
        <f>IFERROR(__xludf.DUMMYFUNCTION("LEFT(CONCATENATE(""x"",JOIN("""",ArrayFormula(MID(AS167,LEN(AS167)-SEQUENCE(1,LEN(AS167))+1,1)))),12)"),"xxooxxoxxoox")</f>
        <v>xxooxxoxxoox</v>
      </c>
      <c r="AW167" s="327" t="str">
        <f>IFERROR(__xludf.DUMMYFUNCTION("JOIN("""",AU167,AU167)"),"xooxxoxxooxxxooxxoxxooxx")</f>
        <v>xooxxoxxooxxxooxxoxxooxx</v>
      </c>
      <c r="AX167" s="239" t="str">
        <f>IFERROR(__xludf.DUMMYFUNCTION("IF(REGEXMATCH(AW167,AS167),""✔"",""-"")"),"✔")</f>
        <v>✔</v>
      </c>
      <c r="AY167" s="330" t="str">
        <f t="shared" si="20"/>
        <v>✔</v>
      </c>
      <c r="AZ167" s="260" t="str">
        <f t="shared" si="21"/>
        <v>#REF!</v>
      </c>
      <c r="BA167" s="333" t="str">
        <f t="shared" si="22"/>
        <v>xxooxxo</v>
      </c>
      <c r="BB167" s="334" t="str">
        <f t="shared" si="23"/>
        <v>xxooxx</v>
      </c>
      <c r="BC167" s="335" t="str">
        <f t="shared" si="236"/>
        <v>✔</v>
      </c>
      <c r="BD167" s="336" t="str">
        <f t="shared" si="25"/>
        <v>Kalingada: 'xxooxxo' + 'xxooxx'</v>
      </c>
      <c r="BE167" s="337">
        <f>IFERROR(__xludf.DUMMYFUNCTION("COUNTUNIQUE(FILTER(AT:AT,REGEXMATCH(AT:AT,AS167)))-1"),3.0)</f>
        <v>3</v>
      </c>
      <c r="BF167" s="261" t="str">
        <f>IFERROR(__xludf.DUMMYFUNCTION("IF(BI167=0,""(n/a)"",IF(BJ167=2,""(PAIR)"",IF(REGEXMATCH(AT167,""xoxoxxoxoxox""),""Bilawal"",IF(REGEXMATCH(AT167,""xoxoxooxoxoo""),""Bhupali"",IF(REGEXMATCH(AT167,""xoxoxxoxxoxo""),""Charukeshi"",IF(REGEXMATCH(AT167,""xoxoooxxoxxo""),""Kameshwari"",IF(REG"&amp;"EXMATCH(AT167,""xoxoxooxoxox""),""Shankara"",IF(REGEXMATCH(AT167,""xxooxoxxxoox""),""Basant"",IF(REGEXMATCH(AT167,""xoxoxxxxoxox""),""Bihag"",IF(REGEXMATCH(AT167,""xoxxxxoxoxxx""),""Pilu"",IF(REGEXMATCH(AT167,""xoxxoxoxxoox""),""Kirwani"",IF(REGEXMATCH(AT"&amp;"167,""xoxxoxoxoxxx""),""Mk.Malhar"",IF(REGEXMATCH(AT167,""xxooxxoxxoox""),""Bhairav"",IF(REGEXMATCH(AT167,""xxoxooxxxoox""),""Todi"",IF(REGEXMATCH(AT167,""xxooxoxooxox""),""Marwa"",IF(REGEXMATCH(AT167,""xxoooxoxxooo""),""Gunkali"",IF(REGEXMATCH(AT167,""xo"&amp;"xoxxoxxoox""),""Nat Bhairav"",IF(REGEXMATCH(AT167,""xoxxoooxoxoo""),""Shivranjani"",IF(REGEXMATCH(AT167,""xooxxxoxooxo""),""Jog"",IF(REGEXMATCH(AT167,""xxooxoxoxoox""),""Hemshri"",IF(REGEXMATCH(AT167,""xoooxooxoxxo""),""Kalavati"",IF(REGEXMATCH(AT167,""xx"&amp;"oxoxxoxoox""),""Kedar"",IF(REGEXMATCH(AT167,""xoxxxxoxooxx""),""Gara"",IF(REGEXMATCH(AT167,""xooxoxooxoox""),""Chandrakauns"",IF(REGEXMATCH(AT167,""xoxxxxoxxxox""),""Mand"",IF(REGEXMATCH(AT167,""xoxxxxoxoxox""),""Hanskinkini"",IF(REGEXMATCH(AT167,""xxooxx"&amp;"oxooxo""),""Lilavati"",IF(REGEXMATCH(AT167,""xooxoxoooxox""),""Rajeshwari"",IF(REGEXMATCH(AT167,""xoooxxoxoxxx""),""Khokar"",IF(REGEXMATCH(AT167,""xxooxoxxxxox""),""Maligoura"",""-""))))))))))))))))))))))))))))))"),"Bhairav")</f>
        <v>Bhairav</v>
      </c>
      <c r="BG167" s="239" t="str">
        <f t="shared" si="26"/>
        <v>#REF!</v>
      </c>
      <c r="BH167" s="239">
        <f>IFERROR(__xludf.DUMMYFUNCTION("COUNTUNIQUE(FE167:FO167)-1"),6.0)</f>
        <v>6</v>
      </c>
      <c r="BI167" s="239">
        <f>IFERROR(__xludf.DUMMYFUNCTION("COUNTUNIQUE(FILTER(AT:AT,REGEXMATCH(AT:AT,AS167)))-1"),3.0)</f>
        <v>3</v>
      </c>
      <c r="BJ167" s="239">
        <f>IFERROR(__xludf.DUMMYFUNCTION("COUNTA(FILTER(AT:AT,REGEXMATCH(AT:AT,AS167)))"),6.0)</f>
        <v>6</v>
      </c>
      <c r="BK167" s="341">
        <f>IFERROR(__xludf.DUMMYFUNCTION("COUNTA(FILTER(AT:AT,REGEXMATCH(AT:AT,AS167)))-AR167"),6.0)</f>
        <v>6</v>
      </c>
      <c r="BL167" s="276" t="str">
        <f>IFERROR(__xludf.DUMMYFUNCTION("IF(AS167=""oooooooooooo"",""-"",IF(REGEXMATCH(AT167,""xx""), ""Hemi."", ""Anhemi.""))"),"Hemi.")</f>
        <v>Hemi.</v>
      </c>
      <c r="BM167" s="282" t="str">
        <f>IFERROR(__xludf.DUMMYFUNCTION("IF(AS167=""oooooooooooo"",""-"",IF(REGEXMATCH(AT167,""xxx""), ""Cohem."", ""-""))"),"Cohem.")</f>
        <v>Cohem.</v>
      </c>
      <c r="BN167" s="282" t="str">
        <f>IFERROR(__xludf.DUMMYFUNCTION("IF(AS167=""oooooooooooo"",""-"",IF(REGEXMATCH(AT167,""xxxx""), ""Co-Co."", ""-""))"),"-")</f>
        <v>-</v>
      </c>
      <c r="BO167" s="342" t="str">
        <f>IFERROR(__xludf.DUMMYFUNCTION("IF(AS167=""oooooooooooo"",""-"",IF(REGEXMATCH(AT167,""xxxxx""), ""CCC."", ""-""))"),"-")</f>
        <v>-</v>
      </c>
      <c r="BP167" s="344" t="str">
        <f t="shared" si="27"/>
        <v>Bhairav</v>
      </c>
      <c r="BQ167" s="282" t="str">
        <f>IFERROR(__xludf.DUMMYFUNCTION("IF(REGEXMATCH(JOIN(""-"",EU167:FD167),""TRUE""),""✔"",""-"")"),"✔")</f>
        <v>✔</v>
      </c>
      <c r="BR167" s="225">
        <f t="shared" si="28"/>
        <v>1</v>
      </c>
      <c r="BS167" s="345" t="str">
        <f>IFERROR(__xludf.DUMMYFUNCTION("SUBSTITUTE(SUBSTITUTE(SUBSTITUTE(SUBSTITUTE(CONCATENATE(JOIN(""-"",GC167:GO167)),""--"",""-""),""--"",""-""),""--"",""-""),""--"",""-"")"),"1-b2-3-4-5-b6-7-8")</f>
        <v>1-b2-3-4-5-b6-7-8</v>
      </c>
      <c r="BT167" s="299" t="str">
        <f>IFERROR(__xludf.DUMMYFUNCTION("SUBSTITUTE(SUBSTITUTE(SUBSTITUTE(SUBSTITUTE(CONCATENATE(JOIN(""-"",GP167:HB167)),""--"",""-""),""--"",""-""),""--"",""-""),""--"",""-"")"),"S-R1-G3-M1-P-D1-N3-S")</f>
        <v>S-R1-G3-M1-P-D1-N3-S</v>
      </c>
      <c r="BU167" s="348" t="str">
        <f t="shared" si="29"/>
        <v>C-Db-E-F-G-Ab-B-C</v>
      </c>
      <c r="BV167" s="349" t="str">
        <f t="shared" si="30"/>
        <v>SRgMDnS</v>
      </c>
      <c r="BW167" s="350">
        <f t="shared" si="31"/>
        <v>0</v>
      </c>
      <c r="BX167" s="351">
        <f t="shared" si="32"/>
        <v>3</v>
      </c>
      <c r="BY167" s="392"/>
      <c r="BZ167" s="309" t="str">
        <f>IFERROR(__xludf.DUMMYFUNCTION("IF(REGEXMATCH(C167, ""S""), ""x"",""x"")"),"x")</f>
        <v>x</v>
      </c>
      <c r="CA167" s="245" t="str">
        <f>IFERROR(__xludf.DUMMYFUNCTION("IF(REGEXMATCH(C167, ""r""), ""o"",""x"")"),"o")</f>
        <v>o</v>
      </c>
      <c r="CB167" s="246" t="str">
        <f>IFERROR(__xludf.DUMMYFUNCTION("IF(REGEXMATCH(C167, ""R""), ""o"",""x"")"),"x")</f>
        <v>x</v>
      </c>
      <c r="CC167" s="246" t="str">
        <f>IFERROR(__xludf.DUMMYFUNCTION("IF(REGEXMATCH(C167, ""g""), ""o"",""x"")"),"x")</f>
        <v>x</v>
      </c>
      <c r="CD167" s="245" t="str">
        <f>IFERROR(__xludf.DUMMYFUNCTION("IF(REGEXMATCH(C167, ""G""), ""o"",""x"")"),"o")</f>
        <v>o</v>
      </c>
      <c r="CE167" s="245" t="str">
        <f>IFERROR(__xludf.DUMMYFUNCTION("IF(REGEXMATCH(C167, ""m""), ""o"",""x"")"),"o")</f>
        <v>o</v>
      </c>
      <c r="CF167" s="246" t="str">
        <f>IFERROR(__xludf.DUMMYFUNCTION("IF(REGEXMATCH(C167, ""M""), ""o"",""x"")"),"x")</f>
        <v>x</v>
      </c>
      <c r="CG167" s="245" t="str">
        <f>IFERROR(__xludf.DUMMYFUNCTION("IF(REGEXMATCH(C167, ""P""), ""o"",""x"")"),"o")</f>
        <v>o</v>
      </c>
      <c r="CH167" s="246" t="str">
        <f>IFERROR(__xludf.DUMMYFUNCTION("IF(REGEXMATCH(C167, ""d""), ""o"",""x"")"),"o")</f>
        <v>o</v>
      </c>
      <c r="CI167" s="245" t="str">
        <f>IFERROR(__xludf.DUMMYFUNCTION("IF(REGEXMATCH(C167, ""D""), ""o"",""x"")"),"x")</f>
        <v>x</v>
      </c>
      <c r="CJ167" s="245" t="str">
        <f>IFERROR(__xludf.DUMMYFUNCTION("IF(REGEXMATCH(C167, ""n""), ""o"",""x"")"),"x")</f>
        <v>x</v>
      </c>
      <c r="CK167" s="245" t="str">
        <f>IFERROR(__xludf.DUMMYFUNCTION("IF(REGEXMATCH(C167, ""N""), ""o"",""x"")"),"o")</f>
        <v>o</v>
      </c>
      <c r="CL167" s="356" t="str">
        <f>IFERROR(__xludf.DUMMYFUNCTION("IF(REGEXMATCH(C167, ""S""), ""x"",""x"")"),"x")</f>
        <v>x</v>
      </c>
      <c r="CM167" s="357" t="str">
        <f t="shared" si="33"/>
        <v>xoxxooxooxxo</v>
      </c>
      <c r="CN167" s="358">
        <f t="shared" si="34"/>
        <v>0</v>
      </c>
      <c r="CO167" s="246" t="str">
        <f>IFERROR(__xludf.DUMMYFUNCTION("IF(REGEXMATCH($C167, ""S""), ""S"",""S"")"),"S")</f>
        <v>S</v>
      </c>
      <c r="CP167" s="246" t="str">
        <f>IFERROR(__xludf.DUMMYFUNCTION("IF(REGEXMATCH($C167, ""r""), """",""r"")"),"")</f>
        <v/>
      </c>
      <c r="CQ167" s="246" t="str">
        <f>IFERROR(__xludf.DUMMYFUNCTION("IF(REGEXMATCH($C167, ""R""), """",""R"")"),"R")</f>
        <v>R</v>
      </c>
      <c r="CR167" s="246" t="str">
        <f>IFERROR(__xludf.DUMMYFUNCTION("IF(REGEXMATCH($C167, ""g""), """",""g"")"),"g")</f>
        <v>g</v>
      </c>
      <c r="CS167" s="246" t="str">
        <f>IFERROR(__xludf.DUMMYFUNCTION("IF(REGEXMATCH($C167, ""G""), """",""G"")"),"")</f>
        <v/>
      </c>
      <c r="CT167" s="246" t="str">
        <f>IFERROR(__xludf.DUMMYFUNCTION("IF(REGEXMATCH($C167, ""m""), """",""m"")"),"")</f>
        <v/>
      </c>
      <c r="CU167" s="246" t="str">
        <f>IFERROR(__xludf.DUMMYFUNCTION("IF(REGEXMATCH($C167, ""M""), """",""M"")"),"M")</f>
        <v>M</v>
      </c>
      <c r="CV167" s="246" t="str">
        <f>IFERROR(__xludf.DUMMYFUNCTION("IF(REGEXMATCH($C167, ""P""), """",""P"")"),"")</f>
        <v/>
      </c>
      <c r="CW167" s="246" t="str">
        <f>IFERROR(__xludf.DUMMYFUNCTION("IF(REGEXMATCH($C167, ""d""), """",""d"")"),"")</f>
        <v/>
      </c>
      <c r="CX167" s="246" t="str">
        <f>IFERROR(__xludf.DUMMYFUNCTION("IF(REGEXMATCH($C167, ""D""), """",""D"")"),"D")</f>
        <v>D</v>
      </c>
      <c r="CY167" s="246" t="str">
        <f>IFERROR(__xludf.DUMMYFUNCTION("IF(REGEXMATCH($C167, ""n""), """",""n"")"),"n")</f>
        <v>n</v>
      </c>
      <c r="CZ167" s="246" t="str">
        <f>IFERROR(__xludf.DUMMYFUNCTION("IF(REGEXMATCH($C167, ""N""), """",""N"")"),"")</f>
        <v/>
      </c>
      <c r="DA167" s="246" t="str">
        <f>IFERROR(__xludf.DUMMYFUNCTION("IF(REGEXMATCH($C167, ""S""), ""S"",""S"")"),"S")</f>
        <v>S</v>
      </c>
      <c r="DB167" s="362" t="str">
        <f>IFERROR(__xludf.DUMMYFUNCTION("JOIN("""",CO167:DA167,"""","""")"),"SRgMDnS")</f>
        <v>SRgMDnS</v>
      </c>
      <c r="DC167" s="363"/>
      <c r="DD167" s="301" t="str">
        <f t="shared" si="35"/>
        <v>#REF!</v>
      </c>
      <c r="DE167" s="302" t="str">
        <f t="shared" si="36"/>
        <v>#REF!</v>
      </c>
      <c r="DF167" s="301" t="str">
        <f t="shared" ref="DF167:DG167" si="544">SUBSTITUTE(S167,"-","")</f>
        <v>SRGM</v>
      </c>
      <c r="DG167" s="301" t="str">
        <f t="shared" si="544"/>
        <v>PDNS</v>
      </c>
      <c r="DH167" s="302" t="str">
        <f t="shared" si="38"/>
        <v>Bhairav</v>
      </c>
      <c r="DI167" s="301" t="str">
        <f t="shared" si="39"/>
        <v>Hemi.</v>
      </c>
      <c r="DJ167" s="364" t="str">
        <f t="shared" si="40"/>
        <v>Cohem.</v>
      </c>
      <c r="DK167" s="306" t="str">
        <f t="shared" si="41"/>
        <v>Bhairav</v>
      </c>
      <c r="DL167" s="366" t="str">
        <f t="shared" si="42"/>
        <v>-</v>
      </c>
      <c r="DM167" s="308" t="str">
        <f t="shared" si="43"/>
        <v>-</v>
      </c>
      <c r="DN167" s="306" t="str">
        <f t="shared" si="44"/>
        <v>-</v>
      </c>
      <c r="DO167" s="306" t="str">
        <f t="shared" si="45"/>
        <v>-</v>
      </c>
      <c r="DP167" s="367" t="str">
        <f t="shared" si="46"/>
        <v>-</v>
      </c>
      <c r="DQ167" s="310" t="str">
        <f t="shared" si="47"/>
        <v>-</v>
      </c>
      <c r="DR167" s="310" t="str">
        <f t="shared" si="48"/>
        <v>-</v>
      </c>
      <c r="DS167" s="310" t="str">
        <f t="shared" si="49"/>
        <v>-</v>
      </c>
      <c r="DT167" s="310" t="str">
        <f t="shared" si="50"/>
        <v>-</v>
      </c>
      <c r="DU167" s="370" t="str">
        <f t="shared" si="51"/>
        <v>-</v>
      </c>
      <c r="DV167" s="306" t="str">
        <f t="shared" si="52"/>
        <v>-</v>
      </c>
      <c r="DW167" s="306" t="str">
        <f t="shared" si="53"/>
        <v>-</v>
      </c>
      <c r="DX167" s="306" t="str">
        <f t="shared" si="54"/>
        <v>-</v>
      </c>
      <c r="DY167" s="306" t="str">
        <f t="shared" si="55"/>
        <v>-</v>
      </c>
      <c r="DZ167" s="306" t="str">
        <f t="shared" si="56"/>
        <v>-</v>
      </c>
      <c r="EA167" s="367" t="str">
        <f t="shared" si="57"/>
        <v>-</v>
      </c>
      <c r="EB167" s="310" t="str">
        <f>IFERROR(__xludf.DUMMYFUNCTION("IF(REGEXMATCH(AW167,AS167),""✔"",""-"")"),"✔")</f>
        <v>✔</v>
      </c>
      <c r="EC167" s="310" t="str">
        <f t="shared" si="58"/>
        <v>#REF!</v>
      </c>
      <c r="ED167" s="370" t="str">
        <f t="shared" si="59"/>
        <v>✔</v>
      </c>
      <c r="EE167" s="340" t="str">
        <f t="shared" si="60"/>
        <v>S-r-G-m-P-d-N-S</v>
      </c>
      <c r="EF167" s="371" t="str">
        <f>IFERROR(__xludf.DUMMYFUNCTION("CONCATENATE(JOIN("""",HC167:HO167))"),"SrGmPdNS")</f>
        <v>SrGmPdNS</v>
      </c>
      <c r="EG167" s="372">
        <f t="shared" si="61"/>
        <v>3</v>
      </c>
      <c r="EH167" s="373" t="str">
        <f>IFERROR(__xludf.DUMMYFUNCTION("CONCATENATE(JOIN("""",JC167:JO167))"),"Pa, dha, Ni, ")</f>
        <v>Pa, dha, Ni, </v>
      </c>
      <c r="EI167" s="322">
        <f t="shared" si="62"/>
        <v>0</v>
      </c>
      <c r="EJ167" s="374" t="str">
        <f>IFERROR(__xludf.DUMMYFUNCTION("CONCATENATE(JOIN("""",KC167:KO167))"),"")</f>
        <v/>
      </c>
      <c r="EK167" s="325" t="str">
        <f t="shared" si="63"/>
        <v>S-R1-G3-M1-P-D1-N3-S</v>
      </c>
      <c r="EL167" s="326" t="str">
        <f t="shared" si="64"/>
        <v>1-b2-3-4-5-b6-7-8</v>
      </c>
      <c r="EM167" s="318" t="str">
        <f t="shared" si="65"/>
        <v>#REF!</v>
      </c>
      <c r="EN167" s="328" t="str">
        <f>IFERROR(__xludf.DUMMYFUNCTION("SUBSTITUTE(SUBSTITUTE(SUBSTITUTE(SUBSTITUTE(CONCATENATE(JOIN("" "",HP167:IB167)),""  "","" ""),""  "","" ""),""  "","" ""),""  "","" "")"),"o o • • o o • o o • • o o")</f>
        <v>o o • • o o • o o • • o o</v>
      </c>
      <c r="EO167" s="368" t="str">
        <f t="shared" si="66"/>
        <v>-</v>
      </c>
      <c r="EP167" s="339" t="str">
        <f t="shared" si="67"/>
        <v>-</v>
      </c>
      <c r="EQ167" s="339" t="str">
        <f t="shared" si="68"/>
        <v>Sa-Pa</v>
      </c>
      <c r="ER167" s="339" t="str">
        <f t="shared" si="69"/>
        <v>-</v>
      </c>
      <c r="ES167" s="340" t="str">
        <f t="shared" si="70"/>
        <v>-</v>
      </c>
      <c r="ET167" s="363"/>
      <c r="EU167" s="376" t="b">
        <f>IFERROR(__xludf.DUMMYFUNCTION("arrayformula(sum(--REGEXMATCH(""SRGMPDNS"",split(REGEXREPLACE(C167,""(.)"",""$1~""),""~""))))=len(C167)
"),FALSE)</f>
        <v>0</v>
      </c>
      <c r="EV167" s="290" t="b">
        <f>IFERROR(__xludf.DUMMYFUNCTION("arrayformula(sum(--REGEXMATCH(""SRGmPDNS"",split(REGEXREPLACE(C167,""(.)"",""$1~""),""~""))))=len(C167)"),FALSE)</f>
        <v>0</v>
      </c>
      <c r="EW167" s="290" t="b">
        <f>IFERROR(__xludf.DUMMYFUNCTION("arrayformula(sum(--REGEXMATCH(""SRGmPDnS"",split(REGEXREPLACE(C167,""(.)"",""$1~""),""~""))))=len(C167)"),FALSE)</f>
        <v>0</v>
      </c>
      <c r="EX167" s="290" t="b">
        <f>IFERROR(__xludf.DUMMYFUNCTION("arrayformula(sum(--REGEXMATCH(""SRgmPDnS"",split(REGEXREPLACE(C167,""(.)"",""$1~""),""~""))))=len(C167)"),FALSE)</f>
        <v>0</v>
      </c>
      <c r="EY167" s="290" t="b">
        <f>IFERROR(__xludf.DUMMYFUNCTION("arrayformula(sum(--REGEXMATCH(""SRgmPdnS"",split(REGEXREPLACE(C167,""(.)"",""$1~""),""~""))))=len(C167)"),FALSE)</f>
        <v>0</v>
      </c>
      <c r="EZ167" s="290" t="b">
        <f>IFERROR(__xludf.DUMMYFUNCTION("arrayformula(sum(--REGEXMATCH(""SrgmPdnS"",split(REGEXREPLACE(C167,""(.)"",""$1~""),""~""))))=len(C167)"),FALSE)</f>
        <v>0</v>
      </c>
      <c r="FA167" s="290" t="b">
        <f>IFERROR(__xludf.DUMMYFUNCTION("arrayformula(sum(--REGEXMATCH(""SrGmPdNS"",split(REGEXREPLACE(C167,""(.)"",""$1~""),""~""))))=len(C167)"),TRUE)</f>
        <v>1</v>
      </c>
      <c r="FB167" s="290" t="b">
        <f>IFERROR(__xludf.DUMMYFUNCTION("arrayformula(sum(--REGEXMATCH(""SrGMPDNS"",split(REGEXREPLACE(C167,""(.)"",""$1~""),""~""))))=len(C167)"),FALSE)</f>
        <v>0</v>
      </c>
      <c r="FC167" s="290" t="b">
        <f>IFERROR(__xludf.DUMMYFUNCTION("arrayformula(sum(--REGEXMATCH(""SrGMPdNS"",split(REGEXREPLACE(C167,""(.)"",""$1~""),""~""))))=len(C167)"),FALSE)</f>
        <v>0</v>
      </c>
      <c r="FD167" s="377" t="b">
        <f>IFERROR(__xludf.DUMMYFUNCTION("arrayformula(sum(--REGEXMATCH(""SrgMPdNS"",split(REGEXREPLACE(C167,""(.)"",""$1~""),""~""))))=len(C167)"),FALSE)</f>
        <v>0</v>
      </c>
      <c r="FE167" s="269" t="str">
        <f t="shared" si="71"/>
        <v>xooxxoxxoox</v>
      </c>
      <c r="FF167" s="269" t="str">
        <f t="shared" si="72"/>
        <v>-</v>
      </c>
      <c r="FG167" s="271" t="str">
        <f t="shared" si="73"/>
        <v>-</v>
      </c>
      <c r="FH167" s="269" t="str">
        <f t="shared" si="74"/>
        <v>xxoxxooxxxo</v>
      </c>
      <c r="FI167" s="271" t="str">
        <f t="shared" si="75"/>
        <v>xoxxooxxxoo</v>
      </c>
      <c r="FJ167" s="271" t="str">
        <f t="shared" si="76"/>
        <v>-</v>
      </c>
      <c r="FK167" s="271" t="str">
        <f t="shared" si="77"/>
        <v>xxooxxxooxx</v>
      </c>
      <c r="FL167" s="271" t="str">
        <f t="shared" si="78"/>
        <v>xooxxxooxxo</v>
      </c>
      <c r="FM167" s="271" t="str">
        <f t="shared" si="79"/>
        <v>-</v>
      </c>
      <c r="FN167" s="271" t="str">
        <f t="shared" si="80"/>
        <v>-</v>
      </c>
      <c r="FO167" s="274" t="str">
        <f t="shared" si="81"/>
        <v>xxxooxxoxxo</v>
      </c>
      <c r="FP167" s="234" t="str">
        <f t="shared" si="82"/>
        <v>|</v>
      </c>
      <c r="FQ167" s="236" t="str">
        <f t="shared" si="83"/>
        <v>|</v>
      </c>
      <c r="FR167" s="237" t="str">
        <f t="shared" si="84"/>
        <v>-</v>
      </c>
      <c r="FS167" s="236" t="str">
        <f t="shared" si="85"/>
        <v>-</v>
      </c>
      <c r="FT167" s="237" t="str">
        <f t="shared" si="86"/>
        <v>|</v>
      </c>
      <c r="FU167" s="236" t="str">
        <f t="shared" si="87"/>
        <v>|</v>
      </c>
      <c r="FV167" s="237" t="str">
        <f t="shared" si="88"/>
        <v>-</v>
      </c>
      <c r="FW167" s="236" t="str">
        <f t="shared" si="89"/>
        <v>|</v>
      </c>
      <c r="FX167" s="237" t="str">
        <f t="shared" si="90"/>
        <v>|</v>
      </c>
      <c r="FY167" s="236" t="str">
        <f t="shared" si="91"/>
        <v>-</v>
      </c>
      <c r="FZ167" s="237" t="str">
        <f t="shared" si="92"/>
        <v>-</v>
      </c>
      <c r="GA167" s="236" t="str">
        <f t="shared" si="93"/>
        <v>|</v>
      </c>
      <c r="GB167" s="238" t="str">
        <f t="shared" si="94"/>
        <v>|</v>
      </c>
      <c r="GC167" s="244" t="str">
        <f>IFERROR(__xludf.DUMMYFUNCTION("IF(REGEXMATCH(C167, ""S""), ""1"","""")"),"1")</f>
        <v>1</v>
      </c>
      <c r="GD167" s="245" t="str">
        <f>IFERROR(__xludf.DUMMYFUNCTION("IF(REGEXMATCH(C167, ""r""), ""b2"","""")"),"b2")</f>
        <v>b2</v>
      </c>
      <c r="GE167" s="246" t="str">
        <f>IFERROR(__xludf.DUMMYFUNCTION("IF(REGEXMATCH(C167, ""R""), ""2"","""")"),"")</f>
        <v/>
      </c>
      <c r="GF167" s="246" t="str">
        <f>IFERROR(__xludf.DUMMYFUNCTION("IF(REGEXMATCH(C167, ""g""), ""b3"","""")"),"")</f>
        <v/>
      </c>
      <c r="GG167" s="245" t="str">
        <f>IFERROR(__xludf.DUMMYFUNCTION("IF(REGEXMATCH(C167, ""G""), ""3"","""")"),"3")</f>
        <v>3</v>
      </c>
      <c r="GH167" s="245" t="str">
        <f>IFERROR(__xludf.DUMMYFUNCTION("IF(REGEXMATCH(C167, ""m""), ""4"","""")"),"4")</f>
        <v>4</v>
      </c>
      <c r="GI167" s="246" t="str">
        <f>IFERROR(__xludf.DUMMYFUNCTION("IF(REGEXMATCH(C167, ""M""), ""#4"","""")"),"")</f>
        <v/>
      </c>
      <c r="GJ167" s="245" t="str">
        <f>IFERROR(__xludf.DUMMYFUNCTION("IF(REGEXMATCH(C167, ""P""), ""5"","""")"),"5")</f>
        <v>5</v>
      </c>
      <c r="GK167" s="246" t="str">
        <f>IFERROR(__xludf.DUMMYFUNCTION("IF(REGEXMATCH(C167, ""d""), ""b6"","""")"),"b6")</f>
        <v>b6</v>
      </c>
      <c r="GL167" s="245" t="str">
        <f>IFERROR(__xludf.DUMMYFUNCTION("IF(REGEXMATCH(C167, ""D""), ""6"","""")"),"")</f>
        <v/>
      </c>
      <c r="GM167" s="245" t="str">
        <f>IFERROR(__xludf.DUMMYFUNCTION("IF(REGEXMATCH(C167, ""n""), ""b7"","""")"),"")</f>
        <v/>
      </c>
      <c r="GN167" s="246" t="str">
        <f>IFERROR(__xludf.DUMMYFUNCTION("IF(REGEXMATCH(C167, ""N""), ""7"","""")"),"7")</f>
        <v>7</v>
      </c>
      <c r="GO167" s="249" t="str">
        <f>IFERROR(__xludf.DUMMYFUNCTION("IF(REGEXMATCH(C167, ""S""), ""8"","""")"),"8")</f>
        <v>8</v>
      </c>
      <c r="GP167" s="244" t="str">
        <f>IFERROR(__xludf.DUMMYFUNCTION("IF(REGEXMATCH(C167, ""S""), ""S"","""")"),"S")</f>
        <v>S</v>
      </c>
      <c r="GQ167" s="294" t="str">
        <f>IFERROR(__xludf.DUMMYFUNCTION("IF(REGEXMATCH(C167, ""r""), ""R1"","""")"),"R1")</f>
        <v>R1</v>
      </c>
      <c r="GR167" s="295" t="str">
        <f>IFERROR(__xludf.DUMMYFUNCTION("IF(REGEXMATCH(C167, ""R""), ""R2"","""")"),"")</f>
        <v/>
      </c>
      <c r="GS167" s="295" t="str">
        <f>IFERROR(__xludf.DUMMYFUNCTION("IF(REGEXMATCH(C167, ""g""), ""G2"","""")"),"")</f>
        <v/>
      </c>
      <c r="GT167" s="294" t="str">
        <f>IFERROR(__xludf.DUMMYFUNCTION("IF(REGEXMATCH(C167, ""G""), ""G3"","""")"),"G3")</f>
        <v>G3</v>
      </c>
      <c r="GU167" s="294" t="str">
        <f>IFERROR(__xludf.DUMMYFUNCTION("IF(REGEXMATCH(C167, ""m""), ""M1"","""")"),"M1")</f>
        <v>M1</v>
      </c>
      <c r="GV167" s="295" t="str">
        <f>IFERROR(__xludf.DUMMYFUNCTION("IF(REGEXMATCH(C167, ""M""), ""M2"","""")"),"")</f>
        <v/>
      </c>
      <c r="GW167" s="294" t="str">
        <f>IFERROR(__xludf.DUMMYFUNCTION("IF(REGEXMATCH(C167, ""P""), ""P"","""")"),"P")</f>
        <v>P</v>
      </c>
      <c r="GX167" s="295" t="str">
        <f>IFERROR(__xludf.DUMMYFUNCTION("IF(REGEXMATCH(C167, ""d""), ""D1"","""")"),"D1")</f>
        <v>D1</v>
      </c>
      <c r="GY167" s="294" t="str">
        <f>IFERROR(__xludf.DUMMYFUNCTION("IF(REGEXMATCH(C167, ""D""), ""D2"","""")"),"")</f>
        <v/>
      </c>
      <c r="GZ167" s="294" t="str">
        <f>IFERROR(__xludf.DUMMYFUNCTION("IF(REGEXMATCH(C167, ""n""), ""N2"","""")"),"")</f>
        <v/>
      </c>
      <c r="HA167" s="295" t="str">
        <f>IFERROR(__xludf.DUMMYFUNCTION("IF(REGEXMATCH(C167, ""N""), ""N3"","""")"),"N3")</f>
        <v>N3</v>
      </c>
      <c r="HB167" s="249" t="str">
        <f>IFERROR(__xludf.DUMMYFUNCTION("IF(REGEXMATCH(C167, ""S""), ""S"","""")"),"S")</f>
        <v>S</v>
      </c>
      <c r="HC167" s="331" t="str">
        <f t="shared" si="95"/>
        <v>S</v>
      </c>
      <c r="HD167" s="332" t="str">
        <f t="shared" si="96"/>
        <v>r</v>
      </c>
      <c r="HE167" s="332" t="str">
        <f t="shared" si="97"/>
        <v/>
      </c>
      <c r="HF167" s="332" t="str">
        <f t="shared" si="98"/>
        <v/>
      </c>
      <c r="HG167" s="332" t="str">
        <f t="shared" si="99"/>
        <v>G</v>
      </c>
      <c r="HH167" s="332" t="str">
        <f t="shared" si="100"/>
        <v>m</v>
      </c>
      <c r="HI167" s="332" t="str">
        <f t="shared" si="101"/>
        <v/>
      </c>
      <c r="HJ167" s="332" t="str">
        <f t="shared" si="102"/>
        <v>P</v>
      </c>
      <c r="HK167" s="332" t="str">
        <f t="shared" si="103"/>
        <v>d</v>
      </c>
      <c r="HL167" s="332" t="str">
        <f t="shared" si="104"/>
        <v/>
      </c>
      <c r="HM167" s="332" t="str">
        <f t="shared" si="105"/>
        <v/>
      </c>
      <c r="HN167" s="332" t="str">
        <f t="shared" si="106"/>
        <v>N</v>
      </c>
      <c r="HO167" s="343" t="str">
        <f t="shared" si="107"/>
        <v>S</v>
      </c>
      <c r="HP167" s="331" t="str">
        <f t="shared" si="108"/>
        <v>o</v>
      </c>
      <c r="HQ167" s="332" t="str">
        <f t="shared" si="109"/>
        <v>o</v>
      </c>
      <c r="HR167" s="332" t="str">
        <f t="shared" si="110"/>
        <v>•</v>
      </c>
      <c r="HS167" s="332" t="str">
        <f t="shared" si="111"/>
        <v>•</v>
      </c>
      <c r="HT167" s="332" t="str">
        <f t="shared" si="112"/>
        <v>o</v>
      </c>
      <c r="HU167" s="332" t="str">
        <f t="shared" si="113"/>
        <v>o</v>
      </c>
      <c r="HV167" s="332" t="str">
        <f t="shared" si="114"/>
        <v>•</v>
      </c>
      <c r="HW167" s="332" t="str">
        <f t="shared" si="115"/>
        <v>o</v>
      </c>
      <c r="HX167" s="332" t="str">
        <f t="shared" si="116"/>
        <v>o</v>
      </c>
      <c r="HY167" s="332" t="str">
        <f t="shared" si="117"/>
        <v>•</v>
      </c>
      <c r="HZ167" s="332" t="str">
        <f t="shared" si="118"/>
        <v>•</v>
      </c>
      <c r="IA167" s="332" t="str">
        <f t="shared" si="119"/>
        <v>o</v>
      </c>
      <c r="IB167" s="338" t="str">
        <f t="shared" si="120"/>
        <v>o</v>
      </c>
      <c r="IC167" s="331" t="str">
        <f t="shared" si="121"/>
        <v>•</v>
      </c>
      <c r="ID167" s="332" t="str">
        <f t="shared" si="122"/>
        <v>•</v>
      </c>
      <c r="IE167" s="332" t="str">
        <f t="shared" si="123"/>
        <v>o</v>
      </c>
      <c r="IF167" s="332" t="str">
        <f t="shared" si="124"/>
        <v>o</v>
      </c>
      <c r="IG167" s="332" t="str">
        <f t="shared" si="125"/>
        <v>•</v>
      </c>
      <c r="IH167" s="332" t="str">
        <f t="shared" si="126"/>
        <v>•</v>
      </c>
      <c r="II167" s="332" t="str">
        <f t="shared" si="127"/>
        <v>o</v>
      </c>
      <c r="IJ167" s="332" t="str">
        <f t="shared" si="128"/>
        <v>•</v>
      </c>
      <c r="IK167" s="332" t="str">
        <f t="shared" si="129"/>
        <v>•</v>
      </c>
      <c r="IL167" s="332" t="str">
        <f t="shared" si="130"/>
        <v>o</v>
      </c>
      <c r="IM167" s="332" t="str">
        <f t="shared" si="131"/>
        <v>o</v>
      </c>
      <c r="IN167" s="332" t="str">
        <f t="shared" si="132"/>
        <v>•</v>
      </c>
      <c r="IO167" s="338" t="str">
        <f t="shared" si="133"/>
        <v>•</v>
      </c>
      <c r="IP167" s="346" t="b">
        <f t="shared" si="134"/>
        <v>0</v>
      </c>
      <c r="IQ167" s="347" t="b">
        <f t="shared" si="135"/>
        <v>0</v>
      </c>
      <c r="IR167" s="347" t="b">
        <f t="shared" si="136"/>
        <v>0</v>
      </c>
      <c r="IS167" s="347" t="b">
        <f t="shared" si="137"/>
        <v>0</v>
      </c>
      <c r="IT167" s="347" t="b">
        <f t="shared" si="138"/>
        <v>0</v>
      </c>
      <c r="IU167" s="347" t="b">
        <f t="shared" si="139"/>
        <v>0</v>
      </c>
      <c r="IV167" s="347" t="b">
        <f t="shared" si="140"/>
        <v>0</v>
      </c>
      <c r="IW167" s="347" t="b">
        <f t="shared" si="141"/>
        <v>1</v>
      </c>
      <c r="IX167" s="347" t="b">
        <f t="shared" si="142"/>
        <v>1</v>
      </c>
      <c r="IY167" s="347" t="b">
        <f t="shared" si="143"/>
        <v>0</v>
      </c>
      <c r="IZ167" s="347" t="b">
        <f t="shared" si="144"/>
        <v>0</v>
      </c>
      <c r="JA167" s="347" t="b">
        <f t="shared" si="145"/>
        <v>1</v>
      </c>
      <c r="JB167" s="353" t="b">
        <f t="shared" si="146"/>
        <v>0</v>
      </c>
      <c r="JC167" s="354" t="str">
        <f t="shared" si="147"/>
        <v/>
      </c>
      <c r="JD167" s="355" t="str">
        <f t="shared" si="148"/>
        <v/>
      </c>
      <c r="JE167" s="355" t="str">
        <f t="shared" si="149"/>
        <v/>
      </c>
      <c r="JF167" s="355" t="str">
        <f t="shared" si="150"/>
        <v/>
      </c>
      <c r="JG167" s="355" t="str">
        <f t="shared" si="151"/>
        <v/>
      </c>
      <c r="JH167" s="355" t="str">
        <f t="shared" si="152"/>
        <v/>
      </c>
      <c r="JI167" s="355" t="str">
        <f t="shared" si="153"/>
        <v/>
      </c>
      <c r="JJ167" s="355" t="str">
        <f t="shared" si="154"/>
        <v>Pa, </v>
      </c>
      <c r="JK167" s="355" t="str">
        <f t="shared" si="155"/>
        <v>dha, </v>
      </c>
      <c r="JL167" s="355" t="str">
        <f t="shared" si="156"/>
        <v/>
      </c>
      <c r="JM167" s="355" t="str">
        <f t="shared" si="157"/>
        <v/>
      </c>
      <c r="JN167" s="355" t="str">
        <f t="shared" si="158"/>
        <v>Ni, </v>
      </c>
      <c r="JO167" s="359" t="str">
        <f t="shared" si="159"/>
        <v/>
      </c>
      <c r="JP167" s="346" t="b">
        <f t="shared" si="160"/>
        <v>0</v>
      </c>
      <c r="JQ167" s="347" t="b">
        <f t="shared" si="161"/>
        <v>0</v>
      </c>
      <c r="JR167" s="347" t="b">
        <f t="shared" si="162"/>
        <v>0</v>
      </c>
      <c r="JS167" s="347" t="b">
        <f t="shared" si="163"/>
        <v>0</v>
      </c>
      <c r="JT167" s="347" t="b">
        <f t="shared" si="164"/>
        <v>0</v>
      </c>
      <c r="JU167" s="347" t="b">
        <f t="shared" si="165"/>
        <v>0</v>
      </c>
      <c r="JV167" s="347" t="b">
        <f t="shared" si="166"/>
        <v>0</v>
      </c>
      <c r="JW167" s="347" t="b">
        <f t="shared" si="167"/>
        <v>0</v>
      </c>
      <c r="JX167" s="347" t="b">
        <f t="shared" si="168"/>
        <v>0</v>
      </c>
      <c r="JY167" s="347" t="b">
        <f t="shared" si="169"/>
        <v>0</v>
      </c>
      <c r="JZ167" s="347" t="b">
        <f t="shared" si="170"/>
        <v>0</v>
      </c>
      <c r="KA167" s="347" t="b">
        <f t="shared" si="171"/>
        <v>0</v>
      </c>
      <c r="KB167" s="365" t="b">
        <f t="shared" si="172"/>
        <v>0</v>
      </c>
      <c r="KC167" s="354" t="str">
        <f t="shared" si="173"/>
        <v/>
      </c>
      <c r="KD167" s="355" t="str">
        <f t="shared" si="174"/>
        <v/>
      </c>
      <c r="KE167" s="355" t="str">
        <f t="shared" si="175"/>
        <v/>
      </c>
      <c r="KF167" s="355" t="str">
        <f t="shared" si="176"/>
        <v/>
      </c>
      <c r="KG167" s="355" t="str">
        <f t="shared" si="177"/>
        <v/>
      </c>
      <c r="KH167" s="355" t="str">
        <f t="shared" si="178"/>
        <v/>
      </c>
      <c r="KI167" s="355" t="str">
        <f t="shared" si="179"/>
        <v/>
      </c>
      <c r="KJ167" s="355" t="str">
        <f t="shared" si="180"/>
        <v/>
      </c>
      <c r="KK167" s="355" t="str">
        <f t="shared" si="181"/>
        <v/>
      </c>
      <c r="KL167" s="355" t="str">
        <f t="shared" si="182"/>
        <v/>
      </c>
      <c r="KM167" s="355" t="str">
        <f t="shared" si="183"/>
        <v/>
      </c>
      <c r="KN167" s="355" t="str">
        <f t="shared" si="184"/>
        <v/>
      </c>
      <c r="KO167" s="359"/>
      <c r="KP167" s="378"/>
      <c r="KQ167" s="379" t="s">
        <v>591</v>
      </c>
      <c r="KR167" s="380" t="s">
        <v>1322</v>
      </c>
      <c r="KS167" s="381" t="str">
        <f t="shared" si="545"/>
        <v>S-r-G-m-P-d-N-S</v>
      </c>
      <c r="KT167" s="382">
        <f t="shared" si="186"/>
        <v>7</v>
      </c>
      <c r="KU167" s="383">
        <f t="shared" si="187"/>
        <v>7</v>
      </c>
      <c r="KV167" s="381" t="str">
        <f t="shared" si="205"/>
        <v>S-N-d-P-m-G-r-S</v>
      </c>
      <c r="KW167" s="382">
        <f t="shared" si="189"/>
        <v>7</v>
      </c>
      <c r="KX167" s="384">
        <f t="shared" si="190"/>
        <v>7</v>
      </c>
      <c r="KY167" s="382">
        <f t="shared" ref="KY167:KZ167" si="546">KW167-KT167</f>
        <v>0</v>
      </c>
      <c r="KZ167" s="369">
        <f t="shared" si="546"/>
        <v>0</v>
      </c>
      <c r="LA167" s="385" t="str">
        <f t="shared" si="192"/>
        <v>✔</v>
      </c>
      <c r="LB167" s="340" t="str">
        <f>IFERROR(__xludf.DUMMYFUNCTION("JOIN("""",ArrayFormula(MID(KS167,LEN(KS167)-SEQUENCE(1,LEN(KS167))+1,1)))"),"S-N-d-P-m-G-r-S")</f>
        <v>S-N-d-P-m-G-r-S</v>
      </c>
      <c r="LC167" s="373" t="str">
        <f>IFERROR(__xludf.DUMMYFUNCTION("JOIN("""",ArrayFormula(MID(KV167,LEN(KV167)-SEQUENCE(1,LEN(KV167))+1,1)))"),"S-r-G-m-P-d-N-S")</f>
        <v>S-r-G-m-P-d-N-S</v>
      </c>
      <c r="LD167" s="373" t="str">
        <f t="shared" si="193"/>
        <v>SrGmPdNS</v>
      </c>
      <c r="LE167" s="339" t="str">
        <f t="shared" si="194"/>
        <v>SrGmPdNS</v>
      </c>
      <c r="LF167" s="386" t="str">
        <f>IFERROR(__xludf.DUMMYFUNCTION("SUBSTITUTE(SUBSTITUTE(CONCATENATE(JOIN("""",LH167:LT167)),""1"",""""),""2"","""")"),"SrGmPdNS")</f>
        <v>SrGmPdNS</v>
      </c>
      <c r="LG167" s="369" t="str">
        <f t="shared" si="195"/>
        <v>✔</v>
      </c>
      <c r="LH167" s="387" t="str">
        <f>IFERROR(__xludf.DUMMYFUNCTION("IF(REGEXMATCH(LD167, ""S""), ""S"",IF(REGEXMATCH(LE167, ""S""), ""S"",""""))"),"S")</f>
        <v>S</v>
      </c>
      <c r="LI167" s="299" t="str">
        <f>IFERROR(__xludf.DUMMYFUNCTION("IF(REGEXMATCH(LD167, ""r""), ""r1"",IF(REGEXMATCH(LE167, ""r""), ""r2"",""""))"),"r1")</f>
        <v>r1</v>
      </c>
      <c r="LJ167" s="299" t="str">
        <f>IFERROR(__xludf.DUMMYFUNCTION("IF(REGEXMATCH(LD167, ""R""), ""R1"",IF(REGEXMATCH(LE167, ""R""), ""R2"",""""))"),"")</f>
        <v/>
      </c>
      <c r="LK167" s="299" t="str">
        <f>IFERROR(__xludf.DUMMYFUNCTION("IF(REGEXMATCH(LD167, ""g""), ""g1"",IF(REGEXMATCH(LE167, ""g""), ""g2"",""""))"),"")</f>
        <v/>
      </c>
      <c r="LL167" s="299" t="str">
        <f>IFERROR(__xludf.DUMMYFUNCTION("IF(REGEXMATCH(LD167, ""G""), ""G1"",IF(REGEXMATCH(LE167, ""G""), ""G2"",""""))"),"G1")</f>
        <v>G1</v>
      </c>
      <c r="LM167" s="299" t="str">
        <f>IFERROR(__xludf.DUMMYFUNCTION("IF(REGEXMATCH(LD167, ""m""), ""m1"",IF(REGEXMATCH(LE167, ""m""), ""m2"",""""))"),"m1")</f>
        <v>m1</v>
      </c>
      <c r="LN167" s="299" t="str">
        <f>IFERROR(__xludf.DUMMYFUNCTION("IF(REGEXMATCH(LD167, ""M""), ""M1"",IF(REGEXMATCH(LE167, ""M""), ""M2"",""""))"),"")</f>
        <v/>
      </c>
      <c r="LO167" s="299" t="str">
        <f>IFERROR(__xludf.DUMMYFUNCTION("IF(REGEXMATCH(LD167, ""P""), ""P1"",IF(REGEXMATCH(LE167, ""P""), ""P2"",""""))"),"P1")</f>
        <v>P1</v>
      </c>
      <c r="LP167" s="299" t="str">
        <f>IFERROR(__xludf.DUMMYFUNCTION("IF(REGEXMATCH(LD167, ""d""), ""d1"",IF(REGEXMATCH(LE167, ""d""), ""d2"",""""))"),"d1")</f>
        <v>d1</v>
      </c>
      <c r="LQ167" s="299" t="str">
        <f>IFERROR(__xludf.DUMMYFUNCTION("IF(REGEXMATCH(LD167, ""D""), ""D1"",IF(REGEXMATCH(LE167, ""D""), ""D2"",""""))"),"")</f>
        <v/>
      </c>
      <c r="LR167" s="299" t="str">
        <f>IFERROR(__xludf.DUMMYFUNCTION("IF(REGEXMATCH(LD167, ""n""), ""n1"",IF(REGEXMATCH(LE167, ""n""), ""n2"",""""))"),"")</f>
        <v/>
      </c>
      <c r="LS167" s="299" t="str">
        <f>IFERROR(__xludf.DUMMYFUNCTION("IF(REGEXMATCH(LD167, ""N""), ""N1"",IF(REGEXMATCH(LE167, ""N""), ""N2"",""""))"),"N1")</f>
        <v>N1</v>
      </c>
      <c r="LT167" s="388" t="str">
        <f>IFERROR(__xludf.DUMMYFUNCTION("IF(REGEXMATCH(LD167, ""S""), ""S"",IF(REGEXMATCH(LE167, ""S""), ""S"",""""))"),"S")</f>
        <v>S</v>
      </c>
      <c r="LU167" s="389">
        <f t="shared" si="196"/>
        <v>1</v>
      </c>
      <c r="LV167" s="378"/>
      <c r="LW167" s="369"/>
      <c r="LX167" s="369"/>
    </row>
    <row r="168" ht="18.0" customHeight="1">
      <c r="A168" s="298" t="s">
        <v>857</v>
      </c>
      <c r="B168" s="222" t="s">
        <v>738</v>
      </c>
      <c r="C168" s="233" t="str">
        <f t="shared" si="7"/>
        <v>SRGmPDnS</v>
      </c>
      <c r="D168" s="234" t="str">
        <f>IFERROR(__xludf.DUMMYFUNCTION("IF(REGEXMATCH(C168, ""S""), ""S"","""")"),"S")</f>
        <v>S</v>
      </c>
      <c r="E168" s="236" t="str">
        <f>IFERROR(__xludf.DUMMYFUNCTION("IF(REGEXMATCH(C168, ""r""), ""r"","""")"),"")</f>
        <v/>
      </c>
      <c r="F168" s="237" t="str">
        <f>IFERROR(__xludf.DUMMYFUNCTION("IF(REGEXMATCH(C168, ""R""), ""R"","""")"),"R")</f>
        <v>R</v>
      </c>
      <c r="G168" s="237" t="str">
        <f>IFERROR(__xludf.DUMMYFUNCTION("IF(REGEXMATCH(C168, ""g""), ""g"","""")"),"")</f>
        <v/>
      </c>
      <c r="H168" s="236" t="str">
        <f>IFERROR(__xludf.DUMMYFUNCTION("IF(REGEXMATCH(C168, ""G""), ""G"","""")"),"G")</f>
        <v>G</v>
      </c>
      <c r="I168" s="236" t="str">
        <f>IFERROR(__xludf.DUMMYFUNCTION("IF(REGEXMATCH(C168, ""m""), ""m"","""")"),"m")</f>
        <v>m</v>
      </c>
      <c r="J168" s="237" t="str">
        <f>IFERROR(__xludf.DUMMYFUNCTION("IF(REGEXMATCH(C168, ""M""), ""M"","""")"),"")</f>
        <v/>
      </c>
      <c r="K168" s="236" t="str">
        <f>IFERROR(__xludf.DUMMYFUNCTION("IF(REGEXMATCH(C168, ""P""), ""P"","""")"),"P")</f>
        <v>P</v>
      </c>
      <c r="L168" s="237" t="str">
        <f>IFERROR(__xludf.DUMMYFUNCTION("IF(REGEXMATCH(C168, ""d""), ""d"","""")"),"")</f>
        <v/>
      </c>
      <c r="M168" s="236" t="str">
        <f>IFERROR(__xludf.DUMMYFUNCTION("IF(REGEXMATCH(C168, ""D""), ""D"","""")"),"D")</f>
        <v>D</v>
      </c>
      <c r="N168" s="236" t="str">
        <f>IFERROR(__xludf.DUMMYFUNCTION("IF(REGEXMATCH(C168, ""n""), ""n"","""")"),"n")</f>
        <v>n</v>
      </c>
      <c r="O168" s="237" t="str">
        <f>IFERROR(__xludf.DUMMYFUNCTION("IF(REGEXMATCH(C168, ""N""), ""N"","""")"),"")</f>
        <v/>
      </c>
      <c r="P168" s="238" t="str">
        <f>IFERROR(__xludf.DUMMYFUNCTION("IF(REGEXMATCH(C168, ""S""), ""S"","""")"),"S")</f>
        <v>S</v>
      </c>
      <c r="Q168" s="239" t="str">
        <f>IFERROR(__xludf.DUMMYFUNCTION("SUBSTITUTE(CONCATENATE(JOIN(""-"",D168:J168)),""-"","""")"),"SRGm")</f>
        <v>SRGm</v>
      </c>
      <c r="R168" s="229" t="str">
        <f>IFERROR(__xludf.DUMMYFUNCTION("SUBSTITUTE(CONCATENATE(JOIN(""-"",K168:P168)),""-"","""")"),"PDnS")</f>
        <v>PDnS</v>
      </c>
      <c r="S168" s="282" t="str">
        <f t="shared" si="8"/>
        <v>S-R-G-M</v>
      </c>
      <c r="T168" s="282" t="str">
        <f t="shared" si="9"/>
        <v>P-D-N-S</v>
      </c>
      <c r="U168" s="237" t="str">
        <f>IFERROR(__xludf.DUMMYFUNCTION("SUBSTITUTE(JOIN(""-"",S168,T168),""--"",""-"")"),"S-R-G-M-P-D-N-S")</f>
        <v>S-R-G-M-P-D-N-S</v>
      </c>
      <c r="V168" s="309" t="str">
        <f t="shared" si="10"/>
        <v>RGmDn</v>
      </c>
      <c r="W168" s="244" t="str">
        <f>IFERROR(__xludf.DUMMYFUNCTION("IF(REGEXMATCH(C168, ""S""), ""0"","""")"),"0")</f>
        <v>0</v>
      </c>
      <c r="X168" s="245" t="str">
        <f>IFERROR(__xludf.DUMMYFUNCTION("IF(REGEXMATCH(C168, ""r""), ""1"","""")"),"")</f>
        <v/>
      </c>
      <c r="Y168" s="246" t="str">
        <f>IFERROR(__xludf.DUMMYFUNCTION("IF(REGEXMATCH(C168, ""R""), ""2"","""")"),"2")</f>
        <v>2</v>
      </c>
      <c r="Z168" s="246" t="str">
        <f>IFERROR(__xludf.DUMMYFUNCTION("IF(REGEXMATCH(C168, ""g""), ""3"","""")"),"")</f>
        <v/>
      </c>
      <c r="AA168" s="245" t="str">
        <f>IFERROR(__xludf.DUMMYFUNCTION("IF(REGEXMATCH(C168, ""G""), ""4"","""")"),"4")</f>
        <v>4</v>
      </c>
      <c r="AB168" s="245" t="str">
        <f>IFERROR(__xludf.DUMMYFUNCTION("IF(REGEXMATCH(C168, ""m""), ""5"","""")"),"5")</f>
        <v>5</v>
      </c>
      <c r="AC168" s="246" t="str">
        <f>IFERROR(__xludf.DUMMYFUNCTION("IF(REGEXMATCH(C168, ""M""), ""6"","""")"),"")</f>
        <v/>
      </c>
      <c r="AD168" s="245" t="str">
        <f>IFERROR(__xludf.DUMMYFUNCTION("IF(REGEXMATCH(C168, ""P""), ""7"","""")"),"7")</f>
        <v>7</v>
      </c>
      <c r="AE168" s="246" t="str">
        <f>IFERROR(__xludf.DUMMYFUNCTION("IF(REGEXMATCH(C168, ""d""), ""8"","""")"),"")</f>
        <v/>
      </c>
      <c r="AF168" s="245" t="str">
        <f>IFERROR(__xludf.DUMMYFUNCTION("IF(REGEXMATCH(C168, ""D""), ""9"","""")"),"9")</f>
        <v>9</v>
      </c>
      <c r="AG168" s="245" t="str">
        <f>IFERROR(__xludf.DUMMYFUNCTION("IF(REGEXMATCH(C168, ""n""), ""10"","""")"),"10")</f>
        <v>10</v>
      </c>
      <c r="AH168" s="246" t="str">
        <f>IFERROR(__xludf.DUMMYFUNCTION("IF(REGEXMATCH(C168, ""N""), ""11"","""")"),"")</f>
        <v/>
      </c>
      <c r="AI168" s="249" t="str">
        <f>IFERROR(__xludf.DUMMYFUNCTION("IF(REGEXMATCH(C168, ""S""), ""0"","""")"),"0")</f>
        <v>0</v>
      </c>
      <c r="AJ168" s="313" t="str">
        <f t="shared" si="11"/>
        <v>-</v>
      </c>
      <c r="AK168" s="313" t="str">
        <f t="shared" si="12"/>
        <v>-</v>
      </c>
      <c r="AL168" s="313" t="str">
        <f t="shared" si="13"/>
        <v>-</v>
      </c>
      <c r="AM168" s="313" t="str">
        <f t="shared" si="14"/>
        <v>-</v>
      </c>
      <c r="AN168" s="313" t="str">
        <f t="shared" si="15"/>
        <v>T</v>
      </c>
      <c r="AO168" s="314" t="str">
        <f t="shared" si="16"/>
        <v>-</v>
      </c>
      <c r="AP168" s="316">
        <f t="shared" si="17"/>
        <v>1</v>
      </c>
      <c r="AQ168" s="319" t="str">
        <f t="shared" si="18"/>
        <v>-</v>
      </c>
      <c r="AR168" s="320">
        <f t="shared" si="19"/>
        <v>0</v>
      </c>
      <c r="AS168" s="250" t="str">
        <f>IFERROR(__xludf.DUMMYFUNCTION("SUBSTITUTE(SUBSTITUTE(CONCATENATE(JOIN("""",FP168:GA168)),""|"",""x""),""-"",""o"")"),"xoxoxxoxoxxo")</f>
        <v>xoxoxxoxoxxo</v>
      </c>
      <c r="AT168" s="323" t="str">
        <f>IFERROR(__xludf.DUMMYFUNCTION("JOIN("""",AS168,AS168)"),"xoxoxxoxoxxoxoxoxxoxoxxo")</f>
        <v>xoxoxxoxoxxoxoxoxxoxoxxo</v>
      </c>
      <c r="AU168" s="256" t="str">
        <f>IFERROR(__xludf.DUMMYFUNCTION("JOIN("""",ArrayFormula(MID(AS168,LEN(AS168)-SEQUENCE(1,LEN(AS168))+1,1)))"),"oxxoxoxxoxox")</f>
        <v>oxxoxoxxoxox</v>
      </c>
      <c r="AV168" s="256" t="str">
        <f>IFERROR(__xludf.DUMMYFUNCTION("LEFT(CONCATENATE(""x"",JOIN("""",ArrayFormula(MID(AS168,LEN(AS168)-SEQUENCE(1,LEN(AS168))+1,1)))),12)"),"xoxxoxoxxoxo")</f>
        <v>xoxxoxoxxoxo</v>
      </c>
      <c r="AW168" s="327" t="str">
        <f>IFERROR(__xludf.DUMMYFUNCTION("JOIN("""",AU168,AU168)"),"oxxoxoxxoxoxoxxoxoxxoxox")</f>
        <v>oxxoxoxxoxoxoxxoxoxxoxox</v>
      </c>
      <c r="AX168" s="239" t="str">
        <f>IFERROR(__xludf.DUMMYFUNCTION("IF(REGEXMATCH(AW168,AS168),""✔"",""-"")"),"✔")</f>
        <v>✔</v>
      </c>
      <c r="AY168" s="330" t="str">
        <f t="shared" si="20"/>
        <v>-</v>
      </c>
      <c r="AZ168" s="260" t="str">
        <f t="shared" si="21"/>
        <v>#REF!</v>
      </c>
      <c r="BA168" s="333" t="str">
        <f t="shared" si="22"/>
        <v>xoxoxxo</v>
      </c>
      <c r="BB168" s="334" t="str">
        <f t="shared" si="23"/>
        <v>xoxxox</v>
      </c>
      <c r="BC168" s="335" t="str">
        <f t="shared" si="236"/>
        <v>-</v>
      </c>
      <c r="BD168" s="336" t="str">
        <f t="shared" si="25"/>
        <v>Kambhoji: 'xoxoxxo' + 'xoxxox'</v>
      </c>
      <c r="BE168" s="337">
        <f>IFERROR(__xludf.DUMMYFUNCTION("COUNTUNIQUE(FILTER(AT:AT,REGEXMATCH(AT:AT,AS168)))-1"),6.0)</f>
        <v>6</v>
      </c>
      <c r="BF168" s="261" t="str">
        <f>IFERROR(__xludf.DUMMYFUNCTION("IF(BI168=0,""(n/a)"",IF(BJ168=2,""(PAIR)"",IF(REGEXMATCH(AT168,""xoxoxxoxoxox""),""Bilawal"",IF(REGEXMATCH(AT168,""xoxoxooxoxoo""),""Bhupali"",IF(REGEXMATCH(AT168,""xoxoxxoxxoxo""),""Charukeshi"",IF(REGEXMATCH(AT168,""xoxoooxxoxxo""),""Kameshwari"",IF(REG"&amp;"EXMATCH(AT168,""xoxoxooxoxox""),""Shankara"",IF(REGEXMATCH(AT168,""xxooxoxxxoox""),""Basant"",IF(REGEXMATCH(AT168,""xoxoxxxxoxox""),""Bihag"",IF(REGEXMATCH(AT168,""xoxxxxoxoxxx""),""Pilu"",IF(REGEXMATCH(AT168,""xoxxoxoxxoox""),""Kirwani"",IF(REGEXMATCH(AT"&amp;"168,""xoxxoxoxoxxx""),""Mk.Malhar"",IF(REGEXMATCH(AT168,""xxooxxoxxoox""),""Bhairav"",IF(REGEXMATCH(AT168,""xxoxooxxxoox""),""Todi"",IF(REGEXMATCH(AT168,""xxooxoxooxox""),""Marwa"",IF(REGEXMATCH(AT168,""xxoooxoxxooo""),""Gunkali"",IF(REGEXMATCH(AT168,""xo"&amp;"xoxxoxxoox""),""Nat Bhairav"",IF(REGEXMATCH(AT168,""xoxxoooxoxoo""),""Shivranjani"",IF(REGEXMATCH(AT168,""xooxxxoxooxo""),""Jog"",IF(REGEXMATCH(AT168,""xxooxoxoxoox""),""Hemshri"",IF(REGEXMATCH(AT168,""xoooxooxoxxo""),""Kalavati"",IF(REGEXMATCH(AT168,""xx"&amp;"oxoxxoxoox""),""Kedar"",IF(REGEXMATCH(AT168,""xoxxxxoxooxx""),""Gara"",IF(REGEXMATCH(AT168,""xooxoxooxoox""),""Chandrakauns"",IF(REGEXMATCH(AT168,""xoxxxxoxxxox""),""Mand"",IF(REGEXMATCH(AT168,""xoxxxxoxoxox""),""Hanskinkini"",IF(REGEXMATCH(AT168,""xxooxx"&amp;"oxooxo""),""Lilavati"",IF(REGEXMATCH(AT168,""xooxoxoooxox""),""Rajeshwari"",IF(REGEXMATCH(AT168,""xoooxxoxoxxx""),""Khokar"",IF(REGEXMATCH(AT168,""xxooxoxxxxox""),""Maligoura"",""-""))))))))))))))))))))))))))))))"),"Bilawal")</f>
        <v>Bilawal</v>
      </c>
      <c r="BG168" s="239" t="str">
        <f t="shared" si="26"/>
        <v>#REF!</v>
      </c>
      <c r="BH168" s="239">
        <f>IFERROR(__xludf.DUMMYFUNCTION("COUNTUNIQUE(FE168:FO168)-1"),6.0)</f>
        <v>6</v>
      </c>
      <c r="BI168" s="239">
        <f>IFERROR(__xludf.DUMMYFUNCTION("COUNTUNIQUE(FILTER(AT:AT,REGEXMATCH(AT:AT,AS168)))-1"),6.0)</f>
        <v>6</v>
      </c>
      <c r="BJ168" s="239">
        <f>IFERROR(__xludf.DUMMYFUNCTION("COUNTA(FILTER(AT:AT,REGEXMATCH(AT:AT,AS168)))"),48.0)</f>
        <v>48</v>
      </c>
      <c r="BK168" s="341">
        <f>IFERROR(__xludf.DUMMYFUNCTION("COUNTA(FILTER(AT:AT,REGEXMATCH(AT:AT,AS168)))-AR168"),48.0)</f>
        <v>48</v>
      </c>
      <c r="BL168" s="276" t="str">
        <f>IFERROR(__xludf.DUMMYFUNCTION("IF(AS168=""oooooooooooo"",""-"",IF(REGEXMATCH(AT168,""xx""), ""Hemi."", ""Anhemi.""))"),"Hemi.")</f>
        <v>Hemi.</v>
      </c>
      <c r="BM168" s="282" t="str">
        <f>IFERROR(__xludf.DUMMYFUNCTION("IF(AS168=""oooooooooooo"",""-"",IF(REGEXMATCH(AT168,""xxx""), ""Cohem."", ""-""))"),"-")</f>
        <v>-</v>
      </c>
      <c r="BN168" s="282" t="str">
        <f>IFERROR(__xludf.DUMMYFUNCTION("IF(AS168=""oooooooooooo"",""-"",IF(REGEXMATCH(AT168,""xxxx""), ""Co-Co."", ""-""))"),"-")</f>
        <v>-</v>
      </c>
      <c r="BO168" s="342" t="str">
        <f>IFERROR(__xludf.DUMMYFUNCTION("IF(AS168=""oooooooooooo"",""-"",IF(REGEXMATCH(AT168,""xxxxx""), ""CCC."", ""-""))"),"-")</f>
        <v>-</v>
      </c>
      <c r="BP168" s="344" t="str">
        <f t="shared" si="27"/>
        <v>Khamaj</v>
      </c>
      <c r="BQ168" s="282" t="str">
        <f>IFERROR(__xludf.DUMMYFUNCTION("IF(REGEXMATCH(JOIN(""-"",EU168:FD168),""TRUE""),""✔"",""-"")"),"✔")</f>
        <v>✔</v>
      </c>
      <c r="BR168" s="225">
        <f t="shared" si="28"/>
        <v>1</v>
      </c>
      <c r="BS168" s="345" t="str">
        <f>IFERROR(__xludf.DUMMYFUNCTION("SUBSTITUTE(SUBSTITUTE(SUBSTITUTE(SUBSTITUTE(CONCATENATE(JOIN(""-"",GC168:GO168)),""--"",""-""),""--"",""-""),""--"",""-""),""--"",""-"")"),"1-2-3-4-5-6-b7-8")</f>
        <v>1-2-3-4-5-6-b7-8</v>
      </c>
      <c r="BT168" s="299" t="str">
        <f>IFERROR(__xludf.DUMMYFUNCTION("SUBSTITUTE(SUBSTITUTE(SUBSTITUTE(SUBSTITUTE(CONCATENATE(JOIN(""-"",GP168:HB168)),""--"",""-""),""--"",""-""),""--"",""-""),""--"",""-"")"),"S-R2-G3-M1-P-D2-N2-S")</f>
        <v>S-R2-G3-M1-P-D2-N2-S</v>
      </c>
      <c r="BU168" s="348" t="str">
        <f t="shared" si="29"/>
        <v>C-D-E-F-G-A-Bb-C</v>
      </c>
      <c r="BV168" s="349" t="str">
        <f t="shared" si="30"/>
        <v>SrgMdNS</v>
      </c>
      <c r="BW168" s="350">
        <f t="shared" si="31"/>
        <v>1</v>
      </c>
      <c r="BX168" s="351">
        <f t="shared" si="32"/>
        <v>8</v>
      </c>
      <c r="BY168" s="392"/>
      <c r="BZ168" s="309" t="str">
        <f>IFERROR(__xludf.DUMMYFUNCTION("IF(REGEXMATCH(C168, ""S""), ""x"",""x"")"),"x")</f>
        <v>x</v>
      </c>
      <c r="CA168" s="245" t="str">
        <f>IFERROR(__xludf.DUMMYFUNCTION("IF(REGEXMATCH(C168, ""r""), ""o"",""x"")"),"x")</f>
        <v>x</v>
      </c>
      <c r="CB168" s="246" t="str">
        <f>IFERROR(__xludf.DUMMYFUNCTION("IF(REGEXMATCH(C168, ""R""), ""o"",""x"")"),"o")</f>
        <v>o</v>
      </c>
      <c r="CC168" s="246" t="str">
        <f>IFERROR(__xludf.DUMMYFUNCTION("IF(REGEXMATCH(C168, ""g""), ""o"",""x"")"),"x")</f>
        <v>x</v>
      </c>
      <c r="CD168" s="245" t="str">
        <f>IFERROR(__xludf.DUMMYFUNCTION("IF(REGEXMATCH(C168, ""G""), ""o"",""x"")"),"o")</f>
        <v>o</v>
      </c>
      <c r="CE168" s="245" t="str">
        <f>IFERROR(__xludf.DUMMYFUNCTION("IF(REGEXMATCH(C168, ""m""), ""o"",""x"")"),"o")</f>
        <v>o</v>
      </c>
      <c r="CF168" s="246" t="str">
        <f>IFERROR(__xludf.DUMMYFUNCTION("IF(REGEXMATCH(C168, ""M""), ""o"",""x"")"),"x")</f>
        <v>x</v>
      </c>
      <c r="CG168" s="245" t="str">
        <f>IFERROR(__xludf.DUMMYFUNCTION("IF(REGEXMATCH(C168, ""P""), ""o"",""x"")"),"o")</f>
        <v>o</v>
      </c>
      <c r="CH168" s="246" t="str">
        <f>IFERROR(__xludf.DUMMYFUNCTION("IF(REGEXMATCH(C168, ""d""), ""o"",""x"")"),"x")</f>
        <v>x</v>
      </c>
      <c r="CI168" s="245" t="str">
        <f>IFERROR(__xludf.DUMMYFUNCTION("IF(REGEXMATCH(C168, ""D""), ""o"",""x"")"),"o")</f>
        <v>o</v>
      </c>
      <c r="CJ168" s="245" t="str">
        <f>IFERROR(__xludf.DUMMYFUNCTION("IF(REGEXMATCH(C168, ""n""), ""o"",""x"")"),"o")</f>
        <v>o</v>
      </c>
      <c r="CK168" s="245" t="str">
        <f>IFERROR(__xludf.DUMMYFUNCTION("IF(REGEXMATCH(C168, ""N""), ""o"",""x"")"),"x")</f>
        <v>x</v>
      </c>
      <c r="CL168" s="356" t="str">
        <f>IFERROR(__xludf.DUMMYFUNCTION("IF(REGEXMATCH(C168, ""S""), ""x"",""x"")"),"x")</f>
        <v>x</v>
      </c>
      <c r="CM168" s="357" t="str">
        <f t="shared" si="33"/>
        <v>xxoxooxoxoox</v>
      </c>
      <c r="CN168" s="358">
        <f t="shared" si="34"/>
        <v>1</v>
      </c>
      <c r="CO168" s="246" t="str">
        <f>IFERROR(__xludf.DUMMYFUNCTION("IF(REGEXMATCH($C168, ""S""), ""S"",""S"")"),"S")</f>
        <v>S</v>
      </c>
      <c r="CP168" s="246" t="str">
        <f>IFERROR(__xludf.DUMMYFUNCTION("IF(REGEXMATCH($C168, ""r""), """",""r"")"),"r")</f>
        <v>r</v>
      </c>
      <c r="CQ168" s="246" t="str">
        <f>IFERROR(__xludf.DUMMYFUNCTION("IF(REGEXMATCH($C168, ""R""), """",""R"")"),"")</f>
        <v/>
      </c>
      <c r="CR168" s="246" t="str">
        <f>IFERROR(__xludf.DUMMYFUNCTION("IF(REGEXMATCH($C168, ""g""), """",""g"")"),"g")</f>
        <v>g</v>
      </c>
      <c r="CS168" s="246" t="str">
        <f>IFERROR(__xludf.DUMMYFUNCTION("IF(REGEXMATCH($C168, ""G""), """",""G"")"),"")</f>
        <v/>
      </c>
      <c r="CT168" s="246" t="str">
        <f>IFERROR(__xludf.DUMMYFUNCTION("IF(REGEXMATCH($C168, ""m""), """",""m"")"),"")</f>
        <v/>
      </c>
      <c r="CU168" s="246" t="str">
        <f>IFERROR(__xludf.DUMMYFUNCTION("IF(REGEXMATCH($C168, ""M""), """",""M"")"),"M")</f>
        <v>M</v>
      </c>
      <c r="CV168" s="246" t="str">
        <f>IFERROR(__xludf.DUMMYFUNCTION("IF(REGEXMATCH($C168, ""P""), """",""P"")"),"")</f>
        <v/>
      </c>
      <c r="CW168" s="246" t="str">
        <f>IFERROR(__xludf.DUMMYFUNCTION("IF(REGEXMATCH($C168, ""d""), """",""d"")"),"d")</f>
        <v>d</v>
      </c>
      <c r="CX168" s="246" t="str">
        <f>IFERROR(__xludf.DUMMYFUNCTION("IF(REGEXMATCH($C168, ""D""), """",""D"")"),"")</f>
        <v/>
      </c>
      <c r="CY168" s="246" t="str">
        <f>IFERROR(__xludf.DUMMYFUNCTION("IF(REGEXMATCH($C168, ""n""), """",""n"")"),"")</f>
        <v/>
      </c>
      <c r="CZ168" s="246" t="str">
        <f>IFERROR(__xludf.DUMMYFUNCTION("IF(REGEXMATCH($C168, ""N""), """",""N"")"),"N")</f>
        <v>N</v>
      </c>
      <c r="DA168" s="246" t="str">
        <f>IFERROR(__xludf.DUMMYFUNCTION("IF(REGEXMATCH($C168, ""S""), ""S"",""S"")"),"S")</f>
        <v>S</v>
      </c>
      <c r="DB168" s="362" t="str">
        <f>IFERROR(__xludf.DUMMYFUNCTION("JOIN("""",CO168:DA168,"""","""")"),"SrgMdNS")</f>
        <v>SrgMdNS</v>
      </c>
      <c r="DC168" s="363"/>
      <c r="DD168" s="301" t="str">
        <f t="shared" si="35"/>
        <v>#REF!</v>
      </c>
      <c r="DE168" s="302" t="str">
        <f t="shared" si="36"/>
        <v>#REF!</v>
      </c>
      <c r="DF168" s="301" t="str">
        <f t="shared" ref="DF168:DG168" si="547">SUBSTITUTE(S168,"-","")</f>
        <v>SRGM</v>
      </c>
      <c r="DG168" s="301" t="str">
        <f t="shared" si="547"/>
        <v>PDNS</v>
      </c>
      <c r="DH168" s="302" t="str">
        <f t="shared" si="38"/>
        <v>Bilawal</v>
      </c>
      <c r="DI168" s="301" t="str">
        <f t="shared" si="39"/>
        <v>Hemi.</v>
      </c>
      <c r="DJ168" s="364" t="str">
        <f t="shared" si="40"/>
        <v>-</v>
      </c>
      <c r="DK168" s="306" t="str">
        <f t="shared" si="41"/>
        <v>Khamaj</v>
      </c>
      <c r="DL168" s="366" t="str">
        <f t="shared" si="42"/>
        <v>-</v>
      </c>
      <c r="DM168" s="308" t="str">
        <f t="shared" si="43"/>
        <v>-</v>
      </c>
      <c r="DN168" s="306" t="str">
        <f t="shared" si="44"/>
        <v>-</v>
      </c>
      <c r="DO168" s="306" t="str">
        <f t="shared" si="45"/>
        <v>-</v>
      </c>
      <c r="DP168" s="367" t="str">
        <f t="shared" si="46"/>
        <v>-</v>
      </c>
      <c r="DQ168" s="310" t="str">
        <f t="shared" si="47"/>
        <v>-</v>
      </c>
      <c r="DR168" s="310" t="str">
        <f t="shared" si="48"/>
        <v>-</v>
      </c>
      <c r="DS168" s="310" t="str">
        <f t="shared" si="49"/>
        <v>-</v>
      </c>
      <c r="DT168" s="310" t="str">
        <f t="shared" si="50"/>
        <v>-</v>
      </c>
      <c r="DU168" s="370" t="str">
        <f t="shared" si="51"/>
        <v>-</v>
      </c>
      <c r="DV168" s="306" t="str">
        <f t="shared" si="52"/>
        <v>-</v>
      </c>
      <c r="DW168" s="306" t="str">
        <f t="shared" si="53"/>
        <v>-</v>
      </c>
      <c r="DX168" s="306" t="str">
        <f t="shared" si="54"/>
        <v>-</v>
      </c>
      <c r="DY168" s="306" t="str">
        <f t="shared" si="55"/>
        <v>-</v>
      </c>
      <c r="DZ168" s="306" t="str">
        <f t="shared" si="56"/>
        <v>-</v>
      </c>
      <c r="EA168" s="367" t="str">
        <f t="shared" si="57"/>
        <v>-</v>
      </c>
      <c r="EB168" s="310" t="str">
        <f>IFERROR(__xludf.DUMMYFUNCTION("IF(REGEXMATCH(AW168,AS168),""✔"",""-"")"),"✔")</f>
        <v>✔</v>
      </c>
      <c r="EC168" s="310" t="str">
        <f t="shared" si="58"/>
        <v>#REF!</v>
      </c>
      <c r="ED168" s="370" t="str">
        <f t="shared" si="59"/>
        <v>-</v>
      </c>
      <c r="EE168" s="340" t="str">
        <f t="shared" si="60"/>
        <v>S-R-G-m-P-D-n-S</v>
      </c>
      <c r="EF168" s="371" t="str">
        <f>IFERROR(__xludf.DUMMYFUNCTION("CONCATENATE(JOIN("""",HC168:HO168))"),"SRgmPdnS")</f>
        <v>SRgmPdnS</v>
      </c>
      <c r="EG168" s="372">
        <f t="shared" si="61"/>
        <v>1</v>
      </c>
      <c r="EH168" s="373" t="str">
        <f>IFERROR(__xludf.DUMMYFUNCTION("CONCATENATE(JOIN("""",JC168:JO168))"),"Ga, ")</f>
        <v>Ga, </v>
      </c>
      <c r="EI168" s="322">
        <f t="shared" si="62"/>
        <v>0</v>
      </c>
      <c r="EJ168" s="374" t="str">
        <f>IFERROR(__xludf.DUMMYFUNCTION("CONCATENATE(JOIN("""",KC168:KO168))"),"")</f>
        <v/>
      </c>
      <c r="EK168" s="325" t="str">
        <f t="shared" si="63"/>
        <v>S-R2-G3-M1-P-D2-N2-S</v>
      </c>
      <c r="EL168" s="326" t="str">
        <f t="shared" si="64"/>
        <v>1-2-3-4-5-6-b7-8</v>
      </c>
      <c r="EM168" s="318" t="str">
        <f t="shared" si="65"/>
        <v>#REF!</v>
      </c>
      <c r="EN168" s="328" t="str">
        <f>IFERROR(__xludf.DUMMYFUNCTION("SUBSTITUTE(SUBSTITUTE(SUBSTITUTE(SUBSTITUTE(CONCATENATE(JOIN("" "",HP168:IB168)),""  "","" ""),""  "","" ""),""  "","" ""),""  "","" "")"),"o • o • o o • o • o o • o")</f>
        <v>o • o • o o • o • o o • o</v>
      </c>
      <c r="EO168" s="368" t="str">
        <f t="shared" si="66"/>
        <v>-</v>
      </c>
      <c r="EP168" s="339" t="str">
        <f t="shared" si="67"/>
        <v>-</v>
      </c>
      <c r="EQ168" s="339" t="str">
        <f t="shared" si="68"/>
        <v>Sa-Pa</v>
      </c>
      <c r="ER168" s="339" t="str">
        <f t="shared" si="69"/>
        <v>-</v>
      </c>
      <c r="ES168" s="340" t="str">
        <f t="shared" si="70"/>
        <v>-</v>
      </c>
      <c r="ET168" s="363"/>
      <c r="EU168" s="376" t="b">
        <f>IFERROR(__xludf.DUMMYFUNCTION("arrayformula(sum(--REGEXMATCH(""SRGMPDNS"",split(REGEXREPLACE(C168,""(.)"",""$1~""),""~""))))=len(C168)
"),FALSE)</f>
        <v>0</v>
      </c>
      <c r="EV168" s="290" t="b">
        <f>IFERROR(__xludf.DUMMYFUNCTION("arrayformula(sum(--REGEXMATCH(""SRGmPDNS"",split(REGEXREPLACE(C168,""(.)"",""$1~""),""~""))))=len(C168)"),FALSE)</f>
        <v>0</v>
      </c>
      <c r="EW168" s="290" t="b">
        <f>IFERROR(__xludf.DUMMYFUNCTION("arrayformula(sum(--REGEXMATCH(""SRGmPDnS"",split(REGEXREPLACE(C168,""(.)"",""$1~""),""~""))))=len(C168)"),TRUE)</f>
        <v>1</v>
      </c>
      <c r="EX168" s="290" t="b">
        <f>IFERROR(__xludf.DUMMYFUNCTION("arrayformula(sum(--REGEXMATCH(""SRgmPDnS"",split(REGEXREPLACE(C168,""(.)"",""$1~""),""~""))))=len(C168)"),FALSE)</f>
        <v>0</v>
      </c>
      <c r="EY168" s="290" t="b">
        <f>IFERROR(__xludf.DUMMYFUNCTION("arrayformula(sum(--REGEXMATCH(""SRgmPdnS"",split(REGEXREPLACE(C168,""(.)"",""$1~""),""~""))))=len(C168)"),FALSE)</f>
        <v>0</v>
      </c>
      <c r="EZ168" s="290" t="b">
        <f>IFERROR(__xludf.DUMMYFUNCTION("arrayformula(sum(--REGEXMATCH(""SrgmPdnS"",split(REGEXREPLACE(C168,""(.)"",""$1~""),""~""))))=len(C168)"),FALSE)</f>
        <v>0</v>
      </c>
      <c r="FA168" s="290" t="b">
        <f>IFERROR(__xludf.DUMMYFUNCTION("arrayformula(sum(--REGEXMATCH(""SrGmPdNS"",split(REGEXREPLACE(C168,""(.)"",""$1~""),""~""))))=len(C168)"),FALSE)</f>
        <v>0</v>
      </c>
      <c r="FB168" s="290" t="b">
        <f>IFERROR(__xludf.DUMMYFUNCTION("arrayformula(sum(--REGEXMATCH(""SrGMPDNS"",split(REGEXREPLACE(C168,""(.)"",""$1~""),""~""))))=len(C168)"),FALSE)</f>
        <v>0</v>
      </c>
      <c r="FC168" s="290" t="b">
        <f>IFERROR(__xludf.DUMMYFUNCTION("arrayformula(sum(--REGEXMATCH(""SrGMPdNS"",split(REGEXREPLACE(C168,""(.)"",""$1~""),""~""))))=len(C168)"),FALSE)</f>
        <v>0</v>
      </c>
      <c r="FD168" s="377" t="b">
        <f>IFERROR(__xludf.DUMMYFUNCTION("arrayformula(sum(--REGEXMATCH(""SrgMPdNS"",split(REGEXREPLACE(C168,""(.)"",""$1~""),""~""))))=len(C168)"),FALSE)</f>
        <v>0</v>
      </c>
      <c r="FE168" s="269" t="str">
        <f t="shared" si="71"/>
        <v>-</v>
      </c>
      <c r="FF168" s="269" t="str">
        <f t="shared" si="72"/>
        <v>xoxxoxoxxox</v>
      </c>
      <c r="FG168" s="271" t="str">
        <f t="shared" si="73"/>
        <v>-</v>
      </c>
      <c r="FH168" s="269" t="str">
        <f t="shared" si="74"/>
        <v>xxoxoxxoxox</v>
      </c>
      <c r="FI168" s="271" t="str">
        <f t="shared" si="75"/>
        <v>xoxoxxoxoxo</v>
      </c>
      <c r="FJ168" s="271" t="str">
        <f t="shared" si="76"/>
        <v>-</v>
      </c>
      <c r="FK168" s="271" t="str">
        <f t="shared" si="77"/>
        <v>xoxxoxoxoxx</v>
      </c>
      <c r="FL168" s="271" t="str">
        <f t="shared" si="78"/>
        <v>-</v>
      </c>
      <c r="FM168" s="271" t="str">
        <f t="shared" si="79"/>
        <v>xxoxoxoxxox</v>
      </c>
      <c r="FN168" s="271" t="str">
        <f t="shared" si="80"/>
        <v>xoxoxoxxoxo</v>
      </c>
      <c r="FO168" s="274" t="str">
        <f t="shared" si="81"/>
        <v>-</v>
      </c>
      <c r="FP168" s="234" t="str">
        <f t="shared" si="82"/>
        <v>|</v>
      </c>
      <c r="FQ168" s="236" t="str">
        <f t="shared" si="83"/>
        <v>-</v>
      </c>
      <c r="FR168" s="237" t="str">
        <f t="shared" si="84"/>
        <v>|</v>
      </c>
      <c r="FS168" s="236" t="str">
        <f t="shared" si="85"/>
        <v>-</v>
      </c>
      <c r="FT168" s="237" t="str">
        <f t="shared" si="86"/>
        <v>|</v>
      </c>
      <c r="FU168" s="236" t="str">
        <f t="shared" si="87"/>
        <v>|</v>
      </c>
      <c r="FV168" s="237" t="str">
        <f t="shared" si="88"/>
        <v>-</v>
      </c>
      <c r="FW168" s="236" t="str">
        <f t="shared" si="89"/>
        <v>|</v>
      </c>
      <c r="FX168" s="237" t="str">
        <f t="shared" si="90"/>
        <v>-</v>
      </c>
      <c r="FY168" s="236" t="str">
        <f t="shared" si="91"/>
        <v>|</v>
      </c>
      <c r="FZ168" s="237" t="str">
        <f t="shared" si="92"/>
        <v>|</v>
      </c>
      <c r="GA168" s="236" t="str">
        <f t="shared" si="93"/>
        <v>-</v>
      </c>
      <c r="GB168" s="238" t="str">
        <f t="shared" si="94"/>
        <v>|</v>
      </c>
      <c r="GC168" s="244" t="str">
        <f>IFERROR(__xludf.DUMMYFUNCTION("IF(REGEXMATCH(C168, ""S""), ""1"","""")"),"1")</f>
        <v>1</v>
      </c>
      <c r="GD168" s="245" t="str">
        <f>IFERROR(__xludf.DUMMYFUNCTION("IF(REGEXMATCH(C168, ""r""), ""b2"","""")"),"")</f>
        <v/>
      </c>
      <c r="GE168" s="246" t="str">
        <f>IFERROR(__xludf.DUMMYFUNCTION("IF(REGEXMATCH(C168, ""R""), ""2"","""")"),"2")</f>
        <v>2</v>
      </c>
      <c r="GF168" s="246" t="str">
        <f>IFERROR(__xludf.DUMMYFUNCTION("IF(REGEXMATCH(C168, ""g""), ""b3"","""")"),"")</f>
        <v/>
      </c>
      <c r="GG168" s="245" t="str">
        <f>IFERROR(__xludf.DUMMYFUNCTION("IF(REGEXMATCH(C168, ""G""), ""3"","""")"),"3")</f>
        <v>3</v>
      </c>
      <c r="GH168" s="245" t="str">
        <f>IFERROR(__xludf.DUMMYFUNCTION("IF(REGEXMATCH(C168, ""m""), ""4"","""")"),"4")</f>
        <v>4</v>
      </c>
      <c r="GI168" s="246" t="str">
        <f>IFERROR(__xludf.DUMMYFUNCTION("IF(REGEXMATCH(C168, ""M""), ""#4"","""")"),"")</f>
        <v/>
      </c>
      <c r="GJ168" s="245" t="str">
        <f>IFERROR(__xludf.DUMMYFUNCTION("IF(REGEXMATCH(C168, ""P""), ""5"","""")"),"5")</f>
        <v>5</v>
      </c>
      <c r="GK168" s="246" t="str">
        <f>IFERROR(__xludf.DUMMYFUNCTION("IF(REGEXMATCH(C168, ""d""), ""b6"","""")"),"")</f>
        <v/>
      </c>
      <c r="GL168" s="245" t="str">
        <f>IFERROR(__xludf.DUMMYFUNCTION("IF(REGEXMATCH(C168, ""D""), ""6"","""")"),"6")</f>
        <v>6</v>
      </c>
      <c r="GM168" s="245" t="str">
        <f>IFERROR(__xludf.DUMMYFUNCTION("IF(REGEXMATCH(C168, ""n""), ""b7"","""")"),"b7")</f>
        <v>b7</v>
      </c>
      <c r="GN168" s="246" t="str">
        <f>IFERROR(__xludf.DUMMYFUNCTION("IF(REGEXMATCH(C168, ""N""), ""7"","""")"),"")</f>
        <v/>
      </c>
      <c r="GO168" s="249" t="str">
        <f>IFERROR(__xludf.DUMMYFUNCTION("IF(REGEXMATCH(C168, ""S""), ""8"","""")"),"8")</f>
        <v>8</v>
      </c>
      <c r="GP168" s="244" t="str">
        <f>IFERROR(__xludf.DUMMYFUNCTION("IF(REGEXMATCH(C168, ""S""), ""S"","""")"),"S")</f>
        <v>S</v>
      </c>
      <c r="GQ168" s="294" t="str">
        <f>IFERROR(__xludf.DUMMYFUNCTION("IF(REGEXMATCH(C168, ""r""), ""R1"","""")"),"")</f>
        <v/>
      </c>
      <c r="GR168" s="295" t="str">
        <f>IFERROR(__xludf.DUMMYFUNCTION("IF(REGEXMATCH(C168, ""R""), ""R2"","""")"),"R2")</f>
        <v>R2</v>
      </c>
      <c r="GS168" s="295" t="str">
        <f>IFERROR(__xludf.DUMMYFUNCTION("IF(REGEXMATCH(C168, ""g""), ""G2"","""")"),"")</f>
        <v/>
      </c>
      <c r="GT168" s="294" t="str">
        <f>IFERROR(__xludf.DUMMYFUNCTION("IF(REGEXMATCH(C168, ""G""), ""G3"","""")"),"G3")</f>
        <v>G3</v>
      </c>
      <c r="GU168" s="294" t="str">
        <f>IFERROR(__xludf.DUMMYFUNCTION("IF(REGEXMATCH(C168, ""m""), ""M1"","""")"),"M1")</f>
        <v>M1</v>
      </c>
      <c r="GV168" s="295" t="str">
        <f>IFERROR(__xludf.DUMMYFUNCTION("IF(REGEXMATCH(C168, ""M""), ""M2"","""")"),"")</f>
        <v/>
      </c>
      <c r="GW168" s="294" t="str">
        <f>IFERROR(__xludf.DUMMYFUNCTION("IF(REGEXMATCH(C168, ""P""), ""P"","""")"),"P")</f>
        <v>P</v>
      </c>
      <c r="GX168" s="295" t="str">
        <f>IFERROR(__xludf.DUMMYFUNCTION("IF(REGEXMATCH(C168, ""d""), ""D1"","""")"),"")</f>
        <v/>
      </c>
      <c r="GY168" s="294" t="str">
        <f>IFERROR(__xludf.DUMMYFUNCTION("IF(REGEXMATCH(C168, ""D""), ""D2"","""")"),"D2")</f>
        <v>D2</v>
      </c>
      <c r="GZ168" s="294" t="str">
        <f>IFERROR(__xludf.DUMMYFUNCTION("IF(REGEXMATCH(C168, ""n""), ""N2"","""")"),"N2")</f>
        <v>N2</v>
      </c>
      <c r="HA168" s="295" t="str">
        <f>IFERROR(__xludf.DUMMYFUNCTION("IF(REGEXMATCH(C168, ""N""), ""N3"","""")"),"")</f>
        <v/>
      </c>
      <c r="HB168" s="249" t="str">
        <f>IFERROR(__xludf.DUMMYFUNCTION("IF(REGEXMATCH(C168, ""S""), ""S"","""")"),"S")</f>
        <v>S</v>
      </c>
      <c r="HC168" s="331" t="str">
        <f t="shared" si="95"/>
        <v>S</v>
      </c>
      <c r="HD168" s="332" t="str">
        <f t="shared" si="96"/>
        <v/>
      </c>
      <c r="HE168" s="332" t="str">
        <f t="shared" si="97"/>
        <v>R</v>
      </c>
      <c r="HF168" s="332" t="str">
        <f t="shared" si="98"/>
        <v>g</v>
      </c>
      <c r="HG168" s="332" t="str">
        <f t="shared" si="99"/>
        <v/>
      </c>
      <c r="HH168" s="332" t="str">
        <f t="shared" si="100"/>
        <v>m</v>
      </c>
      <c r="HI168" s="332" t="str">
        <f t="shared" si="101"/>
        <v/>
      </c>
      <c r="HJ168" s="332" t="str">
        <f t="shared" si="102"/>
        <v>P</v>
      </c>
      <c r="HK168" s="332" t="str">
        <f t="shared" si="103"/>
        <v>d</v>
      </c>
      <c r="HL168" s="332" t="str">
        <f t="shared" si="104"/>
        <v/>
      </c>
      <c r="HM168" s="332" t="str">
        <f t="shared" si="105"/>
        <v>n</v>
      </c>
      <c r="HN168" s="332" t="str">
        <f t="shared" si="106"/>
        <v/>
      </c>
      <c r="HO168" s="343" t="str">
        <f t="shared" si="107"/>
        <v>S</v>
      </c>
      <c r="HP168" s="331" t="str">
        <f t="shared" si="108"/>
        <v>o</v>
      </c>
      <c r="HQ168" s="332" t="str">
        <f t="shared" si="109"/>
        <v>•</v>
      </c>
      <c r="HR168" s="332" t="str">
        <f t="shared" si="110"/>
        <v>o</v>
      </c>
      <c r="HS168" s="332" t="str">
        <f t="shared" si="111"/>
        <v>•</v>
      </c>
      <c r="HT168" s="332" t="str">
        <f t="shared" si="112"/>
        <v>o</v>
      </c>
      <c r="HU168" s="332" t="str">
        <f t="shared" si="113"/>
        <v>o</v>
      </c>
      <c r="HV168" s="332" t="str">
        <f t="shared" si="114"/>
        <v>•</v>
      </c>
      <c r="HW168" s="332" t="str">
        <f t="shared" si="115"/>
        <v>o</v>
      </c>
      <c r="HX168" s="332" t="str">
        <f t="shared" si="116"/>
        <v>•</v>
      </c>
      <c r="HY168" s="332" t="str">
        <f t="shared" si="117"/>
        <v>o</v>
      </c>
      <c r="HZ168" s="332" t="str">
        <f t="shared" si="118"/>
        <v>o</v>
      </c>
      <c r="IA168" s="332" t="str">
        <f t="shared" si="119"/>
        <v>•</v>
      </c>
      <c r="IB168" s="338" t="str">
        <f t="shared" si="120"/>
        <v>o</v>
      </c>
      <c r="IC168" s="331" t="str">
        <f t="shared" si="121"/>
        <v>•</v>
      </c>
      <c r="ID168" s="332" t="str">
        <f t="shared" si="122"/>
        <v>o</v>
      </c>
      <c r="IE168" s="332" t="str">
        <f t="shared" si="123"/>
        <v>•</v>
      </c>
      <c r="IF168" s="332" t="str">
        <f t="shared" si="124"/>
        <v>o</v>
      </c>
      <c r="IG168" s="332" t="str">
        <f t="shared" si="125"/>
        <v>•</v>
      </c>
      <c r="IH168" s="332" t="str">
        <f t="shared" si="126"/>
        <v>•</v>
      </c>
      <c r="II168" s="332" t="str">
        <f t="shared" si="127"/>
        <v>o</v>
      </c>
      <c r="IJ168" s="332" t="str">
        <f t="shared" si="128"/>
        <v>•</v>
      </c>
      <c r="IK168" s="332" t="str">
        <f t="shared" si="129"/>
        <v>o</v>
      </c>
      <c r="IL168" s="332" t="str">
        <f t="shared" si="130"/>
        <v>•</v>
      </c>
      <c r="IM168" s="332" t="str">
        <f t="shared" si="131"/>
        <v>•</v>
      </c>
      <c r="IN168" s="332" t="str">
        <f t="shared" si="132"/>
        <v>o</v>
      </c>
      <c r="IO168" s="338" t="str">
        <f t="shared" si="133"/>
        <v>•</v>
      </c>
      <c r="IP168" s="346" t="b">
        <f t="shared" si="134"/>
        <v>0</v>
      </c>
      <c r="IQ168" s="347" t="b">
        <f t="shared" si="135"/>
        <v>0</v>
      </c>
      <c r="IR168" s="347" t="b">
        <f t="shared" si="136"/>
        <v>0</v>
      </c>
      <c r="IS168" s="347" t="b">
        <f t="shared" si="137"/>
        <v>0</v>
      </c>
      <c r="IT168" s="347" t="b">
        <f t="shared" si="138"/>
        <v>1</v>
      </c>
      <c r="IU168" s="347" t="b">
        <f t="shared" si="139"/>
        <v>0</v>
      </c>
      <c r="IV168" s="347" t="b">
        <f t="shared" si="140"/>
        <v>0</v>
      </c>
      <c r="IW168" s="347" t="b">
        <f t="shared" si="141"/>
        <v>0</v>
      </c>
      <c r="IX168" s="347" t="b">
        <f t="shared" si="142"/>
        <v>0</v>
      </c>
      <c r="IY168" s="347" t="b">
        <f t="shared" si="143"/>
        <v>0</v>
      </c>
      <c r="IZ168" s="347" t="b">
        <f t="shared" si="144"/>
        <v>0</v>
      </c>
      <c r="JA168" s="347" t="b">
        <f t="shared" si="145"/>
        <v>0</v>
      </c>
      <c r="JB168" s="353" t="b">
        <f t="shared" si="146"/>
        <v>0</v>
      </c>
      <c r="JC168" s="354" t="str">
        <f t="shared" si="147"/>
        <v/>
      </c>
      <c r="JD168" s="355" t="str">
        <f t="shared" si="148"/>
        <v/>
      </c>
      <c r="JE168" s="355" t="str">
        <f t="shared" si="149"/>
        <v/>
      </c>
      <c r="JF168" s="355" t="str">
        <f t="shared" si="150"/>
        <v/>
      </c>
      <c r="JG168" s="355" t="str">
        <f t="shared" si="151"/>
        <v>Ga, </v>
      </c>
      <c r="JH168" s="355" t="str">
        <f t="shared" si="152"/>
        <v/>
      </c>
      <c r="JI168" s="355" t="str">
        <f t="shared" si="153"/>
        <v/>
      </c>
      <c r="JJ168" s="355" t="str">
        <f t="shared" si="154"/>
        <v/>
      </c>
      <c r="JK168" s="355" t="str">
        <f t="shared" si="155"/>
        <v/>
      </c>
      <c r="JL168" s="355" t="str">
        <f t="shared" si="156"/>
        <v/>
      </c>
      <c r="JM168" s="355" t="str">
        <f t="shared" si="157"/>
        <v/>
      </c>
      <c r="JN168" s="355" t="str">
        <f t="shared" si="158"/>
        <v/>
      </c>
      <c r="JO168" s="359" t="str">
        <f t="shared" si="159"/>
        <v/>
      </c>
      <c r="JP168" s="346" t="b">
        <f t="shared" si="160"/>
        <v>0</v>
      </c>
      <c r="JQ168" s="347" t="b">
        <f t="shared" si="161"/>
        <v>0</v>
      </c>
      <c r="JR168" s="347" t="b">
        <f t="shared" si="162"/>
        <v>0</v>
      </c>
      <c r="JS168" s="347" t="b">
        <f t="shared" si="163"/>
        <v>0</v>
      </c>
      <c r="JT168" s="347" t="b">
        <f t="shared" si="164"/>
        <v>0</v>
      </c>
      <c r="JU168" s="347" t="b">
        <f t="shared" si="165"/>
        <v>0</v>
      </c>
      <c r="JV168" s="347" t="b">
        <f t="shared" si="166"/>
        <v>0</v>
      </c>
      <c r="JW168" s="347" t="b">
        <f t="shared" si="167"/>
        <v>0</v>
      </c>
      <c r="JX168" s="347" t="b">
        <f t="shared" si="168"/>
        <v>0</v>
      </c>
      <c r="JY168" s="347" t="b">
        <f t="shared" si="169"/>
        <v>0</v>
      </c>
      <c r="JZ168" s="347" t="b">
        <f t="shared" si="170"/>
        <v>0</v>
      </c>
      <c r="KA168" s="347" t="b">
        <f t="shared" si="171"/>
        <v>0</v>
      </c>
      <c r="KB168" s="365" t="b">
        <f t="shared" si="172"/>
        <v>0</v>
      </c>
      <c r="KC168" s="354" t="str">
        <f t="shared" si="173"/>
        <v/>
      </c>
      <c r="KD168" s="355" t="str">
        <f t="shared" si="174"/>
        <v/>
      </c>
      <c r="KE168" s="355" t="str">
        <f t="shared" si="175"/>
        <v/>
      </c>
      <c r="KF168" s="355" t="str">
        <f t="shared" si="176"/>
        <v/>
      </c>
      <c r="KG168" s="355" t="str">
        <f t="shared" si="177"/>
        <v/>
      </c>
      <c r="KH168" s="355" t="str">
        <f t="shared" si="178"/>
        <v/>
      </c>
      <c r="KI168" s="355" t="str">
        <f t="shared" si="179"/>
        <v/>
      </c>
      <c r="KJ168" s="355" t="str">
        <f t="shared" si="180"/>
        <v/>
      </c>
      <c r="KK168" s="355" t="str">
        <f t="shared" si="181"/>
        <v/>
      </c>
      <c r="KL168" s="355" t="str">
        <f t="shared" si="182"/>
        <v/>
      </c>
      <c r="KM168" s="355" t="str">
        <f t="shared" si="183"/>
        <v/>
      </c>
      <c r="KN168" s="355" t="str">
        <f t="shared" si="184"/>
        <v/>
      </c>
      <c r="KO168" s="359"/>
      <c r="KP168" s="378"/>
      <c r="KQ168" s="379" t="s">
        <v>825</v>
      </c>
      <c r="KR168" s="380" t="s">
        <v>1256</v>
      </c>
      <c r="KS168" s="381" t="str">
        <f t="shared" si="545"/>
        <v>S-R-G-P-D-n-S</v>
      </c>
      <c r="KT168" s="382">
        <f t="shared" si="186"/>
        <v>6</v>
      </c>
      <c r="KU168" s="383">
        <f t="shared" si="187"/>
        <v>6</v>
      </c>
      <c r="KV168" s="381" t="str">
        <f t="shared" si="205"/>
        <v>S-n-D-P-m-G-R-S</v>
      </c>
      <c r="KW168" s="382">
        <f t="shared" si="189"/>
        <v>7</v>
      </c>
      <c r="KX168" s="384">
        <f t="shared" si="190"/>
        <v>7</v>
      </c>
      <c r="KY168" s="382">
        <f t="shared" ref="KY168:KZ168" si="548">KW168-KT168</f>
        <v>1</v>
      </c>
      <c r="KZ168" s="369">
        <f t="shared" si="548"/>
        <v>1</v>
      </c>
      <c r="LA168" s="385" t="str">
        <f t="shared" si="192"/>
        <v>-</v>
      </c>
      <c r="LB168" s="340" t="str">
        <f>IFERROR(__xludf.DUMMYFUNCTION("JOIN("""",ArrayFormula(MID(KS168,LEN(KS168)-SEQUENCE(1,LEN(KS168))+1,1)))"),"S-n-D-P-G-R-S")</f>
        <v>S-n-D-P-G-R-S</v>
      </c>
      <c r="LC168" s="373" t="str">
        <f>IFERROR(__xludf.DUMMYFUNCTION("JOIN("""",ArrayFormula(MID(KV168,LEN(KV168)-SEQUENCE(1,LEN(KV168))+1,1)))"),"S-R-G-m-P-D-n-S")</f>
        <v>S-R-G-m-P-D-n-S</v>
      </c>
      <c r="LD168" s="373" t="str">
        <f t="shared" si="193"/>
        <v>SRGPDnS</v>
      </c>
      <c r="LE168" s="339" t="str">
        <f t="shared" si="194"/>
        <v>SRGmPDnS</v>
      </c>
      <c r="LF168" s="386" t="str">
        <f>IFERROR(__xludf.DUMMYFUNCTION("SUBSTITUTE(SUBSTITUTE(CONCATENATE(JOIN("""",LH168:LT168)),""1"",""""),""2"","""")"),"SRGmPDnS")</f>
        <v>SRGmPDnS</v>
      </c>
      <c r="LG168" s="369" t="str">
        <f t="shared" si="195"/>
        <v>✔</v>
      </c>
      <c r="LH168" s="387" t="str">
        <f>IFERROR(__xludf.DUMMYFUNCTION("IF(REGEXMATCH(LD168, ""S""), ""S"",IF(REGEXMATCH(LE168, ""S""), ""S"",""""))"),"S")</f>
        <v>S</v>
      </c>
      <c r="LI168" s="299" t="str">
        <f>IFERROR(__xludf.DUMMYFUNCTION("IF(REGEXMATCH(LD168, ""r""), ""r1"",IF(REGEXMATCH(LE168, ""r""), ""r2"",""""))"),"")</f>
        <v/>
      </c>
      <c r="LJ168" s="299" t="str">
        <f>IFERROR(__xludf.DUMMYFUNCTION("IF(REGEXMATCH(LD168, ""R""), ""R1"",IF(REGEXMATCH(LE168, ""R""), ""R2"",""""))"),"R1")</f>
        <v>R1</v>
      </c>
      <c r="LK168" s="299" t="str">
        <f>IFERROR(__xludf.DUMMYFUNCTION("IF(REGEXMATCH(LD168, ""g""), ""g1"",IF(REGEXMATCH(LE168, ""g""), ""g2"",""""))"),"")</f>
        <v/>
      </c>
      <c r="LL168" s="299" t="str">
        <f>IFERROR(__xludf.DUMMYFUNCTION("IF(REGEXMATCH(LD168, ""G""), ""G1"",IF(REGEXMATCH(LE168, ""G""), ""G2"",""""))"),"G1")</f>
        <v>G1</v>
      </c>
      <c r="LM168" s="299" t="str">
        <f>IFERROR(__xludf.DUMMYFUNCTION("IF(REGEXMATCH(LD168, ""m""), ""m1"",IF(REGEXMATCH(LE168, ""m""), ""m2"",""""))"),"m2")</f>
        <v>m2</v>
      </c>
      <c r="LN168" s="299" t="str">
        <f>IFERROR(__xludf.DUMMYFUNCTION("IF(REGEXMATCH(LD168, ""M""), ""M1"",IF(REGEXMATCH(LE168, ""M""), ""M2"",""""))"),"")</f>
        <v/>
      </c>
      <c r="LO168" s="299" t="str">
        <f>IFERROR(__xludf.DUMMYFUNCTION("IF(REGEXMATCH(LD168, ""P""), ""P1"",IF(REGEXMATCH(LE168, ""P""), ""P2"",""""))"),"P1")</f>
        <v>P1</v>
      </c>
      <c r="LP168" s="299" t="str">
        <f>IFERROR(__xludf.DUMMYFUNCTION("IF(REGEXMATCH(LD168, ""d""), ""d1"",IF(REGEXMATCH(LE168, ""d""), ""d2"",""""))"),"")</f>
        <v/>
      </c>
      <c r="LQ168" s="299" t="str">
        <f>IFERROR(__xludf.DUMMYFUNCTION("IF(REGEXMATCH(LD168, ""D""), ""D1"",IF(REGEXMATCH(LE168, ""D""), ""D2"",""""))"),"D1")</f>
        <v>D1</v>
      </c>
      <c r="LR168" s="299" t="str">
        <f>IFERROR(__xludf.DUMMYFUNCTION("IF(REGEXMATCH(LD168, ""n""), ""n1"",IF(REGEXMATCH(LE168, ""n""), ""n2"",""""))"),"n1")</f>
        <v>n1</v>
      </c>
      <c r="LS168" s="299" t="str">
        <f>IFERROR(__xludf.DUMMYFUNCTION("IF(REGEXMATCH(LD168, ""N""), ""N1"",IF(REGEXMATCH(LE168, ""N""), ""N2"",""""))"),"")</f>
        <v/>
      </c>
      <c r="LT168" s="388" t="str">
        <f>IFERROR(__xludf.DUMMYFUNCTION("IF(REGEXMATCH(LD168, ""S""), ""S"",IF(REGEXMATCH(LE168, ""S""), ""S"",""""))"),"S")</f>
        <v>S</v>
      </c>
      <c r="LU168" s="389">
        <f t="shared" si="196"/>
        <v>-1</v>
      </c>
      <c r="LV168" s="378"/>
      <c r="LW168" s="369"/>
      <c r="LX168" s="369"/>
    </row>
    <row r="169" ht="18.0" customHeight="1">
      <c r="A169" s="298" t="s">
        <v>860</v>
      </c>
      <c r="B169" s="222" t="s">
        <v>861</v>
      </c>
      <c r="C169" s="233" t="str">
        <f t="shared" si="7"/>
        <v>SRMPDnS</v>
      </c>
      <c r="D169" s="234" t="str">
        <f>IFERROR(__xludf.DUMMYFUNCTION("IF(REGEXMATCH(C169, ""S""), ""S"","""")"),"S")</f>
        <v>S</v>
      </c>
      <c r="E169" s="236" t="str">
        <f>IFERROR(__xludf.DUMMYFUNCTION("IF(REGEXMATCH(C169, ""r""), ""r"","""")"),"")</f>
        <v/>
      </c>
      <c r="F169" s="237" t="str">
        <f>IFERROR(__xludf.DUMMYFUNCTION("IF(REGEXMATCH(C169, ""R""), ""R"","""")"),"R")</f>
        <v>R</v>
      </c>
      <c r="G169" s="237" t="str">
        <f>IFERROR(__xludf.DUMMYFUNCTION("IF(REGEXMATCH(C169, ""g""), ""g"","""")"),"")</f>
        <v/>
      </c>
      <c r="H169" s="236" t="str">
        <f>IFERROR(__xludf.DUMMYFUNCTION("IF(REGEXMATCH(C169, ""G""), ""G"","""")"),"")</f>
        <v/>
      </c>
      <c r="I169" s="236" t="str">
        <f>IFERROR(__xludf.DUMMYFUNCTION("IF(REGEXMATCH(C169, ""m""), ""m"","""")"),"")</f>
        <v/>
      </c>
      <c r="J169" s="237" t="str">
        <f>IFERROR(__xludf.DUMMYFUNCTION("IF(REGEXMATCH(C169, ""M""), ""M"","""")"),"M")</f>
        <v>M</v>
      </c>
      <c r="K169" s="236" t="str">
        <f>IFERROR(__xludf.DUMMYFUNCTION("IF(REGEXMATCH(C169, ""P""), ""P"","""")"),"P")</f>
        <v>P</v>
      </c>
      <c r="L169" s="237" t="str">
        <f>IFERROR(__xludf.DUMMYFUNCTION("IF(REGEXMATCH(C169, ""d""), ""d"","""")"),"")</f>
        <v/>
      </c>
      <c r="M169" s="236" t="str">
        <f>IFERROR(__xludf.DUMMYFUNCTION("IF(REGEXMATCH(C169, ""D""), ""D"","""")"),"D")</f>
        <v>D</v>
      </c>
      <c r="N169" s="236" t="str">
        <f>IFERROR(__xludf.DUMMYFUNCTION("IF(REGEXMATCH(C169, ""n""), ""n"","""")"),"n")</f>
        <v>n</v>
      </c>
      <c r="O169" s="237" t="str">
        <f>IFERROR(__xludf.DUMMYFUNCTION("IF(REGEXMATCH(C169, ""N""), ""N"","""")"),"")</f>
        <v/>
      </c>
      <c r="P169" s="238" t="str">
        <f>IFERROR(__xludf.DUMMYFUNCTION("IF(REGEXMATCH(C169, ""S""), ""S"","""")"),"S")</f>
        <v>S</v>
      </c>
      <c r="Q169" s="239" t="str">
        <f>IFERROR(__xludf.DUMMYFUNCTION("SUBSTITUTE(CONCATENATE(JOIN(""-"",D169:J169)),""-"","""")"),"SRM")</f>
        <v>SRM</v>
      </c>
      <c r="R169" s="229" t="str">
        <f>IFERROR(__xludf.DUMMYFUNCTION("SUBSTITUTE(CONCATENATE(JOIN(""-"",K169:P169)),""-"","""")"),"PDnS")</f>
        <v>PDnS</v>
      </c>
      <c r="S169" s="282" t="str">
        <f t="shared" si="8"/>
        <v>S-R-M</v>
      </c>
      <c r="T169" s="282" t="str">
        <f t="shared" si="9"/>
        <v>P-D-N-S</v>
      </c>
      <c r="U169" s="237" t="str">
        <f>IFERROR(__xludf.DUMMYFUNCTION("SUBSTITUTE(JOIN(""-"",S169,T169),""--"",""-"")"),"S-R-M-P-D-N-S")</f>
        <v>S-R-M-P-D-N-S</v>
      </c>
      <c r="V169" s="309" t="str">
        <f t="shared" si="10"/>
        <v>RMDn</v>
      </c>
      <c r="W169" s="244" t="str">
        <f>IFERROR(__xludf.DUMMYFUNCTION("IF(REGEXMATCH(C169, ""S""), ""0"","""")"),"0")</f>
        <v>0</v>
      </c>
      <c r="X169" s="245" t="str">
        <f>IFERROR(__xludf.DUMMYFUNCTION("IF(REGEXMATCH(C169, ""r""), ""1"","""")"),"")</f>
        <v/>
      </c>
      <c r="Y169" s="246" t="str">
        <f>IFERROR(__xludf.DUMMYFUNCTION("IF(REGEXMATCH(C169, ""R""), ""2"","""")"),"2")</f>
        <v>2</v>
      </c>
      <c r="Z169" s="246" t="str">
        <f>IFERROR(__xludf.DUMMYFUNCTION("IF(REGEXMATCH(C169, ""g""), ""3"","""")"),"")</f>
        <v/>
      </c>
      <c r="AA169" s="245" t="str">
        <f>IFERROR(__xludf.DUMMYFUNCTION("IF(REGEXMATCH(C169, ""G""), ""4"","""")"),"")</f>
        <v/>
      </c>
      <c r="AB169" s="245" t="str">
        <f>IFERROR(__xludf.DUMMYFUNCTION("IF(REGEXMATCH(C169, ""m""), ""5"","""")"),"")</f>
        <v/>
      </c>
      <c r="AC169" s="246" t="str">
        <f>IFERROR(__xludf.DUMMYFUNCTION("IF(REGEXMATCH(C169, ""M""), ""6"","""")"),"6")</f>
        <v>6</v>
      </c>
      <c r="AD169" s="245" t="str">
        <f>IFERROR(__xludf.DUMMYFUNCTION("IF(REGEXMATCH(C169, ""P""), ""7"","""")"),"7")</f>
        <v>7</v>
      </c>
      <c r="AE169" s="246" t="str">
        <f>IFERROR(__xludf.DUMMYFUNCTION("IF(REGEXMATCH(C169, ""d""), ""8"","""")"),"")</f>
        <v/>
      </c>
      <c r="AF169" s="245" t="str">
        <f>IFERROR(__xludf.DUMMYFUNCTION("IF(REGEXMATCH(C169, ""D""), ""9"","""")"),"9")</f>
        <v>9</v>
      </c>
      <c r="AG169" s="245" t="str">
        <f>IFERROR(__xludf.DUMMYFUNCTION("IF(REGEXMATCH(C169, ""n""), ""10"","""")"),"10")</f>
        <v>10</v>
      </c>
      <c r="AH169" s="246" t="str">
        <f>IFERROR(__xludf.DUMMYFUNCTION("IF(REGEXMATCH(C169, ""N""), ""11"","""")"),"")</f>
        <v/>
      </c>
      <c r="AI169" s="249" t="str">
        <f>IFERROR(__xludf.DUMMYFUNCTION("IF(REGEXMATCH(C169, ""S""), ""0"","""")"),"0")</f>
        <v>0</v>
      </c>
      <c r="AJ169" s="313" t="str">
        <f t="shared" si="11"/>
        <v>T</v>
      </c>
      <c r="AK169" s="313" t="str">
        <f t="shared" si="12"/>
        <v>-</v>
      </c>
      <c r="AL169" s="313" t="str">
        <f t="shared" si="13"/>
        <v>-</v>
      </c>
      <c r="AM169" s="313" t="str">
        <f t="shared" si="14"/>
        <v>-</v>
      </c>
      <c r="AN169" s="313" t="str">
        <f t="shared" si="15"/>
        <v>-</v>
      </c>
      <c r="AO169" s="314" t="str">
        <f t="shared" si="16"/>
        <v>-</v>
      </c>
      <c r="AP169" s="316">
        <f t="shared" si="17"/>
        <v>1</v>
      </c>
      <c r="AQ169" s="319" t="str">
        <f t="shared" si="18"/>
        <v>#REF!</v>
      </c>
      <c r="AR169" s="320">
        <f t="shared" si="19"/>
        <v>0</v>
      </c>
      <c r="AS169" s="250" t="str">
        <f>IFERROR(__xludf.DUMMYFUNCTION("SUBSTITUTE(SUBSTITUTE(CONCATENATE(JOIN("""",FP169:GA169)),""|"",""x""),""-"",""o"")"),"xoxoooxxoxxo")</f>
        <v>xoxoooxxoxxo</v>
      </c>
      <c r="AT169" s="323" t="str">
        <f>IFERROR(__xludf.DUMMYFUNCTION("JOIN("""",AS169,AS169)"),"xoxoooxxoxxoxoxoooxxoxxo")</f>
        <v>xoxoooxxoxxoxoxoooxxoxxo</v>
      </c>
      <c r="AU169" s="256" t="str">
        <f>IFERROR(__xludf.DUMMYFUNCTION("JOIN("""",ArrayFormula(MID(AS169,LEN(AS169)-SEQUENCE(1,LEN(AS169))+1,1)))"),"oxxoxxoooxox")</f>
        <v>oxxoxxoooxox</v>
      </c>
      <c r="AV169" s="256" t="str">
        <f>IFERROR(__xludf.DUMMYFUNCTION("LEFT(CONCATENATE(""x"",JOIN("""",ArrayFormula(MID(AS169,LEN(AS169)-SEQUENCE(1,LEN(AS169))+1,1)))),12)"),"xoxxoxxoooxo")</f>
        <v>xoxxoxxoooxo</v>
      </c>
      <c r="AW169" s="327" t="str">
        <f>IFERROR(__xludf.DUMMYFUNCTION("JOIN("""",AU169,AU169)"),"oxxoxxoooxoxoxxoxxoooxox")</f>
        <v>oxxoxxoooxoxoxxoxxoooxox</v>
      </c>
      <c r="AX169" s="239" t="str">
        <f>IFERROR(__xludf.DUMMYFUNCTION("IF(REGEXMATCH(AW169,AS169),""✔"",""-"")"),"-")</f>
        <v>-</v>
      </c>
      <c r="AY169" s="330" t="str">
        <f t="shared" si="20"/>
        <v>-</v>
      </c>
      <c r="AZ169" s="260" t="str">
        <f t="shared" si="21"/>
        <v>#REF!</v>
      </c>
      <c r="BA169" s="333" t="str">
        <f t="shared" si="22"/>
        <v>xoxooox</v>
      </c>
      <c r="BB169" s="334" t="str">
        <f t="shared" si="23"/>
        <v>xoxxox</v>
      </c>
      <c r="BC169" s="335" t="str">
        <f t="shared" si="236"/>
        <v>-</v>
      </c>
      <c r="BD169" s="336" t="str">
        <f t="shared" si="25"/>
        <v>Kameshwari: 'xoxooox' + 'xoxxox'</v>
      </c>
      <c r="BE169" s="337">
        <f>IFERROR(__xludf.DUMMYFUNCTION("COUNTUNIQUE(FILTER(AT:AT,REGEXMATCH(AT:AT,AS169)))-1"),3.0)</f>
        <v>3</v>
      </c>
      <c r="BF169" s="261" t="str">
        <f>IFERROR(__xludf.DUMMYFUNCTION("IF(BI169=0,""(n/a)"",IF(BJ169=2,""(PAIR)"",IF(REGEXMATCH(AT169,""xoxoxxoxoxox""),""Bilawal"",IF(REGEXMATCH(AT169,""xoxoxooxoxoo""),""Bhupali"",IF(REGEXMATCH(AT169,""xoxoxxoxxoxo""),""Charukeshi"",IF(REGEXMATCH(AT169,""xoxoooxxoxxo""),""Kameshwari"",IF(REG"&amp;"EXMATCH(AT169,""xoxoxooxoxox""),""Shankara"",IF(REGEXMATCH(AT169,""xxooxoxxxoox""),""Basant"",IF(REGEXMATCH(AT169,""xoxoxxxxoxox""),""Bihag"",IF(REGEXMATCH(AT169,""xoxxxxoxoxxx""),""Pilu"",IF(REGEXMATCH(AT169,""xoxxoxoxxoox""),""Kirwani"",IF(REGEXMATCH(AT"&amp;"169,""xoxxoxoxoxxx""),""Mk.Malhar"",IF(REGEXMATCH(AT169,""xxooxxoxxoox""),""Bhairav"",IF(REGEXMATCH(AT169,""xxoxooxxxoox""),""Todi"",IF(REGEXMATCH(AT169,""xxooxoxooxox""),""Marwa"",IF(REGEXMATCH(AT169,""xxoooxoxxooo""),""Gunkali"",IF(REGEXMATCH(AT169,""xo"&amp;"xoxxoxxoox""),""Nat Bhairav"",IF(REGEXMATCH(AT169,""xoxxoooxoxoo""),""Shivranjani"",IF(REGEXMATCH(AT169,""xooxxxoxooxo""),""Jog"",IF(REGEXMATCH(AT169,""xxooxoxoxoox""),""Hemshri"",IF(REGEXMATCH(AT169,""xoooxooxoxxo""),""Kalavati"",IF(REGEXMATCH(AT169,""xx"&amp;"oxoxxoxoox""),""Kedar"",IF(REGEXMATCH(AT169,""xoxxxxoxooxx""),""Gara"",IF(REGEXMATCH(AT169,""xooxoxooxoox""),""Chandrakauns"",IF(REGEXMATCH(AT169,""xoxxxxoxxxox""),""Mand"",IF(REGEXMATCH(AT169,""xoxxxxoxoxox""),""Hanskinkini"",IF(REGEXMATCH(AT169,""xxooxx"&amp;"oxooxo""),""Lilavati"",IF(REGEXMATCH(AT169,""xooxoxoooxox""),""Rajeshwari"",IF(REGEXMATCH(AT169,""xoooxxoxoxxx""),""Khokar"",IF(REGEXMATCH(AT169,""xxooxoxxxxox""),""Maligoura"",""-""))))))))))))))))))))))))))))))"),"Kameshwari")</f>
        <v>Kameshwari</v>
      </c>
      <c r="BG169" s="239" t="str">
        <f t="shared" si="26"/>
        <v>#REF!</v>
      </c>
      <c r="BH169" s="239">
        <f>IFERROR(__xludf.DUMMYFUNCTION("COUNTUNIQUE(FE169:FO169)-1"),5.0)</f>
        <v>5</v>
      </c>
      <c r="BI169" s="239">
        <f>IFERROR(__xludf.DUMMYFUNCTION("COUNTUNIQUE(FILTER(AT:AT,REGEXMATCH(AT:AT,AS169)))-1"),3.0)</f>
        <v>3</v>
      </c>
      <c r="BJ169" s="239">
        <f>IFERROR(__xludf.DUMMYFUNCTION("COUNTA(FILTER(AT:AT,REGEXMATCH(AT:AT,AS169)))"),6.0)</f>
        <v>6</v>
      </c>
      <c r="BK169" s="341">
        <f>IFERROR(__xludf.DUMMYFUNCTION("COUNTA(FILTER(AT:AT,REGEXMATCH(AT:AT,AS169)))-AR169"),6.0)</f>
        <v>6</v>
      </c>
      <c r="BL169" s="276" t="str">
        <f>IFERROR(__xludf.DUMMYFUNCTION("IF(AS169=""oooooooooooo"",""-"",IF(REGEXMATCH(AT169,""xx""), ""Hemi."", ""Anhemi.""))"),"Hemi.")</f>
        <v>Hemi.</v>
      </c>
      <c r="BM169" s="282" t="str">
        <f>IFERROR(__xludf.DUMMYFUNCTION("IF(AS169=""oooooooooooo"",""-"",IF(REGEXMATCH(AT169,""xxx""), ""Cohem."", ""-""))"),"-")</f>
        <v>-</v>
      </c>
      <c r="BN169" s="282" t="str">
        <f>IFERROR(__xludf.DUMMYFUNCTION("IF(AS169=""oooooooooooo"",""-"",IF(REGEXMATCH(AT169,""xxxx""), ""Co-Co."", ""-""))"),"-")</f>
        <v>-</v>
      </c>
      <c r="BO169" s="342" t="str">
        <f>IFERROR(__xludf.DUMMYFUNCTION("IF(AS169=""oooooooooooo"",""-"",IF(REGEXMATCH(AT169,""xxxxx""), ""CCC."", ""-""))"),"-")</f>
        <v>-</v>
      </c>
      <c r="BP169" s="344" t="str">
        <f t="shared" si="27"/>
        <v>-</v>
      </c>
      <c r="BQ169" s="282" t="str">
        <f>IFERROR(__xludf.DUMMYFUNCTION("IF(REGEXMATCH(JOIN(""-"",EU169:FD169),""TRUE""),""✔"",""-"")"),"-")</f>
        <v>-</v>
      </c>
      <c r="BR169" s="225">
        <f t="shared" si="28"/>
        <v>0</v>
      </c>
      <c r="BS169" s="345" t="str">
        <f>IFERROR(__xludf.DUMMYFUNCTION("SUBSTITUTE(SUBSTITUTE(SUBSTITUTE(SUBSTITUTE(CONCATENATE(JOIN(""-"",GC169:GO169)),""--"",""-""),""--"",""-""),""--"",""-""),""--"",""-"")"),"1-2-#4-5-6-b7-8")</f>
        <v>1-2-#4-5-6-b7-8</v>
      </c>
      <c r="BT169" s="299" t="str">
        <f>IFERROR(__xludf.DUMMYFUNCTION("SUBSTITUTE(SUBSTITUTE(SUBSTITUTE(SUBSTITUTE(CONCATENATE(JOIN(""-"",GP169:HB169)),""--"",""-""),""--"",""-""),""--"",""-""),""--"",""-"")"),"S-R2-M2-P-D2-N2-S")</f>
        <v>S-R2-M2-P-D2-N2-S</v>
      </c>
      <c r="BU169" s="348" t="str">
        <f t="shared" si="29"/>
        <v>C-D-F#-G-A-Bb-C</v>
      </c>
      <c r="BV169" s="349" t="str">
        <f t="shared" si="30"/>
        <v>SrgGmdNS</v>
      </c>
      <c r="BW169" s="350">
        <f t="shared" si="31"/>
        <v>0</v>
      </c>
      <c r="BX169" s="351">
        <f t="shared" si="32"/>
        <v>2</v>
      </c>
      <c r="BY169" s="392"/>
      <c r="BZ169" s="309" t="str">
        <f>IFERROR(__xludf.DUMMYFUNCTION("IF(REGEXMATCH(C169, ""S""), ""x"",""x"")"),"x")</f>
        <v>x</v>
      </c>
      <c r="CA169" s="245" t="str">
        <f>IFERROR(__xludf.DUMMYFUNCTION("IF(REGEXMATCH(C169, ""r""), ""o"",""x"")"),"x")</f>
        <v>x</v>
      </c>
      <c r="CB169" s="246" t="str">
        <f>IFERROR(__xludf.DUMMYFUNCTION("IF(REGEXMATCH(C169, ""R""), ""o"",""x"")"),"o")</f>
        <v>o</v>
      </c>
      <c r="CC169" s="246" t="str">
        <f>IFERROR(__xludf.DUMMYFUNCTION("IF(REGEXMATCH(C169, ""g""), ""o"",""x"")"),"x")</f>
        <v>x</v>
      </c>
      <c r="CD169" s="245" t="str">
        <f>IFERROR(__xludf.DUMMYFUNCTION("IF(REGEXMATCH(C169, ""G""), ""o"",""x"")"),"x")</f>
        <v>x</v>
      </c>
      <c r="CE169" s="245" t="str">
        <f>IFERROR(__xludf.DUMMYFUNCTION("IF(REGEXMATCH(C169, ""m""), ""o"",""x"")"),"x")</f>
        <v>x</v>
      </c>
      <c r="CF169" s="246" t="str">
        <f>IFERROR(__xludf.DUMMYFUNCTION("IF(REGEXMATCH(C169, ""M""), ""o"",""x"")"),"o")</f>
        <v>o</v>
      </c>
      <c r="CG169" s="245" t="str">
        <f>IFERROR(__xludf.DUMMYFUNCTION("IF(REGEXMATCH(C169, ""P""), ""o"",""x"")"),"o")</f>
        <v>o</v>
      </c>
      <c r="CH169" s="246" t="str">
        <f>IFERROR(__xludf.DUMMYFUNCTION("IF(REGEXMATCH(C169, ""d""), ""o"",""x"")"),"x")</f>
        <v>x</v>
      </c>
      <c r="CI169" s="245" t="str">
        <f>IFERROR(__xludf.DUMMYFUNCTION("IF(REGEXMATCH(C169, ""D""), ""o"",""x"")"),"o")</f>
        <v>o</v>
      </c>
      <c r="CJ169" s="245" t="str">
        <f>IFERROR(__xludf.DUMMYFUNCTION("IF(REGEXMATCH(C169, ""n""), ""o"",""x"")"),"o")</f>
        <v>o</v>
      </c>
      <c r="CK169" s="245" t="str">
        <f>IFERROR(__xludf.DUMMYFUNCTION("IF(REGEXMATCH(C169, ""N""), ""o"",""x"")"),"x")</f>
        <v>x</v>
      </c>
      <c r="CL169" s="356" t="str">
        <f>IFERROR(__xludf.DUMMYFUNCTION("IF(REGEXMATCH(C169, ""S""), ""x"",""x"")"),"x")</f>
        <v>x</v>
      </c>
      <c r="CM169" s="357" t="str">
        <f t="shared" si="33"/>
        <v>xxoxxxooxoox</v>
      </c>
      <c r="CN169" s="358">
        <f t="shared" si="34"/>
        <v>0</v>
      </c>
      <c r="CO169" s="246" t="str">
        <f>IFERROR(__xludf.DUMMYFUNCTION("IF(REGEXMATCH($C169, ""S""), ""S"",""S"")"),"S")</f>
        <v>S</v>
      </c>
      <c r="CP169" s="246" t="str">
        <f>IFERROR(__xludf.DUMMYFUNCTION("IF(REGEXMATCH($C169, ""r""), """",""r"")"),"r")</f>
        <v>r</v>
      </c>
      <c r="CQ169" s="246" t="str">
        <f>IFERROR(__xludf.DUMMYFUNCTION("IF(REGEXMATCH($C169, ""R""), """",""R"")"),"")</f>
        <v/>
      </c>
      <c r="CR169" s="246" t="str">
        <f>IFERROR(__xludf.DUMMYFUNCTION("IF(REGEXMATCH($C169, ""g""), """",""g"")"),"g")</f>
        <v>g</v>
      </c>
      <c r="CS169" s="246" t="str">
        <f>IFERROR(__xludf.DUMMYFUNCTION("IF(REGEXMATCH($C169, ""G""), """",""G"")"),"G")</f>
        <v>G</v>
      </c>
      <c r="CT169" s="246" t="str">
        <f>IFERROR(__xludf.DUMMYFUNCTION("IF(REGEXMATCH($C169, ""m""), """",""m"")"),"m")</f>
        <v>m</v>
      </c>
      <c r="CU169" s="246" t="str">
        <f>IFERROR(__xludf.DUMMYFUNCTION("IF(REGEXMATCH($C169, ""M""), """",""M"")"),"")</f>
        <v/>
      </c>
      <c r="CV169" s="246" t="str">
        <f>IFERROR(__xludf.DUMMYFUNCTION("IF(REGEXMATCH($C169, ""P""), """",""P"")"),"")</f>
        <v/>
      </c>
      <c r="CW169" s="246" t="str">
        <f>IFERROR(__xludf.DUMMYFUNCTION("IF(REGEXMATCH($C169, ""d""), """",""d"")"),"d")</f>
        <v>d</v>
      </c>
      <c r="CX169" s="246" t="str">
        <f>IFERROR(__xludf.DUMMYFUNCTION("IF(REGEXMATCH($C169, ""D""), """",""D"")"),"")</f>
        <v/>
      </c>
      <c r="CY169" s="246" t="str">
        <f>IFERROR(__xludf.DUMMYFUNCTION("IF(REGEXMATCH($C169, ""n""), """",""n"")"),"")</f>
        <v/>
      </c>
      <c r="CZ169" s="246" t="str">
        <f>IFERROR(__xludf.DUMMYFUNCTION("IF(REGEXMATCH($C169, ""N""), """",""N"")"),"N")</f>
        <v>N</v>
      </c>
      <c r="DA169" s="246" t="str">
        <f>IFERROR(__xludf.DUMMYFUNCTION("IF(REGEXMATCH($C169, ""S""), ""S"",""S"")"),"S")</f>
        <v>S</v>
      </c>
      <c r="DB169" s="362" t="str">
        <f>IFERROR(__xludf.DUMMYFUNCTION("JOIN("""",CO169:DA169,"""","""")"),"SrgGmdNS")</f>
        <v>SrgGmdNS</v>
      </c>
      <c r="DC169" s="363"/>
      <c r="DD169" s="301" t="str">
        <f t="shared" si="35"/>
        <v>#REF!</v>
      </c>
      <c r="DE169" s="302" t="str">
        <f t="shared" si="36"/>
        <v>#REF!</v>
      </c>
      <c r="DF169" s="301" t="str">
        <f t="shared" ref="DF169:DG169" si="549">SUBSTITUTE(S169,"-","")</f>
        <v>SRM</v>
      </c>
      <c r="DG169" s="301" t="str">
        <f t="shared" si="549"/>
        <v>PDNS</v>
      </c>
      <c r="DH169" s="302" t="str">
        <f t="shared" si="38"/>
        <v>Kameshwari</v>
      </c>
      <c r="DI169" s="301" t="str">
        <f t="shared" si="39"/>
        <v>Hemi.</v>
      </c>
      <c r="DJ169" s="364" t="str">
        <f t="shared" si="40"/>
        <v>-</v>
      </c>
      <c r="DK169" s="306" t="str">
        <f t="shared" si="41"/>
        <v>-</v>
      </c>
      <c r="DL169" s="366" t="str">
        <f t="shared" si="42"/>
        <v>-</v>
      </c>
      <c r="DM169" s="308" t="str">
        <f t="shared" si="43"/>
        <v>✔</v>
      </c>
      <c r="DN169" s="306" t="str">
        <f t="shared" si="44"/>
        <v>-</v>
      </c>
      <c r="DO169" s="306" t="str">
        <f t="shared" si="45"/>
        <v>-</v>
      </c>
      <c r="DP169" s="367" t="str">
        <f t="shared" si="46"/>
        <v>✔</v>
      </c>
      <c r="DQ169" s="310" t="str">
        <f t="shared" si="47"/>
        <v>-</v>
      </c>
      <c r="DR169" s="310" t="str">
        <f t="shared" si="48"/>
        <v>-</v>
      </c>
      <c r="DS169" s="310" t="str">
        <f t="shared" si="49"/>
        <v>-</v>
      </c>
      <c r="DT169" s="310" t="str">
        <f t="shared" si="50"/>
        <v>-</v>
      </c>
      <c r="DU169" s="370" t="str">
        <f t="shared" si="51"/>
        <v>-</v>
      </c>
      <c r="DV169" s="306" t="str">
        <f t="shared" si="52"/>
        <v>-</v>
      </c>
      <c r="DW169" s="306" t="str">
        <f t="shared" si="53"/>
        <v>✔</v>
      </c>
      <c r="DX169" s="306" t="str">
        <f t="shared" si="54"/>
        <v>-</v>
      </c>
      <c r="DY169" s="306" t="str">
        <f t="shared" si="55"/>
        <v>-</v>
      </c>
      <c r="DZ169" s="306" t="str">
        <f t="shared" si="56"/>
        <v>-</v>
      </c>
      <c r="EA169" s="367" t="str">
        <f t="shared" si="57"/>
        <v>-</v>
      </c>
      <c r="EB169" s="310" t="str">
        <f>IFERROR(__xludf.DUMMYFUNCTION("IF(REGEXMATCH(AW169,AS169),""✔"",""-"")"),"-")</f>
        <v>-</v>
      </c>
      <c r="EC169" s="310" t="str">
        <f t="shared" si="58"/>
        <v>#REF!</v>
      </c>
      <c r="ED169" s="370" t="str">
        <f t="shared" si="59"/>
        <v>-</v>
      </c>
      <c r="EE169" s="340" t="str">
        <f t="shared" si="60"/>
        <v>S-R-M-P-D-n-S</v>
      </c>
      <c r="EF169" s="371" t="str">
        <f>IFERROR(__xludf.DUMMYFUNCTION("CONCATENATE(JOIN("""",HC169:HO169))"),"SRgmMnS")</f>
        <v>SRgmMnS</v>
      </c>
      <c r="EG169" s="372">
        <f t="shared" si="61"/>
        <v>3</v>
      </c>
      <c r="EH169" s="373" t="str">
        <f>IFERROR(__xludf.DUMMYFUNCTION("CONCATENATE(JOIN("""",JC169:JO169))"),"Ma, Dha, ni, ")</f>
        <v>Ma, Dha, ni, </v>
      </c>
      <c r="EI169" s="322">
        <f t="shared" si="62"/>
        <v>2</v>
      </c>
      <c r="EJ169" s="374" t="str">
        <f>IFERROR(__xludf.DUMMYFUNCTION("CONCATENATE(JOIN("""",KC169:KO169))"),"Ma, ni, ")</f>
        <v>Ma, ni, </v>
      </c>
      <c r="EK169" s="325" t="str">
        <f t="shared" si="63"/>
        <v>S-R2-M2-P-D2-N2-S</v>
      </c>
      <c r="EL169" s="326" t="str">
        <f t="shared" si="64"/>
        <v>1-2-#4-5-6-b7-8</v>
      </c>
      <c r="EM169" s="318" t="str">
        <f t="shared" si="65"/>
        <v>#REF!</v>
      </c>
      <c r="EN169" s="328" t="str">
        <f>IFERROR(__xludf.DUMMYFUNCTION("SUBSTITUTE(SUBSTITUTE(SUBSTITUTE(SUBSTITUTE(CONCATENATE(JOIN("" "",HP169:IB169)),""  "","" ""),""  "","" ""),""  "","" ""),""  "","" "")"),"o • o • • • o o • o o • o")</f>
        <v>o • o • • • o o • o o • o</v>
      </c>
      <c r="EO169" s="368" t="str">
        <f t="shared" si="66"/>
        <v>Sa-Pa</v>
      </c>
      <c r="EP169" s="339" t="str">
        <f t="shared" si="67"/>
        <v>Sa-Pa</v>
      </c>
      <c r="EQ169" s="339" t="str">
        <f t="shared" si="68"/>
        <v>Sa-Pa</v>
      </c>
      <c r="ER169" s="339" t="str">
        <f t="shared" si="69"/>
        <v>-</v>
      </c>
      <c r="ES169" s="340" t="str">
        <f t="shared" si="70"/>
        <v>-</v>
      </c>
      <c r="ET169" s="363"/>
      <c r="EU169" s="376" t="b">
        <f>IFERROR(__xludf.DUMMYFUNCTION("arrayformula(sum(--REGEXMATCH(""SRGMPDNS"",split(REGEXREPLACE(C169,""(.)"",""$1~""),""~""))))=len(C169)
"),FALSE)</f>
        <v>0</v>
      </c>
      <c r="EV169" s="290" t="b">
        <f>IFERROR(__xludf.DUMMYFUNCTION("arrayformula(sum(--REGEXMATCH(""SRGmPDNS"",split(REGEXREPLACE(C169,""(.)"",""$1~""),""~""))))=len(C169)"),FALSE)</f>
        <v>0</v>
      </c>
      <c r="EW169" s="290" t="b">
        <f>IFERROR(__xludf.DUMMYFUNCTION("arrayformula(sum(--REGEXMATCH(""SRGmPDnS"",split(REGEXREPLACE(C169,""(.)"",""$1~""),""~""))))=len(C169)"),FALSE)</f>
        <v>0</v>
      </c>
      <c r="EX169" s="290" t="b">
        <f>IFERROR(__xludf.DUMMYFUNCTION("arrayformula(sum(--REGEXMATCH(""SRgmPDnS"",split(REGEXREPLACE(C169,""(.)"",""$1~""),""~""))))=len(C169)"),FALSE)</f>
        <v>0</v>
      </c>
      <c r="EY169" s="290" t="b">
        <f>IFERROR(__xludf.DUMMYFUNCTION("arrayformula(sum(--REGEXMATCH(""SRgmPdnS"",split(REGEXREPLACE(C169,""(.)"",""$1~""),""~""))))=len(C169)"),FALSE)</f>
        <v>0</v>
      </c>
      <c r="EZ169" s="290" t="b">
        <f>IFERROR(__xludf.DUMMYFUNCTION("arrayformula(sum(--REGEXMATCH(""SrgmPdnS"",split(REGEXREPLACE(C169,""(.)"",""$1~""),""~""))))=len(C169)"),FALSE)</f>
        <v>0</v>
      </c>
      <c r="FA169" s="290" t="b">
        <f>IFERROR(__xludf.DUMMYFUNCTION("arrayformula(sum(--REGEXMATCH(""SrGmPdNS"",split(REGEXREPLACE(C169,""(.)"",""$1~""),""~""))))=len(C169)"),FALSE)</f>
        <v>0</v>
      </c>
      <c r="FB169" s="290" t="b">
        <f>IFERROR(__xludf.DUMMYFUNCTION("arrayformula(sum(--REGEXMATCH(""SrGMPDNS"",split(REGEXREPLACE(C169,""(.)"",""$1~""),""~""))))=len(C169)"),FALSE)</f>
        <v>0</v>
      </c>
      <c r="FC169" s="290" t="b">
        <f>IFERROR(__xludf.DUMMYFUNCTION("arrayformula(sum(--REGEXMATCH(""SrGMPdNS"",split(REGEXREPLACE(C169,""(.)"",""$1~""),""~""))))=len(C169)"),FALSE)</f>
        <v>0</v>
      </c>
      <c r="FD169" s="377" t="b">
        <f>IFERROR(__xludf.DUMMYFUNCTION("arrayformula(sum(--REGEXMATCH(""SrgMPdNS"",split(REGEXREPLACE(C169,""(.)"",""$1~""),""~""))))=len(C169)"),FALSE)</f>
        <v>0</v>
      </c>
      <c r="FE169" s="269" t="str">
        <f t="shared" si="71"/>
        <v>-</v>
      </c>
      <c r="FF169" s="269" t="str">
        <f t="shared" si="72"/>
        <v>xoooxxoxxox</v>
      </c>
      <c r="FG169" s="271" t="str">
        <f t="shared" si="73"/>
        <v>-</v>
      </c>
      <c r="FH169" s="269" t="str">
        <f t="shared" si="74"/>
        <v>-</v>
      </c>
      <c r="FI169" s="271" t="str">
        <f t="shared" si="75"/>
        <v>-</v>
      </c>
      <c r="FJ169" s="271" t="str">
        <f t="shared" si="76"/>
        <v>xxoxxoxoxoo</v>
      </c>
      <c r="FK169" s="271" t="str">
        <f t="shared" si="77"/>
        <v>xoxxoxoxooo</v>
      </c>
      <c r="FL169" s="271" t="str">
        <f t="shared" si="78"/>
        <v>-</v>
      </c>
      <c r="FM169" s="271" t="str">
        <f t="shared" si="79"/>
        <v>xxoxoxoooxx</v>
      </c>
      <c r="FN169" s="271" t="str">
        <f t="shared" si="80"/>
        <v>xoxoxoooxxo</v>
      </c>
      <c r="FO169" s="274" t="str">
        <f t="shared" si="81"/>
        <v>-</v>
      </c>
      <c r="FP169" s="234" t="str">
        <f t="shared" si="82"/>
        <v>|</v>
      </c>
      <c r="FQ169" s="236" t="str">
        <f t="shared" si="83"/>
        <v>-</v>
      </c>
      <c r="FR169" s="237" t="str">
        <f t="shared" si="84"/>
        <v>|</v>
      </c>
      <c r="FS169" s="236" t="str">
        <f t="shared" si="85"/>
        <v>-</v>
      </c>
      <c r="FT169" s="237" t="str">
        <f t="shared" si="86"/>
        <v>-</v>
      </c>
      <c r="FU169" s="236" t="str">
        <f t="shared" si="87"/>
        <v>-</v>
      </c>
      <c r="FV169" s="237" t="str">
        <f t="shared" si="88"/>
        <v>|</v>
      </c>
      <c r="FW169" s="236" t="str">
        <f t="shared" si="89"/>
        <v>|</v>
      </c>
      <c r="FX169" s="237" t="str">
        <f t="shared" si="90"/>
        <v>-</v>
      </c>
      <c r="FY169" s="236" t="str">
        <f t="shared" si="91"/>
        <v>|</v>
      </c>
      <c r="FZ169" s="237" t="str">
        <f t="shared" si="92"/>
        <v>|</v>
      </c>
      <c r="GA169" s="236" t="str">
        <f t="shared" si="93"/>
        <v>-</v>
      </c>
      <c r="GB169" s="238" t="str">
        <f t="shared" si="94"/>
        <v>|</v>
      </c>
      <c r="GC169" s="244" t="str">
        <f>IFERROR(__xludf.DUMMYFUNCTION("IF(REGEXMATCH(C169, ""S""), ""1"","""")"),"1")</f>
        <v>1</v>
      </c>
      <c r="GD169" s="245" t="str">
        <f>IFERROR(__xludf.DUMMYFUNCTION("IF(REGEXMATCH(C169, ""r""), ""b2"","""")"),"")</f>
        <v/>
      </c>
      <c r="GE169" s="246" t="str">
        <f>IFERROR(__xludf.DUMMYFUNCTION("IF(REGEXMATCH(C169, ""R""), ""2"","""")"),"2")</f>
        <v>2</v>
      </c>
      <c r="GF169" s="246" t="str">
        <f>IFERROR(__xludf.DUMMYFUNCTION("IF(REGEXMATCH(C169, ""g""), ""b3"","""")"),"")</f>
        <v/>
      </c>
      <c r="GG169" s="245" t="str">
        <f>IFERROR(__xludf.DUMMYFUNCTION("IF(REGEXMATCH(C169, ""G""), ""3"","""")"),"")</f>
        <v/>
      </c>
      <c r="GH169" s="245" t="str">
        <f>IFERROR(__xludf.DUMMYFUNCTION("IF(REGEXMATCH(C169, ""m""), ""4"","""")"),"")</f>
        <v/>
      </c>
      <c r="GI169" s="246" t="str">
        <f>IFERROR(__xludf.DUMMYFUNCTION("IF(REGEXMATCH(C169, ""M""), ""#4"","""")"),"#4")</f>
        <v>#4</v>
      </c>
      <c r="GJ169" s="245" t="str">
        <f>IFERROR(__xludf.DUMMYFUNCTION("IF(REGEXMATCH(C169, ""P""), ""5"","""")"),"5")</f>
        <v>5</v>
      </c>
      <c r="GK169" s="246" t="str">
        <f>IFERROR(__xludf.DUMMYFUNCTION("IF(REGEXMATCH(C169, ""d""), ""b6"","""")"),"")</f>
        <v/>
      </c>
      <c r="GL169" s="245" t="str">
        <f>IFERROR(__xludf.DUMMYFUNCTION("IF(REGEXMATCH(C169, ""D""), ""6"","""")"),"6")</f>
        <v>6</v>
      </c>
      <c r="GM169" s="245" t="str">
        <f>IFERROR(__xludf.DUMMYFUNCTION("IF(REGEXMATCH(C169, ""n""), ""b7"","""")"),"b7")</f>
        <v>b7</v>
      </c>
      <c r="GN169" s="246" t="str">
        <f>IFERROR(__xludf.DUMMYFUNCTION("IF(REGEXMATCH(C169, ""N""), ""7"","""")"),"")</f>
        <v/>
      </c>
      <c r="GO169" s="249" t="str">
        <f>IFERROR(__xludf.DUMMYFUNCTION("IF(REGEXMATCH(C169, ""S""), ""8"","""")"),"8")</f>
        <v>8</v>
      </c>
      <c r="GP169" s="244" t="str">
        <f>IFERROR(__xludf.DUMMYFUNCTION("IF(REGEXMATCH(C169, ""S""), ""S"","""")"),"S")</f>
        <v>S</v>
      </c>
      <c r="GQ169" s="294" t="str">
        <f>IFERROR(__xludf.DUMMYFUNCTION("IF(REGEXMATCH(C169, ""r""), ""R1"","""")"),"")</f>
        <v/>
      </c>
      <c r="GR169" s="295" t="str">
        <f>IFERROR(__xludf.DUMMYFUNCTION("IF(REGEXMATCH(C169, ""R""), ""R2"","""")"),"R2")</f>
        <v>R2</v>
      </c>
      <c r="GS169" s="295" t="str">
        <f>IFERROR(__xludf.DUMMYFUNCTION("IF(REGEXMATCH(C169, ""g""), ""G2"","""")"),"")</f>
        <v/>
      </c>
      <c r="GT169" s="294" t="str">
        <f>IFERROR(__xludf.DUMMYFUNCTION("IF(REGEXMATCH(C169, ""G""), ""G3"","""")"),"")</f>
        <v/>
      </c>
      <c r="GU169" s="294" t="str">
        <f>IFERROR(__xludf.DUMMYFUNCTION("IF(REGEXMATCH(C169, ""m""), ""M1"","""")"),"")</f>
        <v/>
      </c>
      <c r="GV169" s="295" t="str">
        <f>IFERROR(__xludf.DUMMYFUNCTION("IF(REGEXMATCH(C169, ""M""), ""M2"","""")"),"M2")</f>
        <v>M2</v>
      </c>
      <c r="GW169" s="294" t="str">
        <f>IFERROR(__xludf.DUMMYFUNCTION("IF(REGEXMATCH(C169, ""P""), ""P"","""")"),"P")</f>
        <v>P</v>
      </c>
      <c r="GX169" s="295" t="str">
        <f>IFERROR(__xludf.DUMMYFUNCTION("IF(REGEXMATCH(C169, ""d""), ""D1"","""")"),"")</f>
        <v/>
      </c>
      <c r="GY169" s="294" t="str">
        <f>IFERROR(__xludf.DUMMYFUNCTION("IF(REGEXMATCH(C169, ""D""), ""D2"","""")"),"D2")</f>
        <v>D2</v>
      </c>
      <c r="GZ169" s="294" t="str">
        <f>IFERROR(__xludf.DUMMYFUNCTION("IF(REGEXMATCH(C169, ""n""), ""N2"","""")"),"N2")</f>
        <v>N2</v>
      </c>
      <c r="HA169" s="295" t="str">
        <f>IFERROR(__xludf.DUMMYFUNCTION("IF(REGEXMATCH(C169, ""N""), ""N3"","""")"),"")</f>
        <v/>
      </c>
      <c r="HB169" s="249" t="str">
        <f>IFERROR(__xludf.DUMMYFUNCTION("IF(REGEXMATCH(C169, ""S""), ""S"","""")"),"S")</f>
        <v>S</v>
      </c>
      <c r="HC169" s="331" t="str">
        <f t="shared" si="95"/>
        <v>S</v>
      </c>
      <c r="HD169" s="332" t="str">
        <f t="shared" si="96"/>
        <v/>
      </c>
      <c r="HE169" s="332" t="str">
        <f t="shared" si="97"/>
        <v>R</v>
      </c>
      <c r="HF169" s="332" t="str">
        <f t="shared" si="98"/>
        <v>g</v>
      </c>
      <c r="HG169" s="332" t="str">
        <f t="shared" si="99"/>
        <v/>
      </c>
      <c r="HH169" s="332" t="str">
        <f t="shared" si="100"/>
        <v>m</v>
      </c>
      <c r="HI169" s="332" t="str">
        <f t="shared" si="101"/>
        <v>M</v>
      </c>
      <c r="HJ169" s="332" t="str">
        <f t="shared" si="102"/>
        <v/>
      </c>
      <c r="HK169" s="332" t="str">
        <f t="shared" si="103"/>
        <v/>
      </c>
      <c r="HL169" s="332" t="str">
        <f t="shared" si="104"/>
        <v/>
      </c>
      <c r="HM169" s="332" t="str">
        <f t="shared" si="105"/>
        <v>n</v>
      </c>
      <c r="HN169" s="332" t="str">
        <f t="shared" si="106"/>
        <v/>
      </c>
      <c r="HO169" s="343" t="str">
        <f t="shared" si="107"/>
        <v>S</v>
      </c>
      <c r="HP169" s="331" t="str">
        <f t="shared" si="108"/>
        <v>o</v>
      </c>
      <c r="HQ169" s="332" t="str">
        <f t="shared" si="109"/>
        <v>•</v>
      </c>
      <c r="HR169" s="332" t="str">
        <f t="shared" si="110"/>
        <v>o</v>
      </c>
      <c r="HS169" s="332" t="str">
        <f t="shared" si="111"/>
        <v>•</v>
      </c>
      <c r="HT169" s="332" t="str">
        <f t="shared" si="112"/>
        <v>•</v>
      </c>
      <c r="HU169" s="332" t="str">
        <f t="shared" si="113"/>
        <v>•</v>
      </c>
      <c r="HV169" s="332" t="str">
        <f t="shared" si="114"/>
        <v>o</v>
      </c>
      <c r="HW169" s="332" t="str">
        <f t="shared" si="115"/>
        <v>o</v>
      </c>
      <c r="HX169" s="332" t="str">
        <f t="shared" si="116"/>
        <v>•</v>
      </c>
      <c r="HY169" s="332" t="str">
        <f t="shared" si="117"/>
        <v>o</v>
      </c>
      <c r="HZ169" s="332" t="str">
        <f t="shared" si="118"/>
        <v>o</v>
      </c>
      <c r="IA169" s="332" t="str">
        <f t="shared" si="119"/>
        <v>•</v>
      </c>
      <c r="IB169" s="338" t="str">
        <f t="shared" si="120"/>
        <v>o</v>
      </c>
      <c r="IC169" s="331" t="str">
        <f t="shared" si="121"/>
        <v>•</v>
      </c>
      <c r="ID169" s="332" t="str">
        <f t="shared" si="122"/>
        <v>o</v>
      </c>
      <c r="IE169" s="332" t="str">
        <f t="shared" si="123"/>
        <v>•</v>
      </c>
      <c r="IF169" s="332" t="str">
        <f t="shared" si="124"/>
        <v>o</v>
      </c>
      <c r="IG169" s="332" t="str">
        <f t="shared" si="125"/>
        <v>o</v>
      </c>
      <c r="IH169" s="332" t="str">
        <f t="shared" si="126"/>
        <v>o</v>
      </c>
      <c r="II169" s="332" t="str">
        <f t="shared" si="127"/>
        <v>•</v>
      </c>
      <c r="IJ169" s="332" t="str">
        <f t="shared" si="128"/>
        <v>•</v>
      </c>
      <c r="IK169" s="332" t="str">
        <f t="shared" si="129"/>
        <v>o</v>
      </c>
      <c r="IL169" s="332" t="str">
        <f t="shared" si="130"/>
        <v>•</v>
      </c>
      <c r="IM169" s="332" t="str">
        <f t="shared" si="131"/>
        <v>•</v>
      </c>
      <c r="IN169" s="332" t="str">
        <f t="shared" si="132"/>
        <v>o</v>
      </c>
      <c r="IO169" s="338" t="str">
        <f t="shared" si="133"/>
        <v>•</v>
      </c>
      <c r="IP169" s="346" t="b">
        <f t="shared" si="134"/>
        <v>0</v>
      </c>
      <c r="IQ169" s="347" t="b">
        <f t="shared" si="135"/>
        <v>0</v>
      </c>
      <c r="IR169" s="347" t="b">
        <f t="shared" si="136"/>
        <v>0</v>
      </c>
      <c r="IS169" s="347" t="b">
        <f t="shared" si="137"/>
        <v>0</v>
      </c>
      <c r="IT169" s="347" t="b">
        <f t="shared" si="138"/>
        <v>0</v>
      </c>
      <c r="IU169" s="347" t="b">
        <f t="shared" si="139"/>
        <v>0</v>
      </c>
      <c r="IV169" s="347" t="b">
        <f t="shared" si="140"/>
        <v>1</v>
      </c>
      <c r="IW169" s="347" t="b">
        <f t="shared" si="141"/>
        <v>0</v>
      </c>
      <c r="IX169" s="347" t="b">
        <f t="shared" si="142"/>
        <v>0</v>
      </c>
      <c r="IY169" s="347" t="b">
        <f t="shared" si="143"/>
        <v>1</v>
      </c>
      <c r="IZ169" s="347" t="b">
        <f t="shared" si="144"/>
        <v>1</v>
      </c>
      <c r="JA169" s="347" t="b">
        <f t="shared" si="145"/>
        <v>0</v>
      </c>
      <c r="JB169" s="353" t="b">
        <f t="shared" si="146"/>
        <v>0</v>
      </c>
      <c r="JC169" s="354" t="str">
        <f t="shared" si="147"/>
        <v/>
      </c>
      <c r="JD169" s="355" t="str">
        <f t="shared" si="148"/>
        <v/>
      </c>
      <c r="JE169" s="355" t="str">
        <f t="shared" si="149"/>
        <v/>
      </c>
      <c r="JF169" s="355" t="str">
        <f t="shared" si="150"/>
        <v/>
      </c>
      <c r="JG169" s="355" t="str">
        <f t="shared" si="151"/>
        <v/>
      </c>
      <c r="JH169" s="355" t="str">
        <f t="shared" si="152"/>
        <v/>
      </c>
      <c r="JI169" s="355" t="str">
        <f t="shared" si="153"/>
        <v>Ma, </v>
      </c>
      <c r="JJ169" s="355" t="str">
        <f t="shared" si="154"/>
        <v/>
      </c>
      <c r="JK169" s="355" t="str">
        <f t="shared" si="155"/>
        <v/>
      </c>
      <c r="JL169" s="355" t="str">
        <f t="shared" si="156"/>
        <v>Dha, </v>
      </c>
      <c r="JM169" s="355" t="str">
        <f t="shared" si="157"/>
        <v>ni, </v>
      </c>
      <c r="JN169" s="355" t="str">
        <f t="shared" si="158"/>
        <v/>
      </c>
      <c r="JO169" s="359" t="str">
        <f t="shared" si="159"/>
        <v/>
      </c>
      <c r="JP169" s="346" t="b">
        <f t="shared" si="160"/>
        <v>0</v>
      </c>
      <c r="JQ169" s="347" t="b">
        <f t="shared" si="161"/>
        <v>0</v>
      </c>
      <c r="JR169" s="347" t="b">
        <f t="shared" si="162"/>
        <v>0</v>
      </c>
      <c r="JS169" s="347" t="b">
        <f t="shared" si="163"/>
        <v>0</v>
      </c>
      <c r="JT169" s="347" t="b">
        <f t="shared" si="164"/>
        <v>0</v>
      </c>
      <c r="JU169" s="347" t="b">
        <f t="shared" si="165"/>
        <v>0</v>
      </c>
      <c r="JV169" s="347" t="b">
        <f t="shared" si="166"/>
        <v>1</v>
      </c>
      <c r="JW169" s="347" t="b">
        <f t="shared" si="167"/>
        <v>0</v>
      </c>
      <c r="JX169" s="347" t="b">
        <f t="shared" si="168"/>
        <v>0</v>
      </c>
      <c r="JY169" s="347" t="b">
        <f t="shared" si="169"/>
        <v>0</v>
      </c>
      <c r="JZ169" s="347" t="b">
        <f t="shared" si="170"/>
        <v>1</v>
      </c>
      <c r="KA169" s="347" t="b">
        <f t="shared" si="171"/>
        <v>0</v>
      </c>
      <c r="KB169" s="365" t="b">
        <f t="shared" si="172"/>
        <v>0</v>
      </c>
      <c r="KC169" s="354" t="str">
        <f t="shared" si="173"/>
        <v/>
      </c>
      <c r="KD169" s="355" t="str">
        <f t="shared" si="174"/>
        <v/>
      </c>
      <c r="KE169" s="355" t="str">
        <f t="shared" si="175"/>
        <v/>
      </c>
      <c r="KF169" s="355" t="str">
        <f t="shared" si="176"/>
        <v/>
      </c>
      <c r="KG169" s="355" t="str">
        <f t="shared" si="177"/>
        <v/>
      </c>
      <c r="KH169" s="355" t="str">
        <f t="shared" si="178"/>
        <v/>
      </c>
      <c r="KI169" s="355" t="str">
        <f t="shared" si="179"/>
        <v>Ma, </v>
      </c>
      <c r="KJ169" s="355" t="str">
        <f t="shared" si="180"/>
        <v/>
      </c>
      <c r="KK169" s="355" t="str">
        <f t="shared" si="181"/>
        <v/>
      </c>
      <c r="KL169" s="355" t="str">
        <f t="shared" si="182"/>
        <v/>
      </c>
      <c r="KM169" s="355" t="str">
        <f t="shared" si="183"/>
        <v>ni, </v>
      </c>
      <c r="KN169" s="355" t="str">
        <f t="shared" si="184"/>
        <v/>
      </c>
      <c r="KO169" s="359"/>
      <c r="KP169" s="378"/>
      <c r="KQ169" s="379" t="s">
        <v>861</v>
      </c>
      <c r="KR169" s="380" t="s">
        <v>1424</v>
      </c>
      <c r="KS169" s="381" t="str">
        <f t="shared" si="545"/>
        <v>S-R-M-P-D-n-S</v>
      </c>
      <c r="KT169" s="382">
        <f t="shared" si="186"/>
        <v>6</v>
      </c>
      <c r="KU169" s="383">
        <f t="shared" si="187"/>
        <v>6</v>
      </c>
      <c r="KV169" s="381" t="str">
        <f t="shared" si="205"/>
        <v>S-n-D-P-M-R-S</v>
      </c>
      <c r="KW169" s="382">
        <f t="shared" si="189"/>
        <v>6</v>
      </c>
      <c r="KX169" s="384">
        <f t="shared" si="190"/>
        <v>6</v>
      </c>
      <c r="KY169" s="382">
        <f t="shared" ref="KY169:KZ169" si="550">KW169-KT169</f>
        <v>0</v>
      </c>
      <c r="KZ169" s="369">
        <f t="shared" si="550"/>
        <v>0</v>
      </c>
      <c r="LA169" s="385" t="str">
        <f t="shared" si="192"/>
        <v>✔</v>
      </c>
      <c r="LB169" s="340" t="str">
        <f>IFERROR(__xludf.DUMMYFUNCTION("JOIN("""",ArrayFormula(MID(KS169,LEN(KS169)-SEQUENCE(1,LEN(KS169))+1,1)))"),"S-n-D-P-M-R-S")</f>
        <v>S-n-D-P-M-R-S</v>
      </c>
      <c r="LC169" s="373" t="str">
        <f>IFERROR(__xludf.DUMMYFUNCTION("JOIN("""",ArrayFormula(MID(KV169,LEN(KV169)-SEQUENCE(1,LEN(KV169))+1,1)))"),"S-R-M-P-D-n-S")</f>
        <v>S-R-M-P-D-n-S</v>
      </c>
      <c r="LD169" s="373" t="str">
        <f t="shared" si="193"/>
        <v>SRMPDnS</v>
      </c>
      <c r="LE169" s="339" t="str">
        <f t="shared" si="194"/>
        <v>SRMPDnS</v>
      </c>
      <c r="LF169" s="386" t="str">
        <f>IFERROR(__xludf.DUMMYFUNCTION("SUBSTITUTE(SUBSTITUTE(CONCATENATE(JOIN("""",LH169:LT169)),""1"",""""),""2"","""")"),"SRMPDnS")</f>
        <v>SRMPDnS</v>
      </c>
      <c r="LG169" s="369" t="str">
        <f t="shared" si="195"/>
        <v>✔</v>
      </c>
      <c r="LH169" s="387" t="str">
        <f>IFERROR(__xludf.DUMMYFUNCTION("IF(REGEXMATCH(LD169, ""S""), ""S"",IF(REGEXMATCH(LE169, ""S""), ""S"",""""))"),"S")</f>
        <v>S</v>
      </c>
      <c r="LI169" s="299" t="str">
        <f>IFERROR(__xludf.DUMMYFUNCTION("IF(REGEXMATCH(LD169, ""r""), ""r1"",IF(REGEXMATCH(LE169, ""r""), ""r2"",""""))"),"")</f>
        <v/>
      </c>
      <c r="LJ169" s="299" t="str">
        <f>IFERROR(__xludf.DUMMYFUNCTION("IF(REGEXMATCH(LD169, ""R""), ""R1"",IF(REGEXMATCH(LE169, ""R""), ""R2"",""""))"),"R1")</f>
        <v>R1</v>
      </c>
      <c r="LK169" s="299" t="str">
        <f>IFERROR(__xludf.DUMMYFUNCTION("IF(REGEXMATCH(LD169, ""g""), ""g1"",IF(REGEXMATCH(LE169, ""g""), ""g2"",""""))"),"")</f>
        <v/>
      </c>
      <c r="LL169" s="299" t="str">
        <f>IFERROR(__xludf.DUMMYFUNCTION("IF(REGEXMATCH(LD169, ""G""), ""G1"",IF(REGEXMATCH(LE169, ""G""), ""G2"",""""))"),"")</f>
        <v/>
      </c>
      <c r="LM169" s="299" t="str">
        <f>IFERROR(__xludf.DUMMYFUNCTION("IF(REGEXMATCH(LD169, ""m""), ""m1"",IF(REGEXMATCH(LE169, ""m""), ""m2"",""""))"),"")</f>
        <v/>
      </c>
      <c r="LN169" s="299" t="str">
        <f>IFERROR(__xludf.DUMMYFUNCTION("IF(REGEXMATCH(LD169, ""M""), ""M1"",IF(REGEXMATCH(LE169, ""M""), ""M2"",""""))"),"M1")</f>
        <v>M1</v>
      </c>
      <c r="LO169" s="299" t="str">
        <f>IFERROR(__xludf.DUMMYFUNCTION("IF(REGEXMATCH(LD169, ""P""), ""P1"",IF(REGEXMATCH(LE169, ""P""), ""P2"",""""))"),"P1")</f>
        <v>P1</v>
      </c>
      <c r="LP169" s="299" t="str">
        <f>IFERROR(__xludf.DUMMYFUNCTION("IF(REGEXMATCH(LD169, ""d""), ""d1"",IF(REGEXMATCH(LE169, ""d""), ""d2"",""""))"),"")</f>
        <v/>
      </c>
      <c r="LQ169" s="299" t="str">
        <f>IFERROR(__xludf.DUMMYFUNCTION("IF(REGEXMATCH(LD169, ""D""), ""D1"",IF(REGEXMATCH(LE169, ""D""), ""D2"",""""))"),"D1")</f>
        <v>D1</v>
      </c>
      <c r="LR169" s="299" t="str">
        <f>IFERROR(__xludf.DUMMYFUNCTION("IF(REGEXMATCH(LD169, ""n""), ""n1"",IF(REGEXMATCH(LE169, ""n""), ""n2"",""""))"),"n1")</f>
        <v>n1</v>
      </c>
      <c r="LS169" s="299" t="str">
        <f>IFERROR(__xludf.DUMMYFUNCTION("IF(REGEXMATCH(LD169, ""N""), ""N1"",IF(REGEXMATCH(LE169, ""N""), ""N2"",""""))"),"")</f>
        <v/>
      </c>
      <c r="LT169" s="388" t="str">
        <f>IFERROR(__xludf.DUMMYFUNCTION("IF(REGEXMATCH(LD169, ""S""), ""S"",IF(REGEXMATCH(LE169, ""S""), ""S"",""""))"),"S")</f>
        <v>S</v>
      </c>
      <c r="LU169" s="389">
        <f t="shared" si="196"/>
        <v>1</v>
      </c>
      <c r="LV169" s="378"/>
      <c r="LW169" s="369"/>
      <c r="LX169" s="369"/>
    </row>
    <row r="170" ht="18.0" customHeight="1">
      <c r="A170" s="298" t="s">
        <v>863</v>
      </c>
      <c r="B170" s="222" t="s">
        <v>632</v>
      </c>
      <c r="C170" s="233" t="str">
        <f t="shared" si="7"/>
        <v>SRGmMPDNS</v>
      </c>
      <c r="D170" s="234" t="str">
        <f>IFERROR(__xludf.DUMMYFUNCTION("IF(REGEXMATCH(C170, ""S""), ""S"","""")"),"S")</f>
        <v>S</v>
      </c>
      <c r="E170" s="236" t="str">
        <f>IFERROR(__xludf.DUMMYFUNCTION("IF(REGEXMATCH(C170, ""r""), ""r"","""")"),"")</f>
        <v/>
      </c>
      <c r="F170" s="237" t="str">
        <f>IFERROR(__xludf.DUMMYFUNCTION("IF(REGEXMATCH(C170, ""R""), ""R"","""")"),"R")</f>
        <v>R</v>
      </c>
      <c r="G170" s="237" t="str">
        <f>IFERROR(__xludf.DUMMYFUNCTION("IF(REGEXMATCH(C170, ""g""), ""g"","""")"),"")</f>
        <v/>
      </c>
      <c r="H170" s="236" t="str">
        <f>IFERROR(__xludf.DUMMYFUNCTION("IF(REGEXMATCH(C170, ""G""), ""G"","""")"),"G")</f>
        <v>G</v>
      </c>
      <c r="I170" s="236" t="str">
        <f>IFERROR(__xludf.DUMMYFUNCTION("IF(REGEXMATCH(C170, ""m""), ""m"","""")"),"m")</f>
        <v>m</v>
      </c>
      <c r="J170" s="237" t="str">
        <f>IFERROR(__xludf.DUMMYFUNCTION("IF(REGEXMATCH(C170, ""M""), ""M"","""")"),"M")</f>
        <v>M</v>
      </c>
      <c r="K170" s="236" t="str">
        <f>IFERROR(__xludf.DUMMYFUNCTION("IF(REGEXMATCH(C170, ""P""), ""P"","""")"),"P")</f>
        <v>P</v>
      </c>
      <c r="L170" s="237" t="str">
        <f>IFERROR(__xludf.DUMMYFUNCTION("IF(REGEXMATCH(C170, ""d""), ""d"","""")"),"")</f>
        <v/>
      </c>
      <c r="M170" s="236" t="str">
        <f>IFERROR(__xludf.DUMMYFUNCTION("IF(REGEXMATCH(C170, ""D""), ""D"","""")"),"D")</f>
        <v>D</v>
      </c>
      <c r="N170" s="236" t="str">
        <f>IFERROR(__xludf.DUMMYFUNCTION("IF(REGEXMATCH(C170, ""n""), ""n"","""")"),"")</f>
        <v/>
      </c>
      <c r="O170" s="237" t="str">
        <f>IFERROR(__xludf.DUMMYFUNCTION("IF(REGEXMATCH(C170, ""N""), ""N"","""")"),"N")</f>
        <v>N</v>
      </c>
      <c r="P170" s="238" t="str">
        <f>IFERROR(__xludf.DUMMYFUNCTION("IF(REGEXMATCH(C170, ""S""), ""S"","""")"),"S")</f>
        <v>S</v>
      </c>
      <c r="Q170" s="239" t="str">
        <f>IFERROR(__xludf.DUMMYFUNCTION("SUBSTITUTE(CONCATENATE(JOIN(""-"",D170:J170)),""-"","""")"),"SRGmM")</f>
        <v>SRGmM</v>
      </c>
      <c r="R170" s="229" t="str">
        <f>IFERROR(__xludf.DUMMYFUNCTION("SUBSTITUTE(CONCATENATE(JOIN(""-"",K170:P170)),""-"","""")"),"PDNS")</f>
        <v>PDNS</v>
      </c>
      <c r="S170" s="282" t="str">
        <f t="shared" si="8"/>
        <v>S-R-G-M</v>
      </c>
      <c r="T170" s="282" t="str">
        <f t="shared" si="9"/>
        <v>P-D-N-S</v>
      </c>
      <c r="U170" s="237" t="str">
        <f>IFERROR(__xludf.DUMMYFUNCTION("SUBSTITUTE(JOIN(""-"",S170,T170),""--"",""-"")"),"S-R-G-M-P-D-N-S")</f>
        <v>S-R-G-M-P-D-N-S</v>
      </c>
      <c r="V170" s="309" t="str">
        <f t="shared" si="10"/>
        <v>RGmMDN</v>
      </c>
      <c r="W170" s="244" t="str">
        <f>IFERROR(__xludf.DUMMYFUNCTION("IF(REGEXMATCH(C170, ""S""), ""0"","""")"),"0")</f>
        <v>0</v>
      </c>
      <c r="X170" s="245" t="str">
        <f>IFERROR(__xludf.DUMMYFUNCTION("IF(REGEXMATCH(C170, ""r""), ""1"","""")"),"")</f>
        <v/>
      </c>
      <c r="Y170" s="246" t="str">
        <f>IFERROR(__xludf.DUMMYFUNCTION("IF(REGEXMATCH(C170, ""R""), ""2"","""")"),"2")</f>
        <v>2</v>
      </c>
      <c r="Z170" s="246" t="str">
        <f>IFERROR(__xludf.DUMMYFUNCTION("IF(REGEXMATCH(C170, ""g""), ""3"","""")"),"")</f>
        <v/>
      </c>
      <c r="AA170" s="245" t="str">
        <f>IFERROR(__xludf.DUMMYFUNCTION("IF(REGEXMATCH(C170, ""G""), ""4"","""")"),"4")</f>
        <v>4</v>
      </c>
      <c r="AB170" s="245" t="str">
        <f>IFERROR(__xludf.DUMMYFUNCTION("IF(REGEXMATCH(C170, ""m""), ""5"","""")"),"5")</f>
        <v>5</v>
      </c>
      <c r="AC170" s="246" t="str">
        <f>IFERROR(__xludf.DUMMYFUNCTION("IF(REGEXMATCH(C170, ""M""), ""6"","""")"),"6")</f>
        <v>6</v>
      </c>
      <c r="AD170" s="245" t="str">
        <f>IFERROR(__xludf.DUMMYFUNCTION("IF(REGEXMATCH(C170, ""P""), ""7"","""")"),"7")</f>
        <v>7</v>
      </c>
      <c r="AE170" s="246" t="str">
        <f>IFERROR(__xludf.DUMMYFUNCTION("IF(REGEXMATCH(C170, ""d""), ""8"","""")"),"")</f>
        <v/>
      </c>
      <c r="AF170" s="245" t="str">
        <f>IFERROR(__xludf.DUMMYFUNCTION("IF(REGEXMATCH(C170, ""D""), ""9"","""")"),"9")</f>
        <v>9</v>
      </c>
      <c r="AG170" s="245" t="str">
        <f>IFERROR(__xludf.DUMMYFUNCTION("IF(REGEXMATCH(C170, ""n""), ""10"","""")"),"")</f>
        <v/>
      </c>
      <c r="AH170" s="246" t="str">
        <f>IFERROR(__xludf.DUMMYFUNCTION("IF(REGEXMATCH(C170, ""N""), ""11"","""")"),"11")</f>
        <v>11</v>
      </c>
      <c r="AI170" s="249" t="str">
        <f>IFERROR(__xludf.DUMMYFUNCTION("IF(REGEXMATCH(C170, ""S""), ""0"","""")"),"0")</f>
        <v>0</v>
      </c>
      <c r="AJ170" s="313" t="str">
        <f t="shared" si="11"/>
        <v>T</v>
      </c>
      <c r="AK170" s="313" t="str">
        <f t="shared" si="12"/>
        <v>-</v>
      </c>
      <c r="AL170" s="313" t="str">
        <f t="shared" si="13"/>
        <v>-</v>
      </c>
      <c r="AM170" s="313" t="str">
        <f t="shared" si="14"/>
        <v>-</v>
      </c>
      <c r="AN170" s="313" t="str">
        <f t="shared" si="15"/>
        <v>-</v>
      </c>
      <c r="AO170" s="314" t="str">
        <f t="shared" si="16"/>
        <v>T</v>
      </c>
      <c r="AP170" s="316">
        <f t="shared" si="17"/>
        <v>2</v>
      </c>
      <c r="AQ170" s="319" t="str">
        <f t="shared" si="18"/>
        <v>-</v>
      </c>
      <c r="AR170" s="320">
        <f t="shared" si="19"/>
        <v>0</v>
      </c>
      <c r="AS170" s="250" t="str">
        <f>IFERROR(__xludf.DUMMYFUNCTION("SUBSTITUTE(SUBSTITUTE(CONCATENATE(JOIN("""",FP170:GA170)),""|"",""x""),""-"",""o"")"),"xoxoxxxxoxox")</f>
        <v>xoxoxxxxoxox</v>
      </c>
      <c r="AT170" s="323" t="str">
        <f>IFERROR(__xludf.DUMMYFUNCTION("JOIN("""",AS170,AS170)"),"xoxoxxxxoxoxxoxoxxxxoxox")</f>
        <v>xoxoxxxxoxoxxoxoxxxxoxox</v>
      </c>
      <c r="AU170" s="256" t="str">
        <f>IFERROR(__xludf.DUMMYFUNCTION("JOIN("""",ArrayFormula(MID(AS170,LEN(AS170)-SEQUENCE(1,LEN(AS170))+1,1)))"),"xoxoxxxxoxox")</f>
        <v>xoxoxxxxoxox</v>
      </c>
      <c r="AV170" s="256" t="str">
        <f>IFERROR(__xludf.DUMMYFUNCTION("LEFT(CONCATENATE(""x"",JOIN("""",ArrayFormula(MID(AS170,LEN(AS170)-SEQUENCE(1,LEN(AS170))+1,1)))),12)"),"xxoxoxxxxoxo")</f>
        <v>xxoxoxxxxoxo</v>
      </c>
      <c r="AW170" s="327" t="str">
        <f>IFERROR(__xludf.DUMMYFUNCTION("JOIN("""",AU170,AU170)"),"xoxoxxxxoxoxxoxoxxxxoxox")</f>
        <v>xoxoxxxxoxoxxoxoxxxxoxox</v>
      </c>
      <c r="AX170" s="239" t="str">
        <f>IFERROR(__xludf.DUMMYFUNCTION("IF(REGEXMATCH(AW170,AS170),""✔"",""-"")"),"✔")</f>
        <v>✔</v>
      </c>
      <c r="AY170" s="330" t="str">
        <f t="shared" si="20"/>
        <v>-</v>
      </c>
      <c r="AZ170" s="260" t="str">
        <f t="shared" si="21"/>
        <v>#REF!</v>
      </c>
      <c r="BA170" s="333" t="str">
        <f t="shared" si="22"/>
        <v>xoxoxxx</v>
      </c>
      <c r="BB170" s="334" t="str">
        <f t="shared" si="23"/>
        <v>xoxoxx</v>
      </c>
      <c r="BC170" s="335" t="str">
        <f t="shared" si="236"/>
        <v>✔</v>
      </c>
      <c r="BD170" s="336" t="str">
        <f t="shared" si="25"/>
        <v>Kamod: 'xoxoxxx' + 'xoxoxx'</v>
      </c>
      <c r="BE170" s="337">
        <f>IFERROR(__xludf.DUMMYFUNCTION("COUNTUNIQUE(FILTER(AT:AT,REGEXMATCH(AT:AT,AS170)))-1"),3.0)</f>
        <v>3</v>
      </c>
      <c r="BF170" s="261" t="str">
        <f>IFERROR(__xludf.DUMMYFUNCTION("IF(BI170=0,""(n/a)"",IF(BJ170=2,""(PAIR)"",IF(REGEXMATCH(AT170,""xoxoxxoxoxox""),""Bilawal"",IF(REGEXMATCH(AT170,""xoxoxooxoxoo""),""Bhupali"",IF(REGEXMATCH(AT170,""xoxoxxoxxoxo""),""Charukeshi"",IF(REGEXMATCH(AT170,""xoxoooxxoxxo""),""Kameshwari"",IF(REG"&amp;"EXMATCH(AT170,""xoxoxooxoxox""),""Shankara"",IF(REGEXMATCH(AT170,""xxooxoxxxoox""),""Basant"",IF(REGEXMATCH(AT170,""xoxoxxxxoxox""),""Bihag"",IF(REGEXMATCH(AT170,""xoxxxxoxoxxx""),""Pilu"",IF(REGEXMATCH(AT170,""xoxxoxoxxoox""),""Kirwani"",IF(REGEXMATCH(AT"&amp;"170,""xoxxoxoxoxxx""),""Mk.Malhar"",IF(REGEXMATCH(AT170,""xxooxxoxxoox""),""Bhairav"",IF(REGEXMATCH(AT170,""xxoxooxxxoox""),""Todi"",IF(REGEXMATCH(AT170,""xxooxoxooxox""),""Marwa"",IF(REGEXMATCH(AT170,""xxoooxoxxooo""),""Gunkali"",IF(REGEXMATCH(AT170,""xo"&amp;"xoxxoxxoox""),""Nat Bhairav"",IF(REGEXMATCH(AT170,""xoxxoooxoxoo""),""Shivranjani"",IF(REGEXMATCH(AT170,""xooxxxoxooxo""),""Jog"",IF(REGEXMATCH(AT170,""xxooxoxoxoox""),""Hemshri"",IF(REGEXMATCH(AT170,""xoooxooxoxxo""),""Kalavati"",IF(REGEXMATCH(AT170,""xx"&amp;"oxoxxoxoox""),""Kedar"",IF(REGEXMATCH(AT170,""xoxxxxoxooxx""),""Gara"",IF(REGEXMATCH(AT170,""xooxoxooxoox""),""Chandrakauns"",IF(REGEXMATCH(AT170,""xoxxxxoxxxox""),""Mand"",IF(REGEXMATCH(AT170,""xoxxxxoxoxox""),""Hanskinkini"",IF(REGEXMATCH(AT170,""xxooxx"&amp;"oxooxo""),""Lilavati"",IF(REGEXMATCH(AT170,""xooxoxoooxox""),""Rajeshwari"",IF(REGEXMATCH(AT170,""xoooxxoxoxxx""),""Khokar"",IF(REGEXMATCH(AT170,""xxooxoxxxxox""),""Maligoura"",""-""))))))))))))))))))))))))))))))"),"Bihag")</f>
        <v>Bihag</v>
      </c>
      <c r="BG170" s="239" t="str">
        <f t="shared" si="26"/>
        <v>#REF!</v>
      </c>
      <c r="BH170" s="239">
        <f>IFERROR(__xludf.DUMMYFUNCTION("COUNTUNIQUE(FE170:FO170)-1"),7.0)</f>
        <v>7</v>
      </c>
      <c r="BI170" s="239">
        <f>IFERROR(__xludf.DUMMYFUNCTION("COUNTUNIQUE(FILTER(AT:AT,REGEXMATCH(AT:AT,AS170)))-1"),3.0)</f>
        <v>3</v>
      </c>
      <c r="BJ170" s="239">
        <f>IFERROR(__xludf.DUMMYFUNCTION("COUNTA(FILTER(AT:AT,REGEXMATCH(AT:AT,AS170)))"),36.0)</f>
        <v>36</v>
      </c>
      <c r="BK170" s="341">
        <f>IFERROR(__xludf.DUMMYFUNCTION("COUNTA(FILTER(AT:AT,REGEXMATCH(AT:AT,AS170)))-AR170"),36.0)</f>
        <v>36</v>
      </c>
      <c r="BL170" s="276" t="str">
        <f>IFERROR(__xludf.DUMMYFUNCTION("IF(AS170=""oooooooooooo"",""-"",IF(REGEXMATCH(AT170,""xx""), ""Hemi."", ""Anhemi.""))"),"Hemi.")</f>
        <v>Hemi.</v>
      </c>
      <c r="BM170" s="282" t="str">
        <f>IFERROR(__xludf.DUMMYFUNCTION("IF(AS170=""oooooooooooo"",""-"",IF(REGEXMATCH(AT170,""xxx""), ""Cohem."", ""-""))"),"Cohem.")</f>
        <v>Cohem.</v>
      </c>
      <c r="BN170" s="282" t="str">
        <f>IFERROR(__xludf.DUMMYFUNCTION("IF(AS170=""oooooooooooo"",""-"",IF(REGEXMATCH(AT170,""xxxx""), ""Co-Co."", ""-""))"),"Co-Co.")</f>
        <v>Co-Co.</v>
      </c>
      <c r="BO170" s="342" t="str">
        <f>IFERROR(__xludf.DUMMYFUNCTION("IF(AS170=""oooooooooooo"",""-"",IF(REGEXMATCH(AT170,""xxxxx""), ""CCC."", ""-""))"),"-")</f>
        <v>-</v>
      </c>
      <c r="BP170" s="344" t="str">
        <f t="shared" si="27"/>
        <v>-</v>
      </c>
      <c r="BQ170" s="282" t="str">
        <f>IFERROR(__xludf.DUMMYFUNCTION("IF(REGEXMATCH(JOIN(""-"",EU170:FD170),""TRUE""),""✔"",""-"")"),"-")</f>
        <v>-</v>
      </c>
      <c r="BR170" s="225">
        <f t="shared" si="28"/>
        <v>0</v>
      </c>
      <c r="BS170" s="345" t="str">
        <f>IFERROR(__xludf.DUMMYFUNCTION("SUBSTITUTE(SUBSTITUTE(SUBSTITUTE(SUBSTITUTE(CONCATENATE(JOIN(""-"",GC170:GO170)),""--"",""-""),""--"",""-""),""--"",""-""),""--"",""-"")"),"1-2-3-4-#4-5-6-7-8")</f>
        <v>1-2-3-4-#4-5-6-7-8</v>
      </c>
      <c r="BT170" s="299" t="str">
        <f>IFERROR(__xludf.DUMMYFUNCTION("SUBSTITUTE(SUBSTITUTE(SUBSTITUTE(SUBSTITUTE(CONCATENATE(JOIN(""-"",GP170:HB170)),""--"",""-""),""--"",""-""),""--"",""-""),""--"",""-"")"),"S-R2-G3-M1-M2-P-D2-N3-S")</f>
        <v>S-R2-G3-M1-M2-P-D2-N3-S</v>
      </c>
      <c r="BU170" s="348" t="str">
        <f t="shared" si="29"/>
        <v>C-D-E-F-F#-G-A-B-C</v>
      </c>
      <c r="BV170" s="349" t="str">
        <f t="shared" si="30"/>
        <v>SrgdnS</v>
      </c>
      <c r="BW170" s="350">
        <f t="shared" si="31"/>
        <v>0</v>
      </c>
      <c r="BX170" s="351">
        <f t="shared" si="32"/>
        <v>13</v>
      </c>
      <c r="BY170" s="392"/>
      <c r="BZ170" s="309" t="str">
        <f>IFERROR(__xludf.DUMMYFUNCTION("IF(REGEXMATCH(C170, ""S""), ""x"",""x"")"),"x")</f>
        <v>x</v>
      </c>
      <c r="CA170" s="245" t="str">
        <f>IFERROR(__xludf.DUMMYFUNCTION("IF(REGEXMATCH(C170, ""r""), ""o"",""x"")"),"x")</f>
        <v>x</v>
      </c>
      <c r="CB170" s="246" t="str">
        <f>IFERROR(__xludf.DUMMYFUNCTION("IF(REGEXMATCH(C170, ""R""), ""o"",""x"")"),"o")</f>
        <v>o</v>
      </c>
      <c r="CC170" s="246" t="str">
        <f>IFERROR(__xludf.DUMMYFUNCTION("IF(REGEXMATCH(C170, ""g""), ""o"",""x"")"),"x")</f>
        <v>x</v>
      </c>
      <c r="CD170" s="245" t="str">
        <f>IFERROR(__xludf.DUMMYFUNCTION("IF(REGEXMATCH(C170, ""G""), ""o"",""x"")"),"o")</f>
        <v>o</v>
      </c>
      <c r="CE170" s="245" t="str">
        <f>IFERROR(__xludf.DUMMYFUNCTION("IF(REGEXMATCH(C170, ""m""), ""o"",""x"")"),"o")</f>
        <v>o</v>
      </c>
      <c r="CF170" s="246" t="str">
        <f>IFERROR(__xludf.DUMMYFUNCTION("IF(REGEXMATCH(C170, ""M""), ""o"",""x"")"),"o")</f>
        <v>o</v>
      </c>
      <c r="CG170" s="245" t="str">
        <f>IFERROR(__xludf.DUMMYFUNCTION("IF(REGEXMATCH(C170, ""P""), ""o"",""x"")"),"o")</f>
        <v>o</v>
      </c>
      <c r="CH170" s="246" t="str">
        <f>IFERROR(__xludf.DUMMYFUNCTION("IF(REGEXMATCH(C170, ""d""), ""o"",""x"")"),"x")</f>
        <v>x</v>
      </c>
      <c r="CI170" s="245" t="str">
        <f>IFERROR(__xludf.DUMMYFUNCTION("IF(REGEXMATCH(C170, ""D""), ""o"",""x"")"),"o")</f>
        <v>o</v>
      </c>
      <c r="CJ170" s="245" t="str">
        <f>IFERROR(__xludf.DUMMYFUNCTION("IF(REGEXMATCH(C170, ""n""), ""o"",""x"")"),"x")</f>
        <v>x</v>
      </c>
      <c r="CK170" s="245" t="str">
        <f>IFERROR(__xludf.DUMMYFUNCTION("IF(REGEXMATCH(C170, ""N""), ""o"",""x"")"),"o")</f>
        <v>o</v>
      </c>
      <c r="CL170" s="356" t="str">
        <f>IFERROR(__xludf.DUMMYFUNCTION("IF(REGEXMATCH(C170, ""S""), ""x"",""x"")"),"x")</f>
        <v>x</v>
      </c>
      <c r="CM170" s="357" t="str">
        <f t="shared" si="33"/>
        <v>xxoxooooxoxo</v>
      </c>
      <c r="CN170" s="358">
        <f t="shared" si="34"/>
        <v>0</v>
      </c>
      <c r="CO170" s="246" t="str">
        <f>IFERROR(__xludf.DUMMYFUNCTION("IF(REGEXMATCH($C170, ""S""), ""S"",""S"")"),"S")</f>
        <v>S</v>
      </c>
      <c r="CP170" s="246" t="str">
        <f>IFERROR(__xludf.DUMMYFUNCTION("IF(REGEXMATCH($C170, ""r""), """",""r"")"),"r")</f>
        <v>r</v>
      </c>
      <c r="CQ170" s="246" t="str">
        <f>IFERROR(__xludf.DUMMYFUNCTION("IF(REGEXMATCH($C170, ""R""), """",""R"")"),"")</f>
        <v/>
      </c>
      <c r="CR170" s="246" t="str">
        <f>IFERROR(__xludf.DUMMYFUNCTION("IF(REGEXMATCH($C170, ""g""), """",""g"")"),"g")</f>
        <v>g</v>
      </c>
      <c r="CS170" s="246" t="str">
        <f>IFERROR(__xludf.DUMMYFUNCTION("IF(REGEXMATCH($C170, ""G""), """",""G"")"),"")</f>
        <v/>
      </c>
      <c r="CT170" s="246" t="str">
        <f>IFERROR(__xludf.DUMMYFUNCTION("IF(REGEXMATCH($C170, ""m""), """",""m"")"),"")</f>
        <v/>
      </c>
      <c r="CU170" s="246" t="str">
        <f>IFERROR(__xludf.DUMMYFUNCTION("IF(REGEXMATCH($C170, ""M""), """",""M"")"),"")</f>
        <v/>
      </c>
      <c r="CV170" s="246" t="str">
        <f>IFERROR(__xludf.DUMMYFUNCTION("IF(REGEXMATCH($C170, ""P""), """",""P"")"),"")</f>
        <v/>
      </c>
      <c r="CW170" s="246" t="str">
        <f>IFERROR(__xludf.DUMMYFUNCTION("IF(REGEXMATCH($C170, ""d""), """",""d"")"),"d")</f>
        <v>d</v>
      </c>
      <c r="CX170" s="246" t="str">
        <f>IFERROR(__xludf.DUMMYFUNCTION("IF(REGEXMATCH($C170, ""D""), """",""D"")"),"")</f>
        <v/>
      </c>
      <c r="CY170" s="246" t="str">
        <f>IFERROR(__xludf.DUMMYFUNCTION("IF(REGEXMATCH($C170, ""n""), """",""n"")"),"n")</f>
        <v>n</v>
      </c>
      <c r="CZ170" s="246" t="str">
        <f>IFERROR(__xludf.DUMMYFUNCTION("IF(REGEXMATCH($C170, ""N""), """",""N"")"),"")</f>
        <v/>
      </c>
      <c r="DA170" s="246" t="str">
        <f>IFERROR(__xludf.DUMMYFUNCTION("IF(REGEXMATCH($C170, ""S""), ""S"",""S"")"),"S")</f>
        <v>S</v>
      </c>
      <c r="DB170" s="362" t="str">
        <f>IFERROR(__xludf.DUMMYFUNCTION("JOIN("""",CO170:DA170,"""","""")"),"SrgdnS")</f>
        <v>SrgdnS</v>
      </c>
      <c r="DC170" s="363"/>
      <c r="DD170" s="301" t="str">
        <f t="shared" si="35"/>
        <v>#REF!</v>
      </c>
      <c r="DE170" s="302" t="str">
        <f t="shared" si="36"/>
        <v>#REF!</v>
      </c>
      <c r="DF170" s="301" t="str">
        <f t="shared" ref="DF170:DG170" si="551">SUBSTITUTE(S170,"-","")</f>
        <v>SRGM</v>
      </c>
      <c r="DG170" s="301" t="str">
        <f t="shared" si="551"/>
        <v>PDNS</v>
      </c>
      <c r="DH170" s="302" t="str">
        <f t="shared" si="38"/>
        <v>Bihag</v>
      </c>
      <c r="DI170" s="301" t="str">
        <f t="shared" si="39"/>
        <v>Hemi.</v>
      </c>
      <c r="DJ170" s="364" t="str">
        <f t="shared" si="40"/>
        <v>Co-Co.</v>
      </c>
      <c r="DK170" s="306" t="str">
        <f t="shared" si="41"/>
        <v>-</v>
      </c>
      <c r="DL170" s="366" t="str">
        <f t="shared" si="42"/>
        <v>-</v>
      </c>
      <c r="DM170" s="308" t="str">
        <f t="shared" si="43"/>
        <v>✔</v>
      </c>
      <c r="DN170" s="306" t="str">
        <f t="shared" si="44"/>
        <v>-</v>
      </c>
      <c r="DO170" s="306" t="str">
        <f t="shared" si="45"/>
        <v>-</v>
      </c>
      <c r="DP170" s="367" t="str">
        <f t="shared" si="46"/>
        <v>-</v>
      </c>
      <c r="DQ170" s="310" t="str">
        <f t="shared" si="47"/>
        <v>-</v>
      </c>
      <c r="DR170" s="310" t="str">
        <f t="shared" si="48"/>
        <v>-</v>
      </c>
      <c r="DS170" s="310" t="str">
        <f t="shared" si="49"/>
        <v>✔</v>
      </c>
      <c r="DT170" s="310" t="str">
        <f t="shared" si="50"/>
        <v>-</v>
      </c>
      <c r="DU170" s="370" t="str">
        <f t="shared" si="51"/>
        <v>-</v>
      </c>
      <c r="DV170" s="306" t="str">
        <f t="shared" si="52"/>
        <v>-</v>
      </c>
      <c r="DW170" s="306" t="str">
        <f t="shared" si="53"/>
        <v>-</v>
      </c>
      <c r="DX170" s="306" t="str">
        <f t="shared" si="54"/>
        <v>-</v>
      </c>
      <c r="DY170" s="306" t="str">
        <f t="shared" si="55"/>
        <v>-</v>
      </c>
      <c r="DZ170" s="306" t="str">
        <f t="shared" si="56"/>
        <v>-</v>
      </c>
      <c r="EA170" s="367" t="str">
        <f t="shared" si="57"/>
        <v>-</v>
      </c>
      <c r="EB170" s="310" t="str">
        <f>IFERROR(__xludf.DUMMYFUNCTION("IF(REGEXMATCH(AW170,AS170),""✔"",""-"")"),"✔")</f>
        <v>✔</v>
      </c>
      <c r="EC170" s="310" t="str">
        <f t="shared" si="58"/>
        <v>#REF!</v>
      </c>
      <c r="ED170" s="370" t="str">
        <f t="shared" si="59"/>
        <v>-</v>
      </c>
      <c r="EE170" s="340" t="str">
        <f t="shared" si="60"/>
        <v>S-R-G-mM-P-D-N-S</v>
      </c>
      <c r="EF170" s="371" t="str">
        <f>IFERROR(__xludf.DUMMYFUNCTION("CONCATENATE(JOIN("""",HC170:HO170))"),"SrgmMPdnS")</f>
        <v>SrgmMPdnS</v>
      </c>
      <c r="EG170" s="372">
        <f t="shared" si="61"/>
        <v>1</v>
      </c>
      <c r="EH170" s="373" t="str">
        <f>IFERROR(__xludf.DUMMYFUNCTION("CONCATENATE(JOIN("""",JC170:JO170))"),"Ma, ")</f>
        <v>Ma, </v>
      </c>
      <c r="EI170" s="322">
        <f t="shared" si="62"/>
        <v>0</v>
      </c>
      <c r="EJ170" s="374" t="str">
        <f>IFERROR(__xludf.DUMMYFUNCTION("CONCATENATE(JOIN("""",KC170:KO170))"),"")</f>
        <v/>
      </c>
      <c r="EK170" s="325" t="str">
        <f t="shared" si="63"/>
        <v>S-R2-G3-M1-M2-P-D2-N3-S</v>
      </c>
      <c r="EL170" s="326" t="str">
        <f t="shared" si="64"/>
        <v>1-2-3-4-#4-5-6-7-8</v>
      </c>
      <c r="EM170" s="318" t="str">
        <f t="shared" si="65"/>
        <v>#REF!</v>
      </c>
      <c r="EN170" s="328" t="str">
        <f>IFERROR(__xludf.DUMMYFUNCTION("SUBSTITUTE(SUBSTITUTE(SUBSTITUTE(SUBSTITUTE(CONCATENATE(JOIN("" "",HP170:IB170)),""  "","" ""),""  "","" ""),""  "","" ""),""  "","" "")"),"o • o • o o o o • o • o o")</f>
        <v>o • o • o o o o • o • o o</v>
      </c>
      <c r="EO170" s="368" t="str">
        <f t="shared" si="66"/>
        <v>-</v>
      </c>
      <c r="EP170" s="339" t="str">
        <f t="shared" si="67"/>
        <v>-</v>
      </c>
      <c r="EQ170" s="339" t="str">
        <f t="shared" si="68"/>
        <v>Sa-Pa</v>
      </c>
      <c r="ER170" s="339" t="str">
        <f t="shared" si="69"/>
        <v>-</v>
      </c>
      <c r="ES170" s="340" t="str">
        <f t="shared" si="70"/>
        <v>-</v>
      </c>
      <c r="ET170" s="363"/>
      <c r="EU170" s="376" t="b">
        <f>IFERROR(__xludf.DUMMYFUNCTION("arrayformula(sum(--REGEXMATCH(""SRGMPDNS"",split(REGEXREPLACE(C170,""(.)"",""$1~""),""~""))))=len(C170)
"),FALSE)</f>
        <v>0</v>
      </c>
      <c r="EV170" s="290" t="b">
        <f>IFERROR(__xludf.DUMMYFUNCTION("arrayformula(sum(--REGEXMATCH(""SRGmPDNS"",split(REGEXREPLACE(C170,""(.)"",""$1~""),""~""))))=len(C170)"),FALSE)</f>
        <v>0</v>
      </c>
      <c r="EW170" s="290" t="b">
        <f>IFERROR(__xludf.DUMMYFUNCTION("arrayformula(sum(--REGEXMATCH(""SRGmPDnS"",split(REGEXREPLACE(C170,""(.)"",""$1~""),""~""))))=len(C170)"),FALSE)</f>
        <v>0</v>
      </c>
      <c r="EX170" s="290" t="b">
        <f>IFERROR(__xludf.DUMMYFUNCTION("arrayformula(sum(--REGEXMATCH(""SRgmPDnS"",split(REGEXREPLACE(C170,""(.)"",""$1~""),""~""))))=len(C170)"),FALSE)</f>
        <v>0</v>
      </c>
      <c r="EY170" s="290" t="b">
        <f>IFERROR(__xludf.DUMMYFUNCTION("arrayformula(sum(--REGEXMATCH(""SRgmPdnS"",split(REGEXREPLACE(C170,""(.)"",""$1~""),""~""))))=len(C170)"),FALSE)</f>
        <v>0</v>
      </c>
      <c r="EZ170" s="290" t="b">
        <f>IFERROR(__xludf.DUMMYFUNCTION("arrayformula(sum(--REGEXMATCH(""SrgmPdnS"",split(REGEXREPLACE(C170,""(.)"",""$1~""),""~""))))=len(C170)"),FALSE)</f>
        <v>0</v>
      </c>
      <c r="FA170" s="290" t="b">
        <f>IFERROR(__xludf.DUMMYFUNCTION("arrayformula(sum(--REGEXMATCH(""SrGmPdNS"",split(REGEXREPLACE(C170,""(.)"",""$1~""),""~""))))=len(C170)"),FALSE)</f>
        <v>0</v>
      </c>
      <c r="FB170" s="290" t="b">
        <f>IFERROR(__xludf.DUMMYFUNCTION("arrayformula(sum(--REGEXMATCH(""SrGMPDNS"",split(REGEXREPLACE(C170,""(.)"",""$1~""),""~""))))=len(C170)"),FALSE)</f>
        <v>0</v>
      </c>
      <c r="FC170" s="290" t="b">
        <f>IFERROR(__xludf.DUMMYFUNCTION("arrayformula(sum(--REGEXMATCH(""SrGMPdNS"",split(REGEXREPLACE(C170,""(.)"",""$1~""),""~""))))=len(C170)"),FALSE)</f>
        <v>0</v>
      </c>
      <c r="FD170" s="377" t="b">
        <f>IFERROR(__xludf.DUMMYFUNCTION("arrayformula(sum(--REGEXMATCH(""SrgMPdNS"",split(REGEXREPLACE(C170,""(.)"",""$1~""),""~""))))=len(C170)"),FALSE)</f>
        <v>0</v>
      </c>
      <c r="FE170" s="269" t="str">
        <f t="shared" si="71"/>
        <v>-</v>
      </c>
      <c r="FF170" s="269" t="str">
        <f t="shared" si="72"/>
        <v>xoxxxxoxoxx</v>
      </c>
      <c r="FG170" s="271" t="str">
        <f t="shared" si="73"/>
        <v>-</v>
      </c>
      <c r="FH170" s="269" t="str">
        <f t="shared" si="74"/>
        <v>xxxxoxoxxox</v>
      </c>
      <c r="FI170" s="271" t="str">
        <f t="shared" si="75"/>
        <v>xxxoxoxxoxo</v>
      </c>
      <c r="FJ170" s="271" t="str">
        <f t="shared" si="76"/>
        <v>xxoxoxxoxox</v>
      </c>
      <c r="FK170" s="271" t="str">
        <f t="shared" si="77"/>
        <v>xoxoxxoxoxx</v>
      </c>
      <c r="FL170" s="271" t="str">
        <f t="shared" si="78"/>
        <v>-</v>
      </c>
      <c r="FM170" s="271" t="str">
        <f t="shared" si="79"/>
        <v>xoxxoxoxxxx</v>
      </c>
      <c r="FN170" s="271" t="str">
        <f t="shared" si="80"/>
        <v>-</v>
      </c>
      <c r="FO170" s="274" t="str">
        <f t="shared" si="81"/>
        <v>xxoxoxxxxox</v>
      </c>
      <c r="FP170" s="234" t="str">
        <f t="shared" si="82"/>
        <v>|</v>
      </c>
      <c r="FQ170" s="236" t="str">
        <f t="shared" si="83"/>
        <v>-</v>
      </c>
      <c r="FR170" s="237" t="str">
        <f t="shared" si="84"/>
        <v>|</v>
      </c>
      <c r="FS170" s="236" t="str">
        <f t="shared" si="85"/>
        <v>-</v>
      </c>
      <c r="FT170" s="237" t="str">
        <f t="shared" si="86"/>
        <v>|</v>
      </c>
      <c r="FU170" s="236" t="str">
        <f t="shared" si="87"/>
        <v>|</v>
      </c>
      <c r="FV170" s="237" t="str">
        <f t="shared" si="88"/>
        <v>|</v>
      </c>
      <c r="FW170" s="236" t="str">
        <f t="shared" si="89"/>
        <v>|</v>
      </c>
      <c r="FX170" s="237" t="str">
        <f t="shared" si="90"/>
        <v>-</v>
      </c>
      <c r="FY170" s="236" t="str">
        <f t="shared" si="91"/>
        <v>|</v>
      </c>
      <c r="FZ170" s="237" t="str">
        <f t="shared" si="92"/>
        <v>-</v>
      </c>
      <c r="GA170" s="236" t="str">
        <f t="shared" si="93"/>
        <v>|</v>
      </c>
      <c r="GB170" s="238" t="str">
        <f t="shared" si="94"/>
        <v>|</v>
      </c>
      <c r="GC170" s="244" t="str">
        <f>IFERROR(__xludf.DUMMYFUNCTION("IF(REGEXMATCH(C170, ""S""), ""1"","""")"),"1")</f>
        <v>1</v>
      </c>
      <c r="GD170" s="245" t="str">
        <f>IFERROR(__xludf.DUMMYFUNCTION("IF(REGEXMATCH(C170, ""r""), ""b2"","""")"),"")</f>
        <v/>
      </c>
      <c r="GE170" s="246" t="str">
        <f>IFERROR(__xludf.DUMMYFUNCTION("IF(REGEXMATCH(C170, ""R""), ""2"","""")"),"2")</f>
        <v>2</v>
      </c>
      <c r="GF170" s="246" t="str">
        <f>IFERROR(__xludf.DUMMYFUNCTION("IF(REGEXMATCH(C170, ""g""), ""b3"","""")"),"")</f>
        <v/>
      </c>
      <c r="GG170" s="245" t="str">
        <f>IFERROR(__xludf.DUMMYFUNCTION("IF(REGEXMATCH(C170, ""G""), ""3"","""")"),"3")</f>
        <v>3</v>
      </c>
      <c r="GH170" s="245" t="str">
        <f>IFERROR(__xludf.DUMMYFUNCTION("IF(REGEXMATCH(C170, ""m""), ""4"","""")"),"4")</f>
        <v>4</v>
      </c>
      <c r="GI170" s="246" t="str">
        <f>IFERROR(__xludf.DUMMYFUNCTION("IF(REGEXMATCH(C170, ""M""), ""#4"","""")"),"#4")</f>
        <v>#4</v>
      </c>
      <c r="GJ170" s="245" t="str">
        <f>IFERROR(__xludf.DUMMYFUNCTION("IF(REGEXMATCH(C170, ""P""), ""5"","""")"),"5")</f>
        <v>5</v>
      </c>
      <c r="GK170" s="246" t="str">
        <f>IFERROR(__xludf.DUMMYFUNCTION("IF(REGEXMATCH(C170, ""d""), ""b6"","""")"),"")</f>
        <v/>
      </c>
      <c r="GL170" s="245" t="str">
        <f>IFERROR(__xludf.DUMMYFUNCTION("IF(REGEXMATCH(C170, ""D""), ""6"","""")"),"6")</f>
        <v>6</v>
      </c>
      <c r="GM170" s="245" t="str">
        <f>IFERROR(__xludf.DUMMYFUNCTION("IF(REGEXMATCH(C170, ""n""), ""b7"","""")"),"")</f>
        <v/>
      </c>
      <c r="GN170" s="246" t="str">
        <f>IFERROR(__xludf.DUMMYFUNCTION("IF(REGEXMATCH(C170, ""N""), ""7"","""")"),"7")</f>
        <v>7</v>
      </c>
      <c r="GO170" s="249" t="str">
        <f>IFERROR(__xludf.DUMMYFUNCTION("IF(REGEXMATCH(C170, ""S""), ""8"","""")"),"8")</f>
        <v>8</v>
      </c>
      <c r="GP170" s="244" t="str">
        <f>IFERROR(__xludf.DUMMYFUNCTION("IF(REGEXMATCH(C170, ""S""), ""S"","""")"),"S")</f>
        <v>S</v>
      </c>
      <c r="GQ170" s="294" t="str">
        <f>IFERROR(__xludf.DUMMYFUNCTION("IF(REGEXMATCH(C170, ""r""), ""R1"","""")"),"")</f>
        <v/>
      </c>
      <c r="GR170" s="295" t="str">
        <f>IFERROR(__xludf.DUMMYFUNCTION("IF(REGEXMATCH(C170, ""R""), ""R2"","""")"),"R2")</f>
        <v>R2</v>
      </c>
      <c r="GS170" s="295" t="str">
        <f>IFERROR(__xludf.DUMMYFUNCTION("IF(REGEXMATCH(C170, ""g""), ""G2"","""")"),"")</f>
        <v/>
      </c>
      <c r="GT170" s="294" t="str">
        <f>IFERROR(__xludf.DUMMYFUNCTION("IF(REGEXMATCH(C170, ""G""), ""G3"","""")"),"G3")</f>
        <v>G3</v>
      </c>
      <c r="GU170" s="294" t="str">
        <f>IFERROR(__xludf.DUMMYFUNCTION("IF(REGEXMATCH(C170, ""m""), ""M1"","""")"),"M1")</f>
        <v>M1</v>
      </c>
      <c r="GV170" s="295" t="str">
        <f>IFERROR(__xludf.DUMMYFUNCTION("IF(REGEXMATCH(C170, ""M""), ""M2"","""")"),"M2")</f>
        <v>M2</v>
      </c>
      <c r="GW170" s="294" t="str">
        <f>IFERROR(__xludf.DUMMYFUNCTION("IF(REGEXMATCH(C170, ""P""), ""P"","""")"),"P")</f>
        <v>P</v>
      </c>
      <c r="GX170" s="295" t="str">
        <f>IFERROR(__xludf.DUMMYFUNCTION("IF(REGEXMATCH(C170, ""d""), ""D1"","""")"),"")</f>
        <v/>
      </c>
      <c r="GY170" s="294" t="str">
        <f>IFERROR(__xludf.DUMMYFUNCTION("IF(REGEXMATCH(C170, ""D""), ""D2"","""")"),"D2")</f>
        <v>D2</v>
      </c>
      <c r="GZ170" s="294" t="str">
        <f>IFERROR(__xludf.DUMMYFUNCTION("IF(REGEXMATCH(C170, ""n""), ""N2"","""")"),"")</f>
        <v/>
      </c>
      <c r="HA170" s="295" t="str">
        <f>IFERROR(__xludf.DUMMYFUNCTION("IF(REGEXMATCH(C170, ""N""), ""N3"","""")"),"N3")</f>
        <v>N3</v>
      </c>
      <c r="HB170" s="249" t="str">
        <f>IFERROR(__xludf.DUMMYFUNCTION("IF(REGEXMATCH(C170, ""S""), ""S"","""")"),"S")</f>
        <v>S</v>
      </c>
      <c r="HC170" s="331" t="str">
        <f t="shared" si="95"/>
        <v>S</v>
      </c>
      <c r="HD170" s="332" t="str">
        <f t="shared" si="96"/>
        <v>r</v>
      </c>
      <c r="HE170" s="332" t="str">
        <f t="shared" si="97"/>
        <v/>
      </c>
      <c r="HF170" s="332" t="str">
        <f t="shared" si="98"/>
        <v>g</v>
      </c>
      <c r="HG170" s="332" t="str">
        <f t="shared" si="99"/>
        <v/>
      </c>
      <c r="HH170" s="332" t="str">
        <f t="shared" si="100"/>
        <v>m</v>
      </c>
      <c r="HI170" s="332" t="str">
        <f t="shared" si="101"/>
        <v>M</v>
      </c>
      <c r="HJ170" s="332" t="str">
        <f t="shared" si="102"/>
        <v>P</v>
      </c>
      <c r="HK170" s="332" t="str">
        <f t="shared" si="103"/>
        <v>d</v>
      </c>
      <c r="HL170" s="332" t="str">
        <f t="shared" si="104"/>
        <v/>
      </c>
      <c r="HM170" s="332" t="str">
        <f t="shared" si="105"/>
        <v>n</v>
      </c>
      <c r="HN170" s="332" t="str">
        <f t="shared" si="106"/>
        <v/>
      </c>
      <c r="HO170" s="343" t="str">
        <f t="shared" si="107"/>
        <v>S</v>
      </c>
      <c r="HP170" s="331" t="str">
        <f t="shared" si="108"/>
        <v>o</v>
      </c>
      <c r="HQ170" s="332" t="str">
        <f t="shared" si="109"/>
        <v>•</v>
      </c>
      <c r="HR170" s="332" t="str">
        <f t="shared" si="110"/>
        <v>o</v>
      </c>
      <c r="HS170" s="332" t="str">
        <f t="shared" si="111"/>
        <v>•</v>
      </c>
      <c r="HT170" s="332" t="str">
        <f t="shared" si="112"/>
        <v>o</v>
      </c>
      <c r="HU170" s="332" t="str">
        <f t="shared" si="113"/>
        <v>o</v>
      </c>
      <c r="HV170" s="332" t="str">
        <f t="shared" si="114"/>
        <v>o</v>
      </c>
      <c r="HW170" s="332" t="str">
        <f t="shared" si="115"/>
        <v>o</v>
      </c>
      <c r="HX170" s="332" t="str">
        <f t="shared" si="116"/>
        <v>•</v>
      </c>
      <c r="HY170" s="332" t="str">
        <f t="shared" si="117"/>
        <v>o</v>
      </c>
      <c r="HZ170" s="332" t="str">
        <f t="shared" si="118"/>
        <v>•</v>
      </c>
      <c r="IA170" s="332" t="str">
        <f t="shared" si="119"/>
        <v>o</v>
      </c>
      <c r="IB170" s="338" t="str">
        <f t="shared" si="120"/>
        <v>o</v>
      </c>
      <c r="IC170" s="331" t="str">
        <f t="shared" si="121"/>
        <v>•</v>
      </c>
      <c r="ID170" s="332" t="str">
        <f t="shared" si="122"/>
        <v>o</v>
      </c>
      <c r="IE170" s="332" t="str">
        <f t="shared" si="123"/>
        <v>•</v>
      </c>
      <c r="IF170" s="332" t="str">
        <f t="shared" si="124"/>
        <v>o</v>
      </c>
      <c r="IG170" s="332" t="str">
        <f t="shared" si="125"/>
        <v>•</v>
      </c>
      <c r="IH170" s="332" t="str">
        <f t="shared" si="126"/>
        <v>•</v>
      </c>
      <c r="II170" s="332" t="str">
        <f t="shared" si="127"/>
        <v>•</v>
      </c>
      <c r="IJ170" s="332" t="str">
        <f t="shared" si="128"/>
        <v>•</v>
      </c>
      <c r="IK170" s="332" t="str">
        <f t="shared" si="129"/>
        <v>o</v>
      </c>
      <c r="IL170" s="332" t="str">
        <f t="shared" si="130"/>
        <v>•</v>
      </c>
      <c r="IM170" s="332" t="str">
        <f t="shared" si="131"/>
        <v>o</v>
      </c>
      <c r="IN170" s="332" t="str">
        <f t="shared" si="132"/>
        <v>•</v>
      </c>
      <c r="IO170" s="338" t="str">
        <f t="shared" si="133"/>
        <v>•</v>
      </c>
      <c r="IP170" s="346" t="b">
        <f t="shared" si="134"/>
        <v>0</v>
      </c>
      <c r="IQ170" s="347" t="b">
        <f t="shared" si="135"/>
        <v>0</v>
      </c>
      <c r="IR170" s="347" t="b">
        <f t="shared" si="136"/>
        <v>0</v>
      </c>
      <c r="IS170" s="347" t="b">
        <f t="shared" si="137"/>
        <v>0</v>
      </c>
      <c r="IT170" s="347" t="b">
        <f t="shared" si="138"/>
        <v>0</v>
      </c>
      <c r="IU170" s="347" t="b">
        <f t="shared" si="139"/>
        <v>0</v>
      </c>
      <c r="IV170" s="347" t="b">
        <f t="shared" si="140"/>
        <v>1</v>
      </c>
      <c r="IW170" s="347" t="b">
        <f t="shared" si="141"/>
        <v>0</v>
      </c>
      <c r="IX170" s="347" t="b">
        <f t="shared" si="142"/>
        <v>0</v>
      </c>
      <c r="IY170" s="347" t="b">
        <f t="shared" si="143"/>
        <v>0</v>
      </c>
      <c r="IZ170" s="347" t="b">
        <f t="shared" si="144"/>
        <v>0</v>
      </c>
      <c r="JA170" s="347" t="b">
        <f t="shared" si="145"/>
        <v>0</v>
      </c>
      <c r="JB170" s="353" t="b">
        <f t="shared" si="146"/>
        <v>0</v>
      </c>
      <c r="JC170" s="354" t="str">
        <f t="shared" si="147"/>
        <v/>
      </c>
      <c r="JD170" s="355" t="str">
        <f t="shared" si="148"/>
        <v/>
      </c>
      <c r="JE170" s="355" t="str">
        <f t="shared" si="149"/>
        <v/>
      </c>
      <c r="JF170" s="355" t="str">
        <f t="shared" si="150"/>
        <v/>
      </c>
      <c r="JG170" s="355" t="str">
        <f t="shared" si="151"/>
        <v/>
      </c>
      <c r="JH170" s="355" t="str">
        <f t="shared" si="152"/>
        <v/>
      </c>
      <c r="JI170" s="355" t="str">
        <f t="shared" si="153"/>
        <v>Ma, </v>
      </c>
      <c r="JJ170" s="355" t="str">
        <f t="shared" si="154"/>
        <v/>
      </c>
      <c r="JK170" s="355" t="str">
        <f t="shared" si="155"/>
        <v/>
      </c>
      <c r="JL170" s="355" t="str">
        <f t="shared" si="156"/>
        <v/>
      </c>
      <c r="JM170" s="355" t="str">
        <f t="shared" si="157"/>
        <v/>
      </c>
      <c r="JN170" s="355" t="str">
        <f t="shared" si="158"/>
        <v/>
      </c>
      <c r="JO170" s="359" t="str">
        <f t="shared" si="159"/>
        <v/>
      </c>
      <c r="JP170" s="346" t="b">
        <f t="shared" si="160"/>
        <v>0</v>
      </c>
      <c r="JQ170" s="347" t="b">
        <f t="shared" si="161"/>
        <v>0</v>
      </c>
      <c r="JR170" s="347" t="b">
        <f t="shared" si="162"/>
        <v>0</v>
      </c>
      <c r="JS170" s="347" t="b">
        <f t="shared" si="163"/>
        <v>0</v>
      </c>
      <c r="JT170" s="347" t="b">
        <f t="shared" si="164"/>
        <v>0</v>
      </c>
      <c r="JU170" s="347" t="b">
        <f t="shared" si="165"/>
        <v>0</v>
      </c>
      <c r="JV170" s="347" t="b">
        <f t="shared" si="166"/>
        <v>0</v>
      </c>
      <c r="JW170" s="347" t="b">
        <f t="shared" si="167"/>
        <v>0</v>
      </c>
      <c r="JX170" s="347" t="b">
        <f t="shared" si="168"/>
        <v>0</v>
      </c>
      <c r="JY170" s="347" t="b">
        <f t="shared" si="169"/>
        <v>0</v>
      </c>
      <c r="JZ170" s="347" t="b">
        <f t="shared" si="170"/>
        <v>0</v>
      </c>
      <c r="KA170" s="347" t="b">
        <f t="shared" si="171"/>
        <v>0</v>
      </c>
      <c r="KB170" s="365" t="b">
        <f t="shared" si="172"/>
        <v>0</v>
      </c>
      <c r="KC170" s="354" t="str">
        <f t="shared" si="173"/>
        <v/>
      </c>
      <c r="KD170" s="355" t="str">
        <f t="shared" si="174"/>
        <v/>
      </c>
      <c r="KE170" s="355" t="str">
        <f t="shared" si="175"/>
        <v/>
      </c>
      <c r="KF170" s="355" t="str">
        <f t="shared" si="176"/>
        <v/>
      </c>
      <c r="KG170" s="355" t="str">
        <f t="shared" si="177"/>
        <v/>
      </c>
      <c r="KH170" s="355" t="str">
        <f t="shared" si="178"/>
        <v/>
      </c>
      <c r="KI170" s="355" t="str">
        <f t="shared" si="179"/>
        <v/>
      </c>
      <c r="KJ170" s="355" t="str">
        <f t="shared" si="180"/>
        <v/>
      </c>
      <c r="KK170" s="355" t="str">
        <f t="shared" si="181"/>
        <v/>
      </c>
      <c r="KL170" s="355" t="str">
        <f t="shared" si="182"/>
        <v/>
      </c>
      <c r="KM170" s="355" t="str">
        <f t="shared" si="183"/>
        <v/>
      </c>
      <c r="KN170" s="355" t="str">
        <f t="shared" si="184"/>
        <v/>
      </c>
      <c r="KO170" s="359"/>
      <c r="KP170" s="378"/>
      <c r="KQ170" s="379" t="s">
        <v>554</v>
      </c>
      <c r="KR170" s="380" t="s">
        <v>1353</v>
      </c>
      <c r="KS170" s="381" t="str">
        <f t="shared" si="545"/>
        <v>S-R-G-m-P-D-N-S</v>
      </c>
      <c r="KT170" s="382">
        <f t="shared" si="186"/>
        <v>7</v>
      </c>
      <c r="KU170" s="383">
        <f t="shared" si="187"/>
        <v>7</v>
      </c>
      <c r="KV170" s="381" t="str">
        <f t="shared" si="205"/>
        <v>S-N-D-P-Mm-G-R-S</v>
      </c>
      <c r="KW170" s="382">
        <f t="shared" si="189"/>
        <v>7</v>
      </c>
      <c r="KX170" s="384">
        <f t="shared" si="190"/>
        <v>8</v>
      </c>
      <c r="KY170" s="382">
        <f t="shared" ref="KY170:KZ170" si="552">KW170-KT170</f>
        <v>0</v>
      </c>
      <c r="KZ170" s="369">
        <f t="shared" si="552"/>
        <v>1</v>
      </c>
      <c r="LA170" s="385" t="str">
        <f t="shared" si="192"/>
        <v>-</v>
      </c>
      <c r="LB170" s="340" t="str">
        <f>IFERROR(__xludf.DUMMYFUNCTION("JOIN("""",ArrayFormula(MID(KS170,LEN(KS170)-SEQUENCE(1,LEN(KS170))+1,1)))"),"S-N-D-P-m-G-R-S")</f>
        <v>S-N-D-P-m-G-R-S</v>
      </c>
      <c r="LC170" s="373" t="str">
        <f>IFERROR(__xludf.DUMMYFUNCTION("JOIN("""",ArrayFormula(MID(KV170,LEN(KV170)-SEQUENCE(1,LEN(KV170))+1,1)))"),"S-R-G-mM-P-D-N-S")</f>
        <v>S-R-G-mM-P-D-N-S</v>
      </c>
      <c r="LD170" s="373" t="str">
        <f t="shared" si="193"/>
        <v>SRGmPDNS</v>
      </c>
      <c r="LE170" s="339" t="str">
        <f t="shared" si="194"/>
        <v>SRGmMPDNS</v>
      </c>
      <c r="LF170" s="386" t="str">
        <f>IFERROR(__xludf.DUMMYFUNCTION("SUBSTITUTE(SUBSTITUTE(CONCATENATE(JOIN("""",LH170:LT170)),""1"",""""),""2"","""")"),"SRGmMPDNS")</f>
        <v>SRGmMPDNS</v>
      </c>
      <c r="LG170" s="369" t="str">
        <f t="shared" si="195"/>
        <v>✔</v>
      </c>
      <c r="LH170" s="387" t="str">
        <f>IFERROR(__xludf.DUMMYFUNCTION("IF(REGEXMATCH(LD170, ""S""), ""S"",IF(REGEXMATCH(LE170, ""S""), ""S"",""""))"),"S")</f>
        <v>S</v>
      </c>
      <c r="LI170" s="299" t="str">
        <f>IFERROR(__xludf.DUMMYFUNCTION("IF(REGEXMATCH(LD170, ""r""), ""r1"",IF(REGEXMATCH(LE170, ""r""), ""r2"",""""))"),"")</f>
        <v/>
      </c>
      <c r="LJ170" s="299" t="str">
        <f>IFERROR(__xludf.DUMMYFUNCTION("IF(REGEXMATCH(LD170, ""R""), ""R1"",IF(REGEXMATCH(LE170, ""R""), ""R2"",""""))"),"R1")</f>
        <v>R1</v>
      </c>
      <c r="LK170" s="299" t="str">
        <f>IFERROR(__xludf.DUMMYFUNCTION("IF(REGEXMATCH(LD170, ""g""), ""g1"",IF(REGEXMATCH(LE170, ""g""), ""g2"",""""))"),"")</f>
        <v/>
      </c>
      <c r="LL170" s="299" t="str">
        <f>IFERROR(__xludf.DUMMYFUNCTION("IF(REGEXMATCH(LD170, ""G""), ""G1"",IF(REGEXMATCH(LE170, ""G""), ""G2"",""""))"),"G1")</f>
        <v>G1</v>
      </c>
      <c r="LM170" s="299" t="str">
        <f>IFERROR(__xludf.DUMMYFUNCTION("IF(REGEXMATCH(LD170, ""m""), ""m1"",IF(REGEXMATCH(LE170, ""m""), ""m2"",""""))"),"m1")</f>
        <v>m1</v>
      </c>
      <c r="LN170" s="299" t="str">
        <f>IFERROR(__xludf.DUMMYFUNCTION("IF(REGEXMATCH(LD170, ""M""), ""M1"",IF(REGEXMATCH(LE170, ""M""), ""M2"",""""))"),"M2")</f>
        <v>M2</v>
      </c>
      <c r="LO170" s="299" t="str">
        <f>IFERROR(__xludf.DUMMYFUNCTION("IF(REGEXMATCH(LD170, ""P""), ""P1"",IF(REGEXMATCH(LE170, ""P""), ""P2"",""""))"),"P1")</f>
        <v>P1</v>
      </c>
      <c r="LP170" s="299" t="str">
        <f>IFERROR(__xludf.DUMMYFUNCTION("IF(REGEXMATCH(LD170, ""d""), ""d1"",IF(REGEXMATCH(LE170, ""d""), ""d2"",""""))"),"")</f>
        <v/>
      </c>
      <c r="LQ170" s="299" t="str">
        <f>IFERROR(__xludf.DUMMYFUNCTION("IF(REGEXMATCH(LD170, ""D""), ""D1"",IF(REGEXMATCH(LE170, ""D""), ""D2"",""""))"),"D1")</f>
        <v>D1</v>
      </c>
      <c r="LR170" s="299" t="str">
        <f>IFERROR(__xludf.DUMMYFUNCTION("IF(REGEXMATCH(LD170, ""n""), ""n1"",IF(REGEXMATCH(LE170, ""n""), ""n2"",""""))"),"")</f>
        <v/>
      </c>
      <c r="LS170" s="299" t="str">
        <f>IFERROR(__xludf.DUMMYFUNCTION("IF(REGEXMATCH(LD170, ""N""), ""N1"",IF(REGEXMATCH(LE170, ""N""), ""N2"",""""))"),"N1")</f>
        <v>N1</v>
      </c>
      <c r="LT170" s="388" t="str">
        <f>IFERROR(__xludf.DUMMYFUNCTION("IF(REGEXMATCH(LD170, ""S""), ""S"",IF(REGEXMATCH(LE170, ""S""), ""S"",""""))"),"S")</f>
        <v>S</v>
      </c>
      <c r="LU170" s="389">
        <f t="shared" si="196"/>
        <v>0</v>
      </c>
      <c r="LV170" s="378"/>
      <c r="LW170" s="369"/>
      <c r="LX170" s="369"/>
    </row>
    <row r="171" ht="18.0" customHeight="1">
      <c r="A171" s="298" t="s">
        <v>1425</v>
      </c>
      <c r="B171" s="222" t="s">
        <v>1426</v>
      </c>
      <c r="C171" s="233" t="str">
        <f t="shared" si="7"/>
        <v>SrRmPdDS</v>
      </c>
      <c r="D171" s="234" t="str">
        <f>IFERROR(__xludf.DUMMYFUNCTION("IF(REGEXMATCH(C171, ""S""), ""S"","""")"),"S")</f>
        <v>S</v>
      </c>
      <c r="E171" s="236" t="str">
        <f>IFERROR(__xludf.DUMMYFUNCTION("IF(REGEXMATCH(C171, ""r""), ""r"","""")"),"r")</f>
        <v>r</v>
      </c>
      <c r="F171" s="237" t="str">
        <f>IFERROR(__xludf.DUMMYFUNCTION("IF(REGEXMATCH(C171, ""R""), ""R"","""")"),"R")</f>
        <v>R</v>
      </c>
      <c r="G171" s="237" t="str">
        <f>IFERROR(__xludf.DUMMYFUNCTION("IF(REGEXMATCH(C171, ""g""), ""g"","""")"),"")</f>
        <v/>
      </c>
      <c r="H171" s="236" t="str">
        <f>IFERROR(__xludf.DUMMYFUNCTION("IF(REGEXMATCH(C171, ""G""), ""G"","""")"),"")</f>
        <v/>
      </c>
      <c r="I171" s="236" t="str">
        <f>IFERROR(__xludf.DUMMYFUNCTION("IF(REGEXMATCH(C171, ""m""), ""m"","""")"),"m")</f>
        <v>m</v>
      </c>
      <c r="J171" s="237" t="str">
        <f>IFERROR(__xludf.DUMMYFUNCTION("IF(REGEXMATCH(C171, ""M""), ""M"","""")"),"")</f>
        <v/>
      </c>
      <c r="K171" s="236" t="str">
        <f>IFERROR(__xludf.DUMMYFUNCTION("IF(REGEXMATCH(C171, ""P""), ""P"","""")"),"P")</f>
        <v>P</v>
      </c>
      <c r="L171" s="237" t="str">
        <f>IFERROR(__xludf.DUMMYFUNCTION("IF(REGEXMATCH(C171, ""d""), ""d"","""")"),"d")</f>
        <v>d</v>
      </c>
      <c r="M171" s="236" t="str">
        <f>IFERROR(__xludf.DUMMYFUNCTION("IF(REGEXMATCH(C171, ""D""), ""D"","""")"),"D")</f>
        <v>D</v>
      </c>
      <c r="N171" s="236" t="str">
        <f>IFERROR(__xludf.DUMMYFUNCTION("IF(REGEXMATCH(C171, ""n""), ""n"","""")"),"")</f>
        <v/>
      </c>
      <c r="O171" s="237" t="str">
        <f>IFERROR(__xludf.DUMMYFUNCTION("IF(REGEXMATCH(C171, ""N""), ""N"","""")"),"")</f>
        <v/>
      </c>
      <c r="P171" s="238" t="str">
        <f>IFERROR(__xludf.DUMMYFUNCTION("IF(REGEXMATCH(C171, ""S""), ""S"","""")"),"S")</f>
        <v>S</v>
      </c>
      <c r="Q171" s="239" t="str">
        <f>IFERROR(__xludf.DUMMYFUNCTION("SUBSTITUTE(CONCATENATE(JOIN(""-"",D171:J171)),""-"","""")"),"SrRm")</f>
        <v>SrRm</v>
      </c>
      <c r="R171" s="229" t="str">
        <f>IFERROR(__xludf.DUMMYFUNCTION("SUBSTITUTE(CONCATENATE(JOIN(""-"",K171:P171)),""-"","""")"),"PdDS")</f>
        <v>PdDS</v>
      </c>
      <c r="S171" s="282" t="str">
        <f t="shared" si="8"/>
        <v>S-R-M</v>
      </c>
      <c r="T171" s="282" t="str">
        <f t="shared" si="9"/>
        <v>P-D-S</v>
      </c>
      <c r="U171" s="237" t="str">
        <f>IFERROR(__xludf.DUMMYFUNCTION("SUBSTITUTE(JOIN(""-"",S171,T171),""--"",""-"")"),"S-R-M-P-D-S")</f>
        <v>S-R-M-P-D-S</v>
      </c>
      <c r="V171" s="309" t="str">
        <f t="shared" si="10"/>
        <v>rRmdD</v>
      </c>
      <c r="W171" s="244" t="str">
        <f>IFERROR(__xludf.DUMMYFUNCTION("IF(REGEXMATCH(C171, ""S""), ""0"","""")"),"0")</f>
        <v>0</v>
      </c>
      <c r="X171" s="245" t="str">
        <f>IFERROR(__xludf.DUMMYFUNCTION("IF(REGEXMATCH(C171, ""r""), ""1"","""")"),"1")</f>
        <v>1</v>
      </c>
      <c r="Y171" s="246" t="str">
        <f>IFERROR(__xludf.DUMMYFUNCTION("IF(REGEXMATCH(C171, ""R""), ""2"","""")"),"2")</f>
        <v>2</v>
      </c>
      <c r="Z171" s="246" t="str">
        <f>IFERROR(__xludf.DUMMYFUNCTION("IF(REGEXMATCH(C171, ""g""), ""3"","""")"),"")</f>
        <v/>
      </c>
      <c r="AA171" s="245" t="str">
        <f>IFERROR(__xludf.DUMMYFUNCTION("IF(REGEXMATCH(C171, ""G""), ""4"","""")"),"")</f>
        <v/>
      </c>
      <c r="AB171" s="245" t="str">
        <f>IFERROR(__xludf.DUMMYFUNCTION("IF(REGEXMATCH(C171, ""m""), ""5"","""")"),"5")</f>
        <v>5</v>
      </c>
      <c r="AC171" s="246" t="str">
        <f>IFERROR(__xludf.DUMMYFUNCTION("IF(REGEXMATCH(C171, ""M""), ""6"","""")"),"")</f>
        <v/>
      </c>
      <c r="AD171" s="245" t="str">
        <f>IFERROR(__xludf.DUMMYFUNCTION("IF(REGEXMATCH(C171, ""P""), ""7"","""")"),"7")</f>
        <v>7</v>
      </c>
      <c r="AE171" s="246" t="str">
        <f>IFERROR(__xludf.DUMMYFUNCTION("IF(REGEXMATCH(C171, ""d""), ""8"","""")"),"8")</f>
        <v>8</v>
      </c>
      <c r="AF171" s="245" t="str">
        <f>IFERROR(__xludf.DUMMYFUNCTION("IF(REGEXMATCH(C171, ""D""), ""9"","""")"),"9")</f>
        <v>9</v>
      </c>
      <c r="AG171" s="245" t="str">
        <f>IFERROR(__xludf.DUMMYFUNCTION("IF(REGEXMATCH(C171, ""n""), ""10"","""")"),"")</f>
        <v/>
      </c>
      <c r="AH171" s="246" t="str">
        <f>IFERROR(__xludf.DUMMYFUNCTION("IF(REGEXMATCH(C171, ""N""), ""11"","""")"),"")</f>
        <v/>
      </c>
      <c r="AI171" s="249" t="str">
        <f>IFERROR(__xludf.DUMMYFUNCTION("IF(REGEXMATCH(C171, ""S""), ""0"","""")"),"0")</f>
        <v>0</v>
      </c>
      <c r="AJ171" s="313" t="str">
        <f t="shared" si="11"/>
        <v>-</v>
      </c>
      <c r="AK171" s="313" t="str">
        <f t="shared" si="12"/>
        <v>T</v>
      </c>
      <c r="AL171" s="313" t="str">
        <f t="shared" si="13"/>
        <v>T</v>
      </c>
      <c r="AM171" s="313" t="str">
        <f t="shared" si="14"/>
        <v>-</v>
      </c>
      <c r="AN171" s="313" t="str">
        <f t="shared" si="15"/>
        <v>-</v>
      </c>
      <c r="AO171" s="314" t="str">
        <f t="shared" si="16"/>
        <v>-</v>
      </c>
      <c r="AP171" s="316">
        <f t="shared" si="17"/>
        <v>2</v>
      </c>
      <c r="AQ171" s="319" t="str">
        <f t="shared" si="18"/>
        <v>-</v>
      </c>
      <c r="AR171" s="320">
        <f t="shared" si="19"/>
        <v>0</v>
      </c>
      <c r="AS171" s="250" t="str">
        <f>IFERROR(__xludf.DUMMYFUNCTION("SUBSTITUTE(SUBSTITUTE(CONCATENATE(JOIN("""",FP171:GA171)),""|"",""x""),""-"",""o"")"),"xxxooxoxxxoo")</f>
        <v>xxxooxoxxxoo</v>
      </c>
      <c r="AT171" s="323" t="str">
        <f>IFERROR(__xludf.DUMMYFUNCTION("JOIN("""",AS171,AS171)"),"xxxooxoxxxooxxxooxoxxxoo")</f>
        <v>xxxooxoxxxooxxxooxoxxxoo</v>
      </c>
      <c r="AU171" s="256" t="str">
        <f>IFERROR(__xludf.DUMMYFUNCTION("JOIN("""",ArrayFormula(MID(AS171,LEN(AS171)-SEQUENCE(1,LEN(AS171))+1,1)))"),"ooxxxoxooxxx")</f>
        <v>ooxxxoxooxxx</v>
      </c>
      <c r="AV171" s="256" t="str">
        <f>IFERROR(__xludf.DUMMYFUNCTION("LEFT(CONCATENATE(""x"",JOIN("""",ArrayFormula(MID(AS171,LEN(AS171)-SEQUENCE(1,LEN(AS171))+1,1)))),12)"),"xooxxxoxooxx")</f>
        <v>xooxxxoxooxx</v>
      </c>
      <c r="AW171" s="327" t="str">
        <f>IFERROR(__xludf.DUMMYFUNCTION("JOIN("""",AU171,AU171)"),"ooxxxoxooxxxooxxxoxooxxx")</f>
        <v>ooxxxoxooxxxooxxxoxooxxx</v>
      </c>
      <c r="AX171" s="239" t="str">
        <f>IFERROR(__xludf.DUMMYFUNCTION("IF(REGEXMATCH(AW171,AS171),""✔"",""-"")"),"-")</f>
        <v>-</v>
      </c>
      <c r="AY171" s="330" t="str">
        <f t="shared" si="20"/>
        <v>-</v>
      </c>
      <c r="AZ171" s="260" t="str">
        <f t="shared" si="21"/>
        <v>#REF!</v>
      </c>
      <c r="BA171" s="333" t="str">
        <f t="shared" si="22"/>
        <v>xxxooxo</v>
      </c>
      <c r="BB171" s="334" t="str">
        <f t="shared" si="23"/>
        <v>xxxoox</v>
      </c>
      <c r="BC171" s="335" t="str">
        <f t="shared" si="236"/>
        <v>✔</v>
      </c>
      <c r="BD171" s="336" t="str">
        <f t="shared" si="25"/>
        <v>Kanakangi: 'xxxooxo' + 'xxxoox'</v>
      </c>
      <c r="BE171" s="337">
        <f>IFERROR(__xludf.DUMMYFUNCTION("COUNTUNIQUE(FILTER(AT:AT,REGEXMATCH(AT:AT,AS171)))-1"),5.0)</f>
        <v>5</v>
      </c>
      <c r="BF171" s="261" t="str">
        <f>IFERROR(__xludf.DUMMYFUNCTION("IF(BI171=0,""(n/a)"",IF(BJ171=2,""(PAIR)"",IF(REGEXMATCH(AT171,""xoxoxxoxoxox""),""Bilawal"",IF(REGEXMATCH(AT171,""xoxoxooxoxoo""),""Bhupali"",IF(REGEXMATCH(AT171,""xoxoxxoxxoxo""),""Charukeshi"",IF(REGEXMATCH(AT171,""xoxoooxxoxxo""),""Kameshwari"",IF(REG"&amp;"EXMATCH(AT171,""xoxoxooxoxox""),""Shankara"",IF(REGEXMATCH(AT171,""xxooxoxxxoox""),""Basant"",IF(REGEXMATCH(AT171,""xoxoxxxxoxox""),""Bihag"",IF(REGEXMATCH(AT171,""xoxxxxoxoxxx""),""Pilu"",IF(REGEXMATCH(AT171,""xoxxoxoxxoox""),""Kirwani"",IF(REGEXMATCH(AT"&amp;"171,""xoxxoxoxoxxx""),""Mk.Malhar"",IF(REGEXMATCH(AT171,""xxooxxoxxoox""),""Bhairav"",IF(REGEXMATCH(AT171,""xxoxooxxxoox""),""Todi"",IF(REGEXMATCH(AT171,""xxooxoxooxox""),""Marwa"",IF(REGEXMATCH(AT171,""xxoooxoxxooo""),""Gunkali"",IF(REGEXMATCH(AT171,""xo"&amp;"xoxxoxxoox""),""Nat Bhairav"",IF(REGEXMATCH(AT171,""xoxxoooxoxoo""),""Shivranjani"",IF(REGEXMATCH(AT171,""xooxxxoxooxo""),""Jog"",IF(REGEXMATCH(AT171,""xxooxoxoxoox""),""Hemshri"",IF(REGEXMATCH(AT171,""xoooxooxoxxo""),""Kalavati"",IF(REGEXMATCH(AT171,""xx"&amp;"oxoxxoxoox""),""Kedar"",IF(REGEXMATCH(AT171,""xoxxxxoxooxx""),""Gara"",IF(REGEXMATCH(AT171,""xooxoxooxoox""),""Chandrakauns"",IF(REGEXMATCH(AT171,""xoxxxxoxxxox""),""Mand"",IF(REGEXMATCH(AT171,""xoxxxxoxoxox""),""Hanskinkini"",IF(REGEXMATCH(AT171,""xxooxx"&amp;"oxooxo""),""Lilavati"",IF(REGEXMATCH(AT171,""xooxoxoooxox""),""Rajeshwari"",IF(REGEXMATCH(AT171,""xoooxxoxoxxx""),""Khokar"",IF(REGEXMATCH(AT171,""xxooxoxxxxox""),""Maligoura"",""-""))))))))))))))))))))))))))))))"),"Basant")</f>
        <v>Basant</v>
      </c>
      <c r="BG171" s="239" t="str">
        <f t="shared" si="26"/>
        <v>#REF!</v>
      </c>
      <c r="BH171" s="239">
        <f>IFERROR(__xludf.DUMMYFUNCTION("COUNTUNIQUE(FE171:FO171)-1"),6.0)</f>
        <v>6</v>
      </c>
      <c r="BI171" s="239">
        <f>IFERROR(__xludf.DUMMYFUNCTION("COUNTUNIQUE(FILTER(AT:AT,REGEXMATCH(AT:AT,AS171)))-1"),5.0)</f>
        <v>5</v>
      </c>
      <c r="BJ171" s="239">
        <f>IFERROR(__xludf.DUMMYFUNCTION("COUNTA(FILTER(AT:AT,REGEXMATCH(AT:AT,AS171)))"),12.0)</f>
        <v>12</v>
      </c>
      <c r="BK171" s="341">
        <f>IFERROR(__xludf.DUMMYFUNCTION("COUNTA(FILTER(AT:AT,REGEXMATCH(AT:AT,AS171)))-AR171"),12.0)</f>
        <v>12</v>
      </c>
      <c r="BL171" s="276" t="str">
        <f>IFERROR(__xludf.DUMMYFUNCTION("IF(AS171=""oooooooooooo"",""-"",IF(REGEXMATCH(AT171,""xx""), ""Hemi."", ""Anhemi.""))"),"Hemi.")</f>
        <v>Hemi.</v>
      </c>
      <c r="BM171" s="282" t="str">
        <f>IFERROR(__xludf.DUMMYFUNCTION("IF(AS171=""oooooooooooo"",""-"",IF(REGEXMATCH(AT171,""xxx""), ""Cohem."", ""-""))"),"Cohem.")</f>
        <v>Cohem.</v>
      </c>
      <c r="BN171" s="282" t="str">
        <f>IFERROR(__xludf.DUMMYFUNCTION("IF(AS171=""oooooooooooo"",""-"",IF(REGEXMATCH(AT171,""xxxx""), ""Co-Co."", ""-""))"),"-")</f>
        <v>-</v>
      </c>
      <c r="BO171" s="342" t="str">
        <f>IFERROR(__xludf.DUMMYFUNCTION("IF(AS171=""oooooooooooo"",""-"",IF(REGEXMATCH(AT171,""xxxxx""), ""CCC."", ""-""))"),"-")</f>
        <v>-</v>
      </c>
      <c r="BP171" s="344" t="str">
        <f t="shared" si="27"/>
        <v>-</v>
      </c>
      <c r="BQ171" s="282" t="str">
        <f>IFERROR(__xludf.DUMMYFUNCTION("IF(REGEXMATCH(JOIN(""-"",EU171:FD171),""TRUE""),""✔"",""-"")"),"-")</f>
        <v>-</v>
      </c>
      <c r="BR171" s="225">
        <f t="shared" si="28"/>
        <v>0</v>
      </c>
      <c r="BS171" s="345" t="str">
        <f>IFERROR(__xludf.DUMMYFUNCTION("SUBSTITUTE(SUBSTITUTE(SUBSTITUTE(SUBSTITUTE(CONCATENATE(JOIN(""-"",GC171:GO171)),""--"",""-""),""--"",""-""),""--"",""-""),""--"",""-"")"),"1-b2-2-4-5-b6-6-8")</f>
        <v>1-b2-2-4-5-b6-6-8</v>
      </c>
      <c r="BT171" s="299" t="str">
        <f>IFERROR(__xludf.DUMMYFUNCTION("SUBSTITUTE(SUBSTITUTE(SUBSTITUTE(SUBSTITUTE(CONCATENATE(JOIN(""-"",GP171:HB171)),""--"",""-""),""--"",""-""),""--"",""-""),""--"",""-"")"),"S-R1-R2-M1-P-D1-D2-S")</f>
        <v>S-R1-R2-M1-P-D1-D2-S</v>
      </c>
      <c r="BU171" s="348" t="str">
        <f t="shared" si="29"/>
        <v>C-Db-D-F-G-Ab-A-C</v>
      </c>
      <c r="BV171" s="349" t="str">
        <f t="shared" si="30"/>
        <v>SgGMnNS</v>
      </c>
      <c r="BW171" s="350">
        <f t="shared" si="31"/>
        <v>0</v>
      </c>
      <c r="BX171" s="351">
        <f t="shared" si="32"/>
        <v>1</v>
      </c>
      <c r="BY171" s="352" t="s">
        <v>275</v>
      </c>
      <c r="BZ171" s="309" t="str">
        <f>IFERROR(__xludf.DUMMYFUNCTION("IF(REGEXMATCH(C171, ""S""), ""x"",""x"")"),"x")</f>
        <v>x</v>
      </c>
      <c r="CA171" s="245" t="str">
        <f>IFERROR(__xludf.DUMMYFUNCTION("IF(REGEXMATCH(C171, ""r""), ""o"",""x"")"),"o")</f>
        <v>o</v>
      </c>
      <c r="CB171" s="246" t="str">
        <f>IFERROR(__xludf.DUMMYFUNCTION("IF(REGEXMATCH(C171, ""R""), ""o"",""x"")"),"o")</f>
        <v>o</v>
      </c>
      <c r="CC171" s="246" t="str">
        <f>IFERROR(__xludf.DUMMYFUNCTION("IF(REGEXMATCH(C171, ""g""), ""o"",""x"")"),"x")</f>
        <v>x</v>
      </c>
      <c r="CD171" s="245" t="str">
        <f>IFERROR(__xludf.DUMMYFUNCTION("IF(REGEXMATCH(C171, ""G""), ""o"",""x"")"),"x")</f>
        <v>x</v>
      </c>
      <c r="CE171" s="245" t="str">
        <f>IFERROR(__xludf.DUMMYFUNCTION("IF(REGEXMATCH(C171, ""m""), ""o"",""x"")"),"o")</f>
        <v>o</v>
      </c>
      <c r="CF171" s="246" t="str">
        <f>IFERROR(__xludf.DUMMYFUNCTION("IF(REGEXMATCH(C171, ""M""), ""o"",""x"")"),"x")</f>
        <v>x</v>
      </c>
      <c r="CG171" s="245" t="str">
        <f>IFERROR(__xludf.DUMMYFUNCTION("IF(REGEXMATCH(C171, ""P""), ""o"",""x"")"),"o")</f>
        <v>o</v>
      </c>
      <c r="CH171" s="246" t="str">
        <f>IFERROR(__xludf.DUMMYFUNCTION("IF(REGEXMATCH(C171, ""d""), ""o"",""x"")"),"o")</f>
        <v>o</v>
      </c>
      <c r="CI171" s="245" t="str">
        <f>IFERROR(__xludf.DUMMYFUNCTION("IF(REGEXMATCH(C171, ""D""), ""o"",""x"")"),"o")</f>
        <v>o</v>
      </c>
      <c r="CJ171" s="245" t="str">
        <f>IFERROR(__xludf.DUMMYFUNCTION("IF(REGEXMATCH(C171, ""n""), ""o"",""x"")"),"x")</f>
        <v>x</v>
      </c>
      <c r="CK171" s="245" t="str">
        <f>IFERROR(__xludf.DUMMYFUNCTION("IF(REGEXMATCH(C171, ""N""), ""o"",""x"")"),"x")</f>
        <v>x</v>
      </c>
      <c r="CL171" s="356" t="str">
        <f>IFERROR(__xludf.DUMMYFUNCTION("IF(REGEXMATCH(C171, ""S""), ""x"",""x"")"),"x")</f>
        <v>x</v>
      </c>
      <c r="CM171" s="357" t="str">
        <f t="shared" si="33"/>
        <v>xooxxoxoooxx</v>
      </c>
      <c r="CN171" s="358">
        <f t="shared" si="34"/>
        <v>0</v>
      </c>
      <c r="CO171" s="246" t="str">
        <f>IFERROR(__xludf.DUMMYFUNCTION("IF(REGEXMATCH($C171, ""S""), ""S"",""S"")"),"S")</f>
        <v>S</v>
      </c>
      <c r="CP171" s="246" t="str">
        <f>IFERROR(__xludf.DUMMYFUNCTION("IF(REGEXMATCH($C171, ""r""), """",""r"")"),"")</f>
        <v/>
      </c>
      <c r="CQ171" s="246" t="str">
        <f>IFERROR(__xludf.DUMMYFUNCTION("IF(REGEXMATCH($C171, ""R""), """",""R"")"),"")</f>
        <v/>
      </c>
      <c r="CR171" s="246" t="str">
        <f>IFERROR(__xludf.DUMMYFUNCTION("IF(REGEXMATCH($C171, ""g""), """",""g"")"),"g")</f>
        <v>g</v>
      </c>
      <c r="CS171" s="246" t="str">
        <f>IFERROR(__xludf.DUMMYFUNCTION("IF(REGEXMATCH($C171, ""G""), """",""G"")"),"G")</f>
        <v>G</v>
      </c>
      <c r="CT171" s="246" t="str">
        <f>IFERROR(__xludf.DUMMYFUNCTION("IF(REGEXMATCH($C171, ""m""), """",""m"")"),"")</f>
        <v/>
      </c>
      <c r="CU171" s="246" t="str">
        <f>IFERROR(__xludf.DUMMYFUNCTION("IF(REGEXMATCH($C171, ""M""), """",""M"")"),"M")</f>
        <v>M</v>
      </c>
      <c r="CV171" s="246" t="str">
        <f>IFERROR(__xludf.DUMMYFUNCTION("IF(REGEXMATCH($C171, ""P""), """",""P"")"),"")</f>
        <v/>
      </c>
      <c r="CW171" s="246" t="str">
        <f>IFERROR(__xludf.DUMMYFUNCTION("IF(REGEXMATCH($C171, ""d""), """",""d"")"),"")</f>
        <v/>
      </c>
      <c r="CX171" s="246" t="str">
        <f>IFERROR(__xludf.DUMMYFUNCTION("IF(REGEXMATCH($C171, ""D""), """",""D"")"),"")</f>
        <v/>
      </c>
      <c r="CY171" s="246" t="str">
        <f>IFERROR(__xludf.DUMMYFUNCTION("IF(REGEXMATCH($C171, ""n""), """",""n"")"),"n")</f>
        <v>n</v>
      </c>
      <c r="CZ171" s="246" t="str">
        <f>IFERROR(__xludf.DUMMYFUNCTION("IF(REGEXMATCH($C171, ""N""), """",""N"")"),"N")</f>
        <v>N</v>
      </c>
      <c r="DA171" s="246" t="str">
        <f>IFERROR(__xludf.DUMMYFUNCTION("IF(REGEXMATCH($C171, ""S""), ""S"",""S"")"),"S")</f>
        <v>S</v>
      </c>
      <c r="DB171" s="362" t="str">
        <f>IFERROR(__xludf.DUMMYFUNCTION("JOIN("""",CO171:DA171,"""","""")"),"SgGMnNS")</f>
        <v>SgGMnNS</v>
      </c>
      <c r="DC171" s="363"/>
      <c r="DD171" s="301" t="str">
        <f t="shared" si="35"/>
        <v>#REF!</v>
      </c>
      <c r="DE171" s="302" t="str">
        <f t="shared" si="36"/>
        <v>#REF!</v>
      </c>
      <c r="DF171" s="301" t="str">
        <f t="shared" ref="DF171:DG171" si="553">SUBSTITUTE(S171,"-","")</f>
        <v>SRM</v>
      </c>
      <c r="DG171" s="301" t="str">
        <f t="shared" si="553"/>
        <v>PDS</v>
      </c>
      <c r="DH171" s="302" t="str">
        <f t="shared" si="38"/>
        <v>Basant</v>
      </c>
      <c r="DI171" s="301" t="str">
        <f t="shared" si="39"/>
        <v>Hemi.</v>
      </c>
      <c r="DJ171" s="364" t="str">
        <f t="shared" si="40"/>
        <v>Cohem.</v>
      </c>
      <c r="DK171" s="306" t="str">
        <f t="shared" si="41"/>
        <v>-</v>
      </c>
      <c r="DL171" s="366" t="str">
        <f t="shared" si="42"/>
        <v>-</v>
      </c>
      <c r="DM171" s="308" t="str">
        <f t="shared" si="43"/>
        <v>✔</v>
      </c>
      <c r="DN171" s="306" t="str">
        <f t="shared" si="44"/>
        <v>-</v>
      </c>
      <c r="DO171" s="306" t="str">
        <f t="shared" si="45"/>
        <v>-</v>
      </c>
      <c r="DP171" s="367" t="str">
        <f t="shared" si="46"/>
        <v>-</v>
      </c>
      <c r="DQ171" s="310" t="str">
        <f t="shared" si="47"/>
        <v>✔</v>
      </c>
      <c r="DR171" s="310" t="str">
        <f t="shared" si="48"/>
        <v>-</v>
      </c>
      <c r="DS171" s="310" t="str">
        <f t="shared" si="49"/>
        <v>-</v>
      </c>
      <c r="DT171" s="310" t="str">
        <f t="shared" si="50"/>
        <v>✔</v>
      </c>
      <c r="DU171" s="370" t="str">
        <f t="shared" si="51"/>
        <v>-</v>
      </c>
      <c r="DV171" s="306" t="str">
        <f t="shared" si="52"/>
        <v>-</v>
      </c>
      <c r="DW171" s="306" t="str">
        <f t="shared" si="53"/>
        <v>✔</v>
      </c>
      <c r="DX171" s="306" t="str">
        <f t="shared" si="54"/>
        <v>-</v>
      </c>
      <c r="DY171" s="306" t="str">
        <f t="shared" si="55"/>
        <v>-</v>
      </c>
      <c r="DZ171" s="306" t="str">
        <f t="shared" si="56"/>
        <v>-</v>
      </c>
      <c r="EA171" s="367" t="str">
        <f t="shared" si="57"/>
        <v>✔</v>
      </c>
      <c r="EB171" s="310" t="str">
        <f>IFERROR(__xludf.DUMMYFUNCTION("IF(REGEXMATCH(AW171,AS171),""✔"",""-"")"),"-")</f>
        <v>-</v>
      </c>
      <c r="EC171" s="310" t="str">
        <f t="shared" si="58"/>
        <v>#REF!</v>
      </c>
      <c r="ED171" s="370" t="str">
        <f t="shared" si="59"/>
        <v>-</v>
      </c>
      <c r="EE171" s="340" t="str">
        <f t="shared" si="60"/>
        <v>S-rR-m-P-dD-S</v>
      </c>
      <c r="EF171" s="371" t="str">
        <f>IFERROR(__xludf.DUMMYFUNCTION("CONCATENATE(JOIN("""",HC171:HO171))"),"SgGmPnNS")</f>
        <v>SgGmPnNS</v>
      </c>
      <c r="EG171" s="372">
        <f t="shared" si="61"/>
        <v>2</v>
      </c>
      <c r="EH171" s="373" t="str">
        <f>IFERROR(__xludf.DUMMYFUNCTION("CONCATENATE(JOIN("""",JC171:JO171))"),"dha, Dha, ")</f>
        <v>dha, Dha, </v>
      </c>
      <c r="EI171" s="322">
        <f t="shared" si="62"/>
        <v>0</v>
      </c>
      <c r="EJ171" s="374" t="str">
        <f>IFERROR(__xludf.DUMMYFUNCTION("CONCATENATE(JOIN("""",KC171:KO171))"),"")</f>
        <v/>
      </c>
      <c r="EK171" s="325" t="str">
        <f t="shared" si="63"/>
        <v>S-R1-R2-M1-P-D1-D2-S</v>
      </c>
      <c r="EL171" s="326" t="str">
        <f t="shared" si="64"/>
        <v>1-b2-2-4-5-b6-6-8</v>
      </c>
      <c r="EM171" s="318" t="str">
        <f t="shared" si="65"/>
        <v>#REF!</v>
      </c>
      <c r="EN171" s="328" t="str">
        <f>IFERROR(__xludf.DUMMYFUNCTION("SUBSTITUTE(SUBSTITUTE(SUBSTITUTE(SUBSTITUTE(CONCATENATE(JOIN("" "",HP171:IB171)),""  "","" ""),""  "","" ""),""  "","" ""),""  "","" "")"),"o o o • • o • o o o • • o")</f>
        <v>o o o • • o • o o o • • o</v>
      </c>
      <c r="EO171" s="368" t="str">
        <f t="shared" si="66"/>
        <v>-</v>
      </c>
      <c r="EP171" s="339" t="str">
        <f t="shared" si="67"/>
        <v>-</v>
      </c>
      <c r="EQ171" s="339" t="str">
        <f t="shared" si="68"/>
        <v>Sa-Pa</v>
      </c>
      <c r="ER171" s="339" t="str">
        <f t="shared" si="69"/>
        <v>-</v>
      </c>
      <c r="ES171" s="340" t="str">
        <f t="shared" si="70"/>
        <v>-</v>
      </c>
      <c r="ET171" s="363"/>
      <c r="EU171" s="376" t="b">
        <f>IFERROR(__xludf.DUMMYFUNCTION("arrayformula(sum(--REGEXMATCH(""SRGMPDNS"",split(REGEXREPLACE(C171,""(.)"",""$1~""),""~""))))=len(C171)
"),FALSE)</f>
        <v>0</v>
      </c>
      <c r="EV171" s="290" t="b">
        <f>IFERROR(__xludf.DUMMYFUNCTION("arrayformula(sum(--REGEXMATCH(""SRGmPDNS"",split(REGEXREPLACE(C171,""(.)"",""$1~""),""~""))))=len(C171)"),FALSE)</f>
        <v>0</v>
      </c>
      <c r="EW171" s="290" t="b">
        <f>IFERROR(__xludf.DUMMYFUNCTION("arrayformula(sum(--REGEXMATCH(""SRGmPDnS"",split(REGEXREPLACE(C171,""(.)"",""$1~""),""~""))))=len(C171)"),FALSE)</f>
        <v>0</v>
      </c>
      <c r="EX171" s="290" t="b">
        <f>IFERROR(__xludf.DUMMYFUNCTION("arrayformula(sum(--REGEXMATCH(""SRgmPDnS"",split(REGEXREPLACE(C171,""(.)"",""$1~""),""~""))))=len(C171)"),FALSE)</f>
        <v>0</v>
      </c>
      <c r="EY171" s="290" t="b">
        <f>IFERROR(__xludf.DUMMYFUNCTION("arrayformula(sum(--REGEXMATCH(""SRgmPdnS"",split(REGEXREPLACE(C171,""(.)"",""$1~""),""~""))))=len(C171)"),FALSE)</f>
        <v>0</v>
      </c>
      <c r="EZ171" s="290" t="b">
        <f>IFERROR(__xludf.DUMMYFUNCTION("arrayformula(sum(--REGEXMATCH(""SrgmPdnS"",split(REGEXREPLACE(C171,""(.)"",""$1~""),""~""))))=len(C171)"),FALSE)</f>
        <v>0</v>
      </c>
      <c r="FA171" s="290" t="b">
        <f>IFERROR(__xludf.DUMMYFUNCTION("arrayformula(sum(--REGEXMATCH(""SrGmPdNS"",split(REGEXREPLACE(C171,""(.)"",""$1~""),""~""))))=len(C171)"),FALSE)</f>
        <v>0</v>
      </c>
      <c r="FB171" s="290" t="b">
        <f>IFERROR(__xludf.DUMMYFUNCTION("arrayformula(sum(--REGEXMATCH(""SrGMPDNS"",split(REGEXREPLACE(C171,""(.)"",""$1~""),""~""))))=len(C171)"),FALSE)</f>
        <v>0</v>
      </c>
      <c r="FC171" s="290" t="b">
        <f>IFERROR(__xludf.DUMMYFUNCTION("arrayformula(sum(--REGEXMATCH(""SrGMPdNS"",split(REGEXREPLACE(C171,""(.)"",""$1~""),""~""))))=len(C171)"),FALSE)</f>
        <v>0</v>
      </c>
      <c r="FD171" s="377" t="b">
        <f>IFERROR(__xludf.DUMMYFUNCTION("arrayformula(sum(--REGEXMATCH(""SrgMPdNS"",split(REGEXREPLACE(C171,""(.)"",""$1~""),""~""))))=len(C171)"),FALSE)</f>
        <v>0</v>
      </c>
      <c r="FE171" s="269" t="str">
        <f t="shared" si="71"/>
        <v>xxooxoxxxoo</v>
      </c>
      <c r="FF171" s="269" t="str">
        <f t="shared" si="72"/>
        <v>xooxoxxxoox</v>
      </c>
      <c r="FG171" s="271" t="str">
        <f t="shared" si="73"/>
        <v>-</v>
      </c>
      <c r="FH171" s="269" t="str">
        <f t="shared" si="74"/>
        <v>-</v>
      </c>
      <c r="FI171" s="271" t="str">
        <f t="shared" si="75"/>
        <v>xoxxxooxxxo</v>
      </c>
      <c r="FJ171" s="271" t="str">
        <f t="shared" si="76"/>
        <v>-</v>
      </c>
      <c r="FK171" s="271" t="str">
        <f t="shared" si="77"/>
        <v>xxxooxxxoox</v>
      </c>
      <c r="FL171" s="271" t="str">
        <f t="shared" si="78"/>
        <v>xxooxxxooxo</v>
      </c>
      <c r="FM171" s="271" t="str">
        <f t="shared" si="79"/>
        <v>xooxxxooxox</v>
      </c>
      <c r="FN171" s="271" t="str">
        <f t="shared" si="80"/>
        <v>-</v>
      </c>
      <c r="FO171" s="274" t="str">
        <f t="shared" si="81"/>
        <v>-</v>
      </c>
      <c r="FP171" s="234" t="str">
        <f t="shared" si="82"/>
        <v>|</v>
      </c>
      <c r="FQ171" s="236" t="str">
        <f t="shared" si="83"/>
        <v>|</v>
      </c>
      <c r="FR171" s="237" t="str">
        <f t="shared" si="84"/>
        <v>|</v>
      </c>
      <c r="FS171" s="236" t="str">
        <f t="shared" si="85"/>
        <v>-</v>
      </c>
      <c r="FT171" s="237" t="str">
        <f t="shared" si="86"/>
        <v>-</v>
      </c>
      <c r="FU171" s="236" t="str">
        <f t="shared" si="87"/>
        <v>|</v>
      </c>
      <c r="FV171" s="237" t="str">
        <f t="shared" si="88"/>
        <v>-</v>
      </c>
      <c r="FW171" s="236" t="str">
        <f t="shared" si="89"/>
        <v>|</v>
      </c>
      <c r="FX171" s="237" t="str">
        <f t="shared" si="90"/>
        <v>|</v>
      </c>
      <c r="FY171" s="236" t="str">
        <f t="shared" si="91"/>
        <v>|</v>
      </c>
      <c r="FZ171" s="237" t="str">
        <f t="shared" si="92"/>
        <v>-</v>
      </c>
      <c r="GA171" s="236" t="str">
        <f t="shared" si="93"/>
        <v>-</v>
      </c>
      <c r="GB171" s="238" t="str">
        <f t="shared" si="94"/>
        <v>|</v>
      </c>
      <c r="GC171" s="244" t="str">
        <f>IFERROR(__xludf.DUMMYFUNCTION("IF(REGEXMATCH(C171, ""S""), ""1"","""")"),"1")</f>
        <v>1</v>
      </c>
      <c r="GD171" s="245" t="str">
        <f>IFERROR(__xludf.DUMMYFUNCTION("IF(REGEXMATCH(C171, ""r""), ""b2"","""")"),"b2")</f>
        <v>b2</v>
      </c>
      <c r="GE171" s="246" t="str">
        <f>IFERROR(__xludf.DUMMYFUNCTION("IF(REGEXMATCH(C171, ""R""), ""2"","""")"),"2")</f>
        <v>2</v>
      </c>
      <c r="GF171" s="246" t="str">
        <f>IFERROR(__xludf.DUMMYFUNCTION("IF(REGEXMATCH(C171, ""g""), ""b3"","""")"),"")</f>
        <v/>
      </c>
      <c r="GG171" s="245" t="str">
        <f>IFERROR(__xludf.DUMMYFUNCTION("IF(REGEXMATCH(C171, ""G""), ""3"","""")"),"")</f>
        <v/>
      </c>
      <c r="GH171" s="245" t="str">
        <f>IFERROR(__xludf.DUMMYFUNCTION("IF(REGEXMATCH(C171, ""m""), ""4"","""")"),"4")</f>
        <v>4</v>
      </c>
      <c r="GI171" s="246" t="str">
        <f>IFERROR(__xludf.DUMMYFUNCTION("IF(REGEXMATCH(C171, ""M""), ""#4"","""")"),"")</f>
        <v/>
      </c>
      <c r="GJ171" s="245" t="str">
        <f>IFERROR(__xludf.DUMMYFUNCTION("IF(REGEXMATCH(C171, ""P""), ""5"","""")"),"5")</f>
        <v>5</v>
      </c>
      <c r="GK171" s="246" t="str">
        <f>IFERROR(__xludf.DUMMYFUNCTION("IF(REGEXMATCH(C171, ""d""), ""b6"","""")"),"b6")</f>
        <v>b6</v>
      </c>
      <c r="GL171" s="245" t="str">
        <f>IFERROR(__xludf.DUMMYFUNCTION("IF(REGEXMATCH(C171, ""D""), ""6"","""")"),"6")</f>
        <v>6</v>
      </c>
      <c r="GM171" s="245" t="str">
        <f>IFERROR(__xludf.DUMMYFUNCTION("IF(REGEXMATCH(C171, ""n""), ""b7"","""")"),"")</f>
        <v/>
      </c>
      <c r="GN171" s="246" t="str">
        <f>IFERROR(__xludf.DUMMYFUNCTION("IF(REGEXMATCH(C171, ""N""), ""7"","""")"),"")</f>
        <v/>
      </c>
      <c r="GO171" s="249" t="str">
        <f>IFERROR(__xludf.DUMMYFUNCTION("IF(REGEXMATCH(C171, ""S""), ""8"","""")"),"8")</f>
        <v>8</v>
      </c>
      <c r="GP171" s="244" t="str">
        <f>IFERROR(__xludf.DUMMYFUNCTION("IF(REGEXMATCH(C171, ""S""), ""S"","""")"),"S")</f>
        <v>S</v>
      </c>
      <c r="GQ171" s="294" t="str">
        <f>IFERROR(__xludf.DUMMYFUNCTION("IF(REGEXMATCH(C171, ""r""), ""R1"","""")"),"R1")</f>
        <v>R1</v>
      </c>
      <c r="GR171" s="295" t="str">
        <f>IFERROR(__xludf.DUMMYFUNCTION("IF(REGEXMATCH(C171, ""R""), ""R2"","""")"),"R2")</f>
        <v>R2</v>
      </c>
      <c r="GS171" s="295" t="str">
        <f>IFERROR(__xludf.DUMMYFUNCTION("IF(REGEXMATCH(C171, ""g""), ""G2"","""")"),"")</f>
        <v/>
      </c>
      <c r="GT171" s="294" t="str">
        <f>IFERROR(__xludf.DUMMYFUNCTION("IF(REGEXMATCH(C171, ""G""), ""G3"","""")"),"")</f>
        <v/>
      </c>
      <c r="GU171" s="294" t="str">
        <f>IFERROR(__xludf.DUMMYFUNCTION("IF(REGEXMATCH(C171, ""m""), ""M1"","""")"),"M1")</f>
        <v>M1</v>
      </c>
      <c r="GV171" s="295" t="str">
        <f>IFERROR(__xludf.DUMMYFUNCTION("IF(REGEXMATCH(C171, ""M""), ""M2"","""")"),"")</f>
        <v/>
      </c>
      <c r="GW171" s="294" t="str">
        <f>IFERROR(__xludf.DUMMYFUNCTION("IF(REGEXMATCH(C171, ""P""), ""P"","""")"),"P")</f>
        <v>P</v>
      </c>
      <c r="GX171" s="295" t="str">
        <f>IFERROR(__xludf.DUMMYFUNCTION("IF(REGEXMATCH(C171, ""d""), ""D1"","""")"),"D1")</f>
        <v>D1</v>
      </c>
      <c r="GY171" s="294" t="str">
        <f>IFERROR(__xludf.DUMMYFUNCTION("IF(REGEXMATCH(C171, ""D""), ""D2"","""")"),"D2")</f>
        <v>D2</v>
      </c>
      <c r="GZ171" s="294" t="str">
        <f>IFERROR(__xludf.DUMMYFUNCTION("IF(REGEXMATCH(C171, ""n""), ""N2"","""")"),"")</f>
        <v/>
      </c>
      <c r="HA171" s="295" t="str">
        <f>IFERROR(__xludf.DUMMYFUNCTION("IF(REGEXMATCH(C171, ""N""), ""N3"","""")"),"")</f>
        <v/>
      </c>
      <c r="HB171" s="249" t="str">
        <f>IFERROR(__xludf.DUMMYFUNCTION("IF(REGEXMATCH(C171, ""S""), ""S"","""")"),"S")</f>
        <v>S</v>
      </c>
      <c r="HC171" s="331" t="str">
        <f t="shared" si="95"/>
        <v>S</v>
      </c>
      <c r="HD171" s="332" t="str">
        <f t="shared" si="96"/>
        <v/>
      </c>
      <c r="HE171" s="332" t="str">
        <f t="shared" si="97"/>
        <v/>
      </c>
      <c r="HF171" s="332" t="str">
        <f t="shared" si="98"/>
        <v>g</v>
      </c>
      <c r="HG171" s="332" t="str">
        <f t="shared" si="99"/>
        <v>G</v>
      </c>
      <c r="HH171" s="332" t="str">
        <f t="shared" si="100"/>
        <v>m</v>
      </c>
      <c r="HI171" s="332" t="str">
        <f t="shared" si="101"/>
        <v/>
      </c>
      <c r="HJ171" s="332" t="str">
        <f t="shared" si="102"/>
        <v>P</v>
      </c>
      <c r="HK171" s="332" t="str">
        <f t="shared" si="103"/>
        <v/>
      </c>
      <c r="HL171" s="332" t="str">
        <f t="shared" si="104"/>
        <v/>
      </c>
      <c r="HM171" s="332" t="str">
        <f t="shared" si="105"/>
        <v>n</v>
      </c>
      <c r="HN171" s="332" t="str">
        <f t="shared" si="106"/>
        <v>N</v>
      </c>
      <c r="HO171" s="343" t="str">
        <f t="shared" si="107"/>
        <v>S</v>
      </c>
      <c r="HP171" s="331" t="str">
        <f t="shared" si="108"/>
        <v>o</v>
      </c>
      <c r="HQ171" s="332" t="str">
        <f t="shared" si="109"/>
        <v>o</v>
      </c>
      <c r="HR171" s="332" t="str">
        <f t="shared" si="110"/>
        <v>o</v>
      </c>
      <c r="HS171" s="332" t="str">
        <f t="shared" si="111"/>
        <v>•</v>
      </c>
      <c r="HT171" s="332" t="str">
        <f t="shared" si="112"/>
        <v>•</v>
      </c>
      <c r="HU171" s="332" t="str">
        <f t="shared" si="113"/>
        <v>o</v>
      </c>
      <c r="HV171" s="332" t="str">
        <f t="shared" si="114"/>
        <v>•</v>
      </c>
      <c r="HW171" s="332" t="str">
        <f t="shared" si="115"/>
        <v>o</v>
      </c>
      <c r="HX171" s="332" t="str">
        <f t="shared" si="116"/>
        <v>o</v>
      </c>
      <c r="HY171" s="332" t="str">
        <f t="shared" si="117"/>
        <v>o</v>
      </c>
      <c r="HZ171" s="332" t="str">
        <f t="shared" si="118"/>
        <v>•</v>
      </c>
      <c r="IA171" s="332" t="str">
        <f t="shared" si="119"/>
        <v>•</v>
      </c>
      <c r="IB171" s="338" t="str">
        <f t="shared" si="120"/>
        <v>o</v>
      </c>
      <c r="IC171" s="331" t="str">
        <f t="shared" si="121"/>
        <v>•</v>
      </c>
      <c r="ID171" s="332" t="str">
        <f t="shared" si="122"/>
        <v>•</v>
      </c>
      <c r="IE171" s="332" t="str">
        <f t="shared" si="123"/>
        <v>•</v>
      </c>
      <c r="IF171" s="332" t="str">
        <f t="shared" si="124"/>
        <v>o</v>
      </c>
      <c r="IG171" s="332" t="str">
        <f t="shared" si="125"/>
        <v>o</v>
      </c>
      <c r="IH171" s="332" t="str">
        <f t="shared" si="126"/>
        <v>•</v>
      </c>
      <c r="II171" s="332" t="str">
        <f t="shared" si="127"/>
        <v>o</v>
      </c>
      <c r="IJ171" s="332" t="str">
        <f t="shared" si="128"/>
        <v>•</v>
      </c>
      <c r="IK171" s="332" t="str">
        <f t="shared" si="129"/>
        <v>•</v>
      </c>
      <c r="IL171" s="332" t="str">
        <f t="shared" si="130"/>
        <v>•</v>
      </c>
      <c r="IM171" s="332" t="str">
        <f t="shared" si="131"/>
        <v>o</v>
      </c>
      <c r="IN171" s="332" t="str">
        <f t="shared" si="132"/>
        <v>o</v>
      </c>
      <c r="IO171" s="338" t="str">
        <f t="shared" si="133"/>
        <v>•</v>
      </c>
      <c r="IP171" s="346" t="b">
        <f t="shared" si="134"/>
        <v>0</v>
      </c>
      <c r="IQ171" s="347" t="b">
        <f t="shared" si="135"/>
        <v>0</v>
      </c>
      <c r="IR171" s="347" t="b">
        <f t="shared" si="136"/>
        <v>0</v>
      </c>
      <c r="IS171" s="347" t="b">
        <f t="shared" si="137"/>
        <v>0</v>
      </c>
      <c r="IT171" s="347" t="b">
        <f t="shared" si="138"/>
        <v>0</v>
      </c>
      <c r="IU171" s="347" t="b">
        <f t="shared" si="139"/>
        <v>0</v>
      </c>
      <c r="IV171" s="347" t="b">
        <f t="shared" si="140"/>
        <v>0</v>
      </c>
      <c r="IW171" s="347" t="b">
        <f t="shared" si="141"/>
        <v>0</v>
      </c>
      <c r="IX171" s="347" t="b">
        <f t="shared" si="142"/>
        <v>1</v>
      </c>
      <c r="IY171" s="347" t="b">
        <f t="shared" si="143"/>
        <v>1</v>
      </c>
      <c r="IZ171" s="347" t="b">
        <f t="shared" si="144"/>
        <v>0</v>
      </c>
      <c r="JA171" s="347" t="b">
        <f t="shared" si="145"/>
        <v>0</v>
      </c>
      <c r="JB171" s="353" t="b">
        <f t="shared" si="146"/>
        <v>0</v>
      </c>
      <c r="JC171" s="354" t="str">
        <f t="shared" si="147"/>
        <v/>
      </c>
      <c r="JD171" s="355" t="str">
        <f t="shared" si="148"/>
        <v/>
      </c>
      <c r="JE171" s="355" t="str">
        <f t="shared" si="149"/>
        <v/>
      </c>
      <c r="JF171" s="355" t="str">
        <f t="shared" si="150"/>
        <v/>
      </c>
      <c r="JG171" s="355" t="str">
        <f t="shared" si="151"/>
        <v/>
      </c>
      <c r="JH171" s="355" t="str">
        <f t="shared" si="152"/>
        <v/>
      </c>
      <c r="JI171" s="355" t="str">
        <f t="shared" si="153"/>
        <v/>
      </c>
      <c r="JJ171" s="355" t="str">
        <f t="shared" si="154"/>
        <v/>
      </c>
      <c r="JK171" s="355" t="str">
        <f t="shared" si="155"/>
        <v>dha, </v>
      </c>
      <c r="JL171" s="355" t="str">
        <f t="shared" si="156"/>
        <v>Dha, </v>
      </c>
      <c r="JM171" s="355" t="str">
        <f t="shared" si="157"/>
        <v/>
      </c>
      <c r="JN171" s="355" t="str">
        <f t="shared" si="158"/>
        <v/>
      </c>
      <c r="JO171" s="359" t="str">
        <f t="shared" si="159"/>
        <v/>
      </c>
      <c r="JP171" s="346" t="b">
        <f t="shared" si="160"/>
        <v>0</v>
      </c>
      <c r="JQ171" s="347" t="b">
        <f t="shared" si="161"/>
        <v>0</v>
      </c>
      <c r="JR171" s="347" t="b">
        <f t="shared" si="162"/>
        <v>0</v>
      </c>
      <c r="JS171" s="347" t="b">
        <f t="shared" si="163"/>
        <v>0</v>
      </c>
      <c r="JT171" s="347" t="b">
        <f t="shared" si="164"/>
        <v>0</v>
      </c>
      <c r="JU171" s="347" t="b">
        <f t="shared" si="165"/>
        <v>0</v>
      </c>
      <c r="JV171" s="347" t="b">
        <f t="shared" si="166"/>
        <v>0</v>
      </c>
      <c r="JW171" s="347" t="b">
        <f t="shared" si="167"/>
        <v>0</v>
      </c>
      <c r="JX171" s="347" t="b">
        <f t="shared" si="168"/>
        <v>0</v>
      </c>
      <c r="JY171" s="347" t="b">
        <f t="shared" si="169"/>
        <v>0</v>
      </c>
      <c r="JZ171" s="347" t="b">
        <f t="shared" si="170"/>
        <v>0</v>
      </c>
      <c r="KA171" s="347" t="b">
        <f t="shared" si="171"/>
        <v>0</v>
      </c>
      <c r="KB171" s="365" t="b">
        <f t="shared" si="172"/>
        <v>0</v>
      </c>
      <c r="KC171" s="354" t="str">
        <f t="shared" si="173"/>
        <v/>
      </c>
      <c r="KD171" s="355" t="str">
        <f t="shared" si="174"/>
        <v/>
      </c>
      <c r="KE171" s="355" t="str">
        <f t="shared" si="175"/>
        <v/>
      </c>
      <c r="KF171" s="355" t="str">
        <f t="shared" si="176"/>
        <v/>
      </c>
      <c r="KG171" s="355" t="str">
        <f t="shared" si="177"/>
        <v/>
      </c>
      <c r="KH171" s="355" t="str">
        <f t="shared" si="178"/>
        <v/>
      </c>
      <c r="KI171" s="355" t="str">
        <f t="shared" si="179"/>
        <v/>
      </c>
      <c r="KJ171" s="355" t="str">
        <f t="shared" si="180"/>
        <v/>
      </c>
      <c r="KK171" s="355" t="str">
        <f t="shared" si="181"/>
        <v/>
      </c>
      <c r="KL171" s="355" t="str">
        <f t="shared" si="182"/>
        <v/>
      </c>
      <c r="KM171" s="355" t="str">
        <f t="shared" si="183"/>
        <v/>
      </c>
      <c r="KN171" s="355" t="str">
        <f t="shared" si="184"/>
        <v/>
      </c>
      <c r="KO171" s="359"/>
      <c r="KP171" s="378"/>
      <c r="KQ171" s="379" t="s">
        <v>9</v>
      </c>
      <c r="KR171" s="380" t="s">
        <v>9</v>
      </c>
      <c r="KS171" s="381" t="s">
        <v>9</v>
      </c>
      <c r="KT171" s="382">
        <f t="shared" si="186"/>
        <v>0</v>
      </c>
      <c r="KU171" s="383">
        <f t="shared" si="187"/>
        <v>0</v>
      </c>
      <c r="KV171" s="381" t="str">
        <f t="shared" si="205"/>
        <v>S</v>
      </c>
      <c r="KW171" s="382">
        <f t="shared" si="189"/>
        <v>0</v>
      </c>
      <c r="KX171" s="384">
        <f t="shared" si="190"/>
        <v>0</v>
      </c>
      <c r="KY171" s="382">
        <f t="shared" ref="KY171:KZ171" si="554">KW171-KT171</f>
        <v>0</v>
      </c>
      <c r="KZ171" s="369">
        <f t="shared" si="554"/>
        <v>0</v>
      </c>
      <c r="LA171" s="385" t="str">
        <f t="shared" si="192"/>
        <v>✔</v>
      </c>
      <c r="LB171" s="340" t="str">
        <f>IFERROR(__xludf.DUMMYFUNCTION("JOIN("""",ArrayFormula(MID(KS171,LEN(KS171)-SEQUENCE(1,LEN(KS171))+1,1)))"),"S")</f>
        <v>S</v>
      </c>
      <c r="LC171" s="373" t="str">
        <f>IFERROR(__xludf.DUMMYFUNCTION("JOIN("""",ArrayFormula(MID(KV171,LEN(KV171)-SEQUENCE(1,LEN(KV171))+1,1)))"),"S")</f>
        <v>S</v>
      </c>
      <c r="LD171" s="373" t="str">
        <f t="shared" si="193"/>
        <v>S</v>
      </c>
      <c r="LE171" s="339" t="str">
        <f t="shared" si="194"/>
        <v>S</v>
      </c>
      <c r="LF171" s="386" t="str">
        <f>IFERROR(__xludf.DUMMYFUNCTION("SUBSTITUTE(SUBSTITUTE(CONCATENATE(JOIN("""",LH171:LT171)),""1"",""""),""2"","""")"),"SS")</f>
        <v>SS</v>
      </c>
      <c r="LG171" s="369" t="str">
        <f t="shared" si="195"/>
        <v>-</v>
      </c>
      <c r="LH171" s="387" t="str">
        <f>IFERROR(__xludf.DUMMYFUNCTION("IF(REGEXMATCH(LD171, ""S""), ""S"",IF(REGEXMATCH(LE171, ""S""), ""S"",""""))"),"S")</f>
        <v>S</v>
      </c>
      <c r="LI171" s="299" t="str">
        <f>IFERROR(__xludf.DUMMYFUNCTION("IF(REGEXMATCH(LD171, ""r""), ""r1"",IF(REGEXMATCH(LE171, ""r""), ""r2"",""""))"),"")</f>
        <v/>
      </c>
      <c r="LJ171" s="299" t="str">
        <f>IFERROR(__xludf.DUMMYFUNCTION("IF(REGEXMATCH(LD171, ""R""), ""R1"",IF(REGEXMATCH(LE171, ""R""), ""R2"",""""))"),"")</f>
        <v/>
      </c>
      <c r="LK171" s="299" t="str">
        <f>IFERROR(__xludf.DUMMYFUNCTION("IF(REGEXMATCH(LD171, ""g""), ""g1"",IF(REGEXMATCH(LE171, ""g""), ""g2"",""""))"),"")</f>
        <v/>
      </c>
      <c r="LL171" s="299" t="str">
        <f>IFERROR(__xludf.DUMMYFUNCTION("IF(REGEXMATCH(LD171, ""G""), ""G1"",IF(REGEXMATCH(LE171, ""G""), ""G2"",""""))"),"")</f>
        <v/>
      </c>
      <c r="LM171" s="299" t="str">
        <f>IFERROR(__xludf.DUMMYFUNCTION("IF(REGEXMATCH(LD171, ""m""), ""m1"",IF(REGEXMATCH(LE171, ""m""), ""m2"",""""))"),"")</f>
        <v/>
      </c>
      <c r="LN171" s="299" t="str">
        <f>IFERROR(__xludf.DUMMYFUNCTION("IF(REGEXMATCH(LD171, ""M""), ""M1"",IF(REGEXMATCH(LE171, ""M""), ""M2"",""""))"),"")</f>
        <v/>
      </c>
      <c r="LO171" s="299" t="str">
        <f>IFERROR(__xludf.DUMMYFUNCTION("IF(REGEXMATCH(LD171, ""P""), ""P1"",IF(REGEXMATCH(LE171, ""P""), ""P2"",""""))"),"")</f>
        <v/>
      </c>
      <c r="LP171" s="299" t="str">
        <f>IFERROR(__xludf.DUMMYFUNCTION("IF(REGEXMATCH(LD171, ""d""), ""d1"",IF(REGEXMATCH(LE171, ""d""), ""d2"",""""))"),"")</f>
        <v/>
      </c>
      <c r="LQ171" s="299" t="str">
        <f>IFERROR(__xludf.DUMMYFUNCTION("IF(REGEXMATCH(LD171, ""D""), ""D1"",IF(REGEXMATCH(LE171, ""D""), ""D2"",""""))"),"")</f>
        <v/>
      </c>
      <c r="LR171" s="299" t="str">
        <f>IFERROR(__xludf.DUMMYFUNCTION("IF(REGEXMATCH(LD171, ""n""), ""n1"",IF(REGEXMATCH(LE171, ""n""), ""n2"",""""))"),"")</f>
        <v/>
      </c>
      <c r="LS171" s="299" t="str">
        <f>IFERROR(__xludf.DUMMYFUNCTION("IF(REGEXMATCH(LD171, ""N""), ""N1"",IF(REGEXMATCH(LE171, ""N""), ""N2"",""""))"),"")</f>
        <v/>
      </c>
      <c r="LT171" s="388" t="str">
        <f>IFERROR(__xludf.DUMMYFUNCTION("IF(REGEXMATCH(LD171, ""S""), ""S"",IF(REGEXMATCH(LE171, ""S""), ""S"",""""))"),"S")</f>
        <v>S</v>
      </c>
      <c r="LU171" s="389">
        <f t="shared" si="196"/>
        <v>1</v>
      </c>
      <c r="LV171" s="378"/>
      <c r="LW171" s="369"/>
      <c r="LX171" s="369"/>
    </row>
    <row r="172" ht="18.0" customHeight="1">
      <c r="A172" s="298" t="s">
        <v>548</v>
      </c>
      <c r="B172" s="222" t="s">
        <v>405</v>
      </c>
      <c r="C172" s="233" t="str">
        <f t="shared" si="7"/>
        <v>SRgmPdnS</v>
      </c>
      <c r="D172" s="234" t="str">
        <f>IFERROR(__xludf.DUMMYFUNCTION("IF(REGEXMATCH(C172, ""S""), ""S"","""")"),"S")</f>
        <v>S</v>
      </c>
      <c r="E172" s="236" t="str">
        <f>IFERROR(__xludf.DUMMYFUNCTION("IF(REGEXMATCH(C172, ""r""), ""r"","""")"),"")</f>
        <v/>
      </c>
      <c r="F172" s="237" t="str">
        <f>IFERROR(__xludf.DUMMYFUNCTION("IF(REGEXMATCH(C172, ""R""), ""R"","""")"),"R")</f>
        <v>R</v>
      </c>
      <c r="G172" s="237" t="str">
        <f>IFERROR(__xludf.DUMMYFUNCTION("IF(REGEXMATCH(C172, ""g""), ""g"","""")"),"g")</f>
        <v>g</v>
      </c>
      <c r="H172" s="236" t="str">
        <f>IFERROR(__xludf.DUMMYFUNCTION("IF(REGEXMATCH(C172, ""G""), ""G"","""")"),"")</f>
        <v/>
      </c>
      <c r="I172" s="236" t="str">
        <f>IFERROR(__xludf.DUMMYFUNCTION("IF(REGEXMATCH(C172, ""m""), ""m"","""")"),"m")</f>
        <v>m</v>
      </c>
      <c r="J172" s="237" t="str">
        <f>IFERROR(__xludf.DUMMYFUNCTION("IF(REGEXMATCH(C172, ""M""), ""M"","""")"),"")</f>
        <v/>
      </c>
      <c r="K172" s="236" t="str">
        <f>IFERROR(__xludf.DUMMYFUNCTION("IF(REGEXMATCH(C172, ""P""), ""P"","""")"),"P")</f>
        <v>P</v>
      </c>
      <c r="L172" s="237" t="str">
        <f>IFERROR(__xludf.DUMMYFUNCTION("IF(REGEXMATCH(C172, ""d""), ""d"","""")"),"d")</f>
        <v>d</v>
      </c>
      <c r="M172" s="236" t="str">
        <f>IFERROR(__xludf.DUMMYFUNCTION("IF(REGEXMATCH(C172, ""D""), ""D"","""")"),"")</f>
        <v/>
      </c>
      <c r="N172" s="236" t="str">
        <f>IFERROR(__xludf.DUMMYFUNCTION("IF(REGEXMATCH(C172, ""n""), ""n"","""")"),"n")</f>
        <v>n</v>
      </c>
      <c r="O172" s="237" t="str">
        <f>IFERROR(__xludf.DUMMYFUNCTION("IF(REGEXMATCH(C172, ""N""), ""N"","""")"),"")</f>
        <v/>
      </c>
      <c r="P172" s="238" t="str">
        <f>IFERROR(__xludf.DUMMYFUNCTION("IF(REGEXMATCH(C172, ""S""), ""S"","""")"),"S")</f>
        <v>S</v>
      </c>
      <c r="Q172" s="239" t="str">
        <f>IFERROR(__xludf.DUMMYFUNCTION("SUBSTITUTE(CONCATENATE(JOIN(""-"",D172:J172)),""-"","""")"),"SRgm")</f>
        <v>SRgm</v>
      </c>
      <c r="R172" s="229" t="str">
        <f>IFERROR(__xludf.DUMMYFUNCTION("SUBSTITUTE(CONCATENATE(JOIN(""-"",K172:P172)),""-"","""")"),"PdnS")</f>
        <v>PdnS</v>
      </c>
      <c r="S172" s="282" t="str">
        <f t="shared" si="8"/>
        <v>S-R-G-M</v>
      </c>
      <c r="T172" s="282" t="str">
        <f t="shared" si="9"/>
        <v>P-D-N-S</v>
      </c>
      <c r="U172" s="237" t="str">
        <f>IFERROR(__xludf.DUMMYFUNCTION("SUBSTITUTE(JOIN(""-"",S172,T172),""--"",""-"")"),"S-R-G-M-P-D-N-S")</f>
        <v>S-R-G-M-P-D-N-S</v>
      </c>
      <c r="V172" s="309" t="str">
        <f t="shared" si="10"/>
        <v>Rgmdn</v>
      </c>
      <c r="W172" s="244" t="str">
        <f>IFERROR(__xludf.DUMMYFUNCTION("IF(REGEXMATCH(C172, ""S""), ""0"","""")"),"0")</f>
        <v>0</v>
      </c>
      <c r="X172" s="245" t="str">
        <f>IFERROR(__xludf.DUMMYFUNCTION("IF(REGEXMATCH(C172, ""r""), ""1"","""")"),"")</f>
        <v/>
      </c>
      <c r="Y172" s="246" t="str">
        <f>IFERROR(__xludf.DUMMYFUNCTION("IF(REGEXMATCH(C172, ""R""), ""2"","""")"),"2")</f>
        <v>2</v>
      </c>
      <c r="Z172" s="246" t="str">
        <f>IFERROR(__xludf.DUMMYFUNCTION("IF(REGEXMATCH(C172, ""g""), ""3"","""")"),"3")</f>
        <v>3</v>
      </c>
      <c r="AA172" s="245" t="str">
        <f>IFERROR(__xludf.DUMMYFUNCTION("IF(REGEXMATCH(C172, ""G""), ""4"","""")"),"")</f>
        <v/>
      </c>
      <c r="AB172" s="245" t="str">
        <f>IFERROR(__xludf.DUMMYFUNCTION("IF(REGEXMATCH(C172, ""m""), ""5"","""")"),"5")</f>
        <v>5</v>
      </c>
      <c r="AC172" s="246" t="str">
        <f>IFERROR(__xludf.DUMMYFUNCTION("IF(REGEXMATCH(C172, ""M""), ""6"","""")"),"")</f>
        <v/>
      </c>
      <c r="AD172" s="245" t="str">
        <f>IFERROR(__xludf.DUMMYFUNCTION("IF(REGEXMATCH(C172, ""P""), ""7"","""")"),"7")</f>
        <v>7</v>
      </c>
      <c r="AE172" s="246" t="str">
        <f>IFERROR(__xludf.DUMMYFUNCTION("IF(REGEXMATCH(C172, ""d""), ""8"","""")"),"8")</f>
        <v>8</v>
      </c>
      <c r="AF172" s="245" t="str">
        <f>IFERROR(__xludf.DUMMYFUNCTION("IF(REGEXMATCH(C172, ""D""), ""9"","""")"),"")</f>
        <v/>
      </c>
      <c r="AG172" s="245" t="str">
        <f>IFERROR(__xludf.DUMMYFUNCTION("IF(REGEXMATCH(C172, ""n""), ""10"","""")"),"10")</f>
        <v>10</v>
      </c>
      <c r="AH172" s="246" t="str">
        <f>IFERROR(__xludf.DUMMYFUNCTION("IF(REGEXMATCH(C172, ""N""), ""11"","""")"),"")</f>
        <v/>
      </c>
      <c r="AI172" s="249" t="str">
        <f>IFERROR(__xludf.DUMMYFUNCTION("IF(REGEXMATCH(C172, ""S""), ""0"","""")"),"0")</f>
        <v>0</v>
      </c>
      <c r="AJ172" s="313" t="str">
        <f t="shared" si="11"/>
        <v>-</v>
      </c>
      <c r="AK172" s="313" t="str">
        <f t="shared" si="12"/>
        <v>-</v>
      </c>
      <c r="AL172" s="313" t="str">
        <f t="shared" si="13"/>
        <v>T</v>
      </c>
      <c r="AM172" s="313" t="str">
        <f t="shared" si="14"/>
        <v>-</v>
      </c>
      <c r="AN172" s="313" t="str">
        <f t="shared" si="15"/>
        <v>-</v>
      </c>
      <c r="AO172" s="314" t="str">
        <f t="shared" si="16"/>
        <v>-</v>
      </c>
      <c r="AP172" s="316">
        <f t="shared" si="17"/>
        <v>1</v>
      </c>
      <c r="AQ172" s="319" t="str">
        <f t="shared" si="18"/>
        <v>-</v>
      </c>
      <c r="AR172" s="320">
        <f t="shared" si="19"/>
        <v>0</v>
      </c>
      <c r="AS172" s="250" t="str">
        <f>IFERROR(__xludf.DUMMYFUNCTION("SUBSTITUTE(SUBSTITUTE(CONCATENATE(JOIN("""",FP172:GA172)),""|"",""x""),""-"",""o"")"),"xoxxoxoxxoxo")</f>
        <v>xoxxoxoxxoxo</v>
      </c>
      <c r="AT172" s="323" t="str">
        <f>IFERROR(__xludf.DUMMYFUNCTION("JOIN("""",AS172,AS172)"),"xoxxoxoxxoxoxoxxoxoxxoxo")</f>
        <v>xoxxoxoxxoxoxoxxoxoxxoxo</v>
      </c>
      <c r="AU172" s="256" t="str">
        <f>IFERROR(__xludf.DUMMYFUNCTION("JOIN("""",ArrayFormula(MID(AS172,LEN(AS172)-SEQUENCE(1,LEN(AS172))+1,1)))"),"oxoxxoxoxxox")</f>
        <v>oxoxxoxoxxox</v>
      </c>
      <c r="AV172" s="256" t="str">
        <f>IFERROR(__xludf.DUMMYFUNCTION("LEFT(CONCATENATE(""x"",JOIN("""",ArrayFormula(MID(AS172,LEN(AS172)-SEQUENCE(1,LEN(AS172))+1,1)))),12)"),"xoxoxxoxoxxo")</f>
        <v>xoxoxxoxoxxo</v>
      </c>
      <c r="AW172" s="327" t="str">
        <f>IFERROR(__xludf.DUMMYFUNCTION("JOIN("""",AU172,AU172)"),"oxoxxoxoxxoxoxoxxoxoxxox")</f>
        <v>oxoxxoxoxxoxoxoxxoxoxxox</v>
      </c>
      <c r="AX172" s="239" t="str">
        <f>IFERROR(__xludf.DUMMYFUNCTION("IF(REGEXMATCH(AW172,AS172),""✔"",""-"")"),"✔")</f>
        <v>✔</v>
      </c>
      <c r="AY172" s="330" t="str">
        <f t="shared" si="20"/>
        <v>-</v>
      </c>
      <c r="AZ172" s="260" t="str">
        <f t="shared" si="21"/>
        <v>#REF!</v>
      </c>
      <c r="BA172" s="333" t="str">
        <f t="shared" si="22"/>
        <v>xoxxoxo</v>
      </c>
      <c r="BB172" s="334" t="str">
        <f t="shared" si="23"/>
        <v>xxoxox</v>
      </c>
      <c r="BC172" s="335" t="str">
        <f t="shared" si="236"/>
        <v>-</v>
      </c>
      <c r="BD172" s="336" t="str">
        <f t="shared" si="25"/>
        <v>Kaunsi Kanada: 'xoxxoxo' + 'xxoxox'</v>
      </c>
      <c r="BE172" s="337">
        <f>IFERROR(__xludf.DUMMYFUNCTION("COUNTUNIQUE(FILTER(AT:AT,REGEXMATCH(AT:AT,AS172)))-1"),6.0)</f>
        <v>6</v>
      </c>
      <c r="BF172" s="261" t="str">
        <f>IFERROR(__xludf.DUMMYFUNCTION("IF(BI172=0,""(n/a)"",IF(BJ172=2,""(PAIR)"",IF(REGEXMATCH(AT172,""xoxoxxoxoxox""),""Bilawal"",IF(REGEXMATCH(AT172,""xoxoxooxoxoo""),""Bhupali"",IF(REGEXMATCH(AT172,""xoxoxxoxxoxo""),""Charukeshi"",IF(REGEXMATCH(AT172,""xoxoooxxoxxo""),""Kameshwari"",IF(REG"&amp;"EXMATCH(AT172,""xoxoxooxoxox""),""Shankara"",IF(REGEXMATCH(AT172,""xxooxoxxxoox""),""Basant"",IF(REGEXMATCH(AT172,""xoxoxxxxoxox""),""Bihag"",IF(REGEXMATCH(AT172,""xoxxxxoxoxxx""),""Pilu"",IF(REGEXMATCH(AT172,""xoxxoxoxxoox""),""Kirwani"",IF(REGEXMATCH(AT"&amp;"172,""xoxxoxoxoxxx""),""Mk.Malhar"",IF(REGEXMATCH(AT172,""xxooxxoxxoox""),""Bhairav"",IF(REGEXMATCH(AT172,""xxoxooxxxoox""),""Todi"",IF(REGEXMATCH(AT172,""xxooxoxooxox""),""Marwa"",IF(REGEXMATCH(AT172,""xxoooxoxxooo""),""Gunkali"",IF(REGEXMATCH(AT172,""xo"&amp;"xoxxoxxoox""),""Nat Bhairav"",IF(REGEXMATCH(AT172,""xoxxoooxoxoo""),""Shivranjani"",IF(REGEXMATCH(AT172,""xooxxxoxooxo""),""Jog"",IF(REGEXMATCH(AT172,""xxooxoxoxoox""),""Hemshri"",IF(REGEXMATCH(AT172,""xoooxooxoxxo""),""Kalavati"",IF(REGEXMATCH(AT172,""xx"&amp;"oxoxxoxoox""),""Kedar"",IF(REGEXMATCH(AT172,""xoxxxxoxooxx""),""Gara"",IF(REGEXMATCH(AT172,""xooxoxooxoox""),""Chandrakauns"",IF(REGEXMATCH(AT172,""xoxxxxoxxxox""),""Mand"",IF(REGEXMATCH(AT172,""xoxxxxoxoxox""),""Hanskinkini"",IF(REGEXMATCH(AT172,""xxooxx"&amp;"oxooxo""),""Lilavati"",IF(REGEXMATCH(AT172,""xooxoxoooxox""),""Rajeshwari"",IF(REGEXMATCH(AT172,""xoooxxoxoxxx""),""Khokar"",IF(REGEXMATCH(AT172,""xxooxoxxxxox""),""Maligoura"",""-""))))))))))))))))))))))))))))))"),"Bilawal")</f>
        <v>Bilawal</v>
      </c>
      <c r="BG172" s="239" t="str">
        <f t="shared" si="26"/>
        <v>#REF!</v>
      </c>
      <c r="BH172" s="239">
        <f>IFERROR(__xludf.DUMMYFUNCTION("COUNTUNIQUE(FE172:FO172)-1"),6.0)</f>
        <v>6</v>
      </c>
      <c r="BI172" s="239">
        <f>IFERROR(__xludf.DUMMYFUNCTION("COUNTUNIQUE(FILTER(AT:AT,REGEXMATCH(AT:AT,AS172)))-1"),6.0)</f>
        <v>6</v>
      </c>
      <c r="BJ172" s="239">
        <f>IFERROR(__xludf.DUMMYFUNCTION("COUNTA(FILTER(AT:AT,REGEXMATCH(AT:AT,AS172)))"),48.0)</f>
        <v>48</v>
      </c>
      <c r="BK172" s="341">
        <f>IFERROR(__xludf.DUMMYFUNCTION("COUNTA(FILTER(AT:AT,REGEXMATCH(AT:AT,AS172)))-AR172"),48.0)</f>
        <v>48</v>
      </c>
      <c r="BL172" s="276" t="str">
        <f>IFERROR(__xludf.DUMMYFUNCTION("IF(AS172=""oooooooooooo"",""-"",IF(REGEXMATCH(AT172,""xx""), ""Hemi."", ""Anhemi.""))"),"Hemi.")</f>
        <v>Hemi.</v>
      </c>
      <c r="BM172" s="282" t="str">
        <f>IFERROR(__xludf.DUMMYFUNCTION("IF(AS172=""oooooooooooo"",""-"",IF(REGEXMATCH(AT172,""xxx""), ""Cohem."", ""-""))"),"-")</f>
        <v>-</v>
      </c>
      <c r="BN172" s="282" t="str">
        <f>IFERROR(__xludf.DUMMYFUNCTION("IF(AS172=""oooooooooooo"",""-"",IF(REGEXMATCH(AT172,""xxxx""), ""Co-Co."", ""-""))"),"-")</f>
        <v>-</v>
      </c>
      <c r="BO172" s="342" t="str">
        <f>IFERROR(__xludf.DUMMYFUNCTION("IF(AS172=""oooooooooooo"",""-"",IF(REGEXMATCH(AT172,""xxxxx""), ""CCC."", ""-""))"),"-")</f>
        <v>-</v>
      </c>
      <c r="BP172" s="344" t="str">
        <f t="shared" si="27"/>
        <v>Asavari</v>
      </c>
      <c r="BQ172" s="282" t="str">
        <f>IFERROR(__xludf.DUMMYFUNCTION("IF(REGEXMATCH(JOIN(""-"",EU172:FD172),""TRUE""),""✔"",""-"")"),"✔")</f>
        <v>✔</v>
      </c>
      <c r="BR172" s="225">
        <f t="shared" si="28"/>
        <v>1</v>
      </c>
      <c r="BS172" s="345" t="str">
        <f>IFERROR(__xludf.DUMMYFUNCTION("SUBSTITUTE(SUBSTITUTE(SUBSTITUTE(SUBSTITUTE(CONCATENATE(JOIN(""-"",GC172:GO172)),""--"",""-""),""--"",""-""),""--"",""-""),""--"",""-"")"),"1-2-b3-4-5-b6-b7-8")</f>
        <v>1-2-b3-4-5-b6-b7-8</v>
      </c>
      <c r="BT172" s="299" t="str">
        <f>IFERROR(__xludf.DUMMYFUNCTION("SUBSTITUTE(SUBSTITUTE(SUBSTITUTE(SUBSTITUTE(CONCATENATE(JOIN(""-"",GP172:HB172)),""--"",""-""),""--"",""-""),""--"",""-""),""--"",""-"")"),"S-R2-G2-M1-P-D1-N2-S")</f>
        <v>S-R2-G2-M1-P-D1-N2-S</v>
      </c>
      <c r="BU172" s="348" t="str">
        <f t="shared" si="29"/>
        <v>C-D-Eb-F-G-Ab-Bb-C</v>
      </c>
      <c r="BV172" s="349" t="str">
        <f t="shared" si="30"/>
        <v>SrGMDNS</v>
      </c>
      <c r="BW172" s="350">
        <f t="shared" si="31"/>
        <v>3</v>
      </c>
      <c r="BX172" s="351">
        <f t="shared" si="32"/>
        <v>7</v>
      </c>
      <c r="BY172" s="392"/>
      <c r="BZ172" s="309" t="str">
        <f>IFERROR(__xludf.DUMMYFUNCTION("IF(REGEXMATCH(C172, ""S""), ""x"",""x"")"),"x")</f>
        <v>x</v>
      </c>
      <c r="CA172" s="245" t="str">
        <f>IFERROR(__xludf.DUMMYFUNCTION("IF(REGEXMATCH(C172, ""r""), ""o"",""x"")"),"x")</f>
        <v>x</v>
      </c>
      <c r="CB172" s="246" t="str">
        <f>IFERROR(__xludf.DUMMYFUNCTION("IF(REGEXMATCH(C172, ""R""), ""o"",""x"")"),"o")</f>
        <v>o</v>
      </c>
      <c r="CC172" s="246" t="str">
        <f>IFERROR(__xludf.DUMMYFUNCTION("IF(REGEXMATCH(C172, ""g""), ""o"",""x"")"),"o")</f>
        <v>o</v>
      </c>
      <c r="CD172" s="245" t="str">
        <f>IFERROR(__xludf.DUMMYFUNCTION("IF(REGEXMATCH(C172, ""G""), ""o"",""x"")"),"x")</f>
        <v>x</v>
      </c>
      <c r="CE172" s="245" t="str">
        <f>IFERROR(__xludf.DUMMYFUNCTION("IF(REGEXMATCH(C172, ""m""), ""o"",""x"")"),"o")</f>
        <v>o</v>
      </c>
      <c r="CF172" s="246" t="str">
        <f>IFERROR(__xludf.DUMMYFUNCTION("IF(REGEXMATCH(C172, ""M""), ""o"",""x"")"),"x")</f>
        <v>x</v>
      </c>
      <c r="CG172" s="245" t="str">
        <f>IFERROR(__xludf.DUMMYFUNCTION("IF(REGEXMATCH(C172, ""P""), ""o"",""x"")"),"o")</f>
        <v>o</v>
      </c>
      <c r="CH172" s="246" t="str">
        <f>IFERROR(__xludf.DUMMYFUNCTION("IF(REGEXMATCH(C172, ""d""), ""o"",""x"")"),"o")</f>
        <v>o</v>
      </c>
      <c r="CI172" s="245" t="str">
        <f>IFERROR(__xludf.DUMMYFUNCTION("IF(REGEXMATCH(C172, ""D""), ""o"",""x"")"),"x")</f>
        <v>x</v>
      </c>
      <c r="CJ172" s="245" t="str">
        <f>IFERROR(__xludf.DUMMYFUNCTION("IF(REGEXMATCH(C172, ""n""), ""o"",""x"")"),"o")</f>
        <v>o</v>
      </c>
      <c r="CK172" s="245" t="str">
        <f>IFERROR(__xludf.DUMMYFUNCTION("IF(REGEXMATCH(C172, ""N""), ""o"",""x"")"),"x")</f>
        <v>x</v>
      </c>
      <c r="CL172" s="356" t="str">
        <f>IFERROR(__xludf.DUMMYFUNCTION("IF(REGEXMATCH(C172, ""S""), ""x"",""x"")"),"x")</f>
        <v>x</v>
      </c>
      <c r="CM172" s="357" t="str">
        <f t="shared" si="33"/>
        <v>xxooxoxooxox</v>
      </c>
      <c r="CN172" s="358">
        <f t="shared" si="34"/>
        <v>3</v>
      </c>
      <c r="CO172" s="246" t="str">
        <f>IFERROR(__xludf.DUMMYFUNCTION("IF(REGEXMATCH($C172, ""S""), ""S"",""S"")"),"S")</f>
        <v>S</v>
      </c>
      <c r="CP172" s="246" t="str">
        <f>IFERROR(__xludf.DUMMYFUNCTION("IF(REGEXMATCH($C172, ""r""), """",""r"")"),"r")</f>
        <v>r</v>
      </c>
      <c r="CQ172" s="246" t="str">
        <f>IFERROR(__xludf.DUMMYFUNCTION("IF(REGEXMATCH($C172, ""R""), """",""R"")"),"")</f>
        <v/>
      </c>
      <c r="CR172" s="246" t="str">
        <f>IFERROR(__xludf.DUMMYFUNCTION("IF(REGEXMATCH($C172, ""g""), """",""g"")"),"")</f>
        <v/>
      </c>
      <c r="CS172" s="246" t="str">
        <f>IFERROR(__xludf.DUMMYFUNCTION("IF(REGEXMATCH($C172, ""G""), """",""G"")"),"G")</f>
        <v>G</v>
      </c>
      <c r="CT172" s="246" t="str">
        <f>IFERROR(__xludf.DUMMYFUNCTION("IF(REGEXMATCH($C172, ""m""), """",""m"")"),"")</f>
        <v/>
      </c>
      <c r="CU172" s="246" t="str">
        <f>IFERROR(__xludf.DUMMYFUNCTION("IF(REGEXMATCH($C172, ""M""), """",""M"")"),"M")</f>
        <v>M</v>
      </c>
      <c r="CV172" s="246" t="str">
        <f>IFERROR(__xludf.DUMMYFUNCTION("IF(REGEXMATCH($C172, ""P""), """",""P"")"),"")</f>
        <v/>
      </c>
      <c r="CW172" s="246" t="str">
        <f>IFERROR(__xludf.DUMMYFUNCTION("IF(REGEXMATCH($C172, ""d""), """",""d"")"),"")</f>
        <v/>
      </c>
      <c r="CX172" s="246" t="str">
        <f>IFERROR(__xludf.DUMMYFUNCTION("IF(REGEXMATCH($C172, ""D""), """",""D"")"),"D")</f>
        <v>D</v>
      </c>
      <c r="CY172" s="246" t="str">
        <f>IFERROR(__xludf.DUMMYFUNCTION("IF(REGEXMATCH($C172, ""n""), """",""n"")"),"")</f>
        <v/>
      </c>
      <c r="CZ172" s="246" t="str">
        <f>IFERROR(__xludf.DUMMYFUNCTION("IF(REGEXMATCH($C172, ""N""), """",""N"")"),"N")</f>
        <v>N</v>
      </c>
      <c r="DA172" s="246" t="str">
        <f>IFERROR(__xludf.DUMMYFUNCTION("IF(REGEXMATCH($C172, ""S""), ""S"",""S"")"),"S")</f>
        <v>S</v>
      </c>
      <c r="DB172" s="362" t="str">
        <f>IFERROR(__xludf.DUMMYFUNCTION("JOIN("""",CO172:DA172,"""","""")"),"SrGMDNS")</f>
        <v>SrGMDNS</v>
      </c>
      <c r="DC172" s="363"/>
      <c r="DD172" s="301" t="str">
        <f t="shared" si="35"/>
        <v>#REF!</v>
      </c>
      <c r="DE172" s="302" t="str">
        <f t="shared" si="36"/>
        <v>#REF!</v>
      </c>
      <c r="DF172" s="301" t="str">
        <f t="shared" ref="DF172:DG172" si="555">SUBSTITUTE(S172,"-","")</f>
        <v>SRGM</v>
      </c>
      <c r="DG172" s="301" t="str">
        <f t="shared" si="555"/>
        <v>PDNS</v>
      </c>
      <c r="DH172" s="302" t="str">
        <f t="shared" si="38"/>
        <v>Bilawal</v>
      </c>
      <c r="DI172" s="301" t="str">
        <f t="shared" si="39"/>
        <v>Hemi.</v>
      </c>
      <c r="DJ172" s="364" t="str">
        <f t="shared" si="40"/>
        <v>-</v>
      </c>
      <c r="DK172" s="306" t="str">
        <f t="shared" si="41"/>
        <v>Asavari</v>
      </c>
      <c r="DL172" s="366" t="str">
        <f t="shared" si="42"/>
        <v>-</v>
      </c>
      <c r="DM172" s="308" t="str">
        <f t="shared" si="43"/>
        <v>-</v>
      </c>
      <c r="DN172" s="306" t="str">
        <f t="shared" si="44"/>
        <v>-</v>
      </c>
      <c r="DO172" s="306" t="str">
        <f t="shared" si="45"/>
        <v>-</v>
      </c>
      <c r="DP172" s="367" t="str">
        <f t="shared" si="46"/>
        <v>-</v>
      </c>
      <c r="DQ172" s="310" t="str">
        <f t="shared" si="47"/>
        <v>-</v>
      </c>
      <c r="DR172" s="310" t="str">
        <f t="shared" si="48"/>
        <v>-</v>
      </c>
      <c r="DS172" s="310" t="str">
        <f t="shared" si="49"/>
        <v>-</v>
      </c>
      <c r="DT172" s="310" t="str">
        <f t="shared" si="50"/>
        <v>-</v>
      </c>
      <c r="DU172" s="370" t="str">
        <f t="shared" si="51"/>
        <v>-</v>
      </c>
      <c r="DV172" s="306" t="str">
        <f t="shared" si="52"/>
        <v>-</v>
      </c>
      <c r="DW172" s="306" t="str">
        <f t="shared" si="53"/>
        <v>-</v>
      </c>
      <c r="DX172" s="306" t="str">
        <f t="shared" si="54"/>
        <v>-</v>
      </c>
      <c r="DY172" s="306" t="str">
        <f t="shared" si="55"/>
        <v>-</v>
      </c>
      <c r="DZ172" s="306" t="str">
        <f t="shared" si="56"/>
        <v>-</v>
      </c>
      <c r="EA172" s="367" t="str">
        <f t="shared" si="57"/>
        <v>-</v>
      </c>
      <c r="EB172" s="310" t="str">
        <f>IFERROR(__xludf.DUMMYFUNCTION("IF(REGEXMATCH(AW172,AS172),""✔"",""-"")"),"✔")</f>
        <v>✔</v>
      </c>
      <c r="EC172" s="310" t="str">
        <f t="shared" si="58"/>
        <v>#REF!</v>
      </c>
      <c r="ED172" s="370" t="str">
        <f t="shared" si="59"/>
        <v>-</v>
      </c>
      <c r="EE172" s="340" t="str">
        <f t="shared" si="60"/>
        <v>S-R-g-m-P-d-n-S</v>
      </c>
      <c r="EF172" s="371" t="str">
        <f>IFERROR(__xludf.DUMMYFUNCTION("CONCATENATE(JOIN("""",HC172:HO172))"),"SRGmPDnS")</f>
        <v>SRGmPDnS</v>
      </c>
      <c r="EG172" s="372">
        <f t="shared" si="61"/>
        <v>1</v>
      </c>
      <c r="EH172" s="373" t="str">
        <f>IFERROR(__xludf.DUMMYFUNCTION("CONCATENATE(JOIN("""",JC172:JO172))"),"Re, ")</f>
        <v>Re, </v>
      </c>
      <c r="EI172" s="322">
        <f t="shared" si="62"/>
        <v>0</v>
      </c>
      <c r="EJ172" s="374" t="str">
        <f>IFERROR(__xludf.DUMMYFUNCTION("CONCATENATE(JOIN("""",KC172:KO172))"),"")</f>
        <v/>
      </c>
      <c r="EK172" s="325" t="str">
        <f t="shared" si="63"/>
        <v>S-R2-G2-M1-P-D1-N2-S</v>
      </c>
      <c r="EL172" s="326" t="str">
        <f t="shared" si="64"/>
        <v>1-2-b3-4-5-b6-b7-8</v>
      </c>
      <c r="EM172" s="318" t="str">
        <f t="shared" si="65"/>
        <v>#REF!</v>
      </c>
      <c r="EN172" s="328" t="str">
        <f>IFERROR(__xludf.DUMMYFUNCTION("SUBSTITUTE(SUBSTITUTE(SUBSTITUTE(SUBSTITUTE(CONCATENATE(JOIN("" "",HP172:IB172)),""  "","" ""),""  "","" ""),""  "","" ""),""  "","" "")"),"o • o o • o • o o • o • o")</f>
        <v>o • o o • o • o o • o • o</v>
      </c>
      <c r="EO172" s="368" t="str">
        <f t="shared" si="66"/>
        <v>-</v>
      </c>
      <c r="EP172" s="339" t="str">
        <f t="shared" si="67"/>
        <v>-</v>
      </c>
      <c r="EQ172" s="339" t="str">
        <f t="shared" si="68"/>
        <v>Sa-Pa</v>
      </c>
      <c r="ER172" s="339" t="str">
        <f t="shared" si="69"/>
        <v>-</v>
      </c>
      <c r="ES172" s="340" t="str">
        <f t="shared" si="70"/>
        <v>-</v>
      </c>
      <c r="ET172" s="363"/>
      <c r="EU172" s="376" t="b">
        <f>IFERROR(__xludf.DUMMYFUNCTION("arrayformula(sum(--REGEXMATCH(""SRGMPDNS"",split(REGEXREPLACE(C172,""(.)"",""$1~""),""~""))))=len(C172)
"),FALSE)</f>
        <v>0</v>
      </c>
      <c r="EV172" s="290" t="b">
        <f>IFERROR(__xludf.DUMMYFUNCTION("arrayformula(sum(--REGEXMATCH(""SRGmPDNS"",split(REGEXREPLACE(C172,""(.)"",""$1~""),""~""))))=len(C172)"),FALSE)</f>
        <v>0</v>
      </c>
      <c r="EW172" s="290" t="b">
        <f>IFERROR(__xludf.DUMMYFUNCTION("arrayformula(sum(--REGEXMATCH(""SRGmPDnS"",split(REGEXREPLACE(C172,""(.)"",""$1~""),""~""))))=len(C172)"),FALSE)</f>
        <v>0</v>
      </c>
      <c r="EX172" s="290" t="b">
        <f>IFERROR(__xludf.DUMMYFUNCTION("arrayformula(sum(--REGEXMATCH(""SRgmPDnS"",split(REGEXREPLACE(C172,""(.)"",""$1~""),""~""))))=len(C172)"),FALSE)</f>
        <v>0</v>
      </c>
      <c r="EY172" s="290" t="b">
        <f>IFERROR(__xludf.DUMMYFUNCTION("arrayformula(sum(--REGEXMATCH(""SRgmPdnS"",split(REGEXREPLACE(C172,""(.)"",""$1~""),""~""))))=len(C172)"),TRUE)</f>
        <v>1</v>
      </c>
      <c r="EZ172" s="290" t="b">
        <f>IFERROR(__xludf.DUMMYFUNCTION("arrayformula(sum(--REGEXMATCH(""SrgmPdnS"",split(REGEXREPLACE(C172,""(.)"",""$1~""),""~""))))=len(C172)"),FALSE)</f>
        <v>0</v>
      </c>
      <c r="FA172" s="290" t="b">
        <f>IFERROR(__xludf.DUMMYFUNCTION("arrayformula(sum(--REGEXMATCH(""SrGmPdNS"",split(REGEXREPLACE(C172,""(.)"",""$1~""),""~""))))=len(C172)"),FALSE)</f>
        <v>0</v>
      </c>
      <c r="FB172" s="290" t="b">
        <f>IFERROR(__xludf.DUMMYFUNCTION("arrayformula(sum(--REGEXMATCH(""SrGMPDNS"",split(REGEXREPLACE(C172,""(.)"",""$1~""),""~""))))=len(C172)"),FALSE)</f>
        <v>0</v>
      </c>
      <c r="FC172" s="290" t="b">
        <f>IFERROR(__xludf.DUMMYFUNCTION("arrayformula(sum(--REGEXMATCH(""SrGMPdNS"",split(REGEXREPLACE(C172,""(.)"",""$1~""),""~""))))=len(C172)"),FALSE)</f>
        <v>0</v>
      </c>
      <c r="FD172" s="377" t="b">
        <f>IFERROR(__xludf.DUMMYFUNCTION("arrayformula(sum(--REGEXMATCH(""SrgMPdNS"",split(REGEXREPLACE(C172,""(.)"",""$1~""),""~""))))=len(C172)"),FALSE)</f>
        <v>0</v>
      </c>
      <c r="FE172" s="269" t="str">
        <f t="shared" si="71"/>
        <v>-</v>
      </c>
      <c r="FF172" s="269" t="str">
        <f t="shared" si="72"/>
        <v>xxoxoxxoxox</v>
      </c>
      <c r="FG172" s="271" t="str">
        <f t="shared" si="73"/>
        <v>xoxoxxoxoxo</v>
      </c>
      <c r="FH172" s="269" t="str">
        <f t="shared" si="74"/>
        <v>-</v>
      </c>
      <c r="FI172" s="271" t="str">
        <f t="shared" si="75"/>
        <v>xoxxoxoxoxx</v>
      </c>
      <c r="FJ172" s="271" t="str">
        <f t="shared" si="76"/>
        <v>-</v>
      </c>
      <c r="FK172" s="271" t="str">
        <f t="shared" si="77"/>
        <v>xxoxoxoxxox</v>
      </c>
      <c r="FL172" s="271" t="str">
        <f t="shared" si="78"/>
        <v>xoxoxoxxoxo</v>
      </c>
      <c r="FM172" s="271" t="str">
        <f t="shared" si="79"/>
        <v>-</v>
      </c>
      <c r="FN172" s="271" t="str">
        <f t="shared" si="80"/>
        <v>xoxoxxoxoxx</v>
      </c>
      <c r="FO172" s="274" t="str">
        <f t="shared" si="81"/>
        <v>-</v>
      </c>
      <c r="FP172" s="234" t="str">
        <f t="shared" si="82"/>
        <v>|</v>
      </c>
      <c r="FQ172" s="236" t="str">
        <f t="shared" si="83"/>
        <v>-</v>
      </c>
      <c r="FR172" s="237" t="str">
        <f t="shared" si="84"/>
        <v>|</v>
      </c>
      <c r="FS172" s="236" t="str">
        <f t="shared" si="85"/>
        <v>|</v>
      </c>
      <c r="FT172" s="237" t="str">
        <f t="shared" si="86"/>
        <v>-</v>
      </c>
      <c r="FU172" s="236" t="str">
        <f t="shared" si="87"/>
        <v>|</v>
      </c>
      <c r="FV172" s="237" t="str">
        <f t="shared" si="88"/>
        <v>-</v>
      </c>
      <c r="FW172" s="236" t="str">
        <f t="shared" si="89"/>
        <v>|</v>
      </c>
      <c r="FX172" s="237" t="str">
        <f t="shared" si="90"/>
        <v>|</v>
      </c>
      <c r="FY172" s="236" t="str">
        <f t="shared" si="91"/>
        <v>-</v>
      </c>
      <c r="FZ172" s="237" t="str">
        <f t="shared" si="92"/>
        <v>|</v>
      </c>
      <c r="GA172" s="236" t="str">
        <f t="shared" si="93"/>
        <v>-</v>
      </c>
      <c r="GB172" s="238" t="str">
        <f t="shared" si="94"/>
        <v>|</v>
      </c>
      <c r="GC172" s="244" t="str">
        <f>IFERROR(__xludf.DUMMYFUNCTION("IF(REGEXMATCH(C172, ""S""), ""1"","""")"),"1")</f>
        <v>1</v>
      </c>
      <c r="GD172" s="245" t="str">
        <f>IFERROR(__xludf.DUMMYFUNCTION("IF(REGEXMATCH(C172, ""r""), ""b2"","""")"),"")</f>
        <v/>
      </c>
      <c r="GE172" s="246" t="str">
        <f>IFERROR(__xludf.DUMMYFUNCTION("IF(REGEXMATCH(C172, ""R""), ""2"","""")"),"2")</f>
        <v>2</v>
      </c>
      <c r="GF172" s="246" t="str">
        <f>IFERROR(__xludf.DUMMYFUNCTION("IF(REGEXMATCH(C172, ""g""), ""b3"","""")"),"b3")</f>
        <v>b3</v>
      </c>
      <c r="GG172" s="245" t="str">
        <f>IFERROR(__xludf.DUMMYFUNCTION("IF(REGEXMATCH(C172, ""G""), ""3"","""")"),"")</f>
        <v/>
      </c>
      <c r="GH172" s="245" t="str">
        <f>IFERROR(__xludf.DUMMYFUNCTION("IF(REGEXMATCH(C172, ""m""), ""4"","""")"),"4")</f>
        <v>4</v>
      </c>
      <c r="GI172" s="246" t="str">
        <f>IFERROR(__xludf.DUMMYFUNCTION("IF(REGEXMATCH(C172, ""M""), ""#4"","""")"),"")</f>
        <v/>
      </c>
      <c r="GJ172" s="245" t="str">
        <f>IFERROR(__xludf.DUMMYFUNCTION("IF(REGEXMATCH(C172, ""P""), ""5"","""")"),"5")</f>
        <v>5</v>
      </c>
      <c r="GK172" s="246" t="str">
        <f>IFERROR(__xludf.DUMMYFUNCTION("IF(REGEXMATCH(C172, ""d""), ""b6"","""")"),"b6")</f>
        <v>b6</v>
      </c>
      <c r="GL172" s="245" t="str">
        <f>IFERROR(__xludf.DUMMYFUNCTION("IF(REGEXMATCH(C172, ""D""), ""6"","""")"),"")</f>
        <v/>
      </c>
      <c r="GM172" s="245" t="str">
        <f>IFERROR(__xludf.DUMMYFUNCTION("IF(REGEXMATCH(C172, ""n""), ""b7"","""")"),"b7")</f>
        <v>b7</v>
      </c>
      <c r="GN172" s="246" t="str">
        <f>IFERROR(__xludf.DUMMYFUNCTION("IF(REGEXMATCH(C172, ""N""), ""7"","""")"),"")</f>
        <v/>
      </c>
      <c r="GO172" s="249" t="str">
        <f>IFERROR(__xludf.DUMMYFUNCTION("IF(REGEXMATCH(C172, ""S""), ""8"","""")"),"8")</f>
        <v>8</v>
      </c>
      <c r="GP172" s="244" t="str">
        <f>IFERROR(__xludf.DUMMYFUNCTION("IF(REGEXMATCH(C172, ""S""), ""S"","""")"),"S")</f>
        <v>S</v>
      </c>
      <c r="GQ172" s="294" t="str">
        <f>IFERROR(__xludf.DUMMYFUNCTION("IF(REGEXMATCH(C172, ""r""), ""R1"","""")"),"")</f>
        <v/>
      </c>
      <c r="GR172" s="295" t="str">
        <f>IFERROR(__xludf.DUMMYFUNCTION("IF(REGEXMATCH(C172, ""R""), ""R2"","""")"),"R2")</f>
        <v>R2</v>
      </c>
      <c r="GS172" s="295" t="str">
        <f>IFERROR(__xludf.DUMMYFUNCTION("IF(REGEXMATCH(C172, ""g""), ""G2"","""")"),"G2")</f>
        <v>G2</v>
      </c>
      <c r="GT172" s="294" t="str">
        <f>IFERROR(__xludf.DUMMYFUNCTION("IF(REGEXMATCH(C172, ""G""), ""G3"","""")"),"")</f>
        <v/>
      </c>
      <c r="GU172" s="294" t="str">
        <f>IFERROR(__xludf.DUMMYFUNCTION("IF(REGEXMATCH(C172, ""m""), ""M1"","""")"),"M1")</f>
        <v>M1</v>
      </c>
      <c r="GV172" s="295" t="str">
        <f>IFERROR(__xludf.DUMMYFUNCTION("IF(REGEXMATCH(C172, ""M""), ""M2"","""")"),"")</f>
        <v/>
      </c>
      <c r="GW172" s="294" t="str">
        <f>IFERROR(__xludf.DUMMYFUNCTION("IF(REGEXMATCH(C172, ""P""), ""P"","""")"),"P")</f>
        <v>P</v>
      </c>
      <c r="GX172" s="295" t="str">
        <f>IFERROR(__xludf.DUMMYFUNCTION("IF(REGEXMATCH(C172, ""d""), ""D1"","""")"),"D1")</f>
        <v>D1</v>
      </c>
      <c r="GY172" s="294" t="str">
        <f>IFERROR(__xludf.DUMMYFUNCTION("IF(REGEXMATCH(C172, ""D""), ""D2"","""")"),"")</f>
        <v/>
      </c>
      <c r="GZ172" s="294" t="str">
        <f>IFERROR(__xludf.DUMMYFUNCTION("IF(REGEXMATCH(C172, ""n""), ""N2"","""")"),"N2")</f>
        <v>N2</v>
      </c>
      <c r="HA172" s="295" t="str">
        <f>IFERROR(__xludf.DUMMYFUNCTION("IF(REGEXMATCH(C172, ""N""), ""N3"","""")"),"")</f>
        <v/>
      </c>
      <c r="HB172" s="249" t="str">
        <f>IFERROR(__xludf.DUMMYFUNCTION("IF(REGEXMATCH(C172, ""S""), ""S"","""")"),"S")</f>
        <v>S</v>
      </c>
      <c r="HC172" s="331" t="str">
        <f t="shared" si="95"/>
        <v>S</v>
      </c>
      <c r="HD172" s="332" t="str">
        <f t="shared" si="96"/>
        <v/>
      </c>
      <c r="HE172" s="332" t="str">
        <f t="shared" si="97"/>
        <v>R</v>
      </c>
      <c r="HF172" s="332" t="str">
        <f t="shared" si="98"/>
        <v/>
      </c>
      <c r="HG172" s="332" t="str">
        <f t="shared" si="99"/>
        <v>G</v>
      </c>
      <c r="HH172" s="332" t="str">
        <f t="shared" si="100"/>
        <v>m</v>
      </c>
      <c r="HI172" s="332" t="str">
        <f t="shared" si="101"/>
        <v/>
      </c>
      <c r="HJ172" s="332" t="str">
        <f t="shared" si="102"/>
        <v>P</v>
      </c>
      <c r="HK172" s="332" t="str">
        <f t="shared" si="103"/>
        <v/>
      </c>
      <c r="HL172" s="332" t="str">
        <f t="shared" si="104"/>
        <v>D</v>
      </c>
      <c r="HM172" s="332" t="str">
        <f t="shared" si="105"/>
        <v>n</v>
      </c>
      <c r="HN172" s="332" t="str">
        <f t="shared" si="106"/>
        <v/>
      </c>
      <c r="HO172" s="343" t="str">
        <f t="shared" si="107"/>
        <v>S</v>
      </c>
      <c r="HP172" s="331" t="str">
        <f t="shared" si="108"/>
        <v>o</v>
      </c>
      <c r="HQ172" s="332" t="str">
        <f t="shared" si="109"/>
        <v>•</v>
      </c>
      <c r="HR172" s="332" t="str">
        <f t="shared" si="110"/>
        <v>o</v>
      </c>
      <c r="HS172" s="332" t="str">
        <f t="shared" si="111"/>
        <v>o</v>
      </c>
      <c r="HT172" s="332" t="str">
        <f t="shared" si="112"/>
        <v>•</v>
      </c>
      <c r="HU172" s="332" t="str">
        <f t="shared" si="113"/>
        <v>o</v>
      </c>
      <c r="HV172" s="332" t="str">
        <f t="shared" si="114"/>
        <v>•</v>
      </c>
      <c r="HW172" s="332" t="str">
        <f t="shared" si="115"/>
        <v>o</v>
      </c>
      <c r="HX172" s="332" t="str">
        <f t="shared" si="116"/>
        <v>o</v>
      </c>
      <c r="HY172" s="332" t="str">
        <f t="shared" si="117"/>
        <v>•</v>
      </c>
      <c r="HZ172" s="332" t="str">
        <f t="shared" si="118"/>
        <v>o</v>
      </c>
      <c r="IA172" s="332" t="str">
        <f t="shared" si="119"/>
        <v>•</v>
      </c>
      <c r="IB172" s="338" t="str">
        <f t="shared" si="120"/>
        <v>o</v>
      </c>
      <c r="IC172" s="331" t="str">
        <f t="shared" si="121"/>
        <v>•</v>
      </c>
      <c r="ID172" s="332" t="str">
        <f t="shared" si="122"/>
        <v>o</v>
      </c>
      <c r="IE172" s="332" t="str">
        <f t="shared" si="123"/>
        <v>•</v>
      </c>
      <c r="IF172" s="332" t="str">
        <f t="shared" si="124"/>
        <v>•</v>
      </c>
      <c r="IG172" s="332" t="str">
        <f t="shared" si="125"/>
        <v>o</v>
      </c>
      <c r="IH172" s="332" t="str">
        <f t="shared" si="126"/>
        <v>•</v>
      </c>
      <c r="II172" s="332" t="str">
        <f t="shared" si="127"/>
        <v>o</v>
      </c>
      <c r="IJ172" s="332" t="str">
        <f t="shared" si="128"/>
        <v>•</v>
      </c>
      <c r="IK172" s="332" t="str">
        <f t="shared" si="129"/>
        <v>•</v>
      </c>
      <c r="IL172" s="332" t="str">
        <f t="shared" si="130"/>
        <v>o</v>
      </c>
      <c r="IM172" s="332" t="str">
        <f t="shared" si="131"/>
        <v>•</v>
      </c>
      <c r="IN172" s="332" t="str">
        <f t="shared" si="132"/>
        <v>o</v>
      </c>
      <c r="IO172" s="338" t="str">
        <f t="shared" si="133"/>
        <v>•</v>
      </c>
      <c r="IP172" s="346" t="b">
        <f t="shared" si="134"/>
        <v>0</v>
      </c>
      <c r="IQ172" s="347" t="b">
        <f t="shared" si="135"/>
        <v>0</v>
      </c>
      <c r="IR172" s="347" t="b">
        <f t="shared" si="136"/>
        <v>1</v>
      </c>
      <c r="IS172" s="347" t="b">
        <f t="shared" si="137"/>
        <v>0</v>
      </c>
      <c r="IT172" s="347" t="b">
        <f t="shared" si="138"/>
        <v>0</v>
      </c>
      <c r="IU172" s="347" t="b">
        <f t="shared" si="139"/>
        <v>0</v>
      </c>
      <c r="IV172" s="347" t="b">
        <f t="shared" si="140"/>
        <v>0</v>
      </c>
      <c r="IW172" s="347" t="b">
        <f t="shared" si="141"/>
        <v>0</v>
      </c>
      <c r="IX172" s="347" t="b">
        <f t="shared" si="142"/>
        <v>0</v>
      </c>
      <c r="IY172" s="347" t="b">
        <f t="shared" si="143"/>
        <v>0</v>
      </c>
      <c r="IZ172" s="347" t="b">
        <f t="shared" si="144"/>
        <v>0</v>
      </c>
      <c r="JA172" s="347" t="b">
        <f t="shared" si="145"/>
        <v>0</v>
      </c>
      <c r="JB172" s="353" t="b">
        <f t="shared" si="146"/>
        <v>0</v>
      </c>
      <c r="JC172" s="354" t="str">
        <f t="shared" si="147"/>
        <v/>
      </c>
      <c r="JD172" s="355" t="str">
        <f t="shared" si="148"/>
        <v/>
      </c>
      <c r="JE172" s="355" t="str">
        <f t="shared" si="149"/>
        <v>Re, </v>
      </c>
      <c r="JF172" s="355" t="str">
        <f t="shared" si="150"/>
        <v/>
      </c>
      <c r="JG172" s="355" t="str">
        <f t="shared" si="151"/>
        <v/>
      </c>
      <c r="JH172" s="355" t="str">
        <f t="shared" si="152"/>
        <v/>
      </c>
      <c r="JI172" s="355" t="str">
        <f t="shared" si="153"/>
        <v/>
      </c>
      <c r="JJ172" s="355" t="str">
        <f t="shared" si="154"/>
        <v/>
      </c>
      <c r="JK172" s="355" t="str">
        <f t="shared" si="155"/>
        <v/>
      </c>
      <c r="JL172" s="355" t="str">
        <f t="shared" si="156"/>
        <v/>
      </c>
      <c r="JM172" s="355" t="str">
        <f t="shared" si="157"/>
        <v/>
      </c>
      <c r="JN172" s="355" t="str">
        <f t="shared" si="158"/>
        <v/>
      </c>
      <c r="JO172" s="359" t="str">
        <f t="shared" si="159"/>
        <v/>
      </c>
      <c r="JP172" s="346" t="b">
        <f t="shared" si="160"/>
        <v>0</v>
      </c>
      <c r="JQ172" s="347" t="b">
        <f t="shared" si="161"/>
        <v>0</v>
      </c>
      <c r="JR172" s="347" t="b">
        <f t="shared" si="162"/>
        <v>0</v>
      </c>
      <c r="JS172" s="347" t="b">
        <f t="shared" si="163"/>
        <v>0</v>
      </c>
      <c r="JT172" s="347" t="b">
        <f t="shared" si="164"/>
        <v>0</v>
      </c>
      <c r="JU172" s="347" t="b">
        <f t="shared" si="165"/>
        <v>0</v>
      </c>
      <c r="JV172" s="347" t="b">
        <f t="shared" si="166"/>
        <v>0</v>
      </c>
      <c r="JW172" s="347" t="b">
        <f t="shared" si="167"/>
        <v>0</v>
      </c>
      <c r="JX172" s="347" t="b">
        <f t="shared" si="168"/>
        <v>0</v>
      </c>
      <c r="JY172" s="347" t="b">
        <f t="shared" si="169"/>
        <v>0</v>
      </c>
      <c r="JZ172" s="347" t="b">
        <f t="shared" si="170"/>
        <v>0</v>
      </c>
      <c r="KA172" s="347" t="b">
        <f t="shared" si="171"/>
        <v>0</v>
      </c>
      <c r="KB172" s="365" t="b">
        <f t="shared" si="172"/>
        <v>0</v>
      </c>
      <c r="KC172" s="354" t="str">
        <f t="shared" si="173"/>
        <v/>
      </c>
      <c r="KD172" s="355" t="str">
        <f t="shared" si="174"/>
        <v/>
      </c>
      <c r="KE172" s="355" t="str">
        <f t="shared" si="175"/>
        <v/>
      </c>
      <c r="KF172" s="355" t="str">
        <f t="shared" si="176"/>
        <v/>
      </c>
      <c r="KG172" s="355" t="str">
        <f t="shared" si="177"/>
        <v/>
      </c>
      <c r="KH172" s="355" t="str">
        <f t="shared" si="178"/>
        <v/>
      </c>
      <c r="KI172" s="355" t="str">
        <f t="shared" si="179"/>
        <v/>
      </c>
      <c r="KJ172" s="355" t="str">
        <f t="shared" si="180"/>
        <v/>
      </c>
      <c r="KK172" s="355" t="str">
        <f t="shared" si="181"/>
        <v/>
      </c>
      <c r="KL172" s="355" t="str">
        <f t="shared" si="182"/>
        <v/>
      </c>
      <c r="KM172" s="355" t="str">
        <f t="shared" si="183"/>
        <v/>
      </c>
      <c r="KN172" s="355" t="str">
        <f t="shared" si="184"/>
        <v/>
      </c>
      <c r="KO172" s="359"/>
      <c r="KP172" s="378"/>
      <c r="KQ172" s="379" t="s">
        <v>397</v>
      </c>
      <c r="KR172" s="380" t="s">
        <v>431</v>
      </c>
      <c r="KS172" s="381" t="str">
        <f t="shared" ref="KS172:KS173" si="558">KQ172</f>
        <v>S-g-m-d-n-S</v>
      </c>
      <c r="KT172" s="382">
        <f t="shared" si="186"/>
        <v>5</v>
      </c>
      <c r="KU172" s="383">
        <f t="shared" si="187"/>
        <v>5</v>
      </c>
      <c r="KV172" s="381" t="str">
        <f t="shared" si="205"/>
        <v>S-n-d-P-m-g-R-S</v>
      </c>
      <c r="KW172" s="382">
        <f t="shared" si="189"/>
        <v>7</v>
      </c>
      <c r="KX172" s="384">
        <f t="shared" si="190"/>
        <v>7</v>
      </c>
      <c r="KY172" s="382">
        <f t="shared" ref="KY172:KZ172" si="556">KW172-KT172</f>
        <v>2</v>
      </c>
      <c r="KZ172" s="369">
        <f t="shared" si="556"/>
        <v>2</v>
      </c>
      <c r="LA172" s="385" t="str">
        <f t="shared" si="192"/>
        <v>-</v>
      </c>
      <c r="LB172" s="340" t="str">
        <f>IFERROR(__xludf.DUMMYFUNCTION("JOIN("""",ArrayFormula(MID(KS172,LEN(KS172)-SEQUENCE(1,LEN(KS172))+1,1)))"),"S-n-d-m-g-S")</f>
        <v>S-n-d-m-g-S</v>
      </c>
      <c r="LC172" s="373" t="str">
        <f>IFERROR(__xludf.DUMMYFUNCTION("JOIN("""",ArrayFormula(MID(KV172,LEN(KV172)-SEQUENCE(1,LEN(KV172))+1,1)))"),"S-R-g-m-P-d-n-S")</f>
        <v>S-R-g-m-P-d-n-S</v>
      </c>
      <c r="LD172" s="373" t="str">
        <f t="shared" si="193"/>
        <v>SgmdnS</v>
      </c>
      <c r="LE172" s="339" t="str">
        <f t="shared" si="194"/>
        <v>SRgmPdnS</v>
      </c>
      <c r="LF172" s="386" t="str">
        <f>IFERROR(__xludf.DUMMYFUNCTION("SUBSTITUTE(SUBSTITUTE(CONCATENATE(JOIN("""",LH172:LT172)),""1"",""""),""2"","""")"),"SRgmPdnS")</f>
        <v>SRgmPdnS</v>
      </c>
      <c r="LG172" s="369" t="str">
        <f t="shared" si="195"/>
        <v>✔</v>
      </c>
      <c r="LH172" s="387" t="str">
        <f>IFERROR(__xludf.DUMMYFUNCTION("IF(REGEXMATCH(LD172, ""S""), ""S"",IF(REGEXMATCH(LE172, ""S""), ""S"",""""))"),"S")</f>
        <v>S</v>
      </c>
      <c r="LI172" s="299" t="str">
        <f>IFERROR(__xludf.DUMMYFUNCTION("IF(REGEXMATCH(LD172, ""r""), ""r1"",IF(REGEXMATCH(LE172, ""r""), ""r2"",""""))"),"")</f>
        <v/>
      </c>
      <c r="LJ172" s="299" t="str">
        <f>IFERROR(__xludf.DUMMYFUNCTION("IF(REGEXMATCH(LD172, ""R""), ""R1"",IF(REGEXMATCH(LE172, ""R""), ""R2"",""""))"),"R2")</f>
        <v>R2</v>
      </c>
      <c r="LK172" s="299" t="str">
        <f>IFERROR(__xludf.DUMMYFUNCTION("IF(REGEXMATCH(LD172, ""g""), ""g1"",IF(REGEXMATCH(LE172, ""g""), ""g2"",""""))"),"g1")</f>
        <v>g1</v>
      </c>
      <c r="LL172" s="299" t="str">
        <f>IFERROR(__xludf.DUMMYFUNCTION("IF(REGEXMATCH(LD172, ""G""), ""G1"",IF(REGEXMATCH(LE172, ""G""), ""G2"",""""))"),"")</f>
        <v/>
      </c>
      <c r="LM172" s="299" t="str">
        <f>IFERROR(__xludf.DUMMYFUNCTION("IF(REGEXMATCH(LD172, ""m""), ""m1"",IF(REGEXMATCH(LE172, ""m""), ""m2"",""""))"),"m1")</f>
        <v>m1</v>
      </c>
      <c r="LN172" s="299" t="str">
        <f>IFERROR(__xludf.DUMMYFUNCTION("IF(REGEXMATCH(LD172, ""M""), ""M1"",IF(REGEXMATCH(LE172, ""M""), ""M2"",""""))"),"")</f>
        <v/>
      </c>
      <c r="LO172" s="299" t="str">
        <f>IFERROR(__xludf.DUMMYFUNCTION("IF(REGEXMATCH(LD172, ""P""), ""P1"",IF(REGEXMATCH(LE172, ""P""), ""P2"",""""))"),"P2")</f>
        <v>P2</v>
      </c>
      <c r="LP172" s="299" t="str">
        <f>IFERROR(__xludf.DUMMYFUNCTION("IF(REGEXMATCH(LD172, ""d""), ""d1"",IF(REGEXMATCH(LE172, ""d""), ""d2"",""""))"),"d1")</f>
        <v>d1</v>
      </c>
      <c r="LQ172" s="299" t="str">
        <f>IFERROR(__xludf.DUMMYFUNCTION("IF(REGEXMATCH(LD172, ""D""), ""D1"",IF(REGEXMATCH(LE172, ""D""), ""D2"",""""))"),"")</f>
        <v/>
      </c>
      <c r="LR172" s="299" t="str">
        <f>IFERROR(__xludf.DUMMYFUNCTION("IF(REGEXMATCH(LD172, ""n""), ""n1"",IF(REGEXMATCH(LE172, ""n""), ""n2"",""""))"),"n1")</f>
        <v>n1</v>
      </c>
      <c r="LS172" s="299" t="str">
        <f>IFERROR(__xludf.DUMMYFUNCTION("IF(REGEXMATCH(LD172, ""N""), ""N1"",IF(REGEXMATCH(LE172, ""N""), ""N2"",""""))"),"")</f>
        <v/>
      </c>
      <c r="LT172" s="388" t="str">
        <f>IFERROR(__xludf.DUMMYFUNCTION("IF(REGEXMATCH(LD172, ""S""), ""S"",IF(REGEXMATCH(LE172, ""S""), ""S"",""""))"),"S")</f>
        <v>S</v>
      </c>
      <c r="LU172" s="389">
        <f t="shared" si="196"/>
        <v>-3</v>
      </c>
      <c r="LV172" s="378"/>
      <c r="LW172" s="369"/>
      <c r="LX172" s="369"/>
    </row>
    <row r="173" ht="18.0" customHeight="1">
      <c r="A173" s="298" t="s">
        <v>859</v>
      </c>
      <c r="B173" s="222" t="s">
        <v>616</v>
      </c>
      <c r="C173" s="233" t="str">
        <f t="shared" si="7"/>
        <v>SGmDNS</v>
      </c>
      <c r="D173" s="234" t="str">
        <f>IFERROR(__xludf.DUMMYFUNCTION("IF(REGEXMATCH(C173, ""S""), ""S"","""")"),"S")</f>
        <v>S</v>
      </c>
      <c r="E173" s="236" t="str">
        <f>IFERROR(__xludf.DUMMYFUNCTION("IF(REGEXMATCH(C173, ""r""), ""r"","""")"),"")</f>
        <v/>
      </c>
      <c r="F173" s="237" t="str">
        <f>IFERROR(__xludf.DUMMYFUNCTION("IF(REGEXMATCH(C173, ""R""), ""R"","""")"),"")</f>
        <v/>
      </c>
      <c r="G173" s="237" t="str">
        <f>IFERROR(__xludf.DUMMYFUNCTION("IF(REGEXMATCH(C173, ""g""), ""g"","""")"),"")</f>
        <v/>
      </c>
      <c r="H173" s="236" t="str">
        <f>IFERROR(__xludf.DUMMYFUNCTION("IF(REGEXMATCH(C173, ""G""), ""G"","""")"),"G")</f>
        <v>G</v>
      </c>
      <c r="I173" s="236" t="str">
        <f>IFERROR(__xludf.DUMMYFUNCTION("IF(REGEXMATCH(C173, ""m""), ""m"","""")"),"m")</f>
        <v>m</v>
      </c>
      <c r="J173" s="237" t="str">
        <f>IFERROR(__xludf.DUMMYFUNCTION("IF(REGEXMATCH(C173, ""M""), ""M"","""")"),"")</f>
        <v/>
      </c>
      <c r="K173" s="236" t="str">
        <f>IFERROR(__xludf.DUMMYFUNCTION("IF(REGEXMATCH(C173, ""P""), ""P"","""")"),"")</f>
        <v/>
      </c>
      <c r="L173" s="237" t="str">
        <f>IFERROR(__xludf.DUMMYFUNCTION("IF(REGEXMATCH(C173, ""d""), ""d"","""")"),"")</f>
        <v/>
      </c>
      <c r="M173" s="236" t="str">
        <f>IFERROR(__xludf.DUMMYFUNCTION("IF(REGEXMATCH(C173, ""D""), ""D"","""")"),"D")</f>
        <v>D</v>
      </c>
      <c r="N173" s="236" t="str">
        <f>IFERROR(__xludf.DUMMYFUNCTION("IF(REGEXMATCH(C173, ""n""), ""n"","""")"),"")</f>
        <v/>
      </c>
      <c r="O173" s="237" t="str">
        <f>IFERROR(__xludf.DUMMYFUNCTION("IF(REGEXMATCH(C173, ""N""), ""N"","""")"),"N")</f>
        <v>N</v>
      </c>
      <c r="P173" s="238" t="str">
        <f>IFERROR(__xludf.DUMMYFUNCTION("IF(REGEXMATCH(C173, ""S""), ""S"","""")"),"S")</f>
        <v>S</v>
      </c>
      <c r="Q173" s="239" t="str">
        <f>IFERROR(__xludf.DUMMYFUNCTION("SUBSTITUTE(CONCATENATE(JOIN(""-"",D173:J173)),""-"","""")"),"SGm")</f>
        <v>SGm</v>
      </c>
      <c r="R173" s="229" t="str">
        <f>IFERROR(__xludf.DUMMYFUNCTION("SUBSTITUTE(CONCATENATE(JOIN(""-"",K173:P173)),""-"","""")"),"DNS")</f>
        <v>DNS</v>
      </c>
      <c r="S173" s="282" t="str">
        <f t="shared" si="8"/>
        <v>S-G-M</v>
      </c>
      <c r="T173" s="282" t="str">
        <f t="shared" si="9"/>
        <v>D-N-S</v>
      </c>
      <c r="U173" s="237" t="str">
        <f>IFERROR(__xludf.DUMMYFUNCTION("SUBSTITUTE(JOIN(""-"",S173,T173),""--"",""-"")"),"S-G-M-D-N-S")</f>
        <v>S-G-M-D-N-S</v>
      </c>
      <c r="V173" s="309" t="str">
        <f t="shared" si="10"/>
        <v>GmDN</v>
      </c>
      <c r="W173" s="244" t="str">
        <f>IFERROR(__xludf.DUMMYFUNCTION("IF(REGEXMATCH(C173, ""S""), ""0"","""")"),"0")</f>
        <v>0</v>
      </c>
      <c r="X173" s="245" t="str">
        <f>IFERROR(__xludf.DUMMYFUNCTION("IF(REGEXMATCH(C173, ""r""), ""1"","""")"),"")</f>
        <v/>
      </c>
      <c r="Y173" s="246" t="str">
        <f>IFERROR(__xludf.DUMMYFUNCTION("IF(REGEXMATCH(C173, ""R""), ""2"","""")"),"")</f>
        <v/>
      </c>
      <c r="Z173" s="246" t="str">
        <f>IFERROR(__xludf.DUMMYFUNCTION("IF(REGEXMATCH(C173, ""g""), ""3"","""")"),"")</f>
        <v/>
      </c>
      <c r="AA173" s="245" t="str">
        <f>IFERROR(__xludf.DUMMYFUNCTION("IF(REGEXMATCH(C173, ""G""), ""4"","""")"),"4")</f>
        <v>4</v>
      </c>
      <c r="AB173" s="245" t="str">
        <f>IFERROR(__xludf.DUMMYFUNCTION("IF(REGEXMATCH(C173, ""m""), ""5"","""")"),"5")</f>
        <v>5</v>
      </c>
      <c r="AC173" s="246" t="str">
        <f>IFERROR(__xludf.DUMMYFUNCTION("IF(REGEXMATCH(C173, ""M""), ""6"","""")"),"")</f>
        <v/>
      </c>
      <c r="AD173" s="245" t="str">
        <f>IFERROR(__xludf.DUMMYFUNCTION("IF(REGEXMATCH(C173, ""P""), ""7"","""")"),"")</f>
        <v/>
      </c>
      <c r="AE173" s="246" t="str">
        <f>IFERROR(__xludf.DUMMYFUNCTION("IF(REGEXMATCH(C173, ""d""), ""8"","""")"),"")</f>
        <v/>
      </c>
      <c r="AF173" s="245" t="str">
        <f>IFERROR(__xludf.DUMMYFUNCTION("IF(REGEXMATCH(C173, ""D""), ""9"","""")"),"9")</f>
        <v>9</v>
      </c>
      <c r="AG173" s="245" t="str">
        <f>IFERROR(__xludf.DUMMYFUNCTION("IF(REGEXMATCH(C173, ""n""), ""10"","""")"),"")</f>
        <v/>
      </c>
      <c r="AH173" s="246" t="str">
        <f>IFERROR(__xludf.DUMMYFUNCTION("IF(REGEXMATCH(C173, ""N""), ""11"","""")"),"11")</f>
        <v>11</v>
      </c>
      <c r="AI173" s="249" t="str">
        <f>IFERROR(__xludf.DUMMYFUNCTION("IF(REGEXMATCH(C173, ""S""), ""0"","""")"),"0")</f>
        <v>0</v>
      </c>
      <c r="AJ173" s="313" t="str">
        <f t="shared" si="11"/>
        <v>-</v>
      </c>
      <c r="AK173" s="313" t="str">
        <f t="shared" si="12"/>
        <v>-</v>
      </c>
      <c r="AL173" s="313" t="str">
        <f t="shared" si="13"/>
        <v>-</v>
      </c>
      <c r="AM173" s="313" t="str">
        <f t="shared" si="14"/>
        <v>-</v>
      </c>
      <c r="AN173" s="313" t="str">
        <f t="shared" si="15"/>
        <v>-</v>
      </c>
      <c r="AO173" s="314" t="str">
        <f t="shared" si="16"/>
        <v>T</v>
      </c>
      <c r="AP173" s="316">
        <f t="shared" si="17"/>
        <v>1</v>
      </c>
      <c r="AQ173" s="319" t="str">
        <f t="shared" si="18"/>
        <v>-</v>
      </c>
      <c r="AR173" s="320">
        <f t="shared" si="19"/>
        <v>0</v>
      </c>
      <c r="AS173" s="250" t="str">
        <f>IFERROR(__xludf.DUMMYFUNCTION("SUBSTITUTE(SUBSTITUTE(CONCATENATE(JOIN("""",FP173:GA173)),""|"",""x""),""-"",""o"")"),"xoooxxoooxox")</f>
        <v>xoooxxoooxox</v>
      </c>
      <c r="AT173" s="323" t="str">
        <f>IFERROR(__xludf.DUMMYFUNCTION("JOIN("""",AS173,AS173)"),"xoooxxoooxoxxoooxxoooxox")</f>
        <v>xoooxxoooxoxxoooxxoooxox</v>
      </c>
      <c r="AU173" s="256" t="str">
        <f>IFERROR(__xludf.DUMMYFUNCTION("JOIN("""",ArrayFormula(MID(AS173,LEN(AS173)-SEQUENCE(1,LEN(AS173))+1,1)))"),"xoxoooxxooox")</f>
        <v>xoxoooxxooox</v>
      </c>
      <c r="AV173" s="256" t="str">
        <f>IFERROR(__xludf.DUMMYFUNCTION("LEFT(CONCATENATE(""x"",JOIN("""",ArrayFormula(MID(AS173,LEN(AS173)-SEQUENCE(1,LEN(AS173))+1,1)))),12)"),"xxoxoooxxooo")</f>
        <v>xxoxoooxxooo</v>
      </c>
      <c r="AW173" s="327" t="str">
        <f>IFERROR(__xludf.DUMMYFUNCTION("JOIN("""",AU173,AU173)"),"xoxoooxxoooxxoxoooxxooox")</f>
        <v>xoxoooxxoooxxoxoooxxooox</v>
      </c>
      <c r="AX173" s="239" t="str">
        <f>IFERROR(__xludf.DUMMYFUNCTION("IF(REGEXMATCH(AW173,AS173),""✔"",""-"")"),"-")</f>
        <v>-</v>
      </c>
      <c r="AY173" s="330" t="str">
        <f t="shared" si="20"/>
        <v>-</v>
      </c>
      <c r="AZ173" s="260" t="str">
        <f t="shared" si="21"/>
        <v>#REF!</v>
      </c>
      <c r="BA173" s="333" t="str">
        <f t="shared" si="22"/>
        <v>xoooxxo</v>
      </c>
      <c r="BB173" s="334" t="str">
        <f t="shared" si="23"/>
        <v>ooxoxx</v>
      </c>
      <c r="BC173" s="335" t="str">
        <f t="shared" si="236"/>
        <v>-</v>
      </c>
      <c r="BD173" s="336" t="str">
        <f t="shared" si="25"/>
        <v>Kaushik Dhwani: 'xoooxxo' + 'ooxoxx'</v>
      </c>
      <c r="BE173" s="337">
        <f>IFERROR(__xludf.DUMMYFUNCTION("COUNTUNIQUE(FILTER(AT:AT,REGEXMATCH(AT:AT,AS173)))-1"),3.0)</f>
        <v>3</v>
      </c>
      <c r="BF173" s="261" t="str">
        <f>IFERROR(__xludf.DUMMYFUNCTION("IF(BI173=0,""(n/a)"",IF(BJ173=2,""(PAIR)"",IF(REGEXMATCH(AT173,""xoxoxxoxoxox""),""Bilawal"",IF(REGEXMATCH(AT173,""xoxoxooxoxoo""),""Bhupali"",IF(REGEXMATCH(AT173,""xoxoxxoxxoxo""),""Charukeshi"",IF(REGEXMATCH(AT173,""xoxoooxxoxxo""),""Kameshwari"",IF(REG"&amp;"EXMATCH(AT173,""xoxoxooxoxox""),""Shankara"",IF(REGEXMATCH(AT173,""xxooxoxxxoox""),""Basant"",IF(REGEXMATCH(AT173,""xoxoxxxxoxox""),""Bihag"",IF(REGEXMATCH(AT173,""xoxxxxoxoxxx""),""Pilu"",IF(REGEXMATCH(AT173,""xoxxoxoxxoox""),""Kirwani"",IF(REGEXMATCH(AT"&amp;"173,""xoxxoxoxoxxx""),""Mk.Malhar"",IF(REGEXMATCH(AT173,""xxooxxoxxoox""),""Bhairav"",IF(REGEXMATCH(AT173,""xxoxooxxxoox""),""Todi"",IF(REGEXMATCH(AT173,""xxooxoxooxox""),""Marwa"",IF(REGEXMATCH(AT173,""xxoooxoxxooo""),""Gunkali"",IF(REGEXMATCH(AT173,""xo"&amp;"xoxxoxxoox""),""Nat Bhairav"",IF(REGEXMATCH(AT173,""xoxxoooxoxoo""),""Shivranjani"",IF(REGEXMATCH(AT173,""xooxxxoxooxo""),""Jog"",IF(REGEXMATCH(AT173,""xxooxoxoxoox""),""Hemshri"",IF(REGEXMATCH(AT173,""xoooxooxoxxo""),""Kalavati"",IF(REGEXMATCH(AT173,""xx"&amp;"oxoxxoxoox""),""Kedar"",IF(REGEXMATCH(AT173,""xoxxxxoxooxx""),""Gara"",IF(REGEXMATCH(AT173,""xooxoxooxoox""),""Chandrakauns"",IF(REGEXMATCH(AT173,""xoxxxxoxxxox""),""Mand"",IF(REGEXMATCH(AT173,""xoxxxxoxoxox""),""Hanskinkini"",IF(REGEXMATCH(AT173,""xxooxx"&amp;"oxooxo""),""Lilavati"",IF(REGEXMATCH(AT173,""xooxoxoooxox""),""Rajeshwari"",IF(REGEXMATCH(AT173,""xoooxxoxoxxx""),""Khokar"",IF(REGEXMATCH(AT173,""xxooxoxxxxox""),""Maligoura"",""-""))))))))))))))))))))))))))))))"),"Gunkali")</f>
        <v>Gunkali</v>
      </c>
      <c r="BG173" s="239" t="str">
        <f t="shared" si="26"/>
        <v>#REF!</v>
      </c>
      <c r="BH173" s="239">
        <f>IFERROR(__xludf.DUMMYFUNCTION("COUNTUNIQUE(FE173:FO173)-1"),4.0)</f>
        <v>4</v>
      </c>
      <c r="BI173" s="239">
        <f>IFERROR(__xludf.DUMMYFUNCTION("COUNTUNIQUE(FILTER(AT:AT,REGEXMATCH(AT:AT,AS173)))-1"),3.0)</f>
        <v>3</v>
      </c>
      <c r="BJ173" s="239">
        <f>IFERROR(__xludf.DUMMYFUNCTION("COUNTA(FILTER(AT:AT,REGEXMATCH(AT:AT,AS173)))"),6.0)</f>
        <v>6</v>
      </c>
      <c r="BK173" s="341">
        <f>IFERROR(__xludf.DUMMYFUNCTION("COUNTA(FILTER(AT:AT,REGEXMATCH(AT:AT,AS173)))-AR173"),6.0)</f>
        <v>6</v>
      </c>
      <c r="BL173" s="276" t="str">
        <f>IFERROR(__xludf.DUMMYFUNCTION("IF(AS173=""oooooooooooo"",""-"",IF(REGEXMATCH(AT173,""xx""), ""Hemi."", ""Anhemi.""))"),"Hemi.")</f>
        <v>Hemi.</v>
      </c>
      <c r="BM173" s="282" t="str">
        <f>IFERROR(__xludf.DUMMYFUNCTION("IF(AS173=""oooooooooooo"",""-"",IF(REGEXMATCH(AT173,""xxx""), ""Cohem."", ""-""))"),"-")</f>
        <v>-</v>
      </c>
      <c r="BN173" s="282" t="str">
        <f>IFERROR(__xludf.DUMMYFUNCTION("IF(AS173=""oooooooooooo"",""-"",IF(REGEXMATCH(AT173,""xxxx""), ""Co-Co."", ""-""))"),"-")</f>
        <v>-</v>
      </c>
      <c r="BO173" s="342" t="str">
        <f>IFERROR(__xludf.DUMMYFUNCTION("IF(AS173=""oooooooooooo"",""-"",IF(REGEXMATCH(AT173,""xxxxx""), ""CCC."", ""-""))"),"-")</f>
        <v>-</v>
      </c>
      <c r="BP173" s="344" t="str">
        <f t="shared" si="27"/>
        <v>-</v>
      </c>
      <c r="BQ173" s="282" t="str">
        <f>IFERROR(__xludf.DUMMYFUNCTION("IF(REGEXMATCH(JOIN(""-"",EU173:FD173),""TRUE""),""✔"",""-"")"),"✔")</f>
        <v>✔</v>
      </c>
      <c r="BR173" s="225">
        <f t="shared" si="28"/>
        <v>1</v>
      </c>
      <c r="BS173" s="345" t="str">
        <f>IFERROR(__xludf.DUMMYFUNCTION("SUBSTITUTE(SUBSTITUTE(SUBSTITUTE(SUBSTITUTE(CONCATENATE(JOIN(""-"",GC173:GO173)),""--"",""-""),""--"",""-""),""--"",""-""),""--"",""-"")"),"1-3-4-6-7-8")</f>
        <v>1-3-4-6-7-8</v>
      </c>
      <c r="BT173" s="299" t="str">
        <f>IFERROR(__xludf.DUMMYFUNCTION("SUBSTITUTE(SUBSTITUTE(SUBSTITUTE(SUBSTITUTE(CONCATENATE(JOIN(""-"",GP173:HB173)),""--"",""-""),""--"",""-""),""--"",""-""),""--"",""-"")"),"S-G3-M1-D2-N3-S")</f>
        <v>S-G3-M1-D2-N3-S</v>
      </c>
      <c r="BU173" s="348" t="str">
        <f t="shared" si="29"/>
        <v>C-E-F-A-B-C</v>
      </c>
      <c r="BV173" s="349" t="str">
        <f t="shared" si="30"/>
        <v>SrRgMPdnS</v>
      </c>
      <c r="BW173" s="350">
        <f t="shared" si="31"/>
        <v>0</v>
      </c>
      <c r="BX173" s="351">
        <f t="shared" si="32"/>
        <v>2</v>
      </c>
      <c r="BY173" s="392"/>
      <c r="BZ173" s="309" t="str">
        <f>IFERROR(__xludf.DUMMYFUNCTION("IF(REGEXMATCH(C173, ""S""), ""x"",""x"")"),"x")</f>
        <v>x</v>
      </c>
      <c r="CA173" s="245" t="str">
        <f>IFERROR(__xludf.DUMMYFUNCTION("IF(REGEXMATCH(C173, ""r""), ""o"",""x"")"),"x")</f>
        <v>x</v>
      </c>
      <c r="CB173" s="246" t="str">
        <f>IFERROR(__xludf.DUMMYFUNCTION("IF(REGEXMATCH(C173, ""R""), ""o"",""x"")"),"x")</f>
        <v>x</v>
      </c>
      <c r="CC173" s="246" t="str">
        <f>IFERROR(__xludf.DUMMYFUNCTION("IF(REGEXMATCH(C173, ""g""), ""o"",""x"")"),"x")</f>
        <v>x</v>
      </c>
      <c r="CD173" s="245" t="str">
        <f>IFERROR(__xludf.DUMMYFUNCTION("IF(REGEXMATCH(C173, ""G""), ""o"",""x"")"),"o")</f>
        <v>o</v>
      </c>
      <c r="CE173" s="245" t="str">
        <f>IFERROR(__xludf.DUMMYFUNCTION("IF(REGEXMATCH(C173, ""m""), ""o"",""x"")"),"o")</f>
        <v>o</v>
      </c>
      <c r="CF173" s="246" t="str">
        <f>IFERROR(__xludf.DUMMYFUNCTION("IF(REGEXMATCH(C173, ""M""), ""o"",""x"")"),"x")</f>
        <v>x</v>
      </c>
      <c r="CG173" s="245" t="str">
        <f>IFERROR(__xludf.DUMMYFUNCTION("IF(REGEXMATCH(C173, ""P""), ""o"",""x"")"),"x")</f>
        <v>x</v>
      </c>
      <c r="CH173" s="246" t="str">
        <f>IFERROR(__xludf.DUMMYFUNCTION("IF(REGEXMATCH(C173, ""d""), ""o"",""x"")"),"x")</f>
        <v>x</v>
      </c>
      <c r="CI173" s="245" t="str">
        <f>IFERROR(__xludf.DUMMYFUNCTION("IF(REGEXMATCH(C173, ""D""), ""o"",""x"")"),"o")</f>
        <v>o</v>
      </c>
      <c r="CJ173" s="245" t="str">
        <f>IFERROR(__xludf.DUMMYFUNCTION("IF(REGEXMATCH(C173, ""n""), ""o"",""x"")"),"x")</f>
        <v>x</v>
      </c>
      <c r="CK173" s="245" t="str">
        <f>IFERROR(__xludf.DUMMYFUNCTION("IF(REGEXMATCH(C173, ""N""), ""o"",""x"")"),"o")</f>
        <v>o</v>
      </c>
      <c r="CL173" s="356" t="str">
        <f>IFERROR(__xludf.DUMMYFUNCTION("IF(REGEXMATCH(C173, ""S""), ""x"",""x"")"),"x")</f>
        <v>x</v>
      </c>
      <c r="CM173" s="357" t="str">
        <f t="shared" si="33"/>
        <v>xxxxooxxxoxo</v>
      </c>
      <c r="CN173" s="358">
        <f t="shared" si="34"/>
        <v>0</v>
      </c>
      <c r="CO173" s="246" t="str">
        <f>IFERROR(__xludf.DUMMYFUNCTION("IF(REGEXMATCH($C173, ""S""), ""S"",""S"")"),"S")</f>
        <v>S</v>
      </c>
      <c r="CP173" s="246" t="str">
        <f>IFERROR(__xludf.DUMMYFUNCTION("IF(REGEXMATCH($C173, ""r""), """",""r"")"),"r")</f>
        <v>r</v>
      </c>
      <c r="CQ173" s="246" t="str">
        <f>IFERROR(__xludf.DUMMYFUNCTION("IF(REGEXMATCH($C173, ""R""), """",""R"")"),"R")</f>
        <v>R</v>
      </c>
      <c r="CR173" s="246" t="str">
        <f>IFERROR(__xludf.DUMMYFUNCTION("IF(REGEXMATCH($C173, ""g""), """",""g"")"),"g")</f>
        <v>g</v>
      </c>
      <c r="CS173" s="246" t="str">
        <f>IFERROR(__xludf.DUMMYFUNCTION("IF(REGEXMATCH($C173, ""G""), """",""G"")"),"")</f>
        <v/>
      </c>
      <c r="CT173" s="246" t="str">
        <f>IFERROR(__xludf.DUMMYFUNCTION("IF(REGEXMATCH($C173, ""m""), """",""m"")"),"")</f>
        <v/>
      </c>
      <c r="CU173" s="246" t="str">
        <f>IFERROR(__xludf.DUMMYFUNCTION("IF(REGEXMATCH($C173, ""M""), """",""M"")"),"M")</f>
        <v>M</v>
      </c>
      <c r="CV173" s="246" t="str">
        <f>IFERROR(__xludf.DUMMYFUNCTION("IF(REGEXMATCH($C173, ""P""), """",""P"")"),"P")</f>
        <v>P</v>
      </c>
      <c r="CW173" s="246" t="str">
        <f>IFERROR(__xludf.DUMMYFUNCTION("IF(REGEXMATCH($C173, ""d""), """",""d"")"),"d")</f>
        <v>d</v>
      </c>
      <c r="CX173" s="246" t="str">
        <f>IFERROR(__xludf.DUMMYFUNCTION("IF(REGEXMATCH($C173, ""D""), """",""D"")"),"")</f>
        <v/>
      </c>
      <c r="CY173" s="246" t="str">
        <f>IFERROR(__xludf.DUMMYFUNCTION("IF(REGEXMATCH($C173, ""n""), """",""n"")"),"n")</f>
        <v>n</v>
      </c>
      <c r="CZ173" s="246" t="str">
        <f>IFERROR(__xludf.DUMMYFUNCTION("IF(REGEXMATCH($C173, ""N""), """",""N"")"),"")</f>
        <v/>
      </c>
      <c r="DA173" s="246" t="str">
        <f>IFERROR(__xludf.DUMMYFUNCTION("IF(REGEXMATCH($C173, ""S""), ""S"",""S"")"),"S")</f>
        <v>S</v>
      </c>
      <c r="DB173" s="362" t="str">
        <f>IFERROR(__xludf.DUMMYFUNCTION("JOIN("""",CO173:DA173,"""","""")"),"SrRgMPdnS")</f>
        <v>SrRgMPdnS</v>
      </c>
      <c r="DC173" s="363"/>
      <c r="DD173" s="301" t="str">
        <f t="shared" si="35"/>
        <v>#REF!</v>
      </c>
      <c r="DE173" s="302" t="str">
        <f t="shared" si="36"/>
        <v>#REF!</v>
      </c>
      <c r="DF173" s="301" t="str">
        <f t="shared" ref="DF173:DG173" si="557">SUBSTITUTE(S173,"-","")</f>
        <v>SGM</v>
      </c>
      <c r="DG173" s="301" t="str">
        <f t="shared" si="557"/>
        <v>DNS</v>
      </c>
      <c r="DH173" s="302" t="str">
        <f t="shared" si="38"/>
        <v>Gunkali</v>
      </c>
      <c r="DI173" s="301" t="str">
        <f t="shared" si="39"/>
        <v>Hemi.</v>
      </c>
      <c r="DJ173" s="364" t="str">
        <f t="shared" si="40"/>
        <v>-</v>
      </c>
      <c r="DK173" s="306" t="str">
        <f t="shared" si="41"/>
        <v>-</v>
      </c>
      <c r="DL173" s="366" t="str">
        <f t="shared" si="42"/>
        <v>✔</v>
      </c>
      <c r="DM173" s="308" t="str">
        <f t="shared" si="43"/>
        <v>-</v>
      </c>
      <c r="DN173" s="306" t="str">
        <f t="shared" si="44"/>
        <v>✔</v>
      </c>
      <c r="DO173" s="306" t="str">
        <f t="shared" si="45"/>
        <v>-</v>
      </c>
      <c r="DP173" s="367" t="str">
        <f t="shared" si="46"/>
        <v>-</v>
      </c>
      <c r="DQ173" s="310" t="str">
        <f t="shared" si="47"/>
        <v>-</v>
      </c>
      <c r="DR173" s="310" t="str">
        <f t="shared" si="48"/>
        <v>-</v>
      </c>
      <c r="DS173" s="310" t="str">
        <f t="shared" si="49"/>
        <v>-</v>
      </c>
      <c r="DT173" s="310" t="str">
        <f t="shared" si="50"/>
        <v>-</v>
      </c>
      <c r="DU173" s="370" t="str">
        <f t="shared" si="51"/>
        <v>-</v>
      </c>
      <c r="DV173" s="306" t="str">
        <f t="shared" si="52"/>
        <v>✔</v>
      </c>
      <c r="DW173" s="306" t="str">
        <f t="shared" si="53"/>
        <v>-</v>
      </c>
      <c r="DX173" s="306" t="str">
        <f t="shared" si="54"/>
        <v>-</v>
      </c>
      <c r="DY173" s="306" t="str">
        <f t="shared" si="55"/>
        <v>✔</v>
      </c>
      <c r="DZ173" s="306" t="str">
        <f t="shared" si="56"/>
        <v>-</v>
      </c>
      <c r="EA173" s="367" t="str">
        <f t="shared" si="57"/>
        <v>-</v>
      </c>
      <c r="EB173" s="310" t="str">
        <f>IFERROR(__xludf.DUMMYFUNCTION("IF(REGEXMATCH(AW173,AS173),""✔"",""-"")"),"-")</f>
        <v>-</v>
      </c>
      <c r="EC173" s="310" t="str">
        <f t="shared" si="58"/>
        <v>#REF!</v>
      </c>
      <c r="ED173" s="370" t="str">
        <f t="shared" si="59"/>
        <v>-</v>
      </c>
      <c r="EE173" s="340" t="str">
        <f t="shared" si="60"/>
        <v>S-G-m-D-N-S</v>
      </c>
      <c r="EF173" s="371" t="str">
        <f>IFERROR(__xludf.DUMMYFUNCTION("CONCATENATE(JOIN("""",HC173:HO173))"),"SrgPdS")</f>
        <v>SrgPdS</v>
      </c>
      <c r="EG173" s="372">
        <f t="shared" si="61"/>
        <v>2</v>
      </c>
      <c r="EH173" s="373" t="str">
        <f>IFERROR(__xludf.DUMMYFUNCTION("CONCATENATE(JOIN("""",JC173:JO173))"),"Sa, Ni, ")</f>
        <v>Sa, Ni, </v>
      </c>
      <c r="EI173" s="322">
        <f t="shared" si="62"/>
        <v>0</v>
      </c>
      <c r="EJ173" s="374" t="str">
        <f>IFERROR(__xludf.DUMMYFUNCTION("CONCATENATE(JOIN("""",KC173:KO173))"),"")</f>
        <v/>
      </c>
      <c r="EK173" s="325" t="str">
        <f t="shared" si="63"/>
        <v>S-G3-M1-D2-N3-S</v>
      </c>
      <c r="EL173" s="326" t="str">
        <f t="shared" si="64"/>
        <v>1-3-4-6-7-8</v>
      </c>
      <c r="EM173" s="318" t="str">
        <f t="shared" si="65"/>
        <v>#REF!</v>
      </c>
      <c r="EN173" s="328" t="str">
        <f>IFERROR(__xludf.DUMMYFUNCTION("SUBSTITUTE(SUBSTITUTE(SUBSTITUTE(SUBSTITUTE(CONCATENATE(JOIN("" "",HP173:IB173)),""  "","" ""),""  "","" ""),""  "","" ""),""  "","" "")"),"o • • • o o • • • o • o o")</f>
        <v>o • • • o o • • • o • o o</v>
      </c>
      <c r="EO173" s="368" t="str">
        <f t="shared" si="66"/>
        <v>Sa-ma</v>
      </c>
      <c r="EP173" s="339" t="str">
        <f t="shared" si="67"/>
        <v>-</v>
      </c>
      <c r="EQ173" s="339" t="str">
        <f t="shared" si="68"/>
        <v>-</v>
      </c>
      <c r="ER173" s="339" t="str">
        <f t="shared" si="69"/>
        <v>-</v>
      </c>
      <c r="ES173" s="340" t="str">
        <f t="shared" si="70"/>
        <v>Sa-ma</v>
      </c>
      <c r="ET173" s="363"/>
      <c r="EU173" s="376" t="b">
        <f>IFERROR(__xludf.DUMMYFUNCTION("arrayformula(sum(--REGEXMATCH(""SRGMPDNS"",split(REGEXREPLACE(C173,""(.)"",""$1~""),""~""))))=len(C173)
"),FALSE)</f>
        <v>0</v>
      </c>
      <c r="EV173" s="290" t="b">
        <f>IFERROR(__xludf.DUMMYFUNCTION("arrayformula(sum(--REGEXMATCH(""SRGmPDNS"",split(REGEXREPLACE(C173,""(.)"",""$1~""),""~""))))=len(C173)"),TRUE)</f>
        <v>1</v>
      </c>
      <c r="EW173" s="290" t="b">
        <f>IFERROR(__xludf.DUMMYFUNCTION("arrayformula(sum(--REGEXMATCH(""SRGmPDnS"",split(REGEXREPLACE(C173,""(.)"",""$1~""),""~""))))=len(C173)"),FALSE)</f>
        <v>0</v>
      </c>
      <c r="EX173" s="290" t="b">
        <f>IFERROR(__xludf.DUMMYFUNCTION("arrayformula(sum(--REGEXMATCH(""SRgmPDnS"",split(REGEXREPLACE(C173,""(.)"",""$1~""),""~""))))=len(C173)"),FALSE)</f>
        <v>0</v>
      </c>
      <c r="EY173" s="290" t="b">
        <f>IFERROR(__xludf.DUMMYFUNCTION("arrayformula(sum(--REGEXMATCH(""SRgmPdnS"",split(REGEXREPLACE(C173,""(.)"",""$1~""),""~""))))=len(C173)"),FALSE)</f>
        <v>0</v>
      </c>
      <c r="EZ173" s="290" t="b">
        <f>IFERROR(__xludf.DUMMYFUNCTION("arrayformula(sum(--REGEXMATCH(""SrgmPdnS"",split(REGEXREPLACE(C173,""(.)"",""$1~""),""~""))))=len(C173)"),FALSE)</f>
        <v>0</v>
      </c>
      <c r="FA173" s="290" t="b">
        <f>IFERROR(__xludf.DUMMYFUNCTION("arrayformula(sum(--REGEXMATCH(""SrGmPdNS"",split(REGEXREPLACE(C173,""(.)"",""$1~""),""~""))))=len(C173)"),FALSE)</f>
        <v>0</v>
      </c>
      <c r="FB173" s="290" t="b">
        <f>IFERROR(__xludf.DUMMYFUNCTION("arrayformula(sum(--REGEXMATCH(""SrGMPDNS"",split(REGEXREPLACE(C173,""(.)"",""$1~""),""~""))))=len(C173)"),FALSE)</f>
        <v>0</v>
      </c>
      <c r="FC173" s="290" t="b">
        <f>IFERROR(__xludf.DUMMYFUNCTION("arrayformula(sum(--REGEXMATCH(""SrGMPdNS"",split(REGEXREPLACE(C173,""(.)"",""$1~""),""~""))))=len(C173)"),FALSE)</f>
        <v>0</v>
      </c>
      <c r="FD173" s="377" t="b">
        <f>IFERROR(__xludf.DUMMYFUNCTION("arrayformula(sum(--REGEXMATCH(""SrgMPdNS"",split(REGEXREPLACE(C173,""(.)"",""$1~""),""~""))))=len(C173)"),FALSE)</f>
        <v>0</v>
      </c>
      <c r="FE173" s="269" t="str">
        <f t="shared" si="71"/>
        <v>-</v>
      </c>
      <c r="FF173" s="269" t="str">
        <f t="shared" si="72"/>
        <v>-</v>
      </c>
      <c r="FG173" s="271" t="str">
        <f t="shared" si="73"/>
        <v>-</v>
      </c>
      <c r="FH173" s="269" t="str">
        <f t="shared" si="74"/>
        <v>xxoooxoxxoo</v>
      </c>
      <c r="FI173" s="271" t="str">
        <f t="shared" si="75"/>
        <v>xoooxoxxooo</v>
      </c>
      <c r="FJ173" s="271" t="str">
        <f t="shared" si="76"/>
        <v>-</v>
      </c>
      <c r="FK173" s="271" t="str">
        <f t="shared" si="77"/>
        <v>-</v>
      </c>
      <c r="FL173" s="271" t="str">
        <f t="shared" si="78"/>
        <v>-</v>
      </c>
      <c r="FM173" s="271" t="str">
        <f t="shared" si="79"/>
        <v>xoxxoooxxoo</v>
      </c>
      <c r="FN173" s="271" t="str">
        <f t="shared" si="80"/>
        <v>-</v>
      </c>
      <c r="FO173" s="274" t="str">
        <f t="shared" si="81"/>
        <v>xxoooxxooox</v>
      </c>
      <c r="FP173" s="234" t="str">
        <f t="shared" si="82"/>
        <v>|</v>
      </c>
      <c r="FQ173" s="236" t="str">
        <f t="shared" si="83"/>
        <v>-</v>
      </c>
      <c r="FR173" s="237" t="str">
        <f t="shared" si="84"/>
        <v>-</v>
      </c>
      <c r="FS173" s="236" t="str">
        <f t="shared" si="85"/>
        <v>-</v>
      </c>
      <c r="FT173" s="237" t="str">
        <f t="shared" si="86"/>
        <v>|</v>
      </c>
      <c r="FU173" s="236" t="str">
        <f t="shared" si="87"/>
        <v>|</v>
      </c>
      <c r="FV173" s="237" t="str">
        <f t="shared" si="88"/>
        <v>-</v>
      </c>
      <c r="FW173" s="236" t="str">
        <f t="shared" si="89"/>
        <v>-</v>
      </c>
      <c r="FX173" s="237" t="str">
        <f t="shared" si="90"/>
        <v>-</v>
      </c>
      <c r="FY173" s="236" t="str">
        <f t="shared" si="91"/>
        <v>|</v>
      </c>
      <c r="FZ173" s="237" t="str">
        <f t="shared" si="92"/>
        <v>-</v>
      </c>
      <c r="GA173" s="236" t="str">
        <f t="shared" si="93"/>
        <v>|</v>
      </c>
      <c r="GB173" s="238" t="str">
        <f t="shared" si="94"/>
        <v>|</v>
      </c>
      <c r="GC173" s="244" t="str">
        <f>IFERROR(__xludf.DUMMYFUNCTION("IF(REGEXMATCH(C173, ""S""), ""1"","""")"),"1")</f>
        <v>1</v>
      </c>
      <c r="GD173" s="245" t="str">
        <f>IFERROR(__xludf.DUMMYFUNCTION("IF(REGEXMATCH(C173, ""r""), ""b2"","""")"),"")</f>
        <v/>
      </c>
      <c r="GE173" s="246" t="str">
        <f>IFERROR(__xludf.DUMMYFUNCTION("IF(REGEXMATCH(C173, ""R""), ""2"","""")"),"")</f>
        <v/>
      </c>
      <c r="GF173" s="246" t="str">
        <f>IFERROR(__xludf.DUMMYFUNCTION("IF(REGEXMATCH(C173, ""g""), ""b3"","""")"),"")</f>
        <v/>
      </c>
      <c r="GG173" s="245" t="str">
        <f>IFERROR(__xludf.DUMMYFUNCTION("IF(REGEXMATCH(C173, ""G""), ""3"","""")"),"3")</f>
        <v>3</v>
      </c>
      <c r="GH173" s="245" t="str">
        <f>IFERROR(__xludf.DUMMYFUNCTION("IF(REGEXMATCH(C173, ""m""), ""4"","""")"),"4")</f>
        <v>4</v>
      </c>
      <c r="GI173" s="246" t="str">
        <f>IFERROR(__xludf.DUMMYFUNCTION("IF(REGEXMATCH(C173, ""M""), ""#4"","""")"),"")</f>
        <v/>
      </c>
      <c r="GJ173" s="245" t="str">
        <f>IFERROR(__xludf.DUMMYFUNCTION("IF(REGEXMATCH(C173, ""P""), ""5"","""")"),"")</f>
        <v/>
      </c>
      <c r="GK173" s="246" t="str">
        <f>IFERROR(__xludf.DUMMYFUNCTION("IF(REGEXMATCH(C173, ""d""), ""b6"","""")"),"")</f>
        <v/>
      </c>
      <c r="GL173" s="245" t="str">
        <f>IFERROR(__xludf.DUMMYFUNCTION("IF(REGEXMATCH(C173, ""D""), ""6"","""")"),"6")</f>
        <v>6</v>
      </c>
      <c r="GM173" s="245" t="str">
        <f>IFERROR(__xludf.DUMMYFUNCTION("IF(REGEXMATCH(C173, ""n""), ""b7"","""")"),"")</f>
        <v/>
      </c>
      <c r="GN173" s="246" t="str">
        <f>IFERROR(__xludf.DUMMYFUNCTION("IF(REGEXMATCH(C173, ""N""), ""7"","""")"),"7")</f>
        <v>7</v>
      </c>
      <c r="GO173" s="249" t="str">
        <f>IFERROR(__xludf.DUMMYFUNCTION("IF(REGEXMATCH(C173, ""S""), ""8"","""")"),"8")</f>
        <v>8</v>
      </c>
      <c r="GP173" s="244" t="str">
        <f>IFERROR(__xludf.DUMMYFUNCTION("IF(REGEXMATCH(C173, ""S""), ""S"","""")"),"S")</f>
        <v>S</v>
      </c>
      <c r="GQ173" s="294" t="str">
        <f>IFERROR(__xludf.DUMMYFUNCTION("IF(REGEXMATCH(C173, ""r""), ""R1"","""")"),"")</f>
        <v/>
      </c>
      <c r="GR173" s="295" t="str">
        <f>IFERROR(__xludf.DUMMYFUNCTION("IF(REGEXMATCH(C173, ""R""), ""R2"","""")"),"")</f>
        <v/>
      </c>
      <c r="GS173" s="295" t="str">
        <f>IFERROR(__xludf.DUMMYFUNCTION("IF(REGEXMATCH(C173, ""g""), ""G2"","""")"),"")</f>
        <v/>
      </c>
      <c r="GT173" s="294" t="str">
        <f>IFERROR(__xludf.DUMMYFUNCTION("IF(REGEXMATCH(C173, ""G""), ""G3"","""")"),"G3")</f>
        <v>G3</v>
      </c>
      <c r="GU173" s="294" t="str">
        <f>IFERROR(__xludf.DUMMYFUNCTION("IF(REGEXMATCH(C173, ""m""), ""M1"","""")"),"M1")</f>
        <v>M1</v>
      </c>
      <c r="GV173" s="295" t="str">
        <f>IFERROR(__xludf.DUMMYFUNCTION("IF(REGEXMATCH(C173, ""M""), ""M2"","""")"),"")</f>
        <v/>
      </c>
      <c r="GW173" s="294" t="str">
        <f>IFERROR(__xludf.DUMMYFUNCTION("IF(REGEXMATCH(C173, ""P""), ""P"","""")"),"")</f>
        <v/>
      </c>
      <c r="GX173" s="295" t="str">
        <f>IFERROR(__xludf.DUMMYFUNCTION("IF(REGEXMATCH(C173, ""d""), ""D1"","""")"),"")</f>
        <v/>
      </c>
      <c r="GY173" s="294" t="str">
        <f>IFERROR(__xludf.DUMMYFUNCTION("IF(REGEXMATCH(C173, ""D""), ""D2"","""")"),"D2")</f>
        <v>D2</v>
      </c>
      <c r="GZ173" s="294" t="str">
        <f>IFERROR(__xludf.DUMMYFUNCTION("IF(REGEXMATCH(C173, ""n""), ""N2"","""")"),"")</f>
        <v/>
      </c>
      <c r="HA173" s="295" t="str">
        <f>IFERROR(__xludf.DUMMYFUNCTION("IF(REGEXMATCH(C173, ""N""), ""N3"","""")"),"N3")</f>
        <v>N3</v>
      </c>
      <c r="HB173" s="249" t="str">
        <f>IFERROR(__xludf.DUMMYFUNCTION("IF(REGEXMATCH(C173, ""S""), ""S"","""")"),"S")</f>
        <v>S</v>
      </c>
      <c r="HC173" s="331" t="str">
        <f t="shared" si="95"/>
        <v>S</v>
      </c>
      <c r="HD173" s="332" t="str">
        <f t="shared" si="96"/>
        <v>r</v>
      </c>
      <c r="HE173" s="332" t="str">
        <f t="shared" si="97"/>
        <v/>
      </c>
      <c r="HF173" s="332" t="str">
        <f t="shared" si="98"/>
        <v>g</v>
      </c>
      <c r="HG173" s="332" t="str">
        <f t="shared" si="99"/>
        <v/>
      </c>
      <c r="HH173" s="332" t="str">
        <f t="shared" si="100"/>
        <v/>
      </c>
      <c r="HI173" s="332" t="str">
        <f t="shared" si="101"/>
        <v/>
      </c>
      <c r="HJ173" s="332" t="str">
        <f t="shared" si="102"/>
        <v>P</v>
      </c>
      <c r="HK173" s="332" t="str">
        <f t="shared" si="103"/>
        <v>d</v>
      </c>
      <c r="HL173" s="332" t="str">
        <f t="shared" si="104"/>
        <v/>
      </c>
      <c r="HM173" s="332" t="str">
        <f t="shared" si="105"/>
        <v/>
      </c>
      <c r="HN173" s="332" t="str">
        <f t="shared" si="106"/>
        <v/>
      </c>
      <c r="HO173" s="343" t="str">
        <f t="shared" si="107"/>
        <v>S</v>
      </c>
      <c r="HP173" s="331" t="str">
        <f t="shared" si="108"/>
        <v>o</v>
      </c>
      <c r="HQ173" s="332" t="str">
        <f t="shared" si="109"/>
        <v>•</v>
      </c>
      <c r="HR173" s="332" t="str">
        <f t="shared" si="110"/>
        <v>•</v>
      </c>
      <c r="HS173" s="332" t="str">
        <f t="shared" si="111"/>
        <v>•</v>
      </c>
      <c r="HT173" s="332" t="str">
        <f t="shared" si="112"/>
        <v>o</v>
      </c>
      <c r="HU173" s="332" t="str">
        <f t="shared" si="113"/>
        <v>o</v>
      </c>
      <c r="HV173" s="332" t="str">
        <f t="shared" si="114"/>
        <v>•</v>
      </c>
      <c r="HW173" s="332" t="str">
        <f t="shared" si="115"/>
        <v>•</v>
      </c>
      <c r="HX173" s="332" t="str">
        <f t="shared" si="116"/>
        <v>•</v>
      </c>
      <c r="HY173" s="332" t="str">
        <f t="shared" si="117"/>
        <v>o</v>
      </c>
      <c r="HZ173" s="332" t="str">
        <f t="shared" si="118"/>
        <v>•</v>
      </c>
      <c r="IA173" s="332" t="str">
        <f t="shared" si="119"/>
        <v>o</v>
      </c>
      <c r="IB173" s="338" t="str">
        <f t="shared" si="120"/>
        <v>o</v>
      </c>
      <c r="IC173" s="331" t="str">
        <f t="shared" si="121"/>
        <v>•</v>
      </c>
      <c r="ID173" s="332" t="str">
        <f t="shared" si="122"/>
        <v>o</v>
      </c>
      <c r="IE173" s="332" t="str">
        <f t="shared" si="123"/>
        <v>o</v>
      </c>
      <c r="IF173" s="332" t="str">
        <f t="shared" si="124"/>
        <v>o</v>
      </c>
      <c r="IG173" s="332" t="str">
        <f t="shared" si="125"/>
        <v>•</v>
      </c>
      <c r="IH173" s="332" t="str">
        <f t="shared" si="126"/>
        <v>•</v>
      </c>
      <c r="II173" s="332" t="str">
        <f t="shared" si="127"/>
        <v>o</v>
      </c>
      <c r="IJ173" s="332" t="str">
        <f t="shared" si="128"/>
        <v>o</v>
      </c>
      <c r="IK173" s="332" t="str">
        <f t="shared" si="129"/>
        <v>o</v>
      </c>
      <c r="IL173" s="332" t="str">
        <f t="shared" si="130"/>
        <v>•</v>
      </c>
      <c r="IM173" s="332" t="str">
        <f t="shared" si="131"/>
        <v>o</v>
      </c>
      <c r="IN173" s="332" t="str">
        <f t="shared" si="132"/>
        <v>•</v>
      </c>
      <c r="IO173" s="338" t="str">
        <f t="shared" si="133"/>
        <v>•</v>
      </c>
      <c r="IP173" s="346" t="b">
        <f t="shared" si="134"/>
        <v>1</v>
      </c>
      <c r="IQ173" s="347" t="b">
        <f t="shared" si="135"/>
        <v>0</v>
      </c>
      <c r="IR173" s="347" t="b">
        <f t="shared" si="136"/>
        <v>0</v>
      </c>
      <c r="IS173" s="347" t="b">
        <f t="shared" si="137"/>
        <v>0</v>
      </c>
      <c r="IT173" s="347" t="b">
        <f t="shared" si="138"/>
        <v>0</v>
      </c>
      <c r="IU173" s="347" t="b">
        <f t="shared" si="139"/>
        <v>0</v>
      </c>
      <c r="IV173" s="347" t="b">
        <f t="shared" si="140"/>
        <v>0</v>
      </c>
      <c r="IW173" s="347" t="b">
        <f t="shared" si="141"/>
        <v>0</v>
      </c>
      <c r="IX173" s="347" t="b">
        <f t="shared" si="142"/>
        <v>0</v>
      </c>
      <c r="IY173" s="347" t="b">
        <f t="shared" si="143"/>
        <v>0</v>
      </c>
      <c r="IZ173" s="347" t="b">
        <f t="shared" si="144"/>
        <v>0</v>
      </c>
      <c r="JA173" s="347" t="b">
        <f t="shared" si="145"/>
        <v>1</v>
      </c>
      <c r="JB173" s="353" t="b">
        <f t="shared" si="146"/>
        <v>1</v>
      </c>
      <c r="JC173" s="354" t="str">
        <f t="shared" si="147"/>
        <v>Sa, </v>
      </c>
      <c r="JD173" s="355" t="str">
        <f t="shared" si="148"/>
        <v/>
      </c>
      <c r="JE173" s="355" t="str">
        <f t="shared" si="149"/>
        <v/>
      </c>
      <c r="JF173" s="355" t="str">
        <f t="shared" si="150"/>
        <v/>
      </c>
      <c r="JG173" s="355" t="str">
        <f t="shared" si="151"/>
        <v/>
      </c>
      <c r="JH173" s="355" t="str">
        <f t="shared" si="152"/>
        <v/>
      </c>
      <c r="JI173" s="355" t="str">
        <f t="shared" si="153"/>
        <v/>
      </c>
      <c r="JJ173" s="355" t="str">
        <f t="shared" si="154"/>
        <v/>
      </c>
      <c r="JK173" s="355" t="str">
        <f t="shared" si="155"/>
        <v/>
      </c>
      <c r="JL173" s="355" t="str">
        <f t="shared" si="156"/>
        <v/>
      </c>
      <c r="JM173" s="355" t="str">
        <f t="shared" si="157"/>
        <v/>
      </c>
      <c r="JN173" s="355" t="str">
        <f t="shared" si="158"/>
        <v>Ni, </v>
      </c>
      <c r="JO173" s="359" t="str">
        <f t="shared" si="159"/>
        <v/>
      </c>
      <c r="JP173" s="346" t="b">
        <f t="shared" si="160"/>
        <v>0</v>
      </c>
      <c r="JQ173" s="347" t="b">
        <f t="shared" si="161"/>
        <v>0</v>
      </c>
      <c r="JR173" s="347" t="b">
        <f t="shared" si="162"/>
        <v>0</v>
      </c>
      <c r="JS173" s="347" t="b">
        <f t="shared" si="163"/>
        <v>0</v>
      </c>
      <c r="JT173" s="347" t="b">
        <f t="shared" si="164"/>
        <v>0</v>
      </c>
      <c r="JU173" s="347" t="b">
        <f t="shared" si="165"/>
        <v>0</v>
      </c>
      <c r="JV173" s="347" t="b">
        <f t="shared" si="166"/>
        <v>0</v>
      </c>
      <c r="JW173" s="347" t="b">
        <f t="shared" si="167"/>
        <v>0</v>
      </c>
      <c r="JX173" s="347" t="b">
        <f t="shared" si="168"/>
        <v>0</v>
      </c>
      <c r="JY173" s="347" t="b">
        <f t="shared" si="169"/>
        <v>0</v>
      </c>
      <c r="JZ173" s="347" t="b">
        <f t="shared" si="170"/>
        <v>0</v>
      </c>
      <c r="KA173" s="347" t="b">
        <f t="shared" si="171"/>
        <v>0</v>
      </c>
      <c r="KB173" s="365" t="b">
        <f t="shared" si="172"/>
        <v>0</v>
      </c>
      <c r="KC173" s="354" t="str">
        <f t="shared" si="173"/>
        <v/>
      </c>
      <c r="KD173" s="355" t="str">
        <f t="shared" si="174"/>
        <v/>
      </c>
      <c r="KE173" s="355" t="str">
        <f t="shared" si="175"/>
        <v/>
      </c>
      <c r="KF173" s="355" t="str">
        <f t="shared" si="176"/>
        <v/>
      </c>
      <c r="KG173" s="355" t="str">
        <f t="shared" si="177"/>
        <v/>
      </c>
      <c r="KH173" s="355" t="str">
        <f t="shared" si="178"/>
        <v/>
      </c>
      <c r="KI173" s="355" t="str">
        <f t="shared" si="179"/>
        <v/>
      </c>
      <c r="KJ173" s="355" t="str">
        <f t="shared" si="180"/>
        <v/>
      </c>
      <c r="KK173" s="355" t="str">
        <f t="shared" si="181"/>
        <v/>
      </c>
      <c r="KL173" s="355" t="str">
        <f t="shared" si="182"/>
        <v/>
      </c>
      <c r="KM173" s="355" t="str">
        <f t="shared" si="183"/>
        <v/>
      </c>
      <c r="KN173" s="355" t="str">
        <f t="shared" si="184"/>
        <v/>
      </c>
      <c r="KO173" s="359"/>
      <c r="KP173" s="378"/>
      <c r="KQ173" s="379" t="s">
        <v>616</v>
      </c>
      <c r="KR173" s="380" t="s">
        <v>1341</v>
      </c>
      <c r="KS173" s="381" t="str">
        <f t="shared" si="558"/>
        <v>S-G-m-D-N-S</v>
      </c>
      <c r="KT173" s="382">
        <f t="shared" si="186"/>
        <v>5</v>
      </c>
      <c r="KU173" s="383">
        <f t="shared" si="187"/>
        <v>5</v>
      </c>
      <c r="KV173" s="381" t="str">
        <f t="shared" si="205"/>
        <v>S-N-D-m-G-S</v>
      </c>
      <c r="KW173" s="382">
        <f t="shared" si="189"/>
        <v>5</v>
      </c>
      <c r="KX173" s="384">
        <f t="shared" si="190"/>
        <v>5</v>
      </c>
      <c r="KY173" s="382">
        <f t="shared" ref="KY173:KZ173" si="559">KW173-KT173</f>
        <v>0</v>
      </c>
      <c r="KZ173" s="369">
        <f t="shared" si="559"/>
        <v>0</v>
      </c>
      <c r="LA173" s="385" t="str">
        <f t="shared" si="192"/>
        <v>✔</v>
      </c>
      <c r="LB173" s="340" t="str">
        <f>IFERROR(__xludf.DUMMYFUNCTION("JOIN("""",ArrayFormula(MID(KS173,LEN(KS173)-SEQUENCE(1,LEN(KS173))+1,1)))"),"S-N-D-m-G-S")</f>
        <v>S-N-D-m-G-S</v>
      </c>
      <c r="LC173" s="373" t="str">
        <f>IFERROR(__xludf.DUMMYFUNCTION("JOIN("""",ArrayFormula(MID(KV173,LEN(KV173)-SEQUENCE(1,LEN(KV173))+1,1)))"),"S-G-m-D-N-S")</f>
        <v>S-G-m-D-N-S</v>
      </c>
      <c r="LD173" s="373" t="str">
        <f t="shared" si="193"/>
        <v>SGmDNS</v>
      </c>
      <c r="LE173" s="339" t="str">
        <f t="shared" si="194"/>
        <v>SGmDNS</v>
      </c>
      <c r="LF173" s="386" t="str">
        <f>IFERROR(__xludf.DUMMYFUNCTION("SUBSTITUTE(SUBSTITUTE(CONCATENATE(JOIN("""",LH173:LT173)),""1"",""""),""2"","""")"),"SGmDNS")</f>
        <v>SGmDNS</v>
      </c>
      <c r="LG173" s="369" t="str">
        <f t="shared" si="195"/>
        <v>✔</v>
      </c>
      <c r="LH173" s="387" t="str">
        <f>IFERROR(__xludf.DUMMYFUNCTION("IF(REGEXMATCH(LD173, ""S""), ""S"",IF(REGEXMATCH(LE173, ""S""), ""S"",""""))"),"S")</f>
        <v>S</v>
      </c>
      <c r="LI173" s="299" t="str">
        <f>IFERROR(__xludf.DUMMYFUNCTION("IF(REGEXMATCH(LD173, ""r""), ""r1"",IF(REGEXMATCH(LE173, ""r""), ""r2"",""""))"),"")</f>
        <v/>
      </c>
      <c r="LJ173" s="299" t="str">
        <f>IFERROR(__xludf.DUMMYFUNCTION("IF(REGEXMATCH(LD173, ""R""), ""R1"",IF(REGEXMATCH(LE173, ""R""), ""R2"",""""))"),"")</f>
        <v/>
      </c>
      <c r="LK173" s="299" t="str">
        <f>IFERROR(__xludf.DUMMYFUNCTION("IF(REGEXMATCH(LD173, ""g""), ""g1"",IF(REGEXMATCH(LE173, ""g""), ""g2"",""""))"),"")</f>
        <v/>
      </c>
      <c r="LL173" s="299" t="str">
        <f>IFERROR(__xludf.DUMMYFUNCTION("IF(REGEXMATCH(LD173, ""G""), ""G1"",IF(REGEXMATCH(LE173, ""G""), ""G2"",""""))"),"G1")</f>
        <v>G1</v>
      </c>
      <c r="LM173" s="299" t="str">
        <f>IFERROR(__xludf.DUMMYFUNCTION("IF(REGEXMATCH(LD173, ""m""), ""m1"",IF(REGEXMATCH(LE173, ""m""), ""m2"",""""))"),"m1")</f>
        <v>m1</v>
      </c>
      <c r="LN173" s="299" t="str">
        <f>IFERROR(__xludf.DUMMYFUNCTION("IF(REGEXMATCH(LD173, ""M""), ""M1"",IF(REGEXMATCH(LE173, ""M""), ""M2"",""""))"),"")</f>
        <v/>
      </c>
      <c r="LO173" s="299" t="str">
        <f>IFERROR(__xludf.DUMMYFUNCTION("IF(REGEXMATCH(LD173, ""P""), ""P1"",IF(REGEXMATCH(LE173, ""P""), ""P2"",""""))"),"")</f>
        <v/>
      </c>
      <c r="LP173" s="299" t="str">
        <f>IFERROR(__xludf.DUMMYFUNCTION("IF(REGEXMATCH(LD173, ""d""), ""d1"",IF(REGEXMATCH(LE173, ""d""), ""d2"",""""))"),"")</f>
        <v/>
      </c>
      <c r="LQ173" s="299" t="str">
        <f>IFERROR(__xludf.DUMMYFUNCTION("IF(REGEXMATCH(LD173, ""D""), ""D1"",IF(REGEXMATCH(LE173, ""D""), ""D2"",""""))"),"D1")</f>
        <v>D1</v>
      </c>
      <c r="LR173" s="299" t="str">
        <f>IFERROR(__xludf.DUMMYFUNCTION("IF(REGEXMATCH(LD173, ""n""), ""n1"",IF(REGEXMATCH(LE173, ""n""), ""n2"",""""))"),"")</f>
        <v/>
      </c>
      <c r="LS173" s="299" t="str">
        <f>IFERROR(__xludf.DUMMYFUNCTION("IF(REGEXMATCH(LD173, ""N""), ""N1"",IF(REGEXMATCH(LE173, ""N""), ""N2"",""""))"),"N1")</f>
        <v>N1</v>
      </c>
      <c r="LT173" s="388" t="str">
        <f>IFERROR(__xludf.DUMMYFUNCTION("IF(REGEXMATCH(LD173, ""S""), ""S"",IF(REGEXMATCH(LE173, ""S""), ""S"",""""))"),"S")</f>
        <v>S</v>
      </c>
      <c r="LU173" s="389">
        <f t="shared" si="196"/>
        <v>1</v>
      </c>
      <c r="LV173" s="378"/>
      <c r="LW173" s="369"/>
      <c r="LX173" s="369"/>
    </row>
    <row r="174" ht="18.0" customHeight="1">
      <c r="A174" s="298" t="s">
        <v>1312</v>
      </c>
      <c r="B174" s="222" t="s">
        <v>405</v>
      </c>
      <c r="C174" s="233" t="str">
        <f t="shared" si="7"/>
        <v>SRgmPdnS</v>
      </c>
      <c r="D174" s="234" t="str">
        <f>IFERROR(__xludf.DUMMYFUNCTION("IF(REGEXMATCH(C174, ""S""), ""S"","""")"),"S")</f>
        <v>S</v>
      </c>
      <c r="E174" s="236" t="str">
        <f>IFERROR(__xludf.DUMMYFUNCTION("IF(REGEXMATCH(C174, ""r""), ""r"","""")"),"")</f>
        <v/>
      </c>
      <c r="F174" s="237" t="str">
        <f>IFERROR(__xludf.DUMMYFUNCTION("IF(REGEXMATCH(C174, ""R""), ""R"","""")"),"R")</f>
        <v>R</v>
      </c>
      <c r="G174" s="237" t="str">
        <f>IFERROR(__xludf.DUMMYFUNCTION("IF(REGEXMATCH(C174, ""g""), ""g"","""")"),"g")</f>
        <v>g</v>
      </c>
      <c r="H174" s="236" t="str">
        <f>IFERROR(__xludf.DUMMYFUNCTION("IF(REGEXMATCH(C174, ""G""), ""G"","""")"),"")</f>
        <v/>
      </c>
      <c r="I174" s="236" t="str">
        <f>IFERROR(__xludf.DUMMYFUNCTION("IF(REGEXMATCH(C174, ""m""), ""m"","""")"),"m")</f>
        <v>m</v>
      </c>
      <c r="J174" s="237" t="str">
        <f>IFERROR(__xludf.DUMMYFUNCTION("IF(REGEXMATCH(C174, ""M""), ""M"","""")"),"")</f>
        <v/>
      </c>
      <c r="K174" s="236" t="str">
        <f>IFERROR(__xludf.DUMMYFUNCTION("IF(REGEXMATCH(C174, ""P""), ""P"","""")"),"P")</f>
        <v>P</v>
      </c>
      <c r="L174" s="237" t="str">
        <f>IFERROR(__xludf.DUMMYFUNCTION("IF(REGEXMATCH(C174, ""d""), ""d"","""")"),"d")</f>
        <v>d</v>
      </c>
      <c r="M174" s="236" t="str">
        <f>IFERROR(__xludf.DUMMYFUNCTION("IF(REGEXMATCH(C174, ""D""), ""D"","""")"),"")</f>
        <v/>
      </c>
      <c r="N174" s="236" t="str">
        <f>IFERROR(__xludf.DUMMYFUNCTION("IF(REGEXMATCH(C174, ""n""), ""n"","""")"),"n")</f>
        <v>n</v>
      </c>
      <c r="O174" s="237" t="str">
        <f>IFERROR(__xludf.DUMMYFUNCTION("IF(REGEXMATCH(C174, ""N""), ""N"","""")"),"")</f>
        <v/>
      </c>
      <c r="P174" s="238" t="str">
        <f>IFERROR(__xludf.DUMMYFUNCTION("IF(REGEXMATCH(C174, ""S""), ""S"","""")"),"S")</f>
        <v>S</v>
      </c>
      <c r="Q174" s="239" t="str">
        <f>IFERROR(__xludf.DUMMYFUNCTION("SUBSTITUTE(CONCATENATE(JOIN(""-"",D174:J174)),""-"","""")"),"SRgm")</f>
        <v>SRgm</v>
      </c>
      <c r="R174" s="229" t="str">
        <f>IFERROR(__xludf.DUMMYFUNCTION("SUBSTITUTE(CONCATENATE(JOIN(""-"",K174:P174)),""-"","""")"),"PdnS")</f>
        <v>PdnS</v>
      </c>
      <c r="S174" s="282" t="str">
        <f t="shared" si="8"/>
        <v>S-R-G-M</v>
      </c>
      <c r="T174" s="282" t="str">
        <f t="shared" si="9"/>
        <v>P-D-N-S</v>
      </c>
      <c r="U174" s="237" t="str">
        <f>IFERROR(__xludf.DUMMYFUNCTION("SUBSTITUTE(JOIN(""-"",S174,T174),""--"",""-"")"),"S-R-G-M-P-D-N-S")</f>
        <v>S-R-G-M-P-D-N-S</v>
      </c>
      <c r="V174" s="309" t="str">
        <f t="shared" si="10"/>
        <v>Rgmdn</v>
      </c>
      <c r="W174" s="244" t="str">
        <f>IFERROR(__xludf.DUMMYFUNCTION("IF(REGEXMATCH(C174, ""S""), ""0"","""")"),"0")</f>
        <v>0</v>
      </c>
      <c r="X174" s="245" t="str">
        <f>IFERROR(__xludf.DUMMYFUNCTION("IF(REGEXMATCH(C174, ""r""), ""1"","""")"),"")</f>
        <v/>
      </c>
      <c r="Y174" s="246" t="str">
        <f>IFERROR(__xludf.DUMMYFUNCTION("IF(REGEXMATCH(C174, ""R""), ""2"","""")"),"2")</f>
        <v>2</v>
      </c>
      <c r="Z174" s="246" t="str">
        <f>IFERROR(__xludf.DUMMYFUNCTION("IF(REGEXMATCH(C174, ""g""), ""3"","""")"),"3")</f>
        <v>3</v>
      </c>
      <c r="AA174" s="245" t="str">
        <f>IFERROR(__xludf.DUMMYFUNCTION("IF(REGEXMATCH(C174, ""G""), ""4"","""")"),"")</f>
        <v/>
      </c>
      <c r="AB174" s="245" t="str">
        <f>IFERROR(__xludf.DUMMYFUNCTION("IF(REGEXMATCH(C174, ""m""), ""5"","""")"),"5")</f>
        <v>5</v>
      </c>
      <c r="AC174" s="246" t="str">
        <f>IFERROR(__xludf.DUMMYFUNCTION("IF(REGEXMATCH(C174, ""M""), ""6"","""")"),"")</f>
        <v/>
      </c>
      <c r="AD174" s="245" t="str">
        <f>IFERROR(__xludf.DUMMYFUNCTION("IF(REGEXMATCH(C174, ""P""), ""7"","""")"),"7")</f>
        <v>7</v>
      </c>
      <c r="AE174" s="246" t="str">
        <f>IFERROR(__xludf.DUMMYFUNCTION("IF(REGEXMATCH(C174, ""d""), ""8"","""")"),"8")</f>
        <v>8</v>
      </c>
      <c r="AF174" s="245" t="str">
        <f>IFERROR(__xludf.DUMMYFUNCTION("IF(REGEXMATCH(C174, ""D""), ""9"","""")"),"")</f>
        <v/>
      </c>
      <c r="AG174" s="245" t="str">
        <f>IFERROR(__xludf.DUMMYFUNCTION("IF(REGEXMATCH(C174, ""n""), ""10"","""")"),"10")</f>
        <v>10</v>
      </c>
      <c r="AH174" s="246" t="str">
        <f>IFERROR(__xludf.DUMMYFUNCTION("IF(REGEXMATCH(C174, ""N""), ""11"","""")"),"")</f>
        <v/>
      </c>
      <c r="AI174" s="249" t="str">
        <f>IFERROR(__xludf.DUMMYFUNCTION("IF(REGEXMATCH(C174, ""S""), ""0"","""")"),"0")</f>
        <v>0</v>
      </c>
      <c r="AJ174" s="313" t="str">
        <f t="shared" si="11"/>
        <v>-</v>
      </c>
      <c r="AK174" s="313" t="str">
        <f t="shared" si="12"/>
        <v>-</v>
      </c>
      <c r="AL174" s="313" t="str">
        <f t="shared" si="13"/>
        <v>T</v>
      </c>
      <c r="AM174" s="313" t="str">
        <f t="shared" si="14"/>
        <v>-</v>
      </c>
      <c r="AN174" s="313" t="str">
        <f t="shared" si="15"/>
        <v>-</v>
      </c>
      <c r="AO174" s="314" t="str">
        <f t="shared" si="16"/>
        <v>-</v>
      </c>
      <c r="AP174" s="316">
        <f t="shared" si="17"/>
        <v>1</v>
      </c>
      <c r="AQ174" s="319" t="str">
        <f t="shared" si="18"/>
        <v>-</v>
      </c>
      <c r="AR174" s="320">
        <f t="shared" si="19"/>
        <v>0</v>
      </c>
      <c r="AS174" s="250" t="str">
        <f>IFERROR(__xludf.DUMMYFUNCTION("SUBSTITUTE(SUBSTITUTE(CONCATENATE(JOIN("""",FP174:GA174)),""|"",""x""),""-"",""o"")"),"xoxxoxoxxoxo")</f>
        <v>xoxxoxoxxoxo</v>
      </c>
      <c r="AT174" s="323" t="str">
        <f>IFERROR(__xludf.DUMMYFUNCTION("JOIN("""",AS174,AS174)"),"xoxxoxoxxoxoxoxxoxoxxoxo")</f>
        <v>xoxxoxoxxoxoxoxxoxoxxoxo</v>
      </c>
      <c r="AU174" s="256" t="str">
        <f>IFERROR(__xludf.DUMMYFUNCTION("JOIN("""",ArrayFormula(MID(AS174,LEN(AS174)-SEQUENCE(1,LEN(AS174))+1,1)))"),"oxoxxoxoxxox")</f>
        <v>oxoxxoxoxxox</v>
      </c>
      <c r="AV174" s="256" t="str">
        <f>IFERROR(__xludf.DUMMYFUNCTION("LEFT(CONCATENATE(""x"",JOIN("""",ArrayFormula(MID(AS174,LEN(AS174)-SEQUENCE(1,LEN(AS174))+1,1)))),12)"),"xoxoxxoxoxxo")</f>
        <v>xoxoxxoxoxxo</v>
      </c>
      <c r="AW174" s="327" t="str">
        <f>IFERROR(__xludf.DUMMYFUNCTION("JOIN("""",AU174,AU174)"),"oxoxxoxoxxoxoxoxxoxoxxox")</f>
        <v>oxoxxoxoxxoxoxoxxoxoxxox</v>
      </c>
      <c r="AX174" s="239" t="str">
        <f>IFERROR(__xludf.DUMMYFUNCTION("IF(REGEXMATCH(AW174,AS174),""✔"",""-"")"),"✔")</f>
        <v>✔</v>
      </c>
      <c r="AY174" s="330" t="str">
        <f t="shared" si="20"/>
        <v>-</v>
      </c>
      <c r="AZ174" s="260" t="str">
        <f t="shared" si="21"/>
        <v>#REF!</v>
      </c>
      <c r="BA174" s="333" t="str">
        <f t="shared" si="22"/>
        <v>xoxxoxo</v>
      </c>
      <c r="BB174" s="334" t="str">
        <f t="shared" si="23"/>
        <v>xxoxox</v>
      </c>
      <c r="BC174" s="335" t="str">
        <f t="shared" si="236"/>
        <v>-</v>
      </c>
      <c r="BD174" s="336" t="str">
        <f t="shared" si="25"/>
        <v>Kaushiki: 'xoxxoxo' + 'xxoxox'</v>
      </c>
      <c r="BE174" s="337">
        <f>IFERROR(__xludf.DUMMYFUNCTION("COUNTUNIQUE(FILTER(AT:AT,REGEXMATCH(AT:AT,AS174)))-1"),6.0)</f>
        <v>6</v>
      </c>
      <c r="BF174" s="261" t="str">
        <f>IFERROR(__xludf.DUMMYFUNCTION("IF(BI174=0,""(n/a)"",IF(BJ174=2,""(PAIR)"",IF(REGEXMATCH(AT174,""xoxoxxoxoxox""),""Bilawal"",IF(REGEXMATCH(AT174,""xoxoxooxoxoo""),""Bhupali"",IF(REGEXMATCH(AT174,""xoxoxxoxxoxo""),""Charukeshi"",IF(REGEXMATCH(AT174,""xoxoooxxoxxo""),""Kameshwari"",IF(REG"&amp;"EXMATCH(AT174,""xoxoxooxoxox""),""Shankara"",IF(REGEXMATCH(AT174,""xxooxoxxxoox""),""Basant"",IF(REGEXMATCH(AT174,""xoxoxxxxoxox""),""Bihag"",IF(REGEXMATCH(AT174,""xoxxxxoxoxxx""),""Pilu"",IF(REGEXMATCH(AT174,""xoxxoxoxxoox""),""Kirwani"",IF(REGEXMATCH(AT"&amp;"174,""xoxxoxoxoxxx""),""Mk.Malhar"",IF(REGEXMATCH(AT174,""xxooxxoxxoox""),""Bhairav"",IF(REGEXMATCH(AT174,""xxoxooxxxoox""),""Todi"",IF(REGEXMATCH(AT174,""xxooxoxooxox""),""Marwa"",IF(REGEXMATCH(AT174,""xxoooxoxxooo""),""Gunkali"",IF(REGEXMATCH(AT174,""xo"&amp;"xoxxoxxoox""),""Nat Bhairav"",IF(REGEXMATCH(AT174,""xoxxoooxoxoo""),""Shivranjani"",IF(REGEXMATCH(AT174,""xooxxxoxooxo""),""Jog"",IF(REGEXMATCH(AT174,""xxooxoxoxoox""),""Hemshri"",IF(REGEXMATCH(AT174,""xoooxooxoxxo""),""Kalavati"",IF(REGEXMATCH(AT174,""xx"&amp;"oxoxxoxoox""),""Kedar"",IF(REGEXMATCH(AT174,""xoxxxxoxooxx""),""Gara"",IF(REGEXMATCH(AT174,""xooxoxooxoox""),""Chandrakauns"",IF(REGEXMATCH(AT174,""xoxxxxoxxxox""),""Mand"",IF(REGEXMATCH(AT174,""xoxxxxoxoxox""),""Hanskinkini"",IF(REGEXMATCH(AT174,""xxooxx"&amp;"oxooxo""),""Lilavati"",IF(REGEXMATCH(AT174,""xooxoxoooxox""),""Rajeshwari"",IF(REGEXMATCH(AT174,""xoooxxoxoxxx""),""Khokar"",IF(REGEXMATCH(AT174,""xxooxoxxxxox""),""Maligoura"",""-""))))))))))))))))))))))))))))))"),"Bilawal")</f>
        <v>Bilawal</v>
      </c>
      <c r="BG174" s="239" t="str">
        <f t="shared" si="26"/>
        <v>#REF!</v>
      </c>
      <c r="BH174" s="239">
        <f>IFERROR(__xludf.DUMMYFUNCTION("COUNTUNIQUE(FE174:FO174)-1"),6.0)</f>
        <v>6</v>
      </c>
      <c r="BI174" s="239">
        <f>IFERROR(__xludf.DUMMYFUNCTION("COUNTUNIQUE(FILTER(AT:AT,REGEXMATCH(AT:AT,AS174)))-1"),6.0)</f>
        <v>6</v>
      </c>
      <c r="BJ174" s="239">
        <f>IFERROR(__xludf.DUMMYFUNCTION("COUNTA(FILTER(AT:AT,REGEXMATCH(AT:AT,AS174)))"),48.0)</f>
        <v>48</v>
      </c>
      <c r="BK174" s="341">
        <f>IFERROR(__xludf.DUMMYFUNCTION("COUNTA(FILTER(AT:AT,REGEXMATCH(AT:AT,AS174)))-AR174"),48.0)</f>
        <v>48</v>
      </c>
      <c r="BL174" s="276" t="str">
        <f>IFERROR(__xludf.DUMMYFUNCTION("IF(AS174=""oooooooooooo"",""-"",IF(REGEXMATCH(AT174,""xx""), ""Hemi."", ""Anhemi.""))"),"Hemi.")</f>
        <v>Hemi.</v>
      </c>
      <c r="BM174" s="282" t="str">
        <f>IFERROR(__xludf.DUMMYFUNCTION("IF(AS174=""oooooooooooo"",""-"",IF(REGEXMATCH(AT174,""xxx""), ""Cohem."", ""-""))"),"-")</f>
        <v>-</v>
      </c>
      <c r="BN174" s="282" t="str">
        <f>IFERROR(__xludf.DUMMYFUNCTION("IF(AS174=""oooooooooooo"",""-"",IF(REGEXMATCH(AT174,""xxxx""), ""Co-Co."", ""-""))"),"-")</f>
        <v>-</v>
      </c>
      <c r="BO174" s="342" t="str">
        <f>IFERROR(__xludf.DUMMYFUNCTION("IF(AS174=""oooooooooooo"",""-"",IF(REGEXMATCH(AT174,""xxxxx""), ""CCC."", ""-""))"),"-")</f>
        <v>-</v>
      </c>
      <c r="BP174" s="344" t="str">
        <f t="shared" si="27"/>
        <v>Asavari</v>
      </c>
      <c r="BQ174" s="282" t="str">
        <f>IFERROR(__xludf.DUMMYFUNCTION("IF(REGEXMATCH(JOIN(""-"",EU174:FD174),""TRUE""),""✔"",""-"")"),"✔")</f>
        <v>✔</v>
      </c>
      <c r="BR174" s="225">
        <f t="shared" si="28"/>
        <v>1</v>
      </c>
      <c r="BS174" s="345" t="str">
        <f>IFERROR(__xludf.DUMMYFUNCTION("SUBSTITUTE(SUBSTITUTE(SUBSTITUTE(SUBSTITUTE(CONCATENATE(JOIN(""-"",GC174:GO174)),""--"",""-""),""--"",""-""),""--"",""-""),""--"",""-"")"),"1-2-b3-4-5-b6-b7-8")</f>
        <v>1-2-b3-4-5-b6-b7-8</v>
      </c>
      <c r="BT174" s="299" t="str">
        <f>IFERROR(__xludf.DUMMYFUNCTION("SUBSTITUTE(SUBSTITUTE(SUBSTITUTE(SUBSTITUTE(CONCATENATE(JOIN(""-"",GP174:HB174)),""--"",""-""),""--"",""-""),""--"",""-""),""--"",""-"")"),"S-R2-G2-M1-P-D1-N2-S")</f>
        <v>S-R2-G2-M1-P-D1-N2-S</v>
      </c>
      <c r="BU174" s="348" t="str">
        <f t="shared" si="29"/>
        <v>C-D-Eb-F-G-Ab-Bb-C</v>
      </c>
      <c r="BV174" s="349" t="str">
        <f t="shared" si="30"/>
        <v>SrGMDNS</v>
      </c>
      <c r="BW174" s="350">
        <f t="shared" si="31"/>
        <v>3</v>
      </c>
      <c r="BX174" s="351">
        <f t="shared" si="32"/>
        <v>7</v>
      </c>
      <c r="BY174" s="392"/>
      <c r="BZ174" s="309" t="str">
        <f>IFERROR(__xludf.DUMMYFUNCTION("IF(REGEXMATCH(C174, ""S""), ""x"",""x"")"),"x")</f>
        <v>x</v>
      </c>
      <c r="CA174" s="245" t="str">
        <f>IFERROR(__xludf.DUMMYFUNCTION("IF(REGEXMATCH(C174, ""r""), ""o"",""x"")"),"x")</f>
        <v>x</v>
      </c>
      <c r="CB174" s="246" t="str">
        <f>IFERROR(__xludf.DUMMYFUNCTION("IF(REGEXMATCH(C174, ""R""), ""o"",""x"")"),"o")</f>
        <v>o</v>
      </c>
      <c r="CC174" s="246" t="str">
        <f>IFERROR(__xludf.DUMMYFUNCTION("IF(REGEXMATCH(C174, ""g""), ""o"",""x"")"),"o")</f>
        <v>o</v>
      </c>
      <c r="CD174" s="245" t="str">
        <f>IFERROR(__xludf.DUMMYFUNCTION("IF(REGEXMATCH(C174, ""G""), ""o"",""x"")"),"x")</f>
        <v>x</v>
      </c>
      <c r="CE174" s="245" t="str">
        <f>IFERROR(__xludf.DUMMYFUNCTION("IF(REGEXMATCH(C174, ""m""), ""o"",""x"")"),"o")</f>
        <v>o</v>
      </c>
      <c r="CF174" s="246" t="str">
        <f>IFERROR(__xludf.DUMMYFUNCTION("IF(REGEXMATCH(C174, ""M""), ""o"",""x"")"),"x")</f>
        <v>x</v>
      </c>
      <c r="CG174" s="245" t="str">
        <f>IFERROR(__xludf.DUMMYFUNCTION("IF(REGEXMATCH(C174, ""P""), ""o"",""x"")"),"o")</f>
        <v>o</v>
      </c>
      <c r="CH174" s="246" t="str">
        <f>IFERROR(__xludf.DUMMYFUNCTION("IF(REGEXMATCH(C174, ""d""), ""o"",""x"")"),"o")</f>
        <v>o</v>
      </c>
      <c r="CI174" s="245" t="str">
        <f>IFERROR(__xludf.DUMMYFUNCTION("IF(REGEXMATCH(C174, ""D""), ""o"",""x"")"),"x")</f>
        <v>x</v>
      </c>
      <c r="CJ174" s="245" t="str">
        <f>IFERROR(__xludf.DUMMYFUNCTION("IF(REGEXMATCH(C174, ""n""), ""o"",""x"")"),"o")</f>
        <v>o</v>
      </c>
      <c r="CK174" s="245" t="str">
        <f>IFERROR(__xludf.DUMMYFUNCTION("IF(REGEXMATCH(C174, ""N""), ""o"",""x"")"),"x")</f>
        <v>x</v>
      </c>
      <c r="CL174" s="356" t="str">
        <f>IFERROR(__xludf.DUMMYFUNCTION("IF(REGEXMATCH(C174, ""S""), ""x"",""x"")"),"x")</f>
        <v>x</v>
      </c>
      <c r="CM174" s="357" t="str">
        <f t="shared" si="33"/>
        <v>xxooxoxooxox</v>
      </c>
      <c r="CN174" s="358">
        <f t="shared" si="34"/>
        <v>3</v>
      </c>
      <c r="CO174" s="246" t="str">
        <f>IFERROR(__xludf.DUMMYFUNCTION("IF(REGEXMATCH($C174, ""S""), ""S"",""S"")"),"S")</f>
        <v>S</v>
      </c>
      <c r="CP174" s="246" t="str">
        <f>IFERROR(__xludf.DUMMYFUNCTION("IF(REGEXMATCH($C174, ""r""), """",""r"")"),"r")</f>
        <v>r</v>
      </c>
      <c r="CQ174" s="246" t="str">
        <f>IFERROR(__xludf.DUMMYFUNCTION("IF(REGEXMATCH($C174, ""R""), """",""R"")"),"")</f>
        <v/>
      </c>
      <c r="CR174" s="246" t="str">
        <f>IFERROR(__xludf.DUMMYFUNCTION("IF(REGEXMATCH($C174, ""g""), """",""g"")"),"")</f>
        <v/>
      </c>
      <c r="CS174" s="246" t="str">
        <f>IFERROR(__xludf.DUMMYFUNCTION("IF(REGEXMATCH($C174, ""G""), """",""G"")"),"G")</f>
        <v>G</v>
      </c>
      <c r="CT174" s="246" t="str">
        <f>IFERROR(__xludf.DUMMYFUNCTION("IF(REGEXMATCH($C174, ""m""), """",""m"")"),"")</f>
        <v/>
      </c>
      <c r="CU174" s="246" t="str">
        <f>IFERROR(__xludf.DUMMYFUNCTION("IF(REGEXMATCH($C174, ""M""), """",""M"")"),"M")</f>
        <v>M</v>
      </c>
      <c r="CV174" s="246" t="str">
        <f>IFERROR(__xludf.DUMMYFUNCTION("IF(REGEXMATCH($C174, ""P""), """",""P"")"),"")</f>
        <v/>
      </c>
      <c r="CW174" s="246" t="str">
        <f>IFERROR(__xludf.DUMMYFUNCTION("IF(REGEXMATCH($C174, ""d""), """",""d"")"),"")</f>
        <v/>
      </c>
      <c r="CX174" s="246" t="str">
        <f>IFERROR(__xludf.DUMMYFUNCTION("IF(REGEXMATCH($C174, ""D""), """",""D"")"),"D")</f>
        <v>D</v>
      </c>
      <c r="CY174" s="246" t="str">
        <f>IFERROR(__xludf.DUMMYFUNCTION("IF(REGEXMATCH($C174, ""n""), """",""n"")"),"")</f>
        <v/>
      </c>
      <c r="CZ174" s="246" t="str">
        <f>IFERROR(__xludf.DUMMYFUNCTION("IF(REGEXMATCH($C174, ""N""), """",""N"")"),"N")</f>
        <v>N</v>
      </c>
      <c r="DA174" s="246" t="str">
        <f>IFERROR(__xludf.DUMMYFUNCTION("IF(REGEXMATCH($C174, ""S""), ""S"",""S"")"),"S")</f>
        <v>S</v>
      </c>
      <c r="DB174" s="362" t="str">
        <f>IFERROR(__xludf.DUMMYFUNCTION("JOIN("""",CO174:DA174,"""","""")"),"SrGMDNS")</f>
        <v>SrGMDNS</v>
      </c>
      <c r="DC174" s="363"/>
      <c r="DD174" s="301" t="str">
        <f t="shared" si="35"/>
        <v>#REF!</v>
      </c>
      <c r="DE174" s="302" t="str">
        <f t="shared" si="36"/>
        <v>#REF!</v>
      </c>
      <c r="DF174" s="301" t="str">
        <f t="shared" ref="DF174:DG174" si="560">SUBSTITUTE(S174,"-","")</f>
        <v>SRGM</v>
      </c>
      <c r="DG174" s="301" t="str">
        <f t="shared" si="560"/>
        <v>PDNS</v>
      </c>
      <c r="DH174" s="302" t="str">
        <f t="shared" si="38"/>
        <v>Bilawal</v>
      </c>
      <c r="DI174" s="301" t="str">
        <f t="shared" si="39"/>
        <v>Hemi.</v>
      </c>
      <c r="DJ174" s="364" t="str">
        <f t="shared" si="40"/>
        <v>-</v>
      </c>
      <c r="DK174" s="306" t="str">
        <f t="shared" si="41"/>
        <v>Asavari</v>
      </c>
      <c r="DL174" s="366" t="str">
        <f t="shared" si="42"/>
        <v>-</v>
      </c>
      <c r="DM174" s="308" t="str">
        <f t="shared" si="43"/>
        <v>-</v>
      </c>
      <c r="DN174" s="306" t="str">
        <f t="shared" si="44"/>
        <v>-</v>
      </c>
      <c r="DO174" s="306" t="str">
        <f t="shared" si="45"/>
        <v>-</v>
      </c>
      <c r="DP174" s="367" t="str">
        <f t="shared" si="46"/>
        <v>-</v>
      </c>
      <c r="DQ174" s="310" t="str">
        <f t="shared" si="47"/>
        <v>-</v>
      </c>
      <c r="DR174" s="310" t="str">
        <f t="shared" si="48"/>
        <v>-</v>
      </c>
      <c r="DS174" s="310" t="str">
        <f t="shared" si="49"/>
        <v>-</v>
      </c>
      <c r="DT174" s="310" t="str">
        <f t="shared" si="50"/>
        <v>-</v>
      </c>
      <c r="DU174" s="370" t="str">
        <f t="shared" si="51"/>
        <v>-</v>
      </c>
      <c r="DV174" s="306" t="str">
        <f t="shared" si="52"/>
        <v>-</v>
      </c>
      <c r="DW174" s="306" t="str">
        <f t="shared" si="53"/>
        <v>-</v>
      </c>
      <c r="DX174" s="306" t="str">
        <f t="shared" si="54"/>
        <v>-</v>
      </c>
      <c r="DY174" s="306" t="str">
        <f t="shared" si="55"/>
        <v>-</v>
      </c>
      <c r="DZ174" s="306" t="str">
        <f t="shared" si="56"/>
        <v>-</v>
      </c>
      <c r="EA174" s="367" t="str">
        <f t="shared" si="57"/>
        <v>-</v>
      </c>
      <c r="EB174" s="310" t="str">
        <f>IFERROR(__xludf.DUMMYFUNCTION("IF(REGEXMATCH(AW174,AS174),""✔"",""-"")"),"✔")</f>
        <v>✔</v>
      </c>
      <c r="EC174" s="310" t="str">
        <f t="shared" si="58"/>
        <v>#REF!</v>
      </c>
      <c r="ED174" s="370" t="str">
        <f t="shared" si="59"/>
        <v>-</v>
      </c>
      <c r="EE174" s="340" t="str">
        <f t="shared" si="60"/>
        <v>S-R-g-m-P-d-n-S</v>
      </c>
      <c r="EF174" s="371" t="str">
        <f>IFERROR(__xludf.DUMMYFUNCTION("CONCATENATE(JOIN("""",HC174:HO174))"),"SRGmPDnS")</f>
        <v>SRGmPDnS</v>
      </c>
      <c r="EG174" s="372">
        <f t="shared" si="61"/>
        <v>1</v>
      </c>
      <c r="EH174" s="373" t="str">
        <f>IFERROR(__xludf.DUMMYFUNCTION("CONCATENATE(JOIN("""",JC174:JO174))"),"Re, ")</f>
        <v>Re, </v>
      </c>
      <c r="EI174" s="322">
        <f t="shared" si="62"/>
        <v>0</v>
      </c>
      <c r="EJ174" s="374" t="str">
        <f>IFERROR(__xludf.DUMMYFUNCTION("CONCATENATE(JOIN("""",KC174:KO174))"),"")</f>
        <v/>
      </c>
      <c r="EK174" s="325" t="str">
        <f t="shared" si="63"/>
        <v>S-R2-G2-M1-P-D1-N2-S</v>
      </c>
      <c r="EL174" s="326" t="str">
        <f t="shared" si="64"/>
        <v>1-2-b3-4-5-b6-b7-8</v>
      </c>
      <c r="EM174" s="318" t="str">
        <f t="shared" si="65"/>
        <v>#REF!</v>
      </c>
      <c r="EN174" s="328" t="str">
        <f>IFERROR(__xludf.DUMMYFUNCTION("SUBSTITUTE(SUBSTITUTE(SUBSTITUTE(SUBSTITUTE(CONCATENATE(JOIN("" "",HP174:IB174)),""  "","" ""),""  "","" ""),""  "","" ""),""  "","" "")"),"o • o o • o • o o • o • o")</f>
        <v>o • o o • o • o o • o • o</v>
      </c>
      <c r="EO174" s="368" t="str">
        <f t="shared" si="66"/>
        <v>-</v>
      </c>
      <c r="EP174" s="339" t="str">
        <f t="shared" si="67"/>
        <v>-</v>
      </c>
      <c r="EQ174" s="339" t="str">
        <f t="shared" si="68"/>
        <v>Sa-Pa</v>
      </c>
      <c r="ER174" s="339" t="str">
        <f t="shared" si="69"/>
        <v>-</v>
      </c>
      <c r="ES174" s="340" t="str">
        <f t="shared" si="70"/>
        <v>-</v>
      </c>
      <c r="ET174" s="363"/>
      <c r="EU174" s="376" t="b">
        <f>IFERROR(__xludf.DUMMYFUNCTION("arrayformula(sum(--REGEXMATCH(""SRGMPDNS"",split(REGEXREPLACE(C174,""(.)"",""$1~""),""~""))))=len(C174)
"),FALSE)</f>
        <v>0</v>
      </c>
      <c r="EV174" s="290" t="b">
        <f>IFERROR(__xludf.DUMMYFUNCTION("arrayformula(sum(--REGEXMATCH(""SRGmPDNS"",split(REGEXREPLACE(C174,""(.)"",""$1~""),""~""))))=len(C174)"),FALSE)</f>
        <v>0</v>
      </c>
      <c r="EW174" s="290" t="b">
        <f>IFERROR(__xludf.DUMMYFUNCTION("arrayformula(sum(--REGEXMATCH(""SRGmPDnS"",split(REGEXREPLACE(C174,""(.)"",""$1~""),""~""))))=len(C174)"),FALSE)</f>
        <v>0</v>
      </c>
      <c r="EX174" s="290" t="b">
        <f>IFERROR(__xludf.DUMMYFUNCTION("arrayformula(sum(--REGEXMATCH(""SRgmPDnS"",split(REGEXREPLACE(C174,""(.)"",""$1~""),""~""))))=len(C174)"),FALSE)</f>
        <v>0</v>
      </c>
      <c r="EY174" s="290" t="b">
        <f>IFERROR(__xludf.DUMMYFUNCTION("arrayformula(sum(--REGEXMATCH(""SRgmPdnS"",split(REGEXREPLACE(C174,""(.)"",""$1~""),""~""))))=len(C174)"),TRUE)</f>
        <v>1</v>
      </c>
      <c r="EZ174" s="290" t="b">
        <f>IFERROR(__xludf.DUMMYFUNCTION("arrayformula(sum(--REGEXMATCH(""SrgmPdnS"",split(REGEXREPLACE(C174,""(.)"",""$1~""),""~""))))=len(C174)"),FALSE)</f>
        <v>0</v>
      </c>
      <c r="FA174" s="290" t="b">
        <f>IFERROR(__xludf.DUMMYFUNCTION("arrayformula(sum(--REGEXMATCH(""SrGmPdNS"",split(REGEXREPLACE(C174,""(.)"",""$1~""),""~""))))=len(C174)"),FALSE)</f>
        <v>0</v>
      </c>
      <c r="FB174" s="290" t="b">
        <f>IFERROR(__xludf.DUMMYFUNCTION("arrayformula(sum(--REGEXMATCH(""SrGMPDNS"",split(REGEXREPLACE(C174,""(.)"",""$1~""),""~""))))=len(C174)"),FALSE)</f>
        <v>0</v>
      </c>
      <c r="FC174" s="290" t="b">
        <f>IFERROR(__xludf.DUMMYFUNCTION("arrayformula(sum(--REGEXMATCH(""SrGMPdNS"",split(REGEXREPLACE(C174,""(.)"",""$1~""),""~""))))=len(C174)"),FALSE)</f>
        <v>0</v>
      </c>
      <c r="FD174" s="377" t="b">
        <f>IFERROR(__xludf.DUMMYFUNCTION("arrayformula(sum(--REGEXMATCH(""SrgMPdNS"",split(REGEXREPLACE(C174,""(.)"",""$1~""),""~""))))=len(C174)"),FALSE)</f>
        <v>0</v>
      </c>
      <c r="FE174" s="269" t="str">
        <f t="shared" si="71"/>
        <v>-</v>
      </c>
      <c r="FF174" s="269" t="str">
        <f t="shared" si="72"/>
        <v>xxoxoxxoxox</v>
      </c>
      <c r="FG174" s="271" t="str">
        <f t="shared" si="73"/>
        <v>xoxoxxoxoxo</v>
      </c>
      <c r="FH174" s="269" t="str">
        <f t="shared" si="74"/>
        <v>-</v>
      </c>
      <c r="FI174" s="271" t="str">
        <f t="shared" si="75"/>
        <v>xoxxoxoxoxx</v>
      </c>
      <c r="FJ174" s="271" t="str">
        <f t="shared" si="76"/>
        <v>-</v>
      </c>
      <c r="FK174" s="271" t="str">
        <f t="shared" si="77"/>
        <v>xxoxoxoxxox</v>
      </c>
      <c r="FL174" s="271" t="str">
        <f t="shared" si="78"/>
        <v>xoxoxoxxoxo</v>
      </c>
      <c r="FM174" s="271" t="str">
        <f t="shared" si="79"/>
        <v>-</v>
      </c>
      <c r="FN174" s="271" t="str">
        <f t="shared" si="80"/>
        <v>xoxoxxoxoxx</v>
      </c>
      <c r="FO174" s="274" t="str">
        <f t="shared" si="81"/>
        <v>-</v>
      </c>
      <c r="FP174" s="234" t="str">
        <f t="shared" si="82"/>
        <v>|</v>
      </c>
      <c r="FQ174" s="236" t="str">
        <f t="shared" si="83"/>
        <v>-</v>
      </c>
      <c r="FR174" s="237" t="str">
        <f t="shared" si="84"/>
        <v>|</v>
      </c>
      <c r="FS174" s="236" t="str">
        <f t="shared" si="85"/>
        <v>|</v>
      </c>
      <c r="FT174" s="237" t="str">
        <f t="shared" si="86"/>
        <v>-</v>
      </c>
      <c r="FU174" s="236" t="str">
        <f t="shared" si="87"/>
        <v>|</v>
      </c>
      <c r="FV174" s="237" t="str">
        <f t="shared" si="88"/>
        <v>-</v>
      </c>
      <c r="FW174" s="236" t="str">
        <f t="shared" si="89"/>
        <v>|</v>
      </c>
      <c r="FX174" s="237" t="str">
        <f t="shared" si="90"/>
        <v>|</v>
      </c>
      <c r="FY174" s="236" t="str">
        <f t="shared" si="91"/>
        <v>-</v>
      </c>
      <c r="FZ174" s="237" t="str">
        <f t="shared" si="92"/>
        <v>|</v>
      </c>
      <c r="GA174" s="236" t="str">
        <f t="shared" si="93"/>
        <v>-</v>
      </c>
      <c r="GB174" s="238" t="str">
        <f t="shared" si="94"/>
        <v>|</v>
      </c>
      <c r="GC174" s="244" t="str">
        <f>IFERROR(__xludf.DUMMYFUNCTION("IF(REGEXMATCH(C174, ""S""), ""1"","""")"),"1")</f>
        <v>1</v>
      </c>
      <c r="GD174" s="245" t="str">
        <f>IFERROR(__xludf.DUMMYFUNCTION("IF(REGEXMATCH(C174, ""r""), ""b2"","""")"),"")</f>
        <v/>
      </c>
      <c r="GE174" s="246" t="str">
        <f>IFERROR(__xludf.DUMMYFUNCTION("IF(REGEXMATCH(C174, ""R""), ""2"","""")"),"2")</f>
        <v>2</v>
      </c>
      <c r="GF174" s="246" t="str">
        <f>IFERROR(__xludf.DUMMYFUNCTION("IF(REGEXMATCH(C174, ""g""), ""b3"","""")"),"b3")</f>
        <v>b3</v>
      </c>
      <c r="GG174" s="245" t="str">
        <f>IFERROR(__xludf.DUMMYFUNCTION("IF(REGEXMATCH(C174, ""G""), ""3"","""")"),"")</f>
        <v/>
      </c>
      <c r="GH174" s="245" t="str">
        <f>IFERROR(__xludf.DUMMYFUNCTION("IF(REGEXMATCH(C174, ""m""), ""4"","""")"),"4")</f>
        <v>4</v>
      </c>
      <c r="GI174" s="246" t="str">
        <f>IFERROR(__xludf.DUMMYFUNCTION("IF(REGEXMATCH(C174, ""M""), ""#4"","""")"),"")</f>
        <v/>
      </c>
      <c r="GJ174" s="245" t="str">
        <f>IFERROR(__xludf.DUMMYFUNCTION("IF(REGEXMATCH(C174, ""P""), ""5"","""")"),"5")</f>
        <v>5</v>
      </c>
      <c r="GK174" s="246" t="str">
        <f>IFERROR(__xludf.DUMMYFUNCTION("IF(REGEXMATCH(C174, ""d""), ""b6"","""")"),"b6")</f>
        <v>b6</v>
      </c>
      <c r="GL174" s="245" t="str">
        <f>IFERROR(__xludf.DUMMYFUNCTION("IF(REGEXMATCH(C174, ""D""), ""6"","""")"),"")</f>
        <v/>
      </c>
      <c r="GM174" s="245" t="str">
        <f>IFERROR(__xludf.DUMMYFUNCTION("IF(REGEXMATCH(C174, ""n""), ""b7"","""")"),"b7")</f>
        <v>b7</v>
      </c>
      <c r="GN174" s="246" t="str">
        <f>IFERROR(__xludf.DUMMYFUNCTION("IF(REGEXMATCH(C174, ""N""), ""7"","""")"),"")</f>
        <v/>
      </c>
      <c r="GO174" s="249" t="str">
        <f>IFERROR(__xludf.DUMMYFUNCTION("IF(REGEXMATCH(C174, ""S""), ""8"","""")"),"8")</f>
        <v>8</v>
      </c>
      <c r="GP174" s="244" t="str">
        <f>IFERROR(__xludf.DUMMYFUNCTION("IF(REGEXMATCH(C174, ""S""), ""S"","""")"),"S")</f>
        <v>S</v>
      </c>
      <c r="GQ174" s="294" t="str">
        <f>IFERROR(__xludf.DUMMYFUNCTION("IF(REGEXMATCH(C174, ""r""), ""R1"","""")"),"")</f>
        <v/>
      </c>
      <c r="GR174" s="295" t="str">
        <f>IFERROR(__xludf.DUMMYFUNCTION("IF(REGEXMATCH(C174, ""R""), ""R2"","""")"),"R2")</f>
        <v>R2</v>
      </c>
      <c r="GS174" s="295" t="str">
        <f>IFERROR(__xludf.DUMMYFUNCTION("IF(REGEXMATCH(C174, ""g""), ""G2"","""")"),"G2")</f>
        <v>G2</v>
      </c>
      <c r="GT174" s="294" t="str">
        <f>IFERROR(__xludf.DUMMYFUNCTION("IF(REGEXMATCH(C174, ""G""), ""G3"","""")"),"")</f>
        <v/>
      </c>
      <c r="GU174" s="294" t="str">
        <f>IFERROR(__xludf.DUMMYFUNCTION("IF(REGEXMATCH(C174, ""m""), ""M1"","""")"),"M1")</f>
        <v>M1</v>
      </c>
      <c r="GV174" s="295" t="str">
        <f>IFERROR(__xludf.DUMMYFUNCTION("IF(REGEXMATCH(C174, ""M""), ""M2"","""")"),"")</f>
        <v/>
      </c>
      <c r="GW174" s="294" t="str">
        <f>IFERROR(__xludf.DUMMYFUNCTION("IF(REGEXMATCH(C174, ""P""), ""P"","""")"),"P")</f>
        <v>P</v>
      </c>
      <c r="GX174" s="295" t="str">
        <f>IFERROR(__xludf.DUMMYFUNCTION("IF(REGEXMATCH(C174, ""d""), ""D1"","""")"),"D1")</f>
        <v>D1</v>
      </c>
      <c r="GY174" s="294" t="str">
        <f>IFERROR(__xludf.DUMMYFUNCTION("IF(REGEXMATCH(C174, ""D""), ""D2"","""")"),"")</f>
        <v/>
      </c>
      <c r="GZ174" s="294" t="str">
        <f>IFERROR(__xludf.DUMMYFUNCTION("IF(REGEXMATCH(C174, ""n""), ""N2"","""")"),"N2")</f>
        <v>N2</v>
      </c>
      <c r="HA174" s="295" t="str">
        <f>IFERROR(__xludf.DUMMYFUNCTION("IF(REGEXMATCH(C174, ""N""), ""N3"","""")"),"")</f>
        <v/>
      </c>
      <c r="HB174" s="249" t="str">
        <f>IFERROR(__xludf.DUMMYFUNCTION("IF(REGEXMATCH(C174, ""S""), ""S"","""")"),"S")</f>
        <v>S</v>
      </c>
      <c r="HC174" s="331" t="str">
        <f t="shared" si="95"/>
        <v>S</v>
      </c>
      <c r="HD174" s="332" t="str">
        <f t="shared" si="96"/>
        <v/>
      </c>
      <c r="HE174" s="332" t="str">
        <f t="shared" si="97"/>
        <v>R</v>
      </c>
      <c r="HF174" s="332" t="str">
        <f t="shared" si="98"/>
        <v/>
      </c>
      <c r="HG174" s="332" t="str">
        <f t="shared" si="99"/>
        <v>G</v>
      </c>
      <c r="HH174" s="332" t="str">
        <f t="shared" si="100"/>
        <v>m</v>
      </c>
      <c r="HI174" s="332" t="str">
        <f t="shared" si="101"/>
        <v/>
      </c>
      <c r="HJ174" s="332" t="str">
        <f t="shared" si="102"/>
        <v>P</v>
      </c>
      <c r="HK174" s="332" t="str">
        <f t="shared" si="103"/>
        <v/>
      </c>
      <c r="HL174" s="332" t="str">
        <f t="shared" si="104"/>
        <v>D</v>
      </c>
      <c r="HM174" s="332" t="str">
        <f t="shared" si="105"/>
        <v>n</v>
      </c>
      <c r="HN174" s="332" t="str">
        <f t="shared" si="106"/>
        <v/>
      </c>
      <c r="HO174" s="343" t="str">
        <f t="shared" si="107"/>
        <v>S</v>
      </c>
      <c r="HP174" s="331" t="str">
        <f t="shared" si="108"/>
        <v>o</v>
      </c>
      <c r="HQ174" s="332" t="str">
        <f t="shared" si="109"/>
        <v>•</v>
      </c>
      <c r="HR174" s="332" t="str">
        <f t="shared" si="110"/>
        <v>o</v>
      </c>
      <c r="HS174" s="332" t="str">
        <f t="shared" si="111"/>
        <v>o</v>
      </c>
      <c r="HT174" s="332" t="str">
        <f t="shared" si="112"/>
        <v>•</v>
      </c>
      <c r="HU174" s="332" t="str">
        <f t="shared" si="113"/>
        <v>o</v>
      </c>
      <c r="HV174" s="332" t="str">
        <f t="shared" si="114"/>
        <v>•</v>
      </c>
      <c r="HW174" s="332" t="str">
        <f t="shared" si="115"/>
        <v>o</v>
      </c>
      <c r="HX174" s="332" t="str">
        <f t="shared" si="116"/>
        <v>o</v>
      </c>
      <c r="HY174" s="332" t="str">
        <f t="shared" si="117"/>
        <v>•</v>
      </c>
      <c r="HZ174" s="332" t="str">
        <f t="shared" si="118"/>
        <v>o</v>
      </c>
      <c r="IA174" s="332" t="str">
        <f t="shared" si="119"/>
        <v>•</v>
      </c>
      <c r="IB174" s="338" t="str">
        <f t="shared" si="120"/>
        <v>o</v>
      </c>
      <c r="IC174" s="331" t="str">
        <f t="shared" si="121"/>
        <v>•</v>
      </c>
      <c r="ID174" s="332" t="str">
        <f t="shared" si="122"/>
        <v>o</v>
      </c>
      <c r="IE174" s="332" t="str">
        <f t="shared" si="123"/>
        <v>•</v>
      </c>
      <c r="IF174" s="332" t="str">
        <f t="shared" si="124"/>
        <v>•</v>
      </c>
      <c r="IG174" s="332" t="str">
        <f t="shared" si="125"/>
        <v>o</v>
      </c>
      <c r="IH174" s="332" t="str">
        <f t="shared" si="126"/>
        <v>•</v>
      </c>
      <c r="II174" s="332" t="str">
        <f t="shared" si="127"/>
        <v>o</v>
      </c>
      <c r="IJ174" s="332" t="str">
        <f t="shared" si="128"/>
        <v>•</v>
      </c>
      <c r="IK174" s="332" t="str">
        <f t="shared" si="129"/>
        <v>•</v>
      </c>
      <c r="IL174" s="332" t="str">
        <f t="shared" si="130"/>
        <v>o</v>
      </c>
      <c r="IM174" s="332" t="str">
        <f t="shared" si="131"/>
        <v>•</v>
      </c>
      <c r="IN174" s="332" t="str">
        <f t="shared" si="132"/>
        <v>o</v>
      </c>
      <c r="IO174" s="338" t="str">
        <f t="shared" si="133"/>
        <v>•</v>
      </c>
      <c r="IP174" s="346" t="b">
        <f t="shared" si="134"/>
        <v>0</v>
      </c>
      <c r="IQ174" s="347" t="b">
        <f t="shared" si="135"/>
        <v>0</v>
      </c>
      <c r="IR174" s="347" t="b">
        <f t="shared" si="136"/>
        <v>1</v>
      </c>
      <c r="IS174" s="347" t="b">
        <f t="shared" si="137"/>
        <v>0</v>
      </c>
      <c r="IT174" s="347" t="b">
        <f t="shared" si="138"/>
        <v>0</v>
      </c>
      <c r="IU174" s="347" t="b">
        <f t="shared" si="139"/>
        <v>0</v>
      </c>
      <c r="IV174" s="347" t="b">
        <f t="shared" si="140"/>
        <v>0</v>
      </c>
      <c r="IW174" s="347" t="b">
        <f t="shared" si="141"/>
        <v>0</v>
      </c>
      <c r="IX174" s="347" t="b">
        <f t="shared" si="142"/>
        <v>0</v>
      </c>
      <c r="IY174" s="347" t="b">
        <f t="shared" si="143"/>
        <v>0</v>
      </c>
      <c r="IZ174" s="347" t="b">
        <f t="shared" si="144"/>
        <v>0</v>
      </c>
      <c r="JA174" s="347" t="b">
        <f t="shared" si="145"/>
        <v>0</v>
      </c>
      <c r="JB174" s="353" t="b">
        <f t="shared" si="146"/>
        <v>0</v>
      </c>
      <c r="JC174" s="354" t="str">
        <f t="shared" si="147"/>
        <v/>
      </c>
      <c r="JD174" s="355" t="str">
        <f t="shared" si="148"/>
        <v/>
      </c>
      <c r="JE174" s="355" t="str">
        <f t="shared" si="149"/>
        <v>Re, </v>
      </c>
      <c r="JF174" s="355" t="str">
        <f t="shared" si="150"/>
        <v/>
      </c>
      <c r="JG174" s="355" t="str">
        <f t="shared" si="151"/>
        <v/>
      </c>
      <c r="JH174" s="355" t="str">
        <f t="shared" si="152"/>
        <v/>
      </c>
      <c r="JI174" s="355" t="str">
        <f t="shared" si="153"/>
        <v/>
      </c>
      <c r="JJ174" s="355" t="str">
        <f t="shared" si="154"/>
        <v/>
      </c>
      <c r="JK174" s="355" t="str">
        <f t="shared" si="155"/>
        <v/>
      </c>
      <c r="JL174" s="355" t="str">
        <f t="shared" si="156"/>
        <v/>
      </c>
      <c r="JM174" s="355" t="str">
        <f t="shared" si="157"/>
        <v/>
      </c>
      <c r="JN174" s="355" t="str">
        <f t="shared" si="158"/>
        <v/>
      </c>
      <c r="JO174" s="359" t="str">
        <f t="shared" si="159"/>
        <v/>
      </c>
      <c r="JP174" s="346" t="b">
        <f t="shared" si="160"/>
        <v>0</v>
      </c>
      <c r="JQ174" s="347" t="b">
        <f t="shared" si="161"/>
        <v>0</v>
      </c>
      <c r="JR174" s="347" t="b">
        <f t="shared" si="162"/>
        <v>0</v>
      </c>
      <c r="JS174" s="347" t="b">
        <f t="shared" si="163"/>
        <v>0</v>
      </c>
      <c r="JT174" s="347" t="b">
        <f t="shared" si="164"/>
        <v>0</v>
      </c>
      <c r="JU174" s="347" t="b">
        <f t="shared" si="165"/>
        <v>0</v>
      </c>
      <c r="JV174" s="347" t="b">
        <f t="shared" si="166"/>
        <v>0</v>
      </c>
      <c r="JW174" s="347" t="b">
        <f t="shared" si="167"/>
        <v>0</v>
      </c>
      <c r="JX174" s="347" t="b">
        <f t="shared" si="168"/>
        <v>0</v>
      </c>
      <c r="JY174" s="347" t="b">
        <f t="shared" si="169"/>
        <v>0</v>
      </c>
      <c r="JZ174" s="347" t="b">
        <f t="shared" si="170"/>
        <v>0</v>
      </c>
      <c r="KA174" s="347" t="b">
        <f t="shared" si="171"/>
        <v>0</v>
      </c>
      <c r="KB174" s="365" t="b">
        <f t="shared" si="172"/>
        <v>0</v>
      </c>
      <c r="KC174" s="354" t="str">
        <f t="shared" si="173"/>
        <v/>
      </c>
      <c r="KD174" s="355" t="str">
        <f t="shared" si="174"/>
        <v/>
      </c>
      <c r="KE174" s="355" t="str">
        <f t="shared" si="175"/>
        <v/>
      </c>
      <c r="KF174" s="355" t="str">
        <f t="shared" si="176"/>
        <v/>
      </c>
      <c r="KG174" s="355" t="str">
        <f t="shared" si="177"/>
        <v/>
      </c>
      <c r="KH174" s="355" t="str">
        <f t="shared" si="178"/>
        <v/>
      </c>
      <c r="KI174" s="355" t="str">
        <f t="shared" si="179"/>
        <v/>
      </c>
      <c r="KJ174" s="355" t="str">
        <f t="shared" si="180"/>
        <v/>
      </c>
      <c r="KK174" s="355" t="str">
        <f t="shared" si="181"/>
        <v/>
      </c>
      <c r="KL174" s="355" t="str">
        <f t="shared" si="182"/>
        <v/>
      </c>
      <c r="KM174" s="355" t="str">
        <f t="shared" si="183"/>
        <v/>
      </c>
      <c r="KN174" s="355" t="str">
        <f t="shared" si="184"/>
        <v/>
      </c>
      <c r="KO174" s="359"/>
      <c r="KP174" s="378"/>
      <c r="KQ174" s="379" t="s">
        <v>9</v>
      </c>
      <c r="KR174" s="380" t="s">
        <v>9</v>
      </c>
      <c r="KS174" s="381" t="s">
        <v>9</v>
      </c>
      <c r="KT174" s="382">
        <f t="shared" si="186"/>
        <v>0</v>
      </c>
      <c r="KU174" s="383">
        <f t="shared" si="187"/>
        <v>0</v>
      </c>
      <c r="KV174" s="381" t="str">
        <f t="shared" si="205"/>
        <v>S</v>
      </c>
      <c r="KW174" s="382">
        <f t="shared" si="189"/>
        <v>0</v>
      </c>
      <c r="KX174" s="384">
        <f t="shared" si="190"/>
        <v>0</v>
      </c>
      <c r="KY174" s="382">
        <f t="shared" ref="KY174:KZ174" si="561">KW174-KT174</f>
        <v>0</v>
      </c>
      <c r="KZ174" s="369">
        <f t="shared" si="561"/>
        <v>0</v>
      </c>
      <c r="LA174" s="385" t="str">
        <f t="shared" si="192"/>
        <v>✔</v>
      </c>
      <c r="LB174" s="340" t="str">
        <f>IFERROR(__xludf.DUMMYFUNCTION("JOIN("""",ArrayFormula(MID(KS174,LEN(KS174)-SEQUENCE(1,LEN(KS174))+1,1)))"),"S")</f>
        <v>S</v>
      </c>
      <c r="LC174" s="373" t="str">
        <f>IFERROR(__xludf.DUMMYFUNCTION("JOIN("""",ArrayFormula(MID(KV174,LEN(KV174)-SEQUENCE(1,LEN(KV174))+1,1)))"),"S")</f>
        <v>S</v>
      </c>
      <c r="LD174" s="373" t="str">
        <f t="shared" si="193"/>
        <v>S</v>
      </c>
      <c r="LE174" s="339" t="str">
        <f t="shared" si="194"/>
        <v>S</v>
      </c>
      <c r="LF174" s="386" t="str">
        <f>IFERROR(__xludf.DUMMYFUNCTION("SUBSTITUTE(SUBSTITUTE(CONCATENATE(JOIN("""",LH174:LT174)),""1"",""""),""2"","""")"),"SS")</f>
        <v>SS</v>
      </c>
      <c r="LG174" s="369" t="str">
        <f t="shared" si="195"/>
        <v>-</v>
      </c>
      <c r="LH174" s="387" t="str">
        <f>IFERROR(__xludf.DUMMYFUNCTION("IF(REGEXMATCH(LD174, ""S""), ""S"",IF(REGEXMATCH(LE174, ""S""), ""S"",""""))"),"S")</f>
        <v>S</v>
      </c>
      <c r="LI174" s="299" t="str">
        <f>IFERROR(__xludf.DUMMYFUNCTION("IF(REGEXMATCH(LD174, ""r""), ""r1"",IF(REGEXMATCH(LE174, ""r""), ""r2"",""""))"),"")</f>
        <v/>
      </c>
      <c r="LJ174" s="299" t="str">
        <f>IFERROR(__xludf.DUMMYFUNCTION("IF(REGEXMATCH(LD174, ""R""), ""R1"",IF(REGEXMATCH(LE174, ""R""), ""R2"",""""))"),"")</f>
        <v/>
      </c>
      <c r="LK174" s="299" t="str">
        <f>IFERROR(__xludf.DUMMYFUNCTION("IF(REGEXMATCH(LD174, ""g""), ""g1"",IF(REGEXMATCH(LE174, ""g""), ""g2"",""""))"),"")</f>
        <v/>
      </c>
      <c r="LL174" s="299" t="str">
        <f>IFERROR(__xludf.DUMMYFUNCTION("IF(REGEXMATCH(LD174, ""G""), ""G1"",IF(REGEXMATCH(LE174, ""G""), ""G2"",""""))"),"")</f>
        <v/>
      </c>
      <c r="LM174" s="299" t="str">
        <f>IFERROR(__xludf.DUMMYFUNCTION("IF(REGEXMATCH(LD174, ""m""), ""m1"",IF(REGEXMATCH(LE174, ""m""), ""m2"",""""))"),"")</f>
        <v/>
      </c>
      <c r="LN174" s="299" t="str">
        <f>IFERROR(__xludf.DUMMYFUNCTION("IF(REGEXMATCH(LD174, ""M""), ""M1"",IF(REGEXMATCH(LE174, ""M""), ""M2"",""""))"),"")</f>
        <v/>
      </c>
      <c r="LO174" s="299" t="str">
        <f>IFERROR(__xludf.DUMMYFUNCTION("IF(REGEXMATCH(LD174, ""P""), ""P1"",IF(REGEXMATCH(LE174, ""P""), ""P2"",""""))"),"")</f>
        <v/>
      </c>
      <c r="LP174" s="299" t="str">
        <f>IFERROR(__xludf.DUMMYFUNCTION("IF(REGEXMATCH(LD174, ""d""), ""d1"",IF(REGEXMATCH(LE174, ""d""), ""d2"",""""))"),"")</f>
        <v/>
      </c>
      <c r="LQ174" s="299" t="str">
        <f>IFERROR(__xludf.DUMMYFUNCTION("IF(REGEXMATCH(LD174, ""D""), ""D1"",IF(REGEXMATCH(LE174, ""D""), ""D2"",""""))"),"")</f>
        <v/>
      </c>
      <c r="LR174" s="299" t="str">
        <f>IFERROR(__xludf.DUMMYFUNCTION("IF(REGEXMATCH(LD174, ""n""), ""n1"",IF(REGEXMATCH(LE174, ""n""), ""n2"",""""))"),"")</f>
        <v/>
      </c>
      <c r="LS174" s="299" t="str">
        <f>IFERROR(__xludf.DUMMYFUNCTION("IF(REGEXMATCH(LD174, ""N""), ""N1"",IF(REGEXMATCH(LE174, ""N""), ""N2"",""""))"),"")</f>
        <v/>
      </c>
      <c r="LT174" s="388" t="str">
        <f>IFERROR(__xludf.DUMMYFUNCTION("IF(REGEXMATCH(LD174, ""S""), ""S"",IF(REGEXMATCH(LE174, ""S""), ""S"",""""))"),"S")</f>
        <v>S</v>
      </c>
      <c r="LU174" s="389">
        <f t="shared" si="196"/>
        <v>1</v>
      </c>
      <c r="LV174" s="378"/>
      <c r="LW174" s="369"/>
      <c r="LX174" s="369"/>
    </row>
    <row r="175" ht="18.0" customHeight="1">
      <c r="A175" s="298" t="s">
        <v>866</v>
      </c>
      <c r="B175" s="222" t="s">
        <v>867</v>
      </c>
      <c r="C175" s="233" t="str">
        <f t="shared" si="7"/>
        <v>SRmMPDNS</v>
      </c>
      <c r="D175" s="234" t="str">
        <f>IFERROR(__xludf.DUMMYFUNCTION("IF(REGEXMATCH(C175, ""S""), ""S"","""")"),"S")</f>
        <v>S</v>
      </c>
      <c r="E175" s="236" t="str">
        <f>IFERROR(__xludf.DUMMYFUNCTION("IF(REGEXMATCH(C175, ""r""), ""r"","""")"),"")</f>
        <v/>
      </c>
      <c r="F175" s="237" t="str">
        <f>IFERROR(__xludf.DUMMYFUNCTION("IF(REGEXMATCH(C175, ""R""), ""R"","""")"),"R")</f>
        <v>R</v>
      </c>
      <c r="G175" s="237" t="str">
        <f>IFERROR(__xludf.DUMMYFUNCTION("IF(REGEXMATCH(C175, ""g""), ""g"","""")"),"")</f>
        <v/>
      </c>
      <c r="H175" s="236" t="str">
        <f>IFERROR(__xludf.DUMMYFUNCTION("IF(REGEXMATCH(C175, ""G""), ""G"","""")"),"")</f>
        <v/>
      </c>
      <c r="I175" s="236" t="str">
        <f>IFERROR(__xludf.DUMMYFUNCTION("IF(REGEXMATCH(C175, ""m""), ""m"","""")"),"m")</f>
        <v>m</v>
      </c>
      <c r="J175" s="237" t="str">
        <f>IFERROR(__xludf.DUMMYFUNCTION("IF(REGEXMATCH(C175, ""M""), ""M"","""")"),"M")</f>
        <v>M</v>
      </c>
      <c r="K175" s="236" t="str">
        <f>IFERROR(__xludf.DUMMYFUNCTION("IF(REGEXMATCH(C175, ""P""), ""P"","""")"),"P")</f>
        <v>P</v>
      </c>
      <c r="L175" s="237" t="str">
        <f>IFERROR(__xludf.DUMMYFUNCTION("IF(REGEXMATCH(C175, ""d""), ""d"","""")"),"")</f>
        <v/>
      </c>
      <c r="M175" s="236" t="str">
        <f>IFERROR(__xludf.DUMMYFUNCTION("IF(REGEXMATCH(C175, ""D""), ""D"","""")"),"D")</f>
        <v>D</v>
      </c>
      <c r="N175" s="236" t="str">
        <f>IFERROR(__xludf.DUMMYFUNCTION("IF(REGEXMATCH(C175, ""n""), ""n"","""")"),"")</f>
        <v/>
      </c>
      <c r="O175" s="237" t="str">
        <f>IFERROR(__xludf.DUMMYFUNCTION("IF(REGEXMATCH(C175, ""N""), ""N"","""")"),"N")</f>
        <v>N</v>
      </c>
      <c r="P175" s="238" t="str">
        <f>IFERROR(__xludf.DUMMYFUNCTION("IF(REGEXMATCH(C175, ""S""), ""S"","""")"),"S")</f>
        <v>S</v>
      </c>
      <c r="Q175" s="239" t="str">
        <f>IFERROR(__xludf.DUMMYFUNCTION("SUBSTITUTE(CONCATENATE(JOIN(""-"",D175:J175)),""-"","""")"),"SRmM")</f>
        <v>SRmM</v>
      </c>
      <c r="R175" s="229" t="str">
        <f>IFERROR(__xludf.DUMMYFUNCTION("SUBSTITUTE(CONCATENATE(JOIN(""-"",K175:P175)),""-"","""")"),"PDNS")</f>
        <v>PDNS</v>
      </c>
      <c r="S175" s="282" t="str">
        <f t="shared" si="8"/>
        <v>S-R-M</v>
      </c>
      <c r="T175" s="282" t="str">
        <f t="shared" si="9"/>
        <v>P-D-N-S</v>
      </c>
      <c r="U175" s="237" t="str">
        <f>IFERROR(__xludf.DUMMYFUNCTION("SUBSTITUTE(JOIN(""-"",S175,T175),""--"",""-"")"),"S-R-M-P-D-N-S")</f>
        <v>S-R-M-P-D-N-S</v>
      </c>
      <c r="V175" s="309" t="str">
        <f t="shared" si="10"/>
        <v>RmMDN</v>
      </c>
      <c r="W175" s="244" t="str">
        <f>IFERROR(__xludf.DUMMYFUNCTION("IF(REGEXMATCH(C175, ""S""), ""0"","""")"),"0")</f>
        <v>0</v>
      </c>
      <c r="X175" s="245" t="str">
        <f>IFERROR(__xludf.DUMMYFUNCTION("IF(REGEXMATCH(C175, ""r""), ""1"","""")"),"")</f>
        <v/>
      </c>
      <c r="Y175" s="246" t="str">
        <f>IFERROR(__xludf.DUMMYFUNCTION("IF(REGEXMATCH(C175, ""R""), ""2"","""")"),"2")</f>
        <v>2</v>
      </c>
      <c r="Z175" s="246" t="str">
        <f>IFERROR(__xludf.DUMMYFUNCTION("IF(REGEXMATCH(C175, ""g""), ""3"","""")"),"")</f>
        <v/>
      </c>
      <c r="AA175" s="245" t="str">
        <f>IFERROR(__xludf.DUMMYFUNCTION("IF(REGEXMATCH(C175, ""G""), ""4"","""")"),"")</f>
        <v/>
      </c>
      <c r="AB175" s="245" t="str">
        <f>IFERROR(__xludf.DUMMYFUNCTION("IF(REGEXMATCH(C175, ""m""), ""5"","""")"),"5")</f>
        <v>5</v>
      </c>
      <c r="AC175" s="246" t="str">
        <f>IFERROR(__xludf.DUMMYFUNCTION("IF(REGEXMATCH(C175, ""M""), ""6"","""")"),"6")</f>
        <v>6</v>
      </c>
      <c r="AD175" s="245" t="str">
        <f>IFERROR(__xludf.DUMMYFUNCTION("IF(REGEXMATCH(C175, ""P""), ""7"","""")"),"7")</f>
        <v>7</v>
      </c>
      <c r="AE175" s="246" t="str">
        <f>IFERROR(__xludf.DUMMYFUNCTION("IF(REGEXMATCH(C175, ""d""), ""8"","""")"),"")</f>
        <v/>
      </c>
      <c r="AF175" s="245" t="str">
        <f>IFERROR(__xludf.DUMMYFUNCTION("IF(REGEXMATCH(C175, ""D""), ""9"","""")"),"9")</f>
        <v>9</v>
      </c>
      <c r="AG175" s="245" t="str">
        <f>IFERROR(__xludf.DUMMYFUNCTION("IF(REGEXMATCH(C175, ""n""), ""10"","""")"),"")</f>
        <v/>
      </c>
      <c r="AH175" s="246" t="str">
        <f>IFERROR(__xludf.DUMMYFUNCTION("IF(REGEXMATCH(C175, ""N""), ""11"","""")"),"11")</f>
        <v>11</v>
      </c>
      <c r="AI175" s="249" t="str">
        <f>IFERROR(__xludf.DUMMYFUNCTION("IF(REGEXMATCH(C175, ""S""), ""0"","""")"),"0")</f>
        <v>0</v>
      </c>
      <c r="AJ175" s="313" t="str">
        <f t="shared" si="11"/>
        <v>T</v>
      </c>
      <c r="AK175" s="313" t="str">
        <f t="shared" si="12"/>
        <v>-</v>
      </c>
      <c r="AL175" s="313" t="str">
        <f t="shared" si="13"/>
        <v>-</v>
      </c>
      <c r="AM175" s="313" t="str">
        <f t="shared" si="14"/>
        <v>-</v>
      </c>
      <c r="AN175" s="313" t="str">
        <f t="shared" si="15"/>
        <v>-</v>
      </c>
      <c r="AO175" s="314" t="str">
        <f t="shared" si="16"/>
        <v>T</v>
      </c>
      <c r="AP175" s="316">
        <f t="shared" si="17"/>
        <v>2</v>
      </c>
      <c r="AQ175" s="319" t="str">
        <f t="shared" si="18"/>
        <v>-</v>
      </c>
      <c r="AR175" s="320">
        <f t="shared" si="19"/>
        <v>0</v>
      </c>
      <c r="AS175" s="250" t="str">
        <f>IFERROR(__xludf.DUMMYFUNCTION("SUBSTITUTE(SUBSTITUTE(CONCATENATE(JOIN("""",FP175:GA175)),""|"",""x""),""-"",""o"")"),"xoxooxxxoxox")</f>
        <v>xoxooxxxoxox</v>
      </c>
      <c r="AT175" s="323" t="str">
        <f>IFERROR(__xludf.DUMMYFUNCTION("JOIN("""",AS175,AS175)"),"xoxooxxxoxoxxoxooxxxoxox")</f>
        <v>xoxooxxxoxoxxoxooxxxoxox</v>
      </c>
      <c r="AU175" s="256" t="str">
        <f>IFERROR(__xludf.DUMMYFUNCTION("JOIN("""",ArrayFormula(MID(AS175,LEN(AS175)-SEQUENCE(1,LEN(AS175))+1,1)))"),"xoxoxxxooxox")</f>
        <v>xoxoxxxooxox</v>
      </c>
      <c r="AV175" s="256" t="str">
        <f>IFERROR(__xludf.DUMMYFUNCTION("LEFT(CONCATENATE(""x"",JOIN("""",ArrayFormula(MID(AS175,LEN(AS175)-SEQUENCE(1,LEN(AS175))+1,1)))),12)"),"xxoxoxxxooxo")</f>
        <v>xxoxoxxxooxo</v>
      </c>
      <c r="AW175" s="327" t="str">
        <f>IFERROR(__xludf.DUMMYFUNCTION("JOIN("""",AU175,AU175)"),"xoxoxxxooxoxxoxoxxxooxox")</f>
        <v>xoxoxxxooxoxxoxoxxxooxox</v>
      </c>
      <c r="AX175" s="239" t="str">
        <f>IFERROR(__xludf.DUMMYFUNCTION("IF(REGEXMATCH(AW175,AS175),""✔"",""-"")"),"-")</f>
        <v>-</v>
      </c>
      <c r="AY175" s="330" t="str">
        <f t="shared" si="20"/>
        <v>-</v>
      </c>
      <c r="AZ175" s="260" t="str">
        <f t="shared" si="21"/>
        <v>#REF!</v>
      </c>
      <c r="BA175" s="333" t="str">
        <f t="shared" si="22"/>
        <v>xoxooxx</v>
      </c>
      <c r="BB175" s="334" t="str">
        <f t="shared" si="23"/>
        <v>xoxoxx</v>
      </c>
      <c r="BC175" s="335" t="str">
        <f t="shared" si="236"/>
        <v>-</v>
      </c>
      <c r="BD175" s="336" t="str">
        <f t="shared" si="25"/>
        <v>Kedar: 'xoxooxx' + 'xoxoxx'</v>
      </c>
      <c r="BE175" s="337">
        <f>IFERROR(__xludf.DUMMYFUNCTION("COUNTUNIQUE(FILTER(AT:AT,REGEXMATCH(AT:AT,AS175)))-1"),2.0)</f>
        <v>2</v>
      </c>
      <c r="BF175" s="261" t="str">
        <f>IFERROR(__xludf.DUMMYFUNCTION("IF(BI175=0,""(n/a)"",IF(BJ175=2,""(PAIR)"",IF(REGEXMATCH(AT175,""xoxoxxoxoxox""),""Bilawal"",IF(REGEXMATCH(AT175,""xoxoxooxoxoo""),""Bhupali"",IF(REGEXMATCH(AT175,""xoxoxxoxxoxo""),""Charukeshi"",IF(REGEXMATCH(AT175,""xoxoooxxoxxo""),""Kameshwari"",IF(REG"&amp;"EXMATCH(AT175,""xoxoxooxoxox""),""Shankara"",IF(REGEXMATCH(AT175,""xxooxoxxxoox""),""Basant"",IF(REGEXMATCH(AT175,""xoxoxxxxoxox""),""Bihag"",IF(REGEXMATCH(AT175,""xoxxxxoxoxxx""),""Pilu"",IF(REGEXMATCH(AT175,""xoxxoxoxxoox""),""Kirwani"",IF(REGEXMATCH(AT"&amp;"175,""xoxxoxoxoxxx""),""Mk.Malhar"",IF(REGEXMATCH(AT175,""xxooxxoxxoox""),""Bhairav"",IF(REGEXMATCH(AT175,""xxoxooxxxoox""),""Todi"",IF(REGEXMATCH(AT175,""xxooxoxooxox""),""Marwa"",IF(REGEXMATCH(AT175,""xxoooxoxxooo""),""Gunkali"",IF(REGEXMATCH(AT175,""xo"&amp;"xoxxoxxoox""),""Nat Bhairav"",IF(REGEXMATCH(AT175,""xoxxoooxoxoo""),""Shivranjani"",IF(REGEXMATCH(AT175,""xooxxxoxooxo""),""Jog"",IF(REGEXMATCH(AT175,""xxooxoxoxoox""),""Hemshri"",IF(REGEXMATCH(AT175,""xoooxooxoxxo""),""Kalavati"",IF(REGEXMATCH(AT175,""xx"&amp;"oxoxxoxoox""),""Kedar"",IF(REGEXMATCH(AT175,""xoxxxxoxooxx""),""Gara"",IF(REGEXMATCH(AT175,""xooxoxooxoox""),""Chandrakauns"",IF(REGEXMATCH(AT175,""xoxxxxoxxxox""),""Mand"",IF(REGEXMATCH(AT175,""xoxxxxoxoxox""),""Hanskinkini"",IF(REGEXMATCH(AT175,""xxooxx"&amp;"oxooxo""),""Lilavati"",IF(REGEXMATCH(AT175,""xooxoxoooxox""),""Rajeshwari"",IF(REGEXMATCH(AT175,""xoooxxoxoxxx""),""Khokar"",IF(REGEXMATCH(AT175,""xxooxoxxxxox""),""Maligoura"",""-""))))))))))))))))))))))))))))))"),"Kedar")</f>
        <v>Kedar</v>
      </c>
      <c r="BG175" s="239" t="str">
        <f t="shared" si="26"/>
        <v>#REF!</v>
      </c>
      <c r="BH175" s="239">
        <f>IFERROR(__xludf.DUMMYFUNCTION("COUNTUNIQUE(FE175:FO175)-1"),6.0)</f>
        <v>6</v>
      </c>
      <c r="BI175" s="239">
        <f>IFERROR(__xludf.DUMMYFUNCTION("COUNTUNIQUE(FILTER(AT:AT,REGEXMATCH(AT:AT,AS175)))-1"),2.0)</f>
        <v>2</v>
      </c>
      <c r="BJ175" s="239">
        <f>IFERROR(__xludf.DUMMYFUNCTION("COUNTA(FILTER(AT:AT,REGEXMATCH(AT:AT,AS175)))"),5.0)</f>
        <v>5</v>
      </c>
      <c r="BK175" s="341">
        <f>IFERROR(__xludf.DUMMYFUNCTION("COUNTA(FILTER(AT:AT,REGEXMATCH(AT:AT,AS175)))-AR175"),5.0)</f>
        <v>5</v>
      </c>
      <c r="BL175" s="276" t="str">
        <f>IFERROR(__xludf.DUMMYFUNCTION("IF(AS175=""oooooooooooo"",""-"",IF(REGEXMATCH(AT175,""xx""), ""Hemi."", ""Anhemi.""))"),"Hemi.")</f>
        <v>Hemi.</v>
      </c>
      <c r="BM175" s="282" t="str">
        <f>IFERROR(__xludf.DUMMYFUNCTION("IF(AS175=""oooooooooooo"",""-"",IF(REGEXMATCH(AT175,""xxx""), ""Cohem."", ""-""))"),"Cohem.")</f>
        <v>Cohem.</v>
      </c>
      <c r="BN175" s="282" t="str">
        <f>IFERROR(__xludf.DUMMYFUNCTION("IF(AS175=""oooooooooooo"",""-"",IF(REGEXMATCH(AT175,""xxxx""), ""Co-Co."", ""-""))"),"-")</f>
        <v>-</v>
      </c>
      <c r="BO175" s="342" t="str">
        <f>IFERROR(__xludf.DUMMYFUNCTION("IF(AS175=""oooooooooooo"",""-"",IF(REGEXMATCH(AT175,""xxxxx""), ""CCC."", ""-""))"),"-")</f>
        <v>-</v>
      </c>
      <c r="BP175" s="344" t="str">
        <f t="shared" si="27"/>
        <v>-</v>
      </c>
      <c r="BQ175" s="282" t="str">
        <f>IFERROR(__xludf.DUMMYFUNCTION("IF(REGEXMATCH(JOIN(""-"",EU175:FD175),""TRUE""),""✔"",""-"")"),"-")</f>
        <v>-</v>
      </c>
      <c r="BR175" s="225">
        <f t="shared" si="28"/>
        <v>0</v>
      </c>
      <c r="BS175" s="345" t="str">
        <f>IFERROR(__xludf.DUMMYFUNCTION("SUBSTITUTE(SUBSTITUTE(SUBSTITUTE(SUBSTITUTE(CONCATENATE(JOIN(""-"",GC175:GO175)),""--"",""-""),""--"",""-""),""--"",""-""),""--"",""-"")"),"1-2-4-#4-5-6-7-8")</f>
        <v>1-2-4-#4-5-6-7-8</v>
      </c>
      <c r="BT175" s="299" t="str">
        <f>IFERROR(__xludf.DUMMYFUNCTION("SUBSTITUTE(SUBSTITUTE(SUBSTITUTE(SUBSTITUTE(CONCATENATE(JOIN(""-"",GP175:HB175)),""--"",""-""),""--"",""-""),""--"",""-""),""--"",""-"")"),"S-R2-M1-M2-P-D2-N3-S")</f>
        <v>S-R2-M1-M2-P-D2-N3-S</v>
      </c>
      <c r="BU175" s="348" t="str">
        <f t="shared" si="29"/>
        <v>C-D-F-F#-G-A-B-C</v>
      </c>
      <c r="BV175" s="349" t="str">
        <f t="shared" si="30"/>
        <v>SrgGdnS</v>
      </c>
      <c r="BW175" s="350">
        <f t="shared" si="31"/>
        <v>0</v>
      </c>
      <c r="BX175" s="351">
        <f t="shared" si="32"/>
        <v>3</v>
      </c>
      <c r="BY175" s="392"/>
      <c r="BZ175" s="309" t="str">
        <f>IFERROR(__xludf.DUMMYFUNCTION("IF(REGEXMATCH(C175, ""S""), ""x"",""x"")"),"x")</f>
        <v>x</v>
      </c>
      <c r="CA175" s="245" t="str">
        <f>IFERROR(__xludf.DUMMYFUNCTION("IF(REGEXMATCH(C175, ""r""), ""o"",""x"")"),"x")</f>
        <v>x</v>
      </c>
      <c r="CB175" s="246" t="str">
        <f>IFERROR(__xludf.DUMMYFUNCTION("IF(REGEXMATCH(C175, ""R""), ""o"",""x"")"),"o")</f>
        <v>o</v>
      </c>
      <c r="CC175" s="246" t="str">
        <f>IFERROR(__xludf.DUMMYFUNCTION("IF(REGEXMATCH(C175, ""g""), ""o"",""x"")"),"x")</f>
        <v>x</v>
      </c>
      <c r="CD175" s="245" t="str">
        <f>IFERROR(__xludf.DUMMYFUNCTION("IF(REGEXMATCH(C175, ""G""), ""o"",""x"")"),"x")</f>
        <v>x</v>
      </c>
      <c r="CE175" s="245" t="str">
        <f>IFERROR(__xludf.DUMMYFUNCTION("IF(REGEXMATCH(C175, ""m""), ""o"",""x"")"),"o")</f>
        <v>o</v>
      </c>
      <c r="CF175" s="246" t="str">
        <f>IFERROR(__xludf.DUMMYFUNCTION("IF(REGEXMATCH(C175, ""M""), ""o"",""x"")"),"o")</f>
        <v>o</v>
      </c>
      <c r="CG175" s="245" t="str">
        <f>IFERROR(__xludf.DUMMYFUNCTION("IF(REGEXMATCH(C175, ""P""), ""o"",""x"")"),"o")</f>
        <v>o</v>
      </c>
      <c r="CH175" s="246" t="str">
        <f>IFERROR(__xludf.DUMMYFUNCTION("IF(REGEXMATCH(C175, ""d""), ""o"",""x"")"),"x")</f>
        <v>x</v>
      </c>
      <c r="CI175" s="245" t="str">
        <f>IFERROR(__xludf.DUMMYFUNCTION("IF(REGEXMATCH(C175, ""D""), ""o"",""x"")"),"o")</f>
        <v>o</v>
      </c>
      <c r="CJ175" s="245" t="str">
        <f>IFERROR(__xludf.DUMMYFUNCTION("IF(REGEXMATCH(C175, ""n""), ""o"",""x"")"),"x")</f>
        <v>x</v>
      </c>
      <c r="CK175" s="245" t="str">
        <f>IFERROR(__xludf.DUMMYFUNCTION("IF(REGEXMATCH(C175, ""N""), ""o"",""x"")"),"o")</f>
        <v>o</v>
      </c>
      <c r="CL175" s="356" t="str">
        <f>IFERROR(__xludf.DUMMYFUNCTION("IF(REGEXMATCH(C175, ""S""), ""x"",""x"")"),"x")</f>
        <v>x</v>
      </c>
      <c r="CM175" s="357" t="str">
        <f t="shared" si="33"/>
        <v>xxoxxoooxoxo</v>
      </c>
      <c r="CN175" s="358">
        <f t="shared" si="34"/>
        <v>0</v>
      </c>
      <c r="CO175" s="246" t="str">
        <f>IFERROR(__xludf.DUMMYFUNCTION("IF(REGEXMATCH($C175, ""S""), ""S"",""S"")"),"S")</f>
        <v>S</v>
      </c>
      <c r="CP175" s="246" t="str">
        <f>IFERROR(__xludf.DUMMYFUNCTION("IF(REGEXMATCH($C175, ""r""), """",""r"")"),"r")</f>
        <v>r</v>
      </c>
      <c r="CQ175" s="246" t="str">
        <f>IFERROR(__xludf.DUMMYFUNCTION("IF(REGEXMATCH($C175, ""R""), """",""R"")"),"")</f>
        <v/>
      </c>
      <c r="CR175" s="246" t="str">
        <f>IFERROR(__xludf.DUMMYFUNCTION("IF(REGEXMATCH($C175, ""g""), """",""g"")"),"g")</f>
        <v>g</v>
      </c>
      <c r="CS175" s="246" t="str">
        <f>IFERROR(__xludf.DUMMYFUNCTION("IF(REGEXMATCH($C175, ""G""), """",""G"")"),"G")</f>
        <v>G</v>
      </c>
      <c r="CT175" s="246" t="str">
        <f>IFERROR(__xludf.DUMMYFUNCTION("IF(REGEXMATCH($C175, ""m""), """",""m"")"),"")</f>
        <v/>
      </c>
      <c r="CU175" s="246" t="str">
        <f>IFERROR(__xludf.DUMMYFUNCTION("IF(REGEXMATCH($C175, ""M""), """",""M"")"),"")</f>
        <v/>
      </c>
      <c r="CV175" s="246" t="str">
        <f>IFERROR(__xludf.DUMMYFUNCTION("IF(REGEXMATCH($C175, ""P""), """",""P"")"),"")</f>
        <v/>
      </c>
      <c r="CW175" s="246" t="str">
        <f>IFERROR(__xludf.DUMMYFUNCTION("IF(REGEXMATCH($C175, ""d""), """",""d"")"),"d")</f>
        <v>d</v>
      </c>
      <c r="CX175" s="246" t="str">
        <f>IFERROR(__xludf.DUMMYFUNCTION("IF(REGEXMATCH($C175, ""D""), """",""D"")"),"")</f>
        <v/>
      </c>
      <c r="CY175" s="246" t="str">
        <f>IFERROR(__xludf.DUMMYFUNCTION("IF(REGEXMATCH($C175, ""n""), """",""n"")"),"n")</f>
        <v>n</v>
      </c>
      <c r="CZ175" s="246" t="str">
        <f>IFERROR(__xludf.DUMMYFUNCTION("IF(REGEXMATCH($C175, ""N""), """",""N"")"),"")</f>
        <v/>
      </c>
      <c r="DA175" s="246" t="str">
        <f>IFERROR(__xludf.DUMMYFUNCTION("IF(REGEXMATCH($C175, ""S""), ""S"",""S"")"),"S")</f>
        <v>S</v>
      </c>
      <c r="DB175" s="362" t="str">
        <f>IFERROR(__xludf.DUMMYFUNCTION("JOIN("""",CO175:DA175,"""","""")"),"SrgGdnS")</f>
        <v>SrgGdnS</v>
      </c>
      <c r="DC175" s="363"/>
      <c r="DD175" s="301" t="str">
        <f t="shared" si="35"/>
        <v>#REF!</v>
      </c>
      <c r="DE175" s="302" t="str">
        <f t="shared" si="36"/>
        <v>#REF!</v>
      </c>
      <c r="DF175" s="301" t="str">
        <f t="shared" ref="DF175:DG175" si="562">SUBSTITUTE(S175,"-","")</f>
        <v>SRM</v>
      </c>
      <c r="DG175" s="301" t="str">
        <f t="shared" si="562"/>
        <v>PDNS</v>
      </c>
      <c r="DH175" s="302" t="str">
        <f t="shared" si="38"/>
        <v>Kedar</v>
      </c>
      <c r="DI175" s="301" t="str">
        <f t="shared" si="39"/>
        <v>Hemi.</v>
      </c>
      <c r="DJ175" s="364" t="str">
        <f t="shared" si="40"/>
        <v>Cohem.</v>
      </c>
      <c r="DK175" s="306" t="str">
        <f t="shared" si="41"/>
        <v>-</v>
      </c>
      <c r="DL175" s="366" t="str">
        <f t="shared" si="42"/>
        <v>-</v>
      </c>
      <c r="DM175" s="308" t="str">
        <f t="shared" si="43"/>
        <v>✔</v>
      </c>
      <c r="DN175" s="306" t="str">
        <f t="shared" si="44"/>
        <v>-</v>
      </c>
      <c r="DO175" s="306" t="str">
        <f t="shared" si="45"/>
        <v>-</v>
      </c>
      <c r="DP175" s="367" t="str">
        <f t="shared" si="46"/>
        <v>-</v>
      </c>
      <c r="DQ175" s="310" t="str">
        <f t="shared" si="47"/>
        <v>-</v>
      </c>
      <c r="DR175" s="310" t="str">
        <f t="shared" si="48"/>
        <v>-</v>
      </c>
      <c r="DS175" s="310" t="str">
        <f t="shared" si="49"/>
        <v>✔</v>
      </c>
      <c r="DT175" s="310" t="str">
        <f t="shared" si="50"/>
        <v>-</v>
      </c>
      <c r="DU175" s="370" t="str">
        <f t="shared" si="51"/>
        <v>-</v>
      </c>
      <c r="DV175" s="306" t="str">
        <f t="shared" si="52"/>
        <v>-</v>
      </c>
      <c r="DW175" s="306" t="str">
        <f t="shared" si="53"/>
        <v>✔</v>
      </c>
      <c r="DX175" s="306" t="str">
        <f t="shared" si="54"/>
        <v>-</v>
      </c>
      <c r="DY175" s="306" t="str">
        <f t="shared" si="55"/>
        <v>-</v>
      </c>
      <c r="DZ175" s="306" t="str">
        <f t="shared" si="56"/>
        <v>-</v>
      </c>
      <c r="EA175" s="367" t="str">
        <f t="shared" si="57"/>
        <v>-</v>
      </c>
      <c r="EB175" s="310" t="str">
        <f>IFERROR(__xludf.DUMMYFUNCTION("IF(REGEXMATCH(AW175,AS175),""✔"",""-"")"),"-")</f>
        <v>-</v>
      </c>
      <c r="EC175" s="310" t="str">
        <f t="shared" si="58"/>
        <v>#REF!</v>
      </c>
      <c r="ED175" s="370" t="str">
        <f t="shared" si="59"/>
        <v>-</v>
      </c>
      <c r="EE175" s="340" t="str">
        <f t="shared" si="60"/>
        <v>S-R-mM-P-D-N-S</v>
      </c>
      <c r="EF175" s="371" t="str">
        <f>IFERROR(__xludf.DUMMYFUNCTION("CONCATENATE(JOIN("""",HC175:HO175))"),"SrgmMPnS")</f>
        <v>SrgmMPnS</v>
      </c>
      <c r="EG175" s="372">
        <f t="shared" si="61"/>
        <v>2</v>
      </c>
      <c r="EH175" s="373" t="str">
        <f>IFERROR(__xludf.DUMMYFUNCTION("CONCATENATE(JOIN("""",JC175:JO175))"),"Ma, Dha, ")</f>
        <v>Ma, Dha, </v>
      </c>
      <c r="EI175" s="322">
        <f t="shared" si="62"/>
        <v>0</v>
      </c>
      <c r="EJ175" s="374" t="str">
        <f>IFERROR(__xludf.DUMMYFUNCTION("CONCATENATE(JOIN("""",KC175:KO175))"),"")</f>
        <v/>
      </c>
      <c r="EK175" s="325" t="str">
        <f t="shared" si="63"/>
        <v>S-R2-M1-M2-P-D2-N3-S</v>
      </c>
      <c r="EL175" s="326" t="str">
        <f t="shared" si="64"/>
        <v>1-2-4-#4-5-6-7-8</v>
      </c>
      <c r="EM175" s="318" t="str">
        <f t="shared" si="65"/>
        <v>#REF!</v>
      </c>
      <c r="EN175" s="328" t="str">
        <f>IFERROR(__xludf.DUMMYFUNCTION("SUBSTITUTE(SUBSTITUTE(SUBSTITUTE(SUBSTITUTE(CONCATENATE(JOIN("" "",HP175:IB175)),""  "","" ""),""  "","" ""),""  "","" ""),""  "","" "")"),"o • o • • o o o • o • o o")</f>
        <v>o • o • • o o o • o • o o</v>
      </c>
      <c r="EO175" s="368" t="str">
        <f t="shared" si="66"/>
        <v>-</v>
      </c>
      <c r="EP175" s="339" t="str">
        <f t="shared" si="67"/>
        <v>-</v>
      </c>
      <c r="EQ175" s="339" t="str">
        <f t="shared" si="68"/>
        <v>Sa-Pa</v>
      </c>
      <c r="ER175" s="339" t="str">
        <f t="shared" si="69"/>
        <v>-</v>
      </c>
      <c r="ES175" s="340" t="str">
        <f t="shared" si="70"/>
        <v>-</v>
      </c>
      <c r="ET175" s="363"/>
      <c r="EU175" s="376" t="b">
        <f>IFERROR(__xludf.DUMMYFUNCTION("arrayformula(sum(--REGEXMATCH(""SRGMPDNS"",split(REGEXREPLACE(C175,""(.)"",""$1~""),""~""))))=len(C175)
"),FALSE)</f>
        <v>0</v>
      </c>
      <c r="EV175" s="290" t="b">
        <f>IFERROR(__xludf.DUMMYFUNCTION("arrayformula(sum(--REGEXMATCH(""SRGmPDNS"",split(REGEXREPLACE(C175,""(.)"",""$1~""),""~""))))=len(C175)"),FALSE)</f>
        <v>0</v>
      </c>
      <c r="EW175" s="290" t="b">
        <f>IFERROR(__xludf.DUMMYFUNCTION("arrayformula(sum(--REGEXMATCH(""SRGmPDnS"",split(REGEXREPLACE(C175,""(.)"",""$1~""),""~""))))=len(C175)"),FALSE)</f>
        <v>0</v>
      </c>
      <c r="EX175" s="290" t="b">
        <f>IFERROR(__xludf.DUMMYFUNCTION("arrayformula(sum(--REGEXMATCH(""SRgmPDnS"",split(REGEXREPLACE(C175,""(.)"",""$1~""),""~""))))=len(C175)"),FALSE)</f>
        <v>0</v>
      </c>
      <c r="EY175" s="290" t="b">
        <f>IFERROR(__xludf.DUMMYFUNCTION("arrayformula(sum(--REGEXMATCH(""SRgmPdnS"",split(REGEXREPLACE(C175,""(.)"",""$1~""),""~""))))=len(C175)"),FALSE)</f>
        <v>0</v>
      </c>
      <c r="EZ175" s="290" t="b">
        <f>IFERROR(__xludf.DUMMYFUNCTION("arrayformula(sum(--REGEXMATCH(""SrgmPdnS"",split(REGEXREPLACE(C175,""(.)"",""$1~""),""~""))))=len(C175)"),FALSE)</f>
        <v>0</v>
      </c>
      <c r="FA175" s="290" t="b">
        <f>IFERROR(__xludf.DUMMYFUNCTION("arrayformula(sum(--REGEXMATCH(""SrGmPdNS"",split(REGEXREPLACE(C175,""(.)"",""$1~""),""~""))))=len(C175)"),FALSE)</f>
        <v>0</v>
      </c>
      <c r="FB175" s="290" t="b">
        <f>IFERROR(__xludf.DUMMYFUNCTION("arrayformula(sum(--REGEXMATCH(""SrGMPDNS"",split(REGEXREPLACE(C175,""(.)"",""$1~""),""~""))))=len(C175)"),FALSE)</f>
        <v>0</v>
      </c>
      <c r="FC175" s="290" t="b">
        <f>IFERROR(__xludf.DUMMYFUNCTION("arrayformula(sum(--REGEXMATCH(""SrGMPdNS"",split(REGEXREPLACE(C175,""(.)"",""$1~""),""~""))))=len(C175)"),FALSE)</f>
        <v>0</v>
      </c>
      <c r="FD175" s="377" t="b">
        <f>IFERROR(__xludf.DUMMYFUNCTION("arrayformula(sum(--REGEXMATCH(""SrgMPdNS"",split(REGEXREPLACE(C175,""(.)"",""$1~""),""~""))))=len(C175)"),FALSE)</f>
        <v>0</v>
      </c>
      <c r="FE175" s="269" t="str">
        <f t="shared" si="71"/>
        <v>-</v>
      </c>
      <c r="FF175" s="269" t="str">
        <f t="shared" si="72"/>
        <v>xooxxxoxoxx</v>
      </c>
      <c r="FG175" s="271" t="str">
        <f t="shared" si="73"/>
        <v>-</v>
      </c>
      <c r="FH175" s="269" t="str">
        <f t="shared" si="74"/>
        <v>-</v>
      </c>
      <c r="FI175" s="271" t="str">
        <f t="shared" si="75"/>
        <v>xxxoxoxxoxo</v>
      </c>
      <c r="FJ175" s="271" t="str">
        <f t="shared" si="76"/>
        <v>xxoxoxxoxoo</v>
      </c>
      <c r="FK175" s="271" t="str">
        <f t="shared" si="77"/>
        <v>xoxoxxoxoox</v>
      </c>
      <c r="FL175" s="271" t="str">
        <f t="shared" si="78"/>
        <v>-</v>
      </c>
      <c r="FM175" s="271" t="str">
        <f t="shared" si="79"/>
        <v>xoxxoxooxxx</v>
      </c>
      <c r="FN175" s="271" t="str">
        <f t="shared" si="80"/>
        <v>-</v>
      </c>
      <c r="FO175" s="274" t="str">
        <f t="shared" si="81"/>
        <v>xxoxooxxxox</v>
      </c>
      <c r="FP175" s="234" t="str">
        <f t="shared" si="82"/>
        <v>|</v>
      </c>
      <c r="FQ175" s="236" t="str">
        <f t="shared" si="83"/>
        <v>-</v>
      </c>
      <c r="FR175" s="237" t="str">
        <f t="shared" si="84"/>
        <v>|</v>
      </c>
      <c r="FS175" s="236" t="str">
        <f t="shared" si="85"/>
        <v>-</v>
      </c>
      <c r="FT175" s="237" t="str">
        <f t="shared" si="86"/>
        <v>-</v>
      </c>
      <c r="FU175" s="236" t="str">
        <f t="shared" si="87"/>
        <v>|</v>
      </c>
      <c r="FV175" s="237" t="str">
        <f t="shared" si="88"/>
        <v>|</v>
      </c>
      <c r="FW175" s="236" t="str">
        <f t="shared" si="89"/>
        <v>|</v>
      </c>
      <c r="FX175" s="237" t="str">
        <f t="shared" si="90"/>
        <v>-</v>
      </c>
      <c r="FY175" s="236" t="str">
        <f t="shared" si="91"/>
        <v>|</v>
      </c>
      <c r="FZ175" s="237" t="str">
        <f t="shared" si="92"/>
        <v>-</v>
      </c>
      <c r="GA175" s="236" t="str">
        <f t="shared" si="93"/>
        <v>|</v>
      </c>
      <c r="GB175" s="238" t="str">
        <f t="shared" si="94"/>
        <v>|</v>
      </c>
      <c r="GC175" s="244" t="str">
        <f>IFERROR(__xludf.DUMMYFUNCTION("IF(REGEXMATCH(C175, ""S""), ""1"","""")"),"1")</f>
        <v>1</v>
      </c>
      <c r="GD175" s="245" t="str">
        <f>IFERROR(__xludf.DUMMYFUNCTION("IF(REGEXMATCH(C175, ""r""), ""b2"","""")"),"")</f>
        <v/>
      </c>
      <c r="GE175" s="246" t="str">
        <f>IFERROR(__xludf.DUMMYFUNCTION("IF(REGEXMATCH(C175, ""R""), ""2"","""")"),"2")</f>
        <v>2</v>
      </c>
      <c r="GF175" s="246" t="str">
        <f>IFERROR(__xludf.DUMMYFUNCTION("IF(REGEXMATCH(C175, ""g""), ""b3"","""")"),"")</f>
        <v/>
      </c>
      <c r="GG175" s="245" t="str">
        <f>IFERROR(__xludf.DUMMYFUNCTION("IF(REGEXMATCH(C175, ""G""), ""3"","""")"),"")</f>
        <v/>
      </c>
      <c r="GH175" s="245" t="str">
        <f>IFERROR(__xludf.DUMMYFUNCTION("IF(REGEXMATCH(C175, ""m""), ""4"","""")"),"4")</f>
        <v>4</v>
      </c>
      <c r="GI175" s="246" t="str">
        <f>IFERROR(__xludf.DUMMYFUNCTION("IF(REGEXMATCH(C175, ""M""), ""#4"","""")"),"#4")</f>
        <v>#4</v>
      </c>
      <c r="GJ175" s="245" t="str">
        <f>IFERROR(__xludf.DUMMYFUNCTION("IF(REGEXMATCH(C175, ""P""), ""5"","""")"),"5")</f>
        <v>5</v>
      </c>
      <c r="GK175" s="246" t="str">
        <f>IFERROR(__xludf.DUMMYFUNCTION("IF(REGEXMATCH(C175, ""d""), ""b6"","""")"),"")</f>
        <v/>
      </c>
      <c r="GL175" s="245" t="str">
        <f>IFERROR(__xludf.DUMMYFUNCTION("IF(REGEXMATCH(C175, ""D""), ""6"","""")"),"6")</f>
        <v>6</v>
      </c>
      <c r="GM175" s="245" t="str">
        <f>IFERROR(__xludf.DUMMYFUNCTION("IF(REGEXMATCH(C175, ""n""), ""b7"","""")"),"")</f>
        <v/>
      </c>
      <c r="GN175" s="246" t="str">
        <f>IFERROR(__xludf.DUMMYFUNCTION("IF(REGEXMATCH(C175, ""N""), ""7"","""")"),"7")</f>
        <v>7</v>
      </c>
      <c r="GO175" s="249" t="str">
        <f>IFERROR(__xludf.DUMMYFUNCTION("IF(REGEXMATCH(C175, ""S""), ""8"","""")"),"8")</f>
        <v>8</v>
      </c>
      <c r="GP175" s="244" t="str">
        <f>IFERROR(__xludf.DUMMYFUNCTION("IF(REGEXMATCH(C175, ""S""), ""S"","""")"),"S")</f>
        <v>S</v>
      </c>
      <c r="GQ175" s="294" t="str">
        <f>IFERROR(__xludf.DUMMYFUNCTION("IF(REGEXMATCH(C175, ""r""), ""R1"","""")"),"")</f>
        <v/>
      </c>
      <c r="GR175" s="295" t="str">
        <f>IFERROR(__xludf.DUMMYFUNCTION("IF(REGEXMATCH(C175, ""R""), ""R2"","""")"),"R2")</f>
        <v>R2</v>
      </c>
      <c r="GS175" s="295" t="str">
        <f>IFERROR(__xludf.DUMMYFUNCTION("IF(REGEXMATCH(C175, ""g""), ""G2"","""")"),"")</f>
        <v/>
      </c>
      <c r="GT175" s="294" t="str">
        <f>IFERROR(__xludf.DUMMYFUNCTION("IF(REGEXMATCH(C175, ""G""), ""G3"","""")"),"")</f>
        <v/>
      </c>
      <c r="GU175" s="294" t="str">
        <f>IFERROR(__xludf.DUMMYFUNCTION("IF(REGEXMATCH(C175, ""m""), ""M1"","""")"),"M1")</f>
        <v>M1</v>
      </c>
      <c r="GV175" s="295" t="str">
        <f>IFERROR(__xludf.DUMMYFUNCTION("IF(REGEXMATCH(C175, ""M""), ""M2"","""")"),"M2")</f>
        <v>M2</v>
      </c>
      <c r="GW175" s="294" t="str">
        <f>IFERROR(__xludf.DUMMYFUNCTION("IF(REGEXMATCH(C175, ""P""), ""P"","""")"),"P")</f>
        <v>P</v>
      </c>
      <c r="GX175" s="295" t="str">
        <f>IFERROR(__xludf.DUMMYFUNCTION("IF(REGEXMATCH(C175, ""d""), ""D1"","""")"),"")</f>
        <v/>
      </c>
      <c r="GY175" s="294" t="str">
        <f>IFERROR(__xludf.DUMMYFUNCTION("IF(REGEXMATCH(C175, ""D""), ""D2"","""")"),"D2")</f>
        <v>D2</v>
      </c>
      <c r="GZ175" s="294" t="str">
        <f>IFERROR(__xludf.DUMMYFUNCTION("IF(REGEXMATCH(C175, ""n""), ""N2"","""")"),"")</f>
        <v/>
      </c>
      <c r="HA175" s="295" t="str">
        <f>IFERROR(__xludf.DUMMYFUNCTION("IF(REGEXMATCH(C175, ""N""), ""N3"","""")"),"N3")</f>
        <v>N3</v>
      </c>
      <c r="HB175" s="249" t="str">
        <f>IFERROR(__xludf.DUMMYFUNCTION("IF(REGEXMATCH(C175, ""S""), ""S"","""")"),"S")</f>
        <v>S</v>
      </c>
      <c r="HC175" s="331" t="str">
        <f t="shared" si="95"/>
        <v>S</v>
      </c>
      <c r="HD175" s="332" t="str">
        <f t="shared" si="96"/>
        <v>r</v>
      </c>
      <c r="HE175" s="332" t="str">
        <f t="shared" si="97"/>
        <v/>
      </c>
      <c r="HF175" s="332" t="str">
        <f t="shared" si="98"/>
        <v>g</v>
      </c>
      <c r="HG175" s="332" t="str">
        <f t="shared" si="99"/>
        <v/>
      </c>
      <c r="HH175" s="332" t="str">
        <f t="shared" si="100"/>
        <v>m</v>
      </c>
      <c r="HI175" s="332" t="str">
        <f t="shared" si="101"/>
        <v>M</v>
      </c>
      <c r="HJ175" s="332" t="str">
        <f t="shared" si="102"/>
        <v>P</v>
      </c>
      <c r="HK175" s="332" t="str">
        <f t="shared" si="103"/>
        <v/>
      </c>
      <c r="HL175" s="332" t="str">
        <f t="shared" si="104"/>
        <v/>
      </c>
      <c r="HM175" s="332" t="str">
        <f t="shared" si="105"/>
        <v>n</v>
      </c>
      <c r="HN175" s="332" t="str">
        <f t="shared" si="106"/>
        <v/>
      </c>
      <c r="HO175" s="343" t="str">
        <f t="shared" si="107"/>
        <v>S</v>
      </c>
      <c r="HP175" s="331" t="str">
        <f t="shared" si="108"/>
        <v>o</v>
      </c>
      <c r="HQ175" s="332" t="str">
        <f t="shared" si="109"/>
        <v>•</v>
      </c>
      <c r="HR175" s="332" t="str">
        <f t="shared" si="110"/>
        <v>o</v>
      </c>
      <c r="HS175" s="332" t="str">
        <f t="shared" si="111"/>
        <v>•</v>
      </c>
      <c r="HT175" s="332" t="str">
        <f t="shared" si="112"/>
        <v>•</v>
      </c>
      <c r="HU175" s="332" t="str">
        <f t="shared" si="113"/>
        <v>o</v>
      </c>
      <c r="HV175" s="332" t="str">
        <f t="shared" si="114"/>
        <v>o</v>
      </c>
      <c r="HW175" s="332" t="str">
        <f t="shared" si="115"/>
        <v>o</v>
      </c>
      <c r="HX175" s="332" t="str">
        <f t="shared" si="116"/>
        <v>•</v>
      </c>
      <c r="HY175" s="332" t="str">
        <f t="shared" si="117"/>
        <v>o</v>
      </c>
      <c r="HZ175" s="332" t="str">
        <f t="shared" si="118"/>
        <v>•</v>
      </c>
      <c r="IA175" s="332" t="str">
        <f t="shared" si="119"/>
        <v>o</v>
      </c>
      <c r="IB175" s="338" t="str">
        <f t="shared" si="120"/>
        <v>o</v>
      </c>
      <c r="IC175" s="331" t="str">
        <f t="shared" si="121"/>
        <v>•</v>
      </c>
      <c r="ID175" s="332" t="str">
        <f t="shared" si="122"/>
        <v>o</v>
      </c>
      <c r="IE175" s="332" t="str">
        <f t="shared" si="123"/>
        <v>•</v>
      </c>
      <c r="IF175" s="332" t="str">
        <f t="shared" si="124"/>
        <v>o</v>
      </c>
      <c r="IG175" s="332" t="str">
        <f t="shared" si="125"/>
        <v>o</v>
      </c>
      <c r="IH175" s="332" t="str">
        <f t="shared" si="126"/>
        <v>•</v>
      </c>
      <c r="II175" s="332" t="str">
        <f t="shared" si="127"/>
        <v>•</v>
      </c>
      <c r="IJ175" s="332" t="str">
        <f t="shared" si="128"/>
        <v>•</v>
      </c>
      <c r="IK175" s="332" t="str">
        <f t="shared" si="129"/>
        <v>o</v>
      </c>
      <c r="IL175" s="332" t="str">
        <f t="shared" si="130"/>
        <v>•</v>
      </c>
      <c r="IM175" s="332" t="str">
        <f t="shared" si="131"/>
        <v>o</v>
      </c>
      <c r="IN175" s="332" t="str">
        <f t="shared" si="132"/>
        <v>•</v>
      </c>
      <c r="IO175" s="338" t="str">
        <f t="shared" si="133"/>
        <v>•</v>
      </c>
      <c r="IP175" s="346" t="b">
        <f t="shared" si="134"/>
        <v>0</v>
      </c>
      <c r="IQ175" s="347" t="b">
        <f t="shared" si="135"/>
        <v>0</v>
      </c>
      <c r="IR175" s="347" t="b">
        <f t="shared" si="136"/>
        <v>0</v>
      </c>
      <c r="IS175" s="347" t="b">
        <f t="shared" si="137"/>
        <v>0</v>
      </c>
      <c r="IT175" s="347" t="b">
        <f t="shared" si="138"/>
        <v>0</v>
      </c>
      <c r="IU175" s="347" t="b">
        <f t="shared" si="139"/>
        <v>0</v>
      </c>
      <c r="IV175" s="347" t="b">
        <f t="shared" si="140"/>
        <v>1</v>
      </c>
      <c r="IW175" s="347" t="b">
        <f t="shared" si="141"/>
        <v>0</v>
      </c>
      <c r="IX175" s="347" t="b">
        <f t="shared" si="142"/>
        <v>0</v>
      </c>
      <c r="IY175" s="347" t="b">
        <f t="shared" si="143"/>
        <v>1</v>
      </c>
      <c r="IZ175" s="347" t="b">
        <f t="shared" si="144"/>
        <v>0</v>
      </c>
      <c r="JA175" s="347" t="b">
        <f t="shared" si="145"/>
        <v>0</v>
      </c>
      <c r="JB175" s="353" t="b">
        <f t="shared" si="146"/>
        <v>0</v>
      </c>
      <c r="JC175" s="354" t="str">
        <f t="shared" si="147"/>
        <v/>
      </c>
      <c r="JD175" s="355" t="str">
        <f t="shared" si="148"/>
        <v/>
      </c>
      <c r="JE175" s="355" t="str">
        <f t="shared" si="149"/>
        <v/>
      </c>
      <c r="JF175" s="355" t="str">
        <f t="shared" si="150"/>
        <v/>
      </c>
      <c r="JG175" s="355" t="str">
        <f t="shared" si="151"/>
        <v/>
      </c>
      <c r="JH175" s="355" t="str">
        <f t="shared" si="152"/>
        <v/>
      </c>
      <c r="JI175" s="355" t="str">
        <f t="shared" si="153"/>
        <v>Ma, </v>
      </c>
      <c r="JJ175" s="355" t="str">
        <f t="shared" si="154"/>
        <v/>
      </c>
      <c r="JK175" s="355" t="str">
        <f t="shared" si="155"/>
        <v/>
      </c>
      <c r="JL175" s="355" t="str">
        <f t="shared" si="156"/>
        <v>Dha, </v>
      </c>
      <c r="JM175" s="355" t="str">
        <f t="shared" si="157"/>
        <v/>
      </c>
      <c r="JN175" s="355" t="str">
        <f t="shared" si="158"/>
        <v/>
      </c>
      <c r="JO175" s="359" t="str">
        <f t="shared" si="159"/>
        <v/>
      </c>
      <c r="JP175" s="346" t="b">
        <f t="shared" si="160"/>
        <v>0</v>
      </c>
      <c r="JQ175" s="347" t="b">
        <f t="shared" si="161"/>
        <v>0</v>
      </c>
      <c r="JR175" s="347" t="b">
        <f t="shared" si="162"/>
        <v>0</v>
      </c>
      <c r="JS175" s="347" t="b">
        <f t="shared" si="163"/>
        <v>0</v>
      </c>
      <c r="JT175" s="347" t="b">
        <f t="shared" si="164"/>
        <v>0</v>
      </c>
      <c r="JU175" s="347" t="b">
        <f t="shared" si="165"/>
        <v>0</v>
      </c>
      <c r="JV175" s="347" t="b">
        <f t="shared" si="166"/>
        <v>0</v>
      </c>
      <c r="JW175" s="347" t="b">
        <f t="shared" si="167"/>
        <v>0</v>
      </c>
      <c r="JX175" s="347" t="b">
        <f t="shared" si="168"/>
        <v>0</v>
      </c>
      <c r="JY175" s="347" t="b">
        <f t="shared" si="169"/>
        <v>0</v>
      </c>
      <c r="JZ175" s="347" t="b">
        <f t="shared" si="170"/>
        <v>0</v>
      </c>
      <c r="KA175" s="347" t="b">
        <f t="shared" si="171"/>
        <v>0</v>
      </c>
      <c r="KB175" s="365" t="b">
        <f t="shared" si="172"/>
        <v>0</v>
      </c>
      <c r="KC175" s="354" t="str">
        <f t="shared" si="173"/>
        <v/>
      </c>
      <c r="KD175" s="355" t="str">
        <f t="shared" si="174"/>
        <v/>
      </c>
      <c r="KE175" s="355" t="str">
        <f t="shared" si="175"/>
        <v/>
      </c>
      <c r="KF175" s="355" t="str">
        <f t="shared" si="176"/>
        <v/>
      </c>
      <c r="KG175" s="355" t="str">
        <f t="shared" si="177"/>
        <v/>
      </c>
      <c r="KH175" s="355" t="str">
        <f t="shared" si="178"/>
        <v/>
      </c>
      <c r="KI175" s="355" t="str">
        <f t="shared" si="179"/>
        <v/>
      </c>
      <c r="KJ175" s="355" t="str">
        <f t="shared" si="180"/>
        <v/>
      </c>
      <c r="KK175" s="355" t="str">
        <f t="shared" si="181"/>
        <v/>
      </c>
      <c r="KL175" s="355" t="str">
        <f t="shared" si="182"/>
        <v/>
      </c>
      <c r="KM175" s="355" t="str">
        <f t="shared" si="183"/>
        <v/>
      </c>
      <c r="KN175" s="355" t="str">
        <f t="shared" si="184"/>
        <v/>
      </c>
      <c r="KO175" s="359"/>
      <c r="KP175" s="378"/>
      <c r="KQ175" s="379" t="s">
        <v>1427</v>
      </c>
      <c r="KR175" s="380" t="s">
        <v>1428</v>
      </c>
      <c r="KS175" s="381" t="str">
        <f>KQ175</f>
        <v>S-M-P-D-N-S</v>
      </c>
      <c r="KT175" s="382">
        <f t="shared" si="186"/>
        <v>5</v>
      </c>
      <c r="KU175" s="383">
        <f t="shared" si="187"/>
        <v>5</v>
      </c>
      <c r="KV175" s="381" t="str">
        <f t="shared" si="205"/>
        <v>S-N-D-P-Mm-R-S</v>
      </c>
      <c r="KW175" s="382">
        <f t="shared" si="189"/>
        <v>6</v>
      </c>
      <c r="KX175" s="384">
        <f t="shared" si="190"/>
        <v>7</v>
      </c>
      <c r="KY175" s="382">
        <f t="shared" ref="KY175:KZ175" si="563">KW175-KT175</f>
        <v>1</v>
      </c>
      <c r="KZ175" s="369">
        <f t="shared" si="563"/>
        <v>2</v>
      </c>
      <c r="LA175" s="385" t="str">
        <f t="shared" si="192"/>
        <v>-</v>
      </c>
      <c r="LB175" s="340" t="str">
        <f>IFERROR(__xludf.DUMMYFUNCTION("JOIN("""",ArrayFormula(MID(KS175,LEN(KS175)-SEQUENCE(1,LEN(KS175))+1,1)))"),"S-N-D-P-M-S")</f>
        <v>S-N-D-P-M-S</v>
      </c>
      <c r="LC175" s="373" t="str">
        <f>IFERROR(__xludf.DUMMYFUNCTION("JOIN("""",ArrayFormula(MID(KV175,LEN(KV175)-SEQUENCE(1,LEN(KV175))+1,1)))"),"S-R-mM-P-D-N-S")</f>
        <v>S-R-mM-P-D-N-S</v>
      </c>
      <c r="LD175" s="373" t="str">
        <f t="shared" si="193"/>
        <v>SMPDNS</v>
      </c>
      <c r="LE175" s="339" t="str">
        <f t="shared" si="194"/>
        <v>SRmMPDNS</v>
      </c>
      <c r="LF175" s="386" t="str">
        <f>IFERROR(__xludf.DUMMYFUNCTION("SUBSTITUTE(SUBSTITUTE(CONCATENATE(JOIN("""",LH175:LT175)),""1"",""""),""2"","""")"),"SRmMPDNS")</f>
        <v>SRmMPDNS</v>
      </c>
      <c r="LG175" s="369" t="str">
        <f t="shared" si="195"/>
        <v>✔</v>
      </c>
      <c r="LH175" s="387" t="str">
        <f>IFERROR(__xludf.DUMMYFUNCTION("IF(REGEXMATCH(LD175, ""S""), ""S"",IF(REGEXMATCH(LE175, ""S""), ""S"",""""))"),"S")</f>
        <v>S</v>
      </c>
      <c r="LI175" s="299" t="str">
        <f>IFERROR(__xludf.DUMMYFUNCTION("IF(REGEXMATCH(LD175, ""r""), ""r1"",IF(REGEXMATCH(LE175, ""r""), ""r2"",""""))"),"")</f>
        <v/>
      </c>
      <c r="LJ175" s="299" t="str">
        <f>IFERROR(__xludf.DUMMYFUNCTION("IF(REGEXMATCH(LD175, ""R""), ""R1"",IF(REGEXMATCH(LE175, ""R""), ""R2"",""""))"),"R2")</f>
        <v>R2</v>
      </c>
      <c r="LK175" s="299" t="str">
        <f>IFERROR(__xludf.DUMMYFUNCTION("IF(REGEXMATCH(LD175, ""g""), ""g1"",IF(REGEXMATCH(LE175, ""g""), ""g2"",""""))"),"")</f>
        <v/>
      </c>
      <c r="LL175" s="299" t="str">
        <f>IFERROR(__xludf.DUMMYFUNCTION("IF(REGEXMATCH(LD175, ""G""), ""G1"",IF(REGEXMATCH(LE175, ""G""), ""G2"",""""))"),"")</f>
        <v/>
      </c>
      <c r="LM175" s="299" t="str">
        <f>IFERROR(__xludf.DUMMYFUNCTION("IF(REGEXMATCH(LD175, ""m""), ""m1"",IF(REGEXMATCH(LE175, ""m""), ""m2"",""""))"),"m2")</f>
        <v>m2</v>
      </c>
      <c r="LN175" s="299" t="str">
        <f>IFERROR(__xludf.DUMMYFUNCTION("IF(REGEXMATCH(LD175, ""M""), ""M1"",IF(REGEXMATCH(LE175, ""M""), ""M2"",""""))"),"M1")</f>
        <v>M1</v>
      </c>
      <c r="LO175" s="299" t="str">
        <f>IFERROR(__xludf.DUMMYFUNCTION("IF(REGEXMATCH(LD175, ""P""), ""P1"",IF(REGEXMATCH(LE175, ""P""), ""P2"",""""))"),"P1")</f>
        <v>P1</v>
      </c>
      <c r="LP175" s="299" t="str">
        <f>IFERROR(__xludf.DUMMYFUNCTION("IF(REGEXMATCH(LD175, ""d""), ""d1"",IF(REGEXMATCH(LE175, ""d""), ""d2"",""""))"),"")</f>
        <v/>
      </c>
      <c r="LQ175" s="299" t="str">
        <f>IFERROR(__xludf.DUMMYFUNCTION("IF(REGEXMATCH(LD175, ""D""), ""D1"",IF(REGEXMATCH(LE175, ""D""), ""D2"",""""))"),"D1")</f>
        <v>D1</v>
      </c>
      <c r="LR175" s="299" t="str">
        <f>IFERROR(__xludf.DUMMYFUNCTION("IF(REGEXMATCH(LD175, ""n""), ""n1"",IF(REGEXMATCH(LE175, ""n""), ""n2"",""""))"),"")</f>
        <v/>
      </c>
      <c r="LS175" s="299" t="str">
        <f>IFERROR(__xludf.DUMMYFUNCTION("IF(REGEXMATCH(LD175, ""N""), ""N1"",IF(REGEXMATCH(LE175, ""N""), ""N2"",""""))"),"N1")</f>
        <v>N1</v>
      </c>
      <c r="LT175" s="388" t="str">
        <f>IFERROR(__xludf.DUMMYFUNCTION("IF(REGEXMATCH(LD175, ""S""), ""S"",IF(REGEXMATCH(LE175, ""S""), ""S"",""""))"),"S")</f>
        <v>S</v>
      </c>
      <c r="LU175" s="389">
        <f t="shared" si="196"/>
        <v>-2</v>
      </c>
      <c r="LV175" s="378"/>
      <c r="LW175" s="369"/>
      <c r="LX175" s="369"/>
    </row>
    <row r="176" ht="18.0" customHeight="1">
      <c r="A176" s="298" t="s">
        <v>870</v>
      </c>
      <c r="B176" s="222" t="s">
        <v>871</v>
      </c>
      <c r="C176" s="233" t="str">
        <f t="shared" si="7"/>
        <v>SRGPDNS</v>
      </c>
      <c r="D176" s="234" t="str">
        <f>IFERROR(__xludf.DUMMYFUNCTION("IF(REGEXMATCH(C176, ""S""), ""S"","""")"),"S")</f>
        <v>S</v>
      </c>
      <c r="E176" s="236" t="str">
        <f>IFERROR(__xludf.DUMMYFUNCTION("IF(REGEXMATCH(C176, ""r""), ""r"","""")"),"")</f>
        <v/>
      </c>
      <c r="F176" s="237" t="str">
        <f>IFERROR(__xludf.DUMMYFUNCTION("IF(REGEXMATCH(C176, ""R""), ""R"","""")"),"R")</f>
        <v>R</v>
      </c>
      <c r="G176" s="237" t="str">
        <f>IFERROR(__xludf.DUMMYFUNCTION("IF(REGEXMATCH(C176, ""g""), ""g"","""")"),"")</f>
        <v/>
      </c>
      <c r="H176" s="236" t="str">
        <f>IFERROR(__xludf.DUMMYFUNCTION("IF(REGEXMATCH(C176, ""G""), ""G"","""")"),"G")</f>
        <v>G</v>
      </c>
      <c r="I176" s="236" t="str">
        <f>IFERROR(__xludf.DUMMYFUNCTION("IF(REGEXMATCH(C176, ""m""), ""m"","""")"),"")</f>
        <v/>
      </c>
      <c r="J176" s="237" t="str">
        <f>IFERROR(__xludf.DUMMYFUNCTION("IF(REGEXMATCH(C176, ""M""), ""M"","""")"),"")</f>
        <v/>
      </c>
      <c r="K176" s="236" t="str">
        <f>IFERROR(__xludf.DUMMYFUNCTION("IF(REGEXMATCH(C176, ""P""), ""P"","""")"),"P")</f>
        <v>P</v>
      </c>
      <c r="L176" s="237" t="str">
        <f>IFERROR(__xludf.DUMMYFUNCTION("IF(REGEXMATCH(C176, ""d""), ""d"","""")"),"")</f>
        <v/>
      </c>
      <c r="M176" s="236" t="str">
        <f>IFERROR(__xludf.DUMMYFUNCTION("IF(REGEXMATCH(C176, ""D""), ""D"","""")"),"D")</f>
        <v>D</v>
      </c>
      <c r="N176" s="236" t="str">
        <f>IFERROR(__xludf.DUMMYFUNCTION("IF(REGEXMATCH(C176, ""n""), ""n"","""")"),"")</f>
        <v/>
      </c>
      <c r="O176" s="237" t="str">
        <f>IFERROR(__xludf.DUMMYFUNCTION("IF(REGEXMATCH(C176, ""N""), ""N"","""")"),"N")</f>
        <v>N</v>
      </c>
      <c r="P176" s="238" t="str">
        <f>IFERROR(__xludf.DUMMYFUNCTION("IF(REGEXMATCH(C176, ""S""), ""S"","""")"),"S")</f>
        <v>S</v>
      </c>
      <c r="Q176" s="239" t="str">
        <f>IFERROR(__xludf.DUMMYFUNCTION("SUBSTITUTE(CONCATENATE(JOIN(""-"",D176:J176)),""-"","""")"),"SRG")</f>
        <v>SRG</v>
      </c>
      <c r="R176" s="229" t="str">
        <f>IFERROR(__xludf.DUMMYFUNCTION("SUBSTITUTE(CONCATENATE(JOIN(""-"",K176:P176)),""-"","""")"),"PDNS")</f>
        <v>PDNS</v>
      </c>
      <c r="S176" s="282" t="str">
        <f t="shared" si="8"/>
        <v>S-R-G-</v>
      </c>
      <c r="T176" s="282" t="str">
        <f t="shared" si="9"/>
        <v>P-D-N-S</v>
      </c>
      <c r="U176" s="237" t="str">
        <f>IFERROR(__xludf.DUMMYFUNCTION("SUBSTITUTE(JOIN(""-"",S176,T176),""--"",""-"")"),"S-R-G-P-D-N-S")</f>
        <v>S-R-G-P-D-N-S</v>
      </c>
      <c r="V176" s="309" t="str">
        <f t="shared" si="10"/>
        <v>RGDN</v>
      </c>
      <c r="W176" s="244" t="str">
        <f>IFERROR(__xludf.DUMMYFUNCTION("IF(REGEXMATCH(C176, ""S""), ""0"","""")"),"0")</f>
        <v>0</v>
      </c>
      <c r="X176" s="245" t="str">
        <f>IFERROR(__xludf.DUMMYFUNCTION("IF(REGEXMATCH(C176, ""r""), ""1"","""")"),"")</f>
        <v/>
      </c>
      <c r="Y176" s="246" t="str">
        <f>IFERROR(__xludf.DUMMYFUNCTION("IF(REGEXMATCH(C176, ""R""), ""2"","""")"),"2")</f>
        <v>2</v>
      </c>
      <c r="Z176" s="246" t="str">
        <f>IFERROR(__xludf.DUMMYFUNCTION("IF(REGEXMATCH(C176, ""g""), ""3"","""")"),"")</f>
        <v/>
      </c>
      <c r="AA176" s="245" t="str">
        <f>IFERROR(__xludf.DUMMYFUNCTION("IF(REGEXMATCH(C176, ""G""), ""4"","""")"),"4")</f>
        <v>4</v>
      </c>
      <c r="AB176" s="245" t="str">
        <f>IFERROR(__xludf.DUMMYFUNCTION("IF(REGEXMATCH(C176, ""m""), ""5"","""")"),"")</f>
        <v/>
      </c>
      <c r="AC176" s="246" t="str">
        <f>IFERROR(__xludf.DUMMYFUNCTION("IF(REGEXMATCH(C176, ""M""), ""6"","""")"),"")</f>
        <v/>
      </c>
      <c r="AD176" s="245" t="str">
        <f>IFERROR(__xludf.DUMMYFUNCTION("IF(REGEXMATCH(C176, ""P""), ""7"","""")"),"7")</f>
        <v>7</v>
      </c>
      <c r="AE176" s="246" t="str">
        <f>IFERROR(__xludf.DUMMYFUNCTION("IF(REGEXMATCH(C176, ""d""), ""8"","""")"),"")</f>
        <v/>
      </c>
      <c r="AF176" s="245" t="str">
        <f>IFERROR(__xludf.DUMMYFUNCTION("IF(REGEXMATCH(C176, ""D""), ""9"","""")"),"9")</f>
        <v>9</v>
      </c>
      <c r="AG176" s="245" t="str">
        <f>IFERROR(__xludf.DUMMYFUNCTION("IF(REGEXMATCH(C176, ""n""), ""10"","""")"),"")</f>
        <v/>
      </c>
      <c r="AH176" s="246" t="str">
        <f>IFERROR(__xludf.DUMMYFUNCTION("IF(REGEXMATCH(C176, ""N""), ""11"","""")"),"11")</f>
        <v>11</v>
      </c>
      <c r="AI176" s="249" t="str">
        <f>IFERROR(__xludf.DUMMYFUNCTION("IF(REGEXMATCH(C176, ""S""), ""0"","""")"),"0")</f>
        <v>0</v>
      </c>
      <c r="AJ176" s="313" t="str">
        <f t="shared" si="11"/>
        <v>-</v>
      </c>
      <c r="AK176" s="313" t="str">
        <f t="shared" si="12"/>
        <v>-</v>
      </c>
      <c r="AL176" s="313" t="str">
        <f t="shared" si="13"/>
        <v>-</v>
      </c>
      <c r="AM176" s="313" t="str">
        <f t="shared" si="14"/>
        <v>-</v>
      </c>
      <c r="AN176" s="313" t="str">
        <f t="shared" si="15"/>
        <v>-</v>
      </c>
      <c r="AO176" s="314" t="str">
        <f t="shared" si="16"/>
        <v>-</v>
      </c>
      <c r="AP176" s="316">
        <f t="shared" si="17"/>
        <v>0</v>
      </c>
      <c r="AQ176" s="319" t="str">
        <f t="shared" si="18"/>
        <v>-</v>
      </c>
      <c r="AR176" s="320">
        <f t="shared" si="19"/>
        <v>0</v>
      </c>
      <c r="AS176" s="250" t="str">
        <f>IFERROR(__xludf.DUMMYFUNCTION("SUBSTITUTE(SUBSTITUTE(CONCATENATE(JOIN("""",FP176:GA176)),""|"",""x""),""-"",""o"")"),"xoxoxooxoxox")</f>
        <v>xoxoxooxoxox</v>
      </c>
      <c r="AT176" s="323" t="str">
        <f>IFERROR(__xludf.DUMMYFUNCTION("JOIN("""",AS176,AS176)"),"xoxoxooxoxoxxoxoxooxoxox")</f>
        <v>xoxoxooxoxoxxoxoxooxoxox</v>
      </c>
      <c r="AU176" s="256" t="str">
        <f>IFERROR(__xludf.DUMMYFUNCTION("JOIN("""",ArrayFormula(MID(AS176,LEN(AS176)-SEQUENCE(1,LEN(AS176))+1,1)))"),"xoxoxooxoxox")</f>
        <v>xoxoxooxoxox</v>
      </c>
      <c r="AV176" s="256" t="str">
        <f>IFERROR(__xludf.DUMMYFUNCTION("LEFT(CONCATENATE(""x"",JOIN("""",ArrayFormula(MID(AS176,LEN(AS176)-SEQUENCE(1,LEN(AS176))+1,1)))),12)"),"xxoxoxooxoxo")</f>
        <v>xxoxoxooxoxo</v>
      </c>
      <c r="AW176" s="327" t="str">
        <f>IFERROR(__xludf.DUMMYFUNCTION("JOIN("""",AU176,AU176)"),"xoxoxooxoxoxxoxoxooxoxox")</f>
        <v>xoxoxooxoxoxxoxoxooxoxox</v>
      </c>
      <c r="AX176" s="239" t="str">
        <f>IFERROR(__xludf.DUMMYFUNCTION("IF(REGEXMATCH(AW176,AS176),""✔"",""-"")"),"✔")</f>
        <v>✔</v>
      </c>
      <c r="AY176" s="330" t="str">
        <f t="shared" si="20"/>
        <v>-</v>
      </c>
      <c r="AZ176" s="260" t="str">
        <f t="shared" si="21"/>
        <v>#REF!</v>
      </c>
      <c r="BA176" s="333" t="str">
        <f t="shared" si="22"/>
        <v>xoxoxoo</v>
      </c>
      <c r="BB176" s="334" t="str">
        <f t="shared" si="23"/>
        <v>xoxoxx</v>
      </c>
      <c r="BC176" s="335" t="str">
        <f t="shared" si="236"/>
        <v>-</v>
      </c>
      <c r="BD176" s="336" t="str">
        <f t="shared" si="25"/>
        <v>Kesari Kalyan: 'xoxoxoo' + 'xoxoxx'</v>
      </c>
      <c r="BE176" s="337">
        <f>IFERROR(__xludf.DUMMYFUNCTION("COUNTUNIQUE(FILTER(AT:AT,REGEXMATCH(AT:AT,AS176)))-1"),3.0)</f>
        <v>3</v>
      </c>
      <c r="BF176" s="261" t="str">
        <f>IFERROR(__xludf.DUMMYFUNCTION("IF(BI176=0,""(n/a)"",IF(BJ176=2,""(PAIR)"",IF(REGEXMATCH(AT176,""xoxoxxoxoxox""),""Bilawal"",IF(REGEXMATCH(AT176,""xoxoxooxoxoo""),""Bhupali"",IF(REGEXMATCH(AT176,""xoxoxxoxxoxo""),""Charukeshi"",IF(REGEXMATCH(AT176,""xoxoooxxoxxo""),""Kameshwari"",IF(REG"&amp;"EXMATCH(AT176,""xoxoxooxoxox""),""Shankara"",IF(REGEXMATCH(AT176,""xxooxoxxxoox""),""Basant"",IF(REGEXMATCH(AT176,""xoxoxxxxoxox""),""Bihag"",IF(REGEXMATCH(AT176,""xoxxxxoxoxxx""),""Pilu"",IF(REGEXMATCH(AT176,""xoxxoxoxxoox""),""Kirwani"",IF(REGEXMATCH(AT"&amp;"176,""xoxxoxoxoxxx""),""Mk.Malhar"",IF(REGEXMATCH(AT176,""xxooxxoxxoox""),""Bhairav"",IF(REGEXMATCH(AT176,""xxoxooxxxoox""),""Todi"",IF(REGEXMATCH(AT176,""xxooxoxooxox""),""Marwa"",IF(REGEXMATCH(AT176,""xxoooxoxxooo""),""Gunkali"",IF(REGEXMATCH(AT176,""xo"&amp;"xoxxoxxoox""),""Nat Bhairav"",IF(REGEXMATCH(AT176,""xoxxoooxoxoo""),""Shivranjani"",IF(REGEXMATCH(AT176,""xooxxxoxooxo""),""Jog"",IF(REGEXMATCH(AT176,""xxooxoxoxoox""),""Hemshri"",IF(REGEXMATCH(AT176,""xoooxooxoxxo""),""Kalavati"",IF(REGEXMATCH(AT176,""xx"&amp;"oxoxxoxoox""),""Kedar"",IF(REGEXMATCH(AT176,""xoxxxxoxooxx""),""Gara"",IF(REGEXMATCH(AT176,""xooxoxooxoox""),""Chandrakauns"",IF(REGEXMATCH(AT176,""xoxxxxoxxxox""),""Mand"",IF(REGEXMATCH(AT176,""xoxxxxoxoxox""),""Hanskinkini"",IF(REGEXMATCH(AT176,""xxooxx"&amp;"oxooxo""),""Lilavati"",IF(REGEXMATCH(AT176,""xooxoxoooxox""),""Rajeshwari"",IF(REGEXMATCH(AT176,""xoooxxoxoxxx""),""Khokar"",IF(REGEXMATCH(AT176,""xxooxoxxxxox""),""Maligoura"",""-""))))))))))))))))))))))))))))))"),"Shankara")</f>
        <v>Shankara</v>
      </c>
      <c r="BG176" s="239" t="str">
        <f t="shared" si="26"/>
        <v>#REF!</v>
      </c>
      <c r="BH176" s="239">
        <f>IFERROR(__xludf.DUMMYFUNCTION("COUNTUNIQUE(FE176:FO176)-1"),5.0)</f>
        <v>5</v>
      </c>
      <c r="BI176" s="239">
        <f>IFERROR(__xludf.DUMMYFUNCTION("COUNTUNIQUE(FILTER(AT:AT,REGEXMATCH(AT:AT,AS176)))-1"),3.0)</f>
        <v>3</v>
      </c>
      <c r="BJ176" s="239">
        <f>IFERROR(__xludf.DUMMYFUNCTION("COUNTA(FILTER(AT:AT,REGEXMATCH(AT:AT,AS176)))"),11.0)</f>
        <v>11</v>
      </c>
      <c r="BK176" s="341">
        <f>IFERROR(__xludf.DUMMYFUNCTION("COUNTA(FILTER(AT:AT,REGEXMATCH(AT:AT,AS176)))-AR176"),11.0)</f>
        <v>11</v>
      </c>
      <c r="BL176" s="276" t="str">
        <f>IFERROR(__xludf.DUMMYFUNCTION("IF(AS176=""oooooooooooo"",""-"",IF(REGEXMATCH(AT176,""xx""), ""Hemi."", ""Anhemi.""))"),"Hemi.")</f>
        <v>Hemi.</v>
      </c>
      <c r="BM176" s="282" t="str">
        <f>IFERROR(__xludf.DUMMYFUNCTION("IF(AS176=""oooooooooooo"",""-"",IF(REGEXMATCH(AT176,""xxx""), ""Cohem."", ""-""))"),"-")</f>
        <v>-</v>
      </c>
      <c r="BN176" s="282" t="str">
        <f>IFERROR(__xludf.DUMMYFUNCTION("IF(AS176=""oooooooooooo"",""-"",IF(REGEXMATCH(AT176,""xxxx""), ""Co-Co."", ""-""))"),"-")</f>
        <v>-</v>
      </c>
      <c r="BO176" s="342" t="str">
        <f>IFERROR(__xludf.DUMMYFUNCTION("IF(AS176=""oooooooooooo"",""-"",IF(REGEXMATCH(AT176,""xxxxx""), ""CCC."", ""-""))"),"-")</f>
        <v>-</v>
      </c>
      <c r="BP176" s="344" t="str">
        <f t="shared" si="27"/>
        <v>-</v>
      </c>
      <c r="BQ176" s="282" t="str">
        <f>IFERROR(__xludf.DUMMYFUNCTION("IF(REGEXMATCH(JOIN(""-"",EU176:FD176),""TRUE""),""✔"",""-"")"),"✔")</f>
        <v>✔</v>
      </c>
      <c r="BR176" s="225">
        <f t="shared" si="28"/>
        <v>2</v>
      </c>
      <c r="BS176" s="345" t="str">
        <f>IFERROR(__xludf.DUMMYFUNCTION("SUBSTITUTE(SUBSTITUTE(SUBSTITUTE(SUBSTITUTE(CONCATENATE(JOIN(""-"",GC176:GO176)),""--"",""-""),""--"",""-""),""--"",""-""),""--"",""-"")"),"1-2-3-5-6-7-8")</f>
        <v>1-2-3-5-6-7-8</v>
      </c>
      <c r="BT176" s="299" t="str">
        <f>IFERROR(__xludf.DUMMYFUNCTION("SUBSTITUTE(SUBSTITUTE(SUBSTITUTE(SUBSTITUTE(CONCATENATE(JOIN(""-"",GP176:HB176)),""--"",""-""),""--"",""-""),""--"",""-""),""--"",""-"")"),"S-R2-G3-P-D2-N3-S")</f>
        <v>S-R2-G3-P-D2-N3-S</v>
      </c>
      <c r="BU176" s="348" t="str">
        <f t="shared" si="29"/>
        <v>C-D-E-G-A-B-C</v>
      </c>
      <c r="BV176" s="349" t="str">
        <f t="shared" si="30"/>
        <v>SrgmMdnS</v>
      </c>
      <c r="BW176" s="350">
        <f t="shared" si="31"/>
        <v>1</v>
      </c>
      <c r="BX176" s="351">
        <f t="shared" si="32"/>
        <v>2</v>
      </c>
      <c r="BY176" s="392"/>
      <c r="BZ176" s="309" t="str">
        <f>IFERROR(__xludf.DUMMYFUNCTION("IF(REGEXMATCH(C176, ""S""), ""x"",""x"")"),"x")</f>
        <v>x</v>
      </c>
      <c r="CA176" s="245" t="str">
        <f>IFERROR(__xludf.DUMMYFUNCTION("IF(REGEXMATCH(C176, ""r""), ""o"",""x"")"),"x")</f>
        <v>x</v>
      </c>
      <c r="CB176" s="246" t="str">
        <f>IFERROR(__xludf.DUMMYFUNCTION("IF(REGEXMATCH(C176, ""R""), ""o"",""x"")"),"o")</f>
        <v>o</v>
      </c>
      <c r="CC176" s="246" t="str">
        <f>IFERROR(__xludf.DUMMYFUNCTION("IF(REGEXMATCH(C176, ""g""), ""o"",""x"")"),"x")</f>
        <v>x</v>
      </c>
      <c r="CD176" s="245" t="str">
        <f>IFERROR(__xludf.DUMMYFUNCTION("IF(REGEXMATCH(C176, ""G""), ""o"",""x"")"),"o")</f>
        <v>o</v>
      </c>
      <c r="CE176" s="245" t="str">
        <f>IFERROR(__xludf.DUMMYFUNCTION("IF(REGEXMATCH(C176, ""m""), ""o"",""x"")"),"x")</f>
        <v>x</v>
      </c>
      <c r="CF176" s="246" t="str">
        <f>IFERROR(__xludf.DUMMYFUNCTION("IF(REGEXMATCH(C176, ""M""), ""o"",""x"")"),"x")</f>
        <v>x</v>
      </c>
      <c r="CG176" s="245" t="str">
        <f>IFERROR(__xludf.DUMMYFUNCTION("IF(REGEXMATCH(C176, ""P""), ""o"",""x"")"),"o")</f>
        <v>o</v>
      </c>
      <c r="CH176" s="246" t="str">
        <f>IFERROR(__xludf.DUMMYFUNCTION("IF(REGEXMATCH(C176, ""d""), ""o"",""x"")"),"x")</f>
        <v>x</v>
      </c>
      <c r="CI176" s="245" t="str">
        <f>IFERROR(__xludf.DUMMYFUNCTION("IF(REGEXMATCH(C176, ""D""), ""o"",""x"")"),"o")</f>
        <v>o</v>
      </c>
      <c r="CJ176" s="245" t="str">
        <f>IFERROR(__xludf.DUMMYFUNCTION("IF(REGEXMATCH(C176, ""n""), ""o"",""x"")"),"x")</f>
        <v>x</v>
      </c>
      <c r="CK176" s="245" t="str">
        <f>IFERROR(__xludf.DUMMYFUNCTION("IF(REGEXMATCH(C176, ""N""), ""o"",""x"")"),"o")</f>
        <v>o</v>
      </c>
      <c r="CL176" s="356" t="str">
        <f>IFERROR(__xludf.DUMMYFUNCTION("IF(REGEXMATCH(C176, ""S""), ""x"",""x"")"),"x")</f>
        <v>x</v>
      </c>
      <c r="CM176" s="357" t="str">
        <f t="shared" si="33"/>
        <v>xxoxoxxoxoxo</v>
      </c>
      <c r="CN176" s="358">
        <f t="shared" si="34"/>
        <v>1</v>
      </c>
      <c r="CO176" s="246" t="str">
        <f>IFERROR(__xludf.DUMMYFUNCTION("IF(REGEXMATCH($C176, ""S""), ""S"",""S"")"),"S")</f>
        <v>S</v>
      </c>
      <c r="CP176" s="246" t="str">
        <f>IFERROR(__xludf.DUMMYFUNCTION("IF(REGEXMATCH($C176, ""r""), """",""r"")"),"r")</f>
        <v>r</v>
      </c>
      <c r="CQ176" s="246" t="str">
        <f>IFERROR(__xludf.DUMMYFUNCTION("IF(REGEXMATCH($C176, ""R""), """",""R"")"),"")</f>
        <v/>
      </c>
      <c r="CR176" s="246" t="str">
        <f>IFERROR(__xludf.DUMMYFUNCTION("IF(REGEXMATCH($C176, ""g""), """",""g"")"),"g")</f>
        <v>g</v>
      </c>
      <c r="CS176" s="246" t="str">
        <f>IFERROR(__xludf.DUMMYFUNCTION("IF(REGEXMATCH($C176, ""G""), """",""G"")"),"")</f>
        <v/>
      </c>
      <c r="CT176" s="246" t="str">
        <f>IFERROR(__xludf.DUMMYFUNCTION("IF(REGEXMATCH($C176, ""m""), """",""m"")"),"m")</f>
        <v>m</v>
      </c>
      <c r="CU176" s="246" t="str">
        <f>IFERROR(__xludf.DUMMYFUNCTION("IF(REGEXMATCH($C176, ""M""), """",""M"")"),"M")</f>
        <v>M</v>
      </c>
      <c r="CV176" s="246" t="str">
        <f>IFERROR(__xludf.DUMMYFUNCTION("IF(REGEXMATCH($C176, ""P""), """",""P"")"),"")</f>
        <v/>
      </c>
      <c r="CW176" s="246" t="str">
        <f>IFERROR(__xludf.DUMMYFUNCTION("IF(REGEXMATCH($C176, ""d""), """",""d"")"),"d")</f>
        <v>d</v>
      </c>
      <c r="CX176" s="246" t="str">
        <f>IFERROR(__xludf.DUMMYFUNCTION("IF(REGEXMATCH($C176, ""D""), """",""D"")"),"")</f>
        <v/>
      </c>
      <c r="CY176" s="246" t="str">
        <f>IFERROR(__xludf.DUMMYFUNCTION("IF(REGEXMATCH($C176, ""n""), """",""n"")"),"n")</f>
        <v>n</v>
      </c>
      <c r="CZ176" s="246" t="str">
        <f>IFERROR(__xludf.DUMMYFUNCTION("IF(REGEXMATCH($C176, ""N""), """",""N"")"),"")</f>
        <v/>
      </c>
      <c r="DA176" s="246" t="str">
        <f>IFERROR(__xludf.DUMMYFUNCTION("IF(REGEXMATCH($C176, ""S""), ""S"",""S"")"),"S")</f>
        <v>S</v>
      </c>
      <c r="DB176" s="362" t="str">
        <f>IFERROR(__xludf.DUMMYFUNCTION("JOIN("""",CO176:DA176,"""","""")"),"SrgmMdnS")</f>
        <v>SrgmMdnS</v>
      </c>
      <c r="DC176" s="363"/>
      <c r="DD176" s="301" t="str">
        <f t="shared" si="35"/>
        <v>#REF!</v>
      </c>
      <c r="DE176" s="302" t="str">
        <f t="shared" si="36"/>
        <v>#REF!</v>
      </c>
      <c r="DF176" s="301" t="str">
        <f t="shared" ref="DF176:DG176" si="564">SUBSTITUTE(S176,"-","")</f>
        <v>SRG</v>
      </c>
      <c r="DG176" s="301" t="str">
        <f t="shared" si="564"/>
        <v>PDNS</v>
      </c>
      <c r="DH176" s="302" t="str">
        <f t="shared" si="38"/>
        <v>Shankara</v>
      </c>
      <c r="DI176" s="301" t="str">
        <f t="shared" si="39"/>
        <v>Hemi.</v>
      </c>
      <c r="DJ176" s="364" t="str">
        <f t="shared" si="40"/>
        <v>-</v>
      </c>
      <c r="DK176" s="306" t="str">
        <f t="shared" si="41"/>
        <v>-</v>
      </c>
      <c r="DL176" s="366" t="str">
        <f t="shared" si="42"/>
        <v>✔</v>
      </c>
      <c r="DM176" s="308" t="str">
        <f t="shared" si="43"/>
        <v>-</v>
      </c>
      <c r="DN176" s="306" t="str">
        <f t="shared" si="44"/>
        <v>✔</v>
      </c>
      <c r="DO176" s="306" t="str">
        <f t="shared" si="45"/>
        <v>-</v>
      </c>
      <c r="DP176" s="367" t="str">
        <f t="shared" si="46"/>
        <v>-</v>
      </c>
      <c r="DQ176" s="310" t="str">
        <f t="shared" si="47"/>
        <v>-</v>
      </c>
      <c r="DR176" s="310" t="str">
        <f t="shared" si="48"/>
        <v>-</v>
      </c>
      <c r="DS176" s="310" t="str">
        <f t="shared" si="49"/>
        <v>-</v>
      </c>
      <c r="DT176" s="310" t="str">
        <f t="shared" si="50"/>
        <v>-</v>
      </c>
      <c r="DU176" s="370" t="str">
        <f t="shared" si="51"/>
        <v>-</v>
      </c>
      <c r="DV176" s="306" t="str">
        <f t="shared" si="52"/>
        <v>-</v>
      </c>
      <c r="DW176" s="306" t="str">
        <f t="shared" si="53"/>
        <v>-</v>
      </c>
      <c r="DX176" s="306" t="str">
        <f t="shared" si="54"/>
        <v>✔</v>
      </c>
      <c r="DY176" s="306" t="str">
        <f t="shared" si="55"/>
        <v>-</v>
      </c>
      <c r="DZ176" s="306" t="str">
        <f t="shared" si="56"/>
        <v>-</v>
      </c>
      <c r="EA176" s="367" t="str">
        <f t="shared" si="57"/>
        <v>-</v>
      </c>
      <c r="EB176" s="310" t="str">
        <f>IFERROR(__xludf.DUMMYFUNCTION("IF(REGEXMATCH(AW176,AS176),""✔"",""-"")"),"✔")</f>
        <v>✔</v>
      </c>
      <c r="EC176" s="310" t="str">
        <f t="shared" si="58"/>
        <v>#REF!</v>
      </c>
      <c r="ED176" s="370" t="str">
        <f t="shared" si="59"/>
        <v>-</v>
      </c>
      <c r="EE176" s="340" t="str">
        <f t="shared" si="60"/>
        <v>S-R-G-P-D-N-S</v>
      </c>
      <c r="EF176" s="371" t="str">
        <f>IFERROR(__xludf.DUMMYFUNCTION("CONCATENATE(JOIN("""",HC176:HO176))"),"SrgmdnS")</f>
        <v>SrgmdnS</v>
      </c>
      <c r="EG176" s="372">
        <f t="shared" si="61"/>
        <v>1</v>
      </c>
      <c r="EH176" s="373" t="str">
        <f>IFERROR(__xludf.DUMMYFUNCTION("CONCATENATE(JOIN("""",JC176:JO176))"),"Ni, ")</f>
        <v>Ni, </v>
      </c>
      <c r="EI176" s="322">
        <f t="shared" si="62"/>
        <v>0</v>
      </c>
      <c r="EJ176" s="374" t="str">
        <f>IFERROR(__xludf.DUMMYFUNCTION("CONCATENATE(JOIN("""",KC176:KO176))"),"")</f>
        <v/>
      </c>
      <c r="EK176" s="325" t="str">
        <f t="shared" si="63"/>
        <v>S-R2-G3-P-D2-N3-S</v>
      </c>
      <c r="EL176" s="326" t="str">
        <f t="shared" si="64"/>
        <v>1-2-3-5-6-7-8</v>
      </c>
      <c r="EM176" s="318" t="str">
        <f t="shared" si="65"/>
        <v>#REF!</v>
      </c>
      <c r="EN176" s="328" t="str">
        <f>IFERROR(__xludf.DUMMYFUNCTION("SUBSTITUTE(SUBSTITUTE(SUBSTITUTE(SUBSTITUTE(CONCATENATE(JOIN("" "",HP176:IB176)),""  "","" ""),""  "","" ""),""  "","" ""),""  "","" "")"),"o • o • o • • o • o • o o")</f>
        <v>o • o • o • • o • o • o o</v>
      </c>
      <c r="EO176" s="368" t="str">
        <f t="shared" si="66"/>
        <v>Sa-Pa</v>
      </c>
      <c r="EP176" s="339" t="str">
        <f t="shared" si="67"/>
        <v>-</v>
      </c>
      <c r="EQ176" s="339" t="str">
        <f t="shared" si="68"/>
        <v>Sa-Pa</v>
      </c>
      <c r="ER176" s="339" t="str">
        <f t="shared" si="69"/>
        <v>Sa-Pa</v>
      </c>
      <c r="ES176" s="340" t="str">
        <f t="shared" si="70"/>
        <v>-</v>
      </c>
      <c r="ET176" s="363"/>
      <c r="EU176" s="376" t="b">
        <f>IFERROR(__xludf.DUMMYFUNCTION("arrayformula(sum(--REGEXMATCH(""SRGMPDNS"",split(REGEXREPLACE(C176,""(.)"",""$1~""),""~""))))=len(C176)
"),TRUE)</f>
        <v>1</v>
      </c>
      <c r="EV176" s="290" t="b">
        <f>IFERROR(__xludf.DUMMYFUNCTION("arrayformula(sum(--REGEXMATCH(""SRGmPDNS"",split(REGEXREPLACE(C176,""(.)"",""$1~""),""~""))))=len(C176)"),TRUE)</f>
        <v>1</v>
      </c>
      <c r="EW176" s="290" t="b">
        <f>IFERROR(__xludf.DUMMYFUNCTION("arrayformula(sum(--REGEXMATCH(""SRGmPDnS"",split(REGEXREPLACE(C176,""(.)"",""$1~""),""~""))))=len(C176)"),FALSE)</f>
        <v>0</v>
      </c>
      <c r="EX176" s="290" t="b">
        <f>IFERROR(__xludf.DUMMYFUNCTION("arrayformula(sum(--REGEXMATCH(""SRgmPDnS"",split(REGEXREPLACE(C176,""(.)"",""$1~""),""~""))))=len(C176)"),FALSE)</f>
        <v>0</v>
      </c>
      <c r="EY176" s="290" t="b">
        <f>IFERROR(__xludf.DUMMYFUNCTION("arrayformula(sum(--REGEXMATCH(""SRgmPdnS"",split(REGEXREPLACE(C176,""(.)"",""$1~""),""~""))))=len(C176)"),FALSE)</f>
        <v>0</v>
      </c>
      <c r="EZ176" s="290" t="b">
        <f>IFERROR(__xludf.DUMMYFUNCTION("arrayformula(sum(--REGEXMATCH(""SrgmPdnS"",split(REGEXREPLACE(C176,""(.)"",""$1~""),""~""))))=len(C176)"),FALSE)</f>
        <v>0</v>
      </c>
      <c r="FA176" s="290" t="b">
        <f>IFERROR(__xludf.DUMMYFUNCTION("arrayformula(sum(--REGEXMATCH(""SrGmPdNS"",split(REGEXREPLACE(C176,""(.)"",""$1~""),""~""))))=len(C176)"),FALSE)</f>
        <v>0</v>
      </c>
      <c r="FB176" s="290" t="b">
        <f>IFERROR(__xludf.DUMMYFUNCTION("arrayformula(sum(--REGEXMATCH(""SrGMPDNS"",split(REGEXREPLACE(C176,""(.)"",""$1~""),""~""))))=len(C176)"),FALSE)</f>
        <v>0</v>
      </c>
      <c r="FC176" s="290" t="b">
        <f>IFERROR(__xludf.DUMMYFUNCTION("arrayformula(sum(--REGEXMATCH(""SrGMPdNS"",split(REGEXREPLACE(C176,""(.)"",""$1~""),""~""))))=len(C176)"),FALSE)</f>
        <v>0</v>
      </c>
      <c r="FD176" s="377" t="b">
        <f>IFERROR(__xludf.DUMMYFUNCTION("arrayformula(sum(--REGEXMATCH(""SrgMPdNS"",split(REGEXREPLACE(C176,""(.)"",""$1~""),""~""))))=len(C176)"),FALSE)</f>
        <v>0</v>
      </c>
      <c r="FE176" s="269" t="str">
        <f t="shared" si="71"/>
        <v>-</v>
      </c>
      <c r="FF176" s="269" t="str">
        <f t="shared" si="72"/>
        <v>xoxooxoxoxx</v>
      </c>
      <c r="FG176" s="271" t="str">
        <f t="shared" si="73"/>
        <v>-</v>
      </c>
      <c r="FH176" s="269" t="str">
        <f t="shared" si="74"/>
        <v>xooxoxoxxox</v>
      </c>
      <c r="FI176" s="271" t="str">
        <f t="shared" si="75"/>
        <v>-</v>
      </c>
      <c r="FJ176" s="271" t="str">
        <f t="shared" si="76"/>
        <v>-</v>
      </c>
      <c r="FK176" s="271" t="str">
        <f t="shared" si="77"/>
        <v>xoxoxxoxoxo</v>
      </c>
      <c r="FL176" s="271" t="str">
        <f t="shared" si="78"/>
        <v>-</v>
      </c>
      <c r="FM176" s="271" t="str">
        <f t="shared" si="79"/>
        <v>xoxxoxoxoox</v>
      </c>
      <c r="FN176" s="271" t="str">
        <f t="shared" si="80"/>
        <v>-</v>
      </c>
      <c r="FO176" s="274" t="str">
        <f t="shared" si="81"/>
        <v>xxoxoxooxox</v>
      </c>
      <c r="FP176" s="234" t="str">
        <f t="shared" si="82"/>
        <v>|</v>
      </c>
      <c r="FQ176" s="236" t="str">
        <f t="shared" si="83"/>
        <v>-</v>
      </c>
      <c r="FR176" s="237" t="str">
        <f t="shared" si="84"/>
        <v>|</v>
      </c>
      <c r="FS176" s="236" t="str">
        <f t="shared" si="85"/>
        <v>-</v>
      </c>
      <c r="FT176" s="237" t="str">
        <f t="shared" si="86"/>
        <v>|</v>
      </c>
      <c r="FU176" s="236" t="str">
        <f t="shared" si="87"/>
        <v>-</v>
      </c>
      <c r="FV176" s="237" t="str">
        <f t="shared" si="88"/>
        <v>-</v>
      </c>
      <c r="FW176" s="236" t="str">
        <f t="shared" si="89"/>
        <v>|</v>
      </c>
      <c r="FX176" s="237" t="str">
        <f t="shared" si="90"/>
        <v>-</v>
      </c>
      <c r="FY176" s="236" t="str">
        <f t="shared" si="91"/>
        <v>|</v>
      </c>
      <c r="FZ176" s="237" t="str">
        <f t="shared" si="92"/>
        <v>-</v>
      </c>
      <c r="GA176" s="236" t="str">
        <f t="shared" si="93"/>
        <v>|</v>
      </c>
      <c r="GB176" s="238" t="str">
        <f t="shared" si="94"/>
        <v>|</v>
      </c>
      <c r="GC176" s="244" t="str">
        <f>IFERROR(__xludf.DUMMYFUNCTION("IF(REGEXMATCH(C176, ""S""), ""1"","""")"),"1")</f>
        <v>1</v>
      </c>
      <c r="GD176" s="245" t="str">
        <f>IFERROR(__xludf.DUMMYFUNCTION("IF(REGEXMATCH(C176, ""r""), ""b2"","""")"),"")</f>
        <v/>
      </c>
      <c r="GE176" s="246" t="str">
        <f>IFERROR(__xludf.DUMMYFUNCTION("IF(REGEXMATCH(C176, ""R""), ""2"","""")"),"2")</f>
        <v>2</v>
      </c>
      <c r="GF176" s="246" t="str">
        <f>IFERROR(__xludf.DUMMYFUNCTION("IF(REGEXMATCH(C176, ""g""), ""b3"","""")"),"")</f>
        <v/>
      </c>
      <c r="GG176" s="245" t="str">
        <f>IFERROR(__xludf.DUMMYFUNCTION("IF(REGEXMATCH(C176, ""G""), ""3"","""")"),"3")</f>
        <v>3</v>
      </c>
      <c r="GH176" s="245" t="str">
        <f>IFERROR(__xludf.DUMMYFUNCTION("IF(REGEXMATCH(C176, ""m""), ""4"","""")"),"")</f>
        <v/>
      </c>
      <c r="GI176" s="246" t="str">
        <f>IFERROR(__xludf.DUMMYFUNCTION("IF(REGEXMATCH(C176, ""M""), ""#4"","""")"),"")</f>
        <v/>
      </c>
      <c r="GJ176" s="245" t="str">
        <f>IFERROR(__xludf.DUMMYFUNCTION("IF(REGEXMATCH(C176, ""P""), ""5"","""")"),"5")</f>
        <v>5</v>
      </c>
      <c r="GK176" s="246" t="str">
        <f>IFERROR(__xludf.DUMMYFUNCTION("IF(REGEXMATCH(C176, ""d""), ""b6"","""")"),"")</f>
        <v/>
      </c>
      <c r="GL176" s="245" t="str">
        <f>IFERROR(__xludf.DUMMYFUNCTION("IF(REGEXMATCH(C176, ""D""), ""6"","""")"),"6")</f>
        <v>6</v>
      </c>
      <c r="GM176" s="245" t="str">
        <f>IFERROR(__xludf.DUMMYFUNCTION("IF(REGEXMATCH(C176, ""n""), ""b7"","""")"),"")</f>
        <v/>
      </c>
      <c r="GN176" s="246" t="str">
        <f>IFERROR(__xludf.DUMMYFUNCTION("IF(REGEXMATCH(C176, ""N""), ""7"","""")"),"7")</f>
        <v>7</v>
      </c>
      <c r="GO176" s="249" t="str">
        <f>IFERROR(__xludf.DUMMYFUNCTION("IF(REGEXMATCH(C176, ""S""), ""8"","""")"),"8")</f>
        <v>8</v>
      </c>
      <c r="GP176" s="244" t="str">
        <f>IFERROR(__xludf.DUMMYFUNCTION("IF(REGEXMATCH(C176, ""S""), ""S"","""")"),"S")</f>
        <v>S</v>
      </c>
      <c r="GQ176" s="294" t="str">
        <f>IFERROR(__xludf.DUMMYFUNCTION("IF(REGEXMATCH(C176, ""r""), ""R1"","""")"),"")</f>
        <v/>
      </c>
      <c r="GR176" s="295" t="str">
        <f>IFERROR(__xludf.DUMMYFUNCTION("IF(REGEXMATCH(C176, ""R""), ""R2"","""")"),"R2")</f>
        <v>R2</v>
      </c>
      <c r="GS176" s="295" t="str">
        <f>IFERROR(__xludf.DUMMYFUNCTION("IF(REGEXMATCH(C176, ""g""), ""G2"","""")"),"")</f>
        <v/>
      </c>
      <c r="GT176" s="294" t="str">
        <f>IFERROR(__xludf.DUMMYFUNCTION("IF(REGEXMATCH(C176, ""G""), ""G3"","""")"),"G3")</f>
        <v>G3</v>
      </c>
      <c r="GU176" s="294" t="str">
        <f>IFERROR(__xludf.DUMMYFUNCTION("IF(REGEXMATCH(C176, ""m""), ""M1"","""")"),"")</f>
        <v/>
      </c>
      <c r="GV176" s="295" t="str">
        <f>IFERROR(__xludf.DUMMYFUNCTION("IF(REGEXMATCH(C176, ""M""), ""M2"","""")"),"")</f>
        <v/>
      </c>
      <c r="GW176" s="294" t="str">
        <f>IFERROR(__xludf.DUMMYFUNCTION("IF(REGEXMATCH(C176, ""P""), ""P"","""")"),"P")</f>
        <v>P</v>
      </c>
      <c r="GX176" s="295" t="str">
        <f>IFERROR(__xludf.DUMMYFUNCTION("IF(REGEXMATCH(C176, ""d""), ""D1"","""")"),"")</f>
        <v/>
      </c>
      <c r="GY176" s="294" t="str">
        <f>IFERROR(__xludf.DUMMYFUNCTION("IF(REGEXMATCH(C176, ""D""), ""D2"","""")"),"D2")</f>
        <v>D2</v>
      </c>
      <c r="GZ176" s="294" t="str">
        <f>IFERROR(__xludf.DUMMYFUNCTION("IF(REGEXMATCH(C176, ""n""), ""N2"","""")"),"")</f>
        <v/>
      </c>
      <c r="HA176" s="295" t="str">
        <f>IFERROR(__xludf.DUMMYFUNCTION("IF(REGEXMATCH(C176, ""N""), ""N3"","""")"),"N3")</f>
        <v>N3</v>
      </c>
      <c r="HB176" s="249" t="str">
        <f>IFERROR(__xludf.DUMMYFUNCTION("IF(REGEXMATCH(C176, ""S""), ""S"","""")"),"S")</f>
        <v>S</v>
      </c>
      <c r="HC176" s="331" t="str">
        <f t="shared" si="95"/>
        <v>S</v>
      </c>
      <c r="HD176" s="332" t="str">
        <f t="shared" si="96"/>
        <v>r</v>
      </c>
      <c r="HE176" s="332" t="str">
        <f t="shared" si="97"/>
        <v/>
      </c>
      <c r="HF176" s="332" t="str">
        <f t="shared" si="98"/>
        <v>g</v>
      </c>
      <c r="HG176" s="332" t="str">
        <f t="shared" si="99"/>
        <v/>
      </c>
      <c r="HH176" s="332" t="str">
        <f t="shared" si="100"/>
        <v>m</v>
      </c>
      <c r="HI176" s="332" t="str">
        <f t="shared" si="101"/>
        <v/>
      </c>
      <c r="HJ176" s="332" t="str">
        <f t="shared" si="102"/>
        <v/>
      </c>
      <c r="HK176" s="332" t="str">
        <f t="shared" si="103"/>
        <v>d</v>
      </c>
      <c r="HL176" s="332" t="str">
        <f t="shared" si="104"/>
        <v/>
      </c>
      <c r="HM176" s="332" t="str">
        <f t="shared" si="105"/>
        <v>n</v>
      </c>
      <c r="HN176" s="332" t="str">
        <f t="shared" si="106"/>
        <v/>
      </c>
      <c r="HO176" s="343" t="str">
        <f t="shared" si="107"/>
        <v>S</v>
      </c>
      <c r="HP176" s="331" t="str">
        <f t="shared" si="108"/>
        <v>o</v>
      </c>
      <c r="HQ176" s="332" t="str">
        <f t="shared" si="109"/>
        <v>•</v>
      </c>
      <c r="HR176" s="332" t="str">
        <f t="shared" si="110"/>
        <v>o</v>
      </c>
      <c r="HS176" s="332" t="str">
        <f t="shared" si="111"/>
        <v>•</v>
      </c>
      <c r="HT176" s="332" t="str">
        <f t="shared" si="112"/>
        <v>o</v>
      </c>
      <c r="HU176" s="332" t="str">
        <f t="shared" si="113"/>
        <v>•</v>
      </c>
      <c r="HV176" s="332" t="str">
        <f t="shared" si="114"/>
        <v>•</v>
      </c>
      <c r="HW176" s="332" t="str">
        <f t="shared" si="115"/>
        <v>o</v>
      </c>
      <c r="HX176" s="332" t="str">
        <f t="shared" si="116"/>
        <v>•</v>
      </c>
      <c r="HY176" s="332" t="str">
        <f t="shared" si="117"/>
        <v>o</v>
      </c>
      <c r="HZ176" s="332" t="str">
        <f t="shared" si="118"/>
        <v>•</v>
      </c>
      <c r="IA176" s="332" t="str">
        <f t="shared" si="119"/>
        <v>o</v>
      </c>
      <c r="IB176" s="338" t="str">
        <f t="shared" si="120"/>
        <v>o</v>
      </c>
      <c r="IC176" s="331" t="str">
        <f t="shared" si="121"/>
        <v>•</v>
      </c>
      <c r="ID176" s="332" t="str">
        <f t="shared" si="122"/>
        <v>o</v>
      </c>
      <c r="IE176" s="332" t="str">
        <f t="shared" si="123"/>
        <v>•</v>
      </c>
      <c r="IF176" s="332" t="str">
        <f t="shared" si="124"/>
        <v>o</v>
      </c>
      <c r="IG176" s="332" t="str">
        <f t="shared" si="125"/>
        <v>•</v>
      </c>
      <c r="IH176" s="332" t="str">
        <f t="shared" si="126"/>
        <v>o</v>
      </c>
      <c r="II176" s="332" t="str">
        <f t="shared" si="127"/>
        <v>o</v>
      </c>
      <c r="IJ176" s="332" t="str">
        <f t="shared" si="128"/>
        <v>•</v>
      </c>
      <c r="IK176" s="332" t="str">
        <f t="shared" si="129"/>
        <v>o</v>
      </c>
      <c r="IL176" s="332" t="str">
        <f t="shared" si="130"/>
        <v>•</v>
      </c>
      <c r="IM176" s="332" t="str">
        <f t="shared" si="131"/>
        <v>o</v>
      </c>
      <c r="IN176" s="332" t="str">
        <f t="shared" si="132"/>
        <v>•</v>
      </c>
      <c r="IO176" s="338" t="str">
        <f t="shared" si="133"/>
        <v>•</v>
      </c>
      <c r="IP176" s="346" t="b">
        <f t="shared" si="134"/>
        <v>0</v>
      </c>
      <c r="IQ176" s="347" t="b">
        <f t="shared" si="135"/>
        <v>0</v>
      </c>
      <c r="IR176" s="347" t="b">
        <f t="shared" si="136"/>
        <v>0</v>
      </c>
      <c r="IS176" s="347" t="b">
        <f t="shared" si="137"/>
        <v>0</v>
      </c>
      <c r="IT176" s="347" t="b">
        <f t="shared" si="138"/>
        <v>0</v>
      </c>
      <c r="IU176" s="347" t="b">
        <f t="shared" si="139"/>
        <v>0</v>
      </c>
      <c r="IV176" s="347" t="b">
        <f t="shared" si="140"/>
        <v>0</v>
      </c>
      <c r="IW176" s="347" t="b">
        <f t="shared" si="141"/>
        <v>0</v>
      </c>
      <c r="IX176" s="347" t="b">
        <f t="shared" si="142"/>
        <v>0</v>
      </c>
      <c r="IY176" s="347" t="b">
        <f t="shared" si="143"/>
        <v>0</v>
      </c>
      <c r="IZ176" s="347" t="b">
        <f t="shared" si="144"/>
        <v>0</v>
      </c>
      <c r="JA176" s="347" t="b">
        <f t="shared" si="145"/>
        <v>1</v>
      </c>
      <c r="JB176" s="353" t="b">
        <f t="shared" si="146"/>
        <v>0</v>
      </c>
      <c r="JC176" s="354" t="str">
        <f t="shared" si="147"/>
        <v/>
      </c>
      <c r="JD176" s="355" t="str">
        <f t="shared" si="148"/>
        <v/>
      </c>
      <c r="JE176" s="355" t="str">
        <f t="shared" si="149"/>
        <v/>
      </c>
      <c r="JF176" s="355" t="str">
        <f t="shared" si="150"/>
        <v/>
      </c>
      <c r="JG176" s="355" t="str">
        <f t="shared" si="151"/>
        <v/>
      </c>
      <c r="JH176" s="355" t="str">
        <f t="shared" si="152"/>
        <v/>
      </c>
      <c r="JI176" s="355" t="str">
        <f t="shared" si="153"/>
        <v/>
      </c>
      <c r="JJ176" s="355" t="str">
        <f t="shared" si="154"/>
        <v/>
      </c>
      <c r="JK176" s="355" t="str">
        <f t="shared" si="155"/>
        <v/>
      </c>
      <c r="JL176" s="355" t="str">
        <f t="shared" si="156"/>
        <v/>
      </c>
      <c r="JM176" s="355" t="str">
        <f t="shared" si="157"/>
        <v/>
      </c>
      <c r="JN176" s="355" t="str">
        <f t="shared" si="158"/>
        <v>Ni, </v>
      </c>
      <c r="JO176" s="359" t="str">
        <f t="shared" si="159"/>
        <v/>
      </c>
      <c r="JP176" s="346" t="b">
        <f t="shared" si="160"/>
        <v>0</v>
      </c>
      <c r="JQ176" s="347" t="b">
        <f t="shared" si="161"/>
        <v>0</v>
      </c>
      <c r="JR176" s="347" t="b">
        <f t="shared" si="162"/>
        <v>0</v>
      </c>
      <c r="JS176" s="347" t="b">
        <f t="shared" si="163"/>
        <v>0</v>
      </c>
      <c r="JT176" s="347" t="b">
        <f t="shared" si="164"/>
        <v>0</v>
      </c>
      <c r="JU176" s="347" t="b">
        <f t="shared" si="165"/>
        <v>0</v>
      </c>
      <c r="JV176" s="347" t="b">
        <f t="shared" si="166"/>
        <v>0</v>
      </c>
      <c r="JW176" s="347" t="b">
        <f t="shared" si="167"/>
        <v>0</v>
      </c>
      <c r="JX176" s="347" t="b">
        <f t="shared" si="168"/>
        <v>0</v>
      </c>
      <c r="JY176" s="347" t="b">
        <f t="shared" si="169"/>
        <v>0</v>
      </c>
      <c r="JZ176" s="347" t="b">
        <f t="shared" si="170"/>
        <v>0</v>
      </c>
      <c r="KA176" s="347" t="b">
        <f t="shared" si="171"/>
        <v>0</v>
      </c>
      <c r="KB176" s="365" t="b">
        <f t="shared" si="172"/>
        <v>0</v>
      </c>
      <c r="KC176" s="354" t="str">
        <f t="shared" si="173"/>
        <v/>
      </c>
      <c r="KD176" s="355" t="str">
        <f t="shared" si="174"/>
        <v/>
      </c>
      <c r="KE176" s="355" t="str">
        <f t="shared" si="175"/>
        <v/>
      </c>
      <c r="KF176" s="355" t="str">
        <f t="shared" si="176"/>
        <v/>
      </c>
      <c r="KG176" s="355" t="str">
        <f t="shared" si="177"/>
        <v/>
      </c>
      <c r="KH176" s="355" t="str">
        <f t="shared" si="178"/>
        <v/>
      </c>
      <c r="KI176" s="355" t="str">
        <f t="shared" si="179"/>
        <v/>
      </c>
      <c r="KJ176" s="355" t="str">
        <f t="shared" si="180"/>
        <v/>
      </c>
      <c r="KK176" s="355" t="str">
        <f t="shared" si="181"/>
        <v/>
      </c>
      <c r="KL176" s="355" t="str">
        <f t="shared" si="182"/>
        <v/>
      </c>
      <c r="KM176" s="355" t="str">
        <f t="shared" si="183"/>
        <v/>
      </c>
      <c r="KN176" s="355" t="str">
        <f t="shared" si="184"/>
        <v/>
      </c>
      <c r="KO176" s="359"/>
      <c r="KP176" s="378"/>
      <c r="KQ176" s="379" t="s">
        <v>9</v>
      </c>
      <c r="KR176" s="380" t="s">
        <v>1429</v>
      </c>
      <c r="KS176" s="381" t="s">
        <v>9</v>
      </c>
      <c r="KT176" s="382">
        <f t="shared" si="186"/>
        <v>0</v>
      </c>
      <c r="KU176" s="383">
        <f t="shared" si="187"/>
        <v>0</v>
      </c>
      <c r="KV176" s="381" t="str">
        <f t="shared" si="205"/>
        <v>S-N-D-P-G-R-S</v>
      </c>
      <c r="KW176" s="382">
        <f t="shared" si="189"/>
        <v>6</v>
      </c>
      <c r="KX176" s="384">
        <f t="shared" si="190"/>
        <v>6</v>
      </c>
      <c r="KY176" s="382">
        <f t="shared" ref="KY176:KZ176" si="565">KW176-KT176</f>
        <v>6</v>
      </c>
      <c r="KZ176" s="369">
        <f t="shared" si="565"/>
        <v>6</v>
      </c>
      <c r="LA176" s="385" t="str">
        <f t="shared" si="192"/>
        <v>-</v>
      </c>
      <c r="LB176" s="340" t="str">
        <f>IFERROR(__xludf.DUMMYFUNCTION("JOIN("""",ArrayFormula(MID(KS176,LEN(KS176)-SEQUENCE(1,LEN(KS176))+1,1)))"),"S")</f>
        <v>S</v>
      </c>
      <c r="LC176" s="373" t="str">
        <f>IFERROR(__xludf.DUMMYFUNCTION("JOIN("""",ArrayFormula(MID(KV176,LEN(KV176)-SEQUENCE(1,LEN(KV176))+1,1)))"),"S-R-G-P-D-N-S")</f>
        <v>S-R-G-P-D-N-S</v>
      </c>
      <c r="LD176" s="373" t="str">
        <f t="shared" si="193"/>
        <v>S</v>
      </c>
      <c r="LE176" s="339" t="str">
        <f t="shared" si="194"/>
        <v>SRGPDNS</v>
      </c>
      <c r="LF176" s="386" t="str">
        <f>IFERROR(__xludf.DUMMYFUNCTION("SUBSTITUTE(SUBSTITUTE(CONCATENATE(JOIN("""",LH176:LT176)),""1"",""""),""2"","""")"),"SRGPDNS")</f>
        <v>SRGPDNS</v>
      </c>
      <c r="LG176" s="369" t="str">
        <f t="shared" si="195"/>
        <v>✔</v>
      </c>
      <c r="LH176" s="387" t="str">
        <f>IFERROR(__xludf.DUMMYFUNCTION("IF(REGEXMATCH(LD176, ""S""), ""S"",IF(REGEXMATCH(LE176, ""S""), ""S"",""""))"),"S")</f>
        <v>S</v>
      </c>
      <c r="LI176" s="299" t="str">
        <f>IFERROR(__xludf.DUMMYFUNCTION("IF(REGEXMATCH(LD176, ""r""), ""r1"",IF(REGEXMATCH(LE176, ""r""), ""r2"",""""))"),"")</f>
        <v/>
      </c>
      <c r="LJ176" s="299" t="str">
        <f>IFERROR(__xludf.DUMMYFUNCTION("IF(REGEXMATCH(LD176, ""R""), ""R1"",IF(REGEXMATCH(LE176, ""R""), ""R2"",""""))"),"R2")</f>
        <v>R2</v>
      </c>
      <c r="LK176" s="299" t="str">
        <f>IFERROR(__xludf.DUMMYFUNCTION("IF(REGEXMATCH(LD176, ""g""), ""g1"",IF(REGEXMATCH(LE176, ""g""), ""g2"",""""))"),"")</f>
        <v/>
      </c>
      <c r="LL176" s="299" t="str">
        <f>IFERROR(__xludf.DUMMYFUNCTION("IF(REGEXMATCH(LD176, ""G""), ""G1"",IF(REGEXMATCH(LE176, ""G""), ""G2"",""""))"),"G2")</f>
        <v>G2</v>
      </c>
      <c r="LM176" s="299" t="str">
        <f>IFERROR(__xludf.DUMMYFUNCTION("IF(REGEXMATCH(LD176, ""m""), ""m1"",IF(REGEXMATCH(LE176, ""m""), ""m2"",""""))"),"")</f>
        <v/>
      </c>
      <c r="LN176" s="299" t="str">
        <f>IFERROR(__xludf.DUMMYFUNCTION("IF(REGEXMATCH(LD176, ""M""), ""M1"",IF(REGEXMATCH(LE176, ""M""), ""M2"",""""))"),"")</f>
        <v/>
      </c>
      <c r="LO176" s="299" t="str">
        <f>IFERROR(__xludf.DUMMYFUNCTION("IF(REGEXMATCH(LD176, ""P""), ""P1"",IF(REGEXMATCH(LE176, ""P""), ""P2"",""""))"),"P2")</f>
        <v>P2</v>
      </c>
      <c r="LP176" s="299" t="str">
        <f>IFERROR(__xludf.DUMMYFUNCTION("IF(REGEXMATCH(LD176, ""d""), ""d1"",IF(REGEXMATCH(LE176, ""d""), ""d2"",""""))"),"")</f>
        <v/>
      </c>
      <c r="LQ176" s="299" t="str">
        <f>IFERROR(__xludf.DUMMYFUNCTION("IF(REGEXMATCH(LD176, ""D""), ""D1"",IF(REGEXMATCH(LE176, ""D""), ""D2"",""""))"),"D2")</f>
        <v>D2</v>
      </c>
      <c r="LR176" s="299" t="str">
        <f>IFERROR(__xludf.DUMMYFUNCTION("IF(REGEXMATCH(LD176, ""n""), ""n1"",IF(REGEXMATCH(LE176, ""n""), ""n2"",""""))"),"")</f>
        <v/>
      </c>
      <c r="LS176" s="299" t="str">
        <f>IFERROR(__xludf.DUMMYFUNCTION("IF(REGEXMATCH(LD176, ""N""), ""N1"",IF(REGEXMATCH(LE176, ""N""), ""N2"",""""))"),"N2")</f>
        <v>N2</v>
      </c>
      <c r="LT176" s="388" t="str">
        <f>IFERROR(__xludf.DUMMYFUNCTION("IF(REGEXMATCH(LD176, ""S""), ""S"",IF(REGEXMATCH(LE176, ""S""), ""S"",""""))"),"S")</f>
        <v>S</v>
      </c>
      <c r="LU176" s="389">
        <f t="shared" si="196"/>
        <v>-11</v>
      </c>
      <c r="LV176" s="378"/>
      <c r="LW176" s="369"/>
      <c r="LX176" s="369"/>
    </row>
    <row r="177" ht="18.0" customHeight="1">
      <c r="A177" s="298" t="s">
        <v>120</v>
      </c>
      <c r="B177" s="222" t="s">
        <v>738</v>
      </c>
      <c r="C177" s="233" t="str">
        <f t="shared" si="7"/>
        <v>SRGmPDnS</v>
      </c>
      <c r="D177" s="234" t="str">
        <f>IFERROR(__xludf.DUMMYFUNCTION("IF(REGEXMATCH(C177, ""S""), ""S"","""")"),"S")</f>
        <v>S</v>
      </c>
      <c r="E177" s="236" t="str">
        <f>IFERROR(__xludf.DUMMYFUNCTION("IF(REGEXMATCH(C177, ""r""), ""r"","""")"),"")</f>
        <v/>
      </c>
      <c r="F177" s="237" t="str">
        <f>IFERROR(__xludf.DUMMYFUNCTION("IF(REGEXMATCH(C177, ""R""), ""R"","""")"),"R")</f>
        <v>R</v>
      </c>
      <c r="G177" s="237" t="str">
        <f>IFERROR(__xludf.DUMMYFUNCTION("IF(REGEXMATCH(C177, ""g""), ""g"","""")"),"")</f>
        <v/>
      </c>
      <c r="H177" s="236" t="str">
        <f>IFERROR(__xludf.DUMMYFUNCTION("IF(REGEXMATCH(C177, ""G""), ""G"","""")"),"G")</f>
        <v>G</v>
      </c>
      <c r="I177" s="236" t="str">
        <f>IFERROR(__xludf.DUMMYFUNCTION("IF(REGEXMATCH(C177, ""m""), ""m"","""")"),"m")</f>
        <v>m</v>
      </c>
      <c r="J177" s="237" t="str">
        <f>IFERROR(__xludf.DUMMYFUNCTION("IF(REGEXMATCH(C177, ""M""), ""M"","""")"),"")</f>
        <v/>
      </c>
      <c r="K177" s="236" t="str">
        <f>IFERROR(__xludf.DUMMYFUNCTION("IF(REGEXMATCH(C177, ""P""), ""P"","""")"),"P")</f>
        <v>P</v>
      </c>
      <c r="L177" s="237" t="str">
        <f>IFERROR(__xludf.DUMMYFUNCTION("IF(REGEXMATCH(C177, ""d""), ""d"","""")"),"")</f>
        <v/>
      </c>
      <c r="M177" s="236" t="str">
        <f>IFERROR(__xludf.DUMMYFUNCTION("IF(REGEXMATCH(C177, ""D""), ""D"","""")"),"D")</f>
        <v>D</v>
      </c>
      <c r="N177" s="236" t="str">
        <f>IFERROR(__xludf.DUMMYFUNCTION("IF(REGEXMATCH(C177, ""n""), ""n"","""")"),"n")</f>
        <v>n</v>
      </c>
      <c r="O177" s="237" t="str">
        <f>IFERROR(__xludf.DUMMYFUNCTION("IF(REGEXMATCH(C177, ""N""), ""N"","""")"),"")</f>
        <v/>
      </c>
      <c r="P177" s="238" t="str">
        <f>IFERROR(__xludf.DUMMYFUNCTION("IF(REGEXMATCH(C177, ""S""), ""S"","""")"),"S")</f>
        <v>S</v>
      </c>
      <c r="Q177" s="239" t="str">
        <f>IFERROR(__xludf.DUMMYFUNCTION("SUBSTITUTE(CONCATENATE(JOIN(""-"",D177:J177)),""-"","""")"),"SRGm")</f>
        <v>SRGm</v>
      </c>
      <c r="R177" s="229" t="str">
        <f>IFERROR(__xludf.DUMMYFUNCTION("SUBSTITUTE(CONCATENATE(JOIN(""-"",K177:P177)),""-"","""")"),"PDnS")</f>
        <v>PDnS</v>
      </c>
      <c r="S177" s="282" t="str">
        <f t="shared" si="8"/>
        <v>S-R-G-M</v>
      </c>
      <c r="T177" s="282" t="str">
        <f t="shared" si="9"/>
        <v>P-D-N-S</v>
      </c>
      <c r="U177" s="237" t="str">
        <f>IFERROR(__xludf.DUMMYFUNCTION("SUBSTITUTE(JOIN(""-"",S177,T177),""--"",""-"")"),"S-R-G-M-P-D-N-S")</f>
        <v>S-R-G-M-P-D-N-S</v>
      </c>
      <c r="V177" s="309" t="str">
        <f t="shared" si="10"/>
        <v>RGmDn</v>
      </c>
      <c r="W177" s="244" t="str">
        <f>IFERROR(__xludf.DUMMYFUNCTION("IF(REGEXMATCH(C177, ""S""), ""0"","""")"),"0")</f>
        <v>0</v>
      </c>
      <c r="X177" s="245" t="str">
        <f>IFERROR(__xludf.DUMMYFUNCTION("IF(REGEXMATCH(C177, ""r""), ""1"","""")"),"")</f>
        <v/>
      </c>
      <c r="Y177" s="246" t="str">
        <f>IFERROR(__xludf.DUMMYFUNCTION("IF(REGEXMATCH(C177, ""R""), ""2"","""")"),"2")</f>
        <v>2</v>
      </c>
      <c r="Z177" s="246" t="str">
        <f>IFERROR(__xludf.DUMMYFUNCTION("IF(REGEXMATCH(C177, ""g""), ""3"","""")"),"")</f>
        <v/>
      </c>
      <c r="AA177" s="245" t="str">
        <f>IFERROR(__xludf.DUMMYFUNCTION("IF(REGEXMATCH(C177, ""G""), ""4"","""")"),"4")</f>
        <v>4</v>
      </c>
      <c r="AB177" s="245" t="str">
        <f>IFERROR(__xludf.DUMMYFUNCTION("IF(REGEXMATCH(C177, ""m""), ""5"","""")"),"5")</f>
        <v>5</v>
      </c>
      <c r="AC177" s="246" t="str">
        <f>IFERROR(__xludf.DUMMYFUNCTION("IF(REGEXMATCH(C177, ""M""), ""6"","""")"),"")</f>
        <v/>
      </c>
      <c r="AD177" s="245" t="str">
        <f>IFERROR(__xludf.DUMMYFUNCTION("IF(REGEXMATCH(C177, ""P""), ""7"","""")"),"7")</f>
        <v>7</v>
      </c>
      <c r="AE177" s="246" t="str">
        <f>IFERROR(__xludf.DUMMYFUNCTION("IF(REGEXMATCH(C177, ""d""), ""8"","""")"),"")</f>
        <v/>
      </c>
      <c r="AF177" s="245" t="str">
        <f>IFERROR(__xludf.DUMMYFUNCTION("IF(REGEXMATCH(C177, ""D""), ""9"","""")"),"9")</f>
        <v>9</v>
      </c>
      <c r="AG177" s="245" t="str">
        <f>IFERROR(__xludf.DUMMYFUNCTION("IF(REGEXMATCH(C177, ""n""), ""10"","""")"),"10")</f>
        <v>10</v>
      </c>
      <c r="AH177" s="246" t="str">
        <f>IFERROR(__xludf.DUMMYFUNCTION("IF(REGEXMATCH(C177, ""N""), ""11"","""")"),"")</f>
        <v/>
      </c>
      <c r="AI177" s="249" t="str">
        <f>IFERROR(__xludf.DUMMYFUNCTION("IF(REGEXMATCH(C177, ""S""), ""0"","""")"),"0")</f>
        <v>0</v>
      </c>
      <c r="AJ177" s="313" t="str">
        <f t="shared" si="11"/>
        <v>-</v>
      </c>
      <c r="AK177" s="313" t="str">
        <f t="shared" si="12"/>
        <v>-</v>
      </c>
      <c r="AL177" s="313" t="str">
        <f t="shared" si="13"/>
        <v>-</v>
      </c>
      <c r="AM177" s="313" t="str">
        <f t="shared" si="14"/>
        <v>-</v>
      </c>
      <c r="AN177" s="313" t="str">
        <f t="shared" si="15"/>
        <v>T</v>
      </c>
      <c r="AO177" s="314" t="str">
        <f t="shared" si="16"/>
        <v>-</v>
      </c>
      <c r="AP177" s="316">
        <f t="shared" si="17"/>
        <v>1</v>
      </c>
      <c r="AQ177" s="319" t="str">
        <f t="shared" si="18"/>
        <v>-</v>
      </c>
      <c r="AR177" s="320">
        <f t="shared" si="19"/>
        <v>0</v>
      </c>
      <c r="AS177" s="250" t="str">
        <f>IFERROR(__xludf.DUMMYFUNCTION("SUBSTITUTE(SUBSTITUTE(CONCATENATE(JOIN("""",FP177:GA177)),""|"",""x""),""-"",""o"")"),"xoxoxxoxoxxo")</f>
        <v>xoxoxxoxoxxo</v>
      </c>
      <c r="AT177" s="323" t="str">
        <f>IFERROR(__xludf.DUMMYFUNCTION("JOIN("""",AS177,AS177)"),"xoxoxxoxoxxoxoxoxxoxoxxo")</f>
        <v>xoxoxxoxoxxoxoxoxxoxoxxo</v>
      </c>
      <c r="AU177" s="256" t="str">
        <f>IFERROR(__xludf.DUMMYFUNCTION("JOIN("""",ArrayFormula(MID(AS177,LEN(AS177)-SEQUENCE(1,LEN(AS177))+1,1)))"),"oxxoxoxxoxox")</f>
        <v>oxxoxoxxoxox</v>
      </c>
      <c r="AV177" s="256" t="str">
        <f>IFERROR(__xludf.DUMMYFUNCTION("LEFT(CONCATENATE(""x"",JOIN("""",ArrayFormula(MID(AS177,LEN(AS177)-SEQUENCE(1,LEN(AS177))+1,1)))),12)"),"xoxxoxoxxoxo")</f>
        <v>xoxxoxoxxoxo</v>
      </c>
      <c r="AW177" s="327" t="str">
        <f>IFERROR(__xludf.DUMMYFUNCTION("JOIN("""",AU177,AU177)"),"oxxoxoxxoxoxoxxoxoxxoxox")</f>
        <v>oxxoxoxxoxoxoxxoxoxxoxox</v>
      </c>
      <c r="AX177" s="239" t="str">
        <f>IFERROR(__xludf.DUMMYFUNCTION("IF(REGEXMATCH(AW177,AS177),""✔"",""-"")"),"✔")</f>
        <v>✔</v>
      </c>
      <c r="AY177" s="330" t="str">
        <f t="shared" si="20"/>
        <v>-</v>
      </c>
      <c r="AZ177" s="260" t="str">
        <f t="shared" si="21"/>
        <v>#REF!</v>
      </c>
      <c r="BA177" s="333" t="str">
        <f t="shared" si="22"/>
        <v>xoxoxxo</v>
      </c>
      <c r="BB177" s="334" t="str">
        <f t="shared" si="23"/>
        <v>xoxxox</v>
      </c>
      <c r="BC177" s="335" t="str">
        <f t="shared" si="236"/>
        <v>-</v>
      </c>
      <c r="BD177" s="336" t="str">
        <f t="shared" si="25"/>
        <v>Khamaj: 'xoxoxxo' + 'xoxxox'</v>
      </c>
      <c r="BE177" s="337">
        <f>IFERROR(__xludf.DUMMYFUNCTION("COUNTUNIQUE(FILTER(AT:AT,REGEXMATCH(AT:AT,AS177)))-1"),6.0)</f>
        <v>6</v>
      </c>
      <c r="BF177" s="261" t="str">
        <f>IFERROR(__xludf.DUMMYFUNCTION("IF(BI177=0,""(n/a)"",IF(BJ177=2,""(PAIR)"",IF(REGEXMATCH(AT177,""xoxoxxoxoxox""),""Bilawal"",IF(REGEXMATCH(AT177,""xoxoxooxoxoo""),""Bhupali"",IF(REGEXMATCH(AT177,""xoxoxxoxxoxo""),""Charukeshi"",IF(REGEXMATCH(AT177,""xoxoooxxoxxo""),""Kameshwari"",IF(REG"&amp;"EXMATCH(AT177,""xoxoxooxoxox""),""Shankara"",IF(REGEXMATCH(AT177,""xxooxoxxxoox""),""Basant"",IF(REGEXMATCH(AT177,""xoxoxxxxoxox""),""Bihag"",IF(REGEXMATCH(AT177,""xoxxxxoxoxxx""),""Pilu"",IF(REGEXMATCH(AT177,""xoxxoxoxxoox""),""Kirwani"",IF(REGEXMATCH(AT"&amp;"177,""xoxxoxoxoxxx""),""Mk.Malhar"",IF(REGEXMATCH(AT177,""xxooxxoxxoox""),""Bhairav"",IF(REGEXMATCH(AT177,""xxoxooxxxoox""),""Todi"",IF(REGEXMATCH(AT177,""xxooxoxooxox""),""Marwa"",IF(REGEXMATCH(AT177,""xxoooxoxxooo""),""Gunkali"",IF(REGEXMATCH(AT177,""xo"&amp;"xoxxoxxoox""),""Nat Bhairav"",IF(REGEXMATCH(AT177,""xoxxoooxoxoo""),""Shivranjani"",IF(REGEXMATCH(AT177,""xooxxxoxooxo""),""Jog"",IF(REGEXMATCH(AT177,""xxooxoxoxoox""),""Hemshri"",IF(REGEXMATCH(AT177,""xoooxooxoxxo""),""Kalavati"",IF(REGEXMATCH(AT177,""xx"&amp;"oxoxxoxoox""),""Kedar"",IF(REGEXMATCH(AT177,""xoxxxxoxooxx""),""Gara"",IF(REGEXMATCH(AT177,""xooxoxooxoox""),""Chandrakauns"",IF(REGEXMATCH(AT177,""xoxxxxoxxxox""),""Mand"",IF(REGEXMATCH(AT177,""xoxxxxoxoxox""),""Hanskinkini"",IF(REGEXMATCH(AT177,""xxooxx"&amp;"oxooxo""),""Lilavati"",IF(REGEXMATCH(AT177,""xooxoxoooxox""),""Rajeshwari"",IF(REGEXMATCH(AT177,""xoooxxoxoxxx""),""Khokar"",IF(REGEXMATCH(AT177,""xxooxoxxxxox""),""Maligoura"",""-""))))))))))))))))))))))))))))))"),"Bilawal")</f>
        <v>Bilawal</v>
      </c>
      <c r="BG177" s="239" t="str">
        <f t="shared" si="26"/>
        <v>#REF!</v>
      </c>
      <c r="BH177" s="239">
        <f>IFERROR(__xludf.DUMMYFUNCTION("COUNTUNIQUE(FE177:FO177)-1"),6.0)</f>
        <v>6</v>
      </c>
      <c r="BI177" s="239">
        <f>IFERROR(__xludf.DUMMYFUNCTION("COUNTUNIQUE(FILTER(AT:AT,REGEXMATCH(AT:AT,AS177)))-1"),6.0)</f>
        <v>6</v>
      </c>
      <c r="BJ177" s="239">
        <f>IFERROR(__xludf.DUMMYFUNCTION("COUNTA(FILTER(AT:AT,REGEXMATCH(AT:AT,AS177)))"),48.0)</f>
        <v>48</v>
      </c>
      <c r="BK177" s="341">
        <f>IFERROR(__xludf.DUMMYFUNCTION("COUNTA(FILTER(AT:AT,REGEXMATCH(AT:AT,AS177)))-AR177"),48.0)</f>
        <v>48</v>
      </c>
      <c r="BL177" s="276" t="str">
        <f>IFERROR(__xludf.DUMMYFUNCTION("IF(AS177=""oooooooooooo"",""-"",IF(REGEXMATCH(AT177,""xx""), ""Hemi."", ""Anhemi.""))"),"Hemi.")</f>
        <v>Hemi.</v>
      </c>
      <c r="BM177" s="282" t="str">
        <f>IFERROR(__xludf.DUMMYFUNCTION("IF(AS177=""oooooooooooo"",""-"",IF(REGEXMATCH(AT177,""xxx""), ""Cohem."", ""-""))"),"-")</f>
        <v>-</v>
      </c>
      <c r="BN177" s="282" t="str">
        <f>IFERROR(__xludf.DUMMYFUNCTION("IF(AS177=""oooooooooooo"",""-"",IF(REGEXMATCH(AT177,""xxxx""), ""Co-Co."", ""-""))"),"-")</f>
        <v>-</v>
      </c>
      <c r="BO177" s="342" t="str">
        <f>IFERROR(__xludf.DUMMYFUNCTION("IF(AS177=""oooooooooooo"",""-"",IF(REGEXMATCH(AT177,""xxxxx""), ""CCC."", ""-""))"),"-")</f>
        <v>-</v>
      </c>
      <c r="BP177" s="344" t="str">
        <f t="shared" si="27"/>
        <v>Khamaj</v>
      </c>
      <c r="BQ177" s="282" t="str">
        <f>IFERROR(__xludf.DUMMYFUNCTION("IF(REGEXMATCH(JOIN(""-"",EU177:FD177),""TRUE""),""✔"",""-"")"),"✔")</f>
        <v>✔</v>
      </c>
      <c r="BR177" s="225">
        <f t="shared" si="28"/>
        <v>1</v>
      </c>
      <c r="BS177" s="345" t="str">
        <f>IFERROR(__xludf.DUMMYFUNCTION("SUBSTITUTE(SUBSTITUTE(SUBSTITUTE(SUBSTITUTE(CONCATENATE(JOIN(""-"",GC177:GO177)),""--"",""-""),""--"",""-""),""--"",""-""),""--"",""-"")"),"1-2-3-4-5-6-b7-8")</f>
        <v>1-2-3-4-5-6-b7-8</v>
      </c>
      <c r="BT177" s="299" t="str">
        <f>IFERROR(__xludf.DUMMYFUNCTION("SUBSTITUTE(SUBSTITUTE(SUBSTITUTE(SUBSTITUTE(CONCATENATE(JOIN(""-"",GP177:HB177)),""--"",""-""),""--"",""-""),""--"",""-""),""--"",""-"")"),"S-R2-G3-M1-P-D2-N2-S")</f>
        <v>S-R2-G3-M1-P-D2-N2-S</v>
      </c>
      <c r="BU177" s="348" t="str">
        <f t="shared" si="29"/>
        <v>C-D-E-F-G-A-Bb-C</v>
      </c>
      <c r="BV177" s="349" t="str">
        <f t="shared" si="30"/>
        <v>SrgMdNS</v>
      </c>
      <c r="BW177" s="350">
        <f t="shared" si="31"/>
        <v>1</v>
      </c>
      <c r="BX177" s="351">
        <f t="shared" si="32"/>
        <v>8</v>
      </c>
      <c r="BY177" s="392"/>
      <c r="BZ177" s="309" t="str">
        <f>IFERROR(__xludf.DUMMYFUNCTION("IF(REGEXMATCH(C177, ""S""), ""x"",""x"")"),"x")</f>
        <v>x</v>
      </c>
      <c r="CA177" s="245" t="str">
        <f>IFERROR(__xludf.DUMMYFUNCTION("IF(REGEXMATCH(C177, ""r""), ""o"",""x"")"),"x")</f>
        <v>x</v>
      </c>
      <c r="CB177" s="246" t="str">
        <f>IFERROR(__xludf.DUMMYFUNCTION("IF(REGEXMATCH(C177, ""R""), ""o"",""x"")"),"o")</f>
        <v>o</v>
      </c>
      <c r="CC177" s="246" t="str">
        <f>IFERROR(__xludf.DUMMYFUNCTION("IF(REGEXMATCH(C177, ""g""), ""o"",""x"")"),"x")</f>
        <v>x</v>
      </c>
      <c r="CD177" s="245" t="str">
        <f>IFERROR(__xludf.DUMMYFUNCTION("IF(REGEXMATCH(C177, ""G""), ""o"",""x"")"),"o")</f>
        <v>o</v>
      </c>
      <c r="CE177" s="245" t="str">
        <f>IFERROR(__xludf.DUMMYFUNCTION("IF(REGEXMATCH(C177, ""m""), ""o"",""x"")"),"o")</f>
        <v>o</v>
      </c>
      <c r="CF177" s="246" t="str">
        <f>IFERROR(__xludf.DUMMYFUNCTION("IF(REGEXMATCH(C177, ""M""), ""o"",""x"")"),"x")</f>
        <v>x</v>
      </c>
      <c r="CG177" s="245" t="str">
        <f>IFERROR(__xludf.DUMMYFUNCTION("IF(REGEXMATCH(C177, ""P""), ""o"",""x"")"),"o")</f>
        <v>o</v>
      </c>
      <c r="CH177" s="246" t="str">
        <f>IFERROR(__xludf.DUMMYFUNCTION("IF(REGEXMATCH(C177, ""d""), ""o"",""x"")"),"x")</f>
        <v>x</v>
      </c>
      <c r="CI177" s="245" t="str">
        <f>IFERROR(__xludf.DUMMYFUNCTION("IF(REGEXMATCH(C177, ""D""), ""o"",""x"")"),"o")</f>
        <v>o</v>
      </c>
      <c r="CJ177" s="245" t="str">
        <f>IFERROR(__xludf.DUMMYFUNCTION("IF(REGEXMATCH(C177, ""n""), ""o"",""x"")"),"o")</f>
        <v>o</v>
      </c>
      <c r="CK177" s="245" t="str">
        <f>IFERROR(__xludf.DUMMYFUNCTION("IF(REGEXMATCH(C177, ""N""), ""o"",""x"")"),"x")</f>
        <v>x</v>
      </c>
      <c r="CL177" s="356" t="str">
        <f>IFERROR(__xludf.DUMMYFUNCTION("IF(REGEXMATCH(C177, ""S""), ""x"",""x"")"),"x")</f>
        <v>x</v>
      </c>
      <c r="CM177" s="357" t="str">
        <f t="shared" si="33"/>
        <v>xxoxooxoxoox</v>
      </c>
      <c r="CN177" s="358">
        <f t="shared" si="34"/>
        <v>1</v>
      </c>
      <c r="CO177" s="246" t="str">
        <f>IFERROR(__xludf.DUMMYFUNCTION("IF(REGEXMATCH($C177, ""S""), ""S"",""S"")"),"S")</f>
        <v>S</v>
      </c>
      <c r="CP177" s="246" t="str">
        <f>IFERROR(__xludf.DUMMYFUNCTION("IF(REGEXMATCH($C177, ""r""), """",""r"")"),"r")</f>
        <v>r</v>
      </c>
      <c r="CQ177" s="246" t="str">
        <f>IFERROR(__xludf.DUMMYFUNCTION("IF(REGEXMATCH($C177, ""R""), """",""R"")"),"")</f>
        <v/>
      </c>
      <c r="CR177" s="246" t="str">
        <f>IFERROR(__xludf.DUMMYFUNCTION("IF(REGEXMATCH($C177, ""g""), """",""g"")"),"g")</f>
        <v>g</v>
      </c>
      <c r="CS177" s="246" t="str">
        <f>IFERROR(__xludf.DUMMYFUNCTION("IF(REGEXMATCH($C177, ""G""), """",""G"")"),"")</f>
        <v/>
      </c>
      <c r="CT177" s="246" t="str">
        <f>IFERROR(__xludf.DUMMYFUNCTION("IF(REGEXMATCH($C177, ""m""), """",""m"")"),"")</f>
        <v/>
      </c>
      <c r="CU177" s="246" t="str">
        <f>IFERROR(__xludf.DUMMYFUNCTION("IF(REGEXMATCH($C177, ""M""), """",""M"")"),"M")</f>
        <v>M</v>
      </c>
      <c r="CV177" s="246" t="str">
        <f>IFERROR(__xludf.DUMMYFUNCTION("IF(REGEXMATCH($C177, ""P""), """",""P"")"),"")</f>
        <v/>
      </c>
      <c r="CW177" s="246" t="str">
        <f>IFERROR(__xludf.DUMMYFUNCTION("IF(REGEXMATCH($C177, ""d""), """",""d"")"),"d")</f>
        <v>d</v>
      </c>
      <c r="CX177" s="246" t="str">
        <f>IFERROR(__xludf.DUMMYFUNCTION("IF(REGEXMATCH($C177, ""D""), """",""D"")"),"")</f>
        <v/>
      </c>
      <c r="CY177" s="246" t="str">
        <f>IFERROR(__xludf.DUMMYFUNCTION("IF(REGEXMATCH($C177, ""n""), """",""n"")"),"")</f>
        <v/>
      </c>
      <c r="CZ177" s="246" t="str">
        <f>IFERROR(__xludf.DUMMYFUNCTION("IF(REGEXMATCH($C177, ""N""), """",""N"")"),"N")</f>
        <v>N</v>
      </c>
      <c r="DA177" s="246" t="str">
        <f>IFERROR(__xludf.DUMMYFUNCTION("IF(REGEXMATCH($C177, ""S""), ""S"",""S"")"),"S")</f>
        <v>S</v>
      </c>
      <c r="DB177" s="362" t="str">
        <f>IFERROR(__xludf.DUMMYFUNCTION("JOIN("""",CO177:DA177,"""","""")"),"SrgMdNS")</f>
        <v>SrgMdNS</v>
      </c>
      <c r="DC177" s="363"/>
      <c r="DD177" s="301" t="str">
        <f t="shared" si="35"/>
        <v>#REF!</v>
      </c>
      <c r="DE177" s="302" t="str">
        <f t="shared" si="36"/>
        <v>#REF!</v>
      </c>
      <c r="DF177" s="301" t="str">
        <f t="shared" ref="DF177:DG177" si="566">SUBSTITUTE(S177,"-","")</f>
        <v>SRGM</v>
      </c>
      <c r="DG177" s="301" t="str">
        <f t="shared" si="566"/>
        <v>PDNS</v>
      </c>
      <c r="DH177" s="302" t="str">
        <f t="shared" si="38"/>
        <v>Bilawal</v>
      </c>
      <c r="DI177" s="301" t="str">
        <f t="shared" si="39"/>
        <v>Hemi.</v>
      </c>
      <c r="DJ177" s="364" t="str">
        <f t="shared" si="40"/>
        <v>-</v>
      </c>
      <c r="DK177" s="306" t="str">
        <f t="shared" si="41"/>
        <v>Khamaj</v>
      </c>
      <c r="DL177" s="366" t="str">
        <f t="shared" si="42"/>
        <v>-</v>
      </c>
      <c r="DM177" s="308" t="str">
        <f t="shared" si="43"/>
        <v>-</v>
      </c>
      <c r="DN177" s="306" t="str">
        <f t="shared" si="44"/>
        <v>-</v>
      </c>
      <c r="DO177" s="306" t="str">
        <f t="shared" si="45"/>
        <v>-</v>
      </c>
      <c r="DP177" s="367" t="str">
        <f t="shared" si="46"/>
        <v>-</v>
      </c>
      <c r="DQ177" s="310" t="str">
        <f t="shared" si="47"/>
        <v>-</v>
      </c>
      <c r="DR177" s="310" t="str">
        <f t="shared" si="48"/>
        <v>-</v>
      </c>
      <c r="DS177" s="310" t="str">
        <f t="shared" si="49"/>
        <v>-</v>
      </c>
      <c r="DT177" s="310" t="str">
        <f t="shared" si="50"/>
        <v>-</v>
      </c>
      <c r="DU177" s="370" t="str">
        <f t="shared" si="51"/>
        <v>-</v>
      </c>
      <c r="DV177" s="306" t="str">
        <f t="shared" si="52"/>
        <v>-</v>
      </c>
      <c r="DW177" s="306" t="str">
        <f t="shared" si="53"/>
        <v>-</v>
      </c>
      <c r="DX177" s="306" t="str">
        <f t="shared" si="54"/>
        <v>-</v>
      </c>
      <c r="DY177" s="306" t="str">
        <f t="shared" si="55"/>
        <v>-</v>
      </c>
      <c r="DZ177" s="306" t="str">
        <f t="shared" si="56"/>
        <v>-</v>
      </c>
      <c r="EA177" s="367" t="str">
        <f t="shared" si="57"/>
        <v>-</v>
      </c>
      <c r="EB177" s="310" t="str">
        <f>IFERROR(__xludf.DUMMYFUNCTION("IF(REGEXMATCH(AW177,AS177),""✔"",""-"")"),"✔")</f>
        <v>✔</v>
      </c>
      <c r="EC177" s="310" t="str">
        <f t="shared" si="58"/>
        <v>#REF!</v>
      </c>
      <c r="ED177" s="370" t="str">
        <f t="shared" si="59"/>
        <v>-</v>
      </c>
      <c r="EE177" s="340" t="str">
        <f t="shared" si="60"/>
        <v>S-R-G-m-P-D-n-S</v>
      </c>
      <c r="EF177" s="371" t="str">
        <f>IFERROR(__xludf.DUMMYFUNCTION("CONCATENATE(JOIN("""",HC177:HO177))"),"SRgmPdnS")</f>
        <v>SRgmPdnS</v>
      </c>
      <c r="EG177" s="372">
        <f t="shared" si="61"/>
        <v>1</v>
      </c>
      <c r="EH177" s="373" t="str">
        <f>IFERROR(__xludf.DUMMYFUNCTION("CONCATENATE(JOIN("""",JC177:JO177))"),"Ga, ")</f>
        <v>Ga, </v>
      </c>
      <c r="EI177" s="322">
        <f t="shared" si="62"/>
        <v>0</v>
      </c>
      <c r="EJ177" s="374" t="str">
        <f>IFERROR(__xludf.DUMMYFUNCTION("CONCATENATE(JOIN("""",KC177:KO177))"),"")</f>
        <v/>
      </c>
      <c r="EK177" s="325" t="str">
        <f t="shared" si="63"/>
        <v>S-R2-G3-M1-P-D2-N2-S</v>
      </c>
      <c r="EL177" s="326" t="str">
        <f t="shared" si="64"/>
        <v>1-2-3-4-5-6-b7-8</v>
      </c>
      <c r="EM177" s="318" t="str">
        <f t="shared" si="65"/>
        <v>#REF!</v>
      </c>
      <c r="EN177" s="328" t="str">
        <f>IFERROR(__xludf.DUMMYFUNCTION("SUBSTITUTE(SUBSTITUTE(SUBSTITUTE(SUBSTITUTE(CONCATENATE(JOIN("" "",HP177:IB177)),""  "","" ""),""  "","" ""),""  "","" ""),""  "","" "")"),"o • o • o o • o • o o • o")</f>
        <v>o • o • o o • o • o o • o</v>
      </c>
      <c r="EO177" s="368" t="str">
        <f t="shared" si="66"/>
        <v>-</v>
      </c>
      <c r="EP177" s="339" t="str">
        <f t="shared" si="67"/>
        <v>-</v>
      </c>
      <c r="EQ177" s="339" t="str">
        <f t="shared" si="68"/>
        <v>Sa-Pa</v>
      </c>
      <c r="ER177" s="339" t="str">
        <f t="shared" si="69"/>
        <v>-</v>
      </c>
      <c r="ES177" s="340" t="str">
        <f t="shared" si="70"/>
        <v>-</v>
      </c>
      <c r="ET177" s="363"/>
      <c r="EU177" s="376" t="b">
        <f>IFERROR(__xludf.DUMMYFUNCTION("arrayformula(sum(--REGEXMATCH(""SRGMPDNS"",split(REGEXREPLACE(C177,""(.)"",""$1~""),""~""))))=len(C177)
"),FALSE)</f>
        <v>0</v>
      </c>
      <c r="EV177" s="290" t="b">
        <f>IFERROR(__xludf.DUMMYFUNCTION("arrayformula(sum(--REGEXMATCH(""SRGmPDNS"",split(REGEXREPLACE(C177,""(.)"",""$1~""),""~""))))=len(C177)"),FALSE)</f>
        <v>0</v>
      </c>
      <c r="EW177" s="290" t="b">
        <f>IFERROR(__xludf.DUMMYFUNCTION("arrayformula(sum(--REGEXMATCH(""SRGmPDnS"",split(REGEXREPLACE(C177,""(.)"",""$1~""),""~""))))=len(C177)"),TRUE)</f>
        <v>1</v>
      </c>
      <c r="EX177" s="290" t="b">
        <f>IFERROR(__xludf.DUMMYFUNCTION("arrayformula(sum(--REGEXMATCH(""SRgmPDnS"",split(REGEXREPLACE(C177,""(.)"",""$1~""),""~""))))=len(C177)"),FALSE)</f>
        <v>0</v>
      </c>
      <c r="EY177" s="290" t="b">
        <f>IFERROR(__xludf.DUMMYFUNCTION("arrayformula(sum(--REGEXMATCH(""SRgmPdnS"",split(REGEXREPLACE(C177,""(.)"",""$1~""),""~""))))=len(C177)"),FALSE)</f>
        <v>0</v>
      </c>
      <c r="EZ177" s="290" t="b">
        <f>IFERROR(__xludf.DUMMYFUNCTION("arrayformula(sum(--REGEXMATCH(""SrgmPdnS"",split(REGEXREPLACE(C177,""(.)"",""$1~""),""~""))))=len(C177)"),FALSE)</f>
        <v>0</v>
      </c>
      <c r="FA177" s="290" t="b">
        <f>IFERROR(__xludf.DUMMYFUNCTION("arrayformula(sum(--REGEXMATCH(""SrGmPdNS"",split(REGEXREPLACE(C177,""(.)"",""$1~""),""~""))))=len(C177)"),FALSE)</f>
        <v>0</v>
      </c>
      <c r="FB177" s="290" t="b">
        <f>IFERROR(__xludf.DUMMYFUNCTION("arrayformula(sum(--REGEXMATCH(""SrGMPDNS"",split(REGEXREPLACE(C177,""(.)"",""$1~""),""~""))))=len(C177)"),FALSE)</f>
        <v>0</v>
      </c>
      <c r="FC177" s="290" t="b">
        <f>IFERROR(__xludf.DUMMYFUNCTION("arrayformula(sum(--REGEXMATCH(""SrGMPdNS"",split(REGEXREPLACE(C177,""(.)"",""$1~""),""~""))))=len(C177)"),FALSE)</f>
        <v>0</v>
      </c>
      <c r="FD177" s="377" t="b">
        <f>IFERROR(__xludf.DUMMYFUNCTION("arrayformula(sum(--REGEXMATCH(""SrgMPdNS"",split(REGEXREPLACE(C177,""(.)"",""$1~""),""~""))))=len(C177)"),FALSE)</f>
        <v>0</v>
      </c>
      <c r="FE177" s="269" t="str">
        <f t="shared" si="71"/>
        <v>-</v>
      </c>
      <c r="FF177" s="269" t="str">
        <f t="shared" si="72"/>
        <v>xoxxoxoxxox</v>
      </c>
      <c r="FG177" s="271" t="str">
        <f t="shared" si="73"/>
        <v>-</v>
      </c>
      <c r="FH177" s="269" t="str">
        <f t="shared" si="74"/>
        <v>xxoxoxxoxox</v>
      </c>
      <c r="FI177" s="271" t="str">
        <f t="shared" si="75"/>
        <v>xoxoxxoxoxo</v>
      </c>
      <c r="FJ177" s="271" t="str">
        <f t="shared" si="76"/>
        <v>-</v>
      </c>
      <c r="FK177" s="271" t="str">
        <f t="shared" si="77"/>
        <v>xoxxoxoxoxx</v>
      </c>
      <c r="FL177" s="271" t="str">
        <f t="shared" si="78"/>
        <v>-</v>
      </c>
      <c r="FM177" s="271" t="str">
        <f t="shared" si="79"/>
        <v>xxoxoxoxxox</v>
      </c>
      <c r="FN177" s="271" t="str">
        <f t="shared" si="80"/>
        <v>xoxoxoxxoxo</v>
      </c>
      <c r="FO177" s="274" t="str">
        <f t="shared" si="81"/>
        <v>-</v>
      </c>
      <c r="FP177" s="234" t="str">
        <f t="shared" si="82"/>
        <v>|</v>
      </c>
      <c r="FQ177" s="236" t="str">
        <f t="shared" si="83"/>
        <v>-</v>
      </c>
      <c r="FR177" s="237" t="str">
        <f t="shared" si="84"/>
        <v>|</v>
      </c>
      <c r="FS177" s="236" t="str">
        <f t="shared" si="85"/>
        <v>-</v>
      </c>
      <c r="FT177" s="237" t="str">
        <f t="shared" si="86"/>
        <v>|</v>
      </c>
      <c r="FU177" s="236" t="str">
        <f t="shared" si="87"/>
        <v>|</v>
      </c>
      <c r="FV177" s="237" t="str">
        <f t="shared" si="88"/>
        <v>-</v>
      </c>
      <c r="FW177" s="236" t="str">
        <f t="shared" si="89"/>
        <v>|</v>
      </c>
      <c r="FX177" s="237" t="str">
        <f t="shared" si="90"/>
        <v>-</v>
      </c>
      <c r="FY177" s="236" t="str">
        <f t="shared" si="91"/>
        <v>|</v>
      </c>
      <c r="FZ177" s="237" t="str">
        <f t="shared" si="92"/>
        <v>|</v>
      </c>
      <c r="GA177" s="236" t="str">
        <f t="shared" si="93"/>
        <v>-</v>
      </c>
      <c r="GB177" s="238" t="str">
        <f t="shared" si="94"/>
        <v>|</v>
      </c>
      <c r="GC177" s="244" t="str">
        <f>IFERROR(__xludf.DUMMYFUNCTION("IF(REGEXMATCH(C177, ""S""), ""1"","""")"),"1")</f>
        <v>1</v>
      </c>
      <c r="GD177" s="245" t="str">
        <f>IFERROR(__xludf.DUMMYFUNCTION("IF(REGEXMATCH(C177, ""r""), ""b2"","""")"),"")</f>
        <v/>
      </c>
      <c r="GE177" s="246" t="str">
        <f>IFERROR(__xludf.DUMMYFUNCTION("IF(REGEXMATCH(C177, ""R""), ""2"","""")"),"2")</f>
        <v>2</v>
      </c>
      <c r="GF177" s="246" t="str">
        <f>IFERROR(__xludf.DUMMYFUNCTION("IF(REGEXMATCH(C177, ""g""), ""b3"","""")"),"")</f>
        <v/>
      </c>
      <c r="GG177" s="245" t="str">
        <f>IFERROR(__xludf.DUMMYFUNCTION("IF(REGEXMATCH(C177, ""G""), ""3"","""")"),"3")</f>
        <v>3</v>
      </c>
      <c r="GH177" s="245" t="str">
        <f>IFERROR(__xludf.DUMMYFUNCTION("IF(REGEXMATCH(C177, ""m""), ""4"","""")"),"4")</f>
        <v>4</v>
      </c>
      <c r="GI177" s="246" t="str">
        <f>IFERROR(__xludf.DUMMYFUNCTION("IF(REGEXMATCH(C177, ""M""), ""#4"","""")"),"")</f>
        <v/>
      </c>
      <c r="GJ177" s="245" t="str">
        <f>IFERROR(__xludf.DUMMYFUNCTION("IF(REGEXMATCH(C177, ""P""), ""5"","""")"),"5")</f>
        <v>5</v>
      </c>
      <c r="GK177" s="246" t="str">
        <f>IFERROR(__xludf.DUMMYFUNCTION("IF(REGEXMATCH(C177, ""d""), ""b6"","""")"),"")</f>
        <v/>
      </c>
      <c r="GL177" s="245" t="str">
        <f>IFERROR(__xludf.DUMMYFUNCTION("IF(REGEXMATCH(C177, ""D""), ""6"","""")"),"6")</f>
        <v>6</v>
      </c>
      <c r="GM177" s="245" t="str">
        <f>IFERROR(__xludf.DUMMYFUNCTION("IF(REGEXMATCH(C177, ""n""), ""b7"","""")"),"b7")</f>
        <v>b7</v>
      </c>
      <c r="GN177" s="246" t="str">
        <f>IFERROR(__xludf.DUMMYFUNCTION("IF(REGEXMATCH(C177, ""N""), ""7"","""")"),"")</f>
        <v/>
      </c>
      <c r="GO177" s="249" t="str">
        <f>IFERROR(__xludf.DUMMYFUNCTION("IF(REGEXMATCH(C177, ""S""), ""8"","""")"),"8")</f>
        <v>8</v>
      </c>
      <c r="GP177" s="244" t="str">
        <f>IFERROR(__xludf.DUMMYFUNCTION("IF(REGEXMATCH(C177, ""S""), ""S"","""")"),"S")</f>
        <v>S</v>
      </c>
      <c r="GQ177" s="294" t="str">
        <f>IFERROR(__xludf.DUMMYFUNCTION("IF(REGEXMATCH(C177, ""r""), ""R1"","""")"),"")</f>
        <v/>
      </c>
      <c r="GR177" s="295" t="str">
        <f>IFERROR(__xludf.DUMMYFUNCTION("IF(REGEXMATCH(C177, ""R""), ""R2"","""")"),"R2")</f>
        <v>R2</v>
      </c>
      <c r="GS177" s="295" t="str">
        <f>IFERROR(__xludf.DUMMYFUNCTION("IF(REGEXMATCH(C177, ""g""), ""G2"","""")"),"")</f>
        <v/>
      </c>
      <c r="GT177" s="294" t="str">
        <f>IFERROR(__xludf.DUMMYFUNCTION("IF(REGEXMATCH(C177, ""G""), ""G3"","""")"),"G3")</f>
        <v>G3</v>
      </c>
      <c r="GU177" s="294" t="str">
        <f>IFERROR(__xludf.DUMMYFUNCTION("IF(REGEXMATCH(C177, ""m""), ""M1"","""")"),"M1")</f>
        <v>M1</v>
      </c>
      <c r="GV177" s="295" t="str">
        <f>IFERROR(__xludf.DUMMYFUNCTION("IF(REGEXMATCH(C177, ""M""), ""M2"","""")"),"")</f>
        <v/>
      </c>
      <c r="GW177" s="294" t="str">
        <f>IFERROR(__xludf.DUMMYFUNCTION("IF(REGEXMATCH(C177, ""P""), ""P"","""")"),"P")</f>
        <v>P</v>
      </c>
      <c r="GX177" s="295" t="str">
        <f>IFERROR(__xludf.DUMMYFUNCTION("IF(REGEXMATCH(C177, ""d""), ""D1"","""")"),"")</f>
        <v/>
      </c>
      <c r="GY177" s="294" t="str">
        <f>IFERROR(__xludf.DUMMYFUNCTION("IF(REGEXMATCH(C177, ""D""), ""D2"","""")"),"D2")</f>
        <v>D2</v>
      </c>
      <c r="GZ177" s="294" t="str">
        <f>IFERROR(__xludf.DUMMYFUNCTION("IF(REGEXMATCH(C177, ""n""), ""N2"","""")"),"N2")</f>
        <v>N2</v>
      </c>
      <c r="HA177" s="295" t="str">
        <f>IFERROR(__xludf.DUMMYFUNCTION("IF(REGEXMATCH(C177, ""N""), ""N3"","""")"),"")</f>
        <v/>
      </c>
      <c r="HB177" s="249" t="str">
        <f>IFERROR(__xludf.DUMMYFUNCTION("IF(REGEXMATCH(C177, ""S""), ""S"","""")"),"S")</f>
        <v>S</v>
      </c>
      <c r="HC177" s="331" t="str">
        <f t="shared" si="95"/>
        <v>S</v>
      </c>
      <c r="HD177" s="332" t="str">
        <f t="shared" si="96"/>
        <v/>
      </c>
      <c r="HE177" s="332" t="str">
        <f t="shared" si="97"/>
        <v>R</v>
      </c>
      <c r="HF177" s="332" t="str">
        <f t="shared" si="98"/>
        <v>g</v>
      </c>
      <c r="HG177" s="332" t="str">
        <f t="shared" si="99"/>
        <v/>
      </c>
      <c r="HH177" s="332" t="str">
        <f t="shared" si="100"/>
        <v>m</v>
      </c>
      <c r="HI177" s="332" t="str">
        <f t="shared" si="101"/>
        <v/>
      </c>
      <c r="HJ177" s="332" t="str">
        <f t="shared" si="102"/>
        <v>P</v>
      </c>
      <c r="HK177" s="332" t="str">
        <f t="shared" si="103"/>
        <v>d</v>
      </c>
      <c r="HL177" s="332" t="str">
        <f t="shared" si="104"/>
        <v/>
      </c>
      <c r="HM177" s="332" t="str">
        <f t="shared" si="105"/>
        <v>n</v>
      </c>
      <c r="HN177" s="332" t="str">
        <f t="shared" si="106"/>
        <v/>
      </c>
      <c r="HO177" s="343" t="str">
        <f t="shared" si="107"/>
        <v>S</v>
      </c>
      <c r="HP177" s="331" t="str">
        <f t="shared" si="108"/>
        <v>o</v>
      </c>
      <c r="HQ177" s="332" t="str">
        <f t="shared" si="109"/>
        <v>•</v>
      </c>
      <c r="HR177" s="332" t="str">
        <f t="shared" si="110"/>
        <v>o</v>
      </c>
      <c r="HS177" s="332" t="str">
        <f t="shared" si="111"/>
        <v>•</v>
      </c>
      <c r="HT177" s="332" t="str">
        <f t="shared" si="112"/>
        <v>o</v>
      </c>
      <c r="HU177" s="332" t="str">
        <f t="shared" si="113"/>
        <v>o</v>
      </c>
      <c r="HV177" s="332" t="str">
        <f t="shared" si="114"/>
        <v>•</v>
      </c>
      <c r="HW177" s="332" t="str">
        <f t="shared" si="115"/>
        <v>o</v>
      </c>
      <c r="HX177" s="332" t="str">
        <f t="shared" si="116"/>
        <v>•</v>
      </c>
      <c r="HY177" s="332" t="str">
        <f t="shared" si="117"/>
        <v>o</v>
      </c>
      <c r="HZ177" s="332" t="str">
        <f t="shared" si="118"/>
        <v>o</v>
      </c>
      <c r="IA177" s="332" t="str">
        <f t="shared" si="119"/>
        <v>•</v>
      </c>
      <c r="IB177" s="338" t="str">
        <f t="shared" si="120"/>
        <v>o</v>
      </c>
      <c r="IC177" s="331" t="str">
        <f t="shared" si="121"/>
        <v>•</v>
      </c>
      <c r="ID177" s="332" t="str">
        <f t="shared" si="122"/>
        <v>o</v>
      </c>
      <c r="IE177" s="332" t="str">
        <f t="shared" si="123"/>
        <v>•</v>
      </c>
      <c r="IF177" s="332" t="str">
        <f t="shared" si="124"/>
        <v>o</v>
      </c>
      <c r="IG177" s="332" t="str">
        <f t="shared" si="125"/>
        <v>•</v>
      </c>
      <c r="IH177" s="332" t="str">
        <f t="shared" si="126"/>
        <v>•</v>
      </c>
      <c r="II177" s="332" t="str">
        <f t="shared" si="127"/>
        <v>o</v>
      </c>
      <c r="IJ177" s="332" t="str">
        <f t="shared" si="128"/>
        <v>•</v>
      </c>
      <c r="IK177" s="332" t="str">
        <f t="shared" si="129"/>
        <v>o</v>
      </c>
      <c r="IL177" s="332" t="str">
        <f t="shared" si="130"/>
        <v>•</v>
      </c>
      <c r="IM177" s="332" t="str">
        <f t="shared" si="131"/>
        <v>•</v>
      </c>
      <c r="IN177" s="332" t="str">
        <f t="shared" si="132"/>
        <v>o</v>
      </c>
      <c r="IO177" s="338" t="str">
        <f t="shared" si="133"/>
        <v>•</v>
      </c>
      <c r="IP177" s="346" t="b">
        <f t="shared" si="134"/>
        <v>0</v>
      </c>
      <c r="IQ177" s="347" t="b">
        <f t="shared" si="135"/>
        <v>0</v>
      </c>
      <c r="IR177" s="347" t="b">
        <f t="shared" si="136"/>
        <v>0</v>
      </c>
      <c r="IS177" s="347" t="b">
        <f t="shared" si="137"/>
        <v>0</v>
      </c>
      <c r="IT177" s="347" t="b">
        <f t="shared" si="138"/>
        <v>1</v>
      </c>
      <c r="IU177" s="347" t="b">
        <f t="shared" si="139"/>
        <v>0</v>
      </c>
      <c r="IV177" s="347" t="b">
        <f t="shared" si="140"/>
        <v>0</v>
      </c>
      <c r="IW177" s="347" t="b">
        <f t="shared" si="141"/>
        <v>0</v>
      </c>
      <c r="IX177" s="347" t="b">
        <f t="shared" si="142"/>
        <v>0</v>
      </c>
      <c r="IY177" s="347" t="b">
        <f t="shared" si="143"/>
        <v>0</v>
      </c>
      <c r="IZ177" s="347" t="b">
        <f t="shared" si="144"/>
        <v>0</v>
      </c>
      <c r="JA177" s="347" t="b">
        <f t="shared" si="145"/>
        <v>0</v>
      </c>
      <c r="JB177" s="353" t="b">
        <f t="shared" si="146"/>
        <v>0</v>
      </c>
      <c r="JC177" s="354" t="str">
        <f t="shared" si="147"/>
        <v/>
      </c>
      <c r="JD177" s="355" t="str">
        <f t="shared" si="148"/>
        <v/>
      </c>
      <c r="JE177" s="355" t="str">
        <f t="shared" si="149"/>
        <v/>
      </c>
      <c r="JF177" s="355" t="str">
        <f t="shared" si="150"/>
        <v/>
      </c>
      <c r="JG177" s="355" t="str">
        <f t="shared" si="151"/>
        <v>Ga, </v>
      </c>
      <c r="JH177" s="355" t="str">
        <f t="shared" si="152"/>
        <v/>
      </c>
      <c r="JI177" s="355" t="str">
        <f t="shared" si="153"/>
        <v/>
      </c>
      <c r="JJ177" s="355" t="str">
        <f t="shared" si="154"/>
        <v/>
      </c>
      <c r="JK177" s="355" t="str">
        <f t="shared" si="155"/>
        <v/>
      </c>
      <c r="JL177" s="355" t="str">
        <f t="shared" si="156"/>
        <v/>
      </c>
      <c r="JM177" s="355" t="str">
        <f t="shared" si="157"/>
        <v/>
      </c>
      <c r="JN177" s="355" t="str">
        <f t="shared" si="158"/>
        <v/>
      </c>
      <c r="JO177" s="359" t="str">
        <f t="shared" si="159"/>
        <v/>
      </c>
      <c r="JP177" s="346" t="b">
        <f t="shared" si="160"/>
        <v>0</v>
      </c>
      <c r="JQ177" s="347" t="b">
        <f t="shared" si="161"/>
        <v>0</v>
      </c>
      <c r="JR177" s="347" t="b">
        <f t="shared" si="162"/>
        <v>0</v>
      </c>
      <c r="JS177" s="347" t="b">
        <f t="shared" si="163"/>
        <v>0</v>
      </c>
      <c r="JT177" s="347" t="b">
        <f t="shared" si="164"/>
        <v>0</v>
      </c>
      <c r="JU177" s="347" t="b">
        <f t="shared" si="165"/>
        <v>0</v>
      </c>
      <c r="JV177" s="347" t="b">
        <f t="shared" si="166"/>
        <v>0</v>
      </c>
      <c r="JW177" s="347" t="b">
        <f t="shared" si="167"/>
        <v>0</v>
      </c>
      <c r="JX177" s="347" t="b">
        <f t="shared" si="168"/>
        <v>0</v>
      </c>
      <c r="JY177" s="347" t="b">
        <f t="shared" si="169"/>
        <v>0</v>
      </c>
      <c r="JZ177" s="347" t="b">
        <f t="shared" si="170"/>
        <v>0</v>
      </c>
      <c r="KA177" s="347" t="b">
        <f t="shared" si="171"/>
        <v>0</v>
      </c>
      <c r="KB177" s="365" t="b">
        <f t="shared" si="172"/>
        <v>0</v>
      </c>
      <c r="KC177" s="354" t="str">
        <f t="shared" si="173"/>
        <v/>
      </c>
      <c r="KD177" s="355" t="str">
        <f t="shared" si="174"/>
        <v/>
      </c>
      <c r="KE177" s="355" t="str">
        <f t="shared" si="175"/>
        <v/>
      </c>
      <c r="KF177" s="355" t="str">
        <f t="shared" si="176"/>
        <v/>
      </c>
      <c r="KG177" s="355" t="str">
        <f t="shared" si="177"/>
        <v/>
      </c>
      <c r="KH177" s="355" t="str">
        <f t="shared" si="178"/>
        <v/>
      </c>
      <c r="KI177" s="355" t="str">
        <f t="shared" si="179"/>
        <v/>
      </c>
      <c r="KJ177" s="355" t="str">
        <f t="shared" si="180"/>
        <v/>
      </c>
      <c r="KK177" s="355" t="str">
        <f t="shared" si="181"/>
        <v/>
      </c>
      <c r="KL177" s="355" t="str">
        <f t="shared" si="182"/>
        <v/>
      </c>
      <c r="KM177" s="355" t="str">
        <f t="shared" si="183"/>
        <v/>
      </c>
      <c r="KN177" s="355" t="str">
        <f t="shared" si="184"/>
        <v/>
      </c>
      <c r="KO177" s="359"/>
      <c r="KP177" s="378"/>
      <c r="KQ177" s="379" t="s">
        <v>1398</v>
      </c>
      <c r="KR177" s="380" t="s">
        <v>1256</v>
      </c>
      <c r="KS177" s="381" t="str">
        <f t="shared" ref="KS177:KS179" si="569">KQ177</f>
        <v>S-G-m-P-D-N-S</v>
      </c>
      <c r="KT177" s="382">
        <f t="shared" si="186"/>
        <v>6</v>
      </c>
      <c r="KU177" s="383">
        <f t="shared" si="187"/>
        <v>6</v>
      </c>
      <c r="KV177" s="381" t="str">
        <f t="shared" si="205"/>
        <v>S-n-D-P-m-G-R-S</v>
      </c>
      <c r="KW177" s="382">
        <f t="shared" si="189"/>
        <v>7</v>
      </c>
      <c r="KX177" s="384">
        <f t="shared" si="190"/>
        <v>7</v>
      </c>
      <c r="KY177" s="382">
        <f t="shared" ref="KY177:KZ177" si="567">KW177-KT177</f>
        <v>1</v>
      </c>
      <c r="KZ177" s="369">
        <f t="shared" si="567"/>
        <v>1</v>
      </c>
      <c r="LA177" s="385" t="str">
        <f t="shared" si="192"/>
        <v>-</v>
      </c>
      <c r="LB177" s="340" t="str">
        <f>IFERROR(__xludf.DUMMYFUNCTION("JOIN("""",ArrayFormula(MID(KS177,LEN(KS177)-SEQUENCE(1,LEN(KS177))+1,1)))"),"S-N-D-P-m-G-S")</f>
        <v>S-N-D-P-m-G-S</v>
      </c>
      <c r="LC177" s="373" t="str">
        <f>IFERROR(__xludf.DUMMYFUNCTION("JOIN("""",ArrayFormula(MID(KV177,LEN(KV177)-SEQUENCE(1,LEN(KV177))+1,1)))"),"S-R-G-m-P-D-n-S")</f>
        <v>S-R-G-m-P-D-n-S</v>
      </c>
      <c r="LD177" s="373" t="str">
        <f t="shared" si="193"/>
        <v>SGmPDNS</v>
      </c>
      <c r="LE177" s="339" t="str">
        <f t="shared" si="194"/>
        <v>SRGmPDnS</v>
      </c>
      <c r="LF177" s="386" t="str">
        <f>IFERROR(__xludf.DUMMYFUNCTION("SUBSTITUTE(SUBSTITUTE(CONCATENATE(JOIN("""",LH177:LT177)),""1"",""""),""2"","""")"),"SRGmPDnNS")</f>
        <v>SRGmPDnNS</v>
      </c>
      <c r="LG177" s="369" t="str">
        <f t="shared" si="195"/>
        <v>-</v>
      </c>
      <c r="LH177" s="387" t="str">
        <f>IFERROR(__xludf.DUMMYFUNCTION("IF(REGEXMATCH(LD177, ""S""), ""S"",IF(REGEXMATCH(LE177, ""S""), ""S"",""""))"),"S")</f>
        <v>S</v>
      </c>
      <c r="LI177" s="299" t="str">
        <f>IFERROR(__xludf.DUMMYFUNCTION("IF(REGEXMATCH(LD177, ""r""), ""r1"",IF(REGEXMATCH(LE177, ""r""), ""r2"",""""))"),"")</f>
        <v/>
      </c>
      <c r="LJ177" s="299" t="str">
        <f>IFERROR(__xludf.DUMMYFUNCTION("IF(REGEXMATCH(LD177, ""R""), ""R1"",IF(REGEXMATCH(LE177, ""R""), ""R2"",""""))"),"R2")</f>
        <v>R2</v>
      </c>
      <c r="LK177" s="299" t="str">
        <f>IFERROR(__xludf.DUMMYFUNCTION("IF(REGEXMATCH(LD177, ""g""), ""g1"",IF(REGEXMATCH(LE177, ""g""), ""g2"",""""))"),"")</f>
        <v/>
      </c>
      <c r="LL177" s="299" t="str">
        <f>IFERROR(__xludf.DUMMYFUNCTION("IF(REGEXMATCH(LD177, ""G""), ""G1"",IF(REGEXMATCH(LE177, ""G""), ""G2"",""""))"),"G1")</f>
        <v>G1</v>
      </c>
      <c r="LM177" s="299" t="str">
        <f>IFERROR(__xludf.DUMMYFUNCTION("IF(REGEXMATCH(LD177, ""m""), ""m1"",IF(REGEXMATCH(LE177, ""m""), ""m2"",""""))"),"m1")</f>
        <v>m1</v>
      </c>
      <c r="LN177" s="299" t="str">
        <f>IFERROR(__xludf.DUMMYFUNCTION("IF(REGEXMATCH(LD177, ""M""), ""M1"",IF(REGEXMATCH(LE177, ""M""), ""M2"",""""))"),"")</f>
        <v/>
      </c>
      <c r="LO177" s="299" t="str">
        <f>IFERROR(__xludf.DUMMYFUNCTION("IF(REGEXMATCH(LD177, ""P""), ""P1"",IF(REGEXMATCH(LE177, ""P""), ""P2"",""""))"),"P1")</f>
        <v>P1</v>
      </c>
      <c r="LP177" s="299" t="str">
        <f>IFERROR(__xludf.DUMMYFUNCTION("IF(REGEXMATCH(LD177, ""d""), ""d1"",IF(REGEXMATCH(LE177, ""d""), ""d2"",""""))"),"")</f>
        <v/>
      </c>
      <c r="LQ177" s="299" t="str">
        <f>IFERROR(__xludf.DUMMYFUNCTION("IF(REGEXMATCH(LD177, ""D""), ""D1"",IF(REGEXMATCH(LE177, ""D""), ""D2"",""""))"),"D1")</f>
        <v>D1</v>
      </c>
      <c r="LR177" s="299" t="str">
        <f>IFERROR(__xludf.DUMMYFUNCTION("IF(REGEXMATCH(LD177, ""n""), ""n1"",IF(REGEXMATCH(LE177, ""n""), ""n2"",""""))"),"n2")</f>
        <v>n2</v>
      </c>
      <c r="LS177" s="299" t="str">
        <f>IFERROR(__xludf.DUMMYFUNCTION("IF(REGEXMATCH(LD177, ""N""), ""N1"",IF(REGEXMATCH(LE177, ""N""), ""N2"",""""))"),"N1")</f>
        <v>N1</v>
      </c>
      <c r="LT177" s="388" t="str">
        <f>IFERROR(__xludf.DUMMYFUNCTION("IF(REGEXMATCH(LD177, ""S""), ""S"",IF(REGEXMATCH(LE177, ""S""), ""S"",""""))"),"S")</f>
        <v>S</v>
      </c>
      <c r="LU177" s="389">
        <f t="shared" si="196"/>
        <v>-1</v>
      </c>
      <c r="LV177" s="378"/>
      <c r="LW177" s="369"/>
      <c r="LX177" s="369"/>
    </row>
    <row r="178" ht="18.0" customHeight="1">
      <c r="A178" s="298" t="s">
        <v>874</v>
      </c>
      <c r="B178" s="222" t="s">
        <v>738</v>
      </c>
      <c r="C178" s="233" t="str">
        <f t="shared" si="7"/>
        <v>SRGmPDnS</v>
      </c>
      <c r="D178" s="234" t="str">
        <f>IFERROR(__xludf.DUMMYFUNCTION("IF(REGEXMATCH(C178, ""S""), ""S"","""")"),"S")</f>
        <v>S</v>
      </c>
      <c r="E178" s="236" t="str">
        <f>IFERROR(__xludf.DUMMYFUNCTION("IF(REGEXMATCH(C178, ""r""), ""r"","""")"),"")</f>
        <v/>
      </c>
      <c r="F178" s="237" t="str">
        <f>IFERROR(__xludf.DUMMYFUNCTION("IF(REGEXMATCH(C178, ""R""), ""R"","""")"),"R")</f>
        <v>R</v>
      </c>
      <c r="G178" s="237" t="str">
        <f>IFERROR(__xludf.DUMMYFUNCTION("IF(REGEXMATCH(C178, ""g""), ""g"","""")"),"")</f>
        <v/>
      </c>
      <c r="H178" s="236" t="str">
        <f>IFERROR(__xludf.DUMMYFUNCTION("IF(REGEXMATCH(C178, ""G""), ""G"","""")"),"G")</f>
        <v>G</v>
      </c>
      <c r="I178" s="236" t="str">
        <f>IFERROR(__xludf.DUMMYFUNCTION("IF(REGEXMATCH(C178, ""m""), ""m"","""")"),"m")</f>
        <v>m</v>
      </c>
      <c r="J178" s="237" t="str">
        <f>IFERROR(__xludf.DUMMYFUNCTION("IF(REGEXMATCH(C178, ""M""), ""M"","""")"),"")</f>
        <v/>
      </c>
      <c r="K178" s="236" t="str">
        <f>IFERROR(__xludf.DUMMYFUNCTION("IF(REGEXMATCH(C178, ""P""), ""P"","""")"),"P")</f>
        <v>P</v>
      </c>
      <c r="L178" s="237" t="str">
        <f>IFERROR(__xludf.DUMMYFUNCTION("IF(REGEXMATCH(C178, ""d""), ""d"","""")"),"")</f>
        <v/>
      </c>
      <c r="M178" s="236" t="str">
        <f>IFERROR(__xludf.DUMMYFUNCTION("IF(REGEXMATCH(C178, ""D""), ""D"","""")"),"D")</f>
        <v>D</v>
      </c>
      <c r="N178" s="236" t="str">
        <f>IFERROR(__xludf.DUMMYFUNCTION("IF(REGEXMATCH(C178, ""n""), ""n"","""")"),"n")</f>
        <v>n</v>
      </c>
      <c r="O178" s="237" t="str">
        <f>IFERROR(__xludf.DUMMYFUNCTION("IF(REGEXMATCH(C178, ""N""), ""N"","""")"),"")</f>
        <v/>
      </c>
      <c r="P178" s="238" t="str">
        <f>IFERROR(__xludf.DUMMYFUNCTION("IF(REGEXMATCH(C178, ""S""), ""S"","""")"),"S")</f>
        <v>S</v>
      </c>
      <c r="Q178" s="239" t="str">
        <f>IFERROR(__xludf.DUMMYFUNCTION("SUBSTITUTE(CONCATENATE(JOIN(""-"",D178:J178)),""-"","""")"),"SRGm")</f>
        <v>SRGm</v>
      </c>
      <c r="R178" s="229" t="str">
        <f>IFERROR(__xludf.DUMMYFUNCTION("SUBSTITUTE(CONCATENATE(JOIN(""-"",K178:P178)),""-"","""")"),"PDnS")</f>
        <v>PDnS</v>
      </c>
      <c r="S178" s="282" t="str">
        <f t="shared" si="8"/>
        <v>S-R-G-M</v>
      </c>
      <c r="T178" s="282" t="str">
        <f t="shared" si="9"/>
        <v>P-D-N-S</v>
      </c>
      <c r="U178" s="237" t="str">
        <f>IFERROR(__xludf.DUMMYFUNCTION("SUBSTITUTE(JOIN(""-"",S178,T178),""--"",""-"")"),"S-R-G-M-P-D-N-S")</f>
        <v>S-R-G-M-P-D-N-S</v>
      </c>
      <c r="V178" s="309" t="str">
        <f t="shared" si="10"/>
        <v>RGmDn</v>
      </c>
      <c r="W178" s="244" t="str">
        <f>IFERROR(__xludf.DUMMYFUNCTION("IF(REGEXMATCH(C178, ""S""), ""0"","""")"),"0")</f>
        <v>0</v>
      </c>
      <c r="X178" s="245" t="str">
        <f>IFERROR(__xludf.DUMMYFUNCTION("IF(REGEXMATCH(C178, ""r""), ""1"","""")"),"")</f>
        <v/>
      </c>
      <c r="Y178" s="246" t="str">
        <f>IFERROR(__xludf.DUMMYFUNCTION("IF(REGEXMATCH(C178, ""R""), ""2"","""")"),"2")</f>
        <v>2</v>
      </c>
      <c r="Z178" s="246" t="str">
        <f>IFERROR(__xludf.DUMMYFUNCTION("IF(REGEXMATCH(C178, ""g""), ""3"","""")"),"")</f>
        <v/>
      </c>
      <c r="AA178" s="245" t="str">
        <f>IFERROR(__xludf.DUMMYFUNCTION("IF(REGEXMATCH(C178, ""G""), ""4"","""")"),"4")</f>
        <v>4</v>
      </c>
      <c r="AB178" s="245" t="str">
        <f>IFERROR(__xludf.DUMMYFUNCTION("IF(REGEXMATCH(C178, ""m""), ""5"","""")"),"5")</f>
        <v>5</v>
      </c>
      <c r="AC178" s="246" t="str">
        <f>IFERROR(__xludf.DUMMYFUNCTION("IF(REGEXMATCH(C178, ""M""), ""6"","""")"),"")</f>
        <v/>
      </c>
      <c r="AD178" s="245" t="str">
        <f>IFERROR(__xludf.DUMMYFUNCTION("IF(REGEXMATCH(C178, ""P""), ""7"","""")"),"7")</f>
        <v>7</v>
      </c>
      <c r="AE178" s="246" t="str">
        <f>IFERROR(__xludf.DUMMYFUNCTION("IF(REGEXMATCH(C178, ""d""), ""8"","""")"),"")</f>
        <v/>
      </c>
      <c r="AF178" s="245" t="str">
        <f>IFERROR(__xludf.DUMMYFUNCTION("IF(REGEXMATCH(C178, ""D""), ""9"","""")"),"9")</f>
        <v>9</v>
      </c>
      <c r="AG178" s="245" t="str">
        <f>IFERROR(__xludf.DUMMYFUNCTION("IF(REGEXMATCH(C178, ""n""), ""10"","""")"),"10")</f>
        <v>10</v>
      </c>
      <c r="AH178" s="246" t="str">
        <f>IFERROR(__xludf.DUMMYFUNCTION("IF(REGEXMATCH(C178, ""N""), ""11"","""")"),"")</f>
        <v/>
      </c>
      <c r="AI178" s="249" t="str">
        <f>IFERROR(__xludf.DUMMYFUNCTION("IF(REGEXMATCH(C178, ""S""), ""0"","""")"),"0")</f>
        <v>0</v>
      </c>
      <c r="AJ178" s="313" t="str">
        <f t="shared" si="11"/>
        <v>-</v>
      </c>
      <c r="AK178" s="313" t="str">
        <f t="shared" si="12"/>
        <v>-</v>
      </c>
      <c r="AL178" s="313" t="str">
        <f t="shared" si="13"/>
        <v>-</v>
      </c>
      <c r="AM178" s="313" t="str">
        <f t="shared" si="14"/>
        <v>-</v>
      </c>
      <c r="AN178" s="313" t="str">
        <f t="shared" si="15"/>
        <v>T</v>
      </c>
      <c r="AO178" s="314" t="str">
        <f t="shared" si="16"/>
        <v>-</v>
      </c>
      <c r="AP178" s="316">
        <f t="shared" si="17"/>
        <v>1</v>
      </c>
      <c r="AQ178" s="319" t="str">
        <f t="shared" si="18"/>
        <v>-</v>
      </c>
      <c r="AR178" s="320">
        <f t="shared" si="19"/>
        <v>0</v>
      </c>
      <c r="AS178" s="250" t="str">
        <f>IFERROR(__xludf.DUMMYFUNCTION("SUBSTITUTE(SUBSTITUTE(CONCATENATE(JOIN("""",FP178:GA178)),""|"",""x""),""-"",""o"")"),"xoxoxxoxoxxo")</f>
        <v>xoxoxxoxoxxo</v>
      </c>
      <c r="AT178" s="323" t="str">
        <f>IFERROR(__xludf.DUMMYFUNCTION("JOIN("""",AS178,AS178)"),"xoxoxxoxoxxoxoxoxxoxoxxo")</f>
        <v>xoxoxxoxoxxoxoxoxxoxoxxo</v>
      </c>
      <c r="AU178" s="256" t="str">
        <f>IFERROR(__xludf.DUMMYFUNCTION("JOIN("""",ArrayFormula(MID(AS178,LEN(AS178)-SEQUENCE(1,LEN(AS178))+1,1)))"),"oxxoxoxxoxox")</f>
        <v>oxxoxoxxoxox</v>
      </c>
      <c r="AV178" s="256" t="str">
        <f>IFERROR(__xludf.DUMMYFUNCTION("LEFT(CONCATENATE(""x"",JOIN("""",ArrayFormula(MID(AS178,LEN(AS178)-SEQUENCE(1,LEN(AS178))+1,1)))),12)"),"xoxxoxoxxoxo")</f>
        <v>xoxxoxoxxoxo</v>
      </c>
      <c r="AW178" s="327" t="str">
        <f>IFERROR(__xludf.DUMMYFUNCTION("JOIN("""",AU178,AU178)"),"oxxoxoxxoxoxoxxoxoxxoxox")</f>
        <v>oxxoxoxxoxoxoxxoxoxxoxox</v>
      </c>
      <c r="AX178" s="239" t="str">
        <f>IFERROR(__xludf.DUMMYFUNCTION("IF(REGEXMATCH(AW178,AS178),""✔"",""-"")"),"✔")</f>
        <v>✔</v>
      </c>
      <c r="AY178" s="330" t="str">
        <f t="shared" si="20"/>
        <v>-</v>
      </c>
      <c r="AZ178" s="260" t="str">
        <f t="shared" si="21"/>
        <v>#REF!</v>
      </c>
      <c r="BA178" s="333" t="str">
        <f t="shared" si="22"/>
        <v>xoxoxxo</v>
      </c>
      <c r="BB178" s="334" t="str">
        <f t="shared" si="23"/>
        <v>xoxxox</v>
      </c>
      <c r="BC178" s="335" t="str">
        <f t="shared" si="236"/>
        <v>-</v>
      </c>
      <c r="BD178" s="336" t="str">
        <f t="shared" si="25"/>
        <v>Khambavati: 'xoxoxxo' + 'xoxxox'</v>
      </c>
      <c r="BE178" s="337">
        <f>IFERROR(__xludf.DUMMYFUNCTION("COUNTUNIQUE(FILTER(AT:AT,REGEXMATCH(AT:AT,AS178)))-1"),6.0)</f>
        <v>6</v>
      </c>
      <c r="BF178" s="261" t="str">
        <f>IFERROR(__xludf.DUMMYFUNCTION("IF(BI178=0,""(n/a)"",IF(BJ178=2,""(PAIR)"",IF(REGEXMATCH(AT178,""xoxoxxoxoxox""),""Bilawal"",IF(REGEXMATCH(AT178,""xoxoxooxoxoo""),""Bhupali"",IF(REGEXMATCH(AT178,""xoxoxxoxxoxo""),""Charukeshi"",IF(REGEXMATCH(AT178,""xoxoooxxoxxo""),""Kameshwari"",IF(REG"&amp;"EXMATCH(AT178,""xoxoxooxoxox""),""Shankara"",IF(REGEXMATCH(AT178,""xxooxoxxxoox""),""Basant"",IF(REGEXMATCH(AT178,""xoxoxxxxoxox""),""Bihag"",IF(REGEXMATCH(AT178,""xoxxxxoxoxxx""),""Pilu"",IF(REGEXMATCH(AT178,""xoxxoxoxxoox""),""Kirwani"",IF(REGEXMATCH(AT"&amp;"178,""xoxxoxoxoxxx""),""Mk.Malhar"",IF(REGEXMATCH(AT178,""xxooxxoxxoox""),""Bhairav"",IF(REGEXMATCH(AT178,""xxoxooxxxoox""),""Todi"",IF(REGEXMATCH(AT178,""xxooxoxooxox""),""Marwa"",IF(REGEXMATCH(AT178,""xxoooxoxxooo""),""Gunkali"",IF(REGEXMATCH(AT178,""xo"&amp;"xoxxoxxoox""),""Nat Bhairav"",IF(REGEXMATCH(AT178,""xoxxoooxoxoo""),""Shivranjani"",IF(REGEXMATCH(AT178,""xooxxxoxooxo""),""Jog"",IF(REGEXMATCH(AT178,""xxooxoxoxoox""),""Hemshri"",IF(REGEXMATCH(AT178,""xoooxooxoxxo""),""Kalavati"",IF(REGEXMATCH(AT178,""xx"&amp;"oxoxxoxoox""),""Kedar"",IF(REGEXMATCH(AT178,""xoxxxxoxooxx""),""Gara"",IF(REGEXMATCH(AT178,""xooxoxooxoox""),""Chandrakauns"",IF(REGEXMATCH(AT178,""xoxxxxoxxxox""),""Mand"",IF(REGEXMATCH(AT178,""xoxxxxoxoxox""),""Hanskinkini"",IF(REGEXMATCH(AT178,""xxooxx"&amp;"oxooxo""),""Lilavati"",IF(REGEXMATCH(AT178,""xooxoxoooxox""),""Rajeshwari"",IF(REGEXMATCH(AT178,""xoooxxoxoxxx""),""Khokar"",IF(REGEXMATCH(AT178,""xxooxoxxxxox""),""Maligoura"",""-""))))))))))))))))))))))))))))))"),"Bilawal")</f>
        <v>Bilawal</v>
      </c>
      <c r="BG178" s="239" t="str">
        <f t="shared" si="26"/>
        <v>#REF!</v>
      </c>
      <c r="BH178" s="239">
        <f>IFERROR(__xludf.DUMMYFUNCTION("COUNTUNIQUE(FE178:FO178)-1"),6.0)</f>
        <v>6</v>
      </c>
      <c r="BI178" s="239">
        <f>IFERROR(__xludf.DUMMYFUNCTION("COUNTUNIQUE(FILTER(AT:AT,REGEXMATCH(AT:AT,AS178)))-1"),6.0)</f>
        <v>6</v>
      </c>
      <c r="BJ178" s="239">
        <f>IFERROR(__xludf.DUMMYFUNCTION("COUNTA(FILTER(AT:AT,REGEXMATCH(AT:AT,AS178)))"),48.0)</f>
        <v>48</v>
      </c>
      <c r="BK178" s="341">
        <f>IFERROR(__xludf.DUMMYFUNCTION("COUNTA(FILTER(AT:AT,REGEXMATCH(AT:AT,AS178)))-AR178"),48.0)</f>
        <v>48</v>
      </c>
      <c r="BL178" s="276" t="str">
        <f>IFERROR(__xludf.DUMMYFUNCTION("IF(AS178=""oooooooooooo"",""-"",IF(REGEXMATCH(AT178,""xx""), ""Hemi."", ""Anhemi.""))"),"Hemi.")</f>
        <v>Hemi.</v>
      </c>
      <c r="BM178" s="282" t="str">
        <f>IFERROR(__xludf.DUMMYFUNCTION("IF(AS178=""oooooooooooo"",""-"",IF(REGEXMATCH(AT178,""xxx""), ""Cohem."", ""-""))"),"-")</f>
        <v>-</v>
      </c>
      <c r="BN178" s="282" t="str">
        <f>IFERROR(__xludf.DUMMYFUNCTION("IF(AS178=""oooooooooooo"",""-"",IF(REGEXMATCH(AT178,""xxxx""), ""Co-Co."", ""-""))"),"-")</f>
        <v>-</v>
      </c>
      <c r="BO178" s="342" t="str">
        <f>IFERROR(__xludf.DUMMYFUNCTION("IF(AS178=""oooooooooooo"",""-"",IF(REGEXMATCH(AT178,""xxxxx""), ""CCC."", ""-""))"),"-")</f>
        <v>-</v>
      </c>
      <c r="BP178" s="344" t="str">
        <f t="shared" si="27"/>
        <v>Khamaj</v>
      </c>
      <c r="BQ178" s="282" t="str">
        <f>IFERROR(__xludf.DUMMYFUNCTION("IF(REGEXMATCH(JOIN(""-"",EU178:FD178),""TRUE""),""✔"",""-"")"),"✔")</f>
        <v>✔</v>
      </c>
      <c r="BR178" s="225">
        <f t="shared" si="28"/>
        <v>1</v>
      </c>
      <c r="BS178" s="345" t="str">
        <f>IFERROR(__xludf.DUMMYFUNCTION("SUBSTITUTE(SUBSTITUTE(SUBSTITUTE(SUBSTITUTE(CONCATENATE(JOIN(""-"",GC178:GO178)),""--"",""-""),""--"",""-""),""--"",""-""),""--"",""-"")"),"1-2-3-4-5-6-b7-8")</f>
        <v>1-2-3-4-5-6-b7-8</v>
      </c>
      <c r="BT178" s="299" t="str">
        <f>IFERROR(__xludf.DUMMYFUNCTION("SUBSTITUTE(SUBSTITUTE(SUBSTITUTE(SUBSTITUTE(CONCATENATE(JOIN(""-"",GP178:HB178)),""--"",""-""),""--"",""-""),""--"",""-""),""--"",""-"")"),"S-R2-G3-M1-P-D2-N2-S")</f>
        <v>S-R2-G3-M1-P-D2-N2-S</v>
      </c>
      <c r="BU178" s="348" t="str">
        <f t="shared" si="29"/>
        <v>C-D-E-F-G-A-Bb-C</v>
      </c>
      <c r="BV178" s="349" t="str">
        <f t="shared" si="30"/>
        <v>SrgMdNS</v>
      </c>
      <c r="BW178" s="350">
        <f t="shared" si="31"/>
        <v>1</v>
      </c>
      <c r="BX178" s="351">
        <f t="shared" si="32"/>
        <v>8</v>
      </c>
      <c r="BY178" s="392"/>
      <c r="BZ178" s="309" t="str">
        <f>IFERROR(__xludf.DUMMYFUNCTION("IF(REGEXMATCH(C178, ""S""), ""x"",""x"")"),"x")</f>
        <v>x</v>
      </c>
      <c r="CA178" s="245" t="str">
        <f>IFERROR(__xludf.DUMMYFUNCTION("IF(REGEXMATCH(C178, ""r""), ""o"",""x"")"),"x")</f>
        <v>x</v>
      </c>
      <c r="CB178" s="246" t="str">
        <f>IFERROR(__xludf.DUMMYFUNCTION("IF(REGEXMATCH(C178, ""R""), ""o"",""x"")"),"o")</f>
        <v>o</v>
      </c>
      <c r="CC178" s="246" t="str">
        <f>IFERROR(__xludf.DUMMYFUNCTION("IF(REGEXMATCH(C178, ""g""), ""o"",""x"")"),"x")</f>
        <v>x</v>
      </c>
      <c r="CD178" s="245" t="str">
        <f>IFERROR(__xludf.DUMMYFUNCTION("IF(REGEXMATCH(C178, ""G""), ""o"",""x"")"),"o")</f>
        <v>o</v>
      </c>
      <c r="CE178" s="245" t="str">
        <f>IFERROR(__xludf.DUMMYFUNCTION("IF(REGEXMATCH(C178, ""m""), ""o"",""x"")"),"o")</f>
        <v>o</v>
      </c>
      <c r="CF178" s="246" t="str">
        <f>IFERROR(__xludf.DUMMYFUNCTION("IF(REGEXMATCH(C178, ""M""), ""o"",""x"")"),"x")</f>
        <v>x</v>
      </c>
      <c r="CG178" s="245" t="str">
        <f>IFERROR(__xludf.DUMMYFUNCTION("IF(REGEXMATCH(C178, ""P""), ""o"",""x"")"),"o")</f>
        <v>o</v>
      </c>
      <c r="CH178" s="246" t="str">
        <f>IFERROR(__xludf.DUMMYFUNCTION("IF(REGEXMATCH(C178, ""d""), ""o"",""x"")"),"x")</f>
        <v>x</v>
      </c>
      <c r="CI178" s="245" t="str">
        <f>IFERROR(__xludf.DUMMYFUNCTION("IF(REGEXMATCH(C178, ""D""), ""o"",""x"")"),"o")</f>
        <v>o</v>
      </c>
      <c r="CJ178" s="245" t="str">
        <f>IFERROR(__xludf.DUMMYFUNCTION("IF(REGEXMATCH(C178, ""n""), ""o"",""x"")"),"o")</f>
        <v>o</v>
      </c>
      <c r="CK178" s="245" t="str">
        <f>IFERROR(__xludf.DUMMYFUNCTION("IF(REGEXMATCH(C178, ""N""), ""o"",""x"")"),"x")</f>
        <v>x</v>
      </c>
      <c r="CL178" s="356" t="str">
        <f>IFERROR(__xludf.DUMMYFUNCTION("IF(REGEXMATCH(C178, ""S""), ""x"",""x"")"),"x")</f>
        <v>x</v>
      </c>
      <c r="CM178" s="357" t="str">
        <f t="shared" si="33"/>
        <v>xxoxooxoxoox</v>
      </c>
      <c r="CN178" s="358">
        <f t="shared" si="34"/>
        <v>1</v>
      </c>
      <c r="CO178" s="246" t="str">
        <f>IFERROR(__xludf.DUMMYFUNCTION("IF(REGEXMATCH($C178, ""S""), ""S"",""S"")"),"S")</f>
        <v>S</v>
      </c>
      <c r="CP178" s="246" t="str">
        <f>IFERROR(__xludf.DUMMYFUNCTION("IF(REGEXMATCH($C178, ""r""), """",""r"")"),"r")</f>
        <v>r</v>
      </c>
      <c r="CQ178" s="246" t="str">
        <f>IFERROR(__xludf.DUMMYFUNCTION("IF(REGEXMATCH($C178, ""R""), """",""R"")"),"")</f>
        <v/>
      </c>
      <c r="CR178" s="246" t="str">
        <f>IFERROR(__xludf.DUMMYFUNCTION("IF(REGEXMATCH($C178, ""g""), """",""g"")"),"g")</f>
        <v>g</v>
      </c>
      <c r="CS178" s="246" t="str">
        <f>IFERROR(__xludf.DUMMYFUNCTION("IF(REGEXMATCH($C178, ""G""), """",""G"")"),"")</f>
        <v/>
      </c>
      <c r="CT178" s="246" t="str">
        <f>IFERROR(__xludf.DUMMYFUNCTION("IF(REGEXMATCH($C178, ""m""), """",""m"")"),"")</f>
        <v/>
      </c>
      <c r="CU178" s="246" t="str">
        <f>IFERROR(__xludf.DUMMYFUNCTION("IF(REGEXMATCH($C178, ""M""), """",""M"")"),"M")</f>
        <v>M</v>
      </c>
      <c r="CV178" s="246" t="str">
        <f>IFERROR(__xludf.DUMMYFUNCTION("IF(REGEXMATCH($C178, ""P""), """",""P"")"),"")</f>
        <v/>
      </c>
      <c r="CW178" s="246" t="str">
        <f>IFERROR(__xludf.DUMMYFUNCTION("IF(REGEXMATCH($C178, ""d""), """",""d"")"),"d")</f>
        <v>d</v>
      </c>
      <c r="CX178" s="246" t="str">
        <f>IFERROR(__xludf.DUMMYFUNCTION("IF(REGEXMATCH($C178, ""D""), """",""D"")"),"")</f>
        <v/>
      </c>
      <c r="CY178" s="246" t="str">
        <f>IFERROR(__xludf.DUMMYFUNCTION("IF(REGEXMATCH($C178, ""n""), """",""n"")"),"")</f>
        <v/>
      </c>
      <c r="CZ178" s="246" t="str">
        <f>IFERROR(__xludf.DUMMYFUNCTION("IF(REGEXMATCH($C178, ""N""), """",""N"")"),"N")</f>
        <v>N</v>
      </c>
      <c r="DA178" s="246" t="str">
        <f>IFERROR(__xludf.DUMMYFUNCTION("IF(REGEXMATCH($C178, ""S""), ""S"",""S"")"),"S")</f>
        <v>S</v>
      </c>
      <c r="DB178" s="362" t="str">
        <f>IFERROR(__xludf.DUMMYFUNCTION("JOIN("""",CO178:DA178,"""","""")"),"SrgMdNS")</f>
        <v>SrgMdNS</v>
      </c>
      <c r="DC178" s="363"/>
      <c r="DD178" s="301" t="str">
        <f t="shared" si="35"/>
        <v>#REF!</v>
      </c>
      <c r="DE178" s="302" t="str">
        <f t="shared" si="36"/>
        <v>#REF!</v>
      </c>
      <c r="DF178" s="301" t="str">
        <f t="shared" ref="DF178:DG178" si="568">SUBSTITUTE(S178,"-","")</f>
        <v>SRGM</v>
      </c>
      <c r="DG178" s="301" t="str">
        <f t="shared" si="568"/>
        <v>PDNS</v>
      </c>
      <c r="DH178" s="302" t="str">
        <f t="shared" si="38"/>
        <v>Bilawal</v>
      </c>
      <c r="DI178" s="301" t="str">
        <f t="shared" si="39"/>
        <v>Hemi.</v>
      </c>
      <c r="DJ178" s="364" t="str">
        <f t="shared" si="40"/>
        <v>-</v>
      </c>
      <c r="DK178" s="306" t="str">
        <f t="shared" si="41"/>
        <v>Khamaj</v>
      </c>
      <c r="DL178" s="366" t="str">
        <f t="shared" si="42"/>
        <v>-</v>
      </c>
      <c r="DM178" s="308" t="str">
        <f t="shared" si="43"/>
        <v>-</v>
      </c>
      <c r="DN178" s="306" t="str">
        <f t="shared" si="44"/>
        <v>-</v>
      </c>
      <c r="DO178" s="306" t="str">
        <f t="shared" si="45"/>
        <v>-</v>
      </c>
      <c r="DP178" s="367" t="str">
        <f t="shared" si="46"/>
        <v>-</v>
      </c>
      <c r="DQ178" s="310" t="str">
        <f t="shared" si="47"/>
        <v>-</v>
      </c>
      <c r="DR178" s="310" t="str">
        <f t="shared" si="48"/>
        <v>-</v>
      </c>
      <c r="DS178" s="310" t="str">
        <f t="shared" si="49"/>
        <v>-</v>
      </c>
      <c r="DT178" s="310" t="str">
        <f t="shared" si="50"/>
        <v>-</v>
      </c>
      <c r="DU178" s="370" t="str">
        <f t="shared" si="51"/>
        <v>-</v>
      </c>
      <c r="DV178" s="306" t="str">
        <f t="shared" si="52"/>
        <v>-</v>
      </c>
      <c r="DW178" s="306" t="str">
        <f t="shared" si="53"/>
        <v>-</v>
      </c>
      <c r="DX178" s="306" t="str">
        <f t="shared" si="54"/>
        <v>-</v>
      </c>
      <c r="DY178" s="306" t="str">
        <f t="shared" si="55"/>
        <v>-</v>
      </c>
      <c r="DZ178" s="306" t="str">
        <f t="shared" si="56"/>
        <v>-</v>
      </c>
      <c r="EA178" s="367" t="str">
        <f t="shared" si="57"/>
        <v>-</v>
      </c>
      <c r="EB178" s="310" t="str">
        <f>IFERROR(__xludf.DUMMYFUNCTION("IF(REGEXMATCH(AW178,AS178),""✔"",""-"")"),"✔")</f>
        <v>✔</v>
      </c>
      <c r="EC178" s="310" t="str">
        <f t="shared" si="58"/>
        <v>#REF!</v>
      </c>
      <c r="ED178" s="370" t="str">
        <f t="shared" si="59"/>
        <v>-</v>
      </c>
      <c r="EE178" s="340" t="str">
        <f t="shared" si="60"/>
        <v>S-R-G-m-P-D-n-S</v>
      </c>
      <c r="EF178" s="371" t="str">
        <f>IFERROR(__xludf.DUMMYFUNCTION("CONCATENATE(JOIN("""",HC178:HO178))"),"SRgmPdnS")</f>
        <v>SRgmPdnS</v>
      </c>
      <c r="EG178" s="372">
        <f t="shared" si="61"/>
        <v>1</v>
      </c>
      <c r="EH178" s="373" t="str">
        <f>IFERROR(__xludf.DUMMYFUNCTION("CONCATENATE(JOIN("""",JC178:JO178))"),"Ga, ")</f>
        <v>Ga, </v>
      </c>
      <c r="EI178" s="322">
        <f t="shared" si="62"/>
        <v>0</v>
      </c>
      <c r="EJ178" s="374" t="str">
        <f>IFERROR(__xludf.DUMMYFUNCTION("CONCATENATE(JOIN("""",KC178:KO178))"),"")</f>
        <v/>
      </c>
      <c r="EK178" s="325" t="str">
        <f t="shared" si="63"/>
        <v>S-R2-G3-M1-P-D2-N2-S</v>
      </c>
      <c r="EL178" s="326" t="str">
        <f t="shared" si="64"/>
        <v>1-2-3-4-5-6-b7-8</v>
      </c>
      <c r="EM178" s="318" t="str">
        <f t="shared" si="65"/>
        <v>#REF!</v>
      </c>
      <c r="EN178" s="328" t="str">
        <f>IFERROR(__xludf.DUMMYFUNCTION("SUBSTITUTE(SUBSTITUTE(SUBSTITUTE(SUBSTITUTE(CONCATENATE(JOIN("" "",HP178:IB178)),""  "","" ""),""  "","" ""),""  "","" ""),""  "","" "")"),"o • o • o o • o • o o • o")</f>
        <v>o • o • o o • o • o o • o</v>
      </c>
      <c r="EO178" s="368" t="str">
        <f t="shared" si="66"/>
        <v>-</v>
      </c>
      <c r="EP178" s="339" t="str">
        <f t="shared" si="67"/>
        <v>-</v>
      </c>
      <c r="EQ178" s="339" t="str">
        <f t="shared" si="68"/>
        <v>Sa-Pa</v>
      </c>
      <c r="ER178" s="339" t="str">
        <f t="shared" si="69"/>
        <v>-</v>
      </c>
      <c r="ES178" s="340" t="str">
        <f t="shared" si="70"/>
        <v>-</v>
      </c>
      <c r="ET178" s="363"/>
      <c r="EU178" s="376" t="b">
        <f>IFERROR(__xludf.DUMMYFUNCTION("arrayformula(sum(--REGEXMATCH(""SRGMPDNS"",split(REGEXREPLACE(C178,""(.)"",""$1~""),""~""))))=len(C178)
"),FALSE)</f>
        <v>0</v>
      </c>
      <c r="EV178" s="290" t="b">
        <f>IFERROR(__xludf.DUMMYFUNCTION("arrayformula(sum(--REGEXMATCH(""SRGmPDNS"",split(REGEXREPLACE(C178,""(.)"",""$1~""),""~""))))=len(C178)"),FALSE)</f>
        <v>0</v>
      </c>
      <c r="EW178" s="290" t="b">
        <f>IFERROR(__xludf.DUMMYFUNCTION("arrayformula(sum(--REGEXMATCH(""SRGmPDnS"",split(REGEXREPLACE(C178,""(.)"",""$1~""),""~""))))=len(C178)"),TRUE)</f>
        <v>1</v>
      </c>
      <c r="EX178" s="290" t="b">
        <f>IFERROR(__xludf.DUMMYFUNCTION("arrayformula(sum(--REGEXMATCH(""SRgmPDnS"",split(REGEXREPLACE(C178,""(.)"",""$1~""),""~""))))=len(C178)"),FALSE)</f>
        <v>0</v>
      </c>
      <c r="EY178" s="290" t="b">
        <f>IFERROR(__xludf.DUMMYFUNCTION("arrayformula(sum(--REGEXMATCH(""SRgmPdnS"",split(REGEXREPLACE(C178,""(.)"",""$1~""),""~""))))=len(C178)"),FALSE)</f>
        <v>0</v>
      </c>
      <c r="EZ178" s="290" t="b">
        <f>IFERROR(__xludf.DUMMYFUNCTION("arrayformula(sum(--REGEXMATCH(""SrgmPdnS"",split(REGEXREPLACE(C178,""(.)"",""$1~""),""~""))))=len(C178)"),FALSE)</f>
        <v>0</v>
      </c>
      <c r="FA178" s="290" t="b">
        <f>IFERROR(__xludf.DUMMYFUNCTION("arrayformula(sum(--REGEXMATCH(""SrGmPdNS"",split(REGEXREPLACE(C178,""(.)"",""$1~""),""~""))))=len(C178)"),FALSE)</f>
        <v>0</v>
      </c>
      <c r="FB178" s="290" t="b">
        <f>IFERROR(__xludf.DUMMYFUNCTION("arrayformula(sum(--REGEXMATCH(""SrGMPDNS"",split(REGEXREPLACE(C178,""(.)"",""$1~""),""~""))))=len(C178)"),FALSE)</f>
        <v>0</v>
      </c>
      <c r="FC178" s="290" t="b">
        <f>IFERROR(__xludf.DUMMYFUNCTION("arrayformula(sum(--REGEXMATCH(""SrGMPdNS"",split(REGEXREPLACE(C178,""(.)"",""$1~""),""~""))))=len(C178)"),FALSE)</f>
        <v>0</v>
      </c>
      <c r="FD178" s="377" t="b">
        <f>IFERROR(__xludf.DUMMYFUNCTION("arrayformula(sum(--REGEXMATCH(""SrgMPdNS"",split(REGEXREPLACE(C178,""(.)"",""$1~""),""~""))))=len(C178)"),FALSE)</f>
        <v>0</v>
      </c>
      <c r="FE178" s="269" t="str">
        <f t="shared" si="71"/>
        <v>-</v>
      </c>
      <c r="FF178" s="269" t="str">
        <f t="shared" si="72"/>
        <v>xoxxoxoxxox</v>
      </c>
      <c r="FG178" s="271" t="str">
        <f t="shared" si="73"/>
        <v>-</v>
      </c>
      <c r="FH178" s="269" t="str">
        <f t="shared" si="74"/>
        <v>xxoxoxxoxox</v>
      </c>
      <c r="FI178" s="271" t="str">
        <f t="shared" si="75"/>
        <v>xoxoxxoxoxo</v>
      </c>
      <c r="FJ178" s="271" t="str">
        <f t="shared" si="76"/>
        <v>-</v>
      </c>
      <c r="FK178" s="271" t="str">
        <f t="shared" si="77"/>
        <v>xoxxoxoxoxx</v>
      </c>
      <c r="FL178" s="271" t="str">
        <f t="shared" si="78"/>
        <v>-</v>
      </c>
      <c r="FM178" s="271" t="str">
        <f t="shared" si="79"/>
        <v>xxoxoxoxxox</v>
      </c>
      <c r="FN178" s="271" t="str">
        <f t="shared" si="80"/>
        <v>xoxoxoxxoxo</v>
      </c>
      <c r="FO178" s="274" t="str">
        <f t="shared" si="81"/>
        <v>-</v>
      </c>
      <c r="FP178" s="234" t="str">
        <f t="shared" si="82"/>
        <v>|</v>
      </c>
      <c r="FQ178" s="236" t="str">
        <f t="shared" si="83"/>
        <v>-</v>
      </c>
      <c r="FR178" s="237" t="str">
        <f t="shared" si="84"/>
        <v>|</v>
      </c>
      <c r="FS178" s="236" t="str">
        <f t="shared" si="85"/>
        <v>-</v>
      </c>
      <c r="FT178" s="237" t="str">
        <f t="shared" si="86"/>
        <v>|</v>
      </c>
      <c r="FU178" s="236" t="str">
        <f t="shared" si="87"/>
        <v>|</v>
      </c>
      <c r="FV178" s="237" t="str">
        <f t="shared" si="88"/>
        <v>-</v>
      </c>
      <c r="FW178" s="236" t="str">
        <f t="shared" si="89"/>
        <v>|</v>
      </c>
      <c r="FX178" s="237" t="str">
        <f t="shared" si="90"/>
        <v>-</v>
      </c>
      <c r="FY178" s="236" t="str">
        <f t="shared" si="91"/>
        <v>|</v>
      </c>
      <c r="FZ178" s="237" t="str">
        <f t="shared" si="92"/>
        <v>|</v>
      </c>
      <c r="GA178" s="236" t="str">
        <f t="shared" si="93"/>
        <v>-</v>
      </c>
      <c r="GB178" s="238" t="str">
        <f t="shared" si="94"/>
        <v>|</v>
      </c>
      <c r="GC178" s="244" t="str">
        <f>IFERROR(__xludf.DUMMYFUNCTION("IF(REGEXMATCH(C178, ""S""), ""1"","""")"),"1")</f>
        <v>1</v>
      </c>
      <c r="GD178" s="245" t="str">
        <f>IFERROR(__xludf.DUMMYFUNCTION("IF(REGEXMATCH(C178, ""r""), ""b2"","""")"),"")</f>
        <v/>
      </c>
      <c r="GE178" s="246" t="str">
        <f>IFERROR(__xludf.DUMMYFUNCTION("IF(REGEXMATCH(C178, ""R""), ""2"","""")"),"2")</f>
        <v>2</v>
      </c>
      <c r="GF178" s="246" t="str">
        <f>IFERROR(__xludf.DUMMYFUNCTION("IF(REGEXMATCH(C178, ""g""), ""b3"","""")"),"")</f>
        <v/>
      </c>
      <c r="GG178" s="245" t="str">
        <f>IFERROR(__xludf.DUMMYFUNCTION("IF(REGEXMATCH(C178, ""G""), ""3"","""")"),"3")</f>
        <v>3</v>
      </c>
      <c r="GH178" s="245" t="str">
        <f>IFERROR(__xludf.DUMMYFUNCTION("IF(REGEXMATCH(C178, ""m""), ""4"","""")"),"4")</f>
        <v>4</v>
      </c>
      <c r="GI178" s="246" t="str">
        <f>IFERROR(__xludf.DUMMYFUNCTION("IF(REGEXMATCH(C178, ""M""), ""#4"","""")"),"")</f>
        <v/>
      </c>
      <c r="GJ178" s="245" t="str">
        <f>IFERROR(__xludf.DUMMYFUNCTION("IF(REGEXMATCH(C178, ""P""), ""5"","""")"),"5")</f>
        <v>5</v>
      </c>
      <c r="GK178" s="246" t="str">
        <f>IFERROR(__xludf.DUMMYFUNCTION("IF(REGEXMATCH(C178, ""d""), ""b6"","""")"),"")</f>
        <v/>
      </c>
      <c r="GL178" s="245" t="str">
        <f>IFERROR(__xludf.DUMMYFUNCTION("IF(REGEXMATCH(C178, ""D""), ""6"","""")"),"6")</f>
        <v>6</v>
      </c>
      <c r="GM178" s="245" t="str">
        <f>IFERROR(__xludf.DUMMYFUNCTION("IF(REGEXMATCH(C178, ""n""), ""b7"","""")"),"b7")</f>
        <v>b7</v>
      </c>
      <c r="GN178" s="246" t="str">
        <f>IFERROR(__xludf.DUMMYFUNCTION("IF(REGEXMATCH(C178, ""N""), ""7"","""")"),"")</f>
        <v/>
      </c>
      <c r="GO178" s="249" t="str">
        <f>IFERROR(__xludf.DUMMYFUNCTION("IF(REGEXMATCH(C178, ""S""), ""8"","""")"),"8")</f>
        <v>8</v>
      </c>
      <c r="GP178" s="244" t="str">
        <f>IFERROR(__xludf.DUMMYFUNCTION("IF(REGEXMATCH(C178, ""S""), ""S"","""")"),"S")</f>
        <v>S</v>
      </c>
      <c r="GQ178" s="294" t="str">
        <f>IFERROR(__xludf.DUMMYFUNCTION("IF(REGEXMATCH(C178, ""r""), ""R1"","""")"),"")</f>
        <v/>
      </c>
      <c r="GR178" s="295" t="str">
        <f>IFERROR(__xludf.DUMMYFUNCTION("IF(REGEXMATCH(C178, ""R""), ""R2"","""")"),"R2")</f>
        <v>R2</v>
      </c>
      <c r="GS178" s="295" t="str">
        <f>IFERROR(__xludf.DUMMYFUNCTION("IF(REGEXMATCH(C178, ""g""), ""G2"","""")"),"")</f>
        <v/>
      </c>
      <c r="GT178" s="294" t="str">
        <f>IFERROR(__xludf.DUMMYFUNCTION("IF(REGEXMATCH(C178, ""G""), ""G3"","""")"),"G3")</f>
        <v>G3</v>
      </c>
      <c r="GU178" s="294" t="str">
        <f>IFERROR(__xludf.DUMMYFUNCTION("IF(REGEXMATCH(C178, ""m""), ""M1"","""")"),"M1")</f>
        <v>M1</v>
      </c>
      <c r="GV178" s="295" t="str">
        <f>IFERROR(__xludf.DUMMYFUNCTION("IF(REGEXMATCH(C178, ""M""), ""M2"","""")"),"")</f>
        <v/>
      </c>
      <c r="GW178" s="294" t="str">
        <f>IFERROR(__xludf.DUMMYFUNCTION("IF(REGEXMATCH(C178, ""P""), ""P"","""")"),"P")</f>
        <v>P</v>
      </c>
      <c r="GX178" s="295" t="str">
        <f>IFERROR(__xludf.DUMMYFUNCTION("IF(REGEXMATCH(C178, ""d""), ""D1"","""")"),"")</f>
        <v/>
      </c>
      <c r="GY178" s="294" t="str">
        <f>IFERROR(__xludf.DUMMYFUNCTION("IF(REGEXMATCH(C178, ""D""), ""D2"","""")"),"D2")</f>
        <v>D2</v>
      </c>
      <c r="GZ178" s="294" t="str">
        <f>IFERROR(__xludf.DUMMYFUNCTION("IF(REGEXMATCH(C178, ""n""), ""N2"","""")"),"N2")</f>
        <v>N2</v>
      </c>
      <c r="HA178" s="295" t="str">
        <f>IFERROR(__xludf.DUMMYFUNCTION("IF(REGEXMATCH(C178, ""N""), ""N3"","""")"),"")</f>
        <v/>
      </c>
      <c r="HB178" s="249" t="str">
        <f>IFERROR(__xludf.DUMMYFUNCTION("IF(REGEXMATCH(C178, ""S""), ""S"","""")"),"S")</f>
        <v>S</v>
      </c>
      <c r="HC178" s="331" t="str">
        <f t="shared" si="95"/>
        <v>S</v>
      </c>
      <c r="HD178" s="332" t="str">
        <f t="shared" si="96"/>
        <v/>
      </c>
      <c r="HE178" s="332" t="str">
        <f t="shared" si="97"/>
        <v>R</v>
      </c>
      <c r="HF178" s="332" t="str">
        <f t="shared" si="98"/>
        <v>g</v>
      </c>
      <c r="HG178" s="332" t="str">
        <f t="shared" si="99"/>
        <v/>
      </c>
      <c r="HH178" s="332" t="str">
        <f t="shared" si="100"/>
        <v>m</v>
      </c>
      <c r="HI178" s="332" t="str">
        <f t="shared" si="101"/>
        <v/>
      </c>
      <c r="HJ178" s="332" t="str">
        <f t="shared" si="102"/>
        <v>P</v>
      </c>
      <c r="HK178" s="332" t="str">
        <f t="shared" si="103"/>
        <v>d</v>
      </c>
      <c r="HL178" s="332" t="str">
        <f t="shared" si="104"/>
        <v/>
      </c>
      <c r="HM178" s="332" t="str">
        <f t="shared" si="105"/>
        <v>n</v>
      </c>
      <c r="HN178" s="332" t="str">
        <f t="shared" si="106"/>
        <v/>
      </c>
      <c r="HO178" s="343" t="str">
        <f t="shared" si="107"/>
        <v>S</v>
      </c>
      <c r="HP178" s="331" t="str">
        <f t="shared" si="108"/>
        <v>o</v>
      </c>
      <c r="HQ178" s="332" t="str">
        <f t="shared" si="109"/>
        <v>•</v>
      </c>
      <c r="HR178" s="332" t="str">
        <f t="shared" si="110"/>
        <v>o</v>
      </c>
      <c r="HS178" s="332" t="str">
        <f t="shared" si="111"/>
        <v>•</v>
      </c>
      <c r="HT178" s="332" t="str">
        <f t="shared" si="112"/>
        <v>o</v>
      </c>
      <c r="HU178" s="332" t="str">
        <f t="shared" si="113"/>
        <v>o</v>
      </c>
      <c r="HV178" s="332" t="str">
        <f t="shared" si="114"/>
        <v>•</v>
      </c>
      <c r="HW178" s="332" t="str">
        <f t="shared" si="115"/>
        <v>o</v>
      </c>
      <c r="HX178" s="332" t="str">
        <f t="shared" si="116"/>
        <v>•</v>
      </c>
      <c r="HY178" s="332" t="str">
        <f t="shared" si="117"/>
        <v>o</v>
      </c>
      <c r="HZ178" s="332" t="str">
        <f t="shared" si="118"/>
        <v>o</v>
      </c>
      <c r="IA178" s="332" t="str">
        <f t="shared" si="119"/>
        <v>•</v>
      </c>
      <c r="IB178" s="338" t="str">
        <f t="shared" si="120"/>
        <v>o</v>
      </c>
      <c r="IC178" s="331" t="str">
        <f t="shared" si="121"/>
        <v>•</v>
      </c>
      <c r="ID178" s="332" t="str">
        <f t="shared" si="122"/>
        <v>o</v>
      </c>
      <c r="IE178" s="332" t="str">
        <f t="shared" si="123"/>
        <v>•</v>
      </c>
      <c r="IF178" s="332" t="str">
        <f t="shared" si="124"/>
        <v>o</v>
      </c>
      <c r="IG178" s="332" t="str">
        <f t="shared" si="125"/>
        <v>•</v>
      </c>
      <c r="IH178" s="332" t="str">
        <f t="shared" si="126"/>
        <v>•</v>
      </c>
      <c r="II178" s="332" t="str">
        <f t="shared" si="127"/>
        <v>o</v>
      </c>
      <c r="IJ178" s="332" t="str">
        <f t="shared" si="128"/>
        <v>•</v>
      </c>
      <c r="IK178" s="332" t="str">
        <f t="shared" si="129"/>
        <v>o</v>
      </c>
      <c r="IL178" s="332" t="str">
        <f t="shared" si="130"/>
        <v>•</v>
      </c>
      <c r="IM178" s="332" t="str">
        <f t="shared" si="131"/>
        <v>•</v>
      </c>
      <c r="IN178" s="332" t="str">
        <f t="shared" si="132"/>
        <v>o</v>
      </c>
      <c r="IO178" s="338" t="str">
        <f t="shared" si="133"/>
        <v>•</v>
      </c>
      <c r="IP178" s="346" t="b">
        <f t="shared" si="134"/>
        <v>0</v>
      </c>
      <c r="IQ178" s="347" t="b">
        <f t="shared" si="135"/>
        <v>0</v>
      </c>
      <c r="IR178" s="347" t="b">
        <f t="shared" si="136"/>
        <v>0</v>
      </c>
      <c r="IS178" s="347" t="b">
        <f t="shared" si="137"/>
        <v>0</v>
      </c>
      <c r="IT178" s="347" t="b">
        <f t="shared" si="138"/>
        <v>1</v>
      </c>
      <c r="IU178" s="347" t="b">
        <f t="shared" si="139"/>
        <v>0</v>
      </c>
      <c r="IV178" s="347" t="b">
        <f t="shared" si="140"/>
        <v>0</v>
      </c>
      <c r="IW178" s="347" t="b">
        <f t="shared" si="141"/>
        <v>0</v>
      </c>
      <c r="IX178" s="347" t="b">
        <f t="shared" si="142"/>
        <v>0</v>
      </c>
      <c r="IY178" s="347" t="b">
        <f t="shared" si="143"/>
        <v>0</v>
      </c>
      <c r="IZ178" s="347" t="b">
        <f t="shared" si="144"/>
        <v>0</v>
      </c>
      <c r="JA178" s="347" t="b">
        <f t="shared" si="145"/>
        <v>0</v>
      </c>
      <c r="JB178" s="353" t="b">
        <f t="shared" si="146"/>
        <v>0</v>
      </c>
      <c r="JC178" s="354" t="str">
        <f t="shared" si="147"/>
        <v/>
      </c>
      <c r="JD178" s="355" t="str">
        <f t="shared" si="148"/>
        <v/>
      </c>
      <c r="JE178" s="355" t="str">
        <f t="shared" si="149"/>
        <v/>
      </c>
      <c r="JF178" s="355" t="str">
        <f t="shared" si="150"/>
        <v/>
      </c>
      <c r="JG178" s="355" t="str">
        <f t="shared" si="151"/>
        <v>Ga, </v>
      </c>
      <c r="JH178" s="355" t="str">
        <f t="shared" si="152"/>
        <v/>
      </c>
      <c r="JI178" s="355" t="str">
        <f t="shared" si="153"/>
        <v/>
      </c>
      <c r="JJ178" s="355" t="str">
        <f t="shared" si="154"/>
        <v/>
      </c>
      <c r="JK178" s="355" t="str">
        <f t="shared" si="155"/>
        <v/>
      </c>
      <c r="JL178" s="355" t="str">
        <f t="shared" si="156"/>
        <v/>
      </c>
      <c r="JM178" s="355" t="str">
        <f t="shared" si="157"/>
        <v/>
      </c>
      <c r="JN178" s="355" t="str">
        <f t="shared" si="158"/>
        <v/>
      </c>
      <c r="JO178" s="359" t="str">
        <f t="shared" si="159"/>
        <v/>
      </c>
      <c r="JP178" s="346" t="b">
        <f t="shared" si="160"/>
        <v>0</v>
      </c>
      <c r="JQ178" s="347" t="b">
        <f t="shared" si="161"/>
        <v>0</v>
      </c>
      <c r="JR178" s="347" t="b">
        <f t="shared" si="162"/>
        <v>0</v>
      </c>
      <c r="JS178" s="347" t="b">
        <f t="shared" si="163"/>
        <v>0</v>
      </c>
      <c r="JT178" s="347" t="b">
        <f t="shared" si="164"/>
        <v>0</v>
      </c>
      <c r="JU178" s="347" t="b">
        <f t="shared" si="165"/>
        <v>0</v>
      </c>
      <c r="JV178" s="347" t="b">
        <f t="shared" si="166"/>
        <v>0</v>
      </c>
      <c r="JW178" s="347" t="b">
        <f t="shared" si="167"/>
        <v>0</v>
      </c>
      <c r="JX178" s="347" t="b">
        <f t="shared" si="168"/>
        <v>0</v>
      </c>
      <c r="JY178" s="347" t="b">
        <f t="shared" si="169"/>
        <v>0</v>
      </c>
      <c r="JZ178" s="347" t="b">
        <f t="shared" si="170"/>
        <v>0</v>
      </c>
      <c r="KA178" s="347" t="b">
        <f t="shared" si="171"/>
        <v>0</v>
      </c>
      <c r="KB178" s="365" t="b">
        <f t="shared" si="172"/>
        <v>0</v>
      </c>
      <c r="KC178" s="354" t="str">
        <f t="shared" si="173"/>
        <v/>
      </c>
      <c r="KD178" s="355" t="str">
        <f t="shared" si="174"/>
        <v/>
      </c>
      <c r="KE178" s="355" t="str">
        <f t="shared" si="175"/>
        <v/>
      </c>
      <c r="KF178" s="355" t="str">
        <f t="shared" si="176"/>
        <v/>
      </c>
      <c r="KG178" s="355" t="str">
        <f t="shared" si="177"/>
        <v/>
      </c>
      <c r="KH178" s="355" t="str">
        <f t="shared" si="178"/>
        <v/>
      </c>
      <c r="KI178" s="355" t="str">
        <f t="shared" si="179"/>
        <v/>
      </c>
      <c r="KJ178" s="355" t="str">
        <f t="shared" si="180"/>
        <v/>
      </c>
      <c r="KK178" s="355" t="str">
        <f t="shared" si="181"/>
        <v/>
      </c>
      <c r="KL178" s="355" t="str">
        <f t="shared" si="182"/>
        <v/>
      </c>
      <c r="KM178" s="355" t="str">
        <f t="shared" si="183"/>
        <v/>
      </c>
      <c r="KN178" s="355" t="str">
        <f t="shared" si="184"/>
        <v/>
      </c>
      <c r="KO178" s="359"/>
      <c r="KP178" s="378"/>
      <c r="KQ178" s="379" t="s">
        <v>719</v>
      </c>
      <c r="KR178" s="380" t="s">
        <v>1256</v>
      </c>
      <c r="KS178" s="381" t="str">
        <f t="shared" si="569"/>
        <v>S-R-m-P-D-S</v>
      </c>
      <c r="KT178" s="382">
        <f t="shared" si="186"/>
        <v>5</v>
      </c>
      <c r="KU178" s="383">
        <f t="shared" si="187"/>
        <v>5</v>
      </c>
      <c r="KV178" s="381" t="str">
        <f t="shared" si="205"/>
        <v>S-n-D-P-m-G-R-S</v>
      </c>
      <c r="KW178" s="382">
        <f t="shared" si="189"/>
        <v>7</v>
      </c>
      <c r="KX178" s="384">
        <f t="shared" si="190"/>
        <v>7</v>
      </c>
      <c r="KY178" s="382">
        <f t="shared" ref="KY178:KZ178" si="570">KW178-KT178</f>
        <v>2</v>
      </c>
      <c r="KZ178" s="369">
        <f t="shared" si="570"/>
        <v>2</v>
      </c>
      <c r="LA178" s="385" t="str">
        <f t="shared" si="192"/>
        <v>-</v>
      </c>
      <c r="LB178" s="340" t="str">
        <f>IFERROR(__xludf.DUMMYFUNCTION("JOIN("""",ArrayFormula(MID(KS178,LEN(KS178)-SEQUENCE(1,LEN(KS178))+1,1)))"),"S-D-P-m-R-S")</f>
        <v>S-D-P-m-R-S</v>
      </c>
      <c r="LC178" s="373" t="str">
        <f>IFERROR(__xludf.DUMMYFUNCTION("JOIN("""",ArrayFormula(MID(KV178,LEN(KV178)-SEQUENCE(1,LEN(KV178))+1,1)))"),"S-R-G-m-P-D-n-S")</f>
        <v>S-R-G-m-P-D-n-S</v>
      </c>
      <c r="LD178" s="373" t="str">
        <f t="shared" si="193"/>
        <v>SRmPDS</v>
      </c>
      <c r="LE178" s="339" t="str">
        <f t="shared" si="194"/>
        <v>SRGmPDnS</v>
      </c>
      <c r="LF178" s="386" t="str">
        <f>IFERROR(__xludf.DUMMYFUNCTION("SUBSTITUTE(SUBSTITUTE(CONCATENATE(JOIN("""",LH178:LT178)),""1"",""""),""2"","""")"),"SRGmPDnS")</f>
        <v>SRGmPDnS</v>
      </c>
      <c r="LG178" s="369" t="str">
        <f t="shared" si="195"/>
        <v>✔</v>
      </c>
      <c r="LH178" s="387" t="str">
        <f>IFERROR(__xludf.DUMMYFUNCTION("IF(REGEXMATCH(LD178, ""S""), ""S"",IF(REGEXMATCH(LE178, ""S""), ""S"",""""))"),"S")</f>
        <v>S</v>
      </c>
      <c r="LI178" s="299" t="str">
        <f>IFERROR(__xludf.DUMMYFUNCTION("IF(REGEXMATCH(LD178, ""r""), ""r1"",IF(REGEXMATCH(LE178, ""r""), ""r2"",""""))"),"")</f>
        <v/>
      </c>
      <c r="LJ178" s="299" t="str">
        <f>IFERROR(__xludf.DUMMYFUNCTION("IF(REGEXMATCH(LD178, ""R""), ""R1"",IF(REGEXMATCH(LE178, ""R""), ""R2"",""""))"),"R1")</f>
        <v>R1</v>
      </c>
      <c r="LK178" s="299" t="str">
        <f>IFERROR(__xludf.DUMMYFUNCTION("IF(REGEXMATCH(LD178, ""g""), ""g1"",IF(REGEXMATCH(LE178, ""g""), ""g2"",""""))"),"")</f>
        <v/>
      </c>
      <c r="LL178" s="299" t="str">
        <f>IFERROR(__xludf.DUMMYFUNCTION("IF(REGEXMATCH(LD178, ""G""), ""G1"",IF(REGEXMATCH(LE178, ""G""), ""G2"",""""))"),"G2")</f>
        <v>G2</v>
      </c>
      <c r="LM178" s="299" t="str">
        <f>IFERROR(__xludf.DUMMYFUNCTION("IF(REGEXMATCH(LD178, ""m""), ""m1"",IF(REGEXMATCH(LE178, ""m""), ""m2"",""""))"),"m1")</f>
        <v>m1</v>
      </c>
      <c r="LN178" s="299" t="str">
        <f>IFERROR(__xludf.DUMMYFUNCTION("IF(REGEXMATCH(LD178, ""M""), ""M1"",IF(REGEXMATCH(LE178, ""M""), ""M2"",""""))"),"")</f>
        <v/>
      </c>
      <c r="LO178" s="299" t="str">
        <f>IFERROR(__xludf.DUMMYFUNCTION("IF(REGEXMATCH(LD178, ""P""), ""P1"",IF(REGEXMATCH(LE178, ""P""), ""P2"",""""))"),"P1")</f>
        <v>P1</v>
      </c>
      <c r="LP178" s="299" t="str">
        <f>IFERROR(__xludf.DUMMYFUNCTION("IF(REGEXMATCH(LD178, ""d""), ""d1"",IF(REGEXMATCH(LE178, ""d""), ""d2"",""""))"),"")</f>
        <v/>
      </c>
      <c r="LQ178" s="299" t="str">
        <f>IFERROR(__xludf.DUMMYFUNCTION("IF(REGEXMATCH(LD178, ""D""), ""D1"",IF(REGEXMATCH(LE178, ""D""), ""D2"",""""))"),"D1")</f>
        <v>D1</v>
      </c>
      <c r="LR178" s="299" t="str">
        <f>IFERROR(__xludf.DUMMYFUNCTION("IF(REGEXMATCH(LD178, ""n""), ""n1"",IF(REGEXMATCH(LE178, ""n""), ""n2"",""""))"),"n2")</f>
        <v>n2</v>
      </c>
      <c r="LS178" s="299" t="str">
        <f>IFERROR(__xludf.DUMMYFUNCTION("IF(REGEXMATCH(LD178, ""N""), ""N1"",IF(REGEXMATCH(LE178, ""N""), ""N2"",""""))"),"")</f>
        <v/>
      </c>
      <c r="LT178" s="388" t="str">
        <f>IFERROR(__xludf.DUMMYFUNCTION("IF(REGEXMATCH(LD178, ""S""), ""S"",IF(REGEXMATCH(LE178, ""S""), ""S"",""""))"),"S")</f>
        <v>S</v>
      </c>
      <c r="LU178" s="389">
        <f t="shared" si="196"/>
        <v>-3</v>
      </c>
      <c r="LV178" s="378"/>
      <c r="LW178" s="369"/>
      <c r="LX178" s="369"/>
    </row>
    <row r="179" ht="18.0" customHeight="1">
      <c r="A179" s="298" t="s">
        <v>876</v>
      </c>
      <c r="B179" s="222" t="s">
        <v>877</v>
      </c>
      <c r="C179" s="233" t="str">
        <f t="shared" si="7"/>
        <v>SrRgGmPdDnS</v>
      </c>
      <c r="D179" s="234" t="str">
        <f>IFERROR(__xludf.DUMMYFUNCTION("IF(REGEXMATCH(C179, ""S""), ""S"","""")"),"S")</f>
        <v>S</v>
      </c>
      <c r="E179" s="236" t="str">
        <f>IFERROR(__xludf.DUMMYFUNCTION("IF(REGEXMATCH(C179, ""r""), ""r"","""")"),"r")</f>
        <v>r</v>
      </c>
      <c r="F179" s="237" t="str">
        <f>IFERROR(__xludf.DUMMYFUNCTION("IF(REGEXMATCH(C179, ""R""), ""R"","""")"),"R")</f>
        <v>R</v>
      </c>
      <c r="G179" s="237" t="str">
        <f>IFERROR(__xludf.DUMMYFUNCTION("IF(REGEXMATCH(C179, ""g""), ""g"","""")"),"g")</f>
        <v>g</v>
      </c>
      <c r="H179" s="236" t="str">
        <f>IFERROR(__xludf.DUMMYFUNCTION("IF(REGEXMATCH(C179, ""G""), ""G"","""")"),"G")</f>
        <v>G</v>
      </c>
      <c r="I179" s="236" t="str">
        <f>IFERROR(__xludf.DUMMYFUNCTION("IF(REGEXMATCH(C179, ""m""), ""m"","""")"),"m")</f>
        <v>m</v>
      </c>
      <c r="J179" s="237" t="str">
        <f>IFERROR(__xludf.DUMMYFUNCTION("IF(REGEXMATCH(C179, ""M""), ""M"","""")"),"")</f>
        <v/>
      </c>
      <c r="K179" s="236" t="str">
        <f>IFERROR(__xludf.DUMMYFUNCTION("IF(REGEXMATCH(C179, ""P""), ""P"","""")"),"P")</f>
        <v>P</v>
      </c>
      <c r="L179" s="237" t="str">
        <f>IFERROR(__xludf.DUMMYFUNCTION("IF(REGEXMATCH(C179, ""d""), ""d"","""")"),"d")</f>
        <v>d</v>
      </c>
      <c r="M179" s="236" t="str">
        <f>IFERROR(__xludf.DUMMYFUNCTION("IF(REGEXMATCH(C179, ""D""), ""D"","""")"),"D")</f>
        <v>D</v>
      </c>
      <c r="N179" s="236" t="str">
        <f>IFERROR(__xludf.DUMMYFUNCTION("IF(REGEXMATCH(C179, ""n""), ""n"","""")"),"n")</f>
        <v>n</v>
      </c>
      <c r="O179" s="237" t="str">
        <f>IFERROR(__xludf.DUMMYFUNCTION("IF(REGEXMATCH(C179, ""N""), ""N"","""")"),"")</f>
        <v/>
      </c>
      <c r="P179" s="238" t="str">
        <f>IFERROR(__xludf.DUMMYFUNCTION("IF(REGEXMATCH(C179, ""S""), ""S"","""")"),"S")</f>
        <v>S</v>
      </c>
      <c r="Q179" s="239" t="str">
        <f>IFERROR(__xludf.DUMMYFUNCTION("SUBSTITUTE(CONCATENATE(JOIN(""-"",D179:J179)),""-"","""")"),"SrRgGm")</f>
        <v>SrRgGm</v>
      </c>
      <c r="R179" s="229" t="str">
        <f>IFERROR(__xludf.DUMMYFUNCTION("SUBSTITUTE(CONCATENATE(JOIN(""-"",K179:P179)),""-"","""")"),"PdDnS")</f>
        <v>PdDnS</v>
      </c>
      <c r="S179" s="282" t="str">
        <f t="shared" si="8"/>
        <v>S-R-G-M</v>
      </c>
      <c r="T179" s="282" t="str">
        <f t="shared" si="9"/>
        <v>P-D-N-S</v>
      </c>
      <c r="U179" s="237" t="str">
        <f>IFERROR(__xludf.DUMMYFUNCTION("SUBSTITUTE(JOIN(""-"",S179,T179),""--"",""-"")"),"S-R-G-M-P-D-N-S")</f>
        <v>S-R-G-M-P-D-N-S</v>
      </c>
      <c r="V179" s="309" t="str">
        <f t="shared" si="10"/>
        <v>rRgGmdDn</v>
      </c>
      <c r="W179" s="244" t="str">
        <f>IFERROR(__xludf.DUMMYFUNCTION("IF(REGEXMATCH(C179, ""S""), ""0"","""")"),"0")</f>
        <v>0</v>
      </c>
      <c r="X179" s="245" t="str">
        <f>IFERROR(__xludf.DUMMYFUNCTION("IF(REGEXMATCH(C179, ""r""), ""1"","""")"),"1")</f>
        <v>1</v>
      </c>
      <c r="Y179" s="246" t="str">
        <f>IFERROR(__xludf.DUMMYFUNCTION("IF(REGEXMATCH(C179, ""R""), ""2"","""")"),"2")</f>
        <v>2</v>
      </c>
      <c r="Z179" s="246" t="str">
        <f>IFERROR(__xludf.DUMMYFUNCTION("IF(REGEXMATCH(C179, ""g""), ""3"","""")"),"3")</f>
        <v>3</v>
      </c>
      <c r="AA179" s="245" t="str">
        <f>IFERROR(__xludf.DUMMYFUNCTION("IF(REGEXMATCH(C179, ""G""), ""4"","""")"),"4")</f>
        <v>4</v>
      </c>
      <c r="AB179" s="245" t="str">
        <f>IFERROR(__xludf.DUMMYFUNCTION("IF(REGEXMATCH(C179, ""m""), ""5"","""")"),"5")</f>
        <v>5</v>
      </c>
      <c r="AC179" s="246" t="str">
        <f>IFERROR(__xludf.DUMMYFUNCTION("IF(REGEXMATCH(C179, ""M""), ""6"","""")"),"")</f>
        <v/>
      </c>
      <c r="AD179" s="245" t="str">
        <f>IFERROR(__xludf.DUMMYFUNCTION("IF(REGEXMATCH(C179, ""P""), ""7"","""")"),"7")</f>
        <v>7</v>
      </c>
      <c r="AE179" s="246" t="str">
        <f>IFERROR(__xludf.DUMMYFUNCTION("IF(REGEXMATCH(C179, ""d""), ""8"","""")"),"8")</f>
        <v>8</v>
      </c>
      <c r="AF179" s="245" t="str">
        <f>IFERROR(__xludf.DUMMYFUNCTION("IF(REGEXMATCH(C179, ""D""), ""9"","""")"),"9")</f>
        <v>9</v>
      </c>
      <c r="AG179" s="245" t="str">
        <f>IFERROR(__xludf.DUMMYFUNCTION("IF(REGEXMATCH(C179, ""n""), ""10"","""")"),"10")</f>
        <v>10</v>
      </c>
      <c r="AH179" s="246" t="str">
        <f>IFERROR(__xludf.DUMMYFUNCTION("IF(REGEXMATCH(C179, ""N""), ""11"","""")"),"")</f>
        <v/>
      </c>
      <c r="AI179" s="249" t="str">
        <f>IFERROR(__xludf.DUMMYFUNCTION("IF(REGEXMATCH(C179, ""S""), ""0"","""")"),"0")</f>
        <v>0</v>
      </c>
      <c r="AJ179" s="313" t="str">
        <f t="shared" si="11"/>
        <v>-</v>
      </c>
      <c r="AK179" s="313" t="str">
        <f t="shared" si="12"/>
        <v>T</v>
      </c>
      <c r="AL179" s="313" t="str">
        <f t="shared" si="13"/>
        <v>T</v>
      </c>
      <c r="AM179" s="313" t="str">
        <f t="shared" si="14"/>
        <v>T</v>
      </c>
      <c r="AN179" s="313" t="str">
        <f t="shared" si="15"/>
        <v>T</v>
      </c>
      <c r="AO179" s="314" t="str">
        <f t="shared" si="16"/>
        <v>-</v>
      </c>
      <c r="AP179" s="316">
        <f t="shared" si="17"/>
        <v>4</v>
      </c>
      <c r="AQ179" s="319" t="str">
        <f t="shared" si="18"/>
        <v>-</v>
      </c>
      <c r="AR179" s="320">
        <f t="shared" si="19"/>
        <v>0</v>
      </c>
      <c r="AS179" s="250" t="str">
        <f>IFERROR(__xludf.DUMMYFUNCTION("SUBSTITUTE(SUBSTITUTE(CONCATENATE(JOIN("""",FP179:GA179)),""|"",""x""),""-"",""o"")"),"xxxxxxoxxxxo")</f>
        <v>xxxxxxoxxxxo</v>
      </c>
      <c r="AT179" s="323" t="str">
        <f>IFERROR(__xludf.DUMMYFUNCTION("JOIN("""",AS179,AS179)"),"xxxxxxoxxxxoxxxxxxoxxxxo")</f>
        <v>xxxxxxoxxxxoxxxxxxoxxxxo</v>
      </c>
      <c r="AU179" s="256" t="str">
        <f>IFERROR(__xludf.DUMMYFUNCTION("JOIN("""",ArrayFormula(MID(AS179,LEN(AS179)-SEQUENCE(1,LEN(AS179))+1,1)))"),"oxxxxoxxxxxx")</f>
        <v>oxxxxoxxxxxx</v>
      </c>
      <c r="AV179" s="256" t="str">
        <f>IFERROR(__xludf.DUMMYFUNCTION("LEFT(CONCATENATE(""x"",JOIN("""",ArrayFormula(MID(AS179,LEN(AS179)-SEQUENCE(1,LEN(AS179))+1,1)))),12)"),"xoxxxxoxxxxx")</f>
        <v>xoxxxxoxxxxx</v>
      </c>
      <c r="AW179" s="327" t="str">
        <f>IFERROR(__xludf.DUMMYFUNCTION("JOIN("""",AU179,AU179)"),"oxxxxoxxxxxxoxxxxoxxxxxx")</f>
        <v>oxxxxoxxxxxxoxxxxoxxxxxx</v>
      </c>
      <c r="AX179" s="239" t="str">
        <f>IFERROR(__xludf.DUMMYFUNCTION("IF(REGEXMATCH(AW179,AS179),""✔"",""-"")"),"✔")</f>
        <v>✔</v>
      </c>
      <c r="AY179" s="330" t="str">
        <f t="shared" si="20"/>
        <v>-</v>
      </c>
      <c r="AZ179" s="260" t="str">
        <f t="shared" si="21"/>
        <v>#REF!</v>
      </c>
      <c r="BA179" s="333" t="str">
        <f t="shared" si="22"/>
        <v>xxxxxxo</v>
      </c>
      <c r="BB179" s="334" t="str">
        <f t="shared" si="23"/>
        <v>xxxxox</v>
      </c>
      <c r="BC179" s="335" t="str">
        <f t="shared" si="236"/>
        <v>-</v>
      </c>
      <c r="BD179" s="336" t="str">
        <f t="shared" si="25"/>
        <v>Khat: 'xxxxxxo' + 'xxxxox'</v>
      </c>
      <c r="BE179" s="337">
        <f>IFERROR(__xludf.DUMMYFUNCTION("COUNTUNIQUE(FILTER(AT:AT,REGEXMATCH(AT:AT,AS179)))-1"),1.0)</f>
        <v>1</v>
      </c>
      <c r="BF179" s="261" t="str">
        <f>IFERROR(__xludf.DUMMYFUNCTION("IF(BI179=0,""(n/a)"",IF(BJ179=2,""(PAIR)"",IF(REGEXMATCH(AT179,""xoxoxxoxoxox""),""Bilawal"",IF(REGEXMATCH(AT179,""xoxoxooxoxoo""),""Bhupali"",IF(REGEXMATCH(AT179,""xoxoxxoxxoxo""),""Charukeshi"",IF(REGEXMATCH(AT179,""xoxoooxxoxxo""),""Kameshwari"",IF(REG"&amp;"EXMATCH(AT179,""xoxoxooxoxox""),""Shankara"",IF(REGEXMATCH(AT179,""xxooxoxxxoox""),""Basant"",IF(REGEXMATCH(AT179,""xoxoxxxxoxox""),""Bihag"",IF(REGEXMATCH(AT179,""xoxxxxoxoxxx""),""Pilu"",IF(REGEXMATCH(AT179,""xoxxoxoxxoox""),""Kirwani"",IF(REGEXMATCH(AT"&amp;"179,""xoxxoxoxoxxx""),""Mk.Malhar"",IF(REGEXMATCH(AT179,""xxooxxoxxoox""),""Bhairav"",IF(REGEXMATCH(AT179,""xxoxooxxxoox""),""Todi"",IF(REGEXMATCH(AT179,""xxooxoxooxox""),""Marwa"",IF(REGEXMATCH(AT179,""xxoooxoxxooo""),""Gunkali"",IF(REGEXMATCH(AT179,""xo"&amp;"xoxxoxxoox""),""Nat Bhairav"",IF(REGEXMATCH(AT179,""xoxxoooxoxoo""),""Shivranjani"",IF(REGEXMATCH(AT179,""xooxxxoxooxo""),""Jog"",IF(REGEXMATCH(AT179,""xxooxoxoxoox""),""Hemshri"",IF(REGEXMATCH(AT179,""xoooxooxoxxo""),""Kalavati"",IF(REGEXMATCH(AT179,""xx"&amp;"oxoxxoxoox""),""Kedar"",IF(REGEXMATCH(AT179,""xoxxxxoxooxx""),""Gara"",IF(REGEXMATCH(AT179,""xooxoxooxoox""),""Chandrakauns"",IF(REGEXMATCH(AT179,""xoxxxxoxxxox""),""Mand"",IF(REGEXMATCH(AT179,""xoxxxxoxoxox""),""Hanskinkini"",IF(REGEXMATCH(AT179,""xxooxx"&amp;"oxooxo""),""Lilavati"",IF(REGEXMATCH(AT179,""xooxoxoooxox""),""Rajeshwari"",IF(REGEXMATCH(AT179,""xoooxxoxoxxx""),""Khokar"",IF(REGEXMATCH(AT179,""xxooxoxxxxox""),""Maligoura"",""-""))))))))))))))))))))))))))))))"),"-")</f>
        <v>-</v>
      </c>
      <c r="BG179" s="239" t="str">
        <f t="shared" si="26"/>
        <v>#REF!</v>
      </c>
      <c r="BH179" s="239">
        <f>IFERROR(__xludf.DUMMYFUNCTION("COUNTUNIQUE(FE179:FO179)-1"),9.0)</f>
        <v>9</v>
      </c>
      <c r="BI179" s="239">
        <f>IFERROR(__xludf.DUMMYFUNCTION("COUNTUNIQUE(FILTER(AT:AT,REGEXMATCH(AT:AT,AS179)))-1"),1.0)</f>
        <v>1</v>
      </c>
      <c r="BJ179" s="239">
        <f>IFERROR(__xludf.DUMMYFUNCTION("COUNTA(FILTER(AT:AT,REGEXMATCH(AT:AT,AS179)))"),4.0)</f>
        <v>4</v>
      </c>
      <c r="BK179" s="341">
        <f>IFERROR(__xludf.DUMMYFUNCTION("COUNTA(FILTER(AT:AT,REGEXMATCH(AT:AT,AS179)))-AR179"),4.0)</f>
        <v>4</v>
      </c>
      <c r="BL179" s="276" t="str">
        <f>IFERROR(__xludf.DUMMYFUNCTION("IF(AS179=""oooooooooooo"",""-"",IF(REGEXMATCH(AT179,""xx""), ""Hemi."", ""Anhemi.""))"),"Hemi.")</f>
        <v>Hemi.</v>
      </c>
      <c r="BM179" s="282" t="str">
        <f>IFERROR(__xludf.DUMMYFUNCTION("IF(AS179=""oooooooooooo"",""-"",IF(REGEXMATCH(AT179,""xxx""), ""Cohem."", ""-""))"),"Cohem.")</f>
        <v>Cohem.</v>
      </c>
      <c r="BN179" s="282" t="str">
        <f>IFERROR(__xludf.DUMMYFUNCTION("IF(AS179=""oooooooooooo"",""-"",IF(REGEXMATCH(AT179,""xxxx""), ""Co-Co."", ""-""))"),"Co-Co.")</f>
        <v>Co-Co.</v>
      </c>
      <c r="BO179" s="342" t="str">
        <f>IFERROR(__xludf.DUMMYFUNCTION("IF(AS179=""oooooooooooo"",""-"",IF(REGEXMATCH(AT179,""xxxxx""), ""CCC."", ""-""))"),"CCC.")</f>
        <v>CCC.</v>
      </c>
      <c r="BP179" s="344" t="str">
        <f t="shared" si="27"/>
        <v>-</v>
      </c>
      <c r="BQ179" s="282" t="str">
        <f>IFERROR(__xludf.DUMMYFUNCTION("IF(REGEXMATCH(JOIN(""-"",EU179:FD179),""TRUE""),""✔"",""-"")"),"-")</f>
        <v>-</v>
      </c>
      <c r="BR179" s="225">
        <f t="shared" si="28"/>
        <v>0</v>
      </c>
      <c r="BS179" s="345" t="str">
        <f>IFERROR(__xludf.DUMMYFUNCTION("SUBSTITUTE(SUBSTITUTE(SUBSTITUTE(SUBSTITUTE(CONCATENATE(JOIN(""-"",GC179:GO179)),""--"",""-""),""--"",""-""),""--"",""-""),""--"",""-"")"),"1-b2-2-b3-3-4-5-b6-6-b7-8")</f>
        <v>1-b2-2-b3-3-4-5-b6-6-b7-8</v>
      </c>
      <c r="BT179" s="299" t="str">
        <f>IFERROR(__xludf.DUMMYFUNCTION("SUBSTITUTE(SUBSTITUTE(SUBSTITUTE(SUBSTITUTE(CONCATENATE(JOIN(""-"",GP179:HB179)),""--"",""-""),""--"",""-""),""--"",""-""),""--"",""-"")"),"S-R1-R2-G2-G3-M1-P-D1-D2-N2-S")</f>
        <v>S-R1-R2-G2-G3-M1-P-D1-D2-N2-S</v>
      </c>
      <c r="BU179" s="348" t="str">
        <f t="shared" si="29"/>
        <v>C-Db-D-Eb-E-F-G-Ab-A-Bb-C</v>
      </c>
      <c r="BV179" s="349" t="str">
        <f t="shared" si="30"/>
        <v>SMNS</v>
      </c>
      <c r="BW179" s="350">
        <f t="shared" si="31"/>
        <v>0</v>
      </c>
      <c r="BX179" s="351">
        <f t="shared" si="32"/>
        <v>2</v>
      </c>
      <c r="BY179" s="352" t="s">
        <v>275</v>
      </c>
      <c r="BZ179" s="309" t="str">
        <f>IFERROR(__xludf.DUMMYFUNCTION("IF(REGEXMATCH(C179, ""S""), ""x"",""x"")"),"x")</f>
        <v>x</v>
      </c>
      <c r="CA179" s="245" t="str">
        <f>IFERROR(__xludf.DUMMYFUNCTION("IF(REGEXMATCH(C179, ""r""), ""o"",""x"")"),"o")</f>
        <v>o</v>
      </c>
      <c r="CB179" s="246" t="str">
        <f>IFERROR(__xludf.DUMMYFUNCTION("IF(REGEXMATCH(C179, ""R""), ""o"",""x"")"),"o")</f>
        <v>o</v>
      </c>
      <c r="CC179" s="246" t="str">
        <f>IFERROR(__xludf.DUMMYFUNCTION("IF(REGEXMATCH(C179, ""g""), ""o"",""x"")"),"o")</f>
        <v>o</v>
      </c>
      <c r="CD179" s="245" t="str">
        <f>IFERROR(__xludf.DUMMYFUNCTION("IF(REGEXMATCH(C179, ""G""), ""o"",""x"")"),"o")</f>
        <v>o</v>
      </c>
      <c r="CE179" s="245" t="str">
        <f>IFERROR(__xludf.DUMMYFUNCTION("IF(REGEXMATCH(C179, ""m""), ""o"",""x"")"),"o")</f>
        <v>o</v>
      </c>
      <c r="CF179" s="246" t="str">
        <f>IFERROR(__xludf.DUMMYFUNCTION("IF(REGEXMATCH(C179, ""M""), ""o"",""x"")"),"x")</f>
        <v>x</v>
      </c>
      <c r="CG179" s="245" t="str">
        <f>IFERROR(__xludf.DUMMYFUNCTION("IF(REGEXMATCH(C179, ""P""), ""o"",""x"")"),"o")</f>
        <v>o</v>
      </c>
      <c r="CH179" s="246" t="str">
        <f>IFERROR(__xludf.DUMMYFUNCTION("IF(REGEXMATCH(C179, ""d""), ""o"",""x"")"),"o")</f>
        <v>o</v>
      </c>
      <c r="CI179" s="245" t="str">
        <f>IFERROR(__xludf.DUMMYFUNCTION("IF(REGEXMATCH(C179, ""D""), ""o"",""x"")"),"o")</f>
        <v>o</v>
      </c>
      <c r="CJ179" s="245" t="str">
        <f>IFERROR(__xludf.DUMMYFUNCTION("IF(REGEXMATCH(C179, ""n""), ""o"",""x"")"),"o")</f>
        <v>o</v>
      </c>
      <c r="CK179" s="245" t="str">
        <f>IFERROR(__xludf.DUMMYFUNCTION("IF(REGEXMATCH(C179, ""N""), ""o"",""x"")"),"x")</f>
        <v>x</v>
      </c>
      <c r="CL179" s="356" t="str">
        <f>IFERROR(__xludf.DUMMYFUNCTION("IF(REGEXMATCH(C179, ""S""), ""x"",""x"")"),"x")</f>
        <v>x</v>
      </c>
      <c r="CM179" s="357" t="str">
        <f t="shared" si="33"/>
        <v>xoooooxoooox</v>
      </c>
      <c r="CN179" s="358">
        <f t="shared" si="34"/>
        <v>0</v>
      </c>
      <c r="CO179" s="246" t="str">
        <f>IFERROR(__xludf.DUMMYFUNCTION("IF(REGEXMATCH($C179, ""S""), ""S"",""S"")"),"S")</f>
        <v>S</v>
      </c>
      <c r="CP179" s="246" t="str">
        <f>IFERROR(__xludf.DUMMYFUNCTION("IF(REGEXMATCH($C179, ""r""), """",""r"")"),"")</f>
        <v/>
      </c>
      <c r="CQ179" s="246" t="str">
        <f>IFERROR(__xludf.DUMMYFUNCTION("IF(REGEXMATCH($C179, ""R""), """",""R"")"),"")</f>
        <v/>
      </c>
      <c r="CR179" s="246" t="str">
        <f>IFERROR(__xludf.DUMMYFUNCTION("IF(REGEXMATCH($C179, ""g""), """",""g"")"),"")</f>
        <v/>
      </c>
      <c r="CS179" s="246" t="str">
        <f>IFERROR(__xludf.DUMMYFUNCTION("IF(REGEXMATCH($C179, ""G""), """",""G"")"),"")</f>
        <v/>
      </c>
      <c r="CT179" s="246" t="str">
        <f>IFERROR(__xludf.DUMMYFUNCTION("IF(REGEXMATCH($C179, ""m""), """",""m"")"),"")</f>
        <v/>
      </c>
      <c r="CU179" s="246" t="str">
        <f>IFERROR(__xludf.DUMMYFUNCTION("IF(REGEXMATCH($C179, ""M""), """",""M"")"),"M")</f>
        <v>M</v>
      </c>
      <c r="CV179" s="246" t="str">
        <f>IFERROR(__xludf.DUMMYFUNCTION("IF(REGEXMATCH($C179, ""P""), """",""P"")"),"")</f>
        <v/>
      </c>
      <c r="CW179" s="246" t="str">
        <f>IFERROR(__xludf.DUMMYFUNCTION("IF(REGEXMATCH($C179, ""d""), """",""d"")"),"")</f>
        <v/>
      </c>
      <c r="CX179" s="246" t="str">
        <f>IFERROR(__xludf.DUMMYFUNCTION("IF(REGEXMATCH($C179, ""D""), """",""D"")"),"")</f>
        <v/>
      </c>
      <c r="CY179" s="246" t="str">
        <f>IFERROR(__xludf.DUMMYFUNCTION("IF(REGEXMATCH($C179, ""n""), """",""n"")"),"")</f>
        <v/>
      </c>
      <c r="CZ179" s="246" t="str">
        <f>IFERROR(__xludf.DUMMYFUNCTION("IF(REGEXMATCH($C179, ""N""), """",""N"")"),"N")</f>
        <v>N</v>
      </c>
      <c r="DA179" s="246" t="str">
        <f>IFERROR(__xludf.DUMMYFUNCTION("IF(REGEXMATCH($C179, ""S""), ""S"",""S"")"),"S")</f>
        <v>S</v>
      </c>
      <c r="DB179" s="362" t="str">
        <f>IFERROR(__xludf.DUMMYFUNCTION("JOIN("""",CO179:DA179,"""","""")"),"SMNS")</f>
        <v>SMNS</v>
      </c>
      <c r="DC179" s="363"/>
      <c r="DD179" s="301" t="str">
        <f t="shared" si="35"/>
        <v>#REF!</v>
      </c>
      <c r="DE179" s="302" t="str">
        <f t="shared" si="36"/>
        <v>#REF!</v>
      </c>
      <c r="DF179" s="301" t="str">
        <f t="shared" ref="DF179:DG179" si="571">SUBSTITUTE(S179,"-","")</f>
        <v>SRGM</v>
      </c>
      <c r="DG179" s="301" t="str">
        <f t="shared" si="571"/>
        <v>PDNS</v>
      </c>
      <c r="DH179" s="302" t="str">
        <f t="shared" si="38"/>
        <v>-</v>
      </c>
      <c r="DI179" s="301" t="str">
        <f t="shared" si="39"/>
        <v>Hemi.</v>
      </c>
      <c r="DJ179" s="364" t="str">
        <f t="shared" si="40"/>
        <v>CCC.</v>
      </c>
      <c r="DK179" s="306" t="str">
        <f t="shared" si="41"/>
        <v>-</v>
      </c>
      <c r="DL179" s="366" t="str">
        <f t="shared" si="42"/>
        <v>-</v>
      </c>
      <c r="DM179" s="308" t="str">
        <f t="shared" si="43"/>
        <v>✔</v>
      </c>
      <c r="DN179" s="306" t="str">
        <f t="shared" si="44"/>
        <v>-</v>
      </c>
      <c r="DO179" s="306" t="str">
        <f t="shared" si="45"/>
        <v>-</v>
      </c>
      <c r="DP179" s="367" t="str">
        <f t="shared" si="46"/>
        <v>-</v>
      </c>
      <c r="DQ179" s="310" t="str">
        <f t="shared" si="47"/>
        <v>✔</v>
      </c>
      <c r="DR179" s="310" t="str">
        <f t="shared" si="48"/>
        <v>✔</v>
      </c>
      <c r="DS179" s="310" t="str">
        <f t="shared" si="49"/>
        <v>-</v>
      </c>
      <c r="DT179" s="310" t="str">
        <f t="shared" si="50"/>
        <v>✔</v>
      </c>
      <c r="DU179" s="370" t="str">
        <f t="shared" si="51"/>
        <v>-</v>
      </c>
      <c r="DV179" s="306" t="str">
        <f t="shared" si="52"/>
        <v>-</v>
      </c>
      <c r="DW179" s="306" t="str">
        <f t="shared" si="53"/>
        <v>-</v>
      </c>
      <c r="DX179" s="306" t="str">
        <f t="shared" si="54"/>
        <v>-</v>
      </c>
      <c r="DY179" s="306" t="str">
        <f t="shared" si="55"/>
        <v>-</v>
      </c>
      <c r="DZ179" s="306" t="str">
        <f t="shared" si="56"/>
        <v>-</v>
      </c>
      <c r="EA179" s="367" t="str">
        <f t="shared" si="57"/>
        <v>-</v>
      </c>
      <c r="EB179" s="310" t="str">
        <f>IFERROR(__xludf.DUMMYFUNCTION("IF(REGEXMATCH(AW179,AS179),""✔"",""-"")"),"✔")</f>
        <v>✔</v>
      </c>
      <c r="EC179" s="310" t="str">
        <f t="shared" si="58"/>
        <v>#REF!</v>
      </c>
      <c r="ED179" s="370" t="str">
        <f t="shared" si="59"/>
        <v>-</v>
      </c>
      <c r="EE179" s="340" t="str">
        <f t="shared" si="60"/>
        <v>S-rR-gG-m-P-dD-n-S</v>
      </c>
      <c r="EF179" s="371" t="str">
        <f>IFERROR(__xludf.DUMMYFUNCTION("CONCATENATE(JOIN("""",HC179:HO179))"),"SRgGmPdDnNS")</f>
        <v>SRgGmPdDnNS</v>
      </c>
      <c r="EG179" s="372">
        <f t="shared" si="61"/>
        <v>1</v>
      </c>
      <c r="EH179" s="373" t="str">
        <f>IFERROR(__xludf.DUMMYFUNCTION("CONCATENATE(JOIN("""",JC179:JO179))"),"Ga, ")</f>
        <v>Ga, </v>
      </c>
      <c r="EI179" s="322">
        <f t="shared" si="62"/>
        <v>0</v>
      </c>
      <c r="EJ179" s="374" t="str">
        <f>IFERROR(__xludf.DUMMYFUNCTION("CONCATENATE(JOIN("""",KC179:KO179))"),"")</f>
        <v/>
      </c>
      <c r="EK179" s="325" t="str">
        <f t="shared" si="63"/>
        <v>S-R1-R2-G2-G3-M1-P-D1-D2-N2-S</v>
      </c>
      <c r="EL179" s="326" t="str">
        <f t="shared" si="64"/>
        <v>1-b2-2-b3-3-4-5-b6-6-b7-8</v>
      </c>
      <c r="EM179" s="318" t="str">
        <f t="shared" si="65"/>
        <v>#REF!</v>
      </c>
      <c r="EN179" s="328" t="str">
        <f>IFERROR(__xludf.DUMMYFUNCTION("SUBSTITUTE(SUBSTITUTE(SUBSTITUTE(SUBSTITUTE(CONCATENATE(JOIN("" "",HP179:IB179)),""  "","" ""),""  "","" ""),""  "","" ""),""  "","" "")"),"o o o o o o • o o o o • o")</f>
        <v>o o o o o o • o o o o • o</v>
      </c>
      <c r="EO179" s="368" t="str">
        <f t="shared" si="66"/>
        <v>-</v>
      </c>
      <c r="EP179" s="339" t="str">
        <f t="shared" si="67"/>
        <v>-</v>
      </c>
      <c r="EQ179" s="339" t="str">
        <f t="shared" si="68"/>
        <v>Sa-Pa</v>
      </c>
      <c r="ER179" s="339" t="str">
        <f t="shared" si="69"/>
        <v>-</v>
      </c>
      <c r="ES179" s="340" t="str">
        <f t="shared" si="70"/>
        <v>-</v>
      </c>
      <c r="ET179" s="363"/>
      <c r="EU179" s="376" t="b">
        <f>IFERROR(__xludf.DUMMYFUNCTION("arrayformula(sum(--REGEXMATCH(""SRGMPDNS"",split(REGEXREPLACE(C179,""(.)"",""$1~""),""~""))))=len(C179)
"),FALSE)</f>
        <v>0</v>
      </c>
      <c r="EV179" s="290" t="b">
        <f>IFERROR(__xludf.DUMMYFUNCTION("arrayformula(sum(--REGEXMATCH(""SRGmPDNS"",split(REGEXREPLACE(C179,""(.)"",""$1~""),""~""))))=len(C179)"),FALSE)</f>
        <v>0</v>
      </c>
      <c r="EW179" s="290" t="b">
        <f>IFERROR(__xludf.DUMMYFUNCTION("arrayformula(sum(--REGEXMATCH(""SRGmPDnS"",split(REGEXREPLACE(C179,""(.)"",""$1~""),""~""))))=len(C179)"),FALSE)</f>
        <v>0</v>
      </c>
      <c r="EX179" s="290" t="b">
        <f>IFERROR(__xludf.DUMMYFUNCTION("arrayformula(sum(--REGEXMATCH(""SRgmPDnS"",split(REGEXREPLACE(C179,""(.)"",""$1~""),""~""))))=len(C179)"),FALSE)</f>
        <v>0</v>
      </c>
      <c r="EY179" s="290" t="b">
        <f>IFERROR(__xludf.DUMMYFUNCTION("arrayformula(sum(--REGEXMATCH(""SRgmPdnS"",split(REGEXREPLACE(C179,""(.)"",""$1~""),""~""))))=len(C179)"),FALSE)</f>
        <v>0</v>
      </c>
      <c r="EZ179" s="290" t="b">
        <f>IFERROR(__xludf.DUMMYFUNCTION("arrayformula(sum(--REGEXMATCH(""SrgmPdnS"",split(REGEXREPLACE(C179,""(.)"",""$1~""),""~""))))=len(C179)"),FALSE)</f>
        <v>0</v>
      </c>
      <c r="FA179" s="290" t="b">
        <f>IFERROR(__xludf.DUMMYFUNCTION("arrayformula(sum(--REGEXMATCH(""SrGmPdNS"",split(REGEXREPLACE(C179,""(.)"",""$1~""),""~""))))=len(C179)"),FALSE)</f>
        <v>0</v>
      </c>
      <c r="FB179" s="290" t="b">
        <f>IFERROR(__xludf.DUMMYFUNCTION("arrayformula(sum(--REGEXMATCH(""SrGMPDNS"",split(REGEXREPLACE(C179,""(.)"",""$1~""),""~""))))=len(C179)"),FALSE)</f>
        <v>0</v>
      </c>
      <c r="FC179" s="290" t="b">
        <f>IFERROR(__xludf.DUMMYFUNCTION("arrayformula(sum(--REGEXMATCH(""SrGMPdNS"",split(REGEXREPLACE(C179,""(.)"",""$1~""),""~""))))=len(C179)"),FALSE)</f>
        <v>0</v>
      </c>
      <c r="FD179" s="377" t="b">
        <f>IFERROR(__xludf.DUMMYFUNCTION("arrayformula(sum(--REGEXMATCH(""SrgMPdNS"",split(REGEXREPLACE(C179,""(.)"",""$1~""),""~""))))=len(C179)"),FALSE)</f>
        <v>0</v>
      </c>
      <c r="FE179" s="269" t="str">
        <f t="shared" si="71"/>
        <v>xxxxxoxxxxo</v>
      </c>
      <c r="FF179" s="269" t="str">
        <f t="shared" si="72"/>
        <v>xxxxoxxxxox</v>
      </c>
      <c r="FG179" s="271" t="str">
        <f t="shared" si="73"/>
        <v>xxxoxxxxoxx</v>
      </c>
      <c r="FH179" s="269" t="str">
        <f t="shared" si="74"/>
        <v>xxoxxxxoxxx</v>
      </c>
      <c r="FI179" s="271" t="str">
        <f t="shared" si="75"/>
        <v>xoxxxxoxxxx</v>
      </c>
      <c r="FJ179" s="271" t="str">
        <f t="shared" si="76"/>
        <v>-</v>
      </c>
      <c r="FK179" s="271" t="str">
        <f t="shared" si="77"/>
        <v>xxxxoxxxxxx</v>
      </c>
      <c r="FL179" s="271" t="str">
        <f t="shared" si="78"/>
        <v>xxxoxxxxxxo</v>
      </c>
      <c r="FM179" s="271" t="str">
        <f t="shared" si="79"/>
        <v>xxoxxxxxxox</v>
      </c>
      <c r="FN179" s="271" t="str">
        <f t="shared" si="80"/>
        <v>xoxxxxxxoxx</v>
      </c>
      <c r="FO179" s="274" t="str">
        <f t="shared" si="81"/>
        <v>-</v>
      </c>
      <c r="FP179" s="234" t="str">
        <f t="shared" si="82"/>
        <v>|</v>
      </c>
      <c r="FQ179" s="236" t="str">
        <f t="shared" si="83"/>
        <v>|</v>
      </c>
      <c r="FR179" s="237" t="str">
        <f t="shared" si="84"/>
        <v>|</v>
      </c>
      <c r="FS179" s="236" t="str">
        <f t="shared" si="85"/>
        <v>|</v>
      </c>
      <c r="FT179" s="237" t="str">
        <f t="shared" si="86"/>
        <v>|</v>
      </c>
      <c r="FU179" s="236" t="str">
        <f t="shared" si="87"/>
        <v>|</v>
      </c>
      <c r="FV179" s="237" t="str">
        <f t="shared" si="88"/>
        <v>-</v>
      </c>
      <c r="FW179" s="236" t="str">
        <f t="shared" si="89"/>
        <v>|</v>
      </c>
      <c r="FX179" s="237" t="str">
        <f t="shared" si="90"/>
        <v>|</v>
      </c>
      <c r="FY179" s="236" t="str">
        <f t="shared" si="91"/>
        <v>|</v>
      </c>
      <c r="FZ179" s="237" t="str">
        <f t="shared" si="92"/>
        <v>|</v>
      </c>
      <c r="GA179" s="236" t="str">
        <f t="shared" si="93"/>
        <v>-</v>
      </c>
      <c r="GB179" s="238" t="str">
        <f t="shared" si="94"/>
        <v>|</v>
      </c>
      <c r="GC179" s="244" t="str">
        <f>IFERROR(__xludf.DUMMYFUNCTION("IF(REGEXMATCH(C179, ""S""), ""1"","""")"),"1")</f>
        <v>1</v>
      </c>
      <c r="GD179" s="245" t="str">
        <f>IFERROR(__xludf.DUMMYFUNCTION("IF(REGEXMATCH(C179, ""r""), ""b2"","""")"),"b2")</f>
        <v>b2</v>
      </c>
      <c r="GE179" s="246" t="str">
        <f>IFERROR(__xludf.DUMMYFUNCTION("IF(REGEXMATCH(C179, ""R""), ""2"","""")"),"2")</f>
        <v>2</v>
      </c>
      <c r="GF179" s="246" t="str">
        <f>IFERROR(__xludf.DUMMYFUNCTION("IF(REGEXMATCH(C179, ""g""), ""b3"","""")"),"b3")</f>
        <v>b3</v>
      </c>
      <c r="GG179" s="245" t="str">
        <f>IFERROR(__xludf.DUMMYFUNCTION("IF(REGEXMATCH(C179, ""G""), ""3"","""")"),"3")</f>
        <v>3</v>
      </c>
      <c r="GH179" s="245" t="str">
        <f>IFERROR(__xludf.DUMMYFUNCTION("IF(REGEXMATCH(C179, ""m""), ""4"","""")"),"4")</f>
        <v>4</v>
      </c>
      <c r="GI179" s="246" t="str">
        <f>IFERROR(__xludf.DUMMYFUNCTION("IF(REGEXMATCH(C179, ""M""), ""#4"","""")"),"")</f>
        <v/>
      </c>
      <c r="GJ179" s="245" t="str">
        <f>IFERROR(__xludf.DUMMYFUNCTION("IF(REGEXMATCH(C179, ""P""), ""5"","""")"),"5")</f>
        <v>5</v>
      </c>
      <c r="GK179" s="246" t="str">
        <f>IFERROR(__xludf.DUMMYFUNCTION("IF(REGEXMATCH(C179, ""d""), ""b6"","""")"),"b6")</f>
        <v>b6</v>
      </c>
      <c r="GL179" s="245" t="str">
        <f>IFERROR(__xludf.DUMMYFUNCTION("IF(REGEXMATCH(C179, ""D""), ""6"","""")"),"6")</f>
        <v>6</v>
      </c>
      <c r="GM179" s="245" t="str">
        <f>IFERROR(__xludf.DUMMYFUNCTION("IF(REGEXMATCH(C179, ""n""), ""b7"","""")"),"b7")</f>
        <v>b7</v>
      </c>
      <c r="GN179" s="246" t="str">
        <f>IFERROR(__xludf.DUMMYFUNCTION("IF(REGEXMATCH(C179, ""N""), ""7"","""")"),"")</f>
        <v/>
      </c>
      <c r="GO179" s="249" t="str">
        <f>IFERROR(__xludf.DUMMYFUNCTION("IF(REGEXMATCH(C179, ""S""), ""8"","""")"),"8")</f>
        <v>8</v>
      </c>
      <c r="GP179" s="244" t="str">
        <f>IFERROR(__xludf.DUMMYFUNCTION("IF(REGEXMATCH(C179, ""S""), ""S"","""")"),"S")</f>
        <v>S</v>
      </c>
      <c r="GQ179" s="294" t="str">
        <f>IFERROR(__xludf.DUMMYFUNCTION("IF(REGEXMATCH(C179, ""r""), ""R1"","""")"),"R1")</f>
        <v>R1</v>
      </c>
      <c r="GR179" s="295" t="str">
        <f>IFERROR(__xludf.DUMMYFUNCTION("IF(REGEXMATCH(C179, ""R""), ""R2"","""")"),"R2")</f>
        <v>R2</v>
      </c>
      <c r="GS179" s="295" t="str">
        <f>IFERROR(__xludf.DUMMYFUNCTION("IF(REGEXMATCH(C179, ""g""), ""G2"","""")"),"G2")</f>
        <v>G2</v>
      </c>
      <c r="GT179" s="294" t="str">
        <f>IFERROR(__xludf.DUMMYFUNCTION("IF(REGEXMATCH(C179, ""G""), ""G3"","""")"),"G3")</f>
        <v>G3</v>
      </c>
      <c r="GU179" s="294" t="str">
        <f>IFERROR(__xludf.DUMMYFUNCTION("IF(REGEXMATCH(C179, ""m""), ""M1"","""")"),"M1")</f>
        <v>M1</v>
      </c>
      <c r="GV179" s="295" t="str">
        <f>IFERROR(__xludf.DUMMYFUNCTION("IF(REGEXMATCH(C179, ""M""), ""M2"","""")"),"")</f>
        <v/>
      </c>
      <c r="GW179" s="294" t="str">
        <f>IFERROR(__xludf.DUMMYFUNCTION("IF(REGEXMATCH(C179, ""P""), ""P"","""")"),"P")</f>
        <v>P</v>
      </c>
      <c r="GX179" s="295" t="str">
        <f>IFERROR(__xludf.DUMMYFUNCTION("IF(REGEXMATCH(C179, ""d""), ""D1"","""")"),"D1")</f>
        <v>D1</v>
      </c>
      <c r="GY179" s="294" t="str">
        <f>IFERROR(__xludf.DUMMYFUNCTION("IF(REGEXMATCH(C179, ""D""), ""D2"","""")"),"D2")</f>
        <v>D2</v>
      </c>
      <c r="GZ179" s="294" t="str">
        <f>IFERROR(__xludf.DUMMYFUNCTION("IF(REGEXMATCH(C179, ""n""), ""N2"","""")"),"N2")</f>
        <v>N2</v>
      </c>
      <c r="HA179" s="295" t="str">
        <f>IFERROR(__xludf.DUMMYFUNCTION("IF(REGEXMATCH(C179, ""N""), ""N3"","""")"),"")</f>
        <v/>
      </c>
      <c r="HB179" s="249" t="str">
        <f>IFERROR(__xludf.DUMMYFUNCTION("IF(REGEXMATCH(C179, ""S""), ""S"","""")"),"S")</f>
        <v>S</v>
      </c>
      <c r="HC179" s="331" t="str">
        <f t="shared" si="95"/>
        <v>S</v>
      </c>
      <c r="HD179" s="332" t="str">
        <f t="shared" si="96"/>
        <v/>
      </c>
      <c r="HE179" s="332" t="str">
        <f t="shared" si="97"/>
        <v>R</v>
      </c>
      <c r="HF179" s="332" t="str">
        <f t="shared" si="98"/>
        <v>g</v>
      </c>
      <c r="HG179" s="332" t="str">
        <f t="shared" si="99"/>
        <v>G</v>
      </c>
      <c r="HH179" s="332" t="str">
        <f t="shared" si="100"/>
        <v>m</v>
      </c>
      <c r="HI179" s="332" t="str">
        <f t="shared" si="101"/>
        <v/>
      </c>
      <c r="HJ179" s="332" t="str">
        <f t="shared" si="102"/>
        <v>P</v>
      </c>
      <c r="HK179" s="332" t="str">
        <f t="shared" si="103"/>
        <v>d</v>
      </c>
      <c r="HL179" s="332" t="str">
        <f t="shared" si="104"/>
        <v>D</v>
      </c>
      <c r="HM179" s="332" t="str">
        <f t="shared" si="105"/>
        <v>n</v>
      </c>
      <c r="HN179" s="332" t="str">
        <f t="shared" si="106"/>
        <v>N</v>
      </c>
      <c r="HO179" s="343" t="str">
        <f t="shared" si="107"/>
        <v>S</v>
      </c>
      <c r="HP179" s="331" t="str">
        <f t="shared" si="108"/>
        <v>o</v>
      </c>
      <c r="HQ179" s="332" t="str">
        <f t="shared" si="109"/>
        <v>o</v>
      </c>
      <c r="HR179" s="332" t="str">
        <f t="shared" si="110"/>
        <v>o</v>
      </c>
      <c r="HS179" s="332" t="str">
        <f t="shared" si="111"/>
        <v>o</v>
      </c>
      <c r="HT179" s="332" t="str">
        <f t="shared" si="112"/>
        <v>o</v>
      </c>
      <c r="HU179" s="332" t="str">
        <f t="shared" si="113"/>
        <v>o</v>
      </c>
      <c r="HV179" s="332" t="str">
        <f t="shared" si="114"/>
        <v>•</v>
      </c>
      <c r="HW179" s="332" t="str">
        <f t="shared" si="115"/>
        <v>o</v>
      </c>
      <c r="HX179" s="332" t="str">
        <f t="shared" si="116"/>
        <v>o</v>
      </c>
      <c r="HY179" s="332" t="str">
        <f t="shared" si="117"/>
        <v>o</v>
      </c>
      <c r="HZ179" s="332" t="str">
        <f t="shared" si="118"/>
        <v>o</v>
      </c>
      <c r="IA179" s="332" t="str">
        <f t="shared" si="119"/>
        <v>•</v>
      </c>
      <c r="IB179" s="338" t="str">
        <f t="shared" si="120"/>
        <v>o</v>
      </c>
      <c r="IC179" s="331" t="str">
        <f t="shared" si="121"/>
        <v>•</v>
      </c>
      <c r="ID179" s="332" t="str">
        <f t="shared" si="122"/>
        <v>•</v>
      </c>
      <c r="IE179" s="332" t="str">
        <f t="shared" si="123"/>
        <v>•</v>
      </c>
      <c r="IF179" s="332" t="str">
        <f t="shared" si="124"/>
        <v>•</v>
      </c>
      <c r="IG179" s="332" t="str">
        <f t="shared" si="125"/>
        <v>•</v>
      </c>
      <c r="IH179" s="332" t="str">
        <f t="shared" si="126"/>
        <v>•</v>
      </c>
      <c r="II179" s="332" t="str">
        <f t="shared" si="127"/>
        <v>o</v>
      </c>
      <c r="IJ179" s="332" t="str">
        <f t="shared" si="128"/>
        <v>•</v>
      </c>
      <c r="IK179" s="332" t="str">
        <f t="shared" si="129"/>
        <v>•</v>
      </c>
      <c r="IL179" s="332" t="str">
        <f t="shared" si="130"/>
        <v>•</v>
      </c>
      <c r="IM179" s="332" t="str">
        <f t="shared" si="131"/>
        <v>•</v>
      </c>
      <c r="IN179" s="332" t="str">
        <f t="shared" si="132"/>
        <v>o</v>
      </c>
      <c r="IO179" s="338" t="str">
        <f t="shared" si="133"/>
        <v>•</v>
      </c>
      <c r="IP179" s="346" t="b">
        <f t="shared" si="134"/>
        <v>0</v>
      </c>
      <c r="IQ179" s="347" t="b">
        <f t="shared" si="135"/>
        <v>0</v>
      </c>
      <c r="IR179" s="347" t="b">
        <f t="shared" si="136"/>
        <v>0</v>
      </c>
      <c r="IS179" s="347" t="b">
        <f t="shared" si="137"/>
        <v>0</v>
      </c>
      <c r="IT179" s="347" t="b">
        <f t="shared" si="138"/>
        <v>1</v>
      </c>
      <c r="IU179" s="347" t="b">
        <f t="shared" si="139"/>
        <v>0</v>
      </c>
      <c r="IV179" s="347" t="b">
        <f t="shared" si="140"/>
        <v>0</v>
      </c>
      <c r="IW179" s="347" t="b">
        <f t="shared" si="141"/>
        <v>0</v>
      </c>
      <c r="IX179" s="347" t="b">
        <f t="shared" si="142"/>
        <v>0</v>
      </c>
      <c r="IY179" s="347" t="b">
        <f t="shared" si="143"/>
        <v>0</v>
      </c>
      <c r="IZ179" s="347" t="b">
        <f t="shared" si="144"/>
        <v>0</v>
      </c>
      <c r="JA179" s="347" t="b">
        <f t="shared" si="145"/>
        <v>0</v>
      </c>
      <c r="JB179" s="353" t="b">
        <f t="shared" si="146"/>
        <v>0</v>
      </c>
      <c r="JC179" s="354" t="str">
        <f t="shared" si="147"/>
        <v/>
      </c>
      <c r="JD179" s="355" t="str">
        <f t="shared" si="148"/>
        <v/>
      </c>
      <c r="JE179" s="355" t="str">
        <f t="shared" si="149"/>
        <v/>
      </c>
      <c r="JF179" s="355" t="str">
        <f t="shared" si="150"/>
        <v/>
      </c>
      <c r="JG179" s="355" t="str">
        <f t="shared" si="151"/>
        <v>Ga, </v>
      </c>
      <c r="JH179" s="355" t="str">
        <f t="shared" si="152"/>
        <v/>
      </c>
      <c r="JI179" s="355" t="str">
        <f t="shared" si="153"/>
        <v/>
      </c>
      <c r="JJ179" s="355" t="str">
        <f t="shared" si="154"/>
        <v/>
      </c>
      <c r="JK179" s="355" t="str">
        <f t="shared" si="155"/>
        <v/>
      </c>
      <c r="JL179" s="355" t="str">
        <f t="shared" si="156"/>
        <v/>
      </c>
      <c r="JM179" s="355" t="str">
        <f t="shared" si="157"/>
        <v/>
      </c>
      <c r="JN179" s="355" t="str">
        <f t="shared" si="158"/>
        <v/>
      </c>
      <c r="JO179" s="359" t="str">
        <f t="shared" si="159"/>
        <v/>
      </c>
      <c r="JP179" s="346" t="b">
        <f t="shared" si="160"/>
        <v>0</v>
      </c>
      <c r="JQ179" s="347" t="b">
        <f t="shared" si="161"/>
        <v>0</v>
      </c>
      <c r="JR179" s="347" t="b">
        <f t="shared" si="162"/>
        <v>0</v>
      </c>
      <c r="JS179" s="347" t="b">
        <f t="shared" si="163"/>
        <v>0</v>
      </c>
      <c r="JT179" s="347" t="b">
        <f t="shared" si="164"/>
        <v>0</v>
      </c>
      <c r="JU179" s="347" t="b">
        <f t="shared" si="165"/>
        <v>0</v>
      </c>
      <c r="JV179" s="347" t="b">
        <f t="shared" si="166"/>
        <v>0</v>
      </c>
      <c r="JW179" s="347" t="b">
        <f t="shared" si="167"/>
        <v>0</v>
      </c>
      <c r="JX179" s="347" t="b">
        <f t="shared" si="168"/>
        <v>0</v>
      </c>
      <c r="JY179" s="347" t="b">
        <f t="shared" si="169"/>
        <v>0</v>
      </c>
      <c r="JZ179" s="347" t="b">
        <f t="shared" si="170"/>
        <v>0</v>
      </c>
      <c r="KA179" s="347" t="b">
        <f t="shared" si="171"/>
        <v>0</v>
      </c>
      <c r="KB179" s="365" t="b">
        <f t="shared" si="172"/>
        <v>0</v>
      </c>
      <c r="KC179" s="354" t="str">
        <f t="shared" si="173"/>
        <v/>
      </c>
      <c r="KD179" s="355" t="str">
        <f t="shared" si="174"/>
        <v/>
      </c>
      <c r="KE179" s="355" t="str">
        <f t="shared" si="175"/>
        <v/>
      </c>
      <c r="KF179" s="355" t="str">
        <f t="shared" si="176"/>
        <v/>
      </c>
      <c r="KG179" s="355" t="str">
        <f t="shared" si="177"/>
        <v/>
      </c>
      <c r="KH179" s="355" t="str">
        <f t="shared" si="178"/>
        <v/>
      </c>
      <c r="KI179" s="355" t="str">
        <f t="shared" si="179"/>
        <v/>
      </c>
      <c r="KJ179" s="355" t="str">
        <f t="shared" si="180"/>
        <v/>
      </c>
      <c r="KK179" s="355" t="str">
        <f t="shared" si="181"/>
        <v/>
      </c>
      <c r="KL179" s="355" t="str">
        <f t="shared" si="182"/>
        <v/>
      </c>
      <c r="KM179" s="355" t="str">
        <f t="shared" si="183"/>
        <v/>
      </c>
      <c r="KN179" s="355" t="str">
        <f t="shared" si="184"/>
        <v/>
      </c>
      <c r="KO179" s="359"/>
      <c r="KP179" s="378"/>
      <c r="KQ179" s="379" t="s">
        <v>405</v>
      </c>
      <c r="KR179" s="380" t="s">
        <v>1297</v>
      </c>
      <c r="KS179" s="381" t="str">
        <f t="shared" si="569"/>
        <v>S-R-g-m-P-d-n-S</v>
      </c>
      <c r="KT179" s="382">
        <f t="shared" si="186"/>
        <v>7</v>
      </c>
      <c r="KU179" s="383">
        <f t="shared" si="187"/>
        <v>7</v>
      </c>
      <c r="KV179" s="381" t="str">
        <f t="shared" si="205"/>
        <v>S-n-D-P-m-g-R-S</v>
      </c>
      <c r="KW179" s="382">
        <f t="shared" si="189"/>
        <v>7</v>
      </c>
      <c r="KX179" s="384">
        <f t="shared" si="190"/>
        <v>7</v>
      </c>
      <c r="KY179" s="382">
        <f t="shared" ref="KY179:KZ179" si="572">KW179-KT179</f>
        <v>0</v>
      </c>
      <c r="KZ179" s="369">
        <f t="shared" si="572"/>
        <v>0</v>
      </c>
      <c r="LA179" s="385" t="str">
        <f t="shared" si="192"/>
        <v>✔</v>
      </c>
      <c r="LB179" s="340" t="str">
        <f>IFERROR(__xludf.DUMMYFUNCTION("JOIN("""",ArrayFormula(MID(KS179,LEN(KS179)-SEQUENCE(1,LEN(KS179))+1,1)))"),"S-n-d-P-m-g-R-S")</f>
        <v>S-n-d-P-m-g-R-S</v>
      </c>
      <c r="LC179" s="373" t="str">
        <f>IFERROR(__xludf.DUMMYFUNCTION("JOIN("""",ArrayFormula(MID(KV179,LEN(KV179)-SEQUENCE(1,LEN(KV179))+1,1)))"),"S-R-g-m-P-D-n-S")</f>
        <v>S-R-g-m-P-D-n-S</v>
      </c>
      <c r="LD179" s="373" t="str">
        <f t="shared" si="193"/>
        <v>SRgmPdnS</v>
      </c>
      <c r="LE179" s="339" t="str">
        <f t="shared" si="194"/>
        <v>SRgmPDnS</v>
      </c>
      <c r="LF179" s="386" t="str">
        <f>IFERROR(__xludf.DUMMYFUNCTION("SUBSTITUTE(SUBSTITUTE(CONCATENATE(JOIN("""",LH179:LT179)),""1"",""""),""2"","""")"),"SRgmPdDnS")</f>
        <v>SRgmPdDnS</v>
      </c>
      <c r="LG179" s="369" t="str">
        <f t="shared" si="195"/>
        <v>-</v>
      </c>
      <c r="LH179" s="387" t="str">
        <f>IFERROR(__xludf.DUMMYFUNCTION("IF(REGEXMATCH(LD179, ""S""), ""S"",IF(REGEXMATCH(LE179, ""S""), ""S"",""""))"),"S")</f>
        <v>S</v>
      </c>
      <c r="LI179" s="299" t="str">
        <f>IFERROR(__xludf.DUMMYFUNCTION("IF(REGEXMATCH(LD179, ""r""), ""r1"",IF(REGEXMATCH(LE179, ""r""), ""r2"",""""))"),"")</f>
        <v/>
      </c>
      <c r="LJ179" s="299" t="str">
        <f>IFERROR(__xludf.DUMMYFUNCTION("IF(REGEXMATCH(LD179, ""R""), ""R1"",IF(REGEXMATCH(LE179, ""R""), ""R2"",""""))"),"R1")</f>
        <v>R1</v>
      </c>
      <c r="LK179" s="299" t="str">
        <f>IFERROR(__xludf.DUMMYFUNCTION("IF(REGEXMATCH(LD179, ""g""), ""g1"",IF(REGEXMATCH(LE179, ""g""), ""g2"",""""))"),"g1")</f>
        <v>g1</v>
      </c>
      <c r="LL179" s="299" t="str">
        <f>IFERROR(__xludf.DUMMYFUNCTION("IF(REGEXMATCH(LD179, ""G""), ""G1"",IF(REGEXMATCH(LE179, ""G""), ""G2"",""""))"),"")</f>
        <v/>
      </c>
      <c r="LM179" s="299" t="str">
        <f>IFERROR(__xludf.DUMMYFUNCTION("IF(REGEXMATCH(LD179, ""m""), ""m1"",IF(REGEXMATCH(LE179, ""m""), ""m2"",""""))"),"m1")</f>
        <v>m1</v>
      </c>
      <c r="LN179" s="299" t="str">
        <f>IFERROR(__xludf.DUMMYFUNCTION("IF(REGEXMATCH(LD179, ""M""), ""M1"",IF(REGEXMATCH(LE179, ""M""), ""M2"",""""))"),"")</f>
        <v/>
      </c>
      <c r="LO179" s="299" t="str">
        <f>IFERROR(__xludf.DUMMYFUNCTION("IF(REGEXMATCH(LD179, ""P""), ""P1"",IF(REGEXMATCH(LE179, ""P""), ""P2"",""""))"),"P1")</f>
        <v>P1</v>
      </c>
      <c r="LP179" s="299" t="str">
        <f>IFERROR(__xludf.DUMMYFUNCTION("IF(REGEXMATCH(LD179, ""d""), ""d1"",IF(REGEXMATCH(LE179, ""d""), ""d2"",""""))"),"d1")</f>
        <v>d1</v>
      </c>
      <c r="LQ179" s="299" t="str">
        <f>IFERROR(__xludf.DUMMYFUNCTION("IF(REGEXMATCH(LD179, ""D""), ""D1"",IF(REGEXMATCH(LE179, ""D""), ""D2"",""""))"),"D2")</f>
        <v>D2</v>
      </c>
      <c r="LR179" s="299" t="str">
        <f>IFERROR(__xludf.DUMMYFUNCTION("IF(REGEXMATCH(LD179, ""n""), ""n1"",IF(REGEXMATCH(LE179, ""n""), ""n2"",""""))"),"n1")</f>
        <v>n1</v>
      </c>
      <c r="LS179" s="299" t="str">
        <f>IFERROR(__xludf.DUMMYFUNCTION("IF(REGEXMATCH(LD179, ""N""), ""N1"",IF(REGEXMATCH(LE179, ""N""), ""N2"",""""))"),"")</f>
        <v/>
      </c>
      <c r="LT179" s="388" t="str">
        <f>IFERROR(__xludf.DUMMYFUNCTION("IF(REGEXMATCH(LD179, ""S""), ""S"",IF(REGEXMATCH(LE179, ""S""), ""S"",""""))"),"S")</f>
        <v>S</v>
      </c>
      <c r="LU179" s="389">
        <f t="shared" si="196"/>
        <v>1</v>
      </c>
      <c r="LV179" s="378"/>
      <c r="LW179" s="369"/>
      <c r="LX179" s="369"/>
    </row>
    <row r="180" ht="18.0" customHeight="1">
      <c r="A180" s="298" t="s">
        <v>879</v>
      </c>
      <c r="B180" s="222" t="s">
        <v>435</v>
      </c>
      <c r="C180" s="233" t="str">
        <f t="shared" si="7"/>
        <v>SrgmMPdnNS</v>
      </c>
      <c r="D180" s="234" t="str">
        <f>IFERROR(__xludf.DUMMYFUNCTION("IF(REGEXMATCH(C180, ""S""), ""S"","""")"),"S")</f>
        <v>S</v>
      </c>
      <c r="E180" s="236" t="str">
        <f>IFERROR(__xludf.DUMMYFUNCTION("IF(REGEXMATCH(C180, ""r""), ""r"","""")"),"r")</f>
        <v>r</v>
      </c>
      <c r="F180" s="237" t="str">
        <f>IFERROR(__xludf.DUMMYFUNCTION("IF(REGEXMATCH(C180, ""R""), ""R"","""")"),"")</f>
        <v/>
      </c>
      <c r="G180" s="237" t="str">
        <f>IFERROR(__xludf.DUMMYFUNCTION("IF(REGEXMATCH(C180, ""g""), ""g"","""")"),"g")</f>
        <v>g</v>
      </c>
      <c r="H180" s="236" t="str">
        <f>IFERROR(__xludf.DUMMYFUNCTION("IF(REGEXMATCH(C180, ""G""), ""G"","""")"),"")</f>
        <v/>
      </c>
      <c r="I180" s="236" t="str">
        <f>IFERROR(__xludf.DUMMYFUNCTION("IF(REGEXMATCH(C180, ""m""), ""m"","""")"),"m")</f>
        <v>m</v>
      </c>
      <c r="J180" s="237" t="str">
        <f>IFERROR(__xludf.DUMMYFUNCTION("IF(REGEXMATCH(C180, ""M""), ""M"","""")"),"M")</f>
        <v>M</v>
      </c>
      <c r="K180" s="236" t="str">
        <f>IFERROR(__xludf.DUMMYFUNCTION("IF(REGEXMATCH(C180, ""P""), ""P"","""")"),"P")</f>
        <v>P</v>
      </c>
      <c r="L180" s="237" t="str">
        <f>IFERROR(__xludf.DUMMYFUNCTION("IF(REGEXMATCH(C180, ""d""), ""d"","""")"),"d")</f>
        <v>d</v>
      </c>
      <c r="M180" s="236" t="str">
        <f>IFERROR(__xludf.DUMMYFUNCTION("IF(REGEXMATCH(C180, ""D""), ""D"","""")"),"")</f>
        <v/>
      </c>
      <c r="N180" s="236" t="str">
        <f>IFERROR(__xludf.DUMMYFUNCTION("IF(REGEXMATCH(C180, ""n""), ""n"","""")"),"n")</f>
        <v>n</v>
      </c>
      <c r="O180" s="237" t="str">
        <f>IFERROR(__xludf.DUMMYFUNCTION("IF(REGEXMATCH(C180, ""N""), ""N"","""")"),"N")</f>
        <v>N</v>
      </c>
      <c r="P180" s="238" t="str">
        <f>IFERROR(__xludf.DUMMYFUNCTION("IF(REGEXMATCH(C180, ""S""), ""S"","""")"),"S")</f>
        <v>S</v>
      </c>
      <c r="Q180" s="239" t="str">
        <f>IFERROR(__xludf.DUMMYFUNCTION("SUBSTITUTE(CONCATENATE(JOIN(""-"",D180:J180)),""-"","""")"),"SrgmM")</f>
        <v>SrgmM</v>
      </c>
      <c r="R180" s="229" t="str">
        <f>IFERROR(__xludf.DUMMYFUNCTION("SUBSTITUTE(CONCATENATE(JOIN(""-"",K180:P180)),""-"","""")"),"PdnNS")</f>
        <v>PdnNS</v>
      </c>
      <c r="S180" s="282" t="str">
        <f t="shared" si="8"/>
        <v>S-R-G-M</v>
      </c>
      <c r="T180" s="282" t="str">
        <f t="shared" si="9"/>
        <v>P-D-N-S</v>
      </c>
      <c r="U180" s="237" t="str">
        <f>IFERROR(__xludf.DUMMYFUNCTION("SUBSTITUTE(JOIN(""-"",S180,T180),""--"",""-"")"),"S-R-G-M-P-D-N-S")</f>
        <v>S-R-G-M-P-D-N-S</v>
      </c>
      <c r="V180" s="309" t="str">
        <f t="shared" si="10"/>
        <v>rgmMdnN</v>
      </c>
      <c r="W180" s="244" t="str">
        <f>IFERROR(__xludf.DUMMYFUNCTION("IF(REGEXMATCH(C180, ""S""), ""0"","""")"),"0")</f>
        <v>0</v>
      </c>
      <c r="X180" s="245" t="str">
        <f>IFERROR(__xludf.DUMMYFUNCTION("IF(REGEXMATCH(C180, ""r""), ""1"","""")"),"1")</f>
        <v>1</v>
      </c>
      <c r="Y180" s="246" t="str">
        <f>IFERROR(__xludf.DUMMYFUNCTION("IF(REGEXMATCH(C180, ""R""), ""2"","""")"),"")</f>
        <v/>
      </c>
      <c r="Z180" s="246" t="str">
        <f>IFERROR(__xludf.DUMMYFUNCTION("IF(REGEXMATCH(C180, ""g""), ""3"","""")"),"3")</f>
        <v>3</v>
      </c>
      <c r="AA180" s="245" t="str">
        <f>IFERROR(__xludf.DUMMYFUNCTION("IF(REGEXMATCH(C180, ""G""), ""4"","""")"),"")</f>
        <v/>
      </c>
      <c r="AB180" s="245" t="str">
        <f>IFERROR(__xludf.DUMMYFUNCTION("IF(REGEXMATCH(C180, ""m""), ""5"","""")"),"5")</f>
        <v>5</v>
      </c>
      <c r="AC180" s="246" t="str">
        <f>IFERROR(__xludf.DUMMYFUNCTION("IF(REGEXMATCH(C180, ""M""), ""6"","""")"),"6")</f>
        <v>6</v>
      </c>
      <c r="AD180" s="245" t="str">
        <f>IFERROR(__xludf.DUMMYFUNCTION("IF(REGEXMATCH(C180, ""P""), ""7"","""")"),"7")</f>
        <v>7</v>
      </c>
      <c r="AE180" s="246" t="str">
        <f>IFERROR(__xludf.DUMMYFUNCTION("IF(REGEXMATCH(C180, ""d""), ""8"","""")"),"8")</f>
        <v>8</v>
      </c>
      <c r="AF180" s="245" t="str">
        <f>IFERROR(__xludf.DUMMYFUNCTION("IF(REGEXMATCH(C180, ""D""), ""9"","""")"),"")</f>
        <v/>
      </c>
      <c r="AG180" s="245" t="str">
        <f>IFERROR(__xludf.DUMMYFUNCTION("IF(REGEXMATCH(C180, ""n""), ""10"","""")"),"10")</f>
        <v>10</v>
      </c>
      <c r="AH180" s="246" t="str">
        <f>IFERROR(__xludf.DUMMYFUNCTION("IF(REGEXMATCH(C180, ""N""), ""11"","""")"),"11")</f>
        <v>11</v>
      </c>
      <c r="AI180" s="249" t="str">
        <f>IFERROR(__xludf.DUMMYFUNCTION("IF(REGEXMATCH(C180, ""S""), ""0"","""")"),"0")</f>
        <v>0</v>
      </c>
      <c r="AJ180" s="313" t="str">
        <f t="shared" si="11"/>
        <v>T</v>
      </c>
      <c r="AK180" s="313" t="str">
        <f t="shared" si="12"/>
        <v>T</v>
      </c>
      <c r="AL180" s="313" t="str">
        <f t="shared" si="13"/>
        <v>-</v>
      </c>
      <c r="AM180" s="313" t="str">
        <f t="shared" si="14"/>
        <v>-</v>
      </c>
      <c r="AN180" s="313" t="str">
        <f t="shared" si="15"/>
        <v>-</v>
      </c>
      <c r="AO180" s="314" t="str">
        <f t="shared" si="16"/>
        <v>T</v>
      </c>
      <c r="AP180" s="316">
        <f t="shared" si="17"/>
        <v>3</v>
      </c>
      <c r="AQ180" s="319" t="str">
        <f t="shared" si="18"/>
        <v>-</v>
      </c>
      <c r="AR180" s="320">
        <f t="shared" si="19"/>
        <v>0</v>
      </c>
      <c r="AS180" s="250" t="str">
        <f>IFERROR(__xludf.DUMMYFUNCTION("SUBSTITUTE(SUBSTITUTE(CONCATENATE(JOIN("""",FP180:GA180)),""|"",""x""),""-"",""o"")"),"xxoxoxxxxoxx")</f>
        <v>xxoxoxxxxoxx</v>
      </c>
      <c r="AT180" s="323" t="str">
        <f>IFERROR(__xludf.DUMMYFUNCTION("JOIN("""",AS180,AS180)"),"xxoxoxxxxoxxxxoxoxxxxoxx")</f>
        <v>xxoxoxxxxoxxxxoxoxxxxoxx</v>
      </c>
      <c r="AU180" s="256" t="str">
        <f>IFERROR(__xludf.DUMMYFUNCTION("JOIN("""",ArrayFormula(MID(AS180,LEN(AS180)-SEQUENCE(1,LEN(AS180))+1,1)))"),"xxoxxxxoxoxx")</f>
        <v>xxoxxxxoxoxx</v>
      </c>
      <c r="AV180" s="256" t="str">
        <f>IFERROR(__xludf.DUMMYFUNCTION("LEFT(CONCATENATE(""x"",JOIN("""",ArrayFormula(MID(AS180,LEN(AS180)-SEQUENCE(1,LEN(AS180))+1,1)))),12)"),"xxxoxxxxoxox")</f>
        <v>xxxoxxxxoxox</v>
      </c>
      <c r="AW180" s="327" t="str">
        <f>IFERROR(__xludf.DUMMYFUNCTION("JOIN("""",AU180,AU180)"),"xxoxxxxoxoxxxxoxxxxoxoxx")</f>
        <v>xxoxxxxoxoxxxxoxxxxoxoxx</v>
      </c>
      <c r="AX180" s="239" t="str">
        <f>IFERROR(__xludf.DUMMYFUNCTION("IF(REGEXMATCH(AW180,AS180),""✔"",""-"")"),"✔")</f>
        <v>✔</v>
      </c>
      <c r="AY180" s="330" t="str">
        <f t="shared" si="20"/>
        <v>-</v>
      </c>
      <c r="AZ180" s="260" t="str">
        <f t="shared" si="21"/>
        <v>#REF!</v>
      </c>
      <c r="BA180" s="333" t="str">
        <f t="shared" si="22"/>
        <v>xxoxoxx</v>
      </c>
      <c r="BB180" s="334" t="str">
        <f t="shared" si="23"/>
        <v>xxoxxx</v>
      </c>
      <c r="BC180" s="335" t="str">
        <f t="shared" si="236"/>
        <v>-</v>
      </c>
      <c r="BD180" s="336" t="str">
        <f t="shared" si="25"/>
        <v>Khat Todi: 'xxoxoxx' + 'xxoxxx'</v>
      </c>
      <c r="BE180" s="337">
        <f>IFERROR(__xludf.DUMMYFUNCTION("COUNTUNIQUE(FILTER(AT:AT,REGEXMATCH(AT:AT,AS180)))-1"),4.0)</f>
        <v>4</v>
      </c>
      <c r="BF180" s="261" t="str">
        <f>IFERROR(__xludf.DUMMYFUNCTION("IF(BI180=0,""(n/a)"",IF(BJ180=2,""(PAIR)"",IF(REGEXMATCH(AT180,""xoxoxxoxoxox""),""Bilawal"",IF(REGEXMATCH(AT180,""xoxoxooxoxoo""),""Bhupali"",IF(REGEXMATCH(AT180,""xoxoxxoxxoxo""),""Charukeshi"",IF(REGEXMATCH(AT180,""xoxoooxxoxxo""),""Kameshwari"",IF(REG"&amp;"EXMATCH(AT180,""xoxoxooxoxox""),""Shankara"",IF(REGEXMATCH(AT180,""xxooxoxxxoox""),""Basant"",IF(REGEXMATCH(AT180,""xoxoxxxxoxox""),""Bihag"",IF(REGEXMATCH(AT180,""xoxxxxoxoxxx""),""Pilu"",IF(REGEXMATCH(AT180,""xoxxoxoxxoox""),""Kirwani"",IF(REGEXMATCH(AT"&amp;"180,""xoxxoxoxoxxx""),""Mk.Malhar"",IF(REGEXMATCH(AT180,""xxooxxoxxoox""),""Bhairav"",IF(REGEXMATCH(AT180,""xxoxooxxxoox""),""Todi"",IF(REGEXMATCH(AT180,""xxooxoxooxox""),""Marwa"",IF(REGEXMATCH(AT180,""xxoooxoxxooo""),""Gunkali"",IF(REGEXMATCH(AT180,""xo"&amp;"xoxxoxxoox""),""Nat Bhairav"",IF(REGEXMATCH(AT180,""xoxxoooxoxoo""),""Shivranjani"",IF(REGEXMATCH(AT180,""xooxxxoxooxo""),""Jog"",IF(REGEXMATCH(AT180,""xxooxoxoxoox""),""Hemshri"",IF(REGEXMATCH(AT180,""xoooxooxoxxo""),""Kalavati"",IF(REGEXMATCH(AT180,""xx"&amp;"oxoxxoxoox""),""Kedar"",IF(REGEXMATCH(AT180,""xoxxxxoxooxx""),""Gara"",IF(REGEXMATCH(AT180,""xooxoxooxoox""),""Chandrakauns"",IF(REGEXMATCH(AT180,""xoxxxxoxxxox""),""Mand"",IF(REGEXMATCH(AT180,""xoxxxxoxoxox""),""Hanskinkini"",IF(REGEXMATCH(AT180,""xxooxx"&amp;"oxooxo""),""Lilavati"",IF(REGEXMATCH(AT180,""xooxoxoooxox""),""Rajeshwari"",IF(REGEXMATCH(AT180,""xoooxxoxoxxx""),""Khokar"",IF(REGEXMATCH(AT180,""xxooxoxxxxox""),""Maligoura"",""-""))))))))))))))))))))))))))))))"),"Pilu")</f>
        <v>Pilu</v>
      </c>
      <c r="BG180" s="239" t="str">
        <f t="shared" si="26"/>
        <v>#REF!</v>
      </c>
      <c r="BH180" s="239">
        <f>IFERROR(__xludf.DUMMYFUNCTION("COUNTUNIQUE(FE180:FO180)-1"),8.0)</f>
        <v>8</v>
      </c>
      <c r="BI180" s="239">
        <f>IFERROR(__xludf.DUMMYFUNCTION("COUNTUNIQUE(FILTER(AT:AT,REGEXMATCH(AT:AT,AS180)))-1"),4.0)</f>
        <v>4</v>
      </c>
      <c r="BJ180" s="239">
        <f>IFERROR(__xludf.DUMMYFUNCTION("COUNTA(FILTER(AT:AT,REGEXMATCH(AT:AT,AS180)))"),26.0)</f>
        <v>26</v>
      </c>
      <c r="BK180" s="341">
        <f>IFERROR(__xludf.DUMMYFUNCTION("COUNTA(FILTER(AT:AT,REGEXMATCH(AT:AT,AS180)))-AR180"),26.0)</f>
        <v>26</v>
      </c>
      <c r="BL180" s="276" t="str">
        <f>IFERROR(__xludf.DUMMYFUNCTION("IF(AS180=""oooooooooooo"",""-"",IF(REGEXMATCH(AT180,""xx""), ""Hemi."", ""Anhemi.""))"),"Hemi.")</f>
        <v>Hemi.</v>
      </c>
      <c r="BM180" s="282" t="str">
        <f>IFERROR(__xludf.DUMMYFUNCTION("IF(AS180=""oooooooooooo"",""-"",IF(REGEXMATCH(AT180,""xxx""), ""Cohem."", ""-""))"),"Cohem.")</f>
        <v>Cohem.</v>
      </c>
      <c r="BN180" s="282" t="str">
        <f>IFERROR(__xludf.DUMMYFUNCTION("IF(AS180=""oooooooooooo"",""-"",IF(REGEXMATCH(AT180,""xxxx""), ""Co-Co."", ""-""))"),"Co-Co.")</f>
        <v>Co-Co.</v>
      </c>
      <c r="BO180" s="342" t="str">
        <f>IFERROR(__xludf.DUMMYFUNCTION("IF(AS180=""oooooooooooo"",""-"",IF(REGEXMATCH(AT180,""xxxxx""), ""CCC."", ""-""))"),"-")</f>
        <v>-</v>
      </c>
      <c r="BP180" s="344" t="str">
        <f t="shared" si="27"/>
        <v>-</v>
      </c>
      <c r="BQ180" s="282" t="str">
        <f>IFERROR(__xludf.DUMMYFUNCTION("IF(REGEXMATCH(JOIN(""-"",EU180:FD180),""TRUE""),""✔"",""-"")"),"-")</f>
        <v>-</v>
      </c>
      <c r="BR180" s="225">
        <f t="shared" si="28"/>
        <v>0</v>
      </c>
      <c r="BS180" s="345" t="str">
        <f>IFERROR(__xludf.DUMMYFUNCTION("SUBSTITUTE(SUBSTITUTE(SUBSTITUTE(SUBSTITUTE(CONCATENATE(JOIN(""-"",GC180:GO180)),""--"",""-""),""--"",""-""),""--"",""-""),""--"",""-"")"),"1-b2-b3-4-#4-5-b6-b7-7-8")</f>
        <v>1-b2-b3-4-#4-5-b6-b7-7-8</v>
      </c>
      <c r="BT180" s="299" t="str">
        <f>IFERROR(__xludf.DUMMYFUNCTION("SUBSTITUTE(SUBSTITUTE(SUBSTITUTE(SUBSTITUTE(CONCATENATE(JOIN(""-"",GP180:HB180)),""--"",""-""),""--"",""-""),""--"",""-""),""--"",""-"")"),"S-R1-G2-M1-M2-P-D1-N2-N3-S")</f>
        <v>S-R1-G2-M1-M2-P-D1-N2-N3-S</v>
      </c>
      <c r="BU180" s="348" t="str">
        <f t="shared" si="29"/>
        <v>C-Db-Eb-F-F#-G-Ab-Bb-B-C</v>
      </c>
      <c r="BV180" s="349" t="str">
        <f t="shared" si="30"/>
        <v>SRGDS</v>
      </c>
      <c r="BW180" s="350">
        <f t="shared" si="31"/>
        <v>0</v>
      </c>
      <c r="BX180" s="351">
        <f t="shared" si="32"/>
        <v>3</v>
      </c>
      <c r="BY180" s="352" t="s">
        <v>275</v>
      </c>
      <c r="BZ180" s="309" t="str">
        <f>IFERROR(__xludf.DUMMYFUNCTION("IF(REGEXMATCH(C180, ""S""), ""x"",""x"")"),"x")</f>
        <v>x</v>
      </c>
      <c r="CA180" s="245" t="str">
        <f>IFERROR(__xludf.DUMMYFUNCTION("IF(REGEXMATCH(C180, ""r""), ""o"",""x"")"),"o")</f>
        <v>o</v>
      </c>
      <c r="CB180" s="246" t="str">
        <f>IFERROR(__xludf.DUMMYFUNCTION("IF(REGEXMATCH(C180, ""R""), ""o"",""x"")"),"x")</f>
        <v>x</v>
      </c>
      <c r="CC180" s="246" t="str">
        <f>IFERROR(__xludf.DUMMYFUNCTION("IF(REGEXMATCH(C180, ""g""), ""o"",""x"")"),"o")</f>
        <v>o</v>
      </c>
      <c r="CD180" s="245" t="str">
        <f>IFERROR(__xludf.DUMMYFUNCTION("IF(REGEXMATCH(C180, ""G""), ""o"",""x"")"),"x")</f>
        <v>x</v>
      </c>
      <c r="CE180" s="245" t="str">
        <f>IFERROR(__xludf.DUMMYFUNCTION("IF(REGEXMATCH(C180, ""m""), ""o"",""x"")"),"o")</f>
        <v>o</v>
      </c>
      <c r="CF180" s="246" t="str">
        <f>IFERROR(__xludf.DUMMYFUNCTION("IF(REGEXMATCH(C180, ""M""), ""o"",""x"")"),"o")</f>
        <v>o</v>
      </c>
      <c r="CG180" s="245" t="str">
        <f>IFERROR(__xludf.DUMMYFUNCTION("IF(REGEXMATCH(C180, ""P""), ""o"",""x"")"),"o")</f>
        <v>o</v>
      </c>
      <c r="CH180" s="246" t="str">
        <f>IFERROR(__xludf.DUMMYFUNCTION("IF(REGEXMATCH(C180, ""d""), ""o"",""x"")"),"o")</f>
        <v>o</v>
      </c>
      <c r="CI180" s="245" t="str">
        <f>IFERROR(__xludf.DUMMYFUNCTION("IF(REGEXMATCH(C180, ""D""), ""o"",""x"")"),"x")</f>
        <v>x</v>
      </c>
      <c r="CJ180" s="245" t="str">
        <f>IFERROR(__xludf.DUMMYFUNCTION("IF(REGEXMATCH(C180, ""n""), ""o"",""x"")"),"o")</f>
        <v>o</v>
      </c>
      <c r="CK180" s="245" t="str">
        <f>IFERROR(__xludf.DUMMYFUNCTION("IF(REGEXMATCH(C180, ""N""), ""o"",""x"")"),"o")</f>
        <v>o</v>
      </c>
      <c r="CL180" s="356" t="str">
        <f>IFERROR(__xludf.DUMMYFUNCTION("IF(REGEXMATCH(C180, ""S""), ""x"",""x"")"),"x")</f>
        <v>x</v>
      </c>
      <c r="CM180" s="357" t="str">
        <f t="shared" si="33"/>
        <v>xoxoxooooxoo</v>
      </c>
      <c r="CN180" s="358">
        <f t="shared" si="34"/>
        <v>0</v>
      </c>
      <c r="CO180" s="246" t="str">
        <f>IFERROR(__xludf.DUMMYFUNCTION("IF(REGEXMATCH($C180, ""S""), ""S"",""S"")"),"S")</f>
        <v>S</v>
      </c>
      <c r="CP180" s="246" t="str">
        <f>IFERROR(__xludf.DUMMYFUNCTION("IF(REGEXMATCH($C180, ""r""), """",""r"")"),"")</f>
        <v/>
      </c>
      <c r="CQ180" s="246" t="str">
        <f>IFERROR(__xludf.DUMMYFUNCTION("IF(REGEXMATCH($C180, ""R""), """",""R"")"),"R")</f>
        <v>R</v>
      </c>
      <c r="CR180" s="246" t="str">
        <f>IFERROR(__xludf.DUMMYFUNCTION("IF(REGEXMATCH($C180, ""g""), """",""g"")"),"")</f>
        <v/>
      </c>
      <c r="CS180" s="246" t="str">
        <f>IFERROR(__xludf.DUMMYFUNCTION("IF(REGEXMATCH($C180, ""G""), """",""G"")"),"G")</f>
        <v>G</v>
      </c>
      <c r="CT180" s="246" t="str">
        <f>IFERROR(__xludf.DUMMYFUNCTION("IF(REGEXMATCH($C180, ""m""), """",""m"")"),"")</f>
        <v/>
      </c>
      <c r="CU180" s="246" t="str">
        <f>IFERROR(__xludf.DUMMYFUNCTION("IF(REGEXMATCH($C180, ""M""), """",""M"")"),"")</f>
        <v/>
      </c>
      <c r="CV180" s="246" t="str">
        <f>IFERROR(__xludf.DUMMYFUNCTION("IF(REGEXMATCH($C180, ""P""), """",""P"")"),"")</f>
        <v/>
      </c>
      <c r="CW180" s="246" t="str">
        <f>IFERROR(__xludf.DUMMYFUNCTION("IF(REGEXMATCH($C180, ""d""), """",""d"")"),"")</f>
        <v/>
      </c>
      <c r="CX180" s="246" t="str">
        <f>IFERROR(__xludf.DUMMYFUNCTION("IF(REGEXMATCH($C180, ""D""), """",""D"")"),"D")</f>
        <v>D</v>
      </c>
      <c r="CY180" s="246" t="str">
        <f>IFERROR(__xludf.DUMMYFUNCTION("IF(REGEXMATCH($C180, ""n""), """",""n"")"),"")</f>
        <v/>
      </c>
      <c r="CZ180" s="246" t="str">
        <f>IFERROR(__xludf.DUMMYFUNCTION("IF(REGEXMATCH($C180, ""N""), """",""N"")"),"")</f>
        <v/>
      </c>
      <c r="DA180" s="246" t="str">
        <f>IFERROR(__xludf.DUMMYFUNCTION("IF(REGEXMATCH($C180, ""S""), ""S"",""S"")"),"S")</f>
        <v>S</v>
      </c>
      <c r="DB180" s="362" t="str">
        <f>IFERROR(__xludf.DUMMYFUNCTION("JOIN("""",CO180:DA180,"""","""")"),"SRGDS")</f>
        <v>SRGDS</v>
      </c>
      <c r="DC180" s="363"/>
      <c r="DD180" s="301" t="str">
        <f t="shared" si="35"/>
        <v>#REF!</v>
      </c>
      <c r="DE180" s="302" t="str">
        <f t="shared" si="36"/>
        <v>#REF!</v>
      </c>
      <c r="DF180" s="301" t="str">
        <f t="shared" ref="DF180:DG180" si="573">SUBSTITUTE(S180,"-","")</f>
        <v>SRGM</v>
      </c>
      <c r="DG180" s="301" t="str">
        <f t="shared" si="573"/>
        <v>PDNS</v>
      </c>
      <c r="DH180" s="302" t="str">
        <f t="shared" si="38"/>
        <v>Pilu</v>
      </c>
      <c r="DI180" s="301" t="str">
        <f t="shared" si="39"/>
        <v>Hemi.</v>
      </c>
      <c r="DJ180" s="364" t="str">
        <f t="shared" si="40"/>
        <v>Co-Co.</v>
      </c>
      <c r="DK180" s="306" t="str">
        <f t="shared" si="41"/>
        <v>-</v>
      </c>
      <c r="DL180" s="366" t="str">
        <f t="shared" si="42"/>
        <v>-</v>
      </c>
      <c r="DM180" s="308" t="str">
        <f t="shared" si="43"/>
        <v>✔</v>
      </c>
      <c r="DN180" s="306" t="str">
        <f t="shared" si="44"/>
        <v>-</v>
      </c>
      <c r="DO180" s="306" t="str">
        <f t="shared" si="45"/>
        <v>-</v>
      </c>
      <c r="DP180" s="367" t="str">
        <f t="shared" si="46"/>
        <v>-</v>
      </c>
      <c r="DQ180" s="310" t="str">
        <f t="shared" si="47"/>
        <v>-</v>
      </c>
      <c r="DR180" s="310" t="str">
        <f t="shared" si="48"/>
        <v>-</v>
      </c>
      <c r="DS180" s="310" t="str">
        <f t="shared" si="49"/>
        <v>✔</v>
      </c>
      <c r="DT180" s="310" t="str">
        <f t="shared" si="50"/>
        <v>-</v>
      </c>
      <c r="DU180" s="370" t="str">
        <f t="shared" si="51"/>
        <v>✔</v>
      </c>
      <c r="DV180" s="306" t="str">
        <f t="shared" si="52"/>
        <v>-</v>
      </c>
      <c r="DW180" s="306" t="str">
        <f t="shared" si="53"/>
        <v>-</v>
      </c>
      <c r="DX180" s="306" t="str">
        <f t="shared" si="54"/>
        <v>-</v>
      </c>
      <c r="DY180" s="306" t="str">
        <f t="shared" si="55"/>
        <v>-</v>
      </c>
      <c r="DZ180" s="306" t="str">
        <f t="shared" si="56"/>
        <v>-</v>
      </c>
      <c r="EA180" s="367" t="str">
        <f t="shared" si="57"/>
        <v>-</v>
      </c>
      <c r="EB180" s="310" t="str">
        <f>IFERROR(__xludf.DUMMYFUNCTION("IF(REGEXMATCH(AW180,AS180),""✔"",""-"")"),"✔")</f>
        <v>✔</v>
      </c>
      <c r="EC180" s="310" t="str">
        <f t="shared" si="58"/>
        <v>#REF!</v>
      </c>
      <c r="ED180" s="370" t="str">
        <f t="shared" si="59"/>
        <v>-</v>
      </c>
      <c r="EE180" s="340" t="str">
        <f t="shared" si="60"/>
        <v>S-r-g-mM-P-d-nN-S</v>
      </c>
      <c r="EF180" s="371" t="str">
        <f>IFERROR(__xludf.DUMMYFUNCTION("CONCATENATE(JOIN("""",HC180:HO180))"),"SrRGmMPDNS")</f>
        <v>SrRGmMPDNS</v>
      </c>
      <c r="EG180" s="372">
        <f t="shared" si="61"/>
        <v>1</v>
      </c>
      <c r="EH180" s="373" t="str">
        <f>IFERROR(__xludf.DUMMYFUNCTION("CONCATENATE(JOIN("""",JC180:JO180))"),"Pa, ")</f>
        <v>Pa, </v>
      </c>
      <c r="EI180" s="322">
        <f t="shared" si="62"/>
        <v>0</v>
      </c>
      <c r="EJ180" s="374" t="str">
        <f>IFERROR(__xludf.DUMMYFUNCTION("CONCATENATE(JOIN("""",KC180:KO180))"),"")</f>
        <v/>
      </c>
      <c r="EK180" s="325" t="str">
        <f t="shared" si="63"/>
        <v>S-R1-G2-M1-M2-P-D1-N2-N3-S</v>
      </c>
      <c r="EL180" s="326" t="str">
        <f t="shared" si="64"/>
        <v>1-b2-b3-4-#4-5-b6-b7-7-8</v>
      </c>
      <c r="EM180" s="318" t="str">
        <f t="shared" si="65"/>
        <v>#REF!</v>
      </c>
      <c r="EN180" s="328" t="str">
        <f>IFERROR(__xludf.DUMMYFUNCTION("SUBSTITUTE(SUBSTITUTE(SUBSTITUTE(SUBSTITUTE(CONCATENATE(JOIN("" "",HP180:IB180)),""  "","" ""),""  "","" ""),""  "","" ""),""  "","" "")"),"o o • o • o o o o • o o o")</f>
        <v>o o • o • o o o o • o o o</v>
      </c>
      <c r="EO180" s="368" t="str">
        <f t="shared" si="66"/>
        <v>-</v>
      </c>
      <c r="EP180" s="339" t="str">
        <f t="shared" si="67"/>
        <v>-</v>
      </c>
      <c r="EQ180" s="339" t="str">
        <f t="shared" si="68"/>
        <v>Sa-Pa</v>
      </c>
      <c r="ER180" s="339" t="str">
        <f t="shared" si="69"/>
        <v>-</v>
      </c>
      <c r="ES180" s="340" t="str">
        <f t="shared" si="70"/>
        <v>-</v>
      </c>
      <c r="ET180" s="363"/>
      <c r="EU180" s="376" t="b">
        <f>IFERROR(__xludf.DUMMYFUNCTION("arrayformula(sum(--REGEXMATCH(""SRGMPDNS"",split(REGEXREPLACE(C180,""(.)"",""$1~""),""~""))))=len(C180)
"),FALSE)</f>
        <v>0</v>
      </c>
      <c r="EV180" s="290" t="b">
        <f>IFERROR(__xludf.DUMMYFUNCTION("arrayformula(sum(--REGEXMATCH(""SRGmPDNS"",split(REGEXREPLACE(C180,""(.)"",""$1~""),""~""))))=len(C180)"),FALSE)</f>
        <v>0</v>
      </c>
      <c r="EW180" s="290" t="b">
        <f>IFERROR(__xludf.DUMMYFUNCTION("arrayformula(sum(--REGEXMATCH(""SRGmPDnS"",split(REGEXREPLACE(C180,""(.)"",""$1~""),""~""))))=len(C180)"),FALSE)</f>
        <v>0</v>
      </c>
      <c r="EX180" s="290" t="b">
        <f>IFERROR(__xludf.DUMMYFUNCTION("arrayformula(sum(--REGEXMATCH(""SRgmPDnS"",split(REGEXREPLACE(C180,""(.)"",""$1~""),""~""))))=len(C180)"),FALSE)</f>
        <v>0</v>
      </c>
      <c r="EY180" s="290" t="b">
        <f>IFERROR(__xludf.DUMMYFUNCTION("arrayformula(sum(--REGEXMATCH(""SRgmPdnS"",split(REGEXREPLACE(C180,""(.)"",""$1~""),""~""))))=len(C180)"),FALSE)</f>
        <v>0</v>
      </c>
      <c r="EZ180" s="290" t="b">
        <f>IFERROR(__xludf.DUMMYFUNCTION("arrayformula(sum(--REGEXMATCH(""SrgmPdnS"",split(REGEXREPLACE(C180,""(.)"",""$1~""),""~""))))=len(C180)"),FALSE)</f>
        <v>0</v>
      </c>
      <c r="FA180" s="290" t="b">
        <f>IFERROR(__xludf.DUMMYFUNCTION("arrayformula(sum(--REGEXMATCH(""SrGmPdNS"",split(REGEXREPLACE(C180,""(.)"",""$1~""),""~""))))=len(C180)"),FALSE)</f>
        <v>0</v>
      </c>
      <c r="FB180" s="290" t="b">
        <f>IFERROR(__xludf.DUMMYFUNCTION("arrayformula(sum(--REGEXMATCH(""SrGMPDNS"",split(REGEXREPLACE(C180,""(.)"",""$1~""),""~""))))=len(C180)"),FALSE)</f>
        <v>0</v>
      </c>
      <c r="FC180" s="290" t="b">
        <f>IFERROR(__xludf.DUMMYFUNCTION("arrayformula(sum(--REGEXMATCH(""SrGMPdNS"",split(REGEXREPLACE(C180,""(.)"",""$1~""),""~""))))=len(C180)"),FALSE)</f>
        <v>0</v>
      </c>
      <c r="FD180" s="377" t="b">
        <f>IFERROR(__xludf.DUMMYFUNCTION("arrayformula(sum(--REGEXMATCH(""SrgMPdNS"",split(REGEXREPLACE(C180,""(.)"",""$1~""),""~""))))=len(C180)"),FALSE)</f>
        <v>0</v>
      </c>
      <c r="FE180" s="269" t="str">
        <f t="shared" si="71"/>
        <v>xoxoxxxxoxx</v>
      </c>
      <c r="FF180" s="269" t="str">
        <f t="shared" si="72"/>
        <v>-</v>
      </c>
      <c r="FG180" s="271" t="str">
        <f t="shared" si="73"/>
        <v>xoxxxxoxxxx</v>
      </c>
      <c r="FH180" s="269" t="str">
        <f t="shared" si="74"/>
        <v>-</v>
      </c>
      <c r="FI180" s="271" t="str">
        <f t="shared" si="75"/>
        <v>xxxxoxxxxox</v>
      </c>
      <c r="FJ180" s="271" t="str">
        <f t="shared" si="76"/>
        <v>xxxoxxxxoxo</v>
      </c>
      <c r="FK180" s="271" t="str">
        <f t="shared" si="77"/>
        <v>xxoxxxxoxox</v>
      </c>
      <c r="FL180" s="271" t="str">
        <f t="shared" si="78"/>
        <v>xoxxxxoxoxx</v>
      </c>
      <c r="FM180" s="271" t="str">
        <f t="shared" si="79"/>
        <v>-</v>
      </c>
      <c r="FN180" s="271" t="str">
        <f t="shared" si="80"/>
        <v>xxxxoxoxxxx</v>
      </c>
      <c r="FO180" s="274" t="str">
        <f t="shared" si="81"/>
        <v>xxxoxoxxxxo</v>
      </c>
      <c r="FP180" s="234" t="str">
        <f t="shared" si="82"/>
        <v>|</v>
      </c>
      <c r="FQ180" s="236" t="str">
        <f t="shared" si="83"/>
        <v>|</v>
      </c>
      <c r="FR180" s="237" t="str">
        <f t="shared" si="84"/>
        <v>-</v>
      </c>
      <c r="FS180" s="236" t="str">
        <f t="shared" si="85"/>
        <v>|</v>
      </c>
      <c r="FT180" s="237" t="str">
        <f t="shared" si="86"/>
        <v>-</v>
      </c>
      <c r="FU180" s="236" t="str">
        <f t="shared" si="87"/>
        <v>|</v>
      </c>
      <c r="FV180" s="237" t="str">
        <f t="shared" si="88"/>
        <v>|</v>
      </c>
      <c r="FW180" s="236" t="str">
        <f t="shared" si="89"/>
        <v>|</v>
      </c>
      <c r="FX180" s="237" t="str">
        <f t="shared" si="90"/>
        <v>|</v>
      </c>
      <c r="FY180" s="236" t="str">
        <f t="shared" si="91"/>
        <v>-</v>
      </c>
      <c r="FZ180" s="237" t="str">
        <f t="shared" si="92"/>
        <v>|</v>
      </c>
      <c r="GA180" s="236" t="str">
        <f t="shared" si="93"/>
        <v>|</v>
      </c>
      <c r="GB180" s="238" t="str">
        <f t="shared" si="94"/>
        <v>|</v>
      </c>
      <c r="GC180" s="244" t="str">
        <f>IFERROR(__xludf.DUMMYFUNCTION("IF(REGEXMATCH(C180, ""S""), ""1"","""")"),"1")</f>
        <v>1</v>
      </c>
      <c r="GD180" s="245" t="str">
        <f>IFERROR(__xludf.DUMMYFUNCTION("IF(REGEXMATCH(C180, ""r""), ""b2"","""")"),"b2")</f>
        <v>b2</v>
      </c>
      <c r="GE180" s="246" t="str">
        <f>IFERROR(__xludf.DUMMYFUNCTION("IF(REGEXMATCH(C180, ""R""), ""2"","""")"),"")</f>
        <v/>
      </c>
      <c r="GF180" s="246" t="str">
        <f>IFERROR(__xludf.DUMMYFUNCTION("IF(REGEXMATCH(C180, ""g""), ""b3"","""")"),"b3")</f>
        <v>b3</v>
      </c>
      <c r="GG180" s="245" t="str">
        <f>IFERROR(__xludf.DUMMYFUNCTION("IF(REGEXMATCH(C180, ""G""), ""3"","""")"),"")</f>
        <v/>
      </c>
      <c r="GH180" s="245" t="str">
        <f>IFERROR(__xludf.DUMMYFUNCTION("IF(REGEXMATCH(C180, ""m""), ""4"","""")"),"4")</f>
        <v>4</v>
      </c>
      <c r="GI180" s="246" t="str">
        <f>IFERROR(__xludf.DUMMYFUNCTION("IF(REGEXMATCH(C180, ""M""), ""#4"","""")"),"#4")</f>
        <v>#4</v>
      </c>
      <c r="GJ180" s="245" t="str">
        <f>IFERROR(__xludf.DUMMYFUNCTION("IF(REGEXMATCH(C180, ""P""), ""5"","""")"),"5")</f>
        <v>5</v>
      </c>
      <c r="GK180" s="246" t="str">
        <f>IFERROR(__xludf.DUMMYFUNCTION("IF(REGEXMATCH(C180, ""d""), ""b6"","""")"),"b6")</f>
        <v>b6</v>
      </c>
      <c r="GL180" s="245" t="str">
        <f>IFERROR(__xludf.DUMMYFUNCTION("IF(REGEXMATCH(C180, ""D""), ""6"","""")"),"")</f>
        <v/>
      </c>
      <c r="GM180" s="245" t="str">
        <f>IFERROR(__xludf.DUMMYFUNCTION("IF(REGEXMATCH(C180, ""n""), ""b7"","""")"),"b7")</f>
        <v>b7</v>
      </c>
      <c r="GN180" s="246" t="str">
        <f>IFERROR(__xludf.DUMMYFUNCTION("IF(REGEXMATCH(C180, ""N""), ""7"","""")"),"7")</f>
        <v>7</v>
      </c>
      <c r="GO180" s="249" t="str">
        <f>IFERROR(__xludf.DUMMYFUNCTION("IF(REGEXMATCH(C180, ""S""), ""8"","""")"),"8")</f>
        <v>8</v>
      </c>
      <c r="GP180" s="244" t="str">
        <f>IFERROR(__xludf.DUMMYFUNCTION("IF(REGEXMATCH(C180, ""S""), ""S"","""")"),"S")</f>
        <v>S</v>
      </c>
      <c r="GQ180" s="294" t="str">
        <f>IFERROR(__xludf.DUMMYFUNCTION("IF(REGEXMATCH(C180, ""r""), ""R1"","""")"),"R1")</f>
        <v>R1</v>
      </c>
      <c r="GR180" s="295" t="str">
        <f>IFERROR(__xludf.DUMMYFUNCTION("IF(REGEXMATCH(C180, ""R""), ""R2"","""")"),"")</f>
        <v/>
      </c>
      <c r="GS180" s="295" t="str">
        <f>IFERROR(__xludf.DUMMYFUNCTION("IF(REGEXMATCH(C180, ""g""), ""G2"","""")"),"G2")</f>
        <v>G2</v>
      </c>
      <c r="GT180" s="294" t="str">
        <f>IFERROR(__xludf.DUMMYFUNCTION("IF(REGEXMATCH(C180, ""G""), ""G3"","""")"),"")</f>
        <v/>
      </c>
      <c r="GU180" s="294" t="str">
        <f>IFERROR(__xludf.DUMMYFUNCTION("IF(REGEXMATCH(C180, ""m""), ""M1"","""")"),"M1")</f>
        <v>M1</v>
      </c>
      <c r="GV180" s="295" t="str">
        <f>IFERROR(__xludf.DUMMYFUNCTION("IF(REGEXMATCH(C180, ""M""), ""M2"","""")"),"M2")</f>
        <v>M2</v>
      </c>
      <c r="GW180" s="294" t="str">
        <f>IFERROR(__xludf.DUMMYFUNCTION("IF(REGEXMATCH(C180, ""P""), ""P"","""")"),"P")</f>
        <v>P</v>
      </c>
      <c r="GX180" s="295" t="str">
        <f>IFERROR(__xludf.DUMMYFUNCTION("IF(REGEXMATCH(C180, ""d""), ""D1"","""")"),"D1")</f>
        <v>D1</v>
      </c>
      <c r="GY180" s="294" t="str">
        <f>IFERROR(__xludf.DUMMYFUNCTION("IF(REGEXMATCH(C180, ""D""), ""D2"","""")"),"")</f>
        <v/>
      </c>
      <c r="GZ180" s="294" t="str">
        <f>IFERROR(__xludf.DUMMYFUNCTION("IF(REGEXMATCH(C180, ""n""), ""N2"","""")"),"N2")</f>
        <v>N2</v>
      </c>
      <c r="HA180" s="295" t="str">
        <f>IFERROR(__xludf.DUMMYFUNCTION("IF(REGEXMATCH(C180, ""N""), ""N3"","""")"),"N3")</f>
        <v>N3</v>
      </c>
      <c r="HB180" s="249" t="str">
        <f>IFERROR(__xludf.DUMMYFUNCTION("IF(REGEXMATCH(C180, ""S""), ""S"","""")"),"S")</f>
        <v>S</v>
      </c>
      <c r="HC180" s="331" t="str">
        <f t="shared" si="95"/>
        <v>S</v>
      </c>
      <c r="HD180" s="332" t="str">
        <f t="shared" si="96"/>
        <v>r</v>
      </c>
      <c r="HE180" s="332" t="str">
        <f t="shared" si="97"/>
        <v>R</v>
      </c>
      <c r="HF180" s="332" t="str">
        <f t="shared" si="98"/>
        <v/>
      </c>
      <c r="HG180" s="332" t="str">
        <f t="shared" si="99"/>
        <v>G</v>
      </c>
      <c r="HH180" s="332" t="str">
        <f t="shared" si="100"/>
        <v>m</v>
      </c>
      <c r="HI180" s="332" t="str">
        <f t="shared" si="101"/>
        <v>M</v>
      </c>
      <c r="HJ180" s="332" t="str">
        <f t="shared" si="102"/>
        <v>P</v>
      </c>
      <c r="HK180" s="332" t="str">
        <f t="shared" si="103"/>
        <v/>
      </c>
      <c r="HL180" s="332" t="str">
        <f t="shared" si="104"/>
        <v>D</v>
      </c>
      <c r="HM180" s="332" t="str">
        <f t="shared" si="105"/>
        <v/>
      </c>
      <c r="HN180" s="332" t="str">
        <f t="shared" si="106"/>
        <v>N</v>
      </c>
      <c r="HO180" s="343" t="str">
        <f t="shared" si="107"/>
        <v>S</v>
      </c>
      <c r="HP180" s="331" t="str">
        <f t="shared" si="108"/>
        <v>o</v>
      </c>
      <c r="HQ180" s="332" t="str">
        <f t="shared" si="109"/>
        <v>o</v>
      </c>
      <c r="HR180" s="332" t="str">
        <f t="shared" si="110"/>
        <v>•</v>
      </c>
      <c r="HS180" s="332" t="str">
        <f t="shared" si="111"/>
        <v>o</v>
      </c>
      <c r="HT180" s="332" t="str">
        <f t="shared" si="112"/>
        <v>•</v>
      </c>
      <c r="HU180" s="332" t="str">
        <f t="shared" si="113"/>
        <v>o</v>
      </c>
      <c r="HV180" s="332" t="str">
        <f t="shared" si="114"/>
        <v>o</v>
      </c>
      <c r="HW180" s="332" t="str">
        <f t="shared" si="115"/>
        <v>o</v>
      </c>
      <c r="HX180" s="332" t="str">
        <f t="shared" si="116"/>
        <v>o</v>
      </c>
      <c r="HY180" s="332" t="str">
        <f t="shared" si="117"/>
        <v>•</v>
      </c>
      <c r="HZ180" s="332" t="str">
        <f t="shared" si="118"/>
        <v>o</v>
      </c>
      <c r="IA180" s="332" t="str">
        <f t="shared" si="119"/>
        <v>o</v>
      </c>
      <c r="IB180" s="338" t="str">
        <f t="shared" si="120"/>
        <v>o</v>
      </c>
      <c r="IC180" s="331" t="str">
        <f t="shared" si="121"/>
        <v>•</v>
      </c>
      <c r="ID180" s="332" t="str">
        <f t="shared" si="122"/>
        <v>•</v>
      </c>
      <c r="IE180" s="332" t="str">
        <f t="shared" si="123"/>
        <v>o</v>
      </c>
      <c r="IF180" s="332" t="str">
        <f t="shared" si="124"/>
        <v>•</v>
      </c>
      <c r="IG180" s="332" t="str">
        <f t="shared" si="125"/>
        <v>o</v>
      </c>
      <c r="IH180" s="332" t="str">
        <f t="shared" si="126"/>
        <v>•</v>
      </c>
      <c r="II180" s="332" t="str">
        <f t="shared" si="127"/>
        <v>•</v>
      </c>
      <c r="IJ180" s="332" t="str">
        <f t="shared" si="128"/>
        <v>•</v>
      </c>
      <c r="IK180" s="332" t="str">
        <f t="shared" si="129"/>
        <v>•</v>
      </c>
      <c r="IL180" s="332" t="str">
        <f t="shared" si="130"/>
        <v>o</v>
      </c>
      <c r="IM180" s="332" t="str">
        <f t="shared" si="131"/>
        <v>•</v>
      </c>
      <c r="IN180" s="332" t="str">
        <f t="shared" si="132"/>
        <v>•</v>
      </c>
      <c r="IO180" s="338" t="str">
        <f t="shared" si="133"/>
        <v>•</v>
      </c>
      <c r="IP180" s="346" t="b">
        <f t="shared" si="134"/>
        <v>0</v>
      </c>
      <c r="IQ180" s="347" t="b">
        <f t="shared" si="135"/>
        <v>0</v>
      </c>
      <c r="IR180" s="347" t="b">
        <f t="shared" si="136"/>
        <v>0</v>
      </c>
      <c r="IS180" s="347" t="b">
        <f t="shared" si="137"/>
        <v>0</v>
      </c>
      <c r="IT180" s="347" t="b">
        <f t="shared" si="138"/>
        <v>0</v>
      </c>
      <c r="IU180" s="347" t="b">
        <f t="shared" si="139"/>
        <v>0</v>
      </c>
      <c r="IV180" s="347" t="b">
        <f t="shared" si="140"/>
        <v>0</v>
      </c>
      <c r="IW180" s="347" t="b">
        <f t="shared" si="141"/>
        <v>1</v>
      </c>
      <c r="IX180" s="347" t="b">
        <f t="shared" si="142"/>
        <v>0</v>
      </c>
      <c r="IY180" s="347" t="b">
        <f t="shared" si="143"/>
        <v>0</v>
      </c>
      <c r="IZ180" s="347" t="b">
        <f t="shared" si="144"/>
        <v>0</v>
      </c>
      <c r="JA180" s="347" t="b">
        <f t="shared" si="145"/>
        <v>0</v>
      </c>
      <c r="JB180" s="353" t="b">
        <f t="shared" si="146"/>
        <v>0</v>
      </c>
      <c r="JC180" s="354" t="str">
        <f t="shared" si="147"/>
        <v/>
      </c>
      <c r="JD180" s="355" t="str">
        <f t="shared" si="148"/>
        <v/>
      </c>
      <c r="JE180" s="355" t="str">
        <f t="shared" si="149"/>
        <v/>
      </c>
      <c r="JF180" s="355" t="str">
        <f t="shared" si="150"/>
        <v/>
      </c>
      <c r="JG180" s="355" t="str">
        <f t="shared" si="151"/>
        <v/>
      </c>
      <c r="JH180" s="355" t="str">
        <f t="shared" si="152"/>
        <v/>
      </c>
      <c r="JI180" s="355" t="str">
        <f t="shared" si="153"/>
        <v/>
      </c>
      <c r="JJ180" s="355" t="str">
        <f t="shared" si="154"/>
        <v>Pa, </v>
      </c>
      <c r="JK180" s="355" t="str">
        <f t="shared" si="155"/>
        <v/>
      </c>
      <c r="JL180" s="355" t="str">
        <f t="shared" si="156"/>
        <v/>
      </c>
      <c r="JM180" s="355" t="str">
        <f t="shared" si="157"/>
        <v/>
      </c>
      <c r="JN180" s="355" t="str">
        <f t="shared" si="158"/>
        <v/>
      </c>
      <c r="JO180" s="359" t="str">
        <f t="shared" si="159"/>
        <v/>
      </c>
      <c r="JP180" s="346" t="b">
        <f t="shared" si="160"/>
        <v>0</v>
      </c>
      <c r="JQ180" s="347" t="b">
        <f t="shared" si="161"/>
        <v>0</v>
      </c>
      <c r="JR180" s="347" t="b">
        <f t="shared" si="162"/>
        <v>0</v>
      </c>
      <c r="JS180" s="347" t="b">
        <f t="shared" si="163"/>
        <v>0</v>
      </c>
      <c r="JT180" s="347" t="b">
        <f t="shared" si="164"/>
        <v>0</v>
      </c>
      <c r="JU180" s="347" t="b">
        <f t="shared" si="165"/>
        <v>0</v>
      </c>
      <c r="JV180" s="347" t="b">
        <f t="shared" si="166"/>
        <v>0</v>
      </c>
      <c r="JW180" s="347" t="b">
        <f t="shared" si="167"/>
        <v>0</v>
      </c>
      <c r="JX180" s="347" t="b">
        <f t="shared" si="168"/>
        <v>0</v>
      </c>
      <c r="JY180" s="347" t="b">
        <f t="shared" si="169"/>
        <v>0</v>
      </c>
      <c r="JZ180" s="347" t="b">
        <f t="shared" si="170"/>
        <v>0</v>
      </c>
      <c r="KA180" s="347" t="b">
        <f t="shared" si="171"/>
        <v>0</v>
      </c>
      <c r="KB180" s="365" t="b">
        <f t="shared" si="172"/>
        <v>0</v>
      </c>
      <c r="KC180" s="354" t="str">
        <f t="shared" si="173"/>
        <v/>
      </c>
      <c r="KD180" s="355" t="str">
        <f t="shared" si="174"/>
        <v/>
      </c>
      <c r="KE180" s="355" t="str">
        <f t="shared" si="175"/>
        <v/>
      </c>
      <c r="KF180" s="355" t="str">
        <f t="shared" si="176"/>
        <v/>
      </c>
      <c r="KG180" s="355" t="str">
        <f t="shared" si="177"/>
        <v/>
      </c>
      <c r="KH180" s="355" t="str">
        <f t="shared" si="178"/>
        <v/>
      </c>
      <c r="KI180" s="355" t="str">
        <f t="shared" si="179"/>
        <v/>
      </c>
      <c r="KJ180" s="355" t="str">
        <f t="shared" si="180"/>
        <v/>
      </c>
      <c r="KK180" s="355" t="str">
        <f t="shared" si="181"/>
        <v/>
      </c>
      <c r="KL180" s="355" t="str">
        <f t="shared" si="182"/>
        <v/>
      </c>
      <c r="KM180" s="355" t="str">
        <f t="shared" si="183"/>
        <v/>
      </c>
      <c r="KN180" s="355" t="str">
        <f t="shared" si="184"/>
        <v/>
      </c>
      <c r="KO180" s="359"/>
      <c r="KP180" s="378"/>
      <c r="KQ180" s="379" t="s">
        <v>9</v>
      </c>
      <c r="KR180" s="380" t="s">
        <v>9</v>
      </c>
      <c r="KS180" s="381" t="s">
        <v>9</v>
      </c>
      <c r="KT180" s="382">
        <f t="shared" si="186"/>
        <v>0</v>
      </c>
      <c r="KU180" s="383">
        <f t="shared" si="187"/>
        <v>0</v>
      </c>
      <c r="KV180" s="381" t="str">
        <f t="shared" si="205"/>
        <v>S</v>
      </c>
      <c r="KW180" s="382">
        <f t="shared" si="189"/>
        <v>0</v>
      </c>
      <c r="KX180" s="384">
        <f t="shared" si="190"/>
        <v>0</v>
      </c>
      <c r="KY180" s="382">
        <f t="shared" ref="KY180:KZ180" si="574">KW180-KT180</f>
        <v>0</v>
      </c>
      <c r="KZ180" s="369">
        <f t="shared" si="574"/>
        <v>0</v>
      </c>
      <c r="LA180" s="385" t="str">
        <f t="shared" si="192"/>
        <v>✔</v>
      </c>
      <c r="LB180" s="340" t="str">
        <f>IFERROR(__xludf.DUMMYFUNCTION("JOIN("""",ArrayFormula(MID(KS180,LEN(KS180)-SEQUENCE(1,LEN(KS180))+1,1)))"),"S")</f>
        <v>S</v>
      </c>
      <c r="LC180" s="373" t="str">
        <f>IFERROR(__xludf.DUMMYFUNCTION("JOIN("""",ArrayFormula(MID(KV180,LEN(KV180)-SEQUENCE(1,LEN(KV180))+1,1)))"),"S")</f>
        <v>S</v>
      </c>
      <c r="LD180" s="373" t="str">
        <f t="shared" si="193"/>
        <v>S</v>
      </c>
      <c r="LE180" s="339" t="str">
        <f t="shared" si="194"/>
        <v>S</v>
      </c>
      <c r="LF180" s="386" t="str">
        <f>IFERROR(__xludf.DUMMYFUNCTION("SUBSTITUTE(SUBSTITUTE(CONCATENATE(JOIN("""",LH180:LT180)),""1"",""""),""2"","""")"),"SS")</f>
        <v>SS</v>
      </c>
      <c r="LG180" s="369" t="str">
        <f t="shared" si="195"/>
        <v>-</v>
      </c>
      <c r="LH180" s="387" t="str">
        <f>IFERROR(__xludf.DUMMYFUNCTION("IF(REGEXMATCH(LD180, ""S""), ""S"",IF(REGEXMATCH(LE180, ""S""), ""S"",""""))"),"S")</f>
        <v>S</v>
      </c>
      <c r="LI180" s="299" t="str">
        <f>IFERROR(__xludf.DUMMYFUNCTION("IF(REGEXMATCH(LD180, ""r""), ""r1"",IF(REGEXMATCH(LE180, ""r""), ""r2"",""""))"),"")</f>
        <v/>
      </c>
      <c r="LJ180" s="299" t="str">
        <f>IFERROR(__xludf.DUMMYFUNCTION("IF(REGEXMATCH(LD180, ""R""), ""R1"",IF(REGEXMATCH(LE180, ""R""), ""R2"",""""))"),"")</f>
        <v/>
      </c>
      <c r="LK180" s="299" t="str">
        <f>IFERROR(__xludf.DUMMYFUNCTION("IF(REGEXMATCH(LD180, ""g""), ""g1"",IF(REGEXMATCH(LE180, ""g""), ""g2"",""""))"),"")</f>
        <v/>
      </c>
      <c r="LL180" s="299" t="str">
        <f>IFERROR(__xludf.DUMMYFUNCTION("IF(REGEXMATCH(LD180, ""G""), ""G1"",IF(REGEXMATCH(LE180, ""G""), ""G2"",""""))"),"")</f>
        <v/>
      </c>
      <c r="LM180" s="299" t="str">
        <f>IFERROR(__xludf.DUMMYFUNCTION("IF(REGEXMATCH(LD180, ""m""), ""m1"",IF(REGEXMATCH(LE180, ""m""), ""m2"",""""))"),"")</f>
        <v/>
      </c>
      <c r="LN180" s="299" t="str">
        <f>IFERROR(__xludf.DUMMYFUNCTION("IF(REGEXMATCH(LD180, ""M""), ""M1"",IF(REGEXMATCH(LE180, ""M""), ""M2"",""""))"),"")</f>
        <v/>
      </c>
      <c r="LO180" s="299" t="str">
        <f>IFERROR(__xludf.DUMMYFUNCTION("IF(REGEXMATCH(LD180, ""P""), ""P1"",IF(REGEXMATCH(LE180, ""P""), ""P2"",""""))"),"")</f>
        <v/>
      </c>
      <c r="LP180" s="299" t="str">
        <f>IFERROR(__xludf.DUMMYFUNCTION("IF(REGEXMATCH(LD180, ""d""), ""d1"",IF(REGEXMATCH(LE180, ""d""), ""d2"",""""))"),"")</f>
        <v/>
      </c>
      <c r="LQ180" s="299" t="str">
        <f>IFERROR(__xludf.DUMMYFUNCTION("IF(REGEXMATCH(LD180, ""D""), ""D1"",IF(REGEXMATCH(LE180, ""D""), ""D2"",""""))"),"")</f>
        <v/>
      </c>
      <c r="LR180" s="299" t="str">
        <f>IFERROR(__xludf.DUMMYFUNCTION("IF(REGEXMATCH(LD180, ""n""), ""n1"",IF(REGEXMATCH(LE180, ""n""), ""n2"",""""))"),"")</f>
        <v/>
      </c>
      <c r="LS180" s="299" t="str">
        <f>IFERROR(__xludf.DUMMYFUNCTION("IF(REGEXMATCH(LD180, ""N""), ""N1"",IF(REGEXMATCH(LE180, ""N""), ""N2"",""""))"),"")</f>
        <v/>
      </c>
      <c r="LT180" s="388" t="str">
        <f>IFERROR(__xludf.DUMMYFUNCTION("IF(REGEXMATCH(LD180, ""S""), ""S"",IF(REGEXMATCH(LE180, ""S""), ""S"",""""))"),"S")</f>
        <v>S</v>
      </c>
      <c r="LU180" s="389">
        <f t="shared" si="196"/>
        <v>1</v>
      </c>
      <c r="LV180" s="378"/>
      <c r="LW180" s="369"/>
      <c r="LX180" s="369"/>
    </row>
    <row r="181" ht="18.0" customHeight="1">
      <c r="A181" s="298" t="s">
        <v>881</v>
      </c>
      <c r="B181" s="222" t="s">
        <v>632</v>
      </c>
      <c r="C181" s="233" t="str">
        <f t="shared" si="7"/>
        <v>SRGmMPDNS</v>
      </c>
      <c r="D181" s="234" t="str">
        <f>IFERROR(__xludf.DUMMYFUNCTION("IF(REGEXMATCH(C181, ""S""), ""S"","""")"),"S")</f>
        <v>S</v>
      </c>
      <c r="E181" s="236" t="str">
        <f>IFERROR(__xludf.DUMMYFUNCTION("IF(REGEXMATCH(C181, ""r""), ""r"","""")"),"")</f>
        <v/>
      </c>
      <c r="F181" s="237" t="str">
        <f>IFERROR(__xludf.DUMMYFUNCTION("IF(REGEXMATCH(C181, ""R""), ""R"","""")"),"R")</f>
        <v>R</v>
      </c>
      <c r="G181" s="237" t="str">
        <f>IFERROR(__xludf.DUMMYFUNCTION("IF(REGEXMATCH(C181, ""g""), ""g"","""")"),"")</f>
        <v/>
      </c>
      <c r="H181" s="236" t="str">
        <f>IFERROR(__xludf.DUMMYFUNCTION("IF(REGEXMATCH(C181, ""G""), ""G"","""")"),"G")</f>
        <v>G</v>
      </c>
      <c r="I181" s="236" t="str">
        <f>IFERROR(__xludf.DUMMYFUNCTION("IF(REGEXMATCH(C181, ""m""), ""m"","""")"),"m")</f>
        <v>m</v>
      </c>
      <c r="J181" s="237" t="str">
        <f>IFERROR(__xludf.DUMMYFUNCTION("IF(REGEXMATCH(C181, ""M""), ""M"","""")"),"M")</f>
        <v>M</v>
      </c>
      <c r="K181" s="236" t="str">
        <f>IFERROR(__xludf.DUMMYFUNCTION("IF(REGEXMATCH(C181, ""P""), ""P"","""")"),"P")</f>
        <v>P</v>
      </c>
      <c r="L181" s="237" t="str">
        <f>IFERROR(__xludf.DUMMYFUNCTION("IF(REGEXMATCH(C181, ""d""), ""d"","""")"),"")</f>
        <v/>
      </c>
      <c r="M181" s="236" t="str">
        <f>IFERROR(__xludf.DUMMYFUNCTION("IF(REGEXMATCH(C181, ""D""), ""D"","""")"),"D")</f>
        <v>D</v>
      </c>
      <c r="N181" s="236" t="str">
        <f>IFERROR(__xludf.DUMMYFUNCTION("IF(REGEXMATCH(C181, ""n""), ""n"","""")"),"")</f>
        <v/>
      </c>
      <c r="O181" s="237" t="str">
        <f>IFERROR(__xludf.DUMMYFUNCTION("IF(REGEXMATCH(C181, ""N""), ""N"","""")"),"N")</f>
        <v>N</v>
      </c>
      <c r="P181" s="238" t="str">
        <f>IFERROR(__xludf.DUMMYFUNCTION("IF(REGEXMATCH(C181, ""S""), ""S"","""")"),"S")</f>
        <v>S</v>
      </c>
      <c r="Q181" s="239" t="str">
        <f>IFERROR(__xludf.DUMMYFUNCTION("SUBSTITUTE(CONCATENATE(JOIN(""-"",D181:J181)),""-"","""")"),"SRGmM")</f>
        <v>SRGmM</v>
      </c>
      <c r="R181" s="229" t="str">
        <f>IFERROR(__xludf.DUMMYFUNCTION("SUBSTITUTE(CONCATENATE(JOIN(""-"",K181:P181)),""-"","""")"),"PDNS")</f>
        <v>PDNS</v>
      </c>
      <c r="S181" s="282" t="str">
        <f t="shared" si="8"/>
        <v>S-R-G-M</v>
      </c>
      <c r="T181" s="282" t="str">
        <f t="shared" si="9"/>
        <v>P-D-N-S</v>
      </c>
      <c r="U181" s="237" t="str">
        <f>IFERROR(__xludf.DUMMYFUNCTION("SUBSTITUTE(JOIN(""-"",S181,T181),""--"",""-"")"),"S-R-G-M-P-D-N-S")</f>
        <v>S-R-G-M-P-D-N-S</v>
      </c>
      <c r="V181" s="309" t="str">
        <f t="shared" si="10"/>
        <v>RGmMDN</v>
      </c>
      <c r="W181" s="244" t="str">
        <f>IFERROR(__xludf.DUMMYFUNCTION("IF(REGEXMATCH(C181, ""S""), ""0"","""")"),"0")</f>
        <v>0</v>
      </c>
      <c r="X181" s="245" t="str">
        <f>IFERROR(__xludf.DUMMYFUNCTION("IF(REGEXMATCH(C181, ""r""), ""1"","""")"),"")</f>
        <v/>
      </c>
      <c r="Y181" s="246" t="str">
        <f>IFERROR(__xludf.DUMMYFUNCTION("IF(REGEXMATCH(C181, ""R""), ""2"","""")"),"2")</f>
        <v>2</v>
      </c>
      <c r="Z181" s="246" t="str">
        <f>IFERROR(__xludf.DUMMYFUNCTION("IF(REGEXMATCH(C181, ""g""), ""3"","""")"),"")</f>
        <v/>
      </c>
      <c r="AA181" s="245" t="str">
        <f>IFERROR(__xludf.DUMMYFUNCTION("IF(REGEXMATCH(C181, ""G""), ""4"","""")"),"4")</f>
        <v>4</v>
      </c>
      <c r="AB181" s="245" t="str">
        <f>IFERROR(__xludf.DUMMYFUNCTION("IF(REGEXMATCH(C181, ""m""), ""5"","""")"),"5")</f>
        <v>5</v>
      </c>
      <c r="AC181" s="246" t="str">
        <f>IFERROR(__xludf.DUMMYFUNCTION("IF(REGEXMATCH(C181, ""M""), ""6"","""")"),"6")</f>
        <v>6</v>
      </c>
      <c r="AD181" s="245" t="str">
        <f>IFERROR(__xludf.DUMMYFUNCTION("IF(REGEXMATCH(C181, ""P""), ""7"","""")"),"7")</f>
        <v>7</v>
      </c>
      <c r="AE181" s="246" t="str">
        <f>IFERROR(__xludf.DUMMYFUNCTION("IF(REGEXMATCH(C181, ""d""), ""8"","""")"),"")</f>
        <v/>
      </c>
      <c r="AF181" s="245" t="str">
        <f>IFERROR(__xludf.DUMMYFUNCTION("IF(REGEXMATCH(C181, ""D""), ""9"","""")"),"9")</f>
        <v>9</v>
      </c>
      <c r="AG181" s="245" t="str">
        <f>IFERROR(__xludf.DUMMYFUNCTION("IF(REGEXMATCH(C181, ""n""), ""10"","""")"),"")</f>
        <v/>
      </c>
      <c r="AH181" s="246" t="str">
        <f>IFERROR(__xludf.DUMMYFUNCTION("IF(REGEXMATCH(C181, ""N""), ""11"","""")"),"11")</f>
        <v>11</v>
      </c>
      <c r="AI181" s="249" t="str">
        <f>IFERROR(__xludf.DUMMYFUNCTION("IF(REGEXMATCH(C181, ""S""), ""0"","""")"),"0")</f>
        <v>0</v>
      </c>
      <c r="AJ181" s="313" t="str">
        <f t="shared" si="11"/>
        <v>T</v>
      </c>
      <c r="AK181" s="313" t="str">
        <f t="shared" si="12"/>
        <v>-</v>
      </c>
      <c r="AL181" s="313" t="str">
        <f t="shared" si="13"/>
        <v>-</v>
      </c>
      <c r="AM181" s="313" t="str">
        <f t="shared" si="14"/>
        <v>-</v>
      </c>
      <c r="AN181" s="313" t="str">
        <f t="shared" si="15"/>
        <v>-</v>
      </c>
      <c r="AO181" s="314" t="str">
        <f t="shared" si="16"/>
        <v>T</v>
      </c>
      <c r="AP181" s="316">
        <f t="shared" si="17"/>
        <v>2</v>
      </c>
      <c r="AQ181" s="319" t="str">
        <f t="shared" si="18"/>
        <v>-</v>
      </c>
      <c r="AR181" s="320">
        <f t="shared" si="19"/>
        <v>0</v>
      </c>
      <c r="AS181" s="250" t="str">
        <f>IFERROR(__xludf.DUMMYFUNCTION("SUBSTITUTE(SUBSTITUTE(CONCATENATE(JOIN("""",FP181:GA181)),""|"",""x""),""-"",""o"")"),"xoxoxxxxoxox")</f>
        <v>xoxoxxxxoxox</v>
      </c>
      <c r="AT181" s="323" t="str">
        <f>IFERROR(__xludf.DUMMYFUNCTION("JOIN("""",AS181,AS181)"),"xoxoxxxxoxoxxoxoxxxxoxox")</f>
        <v>xoxoxxxxoxoxxoxoxxxxoxox</v>
      </c>
      <c r="AU181" s="256" t="str">
        <f>IFERROR(__xludf.DUMMYFUNCTION("JOIN("""",ArrayFormula(MID(AS181,LEN(AS181)-SEQUENCE(1,LEN(AS181))+1,1)))"),"xoxoxxxxoxox")</f>
        <v>xoxoxxxxoxox</v>
      </c>
      <c r="AV181" s="256" t="str">
        <f>IFERROR(__xludf.DUMMYFUNCTION("LEFT(CONCATENATE(""x"",JOIN("""",ArrayFormula(MID(AS181,LEN(AS181)-SEQUENCE(1,LEN(AS181))+1,1)))),12)"),"xxoxoxxxxoxo")</f>
        <v>xxoxoxxxxoxo</v>
      </c>
      <c r="AW181" s="327" t="str">
        <f>IFERROR(__xludf.DUMMYFUNCTION("JOIN("""",AU181,AU181)"),"xoxoxxxxoxoxxoxoxxxxoxox")</f>
        <v>xoxoxxxxoxoxxoxoxxxxoxox</v>
      </c>
      <c r="AX181" s="239" t="str">
        <f>IFERROR(__xludf.DUMMYFUNCTION("IF(REGEXMATCH(AW181,AS181),""✔"",""-"")"),"✔")</f>
        <v>✔</v>
      </c>
      <c r="AY181" s="330" t="str">
        <f t="shared" si="20"/>
        <v>-</v>
      </c>
      <c r="AZ181" s="260" t="str">
        <f t="shared" si="21"/>
        <v>#REF!</v>
      </c>
      <c r="BA181" s="333" t="str">
        <f t="shared" si="22"/>
        <v>xoxoxxx</v>
      </c>
      <c r="BB181" s="334" t="str">
        <f t="shared" si="23"/>
        <v>xoxoxx</v>
      </c>
      <c r="BC181" s="335" t="str">
        <f t="shared" si="236"/>
        <v>✔</v>
      </c>
      <c r="BD181" s="336" t="str">
        <f t="shared" si="25"/>
        <v>Khem Kalyan: 'xoxoxxx' + 'xoxoxx'</v>
      </c>
      <c r="BE181" s="337">
        <f>IFERROR(__xludf.DUMMYFUNCTION("COUNTUNIQUE(FILTER(AT:AT,REGEXMATCH(AT:AT,AS181)))-1"),3.0)</f>
        <v>3</v>
      </c>
      <c r="BF181" s="261" t="str">
        <f>IFERROR(__xludf.DUMMYFUNCTION("IF(BI181=0,""(n/a)"",IF(BJ181=2,""(PAIR)"",IF(REGEXMATCH(AT181,""xoxoxxoxoxox""),""Bilawal"",IF(REGEXMATCH(AT181,""xoxoxooxoxoo""),""Bhupali"",IF(REGEXMATCH(AT181,""xoxoxxoxxoxo""),""Charukeshi"",IF(REGEXMATCH(AT181,""xoxoooxxoxxo""),""Kameshwari"",IF(REG"&amp;"EXMATCH(AT181,""xoxoxooxoxox""),""Shankara"",IF(REGEXMATCH(AT181,""xxooxoxxxoox""),""Basant"",IF(REGEXMATCH(AT181,""xoxoxxxxoxox""),""Bihag"",IF(REGEXMATCH(AT181,""xoxxxxoxoxxx""),""Pilu"",IF(REGEXMATCH(AT181,""xoxxoxoxxoox""),""Kirwani"",IF(REGEXMATCH(AT"&amp;"181,""xoxxoxoxoxxx""),""Mk.Malhar"",IF(REGEXMATCH(AT181,""xxooxxoxxoox""),""Bhairav"",IF(REGEXMATCH(AT181,""xxoxooxxxoox""),""Todi"",IF(REGEXMATCH(AT181,""xxooxoxooxox""),""Marwa"",IF(REGEXMATCH(AT181,""xxoooxoxxooo""),""Gunkali"",IF(REGEXMATCH(AT181,""xo"&amp;"xoxxoxxoox""),""Nat Bhairav"",IF(REGEXMATCH(AT181,""xoxxoooxoxoo""),""Shivranjani"",IF(REGEXMATCH(AT181,""xooxxxoxooxo""),""Jog"",IF(REGEXMATCH(AT181,""xxooxoxoxoox""),""Hemshri"",IF(REGEXMATCH(AT181,""xoooxooxoxxo""),""Kalavati"",IF(REGEXMATCH(AT181,""xx"&amp;"oxoxxoxoox""),""Kedar"",IF(REGEXMATCH(AT181,""xoxxxxoxooxx""),""Gara"",IF(REGEXMATCH(AT181,""xooxoxooxoox""),""Chandrakauns"",IF(REGEXMATCH(AT181,""xoxxxxoxxxox""),""Mand"",IF(REGEXMATCH(AT181,""xoxxxxoxoxox""),""Hanskinkini"",IF(REGEXMATCH(AT181,""xxooxx"&amp;"oxooxo""),""Lilavati"",IF(REGEXMATCH(AT181,""xooxoxoooxox""),""Rajeshwari"",IF(REGEXMATCH(AT181,""xoooxxoxoxxx""),""Khokar"",IF(REGEXMATCH(AT181,""xxooxoxxxxox""),""Maligoura"",""-""))))))))))))))))))))))))))))))"),"Bihag")</f>
        <v>Bihag</v>
      </c>
      <c r="BG181" s="239" t="str">
        <f t="shared" si="26"/>
        <v>#REF!</v>
      </c>
      <c r="BH181" s="239">
        <f>IFERROR(__xludf.DUMMYFUNCTION("COUNTUNIQUE(FE181:FO181)-1"),7.0)</f>
        <v>7</v>
      </c>
      <c r="BI181" s="239">
        <f>IFERROR(__xludf.DUMMYFUNCTION("COUNTUNIQUE(FILTER(AT:AT,REGEXMATCH(AT:AT,AS181)))-1"),3.0)</f>
        <v>3</v>
      </c>
      <c r="BJ181" s="239">
        <f>IFERROR(__xludf.DUMMYFUNCTION("COUNTA(FILTER(AT:AT,REGEXMATCH(AT:AT,AS181)))"),36.0)</f>
        <v>36</v>
      </c>
      <c r="BK181" s="341">
        <f>IFERROR(__xludf.DUMMYFUNCTION("COUNTA(FILTER(AT:AT,REGEXMATCH(AT:AT,AS181)))-AR181"),36.0)</f>
        <v>36</v>
      </c>
      <c r="BL181" s="276" t="str">
        <f>IFERROR(__xludf.DUMMYFUNCTION("IF(AS181=""oooooooooooo"",""-"",IF(REGEXMATCH(AT181,""xx""), ""Hemi."", ""Anhemi.""))"),"Hemi.")</f>
        <v>Hemi.</v>
      </c>
      <c r="BM181" s="282" t="str">
        <f>IFERROR(__xludf.DUMMYFUNCTION("IF(AS181=""oooooooooooo"",""-"",IF(REGEXMATCH(AT181,""xxx""), ""Cohem."", ""-""))"),"Cohem.")</f>
        <v>Cohem.</v>
      </c>
      <c r="BN181" s="282" t="str">
        <f>IFERROR(__xludf.DUMMYFUNCTION("IF(AS181=""oooooooooooo"",""-"",IF(REGEXMATCH(AT181,""xxxx""), ""Co-Co."", ""-""))"),"Co-Co.")</f>
        <v>Co-Co.</v>
      </c>
      <c r="BO181" s="342" t="str">
        <f>IFERROR(__xludf.DUMMYFUNCTION("IF(AS181=""oooooooooooo"",""-"",IF(REGEXMATCH(AT181,""xxxxx""), ""CCC."", ""-""))"),"-")</f>
        <v>-</v>
      </c>
      <c r="BP181" s="344" t="str">
        <f t="shared" si="27"/>
        <v>-</v>
      </c>
      <c r="BQ181" s="282" t="str">
        <f>IFERROR(__xludf.DUMMYFUNCTION("IF(REGEXMATCH(JOIN(""-"",EU181:FD181),""TRUE""),""✔"",""-"")"),"-")</f>
        <v>-</v>
      </c>
      <c r="BR181" s="225">
        <f t="shared" si="28"/>
        <v>0</v>
      </c>
      <c r="BS181" s="345" t="str">
        <f>IFERROR(__xludf.DUMMYFUNCTION("SUBSTITUTE(SUBSTITUTE(SUBSTITUTE(SUBSTITUTE(CONCATENATE(JOIN(""-"",GC181:GO181)),""--"",""-""),""--"",""-""),""--"",""-""),""--"",""-"")"),"1-2-3-4-#4-5-6-7-8")</f>
        <v>1-2-3-4-#4-5-6-7-8</v>
      </c>
      <c r="BT181" s="299" t="str">
        <f>IFERROR(__xludf.DUMMYFUNCTION("SUBSTITUTE(SUBSTITUTE(SUBSTITUTE(SUBSTITUTE(CONCATENATE(JOIN(""-"",GP181:HB181)),""--"",""-""),""--"",""-""),""--"",""-""),""--"",""-"")"),"S-R2-G3-M1-M2-P-D2-N3-S")</f>
        <v>S-R2-G3-M1-M2-P-D2-N3-S</v>
      </c>
      <c r="BU181" s="348" t="str">
        <f t="shared" si="29"/>
        <v>C-D-E-F-F#-G-A-B-C</v>
      </c>
      <c r="BV181" s="349" t="str">
        <f t="shared" si="30"/>
        <v>SrgdnS</v>
      </c>
      <c r="BW181" s="350">
        <f t="shared" si="31"/>
        <v>0</v>
      </c>
      <c r="BX181" s="351">
        <f t="shared" si="32"/>
        <v>13</v>
      </c>
      <c r="BY181" s="392"/>
      <c r="BZ181" s="309" t="str">
        <f>IFERROR(__xludf.DUMMYFUNCTION("IF(REGEXMATCH(C181, ""S""), ""x"",""x"")"),"x")</f>
        <v>x</v>
      </c>
      <c r="CA181" s="245" t="str">
        <f>IFERROR(__xludf.DUMMYFUNCTION("IF(REGEXMATCH(C181, ""r""), ""o"",""x"")"),"x")</f>
        <v>x</v>
      </c>
      <c r="CB181" s="246" t="str">
        <f>IFERROR(__xludf.DUMMYFUNCTION("IF(REGEXMATCH(C181, ""R""), ""o"",""x"")"),"o")</f>
        <v>o</v>
      </c>
      <c r="CC181" s="246" t="str">
        <f>IFERROR(__xludf.DUMMYFUNCTION("IF(REGEXMATCH(C181, ""g""), ""o"",""x"")"),"x")</f>
        <v>x</v>
      </c>
      <c r="CD181" s="245" t="str">
        <f>IFERROR(__xludf.DUMMYFUNCTION("IF(REGEXMATCH(C181, ""G""), ""o"",""x"")"),"o")</f>
        <v>o</v>
      </c>
      <c r="CE181" s="245" t="str">
        <f>IFERROR(__xludf.DUMMYFUNCTION("IF(REGEXMATCH(C181, ""m""), ""o"",""x"")"),"o")</f>
        <v>o</v>
      </c>
      <c r="CF181" s="246" t="str">
        <f>IFERROR(__xludf.DUMMYFUNCTION("IF(REGEXMATCH(C181, ""M""), ""o"",""x"")"),"o")</f>
        <v>o</v>
      </c>
      <c r="CG181" s="245" t="str">
        <f>IFERROR(__xludf.DUMMYFUNCTION("IF(REGEXMATCH(C181, ""P""), ""o"",""x"")"),"o")</f>
        <v>o</v>
      </c>
      <c r="CH181" s="246" t="str">
        <f>IFERROR(__xludf.DUMMYFUNCTION("IF(REGEXMATCH(C181, ""d""), ""o"",""x"")"),"x")</f>
        <v>x</v>
      </c>
      <c r="CI181" s="245" t="str">
        <f>IFERROR(__xludf.DUMMYFUNCTION("IF(REGEXMATCH(C181, ""D""), ""o"",""x"")"),"o")</f>
        <v>o</v>
      </c>
      <c r="CJ181" s="245" t="str">
        <f>IFERROR(__xludf.DUMMYFUNCTION("IF(REGEXMATCH(C181, ""n""), ""o"",""x"")"),"x")</f>
        <v>x</v>
      </c>
      <c r="CK181" s="245" t="str">
        <f>IFERROR(__xludf.DUMMYFUNCTION("IF(REGEXMATCH(C181, ""N""), ""o"",""x"")"),"o")</f>
        <v>o</v>
      </c>
      <c r="CL181" s="356" t="str">
        <f>IFERROR(__xludf.DUMMYFUNCTION("IF(REGEXMATCH(C181, ""S""), ""x"",""x"")"),"x")</f>
        <v>x</v>
      </c>
      <c r="CM181" s="357" t="str">
        <f t="shared" si="33"/>
        <v>xxoxooooxoxo</v>
      </c>
      <c r="CN181" s="358">
        <f t="shared" si="34"/>
        <v>0</v>
      </c>
      <c r="CO181" s="246" t="str">
        <f>IFERROR(__xludf.DUMMYFUNCTION("IF(REGEXMATCH($C181, ""S""), ""S"",""S"")"),"S")</f>
        <v>S</v>
      </c>
      <c r="CP181" s="246" t="str">
        <f>IFERROR(__xludf.DUMMYFUNCTION("IF(REGEXMATCH($C181, ""r""), """",""r"")"),"r")</f>
        <v>r</v>
      </c>
      <c r="CQ181" s="246" t="str">
        <f>IFERROR(__xludf.DUMMYFUNCTION("IF(REGEXMATCH($C181, ""R""), """",""R"")"),"")</f>
        <v/>
      </c>
      <c r="CR181" s="246" t="str">
        <f>IFERROR(__xludf.DUMMYFUNCTION("IF(REGEXMATCH($C181, ""g""), """",""g"")"),"g")</f>
        <v>g</v>
      </c>
      <c r="CS181" s="246" t="str">
        <f>IFERROR(__xludf.DUMMYFUNCTION("IF(REGEXMATCH($C181, ""G""), """",""G"")"),"")</f>
        <v/>
      </c>
      <c r="CT181" s="246" t="str">
        <f>IFERROR(__xludf.DUMMYFUNCTION("IF(REGEXMATCH($C181, ""m""), """",""m"")"),"")</f>
        <v/>
      </c>
      <c r="CU181" s="246" t="str">
        <f>IFERROR(__xludf.DUMMYFUNCTION("IF(REGEXMATCH($C181, ""M""), """",""M"")"),"")</f>
        <v/>
      </c>
      <c r="CV181" s="246" t="str">
        <f>IFERROR(__xludf.DUMMYFUNCTION("IF(REGEXMATCH($C181, ""P""), """",""P"")"),"")</f>
        <v/>
      </c>
      <c r="CW181" s="246" t="str">
        <f>IFERROR(__xludf.DUMMYFUNCTION("IF(REGEXMATCH($C181, ""d""), """",""d"")"),"d")</f>
        <v>d</v>
      </c>
      <c r="CX181" s="246" t="str">
        <f>IFERROR(__xludf.DUMMYFUNCTION("IF(REGEXMATCH($C181, ""D""), """",""D"")"),"")</f>
        <v/>
      </c>
      <c r="CY181" s="246" t="str">
        <f>IFERROR(__xludf.DUMMYFUNCTION("IF(REGEXMATCH($C181, ""n""), """",""n"")"),"n")</f>
        <v>n</v>
      </c>
      <c r="CZ181" s="246" t="str">
        <f>IFERROR(__xludf.DUMMYFUNCTION("IF(REGEXMATCH($C181, ""N""), """",""N"")"),"")</f>
        <v/>
      </c>
      <c r="DA181" s="246" t="str">
        <f>IFERROR(__xludf.DUMMYFUNCTION("IF(REGEXMATCH($C181, ""S""), ""S"",""S"")"),"S")</f>
        <v>S</v>
      </c>
      <c r="DB181" s="362" t="str">
        <f>IFERROR(__xludf.DUMMYFUNCTION("JOIN("""",CO181:DA181,"""","""")"),"SrgdnS")</f>
        <v>SrgdnS</v>
      </c>
      <c r="DC181" s="363"/>
      <c r="DD181" s="301" t="str">
        <f t="shared" si="35"/>
        <v>#REF!</v>
      </c>
      <c r="DE181" s="302" t="str">
        <f t="shared" si="36"/>
        <v>#REF!</v>
      </c>
      <c r="DF181" s="301" t="str">
        <f t="shared" ref="DF181:DG181" si="575">SUBSTITUTE(S181,"-","")</f>
        <v>SRGM</v>
      </c>
      <c r="DG181" s="301" t="str">
        <f t="shared" si="575"/>
        <v>PDNS</v>
      </c>
      <c r="DH181" s="302" t="str">
        <f t="shared" si="38"/>
        <v>Bihag</v>
      </c>
      <c r="DI181" s="301" t="str">
        <f t="shared" si="39"/>
        <v>Hemi.</v>
      </c>
      <c r="DJ181" s="364" t="str">
        <f t="shared" si="40"/>
        <v>Co-Co.</v>
      </c>
      <c r="DK181" s="306" t="str">
        <f t="shared" si="41"/>
        <v>-</v>
      </c>
      <c r="DL181" s="366" t="str">
        <f t="shared" si="42"/>
        <v>-</v>
      </c>
      <c r="DM181" s="308" t="str">
        <f t="shared" si="43"/>
        <v>✔</v>
      </c>
      <c r="DN181" s="306" t="str">
        <f t="shared" si="44"/>
        <v>-</v>
      </c>
      <c r="DO181" s="306" t="str">
        <f t="shared" si="45"/>
        <v>-</v>
      </c>
      <c r="DP181" s="367" t="str">
        <f t="shared" si="46"/>
        <v>-</v>
      </c>
      <c r="DQ181" s="310" t="str">
        <f t="shared" si="47"/>
        <v>-</v>
      </c>
      <c r="DR181" s="310" t="str">
        <f t="shared" si="48"/>
        <v>-</v>
      </c>
      <c r="DS181" s="310" t="str">
        <f t="shared" si="49"/>
        <v>✔</v>
      </c>
      <c r="DT181" s="310" t="str">
        <f t="shared" si="50"/>
        <v>-</v>
      </c>
      <c r="DU181" s="370" t="str">
        <f t="shared" si="51"/>
        <v>-</v>
      </c>
      <c r="DV181" s="306" t="str">
        <f t="shared" si="52"/>
        <v>-</v>
      </c>
      <c r="DW181" s="306" t="str">
        <f t="shared" si="53"/>
        <v>-</v>
      </c>
      <c r="DX181" s="306" t="str">
        <f t="shared" si="54"/>
        <v>-</v>
      </c>
      <c r="DY181" s="306" t="str">
        <f t="shared" si="55"/>
        <v>-</v>
      </c>
      <c r="DZ181" s="306" t="str">
        <f t="shared" si="56"/>
        <v>-</v>
      </c>
      <c r="EA181" s="367" t="str">
        <f t="shared" si="57"/>
        <v>-</v>
      </c>
      <c r="EB181" s="310" t="str">
        <f>IFERROR(__xludf.DUMMYFUNCTION("IF(REGEXMATCH(AW181,AS181),""✔"",""-"")"),"✔")</f>
        <v>✔</v>
      </c>
      <c r="EC181" s="310" t="str">
        <f t="shared" si="58"/>
        <v>#REF!</v>
      </c>
      <c r="ED181" s="370" t="str">
        <f t="shared" si="59"/>
        <v>-</v>
      </c>
      <c r="EE181" s="340" t="str">
        <f t="shared" si="60"/>
        <v>S-R-G-mM-P-D-N-S</v>
      </c>
      <c r="EF181" s="371" t="str">
        <f>IFERROR(__xludf.DUMMYFUNCTION("CONCATENATE(JOIN("""",HC181:HO181))"),"SrgmMPdnS")</f>
        <v>SrgmMPdnS</v>
      </c>
      <c r="EG181" s="372">
        <f t="shared" si="61"/>
        <v>1</v>
      </c>
      <c r="EH181" s="373" t="str">
        <f>IFERROR(__xludf.DUMMYFUNCTION("CONCATENATE(JOIN("""",JC181:JO181))"),"Ma, ")</f>
        <v>Ma, </v>
      </c>
      <c r="EI181" s="322">
        <f t="shared" si="62"/>
        <v>0</v>
      </c>
      <c r="EJ181" s="374" t="str">
        <f>IFERROR(__xludf.DUMMYFUNCTION("CONCATENATE(JOIN("""",KC181:KO181))"),"")</f>
        <v/>
      </c>
      <c r="EK181" s="325" t="str">
        <f t="shared" si="63"/>
        <v>S-R2-G3-M1-M2-P-D2-N3-S</v>
      </c>
      <c r="EL181" s="326" t="str">
        <f t="shared" si="64"/>
        <v>1-2-3-4-#4-5-6-7-8</v>
      </c>
      <c r="EM181" s="318" t="str">
        <f t="shared" si="65"/>
        <v>#REF!</v>
      </c>
      <c r="EN181" s="328" t="str">
        <f>IFERROR(__xludf.DUMMYFUNCTION("SUBSTITUTE(SUBSTITUTE(SUBSTITUTE(SUBSTITUTE(CONCATENATE(JOIN("" "",HP181:IB181)),""  "","" ""),""  "","" ""),""  "","" ""),""  "","" "")"),"o • o • o o o o • o • o o")</f>
        <v>o • o • o o o o • o • o o</v>
      </c>
      <c r="EO181" s="368" t="str">
        <f t="shared" si="66"/>
        <v>-</v>
      </c>
      <c r="EP181" s="339" t="str">
        <f t="shared" si="67"/>
        <v>-</v>
      </c>
      <c r="EQ181" s="339" t="str">
        <f t="shared" si="68"/>
        <v>Sa-Pa</v>
      </c>
      <c r="ER181" s="339" t="str">
        <f t="shared" si="69"/>
        <v>-</v>
      </c>
      <c r="ES181" s="340" t="str">
        <f t="shared" si="70"/>
        <v>-</v>
      </c>
      <c r="ET181" s="363"/>
      <c r="EU181" s="376" t="b">
        <f>IFERROR(__xludf.DUMMYFUNCTION("arrayformula(sum(--REGEXMATCH(""SRGMPDNS"",split(REGEXREPLACE(C181,""(.)"",""$1~""),""~""))))=len(C181)
"),FALSE)</f>
        <v>0</v>
      </c>
      <c r="EV181" s="290" t="b">
        <f>IFERROR(__xludf.DUMMYFUNCTION("arrayformula(sum(--REGEXMATCH(""SRGmPDNS"",split(REGEXREPLACE(C181,""(.)"",""$1~""),""~""))))=len(C181)"),FALSE)</f>
        <v>0</v>
      </c>
      <c r="EW181" s="290" t="b">
        <f>IFERROR(__xludf.DUMMYFUNCTION("arrayformula(sum(--REGEXMATCH(""SRGmPDnS"",split(REGEXREPLACE(C181,""(.)"",""$1~""),""~""))))=len(C181)"),FALSE)</f>
        <v>0</v>
      </c>
      <c r="EX181" s="290" t="b">
        <f>IFERROR(__xludf.DUMMYFUNCTION("arrayformula(sum(--REGEXMATCH(""SRgmPDnS"",split(REGEXREPLACE(C181,""(.)"",""$1~""),""~""))))=len(C181)"),FALSE)</f>
        <v>0</v>
      </c>
      <c r="EY181" s="290" t="b">
        <f>IFERROR(__xludf.DUMMYFUNCTION("arrayformula(sum(--REGEXMATCH(""SRgmPdnS"",split(REGEXREPLACE(C181,""(.)"",""$1~""),""~""))))=len(C181)"),FALSE)</f>
        <v>0</v>
      </c>
      <c r="EZ181" s="290" t="b">
        <f>IFERROR(__xludf.DUMMYFUNCTION("arrayformula(sum(--REGEXMATCH(""SrgmPdnS"",split(REGEXREPLACE(C181,""(.)"",""$1~""),""~""))))=len(C181)"),FALSE)</f>
        <v>0</v>
      </c>
      <c r="FA181" s="290" t="b">
        <f>IFERROR(__xludf.DUMMYFUNCTION("arrayformula(sum(--REGEXMATCH(""SrGmPdNS"",split(REGEXREPLACE(C181,""(.)"",""$1~""),""~""))))=len(C181)"),FALSE)</f>
        <v>0</v>
      </c>
      <c r="FB181" s="290" t="b">
        <f>IFERROR(__xludf.DUMMYFUNCTION("arrayformula(sum(--REGEXMATCH(""SrGMPDNS"",split(REGEXREPLACE(C181,""(.)"",""$1~""),""~""))))=len(C181)"),FALSE)</f>
        <v>0</v>
      </c>
      <c r="FC181" s="290" t="b">
        <f>IFERROR(__xludf.DUMMYFUNCTION("arrayformula(sum(--REGEXMATCH(""SrGMPdNS"",split(REGEXREPLACE(C181,""(.)"",""$1~""),""~""))))=len(C181)"),FALSE)</f>
        <v>0</v>
      </c>
      <c r="FD181" s="377" t="b">
        <f>IFERROR(__xludf.DUMMYFUNCTION("arrayformula(sum(--REGEXMATCH(""SrgMPdNS"",split(REGEXREPLACE(C181,""(.)"",""$1~""),""~""))))=len(C181)"),FALSE)</f>
        <v>0</v>
      </c>
      <c r="FE181" s="269" t="str">
        <f t="shared" si="71"/>
        <v>-</v>
      </c>
      <c r="FF181" s="269" t="str">
        <f t="shared" si="72"/>
        <v>xoxxxxoxoxx</v>
      </c>
      <c r="FG181" s="271" t="str">
        <f t="shared" si="73"/>
        <v>-</v>
      </c>
      <c r="FH181" s="269" t="str">
        <f t="shared" si="74"/>
        <v>xxxxoxoxxox</v>
      </c>
      <c r="FI181" s="271" t="str">
        <f t="shared" si="75"/>
        <v>xxxoxoxxoxo</v>
      </c>
      <c r="FJ181" s="271" t="str">
        <f t="shared" si="76"/>
        <v>xxoxoxxoxox</v>
      </c>
      <c r="FK181" s="271" t="str">
        <f t="shared" si="77"/>
        <v>xoxoxxoxoxx</v>
      </c>
      <c r="FL181" s="271" t="str">
        <f t="shared" si="78"/>
        <v>-</v>
      </c>
      <c r="FM181" s="271" t="str">
        <f t="shared" si="79"/>
        <v>xoxxoxoxxxx</v>
      </c>
      <c r="FN181" s="271" t="str">
        <f t="shared" si="80"/>
        <v>-</v>
      </c>
      <c r="FO181" s="274" t="str">
        <f t="shared" si="81"/>
        <v>xxoxoxxxxox</v>
      </c>
      <c r="FP181" s="234" t="str">
        <f t="shared" si="82"/>
        <v>|</v>
      </c>
      <c r="FQ181" s="236" t="str">
        <f t="shared" si="83"/>
        <v>-</v>
      </c>
      <c r="FR181" s="237" t="str">
        <f t="shared" si="84"/>
        <v>|</v>
      </c>
      <c r="FS181" s="236" t="str">
        <f t="shared" si="85"/>
        <v>-</v>
      </c>
      <c r="FT181" s="237" t="str">
        <f t="shared" si="86"/>
        <v>|</v>
      </c>
      <c r="FU181" s="236" t="str">
        <f t="shared" si="87"/>
        <v>|</v>
      </c>
      <c r="FV181" s="237" t="str">
        <f t="shared" si="88"/>
        <v>|</v>
      </c>
      <c r="FW181" s="236" t="str">
        <f t="shared" si="89"/>
        <v>|</v>
      </c>
      <c r="FX181" s="237" t="str">
        <f t="shared" si="90"/>
        <v>-</v>
      </c>
      <c r="FY181" s="236" t="str">
        <f t="shared" si="91"/>
        <v>|</v>
      </c>
      <c r="FZ181" s="237" t="str">
        <f t="shared" si="92"/>
        <v>-</v>
      </c>
      <c r="GA181" s="236" t="str">
        <f t="shared" si="93"/>
        <v>|</v>
      </c>
      <c r="GB181" s="238" t="str">
        <f t="shared" si="94"/>
        <v>|</v>
      </c>
      <c r="GC181" s="244" t="str">
        <f>IFERROR(__xludf.DUMMYFUNCTION("IF(REGEXMATCH(C181, ""S""), ""1"","""")"),"1")</f>
        <v>1</v>
      </c>
      <c r="GD181" s="245" t="str">
        <f>IFERROR(__xludf.DUMMYFUNCTION("IF(REGEXMATCH(C181, ""r""), ""b2"","""")"),"")</f>
        <v/>
      </c>
      <c r="GE181" s="246" t="str">
        <f>IFERROR(__xludf.DUMMYFUNCTION("IF(REGEXMATCH(C181, ""R""), ""2"","""")"),"2")</f>
        <v>2</v>
      </c>
      <c r="GF181" s="246" t="str">
        <f>IFERROR(__xludf.DUMMYFUNCTION("IF(REGEXMATCH(C181, ""g""), ""b3"","""")"),"")</f>
        <v/>
      </c>
      <c r="GG181" s="245" t="str">
        <f>IFERROR(__xludf.DUMMYFUNCTION("IF(REGEXMATCH(C181, ""G""), ""3"","""")"),"3")</f>
        <v>3</v>
      </c>
      <c r="GH181" s="245" t="str">
        <f>IFERROR(__xludf.DUMMYFUNCTION("IF(REGEXMATCH(C181, ""m""), ""4"","""")"),"4")</f>
        <v>4</v>
      </c>
      <c r="GI181" s="246" t="str">
        <f>IFERROR(__xludf.DUMMYFUNCTION("IF(REGEXMATCH(C181, ""M""), ""#4"","""")"),"#4")</f>
        <v>#4</v>
      </c>
      <c r="GJ181" s="245" t="str">
        <f>IFERROR(__xludf.DUMMYFUNCTION("IF(REGEXMATCH(C181, ""P""), ""5"","""")"),"5")</f>
        <v>5</v>
      </c>
      <c r="GK181" s="246" t="str">
        <f>IFERROR(__xludf.DUMMYFUNCTION("IF(REGEXMATCH(C181, ""d""), ""b6"","""")"),"")</f>
        <v/>
      </c>
      <c r="GL181" s="245" t="str">
        <f>IFERROR(__xludf.DUMMYFUNCTION("IF(REGEXMATCH(C181, ""D""), ""6"","""")"),"6")</f>
        <v>6</v>
      </c>
      <c r="GM181" s="245" t="str">
        <f>IFERROR(__xludf.DUMMYFUNCTION("IF(REGEXMATCH(C181, ""n""), ""b7"","""")"),"")</f>
        <v/>
      </c>
      <c r="GN181" s="246" t="str">
        <f>IFERROR(__xludf.DUMMYFUNCTION("IF(REGEXMATCH(C181, ""N""), ""7"","""")"),"7")</f>
        <v>7</v>
      </c>
      <c r="GO181" s="249" t="str">
        <f>IFERROR(__xludf.DUMMYFUNCTION("IF(REGEXMATCH(C181, ""S""), ""8"","""")"),"8")</f>
        <v>8</v>
      </c>
      <c r="GP181" s="244" t="str">
        <f>IFERROR(__xludf.DUMMYFUNCTION("IF(REGEXMATCH(C181, ""S""), ""S"","""")"),"S")</f>
        <v>S</v>
      </c>
      <c r="GQ181" s="294" t="str">
        <f>IFERROR(__xludf.DUMMYFUNCTION("IF(REGEXMATCH(C181, ""r""), ""R1"","""")"),"")</f>
        <v/>
      </c>
      <c r="GR181" s="295" t="str">
        <f>IFERROR(__xludf.DUMMYFUNCTION("IF(REGEXMATCH(C181, ""R""), ""R2"","""")"),"R2")</f>
        <v>R2</v>
      </c>
      <c r="GS181" s="295" t="str">
        <f>IFERROR(__xludf.DUMMYFUNCTION("IF(REGEXMATCH(C181, ""g""), ""G2"","""")"),"")</f>
        <v/>
      </c>
      <c r="GT181" s="294" t="str">
        <f>IFERROR(__xludf.DUMMYFUNCTION("IF(REGEXMATCH(C181, ""G""), ""G3"","""")"),"G3")</f>
        <v>G3</v>
      </c>
      <c r="GU181" s="294" t="str">
        <f>IFERROR(__xludf.DUMMYFUNCTION("IF(REGEXMATCH(C181, ""m""), ""M1"","""")"),"M1")</f>
        <v>M1</v>
      </c>
      <c r="GV181" s="295" t="str">
        <f>IFERROR(__xludf.DUMMYFUNCTION("IF(REGEXMATCH(C181, ""M""), ""M2"","""")"),"M2")</f>
        <v>M2</v>
      </c>
      <c r="GW181" s="294" t="str">
        <f>IFERROR(__xludf.DUMMYFUNCTION("IF(REGEXMATCH(C181, ""P""), ""P"","""")"),"P")</f>
        <v>P</v>
      </c>
      <c r="GX181" s="295" t="str">
        <f>IFERROR(__xludf.DUMMYFUNCTION("IF(REGEXMATCH(C181, ""d""), ""D1"","""")"),"")</f>
        <v/>
      </c>
      <c r="GY181" s="294" t="str">
        <f>IFERROR(__xludf.DUMMYFUNCTION("IF(REGEXMATCH(C181, ""D""), ""D2"","""")"),"D2")</f>
        <v>D2</v>
      </c>
      <c r="GZ181" s="294" t="str">
        <f>IFERROR(__xludf.DUMMYFUNCTION("IF(REGEXMATCH(C181, ""n""), ""N2"","""")"),"")</f>
        <v/>
      </c>
      <c r="HA181" s="295" t="str">
        <f>IFERROR(__xludf.DUMMYFUNCTION("IF(REGEXMATCH(C181, ""N""), ""N3"","""")"),"N3")</f>
        <v>N3</v>
      </c>
      <c r="HB181" s="249" t="str">
        <f>IFERROR(__xludf.DUMMYFUNCTION("IF(REGEXMATCH(C181, ""S""), ""S"","""")"),"S")</f>
        <v>S</v>
      </c>
      <c r="HC181" s="331" t="str">
        <f t="shared" si="95"/>
        <v>S</v>
      </c>
      <c r="HD181" s="332" t="str">
        <f t="shared" si="96"/>
        <v>r</v>
      </c>
      <c r="HE181" s="332" t="str">
        <f t="shared" si="97"/>
        <v/>
      </c>
      <c r="HF181" s="332" t="str">
        <f t="shared" si="98"/>
        <v>g</v>
      </c>
      <c r="HG181" s="332" t="str">
        <f t="shared" si="99"/>
        <v/>
      </c>
      <c r="HH181" s="332" t="str">
        <f t="shared" si="100"/>
        <v>m</v>
      </c>
      <c r="HI181" s="332" t="str">
        <f t="shared" si="101"/>
        <v>M</v>
      </c>
      <c r="HJ181" s="332" t="str">
        <f t="shared" si="102"/>
        <v>P</v>
      </c>
      <c r="HK181" s="332" t="str">
        <f t="shared" si="103"/>
        <v>d</v>
      </c>
      <c r="HL181" s="332" t="str">
        <f t="shared" si="104"/>
        <v/>
      </c>
      <c r="HM181" s="332" t="str">
        <f t="shared" si="105"/>
        <v>n</v>
      </c>
      <c r="HN181" s="332" t="str">
        <f t="shared" si="106"/>
        <v/>
      </c>
      <c r="HO181" s="343" t="str">
        <f t="shared" si="107"/>
        <v>S</v>
      </c>
      <c r="HP181" s="331" t="str">
        <f t="shared" si="108"/>
        <v>o</v>
      </c>
      <c r="HQ181" s="332" t="str">
        <f t="shared" si="109"/>
        <v>•</v>
      </c>
      <c r="HR181" s="332" t="str">
        <f t="shared" si="110"/>
        <v>o</v>
      </c>
      <c r="HS181" s="332" t="str">
        <f t="shared" si="111"/>
        <v>•</v>
      </c>
      <c r="HT181" s="332" t="str">
        <f t="shared" si="112"/>
        <v>o</v>
      </c>
      <c r="HU181" s="332" t="str">
        <f t="shared" si="113"/>
        <v>o</v>
      </c>
      <c r="HV181" s="332" t="str">
        <f t="shared" si="114"/>
        <v>o</v>
      </c>
      <c r="HW181" s="332" t="str">
        <f t="shared" si="115"/>
        <v>o</v>
      </c>
      <c r="HX181" s="332" t="str">
        <f t="shared" si="116"/>
        <v>•</v>
      </c>
      <c r="HY181" s="332" t="str">
        <f t="shared" si="117"/>
        <v>o</v>
      </c>
      <c r="HZ181" s="332" t="str">
        <f t="shared" si="118"/>
        <v>•</v>
      </c>
      <c r="IA181" s="332" t="str">
        <f t="shared" si="119"/>
        <v>o</v>
      </c>
      <c r="IB181" s="338" t="str">
        <f t="shared" si="120"/>
        <v>o</v>
      </c>
      <c r="IC181" s="331" t="str">
        <f t="shared" si="121"/>
        <v>•</v>
      </c>
      <c r="ID181" s="332" t="str">
        <f t="shared" si="122"/>
        <v>o</v>
      </c>
      <c r="IE181" s="332" t="str">
        <f t="shared" si="123"/>
        <v>•</v>
      </c>
      <c r="IF181" s="332" t="str">
        <f t="shared" si="124"/>
        <v>o</v>
      </c>
      <c r="IG181" s="332" t="str">
        <f t="shared" si="125"/>
        <v>•</v>
      </c>
      <c r="IH181" s="332" t="str">
        <f t="shared" si="126"/>
        <v>•</v>
      </c>
      <c r="II181" s="332" t="str">
        <f t="shared" si="127"/>
        <v>•</v>
      </c>
      <c r="IJ181" s="332" t="str">
        <f t="shared" si="128"/>
        <v>•</v>
      </c>
      <c r="IK181" s="332" t="str">
        <f t="shared" si="129"/>
        <v>o</v>
      </c>
      <c r="IL181" s="332" t="str">
        <f t="shared" si="130"/>
        <v>•</v>
      </c>
      <c r="IM181" s="332" t="str">
        <f t="shared" si="131"/>
        <v>o</v>
      </c>
      <c r="IN181" s="332" t="str">
        <f t="shared" si="132"/>
        <v>•</v>
      </c>
      <c r="IO181" s="338" t="str">
        <f t="shared" si="133"/>
        <v>•</v>
      </c>
      <c r="IP181" s="346" t="b">
        <f t="shared" si="134"/>
        <v>0</v>
      </c>
      <c r="IQ181" s="347" t="b">
        <f t="shared" si="135"/>
        <v>0</v>
      </c>
      <c r="IR181" s="347" t="b">
        <f t="shared" si="136"/>
        <v>0</v>
      </c>
      <c r="IS181" s="347" t="b">
        <f t="shared" si="137"/>
        <v>0</v>
      </c>
      <c r="IT181" s="347" t="b">
        <f t="shared" si="138"/>
        <v>0</v>
      </c>
      <c r="IU181" s="347" t="b">
        <f t="shared" si="139"/>
        <v>0</v>
      </c>
      <c r="IV181" s="347" t="b">
        <f t="shared" si="140"/>
        <v>1</v>
      </c>
      <c r="IW181" s="347" t="b">
        <f t="shared" si="141"/>
        <v>0</v>
      </c>
      <c r="IX181" s="347" t="b">
        <f t="shared" si="142"/>
        <v>0</v>
      </c>
      <c r="IY181" s="347" t="b">
        <f t="shared" si="143"/>
        <v>0</v>
      </c>
      <c r="IZ181" s="347" t="b">
        <f t="shared" si="144"/>
        <v>0</v>
      </c>
      <c r="JA181" s="347" t="b">
        <f t="shared" si="145"/>
        <v>0</v>
      </c>
      <c r="JB181" s="353" t="b">
        <f t="shared" si="146"/>
        <v>0</v>
      </c>
      <c r="JC181" s="354" t="str">
        <f t="shared" si="147"/>
        <v/>
      </c>
      <c r="JD181" s="355" t="str">
        <f t="shared" si="148"/>
        <v/>
      </c>
      <c r="JE181" s="355" t="str">
        <f t="shared" si="149"/>
        <v/>
      </c>
      <c r="JF181" s="355" t="str">
        <f t="shared" si="150"/>
        <v/>
      </c>
      <c r="JG181" s="355" t="str">
        <f t="shared" si="151"/>
        <v/>
      </c>
      <c r="JH181" s="355" t="str">
        <f t="shared" si="152"/>
        <v/>
      </c>
      <c r="JI181" s="355" t="str">
        <f t="shared" si="153"/>
        <v>Ma, </v>
      </c>
      <c r="JJ181" s="355" t="str">
        <f t="shared" si="154"/>
        <v/>
      </c>
      <c r="JK181" s="355" t="str">
        <f t="shared" si="155"/>
        <v/>
      </c>
      <c r="JL181" s="355" t="str">
        <f t="shared" si="156"/>
        <v/>
      </c>
      <c r="JM181" s="355" t="str">
        <f t="shared" si="157"/>
        <v/>
      </c>
      <c r="JN181" s="355" t="str">
        <f t="shared" si="158"/>
        <v/>
      </c>
      <c r="JO181" s="359" t="str">
        <f t="shared" si="159"/>
        <v/>
      </c>
      <c r="JP181" s="346" t="b">
        <f t="shared" si="160"/>
        <v>0</v>
      </c>
      <c r="JQ181" s="347" t="b">
        <f t="shared" si="161"/>
        <v>0</v>
      </c>
      <c r="JR181" s="347" t="b">
        <f t="shared" si="162"/>
        <v>0</v>
      </c>
      <c r="JS181" s="347" t="b">
        <f t="shared" si="163"/>
        <v>0</v>
      </c>
      <c r="JT181" s="347" t="b">
        <f t="shared" si="164"/>
        <v>0</v>
      </c>
      <c r="JU181" s="347" t="b">
        <f t="shared" si="165"/>
        <v>0</v>
      </c>
      <c r="JV181" s="347" t="b">
        <f t="shared" si="166"/>
        <v>0</v>
      </c>
      <c r="JW181" s="347" t="b">
        <f t="shared" si="167"/>
        <v>0</v>
      </c>
      <c r="JX181" s="347" t="b">
        <f t="shared" si="168"/>
        <v>0</v>
      </c>
      <c r="JY181" s="347" t="b">
        <f t="shared" si="169"/>
        <v>0</v>
      </c>
      <c r="JZ181" s="347" t="b">
        <f t="shared" si="170"/>
        <v>0</v>
      </c>
      <c r="KA181" s="347" t="b">
        <f t="shared" si="171"/>
        <v>0</v>
      </c>
      <c r="KB181" s="365" t="b">
        <f t="shared" si="172"/>
        <v>0</v>
      </c>
      <c r="KC181" s="354" t="str">
        <f t="shared" si="173"/>
        <v/>
      </c>
      <c r="KD181" s="355" t="str">
        <f t="shared" si="174"/>
        <v/>
      </c>
      <c r="KE181" s="355" t="str">
        <f t="shared" si="175"/>
        <v/>
      </c>
      <c r="KF181" s="355" t="str">
        <f t="shared" si="176"/>
        <v/>
      </c>
      <c r="KG181" s="355" t="str">
        <f t="shared" si="177"/>
        <v/>
      </c>
      <c r="KH181" s="355" t="str">
        <f t="shared" si="178"/>
        <v/>
      </c>
      <c r="KI181" s="355" t="str">
        <f t="shared" si="179"/>
        <v/>
      </c>
      <c r="KJ181" s="355" t="str">
        <f t="shared" si="180"/>
        <v/>
      </c>
      <c r="KK181" s="355" t="str">
        <f t="shared" si="181"/>
        <v/>
      </c>
      <c r="KL181" s="355" t="str">
        <f t="shared" si="182"/>
        <v/>
      </c>
      <c r="KM181" s="355" t="str">
        <f t="shared" si="183"/>
        <v/>
      </c>
      <c r="KN181" s="355" t="str">
        <f t="shared" si="184"/>
        <v/>
      </c>
      <c r="KO181" s="359"/>
      <c r="KP181" s="378"/>
      <c r="KQ181" s="379" t="s">
        <v>1409</v>
      </c>
      <c r="KR181" s="380" t="s">
        <v>1353</v>
      </c>
      <c r="KS181" s="381" t="str">
        <f>KQ181</f>
        <v>S-G-P-N-S</v>
      </c>
      <c r="KT181" s="382">
        <f t="shared" si="186"/>
        <v>4</v>
      </c>
      <c r="KU181" s="383">
        <f t="shared" si="187"/>
        <v>4</v>
      </c>
      <c r="KV181" s="381" t="str">
        <f t="shared" si="205"/>
        <v>S-N-D-P-Mm-G-R-S</v>
      </c>
      <c r="KW181" s="382">
        <f t="shared" si="189"/>
        <v>7</v>
      </c>
      <c r="KX181" s="384">
        <f t="shared" si="190"/>
        <v>8</v>
      </c>
      <c r="KY181" s="382">
        <f t="shared" ref="KY181:KZ181" si="576">KW181-KT181</f>
        <v>3</v>
      </c>
      <c r="KZ181" s="369">
        <f t="shared" si="576"/>
        <v>4</v>
      </c>
      <c r="LA181" s="385" t="str">
        <f t="shared" si="192"/>
        <v>-</v>
      </c>
      <c r="LB181" s="340" t="str">
        <f>IFERROR(__xludf.DUMMYFUNCTION("JOIN("""",ArrayFormula(MID(KS181,LEN(KS181)-SEQUENCE(1,LEN(KS181))+1,1)))"),"S-N-P-G-S")</f>
        <v>S-N-P-G-S</v>
      </c>
      <c r="LC181" s="373" t="str">
        <f>IFERROR(__xludf.DUMMYFUNCTION("JOIN("""",ArrayFormula(MID(KV181,LEN(KV181)-SEQUENCE(1,LEN(KV181))+1,1)))"),"S-R-G-mM-P-D-N-S")</f>
        <v>S-R-G-mM-P-D-N-S</v>
      </c>
      <c r="LD181" s="373" t="str">
        <f t="shared" si="193"/>
        <v>SGPNS</v>
      </c>
      <c r="LE181" s="339" t="str">
        <f t="shared" si="194"/>
        <v>SRGmMPDNS</v>
      </c>
      <c r="LF181" s="386" t="str">
        <f>IFERROR(__xludf.DUMMYFUNCTION("SUBSTITUTE(SUBSTITUTE(CONCATENATE(JOIN("""",LH181:LT181)),""1"",""""),""2"","""")"),"SRGmMPDNS")</f>
        <v>SRGmMPDNS</v>
      </c>
      <c r="LG181" s="369" t="str">
        <f t="shared" si="195"/>
        <v>✔</v>
      </c>
      <c r="LH181" s="387" t="str">
        <f>IFERROR(__xludf.DUMMYFUNCTION("IF(REGEXMATCH(LD181, ""S""), ""S"",IF(REGEXMATCH(LE181, ""S""), ""S"",""""))"),"S")</f>
        <v>S</v>
      </c>
      <c r="LI181" s="299" t="str">
        <f>IFERROR(__xludf.DUMMYFUNCTION("IF(REGEXMATCH(LD181, ""r""), ""r1"",IF(REGEXMATCH(LE181, ""r""), ""r2"",""""))"),"")</f>
        <v/>
      </c>
      <c r="LJ181" s="299" t="str">
        <f>IFERROR(__xludf.DUMMYFUNCTION("IF(REGEXMATCH(LD181, ""R""), ""R1"",IF(REGEXMATCH(LE181, ""R""), ""R2"",""""))"),"R2")</f>
        <v>R2</v>
      </c>
      <c r="LK181" s="299" t="str">
        <f>IFERROR(__xludf.DUMMYFUNCTION("IF(REGEXMATCH(LD181, ""g""), ""g1"",IF(REGEXMATCH(LE181, ""g""), ""g2"",""""))"),"")</f>
        <v/>
      </c>
      <c r="LL181" s="299" t="str">
        <f>IFERROR(__xludf.DUMMYFUNCTION("IF(REGEXMATCH(LD181, ""G""), ""G1"",IF(REGEXMATCH(LE181, ""G""), ""G2"",""""))"),"G1")</f>
        <v>G1</v>
      </c>
      <c r="LM181" s="299" t="str">
        <f>IFERROR(__xludf.DUMMYFUNCTION("IF(REGEXMATCH(LD181, ""m""), ""m1"",IF(REGEXMATCH(LE181, ""m""), ""m2"",""""))"),"m2")</f>
        <v>m2</v>
      </c>
      <c r="LN181" s="299" t="str">
        <f>IFERROR(__xludf.DUMMYFUNCTION("IF(REGEXMATCH(LD181, ""M""), ""M1"",IF(REGEXMATCH(LE181, ""M""), ""M2"",""""))"),"M2")</f>
        <v>M2</v>
      </c>
      <c r="LO181" s="299" t="str">
        <f>IFERROR(__xludf.DUMMYFUNCTION("IF(REGEXMATCH(LD181, ""P""), ""P1"",IF(REGEXMATCH(LE181, ""P""), ""P2"",""""))"),"P1")</f>
        <v>P1</v>
      </c>
      <c r="LP181" s="299" t="str">
        <f>IFERROR(__xludf.DUMMYFUNCTION("IF(REGEXMATCH(LD181, ""d""), ""d1"",IF(REGEXMATCH(LE181, ""d""), ""d2"",""""))"),"")</f>
        <v/>
      </c>
      <c r="LQ181" s="299" t="str">
        <f>IFERROR(__xludf.DUMMYFUNCTION("IF(REGEXMATCH(LD181, ""D""), ""D1"",IF(REGEXMATCH(LE181, ""D""), ""D2"",""""))"),"D2")</f>
        <v>D2</v>
      </c>
      <c r="LR181" s="299" t="str">
        <f>IFERROR(__xludf.DUMMYFUNCTION("IF(REGEXMATCH(LD181, ""n""), ""n1"",IF(REGEXMATCH(LE181, ""n""), ""n2"",""""))"),"")</f>
        <v/>
      </c>
      <c r="LS181" s="299" t="str">
        <f>IFERROR(__xludf.DUMMYFUNCTION("IF(REGEXMATCH(LD181, ""N""), ""N1"",IF(REGEXMATCH(LE181, ""N""), ""N2"",""""))"),"N1")</f>
        <v>N1</v>
      </c>
      <c r="LT181" s="388" t="str">
        <f>IFERROR(__xludf.DUMMYFUNCTION("IF(REGEXMATCH(LD181, ""S""), ""S"",IF(REGEXMATCH(LE181, ""S""), ""S"",""""))"),"S")</f>
        <v>S</v>
      </c>
      <c r="LU181" s="389">
        <f t="shared" si="196"/>
        <v>-6</v>
      </c>
      <c r="LV181" s="378"/>
      <c r="LW181" s="369"/>
      <c r="LX181" s="369"/>
    </row>
    <row r="182" ht="18.0" customHeight="1">
      <c r="A182" s="298" t="s">
        <v>885</v>
      </c>
      <c r="B182" s="222" t="s">
        <v>886</v>
      </c>
      <c r="C182" s="233" t="str">
        <f t="shared" si="7"/>
        <v>SGmPDnNS</v>
      </c>
      <c r="D182" s="234" t="str">
        <f>IFERROR(__xludf.DUMMYFUNCTION("IF(REGEXMATCH(C182, ""S""), ""S"","""")"),"S")</f>
        <v>S</v>
      </c>
      <c r="E182" s="236" t="str">
        <f>IFERROR(__xludf.DUMMYFUNCTION("IF(REGEXMATCH(C182, ""r""), ""r"","""")"),"")</f>
        <v/>
      </c>
      <c r="F182" s="237" t="str">
        <f>IFERROR(__xludf.DUMMYFUNCTION("IF(REGEXMATCH(C182, ""R""), ""R"","""")"),"")</f>
        <v/>
      </c>
      <c r="G182" s="237" t="str">
        <f>IFERROR(__xludf.DUMMYFUNCTION("IF(REGEXMATCH(C182, ""g""), ""g"","""")"),"")</f>
        <v/>
      </c>
      <c r="H182" s="236" t="str">
        <f>IFERROR(__xludf.DUMMYFUNCTION("IF(REGEXMATCH(C182, ""G""), ""G"","""")"),"G")</f>
        <v>G</v>
      </c>
      <c r="I182" s="236" t="str">
        <f>IFERROR(__xludf.DUMMYFUNCTION("IF(REGEXMATCH(C182, ""m""), ""m"","""")"),"m")</f>
        <v>m</v>
      </c>
      <c r="J182" s="237" t="str">
        <f>IFERROR(__xludf.DUMMYFUNCTION("IF(REGEXMATCH(C182, ""M""), ""M"","""")"),"")</f>
        <v/>
      </c>
      <c r="K182" s="236" t="str">
        <f>IFERROR(__xludf.DUMMYFUNCTION("IF(REGEXMATCH(C182, ""P""), ""P"","""")"),"P")</f>
        <v>P</v>
      </c>
      <c r="L182" s="237" t="str">
        <f>IFERROR(__xludf.DUMMYFUNCTION("IF(REGEXMATCH(C182, ""d""), ""d"","""")"),"")</f>
        <v/>
      </c>
      <c r="M182" s="236" t="str">
        <f>IFERROR(__xludf.DUMMYFUNCTION("IF(REGEXMATCH(C182, ""D""), ""D"","""")"),"D")</f>
        <v>D</v>
      </c>
      <c r="N182" s="236" t="str">
        <f>IFERROR(__xludf.DUMMYFUNCTION("IF(REGEXMATCH(C182, ""n""), ""n"","""")"),"n")</f>
        <v>n</v>
      </c>
      <c r="O182" s="237" t="str">
        <f>IFERROR(__xludf.DUMMYFUNCTION("IF(REGEXMATCH(C182, ""N""), ""N"","""")"),"N")</f>
        <v>N</v>
      </c>
      <c r="P182" s="238" t="str">
        <f>IFERROR(__xludf.DUMMYFUNCTION("IF(REGEXMATCH(C182, ""S""), ""S"","""")"),"S")</f>
        <v>S</v>
      </c>
      <c r="Q182" s="239" t="str">
        <f>IFERROR(__xludf.DUMMYFUNCTION("SUBSTITUTE(CONCATENATE(JOIN(""-"",D182:J182)),""-"","""")"),"SGm")</f>
        <v>SGm</v>
      </c>
      <c r="R182" s="229" t="str">
        <f>IFERROR(__xludf.DUMMYFUNCTION("SUBSTITUTE(CONCATENATE(JOIN(""-"",K182:P182)),""-"","""")"),"PDnNS")</f>
        <v>PDnNS</v>
      </c>
      <c r="S182" s="282" t="str">
        <f t="shared" si="8"/>
        <v>S-G-M</v>
      </c>
      <c r="T182" s="282" t="str">
        <f t="shared" si="9"/>
        <v>P-D-N-S</v>
      </c>
      <c r="U182" s="237" t="str">
        <f>IFERROR(__xludf.DUMMYFUNCTION("SUBSTITUTE(JOIN(""-"",S182,T182),""--"",""-"")"),"S-G-M-P-D-N-S")</f>
        <v>S-G-M-P-D-N-S</v>
      </c>
      <c r="V182" s="309" t="str">
        <f t="shared" si="10"/>
        <v>GmDnN</v>
      </c>
      <c r="W182" s="244" t="str">
        <f>IFERROR(__xludf.DUMMYFUNCTION("IF(REGEXMATCH(C182, ""S""), ""0"","""")"),"0")</f>
        <v>0</v>
      </c>
      <c r="X182" s="245" t="str">
        <f>IFERROR(__xludf.DUMMYFUNCTION("IF(REGEXMATCH(C182, ""r""), ""1"","""")"),"")</f>
        <v/>
      </c>
      <c r="Y182" s="246" t="str">
        <f>IFERROR(__xludf.DUMMYFUNCTION("IF(REGEXMATCH(C182, ""R""), ""2"","""")"),"")</f>
        <v/>
      </c>
      <c r="Z182" s="246" t="str">
        <f>IFERROR(__xludf.DUMMYFUNCTION("IF(REGEXMATCH(C182, ""g""), ""3"","""")"),"")</f>
        <v/>
      </c>
      <c r="AA182" s="245" t="str">
        <f>IFERROR(__xludf.DUMMYFUNCTION("IF(REGEXMATCH(C182, ""G""), ""4"","""")"),"4")</f>
        <v>4</v>
      </c>
      <c r="AB182" s="245" t="str">
        <f>IFERROR(__xludf.DUMMYFUNCTION("IF(REGEXMATCH(C182, ""m""), ""5"","""")"),"5")</f>
        <v>5</v>
      </c>
      <c r="AC182" s="246" t="str">
        <f>IFERROR(__xludf.DUMMYFUNCTION("IF(REGEXMATCH(C182, ""M""), ""6"","""")"),"")</f>
        <v/>
      </c>
      <c r="AD182" s="245" t="str">
        <f>IFERROR(__xludf.DUMMYFUNCTION("IF(REGEXMATCH(C182, ""P""), ""7"","""")"),"7")</f>
        <v>7</v>
      </c>
      <c r="AE182" s="246" t="str">
        <f>IFERROR(__xludf.DUMMYFUNCTION("IF(REGEXMATCH(C182, ""d""), ""8"","""")"),"")</f>
        <v/>
      </c>
      <c r="AF182" s="245" t="str">
        <f>IFERROR(__xludf.DUMMYFUNCTION("IF(REGEXMATCH(C182, ""D""), ""9"","""")"),"9")</f>
        <v>9</v>
      </c>
      <c r="AG182" s="245" t="str">
        <f>IFERROR(__xludf.DUMMYFUNCTION("IF(REGEXMATCH(C182, ""n""), ""10"","""")"),"10")</f>
        <v>10</v>
      </c>
      <c r="AH182" s="246" t="str">
        <f>IFERROR(__xludf.DUMMYFUNCTION("IF(REGEXMATCH(C182, ""N""), ""11"","""")"),"11")</f>
        <v>11</v>
      </c>
      <c r="AI182" s="249" t="str">
        <f>IFERROR(__xludf.DUMMYFUNCTION("IF(REGEXMATCH(C182, ""S""), ""0"","""")"),"0")</f>
        <v>0</v>
      </c>
      <c r="AJ182" s="313" t="str">
        <f t="shared" si="11"/>
        <v>-</v>
      </c>
      <c r="AK182" s="313" t="str">
        <f t="shared" si="12"/>
        <v>-</v>
      </c>
      <c r="AL182" s="313" t="str">
        <f t="shared" si="13"/>
        <v>-</v>
      </c>
      <c r="AM182" s="313" t="str">
        <f t="shared" si="14"/>
        <v>-</v>
      </c>
      <c r="AN182" s="313" t="str">
        <f t="shared" si="15"/>
        <v>T</v>
      </c>
      <c r="AO182" s="314" t="str">
        <f t="shared" si="16"/>
        <v>T</v>
      </c>
      <c r="AP182" s="316">
        <f t="shared" si="17"/>
        <v>2</v>
      </c>
      <c r="AQ182" s="319" t="str">
        <f t="shared" si="18"/>
        <v>-</v>
      </c>
      <c r="AR182" s="320">
        <f t="shared" si="19"/>
        <v>0</v>
      </c>
      <c r="AS182" s="250" t="str">
        <f>IFERROR(__xludf.DUMMYFUNCTION("SUBSTITUTE(SUBSTITUTE(CONCATENATE(JOIN("""",FP182:GA182)),""|"",""x""),""-"",""o"")"),"xoooxxoxoxxx")</f>
        <v>xoooxxoxoxxx</v>
      </c>
      <c r="AT182" s="323" t="str">
        <f>IFERROR(__xludf.DUMMYFUNCTION("JOIN("""",AS182,AS182)"),"xoooxxoxoxxxxoooxxoxoxxx")</f>
        <v>xoooxxoxoxxxxoooxxoxoxxx</v>
      </c>
      <c r="AU182" s="256" t="str">
        <f>IFERROR(__xludf.DUMMYFUNCTION("JOIN("""",ArrayFormula(MID(AS182,LEN(AS182)-SEQUENCE(1,LEN(AS182))+1,1)))"),"xxxoxoxxooox")</f>
        <v>xxxoxoxxooox</v>
      </c>
      <c r="AV182" s="256" t="str">
        <f>IFERROR(__xludf.DUMMYFUNCTION("LEFT(CONCATENATE(""x"",JOIN("""",ArrayFormula(MID(AS182,LEN(AS182)-SEQUENCE(1,LEN(AS182))+1,1)))),12)"),"xxxxoxoxxooo")</f>
        <v>xxxxoxoxxooo</v>
      </c>
      <c r="AW182" s="327" t="str">
        <f>IFERROR(__xludf.DUMMYFUNCTION("JOIN("""",AU182,AU182)"),"xxxoxoxxoooxxxxoxoxxooox")</f>
        <v>xxxoxoxxoooxxxxoxoxxooox</v>
      </c>
      <c r="AX182" s="239" t="str">
        <f>IFERROR(__xludf.DUMMYFUNCTION("IF(REGEXMATCH(AW182,AS182),""✔"",""-"")"),"-")</f>
        <v>-</v>
      </c>
      <c r="AY182" s="330" t="str">
        <f t="shared" si="20"/>
        <v>-</v>
      </c>
      <c r="AZ182" s="260" t="str">
        <f t="shared" si="21"/>
        <v>#REF!</v>
      </c>
      <c r="BA182" s="333" t="str">
        <f t="shared" si="22"/>
        <v>xoooxxo</v>
      </c>
      <c r="BB182" s="334" t="str">
        <f t="shared" si="23"/>
        <v>xoxxxx</v>
      </c>
      <c r="BC182" s="335" t="str">
        <f t="shared" si="236"/>
        <v>-</v>
      </c>
      <c r="BD182" s="336" t="str">
        <f t="shared" si="25"/>
        <v>Khokar: 'xoooxxo' + 'xoxxxx'</v>
      </c>
      <c r="BE182" s="337">
        <f>IFERROR(__xludf.DUMMYFUNCTION("COUNTUNIQUE(FILTER(AT:AT,REGEXMATCH(AT:AT,AS182)))-1"),0.0)</f>
        <v>0</v>
      </c>
      <c r="BF182" s="261" t="str">
        <f>IFERROR(__xludf.DUMMYFUNCTION("IF(BI182=0,""(n/a)"",IF(BJ182=2,""(PAIR)"",IF(REGEXMATCH(AT182,""xoxoxxoxoxox""),""Bilawal"",IF(REGEXMATCH(AT182,""xoxoxooxoxoo""),""Bhupali"",IF(REGEXMATCH(AT182,""xoxoxxoxxoxo""),""Charukeshi"",IF(REGEXMATCH(AT182,""xoxoooxxoxxo""),""Kameshwari"",IF(REG"&amp;"EXMATCH(AT182,""xoxoxooxoxox""),""Shankara"",IF(REGEXMATCH(AT182,""xxooxoxxxoox""),""Basant"",IF(REGEXMATCH(AT182,""xoxoxxxxoxox""),""Bihag"",IF(REGEXMATCH(AT182,""xoxxxxoxoxxx""),""Pilu"",IF(REGEXMATCH(AT182,""xoxxoxoxxoox""),""Kirwani"",IF(REGEXMATCH(AT"&amp;"182,""xoxxoxoxoxxx""),""Mk.Malhar"",IF(REGEXMATCH(AT182,""xxooxxoxxoox""),""Bhairav"",IF(REGEXMATCH(AT182,""xxoxooxxxoox""),""Todi"",IF(REGEXMATCH(AT182,""xxooxoxooxox""),""Marwa"",IF(REGEXMATCH(AT182,""xxoooxoxxooo""),""Gunkali"",IF(REGEXMATCH(AT182,""xo"&amp;"xoxxoxxoox""),""Nat Bhairav"",IF(REGEXMATCH(AT182,""xoxxoooxoxoo""),""Shivranjani"",IF(REGEXMATCH(AT182,""xooxxxoxooxo""),""Jog"",IF(REGEXMATCH(AT182,""xxooxoxoxoox""),""Hemshri"",IF(REGEXMATCH(AT182,""xoooxooxoxxo""),""Kalavati"",IF(REGEXMATCH(AT182,""xx"&amp;"oxoxxoxoox""),""Kedar"",IF(REGEXMATCH(AT182,""xoxxxxoxooxx""),""Gara"",IF(REGEXMATCH(AT182,""xooxoxooxoox""),""Chandrakauns"",IF(REGEXMATCH(AT182,""xoxxxxoxxxox""),""Mand"",IF(REGEXMATCH(AT182,""xoxxxxoxoxox""),""Hanskinkini"",IF(REGEXMATCH(AT182,""xxooxx"&amp;"oxooxo""),""Lilavati"",IF(REGEXMATCH(AT182,""xooxoxoooxox""),""Rajeshwari"",IF(REGEXMATCH(AT182,""xoooxxoxoxxx""),""Khokar"",IF(REGEXMATCH(AT182,""xxooxoxxxxox""),""Maligoura"",""-""))))))))))))))))))))))))))))))"),"(n/a)")</f>
        <v>(n/a)</v>
      </c>
      <c r="BG182" s="239" t="str">
        <f t="shared" si="26"/>
        <v>#REF!</v>
      </c>
      <c r="BH182" s="239">
        <f>IFERROR(__xludf.DUMMYFUNCTION("COUNTUNIQUE(FE182:FO182)-1"),6.0)</f>
        <v>6</v>
      </c>
      <c r="BI182" s="239">
        <f>IFERROR(__xludf.DUMMYFUNCTION("COUNTUNIQUE(FILTER(AT:AT,REGEXMATCH(AT:AT,AS182)))-1"),0.0)</f>
        <v>0</v>
      </c>
      <c r="BJ182" s="239">
        <f>IFERROR(__xludf.DUMMYFUNCTION("COUNTA(FILTER(AT:AT,REGEXMATCH(AT:AT,AS182)))"),1.0)</f>
        <v>1</v>
      </c>
      <c r="BK182" s="341">
        <f>IFERROR(__xludf.DUMMYFUNCTION("COUNTA(FILTER(AT:AT,REGEXMATCH(AT:AT,AS182)))-AR182"),1.0)</f>
        <v>1</v>
      </c>
      <c r="BL182" s="276" t="str">
        <f>IFERROR(__xludf.DUMMYFUNCTION("IF(AS182=""oooooooooooo"",""-"",IF(REGEXMATCH(AT182,""xx""), ""Hemi."", ""Anhemi.""))"),"Hemi.")</f>
        <v>Hemi.</v>
      </c>
      <c r="BM182" s="282" t="str">
        <f>IFERROR(__xludf.DUMMYFUNCTION("IF(AS182=""oooooooooooo"",""-"",IF(REGEXMATCH(AT182,""xxx""), ""Cohem."", ""-""))"),"Cohem.")</f>
        <v>Cohem.</v>
      </c>
      <c r="BN182" s="282" t="str">
        <f>IFERROR(__xludf.DUMMYFUNCTION("IF(AS182=""oooooooooooo"",""-"",IF(REGEXMATCH(AT182,""xxxx""), ""Co-Co."", ""-""))"),"Co-Co.")</f>
        <v>Co-Co.</v>
      </c>
      <c r="BO182" s="342" t="str">
        <f>IFERROR(__xludf.DUMMYFUNCTION("IF(AS182=""oooooooooooo"",""-"",IF(REGEXMATCH(AT182,""xxxxx""), ""CCC."", ""-""))"),"-")</f>
        <v>-</v>
      </c>
      <c r="BP182" s="344" t="str">
        <f t="shared" si="27"/>
        <v>-</v>
      </c>
      <c r="BQ182" s="282" t="str">
        <f>IFERROR(__xludf.DUMMYFUNCTION("IF(REGEXMATCH(JOIN(""-"",EU182:FD182),""TRUE""),""✔"",""-"")"),"-")</f>
        <v>-</v>
      </c>
      <c r="BR182" s="225">
        <f t="shared" si="28"/>
        <v>0</v>
      </c>
      <c r="BS182" s="345" t="str">
        <f>IFERROR(__xludf.DUMMYFUNCTION("SUBSTITUTE(SUBSTITUTE(SUBSTITUTE(SUBSTITUTE(CONCATENATE(JOIN(""-"",GC182:GO182)),""--"",""-""),""--"",""-""),""--"",""-""),""--"",""-"")"),"1-3-4-5-6-b7-7-8")</f>
        <v>1-3-4-5-6-b7-7-8</v>
      </c>
      <c r="BT182" s="299" t="str">
        <f>IFERROR(__xludf.DUMMYFUNCTION("SUBSTITUTE(SUBSTITUTE(SUBSTITUTE(SUBSTITUTE(CONCATENATE(JOIN(""-"",GP182:HB182)),""--"",""-""),""--"",""-""),""--"",""-""),""--"",""-"")"),"S-G3-M1-P-D2-N2-N3-S")</f>
        <v>S-G3-M1-P-D2-N2-N3-S</v>
      </c>
      <c r="BU182" s="348" t="str">
        <f t="shared" si="29"/>
        <v>C-E-F-G-A-Bb-B-C</v>
      </c>
      <c r="BV182" s="349" t="str">
        <f t="shared" si="30"/>
        <v>SrRgMdS</v>
      </c>
      <c r="BW182" s="350">
        <f t="shared" si="31"/>
        <v>0</v>
      </c>
      <c r="BX182" s="351">
        <f t="shared" si="32"/>
        <v>1</v>
      </c>
      <c r="BY182" s="392"/>
      <c r="BZ182" s="309" t="str">
        <f>IFERROR(__xludf.DUMMYFUNCTION("IF(REGEXMATCH(C182, ""S""), ""x"",""x"")"),"x")</f>
        <v>x</v>
      </c>
      <c r="CA182" s="245" t="str">
        <f>IFERROR(__xludf.DUMMYFUNCTION("IF(REGEXMATCH(C182, ""r""), ""o"",""x"")"),"x")</f>
        <v>x</v>
      </c>
      <c r="CB182" s="246" t="str">
        <f>IFERROR(__xludf.DUMMYFUNCTION("IF(REGEXMATCH(C182, ""R""), ""o"",""x"")"),"x")</f>
        <v>x</v>
      </c>
      <c r="CC182" s="246" t="str">
        <f>IFERROR(__xludf.DUMMYFUNCTION("IF(REGEXMATCH(C182, ""g""), ""o"",""x"")"),"x")</f>
        <v>x</v>
      </c>
      <c r="CD182" s="245" t="str">
        <f>IFERROR(__xludf.DUMMYFUNCTION("IF(REGEXMATCH(C182, ""G""), ""o"",""x"")"),"o")</f>
        <v>o</v>
      </c>
      <c r="CE182" s="245" t="str">
        <f>IFERROR(__xludf.DUMMYFUNCTION("IF(REGEXMATCH(C182, ""m""), ""o"",""x"")"),"o")</f>
        <v>o</v>
      </c>
      <c r="CF182" s="246" t="str">
        <f>IFERROR(__xludf.DUMMYFUNCTION("IF(REGEXMATCH(C182, ""M""), ""o"",""x"")"),"x")</f>
        <v>x</v>
      </c>
      <c r="CG182" s="245" t="str">
        <f>IFERROR(__xludf.DUMMYFUNCTION("IF(REGEXMATCH(C182, ""P""), ""o"",""x"")"),"o")</f>
        <v>o</v>
      </c>
      <c r="CH182" s="246" t="str">
        <f>IFERROR(__xludf.DUMMYFUNCTION("IF(REGEXMATCH(C182, ""d""), ""o"",""x"")"),"x")</f>
        <v>x</v>
      </c>
      <c r="CI182" s="245" t="str">
        <f>IFERROR(__xludf.DUMMYFUNCTION("IF(REGEXMATCH(C182, ""D""), ""o"",""x"")"),"o")</f>
        <v>o</v>
      </c>
      <c r="CJ182" s="245" t="str">
        <f>IFERROR(__xludf.DUMMYFUNCTION("IF(REGEXMATCH(C182, ""n""), ""o"",""x"")"),"o")</f>
        <v>o</v>
      </c>
      <c r="CK182" s="245" t="str">
        <f>IFERROR(__xludf.DUMMYFUNCTION("IF(REGEXMATCH(C182, ""N""), ""o"",""x"")"),"o")</f>
        <v>o</v>
      </c>
      <c r="CL182" s="356" t="str">
        <f>IFERROR(__xludf.DUMMYFUNCTION("IF(REGEXMATCH(C182, ""S""), ""x"",""x"")"),"x")</f>
        <v>x</v>
      </c>
      <c r="CM182" s="357" t="str">
        <f t="shared" si="33"/>
        <v>xxxxooxoxooo</v>
      </c>
      <c r="CN182" s="358">
        <f t="shared" si="34"/>
        <v>0</v>
      </c>
      <c r="CO182" s="246" t="str">
        <f>IFERROR(__xludf.DUMMYFUNCTION("IF(REGEXMATCH($C182, ""S""), ""S"",""S"")"),"S")</f>
        <v>S</v>
      </c>
      <c r="CP182" s="246" t="str">
        <f>IFERROR(__xludf.DUMMYFUNCTION("IF(REGEXMATCH($C182, ""r""), """",""r"")"),"r")</f>
        <v>r</v>
      </c>
      <c r="CQ182" s="246" t="str">
        <f>IFERROR(__xludf.DUMMYFUNCTION("IF(REGEXMATCH($C182, ""R""), """",""R"")"),"R")</f>
        <v>R</v>
      </c>
      <c r="CR182" s="246" t="str">
        <f>IFERROR(__xludf.DUMMYFUNCTION("IF(REGEXMATCH($C182, ""g""), """",""g"")"),"g")</f>
        <v>g</v>
      </c>
      <c r="CS182" s="246" t="str">
        <f>IFERROR(__xludf.DUMMYFUNCTION("IF(REGEXMATCH($C182, ""G""), """",""G"")"),"")</f>
        <v/>
      </c>
      <c r="CT182" s="246" t="str">
        <f>IFERROR(__xludf.DUMMYFUNCTION("IF(REGEXMATCH($C182, ""m""), """",""m"")"),"")</f>
        <v/>
      </c>
      <c r="CU182" s="246" t="str">
        <f>IFERROR(__xludf.DUMMYFUNCTION("IF(REGEXMATCH($C182, ""M""), """",""M"")"),"M")</f>
        <v>M</v>
      </c>
      <c r="CV182" s="246" t="str">
        <f>IFERROR(__xludf.DUMMYFUNCTION("IF(REGEXMATCH($C182, ""P""), """",""P"")"),"")</f>
        <v/>
      </c>
      <c r="CW182" s="246" t="str">
        <f>IFERROR(__xludf.DUMMYFUNCTION("IF(REGEXMATCH($C182, ""d""), """",""d"")"),"d")</f>
        <v>d</v>
      </c>
      <c r="CX182" s="246" t="str">
        <f>IFERROR(__xludf.DUMMYFUNCTION("IF(REGEXMATCH($C182, ""D""), """",""D"")"),"")</f>
        <v/>
      </c>
      <c r="CY182" s="246" t="str">
        <f>IFERROR(__xludf.DUMMYFUNCTION("IF(REGEXMATCH($C182, ""n""), """",""n"")"),"")</f>
        <v/>
      </c>
      <c r="CZ182" s="246" t="str">
        <f>IFERROR(__xludf.DUMMYFUNCTION("IF(REGEXMATCH($C182, ""N""), """",""N"")"),"")</f>
        <v/>
      </c>
      <c r="DA182" s="246" t="str">
        <f>IFERROR(__xludf.DUMMYFUNCTION("IF(REGEXMATCH($C182, ""S""), ""S"",""S"")"),"S")</f>
        <v>S</v>
      </c>
      <c r="DB182" s="362" t="str">
        <f>IFERROR(__xludf.DUMMYFUNCTION("JOIN("""",CO182:DA182,"""","""")"),"SrRgMdS")</f>
        <v>SrRgMdS</v>
      </c>
      <c r="DC182" s="363"/>
      <c r="DD182" s="301" t="str">
        <f t="shared" si="35"/>
        <v>#REF!</v>
      </c>
      <c r="DE182" s="302" t="str">
        <f t="shared" si="36"/>
        <v>#REF!</v>
      </c>
      <c r="DF182" s="301" t="str">
        <f t="shared" ref="DF182:DG182" si="577">SUBSTITUTE(S182,"-","")</f>
        <v>SGM</v>
      </c>
      <c r="DG182" s="301" t="str">
        <f t="shared" si="577"/>
        <v>PDNS</v>
      </c>
      <c r="DH182" s="302" t="str">
        <f t="shared" si="38"/>
        <v>(n/a)</v>
      </c>
      <c r="DI182" s="301" t="str">
        <f t="shared" si="39"/>
        <v>Hemi.</v>
      </c>
      <c r="DJ182" s="364" t="str">
        <f t="shared" si="40"/>
        <v>Co-Co.</v>
      </c>
      <c r="DK182" s="306" t="str">
        <f t="shared" si="41"/>
        <v>-</v>
      </c>
      <c r="DL182" s="366" t="str">
        <f t="shared" si="42"/>
        <v>-</v>
      </c>
      <c r="DM182" s="308" t="str">
        <f t="shared" si="43"/>
        <v>✔</v>
      </c>
      <c r="DN182" s="306" t="str">
        <f t="shared" si="44"/>
        <v>-</v>
      </c>
      <c r="DO182" s="306" t="str">
        <f t="shared" si="45"/>
        <v>-</v>
      </c>
      <c r="DP182" s="367" t="str">
        <f t="shared" si="46"/>
        <v>-</v>
      </c>
      <c r="DQ182" s="310" t="str">
        <f t="shared" si="47"/>
        <v>-</v>
      </c>
      <c r="DR182" s="310" t="str">
        <f t="shared" si="48"/>
        <v>-</v>
      </c>
      <c r="DS182" s="310" t="str">
        <f t="shared" si="49"/>
        <v>-</v>
      </c>
      <c r="DT182" s="310" t="str">
        <f t="shared" si="50"/>
        <v>-</v>
      </c>
      <c r="DU182" s="370" t="str">
        <f t="shared" si="51"/>
        <v>✔</v>
      </c>
      <c r="DV182" s="306" t="str">
        <f t="shared" si="52"/>
        <v>✔</v>
      </c>
      <c r="DW182" s="306" t="str">
        <f t="shared" si="53"/>
        <v>-</v>
      </c>
      <c r="DX182" s="306" t="str">
        <f t="shared" si="54"/>
        <v>-</v>
      </c>
      <c r="DY182" s="306" t="str">
        <f t="shared" si="55"/>
        <v>-</v>
      </c>
      <c r="DZ182" s="306" t="str">
        <f t="shared" si="56"/>
        <v>-</v>
      </c>
      <c r="EA182" s="367" t="str">
        <f t="shared" si="57"/>
        <v>-</v>
      </c>
      <c r="EB182" s="310" t="str">
        <f>IFERROR(__xludf.DUMMYFUNCTION("IF(REGEXMATCH(AW182,AS182),""✔"",""-"")"),"-")</f>
        <v>-</v>
      </c>
      <c r="EC182" s="310" t="str">
        <f t="shared" si="58"/>
        <v>#REF!</v>
      </c>
      <c r="ED182" s="370" t="str">
        <f t="shared" si="59"/>
        <v>-</v>
      </c>
      <c r="EE182" s="340" t="str">
        <f t="shared" si="60"/>
        <v>S-G-m-P-D-nN-S</v>
      </c>
      <c r="EF182" s="371" t="str">
        <f>IFERROR(__xludf.DUMMYFUNCTION("CONCATENATE(JOIN("""",HC182:HO182))"),"SrRgmPdS")</f>
        <v>SrRgmPdS</v>
      </c>
      <c r="EG182" s="372">
        <f t="shared" si="61"/>
        <v>2</v>
      </c>
      <c r="EH182" s="373" t="str">
        <f>IFERROR(__xludf.DUMMYFUNCTION("CONCATENATE(JOIN("""",JC182:JO182))"),"Pa, Ni, ")</f>
        <v>Pa, Ni, </v>
      </c>
      <c r="EI182" s="322">
        <f t="shared" si="62"/>
        <v>0</v>
      </c>
      <c r="EJ182" s="374" t="str">
        <f>IFERROR(__xludf.DUMMYFUNCTION("CONCATENATE(JOIN("""",KC182:KO182))"),"")</f>
        <v/>
      </c>
      <c r="EK182" s="325" t="str">
        <f t="shared" si="63"/>
        <v>S-G3-M1-P-D2-N2-N3-S</v>
      </c>
      <c r="EL182" s="326" t="str">
        <f t="shared" si="64"/>
        <v>1-3-4-5-6-b7-7-8</v>
      </c>
      <c r="EM182" s="318" t="str">
        <f t="shared" si="65"/>
        <v>#REF!</v>
      </c>
      <c r="EN182" s="328" t="str">
        <f>IFERROR(__xludf.DUMMYFUNCTION("SUBSTITUTE(SUBSTITUTE(SUBSTITUTE(SUBSTITUTE(CONCATENATE(JOIN("" "",HP182:IB182)),""  "","" ""),""  "","" ""),""  "","" ""),""  "","" "")"),"o • • • o o • o • o o o o")</f>
        <v>o • • • o o • o • o o o o</v>
      </c>
      <c r="EO182" s="368" t="str">
        <f t="shared" si="66"/>
        <v>-</v>
      </c>
      <c r="EP182" s="339" t="str">
        <f t="shared" si="67"/>
        <v>-</v>
      </c>
      <c r="EQ182" s="339" t="str">
        <f t="shared" si="68"/>
        <v>Sa-Pa</v>
      </c>
      <c r="ER182" s="339" t="str">
        <f t="shared" si="69"/>
        <v>-</v>
      </c>
      <c r="ES182" s="340" t="str">
        <f t="shared" si="70"/>
        <v>-</v>
      </c>
      <c r="ET182" s="363"/>
      <c r="EU182" s="376" t="b">
        <f>IFERROR(__xludf.DUMMYFUNCTION("arrayformula(sum(--REGEXMATCH(""SRGMPDNS"",split(REGEXREPLACE(C182,""(.)"",""$1~""),""~""))))=len(C182)
"),FALSE)</f>
        <v>0</v>
      </c>
      <c r="EV182" s="290" t="b">
        <f>IFERROR(__xludf.DUMMYFUNCTION("arrayformula(sum(--REGEXMATCH(""SRGmPDNS"",split(REGEXREPLACE(C182,""(.)"",""$1~""),""~""))))=len(C182)"),FALSE)</f>
        <v>0</v>
      </c>
      <c r="EW182" s="290" t="b">
        <f>IFERROR(__xludf.DUMMYFUNCTION("arrayformula(sum(--REGEXMATCH(""SRGmPDnS"",split(REGEXREPLACE(C182,""(.)"",""$1~""),""~""))))=len(C182)"),FALSE)</f>
        <v>0</v>
      </c>
      <c r="EX182" s="290" t="b">
        <f>IFERROR(__xludf.DUMMYFUNCTION("arrayformula(sum(--REGEXMATCH(""SRgmPDnS"",split(REGEXREPLACE(C182,""(.)"",""$1~""),""~""))))=len(C182)"),FALSE)</f>
        <v>0</v>
      </c>
      <c r="EY182" s="290" t="b">
        <f>IFERROR(__xludf.DUMMYFUNCTION("arrayformula(sum(--REGEXMATCH(""SRgmPdnS"",split(REGEXREPLACE(C182,""(.)"",""$1~""),""~""))))=len(C182)"),FALSE)</f>
        <v>0</v>
      </c>
      <c r="EZ182" s="290" t="b">
        <f>IFERROR(__xludf.DUMMYFUNCTION("arrayformula(sum(--REGEXMATCH(""SrgmPdnS"",split(REGEXREPLACE(C182,""(.)"",""$1~""),""~""))))=len(C182)"),FALSE)</f>
        <v>0</v>
      </c>
      <c r="FA182" s="290" t="b">
        <f>IFERROR(__xludf.DUMMYFUNCTION("arrayformula(sum(--REGEXMATCH(""SrGmPdNS"",split(REGEXREPLACE(C182,""(.)"",""$1~""),""~""))))=len(C182)"),FALSE)</f>
        <v>0</v>
      </c>
      <c r="FB182" s="290" t="b">
        <f>IFERROR(__xludf.DUMMYFUNCTION("arrayformula(sum(--REGEXMATCH(""SrGMPDNS"",split(REGEXREPLACE(C182,""(.)"",""$1~""),""~""))))=len(C182)"),FALSE)</f>
        <v>0</v>
      </c>
      <c r="FC182" s="290" t="b">
        <f>IFERROR(__xludf.DUMMYFUNCTION("arrayformula(sum(--REGEXMATCH(""SrGMPdNS"",split(REGEXREPLACE(C182,""(.)"",""$1~""),""~""))))=len(C182)"),FALSE)</f>
        <v>0</v>
      </c>
      <c r="FD182" s="377" t="b">
        <f>IFERROR(__xludf.DUMMYFUNCTION("arrayformula(sum(--REGEXMATCH(""SrgMPdNS"",split(REGEXREPLACE(C182,""(.)"",""$1~""),""~""))))=len(C182)"),FALSE)</f>
        <v>0</v>
      </c>
      <c r="FE182" s="269" t="str">
        <f t="shared" si="71"/>
        <v>-</v>
      </c>
      <c r="FF182" s="269" t="str">
        <f t="shared" si="72"/>
        <v>-</v>
      </c>
      <c r="FG182" s="271" t="str">
        <f t="shared" si="73"/>
        <v>-</v>
      </c>
      <c r="FH182" s="269" t="str">
        <f t="shared" si="74"/>
        <v>xxoxoxxxxoo</v>
      </c>
      <c r="FI182" s="271" t="str">
        <f t="shared" si="75"/>
        <v>xoxoxxxxooo</v>
      </c>
      <c r="FJ182" s="271" t="str">
        <f t="shared" si="76"/>
        <v>-</v>
      </c>
      <c r="FK182" s="271" t="str">
        <f t="shared" si="77"/>
        <v>xoxxxxoooxx</v>
      </c>
      <c r="FL182" s="271" t="str">
        <f t="shared" si="78"/>
        <v>-</v>
      </c>
      <c r="FM182" s="271" t="str">
        <f t="shared" si="79"/>
        <v>xxxxoooxxox</v>
      </c>
      <c r="FN182" s="271" t="str">
        <f t="shared" si="80"/>
        <v>xxxoooxxoxo</v>
      </c>
      <c r="FO182" s="274" t="str">
        <f t="shared" si="81"/>
        <v>xxoooxxoxox</v>
      </c>
      <c r="FP182" s="234" t="str">
        <f t="shared" si="82"/>
        <v>|</v>
      </c>
      <c r="FQ182" s="236" t="str">
        <f t="shared" si="83"/>
        <v>-</v>
      </c>
      <c r="FR182" s="237" t="str">
        <f t="shared" si="84"/>
        <v>-</v>
      </c>
      <c r="FS182" s="236" t="str">
        <f t="shared" si="85"/>
        <v>-</v>
      </c>
      <c r="FT182" s="237" t="str">
        <f t="shared" si="86"/>
        <v>|</v>
      </c>
      <c r="FU182" s="236" t="str">
        <f t="shared" si="87"/>
        <v>|</v>
      </c>
      <c r="FV182" s="237" t="str">
        <f t="shared" si="88"/>
        <v>-</v>
      </c>
      <c r="FW182" s="236" t="str">
        <f t="shared" si="89"/>
        <v>|</v>
      </c>
      <c r="FX182" s="237" t="str">
        <f t="shared" si="90"/>
        <v>-</v>
      </c>
      <c r="FY182" s="236" t="str">
        <f t="shared" si="91"/>
        <v>|</v>
      </c>
      <c r="FZ182" s="237" t="str">
        <f t="shared" si="92"/>
        <v>|</v>
      </c>
      <c r="GA182" s="236" t="str">
        <f t="shared" si="93"/>
        <v>|</v>
      </c>
      <c r="GB182" s="238" t="str">
        <f t="shared" si="94"/>
        <v>|</v>
      </c>
      <c r="GC182" s="244" t="str">
        <f>IFERROR(__xludf.DUMMYFUNCTION("IF(REGEXMATCH(C182, ""S""), ""1"","""")"),"1")</f>
        <v>1</v>
      </c>
      <c r="GD182" s="245" t="str">
        <f>IFERROR(__xludf.DUMMYFUNCTION("IF(REGEXMATCH(C182, ""r""), ""b2"","""")"),"")</f>
        <v/>
      </c>
      <c r="GE182" s="246" t="str">
        <f>IFERROR(__xludf.DUMMYFUNCTION("IF(REGEXMATCH(C182, ""R""), ""2"","""")"),"")</f>
        <v/>
      </c>
      <c r="GF182" s="246" t="str">
        <f>IFERROR(__xludf.DUMMYFUNCTION("IF(REGEXMATCH(C182, ""g""), ""b3"","""")"),"")</f>
        <v/>
      </c>
      <c r="GG182" s="245" t="str">
        <f>IFERROR(__xludf.DUMMYFUNCTION("IF(REGEXMATCH(C182, ""G""), ""3"","""")"),"3")</f>
        <v>3</v>
      </c>
      <c r="GH182" s="245" t="str">
        <f>IFERROR(__xludf.DUMMYFUNCTION("IF(REGEXMATCH(C182, ""m""), ""4"","""")"),"4")</f>
        <v>4</v>
      </c>
      <c r="GI182" s="246" t="str">
        <f>IFERROR(__xludf.DUMMYFUNCTION("IF(REGEXMATCH(C182, ""M""), ""#4"","""")"),"")</f>
        <v/>
      </c>
      <c r="GJ182" s="245" t="str">
        <f>IFERROR(__xludf.DUMMYFUNCTION("IF(REGEXMATCH(C182, ""P""), ""5"","""")"),"5")</f>
        <v>5</v>
      </c>
      <c r="GK182" s="246" t="str">
        <f>IFERROR(__xludf.DUMMYFUNCTION("IF(REGEXMATCH(C182, ""d""), ""b6"","""")"),"")</f>
        <v/>
      </c>
      <c r="GL182" s="245" t="str">
        <f>IFERROR(__xludf.DUMMYFUNCTION("IF(REGEXMATCH(C182, ""D""), ""6"","""")"),"6")</f>
        <v>6</v>
      </c>
      <c r="GM182" s="245" t="str">
        <f>IFERROR(__xludf.DUMMYFUNCTION("IF(REGEXMATCH(C182, ""n""), ""b7"","""")"),"b7")</f>
        <v>b7</v>
      </c>
      <c r="GN182" s="246" t="str">
        <f>IFERROR(__xludf.DUMMYFUNCTION("IF(REGEXMATCH(C182, ""N""), ""7"","""")"),"7")</f>
        <v>7</v>
      </c>
      <c r="GO182" s="249" t="str">
        <f>IFERROR(__xludf.DUMMYFUNCTION("IF(REGEXMATCH(C182, ""S""), ""8"","""")"),"8")</f>
        <v>8</v>
      </c>
      <c r="GP182" s="244" t="str">
        <f>IFERROR(__xludf.DUMMYFUNCTION("IF(REGEXMATCH(C182, ""S""), ""S"","""")"),"S")</f>
        <v>S</v>
      </c>
      <c r="GQ182" s="294" t="str">
        <f>IFERROR(__xludf.DUMMYFUNCTION("IF(REGEXMATCH(C182, ""r""), ""R1"","""")"),"")</f>
        <v/>
      </c>
      <c r="GR182" s="295" t="str">
        <f>IFERROR(__xludf.DUMMYFUNCTION("IF(REGEXMATCH(C182, ""R""), ""R2"","""")"),"")</f>
        <v/>
      </c>
      <c r="GS182" s="295" t="str">
        <f>IFERROR(__xludf.DUMMYFUNCTION("IF(REGEXMATCH(C182, ""g""), ""G2"","""")"),"")</f>
        <v/>
      </c>
      <c r="GT182" s="294" t="str">
        <f>IFERROR(__xludf.DUMMYFUNCTION("IF(REGEXMATCH(C182, ""G""), ""G3"","""")"),"G3")</f>
        <v>G3</v>
      </c>
      <c r="GU182" s="294" t="str">
        <f>IFERROR(__xludf.DUMMYFUNCTION("IF(REGEXMATCH(C182, ""m""), ""M1"","""")"),"M1")</f>
        <v>M1</v>
      </c>
      <c r="GV182" s="295" t="str">
        <f>IFERROR(__xludf.DUMMYFUNCTION("IF(REGEXMATCH(C182, ""M""), ""M2"","""")"),"")</f>
        <v/>
      </c>
      <c r="GW182" s="294" t="str">
        <f>IFERROR(__xludf.DUMMYFUNCTION("IF(REGEXMATCH(C182, ""P""), ""P"","""")"),"P")</f>
        <v>P</v>
      </c>
      <c r="GX182" s="295" t="str">
        <f>IFERROR(__xludf.DUMMYFUNCTION("IF(REGEXMATCH(C182, ""d""), ""D1"","""")"),"")</f>
        <v/>
      </c>
      <c r="GY182" s="294" t="str">
        <f>IFERROR(__xludf.DUMMYFUNCTION("IF(REGEXMATCH(C182, ""D""), ""D2"","""")"),"D2")</f>
        <v>D2</v>
      </c>
      <c r="GZ182" s="294" t="str">
        <f>IFERROR(__xludf.DUMMYFUNCTION("IF(REGEXMATCH(C182, ""n""), ""N2"","""")"),"N2")</f>
        <v>N2</v>
      </c>
      <c r="HA182" s="295" t="str">
        <f>IFERROR(__xludf.DUMMYFUNCTION("IF(REGEXMATCH(C182, ""N""), ""N3"","""")"),"N3")</f>
        <v>N3</v>
      </c>
      <c r="HB182" s="249" t="str">
        <f>IFERROR(__xludf.DUMMYFUNCTION("IF(REGEXMATCH(C182, ""S""), ""S"","""")"),"S")</f>
        <v>S</v>
      </c>
      <c r="HC182" s="331" t="str">
        <f t="shared" si="95"/>
        <v>S</v>
      </c>
      <c r="HD182" s="332" t="str">
        <f t="shared" si="96"/>
        <v>r</v>
      </c>
      <c r="HE182" s="332" t="str">
        <f t="shared" si="97"/>
        <v>R</v>
      </c>
      <c r="HF182" s="332" t="str">
        <f t="shared" si="98"/>
        <v>g</v>
      </c>
      <c r="HG182" s="332" t="str">
        <f t="shared" si="99"/>
        <v/>
      </c>
      <c r="HH182" s="332" t="str">
        <f t="shared" si="100"/>
        <v>m</v>
      </c>
      <c r="HI182" s="332" t="str">
        <f t="shared" si="101"/>
        <v/>
      </c>
      <c r="HJ182" s="332" t="str">
        <f t="shared" si="102"/>
        <v>P</v>
      </c>
      <c r="HK182" s="332" t="str">
        <f t="shared" si="103"/>
        <v>d</v>
      </c>
      <c r="HL182" s="332" t="str">
        <f t="shared" si="104"/>
        <v/>
      </c>
      <c r="HM182" s="332" t="str">
        <f t="shared" si="105"/>
        <v/>
      </c>
      <c r="HN182" s="332" t="str">
        <f t="shared" si="106"/>
        <v/>
      </c>
      <c r="HO182" s="343" t="str">
        <f t="shared" si="107"/>
        <v>S</v>
      </c>
      <c r="HP182" s="331" t="str">
        <f t="shared" si="108"/>
        <v>o</v>
      </c>
      <c r="HQ182" s="332" t="str">
        <f t="shared" si="109"/>
        <v>•</v>
      </c>
      <c r="HR182" s="332" t="str">
        <f t="shared" si="110"/>
        <v>•</v>
      </c>
      <c r="HS182" s="332" t="str">
        <f t="shared" si="111"/>
        <v>•</v>
      </c>
      <c r="HT182" s="332" t="str">
        <f t="shared" si="112"/>
        <v>o</v>
      </c>
      <c r="HU182" s="332" t="str">
        <f t="shared" si="113"/>
        <v>o</v>
      </c>
      <c r="HV182" s="332" t="str">
        <f t="shared" si="114"/>
        <v>•</v>
      </c>
      <c r="HW182" s="332" t="str">
        <f t="shared" si="115"/>
        <v>o</v>
      </c>
      <c r="HX182" s="332" t="str">
        <f t="shared" si="116"/>
        <v>•</v>
      </c>
      <c r="HY182" s="332" t="str">
        <f t="shared" si="117"/>
        <v>o</v>
      </c>
      <c r="HZ182" s="332" t="str">
        <f t="shared" si="118"/>
        <v>o</v>
      </c>
      <c r="IA182" s="332" t="str">
        <f t="shared" si="119"/>
        <v>o</v>
      </c>
      <c r="IB182" s="338" t="str">
        <f t="shared" si="120"/>
        <v>o</v>
      </c>
      <c r="IC182" s="331" t="str">
        <f t="shared" si="121"/>
        <v>•</v>
      </c>
      <c r="ID182" s="332" t="str">
        <f t="shared" si="122"/>
        <v>o</v>
      </c>
      <c r="IE182" s="332" t="str">
        <f t="shared" si="123"/>
        <v>o</v>
      </c>
      <c r="IF182" s="332" t="str">
        <f t="shared" si="124"/>
        <v>o</v>
      </c>
      <c r="IG182" s="332" t="str">
        <f t="shared" si="125"/>
        <v>•</v>
      </c>
      <c r="IH182" s="332" t="str">
        <f t="shared" si="126"/>
        <v>•</v>
      </c>
      <c r="II182" s="332" t="str">
        <f t="shared" si="127"/>
        <v>o</v>
      </c>
      <c r="IJ182" s="332" t="str">
        <f t="shared" si="128"/>
        <v>•</v>
      </c>
      <c r="IK182" s="332" t="str">
        <f t="shared" si="129"/>
        <v>o</v>
      </c>
      <c r="IL182" s="332" t="str">
        <f t="shared" si="130"/>
        <v>•</v>
      </c>
      <c r="IM182" s="332" t="str">
        <f t="shared" si="131"/>
        <v>•</v>
      </c>
      <c r="IN182" s="332" t="str">
        <f t="shared" si="132"/>
        <v>•</v>
      </c>
      <c r="IO182" s="338" t="str">
        <f t="shared" si="133"/>
        <v>•</v>
      </c>
      <c r="IP182" s="346" t="b">
        <f t="shared" si="134"/>
        <v>0</v>
      </c>
      <c r="IQ182" s="347" t="b">
        <f t="shared" si="135"/>
        <v>0</v>
      </c>
      <c r="IR182" s="347" t="b">
        <f t="shared" si="136"/>
        <v>0</v>
      </c>
      <c r="IS182" s="347" t="b">
        <f t="shared" si="137"/>
        <v>0</v>
      </c>
      <c r="IT182" s="347" t="b">
        <f t="shared" si="138"/>
        <v>0</v>
      </c>
      <c r="IU182" s="347" t="b">
        <f t="shared" si="139"/>
        <v>0</v>
      </c>
      <c r="IV182" s="347" t="b">
        <f t="shared" si="140"/>
        <v>0</v>
      </c>
      <c r="IW182" s="347" t="b">
        <f t="shared" si="141"/>
        <v>1</v>
      </c>
      <c r="IX182" s="347" t="b">
        <f t="shared" si="142"/>
        <v>0</v>
      </c>
      <c r="IY182" s="347" t="b">
        <f t="shared" si="143"/>
        <v>0</v>
      </c>
      <c r="IZ182" s="347" t="b">
        <f t="shared" si="144"/>
        <v>0</v>
      </c>
      <c r="JA182" s="347" t="b">
        <f t="shared" si="145"/>
        <v>1</v>
      </c>
      <c r="JB182" s="353" t="b">
        <f t="shared" si="146"/>
        <v>0</v>
      </c>
      <c r="JC182" s="354" t="str">
        <f t="shared" si="147"/>
        <v/>
      </c>
      <c r="JD182" s="355" t="str">
        <f t="shared" si="148"/>
        <v/>
      </c>
      <c r="JE182" s="355" t="str">
        <f t="shared" si="149"/>
        <v/>
      </c>
      <c r="JF182" s="355" t="str">
        <f t="shared" si="150"/>
        <v/>
      </c>
      <c r="JG182" s="355" t="str">
        <f t="shared" si="151"/>
        <v/>
      </c>
      <c r="JH182" s="355" t="str">
        <f t="shared" si="152"/>
        <v/>
      </c>
      <c r="JI182" s="355" t="str">
        <f t="shared" si="153"/>
        <v/>
      </c>
      <c r="JJ182" s="355" t="str">
        <f t="shared" si="154"/>
        <v>Pa, </v>
      </c>
      <c r="JK182" s="355" t="str">
        <f t="shared" si="155"/>
        <v/>
      </c>
      <c r="JL182" s="355" t="str">
        <f t="shared" si="156"/>
        <v/>
      </c>
      <c r="JM182" s="355" t="str">
        <f t="shared" si="157"/>
        <v/>
      </c>
      <c r="JN182" s="355" t="str">
        <f t="shared" si="158"/>
        <v>Ni, </v>
      </c>
      <c r="JO182" s="359" t="str">
        <f t="shared" si="159"/>
        <v/>
      </c>
      <c r="JP182" s="346" t="b">
        <f t="shared" si="160"/>
        <v>0</v>
      </c>
      <c r="JQ182" s="347" t="b">
        <f t="shared" si="161"/>
        <v>0</v>
      </c>
      <c r="JR182" s="347" t="b">
        <f t="shared" si="162"/>
        <v>0</v>
      </c>
      <c r="JS182" s="347" t="b">
        <f t="shared" si="163"/>
        <v>0</v>
      </c>
      <c r="JT182" s="347" t="b">
        <f t="shared" si="164"/>
        <v>0</v>
      </c>
      <c r="JU182" s="347" t="b">
        <f t="shared" si="165"/>
        <v>0</v>
      </c>
      <c r="JV182" s="347" t="b">
        <f t="shared" si="166"/>
        <v>0</v>
      </c>
      <c r="JW182" s="347" t="b">
        <f t="shared" si="167"/>
        <v>0</v>
      </c>
      <c r="JX182" s="347" t="b">
        <f t="shared" si="168"/>
        <v>0</v>
      </c>
      <c r="JY182" s="347" t="b">
        <f t="shared" si="169"/>
        <v>0</v>
      </c>
      <c r="JZ182" s="347" t="b">
        <f t="shared" si="170"/>
        <v>0</v>
      </c>
      <c r="KA182" s="347" t="b">
        <f t="shared" si="171"/>
        <v>0</v>
      </c>
      <c r="KB182" s="365" t="b">
        <f t="shared" si="172"/>
        <v>0</v>
      </c>
      <c r="KC182" s="354" t="str">
        <f t="shared" si="173"/>
        <v/>
      </c>
      <c r="KD182" s="355" t="str">
        <f t="shared" si="174"/>
        <v/>
      </c>
      <c r="KE182" s="355" t="str">
        <f t="shared" si="175"/>
        <v/>
      </c>
      <c r="KF182" s="355" t="str">
        <f t="shared" si="176"/>
        <v/>
      </c>
      <c r="KG182" s="355" t="str">
        <f t="shared" si="177"/>
        <v/>
      </c>
      <c r="KH182" s="355" t="str">
        <f t="shared" si="178"/>
        <v/>
      </c>
      <c r="KI182" s="355" t="str">
        <f t="shared" si="179"/>
        <v/>
      </c>
      <c r="KJ182" s="355" t="str">
        <f t="shared" si="180"/>
        <v/>
      </c>
      <c r="KK182" s="355" t="str">
        <f t="shared" si="181"/>
        <v/>
      </c>
      <c r="KL182" s="355" t="str">
        <f t="shared" si="182"/>
        <v/>
      </c>
      <c r="KM182" s="355" t="str">
        <f t="shared" si="183"/>
        <v/>
      </c>
      <c r="KN182" s="355" t="str">
        <f t="shared" si="184"/>
        <v/>
      </c>
      <c r="KO182" s="359"/>
      <c r="KP182" s="378"/>
      <c r="KQ182" s="379" t="s">
        <v>9</v>
      </c>
      <c r="KR182" s="380" t="s">
        <v>9</v>
      </c>
      <c r="KS182" s="381" t="s">
        <v>9</v>
      </c>
      <c r="KT182" s="382">
        <f t="shared" si="186"/>
        <v>0</v>
      </c>
      <c r="KU182" s="383">
        <f t="shared" si="187"/>
        <v>0</v>
      </c>
      <c r="KV182" s="381" t="str">
        <f t="shared" si="205"/>
        <v>S</v>
      </c>
      <c r="KW182" s="382">
        <f t="shared" si="189"/>
        <v>0</v>
      </c>
      <c r="KX182" s="384">
        <f t="shared" si="190"/>
        <v>0</v>
      </c>
      <c r="KY182" s="382">
        <f t="shared" ref="KY182:KZ182" si="578">KW182-KT182</f>
        <v>0</v>
      </c>
      <c r="KZ182" s="369">
        <f t="shared" si="578"/>
        <v>0</v>
      </c>
      <c r="LA182" s="385" t="str">
        <f t="shared" si="192"/>
        <v>✔</v>
      </c>
      <c r="LB182" s="340" t="str">
        <f>IFERROR(__xludf.DUMMYFUNCTION("JOIN("""",ArrayFormula(MID(KS182,LEN(KS182)-SEQUENCE(1,LEN(KS182))+1,1)))"),"S")</f>
        <v>S</v>
      </c>
      <c r="LC182" s="373" t="str">
        <f>IFERROR(__xludf.DUMMYFUNCTION("JOIN("""",ArrayFormula(MID(KV182,LEN(KV182)-SEQUENCE(1,LEN(KV182))+1,1)))"),"S")</f>
        <v>S</v>
      </c>
      <c r="LD182" s="373" t="str">
        <f t="shared" si="193"/>
        <v>S</v>
      </c>
      <c r="LE182" s="339" t="str">
        <f t="shared" si="194"/>
        <v>S</v>
      </c>
      <c r="LF182" s="386" t="str">
        <f>IFERROR(__xludf.DUMMYFUNCTION("SUBSTITUTE(SUBSTITUTE(CONCATENATE(JOIN("""",LH182:LT182)),""1"",""""),""2"","""")"),"SS")</f>
        <v>SS</v>
      </c>
      <c r="LG182" s="369" t="str">
        <f t="shared" si="195"/>
        <v>-</v>
      </c>
      <c r="LH182" s="387" t="str">
        <f>IFERROR(__xludf.DUMMYFUNCTION("IF(REGEXMATCH(LD182, ""S""), ""S"",IF(REGEXMATCH(LE182, ""S""), ""S"",""""))"),"S")</f>
        <v>S</v>
      </c>
      <c r="LI182" s="299" t="str">
        <f>IFERROR(__xludf.DUMMYFUNCTION("IF(REGEXMATCH(LD182, ""r""), ""r1"",IF(REGEXMATCH(LE182, ""r""), ""r2"",""""))"),"")</f>
        <v/>
      </c>
      <c r="LJ182" s="299" t="str">
        <f>IFERROR(__xludf.DUMMYFUNCTION("IF(REGEXMATCH(LD182, ""R""), ""R1"",IF(REGEXMATCH(LE182, ""R""), ""R2"",""""))"),"")</f>
        <v/>
      </c>
      <c r="LK182" s="299" t="str">
        <f>IFERROR(__xludf.DUMMYFUNCTION("IF(REGEXMATCH(LD182, ""g""), ""g1"",IF(REGEXMATCH(LE182, ""g""), ""g2"",""""))"),"")</f>
        <v/>
      </c>
      <c r="LL182" s="299" t="str">
        <f>IFERROR(__xludf.DUMMYFUNCTION("IF(REGEXMATCH(LD182, ""G""), ""G1"",IF(REGEXMATCH(LE182, ""G""), ""G2"",""""))"),"")</f>
        <v/>
      </c>
      <c r="LM182" s="299" t="str">
        <f>IFERROR(__xludf.DUMMYFUNCTION("IF(REGEXMATCH(LD182, ""m""), ""m1"",IF(REGEXMATCH(LE182, ""m""), ""m2"",""""))"),"")</f>
        <v/>
      </c>
      <c r="LN182" s="299" t="str">
        <f>IFERROR(__xludf.DUMMYFUNCTION("IF(REGEXMATCH(LD182, ""M""), ""M1"",IF(REGEXMATCH(LE182, ""M""), ""M2"",""""))"),"")</f>
        <v/>
      </c>
      <c r="LO182" s="299" t="str">
        <f>IFERROR(__xludf.DUMMYFUNCTION("IF(REGEXMATCH(LD182, ""P""), ""P1"",IF(REGEXMATCH(LE182, ""P""), ""P2"",""""))"),"")</f>
        <v/>
      </c>
      <c r="LP182" s="299" t="str">
        <f>IFERROR(__xludf.DUMMYFUNCTION("IF(REGEXMATCH(LD182, ""d""), ""d1"",IF(REGEXMATCH(LE182, ""d""), ""d2"",""""))"),"")</f>
        <v/>
      </c>
      <c r="LQ182" s="299" t="str">
        <f>IFERROR(__xludf.DUMMYFUNCTION("IF(REGEXMATCH(LD182, ""D""), ""D1"",IF(REGEXMATCH(LE182, ""D""), ""D2"",""""))"),"")</f>
        <v/>
      </c>
      <c r="LR182" s="299" t="str">
        <f>IFERROR(__xludf.DUMMYFUNCTION("IF(REGEXMATCH(LD182, ""n""), ""n1"",IF(REGEXMATCH(LE182, ""n""), ""n2"",""""))"),"")</f>
        <v/>
      </c>
      <c r="LS182" s="299" t="str">
        <f>IFERROR(__xludf.DUMMYFUNCTION("IF(REGEXMATCH(LD182, ""N""), ""N1"",IF(REGEXMATCH(LE182, ""N""), ""N2"",""""))"),"")</f>
        <v/>
      </c>
      <c r="LT182" s="388" t="str">
        <f>IFERROR(__xludf.DUMMYFUNCTION("IF(REGEXMATCH(LD182, ""S""), ""S"",IF(REGEXMATCH(LE182, ""S""), ""S"",""""))"),"S")</f>
        <v>S</v>
      </c>
      <c r="LU182" s="389">
        <f t="shared" si="196"/>
        <v>1</v>
      </c>
      <c r="LV182" s="378"/>
      <c r="LW182" s="369"/>
      <c r="LX182" s="369"/>
    </row>
    <row r="183" ht="18.0" customHeight="1">
      <c r="A183" s="298" t="s">
        <v>888</v>
      </c>
      <c r="B183" s="222" t="s">
        <v>889</v>
      </c>
      <c r="C183" s="233" t="str">
        <f t="shared" si="7"/>
        <v>SRgmPdNS</v>
      </c>
      <c r="D183" s="234" t="str">
        <f>IFERROR(__xludf.DUMMYFUNCTION("IF(REGEXMATCH(C183, ""S""), ""S"","""")"),"S")</f>
        <v>S</v>
      </c>
      <c r="E183" s="236" t="str">
        <f>IFERROR(__xludf.DUMMYFUNCTION("IF(REGEXMATCH(C183, ""r""), ""r"","""")"),"")</f>
        <v/>
      </c>
      <c r="F183" s="237" t="str">
        <f>IFERROR(__xludf.DUMMYFUNCTION("IF(REGEXMATCH(C183, ""R""), ""R"","""")"),"R")</f>
        <v>R</v>
      </c>
      <c r="G183" s="237" t="str">
        <f>IFERROR(__xludf.DUMMYFUNCTION("IF(REGEXMATCH(C183, ""g""), ""g"","""")"),"g")</f>
        <v>g</v>
      </c>
      <c r="H183" s="236" t="str">
        <f>IFERROR(__xludf.DUMMYFUNCTION("IF(REGEXMATCH(C183, ""G""), ""G"","""")"),"")</f>
        <v/>
      </c>
      <c r="I183" s="236" t="str">
        <f>IFERROR(__xludf.DUMMYFUNCTION("IF(REGEXMATCH(C183, ""m""), ""m"","""")"),"m")</f>
        <v>m</v>
      </c>
      <c r="J183" s="237" t="str">
        <f>IFERROR(__xludf.DUMMYFUNCTION("IF(REGEXMATCH(C183, ""M""), ""M"","""")"),"")</f>
        <v/>
      </c>
      <c r="K183" s="236" t="str">
        <f>IFERROR(__xludf.DUMMYFUNCTION("IF(REGEXMATCH(C183, ""P""), ""P"","""")"),"P")</f>
        <v>P</v>
      </c>
      <c r="L183" s="237" t="str">
        <f>IFERROR(__xludf.DUMMYFUNCTION("IF(REGEXMATCH(C183, ""d""), ""d"","""")"),"d")</f>
        <v>d</v>
      </c>
      <c r="M183" s="236" t="str">
        <f>IFERROR(__xludf.DUMMYFUNCTION("IF(REGEXMATCH(C183, ""D""), ""D"","""")"),"")</f>
        <v/>
      </c>
      <c r="N183" s="236" t="str">
        <f>IFERROR(__xludf.DUMMYFUNCTION("IF(REGEXMATCH(C183, ""n""), ""n"","""")"),"")</f>
        <v/>
      </c>
      <c r="O183" s="237" t="str">
        <f>IFERROR(__xludf.DUMMYFUNCTION("IF(REGEXMATCH(C183, ""N""), ""N"","""")"),"N")</f>
        <v>N</v>
      </c>
      <c r="P183" s="238" t="str">
        <f>IFERROR(__xludf.DUMMYFUNCTION("IF(REGEXMATCH(C183, ""S""), ""S"","""")"),"S")</f>
        <v>S</v>
      </c>
      <c r="Q183" s="239" t="str">
        <f>IFERROR(__xludf.DUMMYFUNCTION("SUBSTITUTE(CONCATENATE(JOIN(""-"",D183:J183)),""-"","""")"),"SRgm")</f>
        <v>SRgm</v>
      </c>
      <c r="R183" s="229" t="str">
        <f>IFERROR(__xludf.DUMMYFUNCTION("SUBSTITUTE(CONCATENATE(JOIN(""-"",K183:P183)),""-"","""")"),"PdNS")</f>
        <v>PdNS</v>
      </c>
      <c r="S183" s="282" t="str">
        <f t="shared" si="8"/>
        <v>S-R-G-M</v>
      </c>
      <c r="T183" s="282" t="str">
        <f t="shared" si="9"/>
        <v>P-D-N-S</v>
      </c>
      <c r="U183" s="237" t="str">
        <f>IFERROR(__xludf.DUMMYFUNCTION("SUBSTITUTE(JOIN(""-"",S183,T183),""--"",""-"")"),"S-R-G-M-P-D-N-S")</f>
        <v>S-R-G-M-P-D-N-S</v>
      </c>
      <c r="V183" s="309" t="str">
        <f t="shared" si="10"/>
        <v>RgmdN</v>
      </c>
      <c r="W183" s="244" t="str">
        <f>IFERROR(__xludf.DUMMYFUNCTION("IF(REGEXMATCH(C183, ""S""), ""0"","""")"),"0")</f>
        <v>0</v>
      </c>
      <c r="X183" s="245" t="str">
        <f>IFERROR(__xludf.DUMMYFUNCTION("IF(REGEXMATCH(C183, ""r""), ""1"","""")"),"")</f>
        <v/>
      </c>
      <c r="Y183" s="246" t="str">
        <f>IFERROR(__xludf.DUMMYFUNCTION("IF(REGEXMATCH(C183, ""R""), ""2"","""")"),"2")</f>
        <v>2</v>
      </c>
      <c r="Z183" s="246" t="str">
        <f>IFERROR(__xludf.DUMMYFUNCTION("IF(REGEXMATCH(C183, ""g""), ""3"","""")"),"3")</f>
        <v>3</v>
      </c>
      <c r="AA183" s="245" t="str">
        <f>IFERROR(__xludf.DUMMYFUNCTION("IF(REGEXMATCH(C183, ""G""), ""4"","""")"),"")</f>
        <v/>
      </c>
      <c r="AB183" s="245" t="str">
        <f>IFERROR(__xludf.DUMMYFUNCTION("IF(REGEXMATCH(C183, ""m""), ""5"","""")"),"5")</f>
        <v>5</v>
      </c>
      <c r="AC183" s="246" t="str">
        <f>IFERROR(__xludf.DUMMYFUNCTION("IF(REGEXMATCH(C183, ""M""), ""6"","""")"),"")</f>
        <v/>
      </c>
      <c r="AD183" s="245" t="str">
        <f>IFERROR(__xludf.DUMMYFUNCTION("IF(REGEXMATCH(C183, ""P""), ""7"","""")"),"7")</f>
        <v>7</v>
      </c>
      <c r="AE183" s="246" t="str">
        <f>IFERROR(__xludf.DUMMYFUNCTION("IF(REGEXMATCH(C183, ""d""), ""8"","""")"),"8")</f>
        <v>8</v>
      </c>
      <c r="AF183" s="245" t="str">
        <f>IFERROR(__xludf.DUMMYFUNCTION("IF(REGEXMATCH(C183, ""D""), ""9"","""")"),"")</f>
        <v/>
      </c>
      <c r="AG183" s="245" t="str">
        <f>IFERROR(__xludf.DUMMYFUNCTION("IF(REGEXMATCH(C183, ""n""), ""10"","""")"),"")</f>
        <v/>
      </c>
      <c r="AH183" s="246" t="str">
        <f>IFERROR(__xludf.DUMMYFUNCTION("IF(REGEXMATCH(C183, ""N""), ""11"","""")"),"11")</f>
        <v>11</v>
      </c>
      <c r="AI183" s="249" t="str">
        <f>IFERROR(__xludf.DUMMYFUNCTION("IF(REGEXMATCH(C183, ""S""), ""0"","""")"),"0")</f>
        <v>0</v>
      </c>
      <c r="AJ183" s="313" t="str">
        <f t="shared" si="11"/>
        <v>-</v>
      </c>
      <c r="AK183" s="313" t="str">
        <f t="shared" si="12"/>
        <v>-</v>
      </c>
      <c r="AL183" s="313" t="str">
        <f t="shared" si="13"/>
        <v>T</v>
      </c>
      <c r="AM183" s="313" t="str">
        <f t="shared" si="14"/>
        <v>-</v>
      </c>
      <c r="AN183" s="313" t="str">
        <f t="shared" si="15"/>
        <v>-</v>
      </c>
      <c r="AO183" s="314" t="str">
        <f t="shared" si="16"/>
        <v>T</v>
      </c>
      <c r="AP183" s="316">
        <f t="shared" si="17"/>
        <v>2</v>
      </c>
      <c r="AQ183" s="319" t="str">
        <f t="shared" si="18"/>
        <v>#REF!</v>
      </c>
      <c r="AR183" s="320">
        <f t="shared" si="19"/>
        <v>0</v>
      </c>
      <c r="AS183" s="250" t="str">
        <f>IFERROR(__xludf.DUMMYFUNCTION("SUBSTITUTE(SUBSTITUTE(CONCATENATE(JOIN("""",FP183:GA183)),""|"",""x""),""-"",""o"")"),"xoxxoxoxxoox")</f>
        <v>xoxxoxoxxoox</v>
      </c>
      <c r="AT183" s="323" t="str">
        <f>IFERROR(__xludf.DUMMYFUNCTION("JOIN("""",AS183,AS183)"),"xoxxoxoxxooxxoxxoxoxxoox")</f>
        <v>xoxxoxoxxooxxoxxoxoxxoox</v>
      </c>
      <c r="AU183" s="256" t="str">
        <f>IFERROR(__xludf.DUMMYFUNCTION("JOIN("""",ArrayFormula(MID(AS183,LEN(AS183)-SEQUENCE(1,LEN(AS183))+1,1)))"),"xooxxoxoxxox")</f>
        <v>xooxxoxoxxox</v>
      </c>
      <c r="AV183" s="256" t="str">
        <f>IFERROR(__xludf.DUMMYFUNCTION("LEFT(CONCATENATE(""x"",JOIN("""",ArrayFormula(MID(AS183,LEN(AS183)-SEQUENCE(1,LEN(AS183))+1,1)))),12)"),"xxooxxoxoxxo")</f>
        <v>xxooxxoxoxxo</v>
      </c>
      <c r="AW183" s="327" t="str">
        <f>IFERROR(__xludf.DUMMYFUNCTION("JOIN("""",AU183,AU183)"),"xooxxoxoxxoxxooxxoxoxxox")</f>
        <v>xooxxoxoxxoxxooxxoxoxxox</v>
      </c>
      <c r="AX183" s="239" t="str">
        <f>IFERROR(__xludf.DUMMYFUNCTION("IF(REGEXMATCH(AW183,AS183),""✔"",""-"")"),"-")</f>
        <v>-</v>
      </c>
      <c r="AY183" s="330" t="str">
        <f t="shared" si="20"/>
        <v>-</v>
      </c>
      <c r="AZ183" s="260" t="str">
        <f t="shared" si="21"/>
        <v>#REF!</v>
      </c>
      <c r="BA183" s="333" t="str">
        <f t="shared" si="22"/>
        <v>xoxxoxo</v>
      </c>
      <c r="BB183" s="334" t="str">
        <f t="shared" si="23"/>
        <v>xxooxx</v>
      </c>
      <c r="BC183" s="335" t="str">
        <f t="shared" si="236"/>
        <v>-</v>
      </c>
      <c r="BD183" s="336" t="str">
        <f t="shared" si="25"/>
        <v>Kirwani: 'xoxxoxo' + 'xxooxx'</v>
      </c>
      <c r="BE183" s="337">
        <f>IFERROR(__xludf.DUMMYFUNCTION("COUNTUNIQUE(FILTER(AT:AT,REGEXMATCH(AT:AT,AS183)))-1"),3.0)</f>
        <v>3</v>
      </c>
      <c r="BF183" s="261" t="str">
        <f>IFERROR(__xludf.DUMMYFUNCTION("IF(BI183=0,""(n/a)"",IF(BJ183=2,""(PAIR)"",IF(REGEXMATCH(AT183,""xoxoxxoxoxox""),""Bilawal"",IF(REGEXMATCH(AT183,""xoxoxooxoxoo""),""Bhupali"",IF(REGEXMATCH(AT183,""xoxoxxoxxoxo""),""Charukeshi"",IF(REGEXMATCH(AT183,""xoxoooxxoxxo""),""Kameshwari"",IF(REG"&amp;"EXMATCH(AT183,""xoxoxooxoxox""),""Shankara"",IF(REGEXMATCH(AT183,""xxooxoxxxoox""),""Basant"",IF(REGEXMATCH(AT183,""xoxoxxxxoxox""),""Bihag"",IF(REGEXMATCH(AT183,""xoxxxxoxoxxx""),""Pilu"",IF(REGEXMATCH(AT183,""xoxxoxoxxoox""),""Kirwani"",IF(REGEXMATCH(AT"&amp;"183,""xoxxoxoxoxxx""),""Mk.Malhar"",IF(REGEXMATCH(AT183,""xxooxxoxxoox""),""Bhairav"",IF(REGEXMATCH(AT183,""xxoxooxxxoox""),""Todi"",IF(REGEXMATCH(AT183,""xxooxoxooxox""),""Marwa"",IF(REGEXMATCH(AT183,""xxoooxoxxooo""),""Gunkali"",IF(REGEXMATCH(AT183,""xo"&amp;"xoxxoxxoox""),""Nat Bhairav"",IF(REGEXMATCH(AT183,""xoxxoooxoxoo""),""Shivranjani"",IF(REGEXMATCH(AT183,""xooxxxoxooxo""),""Jog"",IF(REGEXMATCH(AT183,""xxooxoxoxoox""),""Hemshri"",IF(REGEXMATCH(AT183,""xoooxooxoxxo""),""Kalavati"",IF(REGEXMATCH(AT183,""xx"&amp;"oxoxxoxoox""),""Kedar"",IF(REGEXMATCH(AT183,""xoxxxxoxooxx""),""Gara"",IF(REGEXMATCH(AT183,""xooxoxooxoox""),""Chandrakauns"",IF(REGEXMATCH(AT183,""xoxxxxoxxxox""),""Mand"",IF(REGEXMATCH(AT183,""xoxxxxoxoxox""),""Hanskinkini"",IF(REGEXMATCH(AT183,""xxooxx"&amp;"oxooxo""),""Lilavati"",IF(REGEXMATCH(AT183,""xooxoxoooxox""),""Rajeshwari"",IF(REGEXMATCH(AT183,""xoooxxoxoxxx""),""Khokar"",IF(REGEXMATCH(AT183,""xxooxoxxxxox""),""Maligoura"",""-""))))))))))))))))))))))))))))))"),"Kirwani")</f>
        <v>Kirwani</v>
      </c>
      <c r="BG183" s="239" t="str">
        <f t="shared" si="26"/>
        <v>#REF!</v>
      </c>
      <c r="BH183" s="239">
        <f>IFERROR(__xludf.DUMMYFUNCTION("COUNTUNIQUE(FE183:FO183)-1"),6.0)</f>
        <v>6</v>
      </c>
      <c r="BI183" s="239">
        <f>IFERROR(__xludf.DUMMYFUNCTION("COUNTUNIQUE(FILTER(AT:AT,REGEXMATCH(AT:AT,AS183)))-1"),3.0)</f>
        <v>3</v>
      </c>
      <c r="BJ183" s="239">
        <f>IFERROR(__xludf.DUMMYFUNCTION("COUNTA(FILTER(AT:AT,REGEXMATCH(AT:AT,AS183)))"),6.0)</f>
        <v>6</v>
      </c>
      <c r="BK183" s="341">
        <f>IFERROR(__xludf.DUMMYFUNCTION("COUNTA(FILTER(AT:AT,REGEXMATCH(AT:AT,AS183)))-AR183"),6.0)</f>
        <v>6</v>
      </c>
      <c r="BL183" s="276" t="str">
        <f>IFERROR(__xludf.DUMMYFUNCTION("IF(AS183=""oooooooooooo"",""-"",IF(REGEXMATCH(AT183,""xx""), ""Hemi."", ""Anhemi.""))"),"Hemi.")</f>
        <v>Hemi.</v>
      </c>
      <c r="BM183" s="282" t="str">
        <f>IFERROR(__xludf.DUMMYFUNCTION("IF(AS183=""oooooooooooo"",""-"",IF(REGEXMATCH(AT183,""xxx""), ""Cohem."", ""-""))"),"-")</f>
        <v>-</v>
      </c>
      <c r="BN183" s="282" t="str">
        <f>IFERROR(__xludf.DUMMYFUNCTION("IF(AS183=""oooooooooooo"",""-"",IF(REGEXMATCH(AT183,""xxxx""), ""Co-Co."", ""-""))"),"-")</f>
        <v>-</v>
      </c>
      <c r="BO183" s="342" t="str">
        <f>IFERROR(__xludf.DUMMYFUNCTION("IF(AS183=""oooooooooooo"",""-"",IF(REGEXMATCH(AT183,""xxxxx""), ""CCC."", ""-""))"),"-")</f>
        <v>-</v>
      </c>
      <c r="BP183" s="344" t="str">
        <f t="shared" si="27"/>
        <v>-</v>
      </c>
      <c r="BQ183" s="282" t="str">
        <f>IFERROR(__xludf.DUMMYFUNCTION("IF(REGEXMATCH(JOIN(""-"",EU183:FD183),""TRUE""),""✔"",""-"")"),"-")</f>
        <v>-</v>
      </c>
      <c r="BR183" s="225">
        <f t="shared" si="28"/>
        <v>0</v>
      </c>
      <c r="BS183" s="345" t="str">
        <f>IFERROR(__xludf.DUMMYFUNCTION("SUBSTITUTE(SUBSTITUTE(SUBSTITUTE(SUBSTITUTE(CONCATENATE(JOIN(""-"",GC183:GO183)),""--"",""-""),""--"",""-""),""--"",""-""),""--"",""-"")"),"1-2-b3-4-5-b6-7-8")</f>
        <v>1-2-b3-4-5-b6-7-8</v>
      </c>
      <c r="BT183" s="299" t="str">
        <f>IFERROR(__xludf.DUMMYFUNCTION("SUBSTITUTE(SUBSTITUTE(SUBSTITUTE(SUBSTITUTE(CONCATENATE(JOIN(""-"",GP183:HB183)),""--"",""-""),""--"",""-""),""--"",""-""),""--"",""-"")"),"S-R2-G2-M1-P-D1-N3-S")</f>
        <v>S-R2-G2-M1-P-D1-N3-S</v>
      </c>
      <c r="BU183" s="348" t="str">
        <f t="shared" si="29"/>
        <v>C-D-Eb-F-G-Ab-B-C</v>
      </c>
      <c r="BV183" s="349" t="str">
        <f t="shared" si="30"/>
        <v>SrGMDnS</v>
      </c>
      <c r="BW183" s="350">
        <f t="shared" si="31"/>
        <v>0</v>
      </c>
      <c r="BX183" s="351">
        <f t="shared" si="32"/>
        <v>1</v>
      </c>
      <c r="BY183" s="392"/>
      <c r="BZ183" s="309" t="str">
        <f>IFERROR(__xludf.DUMMYFUNCTION("IF(REGEXMATCH(C183, ""S""), ""x"",""x"")"),"x")</f>
        <v>x</v>
      </c>
      <c r="CA183" s="245" t="str">
        <f>IFERROR(__xludf.DUMMYFUNCTION("IF(REGEXMATCH(C183, ""r""), ""o"",""x"")"),"x")</f>
        <v>x</v>
      </c>
      <c r="CB183" s="246" t="str">
        <f>IFERROR(__xludf.DUMMYFUNCTION("IF(REGEXMATCH(C183, ""R""), ""o"",""x"")"),"o")</f>
        <v>o</v>
      </c>
      <c r="CC183" s="246" t="str">
        <f>IFERROR(__xludf.DUMMYFUNCTION("IF(REGEXMATCH(C183, ""g""), ""o"",""x"")"),"o")</f>
        <v>o</v>
      </c>
      <c r="CD183" s="245" t="str">
        <f>IFERROR(__xludf.DUMMYFUNCTION("IF(REGEXMATCH(C183, ""G""), ""o"",""x"")"),"x")</f>
        <v>x</v>
      </c>
      <c r="CE183" s="245" t="str">
        <f>IFERROR(__xludf.DUMMYFUNCTION("IF(REGEXMATCH(C183, ""m""), ""o"",""x"")"),"o")</f>
        <v>o</v>
      </c>
      <c r="CF183" s="246" t="str">
        <f>IFERROR(__xludf.DUMMYFUNCTION("IF(REGEXMATCH(C183, ""M""), ""o"",""x"")"),"x")</f>
        <v>x</v>
      </c>
      <c r="CG183" s="245" t="str">
        <f>IFERROR(__xludf.DUMMYFUNCTION("IF(REGEXMATCH(C183, ""P""), ""o"",""x"")"),"o")</f>
        <v>o</v>
      </c>
      <c r="CH183" s="246" t="str">
        <f>IFERROR(__xludf.DUMMYFUNCTION("IF(REGEXMATCH(C183, ""d""), ""o"",""x"")"),"o")</f>
        <v>o</v>
      </c>
      <c r="CI183" s="245" t="str">
        <f>IFERROR(__xludf.DUMMYFUNCTION("IF(REGEXMATCH(C183, ""D""), ""o"",""x"")"),"x")</f>
        <v>x</v>
      </c>
      <c r="CJ183" s="245" t="str">
        <f>IFERROR(__xludf.DUMMYFUNCTION("IF(REGEXMATCH(C183, ""n""), ""o"",""x"")"),"x")</f>
        <v>x</v>
      </c>
      <c r="CK183" s="245" t="str">
        <f>IFERROR(__xludf.DUMMYFUNCTION("IF(REGEXMATCH(C183, ""N""), ""o"",""x"")"),"o")</f>
        <v>o</v>
      </c>
      <c r="CL183" s="356" t="str">
        <f>IFERROR(__xludf.DUMMYFUNCTION("IF(REGEXMATCH(C183, ""S""), ""x"",""x"")"),"x")</f>
        <v>x</v>
      </c>
      <c r="CM183" s="357" t="str">
        <f t="shared" si="33"/>
        <v>xxooxoxooxxo</v>
      </c>
      <c r="CN183" s="358">
        <f t="shared" si="34"/>
        <v>0</v>
      </c>
      <c r="CO183" s="246" t="str">
        <f>IFERROR(__xludf.DUMMYFUNCTION("IF(REGEXMATCH($C183, ""S""), ""S"",""S"")"),"S")</f>
        <v>S</v>
      </c>
      <c r="CP183" s="246" t="str">
        <f>IFERROR(__xludf.DUMMYFUNCTION("IF(REGEXMATCH($C183, ""r""), """",""r"")"),"r")</f>
        <v>r</v>
      </c>
      <c r="CQ183" s="246" t="str">
        <f>IFERROR(__xludf.DUMMYFUNCTION("IF(REGEXMATCH($C183, ""R""), """",""R"")"),"")</f>
        <v/>
      </c>
      <c r="CR183" s="246" t="str">
        <f>IFERROR(__xludf.DUMMYFUNCTION("IF(REGEXMATCH($C183, ""g""), """",""g"")"),"")</f>
        <v/>
      </c>
      <c r="CS183" s="246" t="str">
        <f>IFERROR(__xludf.DUMMYFUNCTION("IF(REGEXMATCH($C183, ""G""), """",""G"")"),"G")</f>
        <v>G</v>
      </c>
      <c r="CT183" s="246" t="str">
        <f>IFERROR(__xludf.DUMMYFUNCTION("IF(REGEXMATCH($C183, ""m""), """",""m"")"),"")</f>
        <v/>
      </c>
      <c r="CU183" s="246" t="str">
        <f>IFERROR(__xludf.DUMMYFUNCTION("IF(REGEXMATCH($C183, ""M""), """",""M"")"),"M")</f>
        <v>M</v>
      </c>
      <c r="CV183" s="246" t="str">
        <f>IFERROR(__xludf.DUMMYFUNCTION("IF(REGEXMATCH($C183, ""P""), """",""P"")"),"")</f>
        <v/>
      </c>
      <c r="CW183" s="246" t="str">
        <f>IFERROR(__xludf.DUMMYFUNCTION("IF(REGEXMATCH($C183, ""d""), """",""d"")"),"")</f>
        <v/>
      </c>
      <c r="CX183" s="246" t="str">
        <f>IFERROR(__xludf.DUMMYFUNCTION("IF(REGEXMATCH($C183, ""D""), """",""D"")"),"D")</f>
        <v>D</v>
      </c>
      <c r="CY183" s="246" t="str">
        <f>IFERROR(__xludf.DUMMYFUNCTION("IF(REGEXMATCH($C183, ""n""), """",""n"")"),"n")</f>
        <v>n</v>
      </c>
      <c r="CZ183" s="246" t="str">
        <f>IFERROR(__xludf.DUMMYFUNCTION("IF(REGEXMATCH($C183, ""N""), """",""N"")"),"")</f>
        <v/>
      </c>
      <c r="DA183" s="246" t="str">
        <f>IFERROR(__xludf.DUMMYFUNCTION("IF(REGEXMATCH($C183, ""S""), ""S"",""S"")"),"S")</f>
        <v>S</v>
      </c>
      <c r="DB183" s="362" t="str">
        <f>IFERROR(__xludf.DUMMYFUNCTION("JOIN("""",CO183:DA183,"""","""")"),"SrGMDnS")</f>
        <v>SrGMDnS</v>
      </c>
      <c r="DC183" s="363"/>
      <c r="DD183" s="301" t="str">
        <f t="shared" si="35"/>
        <v>#REF!</v>
      </c>
      <c r="DE183" s="302" t="str">
        <f t="shared" si="36"/>
        <v>#REF!</v>
      </c>
      <c r="DF183" s="301" t="str">
        <f t="shared" ref="DF183:DG183" si="579">SUBSTITUTE(S183,"-","")</f>
        <v>SRGM</v>
      </c>
      <c r="DG183" s="301" t="str">
        <f t="shared" si="579"/>
        <v>PDNS</v>
      </c>
      <c r="DH183" s="302" t="str">
        <f t="shared" si="38"/>
        <v>Kirwani</v>
      </c>
      <c r="DI183" s="301" t="str">
        <f t="shared" si="39"/>
        <v>Hemi.</v>
      </c>
      <c r="DJ183" s="364" t="str">
        <f t="shared" si="40"/>
        <v>-</v>
      </c>
      <c r="DK183" s="306" t="str">
        <f t="shared" si="41"/>
        <v>-</v>
      </c>
      <c r="DL183" s="366" t="str">
        <f t="shared" si="42"/>
        <v>-</v>
      </c>
      <c r="DM183" s="308" t="str">
        <f t="shared" si="43"/>
        <v>✔</v>
      </c>
      <c r="DN183" s="306" t="str">
        <f t="shared" si="44"/>
        <v>-</v>
      </c>
      <c r="DO183" s="306" t="str">
        <f t="shared" si="45"/>
        <v>-</v>
      </c>
      <c r="DP183" s="367" t="str">
        <f t="shared" si="46"/>
        <v>-</v>
      </c>
      <c r="DQ183" s="310" t="str">
        <f t="shared" si="47"/>
        <v>-</v>
      </c>
      <c r="DR183" s="310" t="str">
        <f t="shared" si="48"/>
        <v>-</v>
      </c>
      <c r="DS183" s="310" t="str">
        <f t="shared" si="49"/>
        <v>-</v>
      </c>
      <c r="DT183" s="310" t="str">
        <f t="shared" si="50"/>
        <v>-</v>
      </c>
      <c r="DU183" s="370" t="str">
        <f t="shared" si="51"/>
        <v>-</v>
      </c>
      <c r="DV183" s="306" t="str">
        <f t="shared" si="52"/>
        <v>-</v>
      </c>
      <c r="DW183" s="306" t="str">
        <f t="shared" si="53"/>
        <v>-</v>
      </c>
      <c r="DX183" s="306" t="str">
        <f t="shared" si="54"/>
        <v>-</v>
      </c>
      <c r="DY183" s="306" t="str">
        <f t="shared" si="55"/>
        <v>-</v>
      </c>
      <c r="DZ183" s="306" t="str">
        <f t="shared" si="56"/>
        <v>-</v>
      </c>
      <c r="EA183" s="367" t="str">
        <f t="shared" si="57"/>
        <v>-</v>
      </c>
      <c r="EB183" s="310" t="str">
        <f>IFERROR(__xludf.DUMMYFUNCTION("IF(REGEXMATCH(AW183,AS183),""✔"",""-"")"),"-")</f>
        <v>-</v>
      </c>
      <c r="EC183" s="310" t="str">
        <f t="shared" si="58"/>
        <v>#REF!</v>
      </c>
      <c r="ED183" s="370" t="str">
        <f t="shared" si="59"/>
        <v>-</v>
      </c>
      <c r="EE183" s="340" t="str">
        <f t="shared" si="60"/>
        <v>S-R-g-m-P-d-N-S</v>
      </c>
      <c r="EF183" s="371" t="str">
        <f>IFERROR(__xludf.DUMMYFUNCTION("CONCATENATE(JOIN("""",HC183:HO183))"),"SrGmPDnS")</f>
        <v>SrGmPDnS</v>
      </c>
      <c r="EG183" s="372">
        <f t="shared" si="61"/>
        <v>3</v>
      </c>
      <c r="EH183" s="373" t="str">
        <f>IFERROR(__xludf.DUMMYFUNCTION("CONCATENATE(JOIN("""",JC183:JO183))"),"Re, ga, Ni, ")</f>
        <v>Re, ga, Ni, </v>
      </c>
      <c r="EI183" s="322">
        <f t="shared" si="62"/>
        <v>1</v>
      </c>
      <c r="EJ183" s="374" t="str">
        <f>IFERROR(__xludf.DUMMYFUNCTION("CONCATENATE(JOIN("""",KC183:KO183))"),"Ni, ")</f>
        <v>Ni, </v>
      </c>
      <c r="EK183" s="325" t="str">
        <f t="shared" si="63"/>
        <v>S-R2-G2-M1-P-D1-N3-S</v>
      </c>
      <c r="EL183" s="326" t="str">
        <f t="shared" si="64"/>
        <v>1-2-b3-4-5-b6-7-8</v>
      </c>
      <c r="EM183" s="318" t="str">
        <f t="shared" si="65"/>
        <v>#REF!</v>
      </c>
      <c r="EN183" s="328" t="str">
        <f>IFERROR(__xludf.DUMMYFUNCTION("SUBSTITUTE(SUBSTITUTE(SUBSTITUTE(SUBSTITUTE(CONCATENATE(JOIN("" "",HP183:IB183)),""  "","" ""),""  "","" ""),""  "","" ""),""  "","" "")"),"o • o o • o • o o • • o o")</f>
        <v>o • o o • o • o o • • o o</v>
      </c>
      <c r="EO183" s="368" t="str">
        <f t="shared" si="66"/>
        <v>-</v>
      </c>
      <c r="EP183" s="339" t="str">
        <f t="shared" si="67"/>
        <v>-</v>
      </c>
      <c r="EQ183" s="339" t="str">
        <f t="shared" si="68"/>
        <v>Sa-Pa</v>
      </c>
      <c r="ER183" s="339" t="str">
        <f t="shared" si="69"/>
        <v>-</v>
      </c>
      <c r="ES183" s="340" t="str">
        <f t="shared" si="70"/>
        <v>-</v>
      </c>
      <c r="ET183" s="363"/>
      <c r="EU183" s="376" t="b">
        <f>IFERROR(__xludf.DUMMYFUNCTION("arrayformula(sum(--REGEXMATCH(""SRGMPDNS"",split(REGEXREPLACE(C183,""(.)"",""$1~""),""~""))))=len(C183)
"),FALSE)</f>
        <v>0</v>
      </c>
      <c r="EV183" s="290" t="b">
        <f>IFERROR(__xludf.DUMMYFUNCTION("arrayformula(sum(--REGEXMATCH(""SRGmPDNS"",split(REGEXREPLACE(C183,""(.)"",""$1~""),""~""))))=len(C183)"),FALSE)</f>
        <v>0</v>
      </c>
      <c r="EW183" s="290" t="b">
        <f>IFERROR(__xludf.DUMMYFUNCTION("arrayformula(sum(--REGEXMATCH(""SRGmPDnS"",split(REGEXREPLACE(C183,""(.)"",""$1~""),""~""))))=len(C183)"),FALSE)</f>
        <v>0</v>
      </c>
      <c r="EX183" s="290" t="b">
        <f>IFERROR(__xludf.DUMMYFUNCTION("arrayformula(sum(--REGEXMATCH(""SRgmPDnS"",split(REGEXREPLACE(C183,""(.)"",""$1~""),""~""))))=len(C183)"),FALSE)</f>
        <v>0</v>
      </c>
      <c r="EY183" s="290" t="b">
        <f>IFERROR(__xludf.DUMMYFUNCTION("arrayformula(sum(--REGEXMATCH(""SRgmPdnS"",split(REGEXREPLACE(C183,""(.)"",""$1~""),""~""))))=len(C183)"),FALSE)</f>
        <v>0</v>
      </c>
      <c r="EZ183" s="290" t="b">
        <f>IFERROR(__xludf.DUMMYFUNCTION("arrayformula(sum(--REGEXMATCH(""SrgmPdnS"",split(REGEXREPLACE(C183,""(.)"",""$1~""),""~""))))=len(C183)"),FALSE)</f>
        <v>0</v>
      </c>
      <c r="FA183" s="290" t="b">
        <f>IFERROR(__xludf.DUMMYFUNCTION("arrayformula(sum(--REGEXMATCH(""SrGmPdNS"",split(REGEXREPLACE(C183,""(.)"",""$1~""),""~""))))=len(C183)"),FALSE)</f>
        <v>0</v>
      </c>
      <c r="FB183" s="290" t="b">
        <f>IFERROR(__xludf.DUMMYFUNCTION("arrayformula(sum(--REGEXMATCH(""SrGMPDNS"",split(REGEXREPLACE(C183,""(.)"",""$1~""),""~""))))=len(C183)"),FALSE)</f>
        <v>0</v>
      </c>
      <c r="FC183" s="290" t="b">
        <f>IFERROR(__xludf.DUMMYFUNCTION("arrayformula(sum(--REGEXMATCH(""SrGMPdNS"",split(REGEXREPLACE(C183,""(.)"",""$1~""),""~""))))=len(C183)"),FALSE)</f>
        <v>0</v>
      </c>
      <c r="FD183" s="377" t="b">
        <f>IFERROR(__xludf.DUMMYFUNCTION("arrayformula(sum(--REGEXMATCH(""SrgMPdNS"",split(REGEXREPLACE(C183,""(.)"",""$1~""),""~""))))=len(C183)"),FALSE)</f>
        <v>0</v>
      </c>
      <c r="FE183" s="269" t="str">
        <f t="shared" si="71"/>
        <v>-</v>
      </c>
      <c r="FF183" s="269" t="str">
        <f t="shared" si="72"/>
        <v>xxoxoxxooxx</v>
      </c>
      <c r="FG183" s="271" t="str">
        <f t="shared" si="73"/>
        <v>xoxoxxooxxo</v>
      </c>
      <c r="FH183" s="269" t="str">
        <f t="shared" si="74"/>
        <v>-</v>
      </c>
      <c r="FI183" s="271" t="str">
        <f t="shared" si="75"/>
        <v>xoxxooxxoxx</v>
      </c>
      <c r="FJ183" s="271" t="str">
        <f t="shared" si="76"/>
        <v>-</v>
      </c>
      <c r="FK183" s="271" t="str">
        <f t="shared" si="77"/>
        <v>xxooxxoxxox</v>
      </c>
      <c r="FL183" s="271" t="str">
        <f t="shared" si="78"/>
        <v>xooxxoxxoxo</v>
      </c>
      <c r="FM183" s="271" t="str">
        <f t="shared" si="79"/>
        <v>-</v>
      </c>
      <c r="FN183" s="271" t="str">
        <f t="shared" si="80"/>
        <v>-</v>
      </c>
      <c r="FO183" s="274" t="str">
        <f t="shared" si="81"/>
        <v>xxoxxoxoxxo</v>
      </c>
      <c r="FP183" s="234" t="str">
        <f t="shared" si="82"/>
        <v>|</v>
      </c>
      <c r="FQ183" s="236" t="str">
        <f t="shared" si="83"/>
        <v>-</v>
      </c>
      <c r="FR183" s="237" t="str">
        <f t="shared" si="84"/>
        <v>|</v>
      </c>
      <c r="FS183" s="236" t="str">
        <f t="shared" si="85"/>
        <v>|</v>
      </c>
      <c r="FT183" s="237" t="str">
        <f t="shared" si="86"/>
        <v>-</v>
      </c>
      <c r="FU183" s="236" t="str">
        <f t="shared" si="87"/>
        <v>|</v>
      </c>
      <c r="FV183" s="237" t="str">
        <f t="shared" si="88"/>
        <v>-</v>
      </c>
      <c r="FW183" s="236" t="str">
        <f t="shared" si="89"/>
        <v>|</v>
      </c>
      <c r="FX183" s="237" t="str">
        <f t="shared" si="90"/>
        <v>|</v>
      </c>
      <c r="FY183" s="236" t="str">
        <f t="shared" si="91"/>
        <v>-</v>
      </c>
      <c r="FZ183" s="237" t="str">
        <f t="shared" si="92"/>
        <v>-</v>
      </c>
      <c r="GA183" s="236" t="str">
        <f t="shared" si="93"/>
        <v>|</v>
      </c>
      <c r="GB183" s="238" t="str">
        <f t="shared" si="94"/>
        <v>|</v>
      </c>
      <c r="GC183" s="244" t="str">
        <f>IFERROR(__xludf.DUMMYFUNCTION("IF(REGEXMATCH(C183, ""S""), ""1"","""")"),"1")</f>
        <v>1</v>
      </c>
      <c r="GD183" s="245" t="str">
        <f>IFERROR(__xludf.DUMMYFUNCTION("IF(REGEXMATCH(C183, ""r""), ""b2"","""")"),"")</f>
        <v/>
      </c>
      <c r="GE183" s="246" t="str">
        <f>IFERROR(__xludf.DUMMYFUNCTION("IF(REGEXMATCH(C183, ""R""), ""2"","""")"),"2")</f>
        <v>2</v>
      </c>
      <c r="GF183" s="246" t="str">
        <f>IFERROR(__xludf.DUMMYFUNCTION("IF(REGEXMATCH(C183, ""g""), ""b3"","""")"),"b3")</f>
        <v>b3</v>
      </c>
      <c r="GG183" s="245" t="str">
        <f>IFERROR(__xludf.DUMMYFUNCTION("IF(REGEXMATCH(C183, ""G""), ""3"","""")"),"")</f>
        <v/>
      </c>
      <c r="GH183" s="245" t="str">
        <f>IFERROR(__xludf.DUMMYFUNCTION("IF(REGEXMATCH(C183, ""m""), ""4"","""")"),"4")</f>
        <v>4</v>
      </c>
      <c r="GI183" s="246" t="str">
        <f>IFERROR(__xludf.DUMMYFUNCTION("IF(REGEXMATCH(C183, ""M""), ""#4"","""")"),"")</f>
        <v/>
      </c>
      <c r="GJ183" s="245" t="str">
        <f>IFERROR(__xludf.DUMMYFUNCTION("IF(REGEXMATCH(C183, ""P""), ""5"","""")"),"5")</f>
        <v>5</v>
      </c>
      <c r="GK183" s="246" t="str">
        <f>IFERROR(__xludf.DUMMYFUNCTION("IF(REGEXMATCH(C183, ""d""), ""b6"","""")"),"b6")</f>
        <v>b6</v>
      </c>
      <c r="GL183" s="245" t="str">
        <f>IFERROR(__xludf.DUMMYFUNCTION("IF(REGEXMATCH(C183, ""D""), ""6"","""")"),"")</f>
        <v/>
      </c>
      <c r="GM183" s="245" t="str">
        <f>IFERROR(__xludf.DUMMYFUNCTION("IF(REGEXMATCH(C183, ""n""), ""b7"","""")"),"")</f>
        <v/>
      </c>
      <c r="GN183" s="246" t="str">
        <f>IFERROR(__xludf.DUMMYFUNCTION("IF(REGEXMATCH(C183, ""N""), ""7"","""")"),"7")</f>
        <v>7</v>
      </c>
      <c r="GO183" s="249" t="str">
        <f>IFERROR(__xludf.DUMMYFUNCTION("IF(REGEXMATCH(C183, ""S""), ""8"","""")"),"8")</f>
        <v>8</v>
      </c>
      <c r="GP183" s="244" t="str">
        <f>IFERROR(__xludf.DUMMYFUNCTION("IF(REGEXMATCH(C183, ""S""), ""S"","""")"),"S")</f>
        <v>S</v>
      </c>
      <c r="GQ183" s="294" t="str">
        <f>IFERROR(__xludf.DUMMYFUNCTION("IF(REGEXMATCH(C183, ""r""), ""R1"","""")"),"")</f>
        <v/>
      </c>
      <c r="GR183" s="295" t="str">
        <f>IFERROR(__xludf.DUMMYFUNCTION("IF(REGEXMATCH(C183, ""R""), ""R2"","""")"),"R2")</f>
        <v>R2</v>
      </c>
      <c r="GS183" s="295" t="str">
        <f>IFERROR(__xludf.DUMMYFUNCTION("IF(REGEXMATCH(C183, ""g""), ""G2"","""")"),"G2")</f>
        <v>G2</v>
      </c>
      <c r="GT183" s="294" t="str">
        <f>IFERROR(__xludf.DUMMYFUNCTION("IF(REGEXMATCH(C183, ""G""), ""G3"","""")"),"")</f>
        <v/>
      </c>
      <c r="GU183" s="294" t="str">
        <f>IFERROR(__xludf.DUMMYFUNCTION("IF(REGEXMATCH(C183, ""m""), ""M1"","""")"),"M1")</f>
        <v>M1</v>
      </c>
      <c r="GV183" s="295" t="str">
        <f>IFERROR(__xludf.DUMMYFUNCTION("IF(REGEXMATCH(C183, ""M""), ""M2"","""")"),"")</f>
        <v/>
      </c>
      <c r="GW183" s="294" t="str">
        <f>IFERROR(__xludf.DUMMYFUNCTION("IF(REGEXMATCH(C183, ""P""), ""P"","""")"),"P")</f>
        <v>P</v>
      </c>
      <c r="GX183" s="295" t="str">
        <f>IFERROR(__xludf.DUMMYFUNCTION("IF(REGEXMATCH(C183, ""d""), ""D1"","""")"),"D1")</f>
        <v>D1</v>
      </c>
      <c r="GY183" s="294" t="str">
        <f>IFERROR(__xludf.DUMMYFUNCTION("IF(REGEXMATCH(C183, ""D""), ""D2"","""")"),"")</f>
        <v/>
      </c>
      <c r="GZ183" s="294" t="str">
        <f>IFERROR(__xludf.DUMMYFUNCTION("IF(REGEXMATCH(C183, ""n""), ""N2"","""")"),"")</f>
        <v/>
      </c>
      <c r="HA183" s="295" t="str">
        <f>IFERROR(__xludf.DUMMYFUNCTION("IF(REGEXMATCH(C183, ""N""), ""N3"","""")"),"N3")</f>
        <v>N3</v>
      </c>
      <c r="HB183" s="249" t="str">
        <f>IFERROR(__xludf.DUMMYFUNCTION("IF(REGEXMATCH(C183, ""S""), ""S"","""")"),"S")</f>
        <v>S</v>
      </c>
      <c r="HC183" s="331" t="str">
        <f t="shared" si="95"/>
        <v>S</v>
      </c>
      <c r="HD183" s="332" t="str">
        <f t="shared" si="96"/>
        <v>r</v>
      </c>
      <c r="HE183" s="332" t="str">
        <f t="shared" si="97"/>
        <v/>
      </c>
      <c r="HF183" s="332" t="str">
        <f t="shared" si="98"/>
        <v/>
      </c>
      <c r="HG183" s="332" t="str">
        <f t="shared" si="99"/>
        <v>G</v>
      </c>
      <c r="HH183" s="332" t="str">
        <f t="shared" si="100"/>
        <v>m</v>
      </c>
      <c r="HI183" s="332" t="str">
        <f t="shared" si="101"/>
        <v/>
      </c>
      <c r="HJ183" s="332" t="str">
        <f t="shared" si="102"/>
        <v>P</v>
      </c>
      <c r="HK183" s="332" t="str">
        <f t="shared" si="103"/>
        <v/>
      </c>
      <c r="HL183" s="332" t="str">
        <f t="shared" si="104"/>
        <v>D</v>
      </c>
      <c r="HM183" s="332" t="str">
        <f t="shared" si="105"/>
        <v>n</v>
      </c>
      <c r="HN183" s="332" t="str">
        <f t="shared" si="106"/>
        <v/>
      </c>
      <c r="HO183" s="343" t="str">
        <f t="shared" si="107"/>
        <v>S</v>
      </c>
      <c r="HP183" s="331" t="str">
        <f t="shared" si="108"/>
        <v>o</v>
      </c>
      <c r="HQ183" s="332" t="str">
        <f t="shared" si="109"/>
        <v>•</v>
      </c>
      <c r="HR183" s="332" t="str">
        <f t="shared" si="110"/>
        <v>o</v>
      </c>
      <c r="HS183" s="332" t="str">
        <f t="shared" si="111"/>
        <v>o</v>
      </c>
      <c r="HT183" s="332" t="str">
        <f t="shared" si="112"/>
        <v>•</v>
      </c>
      <c r="HU183" s="332" t="str">
        <f t="shared" si="113"/>
        <v>o</v>
      </c>
      <c r="HV183" s="332" t="str">
        <f t="shared" si="114"/>
        <v>•</v>
      </c>
      <c r="HW183" s="332" t="str">
        <f t="shared" si="115"/>
        <v>o</v>
      </c>
      <c r="HX183" s="332" t="str">
        <f t="shared" si="116"/>
        <v>o</v>
      </c>
      <c r="HY183" s="332" t="str">
        <f t="shared" si="117"/>
        <v>•</v>
      </c>
      <c r="HZ183" s="332" t="str">
        <f t="shared" si="118"/>
        <v>•</v>
      </c>
      <c r="IA183" s="332" t="str">
        <f t="shared" si="119"/>
        <v>o</v>
      </c>
      <c r="IB183" s="338" t="str">
        <f t="shared" si="120"/>
        <v>o</v>
      </c>
      <c r="IC183" s="331" t="str">
        <f t="shared" si="121"/>
        <v>•</v>
      </c>
      <c r="ID183" s="332" t="str">
        <f t="shared" si="122"/>
        <v>o</v>
      </c>
      <c r="IE183" s="332" t="str">
        <f t="shared" si="123"/>
        <v>•</v>
      </c>
      <c r="IF183" s="332" t="str">
        <f t="shared" si="124"/>
        <v>•</v>
      </c>
      <c r="IG183" s="332" t="str">
        <f t="shared" si="125"/>
        <v>o</v>
      </c>
      <c r="IH183" s="332" t="str">
        <f t="shared" si="126"/>
        <v>•</v>
      </c>
      <c r="II183" s="332" t="str">
        <f t="shared" si="127"/>
        <v>o</v>
      </c>
      <c r="IJ183" s="332" t="str">
        <f t="shared" si="128"/>
        <v>•</v>
      </c>
      <c r="IK183" s="332" t="str">
        <f t="shared" si="129"/>
        <v>•</v>
      </c>
      <c r="IL183" s="332" t="str">
        <f t="shared" si="130"/>
        <v>o</v>
      </c>
      <c r="IM183" s="332" t="str">
        <f t="shared" si="131"/>
        <v>o</v>
      </c>
      <c r="IN183" s="332" t="str">
        <f t="shared" si="132"/>
        <v>•</v>
      </c>
      <c r="IO183" s="338" t="str">
        <f t="shared" si="133"/>
        <v>•</v>
      </c>
      <c r="IP183" s="346" t="b">
        <f t="shared" si="134"/>
        <v>0</v>
      </c>
      <c r="IQ183" s="347" t="b">
        <f t="shared" si="135"/>
        <v>0</v>
      </c>
      <c r="IR183" s="347" t="b">
        <f t="shared" si="136"/>
        <v>1</v>
      </c>
      <c r="IS183" s="347" t="b">
        <f t="shared" si="137"/>
        <v>1</v>
      </c>
      <c r="IT183" s="347" t="b">
        <f t="shared" si="138"/>
        <v>0</v>
      </c>
      <c r="IU183" s="347" t="b">
        <f t="shared" si="139"/>
        <v>0</v>
      </c>
      <c r="IV183" s="347" t="b">
        <f t="shared" si="140"/>
        <v>0</v>
      </c>
      <c r="IW183" s="347" t="b">
        <f t="shared" si="141"/>
        <v>0</v>
      </c>
      <c r="IX183" s="347" t="b">
        <f t="shared" si="142"/>
        <v>0</v>
      </c>
      <c r="IY183" s="347" t="b">
        <f t="shared" si="143"/>
        <v>0</v>
      </c>
      <c r="IZ183" s="347" t="b">
        <f t="shared" si="144"/>
        <v>0</v>
      </c>
      <c r="JA183" s="347" t="b">
        <f t="shared" si="145"/>
        <v>1</v>
      </c>
      <c r="JB183" s="353" t="b">
        <f t="shared" si="146"/>
        <v>0</v>
      </c>
      <c r="JC183" s="354" t="str">
        <f t="shared" si="147"/>
        <v/>
      </c>
      <c r="JD183" s="355" t="str">
        <f t="shared" si="148"/>
        <v/>
      </c>
      <c r="JE183" s="355" t="str">
        <f t="shared" si="149"/>
        <v>Re, </v>
      </c>
      <c r="JF183" s="355" t="str">
        <f t="shared" si="150"/>
        <v>ga, </v>
      </c>
      <c r="JG183" s="355" t="str">
        <f t="shared" si="151"/>
        <v/>
      </c>
      <c r="JH183" s="355" t="str">
        <f t="shared" si="152"/>
        <v/>
      </c>
      <c r="JI183" s="355" t="str">
        <f t="shared" si="153"/>
        <v/>
      </c>
      <c r="JJ183" s="355" t="str">
        <f t="shared" si="154"/>
        <v/>
      </c>
      <c r="JK183" s="355" t="str">
        <f t="shared" si="155"/>
        <v/>
      </c>
      <c r="JL183" s="355" t="str">
        <f t="shared" si="156"/>
        <v/>
      </c>
      <c r="JM183" s="355" t="str">
        <f t="shared" si="157"/>
        <v/>
      </c>
      <c r="JN183" s="355" t="str">
        <f t="shared" si="158"/>
        <v>Ni, </v>
      </c>
      <c r="JO183" s="359" t="str">
        <f t="shared" si="159"/>
        <v/>
      </c>
      <c r="JP183" s="346" t="b">
        <f t="shared" si="160"/>
        <v>0</v>
      </c>
      <c r="JQ183" s="347" t="b">
        <f t="shared" si="161"/>
        <v>0</v>
      </c>
      <c r="JR183" s="347" t="b">
        <f t="shared" si="162"/>
        <v>0</v>
      </c>
      <c r="JS183" s="347" t="b">
        <f t="shared" si="163"/>
        <v>0</v>
      </c>
      <c r="JT183" s="347" t="b">
        <f t="shared" si="164"/>
        <v>0</v>
      </c>
      <c r="JU183" s="347" t="b">
        <f t="shared" si="165"/>
        <v>0</v>
      </c>
      <c r="JV183" s="347" t="b">
        <f t="shared" si="166"/>
        <v>0</v>
      </c>
      <c r="JW183" s="347" t="b">
        <f t="shared" si="167"/>
        <v>0</v>
      </c>
      <c r="JX183" s="347" t="b">
        <f t="shared" si="168"/>
        <v>0</v>
      </c>
      <c r="JY183" s="347" t="b">
        <f t="shared" si="169"/>
        <v>0</v>
      </c>
      <c r="JZ183" s="347" t="b">
        <f t="shared" si="170"/>
        <v>0</v>
      </c>
      <c r="KA183" s="347" t="b">
        <f t="shared" si="171"/>
        <v>1</v>
      </c>
      <c r="KB183" s="365" t="b">
        <f t="shared" si="172"/>
        <v>0</v>
      </c>
      <c r="KC183" s="354" t="str">
        <f t="shared" si="173"/>
        <v/>
      </c>
      <c r="KD183" s="355" t="str">
        <f t="shared" si="174"/>
        <v/>
      </c>
      <c r="KE183" s="355" t="str">
        <f t="shared" si="175"/>
        <v/>
      </c>
      <c r="KF183" s="355" t="str">
        <f t="shared" si="176"/>
        <v/>
      </c>
      <c r="KG183" s="355" t="str">
        <f t="shared" si="177"/>
        <v/>
      </c>
      <c r="KH183" s="355" t="str">
        <f t="shared" si="178"/>
        <v/>
      </c>
      <c r="KI183" s="355" t="str">
        <f t="shared" si="179"/>
        <v/>
      </c>
      <c r="KJ183" s="355" t="str">
        <f t="shared" si="180"/>
        <v/>
      </c>
      <c r="KK183" s="355" t="str">
        <f t="shared" si="181"/>
        <v/>
      </c>
      <c r="KL183" s="355" t="str">
        <f t="shared" si="182"/>
        <v/>
      </c>
      <c r="KM183" s="355" t="str">
        <f t="shared" si="183"/>
        <v/>
      </c>
      <c r="KN183" s="355" t="str">
        <f t="shared" si="184"/>
        <v>Ni, </v>
      </c>
      <c r="KO183" s="359"/>
      <c r="KP183" s="378"/>
      <c r="KQ183" s="379" t="s">
        <v>889</v>
      </c>
      <c r="KR183" s="380" t="s">
        <v>1430</v>
      </c>
      <c r="KS183" s="381" t="str">
        <f>KQ183</f>
        <v>S-R-g-m-P-d-N-S</v>
      </c>
      <c r="KT183" s="382">
        <f t="shared" si="186"/>
        <v>7</v>
      </c>
      <c r="KU183" s="383">
        <f t="shared" si="187"/>
        <v>7</v>
      </c>
      <c r="KV183" s="381" t="str">
        <f t="shared" si="205"/>
        <v>S-N-d-P-m-g-R-S</v>
      </c>
      <c r="KW183" s="382">
        <f t="shared" si="189"/>
        <v>7</v>
      </c>
      <c r="KX183" s="384">
        <f t="shared" si="190"/>
        <v>7</v>
      </c>
      <c r="KY183" s="382">
        <f t="shared" ref="KY183:KZ183" si="580">KW183-KT183</f>
        <v>0</v>
      </c>
      <c r="KZ183" s="369">
        <f t="shared" si="580"/>
        <v>0</v>
      </c>
      <c r="LA183" s="385" t="str">
        <f t="shared" si="192"/>
        <v>✔</v>
      </c>
      <c r="LB183" s="340" t="str">
        <f>IFERROR(__xludf.DUMMYFUNCTION("JOIN("""",ArrayFormula(MID(KS183,LEN(KS183)-SEQUENCE(1,LEN(KS183))+1,1)))"),"S-N-d-P-m-g-R-S")</f>
        <v>S-N-d-P-m-g-R-S</v>
      </c>
      <c r="LC183" s="373" t="str">
        <f>IFERROR(__xludf.DUMMYFUNCTION("JOIN("""",ArrayFormula(MID(KV183,LEN(KV183)-SEQUENCE(1,LEN(KV183))+1,1)))"),"S-R-g-m-P-d-N-S")</f>
        <v>S-R-g-m-P-d-N-S</v>
      </c>
      <c r="LD183" s="373" t="str">
        <f t="shared" si="193"/>
        <v>SRgmPdNS</v>
      </c>
      <c r="LE183" s="339" t="str">
        <f t="shared" si="194"/>
        <v>SRgmPdNS</v>
      </c>
      <c r="LF183" s="386" t="str">
        <f>IFERROR(__xludf.DUMMYFUNCTION("SUBSTITUTE(SUBSTITUTE(CONCATENATE(JOIN("""",LH183:LT183)),""1"",""""),""2"","""")"),"SRgmPdNS")</f>
        <v>SRgmPdNS</v>
      </c>
      <c r="LG183" s="369" t="str">
        <f t="shared" si="195"/>
        <v>✔</v>
      </c>
      <c r="LH183" s="387" t="str">
        <f>IFERROR(__xludf.DUMMYFUNCTION("IF(REGEXMATCH(LD183, ""S""), ""S"",IF(REGEXMATCH(LE183, ""S""), ""S"",""""))"),"S")</f>
        <v>S</v>
      </c>
      <c r="LI183" s="299" t="str">
        <f>IFERROR(__xludf.DUMMYFUNCTION("IF(REGEXMATCH(LD183, ""r""), ""r1"",IF(REGEXMATCH(LE183, ""r""), ""r2"",""""))"),"")</f>
        <v/>
      </c>
      <c r="LJ183" s="299" t="str">
        <f>IFERROR(__xludf.DUMMYFUNCTION("IF(REGEXMATCH(LD183, ""R""), ""R1"",IF(REGEXMATCH(LE183, ""R""), ""R2"",""""))"),"R1")</f>
        <v>R1</v>
      </c>
      <c r="LK183" s="299" t="str">
        <f>IFERROR(__xludf.DUMMYFUNCTION("IF(REGEXMATCH(LD183, ""g""), ""g1"",IF(REGEXMATCH(LE183, ""g""), ""g2"",""""))"),"g1")</f>
        <v>g1</v>
      </c>
      <c r="LL183" s="299" t="str">
        <f>IFERROR(__xludf.DUMMYFUNCTION("IF(REGEXMATCH(LD183, ""G""), ""G1"",IF(REGEXMATCH(LE183, ""G""), ""G2"",""""))"),"")</f>
        <v/>
      </c>
      <c r="LM183" s="299" t="str">
        <f>IFERROR(__xludf.DUMMYFUNCTION("IF(REGEXMATCH(LD183, ""m""), ""m1"",IF(REGEXMATCH(LE183, ""m""), ""m2"",""""))"),"m1")</f>
        <v>m1</v>
      </c>
      <c r="LN183" s="299" t="str">
        <f>IFERROR(__xludf.DUMMYFUNCTION("IF(REGEXMATCH(LD183, ""M""), ""M1"",IF(REGEXMATCH(LE183, ""M""), ""M2"",""""))"),"")</f>
        <v/>
      </c>
      <c r="LO183" s="299" t="str">
        <f>IFERROR(__xludf.DUMMYFUNCTION("IF(REGEXMATCH(LD183, ""P""), ""P1"",IF(REGEXMATCH(LE183, ""P""), ""P2"",""""))"),"P1")</f>
        <v>P1</v>
      </c>
      <c r="LP183" s="299" t="str">
        <f>IFERROR(__xludf.DUMMYFUNCTION("IF(REGEXMATCH(LD183, ""d""), ""d1"",IF(REGEXMATCH(LE183, ""d""), ""d2"",""""))"),"d1")</f>
        <v>d1</v>
      </c>
      <c r="LQ183" s="299" t="str">
        <f>IFERROR(__xludf.DUMMYFUNCTION("IF(REGEXMATCH(LD183, ""D""), ""D1"",IF(REGEXMATCH(LE183, ""D""), ""D2"",""""))"),"")</f>
        <v/>
      </c>
      <c r="LR183" s="299" t="str">
        <f>IFERROR(__xludf.DUMMYFUNCTION("IF(REGEXMATCH(LD183, ""n""), ""n1"",IF(REGEXMATCH(LE183, ""n""), ""n2"",""""))"),"")</f>
        <v/>
      </c>
      <c r="LS183" s="299" t="str">
        <f>IFERROR(__xludf.DUMMYFUNCTION("IF(REGEXMATCH(LD183, ""N""), ""N1"",IF(REGEXMATCH(LE183, ""N""), ""N2"",""""))"),"N1")</f>
        <v>N1</v>
      </c>
      <c r="LT183" s="388" t="str">
        <f>IFERROR(__xludf.DUMMYFUNCTION("IF(REGEXMATCH(LD183, ""S""), ""S"",IF(REGEXMATCH(LE183, ""S""), ""S"",""""))"),"S")</f>
        <v>S</v>
      </c>
      <c r="LU183" s="389">
        <f t="shared" si="196"/>
        <v>1</v>
      </c>
      <c r="LV183" s="378"/>
      <c r="LW183" s="369"/>
      <c r="LX183" s="369"/>
    </row>
    <row r="184" ht="18.0" customHeight="1">
      <c r="A184" s="298" t="s">
        <v>883</v>
      </c>
      <c r="B184" s="222" t="s">
        <v>884</v>
      </c>
      <c r="C184" s="233" t="str">
        <f t="shared" si="7"/>
        <v>SrgmPDNS</v>
      </c>
      <c r="D184" s="234" t="str">
        <f>IFERROR(__xludf.DUMMYFUNCTION("IF(REGEXMATCH(C184, ""S""), ""S"","""")"),"S")</f>
        <v>S</v>
      </c>
      <c r="E184" s="236" t="str">
        <f>IFERROR(__xludf.DUMMYFUNCTION("IF(REGEXMATCH(C184, ""r""), ""r"","""")"),"r")</f>
        <v>r</v>
      </c>
      <c r="F184" s="237" t="str">
        <f>IFERROR(__xludf.DUMMYFUNCTION("IF(REGEXMATCH(C184, ""R""), ""R"","""")"),"")</f>
        <v/>
      </c>
      <c r="G184" s="237" t="str">
        <f>IFERROR(__xludf.DUMMYFUNCTION("IF(REGEXMATCH(C184, ""g""), ""g"","""")"),"g")</f>
        <v>g</v>
      </c>
      <c r="H184" s="236" t="str">
        <f>IFERROR(__xludf.DUMMYFUNCTION("IF(REGEXMATCH(C184, ""G""), ""G"","""")"),"")</f>
        <v/>
      </c>
      <c r="I184" s="236" t="str">
        <f>IFERROR(__xludf.DUMMYFUNCTION("IF(REGEXMATCH(C184, ""m""), ""m"","""")"),"m")</f>
        <v>m</v>
      </c>
      <c r="J184" s="237" t="str">
        <f>IFERROR(__xludf.DUMMYFUNCTION("IF(REGEXMATCH(C184, ""M""), ""M"","""")"),"")</f>
        <v/>
      </c>
      <c r="K184" s="236" t="str">
        <f>IFERROR(__xludf.DUMMYFUNCTION("IF(REGEXMATCH(C184, ""P""), ""P"","""")"),"P")</f>
        <v>P</v>
      </c>
      <c r="L184" s="237" t="str">
        <f>IFERROR(__xludf.DUMMYFUNCTION("IF(REGEXMATCH(C184, ""d""), ""d"","""")"),"")</f>
        <v/>
      </c>
      <c r="M184" s="236" t="str">
        <f>IFERROR(__xludf.DUMMYFUNCTION("IF(REGEXMATCH(C184, ""D""), ""D"","""")"),"D")</f>
        <v>D</v>
      </c>
      <c r="N184" s="236" t="str">
        <f>IFERROR(__xludf.DUMMYFUNCTION("IF(REGEXMATCH(C184, ""n""), ""n"","""")"),"")</f>
        <v/>
      </c>
      <c r="O184" s="237" t="str">
        <f>IFERROR(__xludf.DUMMYFUNCTION("IF(REGEXMATCH(C184, ""N""), ""N"","""")"),"N")</f>
        <v>N</v>
      </c>
      <c r="P184" s="238" t="str">
        <f>IFERROR(__xludf.DUMMYFUNCTION("IF(REGEXMATCH(C184, ""S""), ""S"","""")"),"S")</f>
        <v>S</v>
      </c>
      <c r="Q184" s="239" t="str">
        <f>IFERROR(__xludf.DUMMYFUNCTION("SUBSTITUTE(CONCATENATE(JOIN(""-"",D184:J184)),""-"","""")"),"Srgm")</f>
        <v>Srgm</v>
      </c>
      <c r="R184" s="229" t="str">
        <f>IFERROR(__xludf.DUMMYFUNCTION("SUBSTITUTE(CONCATENATE(JOIN(""-"",K184:P184)),""-"","""")"),"PDNS")</f>
        <v>PDNS</v>
      </c>
      <c r="S184" s="282" t="str">
        <f t="shared" si="8"/>
        <v>S-R-G-M</v>
      </c>
      <c r="T184" s="282" t="str">
        <f t="shared" si="9"/>
        <v>P-D-N-S</v>
      </c>
      <c r="U184" s="237" t="str">
        <f>IFERROR(__xludf.DUMMYFUNCTION("SUBSTITUTE(JOIN(""-"",S184,T184),""--"",""-"")"),"S-R-G-M-P-D-N-S")</f>
        <v>S-R-G-M-P-D-N-S</v>
      </c>
      <c r="V184" s="309" t="str">
        <f t="shared" si="10"/>
        <v>rgmDN</v>
      </c>
      <c r="W184" s="244" t="str">
        <f>IFERROR(__xludf.DUMMYFUNCTION("IF(REGEXMATCH(C184, ""S""), ""0"","""")"),"0")</f>
        <v>0</v>
      </c>
      <c r="X184" s="245" t="str">
        <f>IFERROR(__xludf.DUMMYFUNCTION("IF(REGEXMATCH(C184, ""r""), ""1"","""")"),"1")</f>
        <v>1</v>
      </c>
      <c r="Y184" s="246" t="str">
        <f>IFERROR(__xludf.DUMMYFUNCTION("IF(REGEXMATCH(C184, ""R""), ""2"","""")"),"")</f>
        <v/>
      </c>
      <c r="Z184" s="246" t="str">
        <f>IFERROR(__xludf.DUMMYFUNCTION("IF(REGEXMATCH(C184, ""g""), ""3"","""")"),"3")</f>
        <v>3</v>
      </c>
      <c r="AA184" s="245" t="str">
        <f>IFERROR(__xludf.DUMMYFUNCTION("IF(REGEXMATCH(C184, ""G""), ""4"","""")"),"")</f>
        <v/>
      </c>
      <c r="AB184" s="245" t="str">
        <f>IFERROR(__xludf.DUMMYFUNCTION("IF(REGEXMATCH(C184, ""m""), ""5"","""")"),"5")</f>
        <v>5</v>
      </c>
      <c r="AC184" s="246" t="str">
        <f>IFERROR(__xludf.DUMMYFUNCTION("IF(REGEXMATCH(C184, ""M""), ""6"","""")"),"")</f>
        <v/>
      </c>
      <c r="AD184" s="245" t="str">
        <f>IFERROR(__xludf.DUMMYFUNCTION("IF(REGEXMATCH(C184, ""P""), ""7"","""")"),"7")</f>
        <v>7</v>
      </c>
      <c r="AE184" s="246" t="str">
        <f>IFERROR(__xludf.DUMMYFUNCTION("IF(REGEXMATCH(C184, ""d""), ""8"","""")"),"")</f>
        <v/>
      </c>
      <c r="AF184" s="245" t="str">
        <f>IFERROR(__xludf.DUMMYFUNCTION("IF(REGEXMATCH(C184, ""D""), ""9"","""")"),"9")</f>
        <v>9</v>
      </c>
      <c r="AG184" s="245" t="str">
        <f>IFERROR(__xludf.DUMMYFUNCTION("IF(REGEXMATCH(C184, ""n""), ""10"","""")"),"")</f>
        <v/>
      </c>
      <c r="AH184" s="246" t="str">
        <f>IFERROR(__xludf.DUMMYFUNCTION("IF(REGEXMATCH(C184, ""N""), ""11"","""")"),"11")</f>
        <v>11</v>
      </c>
      <c r="AI184" s="249" t="str">
        <f>IFERROR(__xludf.DUMMYFUNCTION("IF(REGEXMATCH(C184, ""S""), ""0"","""")"),"0")</f>
        <v>0</v>
      </c>
      <c r="AJ184" s="313" t="str">
        <f t="shared" si="11"/>
        <v>-</v>
      </c>
      <c r="AK184" s="313" t="str">
        <f t="shared" si="12"/>
        <v>T</v>
      </c>
      <c r="AL184" s="313" t="str">
        <f t="shared" si="13"/>
        <v>-</v>
      </c>
      <c r="AM184" s="313" t="str">
        <f t="shared" si="14"/>
        <v>T</v>
      </c>
      <c r="AN184" s="313" t="str">
        <f t="shared" si="15"/>
        <v>-</v>
      </c>
      <c r="AO184" s="314" t="str">
        <f t="shared" si="16"/>
        <v>T</v>
      </c>
      <c r="AP184" s="316">
        <f t="shared" si="17"/>
        <v>3</v>
      </c>
      <c r="AQ184" s="319" t="str">
        <f t="shared" si="18"/>
        <v>#REF!</v>
      </c>
      <c r="AR184" s="320">
        <f t="shared" si="19"/>
        <v>0</v>
      </c>
      <c r="AS184" s="250" t="str">
        <f>IFERROR(__xludf.DUMMYFUNCTION("SUBSTITUTE(SUBSTITUTE(CONCATENATE(JOIN("""",FP184:GA184)),""|"",""x""),""-"",""o"")"),"xxoxoxoxoxox")</f>
        <v>xxoxoxoxoxox</v>
      </c>
      <c r="AT184" s="323" t="str">
        <f>IFERROR(__xludf.DUMMYFUNCTION("JOIN("""",AS184,AS184)"),"xxoxoxoxoxoxxxoxoxoxoxox")</f>
        <v>xxoxoxoxoxoxxxoxoxoxoxox</v>
      </c>
      <c r="AU184" s="256" t="str">
        <f>IFERROR(__xludf.DUMMYFUNCTION("JOIN("""",ArrayFormula(MID(AS184,LEN(AS184)-SEQUENCE(1,LEN(AS184))+1,1)))"),"xoxoxoxoxoxx")</f>
        <v>xoxoxoxoxoxx</v>
      </c>
      <c r="AV184" s="256" t="str">
        <f>IFERROR(__xludf.DUMMYFUNCTION("LEFT(CONCATENATE(""x"",JOIN("""",ArrayFormula(MID(AS184,LEN(AS184)-SEQUENCE(1,LEN(AS184))+1,1)))),12)"),"xxoxoxoxoxox")</f>
        <v>xxoxoxoxoxox</v>
      </c>
      <c r="AW184" s="327" t="str">
        <f>IFERROR(__xludf.DUMMYFUNCTION("JOIN("""",AU184,AU184)"),"xoxoxoxoxoxxxoxoxoxoxoxx")</f>
        <v>xoxoxoxoxoxxxoxoxoxoxoxx</v>
      </c>
      <c r="AX184" s="239" t="str">
        <f>IFERROR(__xludf.DUMMYFUNCTION("IF(REGEXMATCH(AW184,AS184),""✔"",""-"")"),"✔")</f>
        <v>✔</v>
      </c>
      <c r="AY184" s="330" t="str">
        <f t="shared" si="20"/>
        <v>✔</v>
      </c>
      <c r="AZ184" s="260" t="str">
        <f t="shared" si="21"/>
        <v>#REF!</v>
      </c>
      <c r="BA184" s="333" t="str">
        <f t="shared" si="22"/>
        <v>xxoxoxo</v>
      </c>
      <c r="BB184" s="334" t="str">
        <f t="shared" si="23"/>
        <v>xoxoxx</v>
      </c>
      <c r="BC184" s="335" t="str">
        <f t="shared" si="236"/>
        <v>-</v>
      </c>
      <c r="BD184" s="336" t="str">
        <f t="shared" si="25"/>
        <v>Kokilapriya: 'xxoxoxo' + 'xoxoxx'</v>
      </c>
      <c r="BE184" s="337">
        <f>IFERROR(__xludf.DUMMYFUNCTION("COUNTUNIQUE(FILTER(AT:AT,REGEXMATCH(AT:AT,AS184)))-1"),1.0)</f>
        <v>1</v>
      </c>
      <c r="BF184" s="261" t="str">
        <f>IFERROR(__xludf.DUMMYFUNCTION("IF(BI184=0,""(n/a)"",IF(BJ184=2,""(PAIR)"",IF(REGEXMATCH(AT184,""xoxoxxoxoxox""),""Bilawal"",IF(REGEXMATCH(AT184,""xoxoxooxoxoo""),""Bhupali"",IF(REGEXMATCH(AT184,""xoxoxxoxxoxo""),""Charukeshi"",IF(REGEXMATCH(AT184,""xoxoooxxoxxo""),""Kameshwari"",IF(REG"&amp;"EXMATCH(AT184,""xoxoxooxoxox""),""Shankara"",IF(REGEXMATCH(AT184,""xxooxoxxxoox""),""Basant"",IF(REGEXMATCH(AT184,""xoxoxxxxoxox""),""Bihag"",IF(REGEXMATCH(AT184,""xoxxxxoxoxxx""),""Pilu"",IF(REGEXMATCH(AT184,""xoxxoxoxxoox""),""Kirwani"",IF(REGEXMATCH(AT"&amp;"184,""xoxxoxoxoxxx""),""Mk.Malhar"",IF(REGEXMATCH(AT184,""xxooxxoxxoox""),""Bhairav"",IF(REGEXMATCH(AT184,""xxoxooxxxoox""),""Todi"",IF(REGEXMATCH(AT184,""xxooxoxooxox""),""Marwa"",IF(REGEXMATCH(AT184,""xxoooxoxxooo""),""Gunkali"",IF(REGEXMATCH(AT184,""xo"&amp;"xoxxoxxoox""),""Nat Bhairav"",IF(REGEXMATCH(AT184,""xoxxoooxoxoo""),""Shivranjani"",IF(REGEXMATCH(AT184,""xooxxxoxooxo""),""Jog"",IF(REGEXMATCH(AT184,""xxooxoxoxoox""),""Hemshri"",IF(REGEXMATCH(AT184,""xoooxooxoxxo""),""Kalavati"",IF(REGEXMATCH(AT184,""xx"&amp;"oxoxxoxoox""),""Kedar"",IF(REGEXMATCH(AT184,""xoxxxxoxooxx""),""Gara"",IF(REGEXMATCH(AT184,""xooxoxooxoox""),""Chandrakauns"",IF(REGEXMATCH(AT184,""xoxxxxoxxxox""),""Mand"",IF(REGEXMATCH(AT184,""xoxxxxoxoxox""),""Hanskinkini"",IF(REGEXMATCH(AT184,""xxooxx"&amp;"oxooxo""),""Lilavati"",IF(REGEXMATCH(AT184,""xooxoxoooxox""),""Rajeshwari"",IF(REGEXMATCH(AT184,""xoooxxoxoxxx""),""Khokar"",IF(REGEXMATCH(AT184,""xxooxoxxxxox""),""Maligoura"",""-""))))))))))))))))))))))))))))))"),"(PAIR)")</f>
        <v>(PAIR)</v>
      </c>
      <c r="BG184" s="239" t="str">
        <f t="shared" si="26"/>
        <v>#REF!</v>
      </c>
      <c r="BH184" s="239">
        <f>IFERROR(__xludf.DUMMYFUNCTION("COUNTUNIQUE(FE184:FO184)-1"),6.0)</f>
        <v>6</v>
      </c>
      <c r="BI184" s="239">
        <f>IFERROR(__xludf.DUMMYFUNCTION("COUNTUNIQUE(FILTER(AT:AT,REGEXMATCH(AT:AT,AS184)))-1"),1.0)</f>
        <v>1</v>
      </c>
      <c r="BJ184" s="239">
        <f>IFERROR(__xludf.DUMMYFUNCTION("COUNTA(FILTER(AT:AT,REGEXMATCH(AT:AT,AS184)))"),2.0)</f>
        <v>2</v>
      </c>
      <c r="BK184" s="341">
        <f>IFERROR(__xludf.DUMMYFUNCTION("COUNTA(FILTER(AT:AT,REGEXMATCH(AT:AT,AS184)))-AR184"),2.0)</f>
        <v>2</v>
      </c>
      <c r="BL184" s="276" t="str">
        <f>IFERROR(__xludf.DUMMYFUNCTION("IF(AS184=""oooooooooooo"",""-"",IF(REGEXMATCH(AT184,""xx""), ""Hemi."", ""Anhemi.""))"),"Hemi.")</f>
        <v>Hemi.</v>
      </c>
      <c r="BM184" s="282" t="str">
        <f>IFERROR(__xludf.DUMMYFUNCTION("IF(AS184=""oooooooooooo"",""-"",IF(REGEXMATCH(AT184,""xxx""), ""Cohem."", ""-""))"),"Cohem.")</f>
        <v>Cohem.</v>
      </c>
      <c r="BN184" s="282" t="str">
        <f>IFERROR(__xludf.DUMMYFUNCTION("IF(AS184=""oooooooooooo"",""-"",IF(REGEXMATCH(AT184,""xxxx""), ""Co-Co."", ""-""))"),"-")</f>
        <v>-</v>
      </c>
      <c r="BO184" s="342" t="str">
        <f>IFERROR(__xludf.DUMMYFUNCTION("IF(AS184=""oooooooooooo"",""-"",IF(REGEXMATCH(AT184,""xxxxx""), ""CCC."", ""-""))"),"-")</f>
        <v>-</v>
      </c>
      <c r="BP184" s="344" t="str">
        <f t="shared" si="27"/>
        <v>-</v>
      </c>
      <c r="BQ184" s="282" t="str">
        <f>IFERROR(__xludf.DUMMYFUNCTION("IF(REGEXMATCH(JOIN(""-"",EU184:FD184),""TRUE""),""✔"",""-"")"),"-")</f>
        <v>-</v>
      </c>
      <c r="BR184" s="225">
        <f t="shared" si="28"/>
        <v>0</v>
      </c>
      <c r="BS184" s="345" t="str">
        <f>IFERROR(__xludf.DUMMYFUNCTION("SUBSTITUTE(SUBSTITUTE(SUBSTITUTE(SUBSTITUTE(CONCATENATE(JOIN(""-"",GC184:GO184)),""--"",""-""),""--"",""-""),""--"",""-""),""--"",""-"")"),"1-b2-b3-4-5-6-7-8")</f>
        <v>1-b2-b3-4-5-6-7-8</v>
      </c>
      <c r="BT184" s="299" t="str">
        <f>IFERROR(__xludf.DUMMYFUNCTION("SUBSTITUTE(SUBSTITUTE(SUBSTITUTE(SUBSTITUTE(CONCATENATE(JOIN(""-"",GP184:HB184)),""--"",""-""),""--"",""-""),""--"",""-""),""--"",""-"")"),"S-R1-G2-M1-P-D2-N3-S")</f>
        <v>S-R1-G2-M1-P-D2-N3-S</v>
      </c>
      <c r="BU184" s="348" t="str">
        <f t="shared" si="29"/>
        <v>C-Db-Eb-F-G-A-B-C</v>
      </c>
      <c r="BV184" s="349" t="str">
        <f t="shared" si="30"/>
        <v>SRGMdnS</v>
      </c>
      <c r="BW184" s="350">
        <f t="shared" si="31"/>
        <v>1</v>
      </c>
      <c r="BX184" s="351">
        <f t="shared" si="32"/>
        <v>1</v>
      </c>
      <c r="BY184" s="352" t="s">
        <v>275</v>
      </c>
      <c r="BZ184" s="309" t="str">
        <f>IFERROR(__xludf.DUMMYFUNCTION("IF(REGEXMATCH(C184, ""S""), ""x"",""x"")"),"x")</f>
        <v>x</v>
      </c>
      <c r="CA184" s="245" t="str">
        <f>IFERROR(__xludf.DUMMYFUNCTION("IF(REGEXMATCH(C184, ""r""), ""o"",""x"")"),"o")</f>
        <v>o</v>
      </c>
      <c r="CB184" s="246" t="str">
        <f>IFERROR(__xludf.DUMMYFUNCTION("IF(REGEXMATCH(C184, ""R""), ""o"",""x"")"),"x")</f>
        <v>x</v>
      </c>
      <c r="CC184" s="246" t="str">
        <f>IFERROR(__xludf.DUMMYFUNCTION("IF(REGEXMATCH(C184, ""g""), ""o"",""x"")"),"o")</f>
        <v>o</v>
      </c>
      <c r="CD184" s="245" t="str">
        <f>IFERROR(__xludf.DUMMYFUNCTION("IF(REGEXMATCH(C184, ""G""), ""o"",""x"")"),"x")</f>
        <v>x</v>
      </c>
      <c r="CE184" s="245" t="str">
        <f>IFERROR(__xludf.DUMMYFUNCTION("IF(REGEXMATCH(C184, ""m""), ""o"",""x"")"),"o")</f>
        <v>o</v>
      </c>
      <c r="CF184" s="246" t="str">
        <f>IFERROR(__xludf.DUMMYFUNCTION("IF(REGEXMATCH(C184, ""M""), ""o"",""x"")"),"x")</f>
        <v>x</v>
      </c>
      <c r="CG184" s="245" t="str">
        <f>IFERROR(__xludf.DUMMYFUNCTION("IF(REGEXMATCH(C184, ""P""), ""o"",""x"")"),"o")</f>
        <v>o</v>
      </c>
      <c r="CH184" s="246" t="str">
        <f>IFERROR(__xludf.DUMMYFUNCTION("IF(REGEXMATCH(C184, ""d""), ""o"",""x"")"),"x")</f>
        <v>x</v>
      </c>
      <c r="CI184" s="245" t="str">
        <f>IFERROR(__xludf.DUMMYFUNCTION("IF(REGEXMATCH(C184, ""D""), ""o"",""x"")"),"o")</f>
        <v>o</v>
      </c>
      <c r="CJ184" s="245" t="str">
        <f>IFERROR(__xludf.DUMMYFUNCTION("IF(REGEXMATCH(C184, ""n""), ""o"",""x"")"),"x")</f>
        <v>x</v>
      </c>
      <c r="CK184" s="245" t="str">
        <f>IFERROR(__xludf.DUMMYFUNCTION("IF(REGEXMATCH(C184, ""N""), ""o"",""x"")"),"o")</f>
        <v>o</v>
      </c>
      <c r="CL184" s="356" t="str">
        <f>IFERROR(__xludf.DUMMYFUNCTION("IF(REGEXMATCH(C184, ""S""), ""x"",""x"")"),"x")</f>
        <v>x</v>
      </c>
      <c r="CM184" s="357" t="str">
        <f t="shared" si="33"/>
        <v>xoxoxoxoxoxo</v>
      </c>
      <c r="CN184" s="358">
        <f t="shared" si="34"/>
        <v>1</v>
      </c>
      <c r="CO184" s="246" t="str">
        <f>IFERROR(__xludf.DUMMYFUNCTION("IF(REGEXMATCH($C184, ""S""), ""S"",""S"")"),"S")</f>
        <v>S</v>
      </c>
      <c r="CP184" s="246" t="str">
        <f>IFERROR(__xludf.DUMMYFUNCTION("IF(REGEXMATCH($C184, ""r""), """",""r"")"),"")</f>
        <v/>
      </c>
      <c r="CQ184" s="246" t="str">
        <f>IFERROR(__xludf.DUMMYFUNCTION("IF(REGEXMATCH($C184, ""R""), """",""R"")"),"R")</f>
        <v>R</v>
      </c>
      <c r="CR184" s="246" t="str">
        <f>IFERROR(__xludf.DUMMYFUNCTION("IF(REGEXMATCH($C184, ""g""), """",""g"")"),"")</f>
        <v/>
      </c>
      <c r="CS184" s="246" t="str">
        <f>IFERROR(__xludf.DUMMYFUNCTION("IF(REGEXMATCH($C184, ""G""), """",""G"")"),"G")</f>
        <v>G</v>
      </c>
      <c r="CT184" s="246" t="str">
        <f>IFERROR(__xludf.DUMMYFUNCTION("IF(REGEXMATCH($C184, ""m""), """",""m"")"),"")</f>
        <v/>
      </c>
      <c r="CU184" s="246" t="str">
        <f>IFERROR(__xludf.DUMMYFUNCTION("IF(REGEXMATCH($C184, ""M""), """",""M"")"),"M")</f>
        <v>M</v>
      </c>
      <c r="CV184" s="246" t="str">
        <f>IFERROR(__xludf.DUMMYFUNCTION("IF(REGEXMATCH($C184, ""P""), """",""P"")"),"")</f>
        <v/>
      </c>
      <c r="CW184" s="246" t="str">
        <f>IFERROR(__xludf.DUMMYFUNCTION("IF(REGEXMATCH($C184, ""d""), """",""d"")"),"d")</f>
        <v>d</v>
      </c>
      <c r="CX184" s="246" t="str">
        <f>IFERROR(__xludf.DUMMYFUNCTION("IF(REGEXMATCH($C184, ""D""), """",""D"")"),"")</f>
        <v/>
      </c>
      <c r="CY184" s="246" t="str">
        <f>IFERROR(__xludf.DUMMYFUNCTION("IF(REGEXMATCH($C184, ""n""), """",""n"")"),"n")</f>
        <v>n</v>
      </c>
      <c r="CZ184" s="246" t="str">
        <f>IFERROR(__xludf.DUMMYFUNCTION("IF(REGEXMATCH($C184, ""N""), """",""N"")"),"")</f>
        <v/>
      </c>
      <c r="DA184" s="246" t="str">
        <f>IFERROR(__xludf.DUMMYFUNCTION("IF(REGEXMATCH($C184, ""S""), ""S"",""S"")"),"S")</f>
        <v>S</v>
      </c>
      <c r="DB184" s="362" t="str">
        <f>IFERROR(__xludf.DUMMYFUNCTION("JOIN("""",CO184:DA184,"""","""")"),"SRGMdnS")</f>
        <v>SRGMdnS</v>
      </c>
      <c r="DC184" s="363"/>
      <c r="DD184" s="301" t="str">
        <f t="shared" si="35"/>
        <v>#REF!</v>
      </c>
      <c r="DE184" s="302" t="str">
        <f t="shared" si="36"/>
        <v>#REF!</v>
      </c>
      <c r="DF184" s="301" t="str">
        <f t="shared" ref="DF184:DG184" si="581">SUBSTITUTE(S184,"-","")</f>
        <v>SRGM</v>
      </c>
      <c r="DG184" s="301" t="str">
        <f t="shared" si="581"/>
        <v>PDNS</v>
      </c>
      <c r="DH184" s="302" t="str">
        <f t="shared" si="38"/>
        <v>(PAIR)</v>
      </c>
      <c r="DI184" s="301" t="str">
        <f t="shared" si="39"/>
        <v>Hemi.</v>
      </c>
      <c r="DJ184" s="364" t="str">
        <f t="shared" si="40"/>
        <v>Cohem.</v>
      </c>
      <c r="DK184" s="306" t="str">
        <f t="shared" si="41"/>
        <v>-</v>
      </c>
      <c r="DL184" s="366" t="str">
        <f t="shared" si="42"/>
        <v>-</v>
      </c>
      <c r="DM184" s="308" t="str">
        <f t="shared" si="43"/>
        <v>✔</v>
      </c>
      <c r="DN184" s="306" t="str">
        <f t="shared" si="44"/>
        <v>-</v>
      </c>
      <c r="DO184" s="306" t="str">
        <f t="shared" si="45"/>
        <v>-</v>
      </c>
      <c r="DP184" s="367" t="str">
        <f t="shared" si="46"/>
        <v>-</v>
      </c>
      <c r="DQ184" s="310" t="str">
        <f t="shared" si="47"/>
        <v>-</v>
      </c>
      <c r="DR184" s="310" t="str">
        <f t="shared" si="48"/>
        <v>-</v>
      </c>
      <c r="DS184" s="310" t="str">
        <f t="shared" si="49"/>
        <v>-</v>
      </c>
      <c r="DT184" s="310" t="str">
        <f t="shared" si="50"/>
        <v>-</v>
      </c>
      <c r="DU184" s="370" t="str">
        <f t="shared" si="51"/>
        <v>-</v>
      </c>
      <c r="DV184" s="306" t="str">
        <f t="shared" si="52"/>
        <v>-</v>
      </c>
      <c r="DW184" s="306" t="str">
        <f t="shared" si="53"/>
        <v>-</v>
      </c>
      <c r="DX184" s="306" t="str">
        <f t="shared" si="54"/>
        <v>-</v>
      </c>
      <c r="DY184" s="306" t="str">
        <f t="shared" si="55"/>
        <v>-</v>
      </c>
      <c r="DZ184" s="306" t="str">
        <f t="shared" si="56"/>
        <v>-</v>
      </c>
      <c r="EA184" s="367" t="str">
        <f t="shared" si="57"/>
        <v>-</v>
      </c>
      <c r="EB184" s="310" t="str">
        <f>IFERROR(__xludf.DUMMYFUNCTION("IF(REGEXMATCH(AW184,AS184),""✔"",""-"")"),"✔")</f>
        <v>✔</v>
      </c>
      <c r="EC184" s="310" t="str">
        <f t="shared" si="58"/>
        <v>#REF!</v>
      </c>
      <c r="ED184" s="370" t="str">
        <f t="shared" si="59"/>
        <v>✔</v>
      </c>
      <c r="EE184" s="340" t="str">
        <f t="shared" si="60"/>
        <v>S-r-g-m-P-D-N-S</v>
      </c>
      <c r="EF184" s="371" t="str">
        <f>IFERROR(__xludf.DUMMYFUNCTION("CONCATENATE(JOIN("""",HC184:HO184))"),"SrgmPDNS")</f>
        <v>SrgmPDNS</v>
      </c>
      <c r="EG184" s="372">
        <f t="shared" si="61"/>
        <v>5</v>
      </c>
      <c r="EH184" s="373" t="str">
        <f>IFERROR(__xludf.DUMMYFUNCTION("CONCATENATE(JOIN("""",JC184:JO184))"),"re, ga, Pa, Dha, Ni, ")</f>
        <v>re, ga, Pa, Dha, Ni, </v>
      </c>
      <c r="EI184" s="322">
        <f t="shared" si="62"/>
        <v>4</v>
      </c>
      <c r="EJ184" s="374" t="str">
        <f>IFERROR(__xludf.DUMMYFUNCTION("CONCATENATE(JOIN("""",KC184:KO184))"),"re, ga, Dha, Ni, ")</f>
        <v>re, ga, Dha, Ni, </v>
      </c>
      <c r="EK184" s="325" t="str">
        <f t="shared" si="63"/>
        <v>S-R1-G2-M1-P-D2-N3-S</v>
      </c>
      <c r="EL184" s="326" t="str">
        <f t="shared" si="64"/>
        <v>1-b2-b3-4-5-6-7-8</v>
      </c>
      <c r="EM184" s="318" t="str">
        <f t="shared" si="65"/>
        <v>#REF!</v>
      </c>
      <c r="EN184" s="328" t="str">
        <f>IFERROR(__xludf.DUMMYFUNCTION("SUBSTITUTE(SUBSTITUTE(SUBSTITUTE(SUBSTITUTE(CONCATENATE(JOIN("" "",HP184:IB184)),""  "","" ""),""  "","" ""),""  "","" ""),""  "","" "")"),"o o • o • o • o • o • o o")</f>
        <v>o o • o • o • o • o • o o</v>
      </c>
      <c r="EO184" s="368" t="str">
        <f t="shared" si="66"/>
        <v>-</v>
      </c>
      <c r="EP184" s="339" t="str">
        <f t="shared" si="67"/>
        <v>-</v>
      </c>
      <c r="EQ184" s="339" t="str">
        <f t="shared" si="68"/>
        <v>Sa-Pa</v>
      </c>
      <c r="ER184" s="339" t="str">
        <f t="shared" si="69"/>
        <v>-</v>
      </c>
      <c r="ES184" s="340" t="str">
        <f t="shared" si="70"/>
        <v>-</v>
      </c>
      <c r="ET184" s="363"/>
      <c r="EU184" s="376" t="b">
        <f>IFERROR(__xludf.DUMMYFUNCTION("arrayformula(sum(--REGEXMATCH(""SRGMPDNS"",split(REGEXREPLACE(C184,""(.)"",""$1~""),""~""))))=len(C184)
"),FALSE)</f>
        <v>0</v>
      </c>
      <c r="EV184" s="290" t="b">
        <f>IFERROR(__xludf.DUMMYFUNCTION("arrayformula(sum(--REGEXMATCH(""SRGmPDNS"",split(REGEXREPLACE(C184,""(.)"",""$1~""),""~""))))=len(C184)"),FALSE)</f>
        <v>0</v>
      </c>
      <c r="EW184" s="290" t="b">
        <f>IFERROR(__xludf.DUMMYFUNCTION("arrayformula(sum(--REGEXMATCH(""SRGmPDnS"",split(REGEXREPLACE(C184,""(.)"",""$1~""),""~""))))=len(C184)"),FALSE)</f>
        <v>0</v>
      </c>
      <c r="EX184" s="290" t="b">
        <f>IFERROR(__xludf.DUMMYFUNCTION("arrayformula(sum(--REGEXMATCH(""SRgmPDnS"",split(REGEXREPLACE(C184,""(.)"",""$1~""),""~""))))=len(C184)"),FALSE)</f>
        <v>0</v>
      </c>
      <c r="EY184" s="290" t="b">
        <f>IFERROR(__xludf.DUMMYFUNCTION("arrayformula(sum(--REGEXMATCH(""SRgmPdnS"",split(REGEXREPLACE(C184,""(.)"",""$1~""),""~""))))=len(C184)"),FALSE)</f>
        <v>0</v>
      </c>
      <c r="EZ184" s="290" t="b">
        <f>IFERROR(__xludf.DUMMYFUNCTION("arrayformula(sum(--REGEXMATCH(""SrgmPdnS"",split(REGEXREPLACE(C184,""(.)"",""$1~""),""~""))))=len(C184)"),FALSE)</f>
        <v>0</v>
      </c>
      <c r="FA184" s="290" t="b">
        <f>IFERROR(__xludf.DUMMYFUNCTION("arrayformula(sum(--REGEXMATCH(""SrGmPdNS"",split(REGEXREPLACE(C184,""(.)"",""$1~""),""~""))))=len(C184)"),FALSE)</f>
        <v>0</v>
      </c>
      <c r="FB184" s="290" t="b">
        <f>IFERROR(__xludf.DUMMYFUNCTION("arrayformula(sum(--REGEXMATCH(""SrGMPDNS"",split(REGEXREPLACE(C184,""(.)"",""$1~""),""~""))))=len(C184)"),FALSE)</f>
        <v>0</v>
      </c>
      <c r="FC184" s="290" t="b">
        <f>IFERROR(__xludf.DUMMYFUNCTION("arrayformula(sum(--REGEXMATCH(""SrGMPdNS"",split(REGEXREPLACE(C184,""(.)"",""$1~""),""~""))))=len(C184)"),FALSE)</f>
        <v>0</v>
      </c>
      <c r="FD184" s="377" t="b">
        <f>IFERROR(__xludf.DUMMYFUNCTION("arrayformula(sum(--REGEXMATCH(""SrgMPdNS"",split(REGEXREPLACE(C184,""(.)"",""$1~""),""~""))))=len(C184)"),FALSE)</f>
        <v>0</v>
      </c>
      <c r="FE184" s="269" t="str">
        <f t="shared" si="71"/>
        <v>xoxoxoxoxox</v>
      </c>
      <c r="FF184" s="269" t="str">
        <f t="shared" si="72"/>
        <v>-</v>
      </c>
      <c r="FG184" s="271" t="str">
        <f t="shared" si="73"/>
        <v>xoxoxoxoxxx</v>
      </c>
      <c r="FH184" s="269" t="str">
        <f t="shared" si="74"/>
        <v>-</v>
      </c>
      <c r="FI184" s="271" t="str">
        <f t="shared" si="75"/>
        <v>xoxoxoxxxox</v>
      </c>
      <c r="FJ184" s="271" t="str">
        <f t="shared" si="76"/>
        <v>-</v>
      </c>
      <c r="FK184" s="271" t="str">
        <f t="shared" si="77"/>
        <v>xoxoxxxoxox</v>
      </c>
      <c r="FL184" s="271" t="str">
        <f t="shared" si="78"/>
        <v>-</v>
      </c>
      <c r="FM184" s="271" t="str">
        <f t="shared" si="79"/>
        <v>xoxxxoxoxox</v>
      </c>
      <c r="FN184" s="271" t="str">
        <f t="shared" si="80"/>
        <v>-</v>
      </c>
      <c r="FO184" s="274" t="str">
        <f t="shared" si="81"/>
        <v>xxxoxoxoxox</v>
      </c>
      <c r="FP184" s="234" t="str">
        <f t="shared" si="82"/>
        <v>|</v>
      </c>
      <c r="FQ184" s="236" t="str">
        <f t="shared" si="83"/>
        <v>|</v>
      </c>
      <c r="FR184" s="237" t="str">
        <f t="shared" si="84"/>
        <v>-</v>
      </c>
      <c r="FS184" s="236" t="str">
        <f t="shared" si="85"/>
        <v>|</v>
      </c>
      <c r="FT184" s="237" t="str">
        <f t="shared" si="86"/>
        <v>-</v>
      </c>
      <c r="FU184" s="236" t="str">
        <f t="shared" si="87"/>
        <v>|</v>
      </c>
      <c r="FV184" s="237" t="str">
        <f t="shared" si="88"/>
        <v>-</v>
      </c>
      <c r="FW184" s="236" t="str">
        <f t="shared" si="89"/>
        <v>|</v>
      </c>
      <c r="FX184" s="237" t="str">
        <f t="shared" si="90"/>
        <v>-</v>
      </c>
      <c r="FY184" s="236" t="str">
        <f t="shared" si="91"/>
        <v>|</v>
      </c>
      <c r="FZ184" s="237" t="str">
        <f t="shared" si="92"/>
        <v>-</v>
      </c>
      <c r="GA184" s="236" t="str">
        <f t="shared" si="93"/>
        <v>|</v>
      </c>
      <c r="GB184" s="238" t="str">
        <f t="shared" si="94"/>
        <v>|</v>
      </c>
      <c r="GC184" s="244" t="str">
        <f>IFERROR(__xludf.DUMMYFUNCTION("IF(REGEXMATCH(C184, ""S""), ""1"","""")"),"1")</f>
        <v>1</v>
      </c>
      <c r="GD184" s="245" t="str">
        <f>IFERROR(__xludf.DUMMYFUNCTION("IF(REGEXMATCH(C184, ""r""), ""b2"","""")"),"b2")</f>
        <v>b2</v>
      </c>
      <c r="GE184" s="246" t="str">
        <f>IFERROR(__xludf.DUMMYFUNCTION("IF(REGEXMATCH(C184, ""R""), ""2"","""")"),"")</f>
        <v/>
      </c>
      <c r="GF184" s="246" t="str">
        <f>IFERROR(__xludf.DUMMYFUNCTION("IF(REGEXMATCH(C184, ""g""), ""b3"","""")"),"b3")</f>
        <v>b3</v>
      </c>
      <c r="GG184" s="245" t="str">
        <f>IFERROR(__xludf.DUMMYFUNCTION("IF(REGEXMATCH(C184, ""G""), ""3"","""")"),"")</f>
        <v/>
      </c>
      <c r="GH184" s="245" t="str">
        <f>IFERROR(__xludf.DUMMYFUNCTION("IF(REGEXMATCH(C184, ""m""), ""4"","""")"),"4")</f>
        <v>4</v>
      </c>
      <c r="GI184" s="246" t="str">
        <f>IFERROR(__xludf.DUMMYFUNCTION("IF(REGEXMATCH(C184, ""M""), ""#4"","""")"),"")</f>
        <v/>
      </c>
      <c r="GJ184" s="245" t="str">
        <f>IFERROR(__xludf.DUMMYFUNCTION("IF(REGEXMATCH(C184, ""P""), ""5"","""")"),"5")</f>
        <v>5</v>
      </c>
      <c r="GK184" s="246" t="str">
        <f>IFERROR(__xludf.DUMMYFUNCTION("IF(REGEXMATCH(C184, ""d""), ""b6"","""")"),"")</f>
        <v/>
      </c>
      <c r="GL184" s="245" t="str">
        <f>IFERROR(__xludf.DUMMYFUNCTION("IF(REGEXMATCH(C184, ""D""), ""6"","""")"),"6")</f>
        <v>6</v>
      </c>
      <c r="GM184" s="245" t="str">
        <f>IFERROR(__xludf.DUMMYFUNCTION("IF(REGEXMATCH(C184, ""n""), ""b7"","""")"),"")</f>
        <v/>
      </c>
      <c r="GN184" s="246" t="str">
        <f>IFERROR(__xludf.DUMMYFUNCTION("IF(REGEXMATCH(C184, ""N""), ""7"","""")"),"7")</f>
        <v>7</v>
      </c>
      <c r="GO184" s="249" t="str">
        <f>IFERROR(__xludf.DUMMYFUNCTION("IF(REGEXMATCH(C184, ""S""), ""8"","""")"),"8")</f>
        <v>8</v>
      </c>
      <c r="GP184" s="244" t="str">
        <f>IFERROR(__xludf.DUMMYFUNCTION("IF(REGEXMATCH(C184, ""S""), ""S"","""")"),"S")</f>
        <v>S</v>
      </c>
      <c r="GQ184" s="294" t="str">
        <f>IFERROR(__xludf.DUMMYFUNCTION("IF(REGEXMATCH(C184, ""r""), ""R1"","""")"),"R1")</f>
        <v>R1</v>
      </c>
      <c r="GR184" s="295" t="str">
        <f>IFERROR(__xludf.DUMMYFUNCTION("IF(REGEXMATCH(C184, ""R""), ""R2"","""")"),"")</f>
        <v/>
      </c>
      <c r="GS184" s="295" t="str">
        <f>IFERROR(__xludf.DUMMYFUNCTION("IF(REGEXMATCH(C184, ""g""), ""G2"","""")"),"G2")</f>
        <v>G2</v>
      </c>
      <c r="GT184" s="294" t="str">
        <f>IFERROR(__xludf.DUMMYFUNCTION("IF(REGEXMATCH(C184, ""G""), ""G3"","""")"),"")</f>
        <v/>
      </c>
      <c r="GU184" s="294" t="str">
        <f>IFERROR(__xludf.DUMMYFUNCTION("IF(REGEXMATCH(C184, ""m""), ""M1"","""")"),"M1")</f>
        <v>M1</v>
      </c>
      <c r="GV184" s="295" t="str">
        <f>IFERROR(__xludf.DUMMYFUNCTION("IF(REGEXMATCH(C184, ""M""), ""M2"","""")"),"")</f>
        <v/>
      </c>
      <c r="GW184" s="294" t="str">
        <f>IFERROR(__xludf.DUMMYFUNCTION("IF(REGEXMATCH(C184, ""P""), ""P"","""")"),"P")</f>
        <v>P</v>
      </c>
      <c r="GX184" s="295" t="str">
        <f>IFERROR(__xludf.DUMMYFUNCTION("IF(REGEXMATCH(C184, ""d""), ""D1"","""")"),"")</f>
        <v/>
      </c>
      <c r="GY184" s="294" t="str">
        <f>IFERROR(__xludf.DUMMYFUNCTION("IF(REGEXMATCH(C184, ""D""), ""D2"","""")"),"D2")</f>
        <v>D2</v>
      </c>
      <c r="GZ184" s="294" t="str">
        <f>IFERROR(__xludf.DUMMYFUNCTION("IF(REGEXMATCH(C184, ""n""), ""N2"","""")"),"")</f>
        <v/>
      </c>
      <c r="HA184" s="295" t="str">
        <f>IFERROR(__xludf.DUMMYFUNCTION("IF(REGEXMATCH(C184, ""N""), ""N3"","""")"),"N3")</f>
        <v>N3</v>
      </c>
      <c r="HB184" s="249" t="str">
        <f>IFERROR(__xludf.DUMMYFUNCTION("IF(REGEXMATCH(C184, ""S""), ""S"","""")"),"S")</f>
        <v>S</v>
      </c>
      <c r="HC184" s="331" t="str">
        <f t="shared" si="95"/>
        <v>S</v>
      </c>
      <c r="HD184" s="332" t="str">
        <f t="shared" si="96"/>
        <v>r</v>
      </c>
      <c r="HE184" s="332" t="str">
        <f t="shared" si="97"/>
        <v/>
      </c>
      <c r="HF184" s="332" t="str">
        <f t="shared" si="98"/>
        <v>g</v>
      </c>
      <c r="HG184" s="332" t="str">
        <f t="shared" si="99"/>
        <v/>
      </c>
      <c r="HH184" s="332" t="str">
        <f t="shared" si="100"/>
        <v>m</v>
      </c>
      <c r="HI184" s="332" t="str">
        <f t="shared" si="101"/>
        <v/>
      </c>
      <c r="HJ184" s="332" t="str">
        <f t="shared" si="102"/>
        <v>P</v>
      </c>
      <c r="HK184" s="332" t="str">
        <f t="shared" si="103"/>
        <v/>
      </c>
      <c r="HL184" s="332" t="str">
        <f t="shared" si="104"/>
        <v>D</v>
      </c>
      <c r="HM184" s="332" t="str">
        <f t="shared" si="105"/>
        <v/>
      </c>
      <c r="HN184" s="332" t="str">
        <f t="shared" si="106"/>
        <v>N</v>
      </c>
      <c r="HO184" s="343" t="str">
        <f t="shared" si="107"/>
        <v>S</v>
      </c>
      <c r="HP184" s="331" t="str">
        <f t="shared" si="108"/>
        <v>o</v>
      </c>
      <c r="HQ184" s="332" t="str">
        <f t="shared" si="109"/>
        <v>o</v>
      </c>
      <c r="HR184" s="332" t="str">
        <f t="shared" si="110"/>
        <v>•</v>
      </c>
      <c r="HS184" s="332" t="str">
        <f t="shared" si="111"/>
        <v>o</v>
      </c>
      <c r="HT184" s="332" t="str">
        <f t="shared" si="112"/>
        <v>•</v>
      </c>
      <c r="HU184" s="332" t="str">
        <f t="shared" si="113"/>
        <v>o</v>
      </c>
      <c r="HV184" s="332" t="str">
        <f t="shared" si="114"/>
        <v>•</v>
      </c>
      <c r="HW184" s="332" t="str">
        <f t="shared" si="115"/>
        <v>o</v>
      </c>
      <c r="HX184" s="332" t="str">
        <f t="shared" si="116"/>
        <v>•</v>
      </c>
      <c r="HY184" s="332" t="str">
        <f t="shared" si="117"/>
        <v>o</v>
      </c>
      <c r="HZ184" s="332" t="str">
        <f t="shared" si="118"/>
        <v>•</v>
      </c>
      <c r="IA184" s="332" t="str">
        <f t="shared" si="119"/>
        <v>o</v>
      </c>
      <c r="IB184" s="338" t="str">
        <f t="shared" si="120"/>
        <v>o</v>
      </c>
      <c r="IC184" s="331" t="str">
        <f t="shared" si="121"/>
        <v>•</v>
      </c>
      <c r="ID184" s="332" t="str">
        <f t="shared" si="122"/>
        <v>•</v>
      </c>
      <c r="IE184" s="332" t="str">
        <f t="shared" si="123"/>
        <v>o</v>
      </c>
      <c r="IF184" s="332" t="str">
        <f t="shared" si="124"/>
        <v>•</v>
      </c>
      <c r="IG184" s="332" t="str">
        <f t="shared" si="125"/>
        <v>o</v>
      </c>
      <c r="IH184" s="332" t="str">
        <f t="shared" si="126"/>
        <v>•</v>
      </c>
      <c r="II184" s="332" t="str">
        <f t="shared" si="127"/>
        <v>o</v>
      </c>
      <c r="IJ184" s="332" t="str">
        <f t="shared" si="128"/>
        <v>•</v>
      </c>
      <c r="IK184" s="332" t="str">
        <f t="shared" si="129"/>
        <v>o</v>
      </c>
      <c r="IL184" s="332" t="str">
        <f t="shared" si="130"/>
        <v>•</v>
      </c>
      <c r="IM184" s="332" t="str">
        <f t="shared" si="131"/>
        <v>o</v>
      </c>
      <c r="IN184" s="332" t="str">
        <f t="shared" si="132"/>
        <v>•</v>
      </c>
      <c r="IO184" s="338" t="str">
        <f t="shared" si="133"/>
        <v>•</v>
      </c>
      <c r="IP184" s="346" t="b">
        <f t="shared" si="134"/>
        <v>0</v>
      </c>
      <c r="IQ184" s="347" t="b">
        <f t="shared" si="135"/>
        <v>1</v>
      </c>
      <c r="IR184" s="347" t="b">
        <f t="shared" si="136"/>
        <v>0</v>
      </c>
      <c r="IS184" s="347" t="b">
        <f t="shared" si="137"/>
        <v>1</v>
      </c>
      <c r="IT184" s="347" t="b">
        <f t="shared" si="138"/>
        <v>0</v>
      </c>
      <c r="IU184" s="347" t="b">
        <f t="shared" si="139"/>
        <v>0</v>
      </c>
      <c r="IV184" s="347" t="b">
        <f t="shared" si="140"/>
        <v>0</v>
      </c>
      <c r="IW184" s="347" t="b">
        <f t="shared" si="141"/>
        <v>1</v>
      </c>
      <c r="IX184" s="347" t="b">
        <f t="shared" si="142"/>
        <v>0</v>
      </c>
      <c r="IY184" s="347" t="b">
        <f t="shared" si="143"/>
        <v>1</v>
      </c>
      <c r="IZ184" s="347" t="b">
        <f t="shared" si="144"/>
        <v>0</v>
      </c>
      <c r="JA184" s="347" t="b">
        <f t="shared" si="145"/>
        <v>1</v>
      </c>
      <c r="JB184" s="353" t="b">
        <f t="shared" si="146"/>
        <v>0</v>
      </c>
      <c r="JC184" s="354" t="str">
        <f t="shared" si="147"/>
        <v/>
      </c>
      <c r="JD184" s="355" t="str">
        <f t="shared" si="148"/>
        <v>re, </v>
      </c>
      <c r="JE184" s="355" t="str">
        <f t="shared" si="149"/>
        <v/>
      </c>
      <c r="JF184" s="355" t="str">
        <f t="shared" si="150"/>
        <v>ga, </v>
      </c>
      <c r="JG184" s="355" t="str">
        <f t="shared" si="151"/>
        <v/>
      </c>
      <c r="JH184" s="355" t="str">
        <f t="shared" si="152"/>
        <v/>
      </c>
      <c r="JI184" s="355" t="str">
        <f t="shared" si="153"/>
        <v/>
      </c>
      <c r="JJ184" s="355" t="str">
        <f t="shared" si="154"/>
        <v>Pa, </v>
      </c>
      <c r="JK184" s="355" t="str">
        <f t="shared" si="155"/>
        <v/>
      </c>
      <c r="JL184" s="355" t="str">
        <f t="shared" si="156"/>
        <v>Dha, </v>
      </c>
      <c r="JM184" s="355" t="str">
        <f t="shared" si="157"/>
        <v/>
      </c>
      <c r="JN184" s="355" t="str">
        <f t="shared" si="158"/>
        <v>Ni, </v>
      </c>
      <c r="JO184" s="359" t="str">
        <f t="shared" si="159"/>
        <v/>
      </c>
      <c r="JP184" s="346" t="b">
        <f t="shared" si="160"/>
        <v>0</v>
      </c>
      <c r="JQ184" s="347" t="b">
        <f t="shared" si="161"/>
        <v>1</v>
      </c>
      <c r="JR184" s="347" t="b">
        <f t="shared" si="162"/>
        <v>0</v>
      </c>
      <c r="JS184" s="347" t="b">
        <f t="shared" si="163"/>
        <v>1</v>
      </c>
      <c r="JT184" s="347" t="b">
        <f t="shared" si="164"/>
        <v>0</v>
      </c>
      <c r="JU184" s="347" t="b">
        <f t="shared" si="165"/>
        <v>0</v>
      </c>
      <c r="JV184" s="347" t="b">
        <f t="shared" si="166"/>
        <v>0</v>
      </c>
      <c r="JW184" s="347" t="b">
        <f t="shared" si="167"/>
        <v>0</v>
      </c>
      <c r="JX184" s="347" t="b">
        <f t="shared" si="168"/>
        <v>0</v>
      </c>
      <c r="JY184" s="347" t="b">
        <f t="shared" si="169"/>
        <v>1</v>
      </c>
      <c r="JZ184" s="347" t="b">
        <f t="shared" si="170"/>
        <v>0</v>
      </c>
      <c r="KA184" s="347" t="b">
        <f t="shared" si="171"/>
        <v>1</v>
      </c>
      <c r="KB184" s="365" t="b">
        <f t="shared" si="172"/>
        <v>0</v>
      </c>
      <c r="KC184" s="354" t="str">
        <f t="shared" si="173"/>
        <v/>
      </c>
      <c r="KD184" s="355" t="str">
        <f t="shared" si="174"/>
        <v>re, </v>
      </c>
      <c r="KE184" s="355" t="str">
        <f t="shared" si="175"/>
        <v/>
      </c>
      <c r="KF184" s="355" t="str">
        <f t="shared" si="176"/>
        <v>ga, </v>
      </c>
      <c r="KG184" s="355" t="str">
        <f t="shared" si="177"/>
        <v/>
      </c>
      <c r="KH184" s="355" t="str">
        <f t="shared" si="178"/>
        <v/>
      </c>
      <c r="KI184" s="355" t="str">
        <f t="shared" si="179"/>
        <v/>
      </c>
      <c r="KJ184" s="355" t="str">
        <f t="shared" si="180"/>
        <v/>
      </c>
      <c r="KK184" s="355" t="str">
        <f t="shared" si="181"/>
        <v/>
      </c>
      <c r="KL184" s="355" t="str">
        <f t="shared" si="182"/>
        <v>Dha, </v>
      </c>
      <c r="KM184" s="355" t="str">
        <f t="shared" si="183"/>
        <v/>
      </c>
      <c r="KN184" s="355" t="str">
        <f t="shared" si="184"/>
        <v>Ni, </v>
      </c>
      <c r="KO184" s="359"/>
      <c r="KP184" s="378"/>
      <c r="KQ184" s="379" t="s">
        <v>9</v>
      </c>
      <c r="KR184" s="380" t="s">
        <v>9</v>
      </c>
      <c r="KS184" s="381" t="s">
        <v>9</v>
      </c>
      <c r="KT184" s="382">
        <f t="shared" si="186"/>
        <v>0</v>
      </c>
      <c r="KU184" s="383">
        <f t="shared" si="187"/>
        <v>0</v>
      </c>
      <c r="KV184" s="381" t="str">
        <f t="shared" si="205"/>
        <v>S</v>
      </c>
      <c r="KW184" s="382">
        <f t="shared" si="189"/>
        <v>0</v>
      </c>
      <c r="KX184" s="384">
        <f t="shared" si="190"/>
        <v>0</v>
      </c>
      <c r="KY184" s="382">
        <f t="shared" ref="KY184:KZ184" si="582">KW184-KT184</f>
        <v>0</v>
      </c>
      <c r="KZ184" s="369">
        <f t="shared" si="582"/>
        <v>0</v>
      </c>
      <c r="LA184" s="385" t="str">
        <f t="shared" si="192"/>
        <v>✔</v>
      </c>
      <c r="LB184" s="340" t="str">
        <f>IFERROR(__xludf.DUMMYFUNCTION("JOIN("""",ArrayFormula(MID(KS184,LEN(KS184)-SEQUENCE(1,LEN(KS184))+1,1)))"),"S")</f>
        <v>S</v>
      </c>
      <c r="LC184" s="373" t="str">
        <f>IFERROR(__xludf.DUMMYFUNCTION("JOIN("""",ArrayFormula(MID(KV184,LEN(KV184)-SEQUENCE(1,LEN(KV184))+1,1)))"),"S")</f>
        <v>S</v>
      </c>
      <c r="LD184" s="373" t="str">
        <f t="shared" si="193"/>
        <v>S</v>
      </c>
      <c r="LE184" s="339" t="str">
        <f t="shared" si="194"/>
        <v>S</v>
      </c>
      <c r="LF184" s="386" t="str">
        <f>IFERROR(__xludf.DUMMYFUNCTION("SUBSTITUTE(SUBSTITUTE(CONCATENATE(JOIN("""",LH184:LT184)),""1"",""""),""2"","""")"),"SS")</f>
        <v>SS</v>
      </c>
      <c r="LG184" s="369" t="str">
        <f t="shared" si="195"/>
        <v>-</v>
      </c>
      <c r="LH184" s="387" t="str">
        <f>IFERROR(__xludf.DUMMYFUNCTION("IF(REGEXMATCH(LD184, ""S""), ""S"",IF(REGEXMATCH(LE184, ""S""), ""S"",""""))"),"S")</f>
        <v>S</v>
      </c>
      <c r="LI184" s="299" t="str">
        <f>IFERROR(__xludf.DUMMYFUNCTION("IF(REGEXMATCH(LD184, ""r""), ""r1"",IF(REGEXMATCH(LE184, ""r""), ""r2"",""""))"),"")</f>
        <v/>
      </c>
      <c r="LJ184" s="299" t="str">
        <f>IFERROR(__xludf.DUMMYFUNCTION("IF(REGEXMATCH(LD184, ""R""), ""R1"",IF(REGEXMATCH(LE184, ""R""), ""R2"",""""))"),"")</f>
        <v/>
      </c>
      <c r="LK184" s="299" t="str">
        <f>IFERROR(__xludf.DUMMYFUNCTION("IF(REGEXMATCH(LD184, ""g""), ""g1"",IF(REGEXMATCH(LE184, ""g""), ""g2"",""""))"),"")</f>
        <v/>
      </c>
      <c r="LL184" s="299" t="str">
        <f>IFERROR(__xludf.DUMMYFUNCTION("IF(REGEXMATCH(LD184, ""G""), ""G1"",IF(REGEXMATCH(LE184, ""G""), ""G2"",""""))"),"")</f>
        <v/>
      </c>
      <c r="LM184" s="299" t="str">
        <f>IFERROR(__xludf.DUMMYFUNCTION("IF(REGEXMATCH(LD184, ""m""), ""m1"",IF(REGEXMATCH(LE184, ""m""), ""m2"",""""))"),"")</f>
        <v/>
      </c>
      <c r="LN184" s="299" t="str">
        <f>IFERROR(__xludf.DUMMYFUNCTION("IF(REGEXMATCH(LD184, ""M""), ""M1"",IF(REGEXMATCH(LE184, ""M""), ""M2"",""""))"),"")</f>
        <v/>
      </c>
      <c r="LO184" s="299" t="str">
        <f>IFERROR(__xludf.DUMMYFUNCTION("IF(REGEXMATCH(LD184, ""P""), ""P1"",IF(REGEXMATCH(LE184, ""P""), ""P2"",""""))"),"")</f>
        <v/>
      </c>
      <c r="LP184" s="299" t="str">
        <f>IFERROR(__xludf.DUMMYFUNCTION("IF(REGEXMATCH(LD184, ""d""), ""d1"",IF(REGEXMATCH(LE184, ""d""), ""d2"",""""))"),"")</f>
        <v/>
      </c>
      <c r="LQ184" s="299" t="str">
        <f>IFERROR(__xludf.DUMMYFUNCTION("IF(REGEXMATCH(LD184, ""D""), ""D1"",IF(REGEXMATCH(LE184, ""D""), ""D2"",""""))"),"")</f>
        <v/>
      </c>
      <c r="LR184" s="299" t="str">
        <f>IFERROR(__xludf.DUMMYFUNCTION("IF(REGEXMATCH(LD184, ""n""), ""n1"",IF(REGEXMATCH(LE184, ""n""), ""n2"",""""))"),"")</f>
        <v/>
      </c>
      <c r="LS184" s="299" t="str">
        <f>IFERROR(__xludf.DUMMYFUNCTION("IF(REGEXMATCH(LD184, ""N""), ""N1"",IF(REGEXMATCH(LE184, ""N""), ""N2"",""""))"),"")</f>
        <v/>
      </c>
      <c r="LT184" s="388" t="str">
        <f>IFERROR(__xludf.DUMMYFUNCTION("IF(REGEXMATCH(LD184, ""S""), ""S"",IF(REGEXMATCH(LE184, ""S""), ""S"",""""))"),"S")</f>
        <v>S</v>
      </c>
      <c r="LU184" s="389">
        <f t="shared" si="196"/>
        <v>1</v>
      </c>
      <c r="LV184" s="378"/>
      <c r="LW184" s="369"/>
      <c r="LX184" s="369"/>
    </row>
    <row r="185" ht="18.0" customHeight="1">
      <c r="A185" s="298" t="s">
        <v>498</v>
      </c>
      <c r="B185" s="222" t="s">
        <v>499</v>
      </c>
      <c r="C185" s="233" t="str">
        <f t="shared" si="7"/>
        <v>SrgMPdnS</v>
      </c>
      <c r="D185" s="234" t="str">
        <f>IFERROR(__xludf.DUMMYFUNCTION("IF(REGEXMATCH(C185, ""S""), ""S"","""")"),"S")</f>
        <v>S</v>
      </c>
      <c r="E185" s="236" t="str">
        <f>IFERROR(__xludf.DUMMYFUNCTION("IF(REGEXMATCH(C185, ""r""), ""r"","""")"),"r")</f>
        <v>r</v>
      </c>
      <c r="F185" s="237" t="str">
        <f>IFERROR(__xludf.DUMMYFUNCTION("IF(REGEXMATCH(C185, ""R""), ""R"","""")"),"")</f>
        <v/>
      </c>
      <c r="G185" s="237" t="str">
        <f>IFERROR(__xludf.DUMMYFUNCTION("IF(REGEXMATCH(C185, ""g""), ""g"","""")"),"g")</f>
        <v>g</v>
      </c>
      <c r="H185" s="236" t="str">
        <f>IFERROR(__xludf.DUMMYFUNCTION("IF(REGEXMATCH(C185, ""G""), ""G"","""")"),"")</f>
        <v/>
      </c>
      <c r="I185" s="236" t="str">
        <f>IFERROR(__xludf.DUMMYFUNCTION("IF(REGEXMATCH(C185, ""m""), ""m"","""")"),"")</f>
        <v/>
      </c>
      <c r="J185" s="237" t="str">
        <f>IFERROR(__xludf.DUMMYFUNCTION("IF(REGEXMATCH(C185, ""M""), ""M"","""")"),"M")</f>
        <v>M</v>
      </c>
      <c r="K185" s="236" t="str">
        <f>IFERROR(__xludf.DUMMYFUNCTION("IF(REGEXMATCH(C185, ""P""), ""P"","""")"),"P")</f>
        <v>P</v>
      </c>
      <c r="L185" s="237" t="str">
        <f>IFERROR(__xludf.DUMMYFUNCTION("IF(REGEXMATCH(C185, ""d""), ""d"","""")"),"d")</f>
        <v>d</v>
      </c>
      <c r="M185" s="236" t="str">
        <f>IFERROR(__xludf.DUMMYFUNCTION("IF(REGEXMATCH(C185, ""D""), ""D"","""")"),"")</f>
        <v/>
      </c>
      <c r="N185" s="236" t="str">
        <f>IFERROR(__xludf.DUMMYFUNCTION("IF(REGEXMATCH(C185, ""n""), ""n"","""")"),"n")</f>
        <v>n</v>
      </c>
      <c r="O185" s="237" t="str">
        <f>IFERROR(__xludf.DUMMYFUNCTION("IF(REGEXMATCH(C185, ""N""), ""N"","""")"),"")</f>
        <v/>
      </c>
      <c r="P185" s="238" t="str">
        <f>IFERROR(__xludf.DUMMYFUNCTION("IF(REGEXMATCH(C185, ""S""), ""S"","""")"),"S")</f>
        <v>S</v>
      </c>
      <c r="Q185" s="239" t="str">
        <f>IFERROR(__xludf.DUMMYFUNCTION("SUBSTITUTE(CONCATENATE(JOIN(""-"",D185:J185)),""-"","""")"),"SrgM")</f>
        <v>SrgM</v>
      </c>
      <c r="R185" s="229" t="str">
        <f>IFERROR(__xludf.DUMMYFUNCTION("SUBSTITUTE(CONCATENATE(JOIN(""-"",K185:P185)),""-"","""")"),"PdnS")</f>
        <v>PdnS</v>
      </c>
      <c r="S185" s="282" t="str">
        <f t="shared" si="8"/>
        <v>S-R-G-M</v>
      </c>
      <c r="T185" s="282" t="str">
        <f t="shared" si="9"/>
        <v>P-D-N-S</v>
      </c>
      <c r="U185" s="237" t="str">
        <f>IFERROR(__xludf.DUMMYFUNCTION("SUBSTITUTE(JOIN(""-"",S185,T185),""--"",""-"")"),"S-R-G-M-P-D-N-S")</f>
        <v>S-R-G-M-P-D-N-S</v>
      </c>
      <c r="V185" s="309" t="str">
        <f t="shared" si="10"/>
        <v>rgMdn</v>
      </c>
      <c r="W185" s="244" t="str">
        <f>IFERROR(__xludf.DUMMYFUNCTION("IF(REGEXMATCH(C185, ""S""), ""0"","""")"),"0")</f>
        <v>0</v>
      </c>
      <c r="X185" s="245" t="str">
        <f>IFERROR(__xludf.DUMMYFUNCTION("IF(REGEXMATCH(C185, ""r""), ""1"","""")"),"1")</f>
        <v>1</v>
      </c>
      <c r="Y185" s="246" t="str">
        <f>IFERROR(__xludf.DUMMYFUNCTION("IF(REGEXMATCH(C185, ""R""), ""2"","""")"),"")</f>
        <v/>
      </c>
      <c r="Z185" s="246" t="str">
        <f>IFERROR(__xludf.DUMMYFUNCTION("IF(REGEXMATCH(C185, ""g""), ""3"","""")"),"3")</f>
        <v>3</v>
      </c>
      <c r="AA185" s="245" t="str">
        <f>IFERROR(__xludf.DUMMYFUNCTION("IF(REGEXMATCH(C185, ""G""), ""4"","""")"),"")</f>
        <v/>
      </c>
      <c r="AB185" s="245" t="str">
        <f>IFERROR(__xludf.DUMMYFUNCTION("IF(REGEXMATCH(C185, ""m""), ""5"","""")"),"")</f>
        <v/>
      </c>
      <c r="AC185" s="246" t="str">
        <f>IFERROR(__xludf.DUMMYFUNCTION("IF(REGEXMATCH(C185, ""M""), ""6"","""")"),"6")</f>
        <v>6</v>
      </c>
      <c r="AD185" s="245" t="str">
        <f>IFERROR(__xludf.DUMMYFUNCTION("IF(REGEXMATCH(C185, ""P""), ""7"","""")"),"7")</f>
        <v>7</v>
      </c>
      <c r="AE185" s="246" t="str">
        <f>IFERROR(__xludf.DUMMYFUNCTION("IF(REGEXMATCH(C185, ""d""), ""8"","""")"),"8")</f>
        <v>8</v>
      </c>
      <c r="AF185" s="245" t="str">
        <f>IFERROR(__xludf.DUMMYFUNCTION("IF(REGEXMATCH(C185, ""D""), ""9"","""")"),"")</f>
        <v/>
      </c>
      <c r="AG185" s="245" t="str">
        <f>IFERROR(__xludf.DUMMYFUNCTION("IF(REGEXMATCH(C185, ""n""), ""10"","""")"),"10")</f>
        <v>10</v>
      </c>
      <c r="AH185" s="246" t="str">
        <f>IFERROR(__xludf.DUMMYFUNCTION("IF(REGEXMATCH(C185, ""N""), ""11"","""")"),"")</f>
        <v/>
      </c>
      <c r="AI185" s="249" t="str">
        <f>IFERROR(__xludf.DUMMYFUNCTION("IF(REGEXMATCH(C185, ""S""), ""0"","""")"),"0")</f>
        <v>0</v>
      </c>
      <c r="AJ185" s="313" t="str">
        <f t="shared" si="11"/>
        <v>T</v>
      </c>
      <c r="AK185" s="313" t="str">
        <f t="shared" si="12"/>
        <v>T</v>
      </c>
      <c r="AL185" s="313" t="str">
        <f t="shared" si="13"/>
        <v>-</v>
      </c>
      <c r="AM185" s="313" t="str">
        <f t="shared" si="14"/>
        <v>-</v>
      </c>
      <c r="AN185" s="313" t="str">
        <f t="shared" si="15"/>
        <v>-</v>
      </c>
      <c r="AO185" s="314" t="str">
        <f t="shared" si="16"/>
        <v>-</v>
      </c>
      <c r="AP185" s="316">
        <f t="shared" si="17"/>
        <v>2</v>
      </c>
      <c r="AQ185" s="319" t="str">
        <f t="shared" si="18"/>
        <v>-</v>
      </c>
      <c r="AR185" s="320">
        <f t="shared" si="19"/>
        <v>0</v>
      </c>
      <c r="AS185" s="250" t="str">
        <f>IFERROR(__xludf.DUMMYFUNCTION("SUBSTITUTE(SUBSTITUTE(CONCATENATE(JOIN("""",FP185:GA185)),""|"",""x""),""-"",""o"")"),"xxoxooxxxoxo")</f>
        <v>xxoxooxxxoxo</v>
      </c>
      <c r="AT185" s="323" t="str">
        <f>IFERROR(__xludf.DUMMYFUNCTION("JOIN("""",AS185,AS185)"),"xxoxooxxxoxoxxoxooxxxoxo")</f>
        <v>xxoxooxxxoxoxxoxooxxxoxo</v>
      </c>
      <c r="AU185" s="256" t="str">
        <f>IFERROR(__xludf.DUMMYFUNCTION("JOIN("""",ArrayFormula(MID(AS185,LEN(AS185)-SEQUENCE(1,LEN(AS185))+1,1)))"),"oxoxxxooxoxx")</f>
        <v>oxoxxxooxoxx</v>
      </c>
      <c r="AV185" s="256" t="str">
        <f>IFERROR(__xludf.DUMMYFUNCTION("LEFT(CONCATENATE(""x"",JOIN("""",ArrayFormula(MID(AS185,LEN(AS185)-SEQUENCE(1,LEN(AS185))+1,1)))),12)"),"xoxoxxxooxox")</f>
        <v>xoxoxxxooxox</v>
      </c>
      <c r="AW185" s="327" t="str">
        <f>IFERROR(__xludf.DUMMYFUNCTION("JOIN("""",AU185,AU185)"),"oxoxxxooxoxxoxoxxxooxoxx")</f>
        <v>oxoxxxooxoxxoxoxxxooxoxx</v>
      </c>
      <c r="AX185" s="239" t="str">
        <f>IFERROR(__xludf.DUMMYFUNCTION("IF(REGEXMATCH(AW185,AS185),""✔"",""-"")"),"-")</f>
        <v>-</v>
      </c>
      <c r="AY185" s="330" t="str">
        <f t="shared" si="20"/>
        <v>-</v>
      </c>
      <c r="AZ185" s="260" t="str">
        <f t="shared" si="21"/>
        <v>#REF!</v>
      </c>
      <c r="BA185" s="333" t="str">
        <f t="shared" si="22"/>
        <v>xxoxoox</v>
      </c>
      <c r="BB185" s="334" t="str">
        <f t="shared" si="23"/>
        <v>xxoxox</v>
      </c>
      <c r="BC185" s="335" t="str">
        <f t="shared" si="236"/>
        <v>-</v>
      </c>
      <c r="BD185" s="336" t="str">
        <f t="shared" si="25"/>
        <v>Komal Ramkali: 'xxoxoox' + 'xxoxox'</v>
      </c>
      <c r="BE185" s="337">
        <f>IFERROR(__xludf.DUMMYFUNCTION("COUNTUNIQUE(FILTER(AT:AT,REGEXMATCH(AT:AT,AS185)))-1"),2.0)</f>
        <v>2</v>
      </c>
      <c r="BF185" s="261" t="str">
        <f>IFERROR(__xludf.DUMMYFUNCTION("IF(BI185=0,""(n/a)"",IF(BJ185=2,""(PAIR)"",IF(REGEXMATCH(AT185,""xoxoxxoxoxox""),""Bilawal"",IF(REGEXMATCH(AT185,""xoxoxooxoxoo""),""Bhupali"",IF(REGEXMATCH(AT185,""xoxoxxoxxoxo""),""Charukeshi"",IF(REGEXMATCH(AT185,""xoxoooxxoxxo""),""Kameshwari"",IF(REG"&amp;"EXMATCH(AT185,""xoxoxooxoxox""),""Shankara"",IF(REGEXMATCH(AT185,""xxooxoxxxoox""),""Basant"",IF(REGEXMATCH(AT185,""xoxoxxxxoxox""),""Bihag"",IF(REGEXMATCH(AT185,""xoxxxxoxoxxx""),""Pilu"",IF(REGEXMATCH(AT185,""xoxxoxoxxoox""),""Kirwani"",IF(REGEXMATCH(AT"&amp;"185,""xoxxoxoxoxxx""),""Mk.Malhar"",IF(REGEXMATCH(AT185,""xxooxxoxxoox""),""Bhairav"",IF(REGEXMATCH(AT185,""xxoxooxxxoox""),""Todi"",IF(REGEXMATCH(AT185,""xxooxoxooxox""),""Marwa"",IF(REGEXMATCH(AT185,""xxoooxoxxooo""),""Gunkali"",IF(REGEXMATCH(AT185,""xo"&amp;"xoxxoxxoox""),""Nat Bhairav"",IF(REGEXMATCH(AT185,""xoxxoooxoxoo""),""Shivranjani"",IF(REGEXMATCH(AT185,""xooxxxoxooxo""),""Jog"",IF(REGEXMATCH(AT185,""xxooxoxoxoox""),""Hemshri"",IF(REGEXMATCH(AT185,""xoooxooxoxxo""),""Kalavati"",IF(REGEXMATCH(AT185,""xx"&amp;"oxoxxoxoox""),""Kedar"",IF(REGEXMATCH(AT185,""xoxxxxoxooxx""),""Gara"",IF(REGEXMATCH(AT185,""xooxoxooxoox""),""Chandrakauns"",IF(REGEXMATCH(AT185,""xoxxxxoxxxox""),""Mand"",IF(REGEXMATCH(AT185,""xoxxxxoxoxox""),""Hanskinkini"",IF(REGEXMATCH(AT185,""xxooxx"&amp;"oxooxo""),""Lilavati"",IF(REGEXMATCH(AT185,""xooxoxoooxox""),""Rajeshwari"",IF(REGEXMATCH(AT185,""xoooxxoxoxxx""),""Khokar"",IF(REGEXMATCH(AT185,""xxooxoxxxxox""),""Maligoura"",""-""))))))))))))))))))))))))))))))"),"Kedar")</f>
        <v>Kedar</v>
      </c>
      <c r="BG185" s="239" t="str">
        <f t="shared" si="26"/>
        <v>#REF!</v>
      </c>
      <c r="BH185" s="239">
        <f>IFERROR(__xludf.DUMMYFUNCTION("COUNTUNIQUE(FE185:FO185)-1"),6.0)</f>
        <v>6</v>
      </c>
      <c r="BI185" s="239">
        <f>IFERROR(__xludf.DUMMYFUNCTION("COUNTUNIQUE(FILTER(AT:AT,REGEXMATCH(AT:AT,AS185)))-1"),2.0)</f>
        <v>2</v>
      </c>
      <c r="BJ185" s="239">
        <f>IFERROR(__xludf.DUMMYFUNCTION("COUNTA(FILTER(AT:AT,REGEXMATCH(AT:AT,AS185)))"),5.0)</f>
        <v>5</v>
      </c>
      <c r="BK185" s="341">
        <f>IFERROR(__xludf.DUMMYFUNCTION("COUNTA(FILTER(AT:AT,REGEXMATCH(AT:AT,AS185)))-AR185"),5.0)</f>
        <v>5</v>
      </c>
      <c r="BL185" s="276" t="str">
        <f>IFERROR(__xludf.DUMMYFUNCTION("IF(AS185=""oooooooooooo"",""-"",IF(REGEXMATCH(AT185,""xx""), ""Hemi."", ""Anhemi.""))"),"Hemi.")</f>
        <v>Hemi.</v>
      </c>
      <c r="BM185" s="282" t="str">
        <f>IFERROR(__xludf.DUMMYFUNCTION("IF(AS185=""oooooooooooo"",""-"",IF(REGEXMATCH(AT185,""xxx""), ""Cohem."", ""-""))"),"Cohem.")</f>
        <v>Cohem.</v>
      </c>
      <c r="BN185" s="282" t="str">
        <f>IFERROR(__xludf.DUMMYFUNCTION("IF(AS185=""oooooooooooo"",""-"",IF(REGEXMATCH(AT185,""xxxx""), ""Co-Co."", ""-""))"),"-")</f>
        <v>-</v>
      </c>
      <c r="BO185" s="342" t="str">
        <f>IFERROR(__xludf.DUMMYFUNCTION("IF(AS185=""oooooooooooo"",""-"",IF(REGEXMATCH(AT185,""xxxxx""), ""CCC."", ""-""))"),"-")</f>
        <v>-</v>
      </c>
      <c r="BP185" s="344" t="str">
        <f t="shared" si="27"/>
        <v>-</v>
      </c>
      <c r="BQ185" s="282" t="str">
        <f>IFERROR(__xludf.DUMMYFUNCTION("IF(REGEXMATCH(JOIN(""-"",EU185:FD185),""TRUE""),""✔"",""-"")"),"-")</f>
        <v>-</v>
      </c>
      <c r="BR185" s="225">
        <f t="shared" si="28"/>
        <v>0</v>
      </c>
      <c r="BS185" s="345" t="str">
        <f>IFERROR(__xludf.DUMMYFUNCTION("SUBSTITUTE(SUBSTITUTE(SUBSTITUTE(SUBSTITUTE(CONCATENATE(JOIN(""-"",GC185:GO185)),""--"",""-""),""--"",""-""),""--"",""-""),""--"",""-"")"),"1-b2-b3-#4-5-b6-b7-8")</f>
        <v>1-b2-b3-#4-5-b6-b7-8</v>
      </c>
      <c r="BT185" s="299" t="str">
        <f>IFERROR(__xludf.DUMMYFUNCTION("SUBSTITUTE(SUBSTITUTE(SUBSTITUTE(SUBSTITUTE(CONCATENATE(JOIN(""-"",GP185:HB185)),""--"",""-""),""--"",""-""),""--"",""-""),""--"",""-"")"),"S-R1-G2-M2-P-D1-N2-S")</f>
        <v>S-R1-G2-M2-P-D1-N2-S</v>
      </c>
      <c r="BU185" s="348" t="str">
        <f t="shared" si="29"/>
        <v>C-Db-Eb-F#-G-Ab-Bb-C</v>
      </c>
      <c r="BV185" s="349" t="str">
        <f t="shared" si="30"/>
        <v>SRGmDNS</v>
      </c>
      <c r="BW185" s="350">
        <f t="shared" si="31"/>
        <v>0</v>
      </c>
      <c r="BX185" s="351">
        <f t="shared" si="32"/>
        <v>1</v>
      </c>
      <c r="BY185" s="352" t="s">
        <v>275</v>
      </c>
      <c r="BZ185" s="309" t="str">
        <f>IFERROR(__xludf.DUMMYFUNCTION("IF(REGEXMATCH(C185, ""S""), ""x"",""x"")"),"x")</f>
        <v>x</v>
      </c>
      <c r="CA185" s="245" t="str">
        <f>IFERROR(__xludf.DUMMYFUNCTION("IF(REGEXMATCH(C185, ""r""), ""o"",""x"")"),"o")</f>
        <v>o</v>
      </c>
      <c r="CB185" s="246" t="str">
        <f>IFERROR(__xludf.DUMMYFUNCTION("IF(REGEXMATCH(C185, ""R""), ""o"",""x"")"),"x")</f>
        <v>x</v>
      </c>
      <c r="CC185" s="246" t="str">
        <f>IFERROR(__xludf.DUMMYFUNCTION("IF(REGEXMATCH(C185, ""g""), ""o"",""x"")"),"o")</f>
        <v>o</v>
      </c>
      <c r="CD185" s="245" t="str">
        <f>IFERROR(__xludf.DUMMYFUNCTION("IF(REGEXMATCH(C185, ""G""), ""o"",""x"")"),"x")</f>
        <v>x</v>
      </c>
      <c r="CE185" s="245" t="str">
        <f>IFERROR(__xludf.DUMMYFUNCTION("IF(REGEXMATCH(C185, ""m""), ""o"",""x"")"),"x")</f>
        <v>x</v>
      </c>
      <c r="CF185" s="246" t="str">
        <f>IFERROR(__xludf.DUMMYFUNCTION("IF(REGEXMATCH(C185, ""M""), ""o"",""x"")"),"o")</f>
        <v>o</v>
      </c>
      <c r="CG185" s="245" t="str">
        <f>IFERROR(__xludf.DUMMYFUNCTION("IF(REGEXMATCH(C185, ""P""), ""o"",""x"")"),"o")</f>
        <v>o</v>
      </c>
      <c r="CH185" s="246" t="str">
        <f>IFERROR(__xludf.DUMMYFUNCTION("IF(REGEXMATCH(C185, ""d""), ""o"",""x"")"),"o")</f>
        <v>o</v>
      </c>
      <c r="CI185" s="245" t="str">
        <f>IFERROR(__xludf.DUMMYFUNCTION("IF(REGEXMATCH(C185, ""D""), ""o"",""x"")"),"x")</f>
        <v>x</v>
      </c>
      <c r="CJ185" s="245" t="str">
        <f>IFERROR(__xludf.DUMMYFUNCTION("IF(REGEXMATCH(C185, ""n""), ""o"",""x"")"),"o")</f>
        <v>o</v>
      </c>
      <c r="CK185" s="245" t="str">
        <f>IFERROR(__xludf.DUMMYFUNCTION("IF(REGEXMATCH(C185, ""N""), ""o"",""x"")"),"x")</f>
        <v>x</v>
      </c>
      <c r="CL185" s="356" t="str">
        <f>IFERROR(__xludf.DUMMYFUNCTION("IF(REGEXMATCH(C185, ""S""), ""x"",""x"")"),"x")</f>
        <v>x</v>
      </c>
      <c r="CM185" s="357" t="str">
        <f t="shared" si="33"/>
        <v>xoxoxxoooxox</v>
      </c>
      <c r="CN185" s="358">
        <f t="shared" si="34"/>
        <v>0</v>
      </c>
      <c r="CO185" s="246" t="str">
        <f>IFERROR(__xludf.DUMMYFUNCTION("IF(REGEXMATCH($C185, ""S""), ""S"",""S"")"),"S")</f>
        <v>S</v>
      </c>
      <c r="CP185" s="246" t="str">
        <f>IFERROR(__xludf.DUMMYFUNCTION("IF(REGEXMATCH($C185, ""r""), """",""r"")"),"")</f>
        <v/>
      </c>
      <c r="CQ185" s="246" t="str">
        <f>IFERROR(__xludf.DUMMYFUNCTION("IF(REGEXMATCH($C185, ""R""), """",""R"")"),"R")</f>
        <v>R</v>
      </c>
      <c r="CR185" s="246" t="str">
        <f>IFERROR(__xludf.DUMMYFUNCTION("IF(REGEXMATCH($C185, ""g""), """",""g"")"),"")</f>
        <v/>
      </c>
      <c r="CS185" s="246" t="str">
        <f>IFERROR(__xludf.DUMMYFUNCTION("IF(REGEXMATCH($C185, ""G""), """",""G"")"),"G")</f>
        <v>G</v>
      </c>
      <c r="CT185" s="246" t="str">
        <f>IFERROR(__xludf.DUMMYFUNCTION("IF(REGEXMATCH($C185, ""m""), """",""m"")"),"m")</f>
        <v>m</v>
      </c>
      <c r="CU185" s="246" t="str">
        <f>IFERROR(__xludf.DUMMYFUNCTION("IF(REGEXMATCH($C185, ""M""), """",""M"")"),"")</f>
        <v/>
      </c>
      <c r="CV185" s="246" t="str">
        <f>IFERROR(__xludf.DUMMYFUNCTION("IF(REGEXMATCH($C185, ""P""), """",""P"")"),"")</f>
        <v/>
      </c>
      <c r="CW185" s="246" t="str">
        <f>IFERROR(__xludf.DUMMYFUNCTION("IF(REGEXMATCH($C185, ""d""), """",""d"")"),"")</f>
        <v/>
      </c>
      <c r="CX185" s="246" t="str">
        <f>IFERROR(__xludf.DUMMYFUNCTION("IF(REGEXMATCH($C185, ""D""), """",""D"")"),"D")</f>
        <v>D</v>
      </c>
      <c r="CY185" s="246" t="str">
        <f>IFERROR(__xludf.DUMMYFUNCTION("IF(REGEXMATCH($C185, ""n""), """",""n"")"),"")</f>
        <v/>
      </c>
      <c r="CZ185" s="246" t="str">
        <f>IFERROR(__xludf.DUMMYFUNCTION("IF(REGEXMATCH($C185, ""N""), """",""N"")"),"N")</f>
        <v>N</v>
      </c>
      <c r="DA185" s="246" t="str">
        <f>IFERROR(__xludf.DUMMYFUNCTION("IF(REGEXMATCH($C185, ""S""), ""S"",""S"")"),"S")</f>
        <v>S</v>
      </c>
      <c r="DB185" s="362" t="str">
        <f>IFERROR(__xludf.DUMMYFUNCTION("JOIN("""",CO185:DA185,"""","""")"),"SRGmDNS")</f>
        <v>SRGmDNS</v>
      </c>
      <c r="DC185" s="363"/>
      <c r="DD185" s="301" t="str">
        <f t="shared" si="35"/>
        <v>#REF!</v>
      </c>
      <c r="DE185" s="302" t="str">
        <f t="shared" si="36"/>
        <v>#REF!</v>
      </c>
      <c r="DF185" s="301" t="str">
        <f t="shared" ref="DF185:DG185" si="583">SUBSTITUTE(S185,"-","")</f>
        <v>SRGM</v>
      </c>
      <c r="DG185" s="301" t="str">
        <f t="shared" si="583"/>
        <v>PDNS</v>
      </c>
      <c r="DH185" s="302" t="str">
        <f t="shared" si="38"/>
        <v>Kedar</v>
      </c>
      <c r="DI185" s="301" t="str">
        <f t="shared" si="39"/>
        <v>Hemi.</v>
      </c>
      <c r="DJ185" s="364" t="str">
        <f t="shared" si="40"/>
        <v>Cohem.</v>
      </c>
      <c r="DK185" s="306" t="str">
        <f t="shared" si="41"/>
        <v>-</v>
      </c>
      <c r="DL185" s="366" t="str">
        <f t="shared" si="42"/>
        <v>-</v>
      </c>
      <c r="DM185" s="308" t="str">
        <f t="shared" si="43"/>
        <v>✔</v>
      </c>
      <c r="DN185" s="306" t="str">
        <f t="shared" si="44"/>
        <v>-</v>
      </c>
      <c r="DO185" s="306" t="str">
        <f t="shared" si="45"/>
        <v>✔</v>
      </c>
      <c r="DP185" s="367" t="str">
        <f t="shared" si="46"/>
        <v>✔</v>
      </c>
      <c r="DQ185" s="310" t="str">
        <f t="shared" si="47"/>
        <v>-</v>
      </c>
      <c r="DR185" s="310" t="str">
        <f t="shared" si="48"/>
        <v>-</v>
      </c>
      <c r="DS185" s="310" t="str">
        <f t="shared" si="49"/>
        <v>-</v>
      </c>
      <c r="DT185" s="310" t="str">
        <f t="shared" si="50"/>
        <v>-</v>
      </c>
      <c r="DU185" s="370" t="str">
        <f t="shared" si="51"/>
        <v>-</v>
      </c>
      <c r="DV185" s="306" t="str">
        <f t="shared" si="52"/>
        <v>-</v>
      </c>
      <c r="DW185" s="306" t="str">
        <f t="shared" si="53"/>
        <v>-</v>
      </c>
      <c r="DX185" s="306" t="str">
        <f t="shared" si="54"/>
        <v>-</v>
      </c>
      <c r="DY185" s="306" t="str">
        <f t="shared" si="55"/>
        <v>-</v>
      </c>
      <c r="DZ185" s="306" t="str">
        <f t="shared" si="56"/>
        <v>-</v>
      </c>
      <c r="EA185" s="367" t="str">
        <f t="shared" si="57"/>
        <v>-</v>
      </c>
      <c r="EB185" s="310" t="str">
        <f>IFERROR(__xludf.DUMMYFUNCTION("IF(REGEXMATCH(AW185,AS185),""✔"",""-"")"),"-")</f>
        <v>-</v>
      </c>
      <c r="EC185" s="310" t="str">
        <f t="shared" si="58"/>
        <v>#REF!</v>
      </c>
      <c r="ED185" s="370" t="str">
        <f t="shared" si="59"/>
        <v>-</v>
      </c>
      <c r="EE185" s="340" t="str">
        <f t="shared" si="60"/>
        <v>S-r-g-M-P-d-n-S</v>
      </c>
      <c r="EF185" s="371" t="str">
        <f>IFERROR(__xludf.DUMMYFUNCTION("CONCATENATE(JOIN("""",HC185:HO185))"),"SRGmMDNS")</f>
        <v>SRGmMDNS</v>
      </c>
      <c r="EG185" s="372">
        <f t="shared" si="61"/>
        <v>2</v>
      </c>
      <c r="EH185" s="373" t="str">
        <f>IFERROR(__xludf.DUMMYFUNCTION("CONCATENATE(JOIN("""",JC185:JO185))"),"Pa, ni, ")</f>
        <v>Pa, ni, </v>
      </c>
      <c r="EI185" s="322">
        <f t="shared" si="62"/>
        <v>0</v>
      </c>
      <c r="EJ185" s="374" t="str">
        <f>IFERROR(__xludf.DUMMYFUNCTION("CONCATENATE(JOIN("""",KC185:KO185))"),"")</f>
        <v/>
      </c>
      <c r="EK185" s="325" t="str">
        <f t="shared" si="63"/>
        <v>S-R1-G2-M2-P-D1-N2-S</v>
      </c>
      <c r="EL185" s="326" t="str">
        <f t="shared" si="64"/>
        <v>1-b2-b3-#4-5-b6-b7-8</v>
      </c>
      <c r="EM185" s="318" t="str">
        <f t="shared" si="65"/>
        <v>#REF!</v>
      </c>
      <c r="EN185" s="328" t="str">
        <f>IFERROR(__xludf.DUMMYFUNCTION("SUBSTITUTE(SUBSTITUTE(SUBSTITUTE(SUBSTITUTE(CONCATENATE(JOIN("" "",HP185:IB185)),""  "","" ""),""  "","" ""),""  "","" ""),""  "","" "")"),"o o • o • • o o o • o • o")</f>
        <v>o o • o • • o o o • o • o</v>
      </c>
      <c r="EO185" s="368" t="str">
        <f t="shared" si="66"/>
        <v>Sa-Pa</v>
      </c>
      <c r="EP185" s="339" t="str">
        <f t="shared" si="67"/>
        <v>Sa-Pa</v>
      </c>
      <c r="EQ185" s="339" t="str">
        <f t="shared" si="68"/>
        <v>Sa-Pa</v>
      </c>
      <c r="ER185" s="339" t="str">
        <f t="shared" si="69"/>
        <v>-</v>
      </c>
      <c r="ES185" s="340" t="str">
        <f t="shared" si="70"/>
        <v>-</v>
      </c>
      <c r="ET185" s="363"/>
      <c r="EU185" s="376" t="b">
        <f>IFERROR(__xludf.DUMMYFUNCTION("arrayformula(sum(--REGEXMATCH(""SRGMPDNS"",split(REGEXREPLACE(C185,""(.)"",""$1~""),""~""))))=len(C185)
"),FALSE)</f>
        <v>0</v>
      </c>
      <c r="EV185" s="290" t="b">
        <f>IFERROR(__xludf.DUMMYFUNCTION("arrayformula(sum(--REGEXMATCH(""SRGmPDNS"",split(REGEXREPLACE(C185,""(.)"",""$1~""),""~""))))=len(C185)"),FALSE)</f>
        <v>0</v>
      </c>
      <c r="EW185" s="290" t="b">
        <f>IFERROR(__xludf.DUMMYFUNCTION("arrayformula(sum(--REGEXMATCH(""SRGmPDnS"",split(REGEXREPLACE(C185,""(.)"",""$1~""),""~""))))=len(C185)"),FALSE)</f>
        <v>0</v>
      </c>
      <c r="EX185" s="290" t="b">
        <f>IFERROR(__xludf.DUMMYFUNCTION("arrayformula(sum(--REGEXMATCH(""SRgmPDnS"",split(REGEXREPLACE(C185,""(.)"",""$1~""),""~""))))=len(C185)"),FALSE)</f>
        <v>0</v>
      </c>
      <c r="EY185" s="290" t="b">
        <f>IFERROR(__xludf.DUMMYFUNCTION("arrayformula(sum(--REGEXMATCH(""SRgmPdnS"",split(REGEXREPLACE(C185,""(.)"",""$1~""),""~""))))=len(C185)"),FALSE)</f>
        <v>0</v>
      </c>
      <c r="EZ185" s="290" t="b">
        <f>IFERROR(__xludf.DUMMYFUNCTION("arrayformula(sum(--REGEXMATCH(""SrgmPdnS"",split(REGEXREPLACE(C185,""(.)"",""$1~""),""~""))))=len(C185)"),FALSE)</f>
        <v>0</v>
      </c>
      <c r="FA185" s="290" t="b">
        <f>IFERROR(__xludf.DUMMYFUNCTION("arrayformula(sum(--REGEXMATCH(""SrGmPdNS"",split(REGEXREPLACE(C185,""(.)"",""$1~""),""~""))))=len(C185)"),FALSE)</f>
        <v>0</v>
      </c>
      <c r="FB185" s="290" t="b">
        <f>IFERROR(__xludf.DUMMYFUNCTION("arrayformula(sum(--REGEXMATCH(""SrGMPDNS"",split(REGEXREPLACE(C185,""(.)"",""$1~""),""~""))))=len(C185)"),FALSE)</f>
        <v>0</v>
      </c>
      <c r="FC185" s="290" t="b">
        <f>IFERROR(__xludf.DUMMYFUNCTION("arrayformula(sum(--REGEXMATCH(""SrGMPdNS"",split(REGEXREPLACE(C185,""(.)"",""$1~""),""~""))))=len(C185)"),FALSE)</f>
        <v>0</v>
      </c>
      <c r="FD185" s="377" t="b">
        <f>IFERROR(__xludf.DUMMYFUNCTION("arrayformula(sum(--REGEXMATCH(""SrgMPdNS"",split(REGEXREPLACE(C185,""(.)"",""$1~""),""~""))))=len(C185)"),FALSE)</f>
        <v>0</v>
      </c>
      <c r="FE185" s="269" t="str">
        <f t="shared" si="71"/>
        <v>xoxooxxxoxo</v>
      </c>
      <c r="FF185" s="269" t="str">
        <f t="shared" si="72"/>
        <v>-</v>
      </c>
      <c r="FG185" s="271" t="str">
        <f t="shared" si="73"/>
        <v>xooxxxoxoxx</v>
      </c>
      <c r="FH185" s="269" t="str">
        <f t="shared" si="74"/>
        <v>-</v>
      </c>
      <c r="FI185" s="271" t="str">
        <f t="shared" si="75"/>
        <v>-</v>
      </c>
      <c r="FJ185" s="271" t="str">
        <f t="shared" si="76"/>
        <v>xxxoxoxxoxo</v>
      </c>
      <c r="FK185" s="271" t="str">
        <f t="shared" si="77"/>
        <v>xxoxoxxoxoo</v>
      </c>
      <c r="FL185" s="271" t="str">
        <f t="shared" si="78"/>
        <v>xoxoxxoxoox</v>
      </c>
      <c r="FM185" s="271" t="str">
        <f t="shared" si="79"/>
        <v>-</v>
      </c>
      <c r="FN185" s="271" t="str">
        <f t="shared" si="80"/>
        <v>xoxxoxooxxx</v>
      </c>
      <c r="FO185" s="274" t="str">
        <f t="shared" si="81"/>
        <v>-</v>
      </c>
      <c r="FP185" s="234" t="str">
        <f t="shared" si="82"/>
        <v>|</v>
      </c>
      <c r="FQ185" s="236" t="str">
        <f t="shared" si="83"/>
        <v>|</v>
      </c>
      <c r="FR185" s="237" t="str">
        <f t="shared" si="84"/>
        <v>-</v>
      </c>
      <c r="FS185" s="236" t="str">
        <f t="shared" si="85"/>
        <v>|</v>
      </c>
      <c r="FT185" s="237" t="str">
        <f t="shared" si="86"/>
        <v>-</v>
      </c>
      <c r="FU185" s="236" t="str">
        <f t="shared" si="87"/>
        <v>-</v>
      </c>
      <c r="FV185" s="237" t="str">
        <f t="shared" si="88"/>
        <v>|</v>
      </c>
      <c r="FW185" s="236" t="str">
        <f t="shared" si="89"/>
        <v>|</v>
      </c>
      <c r="FX185" s="237" t="str">
        <f t="shared" si="90"/>
        <v>|</v>
      </c>
      <c r="FY185" s="236" t="str">
        <f t="shared" si="91"/>
        <v>-</v>
      </c>
      <c r="FZ185" s="237" t="str">
        <f t="shared" si="92"/>
        <v>|</v>
      </c>
      <c r="GA185" s="236" t="str">
        <f t="shared" si="93"/>
        <v>-</v>
      </c>
      <c r="GB185" s="238" t="str">
        <f t="shared" si="94"/>
        <v>|</v>
      </c>
      <c r="GC185" s="244" t="str">
        <f>IFERROR(__xludf.DUMMYFUNCTION("IF(REGEXMATCH(C185, ""S""), ""1"","""")"),"1")</f>
        <v>1</v>
      </c>
      <c r="GD185" s="245" t="str">
        <f>IFERROR(__xludf.DUMMYFUNCTION("IF(REGEXMATCH(C185, ""r""), ""b2"","""")"),"b2")</f>
        <v>b2</v>
      </c>
      <c r="GE185" s="246" t="str">
        <f>IFERROR(__xludf.DUMMYFUNCTION("IF(REGEXMATCH(C185, ""R""), ""2"","""")"),"")</f>
        <v/>
      </c>
      <c r="GF185" s="246" t="str">
        <f>IFERROR(__xludf.DUMMYFUNCTION("IF(REGEXMATCH(C185, ""g""), ""b3"","""")"),"b3")</f>
        <v>b3</v>
      </c>
      <c r="GG185" s="245" t="str">
        <f>IFERROR(__xludf.DUMMYFUNCTION("IF(REGEXMATCH(C185, ""G""), ""3"","""")"),"")</f>
        <v/>
      </c>
      <c r="GH185" s="245" t="str">
        <f>IFERROR(__xludf.DUMMYFUNCTION("IF(REGEXMATCH(C185, ""m""), ""4"","""")"),"")</f>
        <v/>
      </c>
      <c r="GI185" s="246" t="str">
        <f>IFERROR(__xludf.DUMMYFUNCTION("IF(REGEXMATCH(C185, ""M""), ""#4"","""")"),"#4")</f>
        <v>#4</v>
      </c>
      <c r="GJ185" s="245" t="str">
        <f>IFERROR(__xludf.DUMMYFUNCTION("IF(REGEXMATCH(C185, ""P""), ""5"","""")"),"5")</f>
        <v>5</v>
      </c>
      <c r="GK185" s="246" t="str">
        <f>IFERROR(__xludf.DUMMYFUNCTION("IF(REGEXMATCH(C185, ""d""), ""b6"","""")"),"b6")</f>
        <v>b6</v>
      </c>
      <c r="GL185" s="245" t="str">
        <f>IFERROR(__xludf.DUMMYFUNCTION("IF(REGEXMATCH(C185, ""D""), ""6"","""")"),"")</f>
        <v/>
      </c>
      <c r="GM185" s="245" t="str">
        <f>IFERROR(__xludf.DUMMYFUNCTION("IF(REGEXMATCH(C185, ""n""), ""b7"","""")"),"b7")</f>
        <v>b7</v>
      </c>
      <c r="GN185" s="246" t="str">
        <f>IFERROR(__xludf.DUMMYFUNCTION("IF(REGEXMATCH(C185, ""N""), ""7"","""")"),"")</f>
        <v/>
      </c>
      <c r="GO185" s="249" t="str">
        <f>IFERROR(__xludf.DUMMYFUNCTION("IF(REGEXMATCH(C185, ""S""), ""8"","""")"),"8")</f>
        <v>8</v>
      </c>
      <c r="GP185" s="244" t="str">
        <f>IFERROR(__xludf.DUMMYFUNCTION("IF(REGEXMATCH(C185, ""S""), ""S"","""")"),"S")</f>
        <v>S</v>
      </c>
      <c r="GQ185" s="294" t="str">
        <f>IFERROR(__xludf.DUMMYFUNCTION("IF(REGEXMATCH(C185, ""r""), ""R1"","""")"),"R1")</f>
        <v>R1</v>
      </c>
      <c r="GR185" s="295" t="str">
        <f>IFERROR(__xludf.DUMMYFUNCTION("IF(REGEXMATCH(C185, ""R""), ""R2"","""")"),"")</f>
        <v/>
      </c>
      <c r="GS185" s="295" t="str">
        <f>IFERROR(__xludf.DUMMYFUNCTION("IF(REGEXMATCH(C185, ""g""), ""G2"","""")"),"G2")</f>
        <v>G2</v>
      </c>
      <c r="GT185" s="294" t="str">
        <f>IFERROR(__xludf.DUMMYFUNCTION("IF(REGEXMATCH(C185, ""G""), ""G3"","""")"),"")</f>
        <v/>
      </c>
      <c r="GU185" s="294" t="str">
        <f>IFERROR(__xludf.DUMMYFUNCTION("IF(REGEXMATCH(C185, ""m""), ""M1"","""")"),"")</f>
        <v/>
      </c>
      <c r="GV185" s="295" t="str">
        <f>IFERROR(__xludf.DUMMYFUNCTION("IF(REGEXMATCH(C185, ""M""), ""M2"","""")"),"M2")</f>
        <v>M2</v>
      </c>
      <c r="GW185" s="294" t="str">
        <f>IFERROR(__xludf.DUMMYFUNCTION("IF(REGEXMATCH(C185, ""P""), ""P"","""")"),"P")</f>
        <v>P</v>
      </c>
      <c r="GX185" s="295" t="str">
        <f>IFERROR(__xludf.DUMMYFUNCTION("IF(REGEXMATCH(C185, ""d""), ""D1"","""")"),"D1")</f>
        <v>D1</v>
      </c>
      <c r="GY185" s="294" t="str">
        <f>IFERROR(__xludf.DUMMYFUNCTION("IF(REGEXMATCH(C185, ""D""), ""D2"","""")"),"")</f>
        <v/>
      </c>
      <c r="GZ185" s="294" t="str">
        <f>IFERROR(__xludf.DUMMYFUNCTION("IF(REGEXMATCH(C185, ""n""), ""N2"","""")"),"N2")</f>
        <v>N2</v>
      </c>
      <c r="HA185" s="295" t="str">
        <f>IFERROR(__xludf.DUMMYFUNCTION("IF(REGEXMATCH(C185, ""N""), ""N3"","""")"),"")</f>
        <v/>
      </c>
      <c r="HB185" s="249" t="str">
        <f>IFERROR(__xludf.DUMMYFUNCTION("IF(REGEXMATCH(C185, ""S""), ""S"","""")"),"S")</f>
        <v>S</v>
      </c>
      <c r="HC185" s="331" t="str">
        <f t="shared" si="95"/>
        <v>S</v>
      </c>
      <c r="HD185" s="332" t="str">
        <f t="shared" si="96"/>
        <v/>
      </c>
      <c r="HE185" s="332" t="str">
        <f t="shared" si="97"/>
        <v>R</v>
      </c>
      <c r="HF185" s="332" t="str">
        <f t="shared" si="98"/>
        <v/>
      </c>
      <c r="HG185" s="332" t="str">
        <f t="shared" si="99"/>
        <v>G</v>
      </c>
      <c r="HH185" s="332" t="str">
        <f t="shared" si="100"/>
        <v>m</v>
      </c>
      <c r="HI185" s="332" t="str">
        <f t="shared" si="101"/>
        <v>M</v>
      </c>
      <c r="HJ185" s="332" t="str">
        <f t="shared" si="102"/>
        <v/>
      </c>
      <c r="HK185" s="332" t="str">
        <f t="shared" si="103"/>
        <v/>
      </c>
      <c r="HL185" s="332" t="str">
        <f t="shared" si="104"/>
        <v>D</v>
      </c>
      <c r="HM185" s="332" t="str">
        <f t="shared" si="105"/>
        <v/>
      </c>
      <c r="HN185" s="332" t="str">
        <f t="shared" si="106"/>
        <v>N</v>
      </c>
      <c r="HO185" s="343" t="str">
        <f t="shared" si="107"/>
        <v>S</v>
      </c>
      <c r="HP185" s="331" t="str">
        <f t="shared" si="108"/>
        <v>o</v>
      </c>
      <c r="HQ185" s="332" t="str">
        <f t="shared" si="109"/>
        <v>o</v>
      </c>
      <c r="HR185" s="332" t="str">
        <f t="shared" si="110"/>
        <v>•</v>
      </c>
      <c r="HS185" s="332" t="str">
        <f t="shared" si="111"/>
        <v>o</v>
      </c>
      <c r="HT185" s="332" t="str">
        <f t="shared" si="112"/>
        <v>•</v>
      </c>
      <c r="HU185" s="332" t="str">
        <f t="shared" si="113"/>
        <v>•</v>
      </c>
      <c r="HV185" s="332" t="str">
        <f t="shared" si="114"/>
        <v>o</v>
      </c>
      <c r="HW185" s="332" t="str">
        <f t="shared" si="115"/>
        <v>o</v>
      </c>
      <c r="HX185" s="332" t="str">
        <f t="shared" si="116"/>
        <v>o</v>
      </c>
      <c r="HY185" s="332" t="str">
        <f t="shared" si="117"/>
        <v>•</v>
      </c>
      <c r="HZ185" s="332" t="str">
        <f t="shared" si="118"/>
        <v>o</v>
      </c>
      <c r="IA185" s="332" t="str">
        <f t="shared" si="119"/>
        <v>•</v>
      </c>
      <c r="IB185" s="338" t="str">
        <f t="shared" si="120"/>
        <v>o</v>
      </c>
      <c r="IC185" s="331" t="str">
        <f t="shared" si="121"/>
        <v>•</v>
      </c>
      <c r="ID185" s="332" t="str">
        <f t="shared" si="122"/>
        <v>•</v>
      </c>
      <c r="IE185" s="332" t="str">
        <f t="shared" si="123"/>
        <v>o</v>
      </c>
      <c r="IF185" s="332" t="str">
        <f t="shared" si="124"/>
        <v>•</v>
      </c>
      <c r="IG185" s="332" t="str">
        <f t="shared" si="125"/>
        <v>o</v>
      </c>
      <c r="IH185" s="332" t="str">
        <f t="shared" si="126"/>
        <v>o</v>
      </c>
      <c r="II185" s="332" t="str">
        <f t="shared" si="127"/>
        <v>•</v>
      </c>
      <c r="IJ185" s="332" t="str">
        <f t="shared" si="128"/>
        <v>•</v>
      </c>
      <c r="IK185" s="332" t="str">
        <f t="shared" si="129"/>
        <v>•</v>
      </c>
      <c r="IL185" s="332" t="str">
        <f t="shared" si="130"/>
        <v>o</v>
      </c>
      <c r="IM185" s="332" t="str">
        <f t="shared" si="131"/>
        <v>•</v>
      </c>
      <c r="IN185" s="332" t="str">
        <f t="shared" si="132"/>
        <v>o</v>
      </c>
      <c r="IO185" s="338" t="str">
        <f t="shared" si="133"/>
        <v>•</v>
      </c>
      <c r="IP185" s="346" t="b">
        <f t="shared" si="134"/>
        <v>0</v>
      </c>
      <c r="IQ185" s="347" t="b">
        <f t="shared" si="135"/>
        <v>0</v>
      </c>
      <c r="IR185" s="347" t="b">
        <f t="shared" si="136"/>
        <v>0</v>
      </c>
      <c r="IS185" s="347" t="b">
        <f t="shared" si="137"/>
        <v>0</v>
      </c>
      <c r="IT185" s="347" t="b">
        <f t="shared" si="138"/>
        <v>0</v>
      </c>
      <c r="IU185" s="347" t="b">
        <f t="shared" si="139"/>
        <v>0</v>
      </c>
      <c r="IV185" s="347" t="b">
        <f t="shared" si="140"/>
        <v>0</v>
      </c>
      <c r="IW185" s="347" t="b">
        <f t="shared" si="141"/>
        <v>1</v>
      </c>
      <c r="IX185" s="347" t="b">
        <f t="shared" si="142"/>
        <v>0</v>
      </c>
      <c r="IY185" s="347" t="b">
        <f t="shared" si="143"/>
        <v>0</v>
      </c>
      <c r="IZ185" s="347" t="b">
        <f t="shared" si="144"/>
        <v>1</v>
      </c>
      <c r="JA185" s="347" t="b">
        <f t="shared" si="145"/>
        <v>0</v>
      </c>
      <c r="JB185" s="353" t="b">
        <f t="shared" si="146"/>
        <v>0</v>
      </c>
      <c r="JC185" s="354" t="str">
        <f t="shared" si="147"/>
        <v/>
      </c>
      <c r="JD185" s="355" t="str">
        <f t="shared" si="148"/>
        <v/>
      </c>
      <c r="JE185" s="355" t="str">
        <f t="shared" si="149"/>
        <v/>
      </c>
      <c r="JF185" s="355" t="str">
        <f t="shared" si="150"/>
        <v/>
      </c>
      <c r="JG185" s="355" t="str">
        <f t="shared" si="151"/>
        <v/>
      </c>
      <c r="JH185" s="355" t="str">
        <f t="shared" si="152"/>
        <v/>
      </c>
      <c r="JI185" s="355" t="str">
        <f t="shared" si="153"/>
        <v/>
      </c>
      <c r="JJ185" s="355" t="str">
        <f t="shared" si="154"/>
        <v>Pa, </v>
      </c>
      <c r="JK185" s="355" t="str">
        <f t="shared" si="155"/>
        <v/>
      </c>
      <c r="JL185" s="355" t="str">
        <f t="shared" si="156"/>
        <v/>
      </c>
      <c r="JM185" s="355" t="str">
        <f t="shared" si="157"/>
        <v>ni, </v>
      </c>
      <c r="JN185" s="355" t="str">
        <f t="shared" si="158"/>
        <v/>
      </c>
      <c r="JO185" s="359" t="str">
        <f t="shared" si="159"/>
        <v/>
      </c>
      <c r="JP185" s="346" t="b">
        <f t="shared" si="160"/>
        <v>0</v>
      </c>
      <c r="JQ185" s="347" t="b">
        <f t="shared" si="161"/>
        <v>0</v>
      </c>
      <c r="JR185" s="347" t="b">
        <f t="shared" si="162"/>
        <v>0</v>
      </c>
      <c r="JS185" s="347" t="b">
        <f t="shared" si="163"/>
        <v>0</v>
      </c>
      <c r="JT185" s="347" t="b">
        <f t="shared" si="164"/>
        <v>0</v>
      </c>
      <c r="JU185" s="347" t="b">
        <f t="shared" si="165"/>
        <v>0</v>
      </c>
      <c r="JV185" s="347" t="b">
        <f t="shared" si="166"/>
        <v>0</v>
      </c>
      <c r="JW185" s="347" t="b">
        <f t="shared" si="167"/>
        <v>0</v>
      </c>
      <c r="JX185" s="347" t="b">
        <f t="shared" si="168"/>
        <v>0</v>
      </c>
      <c r="JY185" s="347" t="b">
        <f t="shared" si="169"/>
        <v>0</v>
      </c>
      <c r="JZ185" s="347" t="b">
        <f t="shared" si="170"/>
        <v>0</v>
      </c>
      <c r="KA185" s="347" t="b">
        <f t="shared" si="171"/>
        <v>0</v>
      </c>
      <c r="KB185" s="365" t="b">
        <f t="shared" si="172"/>
        <v>0</v>
      </c>
      <c r="KC185" s="354" t="str">
        <f t="shared" si="173"/>
        <v/>
      </c>
      <c r="KD185" s="355" t="str">
        <f t="shared" si="174"/>
        <v/>
      </c>
      <c r="KE185" s="355" t="str">
        <f t="shared" si="175"/>
        <v/>
      </c>
      <c r="KF185" s="355" t="str">
        <f t="shared" si="176"/>
        <v/>
      </c>
      <c r="KG185" s="355" t="str">
        <f t="shared" si="177"/>
        <v/>
      </c>
      <c r="KH185" s="355" t="str">
        <f t="shared" si="178"/>
        <v/>
      </c>
      <c r="KI185" s="355" t="str">
        <f t="shared" si="179"/>
        <v/>
      </c>
      <c r="KJ185" s="355" t="str">
        <f t="shared" si="180"/>
        <v/>
      </c>
      <c r="KK185" s="355" t="str">
        <f t="shared" si="181"/>
        <v/>
      </c>
      <c r="KL185" s="355" t="str">
        <f t="shared" si="182"/>
        <v/>
      </c>
      <c r="KM185" s="355" t="str">
        <f t="shared" si="183"/>
        <v/>
      </c>
      <c r="KN185" s="355" t="str">
        <f t="shared" si="184"/>
        <v/>
      </c>
      <c r="KO185" s="359"/>
      <c r="KP185" s="378"/>
      <c r="KQ185" s="379" t="s">
        <v>9</v>
      </c>
      <c r="KR185" s="380" t="s">
        <v>9</v>
      </c>
      <c r="KS185" s="381" t="s">
        <v>9</v>
      </c>
      <c r="KT185" s="382">
        <f t="shared" si="186"/>
        <v>0</v>
      </c>
      <c r="KU185" s="383">
        <f t="shared" si="187"/>
        <v>0</v>
      </c>
      <c r="KV185" s="381" t="str">
        <f t="shared" si="205"/>
        <v>S</v>
      </c>
      <c r="KW185" s="382">
        <f t="shared" si="189"/>
        <v>0</v>
      </c>
      <c r="KX185" s="384">
        <f t="shared" si="190"/>
        <v>0</v>
      </c>
      <c r="KY185" s="382">
        <f t="shared" ref="KY185:KZ185" si="584">KW185-KT185</f>
        <v>0</v>
      </c>
      <c r="KZ185" s="369">
        <f t="shared" si="584"/>
        <v>0</v>
      </c>
      <c r="LA185" s="385" t="str">
        <f t="shared" si="192"/>
        <v>✔</v>
      </c>
      <c r="LB185" s="340" t="str">
        <f>IFERROR(__xludf.DUMMYFUNCTION("JOIN("""",ArrayFormula(MID(KS185,LEN(KS185)-SEQUENCE(1,LEN(KS185))+1,1)))"),"S")</f>
        <v>S</v>
      </c>
      <c r="LC185" s="373" t="str">
        <f>IFERROR(__xludf.DUMMYFUNCTION("JOIN("""",ArrayFormula(MID(KV185,LEN(KV185)-SEQUENCE(1,LEN(KV185))+1,1)))"),"S")</f>
        <v>S</v>
      </c>
      <c r="LD185" s="373" t="str">
        <f t="shared" si="193"/>
        <v>S</v>
      </c>
      <c r="LE185" s="339" t="str">
        <f t="shared" si="194"/>
        <v>S</v>
      </c>
      <c r="LF185" s="386" t="str">
        <f>IFERROR(__xludf.DUMMYFUNCTION("SUBSTITUTE(SUBSTITUTE(CONCATENATE(JOIN("""",LH185:LT185)),""1"",""""),""2"","""")"),"SS")</f>
        <v>SS</v>
      </c>
      <c r="LG185" s="369" t="str">
        <f t="shared" si="195"/>
        <v>-</v>
      </c>
      <c r="LH185" s="387" t="str">
        <f>IFERROR(__xludf.DUMMYFUNCTION("IF(REGEXMATCH(LD185, ""S""), ""S"",IF(REGEXMATCH(LE185, ""S""), ""S"",""""))"),"S")</f>
        <v>S</v>
      </c>
      <c r="LI185" s="299" t="str">
        <f>IFERROR(__xludf.DUMMYFUNCTION("IF(REGEXMATCH(LD185, ""r""), ""r1"",IF(REGEXMATCH(LE185, ""r""), ""r2"",""""))"),"")</f>
        <v/>
      </c>
      <c r="LJ185" s="299" t="str">
        <f>IFERROR(__xludf.DUMMYFUNCTION("IF(REGEXMATCH(LD185, ""R""), ""R1"",IF(REGEXMATCH(LE185, ""R""), ""R2"",""""))"),"")</f>
        <v/>
      </c>
      <c r="LK185" s="299" t="str">
        <f>IFERROR(__xludf.DUMMYFUNCTION("IF(REGEXMATCH(LD185, ""g""), ""g1"",IF(REGEXMATCH(LE185, ""g""), ""g2"",""""))"),"")</f>
        <v/>
      </c>
      <c r="LL185" s="299" t="str">
        <f>IFERROR(__xludf.DUMMYFUNCTION("IF(REGEXMATCH(LD185, ""G""), ""G1"",IF(REGEXMATCH(LE185, ""G""), ""G2"",""""))"),"")</f>
        <v/>
      </c>
      <c r="LM185" s="299" t="str">
        <f>IFERROR(__xludf.DUMMYFUNCTION("IF(REGEXMATCH(LD185, ""m""), ""m1"",IF(REGEXMATCH(LE185, ""m""), ""m2"",""""))"),"")</f>
        <v/>
      </c>
      <c r="LN185" s="299" t="str">
        <f>IFERROR(__xludf.DUMMYFUNCTION("IF(REGEXMATCH(LD185, ""M""), ""M1"",IF(REGEXMATCH(LE185, ""M""), ""M2"",""""))"),"")</f>
        <v/>
      </c>
      <c r="LO185" s="299" t="str">
        <f>IFERROR(__xludf.DUMMYFUNCTION("IF(REGEXMATCH(LD185, ""P""), ""P1"",IF(REGEXMATCH(LE185, ""P""), ""P2"",""""))"),"")</f>
        <v/>
      </c>
      <c r="LP185" s="299" t="str">
        <f>IFERROR(__xludf.DUMMYFUNCTION("IF(REGEXMATCH(LD185, ""d""), ""d1"",IF(REGEXMATCH(LE185, ""d""), ""d2"",""""))"),"")</f>
        <v/>
      </c>
      <c r="LQ185" s="299" t="str">
        <f>IFERROR(__xludf.DUMMYFUNCTION("IF(REGEXMATCH(LD185, ""D""), ""D1"",IF(REGEXMATCH(LE185, ""D""), ""D2"",""""))"),"")</f>
        <v/>
      </c>
      <c r="LR185" s="299" t="str">
        <f>IFERROR(__xludf.DUMMYFUNCTION("IF(REGEXMATCH(LD185, ""n""), ""n1"",IF(REGEXMATCH(LE185, ""n""), ""n2"",""""))"),"")</f>
        <v/>
      </c>
      <c r="LS185" s="299" t="str">
        <f>IFERROR(__xludf.DUMMYFUNCTION("IF(REGEXMATCH(LD185, ""N""), ""N1"",IF(REGEXMATCH(LE185, ""N""), ""N2"",""""))"),"")</f>
        <v/>
      </c>
      <c r="LT185" s="388" t="str">
        <f>IFERROR(__xludf.DUMMYFUNCTION("IF(REGEXMATCH(LD185, ""S""), ""S"",IF(REGEXMATCH(LE185, ""S""), ""S"",""""))"),"S")</f>
        <v>S</v>
      </c>
      <c r="LU185" s="389">
        <f t="shared" si="196"/>
        <v>1</v>
      </c>
      <c r="LV185" s="378"/>
      <c r="LW185" s="369"/>
      <c r="LX185" s="369"/>
    </row>
    <row r="186" ht="18.0" customHeight="1">
      <c r="A186" s="298" t="s">
        <v>891</v>
      </c>
      <c r="B186" s="222" t="s">
        <v>530</v>
      </c>
      <c r="C186" s="233" t="str">
        <f t="shared" si="7"/>
        <v>SRGmPDnNS</v>
      </c>
      <c r="D186" s="234" t="str">
        <f>IFERROR(__xludf.DUMMYFUNCTION("IF(REGEXMATCH(C186, ""S""), ""S"","""")"),"S")</f>
        <v>S</v>
      </c>
      <c r="E186" s="236" t="str">
        <f>IFERROR(__xludf.DUMMYFUNCTION("IF(REGEXMATCH(C186, ""r""), ""r"","""")"),"")</f>
        <v/>
      </c>
      <c r="F186" s="237" t="str">
        <f>IFERROR(__xludf.DUMMYFUNCTION("IF(REGEXMATCH(C186, ""R""), ""R"","""")"),"R")</f>
        <v>R</v>
      </c>
      <c r="G186" s="237" t="str">
        <f>IFERROR(__xludf.DUMMYFUNCTION("IF(REGEXMATCH(C186, ""g""), ""g"","""")"),"")</f>
        <v/>
      </c>
      <c r="H186" s="236" t="str">
        <f>IFERROR(__xludf.DUMMYFUNCTION("IF(REGEXMATCH(C186, ""G""), ""G"","""")"),"G")</f>
        <v>G</v>
      </c>
      <c r="I186" s="236" t="str">
        <f>IFERROR(__xludf.DUMMYFUNCTION("IF(REGEXMATCH(C186, ""m""), ""m"","""")"),"m")</f>
        <v>m</v>
      </c>
      <c r="J186" s="237" t="str">
        <f>IFERROR(__xludf.DUMMYFUNCTION("IF(REGEXMATCH(C186, ""M""), ""M"","""")"),"")</f>
        <v/>
      </c>
      <c r="K186" s="236" t="str">
        <f>IFERROR(__xludf.DUMMYFUNCTION("IF(REGEXMATCH(C186, ""P""), ""P"","""")"),"P")</f>
        <v>P</v>
      </c>
      <c r="L186" s="237" t="str">
        <f>IFERROR(__xludf.DUMMYFUNCTION("IF(REGEXMATCH(C186, ""d""), ""d"","""")"),"")</f>
        <v/>
      </c>
      <c r="M186" s="236" t="str">
        <f>IFERROR(__xludf.DUMMYFUNCTION("IF(REGEXMATCH(C186, ""D""), ""D"","""")"),"D")</f>
        <v>D</v>
      </c>
      <c r="N186" s="236" t="str">
        <f>IFERROR(__xludf.DUMMYFUNCTION("IF(REGEXMATCH(C186, ""n""), ""n"","""")"),"n")</f>
        <v>n</v>
      </c>
      <c r="O186" s="237" t="str">
        <f>IFERROR(__xludf.DUMMYFUNCTION("IF(REGEXMATCH(C186, ""N""), ""N"","""")"),"N")</f>
        <v>N</v>
      </c>
      <c r="P186" s="238" t="str">
        <f>IFERROR(__xludf.DUMMYFUNCTION("IF(REGEXMATCH(C186, ""S""), ""S"","""")"),"S")</f>
        <v>S</v>
      </c>
      <c r="Q186" s="239" t="str">
        <f>IFERROR(__xludf.DUMMYFUNCTION("SUBSTITUTE(CONCATENATE(JOIN(""-"",D186:J186)),""-"","""")"),"SRGm")</f>
        <v>SRGm</v>
      </c>
      <c r="R186" s="229" t="str">
        <f>IFERROR(__xludf.DUMMYFUNCTION("SUBSTITUTE(CONCATENATE(JOIN(""-"",K186:P186)),""-"","""")"),"PDnNS")</f>
        <v>PDnNS</v>
      </c>
      <c r="S186" s="282" t="str">
        <f t="shared" si="8"/>
        <v>S-R-G-M</v>
      </c>
      <c r="T186" s="282" t="str">
        <f t="shared" si="9"/>
        <v>P-D-N-S</v>
      </c>
      <c r="U186" s="237" t="str">
        <f>IFERROR(__xludf.DUMMYFUNCTION("SUBSTITUTE(JOIN(""-"",S186,T186),""--"",""-"")"),"S-R-G-M-P-D-N-S")</f>
        <v>S-R-G-M-P-D-N-S</v>
      </c>
      <c r="V186" s="309" t="str">
        <f t="shared" si="10"/>
        <v>RGmDnN</v>
      </c>
      <c r="W186" s="244" t="str">
        <f>IFERROR(__xludf.DUMMYFUNCTION("IF(REGEXMATCH(C186, ""S""), ""0"","""")"),"0")</f>
        <v>0</v>
      </c>
      <c r="X186" s="245" t="str">
        <f>IFERROR(__xludf.DUMMYFUNCTION("IF(REGEXMATCH(C186, ""r""), ""1"","""")"),"")</f>
        <v/>
      </c>
      <c r="Y186" s="246" t="str">
        <f>IFERROR(__xludf.DUMMYFUNCTION("IF(REGEXMATCH(C186, ""R""), ""2"","""")"),"2")</f>
        <v>2</v>
      </c>
      <c r="Z186" s="246" t="str">
        <f>IFERROR(__xludf.DUMMYFUNCTION("IF(REGEXMATCH(C186, ""g""), ""3"","""")"),"")</f>
        <v/>
      </c>
      <c r="AA186" s="245" t="str">
        <f>IFERROR(__xludf.DUMMYFUNCTION("IF(REGEXMATCH(C186, ""G""), ""4"","""")"),"4")</f>
        <v>4</v>
      </c>
      <c r="AB186" s="245" t="str">
        <f>IFERROR(__xludf.DUMMYFUNCTION("IF(REGEXMATCH(C186, ""m""), ""5"","""")"),"5")</f>
        <v>5</v>
      </c>
      <c r="AC186" s="246" t="str">
        <f>IFERROR(__xludf.DUMMYFUNCTION("IF(REGEXMATCH(C186, ""M""), ""6"","""")"),"")</f>
        <v/>
      </c>
      <c r="AD186" s="245" t="str">
        <f>IFERROR(__xludf.DUMMYFUNCTION("IF(REGEXMATCH(C186, ""P""), ""7"","""")"),"7")</f>
        <v>7</v>
      </c>
      <c r="AE186" s="246" t="str">
        <f>IFERROR(__xludf.DUMMYFUNCTION("IF(REGEXMATCH(C186, ""d""), ""8"","""")"),"")</f>
        <v/>
      </c>
      <c r="AF186" s="245" t="str">
        <f>IFERROR(__xludf.DUMMYFUNCTION("IF(REGEXMATCH(C186, ""D""), ""9"","""")"),"9")</f>
        <v>9</v>
      </c>
      <c r="AG186" s="245" t="str">
        <f>IFERROR(__xludf.DUMMYFUNCTION("IF(REGEXMATCH(C186, ""n""), ""10"","""")"),"10")</f>
        <v>10</v>
      </c>
      <c r="AH186" s="246" t="str">
        <f>IFERROR(__xludf.DUMMYFUNCTION("IF(REGEXMATCH(C186, ""N""), ""11"","""")"),"11")</f>
        <v>11</v>
      </c>
      <c r="AI186" s="249" t="str">
        <f>IFERROR(__xludf.DUMMYFUNCTION("IF(REGEXMATCH(C186, ""S""), ""0"","""")"),"0")</f>
        <v>0</v>
      </c>
      <c r="AJ186" s="313" t="str">
        <f t="shared" si="11"/>
        <v>-</v>
      </c>
      <c r="AK186" s="313" t="str">
        <f t="shared" si="12"/>
        <v>-</v>
      </c>
      <c r="AL186" s="313" t="str">
        <f t="shared" si="13"/>
        <v>-</v>
      </c>
      <c r="AM186" s="313" t="str">
        <f t="shared" si="14"/>
        <v>-</v>
      </c>
      <c r="AN186" s="313" t="str">
        <f t="shared" si="15"/>
        <v>T</v>
      </c>
      <c r="AO186" s="314" t="str">
        <f t="shared" si="16"/>
        <v>T</v>
      </c>
      <c r="AP186" s="316">
        <f t="shared" si="17"/>
        <v>2</v>
      </c>
      <c r="AQ186" s="319" t="str">
        <f t="shared" si="18"/>
        <v>-</v>
      </c>
      <c r="AR186" s="320">
        <f t="shared" si="19"/>
        <v>0</v>
      </c>
      <c r="AS186" s="250" t="str">
        <f>IFERROR(__xludf.DUMMYFUNCTION("SUBSTITUTE(SUBSTITUTE(CONCATENATE(JOIN("""",FP186:GA186)),""|"",""x""),""-"",""o"")"),"xoxoxxoxoxxx")</f>
        <v>xoxoxxoxoxxx</v>
      </c>
      <c r="AT186" s="323" t="str">
        <f>IFERROR(__xludf.DUMMYFUNCTION("JOIN("""",AS186,AS186)"),"xoxoxxoxoxxxxoxoxxoxoxxx")</f>
        <v>xoxoxxoxoxxxxoxoxxoxoxxx</v>
      </c>
      <c r="AU186" s="256" t="str">
        <f>IFERROR(__xludf.DUMMYFUNCTION("JOIN("""",ArrayFormula(MID(AS186,LEN(AS186)-SEQUENCE(1,LEN(AS186))+1,1)))"),"xxxoxoxxoxox")</f>
        <v>xxxoxoxxoxox</v>
      </c>
      <c r="AV186" s="256" t="str">
        <f>IFERROR(__xludf.DUMMYFUNCTION("LEFT(CONCATENATE(""x"",JOIN("""",ArrayFormula(MID(AS186,LEN(AS186)-SEQUENCE(1,LEN(AS186))+1,1)))),12)"),"xxxxoxoxxoxo")</f>
        <v>xxxxoxoxxoxo</v>
      </c>
      <c r="AW186" s="327" t="str">
        <f>IFERROR(__xludf.DUMMYFUNCTION("JOIN("""",AU186,AU186)"),"xxxoxoxxoxoxxxxoxoxxoxox")</f>
        <v>xxxoxoxxoxoxxxxoxoxxoxox</v>
      </c>
      <c r="AX186" s="239" t="str">
        <f>IFERROR(__xludf.DUMMYFUNCTION("IF(REGEXMATCH(AW186,AS186),""✔"",""-"")"),"✔")</f>
        <v>✔</v>
      </c>
      <c r="AY186" s="330" t="str">
        <f t="shared" si="20"/>
        <v>-</v>
      </c>
      <c r="AZ186" s="260" t="str">
        <f t="shared" si="21"/>
        <v>#REF!</v>
      </c>
      <c r="BA186" s="333" t="str">
        <f t="shared" si="22"/>
        <v>xoxoxxo</v>
      </c>
      <c r="BB186" s="334" t="str">
        <f t="shared" si="23"/>
        <v>xoxxxx</v>
      </c>
      <c r="BC186" s="335" t="str">
        <f t="shared" si="236"/>
        <v>-</v>
      </c>
      <c r="BD186" s="336" t="str">
        <f t="shared" si="25"/>
        <v>Kukubh Bilawal: 'xoxoxxo' + 'xoxxxx'</v>
      </c>
      <c r="BE186" s="337">
        <f>IFERROR(__xludf.DUMMYFUNCTION("COUNTUNIQUE(FILTER(AT:AT,REGEXMATCH(AT:AT,AS186)))-1"),3.0)</f>
        <v>3</v>
      </c>
      <c r="BF186" s="261" t="str">
        <f>IFERROR(__xludf.DUMMYFUNCTION("IF(BI186=0,""(n/a)"",IF(BJ186=2,""(PAIR)"",IF(REGEXMATCH(AT186,""xoxoxxoxoxox""),""Bilawal"",IF(REGEXMATCH(AT186,""xoxoxooxoxoo""),""Bhupali"",IF(REGEXMATCH(AT186,""xoxoxxoxxoxo""),""Charukeshi"",IF(REGEXMATCH(AT186,""xoxoooxxoxxo""),""Kameshwari"",IF(REG"&amp;"EXMATCH(AT186,""xoxoxooxoxox""),""Shankara"",IF(REGEXMATCH(AT186,""xxooxoxxxoox""),""Basant"",IF(REGEXMATCH(AT186,""xoxoxxxxoxox""),""Bihag"",IF(REGEXMATCH(AT186,""xoxxxxoxoxxx""),""Pilu"",IF(REGEXMATCH(AT186,""xoxxoxoxxoox""),""Kirwani"",IF(REGEXMATCH(AT"&amp;"186,""xoxxoxoxoxxx""),""Mk.Malhar"",IF(REGEXMATCH(AT186,""xxooxxoxxoox""),""Bhairav"",IF(REGEXMATCH(AT186,""xxoxooxxxoox""),""Todi"",IF(REGEXMATCH(AT186,""xxooxoxooxox""),""Marwa"",IF(REGEXMATCH(AT186,""xxoooxoxxooo""),""Gunkali"",IF(REGEXMATCH(AT186,""xo"&amp;"xoxxoxxoox""),""Nat Bhairav"",IF(REGEXMATCH(AT186,""xoxxoooxoxoo""),""Shivranjani"",IF(REGEXMATCH(AT186,""xooxxxoxooxo""),""Jog"",IF(REGEXMATCH(AT186,""xxooxoxoxoox""),""Hemshri"",IF(REGEXMATCH(AT186,""xoooxooxoxxo""),""Kalavati"",IF(REGEXMATCH(AT186,""xx"&amp;"oxoxxoxoox""),""Kedar"",IF(REGEXMATCH(AT186,""xoxxxxoxooxx""),""Gara"",IF(REGEXMATCH(AT186,""xooxoxooxoox""),""Chandrakauns"",IF(REGEXMATCH(AT186,""xoxxxxoxxxox""),""Mand"",IF(REGEXMATCH(AT186,""xoxxxxoxoxox""),""Hanskinkini"",IF(REGEXMATCH(AT186,""xxooxx"&amp;"oxooxo""),""Lilavati"",IF(REGEXMATCH(AT186,""xooxoxoooxox""),""Rajeshwari"",IF(REGEXMATCH(AT186,""xoooxxoxoxxx""),""Khokar"",IF(REGEXMATCH(AT186,""xxooxoxxxxox""),""Maligoura"",""-""))))))))))))))))))))))))))))))"),"Bihag")</f>
        <v>Bihag</v>
      </c>
      <c r="BG186" s="239" t="str">
        <f t="shared" si="26"/>
        <v>#REF!</v>
      </c>
      <c r="BH186" s="239">
        <f>IFERROR(__xludf.DUMMYFUNCTION("COUNTUNIQUE(FE186:FO186)-1"),7.0)</f>
        <v>7</v>
      </c>
      <c r="BI186" s="239">
        <f>IFERROR(__xludf.DUMMYFUNCTION("COUNTUNIQUE(FILTER(AT:AT,REGEXMATCH(AT:AT,AS186)))-1"),3.0)</f>
        <v>3</v>
      </c>
      <c r="BJ186" s="239">
        <f>IFERROR(__xludf.DUMMYFUNCTION("COUNTA(FILTER(AT:AT,REGEXMATCH(AT:AT,AS186)))"),36.0)</f>
        <v>36</v>
      </c>
      <c r="BK186" s="341">
        <f>IFERROR(__xludf.DUMMYFUNCTION("COUNTA(FILTER(AT:AT,REGEXMATCH(AT:AT,AS186)))-AR186"),36.0)</f>
        <v>36</v>
      </c>
      <c r="BL186" s="276" t="str">
        <f>IFERROR(__xludf.DUMMYFUNCTION("IF(AS186=""oooooooooooo"",""-"",IF(REGEXMATCH(AT186,""xx""), ""Hemi."", ""Anhemi.""))"),"Hemi.")</f>
        <v>Hemi.</v>
      </c>
      <c r="BM186" s="282" t="str">
        <f>IFERROR(__xludf.DUMMYFUNCTION("IF(AS186=""oooooooooooo"",""-"",IF(REGEXMATCH(AT186,""xxx""), ""Cohem."", ""-""))"),"Cohem.")</f>
        <v>Cohem.</v>
      </c>
      <c r="BN186" s="282" t="str">
        <f>IFERROR(__xludf.DUMMYFUNCTION("IF(AS186=""oooooooooooo"",""-"",IF(REGEXMATCH(AT186,""xxxx""), ""Co-Co."", ""-""))"),"Co-Co.")</f>
        <v>Co-Co.</v>
      </c>
      <c r="BO186" s="342" t="str">
        <f>IFERROR(__xludf.DUMMYFUNCTION("IF(AS186=""oooooooooooo"",""-"",IF(REGEXMATCH(AT186,""xxxxx""), ""CCC."", ""-""))"),"-")</f>
        <v>-</v>
      </c>
      <c r="BP186" s="344" t="str">
        <f t="shared" si="27"/>
        <v>-</v>
      </c>
      <c r="BQ186" s="282" t="str">
        <f>IFERROR(__xludf.DUMMYFUNCTION("IF(REGEXMATCH(JOIN(""-"",EU186:FD186),""TRUE""),""✔"",""-"")"),"-")</f>
        <v>-</v>
      </c>
      <c r="BR186" s="225">
        <f t="shared" si="28"/>
        <v>0</v>
      </c>
      <c r="BS186" s="345" t="str">
        <f>IFERROR(__xludf.DUMMYFUNCTION("SUBSTITUTE(SUBSTITUTE(SUBSTITUTE(SUBSTITUTE(CONCATENATE(JOIN(""-"",GC186:GO186)),""--"",""-""),""--"",""-""),""--"",""-""),""--"",""-"")"),"1-2-3-4-5-6-b7-7-8")</f>
        <v>1-2-3-4-5-6-b7-7-8</v>
      </c>
      <c r="BT186" s="299" t="str">
        <f>IFERROR(__xludf.DUMMYFUNCTION("SUBSTITUTE(SUBSTITUTE(SUBSTITUTE(SUBSTITUTE(CONCATENATE(JOIN(""-"",GP186:HB186)),""--"",""-""),""--"",""-""),""--"",""-""),""--"",""-"")"),"S-R2-G3-M1-P-D2-N2-N3-S")</f>
        <v>S-R2-G3-M1-P-D2-N2-N3-S</v>
      </c>
      <c r="BU186" s="348" t="str">
        <f t="shared" si="29"/>
        <v>C-D-E-F-G-A-Bb-B-C</v>
      </c>
      <c r="BV186" s="349" t="str">
        <f t="shared" si="30"/>
        <v>SrgMdS</v>
      </c>
      <c r="BW186" s="350">
        <f t="shared" si="31"/>
        <v>1</v>
      </c>
      <c r="BX186" s="351">
        <f t="shared" si="32"/>
        <v>15</v>
      </c>
      <c r="BY186" s="392"/>
      <c r="BZ186" s="309" t="str">
        <f>IFERROR(__xludf.DUMMYFUNCTION("IF(REGEXMATCH(C186, ""S""), ""x"",""x"")"),"x")</f>
        <v>x</v>
      </c>
      <c r="CA186" s="245" t="str">
        <f>IFERROR(__xludf.DUMMYFUNCTION("IF(REGEXMATCH(C186, ""r""), ""o"",""x"")"),"x")</f>
        <v>x</v>
      </c>
      <c r="CB186" s="246" t="str">
        <f>IFERROR(__xludf.DUMMYFUNCTION("IF(REGEXMATCH(C186, ""R""), ""o"",""x"")"),"o")</f>
        <v>o</v>
      </c>
      <c r="CC186" s="246" t="str">
        <f>IFERROR(__xludf.DUMMYFUNCTION("IF(REGEXMATCH(C186, ""g""), ""o"",""x"")"),"x")</f>
        <v>x</v>
      </c>
      <c r="CD186" s="245" t="str">
        <f>IFERROR(__xludf.DUMMYFUNCTION("IF(REGEXMATCH(C186, ""G""), ""o"",""x"")"),"o")</f>
        <v>o</v>
      </c>
      <c r="CE186" s="245" t="str">
        <f>IFERROR(__xludf.DUMMYFUNCTION("IF(REGEXMATCH(C186, ""m""), ""o"",""x"")"),"o")</f>
        <v>o</v>
      </c>
      <c r="CF186" s="246" t="str">
        <f>IFERROR(__xludf.DUMMYFUNCTION("IF(REGEXMATCH(C186, ""M""), ""o"",""x"")"),"x")</f>
        <v>x</v>
      </c>
      <c r="CG186" s="245" t="str">
        <f>IFERROR(__xludf.DUMMYFUNCTION("IF(REGEXMATCH(C186, ""P""), ""o"",""x"")"),"o")</f>
        <v>o</v>
      </c>
      <c r="CH186" s="246" t="str">
        <f>IFERROR(__xludf.DUMMYFUNCTION("IF(REGEXMATCH(C186, ""d""), ""o"",""x"")"),"x")</f>
        <v>x</v>
      </c>
      <c r="CI186" s="245" t="str">
        <f>IFERROR(__xludf.DUMMYFUNCTION("IF(REGEXMATCH(C186, ""D""), ""o"",""x"")"),"o")</f>
        <v>o</v>
      </c>
      <c r="CJ186" s="245" t="str">
        <f>IFERROR(__xludf.DUMMYFUNCTION("IF(REGEXMATCH(C186, ""n""), ""o"",""x"")"),"o")</f>
        <v>o</v>
      </c>
      <c r="CK186" s="245" t="str">
        <f>IFERROR(__xludf.DUMMYFUNCTION("IF(REGEXMATCH(C186, ""N""), ""o"",""x"")"),"o")</f>
        <v>o</v>
      </c>
      <c r="CL186" s="356" t="str">
        <f>IFERROR(__xludf.DUMMYFUNCTION("IF(REGEXMATCH(C186, ""S""), ""x"",""x"")"),"x")</f>
        <v>x</v>
      </c>
      <c r="CM186" s="357" t="str">
        <f t="shared" si="33"/>
        <v>xxoxooxoxooo</v>
      </c>
      <c r="CN186" s="358">
        <f t="shared" si="34"/>
        <v>1</v>
      </c>
      <c r="CO186" s="246" t="str">
        <f>IFERROR(__xludf.DUMMYFUNCTION("IF(REGEXMATCH($C186, ""S""), ""S"",""S"")"),"S")</f>
        <v>S</v>
      </c>
      <c r="CP186" s="246" t="str">
        <f>IFERROR(__xludf.DUMMYFUNCTION("IF(REGEXMATCH($C186, ""r""), """",""r"")"),"r")</f>
        <v>r</v>
      </c>
      <c r="CQ186" s="246" t="str">
        <f>IFERROR(__xludf.DUMMYFUNCTION("IF(REGEXMATCH($C186, ""R""), """",""R"")"),"")</f>
        <v/>
      </c>
      <c r="CR186" s="246" t="str">
        <f>IFERROR(__xludf.DUMMYFUNCTION("IF(REGEXMATCH($C186, ""g""), """",""g"")"),"g")</f>
        <v>g</v>
      </c>
      <c r="CS186" s="246" t="str">
        <f>IFERROR(__xludf.DUMMYFUNCTION("IF(REGEXMATCH($C186, ""G""), """",""G"")"),"")</f>
        <v/>
      </c>
      <c r="CT186" s="246" t="str">
        <f>IFERROR(__xludf.DUMMYFUNCTION("IF(REGEXMATCH($C186, ""m""), """",""m"")"),"")</f>
        <v/>
      </c>
      <c r="CU186" s="246" t="str">
        <f>IFERROR(__xludf.DUMMYFUNCTION("IF(REGEXMATCH($C186, ""M""), """",""M"")"),"M")</f>
        <v>M</v>
      </c>
      <c r="CV186" s="246" t="str">
        <f>IFERROR(__xludf.DUMMYFUNCTION("IF(REGEXMATCH($C186, ""P""), """",""P"")"),"")</f>
        <v/>
      </c>
      <c r="CW186" s="246" t="str">
        <f>IFERROR(__xludf.DUMMYFUNCTION("IF(REGEXMATCH($C186, ""d""), """",""d"")"),"d")</f>
        <v>d</v>
      </c>
      <c r="CX186" s="246" t="str">
        <f>IFERROR(__xludf.DUMMYFUNCTION("IF(REGEXMATCH($C186, ""D""), """",""D"")"),"")</f>
        <v/>
      </c>
      <c r="CY186" s="246" t="str">
        <f>IFERROR(__xludf.DUMMYFUNCTION("IF(REGEXMATCH($C186, ""n""), """",""n"")"),"")</f>
        <v/>
      </c>
      <c r="CZ186" s="246" t="str">
        <f>IFERROR(__xludf.DUMMYFUNCTION("IF(REGEXMATCH($C186, ""N""), """",""N"")"),"")</f>
        <v/>
      </c>
      <c r="DA186" s="246" t="str">
        <f>IFERROR(__xludf.DUMMYFUNCTION("IF(REGEXMATCH($C186, ""S""), ""S"",""S"")"),"S")</f>
        <v>S</v>
      </c>
      <c r="DB186" s="362" t="str">
        <f>IFERROR(__xludf.DUMMYFUNCTION("JOIN("""",CO186:DA186,"""","""")"),"SrgMdS")</f>
        <v>SrgMdS</v>
      </c>
      <c r="DC186" s="363"/>
      <c r="DD186" s="301" t="str">
        <f t="shared" si="35"/>
        <v>#REF!</v>
      </c>
      <c r="DE186" s="302" t="str">
        <f t="shared" si="36"/>
        <v>#REF!</v>
      </c>
      <c r="DF186" s="301" t="str">
        <f t="shared" ref="DF186:DG186" si="585">SUBSTITUTE(S186,"-","")</f>
        <v>SRGM</v>
      </c>
      <c r="DG186" s="301" t="str">
        <f t="shared" si="585"/>
        <v>PDNS</v>
      </c>
      <c r="DH186" s="302" t="str">
        <f t="shared" si="38"/>
        <v>Bihag</v>
      </c>
      <c r="DI186" s="301" t="str">
        <f t="shared" si="39"/>
        <v>Hemi.</v>
      </c>
      <c r="DJ186" s="364" t="str">
        <f t="shared" si="40"/>
        <v>Co-Co.</v>
      </c>
      <c r="DK186" s="306" t="str">
        <f t="shared" si="41"/>
        <v>-</v>
      </c>
      <c r="DL186" s="366" t="str">
        <f t="shared" si="42"/>
        <v>-</v>
      </c>
      <c r="DM186" s="308" t="str">
        <f t="shared" si="43"/>
        <v>✔</v>
      </c>
      <c r="DN186" s="306" t="str">
        <f t="shared" si="44"/>
        <v>-</v>
      </c>
      <c r="DO186" s="306" t="str">
        <f t="shared" si="45"/>
        <v>-</v>
      </c>
      <c r="DP186" s="367" t="str">
        <f t="shared" si="46"/>
        <v>-</v>
      </c>
      <c r="DQ186" s="310" t="str">
        <f t="shared" si="47"/>
        <v>-</v>
      </c>
      <c r="DR186" s="310" t="str">
        <f t="shared" si="48"/>
        <v>-</v>
      </c>
      <c r="DS186" s="310" t="str">
        <f t="shared" si="49"/>
        <v>-</v>
      </c>
      <c r="DT186" s="310" t="str">
        <f t="shared" si="50"/>
        <v>-</v>
      </c>
      <c r="DU186" s="370" t="str">
        <f t="shared" si="51"/>
        <v>✔</v>
      </c>
      <c r="DV186" s="306" t="str">
        <f t="shared" si="52"/>
        <v>-</v>
      </c>
      <c r="DW186" s="306" t="str">
        <f t="shared" si="53"/>
        <v>-</v>
      </c>
      <c r="DX186" s="306" t="str">
        <f t="shared" si="54"/>
        <v>-</v>
      </c>
      <c r="DY186" s="306" t="str">
        <f t="shared" si="55"/>
        <v>-</v>
      </c>
      <c r="DZ186" s="306" t="str">
        <f t="shared" si="56"/>
        <v>-</v>
      </c>
      <c r="EA186" s="367" t="str">
        <f t="shared" si="57"/>
        <v>-</v>
      </c>
      <c r="EB186" s="310" t="str">
        <f>IFERROR(__xludf.DUMMYFUNCTION("IF(REGEXMATCH(AW186,AS186),""✔"",""-"")"),"✔")</f>
        <v>✔</v>
      </c>
      <c r="EC186" s="310" t="str">
        <f t="shared" si="58"/>
        <v>#REF!</v>
      </c>
      <c r="ED186" s="370" t="str">
        <f t="shared" si="59"/>
        <v>-</v>
      </c>
      <c r="EE186" s="340" t="str">
        <f t="shared" si="60"/>
        <v>S-R-G-m-P-D-nN-S</v>
      </c>
      <c r="EF186" s="371" t="str">
        <f>IFERROR(__xludf.DUMMYFUNCTION("CONCATENATE(JOIN("""",HC186:HO186))"),"SrRgmPdnS")</f>
        <v>SrRgmPdnS</v>
      </c>
      <c r="EG186" s="372">
        <f t="shared" si="61"/>
        <v>1</v>
      </c>
      <c r="EH186" s="373" t="str">
        <f>IFERROR(__xludf.DUMMYFUNCTION("CONCATENATE(JOIN("""",JC186:JO186))"),"Ni, ")</f>
        <v>Ni, </v>
      </c>
      <c r="EI186" s="322">
        <f t="shared" si="62"/>
        <v>0</v>
      </c>
      <c r="EJ186" s="374" t="str">
        <f>IFERROR(__xludf.DUMMYFUNCTION("CONCATENATE(JOIN("""",KC186:KO186))"),"")</f>
        <v/>
      </c>
      <c r="EK186" s="325" t="str">
        <f t="shared" si="63"/>
        <v>S-R2-G3-M1-P-D2-N2-N3-S</v>
      </c>
      <c r="EL186" s="326" t="str">
        <f t="shared" si="64"/>
        <v>1-2-3-4-5-6-b7-7-8</v>
      </c>
      <c r="EM186" s="318" t="str">
        <f t="shared" si="65"/>
        <v>#REF!</v>
      </c>
      <c r="EN186" s="328" t="str">
        <f>IFERROR(__xludf.DUMMYFUNCTION("SUBSTITUTE(SUBSTITUTE(SUBSTITUTE(SUBSTITUTE(CONCATENATE(JOIN("" "",HP186:IB186)),""  "","" ""),""  "","" ""),""  "","" ""),""  "","" "")"),"o • o • o o • o • o o o o")</f>
        <v>o • o • o o • o • o o o o</v>
      </c>
      <c r="EO186" s="368" t="str">
        <f t="shared" si="66"/>
        <v>-</v>
      </c>
      <c r="EP186" s="339" t="str">
        <f t="shared" si="67"/>
        <v>-</v>
      </c>
      <c r="EQ186" s="339" t="str">
        <f t="shared" si="68"/>
        <v>Sa-Pa</v>
      </c>
      <c r="ER186" s="339" t="str">
        <f t="shared" si="69"/>
        <v>-</v>
      </c>
      <c r="ES186" s="340" t="str">
        <f t="shared" si="70"/>
        <v>-</v>
      </c>
      <c r="ET186" s="363"/>
      <c r="EU186" s="376" t="b">
        <f>IFERROR(__xludf.DUMMYFUNCTION("arrayformula(sum(--REGEXMATCH(""SRGMPDNS"",split(REGEXREPLACE(C186,""(.)"",""$1~""),""~""))))=len(C186)
"),FALSE)</f>
        <v>0</v>
      </c>
      <c r="EV186" s="290" t="b">
        <f>IFERROR(__xludf.DUMMYFUNCTION("arrayformula(sum(--REGEXMATCH(""SRGmPDNS"",split(REGEXREPLACE(C186,""(.)"",""$1~""),""~""))))=len(C186)"),FALSE)</f>
        <v>0</v>
      </c>
      <c r="EW186" s="290" t="b">
        <f>IFERROR(__xludf.DUMMYFUNCTION("arrayformula(sum(--REGEXMATCH(""SRGmPDnS"",split(REGEXREPLACE(C186,""(.)"",""$1~""),""~""))))=len(C186)"),FALSE)</f>
        <v>0</v>
      </c>
      <c r="EX186" s="290" t="b">
        <f>IFERROR(__xludf.DUMMYFUNCTION("arrayformula(sum(--REGEXMATCH(""SRgmPDnS"",split(REGEXREPLACE(C186,""(.)"",""$1~""),""~""))))=len(C186)"),FALSE)</f>
        <v>0</v>
      </c>
      <c r="EY186" s="290" t="b">
        <f>IFERROR(__xludf.DUMMYFUNCTION("arrayformula(sum(--REGEXMATCH(""SRgmPdnS"",split(REGEXREPLACE(C186,""(.)"",""$1~""),""~""))))=len(C186)"),FALSE)</f>
        <v>0</v>
      </c>
      <c r="EZ186" s="290" t="b">
        <f>IFERROR(__xludf.DUMMYFUNCTION("arrayformula(sum(--REGEXMATCH(""SrgmPdnS"",split(REGEXREPLACE(C186,""(.)"",""$1~""),""~""))))=len(C186)"),FALSE)</f>
        <v>0</v>
      </c>
      <c r="FA186" s="290" t="b">
        <f>IFERROR(__xludf.DUMMYFUNCTION("arrayformula(sum(--REGEXMATCH(""SrGmPdNS"",split(REGEXREPLACE(C186,""(.)"",""$1~""),""~""))))=len(C186)"),FALSE)</f>
        <v>0</v>
      </c>
      <c r="FB186" s="290" t="b">
        <f>IFERROR(__xludf.DUMMYFUNCTION("arrayformula(sum(--REGEXMATCH(""SrGMPDNS"",split(REGEXREPLACE(C186,""(.)"",""$1~""),""~""))))=len(C186)"),FALSE)</f>
        <v>0</v>
      </c>
      <c r="FC186" s="290" t="b">
        <f>IFERROR(__xludf.DUMMYFUNCTION("arrayformula(sum(--REGEXMATCH(""SrGMPdNS"",split(REGEXREPLACE(C186,""(.)"",""$1~""),""~""))))=len(C186)"),FALSE)</f>
        <v>0</v>
      </c>
      <c r="FD186" s="377" t="b">
        <f>IFERROR(__xludf.DUMMYFUNCTION("arrayformula(sum(--REGEXMATCH(""SrgMPdNS"",split(REGEXREPLACE(C186,""(.)"",""$1~""),""~""))))=len(C186)"),FALSE)</f>
        <v>0</v>
      </c>
      <c r="FE186" s="269" t="str">
        <f t="shared" si="71"/>
        <v>-</v>
      </c>
      <c r="FF186" s="269" t="str">
        <f t="shared" si="72"/>
        <v>xoxxoxoxxxx</v>
      </c>
      <c r="FG186" s="271" t="str">
        <f t="shared" si="73"/>
        <v>-</v>
      </c>
      <c r="FH186" s="269" t="str">
        <f t="shared" si="74"/>
        <v>xxoxoxxxxox</v>
      </c>
      <c r="FI186" s="271" t="str">
        <f t="shared" si="75"/>
        <v>xoxoxxxxoxo</v>
      </c>
      <c r="FJ186" s="271" t="str">
        <f t="shared" si="76"/>
        <v>-</v>
      </c>
      <c r="FK186" s="271" t="str">
        <f t="shared" si="77"/>
        <v>xoxxxxoxoxx</v>
      </c>
      <c r="FL186" s="271" t="str">
        <f t="shared" si="78"/>
        <v>-</v>
      </c>
      <c r="FM186" s="271" t="str">
        <f t="shared" si="79"/>
        <v>xxxxoxoxxox</v>
      </c>
      <c r="FN186" s="271" t="str">
        <f t="shared" si="80"/>
        <v>xxxoxoxxoxo</v>
      </c>
      <c r="FO186" s="274" t="str">
        <f t="shared" si="81"/>
        <v>xxoxoxxoxox</v>
      </c>
      <c r="FP186" s="234" t="str">
        <f t="shared" si="82"/>
        <v>|</v>
      </c>
      <c r="FQ186" s="236" t="str">
        <f t="shared" si="83"/>
        <v>-</v>
      </c>
      <c r="FR186" s="237" t="str">
        <f t="shared" si="84"/>
        <v>|</v>
      </c>
      <c r="FS186" s="236" t="str">
        <f t="shared" si="85"/>
        <v>-</v>
      </c>
      <c r="FT186" s="237" t="str">
        <f t="shared" si="86"/>
        <v>|</v>
      </c>
      <c r="FU186" s="236" t="str">
        <f t="shared" si="87"/>
        <v>|</v>
      </c>
      <c r="FV186" s="237" t="str">
        <f t="shared" si="88"/>
        <v>-</v>
      </c>
      <c r="FW186" s="236" t="str">
        <f t="shared" si="89"/>
        <v>|</v>
      </c>
      <c r="FX186" s="237" t="str">
        <f t="shared" si="90"/>
        <v>-</v>
      </c>
      <c r="FY186" s="236" t="str">
        <f t="shared" si="91"/>
        <v>|</v>
      </c>
      <c r="FZ186" s="237" t="str">
        <f t="shared" si="92"/>
        <v>|</v>
      </c>
      <c r="GA186" s="236" t="str">
        <f t="shared" si="93"/>
        <v>|</v>
      </c>
      <c r="GB186" s="238" t="str">
        <f t="shared" si="94"/>
        <v>|</v>
      </c>
      <c r="GC186" s="244" t="str">
        <f>IFERROR(__xludf.DUMMYFUNCTION("IF(REGEXMATCH(C186, ""S""), ""1"","""")"),"1")</f>
        <v>1</v>
      </c>
      <c r="GD186" s="245" t="str">
        <f>IFERROR(__xludf.DUMMYFUNCTION("IF(REGEXMATCH(C186, ""r""), ""b2"","""")"),"")</f>
        <v/>
      </c>
      <c r="GE186" s="246" t="str">
        <f>IFERROR(__xludf.DUMMYFUNCTION("IF(REGEXMATCH(C186, ""R""), ""2"","""")"),"2")</f>
        <v>2</v>
      </c>
      <c r="GF186" s="246" t="str">
        <f>IFERROR(__xludf.DUMMYFUNCTION("IF(REGEXMATCH(C186, ""g""), ""b3"","""")"),"")</f>
        <v/>
      </c>
      <c r="GG186" s="245" t="str">
        <f>IFERROR(__xludf.DUMMYFUNCTION("IF(REGEXMATCH(C186, ""G""), ""3"","""")"),"3")</f>
        <v>3</v>
      </c>
      <c r="GH186" s="245" t="str">
        <f>IFERROR(__xludf.DUMMYFUNCTION("IF(REGEXMATCH(C186, ""m""), ""4"","""")"),"4")</f>
        <v>4</v>
      </c>
      <c r="GI186" s="246" t="str">
        <f>IFERROR(__xludf.DUMMYFUNCTION("IF(REGEXMATCH(C186, ""M""), ""#4"","""")"),"")</f>
        <v/>
      </c>
      <c r="GJ186" s="245" t="str">
        <f>IFERROR(__xludf.DUMMYFUNCTION("IF(REGEXMATCH(C186, ""P""), ""5"","""")"),"5")</f>
        <v>5</v>
      </c>
      <c r="GK186" s="246" t="str">
        <f>IFERROR(__xludf.DUMMYFUNCTION("IF(REGEXMATCH(C186, ""d""), ""b6"","""")"),"")</f>
        <v/>
      </c>
      <c r="GL186" s="245" t="str">
        <f>IFERROR(__xludf.DUMMYFUNCTION("IF(REGEXMATCH(C186, ""D""), ""6"","""")"),"6")</f>
        <v>6</v>
      </c>
      <c r="GM186" s="245" t="str">
        <f>IFERROR(__xludf.DUMMYFUNCTION("IF(REGEXMATCH(C186, ""n""), ""b7"","""")"),"b7")</f>
        <v>b7</v>
      </c>
      <c r="GN186" s="246" t="str">
        <f>IFERROR(__xludf.DUMMYFUNCTION("IF(REGEXMATCH(C186, ""N""), ""7"","""")"),"7")</f>
        <v>7</v>
      </c>
      <c r="GO186" s="249" t="str">
        <f>IFERROR(__xludf.DUMMYFUNCTION("IF(REGEXMATCH(C186, ""S""), ""8"","""")"),"8")</f>
        <v>8</v>
      </c>
      <c r="GP186" s="244" t="str">
        <f>IFERROR(__xludf.DUMMYFUNCTION("IF(REGEXMATCH(C186, ""S""), ""S"","""")"),"S")</f>
        <v>S</v>
      </c>
      <c r="GQ186" s="294" t="str">
        <f>IFERROR(__xludf.DUMMYFUNCTION("IF(REGEXMATCH(C186, ""r""), ""R1"","""")"),"")</f>
        <v/>
      </c>
      <c r="GR186" s="295" t="str">
        <f>IFERROR(__xludf.DUMMYFUNCTION("IF(REGEXMATCH(C186, ""R""), ""R2"","""")"),"R2")</f>
        <v>R2</v>
      </c>
      <c r="GS186" s="295" t="str">
        <f>IFERROR(__xludf.DUMMYFUNCTION("IF(REGEXMATCH(C186, ""g""), ""G2"","""")"),"")</f>
        <v/>
      </c>
      <c r="GT186" s="294" t="str">
        <f>IFERROR(__xludf.DUMMYFUNCTION("IF(REGEXMATCH(C186, ""G""), ""G3"","""")"),"G3")</f>
        <v>G3</v>
      </c>
      <c r="GU186" s="294" t="str">
        <f>IFERROR(__xludf.DUMMYFUNCTION("IF(REGEXMATCH(C186, ""m""), ""M1"","""")"),"M1")</f>
        <v>M1</v>
      </c>
      <c r="GV186" s="295" t="str">
        <f>IFERROR(__xludf.DUMMYFUNCTION("IF(REGEXMATCH(C186, ""M""), ""M2"","""")"),"")</f>
        <v/>
      </c>
      <c r="GW186" s="294" t="str">
        <f>IFERROR(__xludf.DUMMYFUNCTION("IF(REGEXMATCH(C186, ""P""), ""P"","""")"),"P")</f>
        <v>P</v>
      </c>
      <c r="GX186" s="295" t="str">
        <f>IFERROR(__xludf.DUMMYFUNCTION("IF(REGEXMATCH(C186, ""d""), ""D1"","""")"),"")</f>
        <v/>
      </c>
      <c r="GY186" s="294" t="str">
        <f>IFERROR(__xludf.DUMMYFUNCTION("IF(REGEXMATCH(C186, ""D""), ""D2"","""")"),"D2")</f>
        <v>D2</v>
      </c>
      <c r="GZ186" s="294" t="str">
        <f>IFERROR(__xludf.DUMMYFUNCTION("IF(REGEXMATCH(C186, ""n""), ""N2"","""")"),"N2")</f>
        <v>N2</v>
      </c>
      <c r="HA186" s="295" t="str">
        <f>IFERROR(__xludf.DUMMYFUNCTION("IF(REGEXMATCH(C186, ""N""), ""N3"","""")"),"N3")</f>
        <v>N3</v>
      </c>
      <c r="HB186" s="249" t="str">
        <f>IFERROR(__xludf.DUMMYFUNCTION("IF(REGEXMATCH(C186, ""S""), ""S"","""")"),"S")</f>
        <v>S</v>
      </c>
      <c r="HC186" s="331" t="str">
        <f t="shared" si="95"/>
        <v>S</v>
      </c>
      <c r="HD186" s="332" t="str">
        <f t="shared" si="96"/>
        <v>r</v>
      </c>
      <c r="HE186" s="332" t="str">
        <f t="shared" si="97"/>
        <v>R</v>
      </c>
      <c r="HF186" s="332" t="str">
        <f t="shared" si="98"/>
        <v>g</v>
      </c>
      <c r="HG186" s="332" t="str">
        <f t="shared" si="99"/>
        <v/>
      </c>
      <c r="HH186" s="332" t="str">
        <f t="shared" si="100"/>
        <v>m</v>
      </c>
      <c r="HI186" s="332" t="str">
        <f t="shared" si="101"/>
        <v/>
      </c>
      <c r="HJ186" s="332" t="str">
        <f t="shared" si="102"/>
        <v>P</v>
      </c>
      <c r="HK186" s="332" t="str">
        <f t="shared" si="103"/>
        <v>d</v>
      </c>
      <c r="HL186" s="332" t="str">
        <f t="shared" si="104"/>
        <v/>
      </c>
      <c r="HM186" s="332" t="str">
        <f t="shared" si="105"/>
        <v>n</v>
      </c>
      <c r="HN186" s="332" t="str">
        <f t="shared" si="106"/>
        <v/>
      </c>
      <c r="HO186" s="343" t="str">
        <f t="shared" si="107"/>
        <v>S</v>
      </c>
      <c r="HP186" s="331" t="str">
        <f t="shared" si="108"/>
        <v>o</v>
      </c>
      <c r="HQ186" s="332" t="str">
        <f t="shared" si="109"/>
        <v>•</v>
      </c>
      <c r="HR186" s="332" t="str">
        <f t="shared" si="110"/>
        <v>o</v>
      </c>
      <c r="HS186" s="332" t="str">
        <f t="shared" si="111"/>
        <v>•</v>
      </c>
      <c r="HT186" s="332" t="str">
        <f t="shared" si="112"/>
        <v>o</v>
      </c>
      <c r="HU186" s="332" t="str">
        <f t="shared" si="113"/>
        <v>o</v>
      </c>
      <c r="HV186" s="332" t="str">
        <f t="shared" si="114"/>
        <v>•</v>
      </c>
      <c r="HW186" s="332" t="str">
        <f t="shared" si="115"/>
        <v>o</v>
      </c>
      <c r="HX186" s="332" t="str">
        <f t="shared" si="116"/>
        <v>•</v>
      </c>
      <c r="HY186" s="332" t="str">
        <f t="shared" si="117"/>
        <v>o</v>
      </c>
      <c r="HZ186" s="332" t="str">
        <f t="shared" si="118"/>
        <v>o</v>
      </c>
      <c r="IA186" s="332" t="str">
        <f t="shared" si="119"/>
        <v>o</v>
      </c>
      <c r="IB186" s="338" t="str">
        <f t="shared" si="120"/>
        <v>o</v>
      </c>
      <c r="IC186" s="331" t="str">
        <f t="shared" si="121"/>
        <v>•</v>
      </c>
      <c r="ID186" s="332" t="str">
        <f t="shared" si="122"/>
        <v>o</v>
      </c>
      <c r="IE186" s="332" t="str">
        <f t="shared" si="123"/>
        <v>•</v>
      </c>
      <c r="IF186" s="332" t="str">
        <f t="shared" si="124"/>
        <v>o</v>
      </c>
      <c r="IG186" s="332" t="str">
        <f t="shared" si="125"/>
        <v>•</v>
      </c>
      <c r="IH186" s="332" t="str">
        <f t="shared" si="126"/>
        <v>•</v>
      </c>
      <c r="II186" s="332" t="str">
        <f t="shared" si="127"/>
        <v>o</v>
      </c>
      <c r="IJ186" s="332" t="str">
        <f t="shared" si="128"/>
        <v>•</v>
      </c>
      <c r="IK186" s="332" t="str">
        <f t="shared" si="129"/>
        <v>o</v>
      </c>
      <c r="IL186" s="332" t="str">
        <f t="shared" si="130"/>
        <v>•</v>
      </c>
      <c r="IM186" s="332" t="str">
        <f t="shared" si="131"/>
        <v>•</v>
      </c>
      <c r="IN186" s="332" t="str">
        <f t="shared" si="132"/>
        <v>•</v>
      </c>
      <c r="IO186" s="338" t="str">
        <f t="shared" si="133"/>
        <v>•</v>
      </c>
      <c r="IP186" s="346" t="b">
        <f t="shared" si="134"/>
        <v>0</v>
      </c>
      <c r="IQ186" s="347" t="b">
        <f t="shared" si="135"/>
        <v>0</v>
      </c>
      <c r="IR186" s="347" t="b">
        <f t="shared" si="136"/>
        <v>0</v>
      </c>
      <c r="IS186" s="347" t="b">
        <f t="shared" si="137"/>
        <v>0</v>
      </c>
      <c r="IT186" s="347" t="b">
        <f t="shared" si="138"/>
        <v>0</v>
      </c>
      <c r="IU186" s="347" t="b">
        <f t="shared" si="139"/>
        <v>0</v>
      </c>
      <c r="IV186" s="347" t="b">
        <f t="shared" si="140"/>
        <v>0</v>
      </c>
      <c r="IW186" s="347" t="b">
        <f t="shared" si="141"/>
        <v>0</v>
      </c>
      <c r="IX186" s="347" t="b">
        <f t="shared" si="142"/>
        <v>0</v>
      </c>
      <c r="IY186" s="347" t="b">
        <f t="shared" si="143"/>
        <v>0</v>
      </c>
      <c r="IZ186" s="347" t="b">
        <f t="shared" si="144"/>
        <v>0</v>
      </c>
      <c r="JA186" s="347" t="b">
        <f t="shared" si="145"/>
        <v>1</v>
      </c>
      <c r="JB186" s="353" t="b">
        <f t="shared" si="146"/>
        <v>0</v>
      </c>
      <c r="JC186" s="354" t="str">
        <f t="shared" si="147"/>
        <v/>
      </c>
      <c r="JD186" s="355" t="str">
        <f t="shared" si="148"/>
        <v/>
      </c>
      <c r="JE186" s="355" t="str">
        <f t="shared" si="149"/>
        <v/>
      </c>
      <c r="JF186" s="355" t="str">
        <f t="shared" si="150"/>
        <v/>
      </c>
      <c r="JG186" s="355" t="str">
        <f t="shared" si="151"/>
        <v/>
      </c>
      <c r="JH186" s="355" t="str">
        <f t="shared" si="152"/>
        <v/>
      </c>
      <c r="JI186" s="355" t="str">
        <f t="shared" si="153"/>
        <v/>
      </c>
      <c r="JJ186" s="355" t="str">
        <f t="shared" si="154"/>
        <v/>
      </c>
      <c r="JK186" s="355" t="str">
        <f t="shared" si="155"/>
        <v/>
      </c>
      <c r="JL186" s="355" t="str">
        <f t="shared" si="156"/>
        <v/>
      </c>
      <c r="JM186" s="355" t="str">
        <f t="shared" si="157"/>
        <v/>
      </c>
      <c r="JN186" s="355" t="str">
        <f t="shared" si="158"/>
        <v>Ni, </v>
      </c>
      <c r="JO186" s="359" t="str">
        <f t="shared" si="159"/>
        <v/>
      </c>
      <c r="JP186" s="346" t="b">
        <f t="shared" si="160"/>
        <v>0</v>
      </c>
      <c r="JQ186" s="347" t="b">
        <f t="shared" si="161"/>
        <v>0</v>
      </c>
      <c r="JR186" s="347" t="b">
        <f t="shared" si="162"/>
        <v>0</v>
      </c>
      <c r="JS186" s="347" t="b">
        <f t="shared" si="163"/>
        <v>0</v>
      </c>
      <c r="JT186" s="347" t="b">
        <f t="shared" si="164"/>
        <v>0</v>
      </c>
      <c r="JU186" s="347" t="b">
        <f t="shared" si="165"/>
        <v>0</v>
      </c>
      <c r="JV186" s="347" t="b">
        <f t="shared" si="166"/>
        <v>0</v>
      </c>
      <c r="JW186" s="347" t="b">
        <f t="shared" si="167"/>
        <v>0</v>
      </c>
      <c r="JX186" s="347" t="b">
        <f t="shared" si="168"/>
        <v>0</v>
      </c>
      <c r="JY186" s="347" t="b">
        <f t="shared" si="169"/>
        <v>0</v>
      </c>
      <c r="JZ186" s="347" t="b">
        <f t="shared" si="170"/>
        <v>0</v>
      </c>
      <c r="KA186" s="347" t="b">
        <f t="shared" si="171"/>
        <v>0</v>
      </c>
      <c r="KB186" s="365" t="b">
        <f t="shared" si="172"/>
        <v>0</v>
      </c>
      <c r="KC186" s="354" t="str">
        <f t="shared" si="173"/>
        <v/>
      </c>
      <c r="KD186" s="355" t="str">
        <f t="shared" si="174"/>
        <v/>
      </c>
      <c r="KE186" s="355" t="str">
        <f t="shared" si="175"/>
        <v/>
      </c>
      <c r="KF186" s="355" t="str">
        <f t="shared" si="176"/>
        <v/>
      </c>
      <c r="KG186" s="355" t="str">
        <f t="shared" si="177"/>
        <v/>
      </c>
      <c r="KH186" s="355" t="str">
        <f t="shared" si="178"/>
        <v/>
      </c>
      <c r="KI186" s="355" t="str">
        <f t="shared" si="179"/>
        <v/>
      </c>
      <c r="KJ186" s="355" t="str">
        <f t="shared" si="180"/>
        <v/>
      </c>
      <c r="KK186" s="355" t="str">
        <f t="shared" si="181"/>
        <v/>
      </c>
      <c r="KL186" s="355" t="str">
        <f t="shared" si="182"/>
        <v/>
      </c>
      <c r="KM186" s="355" t="str">
        <f t="shared" si="183"/>
        <v/>
      </c>
      <c r="KN186" s="355" t="str">
        <f t="shared" si="184"/>
        <v/>
      </c>
      <c r="KO186" s="359"/>
      <c r="KP186" s="378"/>
      <c r="KQ186" s="379" t="s">
        <v>9</v>
      </c>
      <c r="KR186" s="380" t="s">
        <v>9</v>
      </c>
      <c r="KS186" s="381" t="s">
        <v>9</v>
      </c>
      <c r="KT186" s="382">
        <f t="shared" si="186"/>
        <v>0</v>
      </c>
      <c r="KU186" s="383">
        <f t="shared" si="187"/>
        <v>0</v>
      </c>
      <c r="KV186" s="381" t="str">
        <f t="shared" si="205"/>
        <v>S</v>
      </c>
      <c r="KW186" s="382">
        <f t="shared" si="189"/>
        <v>0</v>
      </c>
      <c r="KX186" s="384">
        <f t="shared" si="190"/>
        <v>0</v>
      </c>
      <c r="KY186" s="382">
        <f t="shared" ref="KY186:KZ186" si="586">KW186-KT186</f>
        <v>0</v>
      </c>
      <c r="KZ186" s="369">
        <f t="shared" si="586"/>
        <v>0</v>
      </c>
      <c r="LA186" s="385" t="str">
        <f t="shared" si="192"/>
        <v>✔</v>
      </c>
      <c r="LB186" s="340" t="str">
        <f>IFERROR(__xludf.DUMMYFUNCTION("JOIN("""",ArrayFormula(MID(KS186,LEN(KS186)-SEQUENCE(1,LEN(KS186))+1,1)))"),"S")</f>
        <v>S</v>
      </c>
      <c r="LC186" s="373" t="str">
        <f>IFERROR(__xludf.DUMMYFUNCTION("JOIN("""",ArrayFormula(MID(KV186,LEN(KV186)-SEQUENCE(1,LEN(KV186))+1,1)))"),"S")</f>
        <v>S</v>
      </c>
      <c r="LD186" s="373" t="str">
        <f t="shared" si="193"/>
        <v>S</v>
      </c>
      <c r="LE186" s="339" t="str">
        <f t="shared" si="194"/>
        <v>S</v>
      </c>
      <c r="LF186" s="386" t="str">
        <f>IFERROR(__xludf.DUMMYFUNCTION("SUBSTITUTE(SUBSTITUTE(CONCATENATE(JOIN("""",LH186:LT186)),""1"",""""),""2"","""")"),"SS")</f>
        <v>SS</v>
      </c>
      <c r="LG186" s="369" t="str">
        <f t="shared" si="195"/>
        <v>-</v>
      </c>
      <c r="LH186" s="387" t="str">
        <f>IFERROR(__xludf.DUMMYFUNCTION("IF(REGEXMATCH(LD186, ""S""), ""S"",IF(REGEXMATCH(LE186, ""S""), ""S"",""""))"),"S")</f>
        <v>S</v>
      </c>
      <c r="LI186" s="299" t="str">
        <f>IFERROR(__xludf.DUMMYFUNCTION("IF(REGEXMATCH(LD186, ""r""), ""r1"",IF(REGEXMATCH(LE186, ""r""), ""r2"",""""))"),"")</f>
        <v/>
      </c>
      <c r="LJ186" s="299" t="str">
        <f>IFERROR(__xludf.DUMMYFUNCTION("IF(REGEXMATCH(LD186, ""R""), ""R1"",IF(REGEXMATCH(LE186, ""R""), ""R2"",""""))"),"")</f>
        <v/>
      </c>
      <c r="LK186" s="299" t="str">
        <f>IFERROR(__xludf.DUMMYFUNCTION("IF(REGEXMATCH(LD186, ""g""), ""g1"",IF(REGEXMATCH(LE186, ""g""), ""g2"",""""))"),"")</f>
        <v/>
      </c>
      <c r="LL186" s="299" t="str">
        <f>IFERROR(__xludf.DUMMYFUNCTION("IF(REGEXMATCH(LD186, ""G""), ""G1"",IF(REGEXMATCH(LE186, ""G""), ""G2"",""""))"),"")</f>
        <v/>
      </c>
      <c r="LM186" s="299" t="str">
        <f>IFERROR(__xludf.DUMMYFUNCTION("IF(REGEXMATCH(LD186, ""m""), ""m1"",IF(REGEXMATCH(LE186, ""m""), ""m2"",""""))"),"")</f>
        <v/>
      </c>
      <c r="LN186" s="299" t="str">
        <f>IFERROR(__xludf.DUMMYFUNCTION("IF(REGEXMATCH(LD186, ""M""), ""M1"",IF(REGEXMATCH(LE186, ""M""), ""M2"",""""))"),"")</f>
        <v/>
      </c>
      <c r="LO186" s="299" t="str">
        <f>IFERROR(__xludf.DUMMYFUNCTION("IF(REGEXMATCH(LD186, ""P""), ""P1"",IF(REGEXMATCH(LE186, ""P""), ""P2"",""""))"),"")</f>
        <v/>
      </c>
      <c r="LP186" s="299" t="str">
        <f>IFERROR(__xludf.DUMMYFUNCTION("IF(REGEXMATCH(LD186, ""d""), ""d1"",IF(REGEXMATCH(LE186, ""d""), ""d2"",""""))"),"")</f>
        <v/>
      </c>
      <c r="LQ186" s="299" t="str">
        <f>IFERROR(__xludf.DUMMYFUNCTION("IF(REGEXMATCH(LD186, ""D""), ""D1"",IF(REGEXMATCH(LE186, ""D""), ""D2"",""""))"),"")</f>
        <v/>
      </c>
      <c r="LR186" s="299" t="str">
        <f>IFERROR(__xludf.DUMMYFUNCTION("IF(REGEXMATCH(LD186, ""n""), ""n1"",IF(REGEXMATCH(LE186, ""n""), ""n2"",""""))"),"")</f>
        <v/>
      </c>
      <c r="LS186" s="299" t="str">
        <f>IFERROR(__xludf.DUMMYFUNCTION("IF(REGEXMATCH(LD186, ""N""), ""N1"",IF(REGEXMATCH(LE186, ""N""), ""N2"",""""))"),"")</f>
        <v/>
      </c>
      <c r="LT186" s="388" t="str">
        <f>IFERROR(__xludf.DUMMYFUNCTION("IF(REGEXMATCH(LD186, ""S""), ""S"",IF(REGEXMATCH(LE186, ""S""), ""S"",""""))"),"S")</f>
        <v>S</v>
      </c>
      <c r="LU186" s="389">
        <f t="shared" si="196"/>
        <v>1</v>
      </c>
      <c r="LV186" s="378"/>
      <c r="LW186" s="369"/>
      <c r="LX186" s="369"/>
    </row>
    <row r="187" ht="18.0" customHeight="1">
      <c r="A187" s="298" t="s">
        <v>893</v>
      </c>
      <c r="B187" s="222" t="s">
        <v>894</v>
      </c>
      <c r="C187" s="233" t="str">
        <f t="shared" si="7"/>
        <v>SRgGmPnNS</v>
      </c>
      <c r="D187" s="234" t="str">
        <f>IFERROR(__xludf.DUMMYFUNCTION("IF(REGEXMATCH(C187, ""S""), ""S"","""")"),"S")</f>
        <v>S</v>
      </c>
      <c r="E187" s="236" t="str">
        <f>IFERROR(__xludf.DUMMYFUNCTION("IF(REGEXMATCH(C187, ""r""), ""r"","""")"),"")</f>
        <v/>
      </c>
      <c r="F187" s="237" t="str">
        <f>IFERROR(__xludf.DUMMYFUNCTION("IF(REGEXMATCH(C187, ""R""), ""R"","""")"),"R")</f>
        <v>R</v>
      </c>
      <c r="G187" s="237" t="str">
        <f>IFERROR(__xludf.DUMMYFUNCTION("IF(REGEXMATCH(C187, ""g""), ""g"","""")"),"g")</f>
        <v>g</v>
      </c>
      <c r="H187" s="236" t="str">
        <f>IFERROR(__xludf.DUMMYFUNCTION("IF(REGEXMATCH(C187, ""G""), ""G"","""")"),"G")</f>
        <v>G</v>
      </c>
      <c r="I187" s="236" t="str">
        <f>IFERROR(__xludf.DUMMYFUNCTION("IF(REGEXMATCH(C187, ""m""), ""m"","""")"),"m")</f>
        <v>m</v>
      </c>
      <c r="J187" s="237" t="str">
        <f>IFERROR(__xludf.DUMMYFUNCTION("IF(REGEXMATCH(C187, ""M""), ""M"","""")"),"")</f>
        <v/>
      </c>
      <c r="K187" s="236" t="str">
        <f>IFERROR(__xludf.DUMMYFUNCTION("IF(REGEXMATCH(C187, ""P""), ""P"","""")"),"P")</f>
        <v>P</v>
      </c>
      <c r="L187" s="237" t="str">
        <f>IFERROR(__xludf.DUMMYFUNCTION("IF(REGEXMATCH(C187, ""d""), ""d"","""")"),"")</f>
        <v/>
      </c>
      <c r="M187" s="236" t="str">
        <f>IFERROR(__xludf.DUMMYFUNCTION("IF(REGEXMATCH(C187, ""D""), ""D"","""")"),"")</f>
        <v/>
      </c>
      <c r="N187" s="236" t="str">
        <f>IFERROR(__xludf.DUMMYFUNCTION("IF(REGEXMATCH(C187, ""n""), ""n"","""")"),"n")</f>
        <v>n</v>
      </c>
      <c r="O187" s="237" t="str">
        <f>IFERROR(__xludf.DUMMYFUNCTION("IF(REGEXMATCH(C187, ""N""), ""N"","""")"),"N")</f>
        <v>N</v>
      </c>
      <c r="P187" s="238" t="str">
        <f>IFERROR(__xludf.DUMMYFUNCTION("IF(REGEXMATCH(C187, ""S""), ""S"","""")"),"S")</f>
        <v>S</v>
      </c>
      <c r="Q187" s="239" t="str">
        <f>IFERROR(__xludf.DUMMYFUNCTION("SUBSTITUTE(CONCATENATE(JOIN(""-"",D187:J187)),""-"","""")"),"SRgGm")</f>
        <v>SRgGm</v>
      </c>
      <c r="R187" s="229" t="str">
        <f>IFERROR(__xludf.DUMMYFUNCTION("SUBSTITUTE(CONCATENATE(JOIN(""-"",K187:P187)),""-"","""")"),"PnNS")</f>
        <v>PnNS</v>
      </c>
      <c r="S187" s="282" t="str">
        <f t="shared" si="8"/>
        <v>S-R-G-M</v>
      </c>
      <c r="T187" s="282" t="str">
        <f t="shared" si="9"/>
        <v>P-N-S</v>
      </c>
      <c r="U187" s="237" t="str">
        <f>IFERROR(__xludf.DUMMYFUNCTION("SUBSTITUTE(JOIN(""-"",S187,T187),""--"",""-"")"),"S-R-G-M-P-N-S")</f>
        <v>S-R-G-M-P-N-S</v>
      </c>
      <c r="V187" s="309" t="str">
        <f t="shared" si="10"/>
        <v>RgGmnN</v>
      </c>
      <c r="W187" s="244" t="str">
        <f>IFERROR(__xludf.DUMMYFUNCTION("IF(REGEXMATCH(C187, ""S""), ""0"","""")"),"0")</f>
        <v>0</v>
      </c>
      <c r="X187" s="245" t="str">
        <f>IFERROR(__xludf.DUMMYFUNCTION("IF(REGEXMATCH(C187, ""r""), ""1"","""")"),"")</f>
        <v/>
      </c>
      <c r="Y187" s="246" t="str">
        <f>IFERROR(__xludf.DUMMYFUNCTION("IF(REGEXMATCH(C187, ""R""), ""2"","""")"),"2")</f>
        <v>2</v>
      </c>
      <c r="Z187" s="246" t="str">
        <f>IFERROR(__xludf.DUMMYFUNCTION("IF(REGEXMATCH(C187, ""g""), ""3"","""")"),"3")</f>
        <v>3</v>
      </c>
      <c r="AA187" s="245" t="str">
        <f>IFERROR(__xludf.DUMMYFUNCTION("IF(REGEXMATCH(C187, ""G""), ""4"","""")"),"4")</f>
        <v>4</v>
      </c>
      <c r="AB187" s="245" t="str">
        <f>IFERROR(__xludf.DUMMYFUNCTION("IF(REGEXMATCH(C187, ""m""), ""5"","""")"),"5")</f>
        <v>5</v>
      </c>
      <c r="AC187" s="246" t="str">
        <f>IFERROR(__xludf.DUMMYFUNCTION("IF(REGEXMATCH(C187, ""M""), ""6"","""")"),"")</f>
        <v/>
      </c>
      <c r="AD187" s="245" t="str">
        <f>IFERROR(__xludf.DUMMYFUNCTION("IF(REGEXMATCH(C187, ""P""), ""7"","""")"),"7")</f>
        <v>7</v>
      </c>
      <c r="AE187" s="246" t="str">
        <f>IFERROR(__xludf.DUMMYFUNCTION("IF(REGEXMATCH(C187, ""d""), ""8"","""")"),"")</f>
        <v/>
      </c>
      <c r="AF187" s="245" t="str">
        <f>IFERROR(__xludf.DUMMYFUNCTION("IF(REGEXMATCH(C187, ""D""), ""9"","""")"),"")</f>
        <v/>
      </c>
      <c r="AG187" s="245" t="str">
        <f>IFERROR(__xludf.DUMMYFUNCTION("IF(REGEXMATCH(C187, ""n""), ""10"","""")"),"10")</f>
        <v>10</v>
      </c>
      <c r="AH187" s="246" t="str">
        <f>IFERROR(__xludf.DUMMYFUNCTION("IF(REGEXMATCH(C187, ""N""), ""11"","""")"),"11")</f>
        <v>11</v>
      </c>
      <c r="AI187" s="249" t="str">
        <f>IFERROR(__xludf.DUMMYFUNCTION("IF(REGEXMATCH(C187, ""S""), ""0"","""")"),"0")</f>
        <v>0</v>
      </c>
      <c r="AJ187" s="313" t="str">
        <f t="shared" si="11"/>
        <v>-</v>
      </c>
      <c r="AK187" s="313" t="str">
        <f t="shared" si="12"/>
        <v>-</v>
      </c>
      <c r="AL187" s="313" t="str">
        <f t="shared" si="13"/>
        <v>-</v>
      </c>
      <c r="AM187" s="313" t="str">
        <f t="shared" si="14"/>
        <v>-</v>
      </c>
      <c r="AN187" s="313" t="str">
        <f t="shared" si="15"/>
        <v>T</v>
      </c>
      <c r="AO187" s="314" t="str">
        <f t="shared" si="16"/>
        <v>T</v>
      </c>
      <c r="AP187" s="316">
        <f t="shared" si="17"/>
        <v>2</v>
      </c>
      <c r="AQ187" s="319" t="str">
        <f t="shared" si="18"/>
        <v>-</v>
      </c>
      <c r="AR187" s="320">
        <f t="shared" si="19"/>
        <v>0</v>
      </c>
      <c r="AS187" s="250" t="str">
        <f>IFERROR(__xludf.DUMMYFUNCTION("SUBSTITUTE(SUBSTITUTE(CONCATENATE(JOIN("""",FP187:GA187)),""|"",""x""),""-"",""o"")"),"xoxxxxoxooxx")</f>
        <v>xoxxxxoxooxx</v>
      </c>
      <c r="AT187" s="323" t="str">
        <f>IFERROR(__xludf.DUMMYFUNCTION("JOIN("""",AS187,AS187)"),"xoxxxxoxooxxxoxxxxoxooxx")</f>
        <v>xoxxxxoxooxxxoxxxxoxooxx</v>
      </c>
      <c r="AU187" s="256" t="str">
        <f>IFERROR(__xludf.DUMMYFUNCTION("JOIN("""",ArrayFormula(MID(AS187,LEN(AS187)-SEQUENCE(1,LEN(AS187))+1,1)))"),"xxooxoxxxxox")</f>
        <v>xxooxoxxxxox</v>
      </c>
      <c r="AV187" s="256" t="str">
        <f>IFERROR(__xludf.DUMMYFUNCTION("LEFT(CONCATENATE(""x"",JOIN("""",ArrayFormula(MID(AS187,LEN(AS187)-SEQUENCE(1,LEN(AS187))+1,1)))),12)"),"xxxooxoxxxxo")</f>
        <v>xxxooxoxxxxo</v>
      </c>
      <c r="AW187" s="327" t="str">
        <f>IFERROR(__xludf.DUMMYFUNCTION("JOIN("""",AU187,AU187)"),"xxooxoxxxxoxxxooxoxxxxox")</f>
        <v>xxooxoxxxxoxxxooxoxxxxox</v>
      </c>
      <c r="AX187" s="239" t="str">
        <f>IFERROR(__xludf.DUMMYFUNCTION("IF(REGEXMATCH(AW187,AS187),""✔"",""-"")"),"-")</f>
        <v>-</v>
      </c>
      <c r="AY187" s="330" t="str">
        <f t="shared" si="20"/>
        <v>-</v>
      </c>
      <c r="AZ187" s="260" t="str">
        <f t="shared" si="21"/>
        <v>#REF!</v>
      </c>
      <c r="BA187" s="333" t="str">
        <f t="shared" si="22"/>
        <v>xoxxxxo</v>
      </c>
      <c r="BB187" s="334" t="str">
        <f t="shared" si="23"/>
        <v>xooxxx</v>
      </c>
      <c r="BC187" s="335" t="str">
        <f t="shared" si="236"/>
        <v>-</v>
      </c>
      <c r="BD187" s="336" t="str">
        <f t="shared" si="25"/>
        <v>Lachari Kanada: 'xoxxxxo' + 'xooxxx'</v>
      </c>
      <c r="BE187" s="337">
        <f>IFERROR(__xludf.DUMMYFUNCTION("COUNTUNIQUE(FILTER(AT:AT,REGEXMATCH(AT:AT,AS187)))-1"),1.0)</f>
        <v>1</v>
      </c>
      <c r="BF187" s="261" t="str">
        <f>IFERROR(__xludf.DUMMYFUNCTION("IF(BI187=0,""(n/a)"",IF(BJ187=2,""(PAIR)"",IF(REGEXMATCH(AT187,""xoxoxxoxoxox""),""Bilawal"",IF(REGEXMATCH(AT187,""xoxoxooxoxoo""),""Bhupali"",IF(REGEXMATCH(AT187,""xoxoxxoxxoxo""),""Charukeshi"",IF(REGEXMATCH(AT187,""xoxoooxxoxxo""),""Kameshwari"",IF(REG"&amp;"EXMATCH(AT187,""xoxoxooxoxox""),""Shankara"",IF(REGEXMATCH(AT187,""xxooxoxxxoox""),""Basant"",IF(REGEXMATCH(AT187,""xoxoxxxxoxox""),""Bihag"",IF(REGEXMATCH(AT187,""xoxxxxoxoxxx""),""Pilu"",IF(REGEXMATCH(AT187,""xoxxoxoxxoox""),""Kirwani"",IF(REGEXMATCH(AT"&amp;"187,""xoxxoxoxoxxx""),""Mk.Malhar"",IF(REGEXMATCH(AT187,""xxooxxoxxoox""),""Bhairav"",IF(REGEXMATCH(AT187,""xxoxooxxxoox""),""Todi"",IF(REGEXMATCH(AT187,""xxooxoxooxox""),""Marwa"",IF(REGEXMATCH(AT187,""xxoooxoxxooo""),""Gunkali"",IF(REGEXMATCH(AT187,""xo"&amp;"xoxxoxxoox""),""Nat Bhairav"",IF(REGEXMATCH(AT187,""xoxxoooxoxoo""),""Shivranjani"",IF(REGEXMATCH(AT187,""xooxxxoxooxo""),""Jog"",IF(REGEXMATCH(AT187,""xxooxoxoxoox""),""Hemshri"",IF(REGEXMATCH(AT187,""xoooxooxoxxo""),""Kalavati"",IF(REGEXMATCH(AT187,""xx"&amp;"oxoxxoxoox""),""Kedar"",IF(REGEXMATCH(AT187,""xoxxxxoxooxx""),""Gara"",IF(REGEXMATCH(AT187,""xooxoxooxoox""),""Chandrakauns"",IF(REGEXMATCH(AT187,""xoxxxxoxxxox""),""Mand"",IF(REGEXMATCH(AT187,""xoxxxxoxoxox""),""Hanskinkini"",IF(REGEXMATCH(AT187,""xxooxx"&amp;"oxooxo""),""Lilavati"",IF(REGEXMATCH(AT187,""xooxoxoooxox""),""Rajeshwari"",IF(REGEXMATCH(AT187,""xoooxxoxoxxx""),""Khokar"",IF(REGEXMATCH(AT187,""xxooxoxxxxox""),""Maligoura"",""-""))))))))))))))))))))))))))))))"),"Gara")</f>
        <v>Gara</v>
      </c>
      <c r="BG187" s="239" t="str">
        <f t="shared" si="26"/>
        <v>#REF!</v>
      </c>
      <c r="BH187" s="239">
        <f>IFERROR(__xludf.DUMMYFUNCTION("COUNTUNIQUE(FE187:FO187)-1"),7.0)</f>
        <v>7</v>
      </c>
      <c r="BI187" s="239">
        <f>IFERROR(__xludf.DUMMYFUNCTION("COUNTUNIQUE(FILTER(AT:AT,REGEXMATCH(AT:AT,AS187)))-1"),1.0)</f>
        <v>1</v>
      </c>
      <c r="BJ187" s="239">
        <f>IFERROR(__xludf.DUMMYFUNCTION("COUNTA(FILTER(AT:AT,REGEXMATCH(AT:AT,AS187)))"),4.0)</f>
        <v>4</v>
      </c>
      <c r="BK187" s="341">
        <f>IFERROR(__xludf.DUMMYFUNCTION("COUNTA(FILTER(AT:AT,REGEXMATCH(AT:AT,AS187)))-AR187"),4.0)</f>
        <v>4</v>
      </c>
      <c r="BL187" s="276" t="str">
        <f>IFERROR(__xludf.DUMMYFUNCTION("IF(AS187=""oooooooooooo"",""-"",IF(REGEXMATCH(AT187,""xx""), ""Hemi."", ""Anhemi.""))"),"Hemi.")</f>
        <v>Hemi.</v>
      </c>
      <c r="BM187" s="282" t="str">
        <f>IFERROR(__xludf.DUMMYFUNCTION("IF(AS187=""oooooooooooo"",""-"",IF(REGEXMATCH(AT187,""xxx""), ""Cohem."", ""-""))"),"Cohem.")</f>
        <v>Cohem.</v>
      </c>
      <c r="BN187" s="282" t="str">
        <f>IFERROR(__xludf.DUMMYFUNCTION("IF(AS187=""oooooooooooo"",""-"",IF(REGEXMATCH(AT187,""xxxx""), ""Co-Co."", ""-""))"),"Co-Co.")</f>
        <v>Co-Co.</v>
      </c>
      <c r="BO187" s="342" t="str">
        <f>IFERROR(__xludf.DUMMYFUNCTION("IF(AS187=""oooooooooooo"",""-"",IF(REGEXMATCH(AT187,""xxxxx""), ""CCC."", ""-""))"),"-")</f>
        <v>-</v>
      </c>
      <c r="BP187" s="344" t="str">
        <f t="shared" si="27"/>
        <v>-</v>
      </c>
      <c r="BQ187" s="282" t="str">
        <f>IFERROR(__xludf.DUMMYFUNCTION("IF(REGEXMATCH(JOIN(""-"",EU187:FD187),""TRUE""),""✔"",""-"")"),"-")</f>
        <v>-</v>
      </c>
      <c r="BR187" s="225">
        <f t="shared" si="28"/>
        <v>0</v>
      </c>
      <c r="BS187" s="345" t="str">
        <f>IFERROR(__xludf.DUMMYFUNCTION("SUBSTITUTE(SUBSTITUTE(SUBSTITUTE(SUBSTITUTE(CONCATENATE(JOIN(""-"",GC187:GO187)),""--"",""-""),""--"",""-""),""--"",""-""),""--"",""-"")"),"1-2-b3-3-4-5-b7-7-8")</f>
        <v>1-2-b3-3-4-5-b7-7-8</v>
      </c>
      <c r="BT187" s="299" t="str">
        <f>IFERROR(__xludf.DUMMYFUNCTION("SUBSTITUTE(SUBSTITUTE(SUBSTITUTE(SUBSTITUTE(CONCATENATE(JOIN(""-"",GP187:HB187)),""--"",""-""),""--"",""-""),""--"",""-""),""--"",""-"")"),"S-R2-G2-G3-M1-P-N2-N3-S")</f>
        <v>S-R2-G2-G3-M1-P-N2-N3-S</v>
      </c>
      <c r="BU187" s="348" t="str">
        <f t="shared" si="29"/>
        <v>C-D-Eb-E-F-G-Bb-B-C</v>
      </c>
      <c r="BV187" s="349" t="str">
        <f t="shared" si="30"/>
        <v>SrMdDS</v>
      </c>
      <c r="BW187" s="350">
        <f t="shared" si="31"/>
        <v>0</v>
      </c>
      <c r="BX187" s="351">
        <f t="shared" si="32"/>
        <v>1</v>
      </c>
      <c r="BY187" s="392"/>
      <c r="BZ187" s="309" t="str">
        <f>IFERROR(__xludf.DUMMYFUNCTION("IF(REGEXMATCH(C187, ""S""), ""x"",""x"")"),"x")</f>
        <v>x</v>
      </c>
      <c r="CA187" s="245" t="str">
        <f>IFERROR(__xludf.DUMMYFUNCTION("IF(REGEXMATCH(C187, ""r""), ""o"",""x"")"),"x")</f>
        <v>x</v>
      </c>
      <c r="CB187" s="246" t="str">
        <f>IFERROR(__xludf.DUMMYFUNCTION("IF(REGEXMATCH(C187, ""R""), ""o"",""x"")"),"o")</f>
        <v>o</v>
      </c>
      <c r="CC187" s="246" t="str">
        <f>IFERROR(__xludf.DUMMYFUNCTION("IF(REGEXMATCH(C187, ""g""), ""o"",""x"")"),"o")</f>
        <v>o</v>
      </c>
      <c r="CD187" s="245" t="str">
        <f>IFERROR(__xludf.DUMMYFUNCTION("IF(REGEXMATCH(C187, ""G""), ""o"",""x"")"),"o")</f>
        <v>o</v>
      </c>
      <c r="CE187" s="245" t="str">
        <f>IFERROR(__xludf.DUMMYFUNCTION("IF(REGEXMATCH(C187, ""m""), ""o"",""x"")"),"o")</f>
        <v>o</v>
      </c>
      <c r="CF187" s="246" t="str">
        <f>IFERROR(__xludf.DUMMYFUNCTION("IF(REGEXMATCH(C187, ""M""), ""o"",""x"")"),"x")</f>
        <v>x</v>
      </c>
      <c r="CG187" s="245" t="str">
        <f>IFERROR(__xludf.DUMMYFUNCTION("IF(REGEXMATCH(C187, ""P""), ""o"",""x"")"),"o")</f>
        <v>o</v>
      </c>
      <c r="CH187" s="246" t="str">
        <f>IFERROR(__xludf.DUMMYFUNCTION("IF(REGEXMATCH(C187, ""d""), ""o"",""x"")"),"x")</f>
        <v>x</v>
      </c>
      <c r="CI187" s="245" t="str">
        <f>IFERROR(__xludf.DUMMYFUNCTION("IF(REGEXMATCH(C187, ""D""), ""o"",""x"")"),"x")</f>
        <v>x</v>
      </c>
      <c r="CJ187" s="245" t="str">
        <f>IFERROR(__xludf.DUMMYFUNCTION("IF(REGEXMATCH(C187, ""n""), ""o"",""x"")"),"o")</f>
        <v>o</v>
      </c>
      <c r="CK187" s="245" t="str">
        <f>IFERROR(__xludf.DUMMYFUNCTION("IF(REGEXMATCH(C187, ""N""), ""o"",""x"")"),"o")</f>
        <v>o</v>
      </c>
      <c r="CL187" s="356" t="str">
        <f>IFERROR(__xludf.DUMMYFUNCTION("IF(REGEXMATCH(C187, ""S""), ""x"",""x"")"),"x")</f>
        <v>x</v>
      </c>
      <c r="CM187" s="357" t="str">
        <f t="shared" si="33"/>
        <v>xxooooxoxxoo</v>
      </c>
      <c r="CN187" s="358">
        <f t="shared" si="34"/>
        <v>0</v>
      </c>
      <c r="CO187" s="246" t="str">
        <f>IFERROR(__xludf.DUMMYFUNCTION("IF(REGEXMATCH($C187, ""S""), ""S"",""S"")"),"S")</f>
        <v>S</v>
      </c>
      <c r="CP187" s="246" t="str">
        <f>IFERROR(__xludf.DUMMYFUNCTION("IF(REGEXMATCH($C187, ""r""), """",""r"")"),"r")</f>
        <v>r</v>
      </c>
      <c r="CQ187" s="246" t="str">
        <f>IFERROR(__xludf.DUMMYFUNCTION("IF(REGEXMATCH($C187, ""R""), """",""R"")"),"")</f>
        <v/>
      </c>
      <c r="CR187" s="246" t="str">
        <f>IFERROR(__xludf.DUMMYFUNCTION("IF(REGEXMATCH($C187, ""g""), """",""g"")"),"")</f>
        <v/>
      </c>
      <c r="CS187" s="246" t="str">
        <f>IFERROR(__xludf.DUMMYFUNCTION("IF(REGEXMATCH($C187, ""G""), """",""G"")"),"")</f>
        <v/>
      </c>
      <c r="CT187" s="246" t="str">
        <f>IFERROR(__xludf.DUMMYFUNCTION("IF(REGEXMATCH($C187, ""m""), """",""m"")"),"")</f>
        <v/>
      </c>
      <c r="CU187" s="246" t="str">
        <f>IFERROR(__xludf.DUMMYFUNCTION("IF(REGEXMATCH($C187, ""M""), """",""M"")"),"M")</f>
        <v>M</v>
      </c>
      <c r="CV187" s="246" t="str">
        <f>IFERROR(__xludf.DUMMYFUNCTION("IF(REGEXMATCH($C187, ""P""), """",""P"")"),"")</f>
        <v/>
      </c>
      <c r="CW187" s="246" t="str">
        <f>IFERROR(__xludf.DUMMYFUNCTION("IF(REGEXMATCH($C187, ""d""), """",""d"")"),"d")</f>
        <v>d</v>
      </c>
      <c r="CX187" s="246" t="str">
        <f>IFERROR(__xludf.DUMMYFUNCTION("IF(REGEXMATCH($C187, ""D""), """",""D"")"),"D")</f>
        <v>D</v>
      </c>
      <c r="CY187" s="246" t="str">
        <f>IFERROR(__xludf.DUMMYFUNCTION("IF(REGEXMATCH($C187, ""n""), """",""n"")"),"")</f>
        <v/>
      </c>
      <c r="CZ187" s="246" t="str">
        <f>IFERROR(__xludf.DUMMYFUNCTION("IF(REGEXMATCH($C187, ""N""), """",""N"")"),"")</f>
        <v/>
      </c>
      <c r="DA187" s="246" t="str">
        <f>IFERROR(__xludf.DUMMYFUNCTION("IF(REGEXMATCH($C187, ""S""), ""S"",""S"")"),"S")</f>
        <v>S</v>
      </c>
      <c r="DB187" s="362" t="str">
        <f>IFERROR(__xludf.DUMMYFUNCTION("JOIN("""",CO187:DA187,"""","""")"),"SrMdDS")</f>
        <v>SrMdDS</v>
      </c>
      <c r="DC187" s="363"/>
      <c r="DD187" s="301" t="str">
        <f t="shared" si="35"/>
        <v>#REF!</v>
      </c>
      <c r="DE187" s="302" t="str">
        <f t="shared" si="36"/>
        <v>#REF!</v>
      </c>
      <c r="DF187" s="301" t="str">
        <f t="shared" ref="DF187:DG187" si="587">SUBSTITUTE(S187,"-","")</f>
        <v>SRGM</v>
      </c>
      <c r="DG187" s="301" t="str">
        <f t="shared" si="587"/>
        <v>PNS</v>
      </c>
      <c r="DH187" s="302" t="str">
        <f t="shared" si="38"/>
        <v>Gara</v>
      </c>
      <c r="DI187" s="301" t="str">
        <f t="shared" si="39"/>
        <v>Hemi.</v>
      </c>
      <c r="DJ187" s="364" t="str">
        <f t="shared" si="40"/>
        <v>Co-Co.</v>
      </c>
      <c r="DK187" s="306" t="str">
        <f t="shared" si="41"/>
        <v>-</v>
      </c>
      <c r="DL187" s="366" t="str">
        <f t="shared" si="42"/>
        <v>-</v>
      </c>
      <c r="DM187" s="308" t="str">
        <f t="shared" si="43"/>
        <v>✔</v>
      </c>
      <c r="DN187" s="306" t="str">
        <f t="shared" si="44"/>
        <v>-</v>
      </c>
      <c r="DO187" s="306" t="str">
        <f t="shared" si="45"/>
        <v>-</v>
      </c>
      <c r="DP187" s="367" t="str">
        <f t="shared" si="46"/>
        <v>-</v>
      </c>
      <c r="DQ187" s="310" t="str">
        <f t="shared" si="47"/>
        <v>-</v>
      </c>
      <c r="DR187" s="310" t="str">
        <f t="shared" si="48"/>
        <v>✔</v>
      </c>
      <c r="DS187" s="310" t="str">
        <f t="shared" si="49"/>
        <v>-</v>
      </c>
      <c r="DT187" s="310" t="str">
        <f t="shared" si="50"/>
        <v>-</v>
      </c>
      <c r="DU187" s="370" t="str">
        <f t="shared" si="51"/>
        <v>✔</v>
      </c>
      <c r="DV187" s="306" t="str">
        <f t="shared" si="52"/>
        <v>-</v>
      </c>
      <c r="DW187" s="306" t="str">
        <f t="shared" si="53"/>
        <v>-</v>
      </c>
      <c r="DX187" s="306" t="str">
        <f t="shared" si="54"/>
        <v>-</v>
      </c>
      <c r="DY187" s="306" t="str">
        <f t="shared" si="55"/>
        <v>-</v>
      </c>
      <c r="DZ187" s="306" t="str">
        <f t="shared" si="56"/>
        <v>✔</v>
      </c>
      <c r="EA187" s="367" t="str">
        <f t="shared" si="57"/>
        <v>-</v>
      </c>
      <c r="EB187" s="310" t="str">
        <f>IFERROR(__xludf.DUMMYFUNCTION("IF(REGEXMATCH(AW187,AS187),""✔"",""-"")"),"-")</f>
        <v>-</v>
      </c>
      <c r="EC187" s="310" t="str">
        <f t="shared" si="58"/>
        <v>#REF!</v>
      </c>
      <c r="ED187" s="370" t="str">
        <f t="shared" si="59"/>
        <v>-</v>
      </c>
      <c r="EE187" s="340" t="str">
        <f t="shared" si="60"/>
        <v>S-R-gG-m-P-nN-S</v>
      </c>
      <c r="EF187" s="371" t="str">
        <f>IFERROR(__xludf.DUMMYFUNCTION("CONCATENATE(JOIN("""",HC187:HO187))"),"SrRmPdDnS")</f>
        <v>SrRmPdDnS</v>
      </c>
      <c r="EG187" s="372">
        <f t="shared" si="61"/>
        <v>2</v>
      </c>
      <c r="EH187" s="373" t="str">
        <f>IFERROR(__xludf.DUMMYFUNCTION("CONCATENATE(JOIN("""",JC187:JO187))"),"Re, Ni, ")</f>
        <v>Re, Ni, </v>
      </c>
      <c r="EI187" s="322">
        <f t="shared" si="62"/>
        <v>0</v>
      </c>
      <c r="EJ187" s="374" t="str">
        <f>IFERROR(__xludf.DUMMYFUNCTION("CONCATENATE(JOIN("""",KC187:KO187))"),"")</f>
        <v/>
      </c>
      <c r="EK187" s="325" t="str">
        <f t="shared" si="63"/>
        <v>S-R2-G2-G3-M1-P-N2-N3-S</v>
      </c>
      <c r="EL187" s="326" t="str">
        <f t="shared" si="64"/>
        <v>1-2-b3-3-4-5-b7-7-8</v>
      </c>
      <c r="EM187" s="318" t="str">
        <f t="shared" si="65"/>
        <v>#REF!</v>
      </c>
      <c r="EN187" s="328" t="str">
        <f>IFERROR(__xludf.DUMMYFUNCTION("SUBSTITUTE(SUBSTITUTE(SUBSTITUTE(SUBSTITUTE(CONCATENATE(JOIN("" "",HP187:IB187)),""  "","" ""),""  "","" ""),""  "","" ""),""  "","" "")"),"o • o o o o • o • • o o o")</f>
        <v>o • o o o o • o • • o o o</v>
      </c>
      <c r="EO187" s="368" t="str">
        <f t="shared" si="66"/>
        <v>-</v>
      </c>
      <c r="EP187" s="339" t="str">
        <f t="shared" si="67"/>
        <v>-</v>
      </c>
      <c r="EQ187" s="339" t="str">
        <f t="shared" si="68"/>
        <v>Sa-Pa</v>
      </c>
      <c r="ER187" s="339" t="str">
        <f t="shared" si="69"/>
        <v>-</v>
      </c>
      <c r="ES187" s="340" t="str">
        <f t="shared" si="70"/>
        <v>-</v>
      </c>
      <c r="ET187" s="363"/>
      <c r="EU187" s="376" t="b">
        <f>IFERROR(__xludf.DUMMYFUNCTION("arrayformula(sum(--REGEXMATCH(""SRGMPDNS"",split(REGEXREPLACE(C187,""(.)"",""$1~""),""~""))))=len(C187)
"),FALSE)</f>
        <v>0</v>
      </c>
      <c r="EV187" s="290" t="b">
        <f>IFERROR(__xludf.DUMMYFUNCTION("arrayformula(sum(--REGEXMATCH(""SRGmPDNS"",split(REGEXREPLACE(C187,""(.)"",""$1~""),""~""))))=len(C187)"),FALSE)</f>
        <v>0</v>
      </c>
      <c r="EW187" s="290" t="b">
        <f>IFERROR(__xludf.DUMMYFUNCTION("arrayformula(sum(--REGEXMATCH(""SRGmPDnS"",split(REGEXREPLACE(C187,""(.)"",""$1~""),""~""))))=len(C187)"),FALSE)</f>
        <v>0</v>
      </c>
      <c r="EX187" s="290" t="b">
        <f>IFERROR(__xludf.DUMMYFUNCTION("arrayformula(sum(--REGEXMATCH(""SRgmPDnS"",split(REGEXREPLACE(C187,""(.)"",""$1~""),""~""))))=len(C187)"),FALSE)</f>
        <v>0</v>
      </c>
      <c r="EY187" s="290" t="b">
        <f>IFERROR(__xludf.DUMMYFUNCTION("arrayformula(sum(--REGEXMATCH(""SRgmPdnS"",split(REGEXREPLACE(C187,""(.)"",""$1~""),""~""))))=len(C187)"),FALSE)</f>
        <v>0</v>
      </c>
      <c r="EZ187" s="290" t="b">
        <f>IFERROR(__xludf.DUMMYFUNCTION("arrayformula(sum(--REGEXMATCH(""SrgmPdnS"",split(REGEXREPLACE(C187,""(.)"",""$1~""),""~""))))=len(C187)"),FALSE)</f>
        <v>0</v>
      </c>
      <c r="FA187" s="290" t="b">
        <f>IFERROR(__xludf.DUMMYFUNCTION("arrayformula(sum(--REGEXMATCH(""SrGmPdNS"",split(REGEXREPLACE(C187,""(.)"",""$1~""),""~""))))=len(C187)"),FALSE)</f>
        <v>0</v>
      </c>
      <c r="FB187" s="290" t="b">
        <f>IFERROR(__xludf.DUMMYFUNCTION("arrayformula(sum(--REGEXMATCH(""SrGMPDNS"",split(REGEXREPLACE(C187,""(.)"",""$1~""),""~""))))=len(C187)"),FALSE)</f>
        <v>0</v>
      </c>
      <c r="FC187" s="290" t="b">
        <f>IFERROR(__xludf.DUMMYFUNCTION("arrayformula(sum(--REGEXMATCH(""SrGMPdNS"",split(REGEXREPLACE(C187,""(.)"",""$1~""),""~""))))=len(C187)"),FALSE)</f>
        <v>0</v>
      </c>
      <c r="FD187" s="377" t="b">
        <f>IFERROR(__xludf.DUMMYFUNCTION("arrayformula(sum(--REGEXMATCH(""SrgMPdNS"",split(REGEXREPLACE(C187,""(.)"",""$1~""),""~""))))=len(C187)"),FALSE)</f>
        <v>0</v>
      </c>
      <c r="FE187" s="269" t="str">
        <f t="shared" si="71"/>
        <v>-</v>
      </c>
      <c r="FF187" s="269" t="str">
        <f t="shared" si="72"/>
        <v>xxxxoxooxxx</v>
      </c>
      <c r="FG187" s="271" t="str">
        <f t="shared" si="73"/>
        <v>xxxoxooxxxo</v>
      </c>
      <c r="FH187" s="269" t="str">
        <f t="shared" si="74"/>
        <v>xxoxooxxxox</v>
      </c>
      <c r="FI187" s="271" t="str">
        <f t="shared" si="75"/>
        <v>xoxooxxxoxx</v>
      </c>
      <c r="FJ187" s="271" t="str">
        <f t="shared" si="76"/>
        <v>-</v>
      </c>
      <c r="FK187" s="271" t="str">
        <f t="shared" si="77"/>
        <v>xooxxxoxxxx</v>
      </c>
      <c r="FL187" s="271" t="str">
        <f t="shared" si="78"/>
        <v>-</v>
      </c>
      <c r="FM187" s="271" t="str">
        <f t="shared" si="79"/>
        <v>-</v>
      </c>
      <c r="FN187" s="271" t="str">
        <f t="shared" si="80"/>
        <v>xxxoxxxxoxo</v>
      </c>
      <c r="FO187" s="274" t="str">
        <f t="shared" si="81"/>
        <v>xxoxxxxoxoo</v>
      </c>
      <c r="FP187" s="234" t="str">
        <f t="shared" si="82"/>
        <v>|</v>
      </c>
      <c r="FQ187" s="236" t="str">
        <f t="shared" si="83"/>
        <v>-</v>
      </c>
      <c r="FR187" s="237" t="str">
        <f t="shared" si="84"/>
        <v>|</v>
      </c>
      <c r="FS187" s="236" t="str">
        <f t="shared" si="85"/>
        <v>|</v>
      </c>
      <c r="FT187" s="237" t="str">
        <f t="shared" si="86"/>
        <v>|</v>
      </c>
      <c r="FU187" s="236" t="str">
        <f t="shared" si="87"/>
        <v>|</v>
      </c>
      <c r="FV187" s="237" t="str">
        <f t="shared" si="88"/>
        <v>-</v>
      </c>
      <c r="FW187" s="236" t="str">
        <f t="shared" si="89"/>
        <v>|</v>
      </c>
      <c r="FX187" s="237" t="str">
        <f t="shared" si="90"/>
        <v>-</v>
      </c>
      <c r="FY187" s="236" t="str">
        <f t="shared" si="91"/>
        <v>-</v>
      </c>
      <c r="FZ187" s="237" t="str">
        <f t="shared" si="92"/>
        <v>|</v>
      </c>
      <c r="GA187" s="236" t="str">
        <f t="shared" si="93"/>
        <v>|</v>
      </c>
      <c r="GB187" s="238" t="str">
        <f t="shared" si="94"/>
        <v>|</v>
      </c>
      <c r="GC187" s="244" t="str">
        <f>IFERROR(__xludf.DUMMYFUNCTION("IF(REGEXMATCH(C187, ""S""), ""1"","""")"),"1")</f>
        <v>1</v>
      </c>
      <c r="GD187" s="245" t="str">
        <f>IFERROR(__xludf.DUMMYFUNCTION("IF(REGEXMATCH(C187, ""r""), ""b2"","""")"),"")</f>
        <v/>
      </c>
      <c r="GE187" s="246" t="str">
        <f>IFERROR(__xludf.DUMMYFUNCTION("IF(REGEXMATCH(C187, ""R""), ""2"","""")"),"2")</f>
        <v>2</v>
      </c>
      <c r="GF187" s="246" t="str">
        <f>IFERROR(__xludf.DUMMYFUNCTION("IF(REGEXMATCH(C187, ""g""), ""b3"","""")"),"b3")</f>
        <v>b3</v>
      </c>
      <c r="GG187" s="245" t="str">
        <f>IFERROR(__xludf.DUMMYFUNCTION("IF(REGEXMATCH(C187, ""G""), ""3"","""")"),"3")</f>
        <v>3</v>
      </c>
      <c r="GH187" s="245" t="str">
        <f>IFERROR(__xludf.DUMMYFUNCTION("IF(REGEXMATCH(C187, ""m""), ""4"","""")"),"4")</f>
        <v>4</v>
      </c>
      <c r="GI187" s="246" t="str">
        <f>IFERROR(__xludf.DUMMYFUNCTION("IF(REGEXMATCH(C187, ""M""), ""#4"","""")"),"")</f>
        <v/>
      </c>
      <c r="GJ187" s="245" t="str">
        <f>IFERROR(__xludf.DUMMYFUNCTION("IF(REGEXMATCH(C187, ""P""), ""5"","""")"),"5")</f>
        <v>5</v>
      </c>
      <c r="GK187" s="246" t="str">
        <f>IFERROR(__xludf.DUMMYFUNCTION("IF(REGEXMATCH(C187, ""d""), ""b6"","""")"),"")</f>
        <v/>
      </c>
      <c r="GL187" s="245" t="str">
        <f>IFERROR(__xludf.DUMMYFUNCTION("IF(REGEXMATCH(C187, ""D""), ""6"","""")"),"")</f>
        <v/>
      </c>
      <c r="GM187" s="245" t="str">
        <f>IFERROR(__xludf.DUMMYFUNCTION("IF(REGEXMATCH(C187, ""n""), ""b7"","""")"),"b7")</f>
        <v>b7</v>
      </c>
      <c r="GN187" s="246" t="str">
        <f>IFERROR(__xludf.DUMMYFUNCTION("IF(REGEXMATCH(C187, ""N""), ""7"","""")"),"7")</f>
        <v>7</v>
      </c>
      <c r="GO187" s="249" t="str">
        <f>IFERROR(__xludf.DUMMYFUNCTION("IF(REGEXMATCH(C187, ""S""), ""8"","""")"),"8")</f>
        <v>8</v>
      </c>
      <c r="GP187" s="244" t="str">
        <f>IFERROR(__xludf.DUMMYFUNCTION("IF(REGEXMATCH(C187, ""S""), ""S"","""")"),"S")</f>
        <v>S</v>
      </c>
      <c r="GQ187" s="294" t="str">
        <f>IFERROR(__xludf.DUMMYFUNCTION("IF(REGEXMATCH(C187, ""r""), ""R1"","""")"),"")</f>
        <v/>
      </c>
      <c r="GR187" s="295" t="str">
        <f>IFERROR(__xludf.DUMMYFUNCTION("IF(REGEXMATCH(C187, ""R""), ""R2"","""")"),"R2")</f>
        <v>R2</v>
      </c>
      <c r="GS187" s="295" t="str">
        <f>IFERROR(__xludf.DUMMYFUNCTION("IF(REGEXMATCH(C187, ""g""), ""G2"","""")"),"G2")</f>
        <v>G2</v>
      </c>
      <c r="GT187" s="294" t="str">
        <f>IFERROR(__xludf.DUMMYFUNCTION("IF(REGEXMATCH(C187, ""G""), ""G3"","""")"),"G3")</f>
        <v>G3</v>
      </c>
      <c r="GU187" s="294" t="str">
        <f>IFERROR(__xludf.DUMMYFUNCTION("IF(REGEXMATCH(C187, ""m""), ""M1"","""")"),"M1")</f>
        <v>M1</v>
      </c>
      <c r="GV187" s="295" t="str">
        <f>IFERROR(__xludf.DUMMYFUNCTION("IF(REGEXMATCH(C187, ""M""), ""M2"","""")"),"")</f>
        <v/>
      </c>
      <c r="GW187" s="294" t="str">
        <f>IFERROR(__xludf.DUMMYFUNCTION("IF(REGEXMATCH(C187, ""P""), ""P"","""")"),"P")</f>
        <v>P</v>
      </c>
      <c r="GX187" s="295" t="str">
        <f>IFERROR(__xludf.DUMMYFUNCTION("IF(REGEXMATCH(C187, ""d""), ""D1"","""")"),"")</f>
        <v/>
      </c>
      <c r="GY187" s="294" t="str">
        <f>IFERROR(__xludf.DUMMYFUNCTION("IF(REGEXMATCH(C187, ""D""), ""D2"","""")"),"")</f>
        <v/>
      </c>
      <c r="GZ187" s="294" t="str">
        <f>IFERROR(__xludf.DUMMYFUNCTION("IF(REGEXMATCH(C187, ""n""), ""N2"","""")"),"N2")</f>
        <v>N2</v>
      </c>
      <c r="HA187" s="295" t="str">
        <f>IFERROR(__xludf.DUMMYFUNCTION("IF(REGEXMATCH(C187, ""N""), ""N3"","""")"),"N3")</f>
        <v>N3</v>
      </c>
      <c r="HB187" s="249" t="str">
        <f>IFERROR(__xludf.DUMMYFUNCTION("IF(REGEXMATCH(C187, ""S""), ""S"","""")"),"S")</f>
        <v>S</v>
      </c>
      <c r="HC187" s="331" t="str">
        <f t="shared" si="95"/>
        <v>S</v>
      </c>
      <c r="HD187" s="332" t="str">
        <f t="shared" si="96"/>
        <v>r</v>
      </c>
      <c r="HE187" s="332" t="str">
        <f t="shared" si="97"/>
        <v>R</v>
      </c>
      <c r="HF187" s="332" t="str">
        <f t="shared" si="98"/>
        <v/>
      </c>
      <c r="HG187" s="332" t="str">
        <f t="shared" si="99"/>
        <v/>
      </c>
      <c r="HH187" s="332" t="str">
        <f t="shared" si="100"/>
        <v>m</v>
      </c>
      <c r="HI187" s="332" t="str">
        <f t="shared" si="101"/>
        <v/>
      </c>
      <c r="HJ187" s="332" t="str">
        <f t="shared" si="102"/>
        <v>P</v>
      </c>
      <c r="HK187" s="332" t="str">
        <f t="shared" si="103"/>
        <v>d</v>
      </c>
      <c r="HL187" s="332" t="str">
        <f t="shared" si="104"/>
        <v>D</v>
      </c>
      <c r="HM187" s="332" t="str">
        <f t="shared" si="105"/>
        <v>n</v>
      </c>
      <c r="HN187" s="332" t="str">
        <f t="shared" si="106"/>
        <v/>
      </c>
      <c r="HO187" s="343" t="str">
        <f t="shared" si="107"/>
        <v>S</v>
      </c>
      <c r="HP187" s="331" t="str">
        <f t="shared" si="108"/>
        <v>o</v>
      </c>
      <c r="HQ187" s="332" t="str">
        <f t="shared" si="109"/>
        <v>•</v>
      </c>
      <c r="HR187" s="332" t="str">
        <f t="shared" si="110"/>
        <v>o</v>
      </c>
      <c r="HS187" s="332" t="str">
        <f t="shared" si="111"/>
        <v>o</v>
      </c>
      <c r="HT187" s="332" t="str">
        <f t="shared" si="112"/>
        <v>o</v>
      </c>
      <c r="HU187" s="332" t="str">
        <f t="shared" si="113"/>
        <v>o</v>
      </c>
      <c r="HV187" s="332" t="str">
        <f t="shared" si="114"/>
        <v>•</v>
      </c>
      <c r="HW187" s="332" t="str">
        <f t="shared" si="115"/>
        <v>o</v>
      </c>
      <c r="HX187" s="332" t="str">
        <f t="shared" si="116"/>
        <v>•</v>
      </c>
      <c r="HY187" s="332" t="str">
        <f t="shared" si="117"/>
        <v>•</v>
      </c>
      <c r="HZ187" s="332" t="str">
        <f t="shared" si="118"/>
        <v>o</v>
      </c>
      <c r="IA187" s="332" t="str">
        <f t="shared" si="119"/>
        <v>o</v>
      </c>
      <c r="IB187" s="338" t="str">
        <f t="shared" si="120"/>
        <v>o</v>
      </c>
      <c r="IC187" s="331" t="str">
        <f t="shared" si="121"/>
        <v>•</v>
      </c>
      <c r="ID187" s="332" t="str">
        <f t="shared" si="122"/>
        <v>o</v>
      </c>
      <c r="IE187" s="332" t="str">
        <f t="shared" si="123"/>
        <v>•</v>
      </c>
      <c r="IF187" s="332" t="str">
        <f t="shared" si="124"/>
        <v>•</v>
      </c>
      <c r="IG187" s="332" t="str">
        <f t="shared" si="125"/>
        <v>•</v>
      </c>
      <c r="IH187" s="332" t="str">
        <f t="shared" si="126"/>
        <v>•</v>
      </c>
      <c r="II187" s="332" t="str">
        <f t="shared" si="127"/>
        <v>o</v>
      </c>
      <c r="IJ187" s="332" t="str">
        <f t="shared" si="128"/>
        <v>•</v>
      </c>
      <c r="IK187" s="332" t="str">
        <f t="shared" si="129"/>
        <v>o</v>
      </c>
      <c r="IL187" s="332" t="str">
        <f t="shared" si="130"/>
        <v>o</v>
      </c>
      <c r="IM187" s="332" t="str">
        <f t="shared" si="131"/>
        <v>•</v>
      </c>
      <c r="IN187" s="332" t="str">
        <f t="shared" si="132"/>
        <v>•</v>
      </c>
      <c r="IO187" s="338" t="str">
        <f t="shared" si="133"/>
        <v>•</v>
      </c>
      <c r="IP187" s="346" t="b">
        <f t="shared" si="134"/>
        <v>0</v>
      </c>
      <c r="IQ187" s="347" t="b">
        <f t="shared" si="135"/>
        <v>0</v>
      </c>
      <c r="IR187" s="347" t="b">
        <f t="shared" si="136"/>
        <v>1</v>
      </c>
      <c r="IS187" s="347" t="b">
        <f t="shared" si="137"/>
        <v>0</v>
      </c>
      <c r="IT187" s="347" t="b">
        <f t="shared" si="138"/>
        <v>0</v>
      </c>
      <c r="IU187" s="347" t="b">
        <f t="shared" si="139"/>
        <v>0</v>
      </c>
      <c r="IV187" s="347" t="b">
        <f t="shared" si="140"/>
        <v>0</v>
      </c>
      <c r="IW187" s="347" t="b">
        <f t="shared" si="141"/>
        <v>0</v>
      </c>
      <c r="IX187" s="347" t="b">
        <f t="shared" si="142"/>
        <v>0</v>
      </c>
      <c r="IY187" s="347" t="b">
        <f t="shared" si="143"/>
        <v>0</v>
      </c>
      <c r="IZ187" s="347" t="b">
        <f t="shared" si="144"/>
        <v>0</v>
      </c>
      <c r="JA187" s="347" t="b">
        <f t="shared" si="145"/>
        <v>1</v>
      </c>
      <c r="JB187" s="353" t="b">
        <f t="shared" si="146"/>
        <v>0</v>
      </c>
      <c r="JC187" s="354" t="str">
        <f t="shared" si="147"/>
        <v/>
      </c>
      <c r="JD187" s="355" t="str">
        <f t="shared" si="148"/>
        <v/>
      </c>
      <c r="JE187" s="355" t="str">
        <f t="shared" si="149"/>
        <v>Re, </v>
      </c>
      <c r="JF187" s="355" t="str">
        <f t="shared" si="150"/>
        <v/>
      </c>
      <c r="JG187" s="355" t="str">
        <f t="shared" si="151"/>
        <v/>
      </c>
      <c r="JH187" s="355" t="str">
        <f t="shared" si="152"/>
        <v/>
      </c>
      <c r="JI187" s="355" t="str">
        <f t="shared" si="153"/>
        <v/>
      </c>
      <c r="JJ187" s="355" t="str">
        <f t="shared" si="154"/>
        <v/>
      </c>
      <c r="JK187" s="355" t="str">
        <f t="shared" si="155"/>
        <v/>
      </c>
      <c r="JL187" s="355" t="str">
        <f t="shared" si="156"/>
        <v/>
      </c>
      <c r="JM187" s="355" t="str">
        <f t="shared" si="157"/>
        <v/>
      </c>
      <c r="JN187" s="355" t="str">
        <f t="shared" si="158"/>
        <v>Ni, </v>
      </c>
      <c r="JO187" s="359" t="str">
        <f t="shared" si="159"/>
        <v/>
      </c>
      <c r="JP187" s="346" t="b">
        <f t="shared" si="160"/>
        <v>0</v>
      </c>
      <c r="JQ187" s="347" t="b">
        <f t="shared" si="161"/>
        <v>0</v>
      </c>
      <c r="JR187" s="347" t="b">
        <f t="shared" si="162"/>
        <v>0</v>
      </c>
      <c r="JS187" s="347" t="b">
        <f t="shared" si="163"/>
        <v>0</v>
      </c>
      <c r="JT187" s="347" t="b">
        <f t="shared" si="164"/>
        <v>0</v>
      </c>
      <c r="JU187" s="347" t="b">
        <f t="shared" si="165"/>
        <v>0</v>
      </c>
      <c r="JV187" s="347" t="b">
        <f t="shared" si="166"/>
        <v>0</v>
      </c>
      <c r="JW187" s="347" t="b">
        <f t="shared" si="167"/>
        <v>0</v>
      </c>
      <c r="JX187" s="347" t="b">
        <f t="shared" si="168"/>
        <v>0</v>
      </c>
      <c r="JY187" s="347" t="b">
        <f t="shared" si="169"/>
        <v>0</v>
      </c>
      <c r="JZ187" s="347" t="b">
        <f t="shared" si="170"/>
        <v>0</v>
      </c>
      <c r="KA187" s="347" t="b">
        <f t="shared" si="171"/>
        <v>0</v>
      </c>
      <c r="KB187" s="365" t="b">
        <f t="shared" si="172"/>
        <v>0</v>
      </c>
      <c r="KC187" s="354" t="str">
        <f t="shared" si="173"/>
        <v/>
      </c>
      <c r="KD187" s="355" t="str">
        <f t="shared" si="174"/>
        <v/>
      </c>
      <c r="KE187" s="355" t="str">
        <f t="shared" si="175"/>
        <v/>
      </c>
      <c r="KF187" s="355" t="str">
        <f t="shared" si="176"/>
        <v/>
      </c>
      <c r="KG187" s="355" t="str">
        <f t="shared" si="177"/>
        <v/>
      </c>
      <c r="KH187" s="355" t="str">
        <f t="shared" si="178"/>
        <v/>
      </c>
      <c r="KI187" s="355" t="str">
        <f t="shared" si="179"/>
        <v/>
      </c>
      <c r="KJ187" s="355" t="str">
        <f t="shared" si="180"/>
        <v/>
      </c>
      <c r="KK187" s="355" t="str">
        <f t="shared" si="181"/>
        <v/>
      </c>
      <c r="KL187" s="355" t="str">
        <f t="shared" si="182"/>
        <v/>
      </c>
      <c r="KM187" s="355" t="str">
        <f t="shared" si="183"/>
        <v/>
      </c>
      <c r="KN187" s="355" t="str">
        <f t="shared" si="184"/>
        <v/>
      </c>
      <c r="KO187" s="359"/>
      <c r="KP187" s="378"/>
      <c r="KQ187" s="379" t="s">
        <v>9</v>
      </c>
      <c r="KR187" s="380" t="s">
        <v>9</v>
      </c>
      <c r="KS187" s="381" t="s">
        <v>9</v>
      </c>
      <c r="KT187" s="382">
        <f t="shared" si="186"/>
        <v>0</v>
      </c>
      <c r="KU187" s="383">
        <f t="shared" si="187"/>
        <v>0</v>
      </c>
      <c r="KV187" s="381" t="str">
        <f t="shared" si="205"/>
        <v>S</v>
      </c>
      <c r="KW187" s="382">
        <f t="shared" si="189"/>
        <v>0</v>
      </c>
      <c r="KX187" s="384">
        <f t="shared" si="190"/>
        <v>0</v>
      </c>
      <c r="KY187" s="382">
        <f t="shared" ref="KY187:KZ187" si="588">KW187-KT187</f>
        <v>0</v>
      </c>
      <c r="KZ187" s="369">
        <f t="shared" si="588"/>
        <v>0</v>
      </c>
      <c r="LA187" s="385" t="str">
        <f t="shared" si="192"/>
        <v>✔</v>
      </c>
      <c r="LB187" s="340" t="str">
        <f>IFERROR(__xludf.DUMMYFUNCTION("JOIN("""",ArrayFormula(MID(KS187,LEN(KS187)-SEQUENCE(1,LEN(KS187))+1,1)))"),"S")</f>
        <v>S</v>
      </c>
      <c r="LC187" s="373" t="str">
        <f>IFERROR(__xludf.DUMMYFUNCTION("JOIN("""",ArrayFormula(MID(KV187,LEN(KV187)-SEQUENCE(1,LEN(KV187))+1,1)))"),"S")</f>
        <v>S</v>
      </c>
      <c r="LD187" s="373" t="str">
        <f t="shared" si="193"/>
        <v>S</v>
      </c>
      <c r="LE187" s="339" t="str">
        <f t="shared" si="194"/>
        <v>S</v>
      </c>
      <c r="LF187" s="386" t="str">
        <f>IFERROR(__xludf.DUMMYFUNCTION("SUBSTITUTE(SUBSTITUTE(CONCATENATE(JOIN("""",LH187:LT187)),""1"",""""),""2"","""")"),"SS")</f>
        <v>SS</v>
      </c>
      <c r="LG187" s="369" t="str">
        <f t="shared" si="195"/>
        <v>-</v>
      </c>
      <c r="LH187" s="387" t="str">
        <f>IFERROR(__xludf.DUMMYFUNCTION("IF(REGEXMATCH(LD187, ""S""), ""S"",IF(REGEXMATCH(LE187, ""S""), ""S"",""""))"),"S")</f>
        <v>S</v>
      </c>
      <c r="LI187" s="299" t="str">
        <f>IFERROR(__xludf.DUMMYFUNCTION("IF(REGEXMATCH(LD187, ""r""), ""r1"",IF(REGEXMATCH(LE187, ""r""), ""r2"",""""))"),"")</f>
        <v/>
      </c>
      <c r="LJ187" s="299" t="str">
        <f>IFERROR(__xludf.DUMMYFUNCTION("IF(REGEXMATCH(LD187, ""R""), ""R1"",IF(REGEXMATCH(LE187, ""R""), ""R2"",""""))"),"")</f>
        <v/>
      </c>
      <c r="LK187" s="299" t="str">
        <f>IFERROR(__xludf.DUMMYFUNCTION("IF(REGEXMATCH(LD187, ""g""), ""g1"",IF(REGEXMATCH(LE187, ""g""), ""g2"",""""))"),"")</f>
        <v/>
      </c>
      <c r="LL187" s="299" t="str">
        <f>IFERROR(__xludf.DUMMYFUNCTION("IF(REGEXMATCH(LD187, ""G""), ""G1"",IF(REGEXMATCH(LE187, ""G""), ""G2"",""""))"),"")</f>
        <v/>
      </c>
      <c r="LM187" s="299" t="str">
        <f>IFERROR(__xludf.DUMMYFUNCTION("IF(REGEXMATCH(LD187, ""m""), ""m1"",IF(REGEXMATCH(LE187, ""m""), ""m2"",""""))"),"")</f>
        <v/>
      </c>
      <c r="LN187" s="299" t="str">
        <f>IFERROR(__xludf.DUMMYFUNCTION("IF(REGEXMATCH(LD187, ""M""), ""M1"",IF(REGEXMATCH(LE187, ""M""), ""M2"",""""))"),"")</f>
        <v/>
      </c>
      <c r="LO187" s="299" t="str">
        <f>IFERROR(__xludf.DUMMYFUNCTION("IF(REGEXMATCH(LD187, ""P""), ""P1"",IF(REGEXMATCH(LE187, ""P""), ""P2"",""""))"),"")</f>
        <v/>
      </c>
      <c r="LP187" s="299" t="str">
        <f>IFERROR(__xludf.DUMMYFUNCTION("IF(REGEXMATCH(LD187, ""d""), ""d1"",IF(REGEXMATCH(LE187, ""d""), ""d2"",""""))"),"")</f>
        <v/>
      </c>
      <c r="LQ187" s="299" t="str">
        <f>IFERROR(__xludf.DUMMYFUNCTION("IF(REGEXMATCH(LD187, ""D""), ""D1"",IF(REGEXMATCH(LE187, ""D""), ""D2"",""""))"),"")</f>
        <v/>
      </c>
      <c r="LR187" s="299" t="str">
        <f>IFERROR(__xludf.DUMMYFUNCTION("IF(REGEXMATCH(LD187, ""n""), ""n1"",IF(REGEXMATCH(LE187, ""n""), ""n2"",""""))"),"")</f>
        <v/>
      </c>
      <c r="LS187" s="299" t="str">
        <f>IFERROR(__xludf.DUMMYFUNCTION("IF(REGEXMATCH(LD187, ""N""), ""N1"",IF(REGEXMATCH(LE187, ""N""), ""N2"",""""))"),"")</f>
        <v/>
      </c>
      <c r="LT187" s="388" t="str">
        <f>IFERROR(__xludf.DUMMYFUNCTION("IF(REGEXMATCH(LD187, ""S""), ""S"",IF(REGEXMATCH(LE187, ""S""), ""S"",""""))"),"S")</f>
        <v>S</v>
      </c>
      <c r="LU187" s="389">
        <f t="shared" si="196"/>
        <v>1</v>
      </c>
      <c r="LV187" s="378"/>
      <c r="LW187" s="369"/>
      <c r="LX187" s="369"/>
    </row>
    <row r="188" ht="18.0" customHeight="1">
      <c r="A188" s="298" t="s">
        <v>896</v>
      </c>
      <c r="B188" s="222" t="s">
        <v>897</v>
      </c>
      <c r="C188" s="233" t="str">
        <f t="shared" si="7"/>
        <v>SRgGmPdDnS</v>
      </c>
      <c r="D188" s="234" t="str">
        <f>IFERROR(__xludf.DUMMYFUNCTION("IF(REGEXMATCH(C188, ""S""), ""S"","""")"),"S")</f>
        <v>S</v>
      </c>
      <c r="E188" s="236" t="str">
        <f>IFERROR(__xludf.DUMMYFUNCTION("IF(REGEXMATCH(C188, ""r""), ""r"","""")"),"")</f>
        <v/>
      </c>
      <c r="F188" s="237" t="str">
        <f>IFERROR(__xludf.DUMMYFUNCTION("IF(REGEXMATCH(C188, ""R""), ""R"","""")"),"R")</f>
        <v>R</v>
      </c>
      <c r="G188" s="237" t="str">
        <f>IFERROR(__xludf.DUMMYFUNCTION("IF(REGEXMATCH(C188, ""g""), ""g"","""")"),"g")</f>
        <v>g</v>
      </c>
      <c r="H188" s="236" t="str">
        <f>IFERROR(__xludf.DUMMYFUNCTION("IF(REGEXMATCH(C188, ""G""), ""G"","""")"),"G")</f>
        <v>G</v>
      </c>
      <c r="I188" s="236" t="str">
        <f>IFERROR(__xludf.DUMMYFUNCTION("IF(REGEXMATCH(C188, ""m""), ""m"","""")"),"m")</f>
        <v>m</v>
      </c>
      <c r="J188" s="237" t="str">
        <f>IFERROR(__xludf.DUMMYFUNCTION("IF(REGEXMATCH(C188, ""M""), ""M"","""")"),"")</f>
        <v/>
      </c>
      <c r="K188" s="236" t="str">
        <f>IFERROR(__xludf.DUMMYFUNCTION("IF(REGEXMATCH(C188, ""P""), ""P"","""")"),"P")</f>
        <v>P</v>
      </c>
      <c r="L188" s="237" t="str">
        <f>IFERROR(__xludf.DUMMYFUNCTION("IF(REGEXMATCH(C188, ""d""), ""d"","""")"),"d")</f>
        <v>d</v>
      </c>
      <c r="M188" s="236" t="str">
        <f>IFERROR(__xludf.DUMMYFUNCTION("IF(REGEXMATCH(C188, ""D""), ""D"","""")"),"D")</f>
        <v>D</v>
      </c>
      <c r="N188" s="236" t="str">
        <f>IFERROR(__xludf.DUMMYFUNCTION("IF(REGEXMATCH(C188, ""n""), ""n"","""")"),"n")</f>
        <v>n</v>
      </c>
      <c r="O188" s="237" t="str">
        <f>IFERROR(__xludf.DUMMYFUNCTION("IF(REGEXMATCH(C188, ""N""), ""N"","""")"),"")</f>
        <v/>
      </c>
      <c r="P188" s="238" t="str">
        <f>IFERROR(__xludf.DUMMYFUNCTION("IF(REGEXMATCH(C188, ""S""), ""S"","""")"),"S")</f>
        <v>S</v>
      </c>
      <c r="Q188" s="239" t="str">
        <f>IFERROR(__xludf.DUMMYFUNCTION("SUBSTITUTE(CONCATENATE(JOIN(""-"",D188:J188)),""-"","""")"),"SRgGm")</f>
        <v>SRgGm</v>
      </c>
      <c r="R188" s="229" t="str">
        <f>IFERROR(__xludf.DUMMYFUNCTION("SUBSTITUTE(CONCATENATE(JOIN(""-"",K188:P188)),""-"","""")"),"PdDnS")</f>
        <v>PdDnS</v>
      </c>
      <c r="S188" s="282" t="str">
        <f t="shared" si="8"/>
        <v>S-R-G-M</v>
      </c>
      <c r="T188" s="282" t="str">
        <f t="shared" si="9"/>
        <v>P-D-N-S</v>
      </c>
      <c r="U188" s="237" t="str">
        <f>IFERROR(__xludf.DUMMYFUNCTION("SUBSTITUTE(JOIN(""-"",S188,T188),""--"",""-"")"),"S-R-G-M-P-D-N-S")</f>
        <v>S-R-G-M-P-D-N-S</v>
      </c>
      <c r="V188" s="309" t="str">
        <f t="shared" si="10"/>
        <v>RgGmdDn</v>
      </c>
      <c r="W188" s="244" t="str">
        <f>IFERROR(__xludf.DUMMYFUNCTION("IF(REGEXMATCH(C188, ""S""), ""0"","""")"),"0")</f>
        <v>0</v>
      </c>
      <c r="X188" s="245" t="str">
        <f>IFERROR(__xludf.DUMMYFUNCTION("IF(REGEXMATCH(C188, ""r""), ""1"","""")"),"")</f>
        <v/>
      </c>
      <c r="Y188" s="246" t="str">
        <f>IFERROR(__xludf.DUMMYFUNCTION("IF(REGEXMATCH(C188, ""R""), ""2"","""")"),"2")</f>
        <v>2</v>
      </c>
      <c r="Z188" s="246" t="str">
        <f>IFERROR(__xludf.DUMMYFUNCTION("IF(REGEXMATCH(C188, ""g""), ""3"","""")"),"3")</f>
        <v>3</v>
      </c>
      <c r="AA188" s="245" t="str">
        <f>IFERROR(__xludf.DUMMYFUNCTION("IF(REGEXMATCH(C188, ""G""), ""4"","""")"),"4")</f>
        <v>4</v>
      </c>
      <c r="AB188" s="245" t="str">
        <f>IFERROR(__xludf.DUMMYFUNCTION("IF(REGEXMATCH(C188, ""m""), ""5"","""")"),"5")</f>
        <v>5</v>
      </c>
      <c r="AC188" s="246" t="str">
        <f>IFERROR(__xludf.DUMMYFUNCTION("IF(REGEXMATCH(C188, ""M""), ""6"","""")"),"")</f>
        <v/>
      </c>
      <c r="AD188" s="245" t="str">
        <f>IFERROR(__xludf.DUMMYFUNCTION("IF(REGEXMATCH(C188, ""P""), ""7"","""")"),"7")</f>
        <v>7</v>
      </c>
      <c r="AE188" s="246" t="str">
        <f>IFERROR(__xludf.DUMMYFUNCTION("IF(REGEXMATCH(C188, ""d""), ""8"","""")"),"8")</f>
        <v>8</v>
      </c>
      <c r="AF188" s="245" t="str">
        <f>IFERROR(__xludf.DUMMYFUNCTION("IF(REGEXMATCH(C188, ""D""), ""9"","""")"),"9")</f>
        <v>9</v>
      </c>
      <c r="AG188" s="245" t="str">
        <f>IFERROR(__xludf.DUMMYFUNCTION("IF(REGEXMATCH(C188, ""n""), ""10"","""")"),"10")</f>
        <v>10</v>
      </c>
      <c r="AH188" s="246" t="str">
        <f>IFERROR(__xludf.DUMMYFUNCTION("IF(REGEXMATCH(C188, ""N""), ""11"","""")"),"")</f>
        <v/>
      </c>
      <c r="AI188" s="249" t="str">
        <f>IFERROR(__xludf.DUMMYFUNCTION("IF(REGEXMATCH(C188, ""S""), ""0"","""")"),"0")</f>
        <v>0</v>
      </c>
      <c r="AJ188" s="313" t="str">
        <f t="shared" si="11"/>
        <v>-</v>
      </c>
      <c r="AK188" s="313" t="str">
        <f t="shared" si="12"/>
        <v>-</v>
      </c>
      <c r="AL188" s="313" t="str">
        <f t="shared" si="13"/>
        <v>T</v>
      </c>
      <c r="AM188" s="313" t="str">
        <f t="shared" si="14"/>
        <v>T</v>
      </c>
      <c r="AN188" s="313" t="str">
        <f t="shared" si="15"/>
        <v>T</v>
      </c>
      <c r="AO188" s="314" t="str">
        <f t="shared" si="16"/>
        <v>-</v>
      </c>
      <c r="AP188" s="316">
        <f t="shared" si="17"/>
        <v>3</v>
      </c>
      <c r="AQ188" s="319" t="str">
        <f t="shared" si="18"/>
        <v>-</v>
      </c>
      <c r="AR188" s="320">
        <f t="shared" si="19"/>
        <v>0</v>
      </c>
      <c r="AS188" s="250" t="str">
        <f>IFERROR(__xludf.DUMMYFUNCTION("SUBSTITUTE(SUBSTITUTE(CONCATENATE(JOIN("""",FP188:GA188)),""|"",""x""),""-"",""o"")"),"xoxxxxoxxxxo")</f>
        <v>xoxxxxoxxxxo</v>
      </c>
      <c r="AT188" s="323" t="str">
        <f>IFERROR(__xludf.DUMMYFUNCTION("JOIN("""",AS188,AS188)"),"xoxxxxoxxxxoxoxxxxoxxxxo")</f>
        <v>xoxxxxoxxxxoxoxxxxoxxxxo</v>
      </c>
      <c r="AU188" s="256" t="str">
        <f>IFERROR(__xludf.DUMMYFUNCTION("JOIN("""",ArrayFormula(MID(AS188,LEN(AS188)-SEQUENCE(1,LEN(AS188))+1,1)))"),"oxxxxoxxxxox")</f>
        <v>oxxxxoxxxxox</v>
      </c>
      <c r="AV188" s="256" t="str">
        <f>IFERROR(__xludf.DUMMYFUNCTION("LEFT(CONCATENATE(""x"",JOIN("""",ArrayFormula(MID(AS188,LEN(AS188)-SEQUENCE(1,LEN(AS188))+1,1)))),12)"),"xoxxxxoxxxxo")</f>
        <v>xoxxxxoxxxxo</v>
      </c>
      <c r="AW188" s="327" t="str">
        <f>IFERROR(__xludf.DUMMYFUNCTION("JOIN("""",AU188,AU188)"),"oxxxxoxxxxoxoxxxxoxxxxox")</f>
        <v>oxxxxoxxxxoxoxxxxoxxxxox</v>
      </c>
      <c r="AX188" s="239" t="str">
        <f>IFERROR(__xludf.DUMMYFUNCTION("IF(REGEXMATCH(AW188,AS188),""✔"",""-"")"),"✔")</f>
        <v>✔</v>
      </c>
      <c r="AY188" s="330" t="str">
        <f t="shared" si="20"/>
        <v>✔</v>
      </c>
      <c r="AZ188" s="260" t="str">
        <f t="shared" si="21"/>
        <v>#REF!</v>
      </c>
      <c r="BA188" s="333" t="str">
        <f t="shared" si="22"/>
        <v>xoxxxxo</v>
      </c>
      <c r="BB188" s="334" t="str">
        <f t="shared" si="23"/>
        <v>xxxxox</v>
      </c>
      <c r="BC188" s="335" t="str">
        <f t="shared" si="236"/>
        <v>-</v>
      </c>
      <c r="BD188" s="336" t="str">
        <f t="shared" si="25"/>
        <v>Lachari Todi: 'xoxxxxo' + 'xxxxox'</v>
      </c>
      <c r="BE188" s="337">
        <f>IFERROR(__xludf.DUMMYFUNCTION("COUNTUNIQUE(FILTER(AT:AT,REGEXMATCH(AT:AT,AS188)))-1"),4.0)</f>
        <v>4</v>
      </c>
      <c r="BF188" s="261" t="str">
        <f>IFERROR(__xludf.DUMMYFUNCTION("IF(BI188=0,""(n/a)"",IF(BJ188=2,""(PAIR)"",IF(REGEXMATCH(AT188,""xoxoxxoxoxox""),""Bilawal"",IF(REGEXMATCH(AT188,""xoxoxooxoxoo""),""Bhupali"",IF(REGEXMATCH(AT188,""xoxoxxoxxoxo""),""Charukeshi"",IF(REGEXMATCH(AT188,""xoxoooxxoxxo""),""Kameshwari"",IF(REG"&amp;"EXMATCH(AT188,""xoxoxooxoxox""),""Shankara"",IF(REGEXMATCH(AT188,""xxooxoxxxoox""),""Basant"",IF(REGEXMATCH(AT188,""xoxoxxxxoxox""),""Bihag"",IF(REGEXMATCH(AT188,""xoxxxxoxoxxx""),""Pilu"",IF(REGEXMATCH(AT188,""xoxxoxoxxoox""),""Kirwani"",IF(REGEXMATCH(AT"&amp;"188,""xoxxoxoxoxxx""),""Mk.Malhar"",IF(REGEXMATCH(AT188,""xxooxxoxxoox""),""Bhairav"",IF(REGEXMATCH(AT188,""xxoxooxxxoox""),""Todi"",IF(REGEXMATCH(AT188,""xxooxoxooxox""),""Marwa"",IF(REGEXMATCH(AT188,""xxoooxoxxooo""),""Gunkali"",IF(REGEXMATCH(AT188,""xo"&amp;"xoxxoxxoox""),""Nat Bhairav"",IF(REGEXMATCH(AT188,""xoxxoooxoxoo""),""Shivranjani"",IF(REGEXMATCH(AT188,""xooxxxoxooxo""),""Jog"",IF(REGEXMATCH(AT188,""xxooxoxoxoox""),""Hemshri"",IF(REGEXMATCH(AT188,""xoooxooxoxxo""),""Kalavati"",IF(REGEXMATCH(AT188,""xx"&amp;"oxoxxoxoox""),""Kedar"",IF(REGEXMATCH(AT188,""xoxxxxoxooxx""),""Gara"",IF(REGEXMATCH(AT188,""xooxoxooxoox""),""Chandrakauns"",IF(REGEXMATCH(AT188,""xoxxxxoxxxox""),""Mand"",IF(REGEXMATCH(AT188,""xoxxxxoxoxox""),""Hanskinkini"",IF(REGEXMATCH(AT188,""xxooxx"&amp;"oxooxo""),""Lilavati"",IF(REGEXMATCH(AT188,""xooxoxoooxox""),""Rajeshwari"",IF(REGEXMATCH(AT188,""xoooxxoxoxxx""),""Khokar"",IF(REGEXMATCH(AT188,""xxooxoxxxxox""),""Maligoura"",""-""))))))))))))))))))))))))))))))"),"Pilu")</f>
        <v>Pilu</v>
      </c>
      <c r="BG188" s="239" t="str">
        <f t="shared" si="26"/>
        <v>#REF!</v>
      </c>
      <c r="BH188" s="239">
        <f>IFERROR(__xludf.DUMMYFUNCTION("COUNTUNIQUE(FE188:FO188)-1"),8.0)</f>
        <v>8</v>
      </c>
      <c r="BI188" s="239">
        <f>IFERROR(__xludf.DUMMYFUNCTION("COUNTUNIQUE(FILTER(AT:AT,REGEXMATCH(AT:AT,AS188)))-1"),4.0)</f>
        <v>4</v>
      </c>
      <c r="BJ188" s="239">
        <f>IFERROR(__xludf.DUMMYFUNCTION("COUNTA(FILTER(AT:AT,REGEXMATCH(AT:AT,AS188)))"),26.0)</f>
        <v>26</v>
      </c>
      <c r="BK188" s="341">
        <f>IFERROR(__xludf.DUMMYFUNCTION("COUNTA(FILTER(AT:AT,REGEXMATCH(AT:AT,AS188)))-AR188"),26.0)</f>
        <v>26</v>
      </c>
      <c r="BL188" s="276" t="str">
        <f>IFERROR(__xludf.DUMMYFUNCTION("IF(AS188=""oooooooooooo"",""-"",IF(REGEXMATCH(AT188,""xx""), ""Hemi."", ""Anhemi.""))"),"Hemi.")</f>
        <v>Hemi.</v>
      </c>
      <c r="BM188" s="282" t="str">
        <f>IFERROR(__xludf.DUMMYFUNCTION("IF(AS188=""oooooooooooo"",""-"",IF(REGEXMATCH(AT188,""xxx""), ""Cohem."", ""-""))"),"Cohem.")</f>
        <v>Cohem.</v>
      </c>
      <c r="BN188" s="282" t="str">
        <f>IFERROR(__xludf.DUMMYFUNCTION("IF(AS188=""oooooooooooo"",""-"",IF(REGEXMATCH(AT188,""xxxx""), ""Co-Co."", ""-""))"),"Co-Co.")</f>
        <v>Co-Co.</v>
      </c>
      <c r="BO188" s="342" t="str">
        <f>IFERROR(__xludf.DUMMYFUNCTION("IF(AS188=""oooooooooooo"",""-"",IF(REGEXMATCH(AT188,""xxxxx""), ""CCC."", ""-""))"),"-")</f>
        <v>-</v>
      </c>
      <c r="BP188" s="344" t="str">
        <f t="shared" si="27"/>
        <v>-</v>
      </c>
      <c r="BQ188" s="282" t="str">
        <f>IFERROR(__xludf.DUMMYFUNCTION("IF(REGEXMATCH(JOIN(""-"",EU188:FD188),""TRUE""),""✔"",""-"")"),"-")</f>
        <v>-</v>
      </c>
      <c r="BR188" s="225">
        <f t="shared" si="28"/>
        <v>0</v>
      </c>
      <c r="BS188" s="345" t="str">
        <f>IFERROR(__xludf.DUMMYFUNCTION("SUBSTITUTE(SUBSTITUTE(SUBSTITUTE(SUBSTITUTE(CONCATENATE(JOIN(""-"",GC188:GO188)),""--"",""-""),""--"",""-""),""--"",""-""),""--"",""-"")"),"1-2-b3-3-4-5-b6-6-b7-8")</f>
        <v>1-2-b3-3-4-5-b6-6-b7-8</v>
      </c>
      <c r="BT188" s="299" t="str">
        <f>IFERROR(__xludf.DUMMYFUNCTION("SUBSTITUTE(SUBSTITUTE(SUBSTITUTE(SUBSTITUTE(CONCATENATE(JOIN(""-"",GP188:HB188)),""--"",""-""),""--"",""-""),""--"",""-""),""--"",""-"")"),"S-R2-G2-G3-M1-P-D1-D2-N2-S")</f>
        <v>S-R2-G2-G3-M1-P-D1-D2-N2-S</v>
      </c>
      <c r="BU188" s="348" t="str">
        <f t="shared" si="29"/>
        <v>C-D-Eb-E-F-G-Ab-A-Bb-C</v>
      </c>
      <c r="BV188" s="349" t="str">
        <f t="shared" si="30"/>
        <v>SrMNS</v>
      </c>
      <c r="BW188" s="350">
        <f t="shared" si="31"/>
        <v>0</v>
      </c>
      <c r="BX188" s="351">
        <f t="shared" si="32"/>
        <v>2</v>
      </c>
      <c r="BY188" s="392"/>
      <c r="BZ188" s="309" t="str">
        <f>IFERROR(__xludf.DUMMYFUNCTION("IF(REGEXMATCH(C188, ""S""), ""x"",""x"")"),"x")</f>
        <v>x</v>
      </c>
      <c r="CA188" s="245" t="str">
        <f>IFERROR(__xludf.DUMMYFUNCTION("IF(REGEXMATCH(C188, ""r""), ""o"",""x"")"),"x")</f>
        <v>x</v>
      </c>
      <c r="CB188" s="246" t="str">
        <f>IFERROR(__xludf.DUMMYFUNCTION("IF(REGEXMATCH(C188, ""R""), ""o"",""x"")"),"o")</f>
        <v>o</v>
      </c>
      <c r="CC188" s="246" t="str">
        <f>IFERROR(__xludf.DUMMYFUNCTION("IF(REGEXMATCH(C188, ""g""), ""o"",""x"")"),"o")</f>
        <v>o</v>
      </c>
      <c r="CD188" s="245" t="str">
        <f>IFERROR(__xludf.DUMMYFUNCTION("IF(REGEXMATCH(C188, ""G""), ""o"",""x"")"),"o")</f>
        <v>o</v>
      </c>
      <c r="CE188" s="245" t="str">
        <f>IFERROR(__xludf.DUMMYFUNCTION("IF(REGEXMATCH(C188, ""m""), ""o"",""x"")"),"o")</f>
        <v>o</v>
      </c>
      <c r="CF188" s="246" t="str">
        <f>IFERROR(__xludf.DUMMYFUNCTION("IF(REGEXMATCH(C188, ""M""), ""o"",""x"")"),"x")</f>
        <v>x</v>
      </c>
      <c r="CG188" s="245" t="str">
        <f>IFERROR(__xludf.DUMMYFUNCTION("IF(REGEXMATCH(C188, ""P""), ""o"",""x"")"),"o")</f>
        <v>o</v>
      </c>
      <c r="CH188" s="246" t="str">
        <f>IFERROR(__xludf.DUMMYFUNCTION("IF(REGEXMATCH(C188, ""d""), ""o"",""x"")"),"o")</f>
        <v>o</v>
      </c>
      <c r="CI188" s="245" t="str">
        <f>IFERROR(__xludf.DUMMYFUNCTION("IF(REGEXMATCH(C188, ""D""), ""o"",""x"")"),"o")</f>
        <v>o</v>
      </c>
      <c r="CJ188" s="245" t="str">
        <f>IFERROR(__xludf.DUMMYFUNCTION("IF(REGEXMATCH(C188, ""n""), ""o"",""x"")"),"o")</f>
        <v>o</v>
      </c>
      <c r="CK188" s="245" t="str">
        <f>IFERROR(__xludf.DUMMYFUNCTION("IF(REGEXMATCH(C188, ""N""), ""o"",""x"")"),"x")</f>
        <v>x</v>
      </c>
      <c r="CL188" s="356" t="str">
        <f>IFERROR(__xludf.DUMMYFUNCTION("IF(REGEXMATCH(C188, ""S""), ""x"",""x"")"),"x")</f>
        <v>x</v>
      </c>
      <c r="CM188" s="357" t="str">
        <f t="shared" si="33"/>
        <v>xxooooxoooox</v>
      </c>
      <c r="CN188" s="358">
        <f t="shared" si="34"/>
        <v>0</v>
      </c>
      <c r="CO188" s="246" t="str">
        <f>IFERROR(__xludf.DUMMYFUNCTION("IF(REGEXMATCH($C188, ""S""), ""S"",""S"")"),"S")</f>
        <v>S</v>
      </c>
      <c r="CP188" s="246" t="str">
        <f>IFERROR(__xludf.DUMMYFUNCTION("IF(REGEXMATCH($C188, ""r""), """",""r"")"),"r")</f>
        <v>r</v>
      </c>
      <c r="CQ188" s="246" t="str">
        <f>IFERROR(__xludf.DUMMYFUNCTION("IF(REGEXMATCH($C188, ""R""), """",""R"")"),"")</f>
        <v/>
      </c>
      <c r="CR188" s="246" t="str">
        <f>IFERROR(__xludf.DUMMYFUNCTION("IF(REGEXMATCH($C188, ""g""), """",""g"")"),"")</f>
        <v/>
      </c>
      <c r="CS188" s="246" t="str">
        <f>IFERROR(__xludf.DUMMYFUNCTION("IF(REGEXMATCH($C188, ""G""), """",""G"")"),"")</f>
        <v/>
      </c>
      <c r="CT188" s="246" t="str">
        <f>IFERROR(__xludf.DUMMYFUNCTION("IF(REGEXMATCH($C188, ""m""), """",""m"")"),"")</f>
        <v/>
      </c>
      <c r="CU188" s="246" t="str">
        <f>IFERROR(__xludf.DUMMYFUNCTION("IF(REGEXMATCH($C188, ""M""), """",""M"")"),"M")</f>
        <v>M</v>
      </c>
      <c r="CV188" s="246" t="str">
        <f>IFERROR(__xludf.DUMMYFUNCTION("IF(REGEXMATCH($C188, ""P""), """",""P"")"),"")</f>
        <v/>
      </c>
      <c r="CW188" s="246" t="str">
        <f>IFERROR(__xludf.DUMMYFUNCTION("IF(REGEXMATCH($C188, ""d""), """",""d"")"),"")</f>
        <v/>
      </c>
      <c r="CX188" s="246" t="str">
        <f>IFERROR(__xludf.DUMMYFUNCTION("IF(REGEXMATCH($C188, ""D""), """",""D"")"),"")</f>
        <v/>
      </c>
      <c r="CY188" s="246" t="str">
        <f>IFERROR(__xludf.DUMMYFUNCTION("IF(REGEXMATCH($C188, ""n""), """",""n"")"),"")</f>
        <v/>
      </c>
      <c r="CZ188" s="246" t="str">
        <f>IFERROR(__xludf.DUMMYFUNCTION("IF(REGEXMATCH($C188, ""N""), """",""N"")"),"N")</f>
        <v>N</v>
      </c>
      <c r="DA188" s="246" t="str">
        <f>IFERROR(__xludf.DUMMYFUNCTION("IF(REGEXMATCH($C188, ""S""), ""S"",""S"")"),"S")</f>
        <v>S</v>
      </c>
      <c r="DB188" s="362" t="str">
        <f>IFERROR(__xludf.DUMMYFUNCTION("JOIN("""",CO188:DA188,"""","""")"),"SrMNS")</f>
        <v>SrMNS</v>
      </c>
      <c r="DC188" s="363"/>
      <c r="DD188" s="301" t="str">
        <f t="shared" si="35"/>
        <v>#REF!</v>
      </c>
      <c r="DE188" s="302" t="str">
        <f t="shared" si="36"/>
        <v>#REF!</v>
      </c>
      <c r="DF188" s="301" t="str">
        <f t="shared" ref="DF188:DG188" si="589">SUBSTITUTE(S188,"-","")</f>
        <v>SRGM</v>
      </c>
      <c r="DG188" s="301" t="str">
        <f t="shared" si="589"/>
        <v>PDNS</v>
      </c>
      <c r="DH188" s="302" t="str">
        <f t="shared" si="38"/>
        <v>Pilu</v>
      </c>
      <c r="DI188" s="301" t="str">
        <f t="shared" si="39"/>
        <v>Hemi.</v>
      </c>
      <c r="DJ188" s="364" t="str">
        <f t="shared" si="40"/>
        <v>Co-Co.</v>
      </c>
      <c r="DK188" s="306" t="str">
        <f t="shared" si="41"/>
        <v>-</v>
      </c>
      <c r="DL188" s="366" t="str">
        <f t="shared" si="42"/>
        <v>-</v>
      </c>
      <c r="DM188" s="308" t="str">
        <f t="shared" si="43"/>
        <v>✔</v>
      </c>
      <c r="DN188" s="306" t="str">
        <f t="shared" si="44"/>
        <v>-</v>
      </c>
      <c r="DO188" s="306" t="str">
        <f t="shared" si="45"/>
        <v>-</v>
      </c>
      <c r="DP188" s="367" t="str">
        <f t="shared" si="46"/>
        <v>-</v>
      </c>
      <c r="DQ188" s="310" t="str">
        <f t="shared" si="47"/>
        <v>-</v>
      </c>
      <c r="DR188" s="310" t="str">
        <f t="shared" si="48"/>
        <v>✔</v>
      </c>
      <c r="DS188" s="310" t="str">
        <f t="shared" si="49"/>
        <v>-</v>
      </c>
      <c r="DT188" s="310" t="str">
        <f t="shared" si="50"/>
        <v>✔</v>
      </c>
      <c r="DU188" s="370" t="str">
        <f t="shared" si="51"/>
        <v>-</v>
      </c>
      <c r="DV188" s="306" t="str">
        <f t="shared" si="52"/>
        <v>-</v>
      </c>
      <c r="DW188" s="306" t="str">
        <f t="shared" si="53"/>
        <v>-</v>
      </c>
      <c r="DX188" s="306" t="str">
        <f t="shared" si="54"/>
        <v>-</v>
      </c>
      <c r="DY188" s="306" t="str">
        <f t="shared" si="55"/>
        <v>-</v>
      </c>
      <c r="DZ188" s="306" t="str">
        <f t="shared" si="56"/>
        <v>-</v>
      </c>
      <c r="EA188" s="367" t="str">
        <f t="shared" si="57"/>
        <v>-</v>
      </c>
      <c r="EB188" s="310" t="str">
        <f>IFERROR(__xludf.DUMMYFUNCTION("IF(REGEXMATCH(AW188,AS188),""✔"",""-"")"),"✔")</f>
        <v>✔</v>
      </c>
      <c r="EC188" s="310" t="str">
        <f t="shared" si="58"/>
        <v>#REF!</v>
      </c>
      <c r="ED188" s="370" t="str">
        <f t="shared" si="59"/>
        <v>✔</v>
      </c>
      <c r="EE188" s="340" t="str">
        <f t="shared" si="60"/>
        <v>S-R-gG-m-P-dD-n-S</v>
      </c>
      <c r="EF188" s="371" t="str">
        <f>IFERROR(__xludf.DUMMYFUNCTION("CONCATENATE(JOIN("""",HC188:HO188))"),"SRgGmPdDnS")</f>
        <v>SRgGmPdDnS</v>
      </c>
      <c r="EG188" s="372">
        <f t="shared" si="61"/>
        <v>1</v>
      </c>
      <c r="EH188" s="373" t="str">
        <f>IFERROR(__xludf.DUMMYFUNCTION("CONCATENATE(JOIN("""",JC188:JO188))"),"Ga, ")</f>
        <v>Ga, </v>
      </c>
      <c r="EI188" s="322">
        <f t="shared" si="62"/>
        <v>0</v>
      </c>
      <c r="EJ188" s="374" t="str">
        <f>IFERROR(__xludf.DUMMYFUNCTION("CONCATENATE(JOIN("""",KC188:KO188))"),"")</f>
        <v/>
      </c>
      <c r="EK188" s="325" t="str">
        <f t="shared" si="63"/>
        <v>S-R2-G2-G3-M1-P-D1-D2-N2-S</v>
      </c>
      <c r="EL188" s="326" t="str">
        <f t="shared" si="64"/>
        <v>1-2-b3-3-4-5-b6-6-b7-8</v>
      </c>
      <c r="EM188" s="318" t="str">
        <f t="shared" si="65"/>
        <v>#REF!</v>
      </c>
      <c r="EN188" s="328" t="str">
        <f>IFERROR(__xludf.DUMMYFUNCTION("SUBSTITUTE(SUBSTITUTE(SUBSTITUTE(SUBSTITUTE(CONCATENATE(JOIN("" "",HP188:IB188)),""  "","" ""),""  "","" ""),""  "","" ""),""  "","" "")"),"o • o o o o • o o o o • o")</f>
        <v>o • o o o o • o o o o • o</v>
      </c>
      <c r="EO188" s="368" t="str">
        <f t="shared" si="66"/>
        <v>-</v>
      </c>
      <c r="EP188" s="339" t="str">
        <f t="shared" si="67"/>
        <v>-</v>
      </c>
      <c r="EQ188" s="339" t="str">
        <f t="shared" si="68"/>
        <v>Sa-Pa</v>
      </c>
      <c r="ER188" s="339" t="str">
        <f t="shared" si="69"/>
        <v>-</v>
      </c>
      <c r="ES188" s="340" t="str">
        <f t="shared" si="70"/>
        <v>-</v>
      </c>
      <c r="ET188" s="363"/>
      <c r="EU188" s="376" t="b">
        <f>IFERROR(__xludf.DUMMYFUNCTION("arrayformula(sum(--REGEXMATCH(""SRGMPDNS"",split(REGEXREPLACE(C188,""(.)"",""$1~""),""~""))))=len(C188)
"),FALSE)</f>
        <v>0</v>
      </c>
      <c r="EV188" s="290" t="b">
        <f>IFERROR(__xludf.DUMMYFUNCTION("arrayformula(sum(--REGEXMATCH(""SRGmPDNS"",split(REGEXREPLACE(C188,""(.)"",""$1~""),""~""))))=len(C188)"),FALSE)</f>
        <v>0</v>
      </c>
      <c r="EW188" s="290" t="b">
        <f>IFERROR(__xludf.DUMMYFUNCTION("arrayformula(sum(--REGEXMATCH(""SRGmPDnS"",split(REGEXREPLACE(C188,""(.)"",""$1~""),""~""))))=len(C188)"),FALSE)</f>
        <v>0</v>
      </c>
      <c r="EX188" s="290" t="b">
        <f>IFERROR(__xludf.DUMMYFUNCTION("arrayformula(sum(--REGEXMATCH(""SRgmPDnS"",split(REGEXREPLACE(C188,""(.)"",""$1~""),""~""))))=len(C188)"),FALSE)</f>
        <v>0</v>
      </c>
      <c r="EY188" s="290" t="b">
        <f>IFERROR(__xludf.DUMMYFUNCTION("arrayformula(sum(--REGEXMATCH(""SRgmPdnS"",split(REGEXREPLACE(C188,""(.)"",""$1~""),""~""))))=len(C188)"),FALSE)</f>
        <v>0</v>
      </c>
      <c r="EZ188" s="290" t="b">
        <f>IFERROR(__xludf.DUMMYFUNCTION("arrayformula(sum(--REGEXMATCH(""SrgmPdnS"",split(REGEXREPLACE(C188,""(.)"",""$1~""),""~""))))=len(C188)"),FALSE)</f>
        <v>0</v>
      </c>
      <c r="FA188" s="290" t="b">
        <f>IFERROR(__xludf.DUMMYFUNCTION("arrayformula(sum(--REGEXMATCH(""SrGmPdNS"",split(REGEXREPLACE(C188,""(.)"",""$1~""),""~""))))=len(C188)"),FALSE)</f>
        <v>0</v>
      </c>
      <c r="FB188" s="290" t="b">
        <f>IFERROR(__xludf.DUMMYFUNCTION("arrayformula(sum(--REGEXMATCH(""SrGMPDNS"",split(REGEXREPLACE(C188,""(.)"",""$1~""),""~""))))=len(C188)"),FALSE)</f>
        <v>0</v>
      </c>
      <c r="FC188" s="290" t="b">
        <f>IFERROR(__xludf.DUMMYFUNCTION("arrayformula(sum(--REGEXMATCH(""SrGMPdNS"",split(REGEXREPLACE(C188,""(.)"",""$1~""),""~""))))=len(C188)"),FALSE)</f>
        <v>0</v>
      </c>
      <c r="FD188" s="377" t="b">
        <f>IFERROR(__xludf.DUMMYFUNCTION("arrayformula(sum(--REGEXMATCH(""SrgMPdNS"",split(REGEXREPLACE(C188,""(.)"",""$1~""),""~""))))=len(C188)"),FALSE)</f>
        <v>0</v>
      </c>
      <c r="FE188" s="269" t="str">
        <f t="shared" si="71"/>
        <v>-</v>
      </c>
      <c r="FF188" s="269" t="str">
        <f t="shared" si="72"/>
        <v>xxxxoxxxxox</v>
      </c>
      <c r="FG188" s="271" t="str">
        <f t="shared" si="73"/>
        <v>xxxoxxxxoxo</v>
      </c>
      <c r="FH188" s="269" t="str">
        <f t="shared" si="74"/>
        <v>xxoxxxxoxox</v>
      </c>
      <c r="FI188" s="271" t="str">
        <f t="shared" si="75"/>
        <v>xoxxxxoxoxx</v>
      </c>
      <c r="FJ188" s="271" t="str">
        <f t="shared" si="76"/>
        <v>-</v>
      </c>
      <c r="FK188" s="271" t="str">
        <f t="shared" si="77"/>
        <v>xxxxoxoxxxx</v>
      </c>
      <c r="FL188" s="271" t="str">
        <f t="shared" si="78"/>
        <v>xxxoxoxxxxo</v>
      </c>
      <c r="FM188" s="271" t="str">
        <f t="shared" si="79"/>
        <v>xxoxoxxxxox</v>
      </c>
      <c r="FN188" s="271" t="str">
        <f t="shared" si="80"/>
        <v>xoxoxxxxoxx</v>
      </c>
      <c r="FO188" s="274" t="str">
        <f t="shared" si="81"/>
        <v>-</v>
      </c>
      <c r="FP188" s="234" t="str">
        <f t="shared" si="82"/>
        <v>|</v>
      </c>
      <c r="FQ188" s="236" t="str">
        <f t="shared" si="83"/>
        <v>-</v>
      </c>
      <c r="FR188" s="237" t="str">
        <f t="shared" si="84"/>
        <v>|</v>
      </c>
      <c r="FS188" s="236" t="str">
        <f t="shared" si="85"/>
        <v>|</v>
      </c>
      <c r="FT188" s="237" t="str">
        <f t="shared" si="86"/>
        <v>|</v>
      </c>
      <c r="FU188" s="236" t="str">
        <f t="shared" si="87"/>
        <v>|</v>
      </c>
      <c r="FV188" s="237" t="str">
        <f t="shared" si="88"/>
        <v>-</v>
      </c>
      <c r="FW188" s="236" t="str">
        <f t="shared" si="89"/>
        <v>|</v>
      </c>
      <c r="FX188" s="237" t="str">
        <f t="shared" si="90"/>
        <v>|</v>
      </c>
      <c r="FY188" s="236" t="str">
        <f t="shared" si="91"/>
        <v>|</v>
      </c>
      <c r="FZ188" s="237" t="str">
        <f t="shared" si="92"/>
        <v>|</v>
      </c>
      <c r="GA188" s="236" t="str">
        <f t="shared" si="93"/>
        <v>-</v>
      </c>
      <c r="GB188" s="238" t="str">
        <f t="shared" si="94"/>
        <v>|</v>
      </c>
      <c r="GC188" s="244" t="str">
        <f>IFERROR(__xludf.DUMMYFUNCTION("IF(REGEXMATCH(C188, ""S""), ""1"","""")"),"1")</f>
        <v>1</v>
      </c>
      <c r="GD188" s="245" t="str">
        <f>IFERROR(__xludf.DUMMYFUNCTION("IF(REGEXMATCH(C188, ""r""), ""b2"","""")"),"")</f>
        <v/>
      </c>
      <c r="GE188" s="246" t="str">
        <f>IFERROR(__xludf.DUMMYFUNCTION("IF(REGEXMATCH(C188, ""R""), ""2"","""")"),"2")</f>
        <v>2</v>
      </c>
      <c r="GF188" s="246" t="str">
        <f>IFERROR(__xludf.DUMMYFUNCTION("IF(REGEXMATCH(C188, ""g""), ""b3"","""")"),"b3")</f>
        <v>b3</v>
      </c>
      <c r="GG188" s="245" t="str">
        <f>IFERROR(__xludf.DUMMYFUNCTION("IF(REGEXMATCH(C188, ""G""), ""3"","""")"),"3")</f>
        <v>3</v>
      </c>
      <c r="GH188" s="245" t="str">
        <f>IFERROR(__xludf.DUMMYFUNCTION("IF(REGEXMATCH(C188, ""m""), ""4"","""")"),"4")</f>
        <v>4</v>
      </c>
      <c r="GI188" s="246" t="str">
        <f>IFERROR(__xludf.DUMMYFUNCTION("IF(REGEXMATCH(C188, ""M""), ""#4"","""")"),"")</f>
        <v/>
      </c>
      <c r="GJ188" s="245" t="str">
        <f>IFERROR(__xludf.DUMMYFUNCTION("IF(REGEXMATCH(C188, ""P""), ""5"","""")"),"5")</f>
        <v>5</v>
      </c>
      <c r="GK188" s="246" t="str">
        <f>IFERROR(__xludf.DUMMYFUNCTION("IF(REGEXMATCH(C188, ""d""), ""b6"","""")"),"b6")</f>
        <v>b6</v>
      </c>
      <c r="GL188" s="245" t="str">
        <f>IFERROR(__xludf.DUMMYFUNCTION("IF(REGEXMATCH(C188, ""D""), ""6"","""")"),"6")</f>
        <v>6</v>
      </c>
      <c r="GM188" s="245" t="str">
        <f>IFERROR(__xludf.DUMMYFUNCTION("IF(REGEXMATCH(C188, ""n""), ""b7"","""")"),"b7")</f>
        <v>b7</v>
      </c>
      <c r="GN188" s="246" t="str">
        <f>IFERROR(__xludf.DUMMYFUNCTION("IF(REGEXMATCH(C188, ""N""), ""7"","""")"),"")</f>
        <v/>
      </c>
      <c r="GO188" s="249" t="str">
        <f>IFERROR(__xludf.DUMMYFUNCTION("IF(REGEXMATCH(C188, ""S""), ""8"","""")"),"8")</f>
        <v>8</v>
      </c>
      <c r="GP188" s="244" t="str">
        <f>IFERROR(__xludf.DUMMYFUNCTION("IF(REGEXMATCH(C188, ""S""), ""S"","""")"),"S")</f>
        <v>S</v>
      </c>
      <c r="GQ188" s="294" t="str">
        <f>IFERROR(__xludf.DUMMYFUNCTION("IF(REGEXMATCH(C188, ""r""), ""R1"","""")"),"")</f>
        <v/>
      </c>
      <c r="GR188" s="295" t="str">
        <f>IFERROR(__xludf.DUMMYFUNCTION("IF(REGEXMATCH(C188, ""R""), ""R2"","""")"),"R2")</f>
        <v>R2</v>
      </c>
      <c r="GS188" s="295" t="str">
        <f>IFERROR(__xludf.DUMMYFUNCTION("IF(REGEXMATCH(C188, ""g""), ""G2"","""")"),"G2")</f>
        <v>G2</v>
      </c>
      <c r="GT188" s="294" t="str">
        <f>IFERROR(__xludf.DUMMYFUNCTION("IF(REGEXMATCH(C188, ""G""), ""G3"","""")"),"G3")</f>
        <v>G3</v>
      </c>
      <c r="GU188" s="294" t="str">
        <f>IFERROR(__xludf.DUMMYFUNCTION("IF(REGEXMATCH(C188, ""m""), ""M1"","""")"),"M1")</f>
        <v>M1</v>
      </c>
      <c r="GV188" s="295" t="str">
        <f>IFERROR(__xludf.DUMMYFUNCTION("IF(REGEXMATCH(C188, ""M""), ""M2"","""")"),"")</f>
        <v/>
      </c>
      <c r="GW188" s="294" t="str">
        <f>IFERROR(__xludf.DUMMYFUNCTION("IF(REGEXMATCH(C188, ""P""), ""P"","""")"),"P")</f>
        <v>P</v>
      </c>
      <c r="GX188" s="295" t="str">
        <f>IFERROR(__xludf.DUMMYFUNCTION("IF(REGEXMATCH(C188, ""d""), ""D1"","""")"),"D1")</f>
        <v>D1</v>
      </c>
      <c r="GY188" s="294" t="str">
        <f>IFERROR(__xludf.DUMMYFUNCTION("IF(REGEXMATCH(C188, ""D""), ""D2"","""")"),"D2")</f>
        <v>D2</v>
      </c>
      <c r="GZ188" s="294" t="str">
        <f>IFERROR(__xludf.DUMMYFUNCTION("IF(REGEXMATCH(C188, ""n""), ""N2"","""")"),"N2")</f>
        <v>N2</v>
      </c>
      <c r="HA188" s="295" t="str">
        <f>IFERROR(__xludf.DUMMYFUNCTION("IF(REGEXMATCH(C188, ""N""), ""N3"","""")"),"")</f>
        <v/>
      </c>
      <c r="HB188" s="249" t="str">
        <f>IFERROR(__xludf.DUMMYFUNCTION("IF(REGEXMATCH(C188, ""S""), ""S"","""")"),"S")</f>
        <v>S</v>
      </c>
      <c r="HC188" s="331" t="str">
        <f t="shared" si="95"/>
        <v>S</v>
      </c>
      <c r="HD188" s="332" t="str">
        <f t="shared" si="96"/>
        <v/>
      </c>
      <c r="HE188" s="332" t="str">
        <f t="shared" si="97"/>
        <v>R</v>
      </c>
      <c r="HF188" s="332" t="str">
        <f t="shared" si="98"/>
        <v>g</v>
      </c>
      <c r="HG188" s="332" t="str">
        <f t="shared" si="99"/>
        <v>G</v>
      </c>
      <c r="HH188" s="332" t="str">
        <f t="shared" si="100"/>
        <v>m</v>
      </c>
      <c r="HI188" s="332" t="str">
        <f t="shared" si="101"/>
        <v/>
      </c>
      <c r="HJ188" s="332" t="str">
        <f t="shared" si="102"/>
        <v>P</v>
      </c>
      <c r="HK188" s="332" t="str">
        <f t="shared" si="103"/>
        <v>d</v>
      </c>
      <c r="HL188" s="332" t="str">
        <f t="shared" si="104"/>
        <v>D</v>
      </c>
      <c r="HM188" s="332" t="str">
        <f t="shared" si="105"/>
        <v>n</v>
      </c>
      <c r="HN188" s="332" t="str">
        <f t="shared" si="106"/>
        <v/>
      </c>
      <c r="HO188" s="343" t="str">
        <f t="shared" si="107"/>
        <v>S</v>
      </c>
      <c r="HP188" s="331" t="str">
        <f t="shared" si="108"/>
        <v>o</v>
      </c>
      <c r="HQ188" s="332" t="str">
        <f t="shared" si="109"/>
        <v>•</v>
      </c>
      <c r="HR188" s="332" t="str">
        <f t="shared" si="110"/>
        <v>o</v>
      </c>
      <c r="HS188" s="332" t="str">
        <f t="shared" si="111"/>
        <v>o</v>
      </c>
      <c r="HT188" s="332" t="str">
        <f t="shared" si="112"/>
        <v>o</v>
      </c>
      <c r="HU188" s="332" t="str">
        <f t="shared" si="113"/>
        <v>o</v>
      </c>
      <c r="HV188" s="332" t="str">
        <f t="shared" si="114"/>
        <v>•</v>
      </c>
      <c r="HW188" s="332" t="str">
        <f t="shared" si="115"/>
        <v>o</v>
      </c>
      <c r="HX188" s="332" t="str">
        <f t="shared" si="116"/>
        <v>o</v>
      </c>
      <c r="HY188" s="332" t="str">
        <f t="shared" si="117"/>
        <v>o</v>
      </c>
      <c r="HZ188" s="332" t="str">
        <f t="shared" si="118"/>
        <v>o</v>
      </c>
      <c r="IA188" s="332" t="str">
        <f t="shared" si="119"/>
        <v>•</v>
      </c>
      <c r="IB188" s="338" t="str">
        <f t="shared" si="120"/>
        <v>o</v>
      </c>
      <c r="IC188" s="331" t="str">
        <f t="shared" si="121"/>
        <v>•</v>
      </c>
      <c r="ID188" s="332" t="str">
        <f t="shared" si="122"/>
        <v>o</v>
      </c>
      <c r="IE188" s="332" t="str">
        <f t="shared" si="123"/>
        <v>•</v>
      </c>
      <c r="IF188" s="332" t="str">
        <f t="shared" si="124"/>
        <v>•</v>
      </c>
      <c r="IG188" s="332" t="str">
        <f t="shared" si="125"/>
        <v>•</v>
      </c>
      <c r="IH188" s="332" t="str">
        <f t="shared" si="126"/>
        <v>•</v>
      </c>
      <c r="II188" s="332" t="str">
        <f t="shared" si="127"/>
        <v>o</v>
      </c>
      <c r="IJ188" s="332" t="str">
        <f t="shared" si="128"/>
        <v>•</v>
      </c>
      <c r="IK188" s="332" t="str">
        <f t="shared" si="129"/>
        <v>•</v>
      </c>
      <c r="IL188" s="332" t="str">
        <f t="shared" si="130"/>
        <v>•</v>
      </c>
      <c r="IM188" s="332" t="str">
        <f t="shared" si="131"/>
        <v>•</v>
      </c>
      <c r="IN188" s="332" t="str">
        <f t="shared" si="132"/>
        <v>o</v>
      </c>
      <c r="IO188" s="338" t="str">
        <f t="shared" si="133"/>
        <v>•</v>
      </c>
      <c r="IP188" s="346" t="b">
        <f t="shared" si="134"/>
        <v>0</v>
      </c>
      <c r="IQ188" s="347" t="b">
        <f t="shared" si="135"/>
        <v>0</v>
      </c>
      <c r="IR188" s="347" t="b">
        <f t="shared" si="136"/>
        <v>0</v>
      </c>
      <c r="IS188" s="347" t="b">
        <f t="shared" si="137"/>
        <v>0</v>
      </c>
      <c r="IT188" s="347" t="b">
        <f t="shared" si="138"/>
        <v>1</v>
      </c>
      <c r="IU188" s="347" t="b">
        <f t="shared" si="139"/>
        <v>0</v>
      </c>
      <c r="IV188" s="347" t="b">
        <f t="shared" si="140"/>
        <v>0</v>
      </c>
      <c r="IW188" s="347" t="b">
        <f t="shared" si="141"/>
        <v>0</v>
      </c>
      <c r="IX188" s="347" t="b">
        <f t="shared" si="142"/>
        <v>0</v>
      </c>
      <c r="IY188" s="347" t="b">
        <f t="shared" si="143"/>
        <v>0</v>
      </c>
      <c r="IZ188" s="347" t="b">
        <f t="shared" si="144"/>
        <v>0</v>
      </c>
      <c r="JA188" s="347" t="b">
        <f t="shared" si="145"/>
        <v>0</v>
      </c>
      <c r="JB188" s="353" t="b">
        <f t="shared" si="146"/>
        <v>0</v>
      </c>
      <c r="JC188" s="354" t="str">
        <f t="shared" si="147"/>
        <v/>
      </c>
      <c r="JD188" s="355" t="str">
        <f t="shared" si="148"/>
        <v/>
      </c>
      <c r="JE188" s="355" t="str">
        <f t="shared" si="149"/>
        <v/>
      </c>
      <c r="JF188" s="355" t="str">
        <f t="shared" si="150"/>
        <v/>
      </c>
      <c r="JG188" s="355" t="str">
        <f t="shared" si="151"/>
        <v>Ga, </v>
      </c>
      <c r="JH188" s="355" t="str">
        <f t="shared" si="152"/>
        <v/>
      </c>
      <c r="JI188" s="355" t="str">
        <f t="shared" si="153"/>
        <v/>
      </c>
      <c r="JJ188" s="355" t="str">
        <f t="shared" si="154"/>
        <v/>
      </c>
      <c r="JK188" s="355" t="str">
        <f t="shared" si="155"/>
        <v/>
      </c>
      <c r="JL188" s="355" t="str">
        <f t="shared" si="156"/>
        <v/>
      </c>
      <c r="JM188" s="355" t="str">
        <f t="shared" si="157"/>
        <v/>
      </c>
      <c r="JN188" s="355" t="str">
        <f t="shared" si="158"/>
        <v/>
      </c>
      <c r="JO188" s="359" t="str">
        <f t="shared" si="159"/>
        <v/>
      </c>
      <c r="JP188" s="346" t="b">
        <f t="shared" si="160"/>
        <v>0</v>
      </c>
      <c r="JQ188" s="347" t="b">
        <f t="shared" si="161"/>
        <v>0</v>
      </c>
      <c r="JR188" s="347" t="b">
        <f t="shared" si="162"/>
        <v>0</v>
      </c>
      <c r="JS188" s="347" t="b">
        <f t="shared" si="163"/>
        <v>0</v>
      </c>
      <c r="JT188" s="347" t="b">
        <f t="shared" si="164"/>
        <v>0</v>
      </c>
      <c r="JU188" s="347" t="b">
        <f t="shared" si="165"/>
        <v>0</v>
      </c>
      <c r="JV188" s="347" t="b">
        <f t="shared" si="166"/>
        <v>0</v>
      </c>
      <c r="JW188" s="347" t="b">
        <f t="shared" si="167"/>
        <v>0</v>
      </c>
      <c r="JX188" s="347" t="b">
        <f t="shared" si="168"/>
        <v>0</v>
      </c>
      <c r="JY188" s="347" t="b">
        <f t="shared" si="169"/>
        <v>0</v>
      </c>
      <c r="JZ188" s="347" t="b">
        <f t="shared" si="170"/>
        <v>0</v>
      </c>
      <c r="KA188" s="347" t="b">
        <f t="shared" si="171"/>
        <v>0</v>
      </c>
      <c r="KB188" s="365" t="b">
        <f t="shared" si="172"/>
        <v>0</v>
      </c>
      <c r="KC188" s="354" t="str">
        <f t="shared" si="173"/>
        <v/>
      </c>
      <c r="KD188" s="355" t="str">
        <f t="shared" si="174"/>
        <v/>
      </c>
      <c r="KE188" s="355" t="str">
        <f t="shared" si="175"/>
        <v/>
      </c>
      <c r="KF188" s="355" t="str">
        <f t="shared" si="176"/>
        <v/>
      </c>
      <c r="KG188" s="355" t="str">
        <f t="shared" si="177"/>
        <v/>
      </c>
      <c r="KH188" s="355" t="str">
        <f t="shared" si="178"/>
        <v/>
      </c>
      <c r="KI188" s="355" t="str">
        <f t="shared" si="179"/>
        <v/>
      </c>
      <c r="KJ188" s="355" t="str">
        <f t="shared" si="180"/>
        <v/>
      </c>
      <c r="KK188" s="355" t="str">
        <f t="shared" si="181"/>
        <v/>
      </c>
      <c r="KL188" s="355" t="str">
        <f t="shared" si="182"/>
        <v/>
      </c>
      <c r="KM188" s="355" t="str">
        <f t="shared" si="183"/>
        <v/>
      </c>
      <c r="KN188" s="355" t="str">
        <f t="shared" si="184"/>
        <v/>
      </c>
      <c r="KO188" s="359"/>
      <c r="KP188" s="378"/>
      <c r="KQ188" s="379" t="s">
        <v>9</v>
      </c>
      <c r="KR188" s="380" t="s">
        <v>9</v>
      </c>
      <c r="KS188" s="381" t="s">
        <v>9</v>
      </c>
      <c r="KT188" s="382">
        <f t="shared" si="186"/>
        <v>0</v>
      </c>
      <c r="KU188" s="383">
        <f t="shared" si="187"/>
        <v>0</v>
      </c>
      <c r="KV188" s="381" t="str">
        <f t="shared" si="205"/>
        <v>S</v>
      </c>
      <c r="KW188" s="382">
        <f t="shared" si="189"/>
        <v>0</v>
      </c>
      <c r="KX188" s="384">
        <f t="shared" si="190"/>
        <v>0</v>
      </c>
      <c r="KY188" s="382">
        <f t="shared" ref="KY188:KZ188" si="590">KW188-KT188</f>
        <v>0</v>
      </c>
      <c r="KZ188" s="369">
        <f t="shared" si="590"/>
        <v>0</v>
      </c>
      <c r="LA188" s="385" t="str">
        <f t="shared" si="192"/>
        <v>✔</v>
      </c>
      <c r="LB188" s="340" t="str">
        <f>IFERROR(__xludf.DUMMYFUNCTION("JOIN("""",ArrayFormula(MID(KS188,LEN(KS188)-SEQUENCE(1,LEN(KS188))+1,1)))"),"S")</f>
        <v>S</v>
      </c>
      <c r="LC188" s="373" t="str">
        <f>IFERROR(__xludf.DUMMYFUNCTION("JOIN("""",ArrayFormula(MID(KV188,LEN(KV188)-SEQUENCE(1,LEN(KV188))+1,1)))"),"S")</f>
        <v>S</v>
      </c>
      <c r="LD188" s="373" t="str">
        <f t="shared" si="193"/>
        <v>S</v>
      </c>
      <c r="LE188" s="339" t="str">
        <f t="shared" si="194"/>
        <v>S</v>
      </c>
      <c r="LF188" s="386" t="str">
        <f>IFERROR(__xludf.DUMMYFUNCTION("SUBSTITUTE(SUBSTITUTE(CONCATENATE(JOIN("""",LH188:LT188)),""1"",""""),""2"","""")"),"SS")</f>
        <v>SS</v>
      </c>
      <c r="LG188" s="369" t="str">
        <f t="shared" si="195"/>
        <v>-</v>
      </c>
      <c r="LH188" s="387" t="str">
        <f>IFERROR(__xludf.DUMMYFUNCTION("IF(REGEXMATCH(LD188, ""S""), ""S"",IF(REGEXMATCH(LE188, ""S""), ""S"",""""))"),"S")</f>
        <v>S</v>
      </c>
      <c r="LI188" s="299" t="str">
        <f>IFERROR(__xludf.DUMMYFUNCTION("IF(REGEXMATCH(LD188, ""r""), ""r1"",IF(REGEXMATCH(LE188, ""r""), ""r2"",""""))"),"")</f>
        <v/>
      </c>
      <c r="LJ188" s="299" t="str">
        <f>IFERROR(__xludf.DUMMYFUNCTION("IF(REGEXMATCH(LD188, ""R""), ""R1"",IF(REGEXMATCH(LE188, ""R""), ""R2"",""""))"),"")</f>
        <v/>
      </c>
      <c r="LK188" s="299" t="str">
        <f>IFERROR(__xludf.DUMMYFUNCTION("IF(REGEXMATCH(LD188, ""g""), ""g1"",IF(REGEXMATCH(LE188, ""g""), ""g2"",""""))"),"")</f>
        <v/>
      </c>
      <c r="LL188" s="299" t="str">
        <f>IFERROR(__xludf.DUMMYFUNCTION("IF(REGEXMATCH(LD188, ""G""), ""G1"",IF(REGEXMATCH(LE188, ""G""), ""G2"",""""))"),"")</f>
        <v/>
      </c>
      <c r="LM188" s="299" t="str">
        <f>IFERROR(__xludf.DUMMYFUNCTION("IF(REGEXMATCH(LD188, ""m""), ""m1"",IF(REGEXMATCH(LE188, ""m""), ""m2"",""""))"),"")</f>
        <v/>
      </c>
      <c r="LN188" s="299" t="str">
        <f>IFERROR(__xludf.DUMMYFUNCTION("IF(REGEXMATCH(LD188, ""M""), ""M1"",IF(REGEXMATCH(LE188, ""M""), ""M2"",""""))"),"")</f>
        <v/>
      </c>
      <c r="LO188" s="299" t="str">
        <f>IFERROR(__xludf.DUMMYFUNCTION("IF(REGEXMATCH(LD188, ""P""), ""P1"",IF(REGEXMATCH(LE188, ""P""), ""P2"",""""))"),"")</f>
        <v/>
      </c>
      <c r="LP188" s="299" t="str">
        <f>IFERROR(__xludf.DUMMYFUNCTION("IF(REGEXMATCH(LD188, ""d""), ""d1"",IF(REGEXMATCH(LE188, ""d""), ""d2"",""""))"),"")</f>
        <v/>
      </c>
      <c r="LQ188" s="299" t="str">
        <f>IFERROR(__xludf.DUMMYFUNCTION("IF(REGEXMATCH(LD188, ""D""), ""D1"",IF(REGEXMATCH(LE188, ""D""), ""D2"",""""))"),"")</f>
        <v/>
      </c>
      <c r="LR188" s="299" t="str">
        <f>IFERROR(__xludf.DUMMYFUNCTION("IF(REGEXMATCH(LD188, ""n""), ""n1"",IF(REGEXMATCH(LE188, ""n""), ""n2"",""""))"),"")</f>
        <v/>
      </c>
      <c r="LS188" s="299" t="str">
        <f>IFERROR(__xludf.DUMMYFUNCTION("IF(REGEXMATCH(LD188, ""N""), ""N1"",IF(REGEXMATCH(LE188, ""N""), ""N2"",""""))"),"")</f>
        <v/>
      </c>
      <c r="LT188" s="388" t="str">
        <f>IFERROR(__xludf.DUMMYFUNCTION("IF(REGEXMATCH(LD188, ""S""), ""S"",IF(REGEXMATCH(LE188, ""S""), ""S"",""""))"),"S")</f>
        <v>S</v>
      </c>
      <c r="LU188" s="389">
        <f t="shared" si="196"/>
        <v>1</v>
      </c>
      <c r="LV188" s="378"/>
      <c r="LW188" s="369"/>
      <c r="LX188" s="369"/>
    </row>
    <row r="189" ht="18.0" customHeight="1">
      <c r="A189" s="298" t="s">
        <v>899</v>
      </c>
      <c r="B189" s="222" t="s">
        <v>900</v>
      </c>
      <c r="C189" s="233" t="str">
        <f t="shared" si="7"/>
        <v>SRgGPDS</v>
      </c>
      <c r="D189" s="234" t="str">
        <f>IFERROR(__xludf.DUMMYFUNCTION("IF(REGEXMATCH(C189, ""S""), ""S"","""")"),"S")</f>
        <v>S</v>
      </c>
      <c r="E189" s="236" t="str">
        <f>IFERROR(__xludf.DUMMYFUNCTION("IF(REGEXMATCH(C189, ""r""), ""r"","""")"),"")</f>
        <v/>
      </c>
      <c r="F189" s="237" t="str">
        <f>IFERROR(__xludf.DUMMYFUNCTION("IF(REGEXMATCH(C189, ""R""), ""R"","""")"),"R")</f>
        <v>R</v>
      </c>
      <c r="G189" s="237" t="str">
        <f>IFERROR(__xludf.DUMMYFUNCTION("IF(REGEXMATCH(C189, ""g""), ""g"","""")"),"g")</f>
        <v>g</v>
      </c>
      <c r="H189" s="236" t="str">
        <f>IFERROR(__xludf.DUMMYFUNCTION("IF(REGEXMATCH(C189, ""G""), ""G"","""")"),"G")</f>
        <v>G</v>
      </c>
      <c r="I189" s="236" t="str">
        <f>IFERROR(__xludf.DUMMYFUNCTION("IF(REGEXMATCH(C189, ""m""), ""m"","""")"),"")</f>
        <v/>
      </c>
      <c r="J189" s="237" t="str">
        <f>IFERROR(__xludf.DUMMYFUNCTION("IF(REGEXMATCH(C189, ""M""), ""M"","""")"),"")</f>
        <v/>
      </c>
      <c r="K189" s="236" t="str">
        <f>IFERROR(__xludf.DUMMYFUNCTION("IF(REGEXMATCH(C189, ""P""), ""P"","""")"),"P")</f>
        <v>P</v>
      </c>
      <c r="L189" s="237" t="str">
        <f>IFERROR(__xludf.DUMMYFUNCTION("IF(REGEXMATCH(C189, ""d""), ""d"","""")"),"")</f>
        <v/>
      </c>
      <c r="M189" s="236" t="str">
        <f>IFERROR(__xludf.DUMMYFUNCTION("IF(REGEXMATCH(C189, ""D""), ""D"","""")"),"D")</f>
        <v>D</v>
      </c>
      <c r="N189" s="236" t="str">
        <f>IFERROR(__xludf.DUMMYFUNCTION("IF(REGEXMATCH(C189, ""n""), ""n"","""")"),"")</f>
        <v/>
      </c>
      <c r="O189" s="237" t="str">
        <f>IFERROR(__xludf.DUMMYFUNCTION("IF(REGEXMATCH(C189, ""N""), ""N"","""")"),"")</f>
        <v/>
      </c>
      <c r="P189" s="238" t="str">
        <f>IFERROR(__xludf.DUMMYFUNCTION("IF(REGEXMATCH(C189, ""S""), ""S"","""")"),"S")</f>
        <v>S</v>
      </c>
      <c r="Q189" s="239" t="str">
        <f>IFERROR(__xludf.DUMMYFUNCTION("SUBSTITUTE(CONCATENATE(JOIN(""-"",D189:J189)),""-"","""")"),"SRgG")</f>
        <v>SRgG</v>
      </c>
      <c r="R189" s="229" t="str">
        <f>IFERROR(__xludf.DUMMYFUNCTION("SUBSTITUTE(CONCATENATE(JOIN(""-"",K189:P189)),""-"","""")"),"PDS")</f>
        <v>PDS</v>
      </c>
      <c r="S189" s="282" t="str">
        <f t="shared" si="8"/>
        <v>S-R-G-</v>
      </c>
      <c r="T189" s="282" t="str">
        <f t="shared" si="9"/>
        <v>P-D-S</v>
      </c>
      <c r="U189" s="237" t="str">
        <f>IFERROR(__xludf.DUMMYFUNCTION("SUBSTITUTE(JOIN(""-"",S189,T189),""--"",""-"")"),"S-R-G-P-D-S")</f>
        <v>S-R-G-P-D-S</v>
      </c>
      <c r="V189" s="309" t="str">
        <f t="shared" si="10"/>
        <v>RgGD</v>
      </c>
      <c r="W189" s="244" t="str">
        <f>IFERROR(__xludf.DUMMYFUNCTION("IF(REGEXMATCH(C189, ""S""), ""0"","""")"),"0")</f>
        <v>0</v>
      </c>
      <c r="X189" s="245" t="str">
        <f>IFERROR(__xludf.DUMMYFUNCTION("IF(REGEXMATCH(C189, ""r""), ""1"","""")"),"")</f>
        <v/>
      </c>
      <c r="Y189" s="246" t="str">
        <f>IFERROR(__xludf.DUMMYFUNCTION("IF(REGEXMATCH(C189, ""R""), ""2"","""")"),"2")</f>
        <v>2</v>
      </c>
      <c r="Z189" s="246" t="str">
        <f>IFERROR(__xludf.DUMMYFUNCTION("IF(REGEXMATCH(C189, ""g""), ""3"","""")"),"3")</f>
        <v>3</v>
      </c>
      <c r="AA189" s="245" t="str">
        <f>IFERROR(__xludf.DUMMYFUNCTION("IF(REGEXMATCH(C189, ""G""), ""4"","""")"),"4")</f>
        <v>4</v>
      </c>
      <c r="AB189" s="245" t="str">
        <f>IFERROR(__xludf.DUMMYFUNCTION("IF(REGEXMATCH(C189, ""m""), ""5"","""")"),"")</f>
        <v/>
      </c>
      <c r="AC189" s="246" t="str">
        <f>IFERROR(__xludf.DUMMYFUNCTION("IF(REGEXMATCH(C189, ""M""), ""6"","""")"),"")</f>
        <v/>
      </c>
      <c r="AD189" s="245" t="str">
        <f>IFERROR(__xludf.DUMMYFUNCTION("IF(REGEXMATCH(C189, ""P""), ""7"","""")"),"7")</f>
        <v>7</v>
      </c>
      <c r="AE189" s="246" t="str">
        <f>IFERROR(__xludf.DUMMYFUNCTION("IF(REGEXMATCH(C189, ""d""), ""8"","""")"),"")</f>
        <v/>
      </c>
      <c r="AF189" s="245" t="str">
        <f>IFERROR(__xludf.DUMMYFUNCTION("IF(REGEXMATCH(C189, ""D""), ""9"","""")"),"9")</f>
        <v>9</v>
      </c>
      <c r="AG189" s="245" t="str">
        <f>IFERROR(__xludf.DUMMYFUNCTION("IF(REGEXMATCH(C189, ""n""), ""10"","""")"),"")</f>
        <v/>
      </c>
      <c r="AH189" s="246" t="str">
        <f>IFERROR(__xludf.DUMMYFUNCTION("IF(REGEXMATCH(C189, ""N""), ""11"","""")"),"")</f>
        <v/>
      </c>
      <c r="AI189" s="249" t="str">
        <f>IFERROR(__xludf.DUMMYFUNCTION("IF(REGEXMATCH(C189, ""S""), ""0"","""")"),"0")</f>
        <v>0</v>
      </c>
      <c r="AJ189" s="313" t="str">
        <f t="shared" si="11"/>
        <v>-</v>
      </c>
      <c r="AK189" s="313" t="str">
        <f t="shared" si="12"/>
        <v>-</v>
      </c>
      <c r="AL189" s="313" t="str">
        <f t="shared" si="13"/>
        <v>-</v>
      </c>
      <c r="AM189" s="313" t="str">
        <f t="shared" si="14"/>
        <v>T</v>
      </c>
      <c r="AN189" s="313" t="str">
        <f t="shared" si="15"/>
        <v>-</v>
      </c>
      <c r="AO189" s="314" t="str">
        <f t="shared" si="16"/>
        <v>-</v>
      </c>
      <c r="AP189" s="316">
        <f t="shared" si="17"/>
        <v>1</v>
      </c>
      <c r="AQ189" s="319" t="str">
        <f t="shared" si="18"/>
        <v>#REF!</v>
      </c>
      <c r="AR189" s="320">
        <f t="shared" si="19"/>
        <v>0</v>
      </c>
      <c r="AS189" s="250" t="str">
        <f>IFERROR(__xludf.DUMMYFUNCTION("SUBSTITUTE(SUBSTITUTE(CONCATENATE(JOIN("""",FP189:GA189)),""|"",""x""),""-"",""o"")"),"xoxxxooxoxoo")</f>
        <v>xoxxxooxoxoo</v>
      </c>
      <c r="AT189" s="323" t="str">
        <f>IFERROR(__xludf.DUMMYFUNCTION("JOIN("""",AS189,AS189)"),"xoxxxooxoxooxoxxxooxoxoo")</f>
        <v>xoxxxooxoxooxoxxxooxoxoo</v>
      </c>
      <c r="AU189" s="256" t="str">
        <f>IFERROR(__xludf.DUMMYFUNCTION("JOIN("""",ArrayFormula(MID(AS189,LEN(AS189)-SEQUENCE(1,LEN(AS189))+1,1)))"),"ooxoxooxxxox")</f>
        <v>ooxoxooxxxox</v>
      </c>
      <c r="AV189" s="256" t="str">
        <f>IFERROR(__xludf.DUMMYFUNCTION("LEFT(CONCATENATE(""x"",JOIN("""",ArrayFormula(MID(AS189,LEN(AS189)-SEQUENCE(1,LEN(AS189))+1,1)))),12)"),"xooxoxooxxxo")</f>
        <v>xooxoxooxxxo</v>
      </c>
      <c r="AW189" s="327" t="str">
        <f>IFERROR(__xludf.DUMMYFUNCTION("JOIN("""",AU189,AU189)"),"ooxoxooxxxoxooxoxooxxxox")</f>
        <v>ooxoxooxxxoxooxoxooxxxox</v>
      </c>
      <c r="AX189" s="239" t="str">
        <f>IFERROR(__xludf.DUMMYFUNCTION("IF(REGEXMATCH(AW189,AS189),""✔"",""-"")"),"-")</f>
        <v>-</v>
      </c>
      <c r="AY189" s="330" t="str">
        <f t="shared" si="20"/>
        <v>-</v>
      </c>
      <c r="AZ189" s="260" t="str">
        <f t="shared" si="21"/>
        <v>#REF!</v>
      </c>
      <c r="BA189" s="333" t="str">
        <f t="shared" si="22"/>
        <v>xoxxxoo</v>
      </c>
      <c r="BB189" s="334" t="str">
        <f t="shared" si="23"/>
        <v>xoxoox</v>
      </c>
      <c r="BC189" s="335" t="str">
        <f t="shared" si="236"/>
        <v>-</v>
      </c>
      <c r="BD189" s="336" t="str">
        <f t="shared" si="25"/>
        <v>Lagan Gandhar: 'xoxxxoo' + 'xoxoox'</v>
      </c>
      <c r="BE189" s="337">
        <f>IFERROR(__xludf.DUMMYFUNCTION("COUNTUNIQUE(FILTER(AT:AT,REGEXMATCH(AT:AT,AS189)))-1"),3.0)</f>
        <v>3</v>
      </c>
      <c r="BF189" s="261" t="str">
        <f>IFERROR(__xludf.DUMMYFUNCTION("IF(BI189=0,""(n/a)"",IF(BJ189=2,""(PAIR)"",IF(REGEXMATCH(AT189,""xoxoxxoxoxox""),""Bilawal"",IF(REGEXMATCH(AT189,""xoxoxooxoxoo""),""Bhupali"",IF(REGEXMATCH(AT189,""xoxoxxoxxoxo""),""Charukeshi"",IF(REGEXMATCH(AT189,""xoxoooxxoxxo""),""Kameshwari"",IF(REG"&amp;"EXMATCH(AT189,""xoxoxooxoxox""),""Shankara"",IF(REGEXMATCH(AT189,""xxooxoxxxoox""),""Basant"",IF(REGEXMATCH(AT189,""xoxoxxxxoxox""),""Bihag"",IF(REGEXMATCH(AT189,""xoxxxxoxoxxx""),""Pilu"",IF(REGEXMATCH(AT189,""xoxxoxoxxoox""),""Kirwani"",IF(REGEXMATCH(AT"&amp;"189,""xoxxoxoxoxxx""),""Mk.Malhar"",IF(REGEXMATCH(AT189,""xxooxxoxxoox""),""Bhairav"",IF(REGEXMATCH(AT189,""xxoxooxxxoox""),""Todi"",IF(REGEXMATCH(AT189,""xxooxoxooxox""),""Marwa"",IF(REGEXMATCH(AT189,""xxoooxoxxooo""),""Gunkali"",IF(REGEXMATCH(AT189,""xo"&amp;"xoxxoxxoox""),""Nat Bhairav"",IF(REGEXMATCH(AT189,""xoxxoooxoxoo""),""Shivranjani"",IF(REGEXMATCH(AT189,""xooxxxoxooxo""),""Jog"",IF(REGEXMATCH(AT189,""xxooxoxoxoox""),""Hemshri"",IF(REGEXMATCH(AT189,""xoooxooxoxxo""),""Kalavati"",IF(REGEXMATCH(AT189,""xx"&amp;"oxoxxoxoox""),""Kedar"",IF(REGEXMATCH(AT189,""xoxxxxoxooxx""),""Gara"",IF(REGEXMATCH(AT189,""xooxoxooxoox""),""Chandrakauns"",IF(REGEXMATCH(AT189,""xoxxxxoxxxox""),""Mand"",IF(REGEXMATCH(AT189,""xoxxxxoxoxox""),""Hanskinkini"",IF(REGEXMATCH(AT189,""xxooxx"&amp;"oxooxo""),""Lilavati"",IF(REGEXMATCH(AT189,""xooxoxoooxox""),""Rajeshwari"",IF(REGEXMATCH(AT189,""xoooxxoxoxxx""),""Khokar"",IF(REGEXMATCH(AT189,""xxooxoxxxxox""),""Maligoura"",""-""))))))))))))))))))))))))))))))"),"Marwa")</f>
        <v>Marwa</v>
      </c>
      <c r="BG189" s="239" t="str">
        <f t="shared" si="26"/>
        <v>#REF!</v>
      </c>
      <c r="BH189" s="239">
        <f>IFERROR(__xludf.DUMMYFUNCTION("COUNTUNIQUE(FE189:FO189)-1"),5.0)</f>
        <v>5</v>
      </c>
      <c r="BI189" s="239">
        <f>IFERROR(__xludf.DUMMYFUNCTION("COUNTUNIQUE(FILTER(AT:AT,REGEXMATCH(AT:AT,AS189)))-1"),3.0)</f>
        <v>3</v>
      </c>
      <c r="BJ189" s="239">
        <f>IFERROR(__xludf.DUMMYFUNCTION("COUNTA(FILTER(AT:AT,REGEXMATCH(AT:AT,AS189)))"),6.0)</f>
        <v>6</v>
      </c>
      <c r="BK189" s="341">
        <f>IFERROR(__xludf.DUMMYFUNCTION("COUNTA(FILTER(AT:AT,REGEXMATCH(AT:AT,AS189)))-AR189"),6.0)</f>
        <v>6</v>
      </c>
      <c r="BL189" s="276" t="str">
        <f>IFERROR(__xludf.DUMMYFUNCTION("IF(AS189=""oooooooooooo"",""-"",IF(REGEXMATCH(AT189,""xx""), ""Hemi."", ""Anhemi.""))"),"Hemi.")</f>
        <v>Hemi.</v>
      </c>
      <c r="BM189" s="282" t="str">
        <f>IFERROR(__xludf.DUMMYFUNCTION("IF(AS189=""oooooooooooo"",""-"",IF(REGEXMATCH(AT189,""xxx""), ""Cohem."", ""-""))"),"Cohem.")</f>
        <v>Cohem.</v>
      </c>
      <c r="BN189" s="282" t="str">
        <f>IFERROR(__xludf.DUMMYFUNCTION("IF(AS189=""oooooooooooo"",""-"",IF(REGEXMATCH(AT189,""xxxx""), ""Co-Co."", ""-""))"),"-")</f>
        <v>-</v>
      </c>
      <c r="BO189" s="342" t="str">
        <f>IFERROR(__xludf.DUMMYFUNCTION("IF(AS189=""oooooooooooo"",""-"",IF(REGEXMATCH(AT189,""xxxxx""), ""CCC."", ""-""))"),"-")</f>
        <v>-</v>
      </c>
      <c r="BP189" s="344" t="str">
        <f t="shared" si="27"/>
        <v>-</v>
      </c>
      <c r="BQ189" s="282" t="str">
        <f>IFERROR(__xludf.DUMMYFUNCTION("IF(REGEXMATCH(JOIN(""-"",EU189:FD189),""TRUE""),""✔"",""-"")"),"-")</f>
        <v>-</v>
      </c>
      <c r="BR189" s="225">
        <f t="shared" si="28"/>
        <v>0</v>
      </c>
      <c r="BS189" s="345" t="str">
        <f>IFERROR(__xludf.DUMMYFUNCTION("SUBSTITUTE(SUBSTITUTE(SUBSTITUTE(SUBSTITUTE(CONCATENATE(JOIN(""-"",GC189:GO189)),""--"",""-""),""--"",""-""),""--"",""-""),""--"",""-"")"),"1-2-b3-3-5-6-8")</f>
        <v>1-2-b3-3-5-6-8</v>
      </c>
      <c r="BT189" s="299" t="str">
        <f>IFERROR(__xludf.DUMMYFUNCTION("SUBSTITUTE(SUBSTITUTE(SUBSTITUTE(SUBSTITUTE(CONCATENATE(JOIN(""-"",GP189:HB189)),""--"",""-""),""--"",""-""),""--"",""-""),""--"",""-"")"),"S-R2-G2-G3-P-D2-S")</f>
        <v>S-R2-G2-G3-P-D2-S</v>
      </c>
      <c r="BU189" s="348" t="str">
        <f t="shared" si="29"/>
        <v>C-D-Eb-E-G-A-C</v>
      </c>
      <c r="BV189" s="349" t="str">
        <f t="shared" si="30"/>
        <v>SrmMdnNS</v>
      </c>
      <c r="BW189" s="350">
        <f t="shared" si="31"/>
        <v>0</v>
      </c>
      <c r="BX189" s="351">
        <f t="shared" si="32"/>
        <v>1</v>
      </c>
      <c r="BY189" s="392"/>
      <c r="BZ189" s="309" t="str">
        <f>IFERROR(__xludf.DUMMYFUNCTION("IF(REGEXMATCH(C189, ""S""), ""x"",""x"")"),"x")</f>
        <v>x</v>
      </c>
      <c r="CA189" s="245" t="str">
        <f>IFERROR(__xludf.DUMMYFUNCTION("IF(REGEXMATCH(C189, ""r""), ""o"",""x"")"),"x")</f>
        <v>x</v>
      </c>
      <c r="CB189" s="246" t="str">
        <f>IFERROR(__xludf.DUMMYFUNCTION("IF(REGEXMATCH(C189, ""R""), ""o"",""x"")"),"o")</f>
        <v>o</v>
      </c>
      <c r="CC189" s="246" t="str">
        <f>IFERROR(__xludf.DUMMYFUNCTION("IF(REGEXMATCH(C189, ""g""), ""o"",""x"")"),"o")</f>
        <v>o</v>
      </c>
      <c r="CD189" s="245" t="str">
        <f>IFERROR(__xludf.DUMMYFUNCTION("IF(REGEXMATCH(C189, ""G""), ""o"",""x"")"),"o")</f>
        <v>o</v>
      </c>
      <c r="CE189" s="245" t="str">
        <f>IFERROR(__xludf.DUMMYFUNCTION("IF(REGEXMATCH(C189, ""m""), ""o"",""x"")"),"x")</f>
        <v>x</v>
      </c>
      <c r="CF189" s="246" t="str">
        <f>IFERROR(__xludf.DUMMYFUNCTION("IF(REGEXMATCH(C189, ""M""), ""o"",""x"")"),"x")</f>
        <v>x</v>
      </c>
      <c r="CG189" s="245" t="str">
        <f>IFERROR(__xludf.DUMMYFUNCTION("IF(REGEXMATCH(C189, ""P""), ""o"",""x"")"),"o")</f>
        <v>o</v>
      </c>
      <c r="CH189" s="246" t="str">
        <f>IFERROR(__xludf.DUMMYFUNCTION("IF(REGEXMATCH(C189, ""d""), ""o"",""x"")"),"x")</f>
        <v>x</v>
      </c>
      <c r="CI189" s="245" t="str">
        <f>IFERROR(__xludf.DUMMYFUNCTION("IF(REGEXMATCH(C189, ""D""), ""o"",""x"")"),"o")</f>
        <v>o</v>
      </c>
      <c r="CJ189" s="245" t="str">
        <f>IFERROR(__xludf.DUMMYFUNCTION("IF(REGEXMATCH(C189, ""n""), ""o"",""x"")"),"x")</f>
        <v>x</v>
      </c>
      <c r="CK189" s="245" t="str">
        <f>IFERROR(__xludf.DUMMYFUNCTION("IF(REGEXMATCH(C189, ""N""), ""o"",""x"")"),"x")</f>
        <v>x</v>
      </c>
      <c r="CL189" s="356" t="str">
        <f>IFERROR(__xludf.DUMMYFUNCTION("IF(REGEXMATCH(C189, ""S""), ""x"",""x"")"),"x")</f>
        <v>x</v>
      </c>
      <c r="CM189" s="357" t="str">
        <f t="shared" si="33"/>
        <v>xxoooxxoxoxx</v>
      </c>
      <c r="CN189" s="358">
        <f t="shared" si="34"/>
        <v>0</v>
      </c>
      <c r="CO189" s="246" t="str">
        <f>IFERROR(__xludf.DUMMYFUNCTION("IF(REGEXMATCH($C189, ""S""), ""S"",""S"")"),"S")</f>
        <v>S</v>
      </c>
      <c r="CP189" s="246" t="str">
        <f>IFERROR(__xludf.DUMMYFUNCTION("IF(REGEXMATCH($C189, ""r""), """",""r"")"),"r")</f>
        <v>r</v>
      </c>
      <c r="CQ189" s="246" t="str">
        <f>IFERROR(__xludf.DUMMYFUNCTION("IF(REGEXMATCH($C189, ""R""), """",""R"")"),"")</f>
        <v/>
      </c>
      <c r="CR189" s="246" t="str">
        <f>IFERROR(__xludf.DUMMYFUNCTION("IF(REGEXMATCH($C189, ""g""), """",""g"")"),"")</f>
        <v/>
      </c>
      <c r="CS189" s="246" t="str">
        <f>IFERROR(__xludf.DUMMYFUNCTION("IF(REGEXMATCH($C189, ""G""), """",""G"")"),"")</f>
        <v/>
      </c>
      <c r="CT189" s="246" t="str">
        <f>IFERROR(__xludf.DUMMYFUNCTION("IF(REGEXMATCH($C189, ""m""), """",""m"")"),"m")</f>
        <v>m</v>
      </c>
      <c r="CU189" s="246" t="str">
        <f>IFERROR(__xludf.DUMMYFUNCTION("IF(REGEXMATCH($C189, ""M""), """",""M"")"),"M")</f>
        <v>M</v>
      </c>
      <c r="CV189" s="246" t="str">
        <f>IFERROR(__xludf.DUMMYFUNCTION("IF(REGEXMATCH($C189, ""P""), """",""P"")"),"")</f>
        <v/>
      </c>
      <c r="CW189" s="246" t="str">
        <f>IFERROR(__xludf.DUMMYFUNCTION("IF(REGEXMATCH($C189, ""d""), """",""d"")"),"d")</f>
        <v>d</v>
      </c>
      <c r="CX189" s="246" t="str">
        <f>IFERROR(__xludf.DUMMYFUNCTION("IF(REGEXMATCH($C189, ""D""), """",""D"")"),"")</f>
        <v/>
      </c>
      <c r="CY189" s="246" t="str">
        <f>IFERROR(__xludf.DUMMYFUNCTION("IF(REGEXMATCH($C189, ""n""), """",""n"")"),"n")</f>
        <v>n</v>
      </c>
      <c r="CZ189" s="246" t="str">
        <f>IFERROR(__xludf.DUMMYFUNCTION("IF(REGEXMATCH($C189, ""N""), """",""N"")"),"N")</f>
        <v>N</v>
      </c>
      <c r="DA189" s="246" t="str">
        <f>IFERROR(__xludf.DUMMYFUNCTION("IF(REGEXMATCH($C189, ""S""), ""S"",""S"")"),"S")</f>
        <v>S</v>
      </c>
      <c r="DB189" s="362" t="str">
        <f>IFERROR(__xludf.DUMMYFUNCTION("JOIN("""",CO189:DA189,"""","""")"),"SrmMdnNS")</f>
        <v>SrmMdnNS</v>
      </c>
      <c r="DC189" s="363"/>
      <c r="DD189" s="301" t="str">
        <f t="shared" si="35"/>
        <v>#REF!</v>
      </c>
      <c r="DE189" s="302" t="str">
        <f t="shared" si="36"/>
        <v>#REF!</v>
      </c>
      <c r="DF189" s="301" t="str">
        <f t="shared" ref="DF189:DG189" si="591">SUBSTITUTE(S189,"-","")</f>
        <v>SRG</v>
      </c>
      <c r="DG189" s="301" t="str">
        <f t="shared" si="591"/>
        <v>PDS</v>
      </c>
      <c r="DH189" s="302" t="str">
        <f t="shared" si="38"/>
        <v>Marwa</v>
      </c>
      <c r="DI189" s="301" t="str">
        <f t="shared" si="39"/>
        <v>Hemi.</v>
      </c>
      <c r="DJ189" s="364" t="str">
        <f t="shared" si="40"/>
        <v>Cohem.</v>
      </c>
      <c r="DK189" s="306" t="str">
        <f t="shared" si="41"/>
        <v>-</v>
      </c>
      <c r="DL189" s="366" t="str">
        <f t="shared" si="42"/>
        <v>-</v>
      </c>
      <c r="DM189" s="308" t="str">
        <f t="shared" si="43"/>
        <v>✔</v>
      </c>
      <c r="DN189" s="306" t="str">
        <f t="shared" si="44"/>
        <v>-</v>
      </c>
      <c r="DO189" s="306" t="str">
        <f t="shared" si="45"/>
        <v>-</v>
      </c>
      <c r="DP189" s="367" t="str">
        <f t="shared" si="46"/>
        <v>-</v>
      </c>
      <c r="DQ189" s="310" t="str">
        <f t="shared" si="47"/>
        <v>-</v>
      </c>
      <c r="DR189" s="310" t="str">
        <f t="shared" si="48"/>
        <v>✔</v>
      </c>
      <c r="DS189" s="310" t="str">
        <f t="shared" si="49"/>
        <v>-</v>
      </c>
      <c r="DT189" s="310" t="str">
        <f t="shared" si="50"/>
        <v>-</v>
      </c>
      <c r="DU189" s="370" t="str">
        <f t="shared" si="51"/>
        <v>-</v>
      </c>
      <c r="DV189" s="306" t="str">
        <f t="shared" si="52"/>
        <v>-</v>
      </c>
      <c r="DW189" s="306" t="str">
        <f t="shared" si="53"/>
        <v>-</v>
      </c>
      <c r="DX189" s="306" t="str">
        <f t="shared" si="54"/>
        <v>✔</v>
      </c>
      <c r="DY189" s="306" t="str">
        <f t="shared" si="55"/>
        <v>-</v>
      </c>
      <c r="DZ189" s="306" t="str">
        <f t="shared" si="56"/>
        <v>-</v>
      </c>
      <c r="EA189" s="367" t="str">
        <f t="shared" si="57"/>
        <v>✔</v>
      </c>
      <c r="EB189" s="310" t="str">
        <f>IFERROR(__xludf.DUMMYFUNCTION("IF(REGEXMATCH(AW189,AS189),""✔"",""-"")"),"-")</f>
        <v>-</v>
      </c>
      <c r="EC189" s="310" t="str">
        <f t="shared" si="58"/>
        <v>#REF!</v>
      </c>
      <c r="ED189" s="370" t="str">
        <f t="shared" si="59"/>
        <v>-</v>
      </c>
      <c r="EE189" s="340" t="str">
        <f t="shared" si="60"/>
        <v>S-R-gG-P-D-S</v>
      </c>
      <c r="EF189" s="371" t="str">
        <f>IFERROR(__xludf.DUMMYFUNCTION("CONCATENATE(JOIN("""",HC189:HO189))"),"SgmdDnS")</f>
        <v>SgmdDnS</v>
      </c>
      <c r="EG189" s="372">
        <f t="shared" si="61"/>
        <v>2</v>
      </c>
      <c r="EH189" s="373" t="str">
        <f>IFERROR(__xludf.DUMMYFUNCTION("CONCATENATE(JOIN("""",JC189:JO189))"),"ga, Ga, ")</f>
        <v>ga, Ga, </v>
      </c>
      <c r="EI189" s="322">
        <f t="shared" si="62"/>
        <v>1</v>
      </c>
      <c r="EJ189" s="374" t="str">
        <f>IFERROR(__xludf.DUMMYFUNCTION("CONCATENATE(JOIN("""",KC189:KO189))"),"ga, ")</f>
        <v>ga, </v>
      </c>
      <c r="EK189" s="325" t="str">
        <f t="shared" si="63"/>
        <v>S-R2-G2-G3-P-D2-S</v>
      </c>
      <c r="EL189" s="326" t="str">
        <f t="shared" si="64"/>
        <v>1-2-b3-3-5-6-8</v>
      </c>
      <c r="EM189" s="318" t="str">
        <f t="shared" si="65"/>
        <v>#REF!</v>
      </c>
      <c r="EN189" s="328" t="str">
        <f>IFERROR(__xludf.DUMMYFUNCTION("SUBSTITUTE(SUBSTITUTE(SUBSTITUTE(SUBSTITUTE(CONCATENATE(JOIN("" "",HP189:IB189)),""  "","" ""),""  "","" ""),""  "","" ""),""  "","" "")"),"o • o o o • • o • o • • o")</f>
        <v>o • o o o • • o • o • • o</v>
      </c>
      <c r="EO189" s="368" t="str">
        <f t="shared" si="66"/>
        <v>Sa-Pa</v>
      </c>
      <c r="EP189" s="339" t="str">
        <f t="shared" si="67"/>
        <v>-</v>
      </c>
      <c r="EQ189" s="339" t="str">
        <f t="shared" si="68"/>
        <v>Sa-Pa</v>
      </c>
      <c r="ER189" s="339" t="str">
        <f t="shared" si="69"/>
        <v>Sa-Pa</v>
      </c>
      <c r="ES189" s="340" t="str">
        <f t="shared" si="70"/>
        <v>-</v>
      </c>
      <c r="ET189" s="363"/>
      <c r="EU189" s="376" t="b">
        <f>IFERROR(__xludf.DUMMYFUNCTION("arrayformula(sum(--REGEXMATCH(""SRGMPDNS"",split(REGEXREPLACE(C189,""(.)"",""$1~""),""~""))))=len(C189)
"),FALSE)</f>
        <v>0</v>
      </c>
      <c r="EV189" s="290" t="b">
        <f>IFERROR(__xludf.DUMMYFUNCTION("arrayformula(sum(--REGEXMATCH(""SRGmPDNS"",split(REGEXREPLACE(C189,""(.)"",""$1~""),""~""))))=len(C189)"),FALSE)</f>
        <v>0</v>
      </c>
      <c r="EW189" s="290" t="b">
        <f>IFERROR(__xludf.DUMMYFUNCTION("arrayformula(sum(--REGEXMATCH(""SRGmPDnS"",split(REGEXREPLACE(C189,""(.)"",""$1~""),""~""))))=len(C189)"),FALSE)</f>
        <v>0</v>
      </c>
      <c r="EX189" s="290" t="b">
        <f>IFERROR(__xludf.DUMMYFUNCTION("arrayformula(sum(--REGEXMATCH(""SRgmPDnS"",split(REGEXREPLACE(C189,""(.)"",""$1~""),""~""))))=len(C189)"),FALSE)</f>
        <v>0</v>
      </c>
      <c r="EY189" s="290" t="b">
        <f>IFERROR(__xludf.DUMMYFUNCTION("arrayformula(sum(--REGEXMATCH(""SRgmPdnS"",split(REGEXREPLACE(C189,""(.)"",""$1~""),""~""))))=len(C189)"),FALSE)</f>
        <v>0</v>
      </c>
      <c r="EZ189" s="290" t="b">
        <f>IFERROR(__xludf.DUMMYFUNCTION("arrayformula(sum(--REGEXMATCH(""SrgmPdnS"",split(REGEXREPLACE(C189,""(.)"",""$1~""),""~""))))=len(C189)"),FALSE)</f>
        <v>0</v>
      </c>
      <c r="FA189" s="290" t="b">
        <f>IFERROR(__xludf.DUMMYFUNCTION("arrayformula(sum(--REGEXMATCH(""SrGmPdNS"",split(REGEXREPLACE(C189,""(.)"",""$1~""),""~""))))=len(C189)"),FALSE)</f>
        <v>0</v>
      </c>
      <c r="FB189" s="290" t="b">
        <f>IFERROR(__xludf.DUMMYFUNCTION("arrayformula(sum(--REGEXMATCH(""SrGMPDNS"",split(REGEXREPLACE(C189,""(.)"",""$1~""),""~""))))=len(C189)"),FALSE)</f>
        <v>0</v>
      </c>
      <c r="FC189" s="290" t="b">
        <f>IFERROR(__xludf.DUMMYFUNCTION("arrayformula(sum(--REGEXMATCH(""SrGMPdNS"",split(REGEXREPLACE(C189,""(.)"",""$1~""),""~""))))=len(C189)"),FALSE)</f>
        <v>0</v>
      </c>
      <c r="FD189" s="377" t="b">
        <f>IFERROR(__xludf.DUMMYFUNCTION("arrayformula(sum(--REGEXMATCH(""SrgMPdNS"",split(REGEXREPLACE(C189,""(.)"",""$1~""),""~""))))=len(C189)"),FALSE)</f>
        <v>0</v>
      </c>
      <c r="FE189" s="269" t="str">
        <f t="shared" si="71"/>
        <v>-</v>
      </c>
      <c r="FF189" s="269" t="str">
        <f t="shared" si="72"/>
        <v>xxxooxoxoox</v>
      </c>
      <c r="FG189" s="271" t="str">
        <f t="shared" si="73"/>
        <v>xxooxoxooxo</v>
      </c>
      <c r="FH189" s="269" t="str">
        <f t="shared" si="74"/>
        <v>xooxoxooxox</v>
      </c>
      <c r="FI189" s="271" t="str">
        <f t="shared" si="75"/>
        <v>-</v>
      </c>
      <c r="FJ189" s="271" t="str">
        <f t="shared" si="76"/>
        <v>-</v>
      </c>
      <c r="FK189" s="271" t="str">
        <f t="shared" si="77"/>
        <v>xoxooxoxxxo</v>
      </c>
      <c r="FL189" s="271" t="str">
        <f t="shared" si="78"/>
        <v>-</v>
      </c>
      <c r="FM189" s="271" t="str">
        <f t="shared" si="79"/>
        <v>xooxoxxxoox</v>
      </c>
      <c r="FN189" s="271" t="str">
        <f t="shared" si="80"/>
        <v>-</v>
      </c>
      <c r="FO189" s="274" t="str">
        <f t="shared" si="81"/>
        <v>-</v>
      </c>
      <c r="FP189" s="234" t="str">
        <f t="shared" si="82"/>
        <v>|</v>
      </c>
      <c r="FQ189" s="236" t="str">
        <f t="shared" si="83"/>
        <v>-</v>
      </c>
      <c r="FR189" s="237" t="str">
        <f t="shared" si="84"/>
        <v>|</v>
      </c>
      <c r="FS189" s="236" t="str">
        <f t="shared" si="85"/>
        <v>|</v>
      </c>
      <c r="FT189" s="237" t="str">
        <f t="shared" si="86"/>
        <v>|</v>
      </c>
      <c r="FU189" s="236" t="str">
        <f t="shared" si="87"/>
        <v>-</v>
      </c>
      <c r="FV189" s="237" t="str">
        <f t="shared" si="88"/>
        <v>-</v>
      </c>
      <c r="FW189" s="236" t="str">
        <f t="shared" si="89"/>
        <v>|</v>
      </c>
      <c r="FX189" s="237" t="str">
        <f t="shared" si="90"/>
        <v>-</v>
      </c>
      <c r="FY189" s="236" t="str">
        <f t="shared" si="91"/>
        <v>|</v>
      </c>
      <c r="FZ189" s="237" t="str">
        <f t="shared" si="92"/>
        <v>-</v>
      </c>
      <c r="GA189" s="236" t="str">
        <f t="shared" si="93"/>
        <v>-</v>
      </c>
      <c r="GB189" s="238" t="str">
        <f t="shared" si="94"/>
        <v>|</v>
      </c>
      <c r="GC189" s="244" t="str">
        <f>IFERROR(__xludf.DUMMYFUNCTION("IF(REGEXMATCH(C189, ""S""), ""1"","""")"),"1")</f>
        <v>1</v>
      </c>
      <c r="GD189" s="245" t="str">
        <f>IFERROR(__xludf.DUMMYFUNCTION("IF(REGEXMATCH(C189, ""r""), ""b2"","""")"),"")</f>
        <v/>
      </c>
      <c r="GE189" s="246" t="str">
        <f>IFERROR(__xludf.DUMMYFUNCTION("IF(REGEXMATCH(C189, ""R""), ""2"","""")"),"2")</f>
        <v>2</v>
      </c>
      <c r="GF189" s="246" t="str">
        <f>IFERROR(__xludf.DUMMYFUNCTION("IF(REGEXMATCH(C189, ""g""), ""b3"","""")"),"b3")</f>
        <v>b3</v>
      </c>
      <c r="GG189" s="245" t="str">
        <f>IFERROR(__xludf.DUMMYFUNCTION("IF(REGEXMATCH(C189, ""G""), ""3"","""")"),"3")</f>
        <v>3</v>
      </c>
      <c r="GH189" s="245" t="str">
        <f>IFERROR(__xludf.DUMMYFUNCTION("IF(REGEXMATCH(C189, ""m""), ""4"","""")"),"")</f>
        <v/>
      </c>
      <c r="GI189" s="246" t="str">
        <f>IFERROR(__xludf.DUMMYFUNCTION("IF(REGEXMATCH(C189, ""M""), ""#4"","""")"),"")</f>
        <v/>
      </c>
      <c r="GJ189" s="245" t="str">
        <f>IFERROR(__xludf.DUMMYFUNCTION("IF(REGEXMATCH(C189, ""P""), ""5"","""")"),"5")</f>
        <v>5</v>
      </c>
      <c r="GK189" s="246" t="str">
        <f>IFERROR(__xludf.DUMMYFUNCTION("IF(REGEXMATCH(C189, ""d""), ""b6"","""")"),"")</f>
        <v/>
      </c>
      <c r="GL189" s="245" t="str">
        <f>IFERROR(__xludf.DUMMYFUNCTION("IF(REGEXMATCH(C189, ""D""), ""6"","""")"),"6")</f>
        <v>6</v>
      </c>
      <c r="GM189" s="245" t="str">
        <f>IFERROR(__xludf.DUMMYFUNCTION("IF(REGEXMATCH(C189, ""n""), ""b7"","""")"),"")</f>
        <v/>
      </c>
      <c r="GN189" s="246" t="str">
        <f>IFERROR(__xludf.DUMMYFUNCTION("IF(REGEXMATCH(C189, ""N""), ""7"","""")"),"")</f>
        <v/>
      </c>
      <c r="GO189" s="249" t="str">
        <f>IFERROR(__xludf.DUMMYFUNCTION("IF(REGEXMATCH(C189, ""S""), ""8"","""")"),"8")</f>
        <v>8</v>
      </c>
      <c r="GP189" s="244" t="str">
        <f>IFERROR(__xludf.DUMMYFUNCTION("IF(REGEXMATCH(C189, ""S""), ""S"","""")"),"S")</f>
        <v>S</v>
      </c>
      <c r="GQ189" s="294" t="str">
        <f>IFERROR(__xludf.DUMMYFUNCTION("IF(REGEXMATCH(C189, ""r""), ""R1"","""")"),"")</f>
        <v/>
      </c>
      <c r="GR189" s="295" t="str">
        <f>IFERROR(__xludf.DUMMYFUNCTION("IF(REGEXMATCH(C189, ""R""), ""R2"","""")"),"R2")</f>
        <v>R2</v>
      </c>
      <c r="GS189" s="295" t="str">
        <f>IFERROR(__xludf.DUMMYFUNCTION("IF(REGEXMATCH(C189, ""g""), ""G2"","""")"),"G2")</f>
        <v>G2</v>
      </c>
      <c r="GT189" s="294" t="str">
        <f>IFERROR(__xludf.DUMMYFUNCTION("IF(REGEXMATCH(C189, ""G""), ""G3"","""")"),"G3")</f>
        <v>G3</v>
      </c>
      <c r="GU189" s="294" t="str">
        <f>IFERROR(__xludf.DUMMYFUNCTION("IF(REGEXMATCH(C189, ""m""), ""M1"","""")"),"")</f>
        <v/>
      </c>
      <c r="GV189" s="295" t="str">
        <f>IFERROR(__xludf.DUMMYFUNCTION("IF(REGEXMATCH(C189, ""M""), ""M2"","""")"),"")</f>
        <v/>
      </c>
      <c r="GW189" s="294" t="str">
        <f>IFERROR(__xludf.DUMMYFUNCTION("IF(REGEXMATCH(C189, ""P""), ""P"","""")"),"P")</f>
        <v>P</v>
      </c>
      <c r="GX189" s="295" t="str">
        <f>IFERROR(__xludf.DUMMYFUNCTION("IF(REGEXMATCH(C189, ""d""), ""D1"","""")"),"")</f>
        <v/>
      </c>
      <c r="GY189" s="294" t="str">
        <f>IFERROR(__xludf.DUMMYFUNCTION("IF(REGEXMATCH(C189, ""D""), ""D2"","""")"),"D2")</f>
        <v>D2</v>
      </c>
      <c r="GZ189" s="294" t="str">
        <f>IFERROR(__xludf.DUMMYFUNCTION("IF(REGEXMATCH(C189, ""n""), ""N2"","""")"),"")</f>
        <v/>
      </c>
      <c r="HA189" s="295" t="str">
        <f>IFERROR(__xludf.DUMMYFUNCTION("IF(REGEXMATCH(C189, ""N""), ""N3"","""")"),"")</f>
        <v/>
      </c>
      <c r="HB189" s="249" t="str">
        <f>IFERROR(__xludf.DUMMYFUNCTION("IF(REGEXMATCH(C189, ""S""), ""S"","""")"),"S")</f>
        <v>S</v>
      </c>
      <c r="HC189" s="331" t="str">
        <f t="shared" si="95"/>
        <v>S</v>
      </c>
      <c r="HD189" s="332" t="str">
        <f t="shared" si="96"/>
        <v/>
      </c>
      <c r="HE189" s="332" t="str">
        <f t="shared" si="97"/>
        <v/>
      </c>
      <c r="HF189" s="332" t="str">
        <f t="shared" si="98"/>
        <v>g</v>
      </c>
      <c r="HG189" s="332" t="str">
        <f t="shared" si="99"/>
        <v/>
      </c>
      <c r="HH189" s="332" t="str">
        <f t="shared" si="100"/>
        <v>m</v>
      </c>
      <c r="HI189" s="332" t="str">
        <f t="shared" si="101"/>
        <v/>
      </c>
      <c r="HJ189" s="332" t="str">
        <f t="shared" si="102"/>
        <v/>
      </c>
      <c r="HK189" s="332" t="str">
        <f t="shared" si="103"/>
        <v>d</v>
      </c>
      <c r="HL189" s="332" t="str">
        <f t="shared" si="104"/>
        <v>D</v>
      </c>
      <c r="HM189" s="332" t="str">
        <f t="shared" si="105"/>
        <v>n</v>
      </c>
      <c r="HN189" s="332" t="str">
        <f t="shared" si="106"/>
        <v/>
      </c>
      <c r="HO189" s="343" t="str">
        <f t="shared" si="107"/>
        <v>S</v>
      </c>
      <c r="HP189" s="331" t="str">
        <f t="shared" si="108"/>
        <v>o</v>
      </c>
      <c r="HQ189" s="332" t="str">
        <f t="shared" si="109"/>
        <v>•</v>
      </c>
      <c r="HR189" s="332" t="str">
        <f t="shared" si="110"/>
        <v>o</v>
      </c>
      <c r="HS189" s="332" t="str">
        <f t="shared" si="111"/>
        <v>o</v>
      </c>
      <c r="HT189" s="332" t="str">
        <f t="shared" si="112"/>
        <v>o</v>
      </c>
      <c r="HU189" s="332" t="str">
        <f t="shared" si="113"/>
        <v>•</v>
      </c>
      <c r="HV189" s="332" t="str">
        <f t="shared" si="114"/>
        <v>•</v>
      </c>
      <c r="HW189" s="332" t="str">
        <f t="shared" si="115"/>
        <v>o</v>
      </c>
      <c r="HX189" s="332" t="str">
        <f t="shared" si="116"/>
        <v>•</v>
      </c>
      <c r="HY189" s="332" t="str">
        <f t="shared" si="117"/>
        <v>o</v>
      </c>
      <c r="HZ189" s="332" t="str">
        <f t="shared" si="118"/>
        <v>•</v>
      </c>
      <c r="IA189" s="332" t="str">
        <f t="shared" si="119"/>
        <v>•</v>
      </c>
      <c r="IB189" s="338" t="str">
        <f t="shared" si="120"/>
        <v>o</v>
      </c>
      <c r="IC189" s="331" t="str">
        <f t="shared" si="121"/>
        <v>•</v>
      </c>
      <c r="ID189" s="332" t="str">
        <f t="shared" si="122"/>
        <v>o</v>
      </c>
      <c r="IE189" s="332" t="str">
        <f t="shared" si="123"/>
        <v>•</v>
      </c>
      <c r="IF189" s="332" t="str">
        <f t="shared" si="124"/>
        <v>•</v>
      </c>
      <c r="IG189" s="332" t="str">
        <f t="shared" si="125"/>
        <v>•</v>
      </c>
      <c r="IH189" s="332" t="str">
        <f t="shared" si="126"/>
        <v>o</v>
      </c>
      <c r="II189" s="332" t="str">
        <f t="shared" si="127"/>
        <v>o</v>
      </c>
      <c r="IJ189" s="332" t="str">
        <f t="shared" si="128"/>
        <v>•</v>
      </c>
      <c r="IK189" s="332" t="str">
        <f t="shared" si="129"/>
        <v>o</v>
      </c>
      <c r="IL189" s="332" t="str">
        <f t="shared" si="130"/>
        <v>•</v>
      </c>
      <c r="IM189" s="332" t="str">
        <f t="shared" si="131"/>
        <v>o</v>
      </c>
      <c r="IN189" s="332" t="str">
        <f t="shared" si="132"/>
        <v>o</v>
      </c>
      <c r="IO189" s="338" t="str">
        <f t="shared" si="133"/>
        <v>•</v>
      </c>
      <c r="IP189" s="346" t="b">
        <f t="shared" si="134"/>
        <v>0</v>
      </c>
      <c r="IQ189" s="347" t="b">
        <f t="shared" si="135"/>
        <v>0</v>
      </c>
      <c r="IR189" s="347" t="b">
        <f t="shared" si="136"/>
        <v>0</v>
      </c>
      <c r="IS189" s="347" t="b">
        <f t="shared" si="137"/>
        <v>1</v>
      </c>
      <c r="IT189" s="347" t="b">
        <f t="shared" si="138"/>
        <v>1</v>
      </c>
      <c r="IU189" s="347" t="b">
        <f t="shared" si="139"/>
        <v>0</v>
      </c>
      <c r="IV189" s="347" t="b">
        <f t="shared" si="140"/>
        <v>0</v>
      </c>
      <c r="IW189" s="347" t="b">
        <f t="shared" si="141"/>
        <v>0</v>
      </c>
      <c r="IX189" s="347" t="b">
        <f t="shared" si="142"/>
        <v>0</v>
      </c>
      <c r="IY189" s="347" t="b">
        <f t="shared" si="143"/>
        <v>0</v>
      </c>
      <c r="IZ189" s="347" t="b">
        <f t="shared" si="144"/>
        <v>0</v>
      </c>
      <c r="JA189" s="347" t="b">
        <f t="shared" si="145"/>
        <v>0</v>
      </c>
      <c r="JB189" s="353" t="b">
        <f t="shared" si="146"/>
        <v>0</v>
      </c>
      <c r="JC189" s="354" t="str">
        <f t="shared" si="147"/>
        <v/>
      </c>
      <c r="JD189" s="355" t="str">
        <f t="shared" si="148"/>
        <v/>
      </c>
      <c r="JE189" s="355" t="str">
        <f t="shared" si="149"/>
        <v/>
      </c>
      <c r="JF189" s="355" t="str">
        <f t="shared" si="150"/>
        <v>ga, </v>
      </c>
      <c r="JG189" s="355" t="str">
        <f t="shared" si="151"/>
        <v>Ga, </v>
      </c>
      <c r="JH189" s="355" t="str">
        <f t="shared" si="152"/>
        <v/>
      </c>
      <c r="JI189" s="355" t="str">
        <f t="shared" si="153"/>
        <v/>
      </c>
      <c r="JJ189" s="355" t="str">
        <f t="shared" si="154"/>
        <v/>
      </c>
      <c r="JK189" s="355" t="str">
        <f t="shared" si="155"/>
        <v/>
      </c>
      <c r="JL189" s="355" t="str">
        <f t="shared" si="156"/>
        <v/>
      </c>
      <c r="JM189" s="355" t="str">
        <f t="shared" si="157"/>
        <v/>
      </c>
      <c r="JN189" s="355" t="str">
        <f t="shared" si="158"/>
        <v/>
      </c>
      <c r="JO189" s="359" t="str">
        <f t="shared" si="159"/>
        <v/>
      </c>
      <c r="JP189" s="346" t="b">
        <f t="shared" si="160"/>
        <v>0</v>
      </c>
      <c r="JQ189" s="347" t="b">
        <f t="shared" si="161"/>
        <v>0</v>
      </c>
      <c r="JR189" s="347" t="b">
        <f t="shared" si="162"/>
        <v>0</v>
      </c>
      <c r="JS189" s="347" t="b">
        <f t="shared" si="163"/>
        <v>1</v>
      </c>
      <c r="JT189" s="347" t="b">
        <f t="shared" si="164"/>
        <v>0</v>
      </c>
      <c r="JU189" s="347" t="b">
        <f t="shared" si="165"/>
        <v>0</v>
      </c>
      <c r="JV189" s="347" t="b">
        <f t="shared" si="166"/>
        <v>0</v>
      </c>
      <c r="JW189" s="347" t="b">
        <f t="shared" si="167"/>
        <v>0</v>
      </c>
      <c r="JX189" s="347" t="b">
        <f t="shared" si="168"/>
        <v>0</v>
      </c>
      <c r="JY189" s="347" t="b">
        <f t="shared" si="169"/>
        <v>0</v>
      </c>
      <c r="JZ189" s="347" t="b">
        <f t="shared" si="170"/>
        <v>0</v>
      </c>
      <c r="KA189" s="347" t="b">
        <f t="shared" si="171"/>
        <v>0</v>
      </c>
      <c r="KB189" s="365" t="b">
        <f t="shared" si="172"/>
        <v>0</v>
      </c>
      <c r="KC189" s="354" t="str">
        <f t="shared" si="173"/>
        <v/>
      </c>
      <c r="KD189" s="355" t="str">
        <f t="shared" si="174"/>
        <v/>
      </c>
      <c r="KE189" s="355" t="str">
        <f t="shared" si="175"/>
        <v/>
      </c>
      <c r="KF189" s="355" t="str">
        <f t="shared" si="176"/>
        <v>ga, </v>
      </c>
      <c r="KG189" s="355" t="str">
        <f t="shared" si="177"/>
        <v/>
      </c>
      <c r="KH189" s="355" t="str">
        <f t="shared" si="178"/>
        <v/>
      </c>
      <c r="KI189" s="355" t="str">
        <f t="shared" si="179"/>
        <v/>
      </c>
      <c r="KJ189" s="355" t="str">
        <f t="shared" si="180"/>
        <v/>
      </c>
      <c r="KK189" s="355" t="str">
        <f t="shared" si="181"/>
        <v/>
      </c>
      <c r="KL189" s="355" t="str">
        <f t="shared" si="182"/>
        <v/>
      </c>
      <c r="KM189" s="355" t="str">
        <f t="shared" si="183"/>
        <v/>
      </c>
      <c r="KN189" s="355" t="str">
        <f t="shared" si="184"/>
        <v/>
      </c>
      <c r="KO189" s="359"/>
      <c r="KP189" s="378"/>
      <c r="KQ189" s="379" t="s">
        <v>9</v>
      </c>
      <c r="KR189" s="380" t="s">
        <v>9</v>
      </c>
      <c r="KS189" s="381" t="s">
        <v>9</v>
      </c>
      <c r="KT189" s="382">
        <f t="shared" si="186"/>
        <v>0</v>
      </c>
      <c r="KU189" s="383">
        <f t="shared" si="187"/>
        <v>0</v>
      </c>
      <c r="KV189" s="381" t="str">
        <f t="shared" si="205"/>
        <v>S</v>
      </c>
      <c r="KW189" s="382">
        <f t="shared" si="189"/>
        <v>0</v>
      </c>
      <c r="KX189" s="384">
        <f t="shared" si="190"/>
        <v>0</v>
      </c>
      <c r="KY189" s="382">
        <f t="shared" ref="KY189:KZ189" si="592">KW189-KT189</f>
        <v>0</v>
      </c>
      <c r="KZ189" s="369">
        <f t="shared" si="592"/>
        <v>0</v>
      </c>
      <c r="LA189" s="385" t="str">
        <f t="shared" si="192"/>
        <v>✔</v>
      </c>
      <c r="LB189" s="340" t="str">
        <f>IFERROR(__xludf.DUMMYFUNCTION("JOIN("""",ArrayFormula(MID(KS189,LEN(KS189)-SEQUENCE(1,LEN(KS189))+1,1)))"),"S")</f>
        <v>S</v>
      </c>
      <c r="LC189" s="373" t="str">
        <f>IFERROR(__xludf.DUMMYFUNCTION("JOIN("""",ArrayFormula(MID(KV189,LEN(KV189)-SEQUENCE(1,LEN(KV189))+1,1)))"),"S")</f>
        <v>S</v>
      </c>
      <c r="LD189" s="373" t="str">
        <f t="shared" si="193"/>
        <v>S</v>
      </c>
      <c r="LE189" s="339" t="str">
        <f t="shared" si="194"/>
        <v>S</v>
      </c>
      <c r="LF189" s="386" t="str">
        <f>IFERROR(__xludf.DUMMYFUNCTION("SUBSTITUTE(SUBSTITUTE(CONCATENATE(JOIN("""",LH189:LT189)),""1"",""""),""2"","""")"),"SS")</f>
        <v>SS</v>
      </c>
      <c r="LG189" s="369" t="str">
        <f t="shared" si="195"/>
        <v>-</v>
      </c>
      <c r="LH189" s="387" t="str">
        <f>IFERROR(__xludf.DUMMYFUNCTION("IF(REGEXMATCH(LD189, ""S""), ""S"",IF(REGEXMATCH(LE189, ""S""), ""S"",""""))"),"S")</f>
        <v>S</v>
      </c>
      <c r="LI189" s="299" t="str">
        <f>IFERROR(__xludf.DUMMYFUNCTION("IF(REGEXMATCH(LD189, ""r""), ""r1"",IF(REGEXMATCH(LE189, ""r""), ""r2"",""""))"),"")</f>
        <v/>
      </c>
      <c r="LJ189" s="299" t="str">
        <f>IFERROR(__xludf.DUMMYFUNCTION("IF(REGEXMATCH(LD189, ""R""), ""R1"",IF(REGEXMATCH(LE189, ""R""), ""R2"",""""))"),"")</f>
        <v/>
      </c>
      <c r="LK189" s="299" t="str">
        <f>IFERROR(__xludf.DUMMYFUNCTION("IF(REGEXMATCH(LD189, ""g""), ""g1"",IF(REGEXMATCH(LE189, ""g""), ""g2"",""""))"),"")</f>
        <v/>
      </c>
      <c r="LL189" s="299" t="str">
        <f>IFERROR(__xludf.DUMMYFUNCTION("IF(REGEXMATCH(LD189, ""G""), ""G1"",IF(REGEXMATCH(LE189, ""G""), ""G2"",""""))"),"")</f>
        <v/>
      </c>
      <c r="LM189" s="299" t="str">
        <f>IFERROR(__xludf.DUMMYFUNCTION("IF(REGEXMATCH(LD189, ""m""), ""m1"",IF(REGEXMATCH(LE189, ""m""), ""m2"",""""))"),"")</f>
        <v/>
      </c>
      <c r="LN189" s="299" t="str">
        <f>IFERROR(__xludf.DUMMYFUNCTION("IF(REGEXMATCH(LD189, ""M""), ""M1"",IF(REGEXMATCH(LE189, ""M""), ""M2"",""""))"),"")</f>
        <v/>
      </c>
      <c r="LO189" s="299" t="str">
        <f>IFERROR(__xludf.DUMMYFUNCTION("IF(REGEXMATCH(LD189, ""P""), ""P1"",IF(REGEXMATCH(LE189, ""P""), ""P2"",""""))"),"")</f>
        <v/>
      </c>
      <c r="LP189" s="299" t="str">
        <f>IFERROR(__xludf.DUMMYFUNCTION("IF(REGEXMATCH(LD189, ""d""), ""d1"",IF(REGEXMATCH(LE189, ""d""), ""d2"",""""))"),"")</f>
        <v/>
      </c>
      <c r="LQ189" s="299" t="str">
        <f>IFERROR(__xludf.DUMMYFUNCTION("IF(REGEXMATCH(LD189, ""D""), ""D1"",IF(REGEXMATCH(LE189, ""D""), ""D2"",""""))"),"")</f>
        <v/>
      </c>
      <c r="LR189" s="299" t="str">
        <f>IFERROR(__xludf.DUMMYFUNCTION("IF(REGEXMATCH(LD189, ""n""), ""n1"",IF(REGEXMATCH(LE189, ""n""), ""n2"",""""))"),"")</f>
        <v/>
      </c>
      <c r="LS189" s="299" t="str">
        <f>IFERROR(__xludf.DUMMYFUNCTION("IF(REGEXMATCH(LD189, ""N""), ""N1"",IF(REGEXMATCH(LE189, ""N""), ""N2"",""""))"),"")</f>
        <v/>
      </c>
      <c r="LT189" s="388" t="str">
        <f>IFERROR(__xludf.DUMMYFUNCTION("IF(REGEXMATCH(LD189, ""S""), ""S"",IF(REGEXMATCH(LE189, ""S""), ""S"",""""))"),"S")</f>
        <v>S</v>
      </c>
      <c r="LU189" s="389">
        <f t="shared" si="196"/>
        <v>1</v>
      </c>
      <c r="LV189" s="378"/>
      <c r="LW189" s="369"/>
      <c r="LX189" s="369"/>
    </row>
    <row r="190" ht="18.0" customHeight="1">
      <c r="A190" s="298" t="s">
        <v>902</v>
      </c>
      <c r="B190" s="222" t="s">
        <v>632</v>
      </c>
      <c r="C190" s="233" t="str">
        <f t="shared" si="7"/>
        <v>SRGmMPDNS</v>
      </c>
      <c r="D190" s="234" t="str">
        <f>IFERROR(__xludf.DUMMYFUNCTION("IF(REGEXMATCH(C190, ""S""), ""S"","""")"),"S")</f>
        <v>S</v>
      </c>
      <c r="E190" s="236" t="str">
        <f>IFERROR(__xludf.DUMMYFUNCTION("IF(REGEXMATCH(C190, ""r""), ""r"","""")"),"")</f>
        <v/>
      </c>
      <c r="F190" s="237" t="str">
        <f>IFERROR(__xludf.DUMMYFUNCTION("IF(REGEXMATCH(C190, ""R""), ""R"","""")"),"R")</f>
        <v>R</v>
      </c>
      <c r="G190" s="237" t="str">
        <f>IFERROR(__xludf.DUMMYFUNCTION("IF(REGEXMATCH(C190, ""g""), ""g"","""")"),"")</f>
        <v/>
      </c>
      <c r="H190" s="236" t="str">
        <f>IFERROR(__xludf.DUMMYFUNCTION("IF(REGEXMATCH(C190, ""G""), ""G"","""")"),"G")</f>
        <v>G</v>
      </c>
      <c r="I190" s="236" t="str">
        <f>IFERROR(__xludf.DUMMYFUNCTION("IF(REGEXMATCH(C190, ""m""), ""m"","""")"),"m")</f>
        <v>m</v>
      </c>
      <c r="J190" s="237" t="str">
        <f>IFERROR(__xludf.DUMMYFUNCTION("IF(REGEXMATCH(C190, ""M""), ""M"","""")"),"M")</f>
        <v>M</v>
      </c>
      <c r="K190" s="236" t="str">
        <f>IFERROR(__xludf.DUMMYFUNCTION("IF(REGEXMATCH(C190, ""P""), ""P"","""")"),"P")</f>
        <v>P</v>
      </c>
      <c r="L190" s="237" t="str">
        <f>IFERROR(__xludf.DUMMYFUNCTION("IF(REGEXMATCH(C190, ""d""), ""d"","""")"),"")</f>
        <v/>
      </c>
      <c r="M190" s="236" t="str">
        <f>IFERROR(__xludf.DUMMYFUNCTION("IF(REGEXMATCH(C190, ""D""), ""D"","""")"),"D")</f>
        <v>D</v>
      </c>
      <c r="N190" s="236" t="str">
        <f>IFERROR(__xludf.DUMMYFUNCTION("IF(REGEXMATCH(C190, ""n""), ""n"","""")"),"")</f>
        <v/>
      </c>
      <c r="O190" s="237" t="str">
        <f>IFERROR(__xludf.DUMMYFUNCTION("IF(REGEXMATCH(C190, ""N""), ""N"","""")"),"N")</f>
        <v>N</v>
      </c>
      <c r="P190" s="238" t="str">
        <f>IFERROR(__xludf.DUMMYFUNCTION("IF(REGEXMATCH(C190, ""S""), ""S"","""")"),"S")</f>
        <v>S</v>
      </c>
      <c r="Q190" s="239" t="str">
        <f>IFERROR(__xludf.DUMMYFUNCTION("SUBSTITUTE(CONCATENATE(JOIN(""-"",D190:J190)),""-"","""")"),"SRGmM")</f>
        <v>SRGmM</v>
      </c>
      <c r="R190" s="229" t="str">
        <f>IFERROR(__xludf.DUMMYFUNCTION("SUBSTITUTE(CONCATENATE(JOIN(""-"",K190:P190)),""-"","""")"),"PDNS")</f>
        <v>PDNS</v>
      </c>
      <c r="S190" s="282" t="str">
        <f t="shared" si="8"/>
        <v>S-R-G-M</v>
      </c>
      <c r="T190" s="282" t="str">
        <f t="shared" si="9"/>
        <v>P-D-N-S</v>
      </c>
      <c r="U190" s="237" t="str">
        <f>IFERROR(__xludf.DUMMYFUNCTION("SUBSTITUTE(JOIN(""-"",S190,T190),""--"",""-"")"),"S-R-G-M-P-D-N-S")</f>
        <v>S-R-G-M-P-D-N-S</v>
      </c>
      <c r="V190" s="309" t="str">
        <f t="shared" si="10"/>
        <v>RGmMDN</v>
      </c>
      <c r="W190" s="244" t="str">
        <f>IFERROR(__xludf.DUMMYFUNCTION("IF(REGEXMATCH(C190, ""S""), ""0"","""")"),"0")</f>
        <v>0</v>
      </c>
      <c r="X190" s="245" t="str">
        <f>IFERROR(__xludf.DUMMYFUNCTION("IF(REGEXMATCH(C190, ""r""), ""1"","""")"),"")</f>
        <v/>
      </c>
      <c r="Y190" s="246" t="str">
        <f>IFERROR(__xludf.DUMMYFUNCTION("IF(REGEXMATCH(C190, ""R""), ""2"","""")"),"2")</f>
        <v>2</v>
      </c>
      <c r="Z190" s="246" t="str">
        <f>IFERROR(__xludf.DUMMYFUNCTION("IF(REGEXMATCH(C190, ""g""), ""3"","""")"),"")</f>
        <v/>
      </c>
      <c r="AA190" s="245" t="str">
        <f>IFERROR(__xludf.DUMMYFUNCTION("IF(REGEXMATCH(C190, ""G""), ""4"","""")"),"4")</f>
        <v>4</v>
      </c>
      <c r="AB190" s="245" t="str">
        <f>IFERROR(__xludf.DUMMYFUNCTION("IF(REGEXMATCH(C190, ""m""), ""5"","""")"),"5")</f>
        <v>5</v>
      </c>
      <c r="AC190" s="246" t="str">
        <f>IFERROR(__xludf.DUMMYFUNCTION("IF(REGEXMATCH(C190, ""M""), ""6"","""")"),"6")</f>
        <v>6</v>
      </c>
      <c r="AD190" s="245" t="str">
        <f>IFERROR(__xludf.DUMMYFUNCTION("IF(REGEXMATCH(C190, ""P""), ""7"","""")"),"7")</f>
        <v>7</v>
      </c>
      <c r="AE190" s="246" t="str">
        <f>IFERROR(__xludf.DUMMYFUNCTION("IF(REGEXMATCH(C190, ""d""), ""8"","""")"),"")</f>
        <v/>
      </c>
      <c r="AF190" s="245" t="str">
        <f>IFERROR(__xludf.DUMMYFUNCTION("IF(REGEXMATCH(C190, ""D""), ""9"","""")"),"9")</f>
        <v>9</v>
      </c>
      <c r="AG190" s="245" t="str">
        <f>IFERROR(__xludf.DUMMYFUNCTION("IF(REGEXMATCH(C190, ""n""), ""10"","""")"),"")</f>
        <v/>
      </c>
      <c r="AH190" s="246" t="str">
        <f>IFERROR(__xludf.DUMMYFUNCTION("IF(REGEXMATCH(C190, ""N""), ""11"","""")"),"11")</f>
        <v>11</v>
      </c>
      <c r="AI190" s="249" t="str">
        <f>IFERROR(__xludf.DUMMYFUNCTION("IF(REGEXMATCH(C190, ""S""), ""0"","""")"),"0")</f>
        <v>0</v>
      </c>
      <c r="AJ190" s="313" t="str">
        <f t="shared" si="11"/>
        <v>T</v>
      </c>
      <c r="AK190" s="313" t="str">
        <f t="shared" si="12"/>
        <v>-</v>
      </c>
      <c r="AL190" s="313" t="str">
        <f t="shared" si="13"/>
        <v>-</v>
      </c>
      <c r="AM190" s="313" t="str">
        <f t="shared" si="14"/>
        <v>-</v>
      </c>
      <c r="AN190" s="313" t="str">
        <f t="shared" si="15"/>
        <v>-</v>
      </c>
      <c r="AO190" s="314" t="str">
        <f t="shared" si="16"/>
        <v>T</v>
      </c>
      <c r="AP190" s="316">
        <f t="shared" si="17"/>
        <v>2</v>
      </c>
      <c r="AQ190" s="319" t="str">
        <f t="shared" si="18"/>
        <v>-</v>
      </c>
      <c r="AR190" s="320">
        <f t="shared" si="19"/>
        <v>0</v>
      </c>
      <c r="AS190" s="250" t="str">
        <f>IFERROR(__xludf.DUMMYFUNCTION("SUBSTITUTE(SUBSTITUTE(CONCATENATE(JOIN("""",FP190:GA190)),""|"",""x""),""-"",""o"")"),"xoxoxxxxoxox")</f>
        <v>xoxoxxxxoxox</v>
      </c>
      <c r="AT190" s="323" t="str">
        <f>IFERROR(__xludf.DUMMYFUNCTION("JOIN("""",AS190,AS190)"),"xoxoxxxxoxoxxoxoxxxxoxox")</f>
        <v>xoxoxxxxoxoxxoxoxxxxoxox</v>
      </c>
      <c r="AU190" s="256" t="str">
        <f>IFERROR(__xludf.DUMMYFUNCTION("JOIN("""",ArrayFormula(MID(AS190,LEN(AS190)-SEQUENCE(1,LEN(AS190))+1,1)))"),"xoxoxxxxoxox")</f>
        <v>xoxoxxxxoxox</v>
      </c>
      <c r="AV190" s="256" t="str">
        <f>IFERROR(__xludf.DUMMYFUNCTION("LEFT(CONCATENATE(""x"",JOIN("""",ArrayFormula(MID(AS190,LEN(AS190)-SEQUENCE(1,LEN(AS190))+1,1)))),12)"),"xxoxoxxxxoxo")</f>
        <v>xxoxoxxxxoxo</v>
      </c>
      <c r="AW190" s="327" t="str">
        <f>IFERROR(__xludf.DUMMYFUNCTION("JOIN("""",AU190,AU190)"),"xoxoxxxxoxoxxoxoxxxxoxox")</f>
        <v>xoxoxxxxoxoxxoxoxxxxoxox</v>
      </c>
      <c r="AX190" s="239" t="str">
        <f>IFERROR(__xludf.DUMMYFUNCTION("IF(REGEXMATCH(AW190,AS190),""✔"",""-"")"),"✔")</f>
        <v>✔</v>
      </c>
      <c r="AY190" s="330" t="str">
        <f t="shared" si="20"/>
        <v>-</v>
      </c>
      <c r="AZ190" s="260" t="str">
        <f t="shared" si="21"/>
        <v>#REF!</v>
      </c>
      <c r="BA190" s="333" t="str">
        <f t="shared" si="22"/>
        <v>xoxoxxx</v>
      </c>
      <c r="BB190" s="334" t="str">
        <f t="shared" si="23"/>
        <v>xoxoxx</v>
      </c>
      <c r="BC190" s="335" t="str">
        <f t="shared" si="236"/>
        <v>✔</v>
      </c>
      <c r="BD190" s="336" t="str">
        <f t="shared" si="25"/>
        <v>Lakshmi Kalyan: 'xoxoxxx' + 'xoxoxx'</v>
      </c>
      <c r="BE190" s="337">
        <f>IFERROR(__xludf.DUMMYFUNCTION("COUNTUNIQUE(FILTER(AT:AT,REGEXMATCH(AT:AT,AS190)))-1"),3.0)</f>
        <v>3</v>
      </c>
      <c r="BF190" s="261" t="str">
        <f>IFERROR(__xludf.DUMMYFUNCTION("IF(BI190=0,""(n/a)"",IF(BJ190=2,""(PAIR)"",IF(REGEXMATCH(AT190,""xoxoxxoxoxox""),""Bilawal"",IF(REGEXMATCH(AT190,""xoxoxooxoxoo""),""Bhupali"",IF(REGEXMATCH(AT190,""xoxoxxoxxoxo""),""Charukeshi"",IF(REGEXMATCH(AT190,""xoxoooxxoxxo""),""Kameshwari"",IF(REG"&amp;"EXMATCH(AT190,""xoxoxooxoxox""),""Shankara"",IF(REGEXMATCH(AT190,""xxooxoxxxoox""),""Basant"",IF(REGEXMATCH(AT190,""xoxoxxxxoxox""),""Bihag"",IF(REGEXMATCH(AT190,""xoxxxxoxoxxx""),""Pilu"",IF(REGEXMATCH(AT190,""xoxxoxoxxoox""),""Kirwani"",IF(REGEXMATCH(AT"&amp;"190,""xoxxoxoxoxxx""),""Mk.Malhar"",IF(REGEXMATCH(AT190,""xxooxxoxxoox""),""Bhairav"",IF(REGEXMATCH(AT190,""xxoxooxxxoox""),""Todi"",IF(REGEXMATCH(AT190,""xxooxoxooxox""),""Marwa"",IF(REGEXMATCH(AT190,""xxoooxoxxooo""),""Gunkali"",IF(REGEXMATCH(AT190,""xo"&amp;"xoxxoxxoox""),""Nat Bhairav"",IF(REGEXMATCH(AT190,""xoxxoooxoxoo""),""Shivranjani"",IF(REGEXMATCH(AT190,""xooxxxoxooxo""),""Jog"",IF(REGEXMATCH(AT190,""xxooxoxoxoox""),""Hemshri"",IF(REGEXMATCH(AT190,""xoooxooxoxxo""),""Kalavati"",IF(REGEXMATCH(AT190,""xx"&amp;"oxoxxoxoox""),""Kedar"",IF(REGEXMATCH(AT190,""xoxxxxoxooxx""),""Gara"",IF(REGEXMATCH(AT190,""xooxoxooxoox""),""Chandrakauns"",IF(REGEXMATCH(AT190,""xoxxxxoxxxox""),""Mand"",IF(REGEXMATCH(AT190,""xoxxxxoxoxox""),""Hanskinkini"",IF(REGEXMATCH(AT190,""xxooxx"&amp;"oxooxo""),""Lilavati"",IF(REGEXMATCH(AT190,""xooxoxoooxox""),""Rajeshwari"",IF(REGEXMATCH(AT190,""xoooxxoxoxxx""),""Khokar"",IF(REGEXMATCH(AT190,""xxooxoxxxxox""),""Maligoura"",""-""))))))))))))))))))))))))))))))"),"Bihag")</f>
        <v>Bihag</v>
      </c>
      <c r="BG190" s="239" t="str">
        <f t="shared" si="26"/>
        <v>#REF!</v>
      </c>
      <c r="BH190" s="239">
        <f>IFERROR(__xludf.DUMMYFUNCTION("COUNTUNIQUE(FE190:FO190)-1"),7.0)</f>
        <v>7</v>
      </c>
      <c r="BI190" s="239">
        <f>IFERROR(__xludf.DUMMYFUNCTION("COUNTUNIQUE(FILTER(AT:AT,REGEXMATCH(AT:AT,AS190)))-1"),3.0)</f>
        <v>3</v>
      </c>
      <c r="BJ190" s="239">
        <f>IFERROR(__xludf.DUMMYFUNCTION("COUNTA(FILTER(AT:AT,REGEXMATCH(AT:AT,AS190)))"),36.0)</f>
        <v>36</v>
      </c>
      <c r="BK190" s="341">
        <f>IFERROR(__xludf.DUMMYFUNCTION("COUNTA(FILTER(AT:AT,REGEXMATCH(AT:AT,AS190)))-AR190"),36.0)</f>
        <v>36</v>
      </c>
      <c r="BL190" s="276" t="str">
        <f>IFERROR(__xludf.DUMMYFUNCTION("IF(AS190=""oooooooooooo"",""-"",IF(REGEXMATCH(AT190,""xx""), ""Hemi."", ""Anhemi.""))"),"Hemi.")</f>
        <v>Hemi.</v>
      </c>
      <c r="BM190" s="282" t="str">
        <f>IFERROR(__xludf.DUMMYFUNCTION("IF(AS190=""oooooooooooo"",""-"",IF(REGEXMATCH(AT190,""xxx""), ""Cohem."", ""-""))"),"Cohem.")</f>
        <v>Cohem.</v>
      </c>
      <c r="BN190" s="282" t="str">
        <f>IFERROR(__xludf.DUMMYFUNCTION("IF(AS190=""oooooooooooo"",""-"",IF(REGEXMATCH(AT190,""xxxx""), ""Co-Co."", ""-""))"),"Co-Co.")</f>
        <v>Co-Co.</v>
      </c>
      <c r="BO190" s="342" t="str">
        <f>IFERROR(__xludf.DUMMYFUNCTION("IF(AS190=""oooooooooooo"",""-"",IF(REGEXMATCH(AT190,""xxxxx""), ""CCC."", ""-""))"),"-")</f>
        <v>-</v>
      </c>
      <c r="BP190" s="344" t="str">
        <f t="shared" si="27"/>
        <v>-</v>
      </c>
      <c r="BQ190" s="282" t="str">
        <f>IFERROR(__xludf.DUMMYFUNCTION("IF(REGEXMATCH(JOIN(""-"",EU190:FD190),""TRUE""),""✔"",""-"")"),"-")</f>
        <v>-</v>
      </c>
      <c r="BR190" s="225">
        <f t="shared" si="28"/>
        <v>0</v>
      </c>
      <c r="BS190" s="345" t="str">
        <f>IFERROR(__xludf.DUMMYFUNCTION("SUBSTITUTE(SUBSTITUTE(SUBSTITUTE(SUBSTITUTE(CONCATENATE(JOIN(""-"",GC190:GO190)),""--"",""-""),""--"",""-""),""--"",""-""),""--"",""-"")"),"1-2-3-4-#4-5-6-7-8")</f>
        <v>1-2-3-4-#4-5-6-7-8</v>
      </c>
      <c r="BT190" s="299" t="str">
        <f>IFERROR(__xludf.DUMMYFUNCTION("SUBSTITUTE(SUBSTITUTE(SUBSTITUTE(SUBSTITUTE(CONCATENATE(JOIN(""-"",GP190:HB190)),""--"",""-""),""--"",""-""),""--"",""-""),""--"",""-"")"),"S-R2-G3-M1-M2-P-D2-N3-S")</f>
        <v>S-R2-G3-M1-M2-P-D2-N3-S</v>
      </c>
      <c r="BU190" s="348" t="str">
        <f t="shared" si="29"/>
        <v>C-D-E-F-F#-G-A-B-C</v>
      </c>
      <c r="BV190" s="349" t="str">
        <f t="shared" si="30"/>
        <v>SrgdnS</v>
      </c>
      <c r="BW190" s="350">
        <f t="shared" si="31"/>
        <v>0</v>
      </c>
      <c r="BX190" s="351">
        <f t="shared" si="32"/>
        <v>13</v>
      </c>
      <c r="BY190" s="392"/>
      <c r="BZ190" s="309" t="str">
        <f>IFERROR(__xludf.DUMMYFUNCTION("IF(REGEXMATCH(C190, ""S""), ""x"",""x"")"),"x")</f>
        <v>x</v>
      </c>
      <c r="CA190" s="245" t="str">
        <f>IFERROR(__xludf.DUMMYFUNCTION("IF(REGEXMATCH(C190, ""r""), ""o"",""x"")"),"x")</f>
        <v>x</v>
      </c>
      <c r="CB190" s="246" t="str">
        <f>IFERROR(__xludf.DUMMYFUNCTION("IF(REGEXMATCH(C190, ""R""), ""o"",""x"")"),"o")</f>
        <v>o</v>
      </c>
      <c r="CC190" s="246" t="str">
        <f>IFERROR(__xludf.DUMMYFUNCTION("IF(REGEXMATCH(C190, ""g""), ""o"",""x"")"),"x")</f>
        <v>x</v>
      </c>
      <c r="CD190" s="245" t="str">
        <f>IFERROR(__xludf.DUMMYFUNCTION("IF(REGEXMATCH(C190, ""G""), ""o"",""x"")"),"o")</f>
        <v>o</v>
      </c>
      <c r="CE190" s="245" t="str">
        <f>IFERROR(__xludf.DUMMYFUNCTION("IF(REGEXMATCH(C190, ""m""), ""o"",""x"")"),"o")</f>
        <v>o</v>
      </c>
      <c r="CF190" s="246" t="str">
        <f>IFERROR(__xludf.DUMMYFUNCTION("IF(REGEXMATCH(C190, ""M""), ""o"",""x"")"),"o")</f>
        <v>o</v>
      </c>
      <c r="CG190" s="245" t="str">
        <f>IFERROR(__xludf.DUMMYFUNCTION("IF(REGEXMATCH(C190, ""P""), ""o"",""x"")"),"o")</f>
        <v>o</v>
      </c>
      <c r="CH190" s="246" t="str">
        <f>IFERROR(__xludf.DUMMYFUNCTION("IF(REGEXMATCH(C190, ""d""), ""o"",""x"")"),"x")</f>
        <v>x</v>
      </c>
      <c r="CI190" s="245" t="str">
        <f>IFERROR(__xludf.DUMMYFUNCTION("IF(REGEXMATCH(C190, ""D""), ""o"",""x"")"),"o")</f>
        <v>o</v>
      </c>
      <c r="CJ190" s="245" t="str">
        <f>IFERROR(__xludf.DUMMYFUNCTION("IF(REGEXMATCH(C190, ""n""), ""o"",""x"")"),"x")</f>
        <v>x</v>
      </c>
      <c r="CK190" s="245" t="str">
        <f>IFERROR(__xludf.DUMMYFUNCTION("IF(REGEXMATCH(C190, ""N""), ""o"",""x"")"),"o")</f>
        <v>o</v>
      </c>
      <c r="CL190" s="356" t="str">
        <f>IFERROR(__xludf.DUMMYFUNCTION("IF(REGEXMATCH(C190, ""S""), ""x"",""x"")"),"x")</f>
        <v>x</v>
      </c>
      <c r="CM190" s="357" t="str">
        <f t="shared" si="33"/>
        <v>xxoxooooxoxo</v>
      </c>
      <c r="CN190" s="358">
        <f t="shared" si="34"/>
        <v>0</v>
      </c>
      <c r="CO190" s="246" t="str">
        <f>IFERROR(__xludf.DUMMYFUNCTION("IF(REGEXMATCH($C190, ""S""), ""S"",""S"")"),"S")</f>
        <v>S</v>
      </c>
      <c r="CP190" s="246" t="str">
        <f>IFERROR(__xludf.DUMMYFUNCTION("IF(REGEXMATCH($C190, ""r""), """",""r"")"),"r")</f>
        <v>r</v>
      </c>
      <c r="CQ190" s="246" t="str">
        <f>IFERROR(__xludf.DUMMYFUNCTION("IF(REGEXMATCH($C190, ""R""), """",""R"")"),"")</f>
        <v/>
      </c>
      <c r="CR190" s="246" t="str">
        <f>IFERROR(__xludf.DUMMYFUNCTION("IF(REGEXMATCH($C190, ""g""), """",""g"")"),"g")</f>
        <v>g</v>
      </c>
      <c r="CS190" s="246" t="str">
        <f>IFERROR(__xludf.DUMMYFUNCTION("IF(REGEXMATCH($C190, ""G""), """",""G"")"),"")</f>
        <v/>
      </c>
      <c r="CT190" s="246" t="str">
        <f>IFERROR(__xludf.DUMMYFUNCTION("IF(REGEXMATCH($C190, ""m""), """",""m"")"),"")</f>
        <v/>
      </c>
      <c r="CU190" s="246" t="str">
        <f>IFERROR(__xludf.DUMMYFUNCTION("IF(REGEXMATCH($C190, ""M""), """",""M"")"),"")</f>
        <v/>
      </c>
      <c r="CV190" s="246" t="str">
        <f>IFERROR(__xludf.DUMMYFUNCTION("IF(REGEXMATCH($C190, ""P""), """",""P"")"),"")</f>
        <v/>
      </c>
      <c r="CW190" s="246" t="str">
        <f>IFERROR(__xludf.DUMMYFUNCTION("IF(REGEXMATCH($C190, ""d""), """",""d"")"),"d")</f>
        <v>d</v>
      </c>
      <c r="CX190" s="246" t="str">
        <f>IFERROR(__xludf.DUMMYFUNCTION("IF(REGEXMATCH($C190, ""D""), """",""D"")"),"")</f>
        <v/>
      </c>
      <c r="CY190" s="246" t="str">
        <f>IFERROR(__xludf.DUMMYFUNCTION("IF(REGEXMATCH($C190, ""n""), """",""n"")"),"n")</f>
        <v>n</v>
      </c>
      <c r="CZ190" s="246" t="str">
        <f>IFERROR(__xludf.DUMMYFUNCTION("IF(REGEXMATCH($C190, ""N""), """",""N"")"),"")</f>
        <v/>
      </c>
      <c r="DA190" s="246" t="str">
        <f>IFERROR(__xludf.DUMMYFUNCTION("IF(REGEXMATCH($C190, ""S""), ""S"",""S"")"),"S")</f>
        <v>S</v>
      </c>
      <c r="DB190" s="362" t="str">
        <f>IFERROR(__xludf.DUMMYFUNCTION("JOIN("""",CO190:DA190,"""","""")"),"SrgdnS")</f>
        <v>SrgdnS</v>
      </c>
      <c r="DC190" s="363"/>
      <c r="DD190" s="301" t="str">
        <f t="shared" si="35"/>
        <v>#REF!</v>
      </c>
      <c r="DE190" s="302" t="str">
        <f t="shared" si="36"/>
        <v>#REF!</v>
      </c>
      <c r="DF190" s="301" t="str">
        <f t="shared" ref="DF190:DG190" si="593">SUBSTITUTE(S190,"-","")</f>
        <v>SRGM</v>
      </c>
      <c r="DG190" s="301" t="str">
        <f t="shared" si="593"/>
        <v>PDNS</v>
      </c>
      <c r="DH190" s="302" t="str">
        <f t="shared" si="38"/>
        <v>Bihag</v>
      </c>
      <c r="DI190" s="301" t="str">
        <f t="shared" si="39"/>
        <v>Hemi.</v>
      </c>
      <c r="DJ190" s="364" t="str">
        <f t="shared" si="40"/>
        <v>Co-Co.</v>
      </c>
      <c r="DK190" s="306" t="str">
        <f t="shared" si="41"/>
        <v>-</v>
      </c>
      <c r="DL190" s="366" t="str">
        <f t="shared" si="42"/>
        <v>-</v>
      </c>
      <c r="DM190" s="308" t="str">
        <f t="shared" si="43"/>
        <v>✔</v>
      </c>
      <c r="DN190" s="306" t="str">
        <f t="shared" si="44"/>
        <v>-</v>
      </c>
      <c r="DO190" s="306" t="str">
        <f t="shared" si="45"/>
        <v>-</v>
      </c>
      <c r="DP190" s="367" t="str">
        <f t="shared" si="46"/>
        <v>-</v>
      </c>
      <c r="DQ190" s="310" t="str">
        <f t="shared" si="47"/>
        <v>-</v>
      </c>
      <c r="DR190" s="310" t="str">
        <f t="shared" si="48"/>
        <v>-</v>
      </c>
      <c r="DS190" s="310" t="str">
        <f t="shared" si="49"/>
        <v>✔</v>
      </c>
      <c r="DT190" s="310" t="str">
        <f t="shared" si="50"/>
        <v>-</v>
      </c>
      <c r="DU190" s="370" t="str">
        <f t="shared" si="51"/>
        <v>-</v>
      </c>
      <c r="DV190" s="306" t="str">
        <f t="shared" si="52"/>
        <v>-</v>
      </c>
      <c r="DW190" s="306" t="str">
        <f t="shared" si="53"/>
        <v>-</v>
      </c>
      <c r="DX190" s="306" t="str">
        <f t="shared" si="54"/>
        <v>-</v>
      </c>
      <c r="DY190" s="306" t="str">
        <f t="shared" si="55"/>
        <v>-</v>
      </c>
      <c r="DZ190" s="306" t="str">
        <f t="shared" si="56"/>
        <v>-</v>
      </c>
      <c r="EA190" s="367" t="str">
        <f t="shared" si="57"/>
        <v>-</v>
      </c>
      <c r="EB190" s="310" t="str">
        <f>IFERROR(__xludf.DUMMYFUNCTION("IF(REGEXMATCH(AW190,AS190),""✔"",""-"")"),"✔")</f>
        <v>✔</v>
      </c>
      <c r="EC190" s="310" t="str">
        <f t="shared" si="58"/>
        <v>#REF!</v>
      </c>
      <c r="ED190" s="370" t="str">
        <f t="shared" si="59"/>
        <v>-</v>
      </c>
      <c r="EE190" s="340" t="str">
        <f t="shared" si="60"/>
        <v>S-R-G-mM-P-D-N-S</v>
      </c>
      <c r="EF190" s="371" t="str">
        <f>IFERROR(__xludf.DUMMYFUNCTION("CONCATENATE(JOIN("""",HC190:HO190))"),"SrgmMPdnS")</f>
        <v>SrgmMPdnS</v>
      </c>
      <c r="EG190" s="372">
        <f t="shared" si="61"/>
        <v>1</v>
      </c>
      <c r="EH190" s="373" t="str">
        <f>IFERROR(__xludf.DUMMYFUNCTION("CONCATENATE(JOIN("""",JC190:JO190))"),"Ma, ")</f>
        <v>Ma, </v>
      </c>
      <c r="EI190" s="322">
        <f t="shared" si="62"/>
        <v>0</v>
      </c>
      <c r="EJ190" s="374" t="str">
        <f>IFERROR(__xludf.DUMMYFUNCTION("CONCATENATE(JOIN("""",KC190:KO190))"),"")</f>
        <v/>
      </c>
      <c r="EK190" s="325" t="str">
        <f t="shared" si="63"/>
        <v>S-R2-G3-M1-M2-P-D2-N3-S</v>
      </c>
      <c r="EL190" s="326" t="str">
        <f t="shared" si="64"/>
        <v>1-2-3-4-#4-5-6-7-8</v>
      </c>
      <c r="EM190" s="318" t="str">
        <f t="shared" si="65"/>
        <v>#REF!</v>
      </c>
      <c r="EN190" s="328" t="str">
        <f>IFERROR(__xludf.DUMMYFUNCTION("SUBSTITUTE(SUBSTITUTE(SUBSTITUTE(SUBSTITUTE(CONCATENATE(JOIN("" "",HP190:IB190)),""  "","" ""),""  "","" ""),""  "","" ""),""  "","" "")"),"o • o • o o o o • o • o o")</f>
        <v>o • o • o o o o • o • o o</v>
      </c>
      <c r="EO190" s="368" t="str">
        <f t="shared" si="66"/>
        <v>-</v>
      </c>
      <c r="EP190" s="339" t="str">
        <f t="shared" si="67"/>
        <v>-</v>
      </c>
      <c r="EQ190" s="339" t="str">
        <f t="shared" si="68"/>
        <v>Sa-Pa</v>
      </c>
      <c r="ER190" s="339" t="str">
        <f t="shared" si="69"/>
        <v>-</v>
      </c>
      <c r="ES190" s="340" t="str">
        <f t="shared" si="70"/>
        <v>-</v>
      </c>
      <c r="ET190" s="363"/>
      <c r="EU190" s="376" t="b">
        <f>IFERROR(__xludf.DUMMYFUNCTION("arrayformula(sum(--REGEXMATCH(""SRGMPDNS"",split(REGEXREPLACE(C190,""(.)"",""$1~""),""~""))))=len(C190)
"),FALSE)</f>
        <v>0</v>
      </c>
      <c r="EV190" s="290" t="b">
        <f>IFERROR(__xludf.DUMMYFUNCTION("arrayformula(sum(--REGEXMATCH(""SRGmPDNS"",split(REGEXREPLACE(C190,""(.)"",""$1~""),""~""))))=len(C190)"),FALSE)</f>
        <v>0</v>
      </c>
      <c r="EW190" s="290" t="b">
        <f>IFERROR(__xludf.DUMMYFUNCTION("arrayformula(sum(--REGEXMATCH(""SRGmPDnS"",split(REGEXREPLACE(C190,""(.)"",""$1~""),""~""))))=len(C190)"),FALSE)</f>
        <v>0</v>
      </c>
      <c r="EX190" s="290" t="b">
        <f>IFERROR(__xludf.DUMMYFUNCTION("arrayformula(sum(--REGEXMATCH(""SRgmPDnS"",split(REGEXREPLACE(C190,""(.)"",""$1~""),""~""))))=len(C190)"),FALSE)</f>
        <v>0</v>
      </c>
      <c r="EY190" s="290" t="b">
        <f>IFERROR(__xludf.DUMMYFUNCTION("arrayformula(sum(--REGEXMATCH(""SRgmPdnS"",split(REGEXREPLACE(C190,""(.)"",""$1~""),""~""))))=len(C190)"),FALSE)</f>
        <v>0</v>
      </c>
      <c r="EZ190" s="290" t="b">
        <f>IFERROR(__xludf.DUMMYFUNCTION("arrayformula(sum(--REGEXMATCH(""SrgmPdnS"",split(REGEXREPLACE(C190,""(.)"",""$1~""),""~""))))=len(C190)"),FALSE)</f>
        <v>0</v>
      </c>
      <c r="FA190" s="290" t="b">
        <f>IFERROR(__xludf.DUMMYFUNCTION("arrayformula(sum(--REGEXMATCH(""SrGmPdNS"",split(REGEXREPLACE(C190,""(.)"",""$1~""),""~""))))=len(C190)"),FALSE)</f>
        <v>0</v>
      </c>
      <c r="FB190" s="290" t="b">
        <f>IFERROR(__xludf.DUMMYFUNCTION("arrayformula(sum(--REGEXMATCH(""SrGMPDNS"",split(REGEXREPLACE(C190,""(.)"",""$1~""),""~""))))=len(C190)"),FALSE)</f>
        <v>0</v>
      </c>
      <c r="FC190" s="290" t="b">
        <f>IFERROR(__xludf.DUMMYFUNCTION("arrayformula(sum(--REGEXMATCH(""SrGMPdNS"",split(REGEXREPLACE(C190,""(.)"",""$1~""),""~""))))=len(C190)"),FALSE)</f>
        <v>0</v>
      </c>
      <c r="FD190" s="377" t="b">
        <f>IFERROR(__xludf.DUMMYFUNCTION("arrayformula(sum(--REGEXMATCH(""SrgMPdNS"",split(REGEXREPLACE(C190,""(.)"",""$1~""),""~""))))=len(C190)"),FALSE)</f>
        <v>0</v>
      </c>
      <c r="FE190" s="269" t="str">
        <f t="shared" si="71"/>
        <v>-</v>
      </c>
      <c r="FF190" s="269" t="str">
        <f t="shared" si="72"/>
        <v>xoxxxxoxoxx</v>
      </c>
      <c r="FG190" s="271" t="str">
        <f t="shared" si="73"/>
        <v>-</v>
      </c>
      <c r="FH190" s="269" t="str">
        <f t="shared" si="74"/>
        <v>xxxxoxoxxox</v>
      </c>
      <c r="FI190" s="271" t="str">
        <f t="shared" si="75"/>
        <v>xxxoxoxxoxo</v>
      </c>
      <c r="FJ190" s="271" t="str">
        <f t="shared" si="76"/>
        <v>xxoxoxxoxox</v>
      </c>
      <c r="FK190" s="271" t="str">
        <f t="shared" si="77"/>
        <v>xoxoxxoxoxx</v>
      </c>
      <c r="FL190" s="271" t="str">
        <f t="shared" si="78"/>
        <v>-</v>
      </c>
      <c r="FM190" s="271" t="str">
        <f t="shared" si="79"/>
        <v>xoxxoxoxxxx</v>
      </c>
      <c r="FN190" s="271" t="str">
        <f t="shared" si="80"/>
        <v>-</v>
      </c>
      <c r="FO190" s="274" t="str">
        <f t="shared" si="81"/>
        <v>xxoxoxxxxox</v>
      </c>
      <c r="FP190" s="234" t="str">
        <f t="shared" si="82"/>
        <v>|</v>
      </c>
      <c r="FQ190" s="236" t="str">
        <f t="shared" si="83"/>
        <v>-</v>
      </c>
      <c r="FR190" s="237" t="str">
        <f t="shared" si="84"/>
        <v>|</v>
      </c>
      <c r="FS190" s="236" t="str">
        <f t="shared" si="85"/>
        <v>-</v>
      </c>
      <c r="FT190" s="237" t="str">
        <f t="shared" si="86"/>
        <v>|</v>
      </c>
      <c r="FU190" s="236" t="str">
        <f t="shared" si="87"/>
        <v>|</v>
      </c>
      <c r="FV190" s="237" t="str">
        <f t="shared" si="88"/>
        <v>|</v>
      </c>
      <c r="FW190" s="236" t="str">
        <f t="shared" si="89"/>
        <v>|</v>
      </c>
      <c r="FX190" s="237" t="str">
        <f t="shared" si="90"/>
        <v>-</v>
      </c>
      <c r="FY190" s="236" t="str">
        <f t="shared" si="91"/>
        <v>|</v>
      </c>
      <c r="FZ190" s="237" t="str">
        <f t="shared" si="92"/>
        <v>-</v>
      </c>
      <c r="GA190" s="236" t="str">
        <f t="shared" si="93"/>
        <v>|</v>
      </c>
      <c r="GB190" s="238" t="str">
        <f t="shared" si="94"/>
        <v>|</v>
      </c>
      <c r="GC190" s="244" t="str">
        <f>IFERROR(__xludf.DUMMYFUNCTION("IF(REGEXMATCH(C190, ""S""), ""1"","""")"),"1")</f>
        <v>1</v>
      </c>
      <c r="GD190" s="245" t="str">
        <f>IFERROR(__xludf.DUMMYFUNCTION("IF(REGEXMATCH(C190, ""r""), ""b2"","""")"),"")</f>
        <v/>
      </c>
      <c r="GE190" s="246" t="str">
        <f>IFERROR(__xludf.DUMMYFUNCTION("IF(REGEXMATCH(C190, ""R""), ""2"","""")"),"2")</f>
        <v>2</v>
      </c>
      <c r="GF190" s="246" t="str">
        <f>IFERROR(__xludf.DUMMYFUNCTION("IF(REGEXMATCH(C190, ""g""), ""b3"","""")"),"")</f>
        <v/>
      </c>
      <c r="GG190" s="245" t="str">
        <f>IFERROR(__xludf.DUMMYFUNCTION("IF(REGEXMATCH(C190, ""G""), ""3"","""")"),"3")</f>
        <v>3</v>
      </c>
      <c r="GH190" s="245" t="str">
        <f>IFERROR(__xludf.DUMMYFUNCTION("IF(REGEXMATCH(C190, ""m""), ""4"","""")"),"4")</f>
        <v>4</v>
      </c>
      <c r="GI190" s="246" t="str">
        <f>IFERROR(__xludf.DUMMYFUNCTION("IF(REGEXMATCH(C190, ""M""), ""#4"","""")"),"#4")</f>
        <v>#4</v>
      </c>
      <c r="GJ190" s="245" t="str">
        <f>IFERROR(__xludf.DUMMYFUNCTION("IF(REGEXMATCH(C190, ""P""), ""5"","""")"),"5")</f>
        <v>5</v>
      </c>
      <c r="GK190" s="246" t="str">
        <f>IFERROR(__xludf.DUMMYFUNCTION("IF(REGEXMATCH(C190, ""d""), ""b6"","""")"),"")</f>
        <v/>
      </c>
      <c r="GL190" s="245" t="str">
        <f>IFERROR(__xludf.DUMMYFUNCTION("IF(REGEXMATCH(C190, ""D""), ""6"","""")"),"6")</f>
        <v>6</v>
      </c>
      <c r="GM190" s="245" t="str">
        <f>IFERROR(__xludf.DUMMYFUNCTION("IF(REGEXMATCH(C190, ""n""), ""b7"","""")"),"")</f>
        <v/>
      </c>
      <c r="GN190" s="246" t="str">
        <f>IFERROR(__xludf.DUMMYFUNCTION("IF(REGEXMATCH(C190, ""N""), ""7"","""")"),"7")</f>
        <v>7</v>
      </c>
      <c r="GO190" s="249" t="str">
        <f>IFERROR(__xludf.DUMMYFUNCTION("IF(REGEXMATCH(C190, ""S""), ""8"","""")"),"8")</f>
        <v>8</v>
      </c>
      <c r="GP190" s="244" t="str">
        <f>IFERROR(__xludf.DUMMYFUNCTION("IF(REGEXMATCH(C190, ""S""), ""S"","""")"),"S")</f>
        <v>S</v>
      </c>
      <c r="GQ190" s="294" t="str">
        <f>IFERROR(__xludf.DUMMYFUNCTION("IF(REGEXMATCH(C190, ""r""), ""R1"","""")"),"")</f>
        <v/>
      </c>
      <c r="GR190" s="295" t="str">
        <f>IFERROR(__xludf.DUMMYFUNCTION("IF(REGEXMATCH(C190, ""R""), ""R2"","""")"),"R2")</f>
        <v>R2</v>
      </c>
      <c r="GS190" s="295" t="str">
        <f>IFERROR(__xludf.DUMMYFUNCTION("IF(REGEXMATCH(C190, ""g""), ""G2"","""")"),"")</f>
        <v/>
      </c>
      <c r="GT190" s="294" t="str">
        <f>IFERROR(__xludf.DUMMYFUNCTION("IF(REGEXMATCH(C190, ""G""), ""G3"","""")"),"G3")</f>
        <v>G3</v>
      </c>
      <c r="GU190" s="294" t="str">
        <f>IFERROR(__xludf.DUMMYFUNCTION("IF(REGEXMATCH(C190, ""m""), ""M1"","""")"),"M1")</f>
        <v>M1</v>
      </c>
      <c r="GV190" s="295" t="str">
        <f>IFERROR(__xludf.DUMMYFUNCTION("IF(REGEXMATCH(C190, ""M""), ""M2"","""")"),"M2")</f>
        <v>M2</v>
      </c>
      <c r="GW190" s="294" t="str">
        <f>IFERROR(__xludf.DUMMYFUNCTION("IF(REGEXMATCH(C190, ""P""), ""P"","""")"),"P")</f>
        <v>P</v>
      </c>
      <c r="GX190" s="295" t="str">
        <f>IFERROR(__xludf.DUMMYFUNCTION("IF(REGEXMATCH(C190, ""d""), ""D1"","""")"),"")</f>
        <v/>
      </c>
      <c r="GY190" s="294" t="str">
        <f>IFERROR(__xludf.DUMMYFUNCTION("IF(REGEXMATCH(C190, ""D""), ""D2"","""")"),"D2")</f>
        <v>D2</v>
      </c>
      <c r="GZ190" s="294" t="str">
        <f>IFERROR(__xludf.DUMMYFUNCTION("IF(REGEXMATCH(C190, ""n""), ""N2"","""")"),"")</f>
        <v/>
      </c>
      <c r="HA190" s="295" t="str">
        <f>IFERROR(__xludf.DUMMYFUNCTION("IF(REGEXMATCH(C190, ""N""), ""N3"","""")"),"N3")</f>
        <v>N3</v>
      </c>
      <c r="HB190" s="249" t="str">
        <f>IFERROR(__xludf.DUMMYFUNCTION("IF(REGEXMATCH(C190, ""S""), ""S"","""")"),"S")</f>
        <v>S</v>
      </c>
      <c r="HC190" s="331" t="str">
        <f t="shared" si="95"/>
        <v>S</v>
      </c>
      <c r="HD190" s="332" t="str">
        <f t="shared" si="96"/>
        <v>r</v>
      </c>
      <c r="HE190" s="332" t="str">
        <f t="shared" si="97"/>
        <v/>
      </c>
      <c r="HF190" s="332" t="str">
        <f t="shared" si="98"/>
        <v>g</v>
      </c>
      <c r="HG190" s="332" t="str">
        <f t="shared" si="99"/>
        <v/>
      </c>
      <c r="HH190" s="332" t="str">
        <f t="shared" si="100"/>
        <v>m</v>
      </c>
      <c r="HI190" s="332" t="str">
        <f t="shared" si="101"/>
        <v>M</v>
      </c>
      <c r="HJ190" s="332" t="str">
        <f t="shared" si="102"/>
        <v>P</v>
      </c>
      <c r="HK190" s="332" t="str">
        <f t="shared" si="103"/>
        <v>d</v>
      </c>
      <c r="HL190" s="332" t="str">
        <f t="shared" si="104"/>
        <v/>
      </c>
      <c r="HM190" s="332" t="str">
        <f t="shared" si="105"/>
        <v>n</v>
      </c>
      <c r="HN190" s="332" t="str">
        <f t="shared" si="106"/>
        <v/>
      </c>
      <c r="HO190" s="343" t="str">
        <f t="shared" si="107"/>
        <v>S</v>
      </c>
      <c r="HP190" s="331" t="str">
        <f t="shared" si="108"/>
        <v>o</v>
      </c>
      <c r="HQ190" s="332" t="str">
        <f t="shared" si="109"/>
        <v>•</v>
      </c>
      <c r="HR190" s="332" t="str">
        <f t="shared" si="110"/>
        <v>o</v>
      </c>
      <c r="HS190" s="332" t="str">
        <f t="shared" si="111"/>
        <v>•</v>
      </c>
      <c r="HT190" s="332" t="str">
        <f t="shared" si="112"/>
        <v>o</v>
      </c>
      <c r="HU190" s="332" t="str">
        <f t="shared" si="113"/>
        <v>o</v>
      </c>
      <c r="HV190" s="332" t="str">
        <f t="shared" si="114"/>
        <v>o</v>
      </c>
      <c r="HW190" s="332" t="str">
        <f t="shared" si="115"/>
        <v>o</v>
      </c>
      <c r="HX190" s="332" t="str">
        <f t="shared" si="116"/>
        <v>•</v>
      </c>
      <c r="HY190" s="332" t="str">
        <f t="shared" si="117"/>
        <v>o</v>
      </c>
      <c r="HZ190" s="332" t="str">
        <f t="shared" si="118"/>
        <v>•</v>
      </c>
      <c r="IA190" s="332" t="str">
        <f t="shared" si="119"/>
        <v>o</v>
      </c>
      <c r="IB190" s="338" t="str">
        <f t="shared" si="120"/>
        <v>o</v>
      </c>
      <c r="IC190" s="331" t="str">
        <f t="shared" si="121"/>
        <v>•</v>
      </c>
      <c r="ID190" s="332" t="str">
        <f t="shared" si="122"/>
        <v>o</v>
      </c>
      <c r="IE190" s="332" t="str">
        <f t="shared" si="123"/>
        <v>•</v>
      </c>
      <c r="IF190" s="332" t="str">
        <f t="shared" si="124"/>
        <v>o</v>
      </c>
      <c r="IG190" s="332" t="str">
        <f t="shared" si="125"/>
        <v>•</v>
      </c>
      <c r="IH190" s="332" t="str">
        <f t="shared" si="126"/>
        <v>•</v>
      </c>
      <c r="II190" s="332" t="str">
        <f t="shared" si="127"/>
        <v>•</v>
      </c>
      <c r="IJ190" s="332" t="str">
        <f t="shared" si="128"/>
        <v>•</v>
      </c>
      <c r="IK190" s="332" t="str">
        <f t="shared" si="129"/>
        <v>o</v>
      </c>
      <c r="IL190" s="332" t="str">
        <f t="shared" si="130"/>
        <v>•</v>
      </c>
      <c r="IM190" s="332" t="str">
        <f t="shared" si="131"/>
        <v>o</v>
      </c>
      <c r="IN190" s="332" t="str">
        <f t="shared" si="132"/>
        <v>•</v>
      </c>
      <c r="IO190" s="338" t="str">
        <f t="shared" si="133"/>
        <v>•</v>
      </c>
      <c r="IP190" s="346" t="b">
        <f t="shared" si="134"/>
        <v>0</v>
      </c>
      <c r="IQ190" s="347" t="b">
        <f t="shared" si="135"/>
        <v>0</v>
      </c>
      <c r="IR190" s="347" t="b">
        <f t="shared" si="136"/>
        <v>0</v>
      </c>
      <c r="IS190" s="347" t="b">
        <f t="shared" si="137"/>
        <v>0</v>
      </c>
      <c r="IT190" s="347" t="b">
        <f t="shared" si="138"/>
        <v>0</v>
      </c>
      <c r="IU190" s="347" t="b">
        <f t="shared" si="139"/>
        <v>0</v>
      </c>
      <c r="IV190" s="347" t="b">
        <f t="shared" si="140"/>
        <v>1</v>
      </c>
      <c r="IW190" s="347" t="b">
        <f t="shared" si="141"/>
        <v>0</v>
      </c>
      <c r="IX190" s="347" t="b">
        <f t="shared" si="142"/>
        <v>0</v>
      </c>
      <c r="IY190" s="347" t="b">
        <f t="shared" si="143"/>
        <v>0</v>
      </c>
      <c r="IZ190" s="347" t="b">
        <f t="shared" si="144"/>
        <v>0</v>
      </c>
      <c r="JA190" s="347" t="b">
        <f t="shared" si="145"/>
        <v>0</v>
      </c>
      <c r="JB190" s="353" t="b">
        <f t="shared" si="146"/>
        <v>0</v>
      </c>
      <c r="JC190" s="354" t="str">
        <f t="shared" si="147"/>
        <v/>
      </c>
      <c r="JD190" s="355" t="str">
        <f t="shared" si="148"/>
        <v/>
      </c>
      <c r="JE190" s="355" t="str">
        <f t="shared" si="149"/>
        <v/>
      </c>
      <c r="JF190" s="355" t="str">
        <f t="shared" si="150"/>
        <v/>
      </c>
      <c r="JG190" s="355" t="str">
        <f t="shared" si="151"/>
        <v/>
      </c>
      <c r="JH190" s="355" t="str">
        <f t="shared" si="152"/>
        <v/>
      </c>
      <c r="JI190" s="355" t="str">
        <f t="shared" si="153"/>
        <v>Ma, </v>
      </c>
      <c r="JJ190" s="355" t="str">
        <f t="shared" si="154"/>
        <v/>
      </c>
      <c r="JK190" s="355" t="str">
        <f t="shared" si="155"/>
        <v/>
      </c>
      <c r="JL190" s="355" t="str">
        <f t="shared" si="156"/>
        <v/>
      </c>
      <c r="JM190" s="355" t="str">
        <f t="shared" si="157"/>
        <v/>
      </c>
      <c r="JN190" s="355" t="str">
        <f t="shared" si="158"/>
        <v/>
      </c>
      <c r="JO190" s="359" t="str">
        <f t="shared" si="159"/>
        <v/>
      </c>
      <c r="JP190" s="346" t="b">
        <f t="shared" si="160"/>
        <v>0</v>
      </c>
      <c r="JQ190" s="347" t="b">
        <f t="shared" si="161"/>
        <v>0</v>
      </c>
      <c r="JR190" s="347" t="b">
        <f t="shared" si="162"/>
        <v>0</v>
      </c>
      <c r="JS190" s="347" t="b">
        <f t="shared" si="163"/>
        <v>0</v>
      </c>
      <c r="JT190" s="347" t="b">
        <f t="shared" si="164"/>
        <v>0</v>
      </c>
      <c r="JU190" s="347" t="b">
        <f t="shared" si="165"/>
        <v>0</v>
      </c>
      <c r="JV190" s="347" t="b">
        <f t="shared" si="166"/>
        <v>0</v>
      </c>
      <c r="JW190" s="347" t="b">
        <f t="shared" si="167"/>
        <v>0</v>
      </c>
      <c r="JX190" s="347" t="b">
        <f t="shared" si="168"/>
        <v>0</v>
      </c>
      <c r="JY190" s="347" t="b">
        <f t="shared" si="169"/>
        <v>0</v>
      </c>
      <c r="JZ190" s="347" t="b">
        <f t="shared" si="170"/>
        <v>0</v>
      </c>
      <c r="KA190" s="347" t="b">
        <f t="shared" si="171"/>
        <v>0</v>
      </c>
      <c r="KB190" s="365" t="b">
        <f t="shared" si="172"/>
        <v>0</v>
      </c>
      <c r="KC190" s="354" t="str">
        <f t="shared" si="173"/>
        <v/>
      </c>
      <c r="KD190" s="355" t="str">
        <f t="shared" si="174"/>
        <v/>
      </c>
      <c r="KE190" s="355" t="str">
        <f t="shared" si="175"/>
        <v/>
      </c>
      <c r="KF190" s="355" t="str">
        <f t="shared" si="176"/>
        <v/>
      </c>
      <c r="KG190" s="355" t="str">
        <f t="shared" si="177"/>
        <v/>
      </c>
      <c r="KH190" s="355" t="str">
        <f t="shared" si="178"/>
        <v/>
      </c>
      <c r="KI190" s="355" t="str">
        <f t="shared" si="179"/>
        <v/>
      </c>
      <c r="KJ190" s="355" t="str">
        <f t="shared" si="180"/>
        <v/>
      </c>
      <c r="KK190" s="355" t="str">
        <f t="shared" si="181"/>
        <v/>
      </c>
      <c r="KL190" s="355" t="str">
        <f t="shared" si="182"/>
        <v/>
      </c>
      <c r="KM190" s="355" t="str">
        <f t="shared" si="183"/>
        <v/>
      </c>
      <c r="KN190" s="355" t="str">
        <f t="shared" si="184"/>
        <v/>
      </c>
      <c r="KO190" s="359"/>
      <c r="KP190" s="378"/>
      <c r="KQ190" s="379" t="s">
        <v>9</v>
      </c>
      <c r="KR190" s="380" t="s">
        <v>9</v>
      </c>
      <c r="KS190" s="381" t="s">
        <v>9</v>
      </c>
      <c r="KT190" s="382">
        <f t="shared" si="186"/>
        <v>0</v>
      </c>
      <c r="KU190" s="383">
        <f t="shared" si="187"/>
        <v>0</v>
      </c>
      <c r="KV190" s="381" t="str">
        <f t="shared" si="205"/>
        <v>S</v>
      </c>
      <c r="KW190" s="382">
        <f t="shared" si="189"/>
        <v>0</v>
      </c>
      <c r="KX190" s="384">
        <f t="shared" si="190"/>
        <v>0</v>
      </c>
      <c r="KY190" s="382">
        <f t="shared" ref="KY190:KZ190" si="594">KW190-KT190</f>
        <v>0</v>
      </c>
      <c r="KZ190" s="369">
        <f t="shared" si="594"/>
        <v>0</v>
      </c>
      <c r="LA190" s="385" t="str">
        <f t="shared" si="192"/>
        <v>✔</v>
      </c>
      <c r="LB190" s="340" t="str">
        <f>IFERROR(__xludf.DUMMYFUNCTION("JOIN("""",ArrayFormula(MID(KS190,LEN(KS190)-SEQUENCE(1,LEN(KS190))+1,1)))"),"S")</f>
        <v>S</v>
      </c>
      <c r="LC190" s="373" t="str">
        <f>IFERROR(__xludf.DUMMYFUNCTION("JOIN("""",ArrayFormula(MID(KV190,LEN(KV190)-SEQUENCE(1,LEN(KV190))+1,1)))"),"S")</f>
        <v>S</v>
      </c>
      <c r="LD190" s="373" t="str">
        <f t="shared" si="193"/>
        <v>S</v>
      </c>
      <c r="LE190" s="339" t="str">
        <f t="shared" si="194"/>
        <v>S</v>
      </c>
      <c r="LF190" s="386" t="str">
        <f>IFERROR(__xludf.DUMMYFUNCTION("SUBSTITUTE(SUBSTITUTE(CONCATENATE(JOIN("""",LH190:LT190)),""1"",""""),""2"","""")"),"SS")</f>
        <v>SS</v>
      </c>
      <c r="LG190" s="369" t="str">
        <f t="shared" si="195"/>
        <v>-</v>
      </c>
      <c r="LH190" s="387" t="str">
        <f>IFERROR(__xludf.DUMMYFUNCTION("IF(REGEXMATCH(LD190, ""S""), ""S"",IF(REGEXMATCH(LE190, ""S""), ""S"",""""))"),"S")</f>
        <v>S</v>
      </c>
      <c r="LI190" s="299" t="str">
        <f>IFERROR(__xludf.DUMMYFUNCTION("IF(REGEXMATCH(LD190, ""r""), ""r1"",IF(REGEXMATCH(LE190, ""r""), ""r2"",""""))"),"")</f>
        <v/>
      </c>
      <c r="LJ190" s="299" t="str">
        <f>IFERROR(__xludf.DUMMYFUNCTION("IF(REGEXMATCH(LD190, ""R""), ""R1"",IF(REGEXMATCH(LE190, ""R""), ""R2"",""""))"),"")</f>
        <v/>
      </c>
      <c r="LK190" s="299" t="str">
        <f>IFERROR(__xludf.DUMMYFUNCTION("IF(REGEXMATCH(LD190, ""g""), ""g1"",IF(REGEXMATCH(LE190, ""g""), ""g2"",""""))"),"")</f>
        <v/>
      </c>
      <c r="LL190" s="299" t="str">
        <f>IFERROR(__xludf.DUMMYFUNCTION("IF(REGEXMATCH(LD190, ""G""), ""G1"",IF(REGEXMATCH(LE190, ""G""), ""G2"",""""))"),"")</f>
        <v/>
      </c>
      <c r="LM190" s="299" t="str">
        <f>IFERROR(__xludf.DUMMYFUNCTION("IF(REGEXMATCH(LD190, ""m""), ""m1"",IF(REGEXMATCH(LE190, ""m""), ""m2"",""""))"),"")</f>
        <v/>
      </c>
      <c r="LN190" s="299" t="str">
        <f>IFERROR(__xludf.DUMMYFUNCTION("IF(REGEXMATCH(LD190, ""M""), ""M1"",IF(REGEXMATCH(LE190, ""M""), ""M2"",""""))"),"")</f>
        <v/>
      </c>
      <c r="LO190" s="299" t="str">
        <f>IFERROR(__xludf.DUMMYFUNCTION("IF(REGEXMATCH(LD190, ""P""), ""P1"",IF(REGEXMATCH(LE190, ""P""), ""P2"",""""))"),"")</f>
        <v/>
      </c>
      <c r="LP190" s="299" t="str">
        <f>IFERROR(__xludf.DUMMYFUNCTION("IF(REGEXMATCH(LD190, ""d""), ""d1"",IF(REGEXMATCH(LE190, ""d""), ""d2"",""""))"),"")</f>
        <v/>
      </c>
      <c r="LQ190" s="299" t="str">
        <f>IFERROR(__xludf.DUMMYFUNCTION("IF(REGEXMATCH(LD190, ""D""), ""D1"",IF(REGEXMATCH(LE190, ""D""), ""D2"",""""))"),"")</f>
        <v/>
      </c>
      <c r="LR190" s="299" t="str">
        <f>IFERROR(__xludf.DUMMYFUNCTION("IF(REGEXMATCH(LD190, ""n""), ""n1"",IF(REGEXMATCH(LE190, ""n""), ""n2"",""""))"),"")</f>
        <v/>
      </c>
      <c r="LS190" s="299" t="str">
        <f>IFERROR(__xludf.DUMMYFUNCTION("IF(REGEXMATCH(LD190, ""N""), ""N1"",IF(REGEXMATCH(LE190, ""N""), ""N2"",""""))"),"")</f>
        <v/>
      </c>
      <c r="LT190" s="388" t="str">
        <f>IFERROR(__xludf.DUMMYFUNCTION("IF(REGEXMATCH(LD190, ""S""), ""S"",IF(REGEXMATCH(LE190, ""S""), ""S"",""""))"),"S")</f>
        <v>S</v>
      </c>
      <c r="LU190" s="389">
        <f t="shared" si="196"/>
        <v>1</v>
      </c>
      <c r="LV190" s="378"/>
      <c r="LW190" s="369"/>
      <c r="LX190" s="369"/>
    </row>
    <row r="191" ht="18.0" customHeight="1">
      <c r="A191" s="298" t="s">
        <v>904</v>
      </c>
      <c r="B191" s="222" t="s">
        <v>877</v>
      </c>
      <c r="C191" s="233" t="str">
        <f t="shared" si="7"/>
        <v>SrRgGmPdDnS</v>
      </c>
      <c r="D191" s="234" t="str">
        <f>IFERROR(__xludf.DUMMYFUNCTION("IF(REGEXMATCH(C191, ""S""), ""S"","""")"),"S")</f>
        <v>S</v>
      </c>
      <c r="E191" s="236" t="str">
        <f>IFERROR(__xludf.DUMMYFUNCTION("IF(REGEXMATCH(C191, ""r""), ""r"","""")"),"r")</f>
        <v>r</v>
      </c>
      <c r="F191" s="237" t="str">
        <f>IFERROR(__xludf.DUMMYFUNCTION("IF(REGEXMATCH(C191, ""R""), ""R"","""")"),"R")</f>
        <v>R</v>
      </c>
      <c r="G191" s="237" t="str">
        <f>IFERROR(__xludf.DUMMYFUNCTION("IF(REGEXMATCH(C191, ""g""), ""g"","""")"),"g")</f>
        <v>g</v>
      </c>
      <c r="H191" s="236" t="str">
        <f>IFERROR(__xludf.DUMMYFUNCTION("IF(REGEXMATCH(C191, ""G""), ""G"","""")"),"G")</f>
        <v>G</v>
      </c>
      <c r="I191" s="236" t="str">
        <f>IFERROR(__xludf.DUMMYFUNCTION("IF(REGEXMATCH(C191, ""m""), ""m"","""")"),"m")</f>
        <v>m</v>
      </c>
      <c r="J191" s="237" t="str">
        <f>IFERROR(__xludf.DUMMYFUNCTION("IF(REGEXMATCH(C191, ""M""), ""M"","""")"),"")</f>
        <v/>
      </c>
      <c r="K191" s="236" t="str">
        <f>IFERROR(__xludf.DUMMYFUNCTION("IF(REGEXMATCH(C191, ""P""), ""P"","""")"),"P")</f>
        <v>P</v>
      </c>
      <c r="L191" s="237" t="str">
        <f>IFERROR(__xludf.DUMMYFUNCTION("IF(REGEXMATCH(C191, ""d""), ""d"","""")"),"d")</f>
        <v>d</v>
      </c>
      <c r="M191" s="236" t="str">
        <f>IFERROR(__xludf.DUMMYFUNCTION("IF(REGEXMATCH(C191, ""D""), ""D"","""")"),"D")</f>
        <v>D</v>
      </c>
      <c r="N191" s="236" t="str">
        <f>IFERROR(__xludf.DUMMYFUNCTION("IF(REGEXMATCH(C191, ""n""), ""n"","""")"),"n")</f>
        <v>n</v>
      </c>
      <c r="O191" s="237" t="str">
        <f>IFERROR(__xludf.DUMMYFUNCTION("IF(REGEXMATCH(C191, ""N""), ""N"","""")"),"")</f>
        <v/>
      </c>
      <c r="P191" s="238" t="str">
        <f>IFERROR(__xludf.DUMMYFUNCTION("IF(REGEXMATCH(C191, ""S""), ""S"","""")"),"S")</f>
        <v>S</v>
      </c>
      <c r="Q191" s="239" t="str">
        <f>IFERROR(__xludf.DUMMYFUNCTION("SUBSTITUTE(CONCATENATE(JOIN(""-"",D191:J191)),""-"","""")"),"SrRgGm")</f>
        <v>SrRgGm</v>
      </c>
      <c r="R191" s="229" t="str">
        <f>IFERROR(__xludf.DUMMYFUNCTION("SUBSTITUTE(CONCATENATE(JOIN(""-"",K191:P191)),""-"","""")"),"PdDnS")</f>
        <v>PdDnS</v>
      </c>
      <c r="S191" s="282" t="str">
        <f t="shared" si="8"/>
        <v>S-R-G-M</v>
      </c>
      <c r="T191" s="282" t="str">
        <f t="shared" si="9"/>
        <v>P-D-N-S</v>
      </c>
      <c r="U191" s="237" t="str">
        <f>IFERROR(__xludf.DUMMYFUNCTION("SUBSTITUTE(JOIN(""-"",S191,T191),""--"",""-"")"),"S-R-G-M-P-D-N-S")</f>
        <v>S-R-G-M-P-D-N-S</v>
      </c>
      <c r="V191" s="309" t="str">
        <f t="shared" si="10"/>
        <v>rRgGmdDn</v>
      </c>
      <c r="W191" s="244" t="str">
        <f>IFERROR(__xludf.DUMMYFUNCTION("IF(REGEXMATCH(C191, ""S""), ""0"","""")"),"0")</f>
        <v>0</v>
      </c>
      <c r="X191" s="245" t="str">
        <f>IFERROR(__xludf.DUMMYFUNCTION("IF(REGEXMATCH(C191, ""r""), ""1"","""")"),"1")</f>
        <v>1</v>
      </c>
      <c r="Y191" s="246" t="str">
        <f>IFERROR(__xludf.DUMMYFUNCTION("IF(REGEXMATCH(C191, ""R""), ""2"","""")"),"2")</f>
        <v>2</v>
      </c>
      <c r="Z191" s="246" t="str">
        <f>IFERROR(__xludf.DUMMYFUNCTION("IF(REGEXMATCH(C191, ""g""), ""3"","""")"),"3")</f>
        <v>3</v>
      </c>
      <c r="AA191" s="245" t="str">
        <f>IFERROR(__xludf.DUMMYFUNCTION("IF(REGEXMATCH(C191, ""G""), ""4"","""")"),"4")</f>
        <v>4</v>
      </c>
      <c r="AB191" s="245" t="str">
        <f>IFERROR(__xludf.DUMMYFUNCTION("IF(REGEXMATCH(C191, ""m""), ""5"","""")"),"5")</f>
        <v>5</v>
      </c>
      <c r="AC191" s="246" t="str">
        <f>IFERROR(__xludf.DUMMYFUNCTION("IF(REGEXMATCH(C191, ""M""), ""6"","""")"),"")</f>
        <v/>
      </c>
      <c r="AD191" s="245" t="str">
        <f>IFERROR(__xludf.DUMMYFUNCTION("IF(REGEXMATCH(C191, ""P""), ""7"","""")"),"7")</f>
        <v>7</v>
      </c>
      <c r="AE191" s="246" t="str">
        <f>IFERROR(__xludf.DUMMYFUNCTION("IF(REGEXMATCH(C191, ""d""), ""8"","""")"),"8")</f>
        <v>8</v>
      </c>
      <c r="AF191" s="245" t="str">
        <f>IFERROR(__xludf.DUMMYFUNCTION("IF(REGEXMATCH(C191, ""D""), ""9"","""")"),"9")</f>
        <v>9</v>
      </c>
      <c r="AG191" s="245" t="str">
        <f>IFERROR(__xludf.DUMMYFUNCTION("IF(REGEXMATCH(C191, ""n""), ""10"","""")"),"10")</f>
        <v>10</v>
      </c>
      <c r="AH191" s="246" t="str">
        <f>IFERROR(__xludf.DUMMYFUNCTION("IF(REGEXMATCH(C191, ""N""), ""11"","""")"),"")</f>
        <v/>
      </c>
      <c r="AI191" s="249" t="str">
        <f>IFERROR(__xludf.DUMMYFUNCTION("IF(REGEXMATCH(C191, ""S""), ""0"","""")"),"0")</f>
        <v>0</v>
      </c>
      <c r="AJ191" s="313" t="str">
        <f t="shared" si="11"/>
        <v>-</v>
      </c>
      <c r="AK191" s="313" t="str">
        <f t="shared" si="12"/>
        <v>T</v>
      </c>
      <c r="AL191" s="313" t="str">
        <f t="shared" si="13"/>
        <v>T</v>
      </c>
      <c r="AM191" s="313" t="str">
        <f t="shared" si="14"/>
        <v>T</v>
      </c>
      <c r="AN191" s="313" t="str">
        <f t="shared" si="15"/>
        <v>T</v>
      </c>
      <c r="AO191" s="314" t="str">
        <f t="shared" si="16"/>
        <v>-</v>
      </c>
      <c r="AP191" s="316">
        <f t="shared" si="17"/>
        <v>4</v>
      </c>
      <c r="AQ191" s="319" t="str">
        <f t="shared" si="18"/>
        <v>-</v>
      </c>
      <c r="AR191" s="320">
        <f t="shared" si="19"/>
        <v>0</v>
      </c>
      <c r="AS191" s="250" t="str">
        <f>IFERROR(__xludf.DUMMYFUNCTION("SUBSTITUTE(SUBSTITUTE(CONCATENATE(JOIN("""",FP191:GA191)),""|"",""x""),""-"",""o"")"),"xxxxxxoxxxxo")</f>
        <v>xxxxxxoxxxxo</v>
      </c>
      <c r="AT191" s="323" t="str">
        <f>IFERROR(__xludf.DUMMYFUNCTION("JOIN("""",AS191,AS191)"),"xxxxxxoxxxxoxxxxxxoxxxxo")</f>
        <v>xxxxxxoxxxxoxxxxxxoxxxxo</v>
      </c>
      <c r="AU191" s="256" t="str">
        <f>IFERROR(__xludf.DUMMYFUNCTION("JOIN("""",ArrayFormula(MID(AS191,LEN(AS191)-SEQUENCE(1,LEN(AS191))+1,1)))"),"oxxxxoxxxxxx")</f>
        <v>oxxxxoxxxxxx</v>
      </c>
      <c r="AV191" s="256" t="str">
        <f>IFERROR(__xludf.DUMMYFUNCTION("LEFT(CONCATENATE(""x"",JOIN("""",ArrayFormula(MID(AS191,LEN(AS191)-SEQUENCE(1,LEN(AS191))+1,1)))),12)"),"xoxxxxoxxxxx")</f>
        <v>xoxxxxoxxxxx</v>
      </c>
      <c r="AW191" s="327" t="str">
        <f>IFERROR(__xludf.DUMMYFUNCTION("JOIN("""",AU191,AU191)"),"oxxxxoxxxxxxoxxxxoxxxxxx")</f>
        <v>oxxxxoxxxxxxoxxxxoxxxxxx</v>
      </c>
      <c r="AX191" s="239" t="str">
        <f>IFERROR(__xludf.DUMMYFUNCTION("IF(REGEXMATCH(AW191,AS191),""✔"",""-"")"),"✔")</f>
        <v>✔</v>
      </c>
      <c r="AY191" s="330" t="str">
        <f t="shared" si="20"/>
        <v>-</v>
      </c>
      <c r="AZ191" s="260" t="str">
        <f t="shared" si="21"/>
        <v>#REF!</v>
      </c>
      <c r="BA191" s="333" t="str">
        <f t="shared" si="22"/>
        <v>xxxxxxo</v>
      </c>
      <c r="BB191" s="334" t="str">
        <f t="shared" si="23"/>
        <v>xxxxox</v>
      </c>
      <c r="BC191" s="335" t="str">
        <f t="shared" si="236"/>
        <v>-</v>
      </c>
      <c r="BD191" s="336" t="str">
        <f t="shared" si="25"/>
        <v>Lakshmi Todi: 'xxxxxxo' + 'xxxxox'</v>
      </c>
      <c r="BE191" s="337">
        <f>IFERROR(__xludf.DUMMYFUNCTION("COUNTUNIQUE(FILTER(AT:AT,REGEXMATCH(AT:AT,AS191)))-1"),1.0)</f>
        <v>1</v>
      </c>
      <c r="BF191" s="261" t="str">
        <f>IFERROR(__xludf.DUMMYFUNCTION("IF(BI191=0,""(n/a)"",IF(BJ191=2,""(PAIR)"",IF(REGEXMATCH(AT191,""xoxoxxoxoxox""),""Bilawal"",IF(REGEXMATCH(AT191,""xoxoxooxoxoo""),""Bhupali"",IF(REGEXMATCH(AT191,""xoxoxxoxxoxo""),""Charukeshi"",IF(REGEXMATCH(AT191,""xoxoooxxoxxo""),""Kameshwari"",IF(REG"&amp;"EXMATCH(AT191,""xoxoxooxoxox""),""Shankara"",IF(REGEXMATCH(AT191,""xxooxoxxxoox""),""Basant"",IF(REGEXMATCH(AT191,""xoxoxxxxoxox""),""Bihag"",IF(REGEXMATCH(AT191,""xoxxxxoxoxxx""),""Pilu"",IF(REGEXMATCH(AT191,""xoxxoxoxxoox""),""Kirwani"",IF(REGEXMATCH(AT"&amp;"191,""xoxxoxoxoxxx""),""Mk.Malhar"",IF(REGEXMATCH(AT191,""xxooxxoxxoox""),""Bhairav"",IF(REGEXMATCH(AT191,""xxoxooxxxoox""),""Todi"",IF(REGEXMATCH(AT191,""xxooxoxooxox""),""Marwa"",IF(REGEXMATCH(AT191,""xxoooxoxxooo""),""Gunkali"",IF(REGEXMATCH(AT191,""xo"&amp;"xoxxoxxoox""),""Nat Bhairav"",IF(REGEXMATCH(AT191,""xoxxoooxoxoo""),""Shivranjani"",IF(REGEXMATCH(AT191,""xooxxxoxooxo""),""Jog"",IF(REGEXMATCH(AT191,""xxooxoxoxoox""),""Hemshri"",IF(REGEXMATCH(AT191,""xoooxooxoxxo""),""Kalavati"",IF(REGEXMATCH(AT191,""xx"&amp;"oxoxxoxoox""),""Kedar"",IF(REGEXMATCH(AT191,""xoxxxxoxooxx""),""Gara"",IF(REGEXMATCH(AT191,""xooxoxooxoox""),""Chandrakauns"",IF(REGEXMATCH(AT191,""xoxxxxoxxxox""),""Mand"",IF(REGEXMATCH(AT191,""xoxxxxoxoxox""),""Hanskinkini"",IF(REGEXMATCH(AT191,""xxooxx"&amp;"oxooxo""),""Lilavati"",IF(REGEXMATCH(AT191,""xooxoxoooxox""),""Rajeshwari"",IF(REGEXMATCH(AT191,""xoooxxoxoxxx""),""Khokar"",IF(REGEXMATCH(AT191,""xxooxoxxxxox""),""Maligoura"",""-""))))))))))))))))))))))))))))))"),"-")</f>
        <v>-</v>
      </c>
      <c r="BG191" s="239" t="str">
        <f t="shared" si="26"/>
        <v>#REF!</v>
      </c>
      <c r="BH191" s="239">
        <f>IFERROR(__xludf.DUMMYFUNCTION("COUNTUNIQUE(FE191:FO191)-1"),9.0)</f>
        <v>9</v>
      </c>
      <c r="BI191" s="239">
        <f>IFERROR(__xludf.DUMMYFUNCTION("COUNTUNIQUE(FILTER(AT:AT,REGEXMATCH(AT:AT,AS191)))-1"),1.0)</f>
        <v>1</v>
      </c>
      <c r="BJ191" s="239">
        <f>IFERROR(__xludf.DUMMYFUNCTION("COUNTA(FILTER(AT:AT,REGEXMATCH(AT:AT,AS191)))"),4.0)</f>
        <v>4</v>
      </c>
      <c r="BK191" s="341">
        <f>IFERROR(__xludf.DUMMYFUNCTION("COUNTA(FILTER(AT:AT,REGEXMATCH(AT:AT,AS191)))-AR191"),4.0)</f>
        <v>4</v>
      </c>
      <c r="BL191" s="276" t="str">
        <f>IFERROR(__xludf.DUMMYFUNCTION("IF(AS191=""oooooooooooo"",""-"",IF(REGEXMATCH(AT191,""xx""), ""Hemi."", ""Anhemi.""))"),"Hemi.")</f>
        <v>Hemi.</v>
      </c>
      <c r="BM191" s="282" t="str">
        <f>IFERROR(__xludf.DUMMYFUNCTION("IF(AS191=""oooooooooooo"",""-"",IF(REGEXMATCH(AT191,""xxx""), ""Cohem."", ""-""))"),"Cohem.")</f>
        <v>Cohem.</v>
      </c>
      <c r="BN191" s="282" t="str">
        <f>IFERROR(__xludf.DUMMYFUNCTION("IF(AS191=""oooooooooooo"",""-"",IF(REGEXMATCH(AT191,""xxxx""), ""Co-Co."", ""-""))"),"Co-Co.")</f>
        <v>Co-Co.</v>
      </c>
      <c r="BO191" s="342" t="str">
        <f>IFERROR(__xludf.DUMMYFUNCTION("IF(AS191=""oooooooooooo"",""-"",IF(REGEXMATCH(AT191,""xxxxx""), ""CCC."", ""-""))"),"CCC.")</f>
        <v>CCC.</v>
      </c>
      <c r="BP191" s="344" t="str">
        <f t="shared" si="27"/>
        <v>-</v>
      </c>
      <c r="BQ191" s="282" t="str">
        <f>IFERROR(__xludf.DUMMYFUNCTION("IF(REGEXMATCH(JOIN(""-"",EU191:FD191),""TRUE""),""✔"",""-"")"),"-")</f>
        <v>-</v>
      </c>
      <c r="BR191" s="225">
        <f t="shared" si="28"/>
        <v>0</v>
      </c>
      <c r="BS191" s="345" t="str">
        <f>IFERROR(__xludf.DUMMYFUNCTION("SUBSTITUTE(SUBSTITUTE(SUBSTITUTE(SUBSTITUTE(CONCATENATE(JOIN(""-"",GC191:GO191)),""--"",""-""),""--"",""-""),""--"",""-""),""--"",""-"")"),"1-b2-2-b3-3-4-5-b6-6-b7-8")</f>
        <v>1-b2-2-b3-3-4-5-b6-6-b7-8</v>
      </c>
      <c r="BT191" s="299" t="str">
        <f>IFERROR(__xludf.DUMMYFUNCTION("SUBSTITUTE(SUBSTITUTE(SUBSTITUTE(SUBSTITUTE(CONCATENATE(JOIN(""-"",GP191:HB191)),""--"",""-""),""--"",""-""),""--"",""-""),""--"",""-"")"),"S-R1-R2-G2-G3-M1-P-D1-D2-N2-S")</f>
        <v>S-R1-R2-G2-G3-M1-P-D1-D2-N2-S</v>
      </c>
      <c r="BU191" s="348" t="str">
        <f t="shared" si="29"/>
        <v>C-Db-D-Eb-E-F-G-Ab-A-Bb-C</v>
      </c>
      <c r="BV191" s="349" t="str">
        <f t="shared" si="30"/>
        <v>SMNS</v>
      </c>
      <c r="BW191" s="350">
        <f t="shared" si="31"/>
        <v>0</v>
      </c>
      <c r="BX191" s="351">
        <f t="shared" si="32"/>
        <v>2</v>
      </c>
      <c r="BY191" s="352" t="s">
        <v>275</v>
      </c>
      <c r="BZ191" s="309" t="str">
        <f>IFERROR(__xludf.DUMMYFUNCTION("IF(REGEXMATCH(C191, ""S""), ""x"",""x"")"),"x")</f>
        <v>x</v>
      </c>
      <c r="CA191" s="245" t="str">
        <f>IFERROR(__xludf.DUMMYFUNCTION("IF(REGEXMATCH(C191, ""r""), ""o"",""x"")"),"o")</f>
        <v>o</v>
      </c>
      <c r="CB191" s="246" t="str">
        <f>IFERROR(__xludf.DUMMYFUNCTION("IF(REGEXMATCH(C191, ""R""), ""o"",""x"")"),"o")</f>
        <v>o</v>
      </c>
      <c r="CC191" s="246" t="str">
        <f>IFERROR(__xludf.DUMMYFUNCTION("IF(REGEXMATCH(C191, ""g""), ""o"",""x"")"),"o")</f>
        <v>o</v>
      </c>
      <c r="CD191" s="245" t="str">
        <f>IFERROR(__xludf.DUMMYFUNCTION("IF(REGEXMATCH(C191, ""G""), ""o"",""x"")"),"o")</f>
        <v>o</v>
      </c>
      <c r="CE191" s="245" t="str">
        <f>IFERROR(__xludf.DUMMYFUNCTION("IF(REGEXMATCH(C191, ""m""), ""o"",""x"")"),"o")</f>
        <v>o</v>
      </c>
      <c r="CF191" s="246" t="str">
        <f>IFERROR(__xludf.DUMMYFUNCTION("IF(REGEXMATCH(C191, ""M""), ""o"",""x"")"),"x")</f>
        <v>x</v>
      </c>
      <c r="CG191" s="245" t="str">
        <f>IFERROR(__xludf.DUMMYFUNCTION("IF(REGEXMATCH(C191, ""P""), ""o"",""x"")"),"o")</f>
        <v>o</v>
      </c>
      <c r="CH191" s="246" t="str">
        <f>IFERROR(__xludf.DUMMYFUNCTION("IF(REGEXMATCH(C191, ""d""), ""o"",""x"")"),"o")</f>
        <v>o</v>
      </c>
      <c r="CI191" s="245" t="str">
        <f>IFERROR(__xludf.DUMMYFUNCTION("IF(REGEXMATCH(C191, ""D""), ""o"",""x"")"),"o")</f>
        <v>o</v>
      </c>
      <c r="CJ191" s="245" t="str">
        <f>IFERROR(__xludf.DUMMYFUNCTION("IF(REGEXMATCH(C191, ""n""), ""o"",""x"")"),"o")</f>
        <v>o</v>
      </c>
      <c r="CK191" s="245" t="str">
        <f>IFERROR(__xludf.DUMMYFUNCTION("IF(REGEXMATCH(C191, ""N""), ""o"",""x"")"),"x")</f>
        <v>x</v>
      </c>
      <c r="CL191" s="356" t="str">
        <f>IFERROR(__xludf.DUMMYFUNCTION("IF(REGEXMATCH(C191, ""S""), ""x"",""x"")"),"x")</f>
        <v>x</v>
      </c>
      <c r="CM191" s="357" t="str">
        <f t="shared" si="33"/>
        <v>xoooooxoooox</v>
      </c>
      <c r="CN191" s="358">
        <f t="shared" si="34"/>
        <v>0</v>
      </c>
      <c r="CO191" s="246" t="str">
        <f>IFERROR(__xludf.DUMMYFUNCTION("IF(REGEXMATCH($C191, ""S""), ""S"",""S"")"),"S")</f>
        <v>S</v>
      </c>
      <c r="CP191" s="246" t="str">
        <f>IFERROR(__xludf.DUMMYFUNCTION("IF(REGEXMATCH($C191, ""r""), """",""r"")"),"")</f>
        <v/>
      </c>
      <c r="CQ191" s="246" t="str">
        <f>IFERROR(__xludf.DUMMYFUNCTION("IF(REGEXMATCH($C191, ""R""), """",""R"")"),"")</f>
        <v/>
      </c>
      <c r="CR191" s="246" t="str">
        <f>IFERROR(__xludf.DUMMYFUNCTION("IF(REGEXMATCH($C191, ""g""), """",""g"")"),"")</f>
        <v/>
      </c>
      <c r="CS191" s="246" t="str">
        <f>IFERROR(__xludf.DUMMYFUNCTION("IF(REGEXMATCH($C191, ""G""), """",""G"")"),"")</f>
        <v/>
      </c>
      <c r="CT191" s="246" t="str">
        <f>IFERROR(__xludf.DUMMYFUNCTION("IF(REGEXMATCH($C191, ""m""), """",""m"")"),"")</f>
        <v/>
      </c>
      <c r="CU191" s="246" t="str">
        <f>IFERROR(__xludf.DUMMYFUNCTION("IF(REGEXMATCH($C191, ""M""), """",""M"")"),"M")</f>
        <v>M</v>
      </c>
      <c r="CV191" s="246" t="str">
        <f>IFERROR(__xludf.DUMMYFUNCTION("IF(REGEXMATCH($C191, ""P""), """",""P"")"),"")</f>
        <v/>
      </c>
      <c r="CW191" s="246" t="str">
        <f>IFERROR(__xludf.DUMMYFUNCTION("IF(REGEXMATCH($C191, ""d""), """",""d"")"),"")</f>
        <v/>
      </c>
      <c r="CX191" s="246" t="str">
        <f>IFERROR(__xludf.DUMMYFUNCTION("IF(REGEXMATCH($C191, ""D""), """",""D"")"),"")</f>
        <v/>
      </c>
      <c r="CY191" s="246" t="str">
        <f>IFERROR(__xludf.DUMMYFUNCTION("IF(REGEXMATCH($C191, ""n""), """",""n"")"),"")</f>
        <v/>
      </c>
      <c r="CZ191" s="246" t="str">
        <f>IFERROR(__xludf.DUMMYFUNCTION("IF(REGEXMATCH($C191, ""N""), """",""N"")"),"N")</f>
        <v>N</v>
      </c>
      <c r="DA191" s="246" t="str">
        <f>IFERROR(__xludf.DUMMYFUNCTION("IF(REGEXMATCH($C191, ""S""), ""S"",""S"")"),"S")</f>
        <v>S</v>
      </c>
      <c r="DB191" s="362" t="str">
        <f>IFERROR(__xludf.DUMMYFUNCTION("JOIN("""",CO191:DA191,"""","""")"),"SMNS")</f>
        <v>SMNS</v>
      </c>
      <c r="DC191" s="363"/>
      <c r="DD191" s="301" t="str">
        <f t="shared" si="35"/>
        <v>#REF!</v>
      </c>
      <c r="DE191" s="302" t="str">
        <f t="shared" si="36"/>
        <v>#REF!</v>
      </c>
      <c r="DF191" s="301" t="str">
        <f t="shared" ref="DF191:DG191" si="595">SUBSTITUTE(S191,"-","")</f>
        <v>SRGM</v>
      </c>
      <c r="DG191" s="301" t="str">
        <f t="shared" si="595"/>
        <v>PDNS</v>
      </c>
      <c r="DH191" s="302" t="str">
        <f t="shared" si="38"/>
        <v>-</v>
      </c>
      <c r="DI191" s="301" t="str">
        <f t="shared" si="39"/>
        <v>Hemi.</v>
      </c>
      <c r="DJ191" s="364" t="str">
        <f t="shared" si="40"/>
        <v>CCC.</v>
      </c>
      <c r="DK191" s="306" t="str">
        <f t="shared" si="41"/>
        <v>-</v>
      </c>
      <c r="DL191" s="366" t="str">
        <f t="shared" si="42"/>
        <v>-</v>
      </c>
      <c r="DM191" s="308" t="str">
        <f t="shared" si="43"/>
        <v>✔</v>
      </c>
      <c r="DN191" s="306" t="str">
        <f t="shared" si="44"/>
        <v>-</v>
      </c>
      <c r="DO191" s="306" t="str">
        <f t="shared" si="45"/>
        <v>-</v>
      </c>
      <c r="DP191" s="367" t="str">
        <f t="shared" si="46"/>
        <v>-</v>
      </c>
      <c r="DQ191" s="310" t="str">
        <f t="shared" si="47"/>
        <v>✔</v>
      </c>
      <c r="DR191" s="310" t="str">
        <f t="shared" si="48"/>
        <v>✔</v>
      </c>
      <c r="DS191" s="310" t="str">
        <f t="shared" si="49"/>
        <v>-</v>
      </c>
      <c r="DT191" s="310" t="str">
        <f t="shared" si="50"/>
        <v>✔</v>
      </c>
      <c r="DU191" s="370" t="str">
        <f t="shared" si="51"/>
        <v>-</v>
      </c>
      <c r="DV191" s="306" t="str">
        <f t="shared" si="52"/>
        <v>-</v>
      </c>
      <c r="DW191" s="306" t="str">
        <f t="shared" si="53"/>
        <v>-</v>
      </c>
      <c r="DX191" s="306" t="str">
        <f t="shared" si="54"/>
        <v>-</v>
      </c>
      <c r="DY191" s="306" t="str">
        <f t="shared" si="55"/>
        <v>-</v>
      </c>
      <c r="DZ191" s="306" t="str">
        <f t="shared" si="56"/>
        <v>-</v>
      </c>
      <c r="EA191" s="367" t="str">
        <f t="shared" si="57"/>
        <v>-</v>
      </c>
      <c r="EB191" s="310" t="str">
        <f>IFERROR(__xludf.DUMMYFUNCTION("IF(REGEXMATCH(AW191,AS191),""✔"",""-"")"),"✔")</f>
        <v>✔</v>
      </c>
      <c r="EC191" s="310" t="str">
        <f t="shared" si="58"/>
        <v>#REF!</v>
      </c>
      <c r="ED191" s="370" t="str">
        <f t="shared" si="59"/>
        <v>-</v>
      </c>
      <c r="EE191" s="340" t="str">
        <f t="shared" si="60"/>
        <v>S-rR-gG-m-P-dD-n-S</v>
      </c>
      <c r="EF191" s="371" t="str">
        <f>IFERROR(__xludf.DUMMYFUNCTION("CONCATENATE(JOIN("""",HC191:HO191))"),"SRgGmPdDnNS")</f>
        <v>SRgGmPdDnNS</v>
      </c>
      <c r="EG191" s="372">
        <f t="shared" si="61"/>
        <v>1</v>
      </c>
      <c r="EH191" s="373" t="str">
        <f>IFERROR(__xludf.DUMMYFUNCTION("CONCATENATE(JOIN("""",JC191:JO191))"),"Ga, ")</f>
        <v>Ga, </v>
      </c>
      <c r="EI191" s="322">
        <f t="shared" si="62"/>
        <v>0</v>
      </c>
      <c r="EJ191" s="374" t="str">
        <f>IFERROR(__xludf.DUMMYFUNCTION("CONCATENATE(JOIN("""",KC191:KO191))"),"")</f>
        <v/>
      </c>
      <c r="EK191" s="325" t="str">
        <f t="shared" si="63"/>
        <v>S-R1-R2-G2-G3-M1-P-D1-D2-N2-S</v>
      </c>
      <c r="EL191" s="326" t="str">
        <f t="shared" si="64"/>
        <v>1-b2-2-b3-3-4-5-b6-6-b7-8</v>
      </c>
      <c r="EM191" s="318" t="str">
        <f t="shared" si="65"/>
        <v>#REF!</v>
      </c>
      <c r="EN191" s="328" t="str">
        <f>IFERROR(__xludf.DUMMYFUNCTION("SUBSTITUTE(SUBSTITUTE(SUBSTITUTE(SUBSTITUTE(CONCATENATE(JOIN("" "",HP191:IB191)),""  "","" ""),""  "","" ""),""  "","" ""),""  "","" "")"),"o o o o o o • o o o o • o")</f>
        <v>o o o o o o • o o o o • o</v>
      </c>
      <c r="EO191" s="368" t="str">
        <f t="shared" si="66"/>
        <v>-</v>
      </c>
      <c r="EP191" s="339" t="str">
        <f t="shared" si="67"/>
        <v>-</v>
      </c>
      <c r="EQ191" s="339" t="str">
        <f t="shared" si="68"/>
        <v>Sa-Pa</v>
      </c>
      <c r="ER191" s="339" t="str">
        <f t="shared" si="69"/>
        <v>-</v>
      </c>
      <c r="ES191" s="340" t="str">
        <f t="shared" si="70"/>
        <v>-</v>
      </c>
      <c r="ET191" s="363"/>
      <c r="EU191" s="376" t="b">
        <f>IFERROR(__xludf.DUMMYFUNCTION("arrayformula(sum(--REGEXMATCH(""SRGMPDNS"",split(REGEXREPLACE(C191,""(.)"",""$1~""),""~""))))=len(C191)
"),FALSE)</f>
        <v>0</v>
      </c>
      <c r="EV191" s="290" t="b">
        <f>IFERROR(__xludf.DUMMYFUNCTION("arrayformula(sum(--REGEXMATCH(""SRGmPDNS"",split(REGEXREPLACE(C191,""(.)"",""$1~""),""~""))))=len(C191)"),FALSE)</f>
        <v>0</v>
      </c>
      <c r="EW191" s="290" t="b">
        <f>IFERROR(__xludf.DUMMYFUNCTION("arrayformula(sum(--REGEXMATCH(""SRGmPDnS"",split(REGEXREPLACE(C191,""(.)"",""$1~""),""~""))))=len(C191)"),FALSE)</f>
        <v>0</v>
      </c>
      <c r="EX191" s="290" t="b">
        <f>IFERROR(__xludf.DUMMYFUNCTION("arrayformula(sum(--REGEXMATCH(""SRgmPDnS"",split(REGEXREPLACE(C191,""(.)"",""$1~""),""~""))))=len(C191)"),FALSE)</f>
        <v>0</v>
      </c>
      <c r="EY191" s="290" t="b">
        <f>IFERROR(__xludf.DUMMYFUNCTION("arrayformula(sum(--REGEXMATCH(""SRgmPdnS"",split(REGEXREPLACE(C191,""(.)"",""$1~""),""~""))))=len(C191)"),FALSE)</f>
        <v>0</v>
      </c>
      <c r="EZ191" s="290" t="b">
        <f>IFERROR(__xludf.DUMMYFUNCTION("arrayformula(sum(--REGEXMATCH(""SrgmPdnS"",split(REGEXREPLACE(C191,""(.)"",""$1~""),""~""))))=len(C191)"),FALSE)</f>
        <v>0</v>
      </c>
      <c r="FA191" s="290" t="b">
        <f>IFERROR(__xludf.DUMMYFUNCTION("arrayformula(sum(--REGEXMATCH(""SrGmPdNS"",split(REGEXREPLACE(C191,""(.)"",""$1~""),""~""))))=len(C191)"),FALSE)</f>
        <v>0</v>
      </c>
      <c r="FB191" s="290" t="b">
        <f>IFERROR(__xludf.DUMMYFUNCTION("arrayformula(sum(--REGEXMATCH(""SrGMPDNS"",split(REGEXREPLACE(C191,""(.)"",""$1~""),""~""))))=len(C191)"),FALSE)</f>
        <v>0</v>
      </c>
      <c r="FC191" s="290" t="b">
        <f>IFERROR(__xludf.DUMMYFUNCTION("arrayformula(sum(--REGEXMATCH(""SrGMPdNS"",split(REGEXREPLACE(C191,""(.)"",""$1~""),""~""))))=len(C191)"),FALSE)</f>
        <v>0</v>
      </c>
      <c r="FD191" s="377" t="b">
        <f>IFERROR(__xludf.DUMMYFUNCTION("arrayformula(sum(--REGEXMATCH(""SrgMPdNS"",split(REGEXREPLACE(C191,""(.)"",""$1~""),""~""))))=len(C191)"),FALSE)</f>
        <v>0</v>
      </c>
      <c r="FE191" s="269" t="str">
        <f t="shared" si="71"/>
        <v>xxxxxoxxxxo</v>
      </c>
      <c r="FF191" s="269" t="str">
        <f t="shared" si="72"/>
        <v>xxxxoxxxxox</v>
      </c>
      <c r="FG191" s="271" t="str">
        <f t="shared" si="73"/>
        <v>xxxoxxxxoxx</v>
      </c>
      <c r="FH191" s="269" t="str">
        <f t="shared" si="74"/>
        <v>xxoxxxxoxxx</v>
      </c>
      <c r="FI191" s="271" t="str">
        <f t="shared" si="75"/>
        <v>xoxxxxoxxxx</v>
      </c>
      <c r="FJ191" s="271" t="str">
        <f t="shared" si="76"/>
        <v>-</v>
      </c>
      <c r="FK191" s="271" t="str">
        <f t="shared" si="77"/>
        <v>xxxxoxxxxxx</v>
      </c>
      <c r="FL191" s="271" t="str">
        <f t="shared" si="78"/>
        <v>xxxoxxxxxxo</v>
      </c>
      <c r="FM191" s="271" t="str">
        <f t="shared" si="79"/>
        <v>xxoxxxxxxox</v>
      </c>
      <c r="FN191" s="271" t="str">
        <f t="shared" si="80"/>
        <v>xoxxxxxxoxx</v>
      </c>
      <c r="FO191" s="274" t="str">
        <f t="shared" si="81"/>
        <v>-</v>
      </c>
      <c r="FP191" s="234" t="str">
        <f t="shared" si="82"/>
        <v>|</v>
      </c>
      <c r="FQ191" s="236" t="str">
        <f t="shared" si="83"/>
        <v>|</v>
      </c>
      <c r="FR191" s="237" t="str">
        <f t="shared" si="84"/>
        <v>|</v>
      </c>
      <c r="FS191" s="236" t="str">
        <f t="shared" si="85"/>
        <v>|</v>
      </c>
      <c r="FT191" s="237" t="str">
        <f t="shared" si="86"/>
        <v>|</v>
      </c>
      <c r="FU191" s="236" t="str">
        <f t="shared" si="87"/>
        <v>|</v>
      </c>
      <c r="FV191" s="237" t="str">
        <f t="shared" si="88"/>
        <v>-</v>
      </c>
      <c r="FW191" s="236" t="str">
        <f t="shared" si="89"/>
        <v>|</v>
      </c>
      <c r="FX191" s="237" t="str">
        <f t="shared" si="90"/>
        <v>|</v>
      </c>
      <c r="FY191" s="236" t="str">
        <f t="shared" si="91"/>
        <v>|</v>
      </c>
      <c r="FZ191" s="237" t="str">
        <f t="shared" si="92"/>
        <v>|</v>
      </c>
      <c r="GA191" s="236" t="str">
        <f t="shared" si="93"/>
        <v>-</v>
      </c>
      <c r="GB191" s="238" t="str">
        <f t="shared" si="94"/>
        <v>|</v>
      </c>
      <c r="GC191" s="244" t="str">
        <f>IFERROR(__xludf.DUMMYFUNCTION("IF(REGEXMATCH(C191, ""S""), ""1"","""")"),"1")</f>
        <v>1</v>
      </c>
      <c r="GD191" s="245" t="str">
        <f>IFERROR(__xludf.DUMMYFUNCTION("IF(REGEXMATCH(C191, ""r""), ""b2"","""")"),"b2")</f>
        <v>b2</v>
      </c>
      <c r="GE191" s="246" t="str">
        <f>IFERROR(__xludf.DUMMYFUNCTION("IF(REGEXMATCH(C191, ""R""), ""2"","""")"),"2")</f>
        <v>2</v>
      </c>
      <c r="GF191" s="246" t="str">
        <f>IFERROR(__xludf.DUMMYFUNCTION("IF(REGEXMATCH(C191, ""g""), ""b3"","""")"),"b3")</f>
        <v>b3</v>
      </c>
      <c r="GG191" s="245" t="str">
        <f>IFERROR(__xludf.DUMMYFUNCTION("IF(REGEXMATCH(C191, ""G""), ""3"","""")"),"3")</f>
        <v>3</v>
      </c>
      <c r="GH191" s="245" t="str">
        <f>IFERROR(__xludf.DUMMYFUNCTION("IF(REGEXMATCH(C191, ""m""), ""4"","""")"),"4")</f>
        <v>4</v>
      </c>
      <c r="GI191" s="246" t="str">
        <f>IFERROR(__xludf.DUMMYFUNCTION("IF(REGEXMATCH(C191, ""M""), ""#4"","""")"),"")</f>
        <v/>
      </c>
      <c r="GJ191" s="245" t="str">
        <f>IFERROR(__xludf.DUMMYFUNCTION("IF(REGEXMATCH(C191, ""P""), ""5"","""")"),"5")</f>
        <v>5</v>
      </c>
      <c r="GK191" s="246" t="str">
        <f>IFERROR(__xludf.DUMMYFUNCTION("IF(REGEXMATCH(C191, ""d""), ""b6"","""")"),"b6")</f>
        <v>b6</v>
      </c>
      <c r="GL191" s="245" t="str">
        <f>IFERROR(__xludf.DUMMYFUNCTION("IF(REGEXMATCH(C191, ""D""), ""6"","""")"),"6")</f>
        <v>6</v>
      </c>
      <c r="GM191" s="245" t="str">
        <f>IFERROR(__xludf.DUMMYFUNCTION("IF(REGEXMATCH(C191, ""n""), ""b7"","""")"),"b7")</f>
        <v>b7</v>
      </c>
      <c r="GN191" s="246" t="str">
        <f>IFERROR(__xludf.DUMMYFUNCTION("IF(REGEXMATCH(C191, ""N""), ""7"","""")"),"")</f>
        <v/>
      </c>
      <c r="GO191" s="249" t="str">
        <f>IFERROR(__xludf.DUMMYFUNCTION("IF(REGEXMATCH(C191, ""S""), ""8"","""")"),"8")</f>
        <v>8</v>
      </c>
      <c r="GP191" s="244" t="str">
        <f>IFERROR(__xludf.DUMMYFUNCTION("IF(REGEXMATCH(C191, ""S""), ""S"","""")"),"S")</f>
        <v>S</v>
      </c>
      <c r="GQ191" s="294" t="str">
        <f>IFERROR(__xludf.DUMMYFUNCTION("IF(REGEXMATCH(C191, ""r""), ""R1"","""")"),"R1")</f>
        <v>R1</v>
      </c>
      <c r="GR191" s="295" t="str">
        <f>IFERROR(__xludf.DUMMYFUNCTION("IF(REGEXMATCH(C191, ""R""), ""R2"","""")"),"R2")</f>
        <v>R2</v>
      </c>
      <c r="GS191" s="295" t="str">
        <f>IFERROR(__xludf.DUMMYFUNCTION("IF(REGEXMATCH(C191, ""g""), ""G2"","""")"),"G2")</f>
        <v>G2</v>
      </c>
      <c r="GT191" s="294" t="str">
        <f>IFERROR(__xludf.DUMMYFUNCTION("IF(REGEXMATCH(C191, ""G""), ""G3"","""")"),"G3")</f>
        <v>G3</v>
      </c>
      <c r="GU191" s="294" t="str">
        <f>IFERROR(__xludf.DUMMYFUNCTION("IF(REGEXMATCH(C191, ""m""), ""M1"","""")"),"M1")</f>
        <v>M1</v>
      </c>
      <c r="GV191" s="295" t="str">
        <f>IFERROR(__xludf.DUMMYFUNCTION("IF(REGEXMATCH(C191, ""M""), ""M2"","""")"),"")</f>
        <v/>
      </c>
      <c r="GW191" s="294" t="str">
        <f>IFERROR(__xludf.DUMMYFUNCTION("IF(REGEXMATCH(C191, ""P""), ""P"","""")"),"P")</f>
        <v>P</v>
      </c>
      <c r="GX191" s="295" t="str">
        <f>IFERROR(__xludf.DUMMYFUNCTION("IF(REGEXMATCH(C191, ""d""), ""D1"","""")"),"D1")</f>
        <v>D1</v>
      </c>
      <c r="GY191" s="294" t="str">
        <f>IFERROR(__xludf.DUMMYFUNCTION("IF(REGEXMATCH(C191, ""D""), ""D2"","""")"),"D2")</f>
        <v>D2</v>
      </c>
      <c r="GZ191" s="294" t="str">
        <f>IFERROR(__xludf.DUMMYFUNCTION("IF(REGEXMATCH(C191, ""n""), ""N2"","""")"),"N2")</f>
        <v>N2</v>
      </c>
      <c r="HA191" s="295" t="str">
        <f>IFERROR(__xludf.DUMMYFUNCTION("IF(REGEXMATCH(C191, ""N""), ""N3"","""")"),"")</f>
        <v/>
      </c>
      <c r="HB191" s="249" t="str">
        <f>IFERROR(__xludf.DUMMYFUNCTION("IF(REGEXMATCH(C191, ""S""), ""S"","""")"),"S")</f>
        <v>S</v>
      </c>
      <c r="HC191" s="331" t="str">
        <f t="shared" si="95"/>
        <v>S</v>
      </c>
      <c r="HD191" s="332" t="str">
        <f t="shared" si="96"/>
        <v/>
      </c>
      <c r="HE191" s="332" t="str">
        <f t="shared" si="97"/>
        <v>R</v>
      </c>
      <c r="HF191" s="332" t="str">
        <f t="shared" si="98"/>
        <v>g</v>
      </c>
      <c r="HG191" s="332" t="str">
        <f t="shared" si="99"/>
        <v>G</v>
      </c>
      <c r="HH191" s="332" t="str">
        <f t="shared" si="100"/>
        <v>m</v>
      </c>
      <c r="HI191" s="332" t="str">
        <f t="shared" si="101"/>
        <v/>
      </c>
      <c r="HJ191" s="332" t="str">
        <f t="shared" si="102"/>
        <v>P</v>
      </c>
      <c r="HK191" s="332" t="str">
        <f t="shared" si="103"/>
        <v>d</v>
      </c>
      <c r="HL191" s="332" t="str">
        <f t="shared" si="104"/>
        <v>D</v>
      </c>
      <c r="HM191" s="332" t="str">
        <f t="shared" si="105"/>
        <v>n</v>
      </c>
      <c r="HN191" s="332" t="str">
        <f t="shared" si="106"/>
        <v>N</v>
      </c>
      <c r="HO191" s="343" t="str">
        <f t="shared" si="107"/>
        <v>S</v>
      </c>
      <c r="HP191" s="331" t="str">
        <f t="shared" si="108"/>
        <v>o</v>
      </c>
      <c r="HQ191" s="332" t="str">
        <f t="shared" si="109"/>
        <v>o</v>
      </c>
      <c r="HR191" s="332" t="str">
        <f t="shared" si="110"/>
        <v>o</v>
      </c>
      <c r="HS191" s="332" t="str">
        <f t="shared" si="111"/>
        <v>o</v>
      </c>
      <c r="HT191" s="332" t="str">
        <f t="shared" si="112"/>
        <v>o</v>
      </c>
      <c r="HU191" s="332" t="str">
        <f t="shared" si="113"/>
        <v>o</v>
      </c>
      <c r="HV191" s="332" t="str">
        <f t="shared" si="114"/>
        <v>•</v>
      </c>
      <c r="HW191" s="332" t="str">
        <f t="shared" si="115"/>
        <v>o</v>
      </c>
      <c r="HX191" s="332" t="str">
        <f t="shared" si="116"/>
        <v>o</v>
      </c>
      <c r="HY191" s="332" t="str">
        <f t="shared" si="117"/>
        <v>o</v>
      </c>
      <c r="HZ191" s="332" t="str">
        <f t="shared" si="118"/>
        <v>o</v>
      </c>
      <c r="IA191" s="332" t="str">
        <f t="shared" si="119"/>
        <v>•</v>
      </c>
      <c r="IB191" s="338" t="str">
        <f t="shared" si="120"/>
        <v>o</v>
      </c>
      <c r="IC191" s="331" t="str">
        <f t="shared" si="121"/>
        <v>•</v>
      </c>
      <c r="ID191" s="332" t="str">
        <f t="shared" si="122"/>
        <v>•</v>
      </c>
      <c r="IE191" s="332" t="str">
        <f t="shared" si="123"/>
        <v>•</v>
      </c>
      <c r="IF191" s="332" t="str">
        <f t="shared" si="124"/>
        <v>•</v>
      </c>
      <c r="IG191" s="332" t="str">
        <f t="shared" si="125"/>
        <v>•</v>
      </c>
      <c r="IH191" s="332" t="str">
        <f t="shared" si="126"/>
        <v>•</v>
      </c>
      <c r="II191" s="332" t="str">
        <f t="shared" si="127"/>
        <v>o</v>
      </c>
      <c r="IJ191" s="332" t="str">
        <f t="shared" si="128"/>
        <v>•</v>
      </c>
      <c r="IK191" s="332" t="str">
        <f t="shared" si="129"/>
        <v>•</v>
      </c>
      <c r="IL191" s="332" t="str">
        <f t="shared" si="130"/>
        <v>•</v>
      </c>
      <c r="IM191" s="332" t="str">
        <f t="shared" si="131"/>
        <v>•</v>
      </c>
      <c r="IN191" s="332" t="str">
        <f t="shared" si="132"/>
        <v>o</v>
      </c>
      <c r="IO191" s="338" t="str">
        <f t="shared" si="133"/>
        <v>•</v>
      </c>
      <c r="IP191" s="346" t="b">
        <f t="shared" si="134"/>
        <v>0</v>
      </c>
      <c r="IQ191" s="347" t="b">
        <f t="shared" si="135"/>
        <v>0</v>
      </c>
      <c r="IR191" s="347" t="b">
        <f t="shared" si="136"/>
        <v>0</v>
      </c>
      <c r="IS191" s="347" t="b">
        <f t="shared" si="137"/>
        <v>0</v>
      </c>
      <c r="IT191" s="347" t="b">
        <f t="shared" si="138"/>
        <v>1</v>
      </c>
      <c r="IU191" s="347" t="b">
        <f t="shared" si="139"/>
        <v>0</v>
      </c>
      <c r="IV191" s="347" t="b">
        <f t="shared" si="140"/>
        <v>0</v>
      </c>
      <c r="IW191" s="347" t="b">
        <f t="shared" si="141"/>
        <v>0</v>
      </c>
      <c r="IX191" s="347" t="b">
        <f t="shared" si="142"/>
        <v>0</v>
      </c>
      <c r="IY191" s="347" t="b">
        <f t="shared" si="143"/>
        <v>0</v>
      </c>
      <c r="IZ191" s="347" t="b">
        <f t="shared" si="144"/>
        <v>0</v>
      </c>
      <c r="JA191" s="347" t="b">
        <f t="shared" si="145"/>
        <v>0</v>
      </c>
      <c r="JB191" s="353" t="b">
        <f t="shared" si="146"/>
        <v>0</v>
      </c>
      <c r="JC191" s="354" t="str">
        <f t="shared" si="147"/>
        <v/>
      </c>
      <c r="JD191" s="355" t="str">
        <f t="shared" si="148"/>
        <v/>
      </c>
      <c r="JE191" s="355" t="str">
        <f t="shared" si="149"/>
        <v/>
      </c>
      <c r="JF191" s="355" t="str">
        <f t="shared" si="150"/>
        <v/>
      </c>
      <c r="JG191" s="355" t="str">
        <f t="shared" si="151"/>
        <v>Ga, </v>
      </c>
      <c r="JH191" s="355" t="str">
        <f t="shared" si="152"/>
        <v/>
      </c>
      <c r="JI191" s="355" t="str">
        <f t="shared" si="153"/>
        <v/>
      </c>
      <c r="JJ191" s="355" t="str">
        <f t="shared" si="154"/>
        <v/>
      </c>
      <c r="JK191" s="355" t="str">
        <f t="shared" si="155"/>
        <v/>
      </c>
      <c r="JL191" s="355" t="str">
        <f t="shared" si="156"/>
        <v/>
      </c>
      <c r="JM191" s="355" t="str">
        <f t="shared" si="157"/>
        <v/>
      </c>
      <c r="JN191" s="355" t="str">
        <f t="shared" si="158"/>
        <v/>
      </c>
      <c r="JO191" s="359" t="str">
        <f t="shared" si="159"/>
        <v/>
      </c>
      <c r="JP191" s="346" t="b">
        <f t="shared" si="160"/>
        <v>0</v>
      </c>
      <c r="JQ191" s="347" t="b">
        <f t="shared" si="161"/>
        <v>0</v>
      </c>
      <c r="JR191" s="347" t="b">
        <f t="shared" si="162"/>
        <v>0</v>
      </c>
      <c r="JS191" s="347" t="b">
        <f t="shared" si="163"/>
        <v>0</v>
      </c>
      <c r="JT191" s="347" t="b">
        <f t="shared" si="164"/>
        <v>0</v>
      </c>
      <c r="JU191" s="347" t="b">
        <f t="shared" si="165"/>
        <v>0</v>
      </c>
      <c r="JV191" s="347" t="b">
        <f t="shared" si="166"/>
        <v>0</v>
      </c>
      <c r="JW191" s="347" t="b">
        <f t="shared" si="167"/>
        <v>0</v>
      </c>
      <c r="JX191" s="347" t="b">
        <f t="shared" si="168"/>
        <v>0</v>
      </c>
      <c r="JY191" s="347" t="b">
        <f t="shared" si="169"/>
        <v>0</v>
      </c>
      <c r="JZ191" s="347" t="b">
        <f t="shared" si="170"/>
        <v>0</v>
      </c>
      <c r="KA191" s="347" t="b">
        <f t="shared" si="171"/>
        <v>0</v>
      </c>
      <c r="KB191" s="365" t="b">
        <f t="shared" si="172"/>
        <v>0</v>
      </c>
      <c r="KC191" s="354" t="str">
        <f t="shared" si="173"/>
        <v/>
      </c>
      <c r="KD191" s="355" t="str">
        <f t="shared" si="174"/>
        <v/>
      </c>
      <c r="KE191" s="355" t="str">
        <f t="shared" si="175"/>
        <v/>
      </c>
      <c r="KF191" s="355" t="str">
        <f t="shared" si="176"/>
        <v/>
      </c>
      <c r="KG191" s="355" t="str">
        <f t="shared" si="177"/>
        <v/>
      </c>
      <c r="KH191" s="355" t="str">
        <f t="shared" si="178"/>
        <v/>
      </c>
      <c r="KI191" s="355" t="str">
        <f t="shared" si="179"/>
        <v/>
      </c>
      <c r="KJ191" s="355" t="str">
        <f t="shared" si="180"/>
        <v/>
      </c>
      <c r="KK191" s="355" t="str">
        <f t="shared" si="181"/>
        <v/>
      </c>
      <c r="KL191" s="355" t="str">
        <f t="shared" si="182"/>
        <v/>
      </c>
      <c r="KM191" s="355" t="str">
        <f t="shared" si="183"/>
        <v/>
      </c>
      <c r="KN191" s="355" t="str">
        <f t="shared" si="184"/>
        <v/>
      </c>
      <c r="KO191" s="359"/>
      <c r="KP191" s="378"/>
      <c r="KQ191" s="379" t="s">
        <v>1431</v>
      </c>
      <c r="KR191" s="380" t="s">
        <v>1432</v>
      </c>
      <c r="KS191" s="381" t="str">
        <f t="shared" ref="KS191:KS192" si="598">KQ191</f>
        <v>S-rR-gG-m-P-D-n-S</v>
      </c>
      <c r="KT191" s="382">
        <f t="shared" si="186"/>
        <v>7</v>
      </c>
      <c r="KU191" s="383">
        <f t="shared" si="187"/>
        <v>9</v>
      </c>
      <c r="KV191" s="381" t="str">
        <f t="shared" si="205"/>
        <v>S-n-Dd-P-m-g-Rr-S</v>
      </c>
      <c r="KW191" s="382">
        <f t="shared" si="189"/>
        <v>7</v>
      </c>
      <c r="KX191" s="384">
        <f t="shared" si="190"/>
        <v>9</v>
      </c>
      <c r="KY191" s="382">
        <f t="shared" ref="KY191:KZ191" si="596">KW191-KT191</f>
        <v>0</v>
      </c>
      <c r="KZ191" s="369">
        <f t="shared" si="596"/>
        <v>0</v>
      </c>
      <c r="LA191" s="385" t="str">
        <f t="shared" si="192"/>
        <v>-</v>
      </c>
      <c r="LB191" s="340" t="str">
        <f>IFERROR(__xludf.DUMMYFUNCTION("JOIN("""",ArrayFormula(MID(KS191,LEN(KS191)-SEQUENCE(1,LEN(KS191))+1,1)))"),"S-n-D-P-m-Gg-Rr-S")</f>
        <v>S-n-D-P-m-Gg-Rr-S</v>
      </c>
      <c r="LC191" s="373" t="str">
        <f>IFERROR(__xludf.DUMMYFUNCTION("JOIN("""",ArrayFormula(MID(KV191,LEN(KV191)-SEQUENCE(1,LEN(KV191))+1,1)))"),"S-rR-g-m-P-dD-n-S")</f>
        <v>S-rR-g-m-P-dD-n-S</v>
      </c>
      <c r="LD191" s="373" t="str">
        <f t="shared" si="193"/>
        <v>SrRgGmPDnS</v>
      </c>
      <c r="LE191" s="339" t="str">
        <f t="shared" si="194"/>
        <v>SrRgmPdDnS</v>
      </c>
      <c r="LF191" s="386" t="str">
        <f>IFERROR(__xludf.DUMMYFUNCTION("SUBSTITUTE(SUBSTITUTE(CONCATENATE(JOIN("""",LH191:LT191)),""1"",""""),""2"","""")"),"SrRgGmPdDnS")</f>
        <v>SrRgGmPdDnS</v>
      </c>
      <c r="LG191" s="369" t="str">
        <f t="shared" si="195"/>
        <v>✔</v>
      </c>
      <c r="LH191" s="387" t="str">
        <f>IFERROR(__xludf.DUMMYFUNCTION("IF(REGEXMATCH(LD191, ""S""), ""S"",IF(REGEXMATCH(LE191, ""S""), ""S"",""""))"),"S")</f>
        <v>S</v>
      </c>
      <c r="LI191" s="299" t="str">
        <f>IFERROR(__xludf.DUMMYFUNCTION("IF(REGEXMATCH(LD191, ""r""), ""r1"",IF(REGEXMATCH(LE191, ""r""), ""r2"",""""))"),"r1")</f>
        <v>r1</v>
      </c>
      <c r="LJ191" s="299" t="str">
        <f>IFERROR(__xludf.DUMMYFUNCTION("IF(REGEXMATCH(LD191, ""R""), ""R1"",IF(REGEXMATCH(LE191, ""R""), ""R2"",""""))"),"R1")</f>
        <v>R1</v>
      </c>
      <c r="LK191" s="299" t="str">
        <f>IFERROR(__xludf.DUMMYFUNCTION("IF(REGEXMATCH(LD191, ""g""), ""g1"",IF(REGEXMATCH(LE191, ""g""), ""g2"",""""))"),"g1")</f>
        <v>g1</v>
      </c>
      <c r="LL191" s="299" t="str">
        <f>IFERROR(__xludf.DUMMYFUNCTION("IF(REGEXMATCH(LD191, ""G""), ""G1"",IF(REGEXMATCH(LE191, ""G""), ""G2"",""""))"),"G1")</f>
        <v>G1</v>
      </c>
      <c r="LM191" s="299" t="str">
        <f>IFERROR(__xludf.DUMMYFUNCTION("IF(REGEXMATCH(LD191, ""m""), ""m1"",IF(REGEXMATCH(LE191, ""m""), ""m2"",""""))"),"m1")</f>
        <v>m1</v>
      </c>
      <c r="LN191" s="299" t="str">
        <f>IFERROR(__xludf.DUMMYFUNCTION("IF(REGEXMATCH(LD191, ""M""), ""M1"",IF(REGEXMATCH(LE191, ""M""), ""M2"",""""))"),"")</f>
        <v/>
      </c>
      <c r="LO191" s="299" t="str">
        <f>IFERROR(__xludf.DUMMYFUNCTION("IF(REGEXMATCH(LD191, ""P""), ""P1"",IF(REGEXMATCH(LE191, ""P""), ""P2"",""""))"),"P1")</f>
        <v>P1</v>
      </c>
      <c r="LP191" s="299" t="str">
        <f>IFERROR(__xludf.DUMMYFUNCTION("IF(REGEXMATCH(LD191, ""d""), ""d1"",IF(REGEXMATCH(LE191, ""d""), ""d2"",""""))"),"d2")</f>
        <v>d2</v>
      </c>
      <c r="LQ191" s="299" t="str">
        <f>IFERROR(__xludf.DUMMYFUNCTION("IF(REGEXMATCH(LD191, ""D""), ""D1"",IF(REGEXMATCH(LE191, ""D""), ""D2"",""""))"),"D1")</f>
        <v>D1</v>
      </c>
      <c r="LR191" s="299" t="str">
        <f>IFERROR(__xludf.DUMMYFUNCTION("IF(REGEXMATCH(LD191, ""n""), ""n1"",IF(REGEXMATCH(LE191, ""n""), ""n2"",""""))"),"n1")</f>
        <v>n1</v>
      </c>
      <c r="LS191" s="299" t="str">
        <f>IFERROR(__xludf.DUMMYFUNCTION("IF(REGEXMATCH(LD191, ""N""), ""N1"",IF(REGEXMATCH(LE191, ""N""), ""N2"",""""))"),"")</f>
        <v/>
      </c>
      <c r="LT191" s="388" t="str">
        <f>IFERROR(__xludf.DUMMYFUNCTION("IF(REGEXMATCH(LD191, ""S""), ""S"",IF(REGEXMATCH(LE191, ""S""), ""S"",""""))"),"S")</f>
        <v>S</v>
      </c>
      <c r="LU191" s="389">
        <f t="shared" si="196"/>
        <v>1</v>
      </c>
      <c r="LV191" s="378"/>
      <c r="LW191" s="369"/>
      <c r="LX191" s="369"/>
    </row>
    <row r="192" ht="18.0" customHeight="1">
      <c r="A192" s="298" t="s">
        <v>906</v>
      </c>
      <c r="B192" s="222" t="s">
        <v>907</v>
      </c>
      <c r="C192" s="233" t="str">
        <f t="shared" si="7"/>
        <v>SrGmMdNS</v>
      </c>
      <c r="D192" s="234" t="str">
        <f>IFERROR(__xludf.DUMMYFUNCTION("IF(REGEXMATCH(C192, ""S""), ""S"","""")"),"S")</f>
        <v>S</v>
      </c>
      <c r="E192" s="236" t="str">
        <f>IFERROR(__xludf.DUMMYFUNCTION("IF(REGEXMATCH(C192, ""r""), ""r"","""")"),"r")</f>
        <v>r</v>
      </c>
      <c r="F192" s="237" t="str">
        <f>IFERROR(__xludf.DUMMYFUNCTION("IF(REGEXMATCH(C192, ""R""), ""R"","""")"),"")</f>
        <v/>
      </c>
      <c r="G192" s="237" t="str">
        <f>IFERROR(__xludf.DUMMYFUNCTION("IF(REGEXMATCH(C192, ""g""), ""g"","""")"),"")</f>
        <v/>
      </c>
      <c r="H192" s="236" t="str">
        <f>IFERROR(__xludf.DUMMYFUNCTION("IF(REGEXMATCH(C192, ""G""), ""G"","""")"),"G")</f>
        <v>G</v>
      </c>
      <c r="I192" s="236" t="str">
        <f>IFERROR(__xludf.DUMMYFUNCTION("IF(REGEXMATCH(C192, ""m""), ""m"","""")"),"m")</f>
        <v>m</v>
      </c>
      <c r="J192" s="237" t="str">
        <f>IFERROR(__xludf.DUMMYFUNCTION("IF(REGEXMATCH(C192, ""M""), ""M"","""")"),"M")</f>
        <v>M</v>
      </c>
      <c r="K192" s="236" t="str">
        <f>IFERROR(__xludf.DUMMYFUNCTION("IF(REGEXMATCH(C192, ""P""), ""P"","""")"),"")</f>
        <v/>
      </c>
      <c r="L192" s="237" t="str">
        <f>IFERROR(__xludf.DUMMYFUNCTION("IF(REGEXMATCH(C192, ""d""), ""d"","""")"),"d")</f>
        <v>d</v>
      </c>
      <c r="M192" s="236" t="str">
        <f>IFERROR(__xludf.DUMMYFUNCTION("IF(REGEXMATCH(C192, ""D""), ""D"","""")"),"")</f>
        <v/>
      </c>
      <c r="N192" s="236" t="str">
        <f>IFERROR(__xludf.DUMMYFUNCTION("IF(REGEXMATCH(C192, ""n""), ""n"","""")"),"")</f>
        <v/>
      </c>
      <c r="O192" s="237" t="str">
        <f>IFERROR(__xludf.DUMMYFUNCTION("IF(REGEXMATCH(C192, ""N""), ""N"","""")"),"N")</f>
        <v>N</v>
      </c>
      <c r="P192" s="238" t="str">
        <f>IFERROR(__xludf.DUMMYFUNCTION("IF(REGEXMATCH(C192, ""S""), ""S"","""")"),"S")</f>
        <v>S</v>
      </c>
      <c r="Q192" s="239" t="str">
        <f>IFERROR(__xludf.DUMMYFUNCTION("SUBSTITUTE(CONCATENATE(JOIN(""-"",D192:J192)),""-"","""")"),"SrGmM")</f>
        <v>SrGmM</v>
      </c>
      <c r="R192" s="229" t="str">
        <f>IFERROR(__xludf.DUMMYFUNCTION("SUBSTITUTE(CONCATENATE(JOIN(""-"",K192:P192)),""-"","""")"),"dNS")</f>
        <v>dNS</v>
      </c>
      <c r="S192" s="282" t="str">
        <f t="shared" si="8"/>
        <v>S-R-G-M</v>
      </c>
      <c r="T192" s="282" t="str">
        <f t="shared" si="9"/>
        <v>D-N-S</v>
      </c>
      <c r="U192" s="237" t="str">
        <f>IFERROR(__xludf.DUMMYFUNCTION("SUBSTITUTE(JOIN(""-"",S192,T192),""--"",""-"")"),"S-R-G-M-D-N-S")</f>
        <v>S-R-G-M-D-N-S</v>
      </c>
      <c r="V192" s="309" t="str">
        <f t="shared" si="10"/>
        <v>rGmMdN</v>
      </c>
      <c r="W192" s="244" t="str">
        <f>IFERROR(__xludf.DUMMYFUNCTION("IF(REGEXMATCH(C192, ""S""), ""0"","""")"),"0")</f>
        <v>0</v>
      </c>
      <c r="X192" s="245" t="str">
        <f>IFERROR(__xludf.DUMMYFUNCTION("IF(REGEXMATCH(C192, ""r""), ""1"","""")"),"1")</f>
        <v>1</v>
      </c>
      <c r="Y192" s="246" t="str">
        <f>IFERROR(__xludf.DUMMYFUNCTION("IF(REGEXMATCH(C192, ""R""), ""2"","""")"),"")</f>
        <v/>
      </c>
      <c r="Z192" s="246" t="str">
        <f>IFERROR(__xludf.DUMMYFUNCTION("IF(REGEXMATCH(C192, ""g""), ""3"","""")"),"")</f>
        <v/>
      </c>
      <c r="AA192" s="245" t="str">
        <f>IFERROR(__xludf.DUMMYFUNCTION("IF(REGEXMATCH(C192, ""G""), ""4"","""")"),"4")</f>
        <v>4</v>
      </c>
      <c r="AB192" s="245" t="str">
        <f>IFERROR(__xludf.DUMMYFUNCTION("IF(REGEXMATCH(C192, ""m""), ""5"","""")"),"5")</f>
        <v>5</v>
      </c>
      <c r="AC192" s="246" t="str">
        <f>IFERROR(__xludf.DUMMYFUNCTION("IF(REGEXMATCH(C192, ""M""), ""6"","""")"),"6")</f>
        <v>6</v>
      </c>
      <c r="AD192" s="245" t="str">
        <f>IFERROR(__xludf.DUMMYFUNCTION("IF(REGEXMATCH(C192, ""P""), ""7"","""")"),"")</f>
        <v/>
      </c>
      <c r="AE192" s="246" t="str">
        <f>IFERROR(__xludf.DUMMYFUNCTION("IF(REGEXMATCH(C192, ""d""), ""8"","""")"),"8")</f>
        <v>8</v>
      </c>
      <c r="AF192" s="245" t="str">
        <f>IFERROR(__xludf.DUMMYFUNCTION("IF(REGEXMATCH(C192, ""D""), ""9"","""")"),"")</f>
        <v/>
      </c>
      <c r="AG192" s="245" t="str">
        <f>IFERROR(__xludf.DUMMYFUNCTION("IF(REGEXMATCH(C192, ""n""), ""10"","""")"),"")</f>
        <v/>
      </c>
      <c r="AH192" s="246" t="str">
        <f>IFERROR(__xludf.DUMMYFUNCTION("IF(REGEXMATCH(C192, ""N""), ""11"","""")"),"11")</f>
        <v>11</v>
      </c>
      <c r="AI192" s="249" t="str">
        <f>IFERROR(__xludf.DUMMYFUNCTION("IF(REGEXMATCH(C192, ""S""), ""0"","""")"),"0")</f>
        <v>0</v>
      </c>
      <c r="AJ192" s="313" t="str">
        <f t="shared" si="11"/>
        <v>T</v>
      </c>
      <c r="AK192" s="313" t="str">
        <f t="shared" si="12"/>
        <v>-</v>
      </c>
      <c r="AL192" s="313" t="str">
        <f t="shared" si="13"/>
        <v>-</v>
      </c>
      <c r="AM192" s="313" t="str">
        <f t="shared" si="14"/>
        <v>-</v>
      </c>
      <c r="AN192" s="313" t="str">
        <f t="shared" si="15"/>
        <v>-</v>
      </c>
      <c r="AO192" s="314" t="str">
        <f t="shared" si="16"/>
        <v>T</v>
      </c>
      <c r="AP192" s="316">
        <f t="shared" si="17"/>
        <v>2</v>
      </c>
      <c r="AQ192" s="319" t="str">
        <f t="shared" si="18"/>
        <v>-</v>
      </c>
      <c r="AR192" s="320">
        <f t="shared" si="19"/>
        <v>0</v>
      </c>
      <c r="AS192" s="250" t="str">
        <f>IFERROR(__xludf.DUMMYFUNCTION("SUBSTITUTE(SUBSTITUTE(CONCATENATE(JOIN("""",FP192:GA192)),""|"",""x""),""-"",""o"")"),"xxooxxxoxoox")</f>
        <v>xxooxxxoxoox</v>
      </c>
      <c r="AT192" s="323" t="str">
        <f>IFERROR(__xludf.DUMMYFUNCTION("JOIN("""",AS192,AS192)"),"xxooxxxoxooxxxooxxxoxoox")</f>
        <v>xxooxxxoxooxxxooxxxoxoox</v>
      </c>
      <c r="AU192" s="256" t="str">
        <f>IFERROR(__xludf.DUMMYFUNCTION("JOIN("""",ArrayFormula(MID(AS192,LEN(AS192)-SEQUENCE(1,LEN(AS192))+1,1)))"),"xooxoxxxooxx")</f>
        <v>xooxoxxxooxx</v>
      </c>
      <c r="AV192" s="256" t="str">
        <f>IFERROR(__xludf.DUMMYFUNCTION("LEFT(CONCATENATE(""x"",JOIN("""",ArrayFormula(MID(AS192,LEN(AS192)-SEQUENCE(1,LEN(AS192))+1,1)))),12)"),"xxooxoxxxoox")</f>
        <v>xxooxoxxxoox</v>
      </c>
      <c r="AW192" s="327" t="str">
        <f>IFERROR(__xludf.DUMMYFUNCTION("JOIN("""",AU192,AU192)"),"xooxoxxxooxxxooxoxxxooxx")</f>
        <v>xooxoxxxooxxxooxoxxxooxx</v>
      </c>
      <c r="AX192" s="239" t="str">
        <f>IFERROR(__xludf.DUMMYFUNCTION("IF(REGEXMATCH(AW192,AS192),""✔"",""-"")"),"-")</f>
        <v>-</v>
      </c>
      <c r="AY192" s="330" t="str">
        <f t="shared" si="20"/>
        <v>-</v>
      </c>
      <c r="AZ192" s="260" t="str">
        <f t="shared" si="21"/>
        <v>#REF!</v>
      </c>
      <c r="BA192" s="333" t="str">
        <f t="shared" si="22"/>
        <v>xxooxxx</v>
      </c>
      <c r="BB192" s="334" t="str">
        <f t="shared" si="23"/>
        <v>oxooxx</v>
      </c>
      <c r="BC192" s="335" t="str">
        <f t="shared" si="236"/>
        <v>-</v>
      </c>
      <c r="BD192" s="336" t="str">
        <f t="shared" si="25"/>
        <v>Lalit: 'xxooxxx' + 'oxooxx'</v>
      </c>
      <c r="BE192" s="337">
        <f>IFERROR(__xludf.DUMMYFUNCTION("COUNTUNIQUE(FILTER(AT:AT,REGEXMATCH(AT:AT,AS192)))-1"),3.0)</f>
        <v>3</v>
      </c>
      <c r="BF192" s="261" t="str">
        <f>IFERROR(__xludf.DUMMYFUNCTION("IF(BI192=0,""(n/a)"",IF(BJ192=2,""(PAIR)"",IF(REGEXMATCH(AT192,""xoxoxxoxoxox""),""Bilawal"",IF(REGEXMATCH(AT192,""xoxoxooxoxoo""),""Bhupali"",IF(REGEXMATCH(AT192,""xoxoxxoxxoxo""),""Charukeshi"",IF(REGEXMATCH(AT192,""xoxoooxxoxxo""),""Kameshwari"",IF(REG"&amp;"EXMATCH(AT192,""xoxoxooxoxox""),""Shankara"",IF(REGEXMATCH(AT192,""xxooxoxxxoox""),""Basant"",IF(REGEXMATCH(AT192,""xoxoxxxxoxox""),""Bihag"",IF(REGEXMATCH(AT192,""xoxxxxoxoxxx""),""Pilu"",IF(REGEXMATCH(AT192,""xoxxoxoxxoox""),""Kirwani"",IF(REGEXMATCH(AT"&amp;"192,""xoxxoxoxoxxx""),""Mk.Malhar"",IF(REGEXMATCH(AT192,""xxooxxoxxoox""),""Bhairav"",IF(REGEXMATCH(AT192,""xxoxooxxxoox""),""Todi"",IF(REGEXMATCH(AT192,""xxooxoxooxox""),""Marwa"",IF(REGEXMATCH(AT192,""xxoooxoxxooo""),""Gunkali"",IF(REGEXMATCH(AT192,""xo"&amp;"xoxxoxxoox""),""Nat Bhairav"",IF(REGEXMATCH(AT192,""xoxxoooxoxoo""),""Shivranjani"",IF(REGEXMATCH(AT192,""xooxxxoxooxo""),""Jog"",IF(REGEXMATCH(AT192,""xxooxoxoxoox""),""Hemshri"",IF(REGEXMATCH(AT192,""xoooxooxoxxo""),""Kalavati"",IF(REGEXMATCH(AT192,""xx"&amp;"oxoxxoxoox""),""Kedar"",IF(REGEXMATCH(AT192,""xoxxxxoxooxx""),""Gara"",IF(REGEXMATCH(AT192,""xooxoxooxoox""),""Chandrakauns"",IF(REGEXMATCH(AT192,""xoxxxxoxxxox""),""Mand"",IF(REGEXMATCH(AT192,""xoxxxxoxoxox""),""Hanskinkini"",IF(REGEXMATCH(AT192,""xxooxx"&amp;"oxooxo""),""Lilavati"",IF(REGEXMATCH(AT192,""xooxoxoooxox""),""Rajeshwari"",IF(REGEXMATCH(AT192,""xoooxxoxoxxx""),""Khokar"",IF(REGEXMATCH(AT192,""xxooxoxxxxox""),""Maligoura"",""-""))))))))))))))))))))))))))))))"),"Todi")</f>
        <v>Todi</v>
      </c>
      <c r="BG192" s="239" t="str">
        <f t="shared" si="26"/>
        <v>#REF!</v>
      </c>
      <c r="BH192" s="239">
        <f>IFERROR(__xludf.DUMMYFUNCTION("COUNTUNIQUE(FE192:FO192)-1"),6.0)</f>
        <v>6</v>
      </c>
      <c r="BI192" s="239">
        <f>IFERROR(__xludf.DUMMYFUNCTION("COUNTUNIQUE(FILTER(AT:AT,REGEXMATCH(AT:AT,AS192)))-1"),3.0)</f>
        <v>3</v>
      </c>
      <c r="BJ192" s="239">
        <f>IFERROR(__xludf.DUMMYFUNCTION("COUNTA(FILTER(AT:AT,REGEXMATCH(AT:AT,AS192)))"),6.0)</f>
        <v>6</v>
      </c>
      <c r="BK192" s="341">
        <f>IFERROR(__xludf.DUMMYFUNCTION("COUNTA(FILTER(AT:AT,REGEXMATCH(AT:AT,AS192)))-AR192"),6.0)</f>
        <v>6</v>
      </c>
      <c r="BL192" s="276" t="str">
        <f>IFERROR(__xludf.DUMMYFUNCTION("IF(AS192=""oooooooooooo"",""-"",IF(REGEXMATCH(AT192,""xx""), ""Hemi."", ""Anhemi.""))"),"Hemi.")</f>
        <v>Hemi.</v>
      </c>
      <c r="BM192" s="282" t="str">
        <f>IFERROR(__xludf.DUMMYFUNCTION("IF(AS192=""oooooooooooo"",""-"",IF(REGEXMATCH(AT192,""xxx""), ""Cohem."", ""-""))"),"Cohem.")</f>
        <v>Cohem.</v>
      </c>
      <c r="BN192" s="282" t="str">
        <f>IFERROR(__xludf.DUMMYFUNCTION("IF(AS192=""oooooooooooo"",""-"",IF(REGEXMATCH(AT192,""xxxx""), ""Co-Co."", ""-""))"),"-")</f>
        <v>-</v>
      </c>
      <c r="BO192" s="342" t="str">
        <f>IFERROR(__xludf.DUMMYFUNCTION("IF(AS192=""oooooooooooo"",""-"",IF(REGEXMATCH(AT192,""xxxxx""), ""CCC."", ""-""))"),"-")</f>
        <v>-</v>
      </c>
      <c r="BP192" s="344" t="str">
        <f t="shared" si="27"/>
        <v>-</v>
      </c>
      <c r="BQ192" s="282" t="str">
        <f>IFERROR(__xludf.DUMMYFUNCTION("IF(REGEXMATCH(JOIN(""-"",EU192:FD192),""TRUE""),""✔"",""-"")"),"-")</f>
        <v>-</v>
      </c>
      <c r="BR192" s="225">
        <f t="shared" si="28"/>
        <v>0</v>
      </c>
      <c r="BS192" s="345" t="str">
        <f>IFERROR(__xludf.DUMMYFUNCTION("SUBSTITUTE(SUBSTITUTE(SUBSTITUTE(SUBSTITUTE(CONCATENATE(JOIN(""-"",GC192:GO192)),""--"",""-""),""--"",""-""),""--"",""-""),""--"",""-"")"),"1-b2-3-4-#4-b6-7-8")</f>
        <v>1-b2-3-4-#4-b6-7-8</v>
      </c>
      <c r="BT192" s="299" t="str">
        <f>IFERROR(__xludf.DUMMYFUNCTION("SUBSTITUTE(SUBSTITUTE(SUBSTITUTE(SUBSTITUTE(CONCATENATE(JOIN(""-"",GP192:HB192)),""--"",""-""),""--"",""-""),""--"",""-""),""--"",""-"")"),"S-R1-G3-M1-M2-D1-N3-S")</f>
        <v>S-R1-G3-M1-M2-D1-N3-S</v>
      </c>
      <c r="BU192" s="348" t="str">
        <f t="shared" si="29"/>
        <v>C-Db-E-F-F#-Ab-B-C</v>
      </c>
      <c r="BV192" s="349" t="str">
        <f t="shared" si="30"/>
        <v>SRgPDnS</v>
      </c>
      <c r="BW192" s="350">
        <f t="shared" si="31"/>
        <v>1</v>
      </c>
      <c r="BX192" s="351">
        <f t="shared" si="32"/>
        <v>1</v>
      </c>
      <c r="BY192" s="352" t="s">
        <v>275</v>
      </c>
      <c r="BZ192" s="309" t="str">
        <f>IFERROR(__xludf.DUMMYFUNCTION("IF(REGEXMATCH(C192, ""S""), ""x"",""x"")"),"x")</f>
        <v>x</v>
      </c>
      <c r="CA192" s="245" t="str">
        <f>IFERROR(__xludf.DUMMYFUNCTION("IF(REGEXMATCH(C192, ""r""), ""o"",""x"")"),"o")</f>
        <v>o</v>
      </c>
      <c r="CB192" s="246" t="str">
        <f>IFERROR(__xludf.DUMMYFUNCTION("IF(REGEXMATCH(C192, ""R""), ""o"",""x"")"),"x")</f>
        <v>x</v>
      </c>
      <c r="CC192" s="246" t="str">
        <f>IFERROR(__xludf.DUMMYFUNCTION("IF(REGEXMATCH(C192, ""g""), ""o"",""x"")"),"x")</f>
        <v>x</v>
      </c>
      <c r="CD192" s="245" t="str">
        <f>IFERROR(__xludf.DUMMYFUNCTION("IF(REGEXMATCH(C192, ""G""), ""o"",""x"")"),"o")</f>
        <v>o</v>
      </c>
      <c r="CE192" s="245" t="str">
        <f>IFERROR(__xludf.DUMMYFUNCTION("IF(REGEXMATCH(C192, ""m""), ""o"",""x"")"),"o")</f>
        <v>o</v>
      </c>
      <c r="CF192" s="246" t="str">
        <f>IFERROR(__xludf.DUMMYFUNCTION("IF(REGEXMATCH(C192, ""M""), ""o"",""x"")"),"o")</f>
        <v>o</v>
      </c>
      <c r="CG192" s="245" t="str">
        <f>IFERROR(__xludf.DUMMYFUNCTION("IF(REGEXMATCH(C192, ""P""), ""o"",""x"")"),"x")</f>
        <v>x</v>
      </c>
      <c r="CH192" s="246" t="str">
        <f>IFERROR(__xludf.DUMMYFUNCTION("IF(REGEXMATCH(C192, ""d""), ""o"",""x"")"),"o")</f>
        <v>o</v>
      </c>
      <c r="CI192" s="245" t="str">
        <f>IFERROR(__xludf.DUMMYFUNCTION("IF(REGEXMATCH(C192, ""D""), ""o"",""x"")"),"x")</f>
        <v>x</v>
      </c>
      <c r="CJ192" s="245" t="str">
        <f>IFERROR(__xludf.DUMMYFUNCTION("IF(REGEXMATCH(C192, ""n""), ""o"",""x"")"),"x")</f>
        <v>x</v>
      </c>
      <c r="CK192" s="245" t="str">
        <f>IFERROR(__xludf.DUMMYFUNCTION("IF(REGEXMATCH(C192, ""N""), ""o"",""x"")"),"o")</f>
        <v>o</v>
      </c>
      <c r="CL192" s="356" t="str">
        <f>IFERROR(__xludf.DUMMYFUNCTION("IF(REGEXMATCH(C192, ""S""), ""x"",""x"")"),"x")</f>
        <v>x</v>
      </c>
      <c r="CM192" s="357" t="str">
        <f t="shared" si="33"/>
        <v>xoxxoooxoxxo</v>
      </c>
      <c r="CN192" s="358">
        <f t="shared" si="34"/>
        <v>1</v>
      </c>
      <c r="CO192" s="246" t="str">
        <f>IFERROR(__xludf.DUMMYFUNCTION("IF(REGEXMATCH($C192, ""S""), ""S"",""S"")"),"S")</f>
        <v>S</v>
      </c>
      <c r="CP192" s="246" t="str">
        <f>IFERROR(__xludf.DUMMYFUNCTION("IF(REGEXMATCH($C192, ""r""), """",""r"")"),"")</f>
        <v/>
      </c>
      <c r="CQ192" s="246" t="str">
        <f>IFERROR(__xludf.DUMMYFUNCTION("IF(REGEXMATCH($C192, ""R""), """",""R"")"),"R")</f>
        <v>R</v>
      </c>
      <c r="CR192" s="246" t="str">
        <f>IFERROR(__xludf.DUMMYFUNCTION("IF(REGEXMATCH($C192, ""g""), """",""g"")"),"g")</f>
        <v>g</v>
      </c>
      <c r="CS192" s="246" t="str">
        <f>IFERROR(__xludf.DUMMYFUNCTION("IF(REGEXMATCH($C192, ""G""), """",""G"")"),"")</f>
        <v/>
      </c>
      <c r="CT192" s="246" t="str">
        <f>IFERROR(__xludf.DUMMYFUNCTION("IF(REGEXMATCH($C192, ""m""), """",""m"")"),"")</f>
        <v/>
      </c>
      <c r="CU192" s="246" t="str">
        <f>IFERROR(__xludf.DUMMYFUNCTION("IF(REGEXMATCH($C192, ""M""), """",""M"")"),"")</f>
        <v/>
      </c>
      <c r="CV192" s="246" t="str">
        <f>IFERROR(__xludf.DUMMYFUNCTION("IF(REGEXMATCH($C192, ""P""), """",""P"")"),"P")</f>
        <v>P</v>
      </c>
      <c r="CW192" s="246" t="str">
        <f>IFERROR(__xludf.DUMMYFUNCTION("IF(REGEXMATCH($C192, ""d""), """",""d"")"),"")</f>
        <v/>
      </c>
      <c r="CX192" s="246" t="str">
        <f>IFERROR(__xludf.DUMMYFUNCTION("IF(REGEXMATCH($C192, ""D""), """",""D"")"),"D")</f>
        <v>D</v>
      </c>
      <c r="CY192" s="246" t="str">
        <f>IFERROR(__xludf.DUMMYFUNCTION("IF(REGEXMATCH($C192, ""n""), """",""n"")"),"n")</f>
        <v>n</v>
      </c>
      <c r="CZ192" s="246" t="str">
        <f>IFERROR(__xludf.DUMMYFUNCTION("IF(REGEXMATCH($C192, ""N""), """",""N"")"),"")</f>
        <v/>
      </c>
      <c r="DA192" s="246" t="str">
        <f>IFERROR(__xludf.DUMMYFUNCTION("IF(REGEXMATCH($C192, ""S""), ""S"",""S"")"),"S")</f>
        <v>S</v>
      </c>
      <c r="DB192" s="362" t="str">
        <f>IFERROR(__xludf.DUMMYFUNCTION("JOIN("""",CO192:DA192,"""","""")"),"SRgPDnS")</f>
        <v>SRgPDnS</v>
      </c>
      <c r="DC192" s="363"/>
      <c r="DD192" s="301" t="str">
        <f t="shared" si="35"/>
        <v>#REF!</v>
      </c>
      <c r="DE192" s="302" t="str">
        <f t="shared" si="36"/>
        <v>#REF!</v>
      </c>
      <c r="DF192" s="301" t="str">
        <f t="shared" ref="DF192:DG192" si="597">SUBSTITUTE(S192,"-","")</f>
        <v>SRGM</v>
      </c>
      <c r="DG192" s="301" t="str">
        <f t="shared" si="597"/>
        <v>DNS</v>
      </c>
      <c r="DH192" s="302" t="str">
        <f t="shared" si="38"/>
        <v>Todi</v>
      </c>
      <c r="DI192" s="301" t="str">
        <f t="shared" si="39"/>
        <v>Hemi.</v>
      </c>
      <c r="DJ192" s="364" t="str">
        <f t="shared" si="40"/>
        <v>Cohem.</v>
      </c>
      <c r="DK192" s="306" t="str">
        <f t="shared" si="41"/>
        <v>-</v>
      </c>
      <c r="DL192" s="366" t="str">
        <f t="shared" si="42"/>
        <v>-</v>
      </c>
      <c r="DM192" s="308" t="str">
        <f t="shared" si="43"/>
        <v>✔</v>
      </c>
      <c r="DN192" s="306" t="str">
        <f t="shared" si="44"/>
        <v>-</v>
      </c>
      <c r="DO192" s="306" t="str">
        <f t="shared" si="45"/>
        <v>-</v>
      </c>
      <c r="DP192" s="367" t="str">
        <f t="shared" si="46"/>
        <v>-</v>
      </c>
      <c r="DQ192" s="310" t="str">
        <f t="shared" si="47"/>
        <v>-</v>
      </c>
      <c r="DR192" s="310" t="str">
        <f t="shared" si="48"/>
        <v>-</v>
      </c>
      <c r="DS192" s="310" t="str">
        <f t="shared" si="49"/>
        <v>✔</v>
      </c>
      <c r="DT192" s="310" t="str">
        <f t="shared" si="50"/>
        <v>-</v>
      </c>
      <c r="DU192" s="370" t="str">
        <f t="shared" si="51"/>
        <v>-</v>
      </c>
      <c r="DV192" s="306" t="str">
        <f t="shared" si="52"/>
        <v>-</v>
      </c>
      <c r="DW192" s="306" t="str">
        <f t="shared" si="53"/>
        <v>-</v>
      </c>
      <c r="DX192" s="306" t="str">
        <f t="shared" si="54"/>
        <v>-</v>
      </c>
      <c r="DY192" s="306" t="str">
        <f t="shared" si="55"/>
        <v>✔</v>
      </c>
      <c r="DZ192" s="306" t="str">
        <f t="shared" si="56"/>
        <v>-</v>
      </c>
      <c r="EA192" s="367" t="str">
        <f t="shared" si="57"/>
        <v>-</v>
      </c>
      <c r="EB192" s="310" t="str">
        <f>IFERROR(__xludf.DUMMYFUNCTION("IF(REGEXMATCH(AW192,AS192),""✔"",""-"")"),"-")</f>
        <v>-</v>
      </c>
      <c r="EC192" s="310" t="str">
        <f t="shared" si="58"/>
        <v>#REF!</v>
      </c>
      <c r="ED192" s="370" t="str">
        <f t="shared" si="59"/>
        <v>-</v>
      </c>
      <c r="EE192" s="340" t="str">
        <f t="shared" si="60"/>
        <v>S-r-G-mM-d-N-S</v>
      </c>
      <c r="EF192" s="371" t="str">
        <f>IFERROR(__xludf.DUMMYFUNCTION("CONCATENATE(JOIN("""",HC192:HO192))"),"SrGMPdNS")</f>
        <v>SrGMPdNS</v>
      </c>
      <c r="EG192" s="372">
        <f t="shared" si="61"/>
        <v>2</v>
      </c>
      <c r="EH192" s="373" t="str">
        <f>IFERROR(__xludf.DUMMYFUNCTION("CONCATENATE(JOIN("""",JC192:JO192))"),"Sa, dha, ")</f>
        <v>Sa, dha, </v>
      </c>
      <c r="EI192" s="322">
        <f t="shared" si="62"/>
        <v>0</v>
      </c>
      <c r="EJ192" s="374" t="str">
        <f>IFERROR(__xludf.DUMMYFUNCTION("CONCATENATE(JOIN("""",KC192:KO192))"),"")</f>
        <v/>
      </c>
      <c r="EK192" s="325" t="str">
        <f t="shared" si="63"/>
        <v>S-R1-G3-M1-M2-D1-N3-S</v>
      </c>
      <c r="EL192" s="326" t="str">
        <f t="shared" si="64"/>
        <v>1-b2-3-4-#4-b6-7-8</v>
      </c>
      <c r="EM192" s="318" t="str">
        <f t="shared" si="65"/>
        <v>#REF!</v>
      </c>
      <c r="EN192" s="328" t="str">
        <f>IFERROR(__xludf.DUMMYFUNCTION("SUBSTITUTE(SUBSTITUTE(SUBSTITUTE(SUBSTITUTE(CONCATENATE(JOIN("" "",HP192:IB192)),""  "","" ""),""  "","" ""),""  "","" ""),""  "","" "")"),"o o • • o o o • o • • o o")</f>
        <v>o o • • o o o • o • • o o</v>
      </c>
      <c r="EO192" s="368" t="str">
        <f t="shared" si="66"/>
        <v>-</v>
      </c>
      <c r="EP192" s="339" t="str">
        <f t="shared" si="67"/>
        <v>-</v>
      </c>
      <c r="EQ192" s="339" t="str">
        <f t="shared" si="68"/>
        <v>-</v>
      </c>
      <c r="ER192" s="339" t="str">
        <f t="shared" si="69"/>
        <v>-</v>
      </c>
      <c r="ES192" s="340" t="str">
        <f t="shared" si="70"/>
        <v>-</v>
      </c>
      <c r="ET192" s="363"/>
      <c r="EU192" s="376" t="b">
        <f>IFERROR(__xludf.DUMMYFUNCTION("arrayformula(sum(--REGEXMATCH(""SRGMPDNS"",split(REGEXREPLACE(C192,""(.)"",""$1~""),""~""))))=len(C192)
"),FALSE)</f>
        <v>0</v>
      </c>
      <c r="EV192" s="290" t="b">
        <f>IFERROR(__xludf.DUMMYFUNCTION("arrayformula(sum(--REGEXMATCH(""SRGmPDNS"",split(REGEXREPLACE(C192,""(.)"",""$1~""),""~""))))=len(C192)"),FALSE)</f>
        <v>0</v>
      </c>
      <c r="EW192" s="290" t="b">
        <f>IFERROR(__xludf.DUMMYFUNCTION("arrayformula(sum(--REGEXMATCH(""SRGmPDnS"",split(REGEXREPLACE(C192,""(.)"",""$1~""),""~""))))=len(C192)"),FALSE)</f>
        <v>0</v>
      </c>
      <c r="EX192" s="290" t="b">
        <f>IFERROR(__xludf.DUMMYFUNCTION("arrayformula(sum(--REGEXMATCH(""SRgmPDnS"",split(REGEXREPLACE(C192,""(.)"",""$1~""),""~""))))=len(C192)"),FALSE)</f>
        <v>0</v>
      </c>
      <c r="EY192" s="290" t="b">
        <f>IFERROR(__xludf.DUMMYFUNCTION("arrayformula(sum(--REGEXMATCH(""SRgmPdnS"",split(REGEXREPLACE(C192,""(.)"",""$1~""),""~""))))=len(C192)"),FALSE)</f>
        <v>0</v>
      </c>
      <c r="EZ192" s="290" t="b">
        <f>IFERROR(__xludf.DUMMYFUNCTION("arrayformula(sum(--REGEXMATCH(""SrgmPdnS"",split(REGEXREPLACE(C192,""(.)"",""$1~""),""~""))))=len(C192)"),FALSE)</f>
        <v>0</v>
      </c>
      <c r="FA192" s="290" t="b">
        <f>IFERROR(__xludf.DUMMYFUNCTION("arrayformula(sum(--REGEXMATCH(""SrGmPdNS"",split(REGEXREPLACE(C192,""(.)"",""$1~""),""~""))))=len(C192)"),FALSE)</f>
        <v>0</v>
      </c>
      <c r="FB192" s="290" t="b">
        <f>IFERROR(__xludf.DUMMYFUNCTION("arrayformula(sum(--REGEXMATCH(""SrGMPDNS"",split(REGEXREPLACE(C192,""(.)"",""$1~""),""~""))))=len(C192)"),FALSE)</f>
        <v>0</v>
      </c>
      <c r="FC192" s="290" t="b">
        <f>IFERROR(__xludf.DUMMYFUNCTION("arrayformula(sum(--REGEXMATCH(""SrGMPdNS"",split(REGEXREPLACE(C192,""(.)"",""$1~""),""~""))))=len(C192)"),FALSE)</f>
        <v>0</v>
      </c>
      <c r="FD192" s="377" t="b">
        <f>IFERROR(__xludf.DUMMYFUNCTION("arrayformula(sum(--REGEXMATCH(""SrgMPdNS"",split(REGEXREPLACE(C192,""(.)"",""$1~""),""~""))))=len(C192)"),FALSE)</f>
        <v>0</v>
      </c>
      <c r="FE192" s="269" t="str">
        <f t="shared" si="71"/>
        <v>xooxxxoxoox</v>
      </c>
      <c r="FF192" s="269" t="str">
        <f t="shared" si="72"/>
        <v>-</v>
      </c>
      <c r="FG192" s="271" t="str">
        <f t="shared" si="73"/>
        <v>-</v>
      </c>
      <c r="FH192" s="269" t="str">
        <f t="shared" si="74"/>
        <v>xxxoxooxxxo</v>
      </c>
      <c r="FI192" s="271" t="str">
        <f t="shared" si="75"/>
        <v>xxoxooxxxoo</v>
      </c>
      <c r="FJ192" s="271" t="str">
        <f t="shared" si="76"/>
        <v>xoxooxxxoox</v>
      </c>
      <c r="FK192" s="271" t="str">
        <f t="shared" si="77"/>
        <v>-</v>
      </c>
      <c r="FL192" s="271" t="str">
        <f t="shared" si="78"/>
        <v>xooxxxooxxx</v>
      </c>
      <c r="FM192" s="271" t="str">
        <f t="shared" si="79"/>
        <v>-</v>
      </c>
      <c r="FN192" s="271" t="str">
        <f t="shared" si="80"/>
        <v>-</v>
      </c>
      <c r="FO192" s="274" t="str">
        <f t="shared" si="81"/>
        <v>xxxooxxxoxo</v>
      </c>
      <c r="FP192" s="234" t="str">
        <f t="shared" si="82"/>
        <v>|</v>
      </c>
      <c r="FQ192" s="236" t="str">
        <f t="shared" si="83"/>
        <v>|</v>
      </c>
      <c r="FR192" s="237" t="str">
        <f t="shared" si="84"/>
        <v>-</v>
      </c>
      <c r="FS192" s="236" t="str">
        <f t="shared" si="85"/>
        <v>-</v>
      </c>
      <c r="FT192" s="237" t="str">
        <f t="shared" si="86"/>
        <v>|</v>
      </c>
      <c r="FU192" s="236" t="str">
        <f t="shared" si="87"/>
        <v>|</v>
      </c>
      <c r="FV192" s="237" t="str">
        <f t="shared" si="88"/>
        <v>|</v>
      </c>
      <c r="FW192" s="236" t="str">
        <f t="shared" si="89"/>
        <v>-</v>
      </c>
      <c r="FX192" s="237" t="str">
        <f t="shared" si="90"/>
        <v>|</v>
      </c>
      <c r="FY192" s="236" t="str">
        <f t="shared" si="91"/>
        <v>-</v>
      </c>
      <c r="FZ192" s="237" t="str">
        <f t="shared" si="92"/>
        <v>-</v>
      </c>
      <c r="GA192" s="236" t="str">
        <f t="shared" si="93"/>
        <v>|</v>
      </c>
      <c r="GB192" s="238" t="str">
        <f t="shared" si="94"/>
        <v>|</v>
      </c>
      <c r="GC192" s="244" t="str">
        <f>IFERROR(__xludf.DUMMYFUNCTION("IF(REGEXMATCH(C192, ""S""), ""1"","""")"),"1")</f>
        <v>1</v>
      </c>
      <c r="GD192" s="245" t="str">
        <f>IFERROR(__xludf.DUMMYFUNCTION("IF(REGEXMATCH(C192, ""r""), ""b2"","""")"),"b2")</f>
        <v>b2</v>
      </c>
      <c r="GE192" s="246" t="str">
        <f>IFERROR(__xludf.DUMMYFUNCTION("IF(REGEXMATCH(C192, ""R""), ""2"","""")"),"")</f>
        <v/>
      </c>
      <c r="GF192" s="246" t="str">
        <f>IFERROR(__xludf.DUMMYFUNCTION("IF(REGEXMATCH(C192, ""g""), ""b3"","""")"),"")</f>
        <v/>
      </c>
      <c r="GG192" s="245" t="str">
        <f>IFERROR(__xludf.DUMMYFUNCTION("IF(REGEXMATCH(C192, ""G""), ""3"","""")"),"3")</f>
        <v>3</v>
      </c>
      <c r="GH192" s="245" t="str">
        <f>IFERROR(__xludf.DUMMYFUNCTION("IF(REGEXMATCH(C192, ""m""), ""4"","""")"),"4")</f>
        <v>4</v>
      </c>
      <c r="GI192" s="246" t="str">
        <f>IFERROR(__xludf.DUMMYFUNCTION("IF(REGEXMATCH(C192, ""M""), ""#4"","""")"),"#4")</f>
        <v>#4</v>
      </c>
      <c r="GJ192" s="245" t="str">
        <f>IFERROR(__xludf.DUMMYFUNCTION("IF(REGEXMATCH(C192, ""P""), ""5"","""")"),"")</f>
        <v/>
      </c>
      <c r="GK192" s="246" t="str">
        <f>IFERROR(__xludf.DUMMYFUNCTION("IF(REGEXMATCH(C192, ""d""), ""b6"","""")"),"b6")</f>
        <v>b6</v>
      </c>
      <c r="GL192" s="245" t="str">
        <f>IFERROR(__xludf.DUMMYFUNCTION("IF(REGEXMATCH(C192, ""D""), ""6"","""")"),"")</f>
        <v/>
      </c>
      <c r="GM192" s="245" t="str">
        <f>IFERROR(__xludf.DUMMYFUNCTION("IF(REGEXMATCH(C192, ""n""), ""b7"","""")"),"")</f>
        <v/>
      </c>
      <c r="GN192" s="246" t="str">
        <f>IFERROR(__xludf.DUMMYFUNCTION("IF(REGEXMATCH(C192, ""N""), ""7"","""")"),"7")</f>
        <v>7</v>
      </c>
      <c r="GO192" s="249" t="str">
        <f>IFERROR(__xludf.DUMMYFUNCTION("IF(REGEXMATCH(C192, ""S""), ""8"","""")"),"8")</f>
        <v>8</v>
      </c>
      <c r="GP192" s="244" t="str">
        <f>IFERROR(__xludf.DUMMYFUNCTION("IF(REGEXMATCH(C192, ""S""), ""S"","""")"),"S")</f>
        <v>S</v>
      </c>
      <c r="GQ192" s="294" t="str">
        <f>IFERROR(__xludf.DUMMYFUNCTION("IF(REGEXMATCH(C192, ""r""), ""R1"","""")"),"R1")</f>
        <v>R1</v>
      </c>
      <c r="GR192" s="295" t="str">
        <f>IFERROR(__xludf.DUMMYFUNCTION("IF(REGEXMATCH(C192, ""R""), ""R2"","""")"),"")</f>
        <v/>
      </c>
      <c r="GS192" s="295" t="str">
        <f>IFERROR(__xludf.DUMMYFUNCTION("IF(REGEXMATCH(C192, ""g""), ""G2"","""")"),"")</f>
        <v/>
      </c>
      <c r="GT192" s="294" t="str">
        <f>IFERROR(__xludf.DUMMYFUNCTION("IF(REGEXMATCH(C192, ""G""), ""G3"","""")"),"G3")</f>
        <v>G3</v>
      </c>
      <c r="GU192" s="294" t="str">
        <f>IFERROR(__xludf.DUMMYFUNCTION("IF(REGEXMATCH(C192, ""m""), ""M1"","""")"),"M1")</f>
        <v>M1</v>
      </c>
      <c r="GV192" s="295" t="str">
        <f>IFERROR(__xludf.DUMMYFUNCTION("IF(REGEXMATCH(C192, ""M""), ""M2"","""")"),"M2")</f>
        <v>M2</v>
      </c>
      <c r="GW192" s="294" t="str">
        <f>IFERROR(__xludf.DUMMYFUNCTION("IF(REGEXMATCH(C192, ""P""), ""P"","""")"),"")</f>
        <v/>
      </c>
      <c r="GX192" s="295" t="str">
        <f>IFERROR(__xludf.DUMMYFUNCTION("IF(REGEXMATCH(C192, ""d""), ""D1"","""")"),"D1")</f>
        <v>D1</v>
      </c>
      <c r="GY192" s="294" t="str">
        <f>IFERROR(__xludf.DUMMYFUNCTION("IF(REGEXMATCH(C192, ""D""), ""D2"","""")"),"")</f>
        <v/>
      </c>
      <c r="GZ192" s="294" t="str">
        <f>IFERROR(__xludf.DUMMYFUNCTION("IF(REGEXMATCH(C192, ""n""), ""N2"","""")"),"")</f>
        <v/>
      </c>
      <c r="HA192" s="295" t="str">
        <f>IFERROR(__xludf.DUMMYFUNCTION("IF(REGEXMATCH(C192, ""N""), ""N3"","""")"),"N3")</f>
        <v>N3</v>
      </c>
      <c r="HB192" s="249" t="str">
        <f>IFERROR(__xludf.DUMMYFUNCTION("IF(REGEXMATCH(C192, ""S""), ""S"","""")"),"S")</f>
        <v>S</v>
      </c>
      <c r="HC192" s="331" t="str">
        <f t="shared" si="95"/>
        <v>S</v>
      </c>
      <c r="HD192" s="332" t="str">
        <f t="shared" si="96"/>
        <v>r</v>
      </c>
      <c r="HE192" s="332" t="str">
        <f t="shared" si="97"/>
        <v/>
      </c>
      <c r="HF192" s="332" t="str">
        <f t="shared" si="98"/>
        <v/>
      </c>
      <c r="HG192" s="332" t="str">
        <f t="shared" si="99"/>
        <v>G</v>
      </c>
      <c r="HH192" s="332" t="str">
        <f t="shared" si="100"/>
        <v/>
      </c>
      <c r="HI192" s="332" t="str">
        <f t="shared" si="101"/>
        <v>M</v>
      </c>
      <c r="HJ192" s="332" t="str">
        <f t="shared" si="102"/>
        <v>P</v>
      </c>
      <c r="HK192" s="332" t="str">
        <f t="shared" si="103"/>
        <v>d</v>
      </c>
      <c r="HL192" s="332" t="str">
        <f t="shared" si="104"/>
        <v/>
      </c>
      <c r="HM192" s="332" t="str">
        <f t="shared" si="105"/>
        <v/>
      </c>
      <c r="HN192" s="332" t="str">
        <f t="shared" si="106"/>
        <v>N</v>
      </c>
      <c r="HO192" s="343" t="str">
        <f t="shared" si="107"/>
        <v>S</v>
      </c>
      <c r="HP192" s="331" t="str">
        <f t="shared" si="108"/>
        <v>o</v>
      </c>
      <c r="HQ192" s="332" t="str">
        <f t="shared" si="109"/>
        <v>o</v>
      </c>
      <c r="HR192" s="332" t="str">
        <f t="shared" si="110"/>
        <v>•</v>
      </c>
      <c r="HS192" s="332" t="str">
        <f t="shared" si="111"/>
        <v>•</v>
      </c>
      <c r="HT192" s="332" t="str">
        <f t="shared" si="112"/>
        <v>o</v>
      </c>
      <c r="HU192" s="332" t="str">
        <f t="shared" si="113"/>
        <v>o</v>
      </c>
      <c r="HV192" s="332" t="str">
        <f t="shared" si="114"/>
        <v>o</v>
      </c>
      <c r="HW192" s="332" t="str">
        <f t="shared" si="115"/>
        <v>•</v>
      </c>
      <c r="HX192" s="332" t="str">
        <f t="shared" si="116"/>
        <v>o</v>
      </c>
      <c r="HY192" s="332" t="str">
        <f t="shared" si="117"/>
        <v>•</v>
      </c>
      <c r="HZ192" s="332" t="str">
        <f t="shared" si="118"/>
        <v>•</v>
      </c>
      <c r="IA192" s="332" t="str">
        <f t="shared" si="119"/>
        <v>o</v>
      </c>
      <c r="IB192" s="338" t="str">
        <f t="shared" si="120"/>
        <v>o</v>
      </c>
      <c r="IC192" s="331" t="str">
        <f t="shared" si="121"/>
        <v>•</v>
      </c>
      <c r="ID192" s="332" t="str">
        <f t="shared" si="122"/>
        <v>•</v>
      </c>
      <c r="IE192" s="332" t="str">
        <f t="shared" si="123"/>
        <v>o</v>
      </c>
      <c r="IF192" s="332" t="str">
        <f t="shared" si="124"/>
        <v>o</v>
      </c>
      <c r="IG192" s="332" t="str">
        <f t="shared" si="125"/>
        <v>•</v>
      </c>
      <c r="IH192" s="332" t="str">
        <f t="shared" si="126"/>
        <v>•</v>
      </c>
      <c r="II192" s="332" t="str">
        <f t="shared" si="127"/>
        <v>•</v>
      </c>
      <c r="IJ192" s="332" t="str">
        <f t="shared" si="128"/>
        <v>o</v>
      </c>
      <c r="IK192" s="332" t="str">
        <f t="shared" si="129"/>
        <v>•</v>
      </c>
      <c r="IL192" s="332" t="str">
        <f t="shared" si="130"/>
        <v>o</v>
      </c>
      <c r="IM192" s="332" t="str">
        <f t="shared" si="131"/>
        <v>o</v>
      </c>
      <c r="IN192" s="332" t="str">
        <f t="shared" si="132"/>
        <v>•</v>
      </c>
      <c r="IO192" s="338" t="str">
        <f t="shared" si="133"/>
        <v>•</v>
      </c>
      <c r="IP192" s="346" t="b">
        <f t="shared" si="134"/>
        <v>1</v>
      </c>
      <c r="IQ192" s="347" t="b">
        <f t="shared" si="135"/>
        <v>0</v>
      </c>
      <c r="IR192" s="347" t="b">
        <f t="shared" si="136"/>
        <v>0</v>
      </c>
      <c r="IS192" s="347" t="b">
        <f t="shared" si="137"/>
        <v>0</v>
      </c>
      <c r="IT192" s="347" t="b">
        <f t="shared" si="138"/>
        <v>0</v>
      </c>
      <c r="IU192" s="347" t="b">
        <f t="shared" si="139"/>
        <v>0</v>
      </c>
      <c r="IV192" s="347" t="b">
        <f t="shared" si="140"/>
        <v>0</v>
      </c>
      <c r="IW192" s="347" t="b">
        <f t="shared" si="141"/>
        <v>0</v>
      </c>
      <c r="IX192" s="347" t="b">
        <f t="shared" si="142"/>
        <v>1</v>
      </c>
      <c r="IY192" s="347" t="b">
        <f t="shared" si="143"/>
        <v>0</v>
      </c>
      <c r="IZ192" s="347" t="b">
        <f t="shared" si="144"/>
        <v>0</v>
      </c>
      <c r="JA192" s="347" t="b">
        <f t="shared" si="145"/>
        <v>0</v>
      </c>
      <c r="JB192" s="353" t="b">
        <f t="shared" si="146"/>
        <v>1</v>
      </c>
      <c r="JC192" s="354" t="str">
        <f t="shared" si="147"/>
        <v>Sa, </v>
      </c>
      <c r="JD192" s="355" t="str">
        <f t="shared" si="148"/>
        <v/>
      </c>
      <c r="JE192" s="355" t="str">
        <f t="shared" si="149"/>
        <v/>
      </c>
      <c r="JF192" s="355" t="str">
        <f t="shared" si="150"/>
        <v/>
      </c>
      <c r="JG192" s="355" t="str">
        <f t="shared" si="151"/>
        <v/>
      </c>
      <c r="JH192" s="355" t="str">
        <f t="shared" si="152"/>
        <v/>
      </c>
      <c r="JI192" s="355" t="str">
        <f t="shared" si="153"/>
        <v/>
      </c>
      <c r="JJ192" s="355" t="str">
        <f t="shared" si="154"/>
        <v/>
      </c>
      <c r="JK192" s="355" t="str">
        <f t="shared" si="155"/>
        <v>dha, </v>
      </c>
      <c r="JL192" s="355" t="str">
        <f t="shared" si="156"/>
        <v/>
      </c>
      <c r="JM192" s="355" t="str">
        <f t="shared" si="157"/>
        <v/>
      </c>
      <c r="JN192" s="355" t="str">
        <f t="shared" si="158"/>
        <v/>
      </c>
      <c r="JO192" s="359" t="str">
        <f t="shared" si="159"/>
        <v/>
      </c>
      <c r="JP192" s="346" t="b">
        <f t="shared" si="160"/>
        <v>0</v>
      </c>
      <c r="JQ192" s="347" t="b">
        <f t="shared" si="161"/>
        <v>0</v>
      </c>
      <c r="JR192" s="347" t="b">
        <f t="shared" si="162"/>
        <v>0</v>
      </c>
      <c r="JS192" s="347" t="b">
        <f t="shared" si="163"/>
        <v>0</v>
      </c>
      <c r="JT192" s="347" t="b">
        <f t="shared" si="164"/>
        <v>0</v>
      </c>
      <c r="JU192" s="347" t="b">
        <f t="shared" si="165"/>
        <v>0</v>
      </c>
      <c r="JV192" s="347" t="b">
        <f t="shared" si="166"/>
        <v>0</v>
      </c>
      <c r="JW192" s="347" t="b">
        <f t="shared" si="167"/>
        <v>0</v>
      </c>
      <c r="JX192" s="347" t="b">
        <f t="shared" si="168"/>
        <v>0</v>
      </c>
      <c r="JY192" s="347" t="b">
        <f t="shared" si="169"/>
        <v>0</v>
      </c>
      <c r="JZ192" s="347" t="b">
        <f t="shared" si="170"/>
        <v>0</v>
      </c>
      <c r="KA192" s="347" t="b">
        <f t="shared" si="171"/>
        <v>0</v>
      </c>
      <c r="KB192" s="365" t="b">
        <f t="shared" si="172"/>
        <v>0</v>
      </c>
      <c r="KC192" s="354" t="str">
        <f t="shared" si="173"/>
        <v/>
      </c>
      <c r="KD192" s="355" t="str">
        <f t="shared" si="174"/>
        <v/>
      </c>
      <c r="KE192" s="355" t="str">
        <f t="shared" si="175"/>
        <v/>
      </c>
      <c r="KF192" s="355" t="str">
        <f t="shared" si="176"/>
        <v/>
      </c>
      <c r="KG192" s="355" t="str">
        <f t="shared" si="177"/>
        <v/>
      </c>
      <c r="KH192" s="355" t="str">
        <f t="shared" si="178"/>
        <v/>
      </c>
      <c r="KI192" s="355" t="str">
        <f t="shared" si="179"/>
        <v/>
      </c>
      <c r="KJ192" s="355" t="str">
        <f t="shared" si="180"/>
        <v/>
      </c>
      <c r="KK192" s="355" t="str">
        <f t="shared" si="181"/>
        <v/>
      </c>
      <c r="KL192" s="355" t="str">
        <f t="shared" si="182"/>
        <v/>
      </c>
      <c r="KM192" s="355" t="str">
        <f t="shared" si="183"/>
        <v/>
      </c>
      <c r="KN192" s="355" t="str">
        <f t="shared" si="184"/>
        <v/>
      </c>
      <c r="KO192" s="359"/>
      <c r="KP192" s="378"/>
      <c r="KQ192" s="379" t="s">
        <v>716</v>
      </c>
      <c r="KR192" s="380" t="s">
        <v>1433</v>
      </c>
      <c r="KS192" s="381" t="str">
        <f t="shared" si="598"/>
        <v>S-r-G-M-d-N-S</v>
      </c>
      <c r="KT192" s="382">
        <f t="shared" si="186"/>
        <v>6</v>
      </c>
      <c r="KU192" s="383">
        <f t="shared" si="187"/>
        <v>6</v>
      </c>
      <c r="KV192" s="381" t="str">
        <f t="shared" si="205"/>
        <v>S-N-d-Mm-G-r-S</v>
      </c>
      <c r="KW192" s="382">
        <f t="shared" si="189"/>
        <v>6</v>
      </c>
      <c r="KX192" s="384">
        <f t="shared" si="190"/>
        <v>7</v>
      </c>
      <c r="KY192" s="382">
        <f t="shared" ref="KY192:KZ192" si="599">KW192-KT192</f>
        <v>0</v>
      </c>
      <c r="KZ192" s="369">
        <f t="shared" si="599"/>
        <v>1</v>
      </c>
      <c r="LA192" s="385" t="str">
        <f t="shared" si="192"/>
        <v>-</v>
      </c>
      <c r="LB192" s="340" t="str">
        <f>IFERROR(__xludf.DUMMYFUNCTION("JOIN("""",ArrayFormula(MID(KS192,LEN(KS192)-SEQUENCE(1,LEN(KS192))+1,1)))"),"S-N-d-M-G-r-S")</f>
        <v>S-N-d-M-G-r-S</v>
      </c>
      <c r="LC192" s="373" t="str">
        <f>IFERROR(__xludf.DUMMYFUNCTION("JOIN("""",ArrayFormula(MID(KV192,LEN(KV192)-SEQUENCE(1,LEN(KV192))+1,1)))"),"S-r-G-mM-d-N-S")</f>
        <v>S-r-G-mM-d-N-S</v>
      </c>
      <c r="LD192" s="373" t="str">
        <f t="shared" si="193"/>
        <v>SrGMdNS</v>
      </c>
      <c r="LE192" s="339" t="str">
        <f t="shared" si="194"/>
        <v>SrGmMdNS</v>
      </c>
      <c r="LF192" s="386" t="str">
        <f>IFERROR(__xludf.DUMMYFUNCTION("SUBSTITUTE(SUBSTITUTE(CONCATENATE(JOIN("""",LH192:LT192)),""1"",""""),""2"","""")"),"SrGmMdNS")</f>
        <v>SrGmMdNS</v>
      </c>
      <c r="LG192" s="369" t="str">
        <f t="shared" si="195"/>
        <v>✔</v>
      </c>
      <c r="LH192" s="387" t="str">
        <f>IFERROR(__xludf.DUMMYFUNCTION("IF(REGEXMATCH(LD192, ""S""), ""S"",IF(REGEXMATCH(LE192, ""S""), ""S"",""""))"),"S")</f>
        <v>S</v>
      </c>
      <c r="LI192" s="299" t="str">
        <f>IFERROR(__xludf.DUMMYFUNCTION("IF(REGEXMATCH(LD192, ""r""), ""r1"",IF(REGEXMATCH(LE192, ""r""), ""r2"",""""))"),"r1")</f>
        <v>r1</v>
      </c>
      <c r="LJ192" s="299" t="str">
        <f>IFERROR(__xludf.DUMMYFUNCTION("IF(REGEXMATCH(LD192, ""R""), ""R1"",IF(REGEXMATCH(LE192, ""R""), ""R2"",""""))"),"")</f>
        <v/>
      </c>
      <c r="LK192" s="299" t="str">
        <f>IFERROR(__xludf.DUMMYFUNCTION("IF(REGEXMATCH(LD192, ""g""), ""g1"",IF(REGEXMATCH(LE192, ""g""), ""g2"",""""))"),"")</f>
        <v/>
      </c>
      <c r="LL192" s="299" t="str">
        <f>IFERROR(__xludf.DUMMYFUNCTION("IF(REGEXMATCH(LD192, ""G""), ""G1"",IF(REGEXMATCH(LE192, ""G""), ""G2"",""""))"),"G1")</f>
        <v>G1</v>
      </c>
      <c r="LM192" s="299" t="str">
        <f>IFERROR(__xludf.DUMMYFUNCTION("IF(REGEXMATCH(LD192, ""m""), ""m1"",IF(REGEXMATCH(LE192, ""m""), ""m2"",""""))"),"m2")</f>
        <v>m2</v>
      </c>
      <c r="LN192" s="299" t="str">
        <f>IFERROR(__xludf.DUMMYFUNCTION("IF(REGEXMATCH(LD192, ""M""), ""M1"",IF(REGEXMATCH(LE192, ""M""), ""M2"",""""))"),"M1")</f>
        <v>M1</v>
      </c>
      <c r="LO192" s="299" t="str">
        <f>IFERROR(__xludf.DUMMYFUNCTION("IF(REGEXMATCH(LD192, ""P""), ""P1"",IF(REGEXMATCH(LE192, ""P""), ""P2"",""""))"),"")</f>
        <v/>
      </c>
      <c r="LP192" s="299" t="str">
        <f>IFERROR(__xludf.DUMMYFUNCTION("IF(REGEXMATCH(LD192, ""d""), ""d1"",IF(REGEXMATCH(LE192, ""d""), ""d2"",""""))"),"d1")</f>
        <v>d1</v>
      </c>
      <c r="LQ192" s="299" t="str">
        <f>IFERROR(__xludf.DUMMYFUNCTION("IF(REGEXMATCH(LD192, ""D""), ""D1"",IF(REGEXMATCH(LE192, ""D""), ""D2"",""""))"),"")</f>
        <v/>
      </c>
      <c r="LR192" s="299" t="str">
        <f>IFERROR(__xludf.DUMMYFUNCTION("IF(REGEXMATCH(LD192, ""n""), ""n1"",IF(REGEXMATCH(LE192, ""n""), ""n2"",""""))"),"")</f>
        <v/>
      </c>
      <c r="LS192" s="299" t="str">
        <f>IFERROR(__xludf.DUMMYFUNCTION("IF(REGEXMATCH(LD192, ""N""), ""N1"",IF(REGEXMATCH(LE192, ""N""), ""N2"",""""))"),"N1")</f>
        <v>N1</v>
      </c>
      <c r="LT192" s="388" t="str">
        <f>IFERROR(__xludf.DUMMYFUNCTION("IF(REGEXMATCH(LD192, ""S""), ""S"",IF(REGEXMATCH(LE192, ""S""), ""S"",""""))"),"S")</f>
        <v>S</v>
      </c>
      <c r="LU192" s="389">
        <f t="shared" si="196"/>
        <v>0</v>
      </c>
      <c r="LV192" s="378"/>
      <c r="LW192" s="369"/>
      <c r="LX192" s="369"/>
    </row>
    <row r="193" ht="18.0" customHeight="1">
      <c r="A193" s="298" t="s">
        <v>908</v>
      </c>
      <c r="B193" s="222" t="s">
        <v>597</v>
      </c>
      <c r="C193" s="233" t="str">
        <f t="shared" si="7"/>
        <v>SrGmMPDNS</v>
      </c>
      <c r="D193" s="234" t="str">
        <f>IFERROR(__xludf.DUMMYFUNCTION("IF(REGEXMATCH(C193, ""S""), ""S"","""")"),"S")</f>
        <v>S</v>
      </c>
      <c r="E193" s="236" t="str">
        <f>IFERROR(__xludf.DUMMYFUNCTION("IF(REGEXMATCH(C193, ""r""), ""r"","""")"),"r")</f>
        <v>r</v>
      </c>
      <c r="F193" s="237" t="str">
        <f>IFERROR(__xludf.DUMMYFUNCTION("IF(REGEXMATCH(C193, ""R""), ""R"","""")"),"")</f>
        <v/>
      </c>
      <c r="G193" s="237" t="str">
        <f>IFERROR(__xludf.DUMMYFUNCTION("IF(REGEXMATCH(C193, ""g""), ""g"","""")"),"")</f>
        <v/>
      </c>
      <c r="H193" s="236" t="str">
        <f>IFERROR(__xludf.DUMMYFUNCTION("IF(REGEXMATCH(C193, ""G""), ""G"","""")"),"G")</f>
        <v>G</v>
      </c>
      <c r="I193" s="236" t="str">
        <f>IFERROR(__xludf.DUMMYFUNCTION("IF(REGEXMATCH(C193, ""m""), ""m"","""")"),"m")</f>
        <v>m</v>
      </c>
      <c r="J193" s="237" t="str">
        <f>IFERROR(__xludf.DUMMYFUNCTION("IF(REGEXMATCH(C193, ""M""), ""M"","""")"),"M")</f>
        <v>M</v>
      </c>
      <c r="K193" s="236" t="str">
        <f>IFERROR(__xludf.DUMMYFUNCTION("IF(REGEXMATCH(C193, ""P""), ""P"","""")"),"P")</f>
        <v>P</v>
      </c>
      <c r="L193" s="237" t="str">
        <f>IFERROR(__xludf.DUMMYFUNCTION("IF(REGEXMATCH(C193, ""d""), ""d"","""")"),"")</f>
        <v/>
      </c>
      <c r="M193" s="236" t="str">
        <f>IFERROR(__xludf.DUMMYFUNCTION("IF(REGEXMATCH(C193, ""D""), ""D"","""")"),"D")</f>
        <v>D</v>
      </c>
      <c r="N193" s="236" t="str">
        <f>IFERROR(__xludf.DUMMYFUNCTION("IF(REGEXMATCH(C193, ""n""), ""n"","""")"),"")</f>
        <v/>
      </c>
      <c r="O193" s="237" t="str">
        <f>IFERROR(__xludf.DUMMYFUNCTION("IF(REGEXMATCH(C193, ""N""), ""N"","""")"),"N")</f>
        <v>N</v>
      </c>
      <c r="P193" s="238" t="str">
        <f>IFERROR(__xludf.DUMMYFUNCTION("IF(REGEXMATCH(C193, ""S""), ""S"","""")"),"S")</f>
        <v>S</v>
      </c>
      <c r="Q193" s="239" t="str">
        <f>IFERROR(__xludf.DUMMYFUNCTION("SUBSTITUTE(CONCATENATE(JOIN(""-"",D193:J193)),""-"","""")"),"SrGmM")</f>
        <v>SrGmM</v>
      </c>
      <c r="R193" s="229" t="str">
        <f>IFERROR(__xludf.DUMMYFUNCTION("SUBSTITUTE(CONCATENATE(JOIN(""-"",K193:P193)),""-"","""")"),"PDNS")</f>
        <v>PDNS</v>
      </c>
      <c r="S193" s="282" t="str">
        <f t="shared" si="8"/>
        <v>S-R-G-M</v>
      </c>
      <c r="T193" s="282" t="str">
        <f t="shared" si="9"/>
        <v>P-D-N-S</v>
      </c>
      <c r="U193" s="237" t="str">
        <f>IFERROR(__xludf.DUMMYFUNCTION("SUBSTITUTE(JOIN(""-"",S193,T193),""--"",""-"")"),"S-R-G-M-P-D-N-S")</f>
        <v>S-R-G-M-P-D-N-S</v>
      </c>
      <c r="V193" s="309" t="str">
        <f t="shared" si="10"/>
        <v>rGmMDN</v>
      </c>
      <c r="W193" s="244" t="str">
        <f>IFERROR(__xludf.DUMMYFUNCTION("IF(REGEXMATCH(C193, ""S""), ""0"","""")"),"0")</f>
        <v>0</v>
      </c>
      <c r="X193" s="245" t="str">
        <f>IFERROR(__xludf.DUMMYFUNCTION("IF(REGEXMATCH(C193, ""r""), ""1"","""")"),"1")</f>
        <v>1</v>
      </c>
      <c r="Y193" s="246" t="str">
        <f>IFERROR(__xludf.DUMMYFUNCTION("IF(REGEXMATCH(C193, ""R""), ""2"","""")"),"")</f>
        <v/>
      </c>
      <c r="Z193" s="246" t="str">
        <f>IFERROR(__xludf.DUMMYFUNCTION("IF(REGEXMATCH(C193, ""g""), ""3"","""")"),"")</f>
        <v/>
      </c>
      <c r="AA193" s="245" t="str">
        <f>IFERROR(__xludf.DUMMYFUNCTION("IF(REGEXMATCH(C193, ""G""), ""4"","""")"),"4")</f>
        <v>4</v>
      </c>
      <c r="AB193" s="245" t="str">
        <f>IFERROR(__xludf.DUMMYFUNCTION("IF(REGEXMATCH(C193, ""m""), ""5"","""")"),"5")</f>
        <v>5</v>
      </c>
      <c r="AC193" s="246" t="str">
        <f>IFERROR(__xludf.DUMMYFUNCTION("IF(REGEXMATCH(C193, ""M""), ""6"","""")"),"6")</f>
        <v>6</v>
      </c>
      <c r="AD193" s="245" t="str">
        <f>IFERROR(__xludf.DUMMYFUNCTION("IF(REGEXMATCH(C193, ""P""), ""7"","""")"),"7")</f>
        <v>7</v>
      </c>
      <c r="AE193" s="246" t="str">
        <f>IFERROR(__xludf.DUMMYFUNCTION("IF(REGEXMATCH(C193, ""d""), ""8"","""")"),"")</f>
        <v/>
      </c>
      <c r="AF193" s="245" t="str">
        <f>IFERROR(__xludf.DUMMYFUNCTION("IF(REGEXMATCH(C193, ""D""), ""9"","""")"),"9")</f>
        <v>9</v>
      </c>
      <c r="AG193" s="245" t="str">
        <f>IFERROR(__xludf.DUMMYFUNCTION("IF(REGEXMATCH(C193, ""n""), ""10"","""")"),"")</f>
        <v/>
      </c>
      <c r="AH193" s="246" t="str">
        <f>IFERROR(__xludf.DUMMYFUNCTION("IF(REGEXMATCH(C193, ""N""), ""11"","""")"),"11")</f>
        <v>11</v>
      </c>
      <c r="AI193" s="249" t="str">
        <f>IFERROR(__xludf.DUMMYFUNCTION("IF(REGEXMATCH(C193, ""S""), ""0"","""")"),"0")</f>
        <v>0</v>
      </c>
      <c r="AJ193" s="313" t="str">
        <f t="shared" si="11"/>
        <v>T</v>
      </c>
      <c r="AK193" s="313" t="str">
        <f t="shared" si="12"/>
        <v>T</v>
      </c>
      <c r="AL193" s="313" t="str">
        <f t="shared" si="13"/>
        <v>-</v>
      </c>
      <c r="AM193" s="313" t="str">
        <f t="shared" si="14"/>
        <v>-</v>
      </c>
      <c r="AN193" s="313" t="str">
        <f t="shared" si="15"/>
        <v>-</v>
      </c>
      <c r="AO193" s="314" t="str">
        <f t="shared" si="16"/>
        <v>T</v>
      </c>
      <c r="AP193" s="316">
        <f t="shared" si="17"/>
        <v>3</v>
      </c>
      <c r="AQ193" s="319" t="str">
        <f t="shared" si="18"/>
        <v>-</v>
      </c>
      <c r="AR193" s="320">
        <f t="shared" si="19"/>
        <v>0</v>
      </c>
      <c r="AS193" s="250" t="str">
        <f>IFERROR(__xludf.DUMMYFUNCTION("SUBSTITUTE(SUBSTITUTE(CONCATENATE(JOIN("""",FP193:GA193)),""|"",""x""),""-"",""o"")"),"xxooxxxxoxox")</f>
        <v>xxooxxxxoxox</v>
      </c>
      <c r="AT193" s="323" t="str">
        <f>IFERROR(__xludf.DUMMYFUNCTION("JOIN("""",AS193,AS193)"),"xxooxxxxoxoxxxooxxxxoxox")</f>
        <v>xxooxxxxoxoxxxooxxxxoxox</v>
      </c>
      <c r="AU193" s="256" t="str">
        <f>IFERROR(__xludf.DUMMYFUNCTION("JOIN("""",ArrayFormula(MID(AS193,LEN(AS193)-SEQUENCE(1,LEN(AS193))+1,1)))"),"xoxoxxxxooxx")</f>
        <v>xoxoxxxxooxx</v>
      </c>
      <c r="AV193" s="256" t="str">
        <f>IFERROR(__xludf.DUMMYFUNCTION("LEFT(CONCATENATE(""x"",JOIN("""",ArrayFormula(MID(AS193,LEN(AS193)-SEQUENCE(1,LEN(AS193))+1,1)))),12)"),"xxoxoxxxxoox")</f>
        <v>xxoxoxxxxoox</v>
      </c>
      <c r="AW193" s="327" t="str">
        <f>IFERROR(__xludf.DUMMYFUNCTION("JOIN("""",AU193,AU193)"),"xoxoxxxxooxxxoxoxxxxooxx")</f>
        <v>xoxoxxxxooxxxoxoxxxxooxx</v>
      </c>
      <c r="AX193" s="239" t="str">
        <f>IFERROR(__xludf.DUMMYFUNCTION("IF(REGEXMATCH(AW193,AS193),""✔"",""-"")"),"-")</f>
        <v>-</v>
      </c>
      <c r="AY193" s="330" t="str">
        <f t="shared" si="20"/>
        <v>-</v>
      </c>
      <c r="AZ193" s="260" t="str">
        <f t="shared" si="21"/>
        <v>#REF!</v>
      </c>
      <c r="BA193" s="333" t="str">
        <f t="shared" si="22"/>
        <v>xxooxxx</v>
      </c>
      <c r="BB193" s="334" t="str">
        <f t="shared" si="23"/>
        <v>xoxoxx</v>
      </c>
      <c r="BC193" s="335" t="str">
        <f t="shared" si="236"/>
        <v>-</v>
      </c>
      <c r="BD193" s="336" t="str">
        <f t="shared" si="25"/>
        <v>Lalit Pancham: 'xxooxxx' + 'xoxoxx'</v>
      </c>
      <c r="BE193" s="337">
        <f>IFERROR(__xludf.DUMMYFUNCTION("COUNTUNIQUE(FILTER(AT:AT,REGEXMATCH(AT:AT,AS193)))-1"),0.0)</f>
        <v>0</v>
      </c>
      <c r="BF193" s="261" t="str">
        <f>IFERROR(__xludf.DUMMYFUNCTION("IF(BI193=0,""(n/a)"",IF(BJ193=2,""(PAIR)"",IF(REGEXMATCH(AT193,""xoxoxxoxoxox""),""Bilawal"",IF(REGEXMATCH(AT193,""xoxoxooxoxoo""),""Bhupali"",IF(REGEXMATCH(AT193,""xoxoxxoxxoxo""),""Charukeshi"",IF(REGEXMATCH(AT193,""xoxoooxxoxxo""),""Kameshwari"",IF(REG"&amp;"EXMATCH(AT193,""xoxoxooxoxox""),""Shankara"",IF(REGEXMATCH(AT193,""xxooxoxxxoox""),""Basant"",IF(REGEXMATCH(AT193,""xoxoxxxxoxox""),""Bihag"",IF(REGEXMATCH(AT193,""xoxxxxoxoxxx""),""Pilu"",IF(REGEXMATCH(AT193,""xoxxoxoxxoox""),""Kirwani"",IF(REGEXMATCH(AT"&amp;"193,""xoxxoxoxoxxx""),""Mk.Malhar"",IF(REGEXMATCH(AT193,""xxooxxoxxoox""),""Bhairav"",IF(REGEXMATCH(AT193,""xxoxooxxxoox""),""Todi"",IF(REGEXMATCH(AT193,""xxooxoxooxox""),""Marwa"",IF(REGEXMATCH(AT193,""xxoooxoxxooo""),""Gunkali"",IF(REGEXMATCH(AT193,""xo"&amp;"xoxxoxxoox""),""Nat Bhairav"",IF(REGEXMATCH(AT193,""xoxxoooxoxoo""),""Shivranjani"",IF(REGEXMATCH(AT193,""xooxxxoxooxo""),""Jog"",IF(REGEXMATCH(AT193,""xxooxoxoxoox""),""Hemshri"",IF(REGEXMATCH(AT193,""xoooxooxoxxo""),""Kalavati"",IF(REGEXMATCH(AT193,""xx"&amp;"oxoxxoxoox""),""Kedar"",IF(REGEXMATCH(AT193,""xoxxxxoxooxx""),""Gara"",IF(REGEXMATCH(AT193,""xooxoxooxoox""),""Chandrakauns"",IF(REGEXMATCH(AT193,""xoxxxxoxxxox""),""Mand"",IF(REGEXMATCH(AT193,""xoxxxxoxoxox""),""Hanskinkini"",IF(REGEXMATCH(AT193,""xxooxx"&amp;"oxooxo""),""Lilavati"",IF(REGEXMATCH(AT193,""xooxoxoooxox""),""Rajeshwari"",IF(REGEXMATCH(AT193,""xoooxxoxoxxx""),""Khokar"",IF(REGEXMATCH(AT193,""xxooxoxxxxox""),""Maligoura"",""-""))))))))))))))))))))))))))))))"),"(n/a)")</f>
        <v>(n/a)</v>
      </c>
      <c r="BG193" s="239" t="str">
        <f t="shared" si="26"/>
        <v>#REF!</v>
      </c>
      <c r="BH193" s="239">
        <f>IFERROR(__xludf.DUMMYFUNCTION("COUNTUNIQUE(FE193:FO193)-1"),7.0)</f>
        <v>7</v>
      </c>
      <c r="BI193" s="239">
        <f>IFERROR(__xludf.DUMMYFUNCTION("COUNTUNIQUE(FILTER(AT:AT,REGEXMATCH(AT:AT,AS193)))-1"),0.0)</f>
        <v>0</v>
      </c>
      <c r="BJ193" s="239">
        <f>IFERROR(__xludf.DUMMYFUNCTION("COUNTA(FILTER(AT:AT,REGEXMATCH(AT:AT,AS193)))"),7.0)</f>
        <v>7</v>
      </c>
      <c r="BK193" s="341">
        <f>IFERROR(__xludf.DUMMYFUNCTION("COUNTA(FILTER(AT:AT,REGEXMATCH(AT:AT,AS193)))-AR193"),7.0)</f>
        <v>7</v>
      </c>
      <c r="BL193" s="276" t="str">
        <f>IFERROR(__xludf.DUMMYFUNCTION("IF(AS193=""oooooooooooo"",""-"",IF(REGEXMATCH(AT193,""xx""), ""Hemi."", ""Anhemi.""))"),"Hemi.")</f>
        <v>Hemi.</v>
      </c>
      <c r="BM193" s="282" t="str">
        <f>IFERROR(__xludf.DUMMYFUNCTION("IF(AS193=""oooooooooooo"",""-"",IF(REGEXMATCH(AT193,""xxx""), ""Cohem."", ""-""))"),"Cohem.")</f>
        <v>Cohem.</v>
      </c>
      <c r="BN193" s="282" t="str">
        <f>IFERROR(__xludf.DUMMYFUNCTION("IF(AS193=""oooooooooooo"",""-"",IF(REGEXMATCH(AT193,""xxxx""), ""Co-Co."", ""-""))"),"Co-Co.")</f>
        <v>Co-Co.</v>
      </c>
      <c r="BO193" s="342" t="str">
        <f>IFERROR(__xludf.DUMMYFUNCTION("IF(AS193=""oooooooooooo"",""-"",IF(REGEXMATCH(AT193,""xxxxx""), ""CCC."", ""-""))"),"-")</f>
        <v>-</v>
      </c>
      <c r="BP193" s="344" t="str">
        <f t="shared" si="27"/>
        <v>-</v>
      </c>
      <c r="BQ193" s="282" t="str">
        <f>IFERROR(__xludf.DUMMYFUNCTION("IF(REGEXMATCH(JOIN(""-"",EU193:FD193),""TRUE""),""✔"",""-"")"),"-")</f>
        <v>-</v>
      </c>
      <c r="BR193" s="225">
        <f t="shared" si="28"/>
        <v>0</v>
      </c>
      <c r="BS193" s="345" t="str">
        <f>IFERROR(__xludf.DUMMYFUNCTION("SUBSTITUTE(SUBSTITUTE(SUBSTITUTE(SUBSTITUTE(CONCATENATE(JOIN(""-"",GC193:GO193)),""--"",""-""),""--"",""-""),""--"",""-""),""--"",""-"")"),"1-b2-3-4-#4-5-6-7-8")</f>
        <v>1-b2-3-4-#4-5-6-7-8</v>
      </c>
      <c r="BT193" s="299" t="str">
        <f>IFERROR(__xludf.DUMMYFUNCTION("SUBSTITUTE(SUBSTITUTE(SUBSTITUTE(SUBSTITUTE(CONCATENATE(JOIN(""-"",GP193:HB193)),""--"",""-""),""--"",""-""),""--"",""-""),""--"",""-"")"),"S-R1-G3-M1-M2-P-D2-N3-S")</f>
        <v>S-R1-G3-M1-M2-P-D2-N3-S</v>
      </c>
      <c r="BU193" s="348" t="str">
        <f t="shared" si="29"/>
        <v>C-Db-E-F-F#-G-A-B-C</v>
      </c>
      <c r="BV193" s="349" t="str">
        <f t="shared" si="30"/>
        <v>SRgdnS</v>
      </c>
      <c r="BW193" s="350">
        <f t="shared" si="31"/>
        <v>0</v>
      </c>
      <c r="BX193" s="351">
        <f t="shared" si="32"/>
        <v>7</v>
      </c>
      <c r="BY193" s="352" t="s">
        <v>275</v>
      </c>
      <c r="BZ193" s="309" t="str">
        <f>IFERROR(__xludf.DUMMYFUNCTION("IF(REGEXMATCH(C193, ""S""), ""x"",""x"")"),"x")</f>
        <v>x</v>
      </c>
      <c r="CA193" s="245" t="str">
        <f>IFERROR(__xludf.DUMMYFUNCTION("IF(REGEXMATCH(C193, ""r""), ""o"",""x"")"),"o")</f>
        <v>o</v>
      </c>
      <c r="CB193" s="246" t="str">
        <f>IFERROR(__xludf.DUMMYFUNCTION("IF(REGEXMATCH(C193, ""R""), ""o"",""x"")"),"x")</f>
        <v>x</v>
      </c>
      <c r="CC193" s="246" t="str">
        <f>IFERROR(__xludf.DUMMYFUNCTION("IF(REGEXMATCH(C193, ""g""), ""o"",""x"")"),"x")</f>
        <v>x</v>
      </c>
      <c r="CD193" s="245" t="str">
        <f>IFERROR(__xludf.DUMMYFUNCTION("IF(REGEXMATCH(C193, ""G""), ""o"",""x"")"),"o")</f>
        <v>o</v>
      </c>
      <c r="CE193" s="245" t="str">
        <f>IFERROR(__xludf.DUMMYFUNCTION("IF(REGEXMATCH(C193, ""m""), ""o"",""x"")"),"o")</f>
        <v>o</v>
      </c>
      <c r="CF193" s="246" t="str">
        <f>IFERROR(__xludf.DUMMYFUNCTION("IF(REGEXMATCH(C193, ""M""), ""o"",""x"")"),"o")</f>
        <v>o</v>
      </c>
      <c r="CG193" s="245" t="str">
        <f>IFERROR(__xludf.DUMMYFUNCTION("IF(REGEXMATCH(C193, ""P""), ""o"",""x"")"),"o")</f>
        <v>o</v>
      </c>
      <c r="CH193" s="246" t="str">
        <f>IFERROR(__xludf.DUMMYFUNCTION("IF(REGEXMATCH(C193, ""d""), ""o"",""x"")"),"x")</f>
        <v>x</v>
      </c>
      <c r="CI193" s="245" t="str">
        <f>IFERROR(__xludf.DUMMYFUNCTION("IF(REGEXMATCH(C193, ""D""), ""o"",""x"")"),"o")</f>
        <v>o</v>
      </c>
      <c r="CJ193" s="245" t="str">
        <f>IFERROR(__xludf.DUMMYFUNCTION("IF(REGEXMATCH(C193, ""n""), ""o"",""x"")"),"x")</f>
        <v>x</v>
      </c>
      <c r="CK193" s="245" t="str">
        <f>IFERROR(__xludf.DUMMYFUNCTION("IF(REGEXMATCH(C193, ""N""), ""o"",""x"")"),"o")</f>
        <v>o</v>
      </c>
      <c r="CL193" s="356" t="str">
        <f>IFERROR(__xludf.DUMMYFUNCTION("IF(REGEXMATCH(C193, ""S""), ""x"",""x"")"),"x")</f>
        <v>x</v>
      </c>
      <c r="CM193" s="357" t="str">
        <f t="shared" si="33"/>
        <v>xoxxooooxoxo</v>
      </c>
      <c r="CN193" s="358">
        <f t="shared" si="34"/>
        <v>0</v>
      </c>
      <c r="CO193" s="246" t="str">
        <f>IFERROR(__xludf.DUMMYFUNCTION("IF(REGEXMATCH($C193, ""S""), ""S"",""S"")"),"S")</f>
        <v>S</v>
      </c>
      <c r="CP193" s="246" t="str">
        <f>IFERROR(__xludf.DUMMYFUNCTION("IF(REGEXMATCH($C193, ""r""), """",""r"")"),"")</f>
        <v/>
      </c>
      <c r="CQ193" s="246" t="str">
        <f>IFERROR(__xludf.DUMMYFUNCTION("IF(REGEXMATCH($C193, ""R""), """",""R"")"),"R")</f>
        <v>R</v>
      </c>
      <c r="CR193" s="246" t="str">
        <f>IFERROR(__xludf.DUMMYFUNCTION("IF(REGEXMATCH($C193, ""g""), """",""g"")"),"g")</f>
        <v>g</v>
      </c>
      <c r="CS193" s="246" t="str">
        <f>IFERROR(__xludf.DUMMYFUNCTION("IF(REGEXMATCH($C193, ""G""), """",""G"")"),"")</f>
        <v/>
      </c>
      <c r="CT193" s="246" t="str">
        <f>IFERROR(__xludf.DUMMYFUNCTION("IF(REGEXMATCH($C193, ""m""), """",""m"")"),"")</f>
        <v/>
      </c>
      <c r="CU193" s="246" t="str">
        <f>IFERROR(__xludf.DUMMYFUNCTION("IF(REGEXMATCH($C193, ""M""), """",""M"")"),"")</f>
        <v/>
      </c>
      <c r="CV193" s="246" t="str">
        <f>IFERROR(__xludf.DUMMYFUNCTION("IF(REGEXMATCH($C193, ""P""), """",""P"")"),"")</f>
        <v/>
      </c>
      <c r="CW193" s="246" t="str">
        <f>IFERROR(__xludf.DUMMYFUNCTION("IF(REGEXMATCH($C193, ""d""), """",""d"")"),"d")</f>
        <v>d</v>
      </c>
      <c r="CX193" s="246" t="str">
        <f>IFERROR(__xludf.DUMMYFUNCTION("IF(REGEXMATCH($C193, ""D""), """",""D"")"),"")</f>
        <v/>
      </c>
      <c r="CY193" s="246" t="str">
        <f>IFERROR(__xludf.DUMMYFUNCTION("IF(REGEXMATCH($C193, ""n""), """",""n"")"),"n")</f>
        <v>n</v>
      </c>
      <c r="CZ193" s="246" t="str">
        <f>IFERROR(__xludf.DUMMYFUNCTION("IF(REGEXMATCH($C193, ""N""), """",""N"")"),"")</f>
        <v/>
      </c>
      <c r="DA193" s="246" t="str">
        <f>IFERROR(__xludf.DUMMYFUNCTION("IF(REGEXMATCH($C193, ""S""), ""S"",""S"")"),"S")</f>
        <v>S</v>
      </c>
      <c r="DB193" s="362" t="str">
        <f>IFERROR(__xludf.DUMMYFUNCTION("JOIN("""",CO193:DA193,"""","""")"),"SRgdnS")</f>
        <v>SRgdnS</v>
      </c>
      <c r="DC193" s="363"/>
      <c r="DD193" s="301" t="str">
        <f t="shared" si="35"/>
        <v>#REF!</v>
      </c>
      <c r="DE193" s="302" t="str">
        <f t="shared" si="36"/>
        <v>#REF!</v>
      </c>
      <c r="DF193" s="301" t="str">
        <f t="shared" ref="DF193:DG193" si="600">SUBSTITUTE(S193,"-","")</f>
        <v>SRGM</v>
      </c>
      <c r="DG193" s="301" t="str">
        <f t="shared" si="600"/>
        <v>PDNS</v>
      </c>
      <c r="DH193" s="302" t="str">
        <f t="shared" si="38"/>
        <v>(n/a)</v>
      </c>
      <c r="DI193" s="301" t="str">
        <f t="shared" si="39"/>
        <v>Hemi.</v>
      </c>
      <c r="DJ193" s="364" t="str">
        <f t="shared" si="40"/>
        <v>Co-Co.</v>
      </c>
      <c r="DK193" s="306" t="str">
        <f t="shared" si="41"/>
        <v>-</v>
      </c>
      <c r="DL193" s="366" t="str">
        <f t="shared" si="42"/>
        <v>-</v>
      </c>
      <c r="DM193" s="308" t="str">
        <f t="shared" si="43"/>
        <v>✔</v>
      </c>
      <c r="DN193" s="306" t="str">
        <f t="shared" si="44"/>
        <v>-</v>
      </c>
      <c r="DO193" s="306" t="str">
        <f t="shared" si="45"/>
        <v>-</v>
      </c>
      <c r="DP193" s="367" t="str">
        <f t="shared" si="46"/>
        <v>-</v>
      </c>
      <c r="DQ193" s="310" t="str">
        <f t="shared" si="47"/>
        <v>-</v>
      </c>
      <c r="DR193" s="310" t="str">
        <f t="shared" si="48"/>
        <v>-</v>
      </c>
      <c r="DS193" s="310" t="str">
        <f t="shared" si="49"/>
        <v>✔</v>
      </c>
      <c r="DT193" s="310" t="str">
        <f t="shared" si="50"/>
        <v>-</v>
      </c>
      <c r="DU193" s="370" t="str">
        <f t="shared" si="51"/>
        <v>-</v>
      </c>
      <c r="DV193" s="306" t="str">
        <f t="shared" si="52"/>
        <v>-</v>
      </c>
      <c r="DW193" s="306" t="str">
        <f t="shared" si="53"/>
        <v>-</v>
      </c>
      <c r="DX193" s="306" t="str">
        <f t="shared" si="54"/>
        <v>-</v>
      </c>
      <c r="DY193" s="306" t="str">
        <f t="shared" si="55"/>
        <v>-</v>
      </c>
      <c r="DZ193" s="306" t="str">
        <f t="shared" si="56"/>
        <v>-</v>
      </c>
      <c r="EA193" s="367" t="str">
        <f t="shared" si="57"/>
        <v>-</v>
      </c>
      <c r="EB193" s="310" t="str">
        <f>IFERROR(__xludf.DUMMYFUNCTION("IF(REGEXMATCH(AW193,AS193),""✔"",""-"")"),"-")</f>
        <v>-</v>
      </c>
      <c r="EC193" s="310" t="str">
        <f t="shared" si="58"/>
        <v>#REF!</v>
      </c>
      <c r="ED193" s="370" t="str">
        <f t="shared" si="59"/>
        <v>-</v>
      </c>
      <c r="EE193" s="340" t="str">
        <f t="shared" si="60"/>
        <v>S-r-G-mM-P-D-N-S</v>
      </c>
      <c r="EF193" s="371" t="str">
        <f>IFERROR(__xludf.DUMMYFUNCTION("CONCATENATE(JOIN("""",HC193:HO193))"),"SrgmMPdNS")</f>
        <v>SrgmMPdNS</v>
      </c>
      <c r="EG193" s="372">
        <f t="shared" si="61"/>
        <v>2</v>
      </c>
      <c r="EH193" s="373" t="str">
        <f>IFERROR(__xludf.DUMMYFUNCTION("CONCATENATE(JOIN("""",JC193:JO193))"),"re, Pa, ")</f>
        <v>re, Pa, </v>
      </c>
      <c r="EI193" s="322">
        <f t="shared" si="62"/>
        <v>0</v>
      </c>
      <c r="EJ193" s="374" t="str">
        <f>IFERROR(__xludf.DUMMYFUNCTION("CONCATENATE(JOIN("""",KC193:KO193))"),"")</f>
        <v/>
      </c>
      <c r="EK193" s="325" t="str">
        <f t="shared" si="63"/>
        <v>S-R1-G3-M1-M2-P-D2-N3-S</v>
      </c>
      <c r="EL193" s="326" t="str">
        <f t="shared" si="64"/>
        <v>1-b2-3-4-#4-5-6-7-8</v>
      </c>
      <c r="EM193" s="318" t="str">
        <f t="shared" si="65"/>
        <v>#REF!</v>
      </c>
      <c r="EN193" s="328" t="str">
        <f>IFERROR(__xludf.DUMMYFUNCTION("SUBSTITUTE(SUBSTITUTE(SUBSTITUTE(SUBSTITUTE(CONCATENATE(JOIN("" "",HP193:IB193)),""  "","" ""),""  "","" ""),""  "","" ""),""  "","" "")"),"o o • • o o o o • o • o o")</f>
        <v>o o • • o o o o • o • o o</v>
      </c>
      <c r="EO193" s="368" t="str">
        <f t="shared" si="66"/>
        <v>-</v>
      </c>
      <c r="EP193" s="339" t="str">
        <f t="shared" si="67"/>
        <v>-</v>
      </c>
      <c r="EQ193" s="339" t="str">
        <f t="shared" si="68"/>
        <v>Sa-Pa</v>
      </c>
      <c r="ER193" s="339" t="str">
        <f t="shared" si="69"/>
        <v>-</v>
      </c>
      <c r="ES193" s="340" t="str">
        <f t="shared" si="70"/>
        <v>-</v>
      </c>
      <c r="ET193" s="363"/>
      <c r="EU193" s="376" t="b">
        <f>IFERROR(__xludf.DUMMYFUNCTION("arrayformula(sum(--REGEXMATCH(""SRGMPDNS"",split(REGEXREPLACE(C193,""(.)"",""$1~""),""~""))))=len(C193)
"),FALSE)</f>
        <v>0</v>
      </c>
      <c r="EV193" s="290" t="b">
        <f>IFERROR(__xludf.DUMMYFUNCTION("arrayformula(sum(--REGEXMATCH(""SRGmPDNS"",split(REGEXREPLACE(C193,""(.)"",""$1~""),""~""))))=len(C193)"),FALSE)</f>
        <v>0</v>
      </c>
      <c r="EW193" s="290" t="b">
        <f>IFERROR(__xludf.DUMMYFUNCTION("arrayformula(sum(--REGEXMATCH(""SRGmPDnS"",split(REGEXREPLACE(C193,""(.)"",""$1~""),""~""))))=len(C193)"),FALSE)</f>
        <v>0</v>
      </c>
      <c r="EX193" s="290" t="b">
        <f>IFERROR(__xludf.DUMMYFUNCTION("arrayformula(sum(--REGEXMATCH(""SRgmPDnS"",split(REGEXREPLACE(C193,""(.)"",""$1~""),""~""))))=len(C193)"),FALSE)</f>
        <v>0</v>
      </c>
      <c r="EY193" s="290" t="b">
        <f>IFERROR(__xludf.DUMMYFUNCTION("arrayformula(sum(--REGEXMATCH(""SRgmPdnS"",split(REGEXREPLACE(C193,""(.)"",""$1~""),""~""))))=len(C193)"),FALSE)</f>
        <v>0</v>
      </c>
      <c r="EZ193" s="290" t="b">
        <f>IFERROR(__xludf.DUMMYFUNCTION("arrayformula(sum(--REGEXMATCH(""SrgmPdnS"",split(REGEXREPLACE(C193,""(.)"",""$1~""),""~""))))=len(C193)"),FALSE)</f>
        <v>0</v>
      </c>
      <c r="FA193" s="290" t="b">
        <f>IFERROR(__xludf.DUMMYFUNCTION("arrayformula(sum(--REGEXMATCH(""SrGmPdNS"",split(REGEXREPLACE(C193,""(.)"",""$1~""),""~""))))=len(C193)"),FALSE)</f>
        <v>0</v>
      </c>
      <c r="FB193" s="290" t="b">
        <f>IFERROR(__xludf.DUMMYFUNCTION("arrayformula(sum(--REGEXMATCH(""SrGMPDNS"",split(REGEXREPLACE(C193,""(.)"",""$1~""),""~""))))=len(C193)"),FALSE)</f>
        <v>0</v>
      </c>
      <c r="FC193" s="290" t="b">
        <f>IFERROR(__xludf.DUMMYFUNCTION("arrayformula(sum(--REGEXMATCH(""SrGMPdNS"",split(REGEXREPLACE(C193,""(.)"",""$1~""),""~""))))=len(C193)"),FALSE)</f>
        <v>0</v>
      </c>
      <c r="FD193" s="377" t="b">
        <f>IFERROR(__xludf.DUMMYFUNCTION("arrayformula(sum(--REGEXMATCH(""SrgMPdNS"",split(REGEXREPLACE(C193,""(.)"",""$1~""),""~""))))=len(C193)"),FALSE)</f>
        <v>0</v>
      </c>
      <c r="FE193" s="269" t="str">
        <f t="shared" si="71"/>
        <v>xooxxxxoxox</v>
      </c>
      <c r="FF193" s="269" t="str">
        <f t="shared" si="72"/>
        <v>-</v>
      </c>
      <c r="FG193" s="271" t="str">
        <f t="shared" si="73"/>
        <v>-</v>
      </c>
      <c r="FH193" s="269" t="str">
        <f t="shared" si="74"/>
        <v>xxxxoxoxxxo</v>
      </c>
      <c r="FI193" s="271" t="str">
        <f t="shared" si="75"/>
        <v>xxxoxoxxxoo</v>
      </c>
      <c r="FJ193" s="271" t="str">
        <f t="shared" si="76"/>
        <v>xxoxoxxxoox</v>
      </c>
      <c r="FK193" s="271" t="str">
        <f t="shared" si="77"/>
        <v>xoxoxxxooxx</v>
      </c>
      <c r="FL193" s="271" t="str">
        <f t="shared" si="78"/>
        <v>-</v>
      </c>
      <c r="FM193" s="271" t="str">
        <f t="shared" si="79"/>
        <v>xoxxxooxxxx</v>
      </c>
      <c r="FN193" s="271" t="str">
        <f t="shared" si="80"/>
        <v>-</v>
      </c>
      <c r="FO193" s="274" t="str">
        <f t="shared" si="81"/>
        <v>xxxooxxxxox</v>
      </c>
      <c r="FP193" s="234" t="str">
        <f t="shared" si="82"/>
        <v>|</v>
      </c>
      <c r="FQ193" s="236" t="str">
        <f t="shared" si="83"/>
        <v>|</v>
      </c>
      <c r="FR193" s="237" t="str">
        <f t="shared" si="84"/>
        <v>-</v>
      </c>
      <c r="FS193" s="236" t="str">
        <f t="shared" si="85"/>
        <v>-</v>
      </c>
      <c r="FT193" s="237" t="str">
        <f t="shared" si="86"/>
        <v>|</v>
      </c>
      <c r="FU193" s="236" t="str">
        <f t="shared" si="87"/>
        <v>|</v>
      </c>
      <c r="FV193" s="237" t="str">
        <f t="shared" si="88"/>
        <v>|</v>
      </c>
      <c r="FW193" s="236" t="str">
        <f t="shared" si="89"/>
        <v>|</v>
      </c>
      <c r="FX193" s="237" t="str">
        <f t="shared" si="90"/>
        <v>-</v>
      </c>
      <c r="FY193" s="236" t="str">
        <f t="shared" si="91"/>
        <v>|</v>
      </c>
      <c r="FZ193" s="237" t="str">
        <f t="shared" si="92"/>
        <v>-</v>
      </c>
      <c r="GA193" s="236" t="str">
        <f t="shared" si="93"/>
        <v>|</v>
      </c>
      <c r="GB193" s="238" t="str">
        <f t="shared" si="94"/>
        <v>|</v>
      </c>
      <c r="GC193" s="244" t="str">
        <f>IFERROR(__xludf.DUMMYFUNCTION("IF(REGEXMATCH(C193, ""S""), ""1"","""")"),"1")</f>
        <v>1</v>
      </c>
      <c r="GD193" s="245" t="str">
        <f>IFERROR(__xludf.DUMMYFUNCTION("IF(REGEXMATCH(C193, ""r""), ""b2"","""")"),"b2")</f>
        <v>b2</v>
      </c>
      <c r="GE193" s="246" t="str">
        <f>IFERROR(__xludf.DUMMYFUNCTION("IF(REGEXMATCH(C193, ""R""), ""2"","""")"),"")</f>
        <v/>
      </c>
      <c r="GF193" s="246" t="str">
        <f>IFERROR(__xludf.DUMMYFUNCTION("IF(REGEXMATCH(C193, ""g""), ""b3"","""")"),"")</f>
        <v/>
      </c>
      <c r="GG193" s="245" t="str">
        <f>IFERROR(__xludf.DUMMYFUNCTION("IF(REGEXMATCH(C193, ""G""), ""3"","""")"),"3")</f>
        <v>3</v>
      </c>
      <c r="GH193" s="245" t="str">
        <f>IFERROR(__xludf.DUMMYFUNCTION("IF(REGEXMATCH(C193, ""m""), ""4"","""")"),"4")</f>
        <v>4</v>
      </c>
      <c r="GI193" s="246" t="str">
        <f>IFERROR(__xludf.DUMMYFUNCTION("IF(REGEXMATCH(C193, ""M""), ""#4"","""")"),"#4")</f>
        <v>#4</v>
      </c>
      <c r="GJ193" s="245" t="str">
        <f>IFERROR(__xludf.DUMMYFUNCTION("IF(REGEXMATCH(C193, ""P""), ""5"","""")"),"5")</f>
        <v>5</v>
      </c>
      <c r="GK193" s="246" t="str">
        <f>IFERROR(__xludf.DUMMYFUNCTION("IF(REGEXMATCH(C193, ""d""), ""b6"","""")"),"")</f>
        <v/>
      </c>
      <c r="GL193" s="245" t="str">
        <f>IFERROR(__xludf.DUMMYFUNCTION("IF(REGEXMATCH(C193, ""D""), ""6"","""")"),"6")</f>
        <v>6</v>
      </c>
      <c r="GM193" s="245" t="str">
        <f>IFERROR(__xludf.DUMMYFUNCTION("IF(REGEXMATCH(C193, ""n""), ""b7"","""")"),"")</f>
        <v/>
      </c>
      <c r="GN193" s="246" t="str">
        <f>IFERROR(__xludf.DUMMYFUNCTION("IF(REGEXMATCH(C193, ""N""), ""7"","""")"),"7")</f>
        <v>7</v>
      </c>
      <c r="GO193" s="249" t="str">
        <f>IFERROR(__xludf.DUMMYFUNCTION("IF(REGEXMATCH(C193, ""S""), ""8"","""")"),"8")</f>
        <v>8</v>
      </c>
      <c r="GP193" s="244" t="str">
        <f>IFERROR(__xludf.DUMMYFUNCTION("IF(REGEXMATCH(C193, ""S""), ""S"","""")"),"S")</f>
        <v>S</v>
      </c>
      <c r="GQ193" s="294" t="str">
        <f>IFERROR(__xludf.DUMMYFUNCTION("IF(REGEXMATCH(C193, ""r""), ""R1"","""")"),"R1")</f>
        <v>R1</v>
      </c>
      <c r="GR193" s="295" t="str">
        <f>IFERROR(__xludf.DUMMYFUNCTION("IF(REGEXMATCH(C193, ""R""), ""R2"","""")"),"")</f>
        <v/>
      </c>
      <c r="GS193" s="295" t="str">
        <f>IFERROR(__xludf.DUMMYFUNCTION("IF(REGEXMATCH(C193, ""g""), ""G2"","""")"),"")</f>
        <v/>
      </c>
      <c r="GT193" s="294" t="str">
        <f>IFERROR(__xludf.DUMMYFUNCTION("IF(REGEXMATCH(C193, ""G""), ""G3"","""")"),"G3")</f>
        <v>G3</v>
      </c>
      <c r="GU193" s="294" t="str">
        <f>IFERROR(__xludf.DUMMYFUNCTION("IF(REGEXMATCH(C193, ""m""), ""M1"","""")"),"M1")</f>
        <v>M1</v>
      </c>
      <c r="GV193" s="295" t="str">
        <f>IFERROR(__xludf.DUMMYFUNCTION("IF(REGEXMATCH(C193, ""M""), ""M2"","""")"),"M2")</f>
        <v>M2</v>
      </c>
      <c r="GW193" s="294" t="str">
        <f>IFERROR(__xludf.DUMMYFUNCTION("IF(REGEXMATCH(C193, ""P""), ""P"","""")"),"P")</f>
        <v>P</v>
      </c>
      <c r="GX193" s="295" t="str">
        <f>IFERROR(__xludf.DUMMYFUNCTION("IF(REGEXMATCH(C193, ""d""), ""D1"","""")"),"")</f>
        <v/>
      </c>
      <c r="GY193" s="294" t="str">
        <f>IFERROR(__xludf.DUMMYFUNCTION("IF(REGEXMATCH(C193, ""D""), ""D2"","""")"),"D2")</f>
        <v>D2</v>
      </c>
      <c r="GZ193" s="294" t="str">
        <f>IFERROR(__xludf.DUMMYFUNCTION("IF(REGEXMATCH(C193, ""n""), ""N2"","""")"),"")</f>
        <v/>
      </c>
      <c r="HA193" s="295" t="str">
        <f>IFERROR(__xludf.DUMMYFUNCTION("IF(REGEXMATCH(C193, ""N""), ""N3"","""")"),"N3")</f>
        <v>N3</v>
      </c>
      <c r="HB193" s="249" t="str">
        <f>IFERROR(__xludf.DUMMYFUNCTION("IF(REGEXMATCH(C193, ""S""), ""S"","""")"),"S")</f>
        <v>S</v>
      </c>
      <c r="HC193" s="331" t="str">
        <f t="shared" si="95"/>
        <v>S</v>
      </c>
      <c r="HD193" s="332" t="str">
        <f t="shared" si="96"/>
        <v>r</v>
      </c>
      <c r="HE193" s="332" t="str">
        <f t="shared" si="97"/>
        <v/>
      </c>
      <c r="HF193" s="332" t="str">
        <f t="shared" si="98"/>
        <v>g</v>
      </c>
      <c r="HG193" s="332" t="str">
        <f t="shared" si="99"/>
        <v/>
      </c>
      <c r="HH193" s="332" t="str">
        <f t="shared" si="100"/>
        <v>m</v>
      </c>
      <c r="HI193" s="332" t="str">
        <f t="shared" si="101"/>
        <v>M</v>
      </c>
      <c r="HJ193" s="332" t="str">
        <f t="shared" si="102"/>
        <v>P</v>
      </c>
      <c r="HK193" s="332" t="str">
        <f t="shared" si="103"/>
        <v>d</v>
      </c>
      <c r="HL193" s="332" t="str">
        <f t="shared" si="104"/>
        <v/>
      </c>
      <c r="HM193" s="332" t="str">
        <f t="shared" si="105"/>
        <v/>
      </c>
      <c r="HN193" s="332" t="str">
        <f t="shared" si="106"/>
        <v>N</v>
      </c>
      <c r="HO193" s="343" t="str">
        <f t="shared" si="107"/>
        <v>S</v>
      </c>
      <c r="HP193" s="331" t="str">
        <f t="shared" si="108"/>
        <v>o</v>
      </c>
      <c r="HQ193" s="332" t="str">
        <f t="shared" si="109"/>
        <v>o</v>
      </c>
      <c r="HR193" s="332" t="str">
        <f t="shared" si="110"/>
        <v>•</v>
      </c>
      <c r="HS193" s="332" t="str">
        <f t="shared" si="111"/>
        <v>•</v>
      </c>
      <c r="HT193" s="332" t="str">
        <f t="shared" si="112"/>
        <v>o</v>
      </c>
      <c r="HU193" s="332" t="str">
        <f t="shared" si="113"/>
        <v>o</v>
      </c>
      <c r="HV193" s="332" t="str">
        <f t="shared" si="114"/>
        <v>o</v>
      </c>
      <c r="HW193" s="332" t="str">
        <f t="shared" si="115"/>
        <v>o</v>
      </c>
      <c r="HX193" s="332" t="str">
        <f t="shared" si="116"/>
        <v>•</v>
      </c>
      <c r="HY193" s="332" t="str">
        <f t="shared" si="117"/>
        <v>o</v>
      </c>
      <c r="HZ193" s="332" t="str">
        <f t="shared" si="118"/>
        <v>•</v>
      </c>
      <c r="IA193" s="332" t="str">
        <f t="shared" si="119"/>
        <v>o</v>
      </c>
      <c r="IB193" s="338" t="str">
        <f t="shared" si="120"/>
        <v>o</v>
      </c>
      <c r="IC193" s="331" t="str">
        <f t="shared" si="121"/>
        <v>•</v>
      </c>
      <c r="ID193" s="332" t="str">
        <f t="shared" si="122"/>
        <v>•</v>
      </c>
      <c r="IE193" s="332" t="str">
        <f t="shared" si="123"/>
        <v>o</v>
      </c>
      <c r="IF193" s="332" t="str">
        <f t="shared" si="124"/>
        <v>o</v>
      </c>
      <c r="IG193" s="332" t="str">
        <f t="shared" si="125"/>
        <v>•</v>
      </c>
      <c r="IH193" s="332" t="str">
        <f t="shared" si="126"/>
        <v>•</v>
      </c>
      <c r="II193" s="332" t="str">
        <f t="shared" si="127"/>
        <v>•</v>
      </c>
      <c r="IJ193" s="332" t="str">
        <f t="shared" si="128"/>
        <v>•</v>
      </c>
      <c r="IK193" s="332" t="str">
        <f t="shared" si="129"/>
        <v>o</v>
      </c>
      <c r="IL193" s="332" t="str">
        <f t="shared" si="130"/>
        <v>•</v>
      </c>
      <c r="IM193" s="332" t="str">
        <f t="shared" si="131"/>
        <v>o</v>
      </c>
      <c r="IN193" s="332" t="str">
        <f t="shared" si="132"/>
        <v>•</v>
      </c>
      <c r="IO193" s="338" t="str">
        <f t="shared" si="133"/>
        <v>•</v>
      </c>
      <c r="IP193" s="346" t="b">
        <f t="shared" si="134"/>
        <v>0</v>
      </c>
      <c r="IQ193" s="347" t="b">
        <f t="shared" si="135"/>
        <v>1</v>
      </c>
      <c r="IR193" s="347" t="b">
        <f t="shared" si="136"/>
        <v>0</v>
      </c>
      <c r="IS193" s="347" t="b">
        <f t="shared" si="137"/>
        <v>0</v>
      </c>
      <c r="IT193" s="347" t="b">
        <f t="shared" si="138"/>
        <v>0</v>
      </c>
      <c r="IU193" s="347" t="b">
        <f t="shared" si="139"/>
        <v>0</v>
      </c>
      <c r="IV193" s="347" t="b">
        <f t="shared" si="140"/>
        <v>0</v>
      </c>
      <c r="IW193" s="347" t="b">
        <f t="shared" si="141"/>
        <v>1</v>
      </c>
      <c r="IX193" s="347" t="b">
        <f t="shared" si="142"/>
        <v>0</v>
      </c>
      <c r="IY193" s="347" t="b">
        <f t="shared" si="143"/>
        <v>0</v>
      </c>
      <c r="IZ193" s="347" t="b">
        <f t="shared" si="144"/>
        <v>0</v>
      </c>
      <c r="JA193" s="347" t="b">
        <f t="shared" si="145"/>
        <v>0</v>
      </c>
      <c r="JB193" s="353" t="b">
        <f t="shared" si="146"/>
        <v>0</v>
      </c>
      <c r="JC193" s="354" t="str">
        <f t="shared" si="147"/>
        <v/>
      </c>
      <c r="JD193" s="355" t="str">
        <f t="shared" si="148"/>
        <v>re, </v>
      </c>
      <c r="JE193" s="355" t="str">
        <f t="shared" si="149"/>
        <v/>
      </c>
      <c r="JF193" s="355" t="str">
        <f t="shared" si="150"/>
        <v/>
      </c>
      <c r="JG193" s="355" t="str">
        <f t="shared" si="151"/>
        <v/>
      </c>
      <c r="JH193" s="355" t="str">
        <f t="shared" si="152"/>
        <v/>
      </c>
      <c r="JI193" s="355" t="str">
        <f t="shared" si="153"/>
        <v/>
      </c>
      <c r="JJ193" s="355" t="str">
        <f t="shared" si="154"/>
        <v>Pa, </v>
      </c>
      <c r="JK193" s="355" t="str">
        <f t="shared" si="155"/>
        <v/>
      </c>
      <c r="JL193" s="355" t="str">
        <f t="shared" si="156"/>
        <v/>
      </c>
      <c r="JM193" s="355" t="str">
        <f t="shared" si="157"/>
        <v/>
      </c>
      <c r="JN193" s="355" t="str">
        <f t="shared" si="158"/>
        <v/>
      </c>
      <c r="JO193" s="359" t="str">
        <f t="shared" si="159"/>
        <v/>
      </c>
      <c r="JP193" s="346" t="b">
        <f t="shared" si="160"/>
        <v>0</v>
      </c>
      <c r="JQ193" s="347" t="b">
        <f t="shared" si="161"/>
        <v>0</v>
      </c>
      <c r="JR193" s="347" t="b">
        <f t="shared" si="162"/>
        <v>0</v>
      </c>
      <c r="JS193" s="347" t="b">
        <f t="shared" si="163"/>
        <v>0</v>
      </c>
      <c r="JT193" s="347" t="b">
        <f t="shared" si="164"/>
        <v>0</v>
      </c>
      <c r="JU193" s="347" t="b">
        <f t="shared" si="165"/>
        <v>0</v>
      </c>
      <c r="JV193" s="347" t="b">
        <f t="shared" si="166"/>
        <v>0</v>
      </c>
      <c r="JW193" s="347" t="b">
        <f t="shared" si="167"/>
        <v>0</v>
      </c>
      <c r="JX193" s="347" t="b">
        <f t="shared" si="168"/>
        <v>0</v>
      </c>
      <c r="JY193" s="347" t="b">
        <f t="shared" si="169"/>
        <v>0</v>
      </c>
      <c r="JZ193" s="347" t="b">
        <f t="shared" si="170"/>
        <v>0</v>
      </c>
      <c r="KA193" s="347" t="b">
        <f t="shared" si="171"/>
        <v>0</v>
      </c>
      <c r="KB193" s="365" t="b">
        <f t="shared" si="172"/>
        <v>0</v>
      </c>
      <c r="KC193" s="354" t="str">
        <f t="shared" si="173"/>
        <v/>
      </c>
      <c r="KD193" s="355" t="str">
        <f t="shared" si="174"/>
        <v/>
      </c>
      <c r="KE193" s="355" t="str">
        <f t="shared" si="175"/>
        <v/>
      </c>
      <c r="KF193" s="355" t="str">
        <f t="shared" si="176"/>
        <v/>
      </c>
      <c r="KG193" s="355" t="str">
        <f t="shared" si="177"/>
        <v/>
      </c>
      <c r="KH193" s="355" t="str">
        <f t="shared" si="178"/>
        <v/>
      </c>
      <c r="KI193" s="355" t="str">
        <f t="shared" si="179"/>
        <v/>
      </c>
      <c r="KJ193" s="355" t="str">
        <f t="shared" si="180"/>
        <v/>
      </c>
      <c r="KK193" s="355" t="str">
        <f t="shared" si="181"/>
        <v/>
      </c>
      <c r="KL193" s="355" t="str">
        <f t="shared" si="182"/>
        <v/>
      </c>
      <c r="KM193" s="355" t="str">
        <f t="shared" si="183"/>
        <v/>
      </c>
      <c r="KN193" s="355" t="str">
        <f t="shared" si="184"/>
        <v/>
      </c>
      <c r="KO193" s="359"/>
      <c r="KP193" s="378"/>
      <c r="KQ193" s="379" t="s">
        <v>9</v>
      </c>
      <c r="KR193" s="380" t="s">
        <v>9</v>
      </c>
      <c r="KS193" s="381" t="s">
        <v>9</v>
      </c>
      <c r="KT193" s="382">
        <f t="shared" si="186"/>
        <v>0</v>
      </c>
      <c r="KU193" s="383">
        <f t="shared" si="187"/>
        <v>0</v>
      </c>
      <c r="KV193" s="381" t="str">
        <f t="shared" si="205"/>
        <v>S</v>
      </c>
      <c r="KW193" s="382">
        <f t="shared" si="189"/>
        <v>0</v>
      </c>
      <c r="KX193" s="384">
        <f t="shared" si="190"/>
        <v>0</v>
      </c>
      <c r="KY193" s="382">
        <f t="shared" ref="KY193:KZ193" si="601">KW193-KT193</f>
        <v>0</v>
      </c>
      <c r="KZ193" s="369">
        <f t="shared" si="601"/>
        <v>0</v>
      </c>
      <c r="LA193" s="385" t="str">
        <f t="shared" si="192"/>
        <v>✔</v>
      </c>
      <c r="LB193" s="340" t="str">
        <f>IFERROR(__xludf.DUMMYFUNCTION("JOIN("""",ArrayFormula(MID(KS193,LEN(KS193)-SEQUENCE(1,LEN(KS193))+1,1)))"),"S")</f>
        <v>S</v>
      </c>
      <c r="LC193" s="373" t="str">
        <f>IFERROR(__xludf.DUMMYFUNCTION("JOIN("""",ArrayFormula(MID(KV193,LEN(KV193)-SEQUENCE(1,LEN(KV193))+1,1)))"),"S")</f>
        <v>S</v>
      </c>
      <c r="LD193" s="373" t="str">
        <f t="shared" si="193"/>
        <v>S</v>
      </c>
      <c r="LE193" s="339" t="str">
        <f t="shared" si="194"/>
        <v>S</v>
      </c>
      <c r="LF193" s="386" t="str">
        <f>IFERROR(__xludf.DUMMYFUNCTION("SUBSTITUTE(SUBSTITUTE(CONCATENATE(JOIN("""",LH193:LT193)),""1"",""""),""2"","""")"),"SS")</f>
        <v>SS</v>
      </c>
      <c r="LG193" s="369" t="str">
        <f t="shared" si="195"/>
        <v>-</v>
      </c>
      <c r="LH193" s="387" t="str">
        <f>IFERROR(__xludf.DUMMYFUNCTION("IF(REGEXMATCH(LD193, ""S""), ""S"",IF(REGEXMATCH(LE193, ""S""), ""S"",""""))"),"S")</f>
        <v>S</v>
      </c>
      <c r="LI193" s="299" t="str">
        <f>IFERROR(__xludf.DUMMYFUNCTION("IF(REGEXMATCH(LD193, ""r""), ""r1"",IF(REGEXMATCH(LE193, ""r""), ""r2"",""""))"),"")</f>
        <v/>
      </c>
      <c r="LJ193" s="299" t="str">
        <f>IFERROR(__xludf.DUMMYFUNCTION("IF(REGEXMATCH(LD193, ""R""), ""R1"",IF(REGEXMATCH(LE193, ""R""), ""R2"",""""))"),"")</f>
        <v/>
      </c>
      <c r="LK193" s="299" t="str">
        <f>IFERROR(__xludf.DUMMYFUNCTION("IF(REGEXMATCH(LD193, ""g""), ""g1"",IF(REGEXMATCH(LE193, ""g""), ""g2"",""""))"),"")</f>
        <v/>
      </c>
      <c r="LL193" s="299" t="str">
        <f>IFERROR(__xludf.DUMMYFUNCTION("IF(REGEXMATCH(LD193, ""G""), ""G1"",IF(REGEXMATCH(LE193, ""G""), ""G2"",""""))"),"")</f>
        <v/>
      </c>
      <c r="LM193" s="299" t="str">
        <f>IFERROR(__xludf.DUMMYFUNCTION("IF(REGEXMATCH(LD193, ""m""), ""m1"",IF(REGEXMATCH(LE193, ""m""), ""m2"",""""))"),"")</f>
        <v/>
      </c>
      <c r="LN193" s="299" t="str">
        <f>IFERROR(__xludf.DUMMYFUNCTION("IF(REGEXMATCH(LD193, ""M""), ""M1"",IF(REGEXMATCH(LE193, ""M""), ""M2"",""""))"),"")</f>
        <v/>
      </c>
      <c r="LO193" s="299" t="str">
        <f>IFERROR(__xludf.DUMMYFUNCTION("IF(REGEXMATCH(LD193, ""P""), ""P1"",IF(REGEXMATCH(LE193, ""P""), ""P2"",""""))"),"")</f>
        <v/>
      </c>
      <c r="LP193" s="299" t="str">
        <f>IFERROR(__xludf.DUMMYFUNCTION("IF(REGEXMATCH(LD193, ""d""), ""d1"",IF(REGEXMATCH(LE193, ""d""), ""d2"",""""))"),"")</f>
        <v/>
      </c>
      <c r="LQ193" s="299" t="str">
        <f>IFERROR(__xludf.DUMMYFUNCTION("IF(REGEXMATCH(LD193, ""D""), ""D1"",IF(REGEXMATCH(LE193, ""D""), ""D2"",""""))"),"")</f>
        <v/>
      </c>
      <c r="LR193" s="299" t="str">
        <f>IFERROR(__xludf.DUMMYFUNCTION("IF(REGEXMATCH(LD193, ""n""), ""n1"",IF(REGEXMATCH(LE193, ""n""), ""n2"",""""))"),"")</f>
        <v/>
      </c>
      <c r="LS193" s="299" t="str">
        <f>IFERROR(__xludf.DUMMYFUNCTION("IF(REGEXMATCH(LD193, ""N""), ""N1"",IF(REGEXMATCH(LE193, ""N""), ""N2"",""""))"),"")</f>
        <v/>
      </c>
      <c r="LT193" s="388" t="str">
        <f>IFERROR(__xludf.DUMMYFUNCTION("IF(REGEXMATCH(LD193, ""S""), ""S"",IF(REGEXMATCH(LE193, ""S""), ""S"",""""))"),"S")</f>
        <v>S</v>
      </c>
      <c r="LU193" s="389">
        <f t="shared" si="196"/>
        <v>1</v>
      </c>
      <c r="LV193" s="378"/>
      <c r="LW193" s="369"/>
      <c r="LX193" s="369"/>
    </row>
    <row r="194" ht="18.0" customHeight="1">
      <c r="A194" s="298" t="s">
        <v>911</v>
      </c>
      <c r="B194" s="222" t="s">
        <v>912</v>
      </c>
      <c r="C194" s="233" t="str">
        <f t="shared" si="7"/>
        <v>SrGmMPdDNS</v>
      </c>
      <c r="D194" s="234" t="str">
        <f>IFERROR(__xludf.DUMMYFUNCTION("IF(REGEXMATCH(C194, ""S""), ""S"","""")"),"S")</f>
        <v>S</v>
      </c>
      <c r="E194" s="236" t="str">
        <f>IFERROR(__xludf.DUMMYFUNCTION("IF(REGEXMATCH(C194, ""r""), ""r"","""")"),"r")</f>
        <v>r</v>
      </c>
      <c r="F194" s="237" t="str">
        <f>IFERROR(__xludf.DUMMYFUNCTION("IF(REGEXMATCH(C194, ""R""), ""R"","""")"),"")</f>
        <v/>
      </c>
      <c r="G194" s="237" t="str">
        <f>IFERROR(__xludf.DUMMYFUNCTION("IF(REGEXMATCH(C194, ""g""), ""g"","""")"),"")</f>
        <v/>
      </c>
      <c r="H194" s="236" t="str">
        <f>IFERROR(__xludf.DUMMYFUNCTION("IF(REGEXMATCH(C194, ""G""), ""G"","""")"),"G")</f>
        <v>G</v>
      </c>
      <c r="I194" s="236" t="str">
        <f>IFERROR(__xludf.DUMMYFUNCTION("IF(REGEXMATCH(C194, ""m""), ""m"","""")"),"m")</f>
        <v>m</v>
      </c>
      <c r="J194" s="237" t="str">
        <f>IFERROR(__xludf.DUMMYFUNCTION("IF(REGEXMATCH(C194, ""M""), ""M"","""")"),"M")</f>
        <v>M</v>
      </c>
      <c r="K194" s="236" t="str">
        <f>IFERROR(__xludf.DUMMYFUNCTION("IF(REGEXMATCH(C194, ""P""), ""P"","""")"),"P")</f>
        <v>P</v>
      </c>
      <c r="L194" s="237" t="str">
        <f>IFERROR(__xludf.DUMMYFUNCTION("IF(REGEXMATCH(C194, ""d""), ""d"","""")"),"d")</f>
        <v>d</v>
      </c>
      <c r="M194" s="236" t="str">
        <f>IFERROR(__xludf.DUMMYFUNCTION("IF(REGEXMATCH(C194, ""D""), ""D"","""")"),"D")</f>
        <v>D</v>
      </c>
      <c r="N194" s="236" t="str">
        <f>IFERROR(__xludf.DUMMYFUNCTION("IF(REGEXMATCH(C194, ""n""), ""n"","""")"),"")</f>
        <v/>
      </c>
      <c r="O194" s="237" t="str">
        <f>IFERROR(__xludf.DUMMYFUNCTION("IF(REGEXMATCH(C194, ""N""), ""N"","""")"),"N")</f>
        <v>N</v>
      </c>
      <c r="P194" s="238" t="str">
        <f>IFERROR(__xludf.DUMMYFUNCTION("IF(REGEXMATCH(C194, ""S""), ""S"","""")"),"S")</f>
        <v>S</v>
      </c>
      <c r="Q194" s="239" t="str">
        <f>IFERROR(__xludf.DUMMYFUNCTION("SUBSTITUTE(CONCATENATE(JOIN(""-"",D194:J194)),""-"","""")"),"SrGmM")</f>
        <v>SrGmM</v>
      </c>
      <c r="R194" s="229" t="str">
        <f>IFERROR(__xludf.DUMMYFUNCTION("SUBSTITUTE(CONCATENATE(JOIN(""-"",K194:P194)),""-"","""")"),"PdDNS")</f>
        <v>PdDNS</v>
      </c>
      <c r="S194" s="282" t="str">
        <f t="shared" si="8"/>
        <v>S-R-G-M</v>
      </c>
      <c r="T194" s="282" t="str">
        <f t="shared" si="9"/>
        <v>P-D-N-S</v>
      </c>
      <c r="U194" s="237" t="str">
        <f>IFERROR(__xludf.DUMMYFUNCTION("SUBSTITUTE(JOIN(""-"",S194,T194),""--"",""-"")"),"S-R-G-M-P-D-N-S")</f>
        <v>S-R-G-M-P-D-N-S</v>
      </c>
      <c r="V194" s="309" t="str">
        <f t="shared" si="10"/>
        <v>rGmMdDN</v>
      </c>
      <c r="W194" s="244" t="str">
        <f>IFERROR(__xludf.DUMMYFUNCTION("IF(REGEXMATCH(C194, ""S""), ""0"","""")"),"0")</f>
        <v>0</v>
      </c>
      <c r="X194" s="245" t="str">
        <f>IFERROR(__xludf.DUMMYFUNCTION("IF(REGEXMATCH(C194, ""r""), ""1"","""")"),"1")</f>
        <v>1</v>
      </c>
      <c r="Y194" s="246" t="str">
        <f>IFERROR(__xludf.DUMMYFUNCTION("IF(REGEXMATCH(C194, ""R""), ""2"","""")"),"")</f>
        <v/>
      </c>
      <c r="Z194" s="246" t="str">
        <f>IFERROR(__xludf.DUMMYFUNCTION("IF(REGEXMATCH(C194, ""g""), ""3"","""")"),"")</f>
        <v/>
      </c>
      <c r="AA194" s="245" t="str">
        <f>IFERROR(__xludf.DUMMYFUNCTION("IF(REGEXMATCH(C194, ""G""), ""4"","""")"),"4")</f>
        <v>4</v>
      </c>
      <c r="AB194" s="245" t="str">
        <f>IFERROR(__xludf.DUMMYFUNCTION("IF(REGEXMATCH(C194, ""m""), ""5"","""")"),"5")</f>
        <v>5</v>
      </c>
      <c r="AC194" s="246" t="str">
        <f>IFERROR(__xludf.DUMMYFUNCTION("IF(REGEXMATCH(C194, ""M""), ""6"","""")"),"6")</f>
        <v>6</v>
      </c>
      <c r="AD194" s="245" t="str">
        <f>IFERROR(__xludf.DUMMYFUNCTION("IF(REGEXMATCH(C194, ""P""), ""7"","""")"),"7")</f>
        <v>7</v>
      </c>
      <c r="AE194" s="246" t="str">
        <f>IFERROR(__xludf.DUMMYFUNCTION("IF(REGEXMATCH(C194, ""d""), ""8"","""")"),"8")</f>
        <v>8</v>
      </c>
      <c r="AF194" s="245" t="str">
        <f>IFERROR(__xludf.DUMMYFUNCTION("IF(REGEXMATCH(C194, ""D""), ""9"","""")"),"9")</f>
        <v>9</v>
      </c>
      <c r="AG194" s="245" t="str">
        <f>IFERROR(__xludf.DUMMYFUNCTION("IF(REGEXMATCH(C194, ""n""), ""10"","""")"),"")</f>
        <v/>
      </c>
      <c r="AH194" s="246" t="str">
        <f>IFERROR(__xludf.DUMMYFUNCTION("IF(REGEXMATCH(C194, ""N""), ""11"","""")"),"11")</f>
        <v>11</v>
      </c>
      <c r="AI194" s="249" t="str">
        <f>IFERROR(__xludf.DUMMYFUNCTION("IF(REGEXMATCH(C194, ""S""), ""0"","""")"),"0")</f>
        <v>0</v>
      </c>
      <c r="AJ194" s="313" t="str">
        <f t="shared" si="11"/>
        <v>T</v>
      </c>
      <c r="AK194" s="313" t="str">
        <f t="shared" si="12"/>
        <v>T</v>
      </c>
      <c r="AL194" s="313" t="str">
        <f t="shared" si="13"/>
        <v>-</v>
      </c>
      <c r="AM194" s="313" t="str">
        <f t="shared" si="14"/>
        <v>-</v>
      </c>
      <c r="AN194" s="313" t="str">
        <f t="shared" si="15"/>
        <v>-</v>
      </c>
      <c r="AO194" s="314" t="str">
        <f t="shared" si="16"/>
        <v>T</v>
      </c>
      <c r="AP194" s="316">
        <f t="shared" si="17"/>
        <v>3</v>
      </c>
      <c r="AQ194" s="319" t="str">
        <f t="shared" si="18"/>
        <v>-</v>
      </c>
      <c r="AR194" s="320">
        <f t="shared" si="19"/>
        <v>0</v>
      </c>
      <c r="AS194" s="250" t="str">
        <f>IFERROR(__xludf.DUMMYFUNCTION("SUBSTITUTE(SUBSTITUTE(CONCATENATE(JOIN("""",FP194:GA194)),""|"",""x""),""-"",""o"")"),"xxooxxxxxxox")</f>
        <v>xxooxxxxxxox</v>
      </c>
      <c r="AT194" s="323" t="str">
        <f>IFERROR(__xludf.DUMMYFUNCTION("JOIN("""",AS194,AS194)"),"xxooxxxxxxoxxxooxxxxxxox")</f>
        <v>xxooxxxxxxoxxxooxxxxxxox</v>
      </c>
      <c r="AU194" s="256" t="str">
        <f>IFERROR(__xludf.DUMMYFUNCTION("JOIN("""",ArrayFormula(MID(AS194,LEN(AS194)-SEQUENCE(1,LEN(AS194))+1,1)))"),"xoxxxxxxooxx")</f>
        <v>xoxxxxxxooxx</v>
      </c>
      <c r="AV194" s="256" t="str">
        <f>IFERROR(__xludf.DUMMYFUNCTION("LEFT(CONCATENATE(""x"",JOIN("""",ArrayFormula(MID(AS194,LEN(AS194)-SEQUENCE(1,LEN(AS194))+1,1)))),12)"),"xxoxxxxxxoox")</f>
        <v>xxoxxxxxxoox</v>
      </c>
      <c r="AW194" s="327" t="str">
        <f>IFERROR(__xludf.DUMMYFUNCTION("JOIN("""",AU194,AU194)"),"xoxxxxxxooxxxoxxxxxxooxx")</f>
        <v>xoxxxxxxooxxxoxxxxxxooxx</v>
      </c>
      <c r="AX194" s="239" t="str">
        <f>IFERROR(__xludf.DUMMYFUNCTION("IF(REGEXMATCH(AW194,AS194),""✔"",""-"")"),"-")</f>
        <v>-</v>
      </c>
      <c r="AY194" s="330" t="str">
        <f t="shared" si="20"/>
        <v>-</v>
      </c>
      <c r="AZ194" s="260" t="str">
        <f t="shared" si="21"/>
        <v>#REF!</v>
      </c>
      <c r="BA194" s="333" t="str">
        <f t="shared" si="22"/>
        <v>xxooxxx</v>
      </c>
      <c r="BB194" s="334" t="str">
        <f t="shared" si="23"/>
        <v>xxxoxx</v>
      </c>
      <c r="BC194" s="335" t="str">
        <f t="shared" si="236"/>
        <v>-</v>
      </c>
      <c r="BD194" s="336" t="str">
        <f t="shared" si="25"/>
        <v>Lalita Gauri: 'xxooxxx' + 'xxxoxx'</v>
      </c>
      <c r="BE194" s="337">
        <f>IFERROR(__xludf.DUMMYFUNCTION("COUNTUNIQUE(FILTER(AT:AT,REGEXMATCH(AT:AT,AS194)))-1"),0.0)</f>
        <v>0</v>
      </c>
      <c r="BF194" s="261" t="str">
        <f>IFERROR(__xludf.DUMMYFUNCTION("IF(BI194=0,""(n/a)"",IF(BJ194=2,""(PAIR)"",IF(REGEXMATCH(AT194,""xoxoxxoxoxox""),""Bilawal"",IF(REGEXMATCH(AT194,""xoxoxooxoxoo""),""Bhupali"",IF(REGEXMATCH(AT194,""xoxoxxoxxoxo""),""Charukeshi"",IF(REGEXMATCH(AT194,""xoxoooxxoxxo""),""Kameshwari"",IF(REG"&amp;"EXMATCH(AT194,""xoxoxooxoxox""),""Shankara"",IF(REGEXMATCH(AT194,""xxooxoxxxoox""),""Basant"",IF(REGEXMATCH(AT194,""xoxoxxxxoxox""),""Bihag"",IF(REGEXMATCH(AT194,""xoxxxxoxoxxx""),""Pilu"",IF(REGEXMATCH(AT194,""xoxxoxoxxoox""),""Kirwani"",IF(REGEXMATCH(AT"&amp;"194,""xoxxoxoxoxxx""),""Mk.Malhar"",IF(REGEXMATCH(AT194,""xxooxxoxxoox""),""Bhairav"",IF(REGEXMATCH(AT194,""xxoxooxxxoox""),""Todi"",IF(REGEXMATCH(AT194,""xxooxoxooxox""),""Marwa"",IF(REGEXMATCH(AT194,""xxoooxoxxooo""),""Gunkali"",IF(REGEXMATCH(AT194,""xo"&amp;"xoxxoxxoox""),""Nat Bhairav"",IF(REGEXMATCH(AT194,""xoxxoooxoxoo""),""Shivranjani"",IF(REGEXMATCH(AT194,""xooxxxoxooxo""),""Jog"",IF(REGEXMATCH(AT194,""xxooxoxoxoox""),""Hemshri"",IF(REGEXMATCH(AT194,""xoooxooxoxxo""),""Kalavati"",IF(REGEXMATCH(AT194,""xx"&amp;"oxoxxoxoox""),""Kedar"",IF(REGEXMATCH(AT194,""xoxxxxoxooxx""),""Gara"",IF(REGEXMATCH(AT194,""xooxoxooxoox""),""Chandrakauns"",IF(REGEXMATCH(AT194,""xoxxxxoxxxox""),""Mand"",IF(REGEXMATCH(AT194,""xoxxxxoxoxox""),""Hanskinkini"",IF(REGEXMATCH(AT194,""xxooxx"&amp;"oxooxo""),""Lilavati"",IF(REGEXMATCH(AT194,""xooxoxoooxox""),""Rajeshwari"",IF(REGEXMATCH(AT194,""xoooxxoxoxxx""),""Khokar"",IF(REGEXMATCH(AT194,""xxooxoxxxxox""),""Maligoura"",""-""))))))))))))))))))))))))))))))"),"(n/a)")</f>
        <v>(n/a)</v>
      </c>
      <c r="BG194" s="239" t="str">
        <f t="shared" si="26"/>
        <v>#REF!</v>
      </c>
      <c r="BH194" s="239">
        <f>IFERROR(__xludf.DUMMYFUNCTION("COUNTUNIQUE(FE194:FO194)-1"),8.0)</f>
        <v>8</v>
      </c>
      <c r="BI194" s="239">
        <f>IFERROR(__xludf.DUMMYFUNCTION("COUNTUNIQUE(FILTER(AT:AT,REGEXMATCH(AT:AT,AS194)))-1"),0.0)</f>
        <v>0</v>
      </c>
      <c r="BJ194" s="239">
        <f>IFERROR(__xludf.DUMMYFUNCTION("COUNTA(FILTER(AT:AT,REGEXMATCH(AT:AT,AS194)))"),5.0)</f>
        <v>5</v>
      </c>
      <c r="BK194" s="341">
        <f>IFERROR(__xludf.DUMMYFUNCTION("COUNTA(FILTER(AT:AT,REGEXMATCH(AT:AT,AS194)))-AR194"),5.0)</f>
        <v>5</v>
      </c>
      <c r="BL194" s="276" t="str">
        <f>IFERROR(__xludf.DUMMYFUNCTION("IF(AS194=""oooooooooooo"",""-"",IF(REGEXMATCH(AT194,""xx""), ""Hemi."", ""Anhemi.""))"),"Hemi.")</f>
        <v>Hemi.</v>
      </c>
      <c r="BM194" s="282" t="str">
        <f>IFERROR(__xludf.DUMMYFUNCTION("IF(AS194=""oooooooooooo"",""-"",IF(REGEXMATCH(AT194,""xxx""), ""Cohem."", ""-""))"),"Cohem.")</f>
        <v>Cohem.</v>
      </c>
      <c r="BN194" s="282" t="str">
        <f>IFERROR(__xludf.DUMMYFUNCTION("IF(AS194=""oooooooooooo"",""-"",IF(REGEXMATCH(AT194,""xxxx""), ""Co-Co."", ""-""))"),"Co-Co.")</f>
        <v>Co-Co.</v>
      </c>
      <c r="BO194" s="342" t="str">
        <f>IFERROR(__xludf.DUMMYFUNCTION("IF(AS194=""oooooooooooo"",""-"",IF(REGEXMATCH(AT194,""xxxxx""), ""CCC."", ""-""))"),"CCC.")</f>
        <v>CCC.</v>
      </c>
      <c r="BP194" s="344" t="str">
        <f t="shared" si="27"/>
        <v>-</v>
      </c>
      <c r="BQ194" s="282" t="str">
        <f>IFERROR(__xludf.DUMMYFUNCTION("IF(REGEXMATCH(JOIN(""-"",EU194:FD194),""TRUE""),""✔"",""-"")"),"-")</f>
        <v>-</v>
      </c>
      <c r="BR194" s="225">
        <f t="shared" si="28"/>
        <v>0</v>
      </c>
      <c r="BS194" s="345" t="str">
        <f>IFERROR(__xludf.DUMMYFUNCTION("SUBSTITUTE(SUBSTITUTE(SUBSTITUTE(SUBSTITUTE(CONCATENATE(JOIN(""-"",GC194:GO194)),""--"",""-""),""--"",""-""),""--"",""-""),""--"",""-"")"),"1-b2-3-4-#4-5-b6-6-7-8")</f>
        <v>1-b2-3-4-#4-5-b6-6-7-8</v>
      </c>
      <c r="BT194" s="299" t="str">
        <f>IFERROR(__xludf.DUMMYFUNCTION("SUBSTITUTE(SUBSTITUTE(SUBSTITUTE(SUBSTITUTE(CONCATENATE(JOIN(""-"",GP194:HB194)),""--"",""-""),""--"",""-""),""--"",""-""),""--"",""-"")"),"S-R1-G3-M1-M2-P-D1-D2-N3-S")</f>
        <v>S-R1-G3-M1-M2-P-D1-D2-N3-S</v>
      </c>
      <c r="BU194" s="348" t="str">
        <f t="shared" si="29"/>
        <v>C-Db-E-F-F#-G-Ab-A-B-C</v>
      </c>
      <c r="BV194" s="349" t="str">
        <f t="shared" si="30"/>
        <v>SRgnS</v>
      </c>
      <c r="BW194" s="350">
        <f t="shared" si="31"/>
        <v>0</v>
      </c>
      <c r="BX194" s="351">
        <f t="shared" si="32"/>
        <v>5</v>
      </c>
      <c r="BY194" s="352" t="s">
        <v>275</v>
      </c>
      <c r="BZ194" s="309" t="str">
        <f>IFERROR(__xludf.DUMMYFUNCTION("IF(REGEXMATCH(C194, ""S""), ""x"",""x"")"),"x")</f>
        <v>x</v>
      </c>
      <c r="CA194" s="245" t="str">
        <f>IFERROR(__xludf.DUMMYFUNCTION("IF(REGEXMATCH(C194, ""r""), ""o"",""x"")"),"o")</f>
        <v>o</v>
      </c>
      <c r="CB194" s="246" t="str">
        <f>IFERROR(__xludf.DUMMYFUNCTION("IF(REGEXMATCH(C194, ""R""), ""o"",""x"")"),"x")</f>
        <v>x</v>
      </c>
      <c r="CC194" s="246" t="str">
        <f>IFERROR(__xludf.DUMMYFUNCTION("IF(REGEXMATCH(C194, ""g""), ""o"",""x"")"),"x")</f>
        <v>x</v>
      </c>
      <c r="CD194" s="245" t="str">
        <f>IFERROR(__xludf.DUMMYFUNCTION("IF(REGEXMATCH(C194, ""G""), ""o"",""x"")"),"o")</f>
        <v>o</v>
      </c>
      <c r="CE194" s="245" t="str">
        <f>IFERROR(__xludf.DUMMYFUNCTION("IF(REGEXMATCH(C194, ""m""), ""o"",""x"")"),"o")</f>
        <v>o</v>
      </c>
      <c r="CF194" s="246" t="str">
        <f>IFERROR(__xludf.DUMMYFUNCTION("IF(REGEXMATCH(C194, ""M""), ""o"",""x"")"),"o")</f>
        <v>o</v>
      </c>
      <c r="CG194" s="245" t="str">
        <f>IFERROR(__xludf.DUMMYFUNCTION("IF(REGEXMATCH(C194, ""P""), ""o"",""x"")"),"o")</f>
        <v>o</v>
      </c>
      <c r="CH194" s="246" t="str">
        <f>IFERROR(__xludf.DUMMYFUNCTION("IF(REGEXMATCH(C194, ""d""), ""o"",""x"")"),"o")</f>
        <v>o</v>
      </c>
      <c r="CI194" s="245" t="str">
        <f>IFERROR(__xludf.DUMMYFUNCTION("IF(REGEXMATCH(C194, ""D""), ""o"",""x"")"),"o")</f>
        <v>o</v>
      </c>
      <c r="CJ194" s="245" t="str">
        <f>IFERROR(__xludf.DUMMYFUNCTION("IF(REGEXMATCH(C194, ""n""), ""o"",""x"")"),"x")</f>
        <v>x</v>
      </c>
      <c r="CK194" s="245" t="str">
        <f>IFERROR(__xludf.DUMMYFUNCTION("IF(REGEXMATCH(C194, ""N""), ""o"",""x"")"),"o")</f>
        <v>o</v>
      </c>
      <c r="CL194" s="356" t="str">
        <f>IFERROR(__xludf.DUMMYFUNCTION("IF(REGEXMATCH(C194, ""S""), ""x"",""x"")"),"x")</f>
        <v>x</v>
      </c>
      <c r="CM194" s="357" t="str">
        <f t="shared" si="33"/>
        <v>xoxxooooooxo</v>
      </c>
      <c r="CN194" s="358">
        <f t="shared" si="34"/>
        <v>0</v>
      </c>
      <c r="CO194" s="246" t="str">
        <f>IFERROR(__xludf.DUMMYFUNCTION("IF(REGEXMATCH($C194, ""S""), ""S"",""S"")"),"S")</f>
        <v>S</v>
      </c>
      <c r="CP194" s="246" t="str">
        <f>IFERROR(__xludf.DUMMYFUNCTION("IF(REGEXMATCH($C194, ""r""), """",""r"")"),"")</f>
        <v/>
      </c>
      <c r="CQ194" s="246" t="str">
        <f>IFERROR(__xludf.DUMMYFUNCTION("IF(REGEXMATCH($C194, ""R""), """",""R"")"),"R")</f>
        <v>R</v>
      </c>
      <c r="CR194" s="246" t="str">
        <f>IFERROR(__xludf.DUMMYFUNCTION("IF(REGEXMATCH($C194, ""g""), """",""g"")"),"g")</f>
        <v>g</v>
      </c>
      <c r="CS194" s="246" t="str">
        <f>IFERROR(__xludf.DUMMYFUNCTION("IF(REGEXMATCH($C194, ""G""), """",""G"")"),"")</f>
        <v/>
      </c>
      <c r="CT194" s="246" t="str">
        <f>IFERROR(__xludf.DUMMYFUNCTION("IF(REGEXMATCH($C194, ""m""), """",""m"")"),"")</f>
        <v/>
      </c>
      <c r="CU194" s="246" t="str">
        <f>IFERROR(__xludf.DUMMYFUNCTION("IF(REGEXMATCH($C194, ""M""), """",""M"")"),"")</f>
        <v/>
      </c>
      <c r="CV194" s="246" t="str">
        <f>IFERROR(__xludf.DUMMYFUNCTION("IF(REGEXMATCH($C194, ""P""), """",""P"")"),"")</f>
        <v/>
      </c>
      <c r="CW194" s="246" t="str">
        <f>IFERROR(__xludf.DUMMYFUNCTION("IF(REGEXMATCH($C194, ""d""), """",""d"")"),"")</f>
        <v/>
      </c>
      <c r="CX194" s="246" t="str">
        <f>IFERROR(__xludf.DUMMYFUNCTION("IF(REGEXMATCH($C194, ""D""), """",""D"")"),"")</f>
        <v/>
      </c>
      <c r="CY194" s="246" t="str">
        <f>IFERROR(__xludf.DUMMYFUNCTION("IF(REGEXMATCH($C194, ""n""), """",""n"")"),"n")</f>
        <v>n</v>
      </c>
      <c r="CZ194" s="246" t="str">
        <f>IFERROR(__xludf.DUMMYFUNCTION("IF(REGEXMATCH($C194, ""N""), """",""N"")"),"")</f>
        <v/>
      </c>
      <c r="DA194" s="246" t="str">
        <f>IFERROR(__xludf.DUMMYFUNCTION("IF(REGEXMATCH($C194, ""S""), ""S"",""S"")"),"S")</f>
        <v>S</v>
      </c>
      <c r="DB194" s="362" t="str">
        <f>IFERROR(__xludf.DUMMYFUNCTION("JOIN("""",CO194:DA194,"""","""")"),"SRgnS")</f>
        <v>SRgnS</v>
      </c>
      <c r="DC194" s="363"/>
      <c r="DD194" s="301" t="str">
        <f t="shared" si="35"/>
        <v>#REF!</v>
      </c>
      <c r="DE194" s="302" t="str">
        <f t="shared" si="36"/>
        <v>#REF!</v>
      </c>
      <c r="DF194" s="301" t="str">
        <f t="shared" ref="DF194:DG194" si="602">SUBSTITUTE(S194,"-","")</f>
        <v>SRGM</v>
      </c>
      <c r="DG194" s="301" t="str">
        <f t="shared" si="602"/>
        <v>PDNS</v>
      </c>
      <c r="DH194" s="302" t="str">
        <f t="shared" si="38"/>
        <v>(n/a)</v>
      </c>
      <c r="DI194" s="301" t="str">
        <f t="shared" si="39"/>
        <v>Hemi.</v>
      </c>
      <c r="DJ194" s="364" t="str">
        <f t="shared" si="40"/>
        <v>CCC.</v>
      </c>
      <c r="DK194" s="306" t="str">
        <f t="shared" si="41"/>
        <v>-</v>
      </c>
      <c r="DL194" s="366" t="str">
        <f t="shared" si="42"/>
        <v>-</v>
      </c>
      <c r="DM194" s="308" t="str">
        <f t="shared" si="43"/>
        <v>✔</v>
      </c>
      <c r="DN194" s="306" t="str">
        <f t="shared" si="44"/>
        <v>-</v>
      </c>
      <c r="DO194" s="306" t="str">
        <f t="shared" si="45"/>
        <v>-</v>
      </c>
      <c r="DP194" s="367" t="str">
        <f t="shared" si="46"/>
        <v>-</v>
      </c>
      <c r="DQ194" s="310" t="str">
        <f t="shared" si="47"/>
        <v>-</v>
      </c>
      <c r="DR194" s="310" t="str">
        <f t="shared" si="48"/>
        <v>-</v>
      </c>
      <c r="DS194" s="310" t="str">
        <f t="shared" si="49"/>
        <v>✔</v>
      </c>
      <c r="DT194" s="310" t="str">
        <f t="shared" si="50"/>
        <v>✔</v>
      </c>
      <c r="DU194" s="370" t="str">
        <f t="shared" si="51"/>
        <v>-</v>
      </c>
      <c r="DV194" s="306" t="str">
        <f t="shared" si="52"/>
        <v>-</v>
      </c>
      <c r="DW194" s="306" t="str">
        <f t="shared" si="53"/>
        <v>-</v>
      </c>
      <c r="DX194" s="306" t="str">
        <f t="shared" si="54"/>
        <v>-</v>
      </c>
      <c r="DY194" s="306" t="str">
        <f t="shared" si="55"/>
        <v>-</v>
      </c>
      <c r="DZ194" s="306" t="str">
        <f t="shared" si="56"/>
        <v>-</v>
      </c>
      <c r="EA194" s="367" t="str">
        <f t="shared" si="57"/>
        <v>-</v>
      </c>
      <c r="EB194" s="310" t="str">
        <f>IFERROR(__xludf.DUMMYFUNCTION("IF(REGEXMATCH(AW194,AS194),""✔"",""-"")"),"-")</f>
        <v>-</v>
      </c>
      <c r="EC194" s="310" t="str">
        <f t="shared" si="58"/>
        <v>#REF!</v>
      </c>
      <c r="ED194" s="370" t="str">
        <f t="shared" si="59"/>
        <v>-</v>
      </c>
      <c r="EE194" s="340" t="str">
        <f t="shared" si="60"/>
        <v>S-r-G-mM-P-dD-N-S</v>
      </c>
      <c r="EF194" s="371" t="str">
        <f>IFERROR(__xludf.DUMMYFUNCTION("CONCATENATE(JOIN("""",HC194:HO194))"),"SrgGmMPdNS")</f>
        <v>SrgGmMPdNS</v>
      </c>
      <c r="EG194" s="372">
        <f t="shared" si="61"/>
        <v>2</v>
      </c>
      <c r="EH194" s="373" t="str">
        <f>IFERROR(__xludf.DUMMYFUNCTION("CONCATENATE(JOIN("""",JC194:JO194))"),"Pa, dha, ")</f>
        <v>Pa, dha, </v>
      </c>
      <c r="EI194" s="322">
        <f t="shared" si="62"/>
        <v>0</v>
      </c>
      <c r="EJ194" s="374" t="str">
        <f>IFERROR(__xludf.DUMMYFUNCTION("CONCATENATE(JOIN("""",KC194:KO194))"),"")</f>
        <v/>
      </c>
      <c r="EK194" s="325" t="str">
        <f t="shared" si="63"/>
        <v>S-R1-G3-M1-M2-P-D1-D2-N3-S</v>
      </c>
      <c r="EL194" s="326" t="str">
        <f t="shared" si="64"/>
        <v>1-b2-3-4-#4-5-b6-6-7-8</v>
      </c>
      <c r="EM194" s="318" t="str">
        <f t="shared" si="65"/>
        <v>#REF!</v>
      </c>
      <c r="EN194" s="328" t="str">
        <f>IFERROR(__xludf.DUMMYFUNCTION("SUBSTITUTE(SUBSTITUTE(SUBSTITUTE(SUBSTITUTE(CONCATENATE(JOIN("" "",HP194:IB194)),""  "","" ""),""  "","" ""),""  "","" ""),""  "","" "")"),"o o • • o o o o o o • o o")</f>
        <v>o o • • o o o o o o • o o</v>
      </c>
      <c r="EO194" s="368" t="str">
        <f t="shared" si="66"/>
        <v>-</v>
      </c>
      <c r="EP194" s="339" t="str">
        <f t="shared" si="67"/>
        <v>-</v>
      </c>
      <c r="EQ194" s="339" t="str">
        <f t="shared" si="68"/>
        <v>Sa-Pa</v>
      </c>
      <c r="ER194" s="339" t="str">
        <f t="shared" si="69"/>
        <v>-</v>
      </c>
      <c r="ES194" s="340" t="str">
        <f t="shared" si="70"/>
        <v>-</v>
      </c>
      <c r="ET194" s="363"/>
      <c r="EU194" s="376" t="b">
        <f>IFERROR(__xludf.DUMMYFUNCTION("arrayformula(sum(--REGEXMATCH(""SRGMPDNS"",split(REGEXREPLACE(C194,""(.)"",""$1~""),""~""))))=len(C194)
"),FALSE)</f>
        <v>0</v>
      </c>
      <c r="EV194" s="290" t="b">
        <f>IFERROR(__xludf.DUMMYFUNCTION("arrayformula(sum(--REGEXMATCH(""SRGmPDNS"",split(REGEXREPLACE(C194,""(.)"",""$1~""),""~""))))=len(C194)"),FALSE)</f>
        <v>0</v>
      </c>
      <c r="EW194" s="290" t="b">
        <f>IFERROR(__xludf.DUMMYFUNCTION("arrayformula(sum(--REGEXMATCH(""SRGmPDnS"",split(REGEXREPLACE(C194,""(.)"",""$1~""),""~""))))=len(C194)"),FALSE)</f>
        <v>0</v>
      </c>
      <c r="EX194" s="290" t="b">
        <f>IFERROR(__xludf.DUMMYFUNCTION("arrayformula(sum(--REGEXMATCH(""SRgmPDnS"",split(REGEXREPLACE(C194,""(.)"",""$1~""),""~""))))=len(C194)"),FALSE)</f>
        <v>0</v>
      </c>
      <c r="EY194" s="290" t="b">
        <f>IFERROR(__xludf.DUMMYFUNCTION("arrayformula(sum(--REGEXMATCH(""SRgmPdnS"",split(REGEXREPLACE(C194,""(.)"",""$1~""),""~""))))=len(C194)"),FALSE)</f>
        <v>0</v>
      </c>
      <c r="EZ194" s="290" t="b">
        <f>IFERROR(__xludf.DUMMYFUNCTION("arrayformula(sum(--REGEXMATCH(""SrgmPdnS"",split(REGEXREPLACE(C194,""(.)"",""$1~""),""~""))))=len(C194)"),FALSE)</f>
        <v>0</v>
      </c>
      <c r="FA194" s="290" t="b">
        <f>IFERROR(__xludf.DUMMYFUNCTION("arrayformula(sum(--REGEXMATCH(""SrGmPdNS"",split(REGEXREPLACE(C194,""(.)"",""$1~""),""~""))))=len(C194)"),FALSE)</f>
        <v>0</v>
      </c>
      <c r="FB194" s="290" t="b">
        <f>IFERROR(__xludf.DUMMYFUNCTION("arrayformula(sum(--REGEXMATCH(""SrGMPDNS"",split(REGEXREPLACE(C194,""(.)"",""$1~""),""~""))))=len(C194)"),FALSE)</f>
        <v>0</v>
      </c>
      <c r="FC194" s="290" t="b">
        <f>IFERROR(__xludf.DUMMYFUNCTION("arrayformula(sum(--REGEXMATCH(""SrGMPdNS"",split(REGEXREPLACE(C194,""(.)"",""$1~""),""~""))))=len(C194)"),FALSE)</f>
        <v>0</v>
      </c>
      <c r="FD194" s="377" t="b">
        <f>IFERROR(__xludf.DUMMYFUNCTION("arrayformula(sum(--REGEXMATCH(""SrgMPdNS"",split(REGEXREPLACE(C194,""(.)"",""$1~""),""~""))))=len(C194)"),FALSE)</f>
        <v>0</v>
      </c>
      <c r="FE194" s="269" t="str">
        <f t="shared" si="71"/>
        <v>xooxxxxxxox</v>
      </c>
      <c r="FF194" s="269" t="str">
        <f t="shared" si="72"/>
        <v>-</v>
      </c>
      <c r="FG194" s="271" t="str">
        <f t="shared" si="73"/>
        <v>-</v>
      </c>
      <c r="FH194" s="269" t="str">
        <f t="shared" si="74"/>
        <v>xxxxxxoxxxo</v>
      </c>
      <c r="FI194" s="271" t="str">
        <f t="shared" si="75"/>
        <v>xxxxxoxxxoo</v>
      </c>
      <c r="FJ194" s="271" t="str">
        <f t="shared" si="76"/>
        <v>xxxxoxxxoox</v>
      </c>
      <c r="FK194" s="271" t="str">
        <f t="shared" si="77"/>
        <v>xxxoxxxooxx</v>
      </c>
      <c r="FL194" s="271" t="str">
        <f t="shared" si="78"/>
        <v>xxoxxxooxxx</v>
      </c>
      <c r="FM194" s="271" t="str">
        <f t="shared" si="79"/>
        <v>xoxxxooxxxx</v>
      </c>
      <c r="FN194" s="271" t="str">
        <f t="shared" si="80"/>
        <v>-</v>
      </c>
      <c r="FO194" s="274" t="str">
        <f t="shared" si="81"/>
        <v>xxxooxxxxxx</v>
      </c>
      <c r="FP194" s="234" t="str">
        <f t="shared" si="82"/>
        <v>|</v>
      </c>
      <c r="FQ194" s="236" t="str">
        <f t="shared" si="83"/>
        <v>|</v>
      </c>
      <c r="FR194" s="237" t="str">
        <f t="shared" si="84"/>
        <v>-</v>
      </c>
      <c r="FS194" s="236" t="str">
        <f t="shared" si="85"/>
        <v>-</v>
      </c>
      <c r="FT194" s="237" t="str">
        <f t="shared" si="86"/>
        <v>|</v>
      </c>
      <c r="FU194" s="236" t="str">
        <f t="shared" si="87"/>
        <v>|</v>
      </c>
      <c r="FV194" s="237" t="str">
        <f t="shared" si="88"/>
        <v>|</v>
      </c>
      <c r="FW194" s="236" t="str">
        <f t="shared" si="89"/>
        <v>|</v>
      </c>
      <c r="FX194" s="237" t="str">
        <f t="shared" si="90"/>
        <v>|</v>
      </c>
      <c r="FY194" s="236" t="str">
        <f t="shared" si="91"/>
        <v>|</v>
      </c>
      <c r="FZ194" s="237" t="str">
        <f t="shared" si="92"/>
        <v>-</v>
      </c>
      <c r="GA194" s="236" t="str">
        <f t="shared" si="93"/>
        <v>|</v>
      </c>
      <c r="GB194" s="238" t="str">
        <f t="shared" si="94"/>
        <v>|</v>
      </c>
      <c r="GC194" s="244" t="str">
        <f>IFERROR(__xludf.DUMMYFUNCTION("IF(REGEXMATCH(C194, ""S""), ""1"","""")"),"1")</f>
        <v>1</v>
      </c>
      <c r="GD194" s="245" t="str">
        <f>IFERROR(__xludf.DUMMYFUNCTION("IF(REGEXMATCH(C194, ""r""), ""b2"","""")"),"b2")</f>
        <v>b2</v>
      </c>
      <c r="GE194" s="246" t="str">
        <f>IFERROR(__xludf.DUMMYFUNCTION("IF(REGEXMATCH(C194, ""R""), ""2"","""")"),"")</f>
        <v/>
      </c>
      <c r="GF194" s="246" t="str">
        <f>IFERROR(__xludf.DUMMYFUNCTION("IF(REGEXMATCH(C194, ""g""), ""b3"","""")"),"")</f>
        <v/>
      </c>
      <c r="GG194" s="245" t="str">
        <f>IFERROR(__xludf.DUMMYFUNCTION("IF(REGEXMATCH(C194, ""G""), ""3"","""")"),"3")</f>
        <v>3</v>
      </c>
      <c r="GH194" s="245" t="str">
        <f>IFERROR(__xludf.DUMMYFUNCTION("IF(REGEXMATCH(C194, ""m""), ""4"","""")"),"4")</f>
        <v>4</v>
      </c>
      <c r="GI194" s="246" t="str">
        <f>IFERROR(__xludf.DUMMYFUNCTION("IF(REGEXMATCH(C194, ""M""), ""#4"","""")"),"#4")</f>
        <v>#4</v>
      </c>
      <c r="GJ194" s="245" t="str">
        <f>IFERROR(__xludf.DUMMYFUNCTION("IF(REGEXMATCH(C194, ""P""), ""5"","""")"),"5")</f>
        <v>5</v>
      </c>
      <c r="GK194" s="246" t="str">
        <f>IFERROR(__xludf.DUMMYFUNCTION("IF(REGEXMATCH(C194, ""d""), ""b6"","""")"),"b6")</f>
        <v>b6</v>
      </c>
      <c r="GL194" s="245" t="str">
        <f>IFERROR(__xludf.DUMMYFUNCTION("IF(REGEXMATCH(C194, ""D""), ""6"","""")"),"6")</f>
        <v>6</v>
      </c>
      <c r="GM194" s="245" t="str">
        <f>IFERROR(__xludf.DUMMYFUNCTION("IF(REGEXMATCH(C194, ""n""), ""b7"","""")"),"")</f>
        <v/>
      </c>
      <c r="GN194" s="246" t="str">
        <f>IFERROR(__xludf.DUMMYFUNCTION("IF(REGEXMATCH(C194, ""N""), ""7"","""")"),"7")</f>
        <v>7</v>
      </c>
      <c r="GO194" s="249" t="str">
        <f>IFERROR(__xludf.DUMMYFUNCTION("IF(REGEXMATCH(C194, ""S""), ""8"","""")"),"8")</f>
        <v>8</v>
      </c>
      <c r="GP194" s="244" t="str">
        <f>IFERROR(__xludf.DUMMYFUNCTION("IF(REGEXMATCH(C194, ""S""), ""S"","""")"),"S")</f>
        <v>S</v>
      </c>
      <c r="GQ194" s="294" t="str">
        <f>IFERROR(__xludf.DUMMYFUNCTION("IF(REGEXMATCH(C194, ""r""), ""R1"","""")"),"R1")</f>
        <v>R1</v>
      </c>
      <c r="GR194" s="295" t="str">
        <f>IFERROR(__xludf.DUMMYFUNCTION("IF(REGEXMATCH(C194, ""R""), ""R2"","""")"),"")</f>
        <v/>
      </c>
      <c r="GS194" s="295" t="str">
        <f>IFERROR(__xludf.DUMMYFUNCTION("IF(REGEXMATCH(C194, ""g""), ""G2"","""")"),"")</f>
        <v/>
      </c>
      <c r="GT194" s="294" t="str">
        <f>IFERROR(__xludf.DUMMYFUNCTION("IF(REGEXMATCH(C194, ""G""), ""G3"","""")"),"G3")</f>
        <v>G3</v>
      </c>
      <c r="GU194" s="294" t="str">
        <f>IFERROR(__xludf.DUMMYFUNCTION("IF(REGEXMATCH(C194, ""m""), ""M1"","""")"),"M1")</f>
        <v>M1</v>
      </c>
      <c r="GV194" s="295" t="str">
        <f>IFERROR(__xludf.DUMMYFUNCTION("IF(REGEXMATCH(C194, ""M""), ""M2"","""")"),"M2")</f>
        <v>M2</v>
      </c>
      <c r="GW194" s="294" t="str">
        <f>IFERROR(__xludf.DUMMYFUNCTION("IF(REGEXMATCH(C194, ""P""), ""P"","""")"),"P")</f>
        <v>P</v>
      </c>
      <c r="GX194" s="295" t="str">
        <f>IFERROR(__xludf.DUMMYFUNCTION("IF(REGEXMATCH(C194, ""d""), ""D1"","""")"),"D1")</f>
        <v>D1</v>
      </c>
      <c r="GY194" s="294" t="str">
        <f>IFERROR(__xludf.DUMMYFUNCTION("IF(REGEXMATCH(C194, ""D""), ""D2"","""")"),"D2")</f>
        <v>D2</v>
      </c>
      <c r="GZ194" s="294" t="str">
        <f>IFERROR(__xludf.DUMMYFUNCTION("IF(REGEXMATCH(C194, ""n""), ""N2"","""")"),"")</f>
        <v/>
      </c>
      <c r="HA194" s="295" t="str">
        <f>IFERROR(__xludf.DUMMYFUNCTION("IF(REGEXMATCH(C194, ""N""), ""N3"","""")"),"N3")</f>
        <v>N3</v>
      </c>
      <c r="HB194" s="249" t="str">
        <f>IFERROR(__xludf.DUMMYFUNCTION("IF(REGEXMATCH(C194, ""S""), ""S"","""")"),"S")</f>
        <v>S</v>
      </c>
      <c r="HC194" s="331" t="str">
        <f t="shared" si="95"/>
        <v>S</v>
      </c>
      <c r="HD194" s="332" t="str">
        <f t="shared" si="96"/>
        <v>r</v>
      </c>
      <c r="HE194" s="332" t="str">
        <f t="shared" si="97"/>
        <v/>
      </c>
      <c r="HF194" s="332" t="str">
        <f t="shared" si="98"/>
        <v>g</v>
      </c>
      <c r="HG194" s="332" t="str">
        <f t="shared" si="99"/>
        <v>G</v>
      </c>
      <c r="HH194" s="332" t="str">
        <f t="shared" si="100"/>
        <v>m</v>
      </c>
      <c r="HI194" s="332" t="str">
        <f t="shared" si="101"/>
        <v>M</v>
      </c>
      <c r="HJ194" s="332" t="str">
        <f t="shared" si="102"/>
        <v>P</v>
      </c>
      <c r="HK194" s="332" t="str">
        <f t="shared" si="103"/>
        <v>d</v>
      </c>
      <c r="HL194" s="332" t="str">
        <f t="shared" si="104"/>
        <v/>
      </c>
      <c r="HM194" s="332" t="str">
        <f t="shared" si="105"/>
        <v/>
      </c>
      <c r="HN194" s="332" t="str">
        <f t="shared" si="106"/>
        <v>N</v>
      </c>
      <c r="HO194" s="343" t="str">
        <f t="shared" si="107"/>
        <v>S</v>
      </c>
      <c r="HP194" s="331" t="str">
        <f t="shared" si="108"/>
        <v>o</v>
      </c>
      <c r="HQ194" s="332" t="str">
        <f t="shared" si="109"/>
        <v>o</v>
      </c>
      <c r="HR194" s="332" t="str">
        <f t="shared" si="110"/>
        <v>•</v>
      </c>
      <c r="HS194" s="332" t="str">
        <f t="shared" si="111"/>
        <v>•</v>
      </c>
      <c r="HT194" s="332" t="str">
        <f t="shared" si="112"/>
        <v>o</v>
      </c>
      <c r="HU194" s="332" t="str">
        <f t="shared" si="113"/>
        <v>o</v>
      </c>
      <c r="HV194" s="332" t="str">
        <f t="shared" si="114"/>
        <v>o</v>
      </c>
      <c r="HW194" s="332" t="str">
        <f t="shared" si="115"/>
        <v>o</v>
      </c>
      <c r="HX194" s="332" t="str">
        <f t="shared" si="116"/>
        <v>o</v>
      </c>
      <c r="HY194" s="332" t="str">
        <f t="shared" si="117"/>
        <v>o</v>
      </c>
      <c r="HZ194" s="332" t="str">
        <f t="shared" si="118"/>
        <v>•</v>
      </c>
      <c r="IA194" s="332" t="str">
        <f t="shared" si="119"/>
        <v>o</v>
      </c>
      <c r="IB194" s="338" t="str">
        <f t="shared" si="120"/>
        <v>o</v>
      </c>
      <c r="IC194" s="331" t="str">
        <f t="shared" si="121"/>
        <v>•</v>
      </c>
      <c r="ID194" s="332" t="str">
        <f t="shared" si="122"/>
        <v>•</v>
      </c>
      <c r="IE194" s="332" t="str">
        <f t="shared" si="123"/>
        <v>o</v>
      </c>
      <c r="IF194" s="332" t="str">
        <f t="shared" si="124"/>
        <v>o</v>
      </c>
      <c r="IG194" s="332" t="str">
        <f t="shared" si="125"/>
        <v>•</v>
      </c>
      <c r="IH194" s="332" t="str">
        <f t="shared" si="126"/>
        <v>•</v>
      </c>
      <c r="II194" s="332" t="str">
        <f t="shared" si="127"/>
        <v>•</v>
      </c>
      <c r="IJ194" s="332" t="str">
        <f t="shared" si="128"/>
        <v>•</v>
      </c>
      <c r="IK194" s="332" t="str">
        <f t="shared" si="129"/>
        <v>•</v>
      </c>
      <c r="IL194" s="332" t="str">
        <f t="shared" si="130"/>
        <v>•</v>
      </c>
      <c r="IM194" s="332" t="str">
        <f t="shared" si="131"/>
        <v>o</v>
      </c>
      <c r="IN194" s="332" t="str">
        <f t="shared" si="132"/>
        <v>•</v>
      </c>
      <c r="IO194" s="338" t="str">
        <f t="shared" si="133"/>
        <v>•</v>
      </c>
      <c r="IP194" s="346" t="b">
        <f t="shared" si="134"/>
        <v>0</v>
      </c>
      <c r="IQ194" s="347" t="b">
        <f t="shared" si="135"/>
        <v>0</v>
      </c>
      <c r="IR194" s="347" t="b">
        <f t="shared" si="136"/>
        <v>0</v>
      </c>
      <c r="IS194" s="347" t="b">
        <f t="shared" si="137"/>
        <v>0</v>
      </c>
      <c r="IT194" s="347" t="b">
        <f t="shared" si="138"/>
        <v>0</v>
      </c>
      <c r="IU194" s="347" t="b">
        <f t="shared" si="139"/>
        <v>0</v>
      </c>
      <c r="IV194" s="347" t="b">
        <f t="shared" si="140"/>
        <v>0</v>
      </c>
      <c r="IW194" s="347" t="b">
        <f t="shared" si="141"/>
        <v>1</v>
      </c>
      <c r="IX194" s="347" t="b">
        <f t="shared" si="142"/>
        <v>1</v>
      </c>
      <c r="IY194" s="347" t="b">
        <f t="shared" si="143"/>
        <v>0</v>
      </c>
      <c r="IZ194" s="347" t="b">
        <f t="shared" si="144"/>
        <v>0</v>
      </c>
      <c r="JA194" s="347" t="b">
        <f t="shared" si="145"/>
        <v>0</v>
      </c>
      <c r="JB194" s="353" t="b">
        <f t="shared" si="146"/>
        <v>0</v>
      </c>
      <c r="JC194" s="354" t="str">
        <f t="shared" si="147"/>
        <v/>
      </c>
      <c r="JD194" s="355" t="str">
        <f t="shared" si="148"/>
        <v/>
      </c>
      <c r="JE194" s="355" t="str">
        <f t="shared" si="149"/>
        <v/>
      </c>
      <c r="JF194" s="355" t="str">
        <f t="shared" si="150"/>
        <v/>
      </c>
      <c r="JG194" s="355" t="str">
        <f t="shared" si="151"/>
        <v/>
      </c>
      <c r="JH194" s="355" t="str">
        <f t="shared" si="152"/>
        <v/>
      </c>
      <c r="JI194" s="355" t="str">
        <f t="shared" si="153"/>
        <v/>
      </c>
      <c r="JJ194" s="355" t="str">
        <f t="shared" si="154"/>
        <v>Pa, </v>
      </c>
      <c r="JK194" s="355" t="str">
        <f t="shared" si="155"/>
        <v>dha, </v>
      </c>
      <c r="JL194" s="355" t="str">
        <f t="shared" si="156"/>
        <v/>
      </c>
      <c r="JM194" s="355" t="str">
        <f t="shared" si="157"/>
        <v/>
      </c>
      <c r="JN194" s="355" t="str">
        <f t="shared" si="158"/>
        <v/>
      </c>
      <c r="JO194" s="359" t="str">
        <f t="shared" si="159"/>
        <v/>
      </c>
      <c r="JP194" s="346" t="b">
        <f t="shared" si="160"/>
        <v>0</v>
      </c>
      <c r="JQ194" s="347" t="b">
        <f t="shared" si="161"/>
        <v>0</v>
      </c>
      <c r="JR194" s="347" t="b">
        <f t="shared" si="162"/>
        <v>0</v>
      </c>
      <c r="JS194" s="347" t="b">
        <f t="shared" si="163"/>
        <v>0</v>
      </c>
      <c r="JT194" s="347" t="b">
        <f t="shared" si="164"/>
        <v>0</v>
      </c>
      <c r="JU194" s="347" t="b">
        <f t="shared" si="165"/>
        <v>0</v>
      </c>
      <c r="JV194" s="347" t="b">
        <f t="shared" si="166"/>
        <v>0</v>
      </c>
      <c r="JW194" s="347" t="b">
        <f t="shared" si="167"/>
        <v>0</v>
      </c>
      <c r="JX194" s="347" t="b">
        <f t="shared" si="168"/>
        <v>0</v>
      </c>
      <c r="JY194" s="347" t="b">
        <f t="shared" si="169"/>
        <v>0</v>
      </c>
      <c r="JZ194" s="347" t="b">
        <f t="shared" si="170"/>
        <v>0</v>
      </c>
      <c r="KA194" s="347" t="b">
        <f t="shared" si="171"/>
        <v>0</v>
      </c>
      <c r="KB194" s="365" t="b">
        <f t="shared" si="172"/>
        <v>0</v>
      </c>
      <c r="KC194" s="354" t="str">
        <f t="shared" si="173"/>
        <v/>
      </c>
      <c r="KD194" s="355" t="str">
        <f t="shared" si="174"/>
        <v/>
      </c>
      <c r="KE194" s="355" t="str">
        <f t="shared" si="175"/>
        <v/>
      </c>
      <c r="KF194" s="355" t="str">
        <f t="shared" si="176"/>
        <v/>
      </c>
      <c r="KG194" s="355" t="str">
        <f t="shared" si="177"/>
        <v/>
      </c>
      <c r="KH194" s="355" t="str">
        <f t="shared" si="178"/>
        <v/>
      </c>
      <c r="KI194" s="355" t="str">
        <f t="shared" si="179"/>
        <v/>
      </c>
      <c r="KJ194" s="355" t="str">
        <f t="shared" si="180"/>
        <v/>
      </c>
      <c r="KK194" s="355" t="str">
        <f t="shared" si="181"/>
        <v/>
      </c>
      <c r="KL194" s="355" t="str">
        <f t="shared" si="182"/>
        <v/>
      </c>
      <c r="KM194" s="355" t="str">
        <f t="shared" si="183"/>
        <v/>
      </c>
      <c r="KN194" s="355" t="str">
        <f t="shared" si="184"/>
        <v/>
      </c>
      <c r="KO194" s="359"/>
      <c r="KP194" s="378"/>
      <c r="KQ194" s="379" t="s">
        <v>9</v>
      </c>
      <c r="KR194" s="380" t="s">
        <v>9</v>
      </c>
      <c r="KS194" s="381" t="s">
        <v>9</v>
      </c>
      <c r="KT194" s="382">
        <f t="shared" si="186"/>
        <v>0</v>
      </c>
      <c r="KU194" s="383">
        <f t="shared" si="187"/>
        <v>0</v>
      </c>
      <c r="KV194" s="381" t="str">
        <f t="shared" si="205"/>
        <v>S</v>
      </c>
      <c r="KW194" s="382">
        <f t="shared" si="189"/>
        <v>0</v>
      </c>
      <c r="KX194" s="384">
        <f t="shared" si="190"/>
        <v>0</v>
      </c>
      <c r="KY194" s="382">
        <f t="shared" ref="KY194:KZ194" si="603">KW194-KT194</f>
        <v>0</v>
      </c>
      <c r="KZ194" s="369">
        <f t="shared" si="603"/>
        <v>0</v>
      </c>
      <c r="LA194" s="385" t="str">
        <f t="shared" si="192"/>
        <v>✔</v>
      </c>
      <c r="LB194" s="340" t="str">
        <f>IFERROR(__xludf.DUMMYFUNCTION("JOIN("""",ArrayFormula(MID(KS194,LEN(KS194)-SEQUENCE(1,LEN(KS194))+1,1)))"),"S")</f>
        <v>S</v>
      </c>
      <c r="LC194" s="373" t="str">
        <f>IFERROR(__xludf.DUMMYFUNCTION("JOIN("""",ArrayFormula(MID(KV194,LEN(KV194)-SEQUENCE(1,LEN(KV194))+1,1)))"),"S")</f>
        <v>S</v>
      </c>
      <c r="LD194" s="373" t="str">
        <f t="shared" si="193"/>
        <v>S</v>
      </c>
      <c r="LE194" s="339" t="str">
        <f t="shared" si="194"/>
        <v>S</v>
      </c>
      <c r="LF194" s="386" t="str">
        <f>IFERROR(__xludf.DUMMYFUNCTION("SUBSTITUTE(SUBSTITUTE(CONCATENATE(JOIN("""",LH194:LT194)),""1"",""""),""2"","""")"),"SS")</f>
        <v>SS</v>
      </c>
      <c r="LG194" s="369" t="str">
        <f t="shared" si="195"/>
        <v>-</v>
      </c>
      <c r="LH194" s="387" t="str">
        <f>IFERROR(__xludf.DUMMYFUNCTION("IF(REGEXMATCH(LD194, ""S""), ""S"",IF(REGEXMATCH(LE194, ""S""), ""S"",""""))"),"S")</f>
        <v>S</v>
      </c>
      <c r="LI194" s="299" t="str">
        <f>IFERROR(__xludf.DUMMYFUNCTION("IF(REGEXMATCH(LD194, ""r""), ""r1"",IF(REGEXMATCH(LE194, ""r""), ""r2"",""""))"),"")</f>
        <v/>
      </c>
      <c r="LJ194" s="299" t="str">
        <f>IFERROR(__xludf.DUMMYFUNCTION("IF(REGEXMATCH(LD194, ""R""), ""R1"",IF(REGEXMATCH(LE194, ""R""), ""R2"",""""))"),"")</f>
        <v/>
      </c>
      <c r="LK194" s="299" t="str">
        <f>IFERROR(__xludf.DUMMYFUNCTION("IF(REGEXMATCH(LD194, ""g""), ""g1"",IF(REGEXMATCH(LE194, ""g""), ""g2"",""""))"),"")</f>
        <v/>
      </c>
      <c r="LL194" s="299" t="str">
        <f>IFERROR(__xludf.DUMMYFUNCTION("IF(REGEXMATCH(LD194, ""G""), ""G1"",IF(REGEXMATCH(LE194, ""G""), ""G2"",""""))"),"")</f>
        <v/>
      </c>
      <c r="LM194" s="299" t="str">
        <f>IFERROR(__xludf.DUMMYFUNCTION("IF(REGEXMATCH(LD194, ""m""), ""m1"",IF(REGEXMATCH(LE194, ""m""), ""m2"",""""))"),"")</f>
        <v/>
      </c>
      <c r="LN194" s="299" t="str">
        <f>IFERROR(__xludf.DUMMYFUNCTION("IF(REGEXMATCH(LD194, ""M""), ""M1"",IF(REGEXMATCH(LE194, ""M""), ""M2"",""""))"),"")</f>
        <v/>
      </c>
      <c r="LO194" s="299" t="str">
        <f>IFERROR(__xludf.DUMMYFUNCTION("IF(REGEXMATCH(LD194, ""P""), ""P1"",IF(REGEXMATCH(LE194, ""P""), ""P2"",""""))"),"")</f>
        <v/>
      </c>
      <c r="LP194" s="299" t="str">
        <f>IFERROR(__xludf.DUMMYFUNCTION("IF(REGEXMATCH(LD194, ""d""), ""d1"",IF(REGEXMATCH(LE194, ""d""), ""d2"",""""))"),"")</f>
        <v/>
      </c>
      <c r="LQ194" s="299" t="str">
        <f>IFERROR(__xludf.DUMMYFUNCTION("IF(REGEXMATCH(LD194, ""D""), ""D1"",IF(REGEXMATCH(LE194, ""D""), ""D2"",""""))"),"")</f>
        <v/>
      </c>
      <c r="LR194" s="299" t="str">
        <f>IFERROR(__xludf.DUMMYFUNCTION("IF(REGEXMATCH(LD194, ""n""), ""n1"",IF(REGEXMATCH(LE194, ""n""), ""n2"",""""))"),"")</f>
        <v/>
      </c>
      <c r="LS194" s="299" t="str">
        <f>IFERROR(__xludf.DUMMYFUNCTION("IF(REGEXMATCH(LD194, ""N""), ""N1"",IF(REGEXMATCH(LE194, ""N""), ""N2"",""""))"),"")</f>
        <v/>
      </c>
      <c r="LT194" s="388" t="str">
        <f>IFERROR(__xludf.DUMMYFUNCTION("IF(REGEXMATCH(LD194, ""S""), ""S"",IF(REGEXMATCH(LE194, ""S""), ""S"",""""))"),"S")</f>
        <v>S</v>
      </c>
      <c r="LU194" s="389">
        <f t="shared" si="196"/>
        <v>1</v>
      </c>
      <c r="LV194" s="378"/>
      <c r="LW194" s="369"/>
      <c r="LX194" s="369"/>
    </row>
    <row r="195" ht="18.0" customHeight="1">
      <c r="A195" s="298" t="s">
        <v>914</v>
      </c>
      <c r="B195" s="222" t="s">
        <v>915</v>
      </c>
      <c r="C195" s="233" t="str">
        <f t="shared" si="7"/>
        <v>SrGmMDNS</v>
      </c>
      <c r="D195" s="234" t="str">
        <f>IFERROR(__xludf.DUMMYFUNCTION("IF(REGEXMATCH(C195, ""S""), ""S"","""")"),"S")</f>
        <v>S</v>
      </c>
      <c r="E195" s="236" t="str">
        <f>IFERROR(__xludf.DUMMYFUNCTION("IF(REGEXMATCH(C195, ""r""), ""r"","""")"),"r")</f>
        <v>r</v>
      </c>
      <c r="F195" s="237" t="str">
        <f>IFERROR(__xludf.DUMMYFUNCTION("IF(REGEXMATCH(C195, ""R""), ""R"","""")"),"")</f>
        <v/>
      </c>
      <c r="G195" s="237" t="str">
        <f>IFERROR(__xludf.DUMMYFUNCTION("IF(REGEXMATCH(C195, ""g""), ""g"","""")"),"")</f>
        <v/>
      </c>
      <c r="H195" s="236" t="str">
        <f>IFERROR(__xludf.DUMMYFUNCTION("IF(REGEXMATCH(C195, ""G""), ""G"","""")"),"G")</f>
        <v>G</v>
      </c>
      <c r="I195" s="236" t="str">
        <f>IFERROR(__xludf.DUMMYFUNCTION("IF(REGEXMATCH(C195, ""m""), ""m"","""")"),"m")</f>
        <v>m</v>
      </c>
      <c r="J195" s="237" t="str">
        <f>IFERROR(__xludf.DUMMYFUNCTION("IF(REGEXMATCH(C195, ""M""), ""M"","""")"),"M")</f>
        <v>M</v>
      </c>
      <c r="K195" s="236" t="str">
        <f>IFERROR(__xludf.DUMMYFUNCTION("IF(REGEXMATCH(C195, ""P""), ""P"","""")"),"")</f>
        <v/>
      </c>
      <c r="L195" s="237" t="str">
        <f>IFERROR(__xludf.DUMMYFUNCTION("IF(REGEXMATCH(C195, ""d""), ""d"","""")"),"")</f>
        <v/>
      </c>
      <c r="M195" s="236" t="str">
        <f>IFERROR(__xludf.DUMMYFUNCTION("IF(REGEXMATCH(C195, ""D""), ""D"","""")"),"D")</f>
        <v>D</v>
      </c>
      <c r="N195" s="236" t="str">
        <f>IFERROR(__xludf.DUMMYFUNCTION("IF(REGEXMATCH(C195, ""n""), ""n"","""")"),"")</f>
        <v/>
      </c>
      <c r="O195" s="237" t="str">
        <f>IFERROR(__xludf.DUMMYFUNCTION("IF(REGEXMATCH(C195, ""N""), ""N"","""")"),"N")</f>
        <v>N</v>
      </c>
      <c r="P195" s="238" t="str">
        <f>IFERROR(__xludf.DUMMYFUNCTION("IF(REGEXMATCH(C195, ""S""), ""S"","""")"),"S")</f>
        <v>S</v>
      </c>
      <c r="Q195" s="239" t="str">
        <f>IFERROR(__xludf.DUMMYFUNCTION("SUBSTITUTE(CONCATENATE(JOIN(""-"",D195:J195)),""-"","""")"),"SrGmM")</f>
        <v>SrGmM</v>
      </c>
      <c r="R195" s="229" t="str">
        <f>IFERROR(__xludf.DUMMYFUNCTION("SUBSTITUTE(CONCATENATE(JOIN(""-"",K195:P195)),""-"","""")"),"DNS")</f>
        <v>DNS</v>
      </c>
      <c r="S195" s="282" t="str">
        <f t="shared" si="8"/>
        <v>S-R-G-M</v>
      </c>
      <c r="T195" s="282" t="str">
        <f t="shared" si="9"/>
        <v>D-N-S</v>
      </c>
      <c r="U195" s="237" t="str">
        <f>IFERROR(__xludf.DUMMYFUNCTION("SUBSTITUTE(JOIN(""-"",S195,T195),""--"",""-"")"),"S-R-G-M-D-N-S")</f>
        <v>S-R-G-M-D-N-S</v>
      </c>
      <c r="V195" s="309" t="str">
        <f t="shared" si="10"/>
        <v>rGmMDN</v>
      </c>
      <c r="W195" s="244" t="str">
        <f>IFERROR(__xludf.DUMMYFUNCTION("IF(REGEXMATCH(C195, ""S""), ""0"","""")"),"0")</f>
        <v>0</v>
      </c>
      <c r="X195" s="245" t="str">
        <f>IFERROR(__xludf.DUMMYFUNCTION("IF(REGEXMATCH(C195, ""r""), ""1"","""")"),"1")</f>
        <v>1</v>
      </c>
      <c r="Y195" s="246" t="str">
        <f>IFERROR(__xludf.DUMMYFUNCTION("IF(REGEXMATCH(C195, ""R""), ""2"","""")"),"")</f>
        <v/>
      </c>
      <c r="Z195" s="246" t="str">
        <f>IFERROR(__xludf.DUMMYFUNCTION("IF(REGEXMATCH(C195, ""g""), ""3"","""")"),"")</f>
        <v/>
      </c>
      <c r="AA195" s="245" t="str">
        <f>IFERROR(__xludf.DUMMYFUNCTION("IF(REGEXMATCH(C195, ""G""), ""4"","""")"),"4")</f>
        <v>4</v>
      </c>
      <c r="AB195" s="245" t="str">
        <f>IFERROR(__xludf.DUMMYFUNCTION("IF(REGEXMATCH(C195, ""m""), ""5"","""")"),"5")</f>
        <v>5</v>
      </c>
      <c r="AC195" s="246" t="str">
        <f>IFERROR(__xludf.DUMMYFUNCTION("IF(REGEXMATCH(C195, ""M""), ""6"","""")"),"6")</f>
        <v>6</v>
      </c>
      <c r="AD195" s="245" t="str">
        <f>IFERROR(__xludf.DUMMYFUNCTION("IF(REGEXMATCH(C195, ""P""), ""7"","""")"),"")</f>
        <v/>
      </c>
      <c r="AE195" s="246" t="str">
        <f>IFERROR(__xludf.DUMMYFUNCTION("IF(REGEXMATCH(C195, ""d""), ""8"","""")"),"")</f>
        <v/>
      </c>
      <c r="AF195" s="245" t="str">
        <f>IFERROR(__xludf.DUMMYFUNCTION("IF(REGEXMATCH(C195, ""D""), ""9"","""")"),"9")</f>
        <v>9</v>
      </c>
      <c r="AG195" s="245" t="str">
        <f>IFERROR(__xludf.DUMMYFUNCTION("IF(REGEXMATCH(C195, ""n""), ""10"","""")"),"")</f>
        <v/>
      </c>
      <c r="AH195" s="246" t="str">
        <f>IFERROR(__xludf.DUMMYFUNCTION("IF(REGEXMATCH(C195, ""N""), ""11"","""")"),"11")</f>
        <v>11</v>
      </c>
      <c r="AI195" s="249" t="str">
        <f>IFERROR(__xludf.DUMMYFUNCTION("IF(REGEXMATCH(C195, ""S""), ""0"","""")"),"0")</f>
        <v>0</v>
      </c>
      <c r="AJ195" s="313" t="str">
        <f t="shared" si="11"/>
        <v>T</v>
      </c>
      <c r="AK195" s="313" t="str">
        <f t="shared" si="12"/>
        <v>-</v>
      </c>
      <c r="AL195" s="313" t="str">
        <f t="shared" si="13"/>
        <v>-</v>
      </c>
      <c r="AM195" s="313" t="str">
        <f t="shared" si="14"/>
        <v>-</v>
      </c>
      <c r="AN195" s="313" t="str">
        <f t="shared" si="15"/>
        <v>-</v>
      </c>
      <c r="AO195" s="314" t="str">
        <f t="shared" si="16"/>
        <v>T</v>
      </c>
      <c r="AP195" s="316">
        <f t="shared" si="17"/>
        <v>2</v>
      </c>
      <c r="AQ195" s="319" t="str">
        <f t="shared" si="18"/>
        <v>-</v>
      </c>
      <c r="AR195" s="320">
        <f t="shared" si="19"/>
        <v>0</v>
      </c>
      <c r="AS195" s="250" t="str">
        <f>IFERROR(__xludf.DUMMYFUNCTION("SUBSTITUTE(SUBSTITUTE(CONCATENATE(JOIN("""",FP195:GA195)),""|"",""x""),""-"",""o"")"),"xxooxxxooxox")</f>
        <v>xxooxxxooxox</v>
      </c>
      <c r="AT195" s="323" t="str">
        <f>IFERROR(__xludf.DUMMYFUNCTION("JOIN("""",AS195,AS195)"),"xxooxxxooxoxxxooxxxooxox")</f>
        <v>xxooxxxooxoxxxooxxxooxox</v>
      </c>
      <c r="AU195" s="256" t="str">
        <f>IFERROR(__xludf.DUMMYFUNCTION("JOIN("""",ArrayFormula(MID(AS195,LEN(AS195)-SEQUENCE(1,LEN(AS195))+1,1)))"),"xoxooxxxooxx")</f>
        <v>xoxooxxxooxx</v>
      </c>
      <c r="AV195" s="256" t="str">
        <f>IFERROR(__xludf.DUMMYFUNCTION("LEFT(CONCATENATE(""x"",JOIN("""",ArrayFormula(MID(AS195,LEN(AS195)-SEQUENCE(1,LEN(AS195))+1,1)))),12)"),"xxoxooxxxoox")</f>
        <v>xxoxooxxxoox</v>
      </c>
      <c r="AW195" s="327" t="str">
        <f>IFERROR(__xludf.DUMMYFUNCTION("JOIN("""",AU195,AU195)"),"xoxooxxxooxxxoxooxxxooxx")</f>
        <v>xoxooxxxooxxxoxooxxxooxx</v>
      </c>
      <c r="AX195" s="239" t="str">
        <f>IFERROR(__xludf.DUMMYFUNCTION("IF(REGEXMATCH(AW195,AS195),""✔"",""-"")"),"-")</f>
        <v>-</v>
      </c>
      <c r="AY195" s="330" t="str">
        <f t="shared" si="20"/>
        <v>-</v>
      </c>
      <c r="AZ195" s="260" t="str">
        <f t="shared" si="21"/>
        <v>#REF!</v>
      </c>
      <c r="BA195" s="333" t="str">
        <f t="shared" si="22"/>
        <v>xxooxxx</v>
      </c>
      <c r="BB195" s="334" t="str">
        <f t="shared" si="23"/>
        <v>ooxoxx</v>
      </c>
      <c r="BC195" s="335" t="str">
        <f t="shared" si="236"/>
        <v>-</v>
      </c>
      <c r="BD195" s="336" t="str">
        <f t="shared" si="25"/>
        <v>Lalita Sohini: 'xxooxxx' + 'ooxoxx'</v>
      </c>
      <c r="BE195" s="337">
        <f>IFERROR(__xludf.DUMMYFUNCTION("COUNTUNIQUE(FILTER(AT:AT,REGEXMATCH(AT:AT,AS195)))-1"),5.0)</f>
        <v>5</v>
      </c>
      <c r="BF195" s="261" t="str">
        <f>IFERROR(__xludf.DUMMYFUNCTION("IF(BI195=0,""(n/a)"",IF(BJ195=2,""(PAIR)"",IF(REGEXMATCH(AT195,""xoxoxxoxoxox""),""Bilawal"",IF(REGEXMATCH(AT195,""xoxoxooxoxoo""),""Bhupali"",IF(REGEXMATCH(AT195,""xoxoxxoxxoxo""),""Charukeshi"",IF(REGEXMATCH(AT195,""xoxoooxxoxxo""),""Kameshwari"",IF(REG"&amp;"EXMATCH(AT195,""xoxoxooxoxox""),""Shankara"",IF(REGEXMATCH(AT195,""xxooxoxxxoox""),""Basant"",IF(REGEXMATCH(AT195,""xoxoxxxxoxox""),""Bihag"",IF(REGEXMATCH(AT195,""xoxxxxoxoxxx""),""Pilu"",IF(REGEXMATCH(AT195,""xoxxoxoxxoox""),""Kirwani"",IF(REGEXMATCH(AT"&amp;"195,""xoxxoxoxoxxx""),""Mk.Malhar"",IF(REGEXMATCH(AT195,""xxooxxoxxoox""),""Bhairav"",IF(REGEXMATCH(AT195,""xxoxooxxxoox""),""Todi"",IF(REGEXMATCH(AT195,""xxooxoxooxox""),""Marwa"",IF(REGEXMATCH(AT195,""xxoooxoxxooo""),""Gunkali"",IF(REGEXMATCH(AT195,""xo"&amp;"xoxxoxxoox""),""Nat Bhairav"",IF(REGEXMATCH(AT195,""xoxxoooxoxoo""),""Shivranjani"",IF(REGEXMATCH(AT195,""xooxxxoxooxo""),""Jog"",IF(REGEXMATCH(AT195,""xxooxoxoxoox""),""Hemshri"",IF(REGEXMATCH(AT195,""xoooxooxoxxo""),""Kalavati"",IF(REGEXMATCH(AT195,""xx"&amp;"oxoxxoxoox""),""Kedar"",IF(REGEXMATCH(AT195,""xoxxxxoxooxx""),""Gara"",IF(REGEXMATCH(AT195,""xooxoxooxoox""),""Chandrakauns"",IF(REGEXMATCH(AT195,""xoxxxxoxxxox""),""Mand"",IF(REGEXMATCH(AT195,""xoxxxxoxoxox""),""Hanskinkini"",IF(REGEXMATCH(AT195,""xxooxx"&amp;"oxooxo""),""Lilavati"",IF(REGEXMATCH(AT195,""xooxoxoooxox""),""Rajeshwari"",IF(REGEXMATCH(AT195,""xoooxxoxoxxx""),""Khokar"",IF(REGEXMATCH(AT195,""xxooxoxxxxox""),""Maligoura"",""-""))))))))))))))))))))))))))))))"),"Basant")</f>
        <v>Basant</v>
      </c>
      <c r="BG195" s="239" t="str">
        <f t="shared" si="26"/>
        <v>#REF!</v>
      </c>
      <c r="BH195" s="239">
        <f>IFERROR(__xludf.DUMMYFUNCTION("COUNTUNIQUE(FE195:FO195)-1"),6.0)</f>
        <v>6</v>
      </c>
      <c r="BI195" s="239">
        <f>IFERROR(__xludf.DUMMYFUNCTION("COUNTUNIQUE(FILTER(AT:AT,REGEXMATCH(AT:AT,AS195)))-1"),5.0)</f>
        <v>5</v>
      </c>
      <c r="BJ195" s="239">
        <f>IFERROR(__xludf.DUMMYFUNCTION("COUNTA(FILTER(AT:AT,REGEXMATCH(AT:AT,AS195)))"),12.0)</f>
        <v>12</v>
      </c>
      <c r="BK195" s="341">
        <f>IFERROR(__xludf.DUMMYFUNCTION("COUNTA(FILTER(AT:AT,REGEXMATCH(AT:AT,AS195)))-AR195"),12.0)</f>
        <v>12</v>
      </c>
      <c r="BL195" s="276" t="str">
        <f>IFERROR(__xludf.DUMMYFUNCTION("IF(AS195=""oooooooooooo"",""-"",IF(REGEXMATCH(AT195,""xx""), ""Hemi."", ""Anhemi.""))"),"Hemi.")</f>
        <v>Hemi.</v>
      </c>
      <c r="BM195" s="282" t="str">
        <f>IFERROR(__xludf.DUMMYFUNCTION("IF(AS195=""oooooooooooo"",""-"",IF(REGEXMATCH(AT195,""xxx""), ""Cohem."", ""-""))"),"Cohem.")</f>
        <v>Cohem.</v>
      </c>
      <c r="BN195" s="282" t="str">
        <f>IFERROR(__xludf.DUMMYFUNCTION("IF(AS195=""oooooooooooo"",""-"",IF(REGEXMATCH(AT195,""xxxx""), ""Co-Co."", ""-""))"),"-")</f>
        <v>-</v>
      </c>
      <c r="BO195" s="342" t="str">
        <f>IFERROR(__xludf.DUMMYFUNCTION("IF(AS195=""oooooooooooo"",""-"",IF(REGEXMATCH(AT195,""xxxxx""), ""CCC."", ""-""))"),"-")</f>
        <v>-</v>
      </c>
      <c r="BP195" s="344" t="str">
        <f t="shared" si="27"/>
        <v>-</v>
      </c>
      <c r="BQ195" s="282" t="str">
        <f>IFERROR(__xludf.DUMMYFUNCTION("IF(REGEXMATCH(JOIN(""-"",EU195:FD195),""TRUE""),""✔"",""-"")"),"-")</f>
        <v>-</v>
      </c>
      <c r="BR195" s="225">
        <f t="shared" si="28"/>
        <v>0</v>
      </c>
      <c r="BS195" s="345" t="str">
        <f>IFERROR(__xludf.DUMMYFUNCTION("SUBSTITUTE(SUBSTITUTE(SUBSTITUTE(SUBSTITUTE(CONCATENATE(JOIN(""-"",GC195:GO195)),""--"",""-""),""--"",""-""),""--"",""-""),""--"",""-"")"),"1-b2-3-4-#4-6-7-8")</f>
        <v>1-b2-3-4-#4-6-7-8</v>
      </c>
      <c r="BT195" s="299" t="str">
        <f>IFERROR(__xludf.DUMMYFUNCTION("SUBSTITUTE(SUBSTITUTE(SUBSTITUTE(SUBSTITUTE(CONCATENATE(JOIN(""-"",GP195:HB195)),""--"",""-""),""--"",""-""),""--"",""-""),""--"",""-"")"),"S-R1-G3-M1-M2-D2-N3-S")</f>
        <v>S-R1-G3-M1-M2-D2-N3-S</v>
      </c>
      <c r="BU195" s="348" t="str">
        <f t="shared" si="29"/>
        <v>C-Db-E-F-F#-A-B-C</v>
      </c>
      <c r="BV195" s="349" t="str">
        <f t="shared" si="30"/>
        <v>SRgPdnS</v>
      </c>
      <c r="BW195" s="350">
        <f t="shared" si="31"/>
        <v>0</v>
      </c>
      <c r="BX195" s="351">
        <f t="shared" si="32"/>
        <v>2</v>
      </c>
      <c r="BY195" s="392"/>
      <c r="BZ195" s="309" t="str">
        <f>IFERROR(__xludf.DUMMYFUNCTION("IF(REGEXMATCH(C195, ""S""), ""x"",""x"")"),"x")</f>
        <v>x</v>
      </c>
      <c r="CA195" s="245" t="str">
        <f>IFERROR(__xludf.DUMMYFUNCTION("IF(REGEXMATCH(C195, ""r""), ""o"",""x"")"),"o")</f>
        <v>o</v>
      </c>
      <c r="CB195" s="246" t="str">
        <f>IFERROR(__xludf.DUMMYFUNCTION("IF(REGEXMATCH(C195, ""R""), ""o"",""x"")"),"x")</f>
        <v>x</v>
      </c>
      <c r="CC195" s="246" t="str">
        <f>IFERROR(__xludf.DUMMYFUNCTION("IF(REGEXMATCH(C195, ""g""), ""o"",""x"")"),"x")</f>
        <v>x</v>
      </c>
      <c r="CD195" s="245" t="str">
        <f>IFERROR(__xludf.DUMMYFUNCTION("IF(REGEXMATCH(C195, ""G""), ""o"",""x"")"),"o")</f>
        <v>o</v>
      </c>
      <c r="CE195" s="245" t="str">
        <f>IFERROR(__xludf.DUMMYFUNCTION("IF(REGEXMATCH(C195, ""m""), ""o"",""x"")"),"o")</f>
        <v>o</v>
      </c>
      <c r="CF195" s="246" t="str">
        <f>IFERROR(__xludf.DUMMYFUNCTION("IF(REGEXMATCH(C195, ""M""), ""o"",""x"")"),"o")</f>
        <v>o</v>
      </c>
      <c r="CG195" s="245" t="str">
        <f>IFERROR(__xludf.DUMMYFUNCTION("IF(REGEXMATCH(C195, ""P""), ""o"",""x"")"),"x")</f>
        <v>x</v>
      </c>
      <c r="CH195" s="246" t="str">
        <f>IFERROR(__xludf.DUMMYFUNCTION("IF(REGEXMATCH(C195, ""d""), ""o"",""x"")"),"x")</f>
        <v>x</v>
      </c>
      <c r="CI195" s="245" t="str">
        <f>IFERROR(__xludf.DUMMYFUNCTION("IF(REGEXMATCH(C195, ""D""), ""o"",""x"")"),"o")</f>
        <v>o</v>
      </c>
      <c r="CJ195" s="245" t="str">
        <f>IFERROR(__xludf.DUMMYFUNCTION("IF(REGEXMATCH(C195, ""n""), ""o"",""x"")"),"x")</f>
        <v>x</v>
      </c>
      <c r="CK195" s="245" t="str">
        <f>IFERROR(__xludf.DUMMYFUNCTION("IF(REGEXMATCH(C195, ""N""), ""o"",""x"")"),"o")</f>
        <v>o</v>
      </c>
      <c r="CL195" s="356" t="str">
        <f>IFERROR(__xludf.DUMMYFUNCTION("IF(REGEXMATCH(C195, ""S""), ""x"",""x"")"),"x")</f>
        <v>x</v>
      </c>
      <c r="CM195" s="357" t="str">
        <f t="shared" si="33"/>
        <v>xoxxoooxxoxo</v>
      </c>
      <c r="CN195" s="358">
        <f t="shared" si="34"/>
        <v>0</v>
      </c>
      <c r="CO195" s="246" t="str">
        <f>IFERROR(__xludf.DUMMYFUNCTION("IF(REGEXMATCH($C195, ""S""), ""S"",""S"")"),"S")</f>
        <v>S</v>
      </c>
      <c r="CP195" s="246" t="str">
        <f>IFERROR(__xludf.DUMMYFUNCTION("IF(REGEXMATCH($C195, ""r""), """",""r"")"),"")</f>
        <v/>
      </c>
      <c r="CQ195" s="246" t="str">
        <f>IFERROR(__xludf.DUMMYFUNCTION("IF(REGEXMATCH($C195, ""R""), """",""R"")"),"R")</f>
        <v>R</v>
      </c>
      <c r="CR195" s="246" t="str">
        <f>IFERROR(__xludf.DUMMYFUNCTION("IF(REGEXMATCH($C195, ""g""), """",""g"")"),"g")</f>
        <v>g</v>
      </c>
      <c r="CS195" s="246" t="str">
        <f>IFERROR(__xludf.DUMMYFUNCTION("IF(REGEXMATCH($C195, ""G""), """",""G"")"),"")</f>
        <v/>
      </c>
      <c r="CT195" s="246" t="str">
        <f>IFERROR(__xludf.DUMMYFUNCTION("IF(REGEXMATCH($C195, ""m""), """",""m"")"),"")</f>
        <v/>
      </c>
      <c r="CU195" s="246" t="str">
        <f>IFERROR(__xludf.DUMMYFUNCTION("IF(REGEXMATCH($C195, ""M""), """",""M"")"),"")</f>
        <v/>
      </c>
      <c r="CV195" s="246" t="str">
        <f>IFERROR(__xludf.DUMMYFUNCTION("IF(REGEXMATCH($C195, ""P""), """",""P"")"),"P")</f>
        <v>P</v>
      </c>
      <c r="CW195" s="246" t="str">
        <f>IFERROR(__xludf.DUMMYFUNCTION("IF(REGEXMATCH($C195, ""d""), """",""d"")"),"d")</f>
        <v>d</v>
      </c>
      <c r="CX195" s="246" t="str">
        <f>IFERROR(__xludf.DUMMYFUNCTION("IF(REGEXMATCH($C195, ""D""), """",""D"")"),"")</f>
        <v/>
      </c>
      <c r="CY195" s="246" t="str">
        <f>IFERROR(__xludf.DUMMYFUNCTION("IF(REGEXMATCH($C195, ""n""), """",""n"")"),"n")</f>
        <v>n</v>
      </c>
      <c r="CZ195" s="246" t="str">
        <f>IFERROR(__xludf.DUMMYFUNCTION("IF(REGEXMATCH($C195, ""N""), """",""N"")"),"")</f>
        <v/>
      </c>
      <c r="DA195" s="246" t="str">
        <f>IFERROR(__xludf.DUMMYFUNCTION("IF(REGEXMATCH($C195, ""S""), ""S"",""S"")"),"S")</f>
        <v>S</v>
      </c>
      <c r="DB195" s="362" t="str">
        <f>IFERROR(__xludf.DUMMYFUNCTION("JOIN("""",CO195:DA195,"""","""")"),"SRgPdnS")</f>
        <v>SRgPdnS</v>
      </c>
      <c r="DC195" s="363"/>
      <c r="DD195" s="301" t="str">
        <f t="shared" si="35"/>
        <v>#REF!</v>
      </c>
      <c r="DE195" s="302" t="str">
        <f t="shared" si="36"/>
        <v>#REF!</v>
      </c>
      <c r="DF195" s="301" t="str">
        <f t="shared" ref="DF195:DG195" si="604">SUBSTITUTE(S195,"-","")</f>
        <v>SRGM</v>
      </c>
      <c r="DG195" s="301" t="str">
        <f t="shared" si="604"/>
        <v>DNS</v>
      </c>
      <c r="DH195" s="302" t="str">
        <f t="shared" si="38"/>
        <v>Basant</v>
      </c>
      <c r="DI195" s="301" t="str">
        <f t="shared" si="39"/>
        <v>Hemi.</v>
      </c>
      <c r="DJ195" s="364" t="str">
        <f t="shared" si="40"/>
        <v>Cohem.</v>
      </c>
      <c r="DK195" s="306" t="str">
        <f t="shared" si="41"/>
        <v>-</v>
      </c>
      <c r="DL195" s="366" t="str">
        <f t="shared" si="42"/>
        <v>-</v>
      </c>
      <c r="DM195" s="308" t="str">
        <f t="shared" si="43"/>
        <v>✔</v>
      </c>
      <c r="DN195" s="306" t="str">
        <f t="shared" si="44"/>
        <v>-</v>
      </c>
      <c r="DO195" s="306" t="str">
        <f t="shared" si="45"/>
        <v>-</v>
      </c>
      <c r="DP195" s="367" t="str">
        <f t="shared" si="46"/>
        <v>-</v>
      </c>
      <c r="DQ195" s="310" t="str">
        <f t="shared" si="47"/>
        <v>-</v>
      </c>
      <c r="DR195" s="310" t="str">
        <f t="shared" si="48"/>
        <v>-</v>
      </c>
      <c r="DS195" s="310" t="str">
        <f t="shared" si="49"/>
        <v>✔</v>
      </c>
      <c r="DT195" s="310" t="str">
        <f t="shared" si="50"/>
        <v>-</v>
      </c>
      <c r="DU195" s="370" t="str">
        <f t="shared" si="51"/>
        <v>-</v>
      </c>
      <c r="DV195" s="306" t="str">
        <f t="shared" si="52"/>
        <v>-</v>
      </c>
      <c r="DW195" s="306" t="str">
        <f t="shared" si="53"/>
        <v>-</v>
      </c>
      <c r="DX195" s="306" t="str">
        <f t="shared" si="54"/>
        <v>-</v>
      </c>
      <c r="DY195" s="306" t="str">
        <f t="shared" si="55"/>
        <v>✔</v>
      </c>
      <c r="DZ195" s="306" t="str">
        <f t="shared" si="56"/>
        <v>-</v>
      </c>
      <c r="EA195" s="367" t="str">
        <f t="shared" si="57"/>
        <v>-</v>
      </c>
      <c r="EB195" s="310" t="str">
        <f>IFERROR(__xludf.DUMMYFUNCTION("IF(REGEXMATCH(AW195,AS195),""✔"",""-"")"),"-")</f>
        <v>-</v>
      </c>
      <c r="EC195" s="310" t="str">
        <f t="shared" si="58"/>
        <v>#REF!</v>
      </c>
      <c r="ED195" s="370" t="str">
        <f t="shared" si="59"/>
        <v>-</v>
      </c>
      <c r="EE195" s="340" t="str">
        <f t="shared" si="60"/>
        <v>S-r-G-mM-D-N-S</v>
      </c>
      <c r="EF195" s="371" t="str">
        <f>IFERROR(__xludf.DUMMYFUNCTION("CONCATENATE(JOIN("""",HC195:HO195))"),"SrgMPdNS")</f>
        <v>SrgMPdNS</v>
      </c>
      <c r="EG195" s="372">
        <f t="shared" si="61"/>
        <v>2</v>
      </c>
      <c r="EH195" s="373" t="str">
        <f>IFERROR(__xludf.DUMMYFUNCTION("CONCATENATE(JOIN("""",JC195:JO195))"),"Sa, re, ")</f>
        <v>Sa, re, </v>
      </c>
      <c r="EI195" s="322">
        <f t="shared" si="62"/>
        <v>0</v>
      </c>
      <c r="EJ195" s="374" t="str">
        <f>IFERROR(__xludf.DUMMYFUNCTION("CONCATENATE(JOIN("""",KC195:KO195))"),"")</f>
        <v/>
      </c>
      <c r="EK195" s="325" t="str">
        <f t="shared" si="63"/>
        <v>S-R1-G3-M1-M2-D2-N3-S</v>
      </c>
      <c r="EL195" s="326" t="str">
        <f t="shared" si="64"/>
        <v>1-b2-3-4-#4-6-7-8</v>
      </c>
      <c r="EM195" s="318" t="str">
        <f t="shared" si="65"/>
        <v>#REF!</v>
      </c>
      <c r="EN195" s="328" t="str">
        <f>IFERROR(__xludf.DUMMYFUNCTION("SUBSTITUTE(SUBSTITUTE(SUBSTITUTE(SUBSTITUTE(CONCATENATE(JOIN("" "",HP195:IB195)),""  "","" ""),""  "","" ""),""  "","" ""),""  "","" "")"),"o o • • o o o • • o • o o")</f>
        <v>o o • • o o o • • o • o o</v>
      </c>
      <c r="EO195" s="368" t="str">
        <f t="shared" si="66"/>
        <v>-</v>
      </c>
      <c r="EP195" s="339" t="str">
        <f t="shared" si="67"/>
        <v>-</v>
      </c>
      <c r="EQ195" s="339" t="str">
        <f t="shared" si="68"/>
        <v>-</v>
      </c>
      <c r="ER195" s="339" t="str">
        <f t="shared" si="69"/>
        <v>-</v>
      </c>
      <c r="ES195" s="340" t="str">
        <f t="shared" si="70"/>
        <v>-</v>
      </c>
      <c r="ET195" s="363"/>
      <c r="EU195" s="376" t="b">
        <f>IFERROR(__xludf.DUMMYFUNCTION("arrayformula(sum(--REGEXMATCH(""SRGMPDNS"",split(REGEXREPLACE(C195,""(.)"",""$1~""),""~""))))=len(C195)
"),FALSE)</f>
        <v>0</v>
      </c>
      <c r="EV195" s="290" t="b">
        <f>IFERROR(__xludf.DUMMYFUNCTION("arrayformula(sum(--REGEXMATCH(""SRGmPDNS"",split(REGEXREPLACE(C195,""(.)"",""$1~""),""~""))))=len(C195)"),FALSE)</f>
        <v>0</v>
      </c>
      <c r="EW195" s="290" t="b">
        <f>IFERROR(__xludf.DUMMYFUNCTION("arrayformula(sum(--REGEXMATCH(""SRGmPDnS"",split(REGEXREPLACE(C195,""(.)"",""$1~""),""~""))))=len(C195)"),FALSE)</f>
        <v>0</v>
      </c>
      <c r="EX195" s="290" t="b">
        <f>IFERROR(__xludf.DUMMYFUNCTION("arrayformula(sum(--REGEXMATCH(""SRgmPDnS"",split(REGEXREPLACE(C195,""(.)"",""$1~""),""~""))))=len(C195)"),FALSE)</f>
        <v>0</v>
      </c>
      <c r="EY195" s="290" t="b">
        <f>IFERROR(__xludf.DUMMYFUNCTION("arrayformula(sum(--REGEXMATCH(""SRgmPdnS"",split(REGEXREPLACE(C195,""(.)"",""$1~""),""~""))))=len(C195)"),FALSE)</f>
        <v>0</v>
      </c>
      <c r="EZ195" s="290" t="b">
        <f>IFERROR(__xludf.DUMMYFUNCTION("arrayformula(sum(--REGEXMATCH(""SrgmPdnS"",split(REGEXREPLACE(C195,""(.)"",""$1~""),""~""))))=len(C195)"),FALSE)</f>
        <v>0</v>
      </c>
      <c r="FA195" s="290" t="b">
        <f>IFERROR(__xludf.DUMMYFUNCTION("arrayformula(sum(--REGEXMATCH(""SrGmPdNS"",split(REGEXREPLACE(C195,""(.)"",""$1~""),""~""))))=len(C195)"),FALSE)</f>
        <v>0</v>
      </c>
      <c r="FB195" s="290" t="b">
        <f>IFERROR(__xludf.DUMMYFUNCTION("arrayformula(sum(--REGEXMATCH(""SrGMPDNS"",split(REGEXREPLACE(C195,""(.)"",""$1~""),""~""))))=len(C195)"),FALSE)</f>
        <v>0</v>
      </c>
      <c r="FC195" s="290" t="b">
        <f>IFERROR(__xludf.DUMMYFUNCTION("arrayformula(sum(--REGEXMATCH(""SrGMPdNS"",split(REGEXREPLACE(C195,""(.)"",""$1~""),""~""))))=len(C195)"),FALSE)</f>
        <v>0</v>
      </c>
      <c r="FD195" s="377" t="b">
        <f>IFERROR(__xludf.DUMMYFUNCTION("arrayformula(sum(--REGEXMATCH(""SrgMPdNS"",split(REGEXREPLACE(C195,""(.)"",""$1~""),""~""))))=len(C195)"),FALSE)</f>
        <v>0</v>
      </c>
      <c r="FE195" s="269" t="str">
        <f t="shared" si="71"/>
        <v>xooxxxooxox</v>
      </c>
      <c r="FF195" s="269" t="str">
        <f t="shared" si="72"/>
        <v>-</v>
      </c>
      <c r="FG195" s="271" t="str">
        <f t="shared" si="73"/>
        <v>-</v>
      </c>
      <c r="FH195" s="269" t="str">
        <f t="shared" si="74"/>
        <v>xxxooxoxxxo</v>
      </c>
      <c r="FI195" s="271" t="str">
        <f t="shared" si="75"/>
        <v>xxooxoxxxoo</v>
      </c>
      <c r="FJ195" s="271" t="str">
        <f t="shared" si="76"/>
        <v>xooxoxxxoox</v>
      </c>
      <c r="FK195" s="271" t="str">
        <f t="shared" si="77"/>
        <v>-</v>
      </c>
      <c r="FL195" s="271" t="str">
        <f t="shared" si="78"/>
        <v>-</v>
      </c>
      <c r="FM195" s="271" t="str">
        <f t="shared" si="79"/>
        <v>xoxxxooxxxo</v>
      </c>
      <c r="FN195" s="271" t="str">
        <f t="shared" si="80"/>
        <v>-</v>
      </c>
      <c r="FO195" s="274" t="str">
        <f t="shared" si="81"/>
        <v>xxxooxxxoox</v>
      </c>
      <c r="FP195" s="234" t="str">
        <f t="shared" si="82"/>
        <v>|</v>
      </c>
      <c r="FQ195" s="236" t="str">
        <f t="shared" si="83"/>
        <v>|</v>
      </c>
      <c r="FR195" s="237" t="str">
        <f t="shared" si="84"/>
        <v>-</v>
      </c>
      <c r="FS195" s="236" t="str">
        <f t="shared" si="85"/>
        <v>-</v>
      </c>
      <c r="FT195" s="237" t="str">
        <f t="shared" si="86"/>
        <v>|</v>
      </c>
      <c r="FU195" s="236" t="str">
        <f t="shared" si="87"/>
        <v>|</v>
      </c>
      <c r="FV195" s="237" t="str">
        <f t="shared" si="88"/>
        <v>|</v>
      </c>
      <c r="FW195" s="236" t="str">
        <f t="shared" si="89"/>
        <v>-</v>
      </c>
      <c r="FX195" s="237" t="str">
        <f t="shared" si="90"/>
        <v>-</v>
      </c>
      <c r="FY195" s="236" t="str">
        <f t="shared" si="91"/>
        <v>|</v>
      </c>
      <c r="FZ195" s="237" t="str">
        <f t="shared" si="92"/>
        <v>-</v>
      </c>
      <c r="GA195" s="236" t="str">
        <f t="shared" si="93"/>
        <v>|</v>
      </c>
      <c r="GB195" s="238" t="str">
        <f t="shared" si="94"/>
        <v>|</v>
      </c>
      <c r="GC195" s="244" t="str">
        <f>IFERROR(__xludf.DUMMYFUNCTION("IF(REGEXMATCH(C195, ""S""), ""1"","""")"),"1")</f>
        <v>1</v>
      </c>
      <c r="GD195" s="245" t="str">
        <f>IFERROR(__xludf.DUMMYFUNCTION("IF(REGEXMATCH(C195, ""r""), ""b2"","""")"),"b2")</f>
        <v>b2</v>
      </c>
      <c r="GE195" s="246" t="str">
        <f>IFERROR(__xludf.DUMMYFUNCTION("IF(REGEXMATCH(C195, ""R""), ""2"","""")"),"")</f>
        <v/>
      </c>
      <c r="GF195" s="246" t="str">
        <f>IFERROR(__xludf.DUMMYFUNCTION("IF(REGEXMATCH(C195, ""g""), ""b3"","""")"),"")</f>
        <v/>
      </c>
      <c r="GG195" s="245" t="str">
        <f>IFERROR(__xludf.DUMMYFUNCTION("IF(REGEXMATCH(C195, ""G""), ""3"","""")"),"3")</f>
        <v>3</v>
      </c>
      <c r="GH195" s="245" t="str">
        <f>IFERROR(__xludf.DUMMYFUNCTION("IF(REGEXMATCH(C195, ""m""), ""4"","""")"),"4")</f>
        <v>4</v>
      </c>
      <c r="GI195" s="246" t="str">
        <f>IFERROR(__xludf.DUMMYFUNCTION("IF(REGEXMATCH(C195, ""M""), ""#4"","""")"),"#4")</f>
        <v>#4</v>
      </c>
      <c r="GJ195" s="245" t="str">
        <f>IFERROR(__xludf.DUMMYFUNCTION("IF(REGEXMATCH(C195, ""P""), ""5"","""")"),"")</f>
        <v/>
      </c>
      <c r="GK195" s="246" t="str">
        <f>IFERROR(__xludf.DUMMYFUNCTION("IF(REGEXMATCH(C195, ""d""), ""b6"","""")"),"")</f>
        <v/>
      </c>
      <c r="GL195" s="245" t="str">
        <f>IFERROR(__xludf.DUMMYFUNCTION("IF(REGEXMATCH(C195, ""D""), ""6"","""")"),"6")</f>
        <v>6</v>
      </c>
      <c r="GM195" s="245" t="str">
        <f>IFERROR(__xludf.DUMMYFUNCTION("IF(REGEXMATCH(C195, ""n""), ""b7"","""")"),"")</f>
        <v/>
      </c>
      <c r="GN195" s="246" t="str">
        <f>IFERROR(__xludf.DUMMYFUNCTION("IF(REGEXMATCH(C195, ""N""), ""7"","""")"),"7")</f>
        <v>7</v>
      </c>
      <c r="GO195" s="249" t="str">
        <f>IFERROR(__xludf.DUMMYFUNCTION("IF(REGEXMATCH(C195, ""S""), ""8"","""")"),"8")</f>
        <v>8</v>
      </c>
      <c r="GP195" s="244" t="str">
        <f>IFERROR(__xludf.DUMMYFUNCTION("IF(REGEXMATCH(C195, ""S""), ""S"","""")"),"S")</f>
        <v>S</v>
      </c>
      <c r="GQ195" s="294" t="str">
        <f>IFERROR(__xludf.DUMMYFUNCTION("IF(REGEXMATCH(C195, ""r""), ""R1"","""")"),"R1")</f>
        <v>R1</v>
      </c>
      <c r="GR195" s="295" t="str">
        <f>IFERROR(__xludf.DUMMYFUNCTION("IF(REGEXMATCH(C195, ""R""), ""R2"","""")"),"")</f>
        <v/>
      </c>
      <c r="GS195" s="295" t="str">
        <f>IFERROR(__xludf.DUMMYFUNCTION("IF(REGEXMATCH(C195, ""g""), ""G2"","""")"),"")</f>
        <v/>
      </c>
      <c r="GT195" s="294" t="str">
        <f>IFERROR(__xludf.DUMMYFUNCTION("IF(REGEXMATCH(C195, ""G""), ""G3"","""")"),"G3")</f>
        <v>G3</v>
      </c>
      <c r="GU195" s="294" t="str">
        <f>IFERROR(__xludf.DUMMYFUNCTION("IF(REGEXMATCH(C195, ""m""), ""M1"","""")"),"M1")</f>
        <v>M1</v>
      </c>
      <c r="GV195" s="295" t="str">
        <f>IFERROR(__xludf.DUMMYFUNCTION("IF(REGEXMATCH(C195, ""M""), ""M2"","""")"),"M2")</f>
        <v>M2</v>
      </c>
      <c r="GW195" s="294" t="str">
        <f>IFERROR(__xludf.DUMMYFUNCTION("IF(REGEXMATCH(C195, ""P""), ""P"","""")"),"")</f>
        <v/>
      </c>
      <c r="GX195" s="295" t="str">
        <f>IFERROR(__xludf.DUMMYFUNCTION("IF(REGEXMATCH(C195, ""d""), ""D1"","""")"),"")</f>
        <v/>
      </c>
      <c r="GY195" s="294" t="str">
        <f>IFERROR(__xludf.DUMMYFUNCTION("IF(REGEXMATCH(C195, ""D""), ""D2"","""")"),"D2")</f>
        <v>D2</v>
      </c>
      <c r="GZ195" s="294" t="str">
        <f>IFERROR(__xludf.DUMMYFUNCTION("IF(REGEXMATCH(C195, ""n""), ""N2"","""")"),"")</f>
        <v/>
      </c>
      <c r="HA195" s="295" t="str">
        <f>IFERROR(__xludf.DUMMYFUNCTION("IF(REGEXMATCH(C195, ""N""), ""N3"","""")"),"N3")</f>
        <v>N3</v>
      </c>
      <c r="HB195" s="249" t="str">
        <f>IFERROR(__xludf.DUMMYFUNCTION("IF(REGEXMATCH(C195, ""S""), ""S"","""")"),"S")</f>
        <v>S</v>
      </c>
      <c r="HC195" s="331" t="str">
        <f t="shared" si="95"/>
        <v>S</v>
      </c>
      <c r="HD195" s="332" t="str">
        <f t="shared" si="96"/>
        <v>r</v>
      </c>
      <c r="HE195" s="332" t="str">
        <f t="shared" si="97"/>
        <v/>
      </c>
      <c r="HF195" s="332" t="str">
        <f t="shared" si="98"/>
        <v>g</v>
      </c>
      <c r="HG195" s="332" t="str">
        <f t="shared" si="99"/>
        <v/>
      </c>
      <c r="HH195" s="332" t="str">
        <f t="shared" si="100"/>
        <v/>
      </c>
      <c r="HI195" s="332" t="str">
        <f t="shared" si="101"/>
        <v>M</v>
      </c>
      <c r="HJ195" s="332" t="str">
        <f t="shared" si="102"/>
        <v>P</v>
      </c>
      <c r="HK195" s="332" t="str">
        <f t="shared" si="103"/>
        <v>d</v>
      </c>
      <c r="HL195" s="332" t="str">
        <f t="shared" si="104"/>
        <v/>
      </c>
      <c r="HM195" s="332" t="str">
        <f t="shared" si="105"/>
        <v/>
      </c>
      <c r="HN195" s="332" t="str">
        <f t="shared" si="106"/>
        <v>N</v>
      </c>
      <c r="HO195" s="343" t="str">
        <f t="shared" si="107"/>
        <v>S</v>
      </c>
      <c r="HP195" s="331" t="str">
        <f t="shared" si="108"/>
        <v>o</v>
      </c>
      <c r="HQ195" s="332" t="str">
        <f t="shared" si="109"/>
        <v>o</v>
      </c>
      <c r="HR195" s="332" t="str">
        <f t="shared" si="110"/>
        <v>•</v>
      </c>
      <c r="HS195" s="332" t="str">
        <f t="shared" si="111"/>
        <v>•</v>
      </c>
      <c r="HT195" s="332" t="str">
        <f t="shared" si="112"/>
        <v>o</v>
      </c>
      <c r="HU195" s="332" t="str">
        <f t="shared" si="113"/>
        <v>o</v>
      </c>
      <c r="HV195" s="332" t="str">
        <f t="shared" si="114"/>
        <v>o</v>
      </c>
      <c r="HW195" s="332" t="str">
        <f t="shared" si="115"/>
        <v>•</v>
      </c>
      <c r="HX195" s="332" t="str">
        <f t="shared" si="116"/>
        <v>•</v>
      </c>
      <c r="HY195" s="332" t="str">
        <f t="shared" si="117"/>
        <v>o</v>
      </c>
      <c r="HZ195" s="332" t="str">
        <f t="shared" si="118"/>
        <v>•</v>
      </c>
      <c r="IA195" s="332" t="str">
        <f t="shared" si="119"/>
        <v>o</v>
      </c>
      <c r="IB195" s="338" t="str">
        <f t="shared" si="120"/>
        <v>o</v>
      </c>
      <c r="IC195" s="331" t="str">
        <f t="shared" si="121"/>
        <v>•</v>
      </c>
      <c r="ID195" s="332" t="str">
        <f t="shared" si="122"/>
        <v>•</v>
      </c>
      <c r="IE195" s="332" t="str">
        <f t="shared" si="123"/>
        <v>o</v>
      </c>
      <c r="IF195" s="332" t="str">
        <f t="shared" si="124"/>
        <v>o</v>
      </c>
      <c r="IG195" s="332" t="str">
        <f t="shared" si="125"/>
        <v>•</v>
      </c>
      <c r="IH195" s="332" t="str">
        <f t="shared" si="126"/>
        <v>•</v>
      </c>
      <c r="II195" s="332" t="str">
        <f t="shared" si="127"/>
        <v>•</v>
      </c>
      <c r="IJ195" s="332" t="str">
        <f t="shared" si="128"/>
        <v>o</v>
      </c>
      <c r="IK195" s="332" t="str">
        <f t="shared" si="129"/>
        <v>o</v>
      </c>
      <c r="IL195" s="332" t="str">
        <f t="shared" si="130"/>
        <v>•</v>
      </c>
      <c r="IM195" s="332" t="str">
        <f t="shared" si="131"/>
        <v>o</v>
      </c>
      <c r="IN195" s="332" t="str">
        <f t="shared" si="132"/>
        <v>•</v>
      </c>
      <c r="IO195" s="338" t="str">
        <f t="shared" si="133"/>
        <v>•</v>
      </c>
      <c r="IP195" s="346" t="b">
        <f t="shared" si="134"/>
        <v>1</v>
      </c>
      <c r="IQ195" s="347" t="b">
        <f t="shared" si="135"/>
        <v>1</v>
      </c>
      <c r="IR195" s="347" t="b">
        <f t="shared" si="136"/>
        <v>0</v>
      </c>
      <c r="IS195" s="347" t="b">
        <f t="shared" si="137"/>
        <v>0</v>
      </c>
      <c r="IT195" s="347" t="b">
        <f t="shared" si="138"/>
        <v>0</v>
      </c>
      <c r="IU195" s="347" t="b">
        <f t="shared" si="139"/>
        <v>0</v>
      </c>
      <c r="IV195" s="347" t="b">
        <f t="shared" si="140"/>
        <v>0</v>
      </c>
      <c r="IW195" s="347" t="b">
        <f t="shared" si="141"/>
        <v>0</v>
      </c>
      <c r="IX195" s="347" t="b">
        <f t="shared" si="142"/>
        <v>0</v>
      </c>
      <c r="IY195" s="347" t="b">
        <f t="shared" si="143"/>
        <v>0</v>
      </c>
      <c r="IZ195" s="347" t="b">
        <f t="shared" si="144"/>
        <v>0</v>
      </c>
      <c r="JA195" s="347" t="b">
        <f t="shared" si="145"/>
        <v>0</v>
      </c>
      <c r="JB195" s="353" t="b">
        <f t="shared" si="146"/>
        <v>1</v>
      </c>
      <c r="JC195" s="354" t="str">
        <f t="shared" si="147"/>
        <v>Sa, </v>
      </c>
      <c r="JD195" s="355" t="str">
        <f t="shared" si="148"/>
        <v>re, </v>
      </c>
      <c r="JE195" s="355" t="str">
        <f t="shared" si="149"/>
        <v/>
      </c>
      <c r="JF195" s="355" t="str">
        <f t="shared" si="150"/>
        <v/>
      </c>
      <c r="JG195" s="355" t="str">
        <f t="shared" si="151"/>
        <v/>
      </c>
      <c r="JH195" s="355" t="str">
        <f t="shared" si="152"/>
        <v/>
      </c>
      <c r="JI195" s="355" t="str">
        <f t="shared" si="153"/>
        <v/>
      </c>
      <c r="JJ195" s="355" t="str">
        <f t="shared" si="154"/>
        <v/>
      </c>
      <c r="JK195" s="355" t="str">
        <f t="shared" si="155"/>
        <v/>
      </c>
      <c r="JL195" s="355" t="str">
        <f t="shared" si="156"/>
        <v/>
      </c>
      <c r="JM195" s="355" t="str">
        <f t="shared" si="157"/>
        <v/>
      </c>
      <c r="JN195" s="355" t="str">
        <f t="shared" si="158"/>
        <v/>
      </c>
      <c r="JO195" s="359" t="str">
        <f t="shared" si="159"/>
        <v/>
      </c>
      <c r="JP195" s="346" t="b">
        <f t="shared" si="160"/>
        <v>0</v>
      </c>
      <c r="JQ195" s="347" t="b">
        <f t="shared" si="161"/>
        <v>0</v>
      </c>
      <c r="JR195" s="347" t="b">
        <f t="shared" si="162"/>
        <v>0</v>
      </c>
      <c r="JS195" s="347" t="b">
        <f t="shared" si="163"/>
        <v>0</v>
      </c>
      <c r="JT195" s="347" t="b">
        <f t="shared" si="164"/>
        <v>0</v>
      </c>
      <c r="JU195" s="347" t="b">
        <f t="shared" si="165"/>
        <v>0</v>
      </c>
      <c r="JV195" s="347" t="b">
        <f t="shared" si="166"/>
        <v>0</v>
      </c>
      <c r="JW195" s="347" t="b">
        <f t="shared" si="167"/>
        <v>0</v>
      </c>
      <c r="JX195" s="347" t="b">
        <f t="shared" si="168"/>
        <v>0</v>
      </c>
      <c r="JY195" s="347" t="b">
        <f t="shared" si="169"/>
        <v>0</v>
      </c>
      <c r="JZ195" s="347" t="b">
        <f t="shared" si="170"/>
        <v>0</v>
      </c>
      <c r="KA195" s="347" t="b">
        <f t="shared" si="171"/>
        <v>0</v>
      </c>
      <c r="KB195" s="365" t="b">
        <f t="shared" si="172"/>
        <v>0</v>
      </c>
      <c r="KC195" s="354" t="str">
        <f t="shared" si="173"/>
        <v/>
      </c>
      <c r="KD195" s="355" t="str">
        <f t="shared" si="174"/>
        <v/>
      </c>
      <c r="KE195" s="355" t="str">
        <f t="shared" si="175"/>
        <v/>
      </c>
      <c r="KF195" s="355" t="str">
        <f t="shared" si="176"/>
        <v/>
      </c>
      <c r="KG195" s="355" t="str">
        <f t="shared" si="177"/>
        <v/>
      </c>
      <c r="KH195" s="355" t="str">
        <f t="shared" si="178"/>
        <v/>
      </c>
      <c r="KI195" s="355" t="str">
        <f t="shared" si="179"/>
        <v/>
      </c>
      <c r="KJ195" s="355" t="str">
        <f t="shared" si="180"/>
        <v/>
      </c>
      <c r="KK195" s="355" t="str">
        <f t="shared" si="181"/>
        <v/>
      </c>
      <c r="KL195" s="355" t="str">
        <f t="shared" si="182"/>
        <v/>
      </c>
      <c r="KM195" s="355" t="str">
        <f t="shared" si="183"/>
        <v/>
      </c>
      <c r="KN195" s="355" t="str">
        <f t="shared" si="184"/>
        <v/>
      </c>
      <c r="KO195" s="359"/>
      <c r="KP195" s="378"/>
      <c r="KQ195" s="379" t="s">
        <v>9</v>
      </c>
      <c r="KR195" s="380" t="s">
        <v>9</v>
      </c>
      <c r="KS195" s="381" t="s">
        <v>9</v>
      </c>
      <c r="KT195" s="382">
        <f t="shared" si="186"/>
        <v>0</v>
      </c>
      <c r="KU195" s="383">
        <f t="shared" si="187"/>
        <v>0</v>
      </c>
      <c r="KV195" s="381" t="str">
        <f t="shared" si="205"/>
        <v>S</v>
      </c>
      <c r="KW195" s="382">
        <f t="shared" si="189"/>
        <v>0</v>
      </c>
      <c r="KX195" s="384">
        <f t="shared" si="190"/>
        <v>0</v>
      </c>
      <c r="KY195" s="382">
        <f t="shared" ref="KY195:KZ195" si="605">KW195-KT195</f>
        <v>0</v>
      </c>
      <c r="KZ195" s="369">
        <f t="shared" si="605"/>
        <v>0</v>
      </c>
      <c r="LA195" s="385" t="str">
        <f t="shared" si="192"/>
        <v>✔</v>
      </c>
      <c r="LB195" s="340" t="str">
        <f>IFERROR(__xludf.DUMMYFUNCTION("JOIN("""",ArrayFormula(MID(KS195,LEN(KS195)-SEQUENCE(1,LEN(KS195))+1,1)))"),"S")</f>
        <v>S</v>
      </c>
      <c r="LC195" s="373" t="str">
        <f>IFERROR(__xludf.DUMMYFUNCTION("JOIN("""",ArrayFormula(MID(KV195,LEN(KV195)-SEQUENCE(1,LEN(KV195))+1,1)))"),"S")</f>
        <v>S</v>
      </c>
      <c r="LD195" s="373" t="str">
        <f t="shared" si="193"/>
        <v>S</v>
      </c>
      <c r="LE195" s="339" t="str">
        <f t="shared" si="194"/>
        <v>S</v>
      </c>
      <c r="LF195" s="386" t="str">
        <f>IFERROR(__xludf.DUMMYFUNCTION("SUBSTITUTE(SUBSTITUTE(CONCATENATE(JOIN("""",LH195:LT195)),""1"",""""),""2"","""")"),"SS")</f>
        <v>SS</v>
      </c>
      <c r="LG195" s="369" t="str">
        <f t="shared" si="195"/>
        <v>-</v>
      </c>
      <c r="LH195" s="387" t="str">
        <f>IFERROR(__xludf.DUMMYFUNCTION("IF(REGEXMATCH(LD195, ""S""), ""S"",IF(REGEXMATCH(LE195, ""S""), ""S"",""""))"),"S")</f>
        <v>S</v>
      </c>
      <c r="LI195" s="299" t="str">
        <f>IFERROR(__xludf.DUMMYFUNCTION("IF(REGEXMATCH(LD195, ""r""), ""r1"",IF(REGEXMATCH(LE195, ""r""), ""r2"",""""))"),"")</f>
        <v/>
      </c>
      <c r="LJ195" s="299" t="str">
        <f>IFERROR(__xludf.DUMMYFUNCTION("IF(REGEXMATCH(LD195, ""R""), ""R1"",IF(REGEXMATCH(LE195, ""R""), ""R2"",""""))"),"")</f>
        <v/>
      </c>
      <c r="LK195" s="299" t="str">
        <f>IFERROR(__xludf.DUMMYFUNCTION("IF(REGEXMATCH(LD195, ""g""), ""g1"",IF(REGEXMATCH(LE195, ""g""), ""g2"",""""))"),"")</f>
        <v/>
      </c>
      <c r="LL195" s="299" t="str">
        <f>IFERROR(__xludf.DUMMYFUNCTION("IF(REGEXMATCH(LD195, ""G""), ""G1"",IF(REGEXMATCH(LE195, ""G""), ""G2"",""""))"),"")</f>
        <v/>
      </c>
      <c r="LM195" s="299" t="str">
        <f>IFERROR(__xludf.DUMMYFUNCTION("IF(REGEXMATCH(LD195, ""m""), ""m1"",IF(REGEXMATCH(LE195, ""m""), ""m2"",""""))"),"")</f>
        <v/>
      </c>
      <c r="LN195" s="299" t="str">
        <f>IFERROR(__xludf.DUMMYFUNCTION("IF(REGEXMATCH(LD195, ""M""), ""M1"",IF(REGEXMATCH(LE195, ""M""), ""M2"",""""))"),"")</f>
        <v/>
      </c>
      <c r="LO195" s="299" t="str">
        <f>IFERROR(__xludf.DUMMYFUNCTION("IF(REGEXMATCH(LD195, ""P""), ""P1"",IF(REGEXMATCH(LE195, ""P""), ""P2"",""""))"),"")</f>
        <v/>
      </c>
      <c r="LP195" s="299" t="str">
        <f>IFERROR(__xludf.DUMMYFUNCTION("IF(REGEXMATCH(LD195, ""d""), ""d1"",IF(REGEXMATCH(LE195, ""d""), ""d2"",""""))"),"")</f>
        <v/>
      </c>
      <c r="LQ195" s="299" t="str">
        <f>IFERROR(__xludf.DUMMYFUNCTION("IF(REGEXMATCH(LD195, ""D""), ""D1"",IF(REGEXMATCH(LE195, ""D""), ""D2"",""""))"),"")</f>
        <v/>
      </c>
      <c r="LR195" s="299" t="str">
        <f>IFERROR(__xludf.DUMMYFUNCTION("IF(REGEXMATCH(LD195, ""n""), ""n1"",IF(REGEXMATCH(LE195, ""n""), ""n2"",""""))"),"")</f>
        <v/>
      </c>
      <c r="LS195" s="299" t="str">
        <f>IFERROR(__xludf.DUMMYFUNCTION("IF(REGEXMATCH(LD195, ""N""), ""N1"",IF(REGEXMATCH(LE195, ""N""), ""N2"",""""))"),"")</f>
        <v/>
      </c>
      <c r="LT195" s="388" t="str">
        <f>IFERROR(__xludf.DUMMYFUNCTION("IF(REGEXMATCH(LD195, ""S""), ""S"",IF(REGEXMATCH(LE195, ""S""), ""S"",""""))"),"S")</f>
        <v>S</v>
      </c>
      <c r="LU195" s="389">
        <f t="shared" si="196"/>
        <v>1</v>
      </c>
      <c r="LV195" s="378"/>
      <c r="LW195" s="369"/>
      <c r="LX195" s="369"/>
    </row>
    <row r="196" ht="18.0" customHeight="1">
      <c r="A196" s="298" t="s">
        <v>917</v>
      </c>
      <c r="B196" s="222" t="s">
        <v>527</v>
      </c>
      <c r="C196" s="233" t="str">
        <f t="shared" si="7"/>
        <v>SRgmPDnNS</v>
      </c>
      <c r="D196" s="234" t="str">
        <f>IFERROR(__xludf.DUMMYFUNCTION("IF(REGEXMATCH(C196, ""S""), ""S"","""")"),"S")</f>
        <v>S</v>
      </c>
      <c r="E196" s="236" t="str">
        <f>IFERROR(__xludf.DUMMYFUNCTION("IF(REGEXMATCH(C196, ""r""), ""r"","""")"),"")</f>
        <v/>
      </c>
      <c r="F196" s="237" t="str">
        <f>IFERROR(__xludf.DUMMYFUNCTION("IF(REGEXMATCH(C196, ""R""), ""R"","""")"),"R")</f>
        <v>R</v>
      </c>
      <c r="G196" s="237" t="str">
        <f>IFERROR(__xludf.DUMMYFUNCTION("IF(REGEXMATCH(C196, ""g""), ""g"","""")"),"g")</f>
        <v>g</v>
      </c>
      <c r="H196" s="236" t="str">
        <f>IFERROR(__xludf.DUMMYFUNCTION("IF(REGEXMATCH(C196, ""G""), ""G"","""")"),"")</f>
        <v/>
      </c>
      <c r="I196" s="236" t="str">
        <f>IFERROR(__xludf.DUMMYFUNCTION("IF(REGEXMATCH(C196, ""m""), ""m"","""")"),"m")</f>
        <v>m</v>
      </c>
      <c r="J196" s="237" t="str">
        <f>IFERROR(__xludf.DUMMYFUNCTION("IF(REGEXMATCH(C196, ""M""), ""M"","""")"),"")</f>
        <v/>
      </c>
      <c r="K196" s="236" t="str">
        <f>IFERROR(__xludf.DUMMYFUNCTION("IF(REGEXMATCH(C196, ""P""), ""P"","""")"),"P")</f>
        <v>P</v>
      </c>
      <c r="L196" s="237" t="str">
        <f>IFERROR(__xludf.DUMMYFUNCTION("IF(REGEXMATCH(C196, ""d""), ""d"","""")"),"")</f>
        <v/>
      </c>
      <c r="M196" s="236" t="str">
        <f>IFERROR(__xludf.DUMMYFUNCTION("IF(REGEXMATCH(C196, ""D""), ""D"","""")"),"D")</f>
        <v>D</v>
      </c>
      <c r="N196" s="236" t="str">
        <f>IFERROR(__xludf.DUMMYFUNCTION("IF(REGEXMATCH(C196, ""n""), ""n"","""")"),"n")</f>
        <v>n</v>
      </c>
      <c r="O196" s="237" t="str">
        <f>IFERROR(__xludf.DUMMYFUNCTION("IF(REGEXMATCH(C196, ""N""), ""N"","""")"),"N")</f>
        <v>N</v>
      </c>
      <c r="P196" s="238" t="str">
        <f>IFERROR(__xludf.DUMMYFUNCTION("IF(REGEXMATCH(C196, ""S""), ""S"","""")"),"S")</f>
        <v>S</v>
      </c>
      <c r="Q196" s="239" t="str">
        <f>IFERROR(__xludf.DUMMYFUNCTION("SUBSTITUTE(CONCATENATE(JOIN(""-"",D196:J196)),""-"","""")"),"SRgm")</f>
        <v>SRgm</v>
      </c>
      <c r="R196" s="229" t="str">
        <f>IFERROR(__xludf.DUMMYFUNCTION("SUBSTITUTE(CONCATENATE(JOIN(""-"",K196:P196)),""-"","""")"),"PDnNS")</f>
        <v>PDnNS</v>
      </c>
      <c r="S196" s="282" t="str">
        <f t="shared" si="8"/>
        <v>S-R-G-M</v>
      </c>
      <c r="T196" s="282" t="str">
        <f t="shared" si="9"/>
        <v>P-D-N-S</v>
      </c>
      <c r="U196" s="237" t="str">
        <f>IFERROR(__xludf.DUMMYFUNCTION("SUBSTITUTE(JOIN(""-"",S196,T196),""--"",""-"")"),"S-R-G-M-P-D-N-S")</f>
        <v>S-R-G-M-P-D-N-S</v>
      </c>
      <c r="V196" s="309" t="str">
        <f t="shared" si="10"/>
        <v>RgmDnN</v>
      </c>
      <c r="W196" s="244" t="str">
        <f>IFERROR(__xludf.DUMMYFUNCTION("IF(REGEXMATCH(C196, ""S""), ""0"","""")"),"0")</f>
        <v>0</v>
      </c>
      <c r="X196" s="245" t="str">
        <f>IFERROR(__xludf.DUMMYFUNCTION("IF(REGEXMATCH(C196, ""r""), ""1"","""")"),"")</f>
        <v/>
      </c>
      <c r="Y196" s="246" t="str">
        <f>IFERROR(__xludf.DUMMYFUNCTION("IF(REGEXMATCH(C196, ""R""), ""2"","""")"),"2")</f>
        <v>2</v>
      </c>
      <c r="Z196" s="246" t="str">
        <f>IFERROR(__xludf.DUMMYFUNCTION("IF(REGEXMATCH(C196, ""g""), ""3"","""")"),"3")</f>
        <v>3</v>
      </c>
      <c r="AA196" s="245" t="str">
        <f>IFERROR(__xludf.DUMMYFUNCTION("IF(REGEXMATCH(C196, ""G""), ""4"","""")"),"")</f>
        <v/>
      </c>
      <c r="AB196" s="245" t="str">
        <f>IFERROR(__xludf.DUMMYFUNCTION("IF(REGEXMATCH(C196, ""m""), ""5"","""")"),"5")</f>
        <v>5</v>
      </c>
      <c r="AC196" s="246" t="str">
        <f>IFERROR(__xludf.DUMMYFUNCTION("IF(REGEXMATCH(C196, ""M""), ""6"","""")"),"")</f>
        <v/>
      </c>
      <c r="AD196" s="245" t="str">
        <f>IFERROR(__xludf.DUMMYFUNCTION("IF(REGEXMATCH(C196, ""P""), ""7"","""")"),"7")</f>
        <v>7</v>
      </c>
      <c r="AE196" s="246" t="str">
        <f>IFERROR(__xludf.DUMMYFUNCTION("IF(REGEXMATCH(C196, ""d""), ""8"","""")"),"")</f>
        <v/>
      </c>
      <c r="AF196" s="245" t="str">
        <f>IFERROR(__xludf.DUMMYFUNCTION("IF(REGEXMATCH(C196, ""D""), ""9"","""")"),"9")</f>
        <v>9</v>
      </c>
      <c r="AG196" s="245" t="str">
        <f>IFERROR(__xludf.DUMMYFUNCTION("IF(REGEXMATCH(C196, ""n""), ""10"","""")"),"10")</f>
        <v>10</v>
      </c>
      <c r="AH196" s="246" t="str">
        <f>IFERROR(__xludf.DUMMYFUNCTION("IF(REGEXMATCH(C196, ""N""), ""11"","""")"),"11")</f>
        <v>11</v>
      </c>
      <c r="AI196" s="249" t="str">
        <f>IFERROR(__xludf.DUMMYFUNCTION("IF(REGEXMATCH(C196, ""S""), ""0"","""")"),"0")</f>
        <v>0</v>
      </c>
      <c r="AJ196" s="313" t="str">
        <f t="shared" si="11"/>
        <v>-</v>
      </c>
      <c r="AK196" s="313" t="str">
        <f t="shared" si="12"/>
        <v>-</v>
      </c>
      <c r="AL196" s="313" t="str">
        <f t="shared" si="13"/>
        <v>-</v>
      </c>
      <c r="AM196" s="313" t="str">
        <f t="shared" si="14"/>
        <v>T</v>
      </c>
      <c r="AN196" s="313" t="str">
        <f t="shared" si="15"/>
        <v>-</v>
      </c>
      <c r="AO196" s="314" t="str">
        <f t="shared" si="16"/>
        <v>T</v>
      </c>
      <c r="AP196" s="316">
        <f t="shared" si="17"/>
        <v>2</v>
      </c>
      <c r="AQ196" s="319" t="str">
        <f t="shared" si="18"/>
        <v>#REF!</v>
      </c>
      <c r="AR196" s="320">
        <f t="shared" si="19"/>
        <v>0</v>
      </c>
      <c r="AS196" s="250" t="str">
        <f>IFERROR(__xludf.DUMMYFUNCTION("SUBSTITUTE(SUBSTITUTE(CONCATENATE(JOIN("""",FP196:GA196)),""|"",""x""),""-"",""o"")"),"xoxxoxoxoxxx")</f>
        <v>xoxxoxoxoxxx</v>
      </c>
      <c r="AT196" s="323" t="str">
        <f>IFERROR(__xludf.DUMMYFUNCTION("JOIN("""",AS196,AS196)"),"xoxxoxoxoxxxxoxxoxoxoxxx")</f>
        <v>xoxxoxoxoxxxxoxxoxoxoxxx</v>
      </c>
      <c r="AU196" s="256" t="str">
        <f>IFERROR(__xludf.DUMMYFUNCTION("JOIN("""",ArrayFormula(MID(AS196,LEN(AS196)-SEQUENCE(1,LEN(AS196))+1,1)))"),"xxxoxoxoxxox")</f>
        <v>xxxoxoxoxxox</v>
      </c>
      <c r="AV196" s="256" t="str">
        <f>IFERROR(__xludf.DUMMYFUNCTION("LEFT(CONCATENATE(""x"",JOIN("""",ArrayFormula(MID(AS196,LEN(AS196)-SEQUENCE(1,LEN(AS196))+1,1)))),12)"),"xxxxoxoxoxxo")</f>
        <v>xxxxoxoxoxxo</v>
      </c>
      <c r="AW196" s="327" t="str">
        <f>IFERROR(__xludf.DUMMYFUNCTION("JOIN("""",AU196,AU196)"),"xxxoxoxoxxoxxxxoxoxoxxox")</f>
        <v>xxxoxoxoxxoxxxxoxoxoxxox</v>
      </c>
      <c r="AX196" s="239" t="str">
        <f>IFERROR(__xludf.DUMMYFUNCTION("IF(REGEXMATCH(AW196,AS196),""✔"",""-"")"),"-")</f>
        <v>-</v>
      </c>
      <c r="AY196" s="330" t="str">
        <f t="shared" si="20"/>
        <v>-</v>
      </c>
      <c r="AZ196" s="260" t="str">
        <f t="shared" si="21"/>
        <v>#REF!</v>
      </c>
      <c r="BA196" s="333" t="str">
        <f t="shared" si="22"/>
        <v>xoxxoxo</v>
      </c>
      <c r="BB196" s="334" t="str">
        <f t="shared" si="23"/>
        <v>xoxxxx</v>
      </c>
      <c r="BC196" s="335" t="str">
        <f t="shared" si="236"/>
        <v>-</v>
      </c>
      <c r="BD196" s="336" t="str">
        <f t="shared" si="25"/>
        <v>Lanka Dahan Sarang: 'xoxxoxo' + 'xoxxxx'</v>
      </c>
      <c r="BE196" s="337">
        <f>IFERROR(__xludf.DUMMYFUNCTION("COUNTUNIQUE(FILTER(AT:AT,REGEXMATCH(AT:AT,AS196)))-1"),3.0)</f>
        <v>3</v>
      </c>
      <c r="BF196" s="261" t="str">
        <f>IFERROR(__xludf.DUMMYFUNCTION("IF(BI196=0,""(n/a)"",IF(BJ196=2,""(PAIR)"",IF(REGEXMATCH(AT196,""xoxoxxoxoxox""),""Bilawal"",IF(REGEXMATCH(AT196,""xoxoxooxoxoo""),""Bhupali"",IF(REGEXMATCH(AT196,""xoxoxxoxxoxo""),""Charukeshi"",IF(REGEXMATCH(AT196,""xoxoooxxoxxo""),""Kameshwari"",IF(REG"&amp;"EXMATCH(AT196,""xoxoxooxoxox""),""Shankara"",IF(REGEXMATCH(AT196,""xxooxoxxxoox""),""Basant"",IF(REGEXMATCH(AT196,""xoxoxxxxoxox""),""Bihag"",IF(REGEXMATCH(AT196,""xoxxxxoxoxxx""),""Pilu"",IF(REGEXMATCH(AT196,""xoxxoxoxxoox""),""Kirwani"",IF(REGEXMATCH(AT"&amp;"196,""xoxxoxoxoxxx""),""Mk.Malhar"",IF(REGEXMATCH(AT196,""xxooxxoxxoox""),""Bhairav"",IF(REGEXMATCH(AT196,""xxoxooxxxoox""),""Todi"",IF(REGEXMATCH(AT196,""xxooxoxooxox""),""Marwa"",IF(REGEXMATCH(AT196,""xxoooxoxxooo""),""Gunkali"",IF(REGEXMATCH(AT196,""xo"&amp;"xoxxoxxoox""),""Nat Bhairav"",IF(REGEXMATCH(AT196,""xoxxoooxoxoo""),""Shivranjani"",IF(REGEXMATCH(AT196,""xooxxxoxooxo""),""Jog"",IF(REGEXMATCH(AT196,""xxooxoxoxoox""),""Hemshri"",IF(REGEXMATCH(AT196,""xoooxooxoxxo""),""Kalavati"",IF(REGEXMATCH(AT196,""xx"&amp;"oxoxxoxoox""),""Kedar"",IF(REGEXMATCH(AT196,""xoxxxxoxooxx""),""Gara"",IF(REGEXMATCH(AT196,""xooxoxooxoox""),""Chandrakauns"",IF(REGEXMATCH(AT196,""xoxxxxoxxxox""),""Mand"",IF(REGEXMATCH(AT196,""xoxxxxoxoxox""),""Hanskinkini"",IF(REGEXMATCH(AT196,""xxooxx"&amp;"oxooxo""),""Lilavati"",IF(REGEXMATCH(AT196,""xooxoxoooxox""),""Rajeshwari"",IF(REGEXMATCH(AT196,""xoooxxoxoxxx""),""Khokar"",IF(REGEXMATCH(AT196,""xxooxoxxxxox""),""Maligoura"",""-""))))))))))))))))))))))))))))))"),"Mk.Malhar")</f>
        <v>Mk.Malhar</v>
      </c>
      <c r="BG196" s="239" t="str">
        <f t="shared" si="26"/>
        <v>#REF!</v>
      </c>
      <c r="BH196" s="239">
        <f>IFERROR(__xludf.DUMMYFUNCTION("COUNTUNIQUE(FE196:FO196)-1"),7.0)</f>
        <v>7</v>
      </c>
      <c r="BI196" s="239">
        <f>IFERROR(__xludf.DUMMYFUNCTION("COUNTUNIQUE(FILTER(AT:AT,REGEXMATCH(AT:AT,AS196)))-1"),3.0)</f>
        <v>3</v>
      </c>
      <c r="BJ196" s="239">
        <f>IFERROR(__xludf.DUMMYFUNCTION("COUNTA(FILTER(AT:AT,REGEXMATCH(AT:AT,AS196)))"),16.0)</f>
        <v>16</v>
      </c>
      <c r="BK196" s="341">
        <f>IFERROR(__xludf.DUMMYFUNCTION("COUNTA(FILTER(AT:AT,REGEXMATCH(AT:AT,AS196)))-AR196"),16.0)</f>
        <v>16</v>
      </c>
      <c r="BL196" s="276" t="str">
        <f>IFERROR(__xludf.DUMMYFUNCTION("IF(AS196=""oooooooooooo"",""-"",IF(REGEXMATCH(AT196,""xx""), ""Hemi."", ""Anhemi.""))"),"Hemi.")</f>
        <v>Hemi.</v>
      </c>
      <c r="BM196" s="282" t="str">
        <f>IFERROR(__xludf.DUMMYFUNCTION("IF(AS196=""oooooooooooo"",""-"",IF(REGEXMATCH(AT196,""xxx""), ""Cohem."", ""-""))"),"Cohem.")</f>
        <v>Cohem.</v>
      </c>
      <c r="BN196" s="282" t="str">
        <f>IFERROR(__xludf.DUMMYFUNCTION("IF(AS196=""oooooooooooo"",""-"",IF(REGEXMATCH(AT196,""xxxx""), ""Co-Co."", ""-""))"),"Co-Co.")</f>
        <v>Co-Co.</v>
      </c>
      <c r="BO196" s="342" t="str">
        <f>IFERROR(__xludf.DUMMYFUNCTION("IF(AS196=""oooooooooooo"",""-"",IF(REGEXMATCH(AT196,""xxxxx""), ""CCC."", ""-""))"),"-")</f>
        <v>-</v>
      </c>
      <c r="BP196" s="344" t="str">
        <f t="shared" si="27"/>
        <v>-</v>
      </c>
      <c r="BQ196" s="282" t="str">
        <f>IFERROR(__xludf.DUMMYFUNCTION("IF(REGEXMATCH(JOIN(""-"",EU196:FD196),""TRUE""),""✔"",""-"")"),"-")</f>
        <v>-</v>
      </c>
      <c r="BR196" s="225">
        <f t="shared" si="28"/>
        <v>0</v>
      </c>
      <c r="BS196" s="345" t="str">
        <f>IFERROR(__xludf.DUMMYFUNCTION("SUBSTITUTE(SUBSTITUTE(SUBSTITUTE(SUBSTITUTE(CONCATENATE(JOIN(""-"",GC196:GO196)),""--"",""-""),""--"",""-""),""--"",""-""),""--"",""-"")"),"1-2-b3-4-5-6-b7-7-8")</f>
        <v>1-2-b3-4-5-6-b7-7-8</v>
      </c>
      <c r="BT196" s="299" t="str">
        <f>IFERROR(__xludf.DUMMYFUNCTION("SUBSTITUTE(SUBSTITUTE(SUBSTITUTE(SUBSTITUTE(CONCATENATE(JOIN(""-"",GP196:HB196)),""--"",""-""),""--"",""-""),""--"",""-""),""--"",""-"")"),"S-R2-G2-M1-P-D2-N2-N3-S")</f>
        <v>S-R2-G2-M1-P-D2-N2-N3-S</v>
      </c>
      <c r="BU196" s="348" t="str">
        <f t="shared" si="29"/>
        <v>C-D-Eb-F-G-A-Bb-B-C</v>
      </c>
      <c r="BV196" s="349" t="str">
        <f t="shared" si="30"/>
        <v>SrGMdS</v>
      </c>
      <c r="BW196" s="350">
        <f t="shared" si="31"/>
        <v>0</v>
      </c>
      <c r="BX196" s="351">
        <f t="shared" si="32"/>
        <v>11</v>
      </c>
      <c r="BY196" s="392"/>
      <c r="BZ196" s="309" t="str">
        <f>IFERROR(__xludf.DUMMYFUNCTION("IF(REGEXMATCH(C196, ""S""), ""x"",""x"")"),"x")</f>
        <v>x</v>
      </c>
      <c r="CA196" s="245" t="str">
        <f>IFERROR(__xludf.DUMMYFUNCTION("IF(REGEXMATCH(C196, ""r""), ""o"",""x"")"),"x")</f>
        <v>x</v>
      </c>
      <c r="CB196" s="246" t="str">
        <f>IFERROR(__xludf.DUMMYFUNCTION("IF(REGEXMATCH(C196, ""R""), ""o"",""x"")"),"o")</f>
        <v>o</v>
      </c>
      <c r="CC196" s="246" t="str">
        <f>IFERROR(__xludf.DUMMYFUNCTION("IF(REGEXMATCH(C196, ""g""), ""o"",""x"")"),"o")</f>
        <v>o</v>
      </c>
      <c r="CD196" s="245" t="str">
        <f>IFERROR(__xludf.DUMMYFUNCTION("IF(REGEXMATCH(C196, ""G""), ""o"",""x"")"),"x")</f>
        <v>x</v>
      </c>
      <c r="CE196" s="245" t="str">
        <f>IFERROR(__xludf.DUMMYFUNCTION("IF(REGEXMATCH(C196, ""m""), ""o"",""x"")"),"o")</f>
        <v>o</v>
      </c>
      <c r="CF196" s="246" t="str">
        <f>IFERROR(__xludf.DUMMYFUNCTION("IF(REGEXMATCH(C196, ""M""), ""o"",""x"")"),"x")</f>
        <v>x</v>
      </c>
      <c r="CG196" s="245" t="str">
        <f>IFERROR(__xludf.DUMMYFUNCTION("IF(REGEXMATCH(C196, ""P""), ""o"",""x"")"),"o")</f>
        <v>o</v>
      </c>
      <c r="CH196" s="246" t="str">
        <f>IFERROR(__xludf.DUMMYFUNCTION("IF(REGEXMATCH(C196, ""d""), ""o"",""x"")"),"x")</f>
        <v>x</v>
      </c>
      <c r="CI196" s="245" t="str">
        <f>IFERROR(__xludf.DUMMYFUNCTION("IF(REGEXMATCH(C196, ""D""), ""o"",""x"")"),"o")</f>
        <v>o</v>
      </c>
      <c r="CJ196" s="245" t="str">
        <f>IFERROR(__xludf.DUMMYFUNCTION("IF(REGEXMATCH(C196, ""n""), ""o"",""x"")"),"o")</f>
        <v>o</v>
      </c>
      <c r="CK196" s="245" t="str">
        <f>IFERROR(__xludf.DUMMYFUNCTION("IF(REGEXMATCH(C196, ""N""), ""o"",""x"")"),"o")</f>
        <v>o</v>
      </c>
      <c r="CL196" s="356" t="str">
        <f>IFERROR(__xludf.DUMMYFUNCTION("IF(REGEXMATCH(C196, ""S""), ""x"",""x"")"),"x")</f>
        <v>x</v>
      </c>
      <c r="CM196" s="357" t="str">
        <f t="shared" si="33"/>
        <v>xxooxoxoxooo</v>
      </c>
      <c r="CN196" s="358">
        <f t="shared" si="34"/>
        <v>0</v>
      </c>
      <c r="CO196" s="246" t="str">
        <f>IFERROR(__xludf.DUMMYFUNCTION("IF(REGEXMATCH($C196, ""S""), ""S"",""S"")"),"S")</f>
        <v>S</v>
      </c>
      <c r="CP196" s="246" t="str">
        <f>IFERROR(__xludf.DUMMYFUNCTION("IF(REGEXMATCH($C196, ""r""), """",""r"")"),"r")</f>
        <v>r</v>
      </c>
      <c r="CQ196" s="246" t="str">
        <f>IFERROR(__xludf.DUMMYFUNCTION("IF(REGEXMATCH($C196, ""R""), """",""R"")"),"")</f>
        <v/>
      </c>
      <c r="CR196" s="246" t="str">
        <f>IFERROR(__xludf.DUMMYFUNCTION("IF(REGEXMATCH($C196, ""g""), """",""g"")"),"")</f>
        <v/>
      </c>
      <c r="CS196" s="246" t="str">
        <f>IFERROR(__xludf.DUMMYFUNCTION("IF(REGEXMATCH($C196, ""G""), """",""G"")"),"G")</f>
        <v>G</v>
      </c>
      <c r="CT196" s="246" t="str">
        <f>IFERROR(__xludf.DUMMYFUNCTION("IF(REGEXMATCH($C196, ""m""), """",""m"")"),"")</f>
        <v/>
      </c>
      <c r="CU196" s="246" t="str">
        <f>IFERROR(__xludf.DUMMYFUNCTION("IF(REGEXMATCH($C196, ""M""), """",""M"")"),"M")</f>
        <v>M</v>
      </c>
      <c r="CV196" s="246" t="str">
        <f>IFERROR(__xludf.DUMMYFUNCTION("IF(REGEXMATCH($C196, ""P""), """",""P"")"),"")</f>
        <v/>
      </c>
      <c r="CW196" s="246" t="str">
        <f>IFERROR(__xludf.DUMMYFUNCTION("IF(REGEXMATCH($C196, ""d""), """",""d"")"),"d")</f>
        <v>d</v>
      </c>
      <c r="CX196" s="246" t="str">
        <f>IFERROR(__xludf.DUMMYFUNCTION("IF(REGEXMATCH($C196, ""D""), """",""D"")"),"")</f>
        <v/>
      </c>
      <c r="CY196" s="246" t="str">
        <f>IFERROR(__xludf.DUMMYFUNCTION("IF(REGEXMATCH($C196, ""n""), """",""n"")"),"")</f>
        <v/>
      </c>
      <c r="CZ196" s="246" t="str">
        <f>IFERROR(__xludf.DUMMYFUNCTION("IF(REGEXMATCH($C196, ""N""), """",""N"")"),"")</f>
        <v/>
      </c>
      <c r="DA196" s="246" t="str">
        <f>IFERROR(__xludf.DUMMYFUNCTION("IF(REGEXMATCH($C196, ""S""), ""S"",""S"")"),"S")</f>
        <v>S</v>
      </c>
      <c r="DB196" s="362" t="str">
        <f>IFERROR(__xludf.DUMMYFUNCTION("JOIN("""",CO196:DA196,"""","""")"),"SrGMdS")</f>
        <v>SrGMdS</v>
      </c>
      <c r="DC196" s="363"/>
      <c r="DD196" s="301" t="str">
        <f t="shared" si="35"/>
        <v>#REF!</v>
      </c>
      <c r="DE196" s="302" t="str">
        <f t="shared" si="36"/>
        <v>#REF!</v>
      </c>
      <c r="DF196" s="301" t="str">
        <f t="shared" ref="DF196:DG196" si="606">SUBSTITUTE(S196,"-","")</f>
        <v>SRGM</v>
      </c>
      <c r="DG196" s="301" t="str">
        <f t="shared" si="606"/>
        <v>PDNS</v>
      </c>
      <c r="DH196" s="302" t="str">
        <f t="shared" si="38"/>
        <v>Mk.Malhar</v>
      </c>
      <c r="DI196" s="301" t="str">
        <f t="shared" si="39"/>
        <v>Hemi.</v>
      </c>
      <c r="DJ196" s="364" t="str">
        <f t="shared" si="40"/>
        <v>Co-Co.</v>
      </c>
      <c r="DK196" s="306" t="str">
        <f t="shared" si="41"/>
        <v>-</v>
      </c>
      <c r="DL196" s="366" t="str">
        <f t="shared" si="42"/>
        <v>-</v>
      </c>
      <c r="DM196" s="308" t="str">
        <f t="shared" si="43"/>
        <v>✔</v>
      </c>
      <c r="DN196" s="306" t="str">
        <f t="shared" si="44"/>
        <v>-</v>
      </c>
      <c r="DO196" s="306" t="str">
        <f t="shared" si="45"/>
        <v>-</v>
      </c>
      <c r="DP196" s="367" t="str">
        <f t="shared" si="46"/>
        <v>-</v>
      </c>
      <c r="DQ196" s="310" t="str">
        <f t="shared" si="47"/>
        <v>-</v>
      </c>
      <c r="DR196" s="310" t="str">
        <f t="shared" si="48"/>
        <v>-</v>
      </c>
      <c r="DS196" s="310" t="str">
        <f t="shared" si="49"/>
        <v>-</v>
      </c>
      <c r="DT196" s="310" t="str">
        <f t="shared" si="50"/>
        <v>-</v>
      </c>
      <c r="DU196" s="370" t="str">
        <f t="shared" si="51"/>
        <v>✔</v>
      </c>
      <c r="DV196" s="306" t="str">
        <f t="shared" si="52"/>
        <v>-</v>
      </c>
      <c r="DW196" s="306" t="str">
        <f t="shared" si="53"/>
        <v>-</v>
      </c>
      <c r="DX196" s="306" t="str">
        <f t="shared" si="54"/>
        <v>-</v>
      </c>
      <c r="DY196" s="306" t="str">
        <f t="shared" si="55"/>
        <v>-</v>
      </c>
      <c r="DZ196" s="306" t="str">
        <f t="shared" si="56"/>
        <v>-</v>
      </c>
      <c r="EA196" s="367" t="str">
        <f t="shared" si="57"/>
        <v>-</v>
      </c>
      <c r="EB196" s="310" t="str">
        <f>IFERROR(__xludf.DUMMYFUNCTION("IF(REGEXMATCH(AW196,AS196),""✔"",""-"")"),"-")</f>
        <v>-</v>
      </c>
      <c r="EC196" s="310" t="str">
        <f t="shared" si="58"/>
        <v>#REF!</v>
      </c>
      <c r="ED196" s="370" t="str">
        <f t="shared" si="59"/>
        <v>-</v>
      </c>
      <c r="EE196" s="340" t="str">
        <f t="shared" si="60"/>
        <v>S-R-g-m-P-D-nN-S</v>
      </c>
      <c r="EF196" s="371" t="str">
        <f>IFERROR(__xludf.DUMMYFUNCTION("CONCATENATE(JOIN("""",HC196:HO196))"),"SrRgmPDnS")</f>
        <v>SrRgmPDnS</v>
      </c>
      <c r="EG196" s="372">
        <f t="shared" si="61"/>
        <v>2</v>
      </c>
      <c r="EH196" s="373" t="str">
        <f>IFERROR(__xludf.DUMMYFUNCTION("CONCATENATE(JOIN("""",JC196:JO196))"),"Dha, Ni, ")</f>
        <v>Dha, Ni, </v>
      </c>
      <c r="EI196" s="322">
        <f t="shared" si="62"/>
        <v>1</v>
      </c>
      <c r="EJ196" s="374" t="str">
        <f>IFERROR(__xludf.DUMMYFUNCTION("CONCATENATE(JOIN("""",KC196:KO196))"),"Ni, ")</f>
        <v>Ni, </v>
      </c>
      <c r="EK196" s="325" t="str">
        <f t="shared" si="63"/>
        <v>S-R2-G2-M1-P-D2-N2-N3-S</v>
      </c>
      <c r="EL196" s="326" t="str">
        <f t="shared" si="64"/>
        <v>1-2-b3-4-5-6-b7-7-8</v>
      </c>
      <c r="EM196" s="318" t="str">
        <f t="shared" si="65"/>
        <v>#REF!</v>
      </c>
      <c r="EN196" s="328" t="str">
        <f>IFERROR(__xludf.DUMMYFUNCTION("SUBSTITUTE(SUBSTITUTE(SUBSTITUTE(SUBSTITUTE(CONCATENATE(JOIN("" "",HP196:IB196)),""  "","" ""),""  "","" ""),""  "","" ""),""  "","" "")"),"o • o o • o • o • o o o o")</f>
        <v>o • o o • o • o • o o o o</v>
      </c>
      <c r="EO196" s="368" t="str">
        <f t="shared" si="66"/>
        <v>-</v>
      </c>
      <c r="EP196" s="339" t="str">
        <f t="shared" si="67"/>
        <v>-</v>
      </c>
      <c r="EQ196" s="339" t="str">
        <f t="shared" si="68"/>
        <v>Sa-Pa</v>
      </c>
      <c r="ER196" s="339" t="str">
        <f t="shared" si="69"/>
        <v>-</v>
      </c>
      <c r="ES196" s="340" t="str">
        <f t="shared" si="70"/>
        <v>-</v>
      </c>
      <c r="ET196" s="363"/>
      <c r="EU196" s="376" t="b">
        <f>IFERROR(__xludf.DUMMYFUNCTION("arrayformula(sum(--REGEXMATCH(""SRGMPDNS"",split(REGEXREPLACE(C196,""(.)"",""$1~""),""~""))))=len(C196)
"),FALSE)</f>
        <v>0</v>
      </c>
      <c r="EV196" s="290" t="b">
        <f>IFERROR(__xludf.DUMMYFUNCTION("arrayformula(sum(--REGEXMATCH(""SRGmPDNS"",split(REGEXREPLACE(C196,""(.)"",""$1~""),""~""))))=len(C196)"),FALSE)</f>
        <v>0</v>
      </c>
      <c r="EW196" s="290" t="b">
        <f>IFERROR(__xludf.DUMMYFUNCTION("arrayformula(sum(--REGEXMATCH(""SRGmPDnS"",split(REGEXREPLACE(C196,""(.)"",""$1~""),""~""))))=len(C196)"),FALSE)</f>
        <v>0</v>
      </c>
      <c r="EX196" s="290" t="b">
        <f>IFERROR(__xludf.DUMMYFUNCTION("arrayformula(sum(--REGEXMATCH(""SRgmPDnS"",split(REGEXREPLACE(C196,""(.)"",""$1~""),""~""))))=len(C196)"),FALSE)</f>
        <v>0</v>
      </c>
      <c r="EY196" s="290" t="b">
        <f>IFERROR(__xludf.DUMMYFUNCTION("arrayformula(sum(--REGEXMATCH(""SRgmPdnS"",split(REGEXREPLACE(C196,""(.)"",""$1~""),""~""))))=len(C196)"),FALSE)</f>
        <v>0</v>
      </c>
      <c r="EZ196" s="290" t="b">
        <f>IFERROR(__xludf.DUMMYFUNCTION("arrayformula(sum(--REGEXMATCH(""SrgmPdnS"",split(REGEXREPLACE(C196,""(.)"",""$1~""),""~""))))=len(C196)"),FALSE)</f>
        <v>0</v>
      </c>
      <c r="FA196" s="290" t="b">
        <f>IFERROR(__xludf.DUMMYFUNCTION("arrayformula(sum(--REGEXMATCH(""SrGmPdNS"",split(REGEXREPLACE(C196,""(.)"",""$1~""),""~""))))=len(C196)"),FALSE)</f>
        <v>0</v>
      </c>
      <c r="FB196" s="290" t="b">
        <f>IFERROR(__xludf.DUMMYFUNCTION("arrayformula(sum(--REGEXMATCH(""SrGMPDNS"",split(REGEXREPLACE(C196,""(.)"",""$1~""),""~""))))=len(C196)"),FALSE)</f>
        <v>0</v>
      </c>
      <c r="FC196" s="290" t="b">
        <f>IFERROR(__xludf.DUMMYFUNCTION("arrayformula(sum(--REGEXMATCH(""SrGMPdNS"",split(REGEXREPLACE(C196,""(.)"",""$1~""),""~""))))=len(C196)"),FALSE)</f>
        <v>0</v>
      </c>
      <c r="FD196" s="377" t="b">
        <f>IFERROR(__xludf.DUMMYFUNCTION("arrayformula(sum(--REGEXMATCH(""SrgMPdNS"",split(REGEXREPLACE(C196,""(.)"",""$1~""),""~""))))=len(C196)"),FALSE)</f>
        <v>0</v>
      </c>
      <c r="FE196" s="269" t="str">
        <f t="shared" si="71"/>
        <v>-</v>
      </c>
      <c r="FF196" s="269" t="str">
        <f t="shared" si="72"/>
        <v>xxoxoxoxxxx</v>
      </c>
      <c r="FG196" s="271" t="str">
        <f t="shared" si="73"/>
        <v>xoxoxoxxxxo</v>
      </c>
      <c r="FH196" s="269" t="str">
        <f t="shared" si="74"/>
        <v>-</v>
      </c>
      <c r="FI196" s="271" t="str">
        <f t="shared" si="75"/>
        <v>xoxoxxxxoxx</v>
      </c>
      <c r="FJ196" s="271" t="str">
        <f t="shared" si="76"/>
        <v>-</v>
      </c>
      <c r="FK196" s="271" t="str">
        <f t="shared" si="77"/>
        <v>xoxxxxoxxox</v>
      </c>
      <c r="FL196" s="271" t="str">
        <f t="shared" si="78"/>
        <v>-</v>
      </c>
      <c r="FM196" s="271" t="str">
        <f t="shared" si="79"/>
        <v>xxxxoxxoxox</v>
      </c>
      <c r="FN196" s="271" t="str">
        <f t="shared" si="80"/>
        <v>xxxoxxoxoxo</v>
      </c>
      <c r="FO196" s="274" t="str">
        <f t="shared" si="81"/>
        <v>xxoxxoxoxox</v>
      </c>
      <c r="FP196" s="234" t="str">
        <f t="shared" si="82"/>
        <v>|</v>
      </c>
      <c r="FQ196" s="236" t="str">
        <f t="shared" si="83"/>
        <v>-</v>
      </c>
      <c r="FR196" s="237" t="str">
        <f t="shared" si="84"/>
        <v>|</v>
      </c>
      <c r="FS196" s="236" t="str">
        <f t="shared" si="85"/>
        <v>|</v>
      </c>
      <c r="FT196" s="237" t="str">
        <f t="shared" si="86"/>
        <v>-</v>
      </c>
      <c r="FU196" s="236" t="str">
        <f t="shared" si="87"/>
        <v>|</v>
      </c>
      <c r="FV196" s="237" t="str">
        <f t="shared" si="88"/>
        <v>-</v>
      </c>
      <c r="FW196" s="236" t="str">
        <f t="shared" si="89"/>
        <v>|</v>
      </c>
      <c r="FX196" s="237" t="str">
        <f t="shared" si="90"/>
        <v>-</v>
      </c>
      <c r="FY196" s="236" t="str">
        <f t="shared" si="91"/>
        <v>|</v>
      </c>
      <c r="FZ196" s="237" t="str">
        <f t="shared" si="92"/>
        <v>|</v>
      </c>
      <c r="GA196" s="236" t="str">
        <f t="shared" si="93"/>
        <v>|</v>
      </c>
      <c r="GB196" s="238" t="str">
        <f t="shared" si="94"/>
        <v>|</v>
      </c>
      <c r="GC196" s="244" t="str">
        <f>IFERROR(__xludf.DUMMYFUNCTION("IF(REGEXMATCH(C196, ""S""), ""1"","""")"),"1")</f>
        <v>1</v>
      </c>
      <c r="GD196" s="245" t="str">
        <f>IFERROR(__xludf.DUMMYFUNCTION("IF(REGEXMATCH(C196, ""r""), ""b2"","""")"),"")</f>
        <v/>
      </c>
      <c r="GE196" s="246" t="str">
        <f>IFERROR(__xludf.DUMMYFUNCTION("IF(REGEXMATCH(C196, ""R""), ""2"","""")"),"2")</f>
        <v>2</v>
      </c>
      <c r="GF196" s="246" t="str">
        <f>IFERROR(__xludf.DUMMYFUNCTION("IF(REGEXMATCH(C196, ""g""), ""b3"","""")"),"b3")</f>
        <v>b3</v>
      </c>
      <c r="GG196" s="245" t="str">
        <f>IFERROR(__xludf.DUMMYFUNCTION("IF(REGEXMATCH(C196, ""G""), ""3"","""")"),"")</f>
        <v/>
      </c>
      <c r="GH196" s="245" t="str">
        <f>IFERROR(__xludf.DUMMYFUNCTION("IF(REGEXMATCH(C196, ""m""), ""4"","""")"),"4")</f>
        <v>4</v>
      </c>
      <c r="GI196" s="246" t="str">
        <f>IFERROR(__xludf.DUMMYFUNCTION("IF(REGEXMATCH(C196, ""M""), ""#4"","""")"),"")</f>
        <v/>
      </c>
      <c r="GJ196" s="245" t="str">
        <f>IFERROR(__xludf.DUMMYFUNCTION("IF(REGEXMATCH(C196, ""P""), ""5"","""")"),"5")</f>
        <v>5</v>
      </c>
      <c r="GK196" s="246" t="str">
        <f>IFERROR(__xludf.DUMMYFUNCTION("IF(REGEXMATCH(C196, ""d""), ""b6"","""")"),"")</f>
        <v/>
      </c>
      <c r="GL196" s="245" t="str">
        <f>IFERROR(__xludf.DUMMYFUNCTION("IF(REGEXMATCH(C196, ""D""), ""6"","""")"),"6")</f>
        <v>6</v>
      </c>
      <c r="GM196" s="245" t="str">
        <f>IFERROR(__xludf.DUMMYFUNCTION("IF(REGEXMATCH(C196, ""n""), ""b7"","""")"),"b7")</f>
        <v>b7</v>
      </c>
      <c r="GN196" s="246" t="str">
        <f>IFERROR(__xludf.DUMMYFUNCTION("IF(REGEXMATCH(C196, ""N""), ""7"","""")"),"7")</f>
        <v>7</v>
      </c>
      <c r="GO196" s="249" t="str">
        <f>IFERROR(__xludf.DUMMYFUNCTION("IF(REGEXMATCH(C196, ""S""), ""8"","""")"),"8")</f>
        <v>8</v>
      </c>
      <c r="GP196" s="244" t="str">
        <f>IFERROR(__xludf.DUMMYFUNCTION("IF(REGEXMATCH(C196, ""S""), ""S"","""")"),"S")</f>
        <v>S</v>
      </c>
      <c r="GQ196" s="294" t="str">
        <f>IFERROR(__xludf.DUMMYFUNCTION("IF(REGEXMATCH(C196, ""r""), ""R1"","""")"),"")</f>
        <v/>
      </c>
      <c r="GR196" s="295" t="str">
        <f>IFERROR(__xludf.DUMMYFUNCTION("IF(REGEXMATCH(C196, ""R""), ""R2"","""")"),"R2")</f>
        <v>R2</v>
      </c>
      <c r="GS196" s="295" t="str">
        <f>IFERROR(__xludf.DUMMYFUNCTION("IF(REGEXMATCH(C196, ""g""), ""G2"","""")"),"G2")</f>
        <v>G2</v>
      </c>
      <c r="GT196" s="294" t="str">
        <f>IFERROR(__xludf.DUMMYFUNCTION("IF(REGEXMATCH(C196, ""G""), ""G3"","""")"),"")</f>
        <v/>
      </c>
      <c r="GU196" s="294" t="str">
        <f>IFERROR(__xludf.DUMMYFUNCTION("IF(REGEXMATCH(C196, ""m""), ""M1"","""")"),"M1")</f>
        <v>M1</v>
      </c>
      <c r="GV196" s="295" t="str">
        <f>IFERROR(__xludf.DUMMYFUNCTION("IF(REGEXMATCH(C196, ""M""), ""M2"","""")"),"")</f>
        <v/>
      </c>
      <c r="GW196" s="294" t="str">
        <f>IFERROR(__xludf.DUMMYFUNCTION("IF(REGEXMATCH(C196, ""P""), ""P"","""")"),"P")</f>
        <v>P</v>
      </c>
      <c r="GX196" s="295" t="str">
        <f>IFERROR(__xludf.DUMMYFUNCTION("IF(REGEXMATCH(C196, ""d""), ""D1"","""")"),"")</f>
        <v/>
      </c>
      <c r="GY196" s="294" t="str">
        <f>IFERROR(__xludf.DUMMYFUNCTION("IF(REGEXMATCH(C196, ""D""), ""D2"","""")"),"D2")</f>
        <v>D2</v>
      </c>
      <c r="GZ196" s="294" t="str">
        <f>IFERROR(__xludf.DUMMYFUNCTION("IF(REGEXMATCH(C196, ""n""), ""N2"","""")"),"N2")</f>
        <v>N2</v>
      </c>
      <c r="HA196" s="295" t="str">
        <f>IFERROR(__xludf.DUMMYFUNCTION("IF(REGEXMATCH(C196, ""N""), ""N3"","""")"),"N3")</f>
        <v>N3</v>
      </c>
      <c r="HB196" s="249" t="str">
        <f>IFERROR(__xludf.DUMMYFUNCTION("IF(REGEXMATCH(C196, ""S""), ""S"","""")"),"S")</f>
        <v>S</v>
      </c>
      <c r="HC196" s="331" t="str">
        <f t="shared" si="95"/>
        <v>S</v>
      </c>
      <c r="HD196" s="332" t="str">
        <f t="shared" si="96"/>
        <v>r</v>
      </c>
      <c r="HE196" s="332" t="str">
        <f t="shared" si="97"/>
        <v>R</v>
      </c>
      <c r="HF196" s="332" t="str">
        <f t="shared" si="98"/>
        <v>g</v>
      </c>
      <c r="HG196" s="332" t="str">
        <f t="shared" si="99"/>
        <v/>
      </c>
      <c r="HH196" s="332" t="str">
        <f t="shared" si="100"/>
        <v>m</v>
      </c>
      <c r="HI196" s="332" t="str">
        <f t="shared" si="101"/>
        <v/>
      </c>
      <c r="HJ196" s="332" t="str">
        <f t="shared" si="102"/>
        <v>P</v>
      </c>
      <c r="HK196" s="332" t="str">
        <f t="shared" si="103"/>
        <v/>
      </c>
      <c r="HL196" s="332" t="str">
        <f t="shared" si="104"/>
        <v>D</v>
      </c>
      <c r="HM196" s="332" t="str">
        <f t="shared" si="105"/>
        <v>n</v>
      </c>
      <c r="HN196" s="332" t="str">
        <f t="shared" si="106"/>
        <v/>
      </c>
      <c r="HO196" s="343" t="str">
        <f t="shared" si="107"/>
        <v>S</v>
      </c>
      <c r="HP196" s="331" t="str">
        <f t="shared" si="108"/>
        <v>o</v>
      </c>
      <c r="HQ196" s="332" t="str">
        <f t="shared" si="109"/>
        <v>•</v>
      </c>
      <c r="HR196" s="332" t="str">
        <f t="shared" si="110"/>
        <v>o</v>
      </c>
      <c r="HS196" s="332" t="str">
        <f t="shared" si="111"/>
        <v>o</v>
      </c>
      <c r="HT196" s="332" t="str">
        <f t="shared" si="112"/>
        <v>•</v>
      </c>
      <c r="HU196" s="332" t="str">
        <f t="shared" si="113"/>
        <v>o</v>
      </c>
      <c r="HV196" s="332" t="str">
        <f t="shared" si="114"/>
        <v>•</v>
      </c>
      <c r="HW196" s="332" t="str">
        <f t="shared" si="115"/>
        <v>o</v>
      </c>
      <c r="HX196" s="332" t="str">
        <f t="shared" si="116"/>
        <v>•</v>
      </c>
      <c r="HY196" s="332" t="str">
        <f t="shared" si="117"/>
        <v>o</v>
      </c>
      <c r="HZ196" s="332" t="str">
        <f t="shared" si="118"/>
        <v>o</v>
      </c>
      <c r="IA196" s="332" t="str">
        <f t="shared" si="119"/>
        <v>o</v>
      </c>
      <c r="IB196" s="338" t="str">
        <f t="shared" si="120"/>
        <v>o</v>
      </c>
      <c r="IC196" s="331" t="str">
        <f t="shared" si="121"/>
        <v>•</v>
      </c>
      <c r="ID196" s="332" t="str">
        <f t="shared" si="122"/>
        <v>o</v>
      </c>
      <c r="IE196" s="332" t="str">
        <f t="shared" si="123"/>
        <v>•</v>
      </c>
      <c r="IF196" s="332" t="str">
        <f t="shared" si="124"/>
        <v>•</v>
      </c>
      <c r="IG196" s="332" t="str">
        <f t="shared" si="125"/>
        <v>o</v>
      </c>
      <c r="IH196" s="332" t="str">
        <f t="shared" si="126"/>
        <v>•</v>
      </c>
      <c r="II196" s="332" t="str">
        <f t="shared" si="127"/>
        <v>o</v>
      </c>
      <c r="IJ196" s="332" t="str">
        <f t="shared" si="128"/>
        <v>•</v>
      </c>
      <c r="IK196" s="332" t="str">
        <f t="shared" si="129"/>
        <v>o</v>
      </c>
      <c r="IL196" s="332" t="str">
        <f t="shared" si="130"/>
        <v>•</v>
      </c>
      <c r="IM196" s="332" t="str">
        <f t="shared" si="131"/>
        <v>•</v>
      </c>
      <c r="IN196" s="332" t="str">
        <f t="shared" si="132"/>
        <v>•</v>
      </c>
      <c r="IO196" s="338" t="str">
        <f t="shared" si="133"/>
        <v>•</v>
      </c>
      <c r="IP196" s="346" t="b">
        <f t="shared" si="134"/>
        <v>0</v>
      </c>
      <c r="IQ196" s="347" t="b">
        <f t="shared" si="135"/>
        <v>0</v>
      </c>
      <c r="IR196" s="347" t="b">
        <f t="shared" si="136"/>
        <v>0</v>
      </c>
      <c r="IS196" s="347" t="b">
        <f t="shared" si="137"/>
        <v>0</v>
      </c>
      <c r="IT196" s="347" t="b">
        <f t="shared" si="138"/>
        <v>0</v>
      </c>
      <c r="IU196" s="347" t="b">
        <f t="shared" si="139"/>
        <v>0</v>
      </c>
      <c r="IV196" s="347" t="b">
        <f t="shared" si="140"/>
        <v>0</v>
      </c>
      <c r="IW196" s="347" t="b">
        <f t="shared" si="141"/>
        <v>0</v>
      </c>
      <c r="IX196" s="347" t="b">
        <f t="shared" si="142"/>
        <v>0</v>
      </c>
      <c r="IY196" s="347" t="b">
        <f t="shared" si="143"/>
        <v>1</v>
      </c>
      <c r="IZ196" s="347" t="b">
        <f t="shared" si="144"/>
        <v>0</v>
      </c>
      <c r="JA196" s="347" t="b">
        <f t="shared" si="145"/>
        <v>1</v>
      </c>
      <c r="JB196" s="353" t="b">
        <f t="shared" si="146"/>
        <v>0</v>
      </c>
      <c r="JC196" s="354" t="str">
        <f t="shared" si="147"/>
        <v/>
      </c>
      <c r="JD196" s="355" t="str">
        <f t="shared" si="148"/>
        <v/>
      </c>
      <c r="JE196" s="355" t="str">
        <f t="shared" si="149"/>
        <v/>
      </c>
      <c r="JF196" s="355" t="str">
        <f t="shared" si="150"/>
        <v/>
      </c>
      <c r="JG196" s="355" t="str">
        <f t="shared" si="151"/>
        <v/>
      </c>
      <c r="JH196" s="355" t="str">
        <f t="shared" si="152"/>
        <v/>
      </c>
      <c r="JI196" s="355" t="str">
        <f t="shared" si="153"/>
        <v/>
      </c>
      <c r="JJ196" s="355" t="str">
        <f t="shared" si="154"/>
        <v/>
      </c>
      <c r="JK196" s="355" t="str">
        <f t="shared" si="155"/>
        <v/>
      </c>
      <c r="JL196" s="355" t="str">
        <f t="shared" si="156"/>
        <v>Dha, </v>
      </c>
      <c r="JM196" s="355" t="str">
        <f t="shared" si="157"/>
        <v/>
      </c>
      <c r="JN196" s="355" t="str">
        <f t="shared" si="158"/>
        <v>Ni, </v>
      </c>
      <c r="JO196" s="359" t="str">
        <f t="shared" si="159"/>
        <v/>
      </c>
      <c r="JP196" s="346" t="b">
        <f t="shared" si="160"/>
        <v>0</v>
      </c>
      <c r="JQ196" s="347" t="b">
        <f t="shared" si="161"/>
        <v>0</v>
      </c>
      <c r="JR196" s="347" t="b">
        <f t="shared" si="162"/>
        <v>0</v>
      </c>
      <c r="JS196" s="347" t="b">
        <f t="shared" si="163"/>
        <v>0</v>
      </c>
      <c r="JT196" s="347" t="b">
        <f t="shared" si="164"/>
        <v>0</v>
      </c>
      <c r="JU196" s="347" t="b">
        <f t="shared" si="165"/>
        <v>0</v>
      </c>
      <c r="JV196" s="347" t="b">
        <f t="shared" si="166"/>
        <v>0</v>
      </c>
      <c r="JW196" s="347" t="b">
        <f t="shared" si="167"/>
        <v>0</v>
      </c>
      <c r="JX196" s="347" t="b">
        <f t="shared" si="168"/>
        <v>0</v>
      </c>
      <c r="JY196" s="347" t="b">
        <f t="shared" si="169"/>
        <v>0</v>
      </c>
      <c r="JZ196" s="347" t="b">
        <f t="shared" si="170"/>
        <v>0</v>
      </c>
      <c r="KA196" s="347" t="b">
        <f t="shared" si="171"/>
        <v>1</v>
      </c>
      <c r="KB196" s="365" t="b">
        <f t="shared" si="172"/>
        <v>0</v>
      </c>
      <c r="KC196" s="354" t="str">
        <f t="shared" si="173"/>
        <v/>
      </c>
      <c r="KD196" s="355" t="str">
        <f t="shared" si="174"/>
        <v/>
      </c>
      <c r="KE196" s="355" t="str">
        <f t="shared" si="175"/>
        <v/>
      </c>
      <c r="KF196" s="355" t="str">
        <f t="shared" si="176"/>
        <v/>
      </c>
      <c r="KG196" s="355" t="str">
        <f t="shared" si="177"/>
        <v/>
      </c>
      <c r="KH196" s="355" t="str">
        <f t="shared" si="178"/>
        <v/>
      </c>
      <c r="KI196" s="355" t="str">
        <f t="shared" si="179"/>
        <v/>
      </c>
      <c r="KJ196" s="355" t="str">
        <f t="shared" si="180"/>
        <v/>
      </c>
      <c r="KK196" s="355" t="str">
        <f t="shared" si="181"/>
        <v/>
      </c>
      <c r="KL196" s="355" t="str">
        <f t="shared" si="182"/>
        <v/>
      </c>
      <c r="KM196" s="355" t="str">
        <f t="shared" si="183"/>
        <v/>
      </c>
      <c r="KN196" s="355" t="str">
        <f t="shared" si="184"/>
        <v>Ni, </v>
      </c>
      <c r="KO196" s="359"/>
      <c r="KP196" s="378"/>
      <c r="KQ196" s="379" t="s">
        <v>1434</v>
      </c>
      <c r="KR196" s="380" t="s">
        <v>1297</v>
      </c>
      <c r="KS196" s="381" t="str">
        <f>KQ196</f>
        <v>S-R-m-P-N-S</v>
      </c>
      <c r="KT196" s="382">
        <f t="shared" si="186"/>
        <v>5</v>
      </c>
      <c r="KU196" s="383">
        <f t="shared" si="187"/>
        <v>5</v>
      </c>
      <c r="KV196" s="381" t="str">
        <f t="shared" si="205"/>
        <v>S-n-D-P-m-g-R-S</v>
      </c>
      <c r="KW196" s="382">
        <f t="shared" si="189"/>
        <v>7</v>
      </c>
      <c r="KX196" s="384">
        <f t="shared" si="190"/>
        <v>7</v>
      </c>
      <c r="KY196" s="382">
        <f t="shared" ref="KY196:KZ196" si="607">KW196-KT196</f>
        <v>2</v>
      </c>
      <c r="KZ196" s="369">
        <f t="shared" si="607"/>
        <v>2</v>
      </c>
      <c r="LA196" s="385" t="str">
        <f t="shared" si="192"/>
        <v>-</v>
      </c>
      <c r="LB196" s="340" t="str">
        <f>IFERROR(__xludf.DUMMYFUNCTION("JOIN("""",ArrayFormula(MID(KS196,LEN(KS196)-SEQUENCE(1,LEN(KS196))+1,1)))"),"S-N-P-m-R-S")</f>
        <v>S-N-P-m-R-S</v>
      </c>
      <c r="LC196" s="373" t="str">
        <f>IFERROR(__xludf.DUMMYFUNCTION("JOIN("""",ArrayFormula(MID(KV196,LEN(KV196)-SEQUENCE(1,LEN(KV196))+1,1)))"),"S-R-g-m-P-D-n-S")</f>
        <v>S-R-g-m-P-D-n-S</v>
      </c>
      <c r="LD196" s="373" t="str">
        <f t="shared" si="193"/>
        <v>SRmPNS</v>
      </c>
      <c r="LE196" s="339" t="str">
        <f t="shared" si="194"/>
        <v>SRgmPDnS</v>
      </c>
      <c r="LF196" s="386" t="str">
        <f>IFERROR(__xludf.DUMMYFUNCTION("SUBSTITUTE(SUBSTITUTE(CONCATENATE(JOIN("""",LH196:LT196)),""1"",""""),""2"","""")"),"SRgmPDnNS")</f>
        <v>SRgmPDnNS</v>
      </c>
      <c r="LG196" s="369" t="str">
        <f t="shared" si="195"/>
        <v>✔</v>
      </c>
      <c r="LH196" s="387" t="str">
        <f>IFERROR(__xludf.DUMMYFUNCTION("IF(REGEXMATCH(LD196, ""S""), ""S"",IF(REGEXMATCH(LE196, ""S""), ""S"",""""))"),"S")</f>
        <v>S</v>
      </c>
      <c r="LI196" s="299" t="str">
        <f>IFERROR(__xludf.DUMMYFUNCTION("IF(REGEXMATCH(LD196, ""r""), ""r1"",IF(REGEXMATCH(LE196, ""r""), ""r2"",""""))"),"")</f>
        <v/>
      </c>
      <c r="LJ196" s="299" t="str">
        <f>IFERROR(__xludf.DUMMYFUNCTION("IF(REGEXMATCH(LD196, ""R""), ""R1"",IF(REGEXMATCH(LE196, ""R""), ""R2"",""""))"),"R1")</f>
        <v>R1</v>
      </c>
      <c r="LK196" s="299" t="str">
        <f>IFERROR(__xludf.DUMMYFUNCTION("IF(REGEXMATCH(LD196, ""g""), ""g1"",IF(REGEXMATCH(LE196, ""g""), ""g2"",""""))"),"g2")</f>
        <v>g2</v>
      </c>
      <c r="LL196" s="299" t="str">
        <f>IFERROR(__xludf.DUMMYFUNCTION("IF(REGEXMATCH(LD196, ""G""), ""G1"",IF(REGEXMATCH(LE196, ""G""), ""G2"",""""))"),"")</f>
        <v/>
      </c>
      <c r="LM196" s="299" t="str">
        <f>IFERROR(__xludf.DUMMYFUNCTION("IF(REGEXMATCH(LD196, ""m""), ""m1"",IF(REGEXMATCH(LE196, ""m""), ""m2"",""""))"),"m1")</f>
        <v>m1</v>
      </c>
      <c r="LN196" s="299" t="str">
        <f>IFERROR(__xludf.DUMMYFUNCTION("IF(REGEXMATCH(LD196, ""M""), ""M1"",IF(REGEXMATCH(LE196, ""M""), ""M2"",""""))"),"")</f>
        <v/>
      </c>
      <c r="LO196" s="299" t="str">
        <f>IFERROR(__xludf.DUMMYFUNCTION("IF(REGEXMATCH(LD196, ""P""), ""P1"",IF(REGEXMATCH(LE196, ""P""), ""P2"",""""))"),"P1")</f>
        <v>P1</v>
      </c>
      <c r="LP196" s="299" t="str">
        <f>IFERROR(__xludf.DUMMYFUNCTION("IF(REGEXMATCH(LD196, ""d""), ""d1"",IF(REGEXMATCH(LE196, ""d""), ""d2"",""""))"),"")</f>
        <v/>
      </c>
      <c r="LQ196" s="299" t="str">
        <f>IFERROR(__xludf.DUMMYFUNCTION("IF(REGEXMATCH(LD196, ""D""), ""D1"",IF(REGEXMATCH(LE196, ""D""), ""D2"",""""))"),"D2")</f>
        <v>D2</v>
      </c>
      <c r="LR196" s="299" t="str">
        <f>IFERROR(__xludf.DUMMYFUNCTION("IF(REGEXMATCH(LD196, ""n""), ""n1"",IF(REGEXMATCH(LE196, ""n""), ""n2"",""""))"),"n2")</f>
        <v>n2</v>
      </c>
      <c r="LS196" s="299" t="str">
        <f>IFERROR(__xludf.DUMMYFUNCTION("IF(REGEXMATCH(LD196, ""N""), ""N1"",IF(REGEXMATCH(LE196, ""N""), ""N2"",""""))"),"N1")</f>
        <v>N1</v>
      </c>
      <c r="LT196" s="388" t="str">
        <f>IFERROR(__xludf.DUMMYFUNCTION("IF(REGEXMATCH(LD196, ""S""), ""S"",IF(REGEXMATCH(LE196, ""S""), ""S"",""""))"),"S")</f>
        <v>S</v>
      </c>
      <c r="LU196" s="389">
        <f t="shared" si="196"/>
        <v>-3</v>
      </c>
      <c r="LV196" s="378"/>
      <c r="LW196" s="369"/>
      <c r="LX196" s="369"/>
    </row>
    <row r="197" ht="18.0" customHeight="1">
      <c r="A197" s="298" t="s">
        <v>919</v>
      </c>
      <c r="B197" s="222" t="s">
        <v>612</v>
      </c>
      <c r="C197" s="233" t="str">
        <f t="shared" si="7"/>
        <v>SRgGmPDnS</v>
      </c>
      <c r="D197" s="234" t="str">
        <f>IFERROR(__xludf.DUMMYFUNCTION("IF(REGEXMATCH(C197, ""S""), ""S"","""")"),"S")</f>
        <v>S</v>
      </c>
      <c r="E197" s="236" t="str">
        <f>IFERROR(__xludf.DUMMYFUNCTION("IF(REGEXMATCH(C197, ""r""), ""r"","""")"),"")</f>
        <v/>
      </c>
      <c r="F197" s="237" t="str">
        <f>IFERROR(__xludf.DUMMYFUNCTION("IF(REGEXMATCH(C197, ""R""), ""R"","""")"),"R")</f>
        <v>R</v>
      </c>
      <c r="G197" s="237" t="str">
        <f>IFERROR(__xludf.DUMMYFUNCTION("IF(REGEXMATCH(C197, ""g""), ""g"","""")"),"g")</f>
        <v>g</v>
      </c>
      <c r="H197" s="236" t="str">
        <f>IFERROR(__xludf.DUMMYFUNCTION("IF(REGEXMATCH(C197, ""G""), ""G"","""")"),"G")</f>
        <v>G</v>
      </c>
      <c r="I197" s="236" t="str">
        <f>IFERROR(__xludf.DUMMYFUNCTION("IF(REGEXMATCH(C197, ""m""), ""m"","""")"),"m")</f>
        <v>m</v>
      </c>
      <c r="J197" s="237" t="str">
        <f>IFERROR(__xludf.DUMMYFUNCTION("IF(REGEXMATCH(C197, ""M""), ""M"","""")"),"")</f>
        <v/>
      </c>
      <c r="K197" s="236" t="str">
        <f>IFERROR(__xludf.DUMMYFUNCTION("IF(REGEXMATCH(C197, ""P""), ""P"","""")"),"P")</f>
        <v>P</v>
      </c>
      <c r="L197" s="237" t="str">
        <f>IFERROR(__xludf.DUMMYFUNCTION("IF(REGEXMATCH(C197, ""d""), ""d"","""")"),"")</f>
        <v/>
      </c>
      <c r="M197" s="236" t="str">
        <f>IFERROR(__xludf.DUMMYFUNCTION("IF(REGEXMATCH(C197, ""D""), ""D"","""")"),"D")</f>
        <v>D</v>
      </c>
      <c r="N197" s="236" t="str">
        <f>IFERROR(__xludf.DUMMYFUNCTION("IF(REGEXMATCH(C197, ""n""), ""n"","""")"),"n")</f>
        <v>n</v>
      </c>
      <c r="O197" s="237" t="str">
        <f>IFERROR(__xludf.DUMMYFUNCTION("IF(REGEXMATCH(C197, ""N""), ""N"","""")"),"")</f>
        <v/>
      </c>
      <c r="P197" s="238" t="str">
        <f>IFERROR(__xludf.DUMMYFUNCTION("IF(REGEXMATCH(C197, ""S""), ""S"","""")"),"S")</f>
        <v>S</v>
      </c>
      <c r="Q197" s="239" t="str">
        <f>IFERROR(__xludf.DUMMYFUNCTION("SUBSTITUTE(CONCATENATE(JOIN(""-"",D197:J197)),""-"","""")"),"SRgGm")</f>
        <v>SRgGm</v>
      </c>
      <c r="R197" s="229" t="str">
        <f>IFERROR(__xludf.DUMMYFUNCTION("SUBSTITUTE(CONCATENATE(JOIN(""-"",K197:P197)),""-"","""")"),"PDnS")</f>
        <v>PDnS</v>
      </c>
      <c r="S197" s="282" t="str">
        <f t="shared" si="8"/>
        <v>S-R-G-M</v>
      </c>
      <c r="T197" s="282" t="str">
        <f t="shared" si="9"/>
        <v>P-D-N-S</v>
      </c>
      <c r="U197" s="237" t="str">
        <f>IFERROR(__xludf.DUMMYFUNCTION("SUBSTITUTE(JOIN(""-"",S197,T197),""--"",""-"")"),"S-R-G-M-P-D-N-S")</f>
        <v>S-R-G-M-P-D-N-S</v>
      </c>
      <c r="V197" s="309" t="str">
        <f t="shared" si="10"/>
        <v>RgGmDn</v>
      </c>
      <c r="W197" s="244" t="str">
        <f>IFERROR(__xludf.DUMMYFUNCTION("IF(REGEXMATCH(C197, ""S""), ""0"","""")"),"0")</f>
        <v>0</v>
      </c>
      <c r="X197" s="245" t="str">
        <f>IFERROR(__xludf.DUMMYFUNCTION("IF(REGEXMATCH(C197, ""r""), ""1"","""")"),"")</f>
        <v/>
      </c>
      <c r="Y197" s="246" t="str">
        <f>IFERROR(__xludf.DUMMYFUNCTION("IF(REGEXMATCH(C197, ""R""), ""2"","""")"),"2")</f>
        <v>2</v>
      </c>
      <c r="Z197" s="246" t="str">
        <f>IFERROR(__xludf.DUMMYFUNCTION("IF(REGEXMATCH(C197, ""g""), ""3"","""")"),"3")</f>
        <v>3</v>
      </c>
      <c r="AA197" s="245" t="str">
        <f>IFERROR(__xludf.DUMMYFUNCTION("IF(REGEXMATCH(C197, ""G""), ""4"","""")"),"4")</f>
        <v>4</v>
      </c>
      <c r="AB197" s="245" t="str">
        <f>IFERROR(__xludf.DUMMYFUNCTION("IF(REGEXMATCH(C197, ""m""), ""5"","""")"),"5")</f>
        <v>5</v>
      </c>
      <c r="AC197" s="246" t="str">
        <f>IFERROR(__xludf.DUMMYFUNCTION("IF(REGEXMATCH(C197, ""M""), ""6"","""")"),"")</f>
        <v/>
      </c>
      <c r="AD197" s="245" t="str">
        <f>IFERROR(__xludf.DUMMYFUNCTION("IF(REGEXMATCH(C197, ""P""), ""7"","""")"),"7")</f>
        <v>7</v>
      </c>
      <c r="AE197" s="246" t="str">
        <f>IFERROR(__xludf.DUMMYFUNCTION("IF(REGEXMATCH(C197, ""d""), ""8"","""")"),"")</f>
        <v/>
      </c>
      <c r="AF197" s="245" t="str">
        <f>IFERROR(__xludf.DUMMYFUNCTION("IF(REGEXMATCH(C197, ""D""), ""9"","""")"),"9")</f>
        <v>9</v>
      </c>
      <c r="AG197" s="245" t="str">
        <f>IFERROR(__xludf.DUMMYFUNCTION("IF(REGEXMATCH(C197, ""n""), ""10"","""")"),"10")</f>
        <v>10</v>
      </c>
      <c r="AH197" s="246" t="str">
        <f>IFERROR(__xludf.DUMMYFUNCTION("IF(REGEXMATCH(C197, ""N""), ""11"","""")"),"")</f>
        <v/>
      </c>
      <c r="AI197" s="249" t="str">
        <f>IFERROR(__xludf.DUMMYFUNCTION("IF(REGEXMATCH(C197, ""S""), ""0"","""")"),"0")</f>
        <v>0</v>
      </c>
      <c r="AJ197" s="313" t="str">
        <f t="shared" si="11"/>
        <v>-</v>
      </c>
      <c r="AK197" s="313" t="str">
        <f t="shared" si="12"/>
        <v>-</v>
      </c>
      <c r="AL197" s="313" t="str">
        <f t="shared" si="13"/>
        <v>-</v>
      </c>
      <c r="AM197" s="313" t="str">
        <f t="shared" si="14"/>
        <v>T</v>
      </c>
      <c r="AN197" s="313" t="str">
        <f t="shared" si="15"/>
        <v>T</v>
      </c>
      <c r="AO197" s="314" t="str">
        <f t="shared" si="16"/>
        <v>-</v>
      </c>
      <c r="AP197" s="316">
        <f t="shared" si="17"/>
        <v>2</v>
      </c>
      <c r="AQ197" s="319" t="str">
        <f t="shared" si="18"/>
        <v>-</v>
      </c>
      <c r="AR197" s="320">
        <f t="shared" si="19"/>
        <v>0</v>
      </c>
      <c r="AS197" s="250" t="str">
        <f>IFERROR(__xludf.DUMMYFUNCTION("SUBSTITUTE(SUBSTITUTE(CONCATENATE(JOIN("""",FP197:GA197)),""|"",""x""),""-"",""o"")"),"xoxxxxoxoxxo")</f>
        <v>xoxxxxoxoxxo</v>
      </c>
      <c r="AT197" s="323" t="str">
        <f>IFERROR(__xludf.DUMMYFUNCTION("JOIN("""",AS197,AS197)"),"xoxxxxoxoxxoxoxxxxoxoxxo")</f>
        <v>xoxxxxoxoxxoxoxxxxoxoxxo</v>
      </c>
      <c r="AU197" s="256" t="str">
        <f>IFERROR(__xludf.DUMMYFUNCTION("JOIN("""",ArrayFormula(MID(AS197,LEN(AS197)-SEQUENCE(1,LEN(AS197))+1,1)))"),"oxxoxoxxxxox")</f>
        <v>oxxoxoxxxxox</v>
      </c>
      <c r="AV197" s="256" t="str">
        <f>IFERROR(__xludf.DUMMYFUNCTION("LEFT(CONCATENATE(""x"",JOIN("""",ArrayFormula(MID(AS197,LEN(AS197)-SEQUENCE(1,LEN(AS197))+1,1)))),12)"),"xoxxoxoxxxxo")</f>
        <v>xoxxoxoxxxxo</v>
      </c>
      <c r="AW197" s="327" t="str">
        <f>IFERROR(__xludf.DUMMYFUNCTION("JOIN("""",AU197,AU197)"),"oxxoxoxxxxoxoxxoxoxxxxox")</f>
        <v>oxxoxoxxxxoxoxxoxoxxxxox</v>
      </c>
      <c r="AX197" s="239" t="str">
        <f>IFERROR(__xludf.DUMMYFUNCTION("IF(REGEXMATCH(AW197,AS197),""✔"",""-"")"),"✔")</f>
        <v>✔</v>
      </c>
      <c r="AY197" s="330" t="str">
        <f t="shared" si="20"/>
        <v>-</v>
      </c>
      <c r="AZ197" s="260" t="str">
        <f t="shared" si="21"/>
        <v>#REF!</v>
      </c>
      <c r="BA197" s="333" t="str">
        <f t="shared" si="22"/>
        <v>xoxxxxo</v>
      </c>
      <c r="BB197" s="334" t="str">
        <f t="shared" si="23"/>
        <v>xoxxox</v>
      </c>
      <c r="BC197" s="335" t="str">
        <f t="shared" si="236"/>
        <v>-</v>
      </c>
      <c r="BD197" s="336" t="str">
        <f t="shared" si="25"/>
        <v>Lankeshwari: 'xoxxxxo' + 'xoxxox'</v>
      </c>
      <c r="BE197" s="337">
        <f>IFERROR(__xludf.DUMMYFUNCTION("COUNTUNIQUE(FILTER(AT:AT,REGEXMATCH(AT:AT,AS197)))-1"),3.0)</f>
        <v>3</v>
      </c>
      <c r="BF197" s="261" t="str">
        <f>IFERROR(__xludf.DUMMYFUNCTION("IF(BI197=0,""(n/a)"",IF(BJ197=2,""(PAIR)"",IF(REGEXMATCH(AT197,""xoxoxxoxoxox""),""Bilawal"",IF(REGEXMATCH(AT197,""xoxoxooxoxoo""),""Bhupali"",IF(REGEXMATCH(AT197,""xoxoxxoxxoxo""),""Charukeshi"",IF(REGEXMATCH(AT197,""xoxoooxxoxxo""),""Kameshwari"",IF(REG"&amp;"EXMATCH(AT197,""xoxoxooxoxox""),""Shankara"",IF(REGEXMATCH(AT197,""xxooxoxxxoox""),""Basant"",IF(REGEXMATCH(AT197,""xoxoxxxxoxox""),""Bihag"",IF(REGEXMATCH(AT197,""xoxxxxoxoxxx""),""Pilu"",IF(REGEXMATCH(AT197,""xoxxoxoxxoox""),""Kirwani"",IF(REGEXMATCH(AT"&amp;"197,""xoxxoxoxoxxx""),""Mk.Malhar"",IF(REGEXMATCH(AT197,""xxooxxoxxoox""),""Bhairav"",IF(REGEXMATCH(AT197,""xxoxooxxxoox""),""Todi"",IF(REGEXMATCH(AT197,""xxooxoxooxox""),""Marwa"",IF(REGEXMATCH(AT197,""xxoooxoxxooo""),""Gunkali"",IF(REGEXMATCH(AT197,""xo"&amp;"xoxxoxxoox""),""Nat Bhairav"",IF(REGEXMATCH(AT197,""xoxxoooxoxoo""),""Shivranjani"",IF(REGEXMATCH(AT197,""xooxxxoxooxo""),""Jog"",IF(REGEXMATCH(AT197,""xxooxoxoxoox""),""Hemshri"",IF(REGEXMATCH(AT197,""xoooxooxoxxo""),""Kalavati"",IF(REGEXMATCH(AT197,""xx"&amp;"oxoxxoxoox""),""Kedar"",IF(REGEXMATCH(AT197,""xoxxxxoxooxx""),""Gara"",IF(REGEXMATCH(AT197,""xooxoxooxoox""),""Chandrakauns"",IF(REGEXMATCH(AT197,""xoxxxxoxxxox""),""Mand"",IF(REGEXMATCH(AT197,""xoxxxxoxoxox""),""Hanskinkini"",IF(REGEXMATCH(AT197,""xxooxx"&amp;"oxooxo""),""Lilavati"",IF(REGEXMATCH(AT197,""xooxoxoooxox""),""Rajeshwari"",IF(REGEXMATCH(AT197,""xoooxxoxoxxx""),""Khokar"",IF(REGEXMATCH(AT197,""xxooxoxxxxox""),""Maligoura"",""-""))))))))))))))))))))))))))))))"),"Bihag")</f>
        <v>Bihag</v>
      </c>
      <c r="BG197" s="239" t="str">
        <f t="shared" si="26"/>
        <v>#REF!</v>
      </c>
      <c r="BH197" s="239">
        <f>IFERROR(__xludf.DUMMYFUNCTION("COUNTUNIQUE(FE197:FO197)-1"),7.0)</f>
        <v>7</v>
      </c>
      <c r="BI197" s="239">
        <f>IFERROR(__xludf.DUMMYFUNCTION("COUNTUNIQUE(FILTER(AT:AT,REGEXMATCH(AT:AT,AS197)))-1"),3.0)</f>
        <v>3</v>
      </c>
      <c r="BJ197" s="239">
        <f>IFERROR(__xludf.DUMMYFUNCTION("COUNTA(FILTER(AT:AT,REGEXMATCH(AT:AT,AS197)))"),36.0)</f>
        <v>36</v>
      </c>
      <c r="BK197" s="341">
        <f>IFERROR(__xludf.DUMMYFUNCTION("COUNTA(FILTER(AT:AT,REGEXMATCH(AT:AT,AS197)))-AR197"),36.0)</f>
        <v>36</v>
      </c>
      <c r="BL197" s="276" t="str">
        <f>IFERROR(__xludf.DUMMYFUNCTION("IF(AS197=""oooooooooooo"",""-"",IF(REGEXMATCH(AT197,""xx""), ""Hemi."", ""Anhemi.""))"),"Hemi.")</f>
        <v>Hemi.</v>
      </c>
      <c r="BM197" s="282" t="str">
        <f>IFERROR(__xludf.DUMMYFUNCTION("IF(AS197=""oooooooooooo"",""-"",IF(REGEXMATCH(AT197,""xxx""), ""Cohem."", ""-""))"),"Cohem.")</f>
        <v>Cohem.</v>
      </c>
      <c r="BN197" s="282" t="str">
        <f>IFERROR(__xludf.DUMMYFUNCTION("IF(AS197=""oooooooooooo"",""-"",IF(REGEXMATCH(AT197,""xxxx""), ""Co-Co."", ""-""))"),"Co-Co.")</f>
        <v>Co-Co.</v>
      </c>
      <c r="BO197" s="342" t="str">
        <f>IFERROR(__xludf.DUMMYFUNCTION("IF(AS197=""oooooooooooo"",""-"",IF(REGEXMATCH(AT197,""xxxxx""), ""CCC."", ""-""))"),"-")</f>
        <v>-</v>
      </c>
      <c r="BP197" s="344" t="str">
        <f t="shared" si="27"/>
        <v>-</v>
      </c>
      <c r="BQ197" s="282" t="str">
        <f>IFERROR(__xludf.DUMMYFUNCTION("IF(REGEXMATCH(JOIN(""-"",EU197:FD197),""TRUE""),""✔"",""-"")"),"-")</f>
        <v>-</v>
      </c>
      <c r="BR197" s="225">
        <f t="shared" si="28"/>
        <v>0</v>
      </c>
      <c r="BS197" s="345" t="str">
        <f>IFERROR(__xludf.DUMMYFUNCTION("SUBSTITUTE(SUBSTITUTE(SUBSTITUTE(SUBSTITUTE(CONCATENATE(JOIN(""-"",GC197:GO197)),""--"",""-""),""--"",""-""),""--"",""-""),""--"",""-"")"),"1-2-b3-3-4-5-6-b7-8")</f>
        <v>1-2-b3-3-4-5-6-b7-8</v>
      </c>
      <c r="BT197" s="299" t="str">
        <f>IFERROR(__xludf.DUMMYFUNCTION("SUBSTITUTE(SUBSTITUTE(SUBSTITUTE(SUBSTITUTE(CONCATENATE(JOIN(""-"",GP197:HB197)),""--"",""-""),""--"",""-""),""--"",""-""),""--"",""-"")"),"S-R2-G2-G3-M1-P-D2-N2-S")</f>
        <v>S-R2-G2-G3-M1-P-D2-N2-S</v>
      </c>
      <c r="BU197" s="348" t="str">
        <f t="shared" si="29"/>
        <v>C-D-Eb-E-F-G-A-Bb-C</v>
      </c>
      <c r="BV197" s="349" t="str">
        <f t="shared" si="30"/>
        <v>SrMdNS</v>
      </c>
      <c r="BW197" s="350">
        <f t="shared" si="31"/>
        <v>0</v>
      </c>
      <c r="BX197" s="351">
        <f t="shared" si="32"/>
        <v>5</v>
      </c>
      <c r="BY197" s="392"/>
      <c r="BZ197" s="309" t="str">
        <f>IFERROR(__xludf.DUMMYFUNCTION("IF(REGEXMATCH(C197, ""S""), ""x"",""x"")"),"x")</f>
        <v>x</v>
      </c>
      <c r="CA197" s="245" t="str">
        <f>IFERROR(__xludf.DUMMYFUNCTION("IF(REGEXMATCH(C197, ""r""), ""o"",""x"")"),"x")</f>
        <v>x</v>
      </c>
      <c r="CB197" s="246" t="str">
        <f>IFERROR(__xludf.DUMMYFUNCTION("IF(REGEXMATCH(C197, ""R""), ""o"",""x"")"),"o")</f>
        <v>o</v>
      </c>
      <c r="CC197" s="246" t="str">
        <f>IFERROR(__xludf.DUMMYFUNCTION("IF(REGEXMATCH(C197, ""g""), ""o"",""x"")"),"o")</f>
        <v>o</v>
      </c>
      <c r="CD197" s="245" t="str">
        <f>IFERROR(__xludf.DUMMYFUNCTION("IF(REGEXMATCH(C197, ""G""), ""o"",""x"")"),"o")</f>
        <v>o</v>
      </c>
      <c r="CE197" s="245" t="str">
        <f>IFERROR(__xludf.DUMMYFUNCTION("IF(REGEXMATCH(C197, ""m""), ""o"",""x"")"),"o")</f>
        <v>o</v>
      </c>
      <c r="CF197" s="246" t="str">
        <f>IFERROR(__xludf.DUMMYFUNCTION("IF(REGEXMATCH(C197, ""M""), ""o"",""x"")"),"x")</f>
        <v>x</v>
      </c>
      <c r="CG197" s="245" t="str">
        <f>IFERROR(__xludf.DUMMYFUNCTION("IF(REGEXMATCH(C197, ""P""), ""o"",""x"")"),"o")</f>
        <v>o</v>
      </c>
      <c r="CH197" s="246" t="str">
        <f>IFERROR(__xludf.DUMMYFUNCTION("IF(REGEXMATCH(C197, ""d""), ""o"",""x"")"),"x")</f>
        <v>x</v>
      </c>
      <c r="CI197" s="245" t="str">
        <f>IFERROR(__xludf.DUMMYFUNCTION("IF(REGEXMATCH(C197, ""D""), ""o"",""x"")"),"o")</f>
        <v>o</v>
      </c>
      <c r="CJ197" s="245" t="str">
        <f>IFERROR(__xludf.DUMMYFUNCTION("IF(REGEXMATCH(C197, ""n""), ""o"",""x"")"),"o")</f>
        <v>o</v>
      </c>
      <c r="CK197" s="245" t="str">
        <f>IFERROR(__xludf.DUMMYFUNCTION("IF(REGEXMATCH(C197, ""N""), ""o"",""x"")"),"x")</f>
        <v>x</v>
      </c>
      <c r="CL197" s="356" t="str">
        <f>IFERROR(__xludf.DUMMYFUNCTION("IF(REGEXMATCH(C197, ""S""), ""x"",""x"")"),"x")</f>
        <v>x</v>
      </c>
      <c r="CM197" s="357" t="str">
        <f t="shared" si="33"/>
        <v>xxooooxoxoox</v>
      </c>
      <c r="CN197" s="358">
        <f t="shared" si="34"/>
        <v>0</v>
      </c>
      <c r="CO197" s="246" t="str">
        <f>IFERROR(__xludf.DUMMYFUNCTION("IF(REGEXMATCH($C197, ""S""), ""S"",""S"")"),"S")</f>
        <v>S</v>
      </c>
      <c r="CP197" s="246" t="str">
        <f>IFERROR(__xludf.DUMMYFUNCTION("IF(REGEXMATCH($C197, ""r""), """",""r"")"),"r")</f>
        <v>r</v>
      </c>
      <c r="CQ197" s="246" t="str">
        <f>IFERROR(__xludf.DUMMYFUNCTION("IF(REGEXMATCH($C197, ""R""), """",""R"")"),"")</f>
        <v/>
      </c>
      <c r="CR197" s="246" t="str">
        <f>IFERROR(__xludf.DUMMYFUNCTION("IF(REGEXMATCH($C197, ""g""), """",""g"")"),"")</f>
        <v/>
      </c>
      <c r="CS197" s="246" t="str">
        <f>IFERROR(__xludf.DUMMYFUNCTION("IF(REGEXMATCH($C197, ""G""), """",""G"")"),"")</f>
        <v/>
      </c>
      <c r="CT197" s="246" t="str">
        <f>IFERROR(__xludf.DUMMYFUNCTION("IF(REGEXMATCH($C197, ""m""), """",""m"")"),"")</f>
        <v/>
      </c>
      <c r="CU197" s="246" t="str">
        <f>IFERROR(__xludf.DUMMYFUNCTION("IF(REGEXMATCH($C197, ""M""), """",""M"")"),"M")</f>
        <v>M</v>
      </c>
      <c r="CV197" s="246" t="str">
        <f>IFERROR(__xludf.DUMMYFUNCTION("IF(REGEXMATCH($C197, ""P""), """",""P"")"),"")</f>
        <v/>
      </c>
      <c r="CW197" s="246" t="str">
        <f>IFERROR(__xludf.DUMMYFUNCTION("IF(REGEXMATCH($C197, ""d""), """",""d"")"),"d")</f>
        <v>d</v>
      </c>
      <c r="CX197" s="246" t="str">
        <f>IFERROR(__xludf.DUMMYFUNCTION("IF(REGEXMATCH($C197, ""D""), """",""D"")"),"")</f>
        <v/>
      </c>
      <c r="CY197" s="246" t="str">
        <f>IFERROR(__xludf.DUMMYFUNCTION("IF(REGEXMATCH($C197, ""n""), """",""n"")"),"")</f>
        <v/>
      </c>
      <c r="CZ197" s="246" t="str">
        <f>IFERROR(__xludf.DUMMYFUNCTION("IF(REGEXMATCH($C197, ""N""), """",""N"")"),"N")</f>
        <v>N</v>
      </c>
      <c r="DA197" s="246" t="str">
        <f>IFERROR(__xludf.DUMMYFUNCTION("IF(REGEXMATCH($C197, ""S""), ""S"",""S"")"),"S")</f>
        <v>S</v>
      </c>
      <c r="DB197" s="362" t="str">
        <f>IFERROR(__xludf.DUMMYFUNCTION("JOIN("""",CO197:DA197,"""","""")"),"SrMdNS")</f>
        <v>SrMdNS</v>
      </c>
      <c r="DC197" s="363"/>
      <c r="DD197" s="301" t="str">
        <f t="shared" si="35"/>
        <v>#REF!</v>
      </c>
      <c r="DE197" s="302" t="str">
        <f t="shared" si="36"/>
        <v>#REF!</v>
      </c>
      <c r="DF197" s="301" t="str">
        <f t="shared" ref="DF197:DG197" si="608">SUBSTITUTE(S197,"-","")</f>
        <v>SRGM</v>
      </c>
      <c r="DG197" s="301" t="str">
        <f t="shared" si="608"/>
        <v>PDNS</v>
      </c>
      <c r="DH197" s="302" t="str">
        <f t="shared" si="38"/>
        <v>Bihag</v>
      </c>
      <c r="DI197" s="301" t="str">
        <f t="shared" si="39"/>
        <v>Hemi.</v>
      </c>
      <c r="DJ197" s="364" t="str">
        <f t="shared" si="40"/>
        <v>Co-Co.</v>
      </c>
      <c r="DK197" s="306" t="str">
        <f t="shared" si="41"/>
        <v>-</v>
      </c>
      <c r="DL197" s="366" t="str">
        <f t="shared" si="42"/>
        <v>-</v>
      </c>
      <c r="DM197" s="308" t="str">
        <f t="shared" si="43"/>
        <v>✔</v>
      </c>
      <c r="DN197" s="306" t="str">
        <f t="shared" si="44"/>
        <v>-</v>
      </c>
      <c r="DO197" s="306" t="str">
        <f t="shared" si="45"/>
        <v>-</v>
      </c>
      <c r="DP197" s="367" t="str">
        <f t="shared" si="46"/>
        <v>-</v>
      </c>
      <c r="DQ197" s="310" t="str">
        <f t="shared" si="47"/>
        <v>-</v>
      </c>
      <c r="DR197" s="310" t="str">
        <f t="shared" si="48"/>
        <v>✔</v>
      </c>
      <c r="DS197" s="310" t="str">
        <f t="shared" si="49"/>
        <v>-</v>
      </c>
      <c r="DT197" s="310" t="str">
        <f t="shared" si="50"/>
        <v>-</v>
      </c>
      <c r="DU197" s="370" t="str">
        <f t="shared" si="51"/>
        <v>-</v>
      </c>
      <c r="DV197" s="306" t="str">
        <f t="shared" si="52"/>
        <v>-</v>
      </c>
      <c r="DW197" s="306" t="str">
        <f t="shared" si="53"/>
        <v>-</v>
      </c>
      <c r="DX197" s="306" t="str">
        <f t="shared" si="54"/>
        <v>-</v>
      </c>
      <c r="DY197" s="306" t="str">
        <f t="shared" si="55"/>
        <v>-</v>
      </c>
      <c r="DZ197" s="306" t="str">
        <f t="shared" si="56"/>
        <v>-</v>
      </c>
      <c r="EA197" s="367" t="str">
        <f t="shared" si="57"/>
        <v>-</v>
      </c>
      <c r="EB197" s="310" t="str">
        <f>IFERROR(__xludf.DUMMYFUNCTION("IF(REGEXMATCH(AW197,AS197),""✔"",""-"")"),"✔")</f>
        <v>✔</v>
      </c>
      <c r="EC197" s="310" t="str">
        <f t="shared" si="58"/>
        <v>#REF!</v>
      </c>
      <c r="ED197" s="370" t="str">
        <f t="shared" si="59"/>
        <v>-</v>
      </c>
      <c r="EE197" s="340" t="str">
        <f t="shared" si="60"/>
        <v>S-R-gG-m-P-D-n-S</v>
      </c>
      <c r="EF197" s="371" t="str">
        <f>IFERROR(__xludf.DUMMYFUNCTION("CONCATENATE(JOIN("""",HC197:HO197))"),"SRgmPdDnS")</f>
        <v>SRgmPdDnS</v>
      </c>
      <c r="EG197" s="372">
        <f t="shared" si="61"/>
        <v>1</v>
      </c>
      <c r="EH197" s="373" t="str">
        <f>IFERROR(__xludf.DUMMYFUNCTION("CONCATENATE(JOIN("""",JC197:JO197))"),"Ga, ")</f>
        <v>Ga, </v>
      </c>
      <c r="EI197" s="322">
        <f t="shared" si="62"/>
        <v>0</v>
      </c>
      <c r="EJ197" s="374" t="str">
        <f>IFERROR(__xludf.DUMMYFUNCTION("CONCATENATE(JOIN("""",KC197:KO197))"),"")</f>
        <v/>
      </c>
      <c r="EK197" s="325" t="str">
        <f t="shared" si="63"/>
        <v>S-R2-G2-G3-M1-P-D2-N2-S</v>
      </c>
      <c r="EL197" s="326" t="str">
        <f t="shared" si="64"/>
        <v>1-2-b3-3-4-5-6-b7-8</v>
      </c>
      <c r="EM197" s="318" t="str">
        <f t="shared" si="65"/>
        <v>#REF!</v>
      </c>
      <c r="EN197" s="328" t="str">
        <f>IFERROR(__xludf.DUMMYFUNCTION("SUBSTITUTE(SUBSTITUTE(SUBSTITUTE(SUBSTITUTE(CONCATENATE(JOIN("" "",HP197:IB197)),""  "","" ""),""  "","" ""),""  "","" ""),""  "","" "")"),"o • o o o o • o • o o • o")</f>
        <v>o • o o o o • o • o o • o</v>
      </c>
      <c r="EO197" s="368" t="str">
        <f t="shared" si="66"/>
        <v>-</v>
      </c>
      <c r="EP197" s="339" t="str">
        <f t="shared" si="67"/>
        <v>-</v>
      </c>
      <c r="EQ197" s="339" t="str">
        <f t="shared" si="68"/>
        <v>Sa-Pa</v>
      </c>
      <c r="ER197" s="339" t="str">
        <f t="shared" si="69"/>
        <v>-</v>
      </c>
      <c r="ES197" s="340" t="str">
        <f t="shared" si="70"/>
        <v>-</v>
      </c>
      <c r="ET197" s="363"/>
      <c r="EU197" s="376" t="b">
        <f>IFERROR(__xludf.DUMMYFUNCTION("arrayformula(sum(--REGEXMATCH(""SRGMPDNS"",split(REGEXREPLACE(C197,""(.)"",""$1~""),""~""))))=len(C197)
"),FALSE)</f>
        <v>0</v>
      </c>
      <c r="EV197" s="290" t="b">
        <f>IFERROR(__xludf.DUMMYFUNCTION("arrayformula(sum(--REGEXMATCH(""SRGmPDNS"",split(REGEXREPLACE(C197,""(.)"",""$1~""),""~""))))=len(C197)"),FALSE)</f>
        <v>0</v>
      </c>
      <c r="EW197" s="290" t="b">
        <f>IFERROR(__xludf.DUMMYFUNCTION("arrayformula(sum(--REGEXMATCH(""SRGmPDnS"",split(REGEXREPLACE(C197,""(.)"",""$1~""),""~""))))=len(C197)"),FALSE)</f>
        <v>0</v>
      </c>
      <c r="EX197" s="290" t="b">
        <f>IFERROR(__xludf.DUMMYFUNCTION("arrayformula(sum(--REGEXMATCH(""SRgmPDnS"",split(REGEXREPLACE(C197,""(.)"",""$1~""),""~""))))=len(C197)"),FALSE)</f>
        <v>0</v>
      </c>
      <c r="EY197" s="290" t="b">
        <f>IFERROR(__xludf.DUMMYFUNCTION("arrayformula(sum(--REGEXMATCH(""SRgmPdnS"",split(REGEXREPLACE(C197,""(.)"",""$1~""),""~""))))=len(C197)"),FALSE)</f>
        <v>0</v>
      </c>
      <c r="EZ197" s="290" t="b">
        <f>IFERROR(__xludf.DUMMYFUNCTION("arrayformula(sum(--REGEXMATCH(""SrgmPdnS"",split(REGEXREPLACE(C197,""(.)"",""$1~""),""~""))))=len(C197)"),FALSE)</f>
        <v>0</v>
      </c>
      <c r="FA197" s="290" t="b">
        <f>IFERROR(__xludf.DUMMYFUNCTION("arrayformula(sum(--REGEXMATCH(""SrGmPdNS"",split(REGEXREPLACE(C197,""(.)"",""$1~""),""~""))))=len(C197)"),FALSE)</f>
        <v>0</v>
      </c>
      <c r="FB197" s="290" t="b">
        <f>IFERROR(__xludf.DUMMYFUNCTION("arrayformula(sum(--REGEXMATCH(""SrGMPDNS"",split(REGEXREPLACE(C197,""(.)"",""$1~""),""~""))))=len(C197)"),FALSE)</f>
        <v>0</v>
      </c>
      <c r="FC197" s="290" t="b">
        <f>IFERROR(__xludf.DUMMYFUNCTION("arrayformula(sum(--REGEXMATCH(""SrGMPdNS"",split(REGEXREPLACE(C197,""(.)"",""$1~""),""~""))))=len(C197)"),FALSE)</f>
        <v>0</v>
      </c>
      <c r="FD197" s="377" t="b">
        <f>IFERROR(__xludf.DUMMYFUNCTION("arrayformula(sum(--REGEXMATCH(""SrgMPdNS"",split(REGEXREPLACE(C197,""(.)"",""$1~""),""~""))))=len(C197)"),FALSE)</f>
        <v>0</v>
      </c>
      <c r="FE197" s="269" t="str">
        <f t="shared" si="71"/>
        <v>-</v>
      </c>
      <c r="FF197" s="269" t="str">
        <f t="shared" si="72"/>
        <v>xxxxoxoxxox</v>
      </c>
      <c r="FG197" s="271" t="str">
        <f t="shared" si="73"/>
        <v>xxxoxoxxoxo</v>
      </c>
      <c r="FH197" s="269" t="str">
        <f t="shared" si="74"/>
        <v>xxoxoxxoxox</v>
      </c>
      <c r="FI197" s="271" t="str">
        <f t="shared" si="75"/>
        <v>xoxoxxoxoxx</v>
      </c>
      <c r="FJ197" s="271" t="str">
        <f t="shared" si="76"/>
        <v>-</v>
      </c>
      <c r="FK197" s="271" t="str">
        <f t="shared" si="77"/>
        <v>xoxxoxoxxxx</v>
      </c>
      <c r="FL197" s="271" t="str">
        <f t="shared" si="78"/>
        <v>-</v>
      </c>
      <c r="FM197" s="271" t="str">
        <f t="shared" si="79"/>
        <v>xxoxoxxxxox</v>
      </c>
      <c r="FN197" s="271" t="str">
        <f t="shared" si="80"/>
        <v>xoxoxxxxoxo</v>
      </c>
      <c r="FO197" s="274" t="str">
        <f t="shared" si="81"/>
        <v>-</v>
      </c>
      <c r="FP197" s="234" t="str">
        <f t="shared" si="82"/>
        <v>|</v>
      </c>
      <c r="FQ197" s="236" t="str">
        <f t="shared" si="83"/>
        <v>-</v>
      </c>
      <c r="FR197" s="237" t="str">
        <f t="shared" si="84"/>
        <v>|</v>
      </c>
      <c r="FS197" s="236" t="str">
        <f t="shared" si="85"/>
        <v>|</v>
      </c>
      <c r="FT197" s="237" t="str">
        <f t="shared" si="86"/>
        <v>|</v>
      </c>
      <c r="FU197" s="236" t="str">
        <f t="shared" si="87"/>
        <v>|</v>
      </c>
      <c r="FV197" s="237" t="str">
        <f t="shared" si="88"/>
        <v>-</v>
      </c>
      <c r="FW197" s="236" t="str">
        <f t="shared" si="89"/>
        <v>|</v>
      </c>
      <c r="FX197" s="237" t="str">
        <f t="shared" si="90"/>
        <v>-</v>
      </c>
      <c r="FY197" s="236" t="str">
        <f t="shared" si="91"/>
        <v>|</v>
      </c>
      <c r="FZ197" s="237" t="str">
        <f t="shared" si="92"/>
        <v>|</v>
      </c>
      <c r="GA197" s="236" t="str">
        <f t="shared" si="93"/>
        <v>-</v>
      </c>
      <c r="GB197" s="238" t="str">
        <f t="shared" si="94"/>
        <v>|</v>
      </c>
      <c r="GC197" s="244" t="str">
        <f>IFERROR(__xludf.DUMMYFUNCTION("IF(REGEXMATCH(C197, ""S""), ""1"","""")"),"1")</f>
        <v>1</v>
      </c>
      <c r="GD197" s="245" t="str">
        <f>IFERROR(__xludf.DUMMYFUNCTION("IF(REGEXMATCH(C197, ""r""), ""b2"","""")"),"")</f>
        <v/>
      </c>
      <c r="GE197" s="246" t="str">
        <f>IFERROR(__xludf.DUMMYFUNCTION("IF(REGEXMATCH(C197, ""R""), ""2"","""")"),"2")</f>
        <v>2</v>
      </c>
      <c r="GF197" s="246" t="str">
        <f>IFERROR(__xludf.DUMMYFUNCTION("IF(REGEXMATCH(C197, ""g""), ""b3"","""")"),"b3")</f>
        <v>b3</v>
      </c>
      <c r="GG197" s="245" t="str">
        <f>IFERROR(__xludf.DUMMYFUNCTION("IF(REGEXMATCH(C197, ""G""), ""3"","""")"),"3")</f>
        <v>3</v>
      </c>
      <c r="GH197" s="245" t="str">
        <f>IFERROR(__xludf.DUMMYFUNCTION("IF(REGEXMATCH(C197, ""m""), ""4"","""")"),"4")</f>
        <v>4</v>
      </c>
      <c r="GI197" s="246" t="str">
        <f>IFERROR(__xludf.DUMMYFUNCTION("IF(REGEXMATCH(C197, ""M""), ""#4"","""")"),"")</f>
        <v/>
      </c>
      <c r="GJ197" s="245" t="str">
        <f>IFERROR(__xludf.DUMMYFUNCTION("IF(REGEXMATCH(C197, ""P""), ""5"","""")"),"5")</f>
        <v>5</v>
      </c>
      <c r="GK197" s="246" t="str">
        <f>IFERROR(__xludf.DUMMYFUNCTION("IF(REGEXMATCH(C197, ""d""), ""b6"","""")"),"")</f>
        <v/>
      </c>
      <c r="GL197" s="245" t="str">
        <f>IFERROR(__xludf.DUMMYFUNCTION("IF(REGEXMATCH(C197, ""D""), ""6"","""")"),"6")</f>
        <v>6</v>
      </c>
      <c r="GM197" s="245" t="str">
        <f>IFERROR(__xludf.DUMMYFUNCTION("IF(REGEXMATCH(C197, ""n""), ""b7"","""")"),"b7")</f>
        <v>b7</v>
      </c>
      <c r="GN197" s="246" t="str">
        <f>IFERROR(__xludf.DUMMYFUNCTION("IF(REGEXMATCH(C197, ""N""), ""7"","""")"),"")</f>
        <v/>
      </c>
      <c r="GO197" s="249" t="str">
        <f>IFERROR(__xludf.DUMMYFUNCTION("IF(REGEXMATCH(C197, ""S""), ""8"","""")"),"8")</f>
        <v>8</v>
      </c>
      <c r="GP197" s="244" t="str">
        <f>IFERROR(__xludf.DUMMYFUNCTION("IF(REGEXMATCH(C197, ""S""), ""S"","""")"),"S")</f>
        <v>S</v>
      </c>
      <c r="GQ197" s="294" t="str">
        <f>IFERROR(__xludf.DUMMYFUNCTION("IF(REGEXMATCH(C197, ""r""), ""R1"","""")"),"")</f>
        <v/>
      </c>
      <c r="GR197" s="295" t="str">
        <f>IFERROR(__xludf.DUMMYFUNCTION("IF(REGEXMATCH(C197, ""R""), ""R2"","""")"),"R2")</f>
        <v>R2</v>
      </c>
      <c r="GS197" s="295" t="str">
        <f>IFERROR(__xludf.DUMMYFUNCTION("IF(REGEXMATCH(C197, ""g""), ""G2"","""")"),"G2")</f>
        <v>G2</v>
      </c>
      <c r="GT197" s="294" t="str">
        <f>IFERROR(__xludf.DUMMYFUNCTION("IF(REGEXMATCH(C197, ""G""), ""G3"","""")"),"G3")</f>
        <v>G3</v>
      </c>
      <c r="GU197" s="294" t="str">
        <f>IFERROR(__xludf.DUMMYFUNCTION("IF(REGEXMATCH(C197, ""m""), ""M1"","""")"),"M1")</f>
        <v>M1</v>
      </c>
      <c r="GV197" s="295" t="str">
        <f>IFERROR(__xludf.DUMMYFUNCTION("IF(REGEXMATCH(C197, ""M""), ""M2"","""")"),"")</f>
        <v/>
      </c>
      <c r="GW197" s="294" t="str">
        <f>IFERROR(__xludf.DUMMYFUNCTION("IF(REGEXMATCH(C197, ""P""), ""P"","""")"),"P")</f>
        <v>P</v>
      </c>
      <c r="GX197" s="295" t="str">
        <f>IFERROR(__xludf.DUMMYFUNCTION("IF(REGEXMATCH(C197, ""d""), ""D1"","""")"),"")</f>
        <v/>
      </c>
      <c r="GY197" s="294" t="str">
        <f>IFERROR(__xludf.DUMMYFUNCTION("IF(REGEXMATCH(C197, ""D""), ""D2"","""")"),"D2")</f>
        <v>D2</v>
      </c>
      <c r="GZ197" s="294" t="str">
        <f>IFERROR(__xludf.DUMMYFUNCTION("IF(REGEXMATCH(C197, ""n""), ""N2"","""")"),"N2")</f>
        <v>N2</v>
      </c>
      <c r="HA197" s="295" t="str">
        <f>IFERROR(__xludf.DUMMYFUNCTION("IF(REGEXMATCH(C197, ""N""), ""N3"","""")"),"")</f>
        <v/>
      </c>
      <c r="HB197" s="249" t="str">
        <f>IFERROR(__xludf.DUMMYFUNCTION("IF(REGEXMATCH(C197, ""S""), ""S"","""")"),"S")</f>
        <v>S</v>
      </c>
      <c r="HC197" s="331" t="str">
        <f t="shared" si="95"/>
        <v>S</v>
      </c>
      <c r="HD197" s="332" t="str">
        <f t="shared" si="96"/>
        <v/>
      </c>
      <c r="HE197" s="332" t="str">
        <f t="shared" si="97"/>
        <v>R</v>
      </c>
      <c r="HF197" s="332" t="str">
        <f t="shared" si="98"/>
        <v>g</v>
      </c>
      <c r="HG197" s="332" t="str">
        <f t="shared" si="99"/>
        <v/>
      </c>
      <c r="HH197" s="332" t="str">
        <f t="shared" si="100"/>
        <v>m</v>
      </c>
      <c r="HI197" s="332" t="str">
        <f t="shared" si="101"/>
        <v/>
      </c>
      <c r="HJ197" s="332" t="str">
        <f t="shared" si="102"/>
        <v>P</v>
      </c>
      <c r="HK197" s="332" t="str">
        <f t="shared" si="103"/>
        <v>d</v>
      </c>
      <c r="HL197" s="332" t="str">
        <f t="shared" si="104"/>
        <v>D</v>
      </c>
      <c r="HM197" s="332" t="str">
        <f t="shared" si="105"/>
        <v>n</v>
      </c>
      <c r="HN197" s="332" t="str">
        <f t="shared" si="106"/>
        <v/>
      </c>
      <c r="HO197" s="343" t="str">
        <f t="shared" si="107"/>
        <v>S</v>
      </c>
      <c r="HP197" s="331" t="str">
        <f t="shared" si="108"/>
        <v>o</v>
      </c>
      <c r="HQ197" s="332" t="str">
        <f t="shared" si="109"/>
        <v>•</v>
      </c>
      <c r="HR197" s="332" t="str">
        <f t="shared" si="110"/>
        <v>o</v>
      </c>
      <c r="HS197" s="332" t="str">
        <f t="shared" si="111"/>
        <v>o</v>
      </c>
      <c r="HT197" s="332" t="str">
        <f t="shared" si="112"/>
        <v>o</v>
      </c>
      <c r="HU197" s="332" t="str">
        <f t="shared" si="113"/>
        <v>o</v>
      </c>
      <c r="HV197" s="332" t="str">
        <f t="shared" si="114"/>
        <v>•</v>
      </c>
      <c r="HW197" s="332" t="str">
        <f t="shared" si="115"/>
        <v>o</v>
      </c>
      <c r="HX197" s="332" t="str">
        <f t="shared" si="116"/>
        <v>•</v>
      </c>
      <c r="HY197" s="332" t="str">
        <f t="shared" si="117"/>
        <v>o</v>
      </c>
      <c r="HZ197" s="332" t="str">
        <f t="shared" si="118"/>
        <v>o</v>
      </c>
      <c r="IA197" s="332" t="str">
        <f t="shared" si="119"/>
        <v>•</v>
      </c>
      <c r="IB197" s="338" t="str">
        <f t="shared" si="120"/>
        <v>o</v>
      </c>
      <c r="IC197" s="331" t="str">
        <f t="shared" si="121"/>
        <v>•</v>
      </c>
      <c r="ID197" s="332" t="str">
        <f t="shared" si="122"/>
        <v>o</v>
      </c>
      <c r="IE197" s="332" t="str">
        <f t="shared" si="123"/>
        <v>•</v>
      </c>
      <c r="IF197" s="332" t="str">
        <f t="shared" si="124"/>
        <v>•</v>
      </c>
      <c r="IG197" s="332" t="str">
        <f t="shared" si="125"/>
        <v>•</v>
      </c>
      <c r="IH197" s="332" t="str">
        <f t="shared" si="126"/>
        <v>•</v>
      </c>
      <c r="II197" s="332" t="str">
        <f t="shared" si="127"/>
        <v>o</v>
      </c>
      <c r="IJ197" s="332" t="str">
        <f t="shared" si="128"/>
        <v>•</v>
      </c>
      <c r="IK197" s="332" t="str">
        <f t="shared" si="129"/>
        <v>o</v>
      </c>
      <c r="IL197" s="332" t="str">
        <f t="shared" si="130"/>
        <v>•</v>
      </c>
      <c r="IM197" s="332" t="str">
        <f t="shared" si="131"/>
        <v>•</v>
      </c>
      <c r="IN197" s="332" t="str">
        <f t="shared" si="132"/>
        <v>o</v>
      </c>
      <c r="IO197" s="338" t="str">
        <f t="shared" si="133"/>
        <v>•</v>
      </c>
      <c r="IP197" s="346" t="b">
        <f t="shared" si="134"/>
        <v>0</v>
      </c>
      <c r="IQ197" s="347" t="b">
        <f t="shared" si="135"/>
        <v>0</v>
      </c>
      <c r="IR197" s="347" t="b">
        <f t="shared" si="136"/>
        <v>0</v>
      </c>
      <c r="IS197" s="347" t="b">
        <f t="shared" si="137"/>
        <v>0</v>
      </c>
      <c r="IT197" s="347" t="b">
        <f t="shared" si="138"/>
        <v>1</v>
      </c>
      <c r="IU197" s="347" t="b">
        <f t="shared" si="139"/>
        <v>0</v>
      </c>
      <c r="IV197" s="347" t="b">
        <f t="shared" si="140"/>
        <v>0</v>
      </c>
      <c r="IW197" s="347" t="b">
        <f t="shared" si="141"/>
        <v>0</v>
      </c>
      <c r="IX197" s="347" t="b">
        <f t="shared" si="142"/>
        <v>0</v>
      </c>
      <c r="IY197" s="347" t="b">
        <f t="shared" si="143"/>
        <v>0</v>
      </c>
      <c r="IZ197" s="347" t="b">
        <f t="shared" si="144"/>
        <v>0</v>
      </c>
      <c r="JA197" s="347" t="b">
        <f t="shared" si="145"/>
        <v>0</v>
      </c>
      <c r="JB197" s="353" t="b">
        <f t="shared" si="146"/>
        <v>0</v>
      </c>
      <c r="JC197" s="354" t="str">
        <f t="shared" si="147"/>
        <v/>
      </c>
      <c r="JD197" s="355" t="str">
        <f t="shared" si="148"/>
        <v/>
      </c>
      <c r="JE197" s="355" t="str">
        <f t="shared" si="149"/>
        <v/>
      </c>
      <c r="JF197" s="355" t="str">
        <f t="shared" si="150"/>
        <v/>
      </c>
      <c r="JG197" s="355" t="str">
        <f t="shared" si="151"/>
        <v>Ga, </v>
      </c>
      <c r="JH197" s="355" t="str">
        <f t="shared" si="152"/>
        <v/>
      </c>
      <c r="JI197" s="355" t="str">
        <f t="shared" si="153"/>
        <v/>
      </c>
      <c r="JJ197" s="355" t="str">
        <f t="shared" si="154"/>
        <v/>
      </c>
      <c r="JK197" s="355" t="str">
        <f t="shared" si="155"/>
        <v/>
      </c>
      <c r="JL197" s="355" t="str">
        <f t="shared" si="156"/>
        <v/>
      </c>
      <c r="JM197" s="355" t="str">
        <f t="shared" si="157"/>
        <v/>
      </c>
      <c r="JN197" s="355" t="str">
        <f t="shared" si="158"/>
        <v/>
      </c>
      <c r="JO197" s="359" t="str">
        <f t="shared" si="159"/>
        <v/>
      </c>
      <c r="JP197" s="346" t="b">
        <f t="shared" si="160"/>
        <v>0</v>
      </c>
      <c r="JQ197" s="347" t="b">
        <f t="shared" si="161"/>
        <v>0</v>
      </c>
      <c r="JR197" s="347" t="b">
        <f t="shared" si="162"/>
        <v>0</v>
      </c>
      <c r="JS197" s="347" t="b">
        <f t="shared" si="163"/>
        <v>0</v>
      </c>
      <c r="JT197" s="347" t="b">
        <f t="shared" si="164"/>
        <v>0</v>
      </c>
      <c r="JU197" s="347" t="b">
        <f t="shared" si="165"/>
        <v>0</v>
      </c>
      <c r="JV197" s="347" t="b">
        <f t="shared" si="166"/>
        <v>0</v>
      </c>
      <c r="JW197" s="347" t="b">
        <f t="shared" si="167"/>
        <v>0</v>
      </c>
      <c r="JX197" s="347" t="b">
        <f t="shared" si="168"/>
        <v>0</v>
      </c>
      <c r="JY197" s="347" t="b">
        <f t="shared" si="169"/>
        <v>0</v>
      </c>
      <c r="JZ197" s="347" t="b">
        <f t="shared" si="170"/>
        <v>0</v>
      </c>
      <c r="KA197" s="347" t="b">
        <f t="shared" si="171"/>
        <v>0</v>
      </c>
      <c r="KB197" s="365" t="b">
        <f t="shared" si="172"/>
        <v>0</v>
      </c>
      <c r="KC197" s="354" t="str">
        <f t="shared" si="173"/>
        <v/>
      </c>
      <c r="KD197" s="355" t="str">
        <f t="shared" si="174"/>
        <v/>
      </c>
      <c r="KE197" s="355" t="str">
        <f t="shared" si="175"/>
        <v/>
      </c>
      <c r="KF197" s="355" t="str">
        <f t="shared" si="176"/>
        <v/>
      </c>
      <c r="KG197" s="355" t="str">
        <f t="shared" si="177"/>
        <v/>
      </c>
      <c r="KH197" s="355" t="str">
        <f t="shared" si="178"/>
        <v/>
      </c>
      <c r="KI197" s="355" t="str">
        <f t="shared" si="179"/>
        <v/>
      </c>
      <c r="KJ197" s="355" t="str">
        <f t="shared" si="180"/>
        <v/>
      </c>
      <c r="KK197" s="355" t="str">
        <f t="shared" si="181"/>
        <v/>
      </c>
      <c r="KL197" s="355" t="str">
        <f t="shared" si="182"/>
        <v/>
      </c>
      <c r="KM197" s="355" t="str">
        <f t="shared" si="183"/>
        <v/>
      </c>
      <c r="KN197" s="355" t="str">
        <f t="shared" si="184"/>
        <v/>
      </c>
      <c r="KO197" s="359"/>
      <c r="KP197" s="378"/>
      <c r="KQ197" s="379" t="s">
        <v>9</v>
      </c>
      <c r="KR197" s="380" t="s">
        <v>9</v>
      </c>
      <c r="KS197" s="381" t="s">
        <v>9</v>
      </c>
      <c r="KT197" s="382">
        <f t="shared" si="186"/>
        <v>0</v>
      </c>
      <c r="KU197" s="383">
        <f t="shared" si="187"/>
        <v>0</v>
      </c>
      <c r="KV197" s="381" t="str">
        <f t="shared" si="205"/>
        <v>S</v>
      </c>
      <c r="KW197" s="382">
        <f t="shared" si="189"/>
        <v>0</v>
      </c>
      <c r="KX197" s="384">
        <f t="shared" si="190"/>
        <v>0</v>
      </c>
      <c r="KY197" s="382">
        <f t="shared" ref="KY197:KZ197" si="609">KW197-KT197</f>
        <v>0</v>
      </c>
      <c r="KZ197" s="369">
        <f t="shared" si="609"/>
        <v>0</v>
      </c>
      <c r="LA197" s="385" t="str">
        <f t="shared" si="192"/>
        <v>✔</v>
      </c>
      <c r="LB197" s="340" t="str">
        <f>IFERROR(__xludf.DUMMYFUNCTION("JOIN("""",ArrayFormula(MID(KS197,LEN(KS197)-SEQUENCE(1,LEN(KS197))+1,1)))"),"S")</f>
        <v>S</v>
      </c>
      <c r="LC197" s="373" t="str">
        <f>IFERROR(__xludf.DUMMYFUNCTION("JOIN("""",ArrayFormula(MID(KV197,LEN(KV197)-SEQUENCE(1,LEN(KV197))+1,1)))"),"S")</f>
        <v>S</v>
      </c>
      <c r="LD197" s="373" t="str">
        <f t="shared" si="193"/>
        <v>S</v>
      </c>
      <c r="LE197" s="339" t="str">
        <f t="shared" si="194"/>
        <v>S</v>
      </c>
      <c r="LF197" s="386" t="str">
        <f>IFERROR(__xludf.DUMMYFUNCTION("SUBSTITUTE(SUBSTITUTE(CONCATENATE(JOIN("""",LH197:LT197)),""1"",""""),""2"","""")"),"SS")</f>
        <v>SS</v>
      </c>
      <c r="LG197" s="369" t="str">
        <f t="shared" si="195"/>
        <v>-</v>
      </c>
      <c r="LH197" s="387" t="str">
        <f>IFERROR(__xludf.DUMMYFUNCTION("IF(REGEXMATCH(LD197, ""S""), ""S"",IF(REGEXMATCH(LE197, ""S""), ""S"",""""))"),"S")</f>
        <v>S</v>
      </c>
      <c r="LI197" s="299" t="str">
        <f>IFERROR(__xludf.DUMMYFUNCTION("IF(REGEXMATCH(LD197, ""r""), ""r1"",IF(REGEXMATCH(LE197, ""r""), ""r2"",""""))"),"")</f>
        <v/>
      </c>
      <c r="LJ197" s="299" t="str">
        <f>IFERROR(__xludf.DUMMYFUNCTION("IF(REGEXMATCH(LD197, ""R""), ""R1"",IF(REGEXMATCH(LE197, ""R""), ""R2"",""""))"),"")</f>
        <v/>
      </c>
      <c r="LK197" s="299" t="str">
        <f>IFERROR(__xludf.DUMMYFUNCTION("IF(REGEXMATCH(LD197, ""g""), ""g1"",IF(REGEXMATCH(LE197, ""g""), ""g2"",""""))"),"")</f>
        <v/>
      </c>
      <c r="LL197" s="299" t="str">
        <f>IFERROR(__xludf.DUMMYFUNCTION("IF(REGEXMATCH(LD197, ""G""), ""G1"",IF(REGEXMATCH(LE197, ""G""), ""G2"",""""))"),"")</f>
        <v/>
      </c>
      <c r="LM197" s="299" t="str">
        <f>IFERROR(__xludf.DUMMYFUNCTION("IF(REGEXMATCH(LD197, ""m""), ""m1"",IF(REGEXMATCH(LE197, ""m""), ""m2"",""""))"),"")</f>
        <v/>
      </c>
      <c r="LN197" s="299" t="str">
        <f>IFERROR(__xludf.DUMMYFUNCTION("IF(REGEXMATCH(LD197, ""M""), ""M1"",IF(REGEXMATCH(LE197, ""M""), ""M2"",""""))"),"")</f>
        <v/>
      </c>
      <c r="LO197" s="299" t="str">
        <f>IFERROR(__xludf.DUMMYFUNCTION("IF(REGEXMATCH(LD197, ""P""), ""P1"",IF(REGEXMATCH(LE197, ""P""), ""P2"",""""))"),"")</f>
        <v/>
      </c>
      <c r="LP197" s="299" t="str">
        <f>IFERROR(__xludf.DUMMYFUNCTION("IF(REGEXMATCH(LD197, ""d""), ""d1"",IF(REGEXMATCH(LE197, ""d""), ""d2"",""""))"),"")</f>
        <v/>
      </c>
      <c r="LQ197" s="299" t="str">
        <f>IFERROR(__xludf.DUMMYFUNCTION("IF(REGEXMATCH(LD197, ""D""), ""D1"",IF(REGEXMATCH(LE197, ""D""), ""D2"",""""))"),"")</f>
        <v/>
      </c>
      <c r="LR197" s="299" t="str">
        <f>IFERROR(__xludf.DUMMYFUNCTION("IF(REGEXMATCH(LD197, ""n""), ""n1"",IF(REGEXMATCH(LE197, ""n""), ""n2"",""""))"),"")</f>
        <v/>
      </c>
      <c r="LS197" s="299" t="str">
        <f>IFERROR(__xludf.DUMMYFUNCTION("IF(REGEXMATCH(LD197, ""N""), ""N1"",IF(REGEXMATCH(LE197, ""N""), ""N2"",""""))"),"")</f>
        <v/>
      </c>
      <c r="LT197" s="388" t="str">
        <f>IFERROR(__xludf.DUMMYFUNCTION("IF(REGEXMATCH(LD197, ""S""), ""S"",IF(REGEXMATCH(LE197, ""S""), ""S"",""""))"),"S")</f>
        <v>S</v>
      </c>
      <c r="LU197" s="389">
        <f t="shared" si="196"/>
        <v>1</v>
      </c>
      <c r="LV197" s="378"/>
      <c r="LW197" s="369"/>
      <c r="LX197" s="369"/>
    </row>
    <row r="198" ht="18.0" customHeight="1">
      <c r="A198" s="298" t="s">
        <v>317</v>
      </c>
      <c r="B198" s="222" t="s">
        <v>318</v>
      </c>
      <c r="C198" s="233" t="str">
        <f t="shared" si="7"/>
        <v>SRGMPdNS</v>
      </c>
      <c r="D198" s="234" t="str">
        <f>IFERROR(__xludf.DUMMYFUNCTION("IF(REGEXMATCH(C198, ""S""), ""S"","""")"),"S")</f>
        <v>S</v>
      </c>
      <c r="E198" s="236" t="str">
        <f>IFERROR(__xludf.DUMMYFUNCTION("IF(REGEXMATCH(C198, ""r""), ""r"","""")"),"")</f>
        <v/>
      </c>
      <c r="F198" s="237" t="str">
        <f>IFERROR(__xludf.DUMMYFUNCTION("IF(REGEXMATCH(C198, ""R""), ""R"","""")"),"R")</f>
        <v>R</v>
      </c>
      <c r="G198" s="237" t="str">
        <f>IFERROR(__xludf.DUMMYFUNCTION("IF(REGEXMATCH(C198, ""g""), ""g"","""")"),"")</f>
        <v/>
      </c>
      <c r="H198" s="236" t="str">
        <f>IFERROR(__xludf.DUMMYFUNCTION("IF(REGEXMATCH(C198, ""G""), ""G"","""")"),"G")</f>
        <v>G</v>
      </c>
      <c r="I198" s="236" t="str">
        <f>IFERROR(__xludf.DUMMYFUNCTION("IF(REGEXMATCH(C198, ""m""), ""m"","""")"),"")</f>
        <v/>
      </c>
      <c r="J198" s="237" t="str">
        <f>IFERROR(__xludf.DUMMYFUNCTION("IF(REGEXMATCH(C198, ""M""), ""M"","""")"),"M")</f>
        <v>M</v>
      </c>
      <c r="K198" s="236" t="str">
        <f>IFERROR(__xludf.DUMMYFUNCTION("IF(REGEXMATCH(C198, ""P""), ""P"","""")"),"P")</f>
        <v>P</v>
      </c>
      <c r="L198" s="237" t="str">
        <f>IFERROR(__xludf.DUMMYFUNCTION("IF(REGEXMATCH(C198, ""d""), ""d"","""")"),"d")</f>
        <v>d</v>
      </c>
      <c r="M198" s="236" t="str">
        <f>IFERROR(__xludf.DUMMYFUNCTION("IF(REGEXMATCH(C198, ""D""), ""D"","""")"),"")</f>
        <v/>
      </c>
      <c r="N198" s="236" t="str">
        <f>IFERROR(__xludf.DUMMYFUNCTION("IF(REGEXMATCH(C198, ""n""), ""n"","""")"),"")</f>
        <v/>
      </c>
      <c r="O198" s="237" t="str">
        <f>IFERROR(__xludf.DUMMYFUNCTION("IF(REGEXMATCH(C198, ""N""), ""N"","""")"),"N")</f>
        <v>N</v>
      </c>
      <c r="P198" s="238" t="str">
        <f>IFERROR(__xludf.DUMMYFUNCTION("IF(REGEXMATCH(C198, ""S""), ""S"","""")"),"S")</f>
        <v>S</v>
      </c>
      <c r="Q198" s="239" t="str">
        <f>IFERROR(__xludf.DUMMYFUNCTION("SUBSTITUTE(CONCATENATE(JOIN(""-"",D198:J198)),""-"","""")"),"SRGM")</f>
        <v>SRGM</v>
      </c>
      <c r="R198" s="229" t="str">
        <f>IFERROR(__xludf.DUMMYFUNCTION("SUBSTITUTE(CONCATENATE(JOIN(""-"",K198:P198)),""-"","""")"),"PdNS")</f>
        <v>PdNS</v>
      </c>
      <c r="S198" s="282" t="str">
        <f t="shared" si="8"/>
        <v>S-R-G-M</v>
      </c>
      <c r="T198" s="282" t="str">
        <f t="shared" si="9"/>
        <v>P-D-N-S</v>
      </c>
      <c r="U198" s="237" t="str">
        <f>IFERROR(__xludf.DUMMYFUNCTION("SUBSTITUTE(JOIN(""-"",S198,T198),""--"",""-"")"),"S-R-G-M-P-D-N-S")</f>
        <v>S-R-G-M-P-D-N-S</v>
      </c>
      <c r="V198" s="309" t="str">
        <f t="shared" si="10"/>
        <v>RGMdN</v>
      </c>
      <c r="W198" s="244" t="str">
        <f>IFERROR(__xludf.DUMMYFUNCTION("IF(REGEXMATCH(C198, ""S""), ""0"","""")"),"0")</f>
        <v>0</v>
      </c>
      <c r="X198" s="245" t="str">
        <f>IFERROR(__xludf.DUMMYFUNCTION("IF(REGEXMATCH(C198, ""r""), ""1"","""")"),"")</f>
        <v/>
      </c>
      <c r="Y198" s="246" t="str">
        <f>IFERROR(__xludf.DUMMYFUNCTION("IF(REGEXMATCH(C198, ""R""), ""2"","""")"),"2")</f>
        <v>2</v>
      </c>
      <c r="Z198" s="246" t="str">
        <f>IFERROR(__xludf.DUMMYFUNCTION("IF(REGEXMATCH(C198, ""g""), ""3"","""")"),"")</f>
        <v/>
      </c>
      <c r="AA198" s="245" t="str">
        <f>IFERROR(__xludf.DUMMYFUNCTION("IF(REGEXMATCH(C198, ""G""), ""4"","""")"),"4")</f>
        <v>4</v>
      </c>
      <c r="AB198" s="245" t="str">
        <f>IFERROR(__xludf.DUMMYFUNCTION("IF(REGEXMATCH(C198, ""m""), ""5"","""")"),"")</f>
        <v/>
      </c>
      <c r="AC198" s="246" t="str">
        <f>IFERROR(__xludf.DUMMYFUNCTION("IF(REGEXMATCH(C198, ""M""), ""6"","""")"),"6")</f>
        <v>6</v>
      </c>
      <c r="AD198" s="245" t="str">
        <f>IFERROR(__xludf.DUMMYFUNCTION("IF(REGEXMATCH(C198, ""P""), ""7"","""")"),"7")</f>
        <v>7</v>
      </c>
      <c r="AE198" s="246" t="str">
        <f>IFERROR(__xludf.DUMMYFUNCTION("IF(REGEXMATCH(C198, ""d""), ""8"","""")"),"8")</f>
        <v>8</v>
      </c>
      <c r="AF198" s="245" t="str">
        <f>IFERROR(__xludf.DUMMYFUNCTION("IF(REGEXMATCH(C198, ""D""), ""9"","""")"),"")</f>
        <v/>
      </c>
      <c r="AG198" s="245" t="str">
        <f>IFERROR(__xludf.DUMMYFUNCTION("IF(REGEXMATCH(C198, ""n""), ""10"","""")"),"")</f>
        <v/>
      </c>
      <c r="AH198" s="246" t="str">
        <f>IFERROR(__xludf.DUMMYFUNCTION("IF(REGEXMATCH(C198, ""N""), ""11"","""")"),"11")</f>
        <v>11</v>
      </c>
      <c r="AI198" s="249" t="str">
        <f>IFERROR(__xludf.DUMMYFUNCTION("IF(REGEXMATCH(C198, ""S""), ""0"","""")"),"0")</f>
        <v>0</v>
      </c>
      <c r="AJ198" s="313" t="str">
        <f t="shared" si="11"/>
        <v>T</v>
      </c>
      <c r="AK198" s="313" t="str">
        <f t="shared" si="12"/>
        <v>-</v>
      </c>
      <c r="AL198" s="313" t="str">
        <f t="shared" si="13"/>
        <v>T</v>
      </c>
      <c r="AM198" s="313" t="str">
        <f t="shared" si="14"/>
        <v>-</v>
      </c>
      <c r="AN198" s="313" t="str">
        <f t="shared" si="15"/>
        <v>-</v>
      </c>
      <c r="AO198" s="314" t="str">
        <f t="shared" si="16"/>
        <v>-</v>
      </c>
      <c r="AP198" s="316">
        <f t="shared" si="17"/>
        <v>2</v>
      </c>
      <c r="AQ198" s="319" t="str">
        <f t="shared" si="18"/>
        <v>#REF!</v>
      </c>
      <c r="AR198" s="320">
        <f t="shared" si="19"/>
        <v>0</v>
      </c>
      <c r="AS198" s="250" t="str">
        <f>IFERROR(__xludf.DUMMYFUNCTION("SUBSTITUTE(SUBSTITUTE(CONCATENATE(JOIN("""",FP198:GA198)),""|"",""x""),""-"",""o"")"),"xoxoxoxxxoox")</f>
        <v>xoxoxoxxxoox</v>
      </c>
      <c r="AT198" s="323" t="str">
        <f>IFERROR(__xludf.DUMMYFUNCTION("JOIN("""",AS198,AS198)"),"xoxoxoxxxooxxoxoxoxxxoox")</f>
        <v>xoxoxoxxxooxxoxoxoxxxoox</v>
      </c>
      <c r="AU198" s="256" t="str">
        <f>IFERROR(__xludf.DUMMYFUNCTION("JOIN("""",ArrayFormula(MID(AS198,LEN(AS198)-SEQUENCE(1,LEN(AS198))+1,1)))"),"xooxxxoxoxox")</f>
        <v>xooxxxoxoxox</v>
      </c>
      <c r="AV198" s="256" t="str">
        <f>IFERROR(__xludf.DUMMYFUNCTION("LEFT(CONCATENATE(""x"",JOIN("""",ArrayFormula(MID(AS198,LEN(AS198)-SEQUENCE(1,LEN(AS198))+1,1)))),12)"),"xxooxxxoxoxo")</f>
        <v>xxooxxxoxoxo</v>
      </c>
      <c r="AW198" s="327" t="str">
        <f>IFERROR(__xludf.DUMMYFUNCTION("JOIN("""",AU198,AU198)"),"xooxxxoxoxoxxooxxxoxoxox")</f>
        <v>xooxxxoxoxoxxooxxxoxoxox</v>
      </c>
      <c r="AX198" s="239" t="str">
        <f>IFERROR(__xludf.DUMMYFUNCTION("IF(REGEXMATCH(AW198,AS198),""✔"",""-"")"),"-")</f>
        <v>-</v>
      </c>
      <c r="AY198" s="330" t="str">
        <f t="shared" si="20"/>
        <v>-</v>
      </c>
      <c r="AZ198" s="260" t="str">
        <f t="shared" si="21"/>
        <v>#REF!</v>
      </c>
      <c r="BA198" s="333" t="str">
        <f t="shared" si="22"/>
        <v>xoxoxox</v>
      </c>
      <c r="BB198" s="334" t="str">
        <f t="shared" si="23"/>
        <v>xxooxx</v>
      </c>
      <c r="BC198" s="335" t="str">
        <f t="shared" si="236"/>
        <v>-</v>
      </c>
      <c r="BD198" s="336" t="str">
        <f t="shared" si="25"/>
        <v>Latangi: 'xoxoxox' + 'xxooxx'</v>
      </c>
      <c r="BE198" s="337">
        <f>IFERROR(__xludf.DUMMYFUNCTION("COUNTUNIQUE(FILTER(AT:AT,REGEXMATCH(AT:AT,AS198)))-1"),1.0)</f>
        <v>1</v>
      </c>
      <c r="BF198" s="261" t="str">
        <f>IFERROR(__xludf.DUMMYFUNCTION("IF(BI198=0,""(n/a)"",IF(BJ198=2,""(PAIR)"",IF(REGEXMATCH(AT198,""xoxoxxoxoxox""),""Bilawal"",IF(REGEXMATCH(AT198,""xoxoxooxoxoo""),""Bhupali"",IF(REGEXMATCH(AT198,""xoxoxxoxxoxo""),""Charukeshi"",IF(REGEXMATCH(AT198,""xoxoooxxoxxo""),""Kameshwari"",IF(REG"&amp;"EXMATCH(AT198,""xoxoxooxoxox""),""Shankara"",IF(REGEXMATCH(AT198,""xxooxoxxxoox""),""Basant"",IF(REGEXMATCH(AT198,""xoxoxxxxoxox""),""Bihag"",IF(REGEXMATCH(AT198,""xoxxxxoxoxxx""),""Pilu"",IF(REGEXMATCH(AT198,""xoxxoxoxxoox""),""Kirwani"",IF(REGEXMATCH(AT"&amp;"198,""xoxxoxoxoxxx""),""Mk.Malhar"",IF(REGEXMATCH(AT198,""xxooxxoxxoox""),""Bhairav"",IF(REGEXMATCH(AT198,""xxoxooxxxoox""),""Todi"",IF(REGEXMATCH(AT198,""xxooxoxooxox""),""Marwa"",IF(REGEXMATCH(AT198,""xxoooxoxxooo""),""Gunkali"",IF(REGEXMATCH(AT198,""xo"&amp;"xoxxoxxoox""),""Nat Bhairav"",IF(REGEXMATCH(AT198,""xoxxoooxoxoo""),""Shivranjani"",IF(REGEXMATCH(AT198,""xooxxxoxooxo""),""Jog"",IF(REGEXMATCH(AT198,""xxooxoxoxoox""),""Hemshri"",IF(REGEXMATCH(AT198,""xoooxooxoxxo""),""Kalavati"",IF(REGEXMATCH(AT198,""xx"&amp;"oxoxxoxoox""),""Kedar"",IF(REGEXMATCH(AT198,""xoxxxxoxooxx""),""Gara"",IF(REGEXMATCH(AT198,""xooxoxooxoox""),""Chandrakauns"",IF(REGEXMATCH(AT198,""xoxxxxoxxxox""),""Mand"",IF(REGEXMATCH(AT198,""xoxxxxoxoxox""),""Hanskinkini"",IF(REGEXMATCH(AT198,""xxooxx"&amp;"oxooxo""),""Lilavati"",IF(REGEXMATCH(AT198,""xooxoxoooxox""),""Rajeshwari"",IF(REGEXMATCH(AT198,""xoooxxoxoxxx""),""Khokar"",IF(REGEXMATCH(AT198,""xxooxoxxxxox""),""Maligoura"",""-""))))))))))))))))))))))))))))))"),"-")</f>
        <v>-</v>
      </c>
      <c r="BG198" s="239" t="str">
        <f t="shared" si="26"/>
        <v>#REF!</v>
      </c>
      <c r="BH198" s="239">
        <f>IFERROR(__xludf.DUMMYFUNCTION("COUNTUNIQUE(FE198:FO198)-1"),6.0)</f>
        <v>6</v>
      </c>
      <c r="BI198" s="239">
        <f>IFERROR(__xludf.DUMMYFUNCTION("COUNTUNIQUE(FILTER(AT:AT,REGEXMATCH(AT:AT,AS198)))-1"),1.0)</f>
        <v>1</v>
      </c>
      <c r="BJ198" s="239">
        <f>IFERROR(__xludf.DUMMYFUNCTION("COUNTA(FILTER(AT:AT,REGEXMATCH(AT:AT,AS198)))"),4.0)</f>
        <v>4</v>
      </c>
      <c r="BK198" s="341">
        <f>IFERROR(__xludf.DUMMYFUNCTION("COUNTA(FILTER(AT:AT,REGEXMATCH(AT:AT,AS198)))-AR198"),4.0)</f>
        <v>4</v>
      </c>
      <c r="BL198" s="276" t="str">
        <f>IFERROR(__xludf.DUMMYFUNCTION("IF(AS198=""oooooooooooo"",""-"",IF(REGEXMATCH(AT198,""xx""), ""Hemi."", ""Anhemi.""))"),"Hemi.")</f>
        <v>Hemi.</v>
      </c>
      <c r="BM198" s="282" t="str">
        <f>IFERROR(__xludf.DUMMYFUNCTION("IF(AS198=""oooooooooooo"",""-"",IF(REGEXMATCH(AT198,""xxx""), ""Cohem."", ""-""))"),"Cohem.")</f>
        <v>Cohem.</v>
      </c>
      <c r="BN198" s="282" t="str">
        <f>IFERROR(__xludf.DUMMYFUNCTION("IF(AS198=""oooooooooooo"",""-"",IF(REGEXMATCH(AT198,""xxxx""), ""Co-Co."", ""-""))"),"-")</f>
        <v>-</v>
      </c>
      <c r="BO198" s="342" t="str">
        <f>IFERROR(__xludf.DUMMYFUNCTION("IF(AS198=""oooooooooooo"",""-"",IF(REGEXMATCH(AT198,""xxxxx""), ""CCC."", ""-""))"),"-")</f>
        <v>-</v>
      </c>
      <c r="BP198" s="344" t="str">
        <f t="shared" si="27"/>
        <v>-</v>
      </c>
      <c r="BQ198" s="282" t="str">
        <f>IFERROR(__xludf.DUMMYFUNCTION("IF(REGEXMATCH(JOIN(""-"",EU198:FD198),""TRUE""),""✔"",""-"")"),"-")</f>
        <v>-</v>
      </c>
      <c r="BR198" s="225">
        <f t="shared" si="28"/>
        <v>0</v>
      </c>
      <c r="BS198" s="345" t="str">
        <f>IFERROR(__xludf.DUMMYFUNCTION("SUBSTITUTE(SUBSTITUTE(SUBSTITUTE(SUBSTITUTE(CONCATENATE(JOIN(""-"",GC198:GO198)),""--"",""-""),""--"",""-""),""--"",""-""),""--"",""-"")"),"1-2-3-#4-5-b6-7-8")</f>
        <v>1-2-3-#4-5-b6-7-8</v>
      </c>
      <c r="BT198" s="299" t="str">
        <f>IFERROR(__xludf.DUMMYFUNCTION("SUBSTITUTE(SUBSTITUTE(SUBSTITUTE(SUBSTITUTE(CONCATENATE(JOIN(""-"",GP198:HB198)),""--"",""-""),""--"",""-""),""--"",""-""),""--"",""-"")"),"S-R2-G3-M2-P-D1-N3-S")</f>
        <v>S-R2-G3-M2-P-D1-N3-S</v>
      </c>
      <c r="BU198" s="348" t="str">
        <f t="shared" si="29"/>
        <v>C-D-E-F#-G-Ab-B-C</v>
      </c>
      <c r="BV198" s="349" t="str">
        <f t="shared" si="30"/>
        <v>SrgmDnS</v>
      </c>
      <c r="BW198" s="350">
        <f t="shared" si="31"/>
        <v>2</v>
      </c>
      <c r="BX198" s="351">
        <f t="shared" si="32"/>
        <v>1</v>
      </c>
      <c r="BY198" s="392"/>
      <c r="BZ198" s="309" t="str">
        <f>IFERROR(__xludf.DUMMYFUNCTION("IF(REGEXMATCH(C198, ""S""), ""x"",""x"")"),"x")</f>
        <v>x</v>
      </c>
      <c r="CA198" s="245" t="str">
        <f>IFERROR(__xludf.DUMMYFUNCTION("IF(REGEXMATCH(C198, ""r""), ""o"",""x"")"),"x")</f>
        <v>x</v>
      </c>
      <c r="CB198" s="246" t="str">
        <f>IFERROR(__xludf.DUMMYFUNCTION("IF(REGEXMATCH(C198, ""R""), ""o"",""x"")"),"o")</f>
        <v>o</v>
      </c>
      <c r="CC198" s="246" t="str">
        <f>IFERROR(__xludf.DUMMYFUNCTION("IF(REGEXMATCH(C198, ""g""), ""o"",""x"")"),"x")</f>
        <v>x</v>
      </c>
      <c r="CD198" s="245" t="str">
        <f>IFERROR(__xludf.DUMMYFUNCTION("IF(REGEXMATCH(C198, ""G""), ""o"",""x"")"),"o")</f>
        <v>o</v>
      </c>
      <c r="CE198" s="245" t="str">
        <f>IFERROR(__xludf.DUMMYFUNCTION("IF(REGEXMATCH(C198, ""m""), ""o"",""x"")"),"x")</f>
        <v>x</v>
      </c>
      <c r="CF198" s="246" t="str">
        <f>IFERROR(__xludf.DUMMYFUNCTION("IF(REGEXMATCH(C198, ""M""), ""o"",""x"")"),"o")</f>
        <v>o</v>
      </c>
      <c r="CG198" s="245" t="str">
        <f>IFERROR(__xludf.DUMMYFUNCTION("IF(REGEXMATCH(C198, ""P""), ""o"",""x"")"),"o")</f>
        <v>o</v>
      </c>
      <c r="CH198" s="246" t="str">
        <f>IFERROR(__xludf.DUMMYFUNCTION("IF(REGEXMATCH(C198, ""d""), ""o"",""x"")"),"o")</f>
        <v>o</v>
      </c>
      <c r="CI198" s="245" t="str">
        <f>IFERROR(__xludf.DUMMYFUNCTION("IF(REGEXMATCH(C198, ""D""), ""o"",""x"")"),"x")</f>
        <v>x</v>
      </c>
      <c r="CJ198" s="245" t="str">
        <f>IFERROR(__xludf.DUMMYFUNCTION("IF(REGEXMATCH(C198, ""n""), ""o"",""x"")"),"x")</f>
        <v>x</v>
      </c>
      <c r="CK198" s="245" t="str">
        <f>IFERROR(__xludf.DUMMYFUNCTION("IF(REGEXMATCH(C198, ""N""), ""o"",""x"")"),"o")</f>
        <v>o</v>
      </c>
      <c r="CL198" s="356" t="str">
        <f>IFERROR(__xludf.DUMMYFUNCTION("IF(REGEXMATCH(C198, ""S""), ""x"",""x"")"),"x")</f>
        <v>x</v>
      </c>
      <c r="CM198" s="357" t="str">
        <f t="shared" si="33"/>
        <v>xxoxoxoooxxo</v>
      </c>
      <c r="CN198" s="358">
        <f t="shared" si="34"/>
        <v>2</v>
      </c>
      <c r="CO198" s="246" t="str">
        <f>IFERROR(__xludf.DUMMYFUNCTION("IF(REGEXMATCH($C198, ""S""), ""S"",""S"")"),"S")</f>
        <v>S</v>
      </c>
      <c r="CP198" s="246" t="str">
        <f>IFERROR(__xludf.DUMMYFUNCTION("IF(REGEXMATCH($C198, ""r""), """",""r"")"),"r")</f>
        <v>r</v>
      </c>
      <c r="CQ198" s="246" t="str">
        <f>IFERROR(__xludf.DUMMYFUNCTION("IF(REGEXMATCH($C198, ""R""), """",""R"")"),"")</f>
        <v/>
      </c>
      <c r="CR198" s="246" t="str">
        <f>IFERROR(__xludf.DUMMYFUNCTION("IF(REGEXMATCH($C198, ""g""), """",""g"")"),"g")</f>
        <v>g</v>
      </c>
      <c r="CS198" s="246" t="str">
        <f>IFERROR(__xludf.DUMMYFUNCTION("IF(REGEXMATCH($C198, ""G""), """",""G"")"),"")</f>
        <v/>
      </c>
      <c r="CT198" s="246" t="str">
        <f>IFERROR(__xludf.DUMMYFUNCTION("IF(REGEXMATCH($C198, ""m""), """",""m"")"),"m")</f>
        <v>m</v>
      </c>
      <c r="CU198" s="246" t="str">
        <f>IFERROR(__xludf.DUMMYFUNCTION("IF(REGEXMATCH($C198, ""M""), """",""M"")"),"")</f>
        <v/>
      </c>
      <c r="CV198" s="246" t="str">
        <f>IFERROR(__xludf.DUMMYFUNCTION("IF(REGEXMATCH($C198, ""P""), """",""P"")"),"")</f>
        <v/>
      </c>
      <c r="CW198" s="246" t="str">
        <f>IFERROR(__xludf.DUMMYFUNCTION("IF(REGEXMATCH($C198, ""d""), """",""d"")"),"")</f>
        <v/>
      </c>
      <c r="CX198" s="246" t="str">
        <f>IFERROR(__xludf.DUMMYFUNCTION("IF(REGEXMATCH($C198, ""D""), """",""D"")"),"D")</f>
        <v>D</v>
      </c>
      <c r="CY198" s="246" t="str">
        <f>IFERROR(__xludf.DUMMYFUNCTION("IF(REGEXMATCH($C198, ""n""), """",""n"")"),"n")</f>
        <v>n</v>
      </c>
      <c r="CZ198" s="246" t="str">
        <f>IFERROR(__xludf.DUMMYFUNCTION("IF(REGEXMATCH($C198, ""N""), """",""N"")"),"")</f>
        <v/>
      </c>
      <c r="DA198" s="246" t="str">
        <f>IFERROR(__xludf.DUMMYFUNCTION("IF(REGEXMATCH($C198, ""S""), ""S"",""S"")"),"S")</f>
        <v>S</v>
      </c>
      <c r="DB198" s="362" t="str">
        <f>IFERROR(__xludf.DUMMYFUNCTION("JOIN("""",CO198:DA198,"""","""")"),"SrgmDnS")</f>
        <v>SrgmDnS</v>
      </c>
      <c r="DC198" s="363"/>
      <c r="DD198" s="301" t="str">
        <f t="shared" si="35"/>
        <v>#REF!</v>
      </c>
      <c r="DE198" s="302" t="str">
        <f t="shared" si="36"/>
        <v>#REF!</v>
      </c>
      <c r="DF198" s="301" t="str">
        <f t="shared" ref="DF198:DG198" si="610">SUBSTITUTE(S198,"-","")</f>
        <v>SRGM</v>
      </c>
      <c r="DG198" s="301" t="str">
        <f t="shared" si="610"/>
        <v>PDNS</v>
      </c>
      <c r="DH198" s="302" t="str">
        <f t="shared" si="38"/>
        <v>-</v>
      </c>
      <c r="DI198" s="301" t="str">
        <f t="shared" si="39"/>
        <v>Hemi.</v>
      </c>
      <c r="DJ198" s="364" t="str">
        <f t="shared" si="40"/>
        <v>Cohem.</v>
      </c>
      <c r="DK198" s="306" t="str">
        <f t="shared" si="41"/>
        <v>-</v>
      </c>
      <c r="DL198" s="366" t="str">
        <f t="shared" si="42"/>
        <v>-</v>
      </c>
      <c r="DM198" s="308" t="str">
        <f t="shared" si="43"/>
        <v>✔</v>
      </c>
      <c r="DN198" s="306" t="str">
        <f t="shared" si="44"/>
        <v>-</v>
      </c>
      <c r="DO198" s="306" t="str">
        <f t="shared" si="45"/>
        <v>-</v>
      </c>
      <c r="DP198" s="367" t="str">
        <f t="shared" si="46"/>
        <v>✔</v>
      </c>
      <c r="DQ198" s="310" t="str">
        <f t="shared" si="47"/>
        <v>-</v>
      </c>
      <c r="DR198" s="310" t="str">
        <f t="shared" si="48"/>
        <v>-</v>
      </c>
      <c r="DS198" s="310" t="str">
        <f t="shared" si="49"/>
        <v>-</v>
      </c>
      <c r="DT198" s="310" t="str">
        <f t="shared" si="50"/>
        <v>-</v>
      </c>
      <c r="DU198" s="370" t="str">
        <f t="shared" si="51"/>
        <v>-</v>
      </c>
      <c r="DV198" s="306" t="str">
        <f t="shared" si="52"/>
        <v>-</v>
      </c>
      <c r="DW198" s="306" t="str">
        <f t="shared" si="53"/>
        <v>-</v>
      </c>
      <c r="DX198" s="306" t="str">
        <f t="shared" si="54"/>
        <v>-</v>
      </c>
      <c r="DY198" s="306" t="str">
        <f t="shared" si="55"/>
        <v>-</v>
      </c>
      <c r="DZ198" s="306" t="str">
        <f t="shared" si="56"/>
        <v>-</v>
      </c>
      <c r="EA198" s="367" t="str">
        <f t="shared" si="57"/>
        <v>-</v>
      </c>
      <c r="EB198" s="310" t="str">
        <f>IFERROR(__xludf.DUMMYFUNCTION("IF(REGEXMATCH(AW198,AS198),""✔"",""-"")"),"-")</f>
        <v>-</v>
      </c>
      <c r="EC198" s="310" t="str">
        <f t="shared" si="58"/>
        <v>#REF!</v>
      </c>
      <c r="ED198" s="370" t="str">
        <f t="shared" si="59"/>
        <v>-</v>
      </c>
      <c r="EE198" s="340" t="str">
        <f t="shared" si="60"/>
        <v>S-R-G-M-P-d-N-S</v>
      </c>
      <c r="EF198" s="371" t="str">
        <f>IFERROR(__xludf.DUMMYFUNCTION("CONCATENATE(JOIN("""",HC198:HO198))"),"SrGmMdnS")</f>
        <v>SrGmMdnS</v>
      </c>
      <c r="EG198" s="372">
        <f t="shared" si="61"/>
        <v>3</v>
      </c>
      <c r="EH198" s="373" t="str">
        <f>IFERROR(__xludf.DUMMYFUNCTION("CONCATENATE(JOIN("""",JC198:JO198))"),"Re, Ma, dha, ")</f>
        <v>Re, Ma, dha, </v>
      </c>
      <c r="EI198" s="322">
        <f t="shared" si="62"/>
        <v>1</v>
      </c>
      <c r="EJ198" s="374" t="str">
        <f>IFERROR(__xludf.DUMMYFUNCTION("CONCATENATE(JOIN("""",KC198:KO198))"),"dha, ")</f>
        <v>dha, </v>
      </c>
      <c r="EK198" s="325" t="str">
        <f t="shared" si="63"/>
        <v>S-R2-G3-M2-P-D1-N3-S</v>
      </c>
      <c r="EL198" s="326" t="str">
        <f t="shared" si="64"/>
        <v>1-2-3-#4-5-b6-7-8</v>
      </c>
      <c r="EM198" s="318" t="str">
        <f t="shared" si="65"/>
        <v>#REF!</v>
      </c>
      <c r="EN198" s="328" t="str">
        <f>IFERROR(__xludf.DUMMYFUNCTION("SUBSTITUTE(SUBSTITUTE(SUBSTITUTE(SUBSTITUTE(CONCATENATE(JOIN("" "",HP198:IB198)),""  "","" ""),""  "","" ""),""  "","" ""),""  "","" "")"),"o • o • o • o o o • • o o")</f>
        <v>o • o • o • o o o • • o o</v>
      </c>
      <c r="EO198" s="368" t="str">
        <f t="shared" si="66"/>
        <v>Sa-Pa</v>
      </c>
      <c r="EP198" s="339" t="str">
        <f t="shared" si="67"/>
        <v>Sa-Pa</v>
      </c>
      <c r="EQ198" s="339" t="str">
        <f t="shared" si="68"/>
        <v>Sa-Pa</v>
      </c>
      <c r="ER198" s="339" t="str">
        <f t="shared" si="69"/>
        <v>-</v>
      </c>
      <c r="ES198" s="340" t="str">
        <f t="shared" si="70"/>
        <v>-</v>
      </c>
      <c r="ET198" s="363"/>
      <c r="EU198" s="376" t="b">
        <f>IFERROR(__xludf.DUMMYFUNCTION("arrayformula(sum(--REGEXMATCH(""SRGMPDNS"",split(REGEXREPLACE(C198,""(.)"",""$1~""),""~""))))=len(C198)
"),FALSE)</f>
        <v>0</v>
      </c>
      <c r="EV198" s="290" t="b">
        <f>IFERROR(__xludf.DUMMYFUNCTION("arrayformula(sum(--REGEXMATCH(""SRGmPDNS"",split(REGEXREPLACE(C198,""(.)"",""$1~""),""~""))))=len(C198)"),FALSE)</f>
        <v>0</v>
      </c>
      <c r="EW198" s="290" t="b">
        <f>IFERROR(__xludf.DUMMYFUNCTION("arrayformula(sum(--REGEXMATCH(""SRGmPDnS"",split(REGEXREPLACE(C198,""(.)"",""$1~""),""~""))))=len(C198)"),FALSE)</f>
        <v>0</v>
      </c>
      <c r="EX198" s="290" t="b">
        <f>IFERROR(__xludf.DUMMYFUNCTION("arrayformula(sum(--REGEXMATCH(""SRgmPDnS"",split(REGEXREPLACE(C198,""(.)"",""$1~""),""~""))))=len(C198)"),FALSE)</f>
        <v>0</v>
      </c>
      <c r="EY198" s="290" t="b">
        <f>IFERROR(__xludf.DUMMYFUNCTION("arrayformula(sum(--REGEXMATCH(""SRgmPdnS"",split(REGEXREPLACE(C198,""(.)"",""$1~""),""~""))))=len(C198)"),FALSE)</f>
        <v>0</v>
      </c>
      <c r="EZ198" s="290" t="b">
        <f>IFERROR(__xludf.DUMMYFUNCTION("arrayformula(sum(--REGEXMATCH(""SrgmPdnS"",split(REGEXREPLACE(C198,""(.)"",""$1~""),""~""))))=len(C198)"),FALSE)</f>
        <v>0</v>
      </c>
      <c r="FA198" s="290" t="b">
        <f>IFERROR(__xludf.DUMMYFUNCTION("arrayformula(sum(--REGEXMATCH(""SrGmPdNS"",split(REGEXREPLACE(C198,""(.)"",""$1~""),""~""))))=len(C198)"),FALSE)</f>
        <v>0</v>
      </c>
      <c r="FB198" s="290" t="b">
        <f>IFERROR(__xludf.DUMMYFUNCTION("arrayformula(sum(--REGEXMATCH(""SrGMPDNS"",split(REGEXREPLACE(C198,""(.)"",""$1~""),""~""))))=len(C198)"),FALSE)</f>
        <v>0</v>
      </c>
      <c r="FC198" s="290" t="b">
        <f>IFERROR(__xludf.DUMMYFUNCTION("arrayformula(sum(--REGEXMATCH(""SrGMPdNS"",split(REGEXREPLACE(C198,""(.)"",""$1~""),""~""))))=len(C198)"),FALSE)</f>
        <v>0</v>
      </c>
      <c r="FD198" s="377" t="b">
        <f>IFERROR(__xludf.DUMMYFUNCTION("arrayformula(sum(--REGEXMATCH(""SrgMPdNS"",split(REGEXREPLACE(C198,""(.)"",""$1~""),""~""))))=len(C198)"),FALSE)</f>
        <v>0</v>
      </c>
      <c r="FE198" s="269" t="str">
        <f t="shared" si="71"/>
        <v>-</v>
      </c>
      <c r="FF198" s="269" t="str">
        <f t="shared" si="72"/>
        <v>xoxoxxxooxx</v>
      </c>
      <c r="FG198" s="271" t="str">
        <f t="shared" si="73"/>
        <v>-</v>
      </c>
      <c r="FH198" s="269" t="str">
        <f t="shared" si="74"/>
        <v>xoxxxooxxox</v>
      </c>
      <c r="FI198" s="271" t="str">
        <f t="shared" si="75"/>
        <v>-</v>
      </c>
      <c r="FJ198" s="271" t="str">
        <f t="shared" si="76"/>
        <v>xxxooxxoxox</v>
      </c>
      <c r="FK198" s="271" t="str">
        <f t="shared" si="77"/>
        <v>xxooxxoxoxo</v>
      </c>
      <c r="FL198" s="271" t="str">
        <f t="shared" si="78"/>
        <v>xooxxoxoxox</v>
      </c>
      <c r="FM198" s="271" t="str">
        <f t="shared" si="79"/>
        <v>-</v>
      </c>
      <c r="FN198" s="271" t="str">
        <f t="shared" si="80"/>
        <v>-</v>
      </c>
      <c r="FO198" s="274" t="str">
        <f t="shared" si="81"/>
        <v>xxoxoxoxxxo</v>
      </c>
      <c r="FP198" s="234" t="str">
        <f t="shared" si="82"/>
        <v>|</v>
      </c>
      <c r="FQ198" s="236" t="str">
        <f t="shared" si="83"/>
        <v>-</v>
      </c>
      <c r="FR198" s="237" t="str">
        <f t="shared" si="84"/>
        <v>|</v>
      </c>
      <c r="FS198" s="236" t="str">
        <f t="shared" si="85"/>
        <v>-</v>
      </c>
      <c r="FT198" s="237" t="str">
        <f t="shared" si="86"/>
        <v>|</v>
      </c>
      <c r="FU198" s="236" t="str">
        <f t="shared" si="87"/>
        <v>-</v>
      </c>
      <c r="FV198" s="237" t="str">
        <f t="shared" si="88"/>
        <v>|</v>
      </c>
      <c r="FW198" s="236" t="str">
        <f t="shared" si="89"/>
        <v>|</v>
      </c>
      <c r="FX198" s="237" t="str">
        <f t="shared" si="90"/>
        <v>|</v>
      </c>
      <c r="FY198" s="236" t="str">
        <f t="shared" si="91"/>
        <v>-</v>
      </c>
      <c r="FZ198" s="237" t="str">
        <f t="shared" si="92"/>
        <v>-</v>
      </c>
      <c r="GA198" s="236" t="str">
        <f t="shared" si="93"/>
        <v>|</v>
      </c>
      <c r="GB198" s="238" t="str">
        <f t="shared" si="94"/>
        <v>|</v>
      </c>
      <c r="GC198" s="244" t="str">
        <f>IFERROR(__xludf.DUMMYFUNCTION("IF(REGEXMATCH(C198, ""S""), ""1"","""")"),"1")</f>
        <v>1</v>
      </c>
      <c r="GD198" s="245" t="str">
        <f>IFERROR(__xludf.DUMMYFUNCTION("IF(REGEXMATCH(C198, ""r""), ""b2"","""")"),"")</f>
        <v/>
      </c>
      <c r="GE198" s="246" t="str">
        <f>IFERROR(__xludf.DUMMYFUNCTION("IF(REGEXMATCH(C198, ""R""), ""2"","""")"),"2")</f>
        <v>2</v>
      </c>
      <c r="GF198" s="246" t="str">
        <f>IFERROR(__xludf.DUMMYFUNCTION("IF(REGEXMATCH(C198, ""g""), ""b3"","""")"),"")</f>
        <v/>
      </c>
      <c r="GG198" s="245" t="str">
        <f>IFERROR(__xludf.DUMMYFUNCTION("IF(REGEXMATCH(C198, ""G""), ""3"","""")"),"3")</f>
        <v>3</v>
      </c>
      <c r="GH198" s="245" t="str">
        <f>IFERROR(__xludf.DUMMYFUNCTION("IF(REGEXMATCH(C198, ""m""), ""4"","""")"),"")</f>
        <v/>
      </c>
      <c r="GI198" s="246" t="str">
        <f>IFERROR(__xludf.DUMMYFUNCTION("IF(REGEXMATCH(C198, ""M""), ""#4"","""")"),"#4")</f>
        <v>#4</v>
      </c>
      <c r="GJ198" s="245" t="str">
        <f>IFERROR(__xludf.DUMMYFUNCTION("IF(REGEXMATCH(C198, ""P""), ""5"","""")"),"5")</f>
        <v>5</v>
      </c>
      <c r="GK198" s="246" t="str">
        <f>IFERROR(__xludf.DUMMYFUNCTION("IF(REGEXMATCH(C198, ""d""), ""b6"","""")"),"b6")</f>
        <v>b6</v>
      </c>
      <c r="GL198" s="245" t="str">
        <f>IFERROR(__xludf.DUMMYFUNCTION("IF(REGEXMATCH(C198, ""D""), ""6"","""")"),"")</f>
        <v/>
      </c>
      <c r="GM198" s="245" t="str">
        <f>IFERROR(__xludf.DUMMYFUNCTION("IF(REGEXMATCH(C198, ""n""), ""b7"","""")"),"")</f>
        <v/>
      </c>
      <c r="GN198" s="246" t="str">
        <f>IFERROR(__xludf.DUMMYFUNCTION("IF(REGEXMATCH(C198, ""N""), ""7"","""")"),"7")</f>
        <v>7</v>
      </c>
      <c r="GO198" s="249" t="str">
        <f>IFERROR(__xludf.DUMMYFUNCTION("IF(REGEXMATCH(C198, ""S""), ""8"","""")"),"8")</f>
        <v>8</v>
      </c>
      <c r="GP198" s="244" t="str">
        <f>IFERROR(__xludf.DUMMYFUNCTION("IF(REGEXMATCH(C198, ""S""), ""S"","""")"),"S")</f>
        <v>S</v>
      </c>
      <c r="GQ198" s="294" t="str">
        <f>IFERROR(__xludf.DUMMYFUNCTION("IF(REGEXMATCH(C198, ""r""), ""R1"","""")"),"")</f>
        <v/>
      </c>
      <c r="GR198" s="295" t="str">
        <f>IFERROR(__xludf.DUMMYFUNCTION("IF(REGEXMATCH(C198, ""R""), ""R2"","""")"),"R2")</f>
        <v>R2</v>
      </c>
      <c r="GS198" s="295" t="str">
        <f>IFERROR(__xludf.DUMMYFUNCTION("IF(REGEXMATCH(C198, ""g""), ""G2"","""")"),"")</f>
        <v/>
      </c>
      <c r="GT198" s="294" t="str">
        <f>IFERROR(__xludf.DUMMYFUNCTION("IF(REGEXMATCH(C198, ""G""), ""G3"","""")"),"G3")</f>
        <v>G3</v>
      </c>
      <c r="GU198" s="294" t="str">
        <f>IFERROR(__xludf.DUMMYFUNCTION("IF(REGEXMATCH(C198, ""m""), ""M1"","""")"),"")</f>
        <v/>
      </c>
      <c r="GV198" s="295" t="str">
        <f>IFERROR(__xludf.DUMMYFUNCTION("IF(REGEXMATCH(C198, ""M""), ""M2"","""")"),"M2")</f>
        <v>M2</v>
      </c>
      <c r="GW198" s="294" t="str">
        <f>IFERROR(__xludf.DUMMYFUNCTION("IF(REGEXMATCH(C198, ""P""), ""P"","""")"),"P")</f>
        <v>P</v>
      </c>
      <c r="GX198" s="295" t="str">
        <f>IFERROR(__xludf.DUMMYFUNCTION("IF(REGEXMATCH(C198, ""d""), ""D1"","""")"),"D1")</f>
        <v>D1</v>
      </c>
      <c r="GY198" s="294" t="str">
        <f>IFERROR(__xludf.DUMMYFUNCTION("IF(REGEXMATCH(C198, ""D""), ""D2"","""")"),"")</f>
        <v/>
      </c>
      <c r="GZ198" s="294" t="str">
        <f>IFERROR(__xludf.DUMMYFUNCTION("IF(REGEXMATCH(C198, ""n""), ""N2"","""")"),"")</f>
        <v/>
      </c>
      <c r="HA198" s="295" t="str">
        <f>IFERROR(__xludf.DUMMYFUNCTION("IF(REGEXMATCH(C198, ""N""), ""N3"","""")"),"N3")</f>
        <v>N3</v>
      </c>
      <c r="HB198" s="249" t="str">
        <f>IFERROR(__xludf.DUMMYFUNCTION("IF(REGEXMATCH(C198, ""S""), ""S"","""")"),"S")</f>
        <v>S</v>
      </c>
      <c r="HC198" s="331" t="str">
        <f t="shared" si="95"/>
        <v>S</v>
      </c>
      <c r="HD198" s="332" t="str">
        <f t="shared" si="96"/>
        <v>r</v>
      </c>
      <c r="HE198" s="332" t="str">
        <f t="shared" si="97"/>
        <v/>
      </c>
      <c r="HF198" s="332" t="str">
        <f t="shared" si="98"/>
        <v/>
      </c>
      <c r="HG198" s="332" t="str">
        <f t="shared" si="99"/>
        <v>G</v>
      </c>
      <c r="HH198" s="332" t="str">
        <f t="shared" si="100"/>
        <v>m</v>
      </c>
      <c r="HI198" s="332" t="str">
        <f t="shared" si="101"/>
        <v>M</v>
      </c>
      <c r="HJ198" s="332" t="str">
        <f t="shared" si="102"/>
        <v/>
      </c>
      <c r="HK198" s="332" t="str">
        <f t="shared" si="103"/>
        <v>d</v>
      </c>
      <c r="HL198" s="332" t="str">
        <f t="shared" si="104"/>
        <v/>
      </c>
      <c r="HM198" s="332" t="str">
        <f t="shared" si="105"/>
        <v>n</v>
      </c>
      <c r="HN198" s="332" t="str">
        <f t="shared" si="106"/>
        <v/>
      </c>
      <c r="HO198" s="343" t="str">
        <f t="shared" si="107"/>
        <v>S</v>
      </c>
      <c r="HP198" s="331" t="str">
        <f t="shared" si="108"/>
        <v>o</v>
      </c>
      <c r="HQ198" s="332" t="str">
        <f t="shared" si="109"/>
        <v>•</v>
      </c>
      <c r="HR198" s="332" t="str">
        <f t="shared" si="110"/>
        <v>o</v>
      </c>
      <c r="HS198" s="332" t="str">
        <f t="shared" si="111"/>
        <v>•</v>
      </c>
      <c r="HT198" s="332" t="str">
        <f t="shared" si="112"/>
        <v>o</v>
      </c>
      <c r="HU198" s="332" t="str">
        <f t="shared" si="113"/>
        <v>•</v>
      </c>
      <c r="HV198" s="332" t="str">
        <f t="shared" si="114"/>
        <v>o</v>
      </c>
      <c r="HW198" s="332" t="str">
        <f t="shared" si="115"/>
        <v>o</v>
      </c>
      <c r="HX198" s="332" t="str">
        <f t="shared" si="116"/>
        <v>o</v>
      </c>
      <c r="HY198" s="332" t="str">
        <f t="shared" si="117"/>
        <v>•</v>
      </c>
      <c r="HZ198" s="332" t="str">
        <f t="shared" si="118"/>
        <v>•</v>
      </c>
      <c r="IA198" s="332" t="str">
        <f t="shared" si="119"/>
        <v>o</v>
      </c>
      <c r="IB198" s="338" t="str">
        <f t="shared" si="120"/>
        <v>o</v>
      </c>
      <c r="IC198" s="331" t="str">
        <f t="shared" si="121"/>
        <v>•</v>
      </c>
      <c r="ID198" s="332" t="str">
        <f t="shared" si="122"/>
        <v>o</v>
      </c>
      <c r="IE198" s="332" t="str">
        <f t="shared" si="123"/>
        <v>•</v>
      </c>
      <c r="IF198" s="332" t="str">
        <f t="shared" si="124"/>
        <v>o</v>
      </c>
      <c r="IG198" s="332" t="str">
        <f t="shared" si="125"/>
        <v>•</v>
      </c>
      <c r="IH198" s="332" t="str">
        <f t="shared" si="126"/>
        <v>o</v>
      </c>
      <c r="II198" s="332" t="str">
        <f t="shared" si="127"/>
        <v>•</v>
      </c>
      <c r="IJ198" s="332" t="str">
        <f t="shared" si="128"/>
        <v>•</v>
      </c>
      <c r="IK198" s="332" t="str">
        <f t="shared" si="129"/>
        <v>•</v>
      </c>
      <c r="IL198" s="332" t="str">
        <f t="shared" si="130"/>
        <v>o</v>
      </c>
      <c r="IM198" s="332" t="str">
        <f t="shared" si="131"/>
        <v>o</v>
      </c>
      <c r="IN198" s="332" t="str">
        <f t="shared" si="132"/>
        <v>•</v>
      </c>
      <c r="IO198" s="338" t="str">
        <f t="shared" si="133"/>
        <v>•</v>
      </c>
      <c r="IP198" s="346" t="b">
        <f t="shared" si="134"/>
        <v>0</v>
      </c>
      <c r="IQ198" s="347" t="b">
        <f t="shared" si="135"/>
        <v>0</v>
      </c>
      <c r="IR198" s="347" t="b">
        <f t="shared" si="136"/>
        <v>1</v>
      </c>
      <c r="IS198" s="347" t="b">
        <f t="shared" si="137"/>
        <v>0</v>
      </c>
      <c r="IT198" s="347" t="b">
        <f t="shared" si="138"/>
        <v>0</v>
      </c>
      <c r="IU198" s="347" t="b">
        <f t="shared" si="139"/>
        <v>0</v>
      </c>
      <c r="IV198" s="347" t="b">
        <f t="shared" si="140"/>
        <v>1</v>
      </c>
      <c r="IW198" s="347" t="b">
        <f t="shared" si="141"/>
        <v>0</v>
      </c>
      <c r="IX198" s="347" t="b">
        <f t="shared" si="142"/>
        <v>1</v>
      </c>
      <c r="IY198" s="347" t="b">
        <f t="shared" si="143"/>
        <v>0</v>
      </c>
      <c r="IZ198" s="347" t="b">
        <f t="shared" si="144"/>
        <v>0</v>
      </c>
      <c r="JA198" s="347" t="b">
        <f t="shared" si="145"/>
        <v>0</v>
      </c>
      <c r="JB198" s="353" t="b">
        <f t="shared" si="146"/>
        <v>0</v>
      </c>
      <c r="JC198" s="354" t="str">
        <f t="shared" si="147"/>
        <v/>
      </c>
      <c r="JD198" s="355" t="str">
        <f t="shared" si="148"/>
        <v/>
      </c>
      <c r="JE198" s="355" t="str">
        <f t="shared" si="149"/>
        <v>Re, </v>
      </c>
      <c r="JF198" s="355" t="str">
        <f t="shared" si="150"/>
        <v/>
      </c>
      <c r="JG198" s="355" t="str">
        <f t="shared" si="151"/>
        <v/>
      </c>
      <c r="JH198" s="355" t="str">
        <f t="shared" si="152"/>
        <v/>
      </c>
      <c r="JI198" s="355" t="str">
        <f t="shared" si="153"/>
        <v>Ma, </v>
      </c>
      <c r="JJ198" s="355" t="str">
        <f t="shared" si="154"/>
        <v/>
      </c>
      <c r="JK198" s="355" t="str">
        <f t="shared" si="155"/>
        <v>dha, </v>
      </c>
      <c r="JL198" s="355" t="str">
        <f t="shared" si="156"/>
        <v/>
      </c>
      <c r="JM198" s="355" t="str">
        <f t="shared" si="157"/>
        <v/>
      </c>
      <c r="JN198" s="355" t="str">
        <f t="shared" si="158"/>
        <v/>
      </c>
      <c r="JO198" s="359" t="str">
        <f t="shared" si="159"/>
        <v/>
      </c>
      <c r="JP198" s="346" t="b">
        <f t="shared" si="160"/>
        <v>0</v>
      </c>
      <c r="JQ198" s="347" t="b">
        <f t="shared" si="161"/>
        <v>0</v>
      </c>
      <c r="JR198" s="347" t="b">
        <f t="shared" si="162"/>
        <v>0</v>
      </c>
      <c r="JS198" s="347" t="b">
        <f t="shared" si="163"/>
        <v>0</v>
      </c>
      <c r="JT198" s="347" t="b">
        <f t="shared" si="164"/>
        <v>0</v>
      </c>
      <c r="JU198" s="347" t="b">
        <f t="shared" si="165"/>
        <v>0</v>
      </c>
      <c r="JV198" s="347" t="b">
        <f t="shared" si="166"/>
        <v>0</v>
      </c>
      <c r="JW198" s="347" t="b">
        <f t="shared" si="167"/>
        <v>0</v>
      </c>
      <c r="JX198" s="347" t="b">
        <f t="shared" si="168"/>
        <v>1</v>
      </c>
      <c r="JY198" s="347" t="b">
        <f t="shared" si="169"/>
        <v>0</v>
      </c>
      <c r="JZ198" s="347" t="b">
        <f t="shared" si="170"/>
        <v>0</v>
      </c>
      <c r="KA198" s="347" t="b">
        <f t="shared" si="171"/>
        <v>0</v>
      </c>
      <c r="KB198" s="365" t="b">
        <f t="shared" si="172"/>
        <v>0</v>
      </c>
      <c r="KC198" s="354" t="str">
        <f t="shared" si="173"/>
        <v/>
      </c>
      <c r="KD198" s="355" t="str">
        <f t="shared" si="174"/>
        <v/>
      </c>
      <c r="KE198" s="355" t="str">
        <f t="shared" si="175"/>
        <v/>
      </c>
      <c r="KF198" s="355" t="str">
        <f t="shared" si="176"/>
        <v/>
      </c>
      <c r="KG198" s="355" t="str">
        <f t="shared" si="177"/>
        <v/>
      </c>
      <c r="KH198" s="355" t="str">
        <f t="shared" si="178"/>
        <v/>
      </c>
      <c r="KI198" s="355" t="str">
        <f t="shared" si="179"/>
        <v/>
      </c>
      <c r="KJ198" s="355" t="str">
        <f t="shared" si="180"/>
        <v/>
      </c>
      <c r="KK198" s="355" t="str">
        <f t="shared" si="181"/>
        <v>dha, </v>
      </c>
      <c r="KL198" s="355" t="str">
        <f t="shared" si="182"/>
        <v/>
      </c>
      <c r="KM198" s="355" t="str">
        <f t="shared" si="183"/>
        <v/>
      </c>
      <c r="KN198" s="355" t="str">
        <f t="shared" si="184"/>
        <v/>
      </c>
      <c r="KO198" s="359"/>
      <c r="KP198" s="378"/>
      <c r="KQ198" s="379" t="s">
        <v>9</v>
      </c>
      <c r="KR198" s="380" t="s">
        <v>9</v>
      </c>
      <c r="KS198" s="381" t="s">
        <v>9</v>
      </c>
      <c r="KT198" s="382">
        <f t="shared" si="186"/>
        <v>0</v>
      </c>
      <c r="KU198" s="383">
        <f t="shared" si="187"/>
        <v>0</v>
      </c>
      <c r="KV198" s="381" t="str">
        <f t="shared" si="205"/>
        <v>S</v>
      </c>
      <c r="KW198" s="382">
        <f t="shared" si="189"/>
        <v>0</v>
      </c>
      <c r="KX198" s="384">
        <f t="shared" si="190"/>
        <v>0</v>
      </c>
      <c r="KY198" s="382">
        <f t="shared" ref="KY198:KZ198" si="611">KW198-KT198</f>
        <v>0</v>
      </c>
      <c r="KZ198" s="369">
        <f t="shared" si="611"/>
        <v>0</v>
      </c>
      <c r="LA198" s="385" t="str">
        <f t="shared" si="192"/>
        <v>✔</v>
      </c>
      <c r="LB198" s="340" t="str">
        <f>IFERROR(__xludf.DUMMYFUNCTION("JOIN("""",ArrayFormula(MID(KS198,LEN(KS198)-SEQUENCE(1,LEN(KS198))+1,1)))"),"S")</f>
        <v>S</v>
      </c>
      <c r="LC198" s="373" t="str">
        <f>IFERROR(__xludf.DUMMYFUNCTION("JOIN("""",ArrayFormula(MID(KV198,LEN(KV198)-SEQUENCE(1,LEN(KV198))+1,1)))"),"S")</f>
        <v>S</v>
      </c>
      <c r="LD198" s="373" t="str">
        <f t="shared" si="193"/>
        <v>S</v>
      </c>
      <c r="LE198" s="339" t="str">
        <f t="shared" si="194"/>
        <v>S</v>
      </c>
      <c r="LF198" s="386" t="str">
        <f>IFERROR(__xludf.DUMMYFUNCTION("SUBSTITUTE(SUBSTITUTE(CONCATENATE(JOIN("""",LH198:LT198)),""1"",""""),""2"","""")"),"SS")</f>
        <v>SS</v>
      </c>
      <c r="LG198" s="369" t="str">
        <f t="shared" si="195"/>
        <v>-</v>
      </c>
      <c r="LH198" s="387" t="str">
        <f>IFERROR(__xludf.DUMMYFUNCTION("IF(REGEXMATCH(LD198, ""S""), ""S"",IF(REGEXMATCH(LE198, ""S""), ""S"",""""))"),"S")</f>
        <v>S</v>
      </c>
      <c r="LI198" s="299" t="str">
        <f>IFERROR(__xludf.DUMMYFUNCTION("IF(REGEXMATCH(LD198, ""r""), ""r1"",IF(REGEXMATCH(LE198, ""r""), ""r2"",""""))"),"")</f>
        <v/>
      </c>
      <c r="LJ198" s="299" t="str">
        <f>IFERROR(__xludf.DUMMYFUNCTION("IF(REGEXMATCH(LD198, ""R""), ""R1"",IF(REGEXMATCH(LE198, ""R""), ""R2"",""""))"),"")</f>
        <v/>
      </c>
      <c r="LK198" s="299" t="str">
        <f>IFERROR(__xludf.DUMMYFUNCTION("IF(REGEXMATCH(LD198, ""g""), ""g1"",IF(REGEXMATCH(LE198, ""g""), ""g2"",""""))"),"")</f>
        <v/>
      </c>
      <c r="LL198" s="299" t="str">
        <f>IFERROR(__xludf.DUMMYFUNCTION("IF(REGEXMATCH(LD198, ""G""), ""G1"",IF(REGEXMATCH(LE198, ""G""), ""G2"",""""))"),"")</f>
        <v/>
      </c>
      <c r="LM198" s="299" t="str">
        <f>IFERROR(__xludf.DUMMYFUNCTION("IF(REGEXMATCH(LD198, ""m""), ""m1"",IF(REGEXMATCH(LE198, ""m""), ""m2"",""""))"),"")</f>
        <v/>
      </c>
      <c r="LN198" s="299" t="str">
        <f>IFERROR(__xludf.DUMMYFUNCTION("IF(REGEXMATCH(LD198, ""M""), ""M1"",IF(REGEXMATCH(LE198, ""M""), ""M2"",""""))"),"")</f>
        <v/>
      </c>
      <c r="LO198" s="299" t="str">
        <f>IFERROR(__xludf.DUMMYFUNCTION("IF(REGEXMATCH(LD198, ""P""), ""P1"",IF(REGEXMATCH(LE198, ""P""), ""P2"",""""))"),"")</f>
        <v/>
      </c>
      <c r="LP198" s="299" t="str">
        <f>IFERROR(__xludf.DUMMYFUNCTION("IF(REGEXMATCH(LD198, ""d""), ""d1"",IF(REGEXMATCH(LE198, ""d""), ""d2"",""""))"),"")</f>
        <v/>
      </c>
      <c r="LQ198" s="299" t="str">
        <f>IFERROR(__xludf.DUMMYFUNCTION("IF(REGEXMATCH(LD198, ""D""), ""D1"",IF(REGEXMATCH(LE198, ""D""), ""D2"",""""))"),"")</f>
        <v/>
      </c>
      <c r="LR198" s="299" t="str">
        <f>IFERROR(__xludf.DUMMYFUNCTION("IF(REGEXMATCH(LD198, ""n""), ""n1"",IF(REGEXMATCH(LE198, ""n""), ""n2"",""""))"),"")</f>
        <v/>
      </c>
      <c r="LS198" s="299" t="str">
        <f>IFERROR(__xludf.DUMMYFUNCTION("IF(REGEXMATCH(LD198, ""N""), ""N1"",IF(REGEXMATCH(LE198, ""N""), ""N2"",""""))"),"")</f>
        <v/>
      </c>
      <c r="LT198" s="388" t="str">
        <f>IFERROR(__xludf.DUMMYFUNCTION("IF(REGEXMATCH(LD198, ""S""), ""S"",IF(REGEXMATCH(LE198, ""S""), ""S"",""""))"),"S")</f>
        <v>S</v>
      </c>
      <c r="LU198" s="389">
        <f t="shared" si="196"/>
        <v>1</v>
      </c>
      <c r="LV198" s="378"/>
      <c r="LW198" s="369"/>
      <c r="LX198" s="369"/>
    </row>
    <row r="199" ht="18.0" customHeight="1">
      <c r="A199" s="298" t="s">
        <v>921</v>
      </c>
      <c r="B199" s="222" t="s">
        <v>1435</v>
      </c>
      <c r="C199" s="233" t="str">
        <f t="shared" si="7"/>
        <v>SgPDnS</v>
      </c>
      <c r="D199" s="234" t="str">
        <f>IFERROR(__xludf.DUMMYFUNCTION("IF(REGEXMATCH(C199, ""S""), ""S"","""")"),"S")</f>
        <v>S</v>
      </c>
      <c r="E199" s="236" t="str">
        <f>IFERROR(__xludf.DUMMYFUNCTION("IF(REGEXMATCH(C199, ""r""), ""r"","""")"),"")</f>
        <v/>
      </c>
      <c r="F199" s="237" t="str">
        <f>IFERROR(__xludf.DUMMYFUNCTION("IF(REGEXMATCH(C199, ""R""), ""R"","""")"),"")</f>
        <v/>
      </c>
      <c r="G199" s="237" t="str">
        <f>IFERROR(__xludf.DUMMYFUNCTION("IF(REGEXMATCH(C199, ""g""), ""g"","""")"),"g")</f>
        <v>g</v>
      </c>
      <c r="H199" s="236" t="str">
        <f>IFERROR(__xludf.DUMMYFUNCTION("IF(REGEXMATCH(C199, ""G""), ""G"","""")"),"")</f>
        <v/>
      </c>
      <c r="I199" s="236" t="str">
        <f>IFERROR(__xludf.DUMMYFUNCTION("IF(REGEXMATCH(C199, ""m""), ""m"","""")"),"")</f>
        <v/>
      </c>
      <c r="J199" s="237" t="str">
        <f>IFERROR(__xludf.DUMMYFUNCTION("IF(REGEXMATCH(C199, ""M""), ""M"","""")"),"")</f>
        <v/>
      </c>
      <c r="K199" s="236" t="str">
        <f>IFERROR(__xludf.DUMMYFUNCTION("IF(REGEXMATCH(C199, ""P""), ""P"","""")"),"P")</f>
        <v>P</v>
      </c>
      <c r="L199" s="237" t="str">
        <f>IFERROR(__xludf.DUMMYFUNCTION("IF(REGEXMATCH(C199, ""d""), ""d"","""")"),"")</f>
        <v/>
      </c>
      <c r="M199" s="236" t="str">
        <f>IFERROR(__xludf.DUMMYFUNCTION("IF(REGEXMATCH(C199, ""D""), ""D"","""")"),"D")</f>
        <v>D</v>
      </c>
      <c r="N199" s="236" t="str">
        <f>IFERROR(__xludf.DUMMYFUNCTION("IF(REGEXMATCH(C199, ""n""), ""n"","""")"),"n")</f>
        <v>n</v>
      </c>
      <c r="O199" s="237" t="str">
        <f>IFERROR(__xludf.DUMMYFUNCTION("IF(REGEXMATCH(C199, ""N""), ""N"","""")"),"")</f>
        <v/>
      </c>
      <c r="P199" s="238" t="str">
        <f>IFERROR(__xludf.DUMMYFUNCTION("IF(REGEXMATCH(C199, ""S""), ""S"","""")"),"S")</f>
        <v>S</v>
      </c>
      <c r="Q199" s="239" t="str">
        <f>IFERROR(__xludf.DUMMYFUNCTION("SUBSTITUTE(CONCATENATE(JOIN(""-"",D199:J199)),""-"","""")"),"Sg")</f>
        <v>Sg</v>
      </c>
      <c r="R199" s="229" t="str">
        <f>IFERROR(__xludf.DUMMYFUNCTION("SUBSTITUTE(CONCATENATE(JOIN(""-"",K199:P199)),""-"","""")"),"PDnS")</f>
        <v>PDnS</v>
      </c>
      <c r="S199" s="282" t="str">
        <f t="shared" si="8"/>
        <v>S-G-</v>
      </c>
      <c r="T199" s="282" t="str">
        <f t="shared" si="9"/>
        <v>P-D-N-S</v>
      </c>
      <c r="U199" s="237" t="str">
        <f>IFERROR(__xludf.DUMMYFUNCTION("SUBSTITUTE(JOIN(""-"",S199,T199),""--"",""-"")"),"S-G-P-D-N-S")</f>
        <v>S-G-P-D-N-S</v>
      </c>
      <c r="V199" s="309" t="str">
        <f t="shared" si="10"/>
        <v>gDn</v>
      </c>
      <c r="W199" s="244" t="str">
        <f>IFERROR(__xludf.DUMMYFUNCTION("IF(REGEXMATCH(C199, ""S""), ""0"","""")"),"0")</f>
        <v>0</v>
      </c>
      <c r="X199" s="245" t="str">
        <f>IFERROR(__xludf.DUMMYFUNCTION("IF(REGEXMATCH(C199, ""r""), ""1"","""")"),"")</f>
        <v/>
      </c>
      <c r="Y199" s="246" t="str">
        <f>IFERROR(__xludf.DUMMYFUNCTION("IF(REGEXMATCH(C199, ""R""), ""2"","""")"),"")</f>
        <v/>
      </c>
      <c r="Z199" s="246" t="str">
        <f>IFERROR(__xludf.DUMMYFUNCTION("IF(REGEXMATCH(C199, ""g""), ""3"","""")"),"3")</f>
        <v>3</v>
      </c>
      <c r="AA199" s="245" t="str">
        <f>IFERROR(__xludf.DUMMYFUNCTION("IF(REGEXMATCH(C199, ""G""), ""4"","""")"),"")</f>
        <v/>
      </c>
      <c r="AB199" s="245" t="str">
        <f>IFERROR(__xludf.DUMMYFUNCTION("IF(REGEXMATCH(C199, ""m""), ""5"","""")"),"")</f>
        <v/>
      </c>
      <c r="AC199" s="246" t="str">
        <f>IFERROR(__xludf.DUMMYFUNCTION("IF(REGEXMATCH(C199, ""M""), ""6"","""")"),"")</f>
        <v/>
      </c>
      <c r="AD199" s="245" t="str">
        <f>IFERROR(__xludf.DUMMYFUNCTION("IF(REGEXMATCH(C199, ""P""), ""7"","""")"),"7")</f>
        <v>7</v>
      </c>
      <c r="AE199" s="246" t="str">
        <f>IFERROR(__xludf.DUMMYFUNCTION("IF(REGEXMATCH(C199, ""d""), ""8"","""")"),"")</f>
        <v/>
      </c>
      <c r="AF199" s="245" t="str">
        <f>IFERROR(__xludf.DUMMYFUNCTION("IF(REGEXMATCH(C199, ""D""), ""9"","""")"),"9")</f>
        <v>9</v>
      </c>
      <c r="AG199" s="245" t="str">
        <f>IFERROR(__xludf.DUMMYFUNCTION("IF(REGEXMATCH(C199, ""n""), ""10"","""")"),"10")</f>
        <v>10</v>
      </c>
      <c r="AH199" s="246" t="str">
        <f>IFERROR(__xludf.DUMMYFUNCTION("IF(REGEXMATCH(C199, ""N""), ""11"","""")"),"")</f>
        <v/>
      </c>
      <c r="AI199" s="249" t="str">
        <f>IFERROR(__xludf.DUMMYFUNCTION("IF(REGEXMATCH(C199, ""S""), ""0"","""")"),"0")</f>
        <v>0</v>
      </c>
      <c r="AJ199" s="313" t="str">
        <f t="shared" si="11"/>
        <v>-</v>
      </c>
      <c r="AK199" s="313" t="str">
        <f t="shared" si="12"/>
        <v>-</v>
      </c>
      <c r="AL199" s="313" t="str">
        <f t="shared" si="13"/>
        <v>-</v>
      </c>
      <c r="AM199" s="313" t="str">
        <f t="shared" si="14"/>
        <v>T</v>
      </c>
      <c r="AN199" s="313" t="str">
        <f t="shared" si="15"/>
        <v>-</v>
      </c>
      <c r="AO199" s="314" t="str">
        <f t="shared" si="16"/>
        <v>-</v>
      </c>
      <c r="AP199" s="316">
        <f t="shared" si="17"/>
        <v>1</v>
      </c>
      <c r="AQ199" s="319" t="str">
        <f t="shared" si="18"/>
        <v>#REF!</v>
      </c>
      <c r="AR199" s="320">
        <f t="shared" si="19"/>
        <v>0</v>
      </c>
      <c r="AS199" s="250" t="str">
        <f>IFERROR(__xludf.DUMMYFUNCTION("SUBSTITUTE(SUBSTITUTE(CONCATENATE(JOIN("""",FP199:GA199)),""|"",""x""),""-"",""o"")"),"xooxoooxoxxo")</f>
        <v>xooxoooxoxxo</v>
      </c>
      <c r="AT199" s="323" t="str">
        <f>IFERROR(__xludf.DUMMYFUNCTION("JOIN("""",AS199,AS199)"),"xooxoooxoxxoxooxoooxoxxo")</f>
        <v>xooxoooxoxxoxooxoooxoxxo</v>
      </c>
      <c r="AU199" s="256" t="str">
        <f>IFERROR(__xludf.DUMMYFUNCTION("JOIN("""",ArrayFormula(MID(AS199,LEN(AS199)-SEQUENCE(1,LEN(AS199))+1,1)))"),"oxxoxoooxoox")</f>
        <v>oxxoxoooxoox</v>
      </c>
      <c r="AV199" s="256" t="str">
        <f>IFERROR(__xludf.DUMMYFUNCTION("LEFT(CONCATENATE(""x"",JOIN("""",ArrayFormula(MID(AS199,LEN(AS199)-SEQUENCE(1,LEN(AS199))+1,1)))),12)"),"xoxxoxoooxoo")</f>
        <v>xoxxoxoooxoo</v>
      </c>
      <c r="AW199" s="327" t="str">
        <f>IFERROR(__xludf.DUMMYFUNCTION("JOIN("""",AU199,AU199)"),"oxxoxoooxooxoxxoxoooxoox")</f>
        <v>oxxoxoooxooxoxxoxoooxoox</v>
      </c>
      <c r="AX199" s="239" t="str">
        <f>IFERROR(__xludf.DUMMYFUNCTION("IF(REGEXMATCH(AW199,AS199),""✔"",""-"")"),"-")</f>
        <v>-</v>
      </c>
      <c r="AY199" s="330" t="str">
        <f t="shared" si="20"/>
        <v>-</v>
      </c>
      <c r="AZ199" s="260" t="str">
        <f t="shared" si="21"/>
        <v>#REF!</v>
      </c>
      <c r="BA199" s="333" t="str">
        <f t="shared" si="22"/>
        <v>xooxooo</v>
      </c>
      <c r="BB199" s="334" t="str">
        <f t="shared" si="23"/>
        <v>xoxxox</v>
      </c>
      <c r="BC199" s="335" t="str">
        <f t="shared" si="236"/>
        <v>-</v>
      </c>
      <c r="BD199" s="336" t="str">
        <f t="shared" si="25"/>
        <v>Lilavati: 'xooxooo' + 'xoxxox'</v>
      </c>
      <c r="BE199" s="337">
        <f>IFERROR(__xludf.DUMMYFUNCTION("COUNTUNIQUE(FILTER(AT:AT,REGEXMATCH(AT:AT,AS199)))-1"),1.0)</f>
        <v>1</v>
      </c>
      <c r="BF199" s="261" t="str">
        <f>IFERROR(__xludf.DUMMYFUNCTION("IF(BI199=0,""(n/a)"",IF(BJ199=2,""(PAIR)"",IF(REGEXMATCH(AT199,""xoxoxxoxoxox""),""Bilawal"",IF(REGEXMATCH(AT199,""xoxoxooxoxoo""),""Bhupali"",IF(REGEXMATCH(AT199,""xoxoxxoxxoxo""),""Charukeshi"",IF(REGEXMATCH(AT199,""xoxoooxxoxxo""),""Kameshwari"",IF(REG"&amp;"EXMATCH(AT199,""xoxoxooxoxox""),""Shankara"",IF(REGEXMATCH(AT199,""xxooxoxxxoox""),""Basant"",IF(REGEXMATCH(AT199,""xoxoxxxxoxox""),""Bihag"",IF(REGEXMATCH(AT199,""xoxxxxoxoxxx""),""Pilu"",IF(REGEXMATCH(AT199,""xoxxoxoxxoox""),""Kirwani"",IF(REGEXMATCH(AT"&amp;"199,""xoxxoxoxoxxx""),""Mk.Malhar"",IF(REGEXMATCH(AT199,""xxooxxoxxoox""),""Bhairav"",IF(REGEXMATCH(AT199,""xxoxooxxxoox""),""Todi"",IF(REGEXMATCH(AT199,""xxooxoxooxox""),""Marwa"",IF(REGEXMATCH(AT199,""xxoooxoxxooo""),""Gunkali"",IF(REGEXMATCH(AT199,""xo"&amp;"xoxxoxxoox""),""Nat Bhairav"",IF(REGEXMATCH(AT199,""xoxxoooxoxoo""),""Shivranjani"",IF(REGEXMATCH(AT199,""xooxxxoxooxo""),""Jog"",IF(REGEXMATCH(AT199,""xxooxoxoxoox""),""Hemshri"",IF(REGEXMATCH(AT199,""xoooxooxoxxo""),""Kalavati"",IF(REGEXMATCH(AT199,""xx"&amp;"oxoxxoxoox""),""Kedar"",IF(REGEXMATCH(AT199,""xoxxxxoxooxx""),""Gara"",IF(REGEXMATCH(AT199,""xooxoxooxoox""),""Chandrakauns"",IF(REGEXMATCH(AT199,""xoxxxxoxxxox""),""Mand"",IF(REGEXMATCH(AT199,""xoxxxxoxoxox""),""Hanskinkini"",IF(REGEXMATCH(AT199,""xxooxx"&amp;"oxooxo""),""Lilavati"",IF(REGEXMATCH(AT199,""xooxoxoooxox""),""Rajeshwari"",IF(REGEXMATCH(AT199,""xoooxxoxoxxx""),""Khokar"",IF(REGEXMATCH(AT199,""xxooxoxxxxox""),""Maligoura"",""-""))))))))))))))))))))))))))))))"),"(PAIR)")</f>
        <v>(PAIR)</v>
      </c>
      <c r="BG199" s="239" t="str">
        <f t="shared" si="26"/>
        <v>#REF!</v>
      </c>
      <c r="BH199" s="239">
        <f>IFERROR(__xludf.DUMMYFUNCTION("COUNTUNIQUE(FE199:FO199)-1"),4.0)</f>
        <v>4</v>
      </c>
      <c r="BI199" s="239">
        <f>IFERROR(__xludf.DUMMYFUNCTION("COUNTUNIQUE(FILTER(AT:AT,REGEXMATCH(AT:AT,AS199)))-1"),1.0)</f>
        <v>1</v>
      </c>
      <c r="BJ199" s="239">
        <f>IFERROR(__xludf.DUMMYFUNCTION("COUNTA(FILTER(AT:AT,REGEXMATCH(AT:AT,AS199)))"),2.0)</f>
        <v>2</v>
      </c>
      <c r="BK199" s="341">
        <f>IFERROR(__xludf.DUMMYFUNCTION("COUNTA(FILTER(AT:AT,REGEXMATCH(AT:AT,AS199)))-AR199"),2.0)</f>
        <v>2</v>
      </c>
      <c r="BL199" s="276" t="str">
        <f>IFERROR(__xludf.DUMMYFUNCTION("IF(AS199=""oooooooooooo"",""-"",IF(REGEXMATCH(AT199,""xx""), ""Hemi."", ""Anhemi.""))"),"Hemi.")</f>
        <v>Hemi.</v>
      </c>
      <c r="BM199" s="282" t="str">
        <f>IFERROR(__xludf.DUMMYFUNCTION("IF(AS199=""oooooooooooo"",""-"",IF(REGEXMATCH(AT199,""xxx""), ""Cohem."", ""-""))"),"-")</f>
        <v>-</v>
      </c>
      <c r="BN199" s="282" t="str">
        <f>IFERROR(__xludf.DUMMYFUNCTION("IF(AS199=""oooooooooooo"",""-"",IF(REGEXMATCH(AT199,""xxxx""), ""Co-Co."", ""-""))"),"-")</f>
        <v>-</v>
      </c>
      <c r="BO199" s="342" t="str">
        <f>IFERROR(__xludf.DUMMYFUNCTION("IF(AS199=""oooooooooooo"",""-"",IF(REGEXMATCH(AT199,""xxxxx""), ""CCC."", ""-""))"),"-")</f>
        <v>-</v>
      </c>
      <c r="BP199" s="344" t="str">
        <f t="shared" si="27"/>
        <v>-</v>
      </c>
      <c r="BQ199" s="282" t="str">
        <f>IFERROR(__xludf.DUMMYFUNCTION("IF(REGEXMATCH(JOIN(""-"",EU199:FD199),""TRUE""),""✔"",""-"")"),"✔")</f>
        <v>✔</v>
      </c>
      <c r="BR199" s="225">
        <f t="shared" si="28"/>
        <v>1</v>
      </c>
      <c r="BS199" s="345" t="str">
        <f>IFERROR(__xludf.DUMMYFUNCTION("SUBSTITUTE(SUBSTITUTE(SUBSTITUTE(SUBSTITUTE(CONCATENATE(JOIN(""-"",GC199:GO199)),""--"",""-""),""--"",""-""),""--"",""-""),""--"",""-"")"),"1-b3-5-6-b7-8")</f>
        <v>1-b3-5-6-b7-8</v>
      </c>
      <c r="BT199" s="299" t="str">
        <f>IFERROR(__xludf.DUMMYFUNCTION("SUBSTITUTE(SUBSTITUTE(SUBSTITUTE(SUBSTITUTE(CONCATENATE(JOIN(""-"",GP199:HB199)),""--"",""-""),""--"",""-""),""--"",""-""),""--"",""-"")"),"S-G2-P-D2-N2-S")</f>
        <v>S-G2-P-D2-N2-S</v>
      </c>
      <c r="BU199" s="348" t="str">
        <f t="shared" si="29"/>
        <v>C-Eb-G-A-Bb-C</v>
      </c>
      <c r="BV199" s="349" t="str">
        <f t="shared" si="30"/>
        <v>SrRGmMdNS</v>
      </c>
      <c r="BW199" s="350">
        <f t="shared" si="31"/>
        <v>0</v>
      </c>
      <c r="BX199" s="351">
        <f t="shared" si="32"/>
        <v>1</v>
      </c>
      <c r="BY199" s="392"/>
      <c r="BZ199" s="309" t="str">
        <f>IFERROR(__xludf.DUMMYFUNCTION("IF(REGEXMATCH(C199, ""S""), ""x"",""x"")"),"x")</f>
        <v>x</v>
      </c>
      <c r="CA199" s="245" t="str">
        <f>IFERROR(__xludf.DUMMYFUNCTION("IF(REGEXMATCH(C199, ""r""), ""o"",""x"")"),"x")</f>
        <v>x</v>
      </c>
      <c r="CB199" s="246" t="str">
        <f>IFERROR(__xludf.DUMMYFUNCTION("IF(REGEXMATCH(C199, ""R""), ""o"",""x"")"),"x")</f>
        <v>x</v>
      </c>
      <c r="CC199" s="246" t="str">
        <f>IFERROR(__xludf.DUMMYFUNCTION("IF(REGEXMATCH(C199, ""g""), ""o"",""x"")"),"o")</f>
        <v>o</v>
      </c>
      <c r="CD199" s="245" t="str">
        <f>IFERROR(__xludf.DUMMYFUNCTION("IF(REGEXMATCH(C199, ""G""), ""o"",""x"")"),"x")</f>
        <v>x</v>
      </c>
      <c r="CE199" s="245" t="str">
        <f>IFERROR(__xludf.DUMMYFUNCTION("IF(REGEXMATCH(C199, ""m""), ""o"",""x"")"),"x")</f>
        <v>x</v>
      </c>
      <c r="CF199" s="246" t="str">
        <f>IFERROR(__xludf.DUMMYFUNCTION("IF(REGEXMATCH(C199, ""M""), ""o"",""x"")"),"x")</f>
        <v>x</v>
      </c>
      <c r="CG199" s="245" t="str">
        <f>IFERROR(__xludf.DUMMYFUNCTION("IF(REGEXMATCH(C199, ""P""), ""o"",""x"")"),"o")</f>
        <v>o</v>
      </c>
      <c r="CH199" s="246" t="str">
        <f>IFERROR(__xludf.DUMMYFUNCTION("IF(REGEXMATCH(C199, ""d""), ""o"",""x"")"),"x")</f>
        <v>x</v>
      </c>
      <c r="CI199" s="245" t="str">
        <f>IFERROR(__xludf.DUMMYFUNCTION("IF(REGEXMATCH(C199, ""D""), ""o"",""x"")"),"o")</f>
        <v>o</v>
      </c>
      <c r="CJ199" s="245" t="str">
        <f>IFERROR(__xludf.DUMMYFUNCTION("IF(REGEXMATCH(C199, ""n""), ""o"",""x"")"),"o")</f>
        <v>o</v>
      </c>
      <c r="CK199" s="245" t="str">
        <f>IFERROR(__xludf.DUMMYFUNCTION("IF(REGEXMATCH(C199, ""N""), ""o"",""x"")"),"x")</f>
        <v>x</v>
      </c>
      <c r="CL199" s="356" t="str">
        <f>IFERROR(__xludf.DUMMYFUNCTION("IF(REGEXMATCH(C199, ""S""), ""x"",""x"")"),"x")</f>
        <v>x</v>
      </c>
      <c r="CM199" s="357" t="str">
        <f t="shared" si="33"/>
        <v>xxxoxxxoxoox</v>
      </c>
      <c r="CN199" s="358">
        <f t="shared" si="34"/>
        <v>0</v>
      </c>
      <c r="CO199" s="246" t="str">
        <f>IFERROR(__xludf.DUMMYFUNCTION("IF(REGEXMATCH($C199, ""S""), ""S"",""S"")"),"S")</f>
        <v>S</v>
      </c>
      <c r="CP199" s="246" t="str">
        <f>IFERROR(__xludf.DUMMYFUNCTION("IF(REGEXMATCH($C199, ""r""), """",""r"")"),"r")</f>
        <v>r</v>
      </c>
      <c r="CQ199" s="246" t="str">
        <f>IFERROR(__xludf.DUMMYFUNCTION("IF(REGEXMATCH($C199, ""R""), """",""R"")"),"R")</f>
        <v>R</v>
      </c>
      <c r="CR199" s="246" t="str">
        <f>IFERROR(__xludf.DUMMYFUNCTION("IF(REGEXMATCH($C199, ""g""), """",""g"")"),"")</f>
        <v/>
      </c>
      <c r="CS199" s="246" t="str">
        <f>IFERROR(__xludf.DUMMYFUNCTION("IF(REGEXMATCH($C199, ""G""), """",""G"")"),"G")</f>
        <v>G</v>
      </c>
      <c r="CT199" s="246" t="str">
        <f>IFERROR(__xludf.DUMMYFUNCTION("IF(REGEXMATCH($C199, ""m""), """",""m"")"),"m")</f>
        <v>m</v>
      </c>
      <c r="CU199" s="246" t="str">
        <f>IFERROR(__xludf.DUMMYFUNCTION("IF(REGEXMATCH($C199, ""M""), """",""M"")"),"M")</f>
        <v>M</v>
      </c>
      <c r="CV199" s="246" t="str">
        <f>IFERROR(__xludf.DUMMYFUNCTION("IF(REGEXMATCH($C199, ""P""), """",""P"")"),"")</f>
        <v/>
      </c>
      <c r="CW199" s="246" t="str">
        <f>IFERROR(__xludf.DUMMYFUNCTION("IF(REGEXMATCH($C199, ""d""), """",""d"")"),"d")</f>
        <v>d</v>
      </c>
      <c r="CX199" s="246" t="str">
        <f>IFERROR(__xludf.DUMMYFUNCTION("IF(REGEXMATCH($C199, ""D""), """",""D"")"),"")</f>
        <v/>
      </c>
      <c r="CY199" s="246" t="str">
        <f>IFERROR(__xludf.DUMMYFUNCTION("IF(REGEXMATCH($C199, ""n""), """",""n"")"),"")</f>
        <v/>
      </c>
      <c r="CZ199" s="246" t="str">
        <f>IFERROR(__xludf.DUMMYFUNCTION("IF(REGEXMATCH($C199, ""N""), """",""N"")"),"N")</f>
        <v>N</v>
      </c>
      <c r="DA199" s="246" t="str">
        <f>IFERROR(__xludf.DUMMYFUNCTION("IF(REGEXMATCH($C199, ""S""), ""S"",""S"")"),"S")</f>
        <v>S</v>
      </c>
      <c r="DB199" s="362" t="str">
        <f>IFERROR(__xludf.DUMMYFUNCTION("JOIN("""",CO199:DA199,"""","""")"),"SrRGmMdNS")</f>
        <v>SrRGmMdNS</v>
      </c>
      <c r="DC199" s="363"/>
      <c r="DD199" s="301" t="str">
        <f t="shared" si="35"/>
        <v>#REF!</v>
      </c>
      <c r="DE199" s="302" t="str">
        <f t="shared" si="36"/>
        <v>#REF!</v>
      </c>
      <c r="DF199" s="301" t="str">
        <f t="shared" ref="DF199:DG199" si="612">SUBSTITUTE(S199,"-","")</f>
        <v>SG</v>
      </c>
      <c r="DG199" s="301" t="str">
        <f t="shared" si="612"/>
        <v>PDNS</v>
      </c>
      <c r="DH199" s="302" t="str">
        <f t="shared" si="38"/>
        <v>(PAIR)</v>
      </c>
      <c r="DI199" s="301" t="str">
        <f t="shared" si="39"/>
        <v>Hemi.</v>
      </c>
      <c r="DJ199" s="364" t="str">
        <f t="shared" si="40"/>
        <v>-</v>
      </c>
      <c r="DK199" s="306" t="str">
        <f t="shared" si="41"/>
        <v>-</v>
      </c>
      <c r="DL199" s="366" t="str">
        <f t="shared" si="42"/>
        <v>✔</v>
      </c>
      <c r="DM199" s="308" t="str">
        <f t="shared" si="43"/>
        <v>-</v>
      </c>
      <c r="DN199" s="306" t="str">
        <f t="shared" si="44"/>
        <v>-</v>
      </c>
      <c r="DO199" s="306" t="str">
        <f t="shared" si="45"/>
        <v>-</v>
      </c>
      <c r="DP199" s="367" t="str">
        <f t="shared" si="46"/>
        <v>-</v>
      </c>
      <c r="DQ199" s="310" t="str">
        <f t="shared" si="47"/>
        <v>-</v>
      </c>
      <c r="DR199" s="310" t="str">
        <f t="shared" si="48"/>
        <v>-</v>
      </c>
      <c r="DS199" s="310" t="str">
        <f t="shared" si="49"/>
        <v>-</v>
      </c>
      <c r="DT199" s="310" t="str">
        <f t="shared" si="50"/>
        <v>-</v>
      </c>
      <c r="DU199" s="370" t="str">
        <f t="shared" si="51"/>
        <v>-</v>
      </c>
      <c r="DV199" s="306" t="str">
        <f t="shared" si="52"/>
        <v>✔</v>
      </c>
      <c r="DW199" s="306" t="str">
        <f t="shared" si="53"/>
        <v>-</v>
      </c>
      <c r="DX199" s="306" t="str">
        <f t="shared" si="54"/>
        <v>✔</v>
      </c>
      <c r="DY199" s="306" t="str">
        <f t="shared" si="55"/>
        <v>-</v>
      </c>
      <c r="DZ199" s="306" t="str">
        <f t="shared" si="56"/>
        <v>-</v>
      </c>
      <c r="EA199" s="367" t="str">
        <f t="shared" si="57"/>
        <v>-</v>
      </c>
      <c r="EB199" s="310" t="str">
        <f>IFERROR(__xludf.DUMMYFUNCTION("IF(REGEXMATCH(AW199,AS199),""✔"",""-"")"),"-")</f>
        <v>-</v>
      </c>
      <c r="EC199" s="310" t="str">
        <f t="shared" si="58"/>
        <v>#REF!</v>
      </c>
      <c r="ED199" s="370" t="str">
        <f t="shared" si="59"/>
        <v>-</v>
      </c>
      <c r="EE199" s="340" t="str">
        <f t="shared" si="60"/>
        <v>S-g-P-D-n-S</v>
      </c>
      <c r="EF199" s="371" t="str">
        <f>IFERROR(__xludf.DUMMYFUNCTION("CONCATENATE(JOIN("""",HC199:HO199))"),"SRgmDS")</f>
        <v>SRgmDS</v>
      </c>
      <c r="EG199" s="372">
        <f t="shared" si="61"/>
        <v>3</v>
      </c>
      <c r="EH199" s="373" t="str">
        <f>IFERROR(__xludf.DUMMYFUNCTION("CONCATENATE(JOIN("""",JC199:JO199))"),"Pa, Dha, ni, ")</f>
        <v>Pa, Dha, ni, </v>
      </c>
      <c r="EI199" s="322">
        <f t="shared" si="62"/>
        <v>1</v>
      </c>
      <c r="EJ199" s="374" t="str">
        <f>IFERROR(__xludf.DUMMYFUNCTION("CONCATENATE(JOIN("""",KC199:KO199))"),"Dha, ")</f>
        <v>Dha, </v>
      </c>
      <c r="EK199" s="325" t="str">
        <f t="shared" si="63"/>
        <v>S-G2-P-D2-N2-S</v>
      </c>
      <c r="EL199" s="326" t="str">
        <f t="shared" si="64"/>
        <v>1-b3-5-6-b7-8</v>
      </c>
      <c r="EM199" s="318" t="str">
        <f t="shared" si="65"/>
        <v>#REF!</v>
      </c>
      <c r="EN199" s="328" t="str">
        <f>IFERROR(__xludf.DUMMYFUNCTION("SUBSTITUTE(SUBSTITUTE(SUBSTITUTE(SUBSTITUTE(CONCATENATE(JOIN("" "",HP199:IB199)),""  "","" ""),""  "","" ""),""  "","" ""),""  "","" "")"),"o • • o • • • o • o o • o")</f>
        <v>o • • o • • • o • o o • o</v>
      </c>
      <c r="EO199" s="368" t="str">
        <f t="shared" si="66"/>
        <v>Sa-Pa</v>
      </c>
      <c r="EP199" s="339" t="str">
        <f t="shared" si="67"/>
        <v>-</v>
      </c>
      <c r="EQ199" s="339" t="str">
        <f t="shared" si="68"/>
        <v>Sa-Pa</v>
      </c>
      <c r="ER199" s="339" t="str">
        <f t="shared" si="69"/>
        <v>Sa-Pa</v>
      </c>
      <c r="ES199" s="340" t="str">
        <f t="shared" si="70"/>
        <v>-</v>
      </c>
      <c r="ET199" s="363"/>
      <c r="EU199" s="376" t="b">
        <f>IFERROR(__xludf.DUMMYFUNCTION("arrayformula(sum(--REGEXMATCH(""SRGMPDNS"",split(REGEXREPLACE(C199,""(.)"",""$1~""),""~""))))=len(C199)
"),FALSE)</f>
        <v>0</v>
      </c>
      <c r="EV199" s="290" t="b">
        <f>IFERROR(__xludf.DUMMYFUNCTION("arrayformula(sum(--REGEXMATCH(""SRGmPDNS"",split(REGEXREPLACE(C199,""(.)"",""$1~""),""~""))))=len(C199)"),FALSE)</f>
        <v>0</v>
      </c>
      <c r="EW199" s="290" t="b">
        <f>IFERROR(__xludf.DUMMYFUNCTION("arrayformula(sum(--REGEXMATCH(""SRGmPDnS"",split(REGEXREPLACE(C199,""(.)"",""$1~""),""~""))))=len(C199)"),FALSE)</f>
        <v>0</v>
      </c>
      <c r="EX199" s="290" t="b">
        <f>IFERROR(__xludf.DUMMYFUNCTION("arrayformula(sum(--REGEXMATCH(""SRgmPDnS"",split(REGEXREPLACE(C199,""(.)"",""$1~""),""~""))))=len(C199)"),TRUE)</f>
        <v>1</v>
      </c>
      <c r="EY199" s="290" t="b">
        <f>IFERROR(__xludf.DUMMYFUNCTION("arrayformula(sum(--REGEXMATCH(""SRgmPdnS"",split(REGEXREPLACE(C199,""(.)"",""$1~""),""~""))))=len(C199)"),FALSE)</f>
        <v>0</v>
      </c>
      <c r="EZ199" s="290" t="b">
        <f>IFERROR(__xludf.DUMMYFUNCTION("arrayformula(sum(--REGEXMATCH(""SrgmPdnS"",split(REGEXREPLACE(C199,""(.)"",""$1~""),""~""))))=len(C199)"),FALSE)</f>
        <v>0</v>
      </c>
      <c r="FA199" s="290" t="b">
        <f>IFERROR(__xludf.DUMMYFUNCTION("arrayformula(sum(--REGEXMATCH(""SrGmPdNS"",split(REGEXREPLACE(C199,""(.)"",""$1~""),""~""))))=len(C199)"),FALSE)</f>
        <v>0</v>
      </c>
      <c r="FB199" s="290" t="b">
        <f>IFERROR(__xludf.DUMMYFUNCTION("arrayformula(sum(--REGEXMATCH(""SrGMPDNS"",split(REGEXREPLACE(C199,""(.)"",""$1~""),""~""))))=len(C199)"),FALSE)</f>
        <v>0</v>
      </c>
      <c r="FC199" s="290" t="b">
        <f>IFERROR(__xludf.DUMMYFUNCTION("arrayformula(sum(--REGEXMATCH(""SrGMPdNS"",split(REGEXREPLACE(C199,""(.)"",""$1~""),""~""))))=len(C199)"),FALSE)</f>
        <v>0</v>
      </c>
      <c r="FD199" s="377" t="b">
        <f>IFERROR(__xludf.DUMMYFUNCTION("arrayformula(sum(--REGEXMATCH(""SrgMPdNS"",split(REGEXREPLACE(C199,""(.)"",""$1~""),""~""))))=len(C199)"),FALSE)</f>
        <v>0</v>
      </c>
      <c r="FE199" s="269" t="str">
        <f t="shared" si="71"/>
        <v>-</v>
      </c>
      <c r="FF199" s="269" t="str">
        <f t="shared" si="72"/>
        <v>-</v>
      </c>
      <c r="FG199" s="271" t="str">
        <f t="shared" si="73"/>
        <v>xoooxoxxoxo</v>
      </c>
      <c r="FH199" s="269" t="str">
        <f t="shared" si="74"/>
        <v>-</v>
      </c>
      <c r="FI199" s="271" t="str">
        <f t="shared" si="75"/>
        <v>-</v>
      </c>
      <c r="FJ199" s="271" t="str">
        <f t="shared" si="76"/>
        <v>-</v>
      </c>
      <c r="FK199" s="271" t="str">
        <f t="shared" si="77"/>
        <v>xoxxoxooxoo</v>
      </c>
      <c r="FL199" s="271" t="str">
        <f t="shared" si="78"/>
        <v>-</v>
      </c>
      <c r="FM199" s="271" t="str">
        <f t="shared" si="79"/>
        <v>xxoxooxooox</v>
      </c>
      <c r="FN199" s="271" t="str">
        <f t="shared" si="80"/>
        <v>xoxooxoooxo</v>
      </c>
      <c r="FO199" s="274" t="str">
        <f t="shared" si="81"/>
        <v>-</v>
      </c>
      <c r="FP199" s="234" t="str">
        <f t="shared" si="82"/>
        <v>|</v>
      </c>
      <c r="FQ199" s="236" t="str">
        <f t="shared" si="83"/>
        <v>-</v>
      </c>
      <c r="FR199" s="237" t="str">
        <f t="shared" si="84"/>
        <v>-</v>
      </c>
      <c r="FS199" s="236" t="str">
        <f t="shared" si="85"/>
        <v>|</v>
      </c>
      <c r="FT199" s="237" t="str">
        <f t="shared" si="86"/>
        <v>-</v>
      </c>
      <c r="FU199" s="236" t="str">
        <f t="shared" si="87"/>
        <v>-</v>
      </c>
      <c r="FV199" s="237" t="str">
        <f t="shared" si="88"/>
        <v>-</v>
      </c>
      <c r="FW199" s="236" t="str">
        <f t="shared" si="89"/>
        <v>|</v>
      </c>
      <c r="FX199" s="237" t="str">
        <f t="shared" si="90"/>
        <v>-</v>
      </c>
      <c r="FY199" s="236" t="str">
        <f t="shared" si="91"/>
        <v>|</v>
      </c>
      <c r="FZ199" s="237" t="str">
        <f t="shared" si="92"/>
        <v>|</v>
      </c>
      <c r="GA199" s="236" t="str">
        <f t="shared" si="93"/>
        <v>-</v>
      </c>
      <c r="GB199" s="238" t="str">
        <f t="shared" si="94"/>
        <v>|</v>
      </c>
      <c r="GC199" s="244" t="str">
        <f>IFERROR(__xludf.DUMMYFUNCTION("IF(REGEXMATCH(C199, ""S""), ""1"","""")"),"1")</f>
        <v>1</v>
      </c>
      <c r="GD199" s="245" t="str">
        <f>IFERROR(__xludf.DUMMYFUNCTION("IF(REGEXMATCH(C199, ""r""), ""b2"","""")"),"")</f>
        <v/>
      </c>
      <c r="GE199" s="246" t="str">
        <f>IFERROR(__xludf.DUMMYFUNCTION("IF(REGEXMATCH(C199, ""R""), ""2"","""")"),"")</f>
        <v/>
      </c>
      <c r="GF199" s="246" t="str">
        <f>IFERROR(__xludf.DUMMYFUNCTION("IF(REGEXMATCH(C199, ""g""), ""b3"","""")"),"b3")</f>
        <v>b3</v>
      </c>
      <c r="GG199" s="245" t="str">
        <f>IFERROR(__xludf.DUMMYFUNCTION("IF(REGEXMATCH(C199, ""G""), ""3"","""")"),"")</f>
        <v/>
      </c>
      <c r="GH199" s="245" t="str">
        <f>IFERROR(__xludf.DUMMYFUNCTION("IF(REGEXMATCH(C199, ""m""), ""4"","""")"),"")</f>
        <v/>
      </c>
      <c r="GI199" s="246" t="str">
        <f>IFERROR(__xludf.DUMMYFUNCTION("IF(REGEXMATCH(C199, ""M""), ""#4"","""")"),"")</f>
        <v/>
      </c>
      <c r="GJ199" s="245" t="str">
        <f>IFERROR(__xludf.DUMMYFUNCTION("IF(REGEXMATCH(C199, ""P""), ""5"","""")"),"5")</f>
        <v>5</v>
      </c>
      <c r="GK199" s="246" t="str">
        <f>IFERROR(__xludf.DUMMYFUNCTION("IF(REGEXMATCH(C199, ""d""), ""b6"","""")"),"")</f>
        <v/>
      </c>
      <c r="GL199" s="245" t="str">
        <f>IFERROR(__xludf.DUMMYFUNCTION("IF(REGEXMATCH(C199, ""D""), ""6"","""")"),"6")</f>
        <v>6</v>
      </c>
      <c r="GM199" s="245" t="str">
        <f>IFERROR(__xludf.DUMMYFUNCTION("IF(REGEXMATCH(C199, ""n""), ""b7"","""")"),"b7")</f>
        <v>b7</v>
      </c>
      <c r="GN199" s="246" t="str">
        <f>IFERROR(__xludf.DUMMYFUNCTION("IF(REGEXMATCH(C199, ""N""), ""7"","""")"),"")</f>
        <v/>
      </c>
      <c r="GO199" s="249" t="str">
        <f>IFERROR(__xludf.DUMMYFUNCTION("IF(REGEXMATCH(C199, ""S""), ""8"","""")"),"8")</f>
        <v>8</v>
      </c>
      <c r="GP199" s="244" t="str">
        <f>IFERROR(__xludf.DUMMYFUNCTION("IF(REGEXMATCH(C199, ""S""), ""S"","""")"),"S")</f>
        <v>S</v>
      </c>
      <c r="GQ199" s="294" t="str">
        <f>IFERROR(__xludf.DUMMYFUNCTION("IF(REGEXMATCH(C199, ""r""), ""R1"","""")"),"")</f>
        <v/>
      </c>
      <c r="GR199" s="295" t="str">
        <f>IFERROR(__xludf.DUMMYFUNCTION("IF(REGEXMATCH(C199, ""R""), ""R2"","""")"),"")</f>
        <v/>
      </c>
      <c r="GS199" s="295" t="str">
        <f>IFERROR(__xludf.DUMMYFUNCTION("IF(REGEXMATCH(C199, ""g""), ""G2"","""")"),"G2")</f>
        <v>G2</v>
      </c>
      <c r="GT199" s="294" t="str">
        <f>IFERROR(__xludf.DUMMYFUNCTION("IF(REGEXMATCH(C199, ""G""), ""G3"","""")"),"")</f>
        <v/>
      </c>
      <c r="GU199" s="294" t="str">
        <f>IFERROR(__xludf.DUMMYFUNCTION("IF(REGEXMATCH(C199, ""m""), ""M1"","""")"),"")</f>
        <v/>
      </c>
      <c r="GV199" s="295" t="str">
        <f>IFERROR(__xludf.DUMMYFUNCTION("IF(REGEXMATCH(C199, ""M""), ""M2"","""")"),"")</f>
        <v/>
      </c>
      <c r="GW199" s="294" t="str">
        <f>IFERROR(__xludf.DUMMYFUNCTION("IF(REGEXMATCH(C199, ""P""), ""P"","""")"),"P")</f>
        <v>P</v>
      </c>
      <c r="GX199" s="295" t="str">
        <f>IFERROR(__xludf.DUMMYFUNCTION("IF(REGEXMATCH(C199, ""d""), ""D1"","""")"),"")</f>
        <v/>
      </c>
      <c r="GY199" s="294" t="str">
        <f>IFERROR(__xludf.DUMMYFUNCTION("IF(REGEXMATCH(C199, ""D""), ""D2"","""")"),"D2")</f>
        <v>D2</v>
      </c>
      <c r="GZ199" s="294" t="str">
        <f>IFERROR(__xludf.DUMMYFUNCTION("IF(REGEXMATCH(C199, ""n""), ""N2"","""")"),"N2")</f>
        <v>N2</v>
      </c>
      <c r="HA199" s="295" t="str">
        <f>IFERROR(__xludf.DUMMYFUNCTION("IF(REGEXMATCH(C199, ""N""), ""N3"","""")"),"")</f>
        <v/>
      </c>
      <c r="HB199" s="249" t="str">
        <f>IFERROR(__xludf.DUMMYFUNCTION("IF(REGEXMATCH(C199, ""S""), ""S"","""")"),"S")</f>
        <v>S</v>
      </c>
      <c r="HC199" s="331" t="str">
        <f t="shared" si="95"/>
        <v>S</v>
      </c>
      <c r="HD199" s="332" t="str">
        <f t="shared" si="96"/>
        <v/>
      </c>
      <c r="HE199" s="332" t="str">
        <f t="shared" si="97"/>
        <v>R</v>
      </c>
      <c r="HF199" s="332" t="str">
        <f t="shared" si="98"/>
        <v>g</v>
      </c>
      <c r="HG199" s="332" t="str">
        <f t="shared" si="99"/>
        <v/>
      </c>
      <c r="HH199" s="332" t="str">
        <f t="shared" si="100"/>
        <v>m</v>
      </c>
      <c r="HI199" s="332" t="str">
        <f t="shared" si="101"/>
        <v/>
      </c>
      <c r="HJ199" s="332" t="str">
        <f t="shared" si="102"/>
        <v/>
      </c>
      <c r="HK199" s="332" t="str">
        <f t="shared" si="103"/>
        <v/>
      </c>
      <c r="HL199" s="332" t="str">
        <f t="shared" si="104"/>
        <v>D</v>
      </c>
      <c r="HM199" s="332" t="str">
        <f t="shared" si="105"/>
        <v/>
      </c>
      <c r="HN199" s="332" t="str">
        <f t="shared" si="106"/>
        <v/>
      </c>
      <c r="HO199" s="343" t="str">
        <f t="shared" si="107"/>
        <v>S</v>
      </c>
      <c r="HP199" s="331" t="str">
        <f t="shared" si="108"/>
        <v>o</v>
      </c>
      <c r="HQ199" s="332" t="str">
        <f t="shared" si="109"/>
        <v>•</v>
      </c>
      <c r="HR199" s="332" t="str">
        <f t="shared" si="110"/>
        <v>•</v>
      </c>
      <c r="HS199" s="332" t="str">
        <f t="shared" si="111"/>
        <v>o</v>
      </c>
      <c r="HT199" s="332" t="str">
        <f t="shared" si="112"/>
        <v>•</v>
      </c>
      <c r="HU199" s="332" t="str">
        <f t="shared" si="113"/>
        <v>•</v>
      </c>
      <c r="HV199" s="332" t="str">
        <f t="shared" si="114"/>
        <v>•</v>
      </c>
      <c r="HW199" s="332" t="str">
        <f t="shared" si="115"/>
        <v>o</v>
      </c>
      <c r="HX199" s="332" t="str">
        <f t="shared" si="116"/>
        <v>•</v>
      </c>
      <c r="HY199" s="332" t="str">
        <f t="shared" si="117"/>
        <v>o</v>
      </c>
      <c r="HZ199" s="332" t="str">
        <f t="shared" si="118"/>
        <v>o</v>
      </c>
      <c r="IA199" s="332" t="str">
        <f t="shared" si="119"/>
        <v>•</v>
      </c>
      <c r="IB199" s="338" t="str">
        <f t="shared" si="120"/>
        <v>o</v>
      </c>
      <c r="IC199" s="331" t="str">
        <f t="shared" si="121"/>
        <v>•</v>
      </c>
      <c r="ID199" s="332" t="str">
        <f t="shared" si="122"/>
        <v>o</v>
      </c>
      <c r="IE199" s="332" t="str">
        <f t="shared" si="123"/>
        <v>o</v>
      </c>
      <c r="IF199" s="332" t="str">
        <f t="shared" si="124"/>
        <v>•</v>
      </c>
      <c r="IG199" s="332" t="str">
        <f t="shared" si="125"/>
        <v>o</v>
      </c>
      <c r="IH199" s="332" t="str">
        <f t="shared" si="126"/>
        <v>o</v>
      </c>
      <c r="II199" s="332" t="str">
        <f t="shared" si="127"/>
        <v>o</v>
      </c>
      <c r="IJ199" s="332" t="str">
        <f t="shared" si="128"/>
        <v>•</v>
      </c>
      <c r="IK199" s="332" t="str">
        <f t="shared" si="129"/>
        <v>o</v>
      </c>
      <c r="IL199" s="332" t="str">
        <f t="shared" si="130"/>
        <v>•</v>
      </c>
      <c r="IM199" s="332" t="str">
        <f t="shared" si="131"/>
        <v>•</v>
      </c>
      <c r="IN199" s="332" t="str">
        <f t="shared" si="132"/>
        <v>o</v>
      </c>
      <c r="IO199" s="338" t="str">
        <f t="shared" si="133"/>
        <v>•</v>
      </c>
      <c r="IP199" s="346" t="b">
        <f t="shared" si="134"/>
        <v>0</v>
      </c>
      <c r="IQ199" s="347" t="b">
        <f t="shared" si="135"/>
        <v>0</v>
      </c>
      <c r="IR199" s="347" t="b">
        <f t="shared" si="136"/>
        <v>0</v>
      </c>
      <c r="IS199" s="347" t="b">
        <f t="shared" si="137"/>
        <v>0</v>
      </c>
      <c r="IT199" s="347" t="b">
        <f t="shared" si="138"/>
        <v>0</v>
      </c>
      <c r="IU199" s="347" t="b">
        <f t="shared" si="139"/>
        <v>0</v>
      </c>
      <c r="IV199" s="347" t="b">
        <f t="shared" si="140"/>
        <v>0</v>
      </c>
      <c r="IW199" s="347" t="b">
        <f t="shared" si="141"/>
        <v>1</v>
      </c>
      <c r="IX199" s="347" t="b">
        <f t="shared" si="142"/>
        <v>0</v>
      </c>
      <c r="IY199" s="347" t="b">
        <f t="shared" si="143"/>
        <v>1</v>
      </c>
      <c r="IZ199" s="347" t="b">
        <f t="shared" si="144"/>
        <v>1</v>
      </c>
      <c r="JA199" s="347" t="b">
        <f t="shared" si="145"/>
        <v>0</v>
      </c>
      <c r="JB199" s="353" t="b">
        <f t="shared" si="146"/>
        <v>0</v>
      </c>
      <c r="JC199" s="354" t="str">
        <f t="shared" si="147"/>
        <v/>
      </c>
      <c r="JD199" s="355" t="str">
        <f t="shared" si="148"/>
        <v/>
      </c>
      <c r="JE199" s="355" t="str">
        <f t="shared" si="149"/>
        <v/>
      </c>
      <c r="JF199" s="355" t="str">
        <f t="shared" si="150"/>
        <v/>
      </c>
      <c r="JG199" s="355" t="str">
        <f t="shared" si="151"/>
        <v/>
      </c>
      <c r="JH199" s="355" t="str">
        <f t="shared" si="152"/>
        <v/>
      </c>
      <c r="JI199" s="355" t="str">
        <f t="shared" si="153"/>
        <v/>
      </c>
      <c r="JJ199" s="355" t="str">
        <f t="shared" si="154"/>
        <v>Pa, </v>
      </c>
      <c r="JK199" s="355" t="str">
        <f t="shared" si="155"/>
        <v/>
      </c>
      <c r="JL199" s="355" t="str">
        <f t="shared" si="156"/>
        <v>Dha, </v>
      </c>
      <c r="JM199" s="355" t="str">
        <f t="shared" si="157"/>
        <v>ni, </v>
      </c>
      <c r="JN199" s="355" t="str">
        <f t="shared" si="158"/>
        <v/>
      </c>
      <c r="JO199" s="359" t="str">
        <f t="shared" si="159"/>
        <v/>
      </c>
      <c r="JP199" s="346" t="b">
        <f t="shared" si="160"/>
        <v>0</v>
      </c>
      <c r="JQ199" s="347" t="b">
        <f t="shared" si="161"/>
        <v>0</v>
      </c>
      <c r="JR199" s="347" t="b">
        <f t="shared" si="162"/>
        <v>0</v>
      </c>
      <c r="JS199" s="347" t="b">
        <f t="shared" si="163"/>
        <v>0</v>
      </c>
      <c r="JT199" s="347" t="b">
        <f t="shared" si="164"/>
        <v>0</v>
      </c>
      <c r="JU199" s="347" t="b">
        <f t="shared" si="165"/>
        <v>0</v>
      </c>
      <c r="JV199" s="347" t="b">
        <f t="shared" si="166"/>
        <v>0</v>
      </c>
      <c r="JW199" s="347" t="b">
        <f t="shared" si="167"/>
        <v>0</v>
      </c>
      <c r="JX199" s="347" t="b">
        <f t="shared" si="168"/>
        <v>0</v>
      </c>
      <c r="JY199" s="347" t="b">
        <f t="shared" si="169"/>
        <v>1</v>
      </c>
      <c r="JZ199" s="347" t="b">
        <f t="shared" si="170"/>
        <v>0</v>
      </c>
      <c r="KA199" s="347" t="b">
        <f t="shared" si="171"/>
        <v>0</v>
      </c>
      <c r="KB199" s="365" t="b">
        <f t="shared" si="172"/>
        <v>0</v>
      </c>
      <c r="KC199" s="354" t="str">
        <f t="shared" si="173"/>
        <v/>
      </c>
      <c r="KD199" s="355" t="str">
        <f t="shared" si="174"/>
        <v/>
      </c>
      <c r="KE199" s="355" t="str">
        <f t="shared" si="175"/>
        <v/>
      </c>
      <c r="KF199" s="355" t="str">
        <f t="shared" si="176"/>
        <v/>
      </c>
      <c r="KG199" s="355" t="str">
        <f t="shared" si="177"/>
        <v/>
      </c>
      <c r="KH199" s="355" t="str">
        <f t="shared" si="178"/>
        <v/>
      </c>
      <c r="KI199" s="355" t="str">
        <f t="shared" si="179"/>
        <v/>
      </c>
      <c r="KJ199" s="355" t="str">
        <f t="shared" si="180"/>
        <v/>
      </c>
      <c r="KK199" s="355" t="str">
        <f t="shared" si="181"/>
        <v/>
      </c>
      <c r="KL199" s="355" t="str">
        <f t="shared" si="182"/>
        <v>Dha, </v>
      </c>
      <c r="KM199" s="355" t="str">
        <f t="shared" si="183"/>
        <v/>
      </c>
      <c r="KN199" s="355" t="str">
        <f t="shared" si="184"/>
        <v/>
      </c>
      <c r="KO199" s="359"/>
      <c r="KP199" s="378"/>
      <c r="KQ199" s="379" t="s">
        <v>9</v>
      </c>
      <c r="KR199" s="380" t="s">
        <v>1436</v>
      </c>
      <c r="KS199" s="381" t="s">
        <v>9</v>
      </c>
      <c r="KT199" s="382">
        <f t="shared" si="186"/>
        <v>0</v>
      </c>
      <c r="KU199" s="383">
        <f t="shared" si="187"/>
        <v>0</v>
      </c>
      <c r="KV199" s="381" t="str">
        <f t="shared" si="205"/>
        <v>S-n-P-m-G-r-S</v>
      </c>
      <c r="KW199" s="382">
        <f t="shared" si="189"/>
        <v>6</v>
      </c>
      <c r="KX199" s="384">
        <f t="shared" si="190"/>
        <v>6</v>
      </c>
      <c r="KY199" s="382">
        <f t="shared" ref="KY199:KZ199" si="613">KW199-KT199</f>
        <v>6</v>
      </c>
      <c r="KZ199" s="369">
        <f t="shared" si="613"/>
        <v>6</v>
      </c>
      <c r="LA199" s="385" t="str">
        <f t="shared" si="192"/>
        <v>-</v>
      </c>
      <c r="LB199" s="340" t="str">
        <f>IFERROR(__xludf.DUMMYFUNCTION("JOIN("""",ArrayFormula(MID(KS199,LEN(KS199)-SEQUENCE(1,LEN(KS199))+1,1)))"),"S")</f>
        <v>S</v>
      </c>
      <c r="LC199" s="373" t="str">
        <f>IFERROR(__xludf.DUMMYFUNCTION("JOIN("""",ArrayFormula(MID(KV199,LEN(KV199)-SEQUENCE(1,LEN(KV199))+1,1)))"),"S-r-G-m-P-n-S")</f>
        <v>S-r-G-m-P-n-S</v>
      </c>
      <c r="LD199" s="373" t="str">
        <f t="shared" si="193"/>
        <v>S</v>
      </c>
      <c r="LE199" s="339" t="str">
        <f t="shared" si="194"/>
        <v>SrGmPnS</v>
      </c>
      <c r="LF199" s="386" t="str">
        <f>IFERROR(__xludf.DUMMYFUNCTION("SUBSTITUTE(SUBSTITUTE(CONCATENATE(JOIN("""",LH199:LT199)),""1"",""""),""2"","""")"),"SrGmPnS")</f>
        <v>SrGmPnS</v>
      </c>
      <c r="LG199" s="369" t="str">
        <f t="shared" si="195"/>
        <v>-</v>
      </c>
      <c r="LH199" s="387" t="str">
        <f>IFERROR(__xludf.DUMMYFUNCTION("IF(REGEXMATCH(LD199, ""S""), ""S"",IF(REGEXMATCH(LE199, ""S""), ""S"",""""))"),"S")</f>
        <v>S</v>
      </c>
      <c r="LI199" s="299" t="str">
        <f>IFERROR(__xludf.DUMMYFUNCTION("IF(REGEXMATCH(LD199, ""r""), ""r1"",IF(REGEXMATCH(LE199, ""r""), ""r2"",""""))"),"r2")</f>
        <v>r2</v>
      </c>
      <c r="LJ199" s="299" t="str">
        <f>IFERROR(__xludf.DUMMYFUNCTION("IF(REGEXMATCH(LD199, ""R""), ""R1"",IF(REGEXMATCH(LE199, ""R""), ""R2"",""""))"),"")</f>
        <v/>
      </c>
      <c r="LK199" s="299" t="str">
        <f>IFERROR(__xludf.DUMMYFUNCTION("IF(REGEXMATCH(LD199, ""g""), ""g1"",IF(REGEXMATCH(LE199, ""g""), ""g2"",""""))"),"")</f>
        <v/>
      </c>
      <c r="LL199" s="299" t="str">
        <f>IFERROR(__xludf.DUMMYFUNCTION("IF(REGEXMATCH(LD199, ""G""), ""G1"",IF(REGEXMATCH(LE199, ""G""), ""G2"",""""))"),"G2")</f>
        <v>G2</v>
      </c>
      <c r="LM199" s="299" t="str">
        <f>IFERROR(__xludf.DUMMYFUNCTION("IF(REGEXMATCH(LD199, ""m""), ""m1"",IF(REGEXMATCH(LE199, ""m""), ""m2"",""""))"),"m2")</f>
        <v>m2</v>
      </c>
      <c r="LN199" s="299" t="str">
        <f>IFERROR(__xludf.DUMMYFUNCTION("IF(REGEXMATCH(LD199, ""M""), ""M1"",IF(REGEXMATCH(LE199, ""M""), ""M2"",""""))"),"")</f>
        <v/>
      </c>
      <c r="LO199" s="299" t="str">
        <f>IFERROR(__xludf.DUMMYFUNCTION("IF(REGEXMATCH(LD199, ""P""), ""P1"",IF(REGEXMATCH(LE199, ""P""), ""P2"",""""))"),"P2")</f>
        <v>P2</v>
      </c>
      <c r="LP199" s="299" t="str">
        <f>IFERROR(__xludf.DUMMYFUNCTION("IF(REGEXMATCH(LD199, ""d""), ""d1"",IF(REGEXMATCH(LE199, ""d""), ""d2"",""""))"),"")</f>
        <v/>
      </c>
      <c r="LQ199" s="299" t="str">
        <f>IFERROR(__xludf.DUMMYFUNCTION("IF(REGEXMATCH(LD199, ""D""), ""D1"",IF(REGEXMATCH(LE199, ""D""), ""D2"",""""))"),"")</f>
        <v/>
      </c>
      <c r="LR199" s="299" t="str">
        <f>IFERROR(__xludf.DUMMYFUNCTION("IF(REGEXMATCH(LD199, ""n""), ""n1"",IF(REGEXMATCH(LE199, ""n""), ""n2"",""""))"),"n2")</f>
        <v>n2</v>
      </c>
      <c r="LS199" s="299" t="str">
        <f>IFERROR(__xludf.DUMMYFUNCTION("IF(REGEXMATCH(LD199, ""N""), ""N1"",IF(REGEXMATCH(LE199, ""N""), ""N2"",""""))"),"")</f>
        <v/>
      </c>
      <c r="LT199" s="388" t="str">
        <f>IFERROR(__xludf.DUMMYFUNCTION("IF(REGEXMATCH(LD199, ""S""), ""S"",IF(REGEXMATCH(LE199, ""S""), ""S"",""""))"),"S")</f>
        <v>S</v>
      </c>
      <c r="LU199" s="389">
        <f t="shared" si="196"/>
        <v>-11</v>
      </c>
      <c r="LV199" s="378"/>
      <c r="LW199" s="369"/>
      <c r="LX199" s="369"/>
    </row>
    <row r="200" ht="18.0" customHeight="1">
      <c r="A200" s="298" t="s">
        <v>1437</v>
      </c>
      <c r="B200" s="222" t="s">
        <v>554</v>
      </c>
      <c r="C200" s="233" t="str">
        <f t="shared" si="7"/>
        <v>SRGmPDNS</v>
      </c>
      <c r="D200" s="234" t="str">
        <f>IFERROR(__xludf.DUMMYFUNCTION("IF(REGEXMATCH(C200, ""S""), ""S"","""")"),"S")</f>
        <v>S</v>
      </c>
      <c r="E200" s="236" t="str">
        <f>IFERROR(__xludf.DUMMYFUNCTION("IF(REGEXMATCH(C200, ""r""), ""r"","""")"),"")</f>
        <v/>
      </c>
      <c r="F200" s="237" t="str">
        <f>IFERROR(__xludf.DUMMYFUNCTION("IF(REGEXMATCH(C200, ""R""), ""R"","""")"),"R")</f>
        <v>R</v>
      </c>
      <c r="G200" s="237" t="str">
        <f>IFERROR(__xludf.DUMMYFUNCTION("IF(REGEXMATCH(C200, ""g""), ""g"","""")"),"")</f>
        <v/>
      </c>
      <c r="H200" s="236" t="str">
        <f>IFERROR(__xludf.DUMMYFUNCTION("IF(REGEXMATCH(C200, ""G""), ""G"","""")"),"G")</f>
        <v>G</v>
      </c>
      <c r="I200" s="236" t="str">
        <f>IFERROR(__xludf.DUMMYFUNCTION("IF(REGEXMATCH(C200, ""m""), ""m"","""")"),"m")</f>
        <v>m</v>
      </c>
      <c r="J200" s="237" t="str">
        <f>IFERROR(__xludf.DUMMYFUNCTION("IF(REGEXMATCH(C200, ""M""), ""M"","""")"),"")</f>
        <v/>
      </c>
      <c r="K200" s="236" t="str">
        <f>IFERROR(__xludf.DUMMYFUNCTION("IF(REGEXMATCH(C200, ""P""), ""P"","""")"),"P")</f>
        <v>P</v>
      </c>
      <c r="L200" s="237" t="str">
        <f>IFERROR(__xludf.DUMMYFUNCTION("IF(REGEXMATCH(C200, ""d""), ""d"","""")"),"")</f>
        <v/>
      </c>
      <c r="M200" s="236" t="str">
        <f>IFERROR(__xludf.DUMMYFUNCTION("IF(REGEXMATCH(C200, ""D""), ""D"","""")"),"D")</f>
        <v>D</v>
      </c>
      <c r="N200" s="236" t="str">
        <f>IFERROR(__xludf.DUMMYFUNCTION("IF(REGEXMATCH(C200, ""n""), ""n"","""")"),"")</f>
        <v/>
      </c>
      <c r="O200" s="237" t="str">
        <f>IFERROR(__xludf.DUMMYFUNCTION("IF(REGEXMATCH(C200, ""N""), ""N"","""")"),"N")</f>
        <v>N</v>
      </c>
      <c r="P200" s="238" t="str">
        <f>IFERROR(__xludf.DUMMYFUNCTION("IF(REGEXMATCH(C200, ""S""), ""S"","""")"),"S")</f>
        <v>S</v>
      </c>
      <c r="Q200" s="239" t="str">
        <f>IFERROR(__xludf.DUMMYFUNCTION("SUBSTITUTE(CONCATENATE(JOIN(""-"",D200:J200)),""-"","""")"),"SRGm")</f>
        <v>SRGm</v>
      </c>
      <c r="R200" s="229" t="str">
        <f>IFERROR(__xludf.DUMMYFUNCTION("SUBSTITUTE(CONCATENATE(JOIN(""-"",K200:P200)),""-"","""")"),"PDNS")</f>
        <v>PDNS</v>
      </c>
      <c r="S200" s="282" t="str">
        <f t="shared" si="8"/>
        <v>S-R-G-M</v>
      </c>
      <c r="T200" s="282" t="str">
        <f t="shared" si="9"/>
        <v>P-D-N-S</v>
      </c>
      <c r="U200" s="237" t="str">
        <f>IFERROR(__xludf.DUMMYFUNCTION("SUBSTITUTE(JOIN(""-"",S200,T200),""--"",""-"")"),"S-R-G-M-P-D-N-S")</f>
        <v>S-R-G-M-P-D-N-S</v>
      </c>
      <c r="V200" s="309" t="str">
        <f t="shared" si="10"/>
        <v>RGmDN</v>
      </c>
      <c r="W200" s="244" t="str">
        <f>IFERROR(__xludf.DUMMYFUNCTION("IF(REGEXMATCH(C200, ""S""), ""0"","""")"),"0")</f>
        <v>0</v>
      </c>
      <c r="X200" s="245" t="str">
        <f>IFERROR(__xludf.DUMMYFUNCTION("IF(REGEXMATCH(C200, ""r""), ""1"","""")"),"")</f>
        <v/>
      </c>
      <c r="Y200" s="246" t="str">
        <f>IFERROR(__xludf.DUMMYFUNCTION("IF(REGEXMATCH(C200, ""R""), ""2"","""")"),"2")</f>
        <v>2</v>
      </c>
      <c r="Z200" s="246" t="str">
        <f>IFERROR(__xludf.DUMMYFUNCTION("IF(REGEXMATCH(C200, ""g""), ""3"","""")"),"")</f>
        <v/>
      </c>
      <c r="AA200" s="245" t="str">
        <f>IFERROR(__xludf.DUMMYFUNCTION("IF(REGEXMATCH(C200, ""G""), ""4"","""")"),"4")</f>
        <v>4</v>
      </c>
      <c r="AB200" s="245" t="str">
        <f>IFERROR(__xludf.DUMMYFUNCTION("IF(REGEXMATCH(C200, ""m""), ""5"","""")"),"5")</f>
        <v>5</v>
      </c>
      <c r="AC200" s="246" t="str">
        <f>IFERROR(__xludf.DUMMYFUNCTION("IF(REGEXMATCH(C200, ""M""), ""6"","""")"),"")</f>
        <v/>
      </c>
      <c r="AD200" s="245" t="str">
        <f>IFERROR(__xludf.DUMMYFUNCTION("IF(REGEXMATCH(C200, ""P""), ""7"","""")"),"7")</f>
        <v>7</v>
      </c>
      <c r="AE200" s="246" t="str">
        <f>IFERROR(__xludf.DUMMYFUNCTION("IF(REGEXMATCH(C200, ""d""), ""8"","""")"),"")</f>
        <v/>
      </c>
      <c r="AF200" s="245" t="str">
        <f>IFERROR(__xludf.DUMMYFUNCTION("IF(REGEXMATCH(C200, ""D""), ""9"","""")"),"9")</f>
        <v>9</v>
      </c>
      <c r="AG200" s="245" t="str">
        <f>IFERROR(__xludf.DUMMYFUNCTION("IF(REGEXMATCH(C200, ""n""), ""10"","""")"),"")</f>
        <v/>
      </c>
      <c r="AH200" s="246" t="str">
        <f>IFERROR(__xludf.DUMMYFUNCTION("IF(REGEXMATCH(C200, ""N""), ""11"","""")"),"11")</f>
        <v>11</v>
      </c>
      <c r="AI200" s="249" t="str">
        <f>IFERROR(__xludf.DUMMYFUNCTION("IF(REGEXMATCH(C200, ""S""), ""0"","""")"),"0")</f>
        <v>0</v>
      </c>
      <c r="AJ200" s="313" t="str">
        <f t="shared" si="11"/>
        <v>-</v>
      </c>
      <c r="AK200" s="313" t="str">
        <f t="shared" si="12"/>
        <v>-</v>
      </c>
      <c r="AL200" s="313" t="str">
        <f t="shared" si="13"/>
        <v>-</v>
      </c>
      <c r="AM200" s="313" t="str">
        <f t="shared" si="14"/>
        <v>-</v>
      </c>
      <c r="AN200" s="313" t="str">
        <f t="shared" si="15"/>
        <v>-</v>
      </c>
      <c r="AO200" s="314" t="str">
        <f t="shared" si="16"/>
        <v>T</v>
      </c>
      <c r="AP200" s="316">
        <f t="shared" si="17"/>
        <v>1</v>
      </c>
      <c r="AQ200" s="319" t="str">
        <f t="shared" si="18"/>
        <v>-</v>
      </c>
      <c r="AR200" s="320">
        <f t="shared" si="19"/>
        <v>0</v>
      </c>
      <c r="AS200" s="250" t="str">
        <f>IFERROR(__xludf.DUMMYFUNCTION("SUBSTITUTE(SUBSTITUTE(CONCATENATE(JOIN("""",FP200:GA200)),""|"",""x""),""-"",""o"")"),"xoxoxxoxoxox")</f>
        <v>xoxoxxoxoxox</v>
      </c>
      <c r="AT200" s="323" t="str">
        <f>IFERROR(__xludf.DUMMYFUNCTION("JOIN("""",AS200,AS200)"),"xoxoxxoxoxoxxoxoxxoxoxox")</f>
        <v>xoxoxxoxoxoxxoxoxxoxoxox</v>
      </c>
      <c r="AU200" s="256" t="str">
        <f>IFERROR(__xludf.DUMMYFUNCTION("JOIN("""",ArrayFormula(MID(AS200,LEN(AS200)-SEQUENCE(1,LEN(AS200))+1,1)))"),"xoxoxoxxoxox")</f>
        <v>xoxoxoxxoxox</v>
      </c>
      <c r="AV200" s="256" t="str">
        <f>IFERROR(__xludf.DUMMYFUNCTION("LEFT(CONCATENATE(""x"",JOIN("""",ArrayFormula(MID(AS200,LEN(AS200)-SEQUENCE(1,LEN(AS200))+1,1)))),12)"),"xxoxoxoxxoxo")</f>
        <v>xxoxoxoxxoxo</v>
      </c>
      <c r="AW200" s="327" t="str">
        <f>IFERROR(__xludf.DUMMYFUNCTION("JOIN("""",AU200,AU200)"),"xoxoxoxxoxoxxoxoxoxxoxox")</f>
        <v>xoxoxoxxoxoxxoxoxoxxoxox</v>
      </c>
      <c r="AX200" s="239" t="str">
        <f>IFERROR(__xludf.DUMMYFUNCTION("IF(REGEXMATCH(AW200,AS200),""✔"",""-"")"),"✔")</f>
        <v>✔</v>
      </c>
      <c r="AY200" s="330" t="str">
        <f t="shared" si="20"/>
        <v>-</v>
      </c>
      <c r="AZ200" s="260" t="str">
        <f t="shared" si="21"/>
        <v>#REF!</v>
      </c>
      <c r="BA200" s="333" t="str">
        <f t="shared" si="22"/>
        <v>xoxoxxo</v>
      </c>
      <c r="BB200" s="334" t="str">
        <f t="shared" si="23"/>
        <v>xoxoxx</v>
      </c>
      <c r="BC200" s="335" t="str">
        <f t="shared" si="236"/>
        <v>✔</v>
      </c>
      <c r="BD200" s="336" t="str">
        <f t="shared" si="25"/>
        <v>Loom: 'xoxoxxo' + 'xoxoxx'</v>
      </c>
      <c r="BE200" s="337">
        <f>IFERROR(__xludf.DUMMYFUNCTION("COUNTUNIQUE(FILTER(AT:AT,REGEXMATCH(AT:AT,AS200)))-1"),6.0)</f>
        <v>6</v>
      </c>
      <c r="BF200" s="261" t="str">
        <f>IFERROR(__xludf.DUMMYFUNCTION("IF(BI200=0,""(n/a)"",IF(BJ200=2,""(PAIR)"",IF(REGEXMATCH(AT200,""xoxoxxoxoxox""),""Bilawal"",IF(REGEXMATCH(AT200,""xoxoxooxoxoo""),""Bhupali"",IF(REGEXMATCH(AT200,""xoxoxxoxxoxo""),""Charukeshi"",IF(REGEXMATCH(AT200,""xoxoooxxoxxo""),""Kameshwari"",IF(REG"&amp;"EXMATCH(AT200,""xoxoxooxoxox""),""Shankara"",IF(REGEXMATCH(AT200,""xxooxoxxxoox""),""Basant"",IF(REGEXMATCH(AT200,""xoxoxxxxoxox""),""Bihag"",IF(REGEXMATCH(AT200,""xoxxxxoxoxxx""),""Pilu"",IF(REGEXMATCH(AT200,""xoxxoxoxxoox""),""Kirwani"",IF(REGEXMATCH(AT"&amp;"200,""xoxxoxoxoxxx""),""Mk.Malhar"",IF(REGEXMATCH(AT200,""xxooxxoxxoox""),""Bhairav"",IF(REGEXMATCH(AT200,""xxoxooxxxoox""),""Todi"",IF(REGEXMATCH(AT200,""xxooxoxooxox""),""Marwa"",IF(REGEXMATCH(AT200,""xxoooxoxxooo""),""Gunkali"",IF(REGEXMATCH(AT200,""xo"&amp;"xoxxoxxoox""),""Nat Bhairav"",IF(REGEXMATCH(AT200,""xoxxoooxoxoo""),""Shivranjani"",IF(REGEXMATCH(AT200,""xooxxxoxooxo""),""Jog"",IF(REGEXMATCH(AT200,""xxooxoxoxoox""),""Hemshri"",IF(REGEXMATCH(AT200,""xoooxooxoxxo""),""Kalavati"",IF(REGEXMATCH(AT200,""xx"&amp;"oxoxxoxoox""),""Kedar"",IF(REGEXMATCH(AT200,""xoxxxxoxooxx""),""Gara"",IF(REGEXMATCH(AT200,""xooxoxooxoox""),""Chandrakauns"",IF(REGEXMATCH(AT200,""xoxxxxoxxxox""),""Mand"",IF(REGEXMATCH(AT200,""xoxxxxoxoxox""),""Hanskinkini"",IF(REGEXMATCH(AT200,""xxooxx"&amp;"oxooxo""),""Lilavati"",IF(REGEXMATCH(AT200,""xooxoxoooxox""),""Rajeshwari"",IF(REGEXMATCH(AT200,""xoooxxoxoxxx""),""Khokar"",IF(REGEXMATCH(AT200,""xxooxoxxxxox""),""Maligoura"",""-""))))))))))))))))))))))))))))))"),"Bilawal")</f>
        <v>Bilawal</v>
      </c>
      <c r="BG200" s="239" t="str">
        <f t="shared" si="26"/>
        <v>#REF!</v>
      </c>
      <c r="BH200" s="239">
        <f>IFERROR(__xludf.DUMMYFUNCTION("COUNTUNIQUE(FE200:FO200)-1"),6.0)</f>
        <v>6</v>
      </c>
      <c r="BI200" s="239">
        <f>IFERROR(__xludf.DUMMYFUNCTION("COUNTUNIQUE(FILTER(AT:AT,REGEXMATCH(AT:AT,AS200)))-1"),6.0)</f>
        <v>6</v>
      </c>
      <c r="BJ200" s="239">
        <f>IFERROR(__xludf.DUMMYFUNCTION("COUNTA(FILTER(AT:AT,REGEXMATCH(AT:AT,AS200)))"),48.0)</f>
        <v>48</v>
      </c>
      <c r="BK200" s="341">
        <f>IFERROR(__xludf.DUMMYFUNCTION("COUNTA(FILTER(AT:AT,REGEXMATCH(AT:AT,AS200)))-AR200"),48.0)</f>
        <v>48</v>
      </c>
      <c r="BL200" s="276" t="str">
        <f>IFERROR(__xludf.DUMMYFUNCTION("IF(AS200=""oooooooooooo"",""-"",IF(REGEXMATCH(AT200,""xx""), ""Hemi."", ""Anhemi.""))"),"Hemi.")</f>
        <v>Hemi.</v>
      </c>
      <c r="BM200" s="282" t="str">
        <f>IFERROR(__xludf.DUMMYFUNCTION("IF(AS200=""oooooooooooo"",""-"",IF(REGEXMATCH(AT200,""xxx""), ""Cohem."", ""-""))"),"-")</f>
        <v>-</v>
      </c>
      <c r="BN200" s="282" t="str">
        <f>IFERROR(__xludf.DUMMYFUNCTION("IF(AS200=""oooooooooooo"",""-"",IF(REGEXMATCH(AT200,""xxxx""), ""Co-Co."", ""-""))"),"-")</f>
        <v>-</v>
      </c>
      <c r="BO200" s="342" t="str">
        <f>IFERROR(__xludf.DUMMYFUNCTION("IF(AS200=""oooooooooooo"",""-"",IF(REGEXMATCH(AT200,""xxxxx""), ""CCC."", ""-""))"),"-")</f>
        <v>-</v>
      </c>
      <c r="BP200" s="344" t="str">
        <f t="shared" si="27"/>
        <v>Bilawal</v>
      </c>
      <c r="BQ200" s="282" t="str">
        <f>IFERROR(__xludf.DUMMYFUNCTION("IF(REGEXMATCH(JOIN(""-"",EU200:FD200),""TRUE""),""✔"",""-"")"),"✔")</f>
        <v>✔</v>
      </c>
      <c r="BR200" s="225">
        <f t="shared" si="28"/>
        <v>1</v>
      </c>
      <c r="BS200" s="345" t="str">
        <f>IFERROR(__xludf.DUMMYFUNCTION("SUBSTITUTE(SUBSTITUTE(SUBSTITUTE(SUBSTITUTE(CONCATENATE(JOIN(""-"",GC200:GO200)),""--"",""-""),""--"",""-""),""--"",""-""),""--"",""-"")"),"1-2-3-4-5-6-7-8")</f>
        <v>1-2-3-4-5-6-7-8</v>
      </c>
      <c r="BT200" s="299" t="str">
        <f>IFERROR(__xludf.DUMMYFUNCTION("SUBSTITUTE(SUBSTITUTE(SUBSTITUTE(SUBSTITUTE(CONCATENATE(JOIN(""-"",GP200:HB200)),""--"",""-""),""--"",""-""),""--"",""-""),""--"",""-"")"),"S-R2-G3-M1-P-D2-N3-S")</f>
        <v>S-R2-G3-M1-P-D2-N3-S</v>
      </c>
      <c r="BU200" s="348" t="str">
        <f t="shared" si="29"/>
        <v>C-D-E-F-G-A-B-C</v>
      </c>
      <c r="BV200" s="349" t="str">
        <f t="shared" si="30"/>
        <v>SrgMdnS</v>
      </c>
      <c r="BW200" s="350">
        <f t="shared" si="31"/>
        <v>1</v>
      </c>
      <c r="BX200" s="351">
        <f t="shared" si="32"/>
        <v>17</v>
      </c>
      <c r="BY200" s="392"/>
      <c r="BZ200" s="309" t="str">
        <f>IFERROR(__xludf.DUMMYFUNCTION("IF(REGEXMATCH(C200, ""S""), ""x"",""x"")"),"x")</f>
        <v>x</v>
      </c>
      <c r="CA200" s="245" t="str">
        <f>IFERROR(__xludf.DUMMYFUNCTION("IF(REGEXMATCH(C200, ""r""), ""o"",""x"")"),"x")</f>
        <v>x</v>
      </c>
      <c r="CB200" s="246" t="str">
        <f>IFERROR(__xludf.DUMMYFUNCTION("IF(REGEXMATCH(C200, ""R""), ""o"",""x"")"),"o")</f>
        <v>o</v>
      </c>
      <c r="CC200" s="246" t="str">
        <f>IFERROR(__xludf.DUMMYFUNCTION("IF(REGEXMATCH(C200, ""g""), ""o"",""x"")"),"x")</f>
        <v>x</v>
      </c>
      <c r="CD200" s="245" t="str">
        <f>IFERROR(__xludf.DUMMYFUNCTION("IF(REGEXMATCH(C200, ""G""), ""o"",""x"")"),"o")</f>
        <v>o</v>
      </c>
      <c r="CE200" s="245" t="str">
        <f>IFERROR(__xludf.DUMMYFUNCTION("IF(REGEXMATCH(C200, ""m""), ""o"",""x"")"),"o")</f>
        <v>o</v>
      </c>
      <c r="CF200" s="246" t="str">
        <f>IFERROR(__xludf.DUMMYFUNCTION("IF(REGEXMATCH(C200, ""M""), ""o"",""x"")"),"x")</f>
        <v>x</v>
      </c>
      <c r="CG200" s="245" t="str">
        <f>IFERROR(__xludf.DUMMYFUNCTION("IF(REGEXMATCH(C200, ""P""), ""o"",""x"")"),"o")</f>
        <v>o</v>
      </c>
      <c r="CH200" s="246" t="str">
        <f>IFERROR(__xludf.DUMMYFUNCTION("IF(REGEXMATCH(C200, ""d""), ""o"",""x"")"),"x")</f>
        <v>x</v>
      </c>
      <c r="CI200" s="245" t="str">
        <f>IFERROR(__xludf.DUMMYFUNCTION("IF(REGEXMATCH(C200, ""D""), ""o"",""x"")"),"o")</f>
        <v>o</v>
      </c>
      <c r="CJ200" s="245" t="str">
        <f>IFERROR(__xludf.DUMMYFUNCTION("IF(REGEXMATCH(C200, ""n""), ""o"",""x"")"),"x")</f>
        <v>x</v>
      </c>
      <c r="CK200" s="245" t="str">
        <f>IFERROR(__xludf.DUMMYFUNCTION("IF(REGEXMATCH(C200, ""N""), ""o"",""x"")"),"o")</f>
        <v>o</v>
      </c>
      <c r="CL200" s="356" t="str">
        <f>IFERROR(__xludf.DUMMYFUNCTION("IF(REGEXMATCH(C200, ""S""), ""x"",""x"")"),"x")</f>
        <v>x</v>
      </c>
      <c r="CM200" s="357" t="str">
        <f t="shared" si="33"/>
        <v>xxoxooxoxoxo</v>
      </c>
      <c r="CN200" s="358">
        <f t="shared" si="34"/>
        <v>1</v>
      </c>
      <c r="CO200" s="246" t="str">
        <f>IFERROR(__xludf.DUMMYFUNCTION("IF(REGEXMATCH($C200, ""S""), ""S"",""S"")"),"S")</f>
        <v>S</v>
      </c>
      <c r="CP200" s="246" t="str">
        <f>IFERROR(__xludf.DUMMYFUNCTION("IF(REGEXMATCH($C200, ""r""), """",""r"")"),"r")</f>
        <v>r</v>
      </c>
      <c r="CQ200" s="246" t="str">
        <f>IFERROR(__xludf.DUMMYFUNCTION("IF(REGEXMATCH($C200, ""R""), """",""R"")"),"")</f>
        <v/>
      </c>
      <c r="CR200" s="246" t="str">
        <f>IFERROR(__xludf.DUMMYFUNCTION("IF(REGEXMATCH($C200, ""g""), """",""g"")"),"g")</f>
        <v>g</v>
      </c>
      <c r="CS200" s="246" t="str">
        <f>IFERROR(__xludf.DUMMYFUNCTION("IF(REGEXMATCH($C200, ""G""), """",""G"")"),"")</f>
        <v/>
      </c>
      <c r="CT200" s="246" t="str">
        <f>IFERROR(__xludf.DUMMYFUNCTION("IF(REGEXMATCH($C200, ""m""), """",""m"")"),"")</f>
        <v/>
      </c>
      <c r="CU200" s="246" t="str">
        <f>IFERROR(__xludf.DUMMYFUNCTION("IF(REGEXMATCH($C200, ""M""), """",""M"")"),"M")</f>
        <v>M</v>
      </c>
      <c r="CV200" s="246" t="str">
        <f>IFERROR(__xludf.DUMMYFUNCTION("IF(REGEXMATCH($C200, ""P""), """",""P"")"),"")</f>
        <v/>
      </c>
      <c r="CW200" s="246" t="str">
        <f>IFERROR(__xludf.DUMMYFUNCTION("IF(REGEXMATCH($C200, ""d""), """",""d"")"),"d")</f>
        <v>d</v>
      </c>
      <c r="CX200" s="246" t="str">
        <f>IFERROR(__xludf.DUMMYFUNCTION("IF(REGEXMATCH($C200, ""D""), """",""D"")"),"")</f>
        <v/>
      </c>
      <c r="CY200" s="246" t="str">
        <f>IFERROR(__xludf.DUMMYFUNCTION("IF(REGEXMATCH($C200, ""n""), """",""n"")"),"n")</f>
        <v>n</v>
      </c>
      <c r="CZ200" s="246" t="str">
        <f>IFERROR(__xludf.DUMMYFUNCTION("IF(REGEXMATCH($C200, ""N""), """",""N"")"),"")</f>
        <v/>
      </c>
      <c r="DA200" s="246" t="str">
        <f>IFERROR(__xludf.DUMMYFUNCTION("IF(REGEXMATCH($C200, ""S""), ""S"",""S"")"),"S")</f>
        <v>S</v>
      </c>
      <c r="DB200" s="362" t="str">
        <f>IFERROR(__xludf.DUMMYFUNCTION("JOIN("""",CO200:DA200,"""","""")"),"SrgMdnS")</f>
        <v>SrgMdnS</v>
      </c>
      <c r="DC200" s="363"/>
      <c r="DD200" s="301" t="str">
        <f t="shared" si="35"/>
        <v>#REF!</v>
      </c>
      <c r="DE200" s="302" t="str">
        <f t="shared" si="36"/>
        <v>#REF!</v>
      </c>
      <c r="DF200" s="301" t="str">
        <f t="shared" ref="DF200:DG200" si="614">SUBSTITUTE(S200,"-","")</f>
        <v>SRGM</v>
      </c>
      <c r="DG200" s="301" t="str">
        <f t="shared" si="614"/>
        <v>PDNS</v>
      </c>
      <c r="DH200" s="302" t="str">
        <f t="shared" si="38"/>
        <v>Bilawal</v>
      </c>
      <c r="DI200" s="301" t="str">
        <f t="shared" si="39"/>
        <v>Hemi.</v>
      </c>
      <c r="DJ200" s="364" t="str">
        <f t="shared" si="40"/>
        <v>-</v>
      </c>
      <c r="DK200" s="306" t="str">
        <f t="shared" si="41"/>
        <v>Bilawal</v>
      </c>
      <c r="DL200" s="366" t="str">
        <f t="shared" si="42"/>
        <v>-</v>
      </c>
      <c r="DM200" s="308" t="str">
        <f t="shared" si="43"/>
        <v>-</v>
      </c>
      <c r="DN200" s="306" t="str">
        <f t="shared" si="44"/>
        <v>✔</v>
      </c>
      <c r="DO200" s="306" t="str">
        <f t="shared" si="45"/>
        <v>-</v>
      </c>
      <c r="DP200" s="367" t="str">
        <f t="shared" si="46"/>
        <v>-</v>
      </c>
      <c r="DQ200" s="310" t="str">
        <f t="shared" si="47"/>
        <v>-</v>
      </c>
      <c r="DR200" s="310" t="str">
        <f t="shared" si="48"/>
        <v>-</v>
      </c>
      <c r="DS200" s="310" t="str">
        <f t="shared" si="49"/>
        <v>-</v>
      </c>
      <c r="DT200" s="310" t="str">
        <f t="shared" si="50"/>
        <v>-</v>
      </c>
      <c r="DU200" s="370" t="str">
        <f t="shared" si="51"/>
        <v>-</v>
      </c>
      <c r="DV200" s="306" t="str">
        <f t="shared" si="52"/>
        <v>-</v>
      </c>
      <c r="DW200" s="306" t="str">
        <f t="shared" si="53"/>
        <v>-</v>
      </c>
      <c r="DX200" s="306" t="str">
        <f t="shared" si="54"/>
        <v>-</v>
      </c>
      <c r="DY200" s="306" t="str">
        <f t="shared" si="55"/>
        <v>-</v>
      </c>
      <c r="DZ200" s="306" t="str">
        <f t="shared" si="56"/>
        <v>-</v>
      </c>
      <c r="EA200" s="367" t="str">
        <f t="shared" si="57"/>
        <v>-</v>
      </c>
      <c r="EB200" s="310" t="str">
        <f>IFERROR(__xludf.DUMMYFUNCTION("IF(REGEXMATCH(AW200,AS200),""✔"",""-"")"),"✔")</f>
        <v>✔</v>
      </c>
      <c r="EC200" s="310" t="str">
        <f t="shared" si="58"/>
        <v>#REF!</v>
      </c>
      <c r="ED200" s="370" t="str">
        <f t="shared" si="59"/>
        <v>-</v>
      </c>
      <c r="EE200" s="340" t="str">
        <f t="shared" si="60"/>
        <v>S-R-G-m-P-D-N-S</v>
      </c>
      <c r="EF200" s="371" t="str">
        <f>IFERROR(__xludf.DUMMYFUNCTION("CONCATENATE(JOIN("""",HC200:HO200))"),"SrgmPdnS")</f>
        <v>SrgmPdnS</v>
      </c>
      <c r="EG200" s="372">
        <f t="shared" si="61"/>
        <v>1</v>
      </c>
      <c r="EH200" s="373" t="str">
        <f>IFERROR(__xludf.DUMMYFUNCTION("CONCATENATE(JOIN("""",JC200:JO200))"),"Ni, ")</f>
        <v>Ni, </v>
      </c>
      <c r="EI200" s="322">
        <f t="shared" si="62"/>
        <v>0</v>
      </c>
      <c r="EJ200" s="374" t="str">
        <f>IFERROR(__xludf.DUMMYFUNCTION("CONCATENATE(JOIN("""",KC200:KO200))"),"")</f>
        <v/>
      </c>
      <c r="EK200" s="325" t="str">
        <f t="shared" si="63"/>
        <v>S-R2-G3-M1-P-D2-N3-S</v>
      </c>
      <c r="EL200" s="326" t="str">
        <f t="shared" si="64"/>
        <v>1-2-3-4-5-6-7-8</v>
      </c>
      <c r="EM200" s="318" t="str">
        <f t="shared" si="65"/>
        <v>#REF!</v>
      </c>
      <c r="EN200" s="328" t="str">
        <f>IFERROR(__xludf.DUMMYFUNCTION("SUBSTITUTE(SUBSTITUTE(SUBSTITUTE(SUBSTITUTE(CONCATENATE(JOIN("" "",HP200:IB200)),""  "","" ""),""  "","" ""),""  "","" ""),""  "","" "")"),"o • o • o o • o • o • o o")</f>
        <v>o • o • o o • o • o • o o</v>
      </c>
      <c r="EO200" s="368" t="str">
        <f t="shared" si="66"/>
        <v>-</v>
      </c>
      <c r="EP200" s="339" t="str">
        <f t="shared" si="67"/>
        <v>-</v>
      </c>
      <c r="EQ200" s="339" t="str">
        <f t="shared" si="68"/>
        <v>Sa-Pa</v>
      </c>
      <c r="ER200" s="339" t="str">
        <f t="shared" si="69"/>
        <v>-</v>
      </c>
      <c r="ES200" s="340" t="str">
        <f t="shared" si="70"/>
        <v>-</v>
      </c>
      <c r="ET200" s="363"/>
      <c r="EU200" s="376" t="b">
        <f>IFERROR(__xludf.DUMMYFUNCTION("arrayformula(sum(--REGEXMATCH(""SRGMPDNS"",split(REGEXREPLACE(C200,""(.)"",""$1~""),""~""))))=len(C200)
"),FALSE)</f>
        <v>0</v>
      </c>
      <c r="EV200" s="290" t="b">
        <f>IFERROR(__xludf.DUMMYFUNCTION("arrayformula(sum(--REGEXMATCH(""SRGmPDNS"",split(REGEXREPLACE(C200,""(.)"",""$1~""),""~""))))=len(C200)"),TRUE)</f>
        <v>1</v>
      </c>
      <c r="EW200" s="290" t="b">
        <f>IFERROR(__xludf.DUMMYFUNCTION("arrayformula(sum(--REGEXMATCH(""SRGmPDnS"",split(REGEXREPLACE(C200,""(.)"",""$1~""),""~""))))=len(C200)"),FALSE)</f>
        <v>0</v>
      </c>
      <c r="EX200" s="290" t="b">
        <f>IFERROR(__xludf.DUMMYFUNCTION("arrayformula(sum(--REGEXMATCH(""SRgmPDnS"",split(REGEXREPLACE(C200,""(.)"",""$1~""),""~""))))=len(C200)"),FALSE)</f>
        <v>0</v>
      </c>
      <c r="EY200" s="290" t="b">
        <f>IFERROR(__xludf.DUMMYFUNCTION("arrayformula(sum(--REGEXMATCH(""SRgmPdnS"",split(REGEXREPLACE(C200,""(.)"",""$1~""),""~""))))=len(C200)"),FALSE)</f>
        <v>0</v>
      </c>
      <c r="EZ200" s="290" t="b">
        <f>IFERROR(__xludf.DUMMYFUNCTION("arrayformula(sum(--REGEXMATCH(""SrgmPdnS"",split(REGEXREPLACE(C200,""(.)"",""$1~""),""~""))))=len(C200)"),FALSE)</f>
        <v>0</v>
      </c>
      <c r="FA200" s="290" t="b">
        <f>IFERROR(__xludf.DUMMYFUNCTION("arrayformula(sum(--REGEXMATCH(""SrGmPdNS"",split(REGEXREPLACE(C200,""(.)"",""$1~""),""~""))))=len(C200)"),FALSE)</f>
        <v>0</v>
      </c>
      <c r="FB200" s="290" t="b">
        <f>IFERROR(__xludf.DUMMYFUNCTION("arrayformula(sum(--REGEXMATCH(""SrGMPDNS"",split(REGEXREPLACE(C200,""(.)"",""$1~""),""~""))))=len(C200)"),FALSE)</f>
        <v>0</v>
      </c>
      <c r="FC200" s="290" t="b">
        <f>IFERROR(__xludf.DUMMYFUNCTION("arrayformula(sum(--REGEXMATCH(""SrGMPdNS"",split(REGEXREPLACE(C200,""(.)"",""$1~""),""~""))))=len(C200)"),FALSE)</f>
        <v>0</v>
      </c>
      <c r="FD200" s="377" t="b">
        <f>IFERROR(__xludf.DUMMYFUNCTION("arrayformula(sum(--REGEXMATCH(""SrgMPdNS"",split(REGEXREPLACE(C200,""(.)"",""$1~""),""~""))))=len(C200)"),FALSE)</f>
        <v>0</v>
      </c>
      <c r="FE200" s="269" t="str">
        <f t="shared" si="71"/>
        <v>-</v>
      </c>
      <c r="FF200" s="269" t="str">
        <f t="shared" si="72"/>
        <v>xoxxoxoxoxx</v>
      </c>
      <c r="FG200" s="271" t="str">
        <f t="shared" si="73"/>
        <v>-</v>
      </c>
      <c r="FH200" s="269" t="str">
        <f t="shared" si="74"/>
        <v>xxoxoxoxxox</v>
      </c>
      <c r="FI200" s="271" t="str">
        <f t="shared" si="75"/>
        <v>xoxoxoxxoxo</v>
      </c>
      <c r="FJ200" s="271" t="str">
        <f t="shared" si="76"/>
        <v>-</v>
      </c>
      <c r="FK200" s="271" t="str">
        <f t="shared" si="77"/>
        <v>xoxoxxoxoxx</v>
      </c>
      <c r="FL200" s="271" t="str">
        <f t="shared" si="78"/>
        <v>-</v>
      </c>
      <c r="FM200" s="271" t="str">
        <f t="shared" si="79"/>
        <v>xoxxoxoxxox</v>
      </c>
      <c r="FN200" s="271" t="str">
        <f t="shared" si="80"/>
        <v>-</v>
      </c>
      <c r="FO200" s="274" t="str">
        <f t="shared" si="81"/>
        <v>xxoxoxxoxox</v>
      </c>
      <c r="FP200" s="234" t="str">
        <f t="shared" si="82"/>
        <v>|</v>
      </c>
      <c r="FQ200" s="236" t="str">
        <f t="shared" si="83"/>
        <v>-</v>
      </c>
      <c r="FR200" s="237" t="str">
        <f t="shared" si="84"/>
        <v>|</v>
      </c>
      <c r="FS200" s="236" t="str">
        <f t="shared" si="85"/>
        <v>-</v>
      </c>
      <c r="FT200" s="237" t="str">
        <f t="shared" si="86"/>
        <v>|</v>
      </c>
      <c r="FU200" s="236" t="str">
        <f t="shared" si="87"/>
        <v>|</v>
      </c>
      <c r="FV200" s="237" t="str">
        <f t="shared" si="88"/>
        <v>-</v>
      </c>
      <c r="FW200" s="236" t="str">
        <f t="shared" si="89"/>
        <v>|</v>
      </c>
      <c r="FX200" s="237" t="str">
        <f t="shared" si="90"/>
        <v>-</v>
      </c>
      <c r="FY200" s="236" t="str">
        <f t="shared" si="91"/>
        <v>|</v>
      </c>
      <c r="FZ200" s="237" t="str">
        <f t="shared" si="92"/>
        <v>-</v>
      </c>
      <c r="GA200" s="236" t="str">
        <f t="shared" si="93"/>
        <v>|</v>
      </c>
      <c r="GB200" s="238" t="str">
        <f t="shared" si="94"/>
        <v>|</v>
      </c>
      <c r="GC200" s="244" t="str">
        <f>IFERROR(__xludf.DUMMYFUNCTION("IF(REGEXMATCH(C200, ""S""), ""1"","""")"),"1")</f>
        <v>1</v>
      </c>
      <c r="GD200" s="245" t="str">
        <f>IFERROR(__xludf.DUMMYFUNCTION("IF(REGEXMATCH(C200, ""r""), ""b2"","""")"),"")</f>
        <v/>
      </c>
      <c r="GE200" s="246" t="str">
        <f>IFERROR(__xludf.DUMMYFUNCTION("IF(REGEXMATCH(C200, ""R""), ""2"","""")"),"2")</f>
        <v>2</v>
      </c>
      <c r="GF200" s="246" t="str">
        <f>IFERROR(__xludf.DUMMYFUNCTION("IF(REGEXMATCH(C200, ""g""), ""b3"","""")"),"")</f>
        <v/>
      </c>
      <c r="GG200" s="245" t="str">
        <f>IFERROR(__xludf.DUMMYFUNCTION("IF(REGEXMATCH(C200, ""G""), ""3"","""")"),"3")</f>
        <v>3</v>
      </c>
      <c r="GH200" s="245" t="str">
        <f>IFERROR(__xludf.DUMMYFUNCTION("IF(REGEXMATCH(C200, ""m""), ""4"","""")"),"4")</f>
        <v>4</v>
      </c>
      <c r="GI200" s="246" t="str">
        <f>IFERROR(__xludf.DUMMYFUNCTION("IF(REGEXMATCH(C200, ""M""), ""#4"","""")"),"")</f>
        <v/>
      </c>
      <c r="GJ200" s="245" t="str">
        <f>IFERROR(__xludf.DUMMYFUNCTION("IF(REGEXMATCH(C200, ""P""), ""5"","""")"),"5")</f>
        <v>5</v>
      </c>
      <c r="GK200" s="246" t="str">
        <f>IFERROR(__xludf.DUMMYFUNCTION("IF(REGEXMATCH(C200, ""d""), ""b6"","""")"),"")</f>
        <v/>
      </c>
      <c r="GL200" s="245" t="str">
        <f>IFERROR(__xludf.DUMMYFUNCTION("IF(REGEXMATCH(C200, ""D""), ""6"","""")"),"6")</f>
        <v>6</v>
      </c>
      <c r="GM200" s="245" t="str">
        <f>IFERROR(__xludf.DUMMYFUNCTION("IF(REGEXMATCH(C200, ""n""), ""b7"","""")"),"")</f>
        <v/>
      </c>
      <c r="GN200" s="246" t="str">
        <f>IFERROR(__xludf.DUMMYFUNCTION("IF(REGEXMATCH(C200, ""N""), ""7"","""")"),"7")</f>
        <v>7</v>
      </c>
      <c r="GO200" s="249" t="str">
        <f>IFERROR(__xludf.DUMMYFUNCTION("IF(REGEXMATCH(C200, ""S""), ""8"","""")"),"8")</f>
        <v>8</v>
      </c>
      <c r="GP200" s="244" t="str">
        <f>IFERROR(__xludf.DUMMYFUNCTION("IF(REGEXMATCH(C200, ""S""), ""S"","""")"),"S")</f>
        <v>S</v>
      </c>
      <c r="GQ200" s="294" t="str">
        <f>IFERROR(__xludf.DUMMYFUNCTION("IF(REGEXMATCH(C200, ""r""), ""R1"","""")"),"")</f>
        <v/>
      </c>
      <c r="GR200" s="295" t="str">
        <f>IFERROR(__xludf.DUMMYFUNCTION("IF(REGEXMATCH(C200, ""R""), ""R2"","""")"),"R2")</f>
        <v>R2</v>
      </c>
      <c r="GS200" s="295" t="str">
        <f>IFERROR(__xludf.DUMMYFUNCTION("IF(REGEXMATCH(C200, ""g""), ""G2"","""")"),"")</f>
        <v/>
      </c>
      <c r="GT200" s="294" t="str">
        <f>IFERROR(__xludf.DUMMYFUNCTION("IF(REGEXMATCH(C200, ""G""), ""G3"","""")"),"G3")</f>
        <v>G3</v>
      </c>
      <c r="GU200" s="294" t="str">
        <f>IFERROR(__xludf.DUMMYFUNCTION("IF(REGEXMATCH(C200, ""m""), ""M1"","""")"),"M1")</f>
        <v>M1</v>
      </c>
      <c r="GV200" s="295" t="str">
        <f>IFERROR(__xludf.DUMMYFUNCTION("IF(REGEXMATCH(C200, ""M""), ""M2"","""")"),"")</f>
        <v/>
      </c>
      <c r="GW200" s="294" t="str">
        <f>IFERROR(__xludf.DUMMYFUNCTION("IF(REGEXMATCH(C200, ""P""), ""P"","""")"),"P")</f>
        <v>P</v>
      </c>
      <c r="GX200" s="295" t="str">
        <f>IFERROR(__xludf.DUMMYFUNCTION("IF(REGEXMATCH(C200, ""d""), ""D1"","""")"),"")</f>
        <v/>
      </c>
      <c r="GY200" s="294" t="str">
        <f>IFERROR(__xludf.DUMMYFUNCTION("IF(REGEXMATCH(C200, ""D""), ""D2"","""")"),"D2")</f>
        <v>D2</v>
      </c>
      <c r="GZ200" s="294" t="str">
        <f>IFERROR(__xludf.DUMMYFUNCTION("IF(REGEXMATCH(C200, ""n""), ""N2"","""")"),"")</f>
        <v/>
      </c>
      <c r="HA200" s="295" t="str">
        <f>IFERROR(__xludf.DUMMYFUNCTION("IF(REGEXMATCH(C200, ""N""), ""N3"","""")"),"N3")</f>
        <v>N3</v>
      </c>
      <c r="HB200" s="249" t="str">
        <f>IFERROR(__xludf.DUMMYFUNCTION("IF(REGEXMATCH(C200, ""S""), ""S"","""")"),"S")</f>
        <v>S</v>
      </c>
      <c r="HC200" s="331" t="str">
        <f t="shared" si="95"/>
        <v>S</v>
      </c>
      <c r="HD200" s="332" t="str">
        <f t="shared" si="96"/>
        <v>r</v>
      </c>
      <c r="HE200" s="332" t="str">
        <f t="shared" si="97"/>
        <v/>
      </c>
      <c r="HF200" s="332" t="str">
        <f t="shared" si="98"/>
        <v>g</v>
      </c>
      <c r="HG200" s="332" t="str">
        <f t="shared" si="99"/>
        <v/>
      </c>
      <c r="HH200" s="332" t="str">
        <f t="shared" si="100"/>
        <v>m</v>
      </c>
      <c r="HI200" s="332" t="str">
        <f t="shared" si="101"/>
        <v/>
      </c>
      <c r="HJ200" s="332" t="str">
        <f t="shared" si="102"/>
        <v>P</v>
      </c>
      <c r="HK200" s="332" t="str">
        <f t="shared" si="103"/>
        <v>d</v>
      </c>
      <c r="HL200" s="332" t="str">
        <f t="shared" si="104"/>
        <v/>
      </c>
      <c r="HM200" s="332" t="str">
        <f t="shared" si="105"/>
        <v>n</v>
      </c>
      <c r="HN200" s="332" t="str">
        <f t="shared" si="106"/>
        <v/>
      </c>
      <c r="HO200" s="343" t="str">
        <f t="shared" si="107"/>
        <v>S</v>
      </c>
      <c r="HP200" s="331" t="str">
        <f t="shared" si="108"/>
        <v>o</v>
      </c>
      <c r="HQ200" s="332" t="str">
        <f t="shared" si="109"/>
        <v>•</v>
      </c>
      <c r="HR200" s="332" t="str">
        <f t="shared" si="110"/>
        <v>o</v>
      </c>
      <c r="HS200" s="332" t="str">
        <f t="shared" si="111"/>
        <v>•</v>
      </c>
      <c r="HT200" s="332" t="str">
        <f t="shared" si="112"/>
        <v>o</v>
      </c>
      <c r="HU200" s="332" t="str">
        <f t="shared" si="113"/>
        <v>o</v>
      </c>
      <c r="HV200" s="332" t="str">
        <f t="shared" si="114"/>
        <v>•</v>
      </c>
      <c r="HW200" s="332" t="str">
        <f t="shared" si="115"/>
        <v>o</v>
      </c>
      <c r="HX200" s="332" t="str">
        <f t="shared" si="116"/>
        <v>•</v>
      </c>
      <c r="HY200" s="332" t="str">
        <f t="shared" si="117"/>
        <v>o</v>
      </c>
      <c r="HZ200" s="332" t="str">
        <f t="shared" si="118"/>
        <v>•</v>
      </c>
      <c r="IA200" s="332" t="str">
        <f t="shared" si="119"/>
        <v>o</v>
      </c>
      <c r="IB200" s="338" t="str">
        <f t="shared" si="120"/>
        <v>o</v>
      </c>
      <c r="IC200" s="331" t="str">
        <f t="shared" si="121"/>
        <v>•</v>
      </c>
      <c r="ID200" s="332" t="str">
        <f t="shared" si="122"/>
        <v>o</v>
      </c>
      <c r="IE200" s="332" t="str">
        <f t="shared" si="123"/>
        <v>•</v>
      </c>
      <c r="IF200" s="332" t="str">
        <f t="shared" si="124"/>
        <v>o</v>
      </c>
      <c r="IG200" s="332" t="str">
        <f t="shared" si="125"/>
        <v>•</v>
      </c>
      <c r="IH200" s="332" t="str">
        <f t="shared" si="126"/>
        <v>•</v>
      </c>
      <c r="II200" s="332" t="str">
        <f t="shared" si="127"/>
        <v>o</v>
      </c>
      <c r="IJ200" s="332" t="str">
        <f t="shared" si="128"/>
        <v>•</v>
      </c>
      <c r="IK200" s="332" t="str">
        <f t="shared" si="129"/>
        <v>o</v>
      </c>
      <c r="IL200" s="332" t="str">
        <f t="shared" si="130"/>
        <v>•</v>
      </c>
      <c r="IM200" s="332" t="str">
        <f t="shared" si="131"/>
        <v>o</v>
      </c>
      <c r="IN200" s="332" t="str">
        <f t="shared" si="132"/>
        <v>•</v>
      </c>
      <c r="IO200" s="338" t="str">
        <f t="shared" si="133"/>
        <v>•</v>
      </c>
      <c r="IP200" s="346" t="b">
        <f t="shared" si="134"/>
        <v>0</v>
      </c>
      <c r="IQ200" s="347" t="b">
        <f t="shared" si="135"/>
        <v>0</v>
      </c>
      <c r="IR200" s="347" t="b">
        <f t="shared" si="136"/>
        <v>0</v>
      </c>
      <c r="IS200" s="347" t="b">
        <f t="shared" si="137"/>
        <v>0</v>
      </c>
      <c r="IT200" s="347" t="b">
        <f t="shared" si="138"/>
        <v>0</v>
      </c>
      <c r="IU200" s="347" t="b">
        <f t="shared" si="139"/>
        <v>0</v>
      </c>
      <c r="IV200" s="347" t="b">
        <f t="shared" si="140"/>
        <v>0</v>
      </c>
      <c r="IW200" s="347" t="b">
        <f t="shared" si="141"/>
        <v>0</v>
      </c>
      <c r="IX200" s="347" t="b">
        <f t="shared" si="142"/>
        <v>0</v>
      </c>
      <c r="IY200" s="347" t="b">
        <f t="shared" si="143"/>
        <v>0</v>
      </c>
      <c r="IZ200" s="347" t="b">
        <f t="shared" si="144"/>
        <v>0</v>
      </c>
      <c r="JA200" s="347" t="b">
        <f t="shared" si="145"/>
        <v>1</v>
      </c>
      <c r="JB200" s="353" t="b">
        <f t="shared" si="146"/>
        <v>0</v>
      </c>
      <c r="JC200" s="354" t="str">
        <f t="shared" si="147"/>
        <v/>
      </c>
      <c r="JD200" s="355" t="str">
        <f t="shared" si="148"/>
        <v/>
      </c>
      <c r="JE200" s="355" t="str">
        <f t="shared" si="149"/>
        <v/>
      </c>
      <c r="JF200" s="355" t="str">
        <f t="shared" si="150"/>
        <v/>
      </c>
      <c r="JG200" s="355" t="str">
        <f t="shared" si="151"/>
        <v/>
      </c>
      <c r="JH200" s="355" t="str">
        <f t="shared" si="152"/>
        <v/>
      </c>
      <c r="JI200" s="355" t="str">
        <f t="shared" si="153"/>
        <v/>
      </c>
      <c r="JJ200" s="355" t="str">
        <f t="shared" si="154"/>
        <v/>
      </c>
      <c r="JK200" s="355" t="str">
        <f t="shared" si="155"/>
        <v/>
      </c>
      <c r="JL200" s="355" t="str">
        <f t="shared" si="156"/>
        <v/>
      </c>
      <c r="JM200" s="355" t="str">
        <f t="shared" si="157"/>
        <v/>
      </c>
      <c r="JN200" s="355" t="str">
        <f t="shared" si="158"/>
        <v>Ni, </v>
      </c>
      <c r="JO200" s="359" t="str">
        <f t="shared" si="159"/>
        <v/>
      </c>
      <c r="JP200" s="346" t="b">
        <f t="shared" si="160"/>
        <v>0</v>
      </c>
      <c r="JQ200" s="347" t="b">
        <f t="shared" si="161"/>
        <v>0</v>
      </c>
      <c r="JR200" s="347" t="b">
        <f t="shared" si="162"/>
        <v>0</v>
      </c>
      <c r="JS200" s="347" t="b">
        <f t="shared" si="163"/>
        <v>0</v>
      </c>
      <c r="JT200" s="347" t="b">
        <f t="shared" si="164"/>
        <v>0</v>
      </c>
      <c r="JU200" s="347" t="b">
        <f t="shared" si="165"/>
        <v>0</v>
      </c>
      <c r="JV200" s="347" t="b">
        <f t="shared" si="166"/>
        <v>0</v>
      </c>
      <c r="JW200" s="347" t="b">
        <f t="shared" si="167"/>
        <v>0</v>
      </c>
      <c r="JX200" s="347" t="b">
        <f t="shared" si="168"/>
        <v>0</v>
      </c>
      <c r="JY200" s="347" t="b">
        <f t="shared" si="169"/>
        <v>0</v>
      </c>
      <c r="JZ200" s="347" t="b">
        <f t="shared" si="170"/>
        <v>0</v>
      </c>
      <c r="KA200" s="347" t="b">
        <f t="shared" si="171"/>
        <v>0</v>
      </c>
      <c r="KB200" s="365" t="b">
        <f t="shared" si="172"/>
        <v>0</v>
      </c>
      <c r="KC200" s="354" t="str">
        <f t="shared" si="173"/>
        <v/>
      </c>
      <c r="KD200" s="355" t="str">
        <f t="shared" si="174"/>
        <v/>
      </c>
      <c r="KE200" s="355" t="str">
        <f t="shared" si="175"/>
        <v/>
      </c>
      <c r="KF200" s="355" t="str">
        <f t="shared" si="176"/>
        <v/>
      </c>
      <c r="KG200" s="355" t="str">
        <f t="shared" si="177"/>
        <v/>
      </c>
      <c r="KH200" s="355" t="str">
        <f t="shared" si="178"/>
        <v/>
      </c>
      <c r="KI200" s="355" t="str">
        <f t="shared" si="179"/>
        <v/>
      </c>
      <c r="KJ200" s="355" t="str">
        <f t="shared" si="180"/>
        <v/>
      </c>
      <c r="KK200" s="355" t="str">
        <f t="shared" si="181"/>
        <v/>
      </c>
      <c r="KL200" s="355" t="str">
        <f t="shared" si="182"/>
        <v/>
      </c>
      <c r="KM200" s="355" t="str">
        <f t="shared" si="183"/>
        <v/>
      </c>
      <c r="KN200" s="355" t="str">
        <f t="shared" si="184"/>
        <v/>
      </c>
      <c r="KO200" s="359"/>
      <c r="KP200" s="378"/>
      <c r="KQ200" s="379" t="s">
        <v>9</v>
      </c>
      <c r="KR200" s="380" t="s">
        <v>9</v>
      </c>
      <c r="KS200" s="381" t="s">
        <v>9</v>
      </c>
      <c r="KT200" s="382">
        <f t="shared" si="186"/>
        <v>0</v>
      </c>
      <c r="KU200" s="383">
        <f t="shared" si="187"/>
        <v>0</v>
      </c>
      <c r="KV200" s="381" t="str">
        <f t="shared" si="205"/>
        <v>S</v>
      </c>
      <c r="KW200" s="382">
        <f t="shared" si="189"/>
        <v>0</v>
      </c>
      <c r="KX200" s="384">
        <f t="shared" si="190"/>
        <v>0</v>
      </c>
      <c r="KY200" s="382">
        <f t="shared" ref="KY200:KZ200" si="615">KW200-KT200</f>
        <v>0</v>
      </c>
      <c r="KZ200" s="369">
        <f t="shared" si="615"/>
        <v>0</v>
      </c>
      <c r="LA200" s="385" t="str">
        <f t="shared" si="192"/>
        <v>✔</v>
      </c>
      <c r="LB200" s="340" t="str">
        <f>IFERROR(__xludf.DUMMYFUNCTION("JOIN("""",ArrayFormula(MID(KS200,LEN(KS200)-SEQUENCE(1,LEN(KS200))+1,1)))"),"S")</f>
        <v>S</v>
      </c>
      <c r="LC200" s="373" t="str">
        <f>IFERROR(__xludf.DUMMYFUNCTION("JOIN("""",ArrayFormula(MID(KV200,LEN(KV200)-SEQUENCE(1,LEN(KV200))+1,1)))"),"S")</f>
        <v>S</v>
      </c>
      <c r="LD200" s="373" t="str">
        <f t="shared" si="193"/>
        <v>S</v>
      </c>
      <c r="LE200" s="339" t="str">
        <f t="shared" si="194"/>
        <v>S</v>
      </c>
      <c r="LF200" s="386" t="str">
        <f>IFERROR(__xludf.DUMMYFUNCTION("SUBSTITUTE(SUBSTITUTE(CONCATENATE(JOIN("""",LH200:LT200)),""1"",""""),""2"","""")"),"SS")</f>
        <v>SS</v>
      </c>
      <c r="LG200" s="369" t="str">
        <f t="shared" si="195"/>
        <v>-</v>
      </c>
      <c r="LH200" s="387" t="str">
        <f>IFERROR(__xludf.DUMMYFUNCTION("IF(REGEXMATCH(LD200, ""S""), ""S"",IF(REGEXMATCH(LE200, ""S""), ""S"",""""))"),"S")</f>
        <v>S</v>
      </c>
      <c r="LI200" s="299" t="str">
        <f>IFERROR(__xludf.DUMMYFUNCTION("IF(REGEXMATCH(LD200, ""r""), ""r1"",IF(REGEXMATCH(LE200, ""r""), ""r2"",""""))"),"")</f>
        <v/>
      </c>
      <c r="LJ200" s="299" t="str">
        <f>IFERROR(__xludf.DUMMYFUNCTION("IF(REGEXMATCH(LD200, ""R""), ""R1"",IF(REGEXMATCH(LE200, ""R""), ""R2"",""""))"),"")</f>
        <v/>
      </c>
      <c r="LK200" s="299" t="str">
        <f>IFERROR(__xludf.DUMMYFUNCTION("IF(REGEXMATCH(LD200, ""g""), ""g1"",IF(REGEXMATCH(LE200, ""g""), ""g2"",""""))"),"")</f>
        <v/>
      </c>
      <c r="LL200" s="299" t="str">
        <f>IFERROR(__xludf.DUMMYFUNCTION("IF(REGEXMATCH(LD200, ""G""), ""G1"",IF(REGEXMATCH(LE200, ""G""), ""G2"",""""))"),"")</f>
        <v/>
      </c>
      <c r="LM200" s="299" t="str">
        <f>IFERROR(__xludf.DUMMYFUNCTION("IF(REGEXMATCH(LD200, ""m""), ""m1"",IF(REGEXMATCH(LE200, ""m""), ""m2"",""""))"),"")</f>
        <v/>
      </c>
      <c r="LN200" s="299" t="str">
        <f>IFERROR(__xludf.DUMMYFUNCTION("IF(REGEXMATCH(LD200, ""M""), ""M1"",IF(REGEXMATCH(LE200, ""M""), ""M2"",""""))"),"")</f>
        <v/>
      </c>
      <c r="LO200" s="299" t="str">
        <f>IFERROR(__xludf.DUMMYFUNCTION("IF(REGEXMATCH(LD200, ""P""), ""P1"",IF(REGEXMATCH(LE200, ""P""), ""P2"",""""))"),"")</f>
        <v/>
      </c>
      <c r="LP200" s="299" t="str">
        <f>IFERROR(__xludf.DUMMYFUNCTION("IF(REGEXMATCH(LD200, ""d""), ""d1"",IF(REGEXMATCH(LE200, ""d""), ""d2"",""""))"),"")</f>
        <v/>
      </c>
      <c r="LQ200" s="299" t="str">
        <f>IFERROR(__xludf.DUMMYFUNCTION("IF(REGEXMATCH(LD200, ""D""), ""D1"",IF(REGEXMATCH(LE200, ""D""), ""D2"",""""))"),"")</f>
        <v/>
      </c>
      <c r="LR200" s="299" t="str">
        <f>IFERROR(__xludf.DUMMYFUNCTION("IF(REGEXMATCH(LD200, ""n""), ""n1"",IF(REGEXMATCH(LE200, ""n""), ""n2"",""""))"),"")</f>
        <v/>
      </c>
      <c r="LS200" s="299" t="str">
        <f>IFERROR(__xludf.DUMMYFUNCTION("IF(REGEXMATCH(LD200, ""N""), ""N1"",IF(REGEXMATCH(LE200, ""N""), ""N2"",""""))"),"")</f>
        <v/>
      </c>
      <c r="LT200" s="388" t="str">
        <f>IFERROR(__xludf.DUMMYFUNCTION("IF(REGEXMATCH(LD200, ""S""), ""S"",IF(REGEXMATCH(LE200, ""S""), ""S"",""""))"),"S")</f>
        <v>S</v>
      </c>
      <c r="LU200" s="389">
        <f t="shared" si="196"/>
        <v>1</v>
      </c>
      <c r="LV200" s="378"/>
      <c r="LW200" s="369"/>
      <c r="LX200" s="369"/>
    </row>
    <row r="201" ht="18.0" customHeight="1">
      <c r="A201" s="298" t="s">
        <v>376</v>
      </c>
      <c r="B201" s="222" t="s">
        <v>377</v>
      </c>
      <c r="C201" s="233" t="str">
        <f t="shared" si="7"/>
        <v>SrgMPDNS</v>
      </c>
      <c r="D201" s="234" t="str">
        <f>IFERROR(__xludf.DUMMYFUNCTION("IF(REGEXMATCH(C201, ""S""), ""S"","""")"),"S")</f>
        <v>S</v>
      </c>
      <c r="E201" s="236" t="str">
        <f>IFERROR(__xludf.DUMMYFUNCTION("IF(REGEXMATCH(C201, ""r""), ""r"","""")"),"r")</f>
        <v>r</v>
      </c>
      <c r="F201" s="237" t="str">
        <f>IFERROR(__xludf.DUMMYFUNCTION("IF(REGEXMATCH(C201, ""R""), ""R"","""")"),"")</f>
        <v/>
      </c>
      <c r="G201" s="237" t="str">
        <f>IFERROR(__xludf.DUMMYFUNCTION("IF(REGEXMATCH(C201, ""g""), ""g"","""")"),"g")</f>
        <v>g</v>
      </c>
      <c r="H201" s="236" t="str">
        <f>IFERROR(__xludf.DUMMYFUNCTION("IF(REGEXMATCH(C201, ""G""), ""G"","""")"),"")</f>
        <v/>
      </c>
      <c r="I201" s="236" t="str">
        <f>IFERROR(__xludf.DUMMYFUNCTION("IF(REGEXMATCH(C201, ""m""), ""m"","""")"),"")</f>
        <v/>
      </c>
      <c r="J201" s="237" t="str">
        <f>IFERROR(__xludf.DUMMYFUNCTION("IF(REGEXMATCH(C201, ""M""), ""M"","""")"),"M")</f>
        <v>M</v>
      </c>
      <c r="K201" s="236" t="str">
        <f>IFERROR(__xludf.DUMMYFUNCTION("IF(REGEXMATCH(C201, ""P""), ""P"","""")"),"P")</f>
        <v>P</v>
      </c>
      <c r="L201" s="237" t="str">
        <f>IFERROR(__xludf.DUMMYFUNCTION("IF(REGEXMATCH(C201, ""d""), ""d"","""")"),"")</f>
        <v/>
      </c>
      <c r="M201" s="236" t="str">
        <f>IFERROR(__xludf.DUMMYFUNCTION("IF(REGEXMATCH(C201, ""D""), ""D"","""")"),"D")</f>
        <v>D</v>
      </c>
      <c r="N201" s="236" t="str">
        <f>IFERROR(__xludf.DUMMYFUNCTION("IF(REGEXMATCH(C201, ""n""), ""n"","""")"),"")</f>
        <v/>
      </c>
      <c r="O201" s="237" t="str">
        <f>IFERROR(__xludf.DUMMYFUNCTION("IF(REGEXMATCH(C201, ""N""), ""N"","""")"),"N")</f>
        <v>N</v>
      </c>
      <c r="P201" s="238" t="str">
        <f>IFERROR(__xludf.DUMMYFUNCTION("IF(REGEXMATCH(C201, ""S""), ""S"","""")"),"S")</f>
        <v>S</v>
      </c>
      <c r="Q201" s="239" t="str">
        <f>IFERROR(__xludf.DUMMYFUNCTION("SUBSTITUTE(CONCATENATE(JOIN(""-"",D201:J201)),""-"","""")"),"SrgM")</f>
        <v>SrgM</v>
      </c>
      <c r="R201" s="229" t="str">
        <f>IFERROR(__xludf.DUMMYFUNCTION("SUBSTITUTE(CONCATENATE(JOIN(""-"",K201:P201)),""-"","""")"),"PDNS")</f>
        <v>PDNS</v>
      </c>
      <c r="S201" s="282" t="str">
        <f t="shared" si="8"/>
        <v>S-R-G-M</v>
      </c>
      <c r="T201" s="282" t="str">
        <f t="shared" si="9"/>
        <v>P-D-N-S</v>
      </c>
      <c r="U201" s="237" t="str">
        <f>IFERROR(__xludf.DUMMYFUNCTION("SUBSTITUTE(JOIN(""-"",S201,T201),""--"",""-"")"),"S-R-G-M-P-D-N-S")</f>
        <v>S-R-G-M-P-D-N-S</v>
      </c>
      <c r="V201" s="309" t="str">
        <f t="shared" si="10"/>
        <v>rgMDN</v>
      </c>
      <c r="W201" s="244" t="str">
        <f>IFERROR(__xludf.DUMMYFUNCTION("IF(REGEXMATCH(C201, ""S""), ""0"","""")"),"0")</f>
        <v>0</v>
      </c>
      <c r="X201" s="245" t="str">
        <f>IFERROR(__xludf.DUMMYFUNCTION("IF(REGEXMATCH(C201, ""r""), ""1"","""")"),"1")</f>
        <v>1</v>
      </c>
      <c r="Y201" s="246" t="str">
        <f>IFERROR(__xludf.DUMMYFUNCTION("IF(REGEXMATCH(C201, ""R""), ""2"","""")"),"")</f>
        <v/>
      </c>
      <c r="Z201" s="246" t="str">
        <f>IFERROR(__xludf.DUMMYFUNCTION("IF(REGEXMATCH(C201, ""g""), ""3"","""")"),"3")</f>
        <v>3</v>
      </c>
      <c r="AA201" s="245" t="str">
        <f>IFERROR(__xludf.DUMMYFUNCTION("IF(REGEXMATCH(C201, ""G""), ""4"","""")"),"")</f>
        <v/>
      </c>
      <c r="AB201" s="245" t="str">
        <f>IFERROR(__xludf.DUMMYFUNCTION("IF(REGEXMATCH(C201, ""m""), ""5"","""")"),"")</f>
        <v/>
      </c>
      <c r="AC201" s="246" t="str">
        <f>IFERROR(__xludf.DUMMYFUNCTION("IF(REGEXMATCH(C201, ""M""), ""6"","""")"),"6")</f>
        <v>6</v>
      </c>
      <c r="AD201" s="245" t="str">
        <f>IFERROR(__xludf.DUMMYFUNCTION("IF(REGEXMATCH(C201, ""P""), ""7"","""")"),"7")</f>
        <v>7</v>
      </c>
      <c r="AE201" s="246" t="str">
        <f>IFERROR(__xludf.DUMMYFUNCTION("IF(REGEXMATCH(C201, ""d""), ""8"","""")"),"")</f>
        <v/>
      </c>
      <c r="AF201" s="245" t="str">
        <f>IFERROR(__xludf.DUMMYFUNCTION("IF(REGEXMATCH(C201, ""D""), ""9"","""")"),"9")</f>
        <v>9</v>
      </c>
      <c r="AG201" s="245" t="str">
        <f>IFERROR(__xludf.DUMMYFUNCTION("IF(REGEXMATCH(C201, ""n""), ""10"","""")"),"")</f>
        <v/>
      </c>
      <c r="AH201" s="246" t="str">
        <f>IFERROR(__xludf.DUMMYFUNCTION("IF(REGEXMATCH(C201, ""N""), ""11"","""")"),"11")</f>
        <v>11</v>
      </c>
      <c r="AI201" s="249" t="str">
        <f>IFERROR(__xludf.DUMMYFUNCTION("IF(REGEXMATCH(C201, ""S""), ""0"","""")"),"0")</f>
        <v>0</v>
      </c>
      <c r="AJ201" s="313" t="str">
        <f t="shared" si="11"/>
        <v>T</v>
      </c>
      <c r="AK201" s="313" t="str">
        <f t="shared" si="12"/>
        <v>T</v>
      </c>
      <c r="AL201" s="313" t="str">
        <f t="shared" si="13"/>
        <v>-</v>
      </c>
      <c r="AM201" s="313" t="str">
        <f t="shared" si="14"/>
        <v>T</v>
      </c>
      <c r="AN201" s="313" t="str">
        <f t="shared" si="15"/>
        <v>-</v>
      </c>
      <c r="AO201" s="314" t="str">
        <f t="shared" si="16"/>
        <v>-</v>
      </c>
      <c r="AP201" s="316">
        <f t="shared" si="17"/>
        <v>3</v>
      </c>
      <c r="AQ201" s="319" t="str">
        <f t="shared" si="18"/>
        <v>#REF!</v>
      </c>
      <c r="AR201" s="320">
        <f t="shared" si="19"/>
        <v>0</v>
      </c>
      <c r="AS201" s="250" t="str">
        <f>IFERROR(__xludf.DUMMYFUNCTION("SUBSTITUTE(SUBSTITUTE(CONCATENATE(JOIN("""",FP201:GA201)),""|"",""x""),""-"",""o"")"),"xxoxooxxoxox")</f>
        <v>xxoxooxxoxox</v>
      </c>
      <c r="AT201" s="323" t="str">
        <f>IFERROR(__xludf.DUMMYFUNCTION("JOIN("""",AS201,AS201)"),"xxoxooxxoxoxxxoxooxxoxox")</f>
        <v>xxoxooxxoxoxxxoxooxxoxox</v>
      </c>
      <c r="AU201" s="256" t="str">
        <f>IFERROR(__xludf.DUMMYFUNCTION("JOIN("""",ArrayFormula(MID(AS201,LEN(AS201)-SEQUENCE(1,LEN(AS201))+1,1)))"),"xoxoxxooxoxx")</f>
        <v>xoxoxxooxoxx</v>
      </c>
      <c r="AV201" s="256" t="str">
        <f>IFERROR(__xludf.DUMMYFUNCTION("LEFT(CONCATENATE(""x"",JOIN("""",ArrayFormula(MID(AS201,LEN(AS201)-SEQUENCE(1,LEN(AS201))+1,1)))),12)"),"xxoxoxxooxox")</f>
        <v>xxoxoxxooxox</v>
      </c>
      <c r="AW201" s="327" t="str">
        <f>IFERROR(__xludf.DUMMYFUNCTION("JOIN("""",AU201,AU201)"),"xoxoxxooxoxxxoxoxxooxoxx")</f>
        <v>xoxoxxooxoxxxoxoxxooxoxx</v>
      </c>
      <c r="AX201" s="239" t="str">
        <f>IFERROR(__xludf.DUMMYFUNCTION("IF(REGEXMATCH(AW201,AS201),""✔"",""-"")"),"-")</f>
        <v>-</v>
      </c>
      <c r="AY201" s="330" t="str">
        <f t="shared" si="20"/>
        <v>-</v>
      </c>
      <c r="AZ201" s="260" t="str">
        <f t="shared" si="21"/>
        <v>#REF!</v>
      </c>
      <c r="BA201" s="333" t="str">
        <f t="shared" si="22"/>
        <v>xxoxoox</v>
      </c>
      <c r="BB201" s="334" t="str">
        <f t="shared" si="23"/>
        <v>xoxoxx</v>
      </c>
      <c r="BC201" s="335" t="str">
        <f t="shared" si="236"/>
        <v>-</v>
      </c>
      <c r="BD201" s="336" t="str">
        <f t="shared" si="25"/>
        <v>Madhu Multani: 'xxoxoox' + 'xoxoxx'</v>
      </c>
      <c r="BE201" s="337">
        <f>IFERROR(__xludf.DUMMYFUNCTION("COUNTUNIQUE(FILTER(AT:AT,REGEXMATCH(AT:AT,AS201)))-1"),0.0)</f>
        <v>0</v>
      </c>
      <c r="BF201" s="261" t="str">
        <f>IFERROR(__xludf.DUMMYFUNCTION("IF(BI201=0,""(n/a)"",IF(BJ201=2,""(PAIR)"",IF(REGEXMATCH(AT201,""xoxoxxoxoxox""),""Bilawal"",IF(REGEXMATCH(AT201,""xoxoxooxoxoo""),""Bhupali"",IF(REGEXMATCH(AT201,""xoxoxxoxxoxo""),""Charukeshi"",IF(REGEXMATCH(AT201,""xoxoooxxoxxo""),""Kameshwari"",IF(REG"&amp;"EXMATCH(AT201,""xoxoxooxoxox""),""Shankara"",IF(REGEXMATCH(AT201,""xxooxoxxxoox""),""Basant"",IF(REGEXMATCH(AT201,""xoxoxxxxoxox""),""Bihag"",IF(REGEXMATCH(AT201,""xoxxxxoxoxxx""),""Pilu"",IF(REGEXMATCH(AT201,""xoxxoxoxxoox""),""Kirwani"",IF(REGEXMATCH(AT"&amp;"201,""xoxxoxoxoxxx""),""Mk.Malhar"",IF(REGEXMATCH(AT201,""xxooxxoxxoox""),""Bhairav"",IF(REGEXMATCH(AT201,""xxoxooxxxoox""),""Todi"",IF(REGEXMATCH(AT201,""xxooxoxooxox""),""Marwa"",IF(REGEXMATCH(AT201,""xxoooxoxxooo""),""Gunkali"",IF(REGEXMATCH(AT201,""xo"&amp;"xoxxoxxoox""),""Nat Bhairav"",IF(REGEXMATCH(AT201,""xoxxoooxoxoo""),""Shivranjani"",IF(REGEXMATCH(AT201,""xooxxxoxooxo""),""Jog"",IF(REGEXMATCH(AT201,""xxooxoxoxoox""),""Hemshri"",IF(REGEXMATCH(AT201,""xoooxooxoxxo""),""Kalavati"",IF(REGEXMATCH(AT201,""xx"&amp;"oxoxxoxoox""),""Kedar"",IF(REGEXMATCH(AT201,""xoxxxxoxooxx""),""Gara"",IF(REGEXMATCH(AT201,""xooxoxooxoox""),""Chandrakauns"",IF(REGEXMATCH(AT201,""xoxxxxoxxxox""),""Mand"",IF(REGEXMATCH(AT201,""xoxxxxoxoxox""),""Hanskinkini"",IF(REGEXMATCH(AT201,""xxooxx"&amp;"oxooxo""),""Lilavati"",IF(REGEXMATCH(AT201,""xooxoxoooxox""),""Rajeshwari"",IF(REGEXMATCH(AT201,""xoooxxoxoxxx""),""Khokar"",IF(REGEXMATCH(AT201,""xxooxoxxxxox""),""Maligoura"",""-""))))))))))))))))))))))))))))))"),"(n/a)")</f>
        <v>(n/a)</v>
      </c>
      <c r="BG201" s="239" t="str">
        <f t="shared" si="26"/>
        <v>#REF!</v>
      </c>
      <c r="BH201" s="239">
        <f>IFERROR(__xludf.DUMMYFUNCTION("COUNTUNIQUE(FE201:FO201)-1"),6.0)</f>
        <v>6</v>
      </c>
      <c r="BI201" s="239">
        <f>IFERROR(__xludf.DUMMYFUNCTION("COUNTUNIQUE(FILTER(AT:AT,REGEXMATCH(AT:AT,AS201)))-1"),0.0)</f>
        <v>0</v>
      </c>
      <c r="BJ201" s="239">
        <f>IFERROR(__xludf.DUMMYFUNCTION("COUNTA(FILTER(AT:AT,REGEXMATCH(AT:AT,AS201)))"),1.0)</f>
        <v>1</v>
      </c>
      <c r="BK201" s="341">
        <f>IFERROR(__xludf.DUMMYFUNCTION("COUNTA(FILTER(AT:AT,REGEXMATCH(AT:AT,AS201)))-AR201"),1.0)</f>
        <v>1</v>
      </c>
      <c r="BL201" s="276" t="str">
        <f>IFERROR(__xludf.DUMMYFUNCTION("IF(AS201=""oooooooooooo"",""-"",IF(REGEXMATCH(AT201,""xx""), ""Hemi."", ""Anhemi.""))"),"Hemi.")</f>
        <v>Hemi.</v>
      </c>
      <c r="BM201" s="282" t="str">
        <f>IFERROR(__xludf.DUMMYFUNCTION("IF(AS201=""oooooooooooo"",""-"",IF(REGEXMATCH(AT201,""xxx""), ""Cohem."", ""-""))"),"Cohem.")</f>
        <v>Cohem.</v>
      </c>
      <c r="BN201" s="282" t="str">
        <f>IFERROR(__xludf.DUMMYFUNCTION("IF(AS201=""oooooooooooo"",""-"",IF(REGEXMATCH(AT201,""xxxx""), ""Co-Co."", ""-""))"),"-")</f>
        <v>-</v>
      </c>
      <c r="BO201" s="342" t="str">
        <f>IFERROR(__xludf.DUMMYFUNCTION("IF(AS201=""oooooooooooo"",""-"",IF(REGEXMATCH(AT201,""xxxxx""), ""CCC."", ""-""))"),"-")</f>
        <v>-</v>
      </c>
      <c r="BP201" s="344" t="str">
        <f t="shared" si="27"/>
        <v>-</v>
      </c>
      <c r="BQ201" s="282" t="str">
        <f>IFERROR(__xludf.DUMMYFUNCTION("IF(REGEXMATCH(JOIN(""-"",EU201:FD201),""TRUE""),""✔"",""-"")"),"-")</f>
        <v>-</v>
      </c>
      <c r="BR201" s="225">
        <f t="shared" si="28"/>
        <v>0</v>
      </c>
      <c r="BS201" s="345" t="str">
        <f>IFERROR(__xludf.DUMMYFUNCTION("SUBSTITUTE(SUBSTITUTE(SUBSTITUTE(SUBSTITUTE(CONCATENATE(JOIN(""-"",GC201:GO201)),""--"",""-""),""--"",""-""),""--"",""-""),""--"",""-"")"),"1-b2-b3-#4-5-6-7-8")</f>
        <v>1-b2-b3-#4-5-6-7-8</v>
      </c>
      <c r="BT201" s="299" t="str">
        <f>IFERROR(__xludf.DUMMYFUNCTION("SUBSTITUTE(SUBSTITUTE(SUBSTITUTE(SUBSTITUTE(CONCATENATE(JOIN(""-"",GP201:HB201)),""--"",""-""),""--"",""-""),""--"",""-""),""--"",""-"")"),"S-R1-G2-M2-P-D2-N3-S")</f>
        <v>S-R1-G2-M2-P-D2-N3-S</v>
      </c>
      <c r="BU201" s="348" t="str">
        <f t="shared" si="29"/>
        <v>C-Db-Eb-F#-G-A-B-C</v>
      </c>
      <c r="BV201" s="349" t="str">
        <f t="shared" si="30"/>
        <v>SRGmdnS</v>
      </c>
      <c r="BW201" s="350">
        <f t="shared" si="31"/>
        <v>2</v>
      </c>
      <c r="BX201" s="351">
        <f t="shared" si="32"/>
        <v>1</v>
      </c>
      <c r="BY201" s="352" t="s">
        <v>275</v>
      </c>
      <c r="BZ201" s="309" t="str">
        <f>IFERROR(__xludf.DUMMYFUNCTION("IF(REGEXMATCH(C201, ""S""), ""x"",""x"")"),"x")</f>
        <v>x</v>
      </c>
      <c r="CA201" s="245" t="str">
        <f>IFERROR(__xludf.DUMMYFUNCTION("IF(REGEXMATCH(C201, ""r""), ""o"",""x"")"),"o")</f>
        <v>o</v>
      </c>
      <c r="CB201" s="246" t="str">
        <f>IFERROR(__xludf.DUMMYFUNCTION("IF(REGEXMATCH(C201, ""R""), ""o"",""x"")"),"x")</f>
        <v>x</v>
      </c>
      <c r="CC201" s="246" t="str">
        <f>IFERROR(__xludf.DUMMYFUNCTION("IF(REGEXMATCH(C201, ""g""), ""o"",""x"")"),"o")</f>
        <v>o</v>
      </c>
      <c r="CD201" s="245" t="str">
        <f>IFERROR(__xludf.DUMMYFUNCTION("IF(REGEXMATCH(C201, ""G""), ""o"",""x"")"),"x")</f>
        <v>x</v>
      </c>
      <c r="CE201" s="245" t="str">
        <f>IFERROR(__xludf.DUMMYFUNCTION("IF(REGEXMATCH(C201, ""m""), ""o"",""x"")"),"x")</f>
        <v>x</v>
      </c>
      <c r="CF201" s="246" t="str">
        <f>IFERROR(__xludf.DUMMYFUNCTION("IF(REGEXMATCH(C201, ""M""), ""o"",""x"")"),"o")</f>
        <v>o</v>
      </c>
      <c r="CG201" s="245" t="str">
        <f>IFERROR(__xludf.DUMMYFUNCTION("IF(REGEXMATCH(C201, ""P""), ""o"",""x"")"),"o")</f>
        <v>o</v>
      </c>
      <c r="CH201" s="246" t="str">
        <f>IFERROR(__xludf.DUMMYFUNCTION("IF(REGEXMATCH(C201, ""d""), ""o"",""x"")"),"x")</f>
        <v>x</v>
      </c>
      <c r="CI201" s="245" t="str">
        <f>IFERROR(__xludf.DUMMYFUNCTION("IF(REGEXMATCH(C201, ""D""), ""o"",""x"")"),"o")</f>
        <v>o</v>
      </c>
      <c r="CJ201" s="245" t="str">
        <f>IFERROR(__xludf.DUMMYFUNCTION("IF(REGEXMATCH(C201, ""n""), ""o"",""x"")"),"x")</f>
        <v>x</v>
      </c>
      <c r="CK201" s="245" t="str">
        <f>IFERROR(__xludf.DUMMYFUNCTION("IF(REGEXMATCH(C201, ""N""), ""o"",""x"")"),"o")</f>
        <v>o</v>
      </c>
      <c r="CL201" s="356" t="str">
        <f>IFERROR(__xludf.DUMMYFUNCTION("IF(REGEXMATCH(C201, ""S""), ""x"",""x"")"),"x")</f>
        <v>x</v>
      </c>
      <c r="CM201" s="357" t="str">
        <f t="shared" si="33"/>
        <v>xoxoxxooxoxo</v>
      </c>
      <c r="CN201" s="358">
        <f t="shared" si="34"/>
        <v>2</v>
      </c>
      <c r="CO201" s="246" t="str">
        <f>IFERROR(__xludf.DUMMYFUNCTION("IF(REGEXMATCH($C201, ""S""), ""S"",""S"")"),"S")</f>
        <v>S</v>
      </c>
      <c r="CP201" s="246" t="str">
        <f>IFERROR(__xludf.DUMMYFUNCTION("IF(REGEXMATCH($C201, ""r""), """",""r"")"),"")</f>
        <v/>
      </c>
      <c r="CQ201" s="246" t="str">
        <f>IFERROR(__xludf.DUMMYFUNCTION("IF(REGEXMATCH($C201, ""R""), """",""R"")"),"R")</f>
        <v>R</v>
      </c>
      <c r="CR201" s="246" t="str">
        <f>IFERROR(__xludf.DUMMYFUNCTION("IF(REGEXMATCH($C201, ""g""), """",""g"")"),"")</f>
        <v/>
      </c>
      <c r="CS201" s="246" t="str">
        <f>IFERROR(__xludf.DUMMYFUNCTION("IF(REGEXMATCH($C201, ""G""), """",""G"")"),"G")</f>
        <v>G</v>
      </c>
      <c r="CT201" s="246" t="str">
        <f>IFERROR(__xludf.DUMMYFUNCTION("IF(REGEXMATCH($C201, ""m""), """",""m"")"),"m")</f>
        <v>m</v>
      </c>
      <c r="CU201" s="246" t="str">
        <f>IFERROR(__xludf.DUMMYFUNCTION("IF(REGEXMATCH($C201, ""M""), """",""M"")"),"")</f>
        <v/>
      </c>
      <c r="CV201" s="246" t="str">
        <f>IFERROR(__xludf.DUMMYFUNCTION("IF(REGEXMATCH($C201, ""P""), """",""P"")"),"")</f>
        <v/>
      </c>
      <c r="CW201" s="246" t="str">
        <f>IFERROR(__xludf.DUMMYFUNCTION("IF(REGEXMATCH($C201, ""d""), """",""d"")"),"d")</f>
        <v>d</v>
      </c>
      <c r="CX201" s="246" t="str">
        <f>IFERROR(__xludf.DUMMYFUNCTION("IF(REGEXMATCH($C201, ""D""), """",""D"")"),"")</f>
        <v/>
      </c>
      <c r="CY201" s="246" t="str">
        <f>IFERROR(__xludf.DUMMYFUNCTION("IF(REGEXMATCH($C201, ""n""), """",""n"")"),"n")</f>
        <v>n</v>
      </c>
      <c r="CZ201" s="246" t="str">
        <f>IFERROR(__xludf.DUMMYFUNCTION("IF(REGEXMATCH($C201, ""N""), """",""N"")"),"")</f>
        <v/>
      </c>
      <c r="DA201" s="246" t="str">
        <f>IFERROR(__xludf.DUMMYFUNCTION("IF(REGEXMATCH($C201, ""S""), ""S"",""S"")"),"S")</f>
        <v>S</v>
      </c>
      <c r="DB201" s="362" t="str">
        <f>IFERROR(__xludf.DUMMYFUNCTION("JOIN("""",CO201:DA201,"""","""")"),"SRGmdnS")</f>
        <v>SRGmdnS</v>
      </c>
      <c r="DC201" s="363"/>
      <c r="DD201" s="301" t="str">
        <f t="shared" si="35"/>
        <v>#REF!</v>
      </c>
      <c r="DE201" s="302" t="str">
        <f t="shared" si="36"/>
        <v>#REF!</v>
      </c>
      <c r="DF201" s="301" t="str">
        <f t="shared" ref="DF201:DG201" si="616">SUBSTITUTE(S201,"-","")</f>
        <v>SRGM</v>
      </c>
      <c r="DG201" s="301" t="str">
        <f t="shared" si="616"/>
        <v>PDNS</v>
      </c>
      <c r="DH201" s="302" t="str">
        <f t="shared" si="38"/>
        <v>(n/a)</v>
      </c>
      <c r="DI201" s="301" t="str">
        <f t="shared" si="39"/>
        <v>Hemi.</v>
      </c>
      <c r="DJ201" s="364" t="str">
        <f t="shared" si="40"/>
        <v>Cohem.</v>
      </c>
      <c r="DK201" s="306" t="str">
        <f t="shared" si="41"/>
        <v>-</v>
      </c>
      <c r="DL201" s="366" t="str">
        <f t="shared" si="42"/>
        <v>-</v>
      </c>
      <c r="DM201" s="308" t="str">
        <f t="shared" si="43"/>
        <v>✔</v>
      </c>
      <c r="DN201" s="306" t="str">
        <f t="shared" si="44"/>
        <v>-</v>
      </c>
      <c r="DO201" s="306" t="str">
        <f t="shared" si="45"/>
        <v>-</v>
      </c>
      <c r="DP201" s="367" t="str">
        <f t="shared" si="46"/>
        <v>✔</v>
      </c>
      <c r="DQ201" s="310" t="str">
        <f t="shared" si="47"/>
        <v>-</v>
      </c>
      <c r="DR201" s="310" t="str">
        <f t="shared" si="48"/>
        <v>-</v>
      </c>
      <c r="DS201" s="310" t="str">
        <f t="shared" si="49"/>
        <v>-</v>
      </c>
      <c r="DT201" s="310" t="str">
        <f t="shared" si="50"/>
        <v>-</v>
      </c>
      <c r="DU201" s="370" t="str">
        <f t="shared" si="51"/>
        <v>-</v>
      </c>
      <c r="DV201" s="306" t="str">
        <f t="shared" si="52"/>
        <v>-</v>
      </c>
      <c r="DW201" s="306" t="str">
        <f t="shared" si="53"/>
        <v>-</v>
      </c>
      <c r="DX201" s="306" t="str">
        <f t="shared" si="54"/>
        <v>-</v>
      </c>
      <c r="DY201" s="306" t="str">
        <f t="shared" si="55"/>
        <v>-</v>
      </c>
      <c r="DZ201" s="306" t="str">
        <f t="shared" si="56"/>
        <v>-</v>
      </c>
      <c r="EA201" s="367" t="str">
        <f t="shared" si="57"/>
        <v>-</v>
      </c>
      <c r="EB201" s="310" t="str">
        <f>IFERROR(__xludf.DUMMYFUNCTION("IF(REGEXMATCH(AW201,AS201),""✔"",""-"")"),"-")</f>
        <v>-</v>
      </c>
      <c r="EC201" s="310" t="str">
        <f t="shared" si="58"/>
        <v>#REF!</v>
      </c>
      <c r="ED201" s="370" t="str">
        <f t="shared" si="59"/>
        <v>-</v>
      </c>
      <c r="EE201" s="340" t="str">
        <f t="shared" si="60"/>
        <v>S-r-g-M-P-D-N-S</v>
      </c>
      <c r="EF201" s="371" t="str">
        <f>IFERROR(__xludf.DUMMYFUNCTION("CONCATENATE(JOIN("""",HC201:HO201))"),"SrgmMDNS")</f>
        <v>SrgmMDNS</v>
      </c>
      <c r="EG201" s="372">
        <f t="shared" si="61"/>
        <v>4</v>
      </c>
      <c r="EH201" s="373" t="str">
        <f>IFERROR(__xludf.DUMMYFUNCTION("CONCATENATE(JOIN("""",JC201:JO201))"),"re, ga, Pa, Dha, ")</f>
        <v>re, ga, Pa, Dha, </v>
      </c>
      <c r="EI201" s="322">
        <f t="shared" si="62"/>
        <v>2</v>
      </c>
      <c r="EJ201" s="374" t="str">
        <f>IFERROR(__xludf.DUMMYFUNCTION("CONCATENATE(JOIN("""",KC201:KO201))"),"ga, Dha, ")</f>
        <v>ga, Dha, </v>
      </c>
      <c r="EK201" s="325" t="str">
        <f t="shared" si="63"/>
        <v>S-R1-G2-M2-P-D2-N3-S</v>
      </c>
      <c r="EL201" s="326" t="str">
        <f t="shared" si="64"/>
        <v>1-b2-b3-#4-5-6-7-8</v>
      </c>
      <c r="EM201" s="318" t="str">
        <f t="shared" si="65"/>
        <v>#REF!</v>
      </c>
      <c r="EN201" s="328" t="str">
        <f>IFERROR(__xludf.DUMMYFUNCTION("SUBSTITUTE(SUBSTITUTE(SUBSTITUTE(SUBSTITUTE(CONCATENATE(JOIN("" "",HP201:IB201)),""  "","" ""),""  "","" ""),""  "","" ""),""  "","" "")"),"o o • o • • o o • o • o o")</f>
        <v>o o • o • • o o • o • o o</v>
      </c>
      <c r="EO201" s="368" t="str">
        <f t="shared" si="66"/>
        <v>Sa-Pa</v>
      </c>
      <c r="EP201" s="339" t="str">
        <f t="shared" si="67"/>
        <v>Sa-Pa</v>
      </c>
      <c r="EQ201" s="339" t="str">
        <f t="shared" si="68"/>
        <v>Sa-Pa</v>
      </c>
      <c r="ER201" s="339" t="str">
        <f t="shared" si="69"/>
        <v>-</v>
      </c>
      <c r="ES201" s="340" t="str">
        <f t="shared" si="70"/>
        <v>-</v>
      </c>
      <c r="ET201" s="363"/>
      <c r="EU201" s="376" t="b">
        <f>IFERROR(__xludf.DUMMYFUNCTION("arrayformula(sum(--REGEXMATCH(""SRGMPDNS"",split(REGEXREPLACE(C201,""(.)"",""$1~""),""~""))))=len(C201)
"),FALSE)</f>
        <v>0</v>
      </c>
      <c r="EV201" s="290" t="b">
        <f>IFERROR(__xludf.DUMMYFUNCTION("arrayformula(sum(--REGEXMATCH(""SRGmPDNS"",split(REGEXREPLACE(C201,""(.)"",""$1~""),""~""))))=len(C201)"),FALSE)</f>
        <v>0</v>
      </c>
      <c r="EW201" s="290" t="b">
        <f>IFERROR(__xludf.DUMMYFUNCTION("arrayformula(sum(--REGEXMATCH(""SRGmPDnS"",split(REGEXREPLACE(C201,""(.)"",""$1~""),""~""))))=len(C201)"),FALSE)</f>
        <v>0</v>
      </c>
      <c r="EX201" s="290" t="b">
        <f>IFERROR(__xludf.DUMMYFUNCTION("arrayformula(sum(--REGEXMATCH(""SRgmPDnS"",split(REGEXREPLACE(C201,""(.)"",""$1~""),""~""))))=len(C201)"),FALSE)</f>
        <v>0</v>
      </c>
      <c r="EY201" s="290" t="b">
        <f>IFERROR(__xludf.DUMMYFUNCTION("arrayformula(sum(--REGEXMATCH(""SRgmPdnS"",split(REGEXREPLACE(C201,""(.)"",""$1~""),""~""))))=len(C201)"),FALSE)</f>
        <v>0</v>
      </c>
      <c r="EZ201" s="290" t="b">
        <f>IFERROR(__xludf.DUMMYFUNCTION("arrayformula(sum(--REGEXMATCH(""SrgmPdnS"",split(REGEXREPLACE(C201,""(.)"",""$1~""),""~""))))=len(C201)"),FALSE)</f>
        <v>0</v>
      </c>
      <c r="FA201" s="290" t="b">
        <f>IFERROR(__xludf.DUMMYFUNCTION("arrayformula(sum(--REGEXMATCH(""SrGmPdNS"",split(REGEXREPLACE(C201,""(.)"",""$1~""),""~""))))=len(C201)"),FALSE)</f>
        <v>0</v>
      </c>
      <c r="FB201" s="290" t="b">
        <f>IFERROR(__xludf.DUMMYFUNCTION("arrayformula(sum(--REGEXMATCH(""SrGMPDNS"",split(REGEXREPLACE(C201,""(.)"",""$1~""),""~""))))=len(C201)"),FALSE)</f>
        <v>0</v>
      </c>
      <c r="FC201" s="290" t="b">
        <f>IFERROR(__xludf.DUMMYFUNCTION("arrayformula(sum(--REGEXMATCH(""SrGMPdNS"",split(REGEXREPLACE(C201,""(.)"",""$1~""),""~""))))=len(C201)"),FALSE)</f>
        <v>0</v>
      </c>
      <c r="FD201" s="377" t="b">
        <f>IFERROR(__xludf.DUMMYFUNCTION("arrayformula(sum(--REGEXMATCH(""SrgMPdNS"",split(REGEXREPLACE(C201,""(.)"",""$1~""),""~""))))=len(C201)"),FALSE)</f>
        <v>0</v>
      </c>
      <c r="FE201" s="269" t="str">
        <f t="shared" si="71"/>
        <v>xoxooxxoxox</v>
      </c>
      <c r="FF201" s="269" t="str">
        <f t="shared" si="72"/>
        <v>-</v>
      </c>
      <c r="FG201" s="271" t="str">
        <f t="shared" si="73"/>
        <v>xooxxoxoxxx</v>
      </c>
      <c r="FH201" s="269" t="str">
        <f t="shared" si="74"/>
        <v>-</v>
      </c>
      <c r="FI201" s="271" t="str">
        <f t="shared" si="75"/>
        <v>-</v>
      </c>
      <c r="FJ201" s="271" t="str">
        <f t="shared" si="76"/>
        <v>xxoxoxxxoxo</v>
      </c>
      <c r="FK201" s="271" t="str">
        <f t="shared" si="77"/>
        <v>xoxoxxxoxoo</v>
      </c>
      <c r="FL201" s="271" t="str">
        <f t="shared" si="78"/>
        <v>-</v>
      </c>
      <c r="FM201" s="271" t="str">
        <f t="shared" si="79"/>
        <v>xoxxxoxooxx</v>
      </c>
      <c r="FN201" s="271" t="str">
        <f t="shared" si="80"/>
        <v>-</v>
      </c>
      <c r="FO201" s="274" t="str">
        <f t="shared" si="81"/>
        <v>xxxoxooxxox</v>
      </c>
      <c r="FP201" s="234" t="str">
        <f t="shared" si="82"/>
        <v>|</v>
      </c>
      <c r="FQ201" s="236" t="str">
        <f t="shared" si="83"/>
        <v>|</v>
      </c>
      <c r="FR201" s="237" t="str">
        <f t="shared" si="84"/>
        <v>-</v>
      </c>
      <c r="FS201" s="236" t="str">
        <f t="shared" si="85"/>
        <v>|</v>
      </c>
      <c r="FT201" s="237" t="str">
        <f t="shared" si="86"/>
        <v>-</v>
      </c>
      <c r="FU201" s="236" t="str">
        <f t="shared" si="87"/>
        <v>-</v>
      </c>
      <c r="FV201" s="237" t="str">
        <f t="shared" si="88"/>
        <v>|</v>
      </c>
      <c r="FW201" s="236" t="str">
        <f t="shared" si="89"/>
        <v>|</v>
      </c>
      <c r="FX201" s="237" t="str">
        <f t="shared" si="90"/>
        <v>-</v>
      </c>
      <c r="FY201" s="236" t="str">
        <f t="shared" si="91"/>
        <v>|</v>
      </c>
      <c r="FZ201" s="237" t="str">
        <f t="shared" si="92"/>
        <v>-</v>
      </c>
      <c r="GA201" s="236" t="str">
        <f t="shared" si="93"/>
        <v>|</v>
      </c>
      <c r="GB201" s="238" t="str">
        <f t="shared" si="94"/>
        <v>|</v>
      </c>
      <c r="GC201" s="244" t="str">
        <f>IFERROR(__xludf.DUMMYFUNCTION("IF(REGEXMATCH(C201, ""S""), ""1"","""")"),"1")</f>
        <v>1</v>
      </c>
      <c r="GD201" s="245" t="str">
        <f>IFERROR(__xludf.DUMMYFUNCTION("IF(REGEXMATCH(C201, ""r""), ""b2"","""")"),"b2")</f>
        <v>b2</v>
      </c>
      <c r="GE201" s="246" t="str">
        <f>IFERROR(__xludf.DUMMYFUNCTION("IF(REGEXMATCH(C201, ""R""), ""2"","""")"),"")</f>
        <v/>
      </c>
      <c r="GF201" s="246" t="str">
        <f>IFERROR(__xludf.DUMMYFUNCTION("IF(REGEXMATCH(C201, ""g""), ""b3"","""")"),"b3")</f>
        <v>b3</v>
      </c>
      <c r="GG201" s="245" t="str">
        <f>IFERROR(__xludf.DUMMYFUNCTION("IF(REGEXMATCH(C201, ""G""), ""3"","""")"),"")</f>
        <v/>
      </c>
      <c r="GH201" s="245" t="str">
        <f>IFERROR(__xludf.DUMMYFUNCTION("IF(REGEXMATCH(C201, ""m""), ""4"","""")"),"")</f>
        <v/>
      </c>
      <c r="GI201" s="246" t="str">
        <f>IFERROR(__xludf.DUMMYFUNCTION("IF(REGEXMATCH(C201, ""M""), ""#4"","""")"),"#4")</f>
        <v>#4</v>
      </c>
      <c r="GJ201" s="245" t="str">
        <f>IFERROR(__xludf.DUMMYFUNCTION("IF(REGEXMATCH(C201, ""P""), ""5"","""")"),"5")</f>
        <v>5</v>
      </c>
      <c r="GK201" s="246" t="str">
        <f>IFERROR(__xludf.DUMMYFUNCTION("IF(REGEXMATCH(C201, ""d""), ""b6"","""")"),"")</f>
        <v/>
      </c>
      <c r="GL201" s="245" t="str">
        <f>IFERROR(__xludf.DUMMYFUNCTION("IF(REGEXMATCH(C201, ""D""), ""6"","""")"),"6")</f>
        <v>6</v>
      </c>
      <c r="GM201" s="245" t="str">
        <f>IFERROR(__xludf.DUMMYFUNCTION("IF(REGEXMATCH(C201, ""n""), ""b7"","""")"),"")</f>
        <v/>
      </c>
      <c r="GN201" s="246" t="str">
        <f>IFERROR(__xludf.DUMMYFUNCTION("IF(REGEXMATCH(C201, ""N""), ""7"","""")"),"7")</f>
        <v>7</v>
      </c>
      <c r="GO201" s="249" t="str">
        <f>IFERROR(__xludf.DUMMYFUNCTION("IF(REGEXMATCH(C201, ""S""), ""8"","""")"),"8")</f>
        <v>8</v>
      </c>
      <c r="GP201" s="244" t="str">
        <f>IFERROR(__xludf.DUMMYFUNCTION("IF(REGEXMATCH(C201, ""S""), ""S"","""")"),"S")</f>
        <v>S</v>
      </c>
      <c r="GQ201" s="294" t="str">
        <f>IFERROR(__xludf.DUMMYFUNCTION("IF(REGEXMATCH(C201, ""r""), ""R1"","""")"),"R1")</f>
        <v>R1</v>
      </c>
      <c r="GR201" s="295" t="str">
        <f>IFERROR(__xludf.DUMMYFUNCTION("IF(REGEXMATCH(C201, ""R""), ""R2"","""")"),"")</f>
        <v/>
      </c>
      <c r="GS201" s="295" t="str">
        <f>IFERROR(__xludf.DUMMYFUNCTION("IF(REGEXMATCH(C201, ""g""), ""G2"","""")"),"G2")</f>
        <v>G2</v>
      </c>
      <c r="GT201" s="294" t="str">
        <f>IFERROR(__xludf.DUMMYFUNCTION("IF(REGEXMATCH(C201, ""G""), ""G3"","""")"),"")</f>
        <v/>
      </c>
      <c r="GU201" s="294" t="str">
        <f>IFERROR(__xludf.DUMMYFUNCTION("IF(REGEXMATCH(C201, ""m""), ""M1"","""")"),"")</f>
        <v/>
      </c>
      <c r="GV201" s="295" t="str">
        <f>IFERROR(__xludf.DUMMYFUNCTION("IF(REGEXMATCH(C201, ""M""), ""M2"","""")"),"M2")</f>
        <v>M2</v>
      </c>
      <c r="GW201" s="294" t="str">
        <f>IFERROR(__xludf.DUMMYFUNCTION("IF(REGEXMATCH(C201, ""P""), ""P"","""")"),"P")</f>
        <v>P</v>
      </c>
      <c r="GX201" s="295" t="str">
        <f>IFERROR(__xludf.DUMMYFUNCTION("IF(REGEXMATCH(C201, ""d""), ""D1"","""")"),"")</f>
        <v/>
      </c>
      <c r="GY201" s="294" t="str">
        <f>IFERROR(__xludf.DUMMYFUNCTION("IF(REGEXMATCH(C201, ""D""), ""D2"","""")"),"D2")</f>
        <v>D2</v>
      </c>
      <c r="GZ201" s="294" t="str">
        <f>IFERROR(__xludf.DUMMYFUNCTION("IF(REGEXMATCH(C201, ""n""), ""N2"","""")"),"")</f>
        <v/>
      </c>
      <c r="HA201" s="295" t="str">
        <f>IFERROR(__xludf.DUMMYFUNCTION("IF(REGEXMATCH(C201, ""N""), ""N3"","""")"),"N3")</f>
        <v>N3</v>
      </c>
      <c r="HB201" s="249" t="str">
        <f>IFERROR(__xludf.DUMMYFUNCTION("IF(REGEXMATCH(C201, ""S""), ""S"","""")"),"S")</f>
        <v>S</v>
      </c>
      <c r="HC201" s="331" t="str">
        <f t="shared" si="95"/>
        <v>S</v>
      </c>
      <c r="HD201" s="332" t="str">
        <f t="shared" si="96"/>
        <v>r</v>
      </c>
      <c r="HE201" s="332" t="str">
        <f t="shared" si="97"/>
        <v/>
      </c>
      <c r="HF201" s="332" t="str">
        <f t="shared" si="98"/>
        <v>g</v>
      </c>
      <c r="HG201" s="332" t="str">
        <f t="shared" si="99"/>
        <v/>
      </c>
      <c r="HH201" s="332" t="str">
        <f t="shared" si="100"/>
        <v>m</v>
      </c>
      <c r="HI201" s="332" t="str">
        <f t="shared" si="101"/>
        <v>M</v>
      </c>
      <c r="HJ201" s="332" t="str">
        <f t="shared" si="102"/>
        <v/>
      </c>
      <c r="HK201" s="332" t="str">
        <f t="shared" si="103"/>
        <v/>
      </c>
      <c r="HL201" s="332" t="str">
        <f t="shared" si="104"/>
        <v>D</v>
      </c>
      <c r="HM201" s="332" t="str">
        <f t="shared" si="105"/>
        <v/>
      </c>
      <c r="HN201" s="332" t="str">
        <f t="shared" si="106"/>
        <v>N</v>
      </c>
      <c r="HO201" s="343" t="str">
        <f t="shared" si="107"/>
        <v>S</v>
      </c>
      <c r="HP201" s="331" t="str">
        <f t="shared" si="108"/>
        <v>o</v>
      </c>
      <c r="HQ201" s="332" t="str">
        <f t="shared" si="109"/>
        <v>o</v>
      </c>
      <c r="HR201" s="332" t="str">
        <f t="shared" si="110"/>
        <v>•</v>
      </c>
      <c r="HS201" s="332" t="str">
        <f t="shared" si="111"/>
        <v>o</v>
      </c>
      <c r="HT201" s="332" t="str">
        <f t="shared" si="112"/>
        <v>•</v>
      </c>
      <c r="HU201" s="332" t="str">
        <f t="shared" si="113"/>
        <v>•</v>
      </c>
      <c r="HV201" s="332" t="str">
        <f t="shared" si="114"/>
        <v>o</v>
      </c>
      <c r="HW201" s="332" t="str">
        <f t="shared" si="115"/>
        <v>o</v>
      </c>
      <c r="HX201" s="332" t="str">
        <f t="shared" si="116"/>
        <v>•</v>
      </c>
      <c r="HY201" s="332" t="str">
        <f t="shared" si="117"/>
        <v>o</v>
      </c>
      <c r="HZ201" s="332" t="str">
        <f t="shared" si="118"/>
        <v>•</v>
      </c>
      <c r="IA201" s="332" t="str">
        <f t="shared" si="119"/>
        <v>o</v>
      </c>
      <c r="IB201" s="338" t="str">
        <f t="shared" si="120"/>
        <v>o</v>
      </c>
      <c r="IC201" s="331" t="str">
        <f t="shared" si="121"/>
        <v>•</v>
      </c>
      <c r="ID201" s="332" t="str">
        <f t="shared" si="122"/>
        <v>•</v>
      </c>
      <c r="IE201" s="332" t="str">
        <f t="shared" si="123"/>
        <v>o</v>
      </c>
      <c r="IF201" s="332" t="str">
        <f t="shared" si="124"/>
        <v>•</v>
      </c>
      <c r="IG201" s="332" t="str">
        <f t="shared" si="125"/>
        <v>o</v>
      </c>
      <c r="IH201" s="332" t="str">
        <f t="shared" si="126"/>
        <v>o</v>
      </c>
      <c r="II201" s="332" t="str">
        <f t="shared" si="127"/>
        <v>•</v>
      </c>
      <c r="IJ201" s="332" t="str">
        <f t="shared" si="128"/>
        <v>•</v>
      </c>
      <c r="IK201" s="332" t="str">
        <f t="shared" si="129"/>
        <v>o</v>
      </c>
      <c r="IL201" s="332" t="str">
        <f t="shared" si="130"/>
        <v>•</v>
      </c>
      <c r="IM201" s="332" t="str">
        <f t="shared" si="131"/>
        <v>o</v>
      </c>
      <c r="IN201" s="332" t="str">
        <f t="shared" si="132"/>
        <v>•</v>
      </c>
      <c r="IO201" s="338" t="str">
        <f t="shared" si="133"/>
        <v>•</v>
      </c>
      <c r="IP201" s="346" t="b">
        <f t="shared" si="134"/>
        <v>0</v>
      </c>
      <c r="IQ201" s="347" t="b">
        <f t="shared" si="135"/>
        <v>1</v>
      </c>
      <c r="IR201" s="347" t="b">
        <f t="shared" si="136"/>
        <v>0</v>
      </c>
      <c r="IS201" s="347" t="b">
        <f t="shared" si="137"/>
        <v>1</v>
      </c>
      <c r="IT201" s="347" t="b">
        <f t="shared" si="138"/>
        <v>0</v>
      </c>
      <c r="IU201" s="347" t="b">
        <f t="shared" si="139"/>
        <v>0</v>
      </c>
      <c r="IV201" s="347" t="b">
        <f t="shared" si="140"/>
        <v>0</v>
      </c>
      <c r="IW201" s="347" t="b">
        <f t="shared" si="141"/>
        <v>1</v>
      </c>
      <c r="IX201" s="347" t="b">
        <f t="shared" si="142"/>
        <v>0</v>
      </c>
      <c r="IY201" s="347" t="b">
        <f t="shared" si="143"/>
        <v>1</v>
      </c>
      <c r="IZ201" s="347" t="b">
        <f t="shared" si="144"/>
        <v>0</v>
      </c>
      <c r="JA201" s="347" t="b">
        <f t="shared" si="145"/>
        <v>0</v>
      </c>
      <c r="JB201" s="353" t="b">
        <f t="shared" si="146"/>
        <v>0</v>
      </c>
      <c r="JC201" s="354" t="str">
        <f t="shared" si="147"/>
        <v/>
      </c>
      <c r="JD201" s="355" t="str">
        <f t="shared" si="148"/>
        <v>re, </v>
      </c>
      <c r="JE201" s="355" t="str">
        <f t="shared" si="149"/>
        <v/>
      </c>
      <c r="JF201" s="355" t="str">
        <f t="shared" si="150"/>
        <v>ga, </v>
      </c>
      <c r="JG201" s="355" t="str">
        <f t="shared" si="151"/>
        <v/>
      </c>
      <c r="JH201" s="355" t="str">
        <f t="shared" si="152"/>
        <v/>
      </c>
      <c r="JI201" s="355" t="str">
        <f t="shared" si="153"/>
        <v/>
      </c>
      <c r="JJ201" s="355" t="str">
        <f t="shared" si="154"/>
        <v>Pa, </v>
      </c>
      <c r="JK201" s="355" t="str">
        <f t="shared" si="155"/>
        <v/>
      </c>
      <c r="JL201" s="355" t="str">
        <f t="shared" si="156"/>
        <v>Dha, </v>
      </c>
      <c r="JM201" s="355" t="str">
        <f t="shared" si="157"/>
        <v/>
      </c>
      <c r="JN201" s="355" t="str">
        <f t="shared" si="158"/>
        <v/>
      </c>
      <c r="JO201" s="359" t="str">
        <f t="shared" si="159"/>
        <v/>
      </c>
      <c r="JP201" s="346" t="b">
        <f t="shared" si="160"/>
        <v>0</v>
      </c>
      <c r="JQ201" s="347" t="b">
        <f t="shared" si="161"/>
        <v>0</v>
      </c>
      <c r="JR201" s="347" t="b">
        <f t="shared" si="162"/>
        <v>0</v>
      </c>
      <c r="JS201" s="347" t="b">
        <f t="shared" si="163"/>
        <v>1</v>
      </c>
      <c r="JT201" s="347" t="b">
        <f t="shared" si="164"/>
        <v>0</v>
      </c>
      <c r="JU201" s="347" t="b">
        <f t="shared" si="165"/>
        <v>0</v>
      </c>
      <c r="JV201" s="347" t="b">
        <f t="shared" si="166"/>
        <v>0</v>
      </c>
      <c r="JW201" s="347" t="b">
        <f t="shared" si="167"/>
        <v>0</v>
      </c>
      <c r="JX201" s="347" t="b">
        <f t="shared" si="168"/>
        <v>0</v>
      </c>
      <c r="JY201" s="347" t="b">
        <f t="shared" si="169"/>
        <v>1</v>
      </c>
      <c r="JZ201" s="347" t="b">
        <f t="shared" si="170"/>
        <v>0</v>
      </c>
      <c r="KA201" s="347" t="b">
        <f t="shared" si="171"/>
        <v>0</v>
      </c>
      <c r="KB201" s="365" t="b">
        <f t="shared" si="172"/>
        <v>0</v>
      </c>
      <c r="KC201" s="354" t="str">
        <f t="shared" si="173"/>
        <v/>
      </c>
      <c r="KD201" s="355" t="str">
        <f t="shared" si="174"/>
        <v/>
      </c>
      <c r="KE201" s="355" t="str">
        <f t="shared" si="175"/>
        <v/>
      </c>
      <c r="KF201" s="355" t="str">
        <f t="shared" si="176"/>
        <v>ga, </v>
      </c>
      <c r="KG201" s="355" t="str">
        <f t="shared" si="177"/>
        <v/>
      </c>
      <c r="KH201" s="355" t="str">
        <f t="shared" si="178"/>
        <v/>
      </c>
      <c r="KI201" s="355" t="str">
        <f t="shared" si="179"/>
        <v/>
      </c>
      <c r="KJ201" s="355" t="str">
        <f t="shared" si="180"/>
        <v/>
      </c>
      <c r="KK201" s="355" t="str">
        <f t="shared" si="181"/>
        <v/>
      </c>
      <c r="KL201" s="355" t="str">
        <f t="shared" si="182"/>
        <v>Dha, </v>
      </c>
      <c r="KM201" s="355" t="str">
        <f t="shared" si="183"/>
        <v/>
      </c>
      <c r="KN201" s="355" t="str">
        <f t="shared" si="184"/>
        <v/>
      </c>
      <c r="KO201" s="359"/>
      <c r="KP201" s="378"/>
      <c r="KQ201" s="379" t="s">
        <v>9</v>
      </c>
      <c r="KR201" s="380" t="s">
        <v>9</v>
      </c>
      <c r="KS201" s="381" t="s">
        <v>9</v>
      </c>
      <c r="KT201" s="382">
        <f t="shared" si="186"/>
        <v>0</v>
      </c>
      <c r="KU201" s="383">
        <f t="shared" si="187"/>
        <v>0</v>
      </c>
      <c r="KV201" s="381" t="str">
        <f t="shared" si="205"/>
        <v>S</v>
      </c>
      <c r="KW201" s="382">
        <f t="shared" si="189"/>
        <v>0</v>
      </c>
      <c r="KX201" s="384">
        <f t="shared" si="190"/>
        <v>0</v>
      </c>
      <c r="KY201" s="382">
        <f t="shared" ref="KY201:KZ201" si="617">KW201-KT201</f>
        <v>0</v>
      </c>
      <c r="KZ201" s="369">
        <f t="shared" si="617"/>
        <v>0</v>
      </c>
      <c r="LA201" s="385" t="str">
        <f t="shared" si="192"/>
        <v>✔</v>
      </c>
      <c r="LB201" s="340" t="str">
        <f>IFERROR(__xludf.DUMMYFUNCTION("JOIN("""",ArrayFormula(MID(KS201,LEN(KS201)-SEQUENCE(1,LEN(KS201))+1,1)))"),"S")</f>
        <v>S</v>
      </c>
      <c r="LC201" s="373" t="str">
        <f>IFERROR(__xludf.DUMMYFUNCTION("JOIN("""",ArrayFormula(MID(KV201,LEN(KV201)-SEQUENCE(1,LEN(KV201))+1,1)))"),"S")</f>
        <v>S</v>
      </c>
      <c r="LD201" s="373" t="str">
        <f t="shared" si="193"/>
        <v>S</v>
      </c>
      <c r="LE201" s="339" t="str">
        <f t="shared" si="194"/>
        <v>S</v>
      </c>
      <c r="LF201" s="386" t="str">
        <f>IFERROR(__xludf.DUMMYFUNCTION("SUBSTITUTE(SUBSTITUTE(CONCATENATE(JOIN("""",LH201:LT201)),""1"",""""),""2"","""")"),"SS")</f>
        <v>SS</v>
      </c>
      <c r="LG201" s="369" t="str">
        <f t="shared" si="195"/>
        <v>-</v>
      </c>
      <c r="LH201" s="387" t="str">
        <f>IFERROR(__xludf.DUMMYFUNCTION("IF(REGEXMATCH(LD201, ""S""), ""S"",IF(REGEXMATCH(LE201, ""S""), ""S"",""""))"),"S")</f>
        <v>S</v>
      </c>
      <c r="LI201" s="299" t="str">
        <f>IFERROR(__xludf.DUMMYFUNCTION("IF(REGEXMATCH(LD201, ""r""), ""r1"",IF(REGEXMATCH(LE201, ""r""), ""r2"",""""))"),"")</f>
        <v/>
      </c>
      <c r="LJ201" s="299" t="str">
        <f>IFERROR(__xludf.DUMMYFUNCTION("IF(REGEXMATCH(LD201, ""R""), ""R1"",IF(REGEXMATCH(LE201, ""R""), ""R2"",""""))"),"")</f>
        <v/>
      </c>
      <c r="LK201" s="299" t="str">
        <f>IFERROR(__xludf.DUMMYFUNCTION("IF(REGEXMATCH(LD201, ""g""), ""g1"",IF(REGEXMATCH(LE201, ""g""), ""g2"",""""))"),"")</f>
        <v/>
      </c>
      <c r="LL201" s="299" t="str">
        <f>IFERROR(__xludf.DUMMYFUNCTION("IF(REGEXMATCH(LD201, ""G""), ""G1"",IF(REGEXMATCH(LE201, ""G""), ""G2"",""""))"),"")</f>
        <v/>
      </c>
      <c r="LM201" s="299" t="str">
        <f>IFERROR(__xludf.DUMMYFUNCTION("IF(REGEXMATCH(LD201, ""m""), ""m1"",IF(REGEXMATCH(LE201, ""m""), ""m2"",""""))"),"")</f>
        <v/>
      </c>
      <c r="LN201" s="299" t="str">
        <f>IFERROR(__xludf.DUMMYFUNCTION("IF(REGEXMATCH(LD201, ""M""), ""M1"",IF(REGEXMATCH(LE201, ""M""), ""M2"",""""))"),"")</f>
        <v/>
      </c>
      <c r="LO201" s="299" t="str">
        <f>IFERROR(__xludf.DUMMYFUNCTION("IF(REGEXMATCH(LD201, ""P""), ""P1"",IF(REGEXMATCH(LE201, ""P""), ""P2"",""""))"),"")</f>
        <v/>
      </c>
      <c r="LP201" s="299" t="str">
        <f>IFERROR(__xludf.DUMMYFUNCTION("IF(REGEXMATCH(LD201, ""d""), ""d1"",IF(REGEXMATCH(LE201, ""d""), ""d2"",""""))"),"")</f>
        <v/>
      </c>
      <c r="LQ201" s="299" t="str">
        <f>IFERROR(__xludf.DUMMYFUNCTION("IF(REGEXMATCH(LD201, ""D""), ""D1"",IF(REGEXMATCH(LE201, ""D""), ""D2"",""""))"),"")</f>
        <v/>
      </c>
      <c r="LR201" s="299" t="str">
        <f>IFERROR(__xludf.DUMMYFUNCTION("IF(REGEXMATCH(LD201, ""n""), ""n1"",IF(REGEXMATCH(LE201, ""n""), ""n2"",""""))"),"")</f>
        <v/>
      </c>
      <c r="LS201" s="299" t="str">
        <f>IFERROR(__xludf.DUMMYFUNCTION("IF(REGEXMATCH(LD201, ""N""), ""N1"",IF(REGEXMATCH(LE201, ""N""), ""N2"",""""))"),"")</f>
        <v/>
      </c>
      <c r="LT201" s="388" t="str">
        <f>IFERROR(__xludf.DUMMYFUNCTION("IF(REGEXMATCH(LD201, ""S""), ""S"",IF(REGEXMATCH(LE201, ""S""), ""S"",""""))"),"S")</f>
        <v>S</v>
      </c>
      <c r="LU201" s="389">
        <f t="shared" si="196"/>
        <v>1</v>
      </c>
      <c r="LV201" s="378"/>
      <c r="LW201" s="369"/>
      <c r="LX201" s="369"/>
    </row>
    <row r="202" ht="18.0" customHeight="1">
      <c r="A202" s="298" t="s">
        <v>924</v>
      </c>
      <c r="B202" s="222" t="s">
        <v>462</v>
      </c>
      <c r="C202" s="233" t="str">
        <f t="shared" si="7"/>
        <v>SRgMPDnS</v>
      </c>
      <c r="D202" s="234" t="str">
        <f>IFERROR(__xludf.DUMMYFUNCTION("IF(REGEXMATCH(C202, ""S""), ""S"","""")"),"S")</f>
        <v>S</v>
      </c>
      <c r="E202" s="236" t="str">
        <f>IFERROR(__xludf.DUMMYFUNCTION("IF(REGEXMATCH(C202, ""r""), ""r"","""")"),"")</f>
        <v/>
      </c>
      <c r="F202" s="237" t="str">
        <f>IFERROR(__xludf.DUMMYFUNCTION("IF(REGEXMATCH(C202, ""R""), ""R"","""")"),"R")</f>
        <v>R</v>
      </c>
      <c r="G202" s="237" t="str">
        <f>IFERROR(__xludf.DUMMYFUNCTION("IF(REGEXMATCH(C202, ""g""), ""g"","""")"),"g")</f>
        <v>g</v>
      </c>
      <c r="H202" s="236" t="str">
        <f>IFERROR(__xludf.DUMMYFUNCTION("IF(REGEXMATCH(C202, ""G""), ""G"","""")"),"")</f>
        <v/>
      </c>
      <c r="I202" s="236" t="str">
        <f>IFERROR(__xludf.DUMMYFUNCTION("IF(REGEXMATCH(C202, ""m""), ""m"","""")"),"")</f>
        <v/>
      </c>
      <c r="J202" s="237" t="str">
        <f>IFERROR(__xludf.DUMMYFUNCTION("IF(REGEXMATCH(C202, ""M""), ""M"","""")"),"M")</f>
        <v>M</v>
      </c>
      <c r="K202" s="236" t="str">
        <f>IFERROR(__xludf.DUMMYFUNCTION("IF(REGEXMATCH(C202, ""P""), ""P"","""")"),"P")</f>
        <v>P</v>
      </c>
      <c r="L202" s="237" t="str">
        <f>IFERROR(__xludf.DUMMYFUNCTION("IF(REGEXMATCH(C202, ""d""), ""d"","""")"),"")</f>
        <v/>
      </c>
      <c r="M202" s="236" t="str">
        <f>IFERROR(__xludf.DUMMYFUNCTION("IF(REGEXMATCH(C202, ""D""), ""D"","""")"),"D")</f>
        <v>D</v>
      </c>
      <c r="N202" s="236" t="str">
        <f>IFERROR(__xludf.DUMMYFUNCTION("IF(REGEXMATCH(C202, ""n""), ""n"","""")"),"n")</f>
        <v>n</v>
      </c>
      <c r="O202" s="237" t="str">
        <f>IFERROR(__xludf.DUMMYFUNCTION("IF(REGEXMATCH(C202, ""N""), ""N"","""")"),"")</f>
        <v/>
      </c>
      <c r="P202" s="238" t="str">
        <f>IFERROR(__xludf.DUMMYFUNCTION("IF(REGEXMATCH(C202, ""S""), ""S"","""")"),"S")</f>
        <v>S</v>
      </c>
      <c r="Q202" s="239" t="str">
        <f>IFERROR(__xludf.DUMMYFUNCTION("SUBSTITUTE(CONCATENATE(JOIN(""-"",D202:J202)),""-"","""")"),"SRgM")</f>
        <v>SRgM</v>
      </c>
      <c r="R202" s="229" t="str">
        <f>IFERROR(__xludf.DUMMYFUNCTION("SUBSTITUTE(CONCATENATE(JOIN(""-"",K202:P202)),""-"","""")"),"PDnS")</f>
        <v>PDnS</v>
      </c>
      <c r="S202" s="282" t="str">
        <f t="shared" si="8"/>
        <v>S-R-G-M</v>
      </c>
      <c r="T202" s="282" t="str">
        <f t="shared" si="9"/>
        <v>P-D-N-S</v>
      </c>
      <c r="U202" s="237" t="str">
        <f>IFERROR(__xludf.DUMMYFUNCTION("SUBSTITUTE(JOIN(""-"",S202,T202),""--"",""-"")"),"S-R-G-M-P-D-N-S")</f>
        <v>S-R-G-M-P-D-N-S</v>
      </c>
      <c r="V202" s="309" t="str">
        <f t="shared" si="10"/>
        <v>RgMDn</v>
      </c>
      <c r="W202" s="244" t="str">
        <f>IFERROR(__xludf.DUMMYFUNCTION("IF(REGEXMATCH(C202, ""S""), ""0"","""")"),"0")</f>
        <v>0</v>
      </c>
      <c r="X202" s="245" t="str">
        <f>IFERROR(__xludf.DUMMYFUNCTION("IF(REGEXMATCH(C202, ""r""), ""1"","""")"),"")</f>
        <v/>
      </c>
      <c r="Y202" s="246" t="str">
        <f>IFERROR(__xludf.DUMMYFUNCTION("IF(REGEXMATCH(C202, ""R""), ""2"","""")"),"2")</f>
        <v>2</v>
      </c>
      <c r="Z202" s="246" t="str">
        <f>IFERROR(__xludf.DUMMYFUNCTION("IF(REGEXMATCH(C202, ""g""), ""3"","""")"),"3")</f>
        <v>3</v>
      </c>
      <c r="AA202" s="245" t="str">
        <f>IFERROR(__xludf.DUMMYFUNCTION("IF(REGEXMATCH(C202, ""G""), ""4"","""")"),"")</f>
        <v/>
      </c>
      <c r="AB202" s="245" t="str">
        <f>IFERROR(__xludf.DUMMYFUNCTION("IF(REGEXMATCH(C202, ""m""), ""5"","""")"),"")</f>
        <v/>
      </c>
      <c r="AC202" s="246" t="str">
        <f>IFERROR(__xludf.DUMMYFUNCTION("IF(REGEXMATCH(C202, ""M""), ""6"","""")"),"6")</f>
        <v>6</v>
      </c>
      <c r="AD202" s="245" t="str">
        <f>IFERROR(__xludf.DUMMYFUNCTION("IF(REGEXMATCH(C202, ""P""), ""7"","""")"),"7")</f>
        <v>7</v>
      </c>
      <c r="AE202" s="246" t="str">
        <f>IFERROR(__xludf.DUMMYFUNCTION("IF(REGEXMATCH(C202, ""d""), ""8"","""")"),"")</f>
        <v/>
      </c>
      <c r="AF202" s="245" t="str">
        <f>IFERROR(__xludf.DUMMYFUNCTION("IF(REGEXMATCH(C202, ""D""), ""9"","""")"),"9")</f>
        <v>9</v>
      </c>
      <c r="AG202" s="245" t="str">
        <f>IFERROR(__xludf.DUMMYFUNCTION("IF(REGEXMATCH(C202, ""n""), ""10"","""")"),"10")</f>
        <v>10</v>
      </c>
      <c r="AH202" s="246" t="str">
        <f>IFERROR(__xludf.DUMMYFUNCTION("IF(REGEXMATCH(C202, ""N""), ""11"","""")"),"")</f>
        <v/>
      </c>
      <c r="AI202" s="249" t="str">
        <f>IFERROR(__xludf.DUMMYFUNCTION("IF(REGEXMATCH(C202, ""S""), ""0"","""")"),"0")</f>
        <v>0</v>
      </c>
      <c r="AJ202" s="313" t="str">
        <f t="shared" si="11"/>
        <v>T</v>
      </c>
      <c r="AK202" s="313" t="str">
        <f t="shared" si="12"/>
        <v>-</v>
      </c>
      <c r="AL202" s="313" t="str">
        <f t="shared" si="13"/>
        <v>-</v>
      </c>
      <c r="AM202" s="313" t="str">
        <f t="shared" si="14"/>
        <v>T</v>
      </c>
      <c r="AN202" s="313" t="str">
        <f t="shared" si="15"/>
        <v>-</v>
      </c>
      <c r="AO202" s="314" t="str">
        <f t="shared" si="16"/>
        <v>-</v>
      </c>
      <c r="AP202" s="316">
        <f t="shared" si="17"/>
        <v>2</v>
      </c>
      <c r="AQ202" s="319" t="str">
        <f t="shared" si="18"/>
        <v>#REF!</v>
      </c>
      <c r="AR202" s="320">
        <f t="shared" si="19"/>
        <v>0</v>
      </c>
      <c r="AS202" s="250" t="str">
        <f>IFERROR(__xludf.DUMMYFUNCTION("SUBSTITUTE(SUBSTITUTE(CONCATENATE(JOIN("""",FP202:GA202)),""|"",""x""),""-"",""o"")"),"xoxxooxxoxxo")</f>
        <v>xoxxooxxoxxo</v>
      </c>
      <c r="AT202" s="323" t="str">
        <f>IFERROR(__xludf.DUMMYFUNCTION("JOIN("""",AS202,AS202)"),"xoxxooxxoxxoxoxxooxxoxxo")</f>
        <v>xoxxooxxoxxoxoxxooxxoxxo</v>
      </c>
      <c r="AU202" s="256" t="str">
        <f>IFERROR(__xludf.DUMMYFUNCTION("JOIN("""",ArrayFormula(MID(AS202,LEN(AS202)-SEQUENCE(1,LEN(AS202))+1,1)))"),"oxxoxxooxxox")</f>
        <v>oxxoxxooxxox</v>
      </c>
      <c r="AV202" s="256" t="str">
        <f>IFERROR(__xludf.DUMMYFUNCTION("LEFT(CONCATENATE(""x"",JOIN("""",ArrayFormula(MID(AS202,LEN(AS202)-SEQUENCE(1,LEN(AS202))+1,1)))),12)"),"xoxxoxxooxxo")</f>
        <v>xoxxoxxooxxo</v>
      </c>
      <c r="AW202" s="327" t="str">
        <f>IFERROR(__xludf.DUMMYFUNCTION("JOIN("""",AU202,AU202)"),"oxxoxxooxxoxoxxoxxooxxox")</f>
        <v>oxxoxxooxxoxoxxoxxooxxox</v>
      </c>
      <c r="AX202" s="239" t="str">
        <f>IFERROR(__xludf.DUMMYFUNCTION("IF(REGEXMATCH(AW202,AS202),""✔"",""-"")"),"-")</f>
        <v>-</v>
      </c>
      <c r="AY202" s="330" t="str">
        <f t="shared" si="20"/>
        <v>-</v>
      </c>
      <c r="AZ202" s="260" t="str">
        <f t="shared" si="21"/>
        <v>#REF!</v>
      </c>
      <c r="BA202" s="333" t="str">
        <f t="shared" si="22"/>
        <v>xoxxoox</v>
      </c>
      <c r="BB202" s="334" t="str">
        <f t="shared" si="23"/>
        <v>xoxxox</v>
      </c>
      <c r="BC202" s="335" t="str">
        <f t="shared" si="236"/>
        <v>-</v>
      </c>
      <c r="BD202" s="336" t="str">
        <f t="shared" si="25"/>
        <v>Madhukant: 'xoxxoox' + 'xoxxox'</v>
      </c>
      <c r="BE202" s="337">
        <f>IFERROR(__xludf.DUMMYFUNCTION("COUNTUNIQUE(FILTER(AT:AT,REGEXMATCH(AT:AT,AS202)))-1"),3.0)</f>
        <v>3</v>
      </c>
      <c r="BF202" s="261" t="str">
        <f>IFERROR(__xludf.DUMMYFUNCTION("IF(BI202=0,""(n/a)"",IF(BJ202=2,""(PAIR)"",IF(REGEXMATCH(AT202,""xoxoxxoxoxox""),""Bilawal"",IF(REGEXMATCH(AT202,""xoxoxooxoxoo""),""Bhupali"",IF(REGEXMATCH(AT202,""xoxoxxoxxoxo""),""Charukeshi"",IF(REGEXMATCH(AT202,""xoxoooxxoxxo""),""Kameshwari"",IF(REG"&amp;"EXMATCH(AT202,""xoxoxooxoxox""),""Shankara"",IF(REGEXMATCH(AT202,""xxooxoxxxoox""),""Basant"",IF(REGEXMATCH(AT202,""xoxoxxxxoxox""),""Bihag"",IF(REGEXMATCH(AT202,""xoxxxxoxoxxx""),""Pilu"",IF(REGEXMATCH(AT202,""xoxxoxoxxoox""),""Kirwani"",IF(REGEXMATCH(AT"&amp;"202,""xoxxoxoxoxxx""),""Mk.Malhar"",IF(REGEXMATCH(AT202,""xxooxxoxxoox""),""Bhairav"",IF(REGEXMATCH(AT202,""xxoxooxxxoox""),""Todi"",IF(REGEXMATCH(AT202,""xxooxoxooxox""),""Marwa"",IF(REGEXMATCH(AT202,""xxoooxoxxooo""),""Gunkali"",IF(REGEXMATCH(AT202,""xo"&amp;"xoxxoxxoox""),""Nat Bhairav"",IF(REGEXMATCH(AT202,""xoxxoooxoxoo""),""Shivranjani"",IF(REGEXMATCH(AT202,""xooxxxoxooxo""),""Jog"",IF(REGEXMATCH(AT202,""xxooxoxoxoox""),""Hemshri"",IF(REGEXMATCH(AT202,""xoooxooxoxxo""),""Kalavati"",IF(REGEXMATCH(AT202,""xx"&amp;"oxoxxoxoox""),""Kedar"",IF(REGEXMATCH(AT202,""xoxxxxoxooxx""),""Gara"",IF(REGEXMATCH(AT202,""xooxoxooxoox""),""Chandrakauns"",IF(REGEXMATCH(AT202,""xoxxxxoxxxox""),""Mand"",IF(REGEXMATCH(AT202,""xoxxxxoxoxox""),""Hanskinkini"",IF(REGEXMATCH(AT202,""xxooxx"&amp;"oxooxo""),""Lilavati"",IF(REGEXMATCH(AT202,""xooxoxoooxox""),""Rajeshwari"",IF(REGEXMATCH(AT202,""xoooxxoxoxxx""),""Khokar"",IF(REGEXMATCH(AT202,""xxooxoxxxxox""),""Maligoura"",""-""))))))))))))))))))))))))))))))"),"Kirwani")</f>
        <v>Kirwani</v>
      </c>
      <c r="BG202" s="239" t="str">
        <f t="shared" si="26"/>
        <v>#REF!</v>
      </c>
      <c r="BH202" s="239">
        <f>IFERROR(__xludf.DUMMYFUNCTION("COUNTUNIQUE(FE202:FO202)-1"),6.0)</f>
        <v>6</v>
      </c>
      <c r="BI202" s="239">
        <f>IFERROR(__xludf.DUMMYFUNCTION("COUNTUNIQUE(FILTER(AT:AT,REGEXMATCH(AT:AT,AS202)))-1"),3.0)</f>
        <v>3</v>
      </c>
      <c r="BJ202" s="239">
        <f>IFERROR(__xludf.DUMMYFUNCTION("COUNTA(FILTER(AT:AT,REGEXMATCH(AT:AT,AS202)))"),6.0)</f>
        <v>6</v>
      </c>
      <c r="BK202" s="341">
        <f>IFERROR(__xludf.DUMMYFUNCTION("COUNTA(FILTER(AT:AT,REGEXMATCH(AT:AT,AS202)))-AR202"),6.0)</f>
        <v>6</v>
      </c>
      <c r="BL202" s="276" t="str">
        <f>IFERROR(__xludf.DUMMYFUNCTION("IF(AS202=""oooooooooooo"",""-"",IF(REGEXMATCH(AT202,""xx""), ""Hemi."", ""Anhemi.""))"),"Hemi.")</f>
        <v>Hemi.</v>
      </c>
      <c r="BM202" s="282" t="str">
        <f>IFERROR(__xludf.DUMMYFUNCTION("IF(AS202=""oooooooooooo"",""-"",IF(REGEXMATCH(AT202,""xxx""), ""Cohem."", ""-""))"),"-")</f>
        <v>-</v>
      </c>
      <c r="BN202" s="282" t="str">
        <f>IFERROR(__xludf.DUMMYFUNCTION("IF(AS202=""oooooooooooo"",""-"",IF(REGEXMATCH(AT202,""xxxx""), ""Co-Co."", ""-""))"),"-")</f>
        <v>-</v>
      </c>
      <c r="BO202" s="342" t="str">
        <f>IFERROR(__xludf.DUMMYFUNCTION("IF(AS202=""oooooooooooo"",""-"",IF(REGEXMATCH(AT202,""xxxxx""), ""CCC."", ""-""))"),"-")</f>
        <v>-</v>
      </c>
      <c r="BP202" s="344" t="str">
        <f t="shared" si="27"/>
        <v>-</v>
      </c>
      <c r="BQ202" s="282" t="str">
        <f>IFERROR(__xludf.DUMMYFUNCTION("IF(REGEXMATCH(JOIN(""-"",EU202:FD202),""TRUE""),""✔"",""-"")"),"-")</f>
        <v>-</v>
      </c>
      <c r="BR202" s="225">
        <f t="shared" si="28"/>
        <v>0</v>
      </c>
      <c r="BS202" s="345" t="str">
        <f>IFERROR(__xludf.DUMMYFUNCTION("SUBSTITUTE(SUBSTITUTE(SUBSTITUTE(SUBSTITUTE(CONCATENATE(JOIN(""-"",GC202:GO202)),""--"",""-""),""--"",""-""),""--"",""-""),""--"",""-"")"),"1-2-b3-#4-5-6-b7-8")</f>
        <v>1-2-b3-#4-5-6-b7-8</v>
      </c>
      <c r="BT202" s="299" t="str">
        <f>IFERROR(__xludf.DUMMYFUNCTION("SUBSTITUTE(SUBSTITUTE(SUBSTITUTE(SUBSTITUTE(CONCATENATE(JOIN(""-"",GP202:HB202)),""--"",""-""),""--"",""-""),""--"",""-""),""--"",""-"")"),"S-R2-G2-M2-P-D2-N2-S")</f>
        <v>S-R2-G2-M2-P-D2-N2-S</v>
      </c>
      <c r="BU202" s="348" t="str">
        <f t="shared" si="29"/>
        <v>C-D-Eb-F#-G-A-Bb-C</v>
      </c>
      <c r="BV202" s="349" t="str">
        <f t="shared" si="30"/>
        <v>SrGmdNS</v>
      </c>
      <c r="BW202" s="350">
        <f t="shared" si="31"/>
        <v>0</v>
      </c>
      <c r="BX202" s="351">
        <f t="shared" si="32"/>
        <v>2</v>
      </c>
      <c r="BY202" s="392"/>
      <c r="BZ202" s="309" t="str">
        <f>IFERROR(__xludf.DUMMYFUNCTION("IF(REGEXMATCH(C202, ""S""), ""x"",""x"")"),"x")</f>
        <v>x</v>
      </c>
      <c r="CA202" s="245" t="str">
        <f>IFERROR(__xludf.DUMMYFUNCTION("IF(REGEXMATCH(C202, ""r""), ""o"",""x"")"),"x")</f>
        <v>x</v>
      </c>
      <c r="CB202" s="246" t="str">
        <f>IFERROR(__xludf.DUMMYFUNCTION("IF(REGEXMATCH(C202, ""R""), ""o"",""x"")"),"o")</f>
        <v>o</v>
      </c>
      <c r="CC202" s="246" t="str">
        <f>IFERROR(__xludf.DUMMYFUNCTION("IF(REGEXMATCH(C202, ""g""), ""o"",""x"")"),"o")</f>
        <v>o</v>
      </c>
      <c r="CD202" s="245" t="str">
        <f>IFERROR(__xludf.DUMMYFUNCTION("IF(REGEXMATCH(C202, ""G""), ""o"",""x"")"),"x")</f>
        <v>x</v>
      </c>
      <c r="CE202" s="245" t="str">
        <f>IFERROR(__xludf.DUMMYFUNCTION("IF(REGEXMATCH(C202, ""m""), ""o"",""x"")"),"x")</f>
        <v>x</v>
      </c>
      <c r="CF202" s="246" t="str">
        <f>IFERROR(__xludf.DUMMYFUNCTION("IF(REGEXMATCH(C202, ""M""), ""o"",""x"")"),"o")</f>
        <v>o</v>
      </c>
      <c r="CG202" s="245" t="str">
        <f>IFERROR(__xludf.DUMMYFUNCTION("IF(REGEXMATCH(C202, ""P""), ""o"",""x"")"),"o")</f>
        <v>o</v>
      </c>
      <c r="CH202" s="246" t="str">
        <f>IFERROR(__xludf.DUMMYFUNCTION("IF(REGEXMATCH(C202, ""d""), ""o"",""x"")"),"x")</f>
        <v>x</v>
      </c>
      <c r="CI202" s="245" t="str">
        <f>IFERROR(__xludf.DUMMYFUNCTION("IF(REGEXMATCH(C202, ""D""), ""o"",""x"")"),"o")</f>
        <v>o</v>
      </c>
      <c r="CJ202" s="245" t="str">
        <f>IFERROR(__xludf.DUMMYFUNCTION("IF(REGEXMATCH(C202, ""n""), ""o"",""x"")"),"o")</f>
        <v>o</v>
      </c>
      <c r="CK202" s="245" t="str">
        <f>IFERROR(__xludf.DUMMYFUNCTION("IF(REGEXMATCH(C202, ""N""), ""o"",""x"")"),"x")</f>
        <v>x</v>
      </c>
      <c r="CL202" s="356" t="str">
        <f>IFERROR(__xludf.DUMMYFUNCTION("IF(REGEXMATCH(C202, ""S""), ""x"",""x"")"),"x")</f>
        <v>x</v>
      </c>
      <c r="CM202" s="357" t="str">
        <f t="shared" si="33"/>
        <v>xxooxxooxoox</v>
      </c>
      <c r="CN202" s="358">
        <f t="shared" si="34"/>
        <v>0</v>
      </c>
      <c r="CO202" s="246" t="str">
        <f>IFERROR(__xludf.DUMMYFUNCTION("IF(REGEXMATCH($C202, ""S""), ""S"",""S"")"),"S")</f>
        <v>S</v>
      </c>
      <c r="CP202" s="246" t="str">
        <f>IFERROR(__xludf.DUMMYFUNCTION("IF(REGEXMATCH($C202, ""r""), """",""r"")"),"r")</f>
        <v>r</v>
      </c>
      <c r="CQ202" s="246" t="str">
        <f>IFERROR(__xludf.DUMMYFUNCTION("IF(REGEXMATCH($C202, ""R""), """",""R"")"),"")</f>
        <v/>
      </c>
      <c r="CR202" s="246" t="str">
        <f>IFERROR(__xludf.DUMMYFUNCTION("IF(REGEXMATCH($C202, ""g""), """",""g"")"),"")</f>
        <v/>
      </c>
      <c r="CS202" s="246" t="str">
        <f>IFERROR(__xludf.DUMMYFUNCTION("IF(REGEXMATCH($C202, ""G""), """",""G"")"),"G")</f>
        <v>G</v>
      </c>
      <c r="CT202" s="246" t="str">
        <f>IFERROR(__xludf.DUMMYFUNCTION("IF(REGEXMATCH($C202, ""m""), """",""m"")"),"m")</f>
        <v>m</v>
      </c>
      <c r="CU202" s="246" t="str">
        <f>IFERROR(__xludf.DUMMYFUNCTION("IF(REGEXMATCH($C202, ""M""), """",""M"")"),"")</f>
        <v/>
      </c>
      <c r="CV202" s="246" t="str">
        <f>IFERROR(__xludf.DUMMYFUNCTION("IF(REGEXMATCH($C202, ""P""), """",""P"")"),"")</f>
        <v/>
      </c>
      <c r="CW202" s="246" t="str">
        <f>IFERROR(__xludf.DUMMYFUNCTION("IF(REGEXMATCH($C202, ""d""), """",""d"")"),"d")</f>
        <v>d</v>
      </c>
      <c r="CX202" s="246" t="str">
        <f>IFERROR(__xludf.DUMMYFUNCTION("IF(REGEXMATCH($C202, ""D""), """",""D"")"),"")</f>
        <v/>
      </c>
      <c r="CY202" s="246" t="str">
        <f>IFERROR(__xludf.DUMMYFUNCTION("IF(REGEXMATCH($C202, ""n""), """",""n"")"),"")</f>
        <v/>
      </c>
      <c r="CZ202" s="246" t="str">
        <f>IFERROR(__xludf.DUMMYFUNCTION("IF(REGEXMATCH($C202, ""N""), """",""N"")"),"N")</f>
        <v>N</v>
      </c>
      <c r="DA202" s="246" t="str">
        <f>IFERROR(__xludf.DUMMYFUNCTION("IF(REGEXMATCH($C202, ""S""), ""S"",""S"")"),"S")</f>
        <v>S</v>
      </c>
      <c r="DB202" s="362" t="str">
        <f>IFERROR(__xludf.DUMMYFUNCTION("JOIN("""",CO202:DA202,"""","""")"),"SrGmdNS")</f>
        <v>SrGmdNS</v>
      </c>
      <c r="DC202" s="363"/>
      <c r="DD202" s="301" t="str">
        <f t="shared" si="35"/>
        <v>#REF!</v>
      </c>
      <c r="DE202" s="302" t="str">
        <f t="shared" si="36"/>
        <v>#REF!</v>
      </c>
      <c r="DF202" s="301" t="str">
        <f t="shared" ref="DF202:DG202" si="618">SUBSTITUTE(S202,"-","")</f>
        <v>SRGM</v>
      </c>
      <c r="DG202" s="301" t="str">
        <f t="shared" si="618"/>
        <v>PDNS</v>
      </c>
      <c r="DH202" s="302" t="str">
        <f t="shared" si="38"/>
        <v>Kirwani</v>
      </c>
      <c r="DI202" s="301" t="str">
        <f t="shared" si="39"/>
        <v>Hemi.</v>
      </c>
      <c r="DJ202" s="364" t="str">
        <f t="shared" si="40"/>
        <v>-</v>
      </c>
      <c r="DK202" s="306" t="str">
        <f t="shared" si="41"/>
        <v>-</v>
      </c>
      <c r="DL202" s="366" t="str">
        <f t="shared" si="42"/>
        <v>-</v>
      </c>
      <c r="DM202" s="308" t="str">
        <f t="shared" si="43"/>
        <v>✔</v>
      </c>
      <c r="DN202" s="306" t="str">
        <f t="shared" si="44"/>
        <v>-</v>
      </c>
      <c r="DO202" s="306" t="str">
        <f t="shared" si="45"/>
        <v>-</v>
      </c>
      <c r="DP202" s="367" t="str">
        <f t="shared" si="46"/>
        <v>✔</v>
      </c>
      <c r="DQ202" s="310" t="str">
        <f t="shared" si="47"/>
        <v>-</v>
      </c>
      <c r="DR202" s="310" t="str">
        <f t="shared" si="48"/>
        <v>-</v>
      </c>
      <c r="DS202" s="310" t="str">
        <f t="shared" si="49"/>
        <v>-</v>
      </c>
      <c r="DT202" s="310" t="str">
        <f t="shared" si="50"/>
        <v>-</v>
      </c>
      <c r="DU202" s="370" t="str">
        <f t="shared" si="51"/>
        <v>-</v>
      </c>
      <c r="DV202" s="306" t="str">
        <f t="shared" si="52"/>
        <v>-</v>
      </c>
      <c r="DW202" s="306" t="str">
        <f t="shared" si="53"/>
        <v>-</v>
      </c>
      <c r="DX202" s="306" t="str">
        <f t="shared" si="54"/>
        <v>-</v>
      </c>
      <c r="DY202" s="306" t="str">
        <f t="shared" si="55"/>
        <v>-</v>
      </c>
      <c r="DZ202" s="306" t="str">
        <f t="shared" si="56"/>
        <v>-</v>
      </c>
      <c r="EA202" s="367" t="str">
        <f t="shared" si="57"/>
        <v>-</v>
      </c>
      <c r="EB202" s="310" t="str">
        <f>IFERROR(__xludf.DUMMYFUNCTION("IF(REGEXMATCH(AW202,AS202),""✔"",""-"")"),"-")</f>
        <v>-</v>
      </c>
      <c r="EC202" s="310" t="str">
        <f t="shared" si="58"/>
        <v>#REF!</v>
      </c>
      <c r="ED202" s="370" t="str">
        <f t="shared" si="59"/>
        <v>-</v>
      </c>
      <c r="EE202" s="340" t="str">
        <f t="shared" si="60"/>
        <v>S-R-g-M-P-D-n-S</v>
      </c>
      <c r="EF202" s="371" t="str">
        <f>IFERROR(__xludf.DUMMYFUNCTION("CONCATENATE(JOIN("""",HC202:HO202))"),"SRgmMDnS")</f>
        <v>SRgmMDnS</v>
      </c>
      <c r="EG202" s="372">
        <f t="shared" si="61"/>
        <v>3</v>
      </c>
      <c r="EH202" s="373" t="str">
        <f>IFERROR(__xludf.DUMMYFUNCTION("CONCATENATE(JOIN("""",JC202:JO202))"),"Ma, Dha, ni, ")</f>
        <v>Ma, Dha, ni, </v>
      </c>
      <c r="EI202" s="322">
        <f t="shared" si="62"/>
        <v>1</v>
      </c>
      <c r="EJ202" s="374" t="str">
        <f>IFERROR(__xludf.DUMMYFUNCTION("CONCATENATE(JOIN("""",KC202:KO202))"),"Ma, ")</f>
        <v>Ma, </v>
      </c>
      <c r="EK202" s="325" t="str">
        <f t="shared" si="63"/>
        <v>S-R2-G2-M2-P-D2-N2-S</v>
      </c>
      <c r="EL202" s="326" t="str">
        <f t="shared" si="64"/>
        <v>1-2-b3-#4-5-6-b7-8</v>
      </c>
      <c r="EM202" s="318" t="str">
        <f t="shared" si="65"/>
        <v>#REF!</v>
      </c>
      <c r="EN202" s="328" t="str">
        <f>IFERROR(__xludf.DUMMYFUNCTION("SUBSTITUTE(SUBSTITUTE(SUBSTITUTE(SUBSTITUTE(CONCATENATE(JOIN("" "",HP202:IB202)),""  "","" ""),""  "","" ""),""  "","" ""),""  "","" "")"),"o • o o • • o o • o o • o")</f>
        <v>o • o o • • o o • o o • o</v>
      </c>
      <c r="EO202" s="368" t="str">
        <f t="shared" si="66"/>
        <v>Sa-Pa</v>
      </c>
      <c r="EP202" s="339" t="str">
        <f t="shared" si="67"/>
        <v>Sa-Pa</v>
      </c>
      <c r="EQ202" s="339" t="str">
        <f t="shared" si="68"/>
        <v>Sa-Pa</v>
      </c>
      <c r="ER202" s="339" t="str">
        <f t="shared" si="69"/>
        <v>-</v>
      </c>
      <c r="ES202" s="340" t="str">
        <f t="shared" si="70"/>
        <v>-</v>
      </c>
      <c r="ET202" s="363"/>
      <c r="EU202" s="376" t="b">
        <f>IFERROR(__xludf.DUMMYFUNCTION("arrayformula(sum(--REGEXMATCH(""SRGMPDNS"",split(REGEXREPLACE(C202,""(.)"",""$1~""),""~""))))=len(C202)
"),FALSE)</f>
        <v>0</v>
      </c>
      <c r="EV202" s="290" t="b">
        <f>IFERROR(__xludf.DUMMYFUNCTION("arrayformula(sum(--REGEXMATCH(""SRGmPDNS"",split(REGEXREPLACE(C202,""(.)"",""$1~""),""~""))))=len(C202)"),FALSE)</f>
        <v>0</v>
      </c>
      <c r="EW202" s="290" t="b">
        <f>IFERROR(__xludf.DUMMYFUNCTION("arrayformula(sum(--REGEXMATCH(""SRGmPDnS"",split(REGEXREPLACE(C202,""(.)"",""$1~""),""~""))))=len(C202)"),FALSE)</f>
        <v>0</v>
      </c>
      <c r="EX202" s="290" t="b">
        <f>IFERROR(__xludf.DUMMYFUNCTION("arrayformula(sum(--REGEXMATCH(""SRgmPDnS"",split(REGEXREPLACE(C202,""(.)"",""$1~""),""~""))))=len(C202)"),FALSE)</f>
        <v>0</v>
      </c>
      <c r="EY202" s="290" t="b">
        <f>IFERROR(__xludf.DUMMYFUNCTION("arrayformula(sum(--REGEXMATCH(""SRgmPdnS"",split(REGEXREPLACE(C202,""(.)"",""$1~""),""~""))))=len(C202)"),FALSE)</f>
        <v>0</v>
      </c>
      <c r="EZ202" s="290" t="b">
        <f>IFERROR(__xludf.DUMMYFUNCTION("arrayformula(sum(--REGEXMATCH(""SrgmPdnS"",split(REGEXREPLACE(C202,""(.)"",""$1~""),""~""))))=len(C202)"),FALSE)</f>
        <v>0</v>
      </c>
      <c r="FA202" s="290" t="b">
        <f>IFERROR(__xludf.DUMMYFUNCTION("arrayformula(sum(--REGEXMATCH(""SrGmPdNS"",split(REGEXREPLACE(C202,""(.)"",""$1~""),""~""))))=len(C202)"),FALSE)</f>
        <v>0</v>
      </c>
      <c r="FB202" s="290" t="b">
        <f>IFERROR(__xludf.DUMMYFUNCTION("arrayformula(sum(--REGEXMATCH(""SrGMPDNS"",split(REGEXREPLACE(C202,""(.)"",""$1~""),""~""))))=len(C202)"),FALSE)</f>
        <v>0</v>
      </c>
      <c r="FC202" s="290" t="b">
        <f>IFERROR(__xludf.DUMMYFUNCTION("arrayformula(sum(--REGEXMATCH(""SrGMPdNS"",split(REGEXREPLACE(C202,""(.)"",""$1~""),""~""))))=len(C202)"),FALSE)</f>
        <v>0</v>
      </c>
      <c r="FD202" s="377" t="b">
        <f>IFERROR(__xludf.DUMMYFUNCTION("arrayformula(sum(--REGEXMATCH(""SrgMPdNS"",split(REGEXREPLACE(C202,""(.)"",""$1~""),""~""))))=len(C202)"),FALSE)</f>
        <v>0</v>
      </c>
      <c r="FE202" s="269" t="str">
        <f t="shared" si="71"/>
        <v>-</v>
      </c>
      <c r="FF202" s="269" t="str">
        <f t="shared" si="72"/>
        <v>xxooxxoxxox</v>
      </c>
      <c r="FG202" s="271" t="str">
        <f t="shared" si="73"/>
        <v>xooxxoxxoxo</v>
      </c>
      <c r="FH202" s="269" t="str">
        <f t="shared" si="74"/>
        <v>-</v>
      </c>
      <c r="FI202" s="271" t="str">
        <f t="shared" si="75"/>
        <v>-</v>
      </c>
      <c r="FJ202" s="271" t="str">
        <f t="shared" si="76"/>
        <v>xxoxxoxoxxo</v>
      </c>
      <c r="FK202" s="271" t="str">
        <f t="shared" si="77"/>
        <v>xoxxoxoxxoo</v>
      </c>
      <c r="FL202" s="271" t="str">
        <f t="shared" si="78"/>
        <v>-</v>
      </c>
      <c r="FM202" s="271" t="str">
        <f t="shared" si="79"/>
        <v>xxoxoxxooxx</v>
      </c>
      <c r="FN202" s="271" t="str">
        <f t="shared" si="80"/>
        <v>xoxoxxooxxo</v>
      </c>
      <c r="FO202" s="274" t="str">
        <f t="shared" si="81"/>
        <v>-</v>
      </c>
      <c r="FP202" s="234" t="str">
        <f t="shared" si="82"/>
        <v>|</v>
      </c>
      <c r="FQ202" s="236" t="str">
        <f t="shared" si="83"/>
        <v>-</v>
      </c>
      <c r="FR202" s="237" t="str">
        <f t="shared" si="84"/>
        <v>|</v>
      </c>
      <c r="FS202" s="236" t="str">
        <f t="shared" si="85"/>
        <v>|</v>
      </c>
      <c r="FT202" s="237" t="str">
        <f t="shared" si="86"/>
        <v>-</v>
      </c>
      <c r="FU202" s="236" t="str">
        <f t="shared" si="87"/>
        <v>-</v>
      </c>
      <c r="FV202" s="237" t="str">
        <f t="shared" si="88"/>
        <v>|</v>
      </c>
      <c r="FW202" s="236" t="str">
        <f t="shared" si="89"/>
        <v>|</v>
      </c>
      <c r="FX202" s="237" t="str">
        <f t="shared" si="90"/>
        <v>-</v>
      </c>
      <c r="FY202" s="236" t="str">
        <f t="shared" si="91"/>
        <v>|</v>
      </c>
      <c r="FZ202" s="237" t="str">
        <f t="shared" si="92"/>
        <v>|</v>
      </c>
      <c r="GA202" s="236" t="str">
        <f t="shared" si="93"/>
        <v>-</v>
      </c>
      <c r="GB202" s="238" t="str">
        <f t="shared" si="94"/>
        <v>|</v>
      </c>
      <c r="GC202" s="244" t="str">
        <f>IFERROR(__xludf.DUMMYFUNCTION("IF(REGEXMATCH(C202, ""S""), ""1"","""")"),"1")</f>
        <v>1</v>
      </c>
      <c r="GD202" s="245" t="str">
        <f>IFERROR(__xludf.DUMMYFUNCTION("IF(REGEXMATCH(C202, ""r""), ""b2"","""")"),"")</f>
        <v/>
      </c>
      <c r="GE202" s="246" t="str">
        <f>IFERROR(__xludf.DUMMYFUNCTION("IF(REGEXMATCH(C202, ""R""), ""2"","""")"),"2")</f>
        <v>2</v>
      </c>
      <c r="GF202" s="246" t="str">
        <f>IFERROR(__xludf.DUMMYFUNCTION("IF(REGEXMATCH(C202, ""g""), ""b3"","""")"),"b3")</f>
        <v>b3</v>
      </c>
      <c r="GG202" s="245" t="str">
        <f>IFERROR(__xludf.DUMMYFUNCTION("IF(REGEXMATCH(C202, ""G""), ""3"","""")"),"")</f>
        <v/>
      </c>
      <c r="GH202" s="245" t="str">
        <f>IFERROR(__xludf.DUMMYFUNCTION("IF(REGEXMATCH(C202, ""m""), ""4"","""")"),"")</f>
        <v/>
      </c>
      <c r="GI202" s="246" t="str">
        <f>IFERROR(__xludf.DUMMYFUNCTION("IF(REGEXMATCH(C202, ""M""), ""#4"","""")"),"#4")</f>
        <v>#4</v>
      </c>
      <c r="GJ202" s="245" t="str">
        <f>IFERROR(__xludf.DUMMYFUNCTION("IF(REGEXMATCH(C202, ""P""), ""5"","""")"),"5")</f>
        <v>5</v>
      </c>
      <c r="GK202" s="246" t="str">
        <f>IFERROR(__xludf.DUMMYFUNCTION("IF(REGEXMATCH(C202, ""d""), ""b6"","""")"),"")</f>
        <v/>
      </c>
      <c r="GL202" s="245" t="str">
        <f>IFERROR(__xludf.DUMMYFUNCTION("IF(REGEXMATCH(C202, ""D""), ""6"","""")"),"6")</f>
        <v>6</v>
      </c>
      <c r="GM202" s="245" t="str">
        <f>IFERROR(__xludf.DUMMYFUNCTION("IF(REGEXMATCH(C202, ""n""), ""b7"","""")"),"b7")</f>
        <v>b7</v>
      </c>
      <c r="GN202" s="246" t="str">
        <f>IFERROR(__xludf.DUMMYFUNCTION("IF(REGEXMATCH(C202, ""N""), ""7"","""")"),"")</f>
        <v/>
      </c>
      <c r="GO202" s="249" t="str">
        <f>IFERROR(__xludf.DUMMYFUNCTION("IF(REGEXMATCH(C202, ""S""), ""8"","""")"),"8")</f>
        <v>8</v>
      </c>
      <c r="GP202" s="244" t="str">
        <f>IFERROR(__xludf.DUMMYFUNCTION("IF(REGEXMATCH(C202, ""S""), ""S"","""")"),"S")</f>
        <v>S</v>
      </c>
      <c r="GQ202" s="294" t="str">
        <f>IFERROR(__xludf.DUMMYFUNCTION("IF(REGEXMATCH(C202, ""r""), ""R1"","""")"),"")</f>
        <v/>
      </c>
      <c r="GR202" s="295" t="str">
        <f>IFERROR(__xludf.DUMMYFUNCTION("IF(REGEXMATCH(C202, ""R""), ""R2"","""")"),"R2")</f>
        <v>R2</v>
      </c>
      <c r="GS202" s="295" t="str">
        <f>IFERROR(__xludf.DUMMYFUNCTION("IF(REGEXMATCH(C202, ""g""), ""G2"","""")"),"G2")</f>
        <v>G2</v>
      </c>
      <c r="GT202" s="294" t="str">
        <f>IFERROR(__xludf.DUMMYFUNCTION("IF(REGEXMATCH(C202, ""G""), ""G3"","""")"),"")</f>
        <v/>
      </c>
      <c r="GU202" s="294" t="str">
        <f>IFERROR(__xludf.DUMMYFUNCTION("IF(REGEXMATCH(C202, ""m""), ""M1"","""")"),"")</f>
        <v/>
      </c>
      <c r="GV202" s="295" t="str">
        <f>IFERROR(__xludf.DUMMYFUNCTION("IF(REGEXMATCH(C202, ""M""), ""M2"","""")"),"M2")</f>
        <v>M2</v>
      </c>
      <c r="GW202" s="294" t="str">
        <f>IFERROR(__xludf.DUMMYFUNCTION("IF(REGEXMATCH(C202, ""P""), ""P"","""")"),"P")</f>
        <v>P</v>
      </c>
      <c r="GX202" s="295" t="str">
        <f>IFERROR(__xludf.DUMMYFUNCTION("IF(REGEXMATCH(C202, ""d""), ""D1"","""")"),"")</f>
        <v/>
      </c>
      <c r="GY202" s="294" t="str">
        <f>IFERROR(__xludf.DUMMYFUNCTION("IF(REGEXMATCH(C202, ""D""), ""D2"","""")"),"D2")</f>
        <v>D2</v>
      </c>
      <c r="GZ202" s="294" t="str">
        <f>IFERROR(__xludf.DUMMYFUNCTION("IF(REGEXMATCH(C202, ""n""), ""N2"","""")"),"N2")</f>
        <v>N2</v>
      </c>
      <c r="HA202" s="295" t="str">
        <f>IFERROR(__xludf.DUMMYFUNCTION("IF(REGEXMATCH(C202, ""N""), ""N3"","""")"),"")</f>
        <v/>
      </c>
      <c r="HB202" s="249" t="str">
        <f>IFERROR(__xludf.DUMMYFUNCTION("IF(REGEXMATCH(C202, ""S""), ""S"","""")"),"S")</f>
        <v>S</v>
      </c>
      <c r="HC202" s="331" t="str">
        <f t="shared" si="95"/>
        <v>S</v>
      </c>
      <c r="HD202" s="332" t="str">
        <f t="shared" si="96"/>
        <v/>
      </c>
      <c r="HE202" s="332" t="str">
        <f t="shared" si="97"/>
        <v>R</v>
      </c>
      <c r="HF202" s="332" t="str">
        <f t="shared" si="98"/>
        <v>g</v>
      </c>
      <c r="HG202" s="332" t="str">
        <f t="shared" si="99"/>
        <v/>
      </c>
      <c r="HH202" s="332" t="str">
        <f t="shared" si="100"/>
        <v>m</v>
      </c>
      <c r="HI202" s="332" t="str">
        <f t="shared" si="101"/>
        <v>M</v>
      </c>
      <c r="HJ202" s="332" t="str">
        <f t="shared" si="102"/>
        <v/>
      </c>
      <c r="HK202" s="332" t="str">
        <f t="shared" si="103"/>
        <v/>
      </c>
      <c r="HL202" s="332" t="str">
        <f t="shared" si="104"/>
        <v>D</v>
      </c>
      <c r="HM202" s="332" t="str">
        <f t="shared" si="105"/>
        <v>n</v>
      </c>
      <c r="HN202" s="332" t="str">
        <f t="shared" si="106"/>
        <v/>
      </c>
      <c r="HO202" s="343" t="str">
        <f t="shared" si="107"/>
        <v>S</v>
      </c>
      <c r="HP202" s="331" t="str">
        <f t="shared" si="108"/>
        <v>o</v>
      </c>
      <c r="HQ202" s="332" t="str">
        <f t="shared" si="109"/>
        <v>•</v>
      </c>
      <c r="HR202" s="332" t="str">
        <f t="shared" si="110"/>
        <v>o</v>
      </c>
      <c r="HS202" s="332" t="str">
        <f t="shared" si="111"/>
        <v>o</v>
      </c>
      <c r="HT202" s="332" t="str">
        <f t="shared" si="112"/>
        <v>•</v>
      </c>
      <c r="HU202" s="332" t="str">
        <f t="shared" si="113"/>
        <v>•</v>
      </c>
      <c r="HV202" s="332" t="str">
        <f t="shared" si="114"/>
        <v>o</v>
      </c>
      <c r="HW202" s="332" t="str">
        <f t="shared" si="115"/>
        <v>o</v>
      </c>
      <c r="HX202" s="332" t="str">
        <f t="shared" si="116"/>
        <v>•</v>
      </c>
      <c r="HY202" s="332" t="str">
        <f t="shared" si="117"/>
        <v>o</v>
      </c>
      <c r="HZ202" s="332" t="str">
        <f t="shared" si="118"/>
        <v>o</v>
      </c>
      <c r="IA202" s="332" t="str">
        <f t="shared" si="119"/>
        <v>•</v>
      </c>
      <c r="IB202" s="338" t="str">
        <f t="shared" si="120"/>
        <v>o</v>
      </c>
      <c r="IC202" s="331" t="str">
        <f t="shared" si="121"/>
        <v>•</v>
      </c>
      <c r="ID202" s="332" t="str">
        <f t="shared" si="122"/>
        <v>o</v>
      </c>
      <c r="IE202" s="332" t="str">
        <f t="shared" si="123"/>
        <v>•</v>
      </c>
      <c r="IF202" s="332" t="str">
        <f t="shared" si="124"/>
        <v>•</v>
      </c>
      <c r="IG202" s="332" t="str">
        <f t="shared" si="125"/>
        <v>o</v>
      </c>
      <c r="IH202" s="332" t="str">
        <f t="shared" si="126"/>
        <v>o</v>
      </c>
      <c r="II202" s="332" t="str">
        <f t="shared" si="127"/>
        <v>•</v>
      </c>
      <c r="IJ202" s="332" t="str">
        <f t="shared" si="128"/>
        <v>•</v>
      </c>
      <c r="IK202" s="332" t="str">
        <f t="shared" si="129"/>
        <v>o</v>
      </c>
      <c r="IL202" s="332" t="str">
        <f t="shared" si="130"/>
        <v>•</v>
      </c>
      <c r="IM202" s="332" t="str">
        <f t="shared" si="131"/>
        <v>•</v>
      </c>
      <c r="IN202" s="332" t="str">
        <f t="shared" si="132"/>
        <v>o</v>
      </c>
      <c r="IO202" s="338" t="str">
        <f t="shared" si="133"/>
        <v>•</v>
      </c>
      <c r="IP202" s="346" t="b">
        <f t="shared" si="134"/>
        <v>0</v>
      </c>
      <c r="IQ202" s="347" t="b">
        <f t="shared" si="135"/>
        <v>0</v>
      </c>
      <c r="IR202" s="347" t="b">
        <f t="shared" si="136"/>
        <v>0</v>
      </c>
      <c r="IS202" s="347" t="b">
        <f t="shared" si="137"/>
        <v>0</v>
      </c>
      <c r="IT202" s="347" t="b">
        <f t="shared" si="138"/>
        <v>0</v>
      </c>
      <c r="IU202" s="347" t="b">
        <f t="shared" si="139"/>
        <v>0</v>
      </c>
      <c r="IV202" s="347" t="b">
        <f t="shared" si="140"/>
        <v>1</v>
      </c>
      <c r="IW202" s="347" t="b">
        <f t="shared" si="141"/>
        <v>0</v>
      </c>
      <c r="IX202" s="347" t="b">
        <f t="shared" si="142"/>
        <v>0</v>
      </c>
      <c r="IY202" s="347" t="b">
        <f t="shared" si="143"/>
        <v>1</v>
      </c>
      <c r="IZ202" s="347" t="b">
        <f t="shared" si="144"/>
        <v>1</v>
      </c>
      <c r="JA202" s="347" t="b">
        <f t="shared" si="145"/>
        <v>0</v>
      </c>
      <c r="JB202" s="353" t="b">
        <f t="shared" si="146"/>
        <v>0</v>
      </c>
      <c r="JC202" s="354" t="str">
        <f t="shared" si="147"/>
        <v/>
      </c>
      <c r="JD202" s="355" t="str">
        <f t="shared" si="148"/>
        <v/>
      </c>
      <c r="JE202" s="355" t="str">
        <f t="shared" si="149"/>
        <v/>
      </c>
      <c r="JF202" s="355" t="str">
        <f t="shared" si="150"/>
        <v/>
      </c>
      <c r="JG202" s="355" t="str">
        <f t="shared" si="151"/>
        <v/>
      </c>
      <c r="JH202" s="355" t="str">
        <f t="shared" si="152"/>
        <v/>
      </c>
      <c r="JI202" s="355" t="str">
        <f t="shared" si="153"/>
        <v>Ma, </v>
      </c>
      <c r="JJ202" s="355" t="str">
        <f t="shared" si="154"/>
        <v/>
      </c>
      <c r="JK202" s="355" t="str">
        <f t="shared" si="155"/>
        <v/>
      </c>
      <c r="JL202" s="355" t="str">
        <f t="shared" si="156"/>
        <v>Dha, </v>
      </c>
      <c r="JM202" s="355" t="str">
        <f t="shared" si="157"/>
        <v>ni, </v>
      </c>
      <c r="JN202" s="355" t="str">
        <f t="shared" si="158"/>
        <v/>
      </c>
      <c r="JO202" s="359" t="str">
        <f t="shared" si="159"/>
        <v/>
      </c>
      <c r="JP202" s="346" t="b">
        <f t="shared" si="160"/>
        <v>0</v>
      </c>
      <c r="JQ202" s="347" t="b">
        <f t="shared" si="161"/>
        <v>0</v>
      </c>
      <c r="JR202" s="347" t="b">
        <f t="shared" si="162"/>
        <v>0</v>
      </c>
      <c r="JS202" s="347" t="b">
        <f t="shared" si="163"/>
        <v>0</v>
      </c>
      <c r="JT202" s="347" t="b">
        <f t="shared" si="164"/>
        <v>0</v>
      </c>
      <c r="JU202" s="347" t="b">
        <f t="shared" si="165"/>
        <v>0</v>
      </c>
      <c r="JV202" s="347" t="b">
        <f t="shared" si="166"/>
        <v>1</v>
      </c>
      <c r="JW202" s="347" t="b">
        <f t="shared" si="167"/>
        <v>0</v>
      </c>
      <c r="JX202" s="347" t="b">
        <f t="shared" si="168"/>
        <v>0</v>
      </c>
      <c r="JY202" s="347" t="b">
        <f t="shared" si="169"/>
        <v>0</v>
      </c>
      <c r="JZ202" s="347" t="b">
        <f t="shared" si="170"/>
        <v>0</v>
      </c>
      <c r="KA202" s="347" t="b">
        <f t="shared" si="171"/>
        <v>0</v>
      </c>
      <c r="KB202" s="365" t="b">
        <f t="shared" si="172"/>
        <v>0</v>
      </c>
      <c r="KC202" s="354" t="str">
        <f t="shared" si="173"/>
        <v/>
      </c>
      <c r="KD202" s="355" t="str">
        <f t="shared" si="174"/>
        <v/>
      </c>
      <c r="KE202" s="355" t="str">
        <f t="shared" si="175"/>
        <v/>
      </c>
      <c r="KF202" s="355" t="str">
        <f t="shared" si="176"/>
        <v/>
      </c>
      <c r="KG202" s="355" t="str">
        <f t="shared" si="177"/>
        <v/>
      </c>
      <c r="KH202" s="355" t="str">
        <f t="shared" si="178"/>
        <v/>
      </c>
      <c r="KI202" s="355" t="str">
        <f t="shared" si="179"/>
        <v>Ma, </v>
      </c>
      <c r="KJ202" s="355" t="str">
        <f t="shared" si="180"/>
        <v/>
      </c>
      <c r="KK202" s="355" t="str">
        <f t="shared" si="181"/>
        <v/>
      </c>
      <c r="KL202" s="355" t="str">
        <f t="shared" si="182"/>
        <v/>
      </c>
      <c r="KM202" s="355" t="str">
        <f t="shared" si="183"/>
        <v/>
      </c>
      <c r="KN202" s="355" t="str">
        <f t="shared" si="184"/>
        <v/>
      </c>
      <c r="KO202" s="359"/>
      <c r="KP202" s="378"/>
      <c r="KQ202" s="379" t="s">
        <v>9</v>
      </c>
      <c r="KR202" s="380" t="s">
        <v>1403</v>
      </c>
      <c r="KS202" s="381" t="s">
        <v>9</v>
      </c>
      <c r="KT202" s="382">
        <f t="shared" si="186"/>
        <v>0</v>
      </c>
      <c r="KU202" s="383">
        <f t="shared" si="187"/>
        <v>0</v>
      </c>
      <c r="KV202" s="381" t="str">
        <f t="shared" si="205"/>
        <v>S-n-D-P-M-g-R-S</v>
      </c>
      <c r="KW202" s="382">
        <f t="shared" si="189"/>
        <v>7</v>
      </c>
      <c r="KX202" s="384">
        <f t="shared" si="190"/>
        <v>7</v>
      </c>
      <c r="KY202" s="382">
        <f t="shared" ref="KY202:KZ202" si="619">KW202-KT202</f>
        <v>7</v>
      </c>
      <c r="KZ202" s="369">
        <f t="shared" si="619"/>
        <v>7</v>
      </c>
      <c r="LA202" s="385" t="str">
        <f t="shared" si="192"/>
        <v>-</v>
      </c>
      <c r="LB202" s="340" t="str">
        <f>IFERROR(__xludf.DUMMYFUNCTION("JOIN("""",ArrayFormula(MID(KS202,LEN(KS202)-SEQUENCE(1,LEN(KS202))+1,1)))"),"S")</f>
        <v>S</v>
      </c>
      <c r="LC202" s="373" t="str">
        <f>IFERROR(__xludf.DUMMYFUNCTION("JOIN("""",ArrayFormula(MID(KV202,LEN(KV202)-SEQUENCE(1,LEN(KV202))+1,1)))"),"S-R-g-M-P-D-n-S")</f>
        <v>S-R-g-M-P-D-n-S</v>
      </c>
      <c r="LD202" s="373" t="str">
        <f t="shared" si="193"/>
        <v>S</v>
      </c>
      <c r="LE202" s="339" t="str">
        <f t="shared" si="194"/>
        <v>SRgMPDnS</v>
      </c>
      <c r="LF202" s="386" t="str">
        <f>IFERROR(__xludf.DUMMYFUNCTION("SUBSTITUTE(SUBSTITUTE(CONCATENATE(JOIN("""",LH202:LT202)),""1"",""""),""2"","""")"),"SRgMPDnS")</f>
        <v>SRgMPDnS</v>
      </c>
      <c r="LG202" s="369" t="str">
        <f t="shared" si="195"/>
        <v>✔</v>
      </c>
      <c r="LH202" s="387" t="str">
        <f>IFERROR(__xludf.DUMMYFUNCTION("IF(REGEXMATCH(LD202, ""S""), ""S"",IF(REGEXMATCH(LE202, ""S""), ""S"",""""))"),"S")</f>
        <v>S</v>
      </c>
      <c r="LI202" s="299" t="str">
        <f>IFERROR(__xludf.DUMMYFUNCTION("IF(REGEXMATCH(LD202, ""r""), ""r1"",IF(REGEXMATCH(LE202, ""r""), ""r2"",""""))"),"")</f>
        <v/>
      </c>
      <c r="LJ202" s="299" t="str">
        <f>IFERROR(__xludf.DUMMYFUNCTION("IF(REGEXMATCH(LD202, ""R""), ""R1"",IF(REGEXMATCH(LE202, ""R""), ""R2"",""""))"),"R2")</f>
        <v>R2</v>
      </c>
      <c r="LK202" s="299" t="str">
        <f>IFERROR(__xludf.DUMMYFUNCTION("IF(REGEXMATCH(LD202, ""g""), ""g1"",IF(REGEXMATCH(LE202, ""g""), ""g2"",""""))"),"g2")</f>
        <v>g2</v>
      </c>
      <c r="LL202" s="299" t="str">
        <f>IFERROR(__xludf.DUMMYFUNCTION("IF(REGEXMATCH(LD202, ""G""), ""G1"",IF(REGEXMATCH(LE202, ""G""), ""G2"",""""))"),"")</f>
        <v/>
      </c>
      <c r="LM202" s="299" t="str">
        <f>IFERROR(__xludf.DUMMYFUNCTION("IF(REGEXMATCH(LD202, ""m""), ""m1"",IF(REGEXMATCH(LE202, ""m""), ""m2"",""""))"),"")</f>
        <v/>
      </c>
      <c r="LN202" s="299" t="str">
        <f>IFERROR(__xludf.DUMMYFUNCTION("IF(REGEXMATCH(LD202, ""M""), ""M1"",IF(REGEXMATCH(LE202, ""M""), ""M2"",""""))"),"M2")</f>
        <v>M2</v>
      </c>
      <c r="LO202" s="299" t="str">
        <f>IFERROR(__xludf.DUMMYFUNCTION("IF(REGEXMATCH(LD202, ""P""), ""P1"",IF(REGEXMATCH(LE202, ""P""), ""P2"",""""))"),"P2")</f>
        <v>P2</v>
      </c>
      <c r="LP202" s="299" t="str">
        <f>IFERROR(__xludf.DUMMYFUNCTION("IF(REGEXMATCH(LD202, ""d""), ""d1"",IF(REGEXMATCH(LE202, ""d""), ""d2"",""""))"),"")</f>
        <v/>
      </c>
      <c r="LQ202" s="299" t="str">
        <f>IFERROR(__xludf.DUMMYFUNCTION("IF(REGEXMATCH(LD202, ""D""), ""D1"",IF(REGEXMATCH(LE202, ""D""), ""D2"",""""))"),"D2")</f>
        <v>D2</v>
      </c>
      <c r="LR202" s="299" t="str">
        <f>IFERROR(__xludf.DUMMYFUNCTION("IF(REGEXMATCH(LD202, ""n""), ""n1"",IF(REGEXMATCH(LE202, ""n""), ""n2"",""""))"),"n2")</f>
        <v>n2</v>
      </c>
      <c r="LS202" s="299" t="str">
        <f>IFERROR(__xludf.DUMMYFUNCTION("IF(REGEXMATCH(LD202, ""N""), ""N1"",IF(REGEXMATCH(LE202, ""N""), ""N2"",""""))"),"")</f>
        <v/>
      </c>
      <c r="LT202" s="388" t="str">
        <f>IFERROR(__xludf.DUMMYFUNCTION("IF(REGEXMATCH(LD202, ""S""), ""S"",IF(REGEXMATCH(LE202, ""S""), ""S"",""""))"),"S")</f>
        <v>S</v>
      </c>
      <c r="LU202" s="389">
        <f t="shared" si="196"/>
        <v>-13</v>
      </c>
      <c r="LV202" s="378"/>
      <c r="LW202" s="369"/>
      <c r="LX202" s="369"/>
    </row>
    <row r="203" ht="18.0" customHeight="1">
      <c r="A203" s="298" t="s">
        <v>926</v>
      </c>
      <c r="B203" s="222" t="s">
        <v>656</v>
      </c>
      <c r="C203" s="233" t="str">
        <f t="shared" si="7"/>
        <v>SgMPnS</v>
      </c>
      <c r="D203" s="234" t="str">
        <f>IFERROR(__xludf.DUMMYFUNCTION("IF(REGEXMATCH(C203, ""S""), ""S"","""")"),"S")</f>
        <v>S</v>
      </c>
      <c r="E203" s="236" t="str">
        <f>IFERROR(__xludf.DUMMYFUNCTION("IF(REGEXMATCH(C203, ""r""), ""r"","""")"),"")</f>
        <v/>
      </c>
      <c r="F203" s="237" t="str">
        <f>IFERROR(__xludf.DUMMYFUNCTION("IF(REGEXMATCH(C203, ""R""), ""R"","""")"),"")</f>
        <v/>
      </c>
      <c r="G203" s="237" t="str">
        <f>IFERROR(__xludf.DUMMYFUNCTION("IF(REGEXMATCH(C203, ""g""), ""g"","""")"),"g")</f>
        <v>g</v>
      </c>
      <c r="H203" s="236" t="str">
        <f>IFERROR(__xludf.DUMMYFUNCTION("IF(REGEXMATCH(C203, ""G""), ""G"","""")"),"")</f>
        <v/>
      </c>
      <c r="I203" s="236" t="str">
        <f>IFERROR(__xludf.DUMMYFUNCTION("IF(REGEXMATCH(C203, ""m""), ""m"","""")"),"")</f>
        <v/>
      </c>
      <c r="J203" s="237" t="str">
        <f>IFERROR(__xludf.DUMMYFUNCTION("IF(REGEXMATCH(C203, ""M""), ""M"","""")"),"M")</f>
        <v>M</v>
      </c>
      <c r="K203" s="236" t="str">
        <f>IFERROR(__xludf.DUMMYFUNCTION("IF(REGEXMATCH(C203, ""P""), ""P"","""")"),"P")</f>
        <v>P</v>
      </c>
      <c r="L203" s="237" t="str">
        <f>IFERROR(__xludf.DUMMYFUNCTION("IF(REGEXMATCH(C203, ""d""), ""d"","""")"),"")</f>
        <v/>
      </c>
      <c r="M203" s="236" t="str">
        <f>IFERROR(__xludf.DUMMYFUNCTION("IF(REGEXMATCH(C203, ""D""), ""D"","""")"),"")</f>
        <v/>
      </c>
      <c r="N203" s="236" t="str">
        <f>IFERROR(__xludf.DUMMYFUNCTION("IF(REGEXMATCH(C203, ""n""), ""n"","""")"),"n")</f>
        <v>n</v>
      </c>
      <c r="O203" s="237" t="str">
        <f>IFERROR(__xludf.DUMMYFUNCTION("IF(REGEXMATCH(C203, ""N""), ""N"","""")"),"")</f>
        <v/>
      </c>
      <c r="P203" s="238" t="str">
        <f>IFERROR(__xludf.DUMMYFUNCTION("IF(REGEXMATCH(C203, ""S""), ""S"","""")"),"S")</f>
        <v>S</v>
      </c>
      <c r="Q203" s="239" t="str">
        <f>IFERROR(__xludf.DUMMYFUNCTION("SUBSTITUTE(CONCATENATE(JOIN(""-"",D203:J203)),""-"","""")"),"SgM")</f>
        <v>SgM</v>
      </c>
      <c r="R203" s="229" t="str">
        <f>IFERROR(__xludf.DUMMYFUNCTION("SUBSTITUTE(CONCATENATE(JOIN(""-"",K203:P203)),""-"","""")"),"PnS")</f>
        <v>PnS</v>
      </c>
      <c r="S203" s="282" t="str">
        <f t="shared" si="8"/>
        <v>S-G-M</v>
      </c>
      <c r="T203" s="282" t="str">
        <f t="shared" si="9"/>
        <v>P-N-S</v>
      </c>
      <c r="U203" s="237" t="str">
        <f>IFERROR(__xludf.DUMMYFUNCTION("SUBSTITUTE(JOIN(""-"",S203,T203),""--"",""-"")"),"S-G-M-P-N-S")</f>
        <v>S-G-M-P-N-S</v>
      </c>
      <c r="V203" s="309" t="str">
        <f t="shared" si="10"/>
        <v>gMn</v>
      </c>
      <c r="W203" s="244" t="str">
        <f>IFERROR(__xludf.DUMMYFUNCTION("IF(REGEXMATCH(C203, ""S""), ""0"","""")"),"0")</f>
        <v>0</v>
      </c>
      <c r="X203" s="245" t="str">
        <f>IFERROR(__xludf.DUMMYFUNCTION("IF(REGEXMATCH(C203, ""r""), ""1"","""")"),"")</f>
        <v/>
      </c>
      <c r="Y203" s="246" t="str">
        <f>IFERROR(__xludf.DUMMYFUNCTION("IF(REGEXMATCH(C203, ""R""), ""2"","""")"),"")</f>
        <v/>
      </c>
      <c r="Z203" s="246" t="str">
        <f>IFERROR(__xludf.DUMMYFUNCTION("IF(REGEXMATCH(C203, ""g""), ""3"","""")"),"3")</f>
        <v>3</v>
      </c>
      <c r="AA203" s="245" t="str">
        <f>IFERROR(__xludf.DUMMYFUNCTION("IF(REGEXMATCH(C203, ""G""), ""4"","""")"),"")</f>
        <v/>
      </c>
      <c r="AB203" s="245" t="str">
        <f>IFERROR(__xludf.DUMMYFUNCTION("IF(REGEXMATCH(C203, ""m""), ""5"","""")"),"")</f>
        <v/>
      </c>
      <c r="AC203" s="246" t="str">
        <f>IFERROR(__xludf.DUMMYFUNCTION("IF(REGEXMATCH(C203, ""M""), ""6"","""")"),"6")</f>
        <v>6</v>
      </c>
      <c r="AD203" s="245" t="str">
        <f>IFERROR(__xludf.DUMMYFUNCTION("IF(REGEXMATCH(C203, ""P""), ""7"","""")"),"7")</f>
        <v>7</v>
      </c>
      <c r="AE203" s="246" t="str">
        <f>IFERROR(__xludf.DUMMYFUNCTION("IF(REGEXMATCH(C203, ""d""), ""8"","""")"),"")</f>
        <v/>
      </c>
      <c r="AF203" s="245" t="str">
        <f>IFERROR(__xludf.DUMMYFUNCTION("IF(REGEXMATCH(C203, ""D""), ""9"","""")"),"")</f>
        <v/>
      </c>
      <c r="AG203" s="245" t="str">
        <f>IFERROR(__xludf.DUMMYFUNCTION("IF(REGEXMATCH(C203, ""n""), ""10"","""")"),"10")</f>
        <v>10</v>
      </c>
      <c r="AH203" s="246" t="str">
        <f>IFERROR(__xludf.DUMMYFUNCTION("IF(REGEXMATCH(C203, ""N""), ""11"","""")"),"")</f>
        <v/>
      </c>
      <c r="AI203" s="249" t="str">
        <f>IFERROR(__xludf.DUMMYFUNCTION("IF(REGEXMATCH(C203, ""S""), ""0"","""")"),"0")</f>
        <v>0</v>
      </c>
      <c r="AJ203" s="313" t="str">
        <f t="shared" si="11"/>
        <v>T</v>
      </c>
      <c r="AK203" s="313" t="str">
        <f t="shared" si="12"/>
        <v>-</v>
      </c>
      <c r="AL203" s="313" t="str">
        <f t="shared" si="13"/>
        <v>-</v>
      </c>
      <c r="AM203" s="313" t="str">
        <f t="shared" si="14"/>
        <v>-</v>
      </c>
      <c r="AN203" s="313" t="str">
        <f t="shared" si="15"/>
        <v>-</v>
      </c>
      <c r="AO203" s="314" t="str">
        <f t="shared" si="16"/>
        <v>-</v>
      </c>
      <c r="AP203" s="316">
        <f t="shared" si="17"/>
        <v>1</v>
      </c>
      <c r="AQ203" s="319" t="str">
        <f t="shared" si="18"/>
        <v>#REF!</v>
      </c>
      <c r="AR203" s="320">
        <f t="shared" si="19"/>
        <v>0</v>
      </c>
      <c r="AS203" s="250" t="str">
        <f>IFERROR(__xludf.DUMMYFUNCTION("SUBSTITUTE(SUBSTITUTE(CONCATENATE(JOIN("""",FP203:GA203)),""|"",""x""),""-"",""o"")"),"xooxooxxooxo")</f>
        <v>xooxooxxooxo</v>
      </c>
      <c r="AT203" s="323" t="str">
        <f>IFERROR(__xludf.DUMMYFUNCTION("JOIN("""",AS203,AS203)"),"xooxooxxooxoxooxooxxooxo")</f>
        <v>xooxooxxooxoxooxooxxooxo</v>
      </c>
      <c r="AU203" s="256" t="str">
        <f>IFERROR(__xludf.DUMMYFUNCTION("JOIN("""",ArrayFormula(MID(AS203,LEN(AS203)-SEQUENCE(1,LEN(AS203))+1,1)))"),"oxooxxooxoox")</f>
        <v>oxooxxooxoox</v>
      </c>
      <c r="AV203" s="256" t="str">
        <f>IFERROR(__xludf.DUMMYFUNCTION("LEFT(CONCATENATE(""x"",JOIN("""",ArrayFormula(MID(AS203,LEN(AS203)-SEQUENCE(1,LEN(AS203))+1,1)))),12)"),"xoxooxxooxoo")</f>
        <v>xoxooxxooxoo</v>
      </c>
      <c r="AW203" s="327" t="str">
        <f>IFERROR(__xludf.DUMMYFUNCTION("JOIN("""",AU203,AU203)"),"oxooxxooxooxoxooxxooxoox")</f>
        <v>oxooxxooxooxoxooxxooxoox</v>
      </c>
      <c r="AX203" s="239" t="str">
        <f>IFERROR(__xludf.DUMMYFUNCTION("IF(REGEXMATCH(AW203,AS203),""✔"",""-"")"),"-")</f>
        <v>-</v>
      </c>
      <c r="AY203" s="330" t="str">
        <f t="shared" si="20"/>
        <v>-</v>
      </c>
      <c r="AZ203" s="260" t="str">
        <f t="shared" si="21"/>
        <v>#REF!</v>
      </c>
      <c r="BA203" s="333" t="str">
        <f t="shared" si="22"/>
        <v>xooxoox</v>
      </c>
      <c r="BB203" s="334" t="str">
        <f t="shared" si="23"/>
        <v>xooxox</v>
      </c>
      <c r="BC203" s="335" t="str">
        <f t="shared" si="236"/>
        <v>-</v>
      </c>
      <c r="BD203" s="336" t="str">
        <f t="shared" si="25"/>
        <v>Madhukauns: 'xooxoox' + 'xooxox'</v>
      </c>
      <c r="BE203" s="337">
        <f>IFERROR(__xludf.DUMMYFUNCTION("COUNTUNIQUE(FILTER(AT:AT,REGEXMATCH(AT:AT,AS203)))-1"),1.0)</f>
        <v>1</v>
      </c>
      <c r="BF203" s="261" t="str">
        <f>IFERROR(__xludf.DUMMYFUNCTION("IF(BI203=0,""(n/a)"",IF(BJ203=2,""(PAIR)"",IF(REGEXMATCH(AT203,""xoxoxxoxoxox""),""Bilawal"",IF(REGEXMATCH(AT203,""xoxoxooxoxoo""),""Bhupali"",IF(REGEXMATCH(AT203,""xoxoxxoxxoxo""),""Charukeshi"",IF(REGEXMATCH(AT203,""xoxoooxxoxxo""),""Kameshwari"",IF(REG"&amp;"EXMATCH(AT203,""xoxoxooxoxox""),""Shankara"",IF(REGEXMATCH(AT203,""xxooxoxxxoox""),""Basant"",IF(REGEXMATCH(AT203,""xoxoxxxxoxox""),""Bihag"",IF(REGEXMATCH(AT203,""xoxxxxoxoxxx""),""Pilu"",IF(REGEXMATCH(AT203,""xoxxoxoxxoox""),""Kirwani"",IF(REGEXMATCH(AT"&amp;"203,""xoxxoxoxoxxx""),""Mk.Malhar"",IF(REGEXMATCH(AT203,""xxooxxoxxoox""),""Bhairav"",IF(REGEXMATCH(AT203,""xxoxooxxxoox""),""Todi"",IF(REGEXMATCH(AT203,""xxooxoxooxox""),""Marwa"",IF(REGEXMATCH(AT203,""xxoooxoxxooo""),""Gunkali"",IF(REGEXMATCH(AT203,""xo"&amp;"xoxxoxxoox""),""Nat Bhairav"",IF(REGEXMATCH(AT203,""xoxxoooxoxoo""),""Shivranjani"",IF(REGEXMATCH(AT203,""xooxxxoxooxo""),""Jog"",IF(REGEXMATCH(AT203,""xxooxoxoxoox""),""Hemshri"",IF(REGEXMATCH(AT203,""xoooxooxoxxo""),""Kalavati"",IF(REGEXMATCH(AT203,""xx"&amp;"oxoxxoxoox""),""Kedar"",IF(REGEXMATCH(AT203,""xoxxxxoxooxx""),""Gara"",IF(REGEXMATCH(AT203,""xooxoxooxoox""),""Chandrakauns"",IF(REGEXMATCH(AT203,""xoxxxxoxxxox""),""Mand"",IF(REGEXMATCH(AT203,""xoxxxxoxoxox""),""Hanskinkini"",IF(REGEXMATCH(AT203,""xxooxx"&amp;"oxooxo""),""Lilavati"",IF(REGEXMATCH(AT203,""xooxoxoooxox""),""Rajeshwari"",IF(REGEXMATCH(AT203,""xoooxxoxoxxx""),""Khokar"",IF(REGEXMATCH(AT203,""xxooxoxxxxox""),""Maligoura"",""-""))))))))))))))))))))))))))))))"),"Chandrakauns")</f>
        <v>Chandrakauns</v>
      </c>
      <c r="BG203" s="239" t="str">
        <f t="shared" si="26"/>
        <v>#REF!</v>
      </c>
      <c r="BH203" s="239">
        <f>IFERROR(__xludf.DUMMYFUNCTION("COUNTUNIQUE(FE203:FO203)-1"),4.0)</f>
        <v>4</v>
      </c>
      <c r="BI203" s="239">
        <f>IFERROR(__xludf.DUMMYFUNCTION("COUNTUNIQUE(FILTER(AT:AT,REGEXMATCH(AT:AT,AS203)))-1"),1.0)</f>
        <v>1</v>
      </c>
      <c r="BJ203" s="239">
        <f>IFERROR(__xludf.DUMMYFUNCTION("COUNTA(FILTER(AT:AT,REGEXMATCH(AT:AT,AS203)))"),3.0)</f>
        <v>3</v>
      </c>
      <c r="BK203" s="341">
        <f>IFERROR(__xludf.DUMMYFUNCTION("COUNTA(FILTER(AT:AT,REGEXMATCH(AT:AT,AS203)))-AR203"),3.0)</f>
        <v>3</v>
      </c>
      <c r="BL203" s="276" t="str">
        <f>IFERROR(__xludf.DUMMYFUNCTION("IF(AS203=""oooooooooooo"",""-"",IF(REGEXMATCH(AT203,""xx""), ""Hemi."", ""Anhemi.""))"),"Hemi.")</f>
        <v>Hemi.</v>
      </c>
      <c r="BM203" s="282" t="str">
        <f>IFERROR(__xludf.DUMMYFUNCTION("IF(AS203=""oooooooooooo"",""-"",IF(REGEXMATCH(AT203,""xxx""), ""Cohem."", ""-""))"),"-")</f>
        <v>-</v>
      </c>
      <c r="BN203" s="282" t="str">
        <f>IFERROR(__xludf.DUMMYFUNCTION("IF(AS203=""oooooooooooo"",""-"",IF(REGEXMATCH(AT203,""xxxx""), ""Co-Co."", ""-""))"),"-")</f>
        <v>-</v>
      </c>
      <c r="BO203" s="342" t="str">
        <f>IFERROR(__xludf.DUMMYFUNCTION("IF(AS203=""oooooooooooo"",""-"",IF(REGEXMATCH(AT203,""xxxxx""), ""CCC."", ""-""))"),"-")</f>
        <v>-</v>
      </c>
      <c r="BP203" s="344" t="str">
        <f t="shared" si="27"/>
        <v>-</v>
      </c>
      <c r="BQ203" s="282" t="str">
        <f>IFERROR(__xludf.DUMMYFUNCTION("IF(REGEXMATCH(JOIN(""-"",EU203:FD203),""TRUE""),""✔"",""-"")"),"-")</f>
        <v>-</v>
      </c>
      <c r="BR203" s="225">
        <f t="shared" si="28"/>
        <v>0</v>
      </c>
      <c r="BS203" s="345" t="str">
        <f>IFERROR(__xludf.DUMMYFUNCTION("SUBSTITUTE(SUBSTITUTE(SUBSTITUTE(SUBSTITUTE(CONCATENATE(JOIN(""-"",GC203:GO203)),""--"",""-""),""--"",""-""),""--"",""-""),""--"",""-"")"),"1-b3-#4-5-b7-8")</f>
        <v>1-b3-#4-5-b7-8</v>
      </c>
      <c r="BT203" s="299" t="str">
        <f>IFERROR(__xludf.DUMMYFUNCTION("SUBSTITUTE(SUBSTITUTE(SUBSTITUTE(SUBSTITUTE(CONCATENATE(JOIN(""-"",GP203:HB203)),""--"",""-""),""--"",""-""),""--"",""-""),""--"",""-"")"),"S-G2-M2-P-N2-S")</f>
        <v>S-G2-M2-P-N2-S</v>
      </c>
      <c r="BU203" s="348" t="str">
        <f t="shared" si="29"/>
        <v>C-Eb-F#-G-Bb-C</v>
      </c>
      <c r="BV203" s="349" t="str">
        <f t="shared" si="30"/>
        <v>SrRGmdDNS</v>
      </c>
      <c r="BW203" s="350">
        <f t="shared" si="31"/>
        <v>0</v>
      </c>
      <c r="BX203" s="351">
        <f t="shared" si="32"/>
        <v>2</v>
      </c>
      <c r="BY203" s="392"/>
      <c r="BZ203" s="309" t="str">
        <f>IFERROR(__xludf.DUMMYFUNCTION("IF(REGEXMATCH(C203, ""S""), ""x"",""x"")"),"x")</f>
        <v>x</v>
      </c>
      <c r="CA203" s="245" t="str">
        <f>IFERROR(__xludf.DUMMYFUNCTION("IF(REGEXMATCH(C203, ""r""), ""o"",""x"")"),"x")</f>
        <v>x</v>
      </c>
      <c r="CB203" s="246" t="str">
        <f>IFERROR(__xludf.DUMMYFUNCTION("IF(REGEXMATCH(C203, ""R""), ""o"",""x"")"),"x")</f>
        <v>x</v>
      </c>
      <c r="CC203" s="246" t="str">
        <f>IFERROR(__xludf.DUMMYFUNCTION("IF(REGEXMATCH(C203, ""g""), ""o"",""x"")"),"o")</f>
        <v>o</v>
      </c>
      <c r="CD203" s="245" t="str">
        <f>IFERROR(__xludf.DUMMYFUNCTION("IF(REGEXMATCH(C203, ""G""), ""o"",""x"")"),"x")</f>
        <v>x</v>
      </c>
      <c r="CE203" s="245" t="str">
        <f>IFERROR(__xludf.DUMMYFUNCTION("IF(REGEXMATCH(C203, ""m""), ""o"",""x"")"),"x")</f>
        <v>x</v>
      </c>
      <c r="CF203" s="246" t="str">
        <f>IFERROR(__xludf.DUMMYFUNCTION("IF(REGEXMATCH(C203, ""M""), ""o"",""x"")"),"o")</f>
        <v>o</v>
      </c>
      <c r="CG203" s="245" t="str">
        <f>IFERROR(__xludf.DUMMYFUNCTION("IF(REGEXMATCH(C203, ""P""), ""o"",""x"")"),"o")</f>
        <v>o</v>
      </c>
      <c r="CH203" s="246" t="str">
        <f>IFERROR(__xludf.DUMMYFUNCTION("IF(REGEXMATCH(C203, ""d""), ""o"",""x"")"),"x")</f>
        <v>x</v>
      </c>
      <c r="CI203" s="245" t="str">
        <f>IFERROR(__xludf.DUMMYFUNCTION("IF(REGEXMATCH(C203, ""D""), ""o"",""x"")"),"x")</f>
        <v>x</v>
      </c>
      <c r="CJ203" s="245" t="str">
        <f>IFERROR(__xludf.DUMMYFUNCTION("IF(REGEXMATCH(C203, ""n""), ""o"",""x"")"),"o")</f>
        <v>o</v>
      </c>
      <c r="CK203" s="245" t="str">
        <f>IFERROR(__xludf.DUMMYFUNCTION("IF(REGEXMATCH(C203, ""N""), ""o"",""x"")"),"x")</f>
        <v>x</v>
      </c>
      <c r="CL203" s="356" t="str">
        <f>IFERROR(__xludf.DUMMYFUNCTION("IF(REGEXMATCH(C203, ""S""), ""x"",""x"")"),"x")</f>
        <v>x</v>
      </c>
      <c r="CM203" s="357" t="str">
        <f t="shared" si="33"/>
        <v>xxxoxxooxxox</v>
      </c>
      <c r="CN203" s="358">
        <f t="shared" si="34"/>
        <v>0</v>
      </c>
      <c r="CO203" s="246" t="str">
        <f>IFERROR(__xludf.DUMMYFUNCTION("IF(REGEXMATCH($C203, ""S""), ""S"",""S"")"),"S")</f>
        <v>S</v>
      </c>
      <c r="CP203" s="246" t="str">
        <f>IFERROR(__xludf.DUMMYFUNCTION("IF(REGEXMATCH($C203, ""r""), """",""r"")"),"r")</f>
        <v>r</v>
      </c>
      <c r="CQ203" s="246" t="str">
        <f>IFERROR(__xludf.DUMMYFUNCTION("IF(REGEXMATCH($C203, ""R""), """",""R"")"),"R")</f>
        <v>R</v>
      </c>
      <c r="CR203" s="246" t="str">
        <f>IFERROR(__xludf.DUMMYFUNCTION("IF(REGEXMATCH($C203, ""g""), """",""g"")"),"")</f>
        <v/>
      </c>
      <c r="CS203" s="246" t="str">
        <f>IFERROR(__xludf.DUMMYFUNCTION("IF(REGEXMATCH($C203, ""G""), """",""G"")"),"G")</f>
        <v>G</v>
      </c>
      <c r="CT203" s="246" t="str">
        <f>IFERROR(__xludf.DUMMYFUNCTION("IF(REGEXMATCH($C203, ""m""), """",""m"")"),"m")</f>
        <v>m</v>
      </c>
      <c r="CU203" s="246" t="str">
        <f>IFERROR(__xludf.DUMMYFUNCTION("IF(REGEXMATCH($C203, ""M""), """",""M"")"),"")</f>
        <v/>
      </c>
      <c r="CV203" s="246" t="str">
        <f>IFERROR(__xludf.DUMMYFUNCTION("IF(REGEXMATCH($C203, ""P""), """",""P"")"),"")</f>
        <v/>
      </c>
      <c r="CW203" s="246" t="str">
        <f>IFERROR(__xludf.DUMMYFUNCTION("IF(REGEXMATCH($C203, ""d""), """",""d"")"),"d")</f>
        <v>d</v>
      </c>
      <c r="CX203" s="246" t="str">
        <f>IFERROR(__xludf.DUMMYFUNCTION("IF(REGEXMATCH($C203, ""D""), """",""D"")"),"D")</f>
        <v>D</v>
      </c>
      <c r="CY203" s="246" t="str">
        <f>IFERROR(__xludf.DUMMYFUNCTION("IF(REGEXMATCH($C203, ""n""), """",""n"")"),"")</f>
        <v/>
      </c>
      <c r="CZ203" s="246" t="str">
        <f>IFERROR(__xludf.DUMMYFUNCTION("IF(REGEXMATCH($C203, ""N""), """",""N"")"),"N")</f>
        <v>N</v>
      </c>
      <c r="DA203" s="246" t="str">
        <f>IFERROR(__xludf.DUMMYFUNCTION("IF(REGEXMATCH($C203, ""S""), ""S"",""S"")"),"S")</f>
        <v>S</v>
      </c>
      <c r="DB203" s="362" t="str">
        <f>IFERROR(__xludf.DUMMYFUNCTION("JOIN("""",CO203:DA203,"""","""")"),"SrRGmdDNS")</f>
        <v>SrRGmdDNS</v>
      </c>
      <c r="DC203" s="363"/>
      <c r="DD203" s="301" t="str">
        <f t="shared" si="35"/>
        <v>#REF!</v>
      </c>
      <c r="DE203" s="302" t="str">
        <f t="shared" si="36"/>
        <v>#REF!</v>
      </c>
      <c r="DF203" s="301" t="str">
        <f t="shared" ref="DF203:DG203" si="620">SUBSTITUTE(S203,"-","")</f>
        <v>SGM</v>
      </c>
      <c r="DG203" s="301" t="str">
        <f t="shared" si="620"/>
        <v>PNS</v>
      </c>
      <c r="DH203" s="302" t="str">
        <f t="shared" si="38"/>
        <v>Chandrakauns</v>
      </c>
      <c r="DI203" s="301" t="str">
        <f t="shared" si="39"/>
        <v>Hemi.</v>
      </c>
      <c r="DJ203" s="364" t="str">
        <f t="shared" si="40"/>
        <v>-</v>
      </c>
      <c r="DK203" s="306" t="str">
        <f t="shared" si="41"/>
        <v>-</v>
      </c>
      <c r="DL203" s="366" t="str">
        <f t="shared" si="42"/>
        <v>-</v>
      </c>
      <c r="DM203" s="308" t="str">
        <f t="shared" si="43"/>
        <v>✔</v>
      </c>
      <c r="DN203" s="306" t="str">
        <f t="shared" si="44"/>
        <v>-</v>
      </c>
      <c r="DO203" s="306" t="str">
        <f t="shared" si="45"/>
        <v>✔</v>
      </c>
      <c r="DP203" s="367" t="str">
        <f t="shared" si="46"/>
        <v>✔</v>
      </c>
      <c r="DQ203" s="310" t="str">
        <f t="shared" si="47"/>
        <v>-</v>
      </c>
      <c r="DR203" s="310" t="str">
        <f t="shared" si="48"/>
        <v>-</v>
      </c>
      <c r="DS203" s="310" t="str">
        <f t="shared" si="49"/>
        <v>-</v>
      </c>
      <c r="DT203" s="310" t="str">
        <f t="shared" si="50"/>
        <v>-</v>
      </c>
      <c r="DU203" s="370" t="str">
        <f t="shared" si="51"/>
        <v>-</v>
      </c>
      <c r="DV203" s="306" t="str">
        <f t="shared" si="52"/>
        <v>✔</v>
      </c>
      <c r="DW203" s="306" t="str">
        <f t="shared" si="53"/>
        <v>-</v>
      </c>
      <c r="DX203" s="306" t="str">
        <f t="shared" si="54"/>
        <v>-</v>
      </c>
      <c r="DY203" s="306" t="str">
        <f t="shared" si="55"/>
        <v>-</v>
      </c>
      <c r="DZ203" s="306" t="str">
        <f t="shared" si="56"/>
        <v>✔</v>
      </c>
      <c r="EA203" s="367" t="str">
        <f t="shared" si="57"/>
        <v>-</v>
      </c>
      <c r="EB203" s="310" t="str">
        <f>IFERROR(__xludf.DUMMYFUNCTION("IF(REGEXMATCH(AW203,AS203),""✔"",""-"")"),"-")</f>
        <v>-</v>
      </c>
      <c r="EC203" s="310" t="str">
        <f t="shared" si="58"/>
        <v>#REF!</v>
      </c>
      <c r="ED203" s="370" t="str">
        <f t="shared" si="59"/>
        <v>-</v>
      </c>
      <c r="EE203" s="340" t="str">
        <f t="shared" si="60"/>
        <v>S-g-M-P-n-S</v>
      </c>
      <c r="EF203" s="371" t="str">
        <f>IFERROR(__xludf.DUMMYFUNCTION("CONCATENATE(JOIN("""",HC203:HO203))"),"SRmMDS")</f>
        <v>SRmMDS</v>
      </c>
      <c r="EG203" s="372">
        <f t="shared" si="61"/>
        <v>3</v>
      </c>
      <c r="EH203" s="373" t="str">
        <f>IFERROR(__xludf.DUMMYFUNCTION("CONCATENATE(JOIN("""",JC203:JO203))"),"Ma, Pa, ni, ")</f>
        <v>Ma, Pa, ni, </v>
      </c>
      <c r="EI203" s="322">
        <f t="shared" si="62"/>
        <v>1</v>
      </c>
      <c r="EJ203" s="374" t="str">
        <f>IFERROR(__xludf.DUMMYFUNCTION("CONCATENATE(JOIN("""",KC203:KO203))"),"Ma, ")</f>
        <v>Ma, </v>
      </c>
      <c r="EK203" s="325" t="str">
        <f t="shared" si="63"/>
        <v>S-G2-M2-P-N2-S</v>
      </c>
      <c r="EL203" s="326" t="str">
        <f t="shared" si="64"/>
        <v>1-b3-#4-5-b7-8</v>
      </c>
      <c r="EM203" s="318" t="str">
        <f t="shared" si="65"/>
        <v>#REF!</v>
      </c>
      <c r="EN203" s="328" t="str">
        <f>IFERROR(__xludf.DUMMYFUNCTION("SUBSTITUTE(SUBSTITUTE(SUBSTITUTE(SUBSTITUTE(CONCATENATE(JOIN("" "",HP203:IB203)),""  "","" ""),""  "","" ""),""  "","" ""),""  "","" "")"),"o • • o • • o o • • o • o")</f>
        <v>o • • o • • o o • • o • o</v>
      </c>
      <c r="EO203" s="368" t="str">
        <f t="shared" si="66"/>
        <v>Sa-Pa</v>
      </c>
      <c r="EP203" s="339" t="str">
        <f t="shared" si="67"/>
        <v>Sa-Pa</v>
      </c>
      <c r="EQ203" s="339" t="str">
        <f t="shared" si="68"/>
        <v>Sa-Pa</v>
      </c>
      <c r="ER203" s="339" t="str">
        <f t="shared" si="69"/>
        <v>-</v>
      </c>
      <c r="ES203" s="340" t="str">
        <f t="shared" si="70"/>
        <v>-</v>
      </c>
      <c r="ET203" s="363"/>
      <c r="EU203" s="376" t="b">
        <f>IFERROR(__xludf.DUMMYFUNCTION("arrayformula(sum(--REGEXMATCH(""SRGMPDNS"",split(REGEXREPLACE(C203,""(.)"",""$1~""),""~""))))=len(C203)
"),FALSE)</f>
        <v>0</v>
      </c>
      <c r="EV203" s="290" t="b">
        <f>IFERROR(__xludf.DUMMYFUNCTION("arrayformula(sum(--REGEXMATCH(""SRGmPDNS"",split(REGEXREPLACE(C203,""(.)"",""$1~""),""~""))))=len(C203)"),FALSE)</f>
        <v>0</v>
      </c>
      <c r="EW203" s="290" t="b">
        <f>IFERROR(__xludf.DUMMYFUNCTION("arrayformula(sum(--REGEXMATCH(""SRGmPDnS"",split(REGEXREPLACE(C203,""(.)"",""$1~""),""~""))))=len(C203)"),FALSE)</f>
        <v>0</v>
      </c>
      <c r="EX203" s="290" t="b">
        <f>IFERROR(__xludf.DUMMYFUNCTION("arrayformula(sum(--REGEXMATCH(""SRgmPDnS"",split(REGEXREPLACE(C203,""(.)"",""$1~""),""~""))))=len(C203)"),FALSE)</f>
        <v>0</v>
      </c>
      <c r="EY203" s="290" t="b">
        <f>IFERROR(__xludf.DUMMYFUNCTION("arrayformula(sum(--REGEXMATCH(""SRgmPdnS"",split(REGEXREPLACE(C203,""(.)"",""$1~""),""~""))))=len(C203)"),FALSE)</f>
        <v>0</v>
      </c>
      <c r="EZ203" s="290" t="b">
        <f>IFERROR(__xludf.DUMMYFUNCTION("arrayformula(sum(--REGEXMATCH(""SrgmPdnS"",split(REGEXREPLACE(C203,""(.)"",""$1~""),""~""))))=len(C203)"),FALSE)</f>
        <v>0</v>
      </c>
      <c r="FA203" s="290" t="b">
        <f>IFERROR(__xludf.DUMMYFUNCTION("arrayformula(sum(--REGEXMATCH(""SrGmPdNS"",split(REGEXREPLACE(C203,""(.)"",""$1~""),""~""))))=len(C203)"),FALSE)</f>
        <v>0</v>
      </c>
      <c r="FB203" s="290" t="b">
        <f>IFERROR(__xludf.DUMMYFUNCTION("arrayformula(sum(--REGEXMATCH(""SrGMPDNS"",split(REGEXREPLACE(C203,""(.)"",""$1~""),""~""))))=len(C203)"),FALSE)</f>
        <v>0</v>
      </c>
      <c r="FC203" s="290" t="b">
        <f>IFERROR(__xludf.DUMMYFUNCTION("arrayformula(sum(--REGEXMATCH(""SrGMPdNS"",split(REGEXREPLACE(C203,""(.)"",""$1~""),""~""))))=len(C203)"),FALSE)</f>
        <v>0</v>
      </c>
      <c r="FD203" s="377" t="b">
        <f>IFERROR(__xludf.DUMMYFUNCTION("arrayformula(sum(--REGEXMATCH(""SrgMPdNS"",split(REGEXREPLACE(C203,""(.)"",""$1~""),""~""))))=len(C203)"),FALSE)</f>
        <v>0</v>
      </c>
      <c r="FE203" s="269" t="str">
        <f t="shared" si="71"/>
        <v>-</v>
      </c>
      <c r="FF203" s="269" t="str">
        <f t="shared" si="72"/>
        <v>-</v>
      </c>
      <c r="FG203" s="271" t="str">
        <f t="shared" si="73"/>
        <v>xooxxooxoxo</v>
      </c>
      <c r="FH203" s="269" t="str">
        <f t="shared" si="74"/>
        <v>-</v>
      </c>
      <c r="FI203" s="271" t="str">
        <f t="shared" si="75"/>
        <v>-</v>
      </c>
      <c r="FJ203" s="271" t="str">
        <f t="shared" si="76"/>
        <v>xxooxoxooxo</v>
      </c>
      <c r="FK203" s="271" t="str">
        <f t="shared" si="77"/>
        <v>xooxoxooxoo</v>
      </c>
      <c r="FL203" s="271" t="str">
        <f t="shared" si="78"/>
        <v>-</v>
      </c>
      <c r="FM203" s="271" t="str">
        <f t="shared" si="79"/>
        <v>-</v>
      </c>
      <c r="FN203" s="271" t="str">
        <f t="shared" si="80"/>
        <v>xoxooxooxxo</v>
      </c>
      <c r="FO203" s="274" t="str">
        <f t="shared" si="81"/>
        <v>-</v>
      </c>
      <c r="FP203" s="234" t="str">
        <f t="shared" si="82"/>
        <v>|</v>
      </c>
      <c r="FQ203" s="236" t="str">
        <f t="shared" si="83"/>
        <v>-</v>
      </c>
      <c r="FR203" s="237" t="str">
        <f t="shared" si="84"/>
        <v>-</v>
      </c>
      <c r="FS203" s="236" t="str">
        <f t="shared" si="85"/>
        <v>|</v>
      </c>
      <c r="FT203" s="237" t="str">
        <f t="shared" si="86"/>
        <v>-</v>
      </c>
      <c r="FU203" s="236" t="str">
        <f t="shared" si="87"/>
        <v>-</v>
      </c>
      <c r="FV203" s="237" t="str">
        <f t="shared" si="88"/>
        <v>|</v>
      </c>
      <c r="FW203" s="236" t="str">
        <f t="shared" si="89"/>
        <v>|</v>
      </c>
      <c r="FX203" s="237" t="str">
        <f t="shared" si="90"/>
        <v>-</v>
      </c>
      <c r="FY203" s="236" t="str">
        <f t="shared" si="91"/>
        <v>-</v>
      </c>
      <c r="FZ203" s="237" t="str">
        <f t="shared" si="92"/>
        <v>|</v>
      </c>
      <c r="GA203" s="236" t="str">
        <f t="shared" si="93"/>
        <v>-</v>
      </c>
      <c r="GB203" s="238" t="str">
        <f t="shared" si="94"/>
        <v>|</v>
      </c>
      <c r="GC203" s="244" t="str">
        <f>IFERROR(__xludf.DUMMYFUNCTION("IF(REGEXMATCH(C203, ""S""), ""1"","""")"),"1")</f>
        <v>1</v>
      </c>
      <c r="GD203" s="245" t="str">
        <f>IFERROR(__xludf.DUMMYFUNCTION("IF(REGEXMATCH(C203, ""r""), ""b2"","""")"),"")</f>
        <v/>
      </c>
      <c r="GE203" s="246" t="str">
        <f>IFERROR(__xludf.DUMMYFUNCTION("IF(REGEXMATCH(C203, ""R""), ""2"","""")"),"")</f>
        <v/>
      </c>
      <c r="GF203" s="246" t="str">
        <f>IFERROR(__xludf.DUMMYFUNCTION("IF(REGEXMATCH(C203, ""g""), ""b3"","""")"),"b3")</f>
        <v>b3</v>
      </c>
      <c r="GG203" s="245" t="str">
        <f>IFERROR(__xludf.DUMMYFUNCTION("IF(REGEXMATCH(C203, ""G""), ""3"","""")"),"")</f>
        <v/>
      </c>
      <c r="GH203" s="245" t="str">
        <f>IFERROR(__xludf.DUMMYFUNCTION("IF(REGEXMATCH(C203, ""m""), ""4"","""")"),"")</f>
        <v/>
      </c>
      <c r="GI203" s="246" t="str">
        <f>IFERROR(__xludf.DUMMYFUNCTION("IF(REGEXMATCH(C203, ""M""), ""#4"","""")"),"#4")</f>
        <v>#4</v>
      </c>
      <c r="GJ203" s="245" t="str">
        <f>IFERROR(__xludf.DUMMYFUNCTION("IF(REGEXMATCH(C203, ""P""), ""5"","""")"),"5")</f>
        <v>5</v>
      </c>
      <c r="GK203" s="246" t="str">
        <f>IFERROR(__xludf.DUMMYFUNCTION("IF(REGEXMATCH(C203, ""d""), ""b6"","""")"),"")</f>
        <v/>
      </c>
      <c r="GL203" s="245" t="str">
        <f>IFERROR(__xludf.DUMMYFUNCTION("IF(REGEXMATCH(C203, ""D""), ""6"","""")"),"")</f>
        <v/>
      </c>
      <c r="GM203" s="245" t="str">
        <f>IFERROR(__xludf.DUMMYFUNCTION("IF(REGEXMATCH(C203, ""n""), ""b7"","""")"),"b7")</f>
        <v>b7</v>
      </c>
      <c r="GN203" s="246" t="str">
        <f>IFERROR(__xludf.DUMMYFUNCTION("IF(REGEXMATCH(C203, ""N""), ""7"","""")"),"")</f>
        <v/>
      </c>
      <c r="GO203" s="249" t="str">
        <f>IFERROR(__xludf.DUMMYFUNCTION("IF(REGEXMATCH(C203, ""S""), ""8"","""")"),"8")</f>
        <v>8</v>
      </c>
      <c r="GP203" s="244" t="str">
        <f>IFERROR(__xludf.DUMMYFUNCTION("IF(REGEXMATCH(C203, ""S""), ""S"","""")"),"S")</f>
        <v>S</v>
      </c>
      <c r="GQ203" s="294" t="str">
        <f>IFERROR(__xludf.DUMMYFUNCTION("IF(REGEXMATCH(C203, ""r""), ""R1"","""")"),"")</f>
        <v/>
      </c>
      <c r="GR203" s="295" t="str">
        <f>IFERROR(__xludf.DUMMYFUNCTION("IF(REGEXMATCH(C203, ""R""), ""R2"","""")"),"")</f>
        <v/>
      </c>
      <c r="GS203" s="295" t="str">
        <f>IFERROR(__xludf.DUMMYFUNCTION("IF(REGEXMATCH(C203, ""g""), ""G2"","""")"),"G2")</f>
        <v>G2</v>
      </c>
      <c r="GT203" s="294" t="str">
        <f>IFERROR(__xludf.DUMMYFUNCTION("IF(REGEXMATCH(C203, ""G""), ""G3"","""")"),"")</f>
        <v/>
      </c>
      <c r="GU203" s="294" t="str">
        <f>IFERROR(__xludf.DUMMYFUNCTION("IF(REGEXMATCH(C203, ""m""), ""M1"","""")"),"")</f>
        <v/>
      </c>
      <c r="GV203" s="295" t="str">
        <f>IFERROR(__xludf.DUMMYFUNCTION("IF(REGEXMATCH(C203, ""M""), ""M2"","""")"),"M2")</f>
        <v>M2</v>
      </c>
      <c r="GW203" s="294" t="str">
        <f>IFERROR(__xludf.DUMMYFUNCTION("IF(REGEXMATCH(C203, ""P""), ""P"","""")"),"P")</f>
        <v>P</v>
      </c>
      <c r="GX203" s="295" t="str">
        <f>IFERROR(__xludf.DUMMYFUNCTION("IF(REGEXMATCH(C203, ""d""), ""D1"","""")"),"")</f>
        <v/>
      </c>
      <c r="GY203" s="294" t="str">
        <f>IFERROR(__xludf.DUMMYFUNCTION("IF(REGEXMATCH(C203, ""D""), ""D2"","""")"),"")</f>
        <v/>
      </c>
      <c r="GZ203" s="294" t="str">
        <f>IFERROR(__xludf.DUMMYFUNCTION("IF(REGEXMATCH(C203, ""n""), ""N2"","""")"),"N2")</f>
        <v>N2</v>
      </c>
      <c r="HA203" s="295" t="str">
        <f>IFERROR(__xludf.DUMMYFUNCTION("IF(REGEXMATCH(C203, ""N""), ""N3"","""")"),"")</f>
        <v/>
      </c>
      <c r="HB203" s="249" t="str">
        <f>IFERROR(__xludf.DUMMYFUNCTION("IF(REGEXMATCH(C203, ""S""), ""S"","""")"),"S")</f>
        <v>S</v>
      </c>
      <c r="HC203" s="331" t="str">
        <f t="shared" si="95"/>
        <v>S</v>
      </c>
      <c r="HD203" s="332" t="str">
        <f t="shared" si="96"/>
        <v/>
      </c>
      <c r="HE203" s="332" t="str">
        <f t="shared" si="97"/>
        <v>R</v>
      </c>
      <c r="HF203" s="332" t="str">
        <f t="shared" si="98"/>
        <v/>
      </c>
      <c r="HG203" s="332" t="str">
        <f t="shared" si="99"/>
        <v/>
      </c>
      <c r="HH203" s="332" t="str">
        <f t="shared" si="100"/>
        <v>m</v>
      </c>
      <c r="HI203" s="332" t="str">
        <f t="shared" si="101"/>
        <v>M</v>
      </c>
      <c r="HJ203" s="332" t="str">
        <f t="shared" si="102"/>
        <v/>
      </c>
      <c r="HK203" s="332" t="str">
        <f t="shared" si="103"/>
        <v/>
      </c>
      <c r="HL203" s="332" t="str">
        <f t="shared" si="104"/>
        <v>D</v>
      </c>
      <c r="HM203" s="332" t="str">
        <f t="shared" si="105"/>
        <v/>
      </c>
      <c r="HN203" s="332" t="str">
        <f t="shared" si="106"/>
        <v/>
      </c>
      <c r="HO203" s="343" t="str">
        <f t="shared" si="107"/>
        <v>S</v>
      </c>
      <c r="HP203" s="331" t="str">
        <f t="shared" si="108"/>
        <v>o</v>
      </c>
      <c r="HQ203" s="332" t="str">
        <f t="shared" si="109"/>
        <v>•</v>
      </c>
      <c r="HR203" s="332" t="str">
        <f t="shared" si="110"/>
        <v>•</v>
      </c>
      <c r="HS203" s="332" t="str">
        <f t="shared" si="111"/>
        <v>o</v>
      </c>
      <c r="HT203" s="332" t="str">
        <f t="shared" si="112"/>
        <v>•</v>
      </c>
      <c r="HU203" s="332" t="str">
        <f t="shared" si="113"/>
        <v>•</v>
      </c>
      <c r="HV203" s="332" t="str">
        <f t="shared" si="114"/>
        <v>o</v>
      </c>
      <c r="HW203" s="332" t="str">
        <f t="shared" si="115"/>
        <v>o</v>
      </c>
      <c r="HX203" s="332" t="str">
        <f t="shared" si="116"/>
        <v>•</v>
      </c>
      <c r="HY203" s="332" t="str">
        <f t="shared" si="117"/>
        <v>•</v>
      </c>
      <c r="HZ203" s="332" t="str">
        <f t="shared" si="118"/>
        <v>o</v>
      </c>
      <c r="IA203" s="332" t="str">
        <f t="shared" si="119"/>
        <v>•</v>
      </c>
      <c r="IB203" s="338" t="str">
        <f t="shared" si="120"/>
        <v>o</v>
      </c>
      <c r="IC203" s="331" t="str">
        <f t="shared" si="121"/>
        <v>•</v>
      </c>
      <c r="ID203" s="332" t="str">
        <f t="shared" si="122"/>
        <v>o</v>
      </c>
      <c r="IE203" s="332" t="str">
        <f t="shared" si="123"/>
        <v>o</v>
      </c>
      <c r="IF203" s="332" t="str">
        <f t="shared" si="124"/>
        <v>•</v>
      </c>
      <c r="IG203" s="332" t="str">
        <f t="shared" si="125"/>
        <v>o</v>
      </c>
      <c r="IH203" s="332" t="str">
        <f t="shared" si="126"/>
        <v>o</v>
      </c>
      <c r="II203" s="332" t="str">
        <f t="shared" si="127"/>
        <v>•</v>
      </c>
      <c r="IJ203" s="332" t="str">
        <f t="shared" si="128"/>
        <v>•</v>
      </c>
      <c r="IK203" s="332" t="str">
        <f t="shared" si="129"/>
        <v>o</v>
      </c>
      <c r="IL203" s="332" t="str">
        <f t="shared" si="130"/>
        <v>o</v>
      </c>
      <c r="IM203" s="332" t="str">
        <f t="shared" si="131"/>
        <v>•</v>
      </c>
      <c r="IN203" s="332" t="str">
        <f t="shared" si="132"/>
        <v>o</v>
      </c>
      <c r="IO203" s="338" t="str">
        <f t="shared" si="133"/>
        <v>•</v>
      </c>
      <c r="IP203" s="346" t="b">
        <f t="shared" si="134"/>
        <v>0</v>
      </c>
      <c r="IQ203" s="347" t="b">
        <f t="shared" si="135"/>
        <v>0</v>
      </c>
      <c r="IR203" s="347" t="b">
        <f t="shared" si="136"/>
        <v>0</v>
      </c>
      <c r="IS203" s="347" t="b">
        <f t="shared" si="137"/>
        <v>0</v>
      </c>
      <c r="IT203" s="347" t="b">
        <f t="shared" si="138"/>
        <v>0</v>
      </c>
      <c r="IU203" s="347" t="b">
        <f t="shared" si="139"/>
        <v>0</v>
      </c>
      <c r="IV203" s="347" t="b">
        <f t="shared" si="140"/>
        <v>1</v>
      </c>
      <c r="IW203" s="347" t="b">
        <f t="shared" si="141"/>
        <v>1</v>
      </c>
      <c r="IX203" s="347" t="b">
        <f t="shared" si="142"/>
        <v>0</v>
      </c>
      <c r="IY203" s="347" t="b">
        <f t="shared" si="143"/>
        <v>0</v>
      </c>
      <c r="IZ203" s="347" t="b">
        <f t="shared" si="144"/>
        <v>1</v>
      </c>
      <c r="JA203" s="347" t="b">
        <f t="shared" si="145"/>
        <v>0</v>
      </c>
      <c r="JB203" s="353" t="b">
        <f t="shared" si="146"/>
        <v>0</v>
      </c>
      <c r="JC203" s="354" t="str">
        <f t="shared" si="147"/>
        <v/>
      </c>
      <c r="JD203" s="355" t="str">
        <f t="shared" si="148"/>
        <v/>
      </c>
      <c r="JE203" s="355" t="str">
        <f t="shared" si="149"/>
        <v/>
      </c>
      <c r="JF203" s="355" t="str">
        <f t="shared" si="150"/>
        <v/>
      </c>
      <c r="JG203" s="355" t="str">
        <f t="shared" si="151"/>
        <v/>
      </c>
      <c r="JH203" s="355" t="str">
        <f t="shared" si="152"/>
        <v/>
      </c>
      <c r="JI203" s="355" t="str">
        <f t="shared" si="153"/>
        <v>Ma, </v>
      </c>
      <c r="JJ203" s="355" t="str">
        <f t="shared" si="154"/>
        <v>Pa, </v>
      </c>
      <c r="JK203" s="355" t="str">
        <f t="shared" si="155"/>
        <v/>
      </c>
      <c r="JL203" s="355" t="str">
        <f t="shared" si="156"/>
        <v/>
      </c>
      <c r="JM203" s="355" t="str">
        <f t="shared" si="157"/>
        <v>ni, </v>
      </c>
      <c r="JN203" s="355" t="str">
        <f t="shared" si="158"/>
        <v/>
      </c>
      <c r="JO203" s="359" t="str">
        <f t="shared" si="159"/>
        <v/>
      </c>
      <c r="JP203" s="346" t="b">
        <f t="shared" si="160"/>
        <v>0</v>
      </c>
      <c r="JQ203" s="347" t="b">
        <f t="shared" si="161"/>
        <v>0</v>
      </c>
      <c r="JR203" s="347" t="b">
        <f t="shared" si="162"/>
        <v>0</v>
      </c>
      <c r="JS203" s="347" t="b">
        <f t="shared" si="163"/>
        <v>0</v>
      </c>
      <c r="JT203" s="347" t="b">
        <f t="shared" si="164"/>
        <v>0</v>
      </c>
      <c r="JU203" s="347" t="b">
        <f t="shared" si="165"/>
        <v>0</v>
      </c>
      <c r="JV203" s="347" t="b">
        <f t="shared" si="166"/>
        <v>1</v>
      </c>
      <c r="JW203" s="347" t="b">
        <f t="shared" si="167"/>
        <v>0</v>
      </c>
      <c r="JX203" s="347" t="b">
        <f t="shared" si="168"/>
        <v>0</v>
      </c>
      <c r="JY203" s="347" t="b">
        <f t="shared" si="169"/>
        <v>0</v>
      </c>
      <c r="JZ203" s="347" t="b">
        <f t="shared" si="170"/>
        <v>0</v>
      </c>
      <c r="KA203" s="347" t="b">
        <f t="shared" si="171"/>
        <v>0</v>
      </c>
      <c r="KB203" s="365" t="b">
        <f t="shared" si="172"/>
        <v>0</v>
      </c>
      <c r="KC203" s="354" t="str">
        <f t="shared" si="173"/>
        <v/>
      </c>
      <c r="KD203" s="355" t="str">
        <f t="shared" si="174"/>
        <v/>
      </c>
      <c r="KE203" s="355" t="str">
        <f t="shared" si="175"/>
        <v/>
      </c>
      <c r="KF203" s="355" t="str">
        <f t="shared" si="176"/>
        <v/>
      </c>
      <c r="KG203" s="355" t="str">
        <f t="shared" si="177"/>
        <v/>
      </c>
      <c r="KH203" s="355" t="str">
        <f t="shared" si="178"/>
        <v/>
      </c>
      <c r="KI203" s="355" t="str">
        <f t="shared" si="179"/>
        <v>Ma, </v>
      </c>
      <c r="KJ203" s="355" t="str">
        <f t="shared" si="180"/>
        <v/>
      </c>
      <c r="KK203" s="355" t="str">
        <f t="shared" si="181"/>
        <v/>
      </c>
      <c r="KL203" s="355" t="str">
        <f t="shared" si="182"/>
        <v/>
      </c>
      <c r="KM203" s="355" t="str">
        <f t="shared" si="183"/>
        <v/>
      </c>
      <c r="KN203" s="355" t="str">
        <f t="shared" si="184"/>
        <v/>
      </c>
      <c r="KO203" s="359"/>
      <c r="KP203" s="378"/>
      <c r="KQ203" s="379" t="s">
        <v>656</v>
      </c>
      <c r="KR203" s="380" t="s">
        <v>1365</v>
      </c>
      <c r="KS203" s="381" t="str">
        <f t="shared" ref="KS203:KS206" si="623">KQ203</f>
        <v>S-g-M-P-n-S</v>
      </c>
      <c r="KT203" s="382">
        <f t="shared" si="186"/>
        <v>5</v>
      </c>
      <c r="KU203" s="383">
        <f t="shared" si="187"/>
        <v>5</v>
      </c>
      <c r="KV203" s="381" t="str">
        <f t="shared" si="205"/>
        <v>S-n-P-M-g-S</v>
      </c>
      <c r="KW203" s="382">
        <f t="shared" si="189"/>
        <v>5</v>
      </c>
      <c r="KX203" s="384">
        <f t="shared" si="190"/>
        <v>5</v>
      </c>
      <c r="KY203" s="382">
        <f t="shared" ref="KY203:KZ203" si="621">KW203-KT203</f>
        <v>0</v>
      </c>
      <c r="KZ203" s="369">
        <f t="shared" si="621"/>
        <v>0</v>
      </c>
      <c r="LA203" s="385" t="str">
        <f t="shared" si="192"/>
        <v>✔</v>
      </c>
      <c r="LB203" s="340" t="str">
        <f>IFERROR(__xludf.DUMMYFUNCTION("JOIN("""",ArrayFormula(MID(KS203,LEN(KS203)-SEQUENCE(1,LEN(KS203))+1,1)))"),"S-n-P-M-g-S")</f>
        <v>S-n-P-M-g-S</v>
      </c>
      <c r="LC203" s="373" t="str">
        <f>IFERROR(__xludf.DUMMYFUNCTION("JOIN("""",ArrayFormula(MID(KV203,LEN(KV203)-SEQUENCE(1,LEN(KV203))+1,1)))"),"S-g-M-P-n-S")</f>
        <v>S-g-M-P-n-S</v>
      </c>
      <c r="LD203" s="373" t="str">
        <f t="shared" si="193"/>
        <v>SgMPnS</v>
      </c>
      <c r="LE203" s="339" t="str">
        <f t="shared" si="194"/>
        <v>SgMPnS</v>
      </c>
      <c r="LF203" s="386" t="str">
        <f>IFERROR(__xludf.DUMMYFUNCTION("SUBSTITUTE(SUBSTITUTE(CONCATENATE(JOIN("""",LH203:LT203)),""1"",""""),""2"","""")"),"SgMPnS")</f>
        <v>SgMPnS</v>
      </c>
      <c r="LG203" s="369" t="str">
        <f t="shared" si="195"/>
        <v>✔</v>
      </c>
      <c r="LH203" s="387" t="str">
        <f>IFERROR(__xludf.DUMMYFUNCTION("IF(REGEXMATCH(LD203, ""S""), ""S"",IF(REGEXMATCH(LE203, ""S""), ""S"",""""))"),"S")</f>
        <v>S</v>
      </c>
      <c r="LI203" s="299" t="str">
        <f>IFERROR(__xludf.DUMMYFUNCTION("IF(REGEXMATCH(LD203, ""r""), ""r1"",IF(REGEXMATCH(LE203, ""r""), ""r2"",""""))"),"")</f>
        <v/>
      </c>
      <c r="LJ203" s="299" t="str">
        <f>IFERROR(__xludf.DUMMYFUNCTION("IF(REGEXMATCH(LD203, ""R""), ""R1"",IF(REGEXMATCH(LE203, ""R""), ""R2"",""""))"),"")</f>
        <v/>
      </c>
      <c r="LK203" s="299" t="str">
        <f>IFERROR(__xludf.DUMMYFUNCTION("IF(REGEXMATCH(LD203, ""g""), ""g1"",IF(REGEXMATCH(LE203, ""g""), ""g2"",""""))"),"g1")</f>
        <v>g1</v>
      </c>
      <c r="LL203" s="299" t="str">
        <f>IFERROR(__xludf.DUMMYFUNCTION("IF(REGEXMATCH(LD203, ""G""), ""G1"",IF(REGEXMATCH(LE203, ""G""), ""G2"",""""))"),"")</f>
        <v/>
      </c>
      <c r="LM203" s="299" t="str">
        <f>IFERROR(__xludf.DUMMYFUNCTION("IF(REGEXMATCH(LD203, ""m""), ""m1"",IF(REGEXMATCH(LE203, ""m""), ""m2"",""""))"),"")</f>
        <v/>
      </c>
      <c r="LN203" s="299" t="str">
        <f>IFERROR(__xludf.DUMMYFUNCTION("IF(REGEXMATCH(LD203, ""M""), ""M1"",IF(REGEXMATCH(LE203, ""M""), ""M2"",""""))"),"M1")</f>
        <v>M1</v>
      </c>
      <c r="LO203" s="299" t="str">
        <f>IFERROR(__xludf.DUMMYFUNCTION("IF(REGEXMATCH(LD203, ""P""), ""P1"",IF(REGEXMATCH(LE203, ""P""), ""P2"",""""))"),"P1")</f>
        <v>P1</v>
      </c>
      <c r="LP203" s="299" t="str">
        <f>IFERROR(__xludf.DUMMYFUNCTION("IF(REGEXMATCH(LD203, ""d""), ""d1"",IF(REGEXMATCH(LE203, ""d""), ""d2"",""""))"),"")</f>
        <v/>
      </c>
      <c r="LQ203" s="299" t="str">
        <f>IFERROR(__xludf.DUMMYFUNCTION("IF(REGEXMATCH(LD203, ""D""), ""D1"",IF(REGEXMATCH(LE203, ""D""), ""D2"",""""))"),"")</f>
        <v/>
      </c>
      <c r="LR203" s="299" t="str">
        <f>IFERROR(__xludf.DUMMYFUNCTION("IF(REGEXMATCH(LD203, ""n""), ""n1"",IF(REGEXMATCH(LE203, ""n""), ""n2"",""""))"),"n1")</f>
        <v>n1</v>
      </c>
      <c r="LS203" s="299" t="str">
        <f>IFERROR(__xludf.DUMMYFUNCTION("IF(REGEXMATCH(LD203, ""N""), ""N1"",IF(REGEXMATCH(LE203, ""N""), ""N2"",""""))"),"")</f>
        <v/>
      </c>
      <c r="LT203" s="388" t="str">
        <f>IFERROR(__xludf.DUMMYFUNCTION("IF(REGEXMATCH(LD203, ""S""), ""S"",IF(REGEXMATCH(LE203, ""S""), ""S"",""""))"),"S")</f>
        <v>S</v>
      </c>
      <c r="LU203" s="389">
        <f t="shared" si="196"/>
        <v>1</v>
      </c>
      <c r="LV203" s="378"/>
      <c r="LW203" s="369"/>
      <c r="LX203" s="369"/>
    </row>
    <row r="204" ht="18.0" customHeight="1">
      <c r="A204" s="298" t="s">
        <v>928</v>
      </c>
      <c r="B204" s="222" t="s">
        <v>929</v>
      </c>
      <c r="C204" s="233" t="str">
        <f t="shared" si="7"/>
        <v>SRmPnS</v>
      </c>
      <c r="D204" s="234" t="str">
        <f>IFERROR(__xludf.DUMMYFUNCTION("IF(REGEXMATCH(C204, ""S""), ""S"","""")"),"S")</f>
        <v>S</v>
      </c>
      <c r="E204" s="236" t="str">
        <f>IFERROR(__xludf.DUMMYFUNCTION("IF(REGEXMATCH(C204, ""r""), ""r"","""")"),"")</f>
        <v/>
      </c>
      <c r="F204" s="237" t="str">
        <f>IFERROR(__xludf.DUMMYFUNCTION("IF(REGEXMATCH(C204, ""R""), ""R"","""")"),"R")</f>
        <v>R</v>
      </c>
      <c r="G204" s="237" t="str">
        <f>IFERROR(__xludf.DUMMYFUNCTION("IF(REGEXMATCH(C204, ""g""), ""g"","""")"),"")</f>
        <v/>
      </c>
      <c r="H204" s="236" t="str">
        <f>IFERROR(__xludf.DUMMYFUNCTION("IF(REGEXMATCH(C204, ""G""), ""G"","""")"),"")</f>
        <v/>
      </c>
      <c r="I204" s="236" t="str">
        <f>IFERROR(__xludf.DUMMYFUNCTION("IF(REGEXMATCH(C204, ""m""), ""m"","""")"),"m")</f>
        <v>m</v>
      </c>
      <c r="J204" s="237" t="str">
        <f>IFERROR(__xludf.DUMMYFUNCTION("IF(REGEXMATCH(C204, ""M""), ""M"","""")"),"")</f>
        <v/>
      </c>
      <c r="K204" s="236" t="str">
        <f>IFERROR(__xludf.DUMMYFUNCTION("IF(REGEXMATCH(C204, ""P""), ""P"","""")"),"P")</f>
        <v>P</v>
      </c>
      <c r="L204" s="237" t="str">
        <f>IFERROR(__xludf.DUMMYFUNCTION("IF(REGEXMATCH(C204, ""d""), ""d"","""")"),"")</f>
        <v/>
      </c>
      <c r="M204" s="236" t="str">
        <f>IFERROR(__xludf.DUMMYFUNCTION("IF(REGEXMATCH(C204, ""D""), ""D"","""")"),"")</f>
        <v/>
      </c>
      <c r="N204" s="236" t="str">
        <f>IFERROR(__xludf.DUMMYFUNCTION("IF(REGEXMATCH(C204, ""n""), ""n"","""")"),"n")</f>
        <v>n</v>
      </c>
      <c r="O204" s="237" t="str">
        <f>IFERROR(__xludf.DUMMYFUNCTION("IF(REGEXMATCH(C204, ""N""), ""N"","""")"),"")</f>
        <v/>
      </c>
      <c r="P204" s="238" t="str">
        <f>IFERROR(__xludf.DUMMYFUNCTION("IF(REGEXMATCH(C204, ""S""), ""S"","""")"),"S")</f>
        <v>S</v>
      </c>
      <c r="Q204" s="239" t="str">
        <f>IFERROR(__xludf.DUMMYFUNCTION("SUBSTITUTE(CONCATENATE(JOIN(""-"",D204:J204)),""-"","""")"),"SRm")</f>
        <v>SRm</v>
      </c>
      <c r="R204" s="229" t="str">
        <f>IFERROR(__xludf.DUMMYFUNCTION("SUBSTITUTE(CONCATENATE(JOIN(""-"",K204:P204)),""-"","""")"),"PnS")</f>
        <v>PnS</v>
      </c>
      <c r="S204" s="282" t="str">
        <f t="shared" si="8"/>
        <v>S-R-M</v>
      </c>
      <c r="T204" s="282" t="str">
        <f t="shared" si="9"/>
        <v>P-N-S</v>
      </c>
      <c r="U204" s="237" t="str">
        <f>IFERROR(__xludf.DUMMYFUNCTION("SUBSTITUTE(JOIN(""-"",S204,T204),""--"",""-"")"),"S-R-M-P-N-S")</f>
        <v>S-R-M-P-N-S</v>
      </c>
      <c r="V204" s="309" t="str">
        <f t="shared" si="10"/>
        <v>Rmn</v>
      </c>
      <c r="W204" s="244" t="str">
        <f>IFERROR(__xludf.DUMMYFUNCTION("IF(REGEXMATCH(C204, ""S""), ""0"","""")"),"0")</f>
        <v>0</v>
      </c>
      <c r="X204" s="245" t="str">
        <f>IFERROR(__xludf.DUMMYFUNCTION("IF(REGEXMATCH(C204, ""r""), ""1"","""")"),"")</f>
        <v/>
      </c>
      <c r="Y204" s="246" t="str">
        <f>IFERROR(__xludf.DUMMYFUNCTION("IF(REGEXMATCH(C204, ""R""), ""2"","""")"),"2")</f>
        <v>2</v>
      </c>
      <c r="Z204" s="246" t="str">
        <f>IFERROR(__xludf.DUMMYFUNCTION("IF(REGEXMATCH(C204, ""g""), ""3"","""")"),"")</f>
        <v/>
      </c>
      <c r="AA204" s="245" t="str">
        <f>IFERROR(__xludf.DUMMYFUNCTION("IF(REGEXMATCH(C204, ""G""), ""4"","""")"),"")</f>
        <v/>
      </c>
      <c r="AB204" s="245" t="str">
        <f>IFERROR(__xludf.DUMMYFUNCTION("IF(REGEXMATCH(C204, ""m""), ""5"","""")"),"5")</f>
        <v>5</v>
      </c>
      <c r="AC204" s="246" t="str">
        <f>IFERROR(__xludf.DUMMYFUNCTION("IF(REGEXMATCH(C204, ""M""), ""6"","""")"),"")</f>
        <v/>
      </c>
      <c r="AD204" s="245" t="str">
        <f>IFERROR(__xludf.DUMMYFUNCTION("IF(REGEXMATCH(C204, ""P""), ""7"","""")"),"7")</f>
        <v>7</v>
      </c>
      <c r="AE204" s="246" t="str">
        <f>IFERROR(__xludf.DUMMYFUNCTION("IF(REGEXMATCH(C204, ""d""), ""8"","""")"),"")</f>
        <v/>
      </c>
      <c r="AF204" s="245" t="str">
        <f>IFERROR(__xludf.DUMMYFUNCTION("IF(REGEXMATCH(C204, ""D""), ""9"","""")"),"")</f>
        <v/>
      </c>
      <c r="AG204" s="245" t="str">
        <f>IFERROR(__xludf.DUMMYFUNCTION("IF(REGEXMATCH(C204, ""n""), ""10"","""")"),"10")</f>
        <v>10</v>
      </c>
      <c r="AH204" s="246" t="str">
        <f>IFERROR(__xludf.DUMMYFUNCTION("IF(REGEXMATCH(C204, ""N""), ""11"","""")"),"")</f>
        <v/>
      </c>
      <c r="AI204" s="249" t="str">
        <f>IFERROR(__xludf.DUMMYFUNCTION("IF(REGEXMATCH(C204, ""S""), ""0"","""")"),"0")</f>
        <v>0</v>
      </c>
      <c r="AJ204" s="313" t="str">
        <f t="shared" si="11"/>
        <v>-</v>
      </c>
      <c r="AK204" s="313" t="str">
        <f t="shared" si="12"/>
        <v>-</v>
      </c>
      <c r="AL204" s="313" t="str">
        <f t="shared" si="13"/>
        <v>-</v>
      </c>
      <c r="AM204" s="313" t="str">
        <f t="shared" si="14"/>
        <v>-</v>
      </c>
      <c r="AN204" s="313" t="str">
        <f t="shared" si="15"/>
        <v>-</v>
      </c>
      <c r="AO204" s="314" t="str">
        <f t="shared" si="16"/>
        <v>-</v>
      </c>
      <c r="AP204" s="316">
        <f t="shared" si="17"/>
        <v>0</v>
      </c>
      <c r="AQ204" s="319" t="str">
        <f t="shared" si="18"/>
        <v>-</v>
      </c>
      <c r="AR204" s="320">
        <f t="shared" si="19"/>
        <v>0</v>
      </c>
      <c r="AS204" s="250" t="str">
        <f>IFERROR(__xludf.DUMMYFUNCTION("SUBSTITUTE(SUBSTITUTE(CONCATENATE(JOIN("""",FP204:GA204)),""|"",""x""),""-"",""o"")"),"xoxooxoxooxo")</f>
        <v>xoxooxoxooxo</v>
      </c>
      <c r="AT204" s="323" t="str">
        <f>IFERROR(__xludf.DUMMYFUNCTION("JOIN("""",AS204,AS204)"),"xoxooxoxooxoxoxooxoxooxo")</f>
        <v>xoxooxoxooxoxoxooxoxooxo</v>
      </c>
      <c r="AU204" s="256" t="str">
        <f>IFERROR(__xludf.DUMMYFUNCTION("JOIN("""",ArrayFormula(MID(AS204,LEN(AS204)-SEQUENCE(1,LEN(AS204))+1,1)))"),"oxooxoxooxox")</f>
        <v>oxooxoxooxox</v>
      </c>
      <c r="AV204" s="256" t="str">
        <f>IFERROR(__xludf.DUMMYFUNCTION("LEFT(CONCATENATE(""x"",JOIN("""",ArrayFormula(MID(AS204,LEN(AS204)-SEQUENCE(1,LEN(AS204))+1,1)))),12)"),"xoxooxoxooxo")</f>
        <v>xoxooxoxooxo</v>
      </c>
      <c r="AW204" s="327" t="str">
        <f>IFERROR(__xludf.DUMMYFUNCTION("JOIN("""",AU204,AU204)"),"oxooxoxooxoxoxooxoxooxox")</f>
        <v>oxooxoxooxoxoxooxoxooxox</v>
      </c>
      <c r="AX204" s="239" t="str">
        <f>IFERROR(__xludf.DUMMYFUNCTION("IF(REGEXMATCH(AW204,AS204),""✔"",""-"")"),"✔")</f>
        <v>✔</v>
      </c>
      <c r="AY204" s="330" t="str">
        <f t="shared" si="20"/>
        <v>✔</v>
      </c>
      <c r="AZ204" s="260" t="str">
        <f t="shared" si="21"/>
        <v>#REF!</v>
      </c>
      <c r="BA204" s="333" t="str">
        <f t="shared" si="22"/>
        <v>xoxooxo</v>
      </c>
      <c r="BB204" s="334" t="str">
        <f t="shared" si="23"/>
        <v>xooxox</v>
      </c>
      <c r="BC204" s="335" t="str">
        <f t="shared" si="236"/>
        <v>-</v>
      </c>
      <c r="BD204" s="336" t="str">
        <f t="shared" si="25"/>
        <v>Madhumad Sarang: 'xoxooxo' + 'xooxox'</v>
      </c>
      <c r="BE204" s="337">
        <f>IFERROR(__xludf.DUMMYFUNCTION("COUNTUNIQUE(FILTER(AT:AT,REGEXMATCH(AT:AT,AS204)))-1"),4.0)</f>
        <v>4</v>
      </c>
      <c r="BF204" s="261" t="str">
        <f>IFERROR(__xludf.DUMMYFUNCTION("IF(BI204=0,""(n/a)"",IF(BJ204=2,""(PAIR)"",IF(REGEXMATCH(AT204,""xoxoxxoxoxox""),""Bilawal"",IF(REGEXMATCH(AT204,""xoxoxooxoxoo""),""Bhupali"",IF(REGEXMATCH(AT204,""xoxoxxoxxoxo""),""Charukeshi"",IF(REGEXMATCH(AT204,""xoxoooxxoxxo""),""Kameshwari"",IF(REG"&amp;"EXMATCH(AT204,""xoxoxooxoxox""),""Shankara"",IF(REGEXMATCH(AT204,""xxooxoxxxoox""),""Basant"",IF(REGEXMATCH(AT204,""xoxoxxxxoxox""),""Bihag"",IF(REGEXMATCH(AT204,""xoxxxxoxoxxx""),""Pilu"",IF(REGEXMATCH(AT204,""xoxxoxoxxoox""),""Kirwani"",IF(REGEXMATCH(AT"&amp;"204,""xoxxoxoxoxxx""),""Mk.Malhar"",IF(REGEXMATCH(AT204,""xxooxxoxxoox""),""Bhairav"",IF(REGEXMATCH(AT204,""xxoxooxxxoox""),""Todi"",IF(REGEXMATCH(AT204,""xxooxoxooxox""),""Marwa"",IF(REGEXMATCH(AT204,""xxoooxoxxooo""),""Gunkali"",IF(REGEXMATCH(AT204,""xo"&amp;"xoxxoxxoox""),""Nat Bhairav"",IF(REGEXMATCH(AT204,""xoxxoooxoxoo""),""Shivranjani"",IF(REGEXMATCH(AT204,""xooxxxoxooxo""),""Jog"",IF(REGEXMATCH(AT204,""xxooxoxoxoox""),""Hemshri"",IF(REGEXMATCH(AT204,""xoooxooxoxxo""),""Kalavati"",IF(REGEXMATCH(AT204,""xx"&amp;"oxoxxoxoox""),""Kedar"",IF(REGEXMATCH(AT204,""xoxxxxoxooxx""),""Gara"",IF(REGEXMATCH(AT204,""xooxoxooxoox""),""Chandrakauns"",IF(REGEXMATCH(AT204,""xoxxxxoxxxox""),""Mand"",IF(REGEXMATCH(AT204,""xoxxxxoxoxox""),""Hanskinkini"",IF(REGEXMATCH(AT204,""xxooxx"&amp;"oxooxo""),""Lilavati"",IF(REGEXMATCH(AT204,""xooxoxoooxox""),""Rajeshwari"",IF(REGEXMATCH(AT204,""xoooxxoxoxxx""),""Khokar"",IF(REGEXMATCH(AT204,""xxooxoxxxxox""),""Maligoura"",""-""))))))))))))))))))))))))))))))"),"Bhupali")</f>
        <v>Bhupali</v>
      </c>
      <c r="BG204" s="239" t="str">
        <f t="shared" si="26"/>
        <v>#REF!</v>
      </c>
      <c r="BH204" s="239">
        <f>IFERROR(__xludf.DUMMYFUNCTION("COUNTUNIQUE(FE204:FO204)-1"),4.0)</f>
        <v>4</v>
      </c>
      <c r="BI204" s="239">
        <f>IFERROR(__xludf.DUMMYFUNCTION("COUNTUNIQUE(FILTER(AT:AT,REGEXMATCH(AT:AT,AS204)))-1"),4.0)</f>
        <v>4</v>
      </c>
      <c r="BJ204" s="239">
        <f>IFERROR(__xludf.DUMMYFUNCTION("COUNTA(FILTER(AT:AT,REGEXMATCH(AT:AT,AS204)))"),11.0)</f>
        <v>11</v>
      </c>
      <c r="BK204" s="341">
        <f>IFERROR(__xludf.DUMMYFUNCTION("COUNTA(FILTER(AT:AT,REGEXMATCH(AT:AT,AS204)))-AR204"),11.0)</f>
        <v>11</v>
      </c>
      <c r="BL204" s="276" t="str">
        <f>IFERROR(__xludf.DUMMYFUNCTION("IF(AS204=""oooooooooooo"",""-"",IF(REGEXMATCH(AT204,""xx""), ""Hemi."", ""Anhemi.""))"),"Anhemi.")</f>
        <v>Anhemi.</v>
      </c>
      <c r="BM204" s="282" t="str">
        <f>IFERROR(__xludf.DUMMYFUNCTION("IF(AS204=""oooooooooooo"",""-"",IF(REGEXMATCH(AT204,""xxx""), ""Cohem."", ""-""))"),"-")</f>
        <v>-</v>
      </c>
      <c r="BN204" s="282" t="str">
        <f>IFERROR(__xludf.DUMMYFUNCTION("IF(AS204=""oooooooooooo"",""-"",IF(REGEXMATCH(AT204,""xxxx""), ""Co-Co."", ""-""))"),"-")</f>
        <v>-</v>
      </c>
      <c r="BO204" s="342" t="str">
        <f>IFERROR(__xludf.DUMMYFUNCTION("IF(AS204=""oooooooooooo"",""-"",IF(REGEXMATCH(AT204,""xxxxx""), ""CCC."", ""-""))"),"-")</f>
        <v>-</v>
      </c>
      <c r="BP204" s="344" t="str">
        <f t="shared" si="27"/>
        <v>-</v>
      </c>
      <c r="BQ204" s="282" t="str">
        <f>IFERROR(__xludf.DUMMYFUNCTION("IF(REGEXMATCH(JOIN(""-"",EU204:FD204),""TRUE""),""✔"",""-"")"),"✔")</f>
        <v>✔</v>
      </c>
      <c r="BR204" s="225">
        <f t="shared" si="28"/>
        <v>3</v>
      </c>
      <c r="BS204" s="345" t="str">
        <f>IFERROR(__xludf.DUMMYFUNCTION("SUBSTITUTE(SUBSTITUTE(SUBSTITUTE(SUBSTITUTE(CONCATENATE(JOIN(""-"",GC204:GO204)),""--"",""-""),""--"",""-""),""--"",""-""),""--"",""-"")"),"1-2-4-5-b7-8")</f>
        <v>1-2-4-5-b7-8</v>
      </c>
      <c r="BT204" s="299" t="str">
        <f>IFERROR(__xludf.DUMMYFUNCTION("SUBSTITUTE(SUBSTITUTE(SUBSTITUTE(SUBSTITUTE(CONCATENATE(JOIN(""-"",GP204:HB204)),""--"",""-""),""--"",""-""),""--"",""-""),""--"",""-"")"),"S-R2-M1-P-N2-S")</f>
        <v>S-R2-M1-P-N2-S</v>
      </c>
      <c r="BU204" s="348" t="str">
        <f t="shared" si="29"/>
        <v>C-D-F-G-Bb-C</v>
      </c>
      <c r="BV204" s="349" t="str">
        <f t="shared" si="30"/>
        <v>SrgGMdDNS</v>
      </c>
      <c r="BW204" s="350">
        <f t="shared" si="31"/>
        <v>0</v>
      </c>
      <c r="BX204" s="351">
        <f t="shared" si="32"/>
        <v>2</v>
      </c>
      <c r="BY204" s="392"/>
      <c r="BZ204" s="309" t="str">
        <f>IFERROR(__xludf.DUMMYFUNCTION("IF(REGEXMATCH(C204, ""S""), ""x"",""x"")"),"x")</f>
        <v>x</v>
      </c>
      <c r="CA204" s="245" t="str">
        <f>IFERROR(__xludf.DUMMYFUNCTION("IF(REGEXMATCH(C204, ""r""), ""o"",""x"")"),"x")</f>
        <v>x</v>
      </c>
      <c r="CB204" s="246" t="str">
        <f>IFERROR(__xludf.DUMMYFUNCTION("IF(REGEXMATCH(C204, ""R""), ""o"",""x"")"),"o")</f>
        <v>o</v>
      </c>
      <c r="CC204" s="246" t="str">
        <f>IFERROR(__xludf.DUMMYFUNCTION("IF(REGEXMATCH(C204, ""g""), ""o"",""x"")"),"x")</f>
        <v>x</v>
      </c>
      <c r="CD204" s="245" t="str">
        <f>IFERROR(__xludf.DUMMYFUNCTION("IF(REGEXMATCH(C204, ""G""), ""o"",""x"")"),"x")</f>
        <v>x</v>
      </c>
      <c r="CE204" s="245" t="str">
        <f>IFERROR(__xludf.DUMMYFUNCTION("IF(REGEXMATCH(C204, ""m""), ""o"",""x"")"),"o")</f>
        <v>o</v>
      </c>
      <c r="CF204" s="246" t="str">
        <f>IFERROR(__xludf.DUMMYFUNCTION("IF(REGEXMATCH(C204, ""M""), ""o"",""x"")"),"x")</f>
        <v>x</v>
      </c>
      <c r="CG204" s="245" t="str">
        <f>IFERROR(__xludf.DUMMYFUNCTION("IF(REGEXMATCH(C204, ""P""), ""o"",""x"")"),"o")</f>
        <v>o</v>
      </c>
      <c r="CH204" s="246" t="str">
        <f>IFERROR(__xludf.DUMMYFUNCTION("IF(REGEXMATCH(C204, ""d""), ""o"",""x"")"),"x")</f>
        <v>x</v>
      </c>
      <c r="CI204" s="245" t="str">
        <f>IFERROR(__xludf.DUMMYFUNCTION("IF(REGEXMATCH(C204, ""D""), ""o"",""x"")"),"x")</f>
        <v>x</v>
      </c>
      <c r="CJ204" s="245" t="str">
        <f>IFERROR(__xludf.DUMMYFUNCTION("IF(REGEXMATCH(C204, ""n""), ""o"",""x"")"),"o")</f>
        <v>o</v>
      </c>
      <c r="CK204" s="245" t="str">
        <f>IFERROR(__xludf.DUMMYFUNCTION("IF(REGEXMATCH(C204, ""N""), ""o"",""x"")"),"x")</f>
        <v>x</v>
      </c>
      <c r="CL204" s="356" t="str">
        <f>IFERROR(__xludf.DUMMYFUNCTION("IF(REGEXMATCH(C204, ""S""), ""x"",""x"")"),"x")</f>
        <v>x</v>
      </c>
      <c r="CM204" s="357" t="str">
        <f t="shared" si="33"/>
        <v>xxoxxoxoxxox</v>
      </c>
      <c r="CN204" s="358">
        <f t="shared" si="34"/>
        <v>0</v>
      </c>
      <c r="CO204" s="246" t="str">
        <f>IFERROR(__xludf.DUMMYFUNCTION("IF(REGEXMATCH($C204, ""S""), ""S"",""S"")"),"S")</f>
        <v>S</v>
      </c>
      <c r="CP204" s="246" t="str">
        <f>IFERROR(__xludf.DUMMYFUNCTION("IF(REGEXMATCH($C204, ""r""), """",""r"")"),"r")</f>
        <v>r</v>
      </c>
      <c r="CQ204" s="246" t="str">
        <f>IFERROR(__xludf.DUMMYFUNCTION("IF(REGEXMATCH($C204, ""R""), """",""R"")"),"")</f>
        <v/>
      </c>
      <c r="CR204" s="246" t="str">
        <f>IFERROR(__xludf.DUMMYFUNCTION("IF(REGEXMATCH($C204, ""g""), """",""g"")"),"g")</f>
        <v>g</v>
      </c>
      <c r="CS204" s="246" t="str">
        <f>IFERROR(__xludf.DUMMYFUNCTION("IF(REGEXMATCH($C204, ""G""), """",""G"")"),"G")</f>
        <v>G</v>
      </c>
      <c r="CT204" s="246" t="str">
        <f>IFERROR(__xludf.DUMMYFUNCTION("IF(REGEXMATCH($C204, ""m""), """",""m"")"),"")</f>
        <v/>
      </c>
      <c r="CU204" s="246" t="str">
        <f>IFERROR(__xludf.DUMMYFUNCTION("IF(REGEXMATCH($C204, ""M""), """",""M"")"),"M")</f>
        <v>M</v>
      </c>
      <c r="CV204" s="246" t="str">
        <f>IFERROR(__xludf.DUMMYFUNCTION("IF(REGEXMATCH($C204, ""P""), """",""P"")"),"")</f>
        <v/>
      </c>
      <c r="CW204" s="246" t="str">
        <f>IFERROR(__xludf.DUMMYFUNCTION("IF(REGEXMATCH($C204, ""d""), """",""d"")"),"d")</f>
        <v>d</v>
      </c>
      <c r="CX204" s="246" t="str">
        <f>IFERROR(__xludf.DUMMYFUNCTION("IF(REGEXMATCH($C204, ""D""), """",""D"")"),"D")</f>
        <v>D</v>
      </c>
      <c r="CY204" s="246" t="str">
        <f>IFERROR(__xludf.DUMMYFUNCTION("IF(REGEXMATCH($C204, ""n""), """",""n"")"),"")</f>
        <v/>
      </c>
      <c r="CZ204" s="246" t="str">
        <f>IFERROR(__xludf.DUMMYFUNCTION("IF(REGEXMATCH($C204, ""N""), """",""N"")"),"N")</f>
        <v>N</v>
      </c>
      <c r="DA204" s="246" t="str">
        <f>IFERROR(__xludf.DUMMYFUNCTION("IF(REGEXMATCH($C204, ""S""), ""S"",""S"")"),"S")</f>
        <v>S</v>
      </c>
      <c r="DB204" s="362" t="str">
        <f>IFERROR(__xludf.DUMMYFUNCTION("JOIN("""",CO204:DA204,"""","""")"),"SrgGMdDNS")</f>
        <v>SrgGMdDNS</v>
      </c>
      <c r="DC204" s="363"/>
      <c r="DD204" s="301" t="str">
        <f t="shared" si="35"/>
        <v>#REF!</v>
      </c>
      <c r="DE204" s="302" t="str">
        <f t="shared" si="36"/>
        <v>#REF!</v>
      </c>
      <c r="DF204" s="301" t="str">
        <f t="shared" ref="DF204:DG204" si="622">SUBSTITUTE(S204,"-","")</f>
        <v>SRM</v>
      </c>
      <c r="DG204" s="301" t="str">
        <f t="shared" si="622"/>
        <v>PNS</v>
      </c>
      <c r="DH204" s="302" t="str">
        <f t="shared" si="38"/>
        <v>Bhupali</v>
      </c>
      <c r="DI204" s="301" t="str">
        <f t="shared" si="39"/>
        <v>Anhemi.</v>
      </c>
      <c r="DJ204" s="364" t="str">
        <f t="shared" si="40"/>
        <v>-</v>
      </c>
      <c r="DK204" s="306" t="str">
        <f t="shared" si="41"/>
        <v>-</v>
      </c>
      <c r="DL204" s="366" t="str">
        <f t="shared" si="42"/>
        <v>✔</v>
      </c>
      <c r="DM204" s="308" t="str">
        <f t="shared" si="43"/>
        <v>-</v>
      </c>
      <c r="DN204" s="306" t="str">
        <f t="shared" si="44"/>
        <v>-</v>
      </c>
      <c r="DO204" s="306" t="str">
        <f t="shared" si="45"/>
        <v>-</v>
      </c>
      <c r="DP204" s="367" t="str">
        <f t="shared" si="46"/>
        <v>-</v>
      </c>
      <c r="DQ204" s="310" t="str">
        <f t="shared" si="47"/>
        <v>-</v>
      </c>
      <c r="DR204" s="310" t="str">
        <f t="shared" si="48"/>
        <v>-</v>
      </c>
      <c r="DS204" s="310" t="str">
        <f t="shared" si="49"/>
        <v>-</v>
      </c>
      <c r="DT204" s="310" t="str">
        <f t="shared" si="50"/>
        <v>-</v>
      </c>
      <c r="DU204" s="370" t="str">
        <f t="shared" si="51"/>
        <v>-</v>
      </c>
      <c r="DV204" s="306" t="str">
        <f t="shared" si="52"/>
        <v>-</v>
      </c>
      <c r="DW204" s="306" t="str">
        <f t="shared" si="53"/>
        <v>✔</v>
      </c>
      <c r="DX204" s="306" t="str">
        <f t="shared" si="54"/>
        <v>-</v>
      </c>
      <c r="DY204" s="306" t="str">
        <f t="shared" si="55"/>
        <v>-</v>
      </c>
      <c r="DZ204" s="306" t="str">
        <f t="shared" si="56"/>
        <v>✔</v>
      </c>
      <c r="EA204" s="367" t="str">
        <f t="shared" si="57"/>
        <v>-</v>
      </c>
      <c r="EB204" s="310" t="str">
        <f>IFERROR(__xludf.DUMMYFUNCTION("IF(REGEXMATCH(AW204,AS204),""✔"",""-"")"),"✔")</f>
        <v>✔</v>
      </c>
      <c r="EC204" s="310" t="str">
        <f t="shared" si="58"/>
        <v>#REF!</v>
      </c>
      <c r="ED204" s="370" t="str">
        <f t="shared" si="59"/>
        <v>✔</v>
      </c>
      <c r="EE204" s="340" t="str">
        <f t="shared" si="60"/>
        <v>S-R-m-P-n-S</v>
      </c>
      <c r="EF204" s="371" t="str">
        <f>IFERROR(__xludf.DUMMYFUNCTION("CONCATENATE(JOIN("""",HC204:HO204))"),"SRmPnS")</f>
        <v>SRmPnS</v>
      </c>
      <c r="EG204" s="372">
        <f t="shared" si="61"/>
        <v>1</v>
      </c>
      <c r="EH204" s="373" t="str">
        <f>IFERROR(__xludf.DUMMYFUNCTION("CONCATENATE(JOIN("""",JC204:JO204))"),"Re, ")</f>
        <v>Re, </v>
      </c>
      <c r="EI204" s="322">
        <f t="shared" si="62"/>
        <v>0</v>
      </c>
      <c r="EJ204" s="374" t="str">
        <f>IFERROR(__xludf.DUMMYFUNCTION("CONCATENATE(JOIN("""",KC204:KO204))"),"")</f>
        <v/>
      </c>
      <c r="EK204" s="325" t="str">
        <f t="shared" si="63"/>
        <v>S-R2-M1-P-N2-S</v>
      </c>
      <c r="EL204" s="326" t="str">
        <f t="shared" si="64"/>
        <v>1-2-4-5-b7-8</v>
      </c>
      <c r="EM204" s="318" t="str">
        <f t="shared" si="65"/>
        <v>#REF!</v>
      </c>
      <c r="EN204" s="328" t="str">
        <f>IFERROR(__xludf.DUMMYFUNCTION("SUBSTITUTE(SUBSTITUTE(SUBSTITUTE(SUBSTITUTE(CONCATENATE(JOIN("" "",HP204:IB204)),""  "","" ""),""  "","" ""),""  "","" ""),""  "","" "")"),"o • o • • o • o • • o • o")</f>
        <v>o • o • • o • o • • o • o</v>
      </c>
      <c r="EO204" s="368" t="str">
        <f t="shared" si="66"/>
        <v>-</v>
      </c>
      <c r="EP204" s="339" t="str">
        <f t="shared" si="67"/>
        <v>-</v>
      </c>
      <c r="EQ204" s="339" t="str">
        <f t="shared" si="68"/>
        <v>Sa-Pa</v>
      </c>
      <c r="ER204" s="339" t="str">
        <f t="shared" si="69"/>
        <v>-</v>
      </c>
      <c r="ES204" s="340" t="str">
        <f t="shared" si="70"/>
        <v>-</v>
      </c>
      <c r="ET204" s="363"/>
      <c r="EU204" s="376" t="b">
        <f>IFERROR(__xludf.DUMMYFUNCTION("arrayformula(sum(--REGEXMATCH(""SRGMPDNS"",split(REGEXREPLACE(C204,""(.)"",""$1~""),""~""))))=len(C204)
"),FALSE)</f>
        <v>0</v>
      </c>
      <c r="EV204" s="290" t="b">
        <f>IFERROR(__xludf.DUMMYFUNCTION("arrayformula(sum(--REGEXMATCH(""SRGmPDNS"",split(REGEXREPLACE(C204,""(.)"",""$1~""),""~""))))=len(C204)"),FALSE)</f>
        <v>0</v>
      </c>
      <c r="EW204" s="290" t="b">
        <f>IFERROR(__xludf.DUMMYFUNCTION("arrayformula(sum(--REGEXMATCH(""SRGmPDnS"",split(REGEXREPLACE(C204,""(.)"",""$1~""),""~""))))=len(C204)"),TRUE)</f>
        <v>1</v>
      </c>
      <c r="EX204" s="290" t="b">
        <f>IFERROR(__xludf.DUMMYFUNCTION("arrayformula(sum(--REGEXMATCH(""SRgmPDnS"",split(REGEXREPLACE(C204,""(.)"",""$1~""),""~""))))=len(C204)"),TRUE)</f>
        <v>1</v>
      </c>
      <c r="EY204" s="290" t="b">
        <f>IFERROR(__xludf.DUMMYFUNCTION("arrayformula(sum(--REGEXMATCH(""SRgmPdnS"",split(REGEXREPLACE(C204,""(.)"",""$1~""),""~""))))=len(C204)"),TRUE)</f>
        <v>1</v>
      </c>
      <c r="EZ204" s="290" t="b">
        <f>IFERROR(__xludf.DUMMYFUNCTION("arrayformula(sum(--REGEXMATCH(""SrgmPdnS"",split(REGEXREPLACE(C204,""(.)"",""$1~""),""~""))))=len(C204)"),FALSE)</f>
        <v>0</v>
      </c>
      <c r="FA204" s="290" t="b">
        <f>IFERROR(__xludf.DUMMYFUNCTION("arrayformula(sum(--REGEXMATCH(""SrGmPdNS"",split(REGEXREPLACE(C204,""(.)"",""$1~""),""~""))))=len(C204)"),FALSE)</f>
        <v>0</v>
      </c>
      <c r="FB204" s="290" t="b">
        <f>IFERROR(__xludf.DUMMYFUNCTION("arrayformula(sum(--REGEXMATCH(""SrGMPDNS"",split(REGEXREPLACE(C204,""(.)"",""$1~""),""~""))))=len(C204)"),FALSE)</f>
        <v>0</v>
      </c>
      <c r="FC204" s="290" t="b">
        <f>IFERROR(__xludf.DUMMYFUNCTION("arrayformula(sum(--REGEXMATCH(""SrGMPdNS"",split(REGEXREPLACE(C204,""(.)"",""$1~""),""~""))))=len(C204)"),FALSE)</f>
        <v>0</v>
      </c>
      <c r="FD204" s="377" t="b">
        <f>IFERROR(__xludf.DUMMYFUNCTION("arrayformula(sum(--REGEXMATCH(""SrgMPdNS"",split(REGEXREPLACE(C204,""(.)"",""$1~""),""~""))))=len(C204)"),FALSE)</f>
        <v>0</v>
      </c>
      <c r="FE204" s="269" t="str">
        <f t="shared" si="71"/>
        <v>-</v>
      </c>
      <c r="FF204" s="269" t="str">
        <f t="shared" si="72"/>
        <v>xooxoxooxox</v>
      </c>
      <c r="FG204" s="271" t="str">
        <f t="shared" si="73"/>
        <v>-</v>
      </c>
      <c r="FH204" s="269" t="str">
        <f t="shared" si="74"/>
        <v>-</v>
      </c>
      <c r="FI204" s="271" t="str">
        <f t="shared" si="75"/>
        <v>xoxooxoxoxo</v>
      </c>
      <c r="FJ204" s="271" t="str">
        <f t="shared" si="76"/>
        <v>-</v>
      </c>
      <c r="FK204" s="271" t="str">
        <f t="shared" si="77"/>
        <v>xooxoxoxoox</v>
      </c>
      <c r="FL204" s="271" t="str">
        <f t="shared" si="78"/>
        <v>-</v>
      </c>
      <c r="FM204" s="271" t="str">
        <f t="shared" si="79"/>
        <v>-</v>
      </c>
      <c r="FN204" s="271" t="str">
        <f t="shared" si="80"/>
        <v>xoxoxooxoxo</v>
      </c>
      <c r="FO204" s="274" t="str">
        <f t="shared" si="81"/>
        <v>-</v>
      </c>
      <c r="FP204" s="234" t="str">
        <f t="shared" si="82"/>
        <v>|</v>
      </c>
      <c r="FQ204" s="236" t="str">
        <f t="shared" si="83"/>
        <v>-</v>
      </c>
      <c r="FR204" s="237" t="str">
        <f t="shared" si="84"/>
        <v>|</v>
      </c>
      <c r="FS204" s="236" t="str">
        <f t="shared" si="85"/>
        <v>-</v>
      </c>
      <c r="FT204" s="237" t="str">
        <f t="shared" si="86"/>
        <v>-</v>
      </c>
      <c r="FU204" s="236" t="str">
        <f t="shared" si="87"/>
        <v>|</v>
      </c>
      <c r="FV204" s="237" t="str">
        <f t="shared" si="88"/>
        <v>-</v>
      </c>
      <c r="FW204" s="236" t="str">
        <f t="shared" si="89"/>
        <v>|</v>
      </c>
      <c r="FX204" s="237" t="str">
        <f t="shared" si="90"/>
        <v>-</v>
      </c>
      <c r="FY204" s="236" t="str">
        <f t="shared" si="91"/>
        <v>-</v>
      </c>
      <c r="FZ204" s="237" t="str">
        <f t="shared" si="92"/>
        <v>|</v>
      </c>
      <c r="GA204" s="236" t="str">
        <f t="shared" si="93"/>
        <v>-</v>
      </c>
      <c r="GB204" s="238" t="str">
        <f t="shared" si="94"/>
        <v>|</v>
      </c>
      <c r="GC204" s="244" t="str">
        <f>IFERROR(__xludf.DUMMYFUNCTION("IF(REGEXMATCH(C204, ""S""), ""1"","""")"),"1")</f>
        <v>1</v>
      </c>
      <c r="GD204" s="245" t="str">
        <f>IFERROR(__xludf.DUMMYFUNCTION("IF(REGEXMATCH(C204, ""r""), ""b2"","""")"),"")</f>
        <v/>
      </c>
      <c r="GE204" s="246" t="str">
        <f>IFERROR(__xludf.DUMMYFUNCTION("IF(REGEXMATCH(C204, ""R""), ""2"","""")"),"2")</f>
        <v>2</v>
      </c>
      <c r="GF204" s="246" t="str">
        <f>IFERROR(__xludf.DUMMYFUNCTION("IF(REGEXMATCH(C204, ""g""), ""b3"","""")"),"")</f>
        <v/>
      </c>
      <c r="GG204" s="245" t="str">
        <f>IFERROR(__xludf.DUMMYFUNCTION("IF(REGEXMATCH(C204, ""G""), ""3"","""")"),"")</f>
        <v/>
      </c>
      <c r="GH204" s="245" t="str">
        <f>IFERROR(__xludf.DUMMYFUNCTION("IF(REGEXMATCH(C204, ""m""), ""4"","""")"),"4")</f>
        <v>4</v>
      </c>
      <c r="GI204" s="246" t="str">
        <f>IFERROR(__xludf.DUMMYFUNCTION("IF(REGEXMATCH(C204, ""M""), ""#4"","""")"),"")</f>
        <v/>
      </c>
      <c r="GJ204" s="245" t="str">
        <f>IFERROR(__xludf.DUMMYFUNCTION("IF(REGEXMATCH(C204, ""P""), ""5"","""")"),"5")</f>
        <v>5</v>
      </c>
      <c r="GK204" s="246" t="str">
        <f>IFERROR(__xludf.DUMMYFUNCTION("IF(REGEXMATCH(C204, ""d""), ""b6"","""")"),"")</f>
        <v/>
      </c>
      <c r="GL204" s="245" t="str">
        <f>IFERROR(__xludf.DUMMYFUNCTION("IF(REGEXMATCH(C204, ""D""), ""6"","""")"),"")</f>
        <v/>
      </c>
      <c r="GM204" s="245" t="str">
        <f>IFERROR(__xludf.DUMMYFUNCTION("IF(REGEXMATCH(C204, ""n""), ""b7"","""")"),"b7")</f>
        <v>b7</v>
      </c>
      <c r="GN204" s="246" t="str">
        <f>IFERROR(__xludf.DUMMYFUNCTION("IF(REGEXMATCH(C204, ""N""), ""7"","""")"),"")</f>
        <v/>
      </c>
      <c r="GO204" s="249" t="str">
        <f>IFERROR(__xludf.DUMMYFUNCTION("IF(REGEXMATCH(C204, ""S""), ""8"","""")"),"8")</f>
        <v>8</v>
      </c>
      <c r="GP204" s="244" t="str">
        <f>IFERROR(__xludf.DUMMYFUNCTION("IF(REGEXMATCH(C204, ""S""), ""S"","""")"),"S")</f>
        <v>S</v>
      </c>
      <c r="GQ204" s="294" t="str">
        <f>IFERROR(__xludf.DUMMYFUNCTION("IF(REGEXMATCH(C204, ""r""), ""R1"","""")"),"")</f>
        <v/>
      </c>
      <c r="GR204" s="295" t="str">
        <f>IFERROR(__xludf.DUMMYFUNCTION("IF(REGEXMATCH(C204, ""R""), ""R2"","""")"),"R2")</f>
        <v>R2</v>
      </c>
      <c r="GS204" s="295" t="str">
        <f>IFERROR(__xludf.DUMMYFUNCTION("IF(REGEXMATCH(C204, ""g""), ""G2"","""")"),"")</f>
        <v/>
      </c>
      <c r="GT204" s="294" t="str">
        <f>IFERROR(__xludf.DUMMYFUNCTION("IF(REGEXMATCH(C204, ""G""), ""G3"","""")"),"")</f>
        <v/>
      </c>
      <c r="GU204" s="294" t="str">
        <f>IFERROR(__xludf.DUMMYFUNCTION("IF(REGEXMATCH(C204, ""m""), ""M1"","""")"),"M1")</f>
        <v>M1</v>
      </c>
      <c r="GV204" s="295" t="str">
        <f>IFERROR(__xludf.DUMMYFUNCTION("IF(REGEXMATCH(C204, ""M""), ""M2"","""")"),"")</f>
        <v/>
      </c>
      <c r="GW204" s="294" t="str">
        <f>IFERROR(__xludf.DUMMYFUNCTION("IF(REGEXMATCH(C204, ""P""), ""P"","""")"),"P")</f>
        <v>P</v>
      </c>
      <c r="GX204" s="295" t="str">
        <f>IFERROR(__xludf.DUMMYFUNCTION("IF(REGEXMATCH(C204, ""d""), ""D1"","""")"),"")</f>
        <v/>
      </c>
      <c r="GY204" s="294" t="str">
        <f>IFERROR(__xludf.DUMMYFUNCTION("IF(REGEXMATCH(C204, ""D""), ""D2"","""")"),"")</f>
        <v/>
      </c>
      <c r="GZ204" s="294" t="str">
        <f>IFERROR(__xludf.DUMMYFUNCTION("IF(REGEXMATCH(C204, ""n""), ""N2"","""")"),"N2")</f>
        <v>N2</v>
      </c>
      <c r="HA204" s="295" t="str">
        <f>IFERROR(__xludf.DUMMYFUNCTION("IF(REGEXMATCH(C204, ""N""), ""N3"","""")"),"")</f>
        <v/>
      </c>
      <c r="HB204" s="249" t="str">
        <f>IFERROR(__xludf.DUMMYFUNCTION("IF(REGEXMATCH(C204, ""S""), ""S"","""")"),"S")</f>
        <v>S</v>
      </c>
      <c r="HC204" s="331" t="str">
        <f t="shared" si="95"/>
        <v>S</v>
      </c>
      <c r="HD204" s="332" t="str">
        <f t="shared" si="96"/>
        <v/>
      </c>
      <c r="HE204" s="332" t="str">
        <f t="shared" si="97"/>
        <v>R</v>
      </c>
      <c r="HF204" s="332" t="str">
        <f t="shared" si="98"/>
        <v/>
      </c>
      <c r="HG204" s="332" t="str">
        <f t="shared" si="99"/>
        <v/>
      </c>
      <c r="HH204" s="332" t="str">
        <f t="shared" si="100"/>
        <v>m</v>
      </c>
      <c r="HI204" s="332" t="str">
        <f t="shared" si="101"/>
        <v/>
      </c>
      <c r="HJ204" s="332" t="str">
        <f t="shared" si="102"/>
        <v>P</v>
      </c>
      <c r="HK204" s="332" t="str">
        <f t="shared" si="103"/>
        <v/>
      </c>
      <c r="HL204" s="332" t="str">
        <f t="shared" si="104"/>
        <v/>
      </c>
      <c r="HM204" s="332" t="str">
        <f t="shared" si="105"/>
        <v>n</v>
      </c>
      <c r="HN204" s="332" t="str">
        <f t="shared" si="106"/>
        <v/>
      </c>
      <c r="HO204" s="343" t="str">
        <f t="shared" si="107"/>
        <v>S</v>
      </c>
      <c r="HP204" s="331" t="str">
        <f t="shared" si="108"/>
        <v>o</v>
      </c>
      <c r="HQ204" s="332" t="str">
        <f t="shared" si="109"/>
        <v>•</v>
      </c>
      <c r="HR204" s="332" t="str">
        <f t="shared" si="110"/>
        <v>o</v>
      </c>
      <c r="HS204" s="332" t="str">
        <f t="shared" si="111"/>
        <v>•</v>
      </c>
      <c r="HT204" s="332" t="str">
        <f t="shared" si="112"/>
        <v>•</v>
      </c>
      <c r="HU204" s="332" t="str">
        <f t="shared" si="113"/>
        <v>o</v>
      </c>
      <c r="HV204" s="332" t="str">
        <f t="shared" si="114"/>
        <v>•</v>
      </c>
      <c r="HW204" s="332" t="str">
        <f t="shared" si="115"/>
        <v>o</v>
      </c>
      <c r="HX204" s="332" t="str">
        <f t="shared" si="116"/>
        <v>•</v>
      </c>
      <c r="HY204" s="332" t="str">
        <f t="shared" si="117"/>
        <v>•</v>
      </c>
      <c r="HZ204" s="332" t="str">
        <f t="shared" si="118"/>
        <v>o</v>
      </c>
      <c r="IA204" s="332" t="str">
        <f t="shared" si="119"/>
        <v>•</v>
      </c>
      <c r="IB204" s="338" t="str">
        <f t="shared" si="120"/>
        <v>o</v>
      </c>
      <c r="IC204" s="331" t="str">
        <f t="shared" si="121"/>
        <v>•</v>
      </c>
      <c r="ID204" s="332" t="str">
        <f t="shared" si="122"/>
        <v>o</v>
      </c>
      <c r="IE204" s="332" t="str">
        <f t="shared" si="123"/>
        <v>•</v>
      </c>
      <c r="IF204" s="332" t="str">
        <f t="shared" si="124"/>
        <v>o</v>
      </c>
      <c r="IG204" s="332" t="str">
        <f t="shared" si="125"/>
        <v>o</v>
      </c>
      <c r="IH204" s="332" t="str">
        <f t="shared" si="126"/>
        <v>•</v>
      </c>
      <c r="II204" s="332" t="str">
        <f t="shared" si="127"/>
        <v>o</v>
      </c>
      <c r="IJ204" s="332" t="str">
        <f t="shared" si="128"/>
        <v>•</v>
      </c>
      <c r="IK204" s="332" t="str">
        <f t="shared" si="129"/>
        <v>o</v>
      </c>
      <c r="IL204" s="332" t="str">
        <f t="shared" si="130"/>
        <v>o</v>
      </c>
      <c r="IM204" s="332" t="str">
        <f t="shared" si="131"/>
        <v>•</v>
      </c>
      <c r="IN204" s="332" t="str">
        <f t="shared" si="132"/>
        <v>o</v>
      </c>
      <c r="IO204" s="338" t="str">
        <f t="shared" si="133"/>
        <v>•</v>
      </c>
      <c r="IP204" s="346" t="b">
        <f t="shared" si="134"/>
        <v>0</v>
      </c>
      <c r="IQ204" s="347" t="b">
        <f t="shared" si="135"/>
        <v>0</v>
      </c>
      <c r="IR204" s="347" t="b">
        <f t="shared" si="136"/>
        <v>1</v>
      </c>
      <c r="IS204" s="347" t="b">
        <f t="shared" si="137"/>
        <v>0</v>
      </c>
      <c r="IT204" s="347" t="b">
        <f t="shared" si="138"/>
        <v>0</v>
      </c>
      <c r="IU204" s="347" t="b">
        <f t="shared" si="139"/>
        <v>0</v>
      </c>
      <c r="IV204" s="347" t="b">
        <f t="shared" si="140"/>
        <v>0</v>
      </c>
      <c r="IW204" s="347" t="b">
        <f t="shared" si="141"/>
        <v>0</v>
      </c>
      <c r="IX204" s="347" t="b">
        <f t="shared" si="142"/>
        <v>0</v>
      </c>
      <c r="IY204" s="347" t="b">
        <f t="shared" si="143"/>
        <v>0</v>
      </c>
      <c r="IZ204" s="347" t="b">
        <f t="shared" si="144"/>
        <v>0</v>
      </c>
      <c r="JA204" s="347" t="b">
        <f t="shared" si="145"/>
        <v>0</v>
      </c>
      <c r="JB204" s="353" t="b">
        <f t="shared" si="146"/>
        <v>0</v>
      </c>
      <c r="JC204" s="354" t="str">
        <f t="shared" si="147"/>
        <v/>
      </c>
      <c r="JD204" s="355" t="str">
        <f t="shared" si="148"/>
        <v/>
      </c>
      <c r="JE204" s="355" t="str">
        <f t="shared" si="149"/>
        <v>Re, </v>
      </c>
      <c r="JF204" s="355" t="str">
        <f t="shared" si="150"/>
        <v/>
      </c>
      <c r="JG204" s="355" t="str">
        <f t="shared" si="151"/>
        <v/>
      </c>
      <c r="JH204" s="355" t="str">
        <f t="shared" si="152"/>
        <v/>
      </c>
      <c r="JI204" s="355" t="str">
        <f t="shared" si="153"/>
        <v/>
      </c>
      <c r="JJ204" s="355" t="str">
        <f t="shared" si="154"/>
        <v/>
      </c>
      <c r="JK204" s="355" t="str">
        <f t="shared" si="155"/>
        <v/>
      </c>
      <c r="JL204" s="355" t="str">
        <f t="shared" si="156"/>
        <v/>
      </c>
      <c r="JM204" s="355" t="str">
        <f t="shared" si="157"/>
        <v/>
      </c>
      <c r="JN204" s="355" t="str">
        <f t="shared" si="158"/>
        <v/>
      </c>
      <c r="JO204" s="359" t="str">
        <f t="shared" si="159"/>
        <v/>
      </c>
      <c r="JP204" s="346" t="b">
        <f t="shared" si="160"/>
        <v>0</v>
      </c>
      <c r="JQ204" s="347" t="b">
        <f t="shared" si="161"/>
        <v>0</v>
      </c>
      <c r="JR204" s="347" t="b">
        <f t="shared" si="162"/>
        <v>0</v>
      </c>
      <c r="JS204" s="347" t="b">
        <f t="shared" si="163"/>
        <v>0</v>
      </c>
      <c r="JT204" s="347" t="b">
        <f t="shared" si="164"/>
        <v>0</v>
      </c>
      <c r="JU204" s="347" t="b">
        <f t="shared" si="165"/>
        <v>0</v>
      </c>
      <c r="JV204" s="347" t="b">
        <f t="shared" si="166"/>
        <v>0</v>
      </c>
      <c r="JW204" s="347" t="b">
        <f t="shared" si="167"/>
        <v>0</v>
      </c>
      <c r="JX204" s="347" t="b">
        <f t="shared" si="168"/>
        <v>0</v>
      </c>
      <c r="JY204" s="347" t="b">
        <f t="shared" si="169"/>
        <v>0</v>
      </c>
      <c r="JZ204" s="347" t="b">
        <f t="shared" si="170"/>
        <v>0</v>
      </c>
      <c r="KA204" s="347" t="b">
        <f t="shared" si="171"/>
        <v>0</v>
      </c>
      <c r="KB204" s="365" t="b">
        <f t="shared" si="172"/>
        <v>0</v>
      </c>
      <c r="KC204" s="354" t="str">
        <f t="shared" si="173"/>
        <v/>
      </c>
      <c r="KD204" s="355" t="str">
        <f t="shared" si="174"/>
        <v/>
      </c>
      <c r="KE204" s="355" t="str">
        <f t="shared" si="175"/>
        <v/>
      </c>
      <c r="KF204" s="355" t="str">
        <f t="shared" si="176"/>
        <v/>
      </c>
      <c r="KG204" s="355" t="str">
        <f t="shared" si="177"/>
        <v/>
      </c>
      <c r="KH204" s="355" t="str">
        <f t="shared" si="178"/>
        <v/>
      </c>
      <c r="KI204" s="355" t="str">
        <f t="shared" si="179"/>
        <v/>
      </c>
      <c r="KJ204" s="355" t="str">
        <f t="shared" si="180"/>
        <v/>
      </c>
      <c r="KK204" s="355" t="str">
        <f t="shared" si="181"/>
        <v/>
      </c>
      <c r="KL204" s="355" t="str">
        <f t="shared" si="182"/>
        <v/>
      </c>
      <c r="KM204" s="355" t="str">
        <f t="shared" si="183"/>
        <v/>
      </c>
      <c r="KN204" s="355" t="str">
        <f t="shared" si="184"/>
        <v/>
      </c>
      <c r="KO204" s="359"/>
      <c r="KP204" s="378"/>
      <c r="KQ204" s="379" t="s">
        <v>929</v>
      </c>
      <c r="KR204" s="380" t="s">
        <v>1438</v>
      </c>
      <c r="KS204" s="381" t="str">
        <f t="shared" si="623"/>
        <v>S-R-m-P-n-S</v>
      </c>
      <c r="KT204" s="382">
        <f t="shared" si="186"/>
        <v>5</v>
      </c>
      <c r="KU204" s="383">
        <f t="shared" si="187"/>
        <v>5</v>
      </c>
      <c r="KV204" s="381" t="str">
        <f t="shared" si="205"/>
        <v>S-n-P-m-R-S</v>
      </c>
      <c r="KW204" s="382">
        <f t="shared" si="189"/>
        <v>5</v>
      </c>
      <c r="KX204" s="384">
        <f t="shared" si="190"/>
        <v>5</v>
      </c>
      <c r="KY204" s="382">
        <f t="shared" ref="KY204:KZ204" si="624">KW204-KT204</f>
        <v>0</v>
      </c>
      <c r="KZ204" s="369">
        <f t="shared" si="624"/>
        <v>0</v>
      </c>
      <c r="LA204" s="385" t="str">
        <f t="shared" si="192"/>
        <v>✔</v>
      </c>
      <c r="LB204" s="340" t="str">
        <f>IFERROR(__xludf.DUMMYFUNCTION("JOIN("""",ArrayFormula(MID(KS204,LEN(KS204)-SEQUENCE(1,LEN(KS204))+1,1)))"),"S-n-P-m-R-S")</f>
        <v>S-n-P-m-R-S</v>
      </c>
      <c r="LC204" s="373" t="str">
        <f>IFERROR(__xludf.DUMMYFUNCTION("JOIN("""",ArrayFormula(MID(KV204,LEN(KV204)-SEQUENCE(1,LEN(KV204))+1,1)))"),"S-R-m-P-n-S")</f>
        <v>S-R-m-P-n-S</v>
      </c>
      <c r="LD204" s="373" t="str">
        <f t="shared" si="193"/>
        <v>SRmPnS</v>
      </c>
      <c r="LE204" s="339" t="str">
        <f t="shared" si="194"/>
        <v>SRmPnS</v>
      </c>
      <c r="LF204" s="386" t="str">
        <f>IFERROR(__xludf.DUMMYFUNCTION("SUBSTITUTE(SUBSTITUTE(CONCATENATE(JOIN("""",LH204:LT204)),""1"",""""),""2"","""")"),"SRmPnS")</f>
        <v>SRmPnS</v>
      </c>
      <c r="LG204" s="369" t="str">
        <f t="shared" si="195"/>
        <v>✔</v>
      </c>
      <c r="LH204" s="387" t="str">
        <f>IFERROR(__xludf.DUMMYFUNCTION("IF(REGEXMATCH(LD204, ""S""), ""S"",IF(REGEXMATCH(LE204, ""S""), ""S"",""""))"),"S")</f>
        <v>S</v>
      </c>
      <c r="LI204" s="299" t="str">
        <f>IFERROR(__xludf.DUMMYFUNCTION("IF(REGEXMATCH(LD204, ""r""), ""r1"",IF(REGEXMATCH(LE204, ""r""), ""r2"",""""))"),"")</f>
        <v/>
      </c>
      <c r="LJ204" s="299" t="str">
        <f>IFERROR(__xludf.DUMMYFUNCTION("IF(REGEXMATCH(LD204, ""R""), ""R1"",IF(REGEXMATCH(LE204, ""R""), ""R2"",""""))"),"R1")</f>
        <v>R1</v>
      </c>
      <c r="LK204" s="299" t="str">
        <f>IFERROR(__xludf.DUMMYFUNCTION("IF(REGEXMATCH(LD204, ""g""), ""g1"",IF(REGEXMATCH(LE204, ""g""), ""g2"",""""))"),"")</f>
        <v/>
      </c>
      <c r="LL204" s="299" t="str">
        <f>IFERROR(__xludf.DUMMYFUNCTION("IF(REGEXMATCH(LD204, ""G""), ""G1"",IF(REGEXMATCH(LE204, ""G""), ""G2"",""""))"),"")</f>
        <v/>
      </c>
      <c r="LM204" s="299" t="str">
        <f>IFERROR(__xludf.DUMMYFUNCTION("IF(REGEXMATCH(LD204, ""m""), ""m1"",IF(REGEXMATCH(LE204, ""m""), ""m2"",""""))"),"m1")</f>
        <v>m1</v>
      </c>
      <c r="LN204" s="299" t="str">
        <f>IFERROR(__xludf.DUMMYFUNCTION("IF(REGEXMATCH(LD204, ""M""), ""M1"",IF(REGEXMATCH(LE204, ""M""), ""M2"",""""))"),"")</f>
        <v/>
      </c>
      <c r="LO204" s="299" t="str">
        <f>IFERROR(__xludf.DUMMYFUNCTION("IF(REGEXMATCH(LD204, ""P""), ""P1"",IF(REGEXMATCH(LE204, ""P""), ""P2"",""""))"),"P1")</f>
        <v>P1</v>
      </c>
      <c r="LP204" s="299" t="str">
        <f>IFERROR(__xludf.DUMMYFUNCTION("IF(REGEXMATCH(LD204, ""d""), ""d1"",IF(REGEXMATCH(LE204, ""d""), ""d2"",""""))"),"")</f>
        <v/>
      </c>
      <c r="LQ204" s="299" t="str">
        <f>IFERROR(__xludf.DUMMYFUNCTION("IF(REGEXMATCH(LD204, ""D""), ""D1"",IF(REGEXMATCH(LE204, ""D""), ""D2"",""""))"),"")</f>
        <v/>
      </c>
      <c r="LR204" s="299" t="str">
        <f>IFERROR(__xludf.DUMMYFUNCTION("IF(REGEXMATCH(LD204, ""n""), ""n1"",IF(REGEXMATCH(LE204, ""n""), ""n2"",""""))"),"n1")</f>
        <v>n1</v>
      </c>
      <c r="LS204" s="299" t="str">
        <f>IFERROR(__xludf.DUMMYFUNCTION("IF(REGEXMATCH(LD204, ""N""), ""N1"",IF(REGEXMATCH(LE204, ""N""), ""N2"",""""))"),"")</f>
        <v/>
      </c>
      <c r="LT204" s="388" t="str">
        <f>IFERROR(__xludf.DUMMYFUNCTION("IF(REGEXMATCH(LD204, ""S""), ""S"",IF(REGEXMATCH(LE204, ""S""), ""S"",""""))"),"S")</f>
        <v>S</v>
      </c>
      <c r="LU204" s="389">
        <f t="shared" si="196"/>
        <v>1</v>
      </c>
      <c r="LV204" s="378"/>
      <c r="LW204" s="369"/>
      <c r="LX204" s="369"/>
    </row>
    <row r="205" ht="18.0" customHeight="1">
      <c r="A205" s="298" t="s">
        <v>931</v>
      </c>
      <c r="B205" s="222" t="s">
        <v>932</v>
      </c>
      <c r="C205" s="233" t="str">
        <f t="shared" si="7"/>
        <v>SGmDnNS</v>
      </c>
      <c r="D205" s="234" t="str">
        <f>IFERROR(__xludf.DUMMYFUNCTION("IF(REGEXMATCH(C205, ""S""), ""S"","""")"),"S")</f>
        <v>S</v>
      </c>
      <c r="E205" s="236" t="str">
        <f>IFERROR(__xludf.DUMMYFUNCTION("IF(REGEXMATCH(C205, ""r""), ""r"","""")"),"")</f>
        <v/>
      </c>
      <c r="F205" s="237" t="str">
        <f>IFERROR(__xludf.DUMMYFUNCTION("IF(REGEXMATCH(C205, ""R""), ""R"","""")"),"")</f>
        <v/>
      </c>
      <c r="G205" s="237" t="str">
        <f>IFERROR(__xludf.DUMMYFUNCTION("IF(REGEXMATCH(C205, ""g""), ""g"","""")"),"")</f>
        <v/>
      </c>
      <c r="H205" s="236" t="str">
        <f>IFERROR(__xludf.DUMMYFUNCTION("IF(REGEXMATCH(C205, ""G""), ""G"","""")"),"G")</f>
        <v>G</v>
      </c>
      <c r="I205" s="236" t="str">
        <f>IFERROR(__xludf.DUMMYFUNCTION("IF(REGEXMATCH(C205, ""m""), ""m"","""")"),"m")</f>
        <v>m</v>
      </c>
      <c r="J205" s="237" t="str">
        <f>IFERROR(__xludf.DUMMYFUNCTION("IF(REGEXMATCH(C205, ""M""), ""M"","""")"),"")</f>
        <v/>
      </c>
      <c r="K205" s="236" t="str">
        <f>IFERROR(__xludf.DUMMYFUNCTION("IF(REGEXMATCH(C205, ""P""), ""P"","""")"),"")</f>
        <v/>
      </c>
      <c r="L205" s="237" t="str">
        <f>IFERROR(__xludf.DUMMYFUNCTION("IF(REGEXMATCH(C205, ""d""), ""d"","""")"),"")</f>
        <v/>
      </c>
      <c r="M205" s="236" t="str">
        <f>IFERROR(__xludf.DUMMYFUNCTION("IF(REGEXMATCH(C205, ""D""), ""D"","""")"),"D")</f>
        <v>D</v>
      </c>
      <c r="N205" s="236" t="str">
        <f>IFERROR(__xludf.DUMMYFUNCTION("IF(REGEXMATCH(C205, ""n""), ""n"","""")"),"n")</f>
        <v>n</v>
      </c>
      <c r="O205" s="237" t="str">
        <f>IFERROR(__xludf.DUMMYFUNCTION("IF(REGEXMATCH(C205, ""N""), ""N"","""")"),"N")</f>
        <v>N</v>
      </c>
      <c r="P205" s="238" t="str">
        <f>IFERROR(__xludf.DUMMYFUNCTION("IF(REGEXMATCH(C205, ""S""), ""S"","""")"),"S")</f>
        <v>S</v>
      </c>
      <c r="Q205" s="239" t="str">
        <f>IFERROR(__xludf.DUMMYFUNCTION("SUBSTITUTE(CONCATENATE(JOIN(""-"",D205:J205)),""-"","""")"),"SGm")</f>
        <v>SGm</v>
      </c>
      <c r="R205" s="229" t="str">
        <f>IFERROR(__xludf.DUMMYFUNCTION("SUBSTITUTE(CONCATENATE(JOIN(""-"",K205:P205)),""-"","""")"),"DnNS")</f>
        <v>DnNS</v>
      </c>
      <c r="S205" s="282" t="str">
        <f t="shared" si="8"/>
        <v>S-G-M</v>
      </c>
      <c r="T205" s="282" t="str">
        <f t="shared" si="9"/>
        <v>D-N-S</v>
      </c>
      <c r="U205" s="237" t="str">
        <f>IFERROR(__xludf.DUMMYFUNCTION("SUBSTITUTE(JOIN(""-"",S205,T205),""--"",""-"")"),"S-G-M-D-N-S")</f>
        <v>S-G-M-D-N-S</v>
      </c>
      <c r="V205" s="309" t="str">
        <f t="shared" si="10"/>
        <v>GmDnN</v>
      </c>
      <c r="W205" s="244" t="str">
        <f>IFERROR(__xludf.DUMMYFUNCTION("IF(REGEXMATCH(C205, ""S""), ""0"","""")"),"0")</f>
        <v>0</v>
      </c>
      <c r="X205" s="245" t="str">
        <f>IFERROR(__xludf.DUMMYFUNCTION("IF(REGEXMATCH(C205, ""r""), ""1"","""")"),"")</f>
        <v/>
      </c>
      <c r="Y205" s="246" t="str">
        <f>IFERROR(__xludf.DUMMYFUNCTION("IF(REGEXMATCH(C205, ""R""), ""2"","""")"),"")</f>
        <v/>
      </c>
      <c r="Z205" s="246" t="str">
        <f>IFERROR(__xludf.DUMMYFUNCTION("IF(REGEXMATCH(C205, ""g""), ""3"","""")"),"")</f>
        <v/>
      </c>
      <c r="AA205" s="245" t="str">
        <f>IFERROR(__xludf.DUMMYFUNCTION("IF(REGEXMATCH(C205, ""G""), ""4"","""")"),"4")</f>
        <v>4</v>
      </c>
      <c r="AB205" s="245" t="str">
        <f>IFERROR(__xludf.DUMMYFUNCTION("IF(REGEXMATCH(C205, ""m""), ""5"","""")"),"5")</f>
        <v>5</v>
      </c>
      <c r="AC205" s="246" t="str">
        <f>IFERROR(__xludf.DUMMYFUNCTION("IF(REGEXMATCH(C205, ""M""), ""6"","""")"),"")</f>
        <v/>
      </c>
      <c r="AD205" s="245" t="str">
        <f>IFERROR(__xludf.DUMMYFUNCTION("IF(REGEXMATCH(C205, ""P""), ""7"","""")"),"")</f>
        <v/>
      </c>
      <c r="AE205" s="246" t="str">
        <f>IFERROR(__xludf.DUMMYFUNCTION("IF(REGEXMATCH(C205, ""d""), ""8"","""")"),"")</f>
        <v/>
      </c>
      <c r="AF205" s="245" t="str">
        <f>IFERROR(__xludf.DUMMYFUNCTION("IF(REGEXMATCH(C205, ""D""), ""9"","""")"),"9")</f>
        <v>9</v>
      </c>
      <c r="AG205" s="245" t="str">
        <f>IFERROR(__xludf.DUMMYFUNCTION("IF(REGEXMATCH(C205, ""n""), ""10"","""")"),"10")</f>
        <v>10</v>
      </c>
      <c r="AH205" s="246" t="str">
        <f>IFERROR(__xludf.DUMMYFUNCTION("IF(REGEXMATCH(C205, ""N""), ""11"","""")"),"11")</f>
        <v>11</v>
      </c>
      <c r="AI205" s="249" t="str">
        <f>IFERROR(__xludf.DUMMYFUNCTION("IF(REGEXMATCH(C205, ""S""), ""0"","""")"),"0")</f>
        <v>0</v>
      </c>
      <c r="AJ205" s="313" t="str">
        <f t="shared" si="11"/>
        <v>-</v>
      </c>
      <c r="AK205" s="313" t="str">
        <f t="shared" si="12"/>
        <v>-</v>
      </c>
      <c r="AL205" s="313" t="str">
        <f t="shared" si="13"/>
        <v>-</v>
      </c>
      <c r="AM205" s="313" t="str">
        <f t="shared" si="14"/>
        <v>-</v>
      </c>
      <c r="AN205" s="313" t="str">
        <f t="shared" si="15"/>
        <v>T</v>
      </c>
      <c r="AO205" s="314" t="str">
        <f t="shared" si="16"/>
        <v>T</v>
      </c>
      <c r="AP205" s="316">
        <f t="shared" si="17"/>
        <v>2</v>
      </c>
      <c r="AQ205" s="319" t="str">
        <f t="shared" si="18"/>
        <v>-</v>
      </c>
      <c r="AR205" s="320">
        <f t="shared" si="19"/>
        <v>0</v>
      </c>
      <c r="AS205" s="250" t="str">
        <f>IFERROR(__xludf.DUMMYFUNCTION("SUBSTITUTE(SUBSTITUTE(CONCATENATE(JOIN("""",FP205:GA205)),""|"",""x""),""-"",""o"")"),"xoooxxoooxxx")</f>
        <v>xoooxxoooxxx</v>
      </c>
      <c r="AT205" s="323" t="str">
        <f>IFERROR(__xludf.DUMMYFUNCTION("JOIN("""",AS205,AS205)"),"xoooxxoooxxxxoooxxoooxxx")</f>
        <v>xoooxxoooxxxxoooxxoooxxx</v>
      </c>
      <c r="AU205" s="256" t="str">
        <f>IFERROR(__xludf.DUMMYFUNCTION("JOIN("""",ArrayFormula(MID(AS205,LEN(AS205)-SEQUENCE(1,LEN(AS205))+1,1)))"),"xxxoooxxooox")</f>
        <v>xxxoooxxooox</v>
      </c>
      <c r="AV205" s="256" t="str">
        <f>IFERROR(__xludf.DUMMYFUNCTION("LEFT(CONCATENATE(""x"",JOIN("""",ArrayFormula(MID(AS205,LEN(AS205)-SEQUENCE(1,LEN(AS205))+1,1)))),12)"),"xxxxoooxxooo")</f>
        <v>xxxxoooxxooo</v>
      </c>
      <c r="AW205" s="327" t="str">
        <f>IFERROR(__xludf.DUMMYFUNCTION("JOIN("""",AU205,AU205)"),"xxxoooxxoooxxxxoooxxooox")</f>
        <v>xxxoooxxoooxxxxoooxxooox</v>
      </c>
      <c r="AX205" s="239" t="str">
        <f>IFERROR(__xludf.DUMMYFUNCTION("IF(REGEXMATCH(AW205,AS205),""✔"",""-"")"),"✔")</f>
        <v>✔</v>
      </c>
      <c r="AY205" s="330" t="str">
        <f t="shared" si="20"/>
        <v>-</v>
      </c>
      <c r="AZ205" s="260" t="str">
        <f t="shared" si="21"/>
        <v>#REF!</v>
      </c>
      <c r="BA205" s="333" t="str">
        <f t="shared" si="22"/>
        <v>xoooxxo</v>
      </c>
      <c r="BB205" s="334" t="str">
        <f t="shared" si="23"/>
        <v>ooxxxx</v>
      </c>
      <c r="BC205" s="335" t="str">
        <f t="shared" si="236"/>
        <v>-</v>
      </c>
      <c r="BD205" s="336" t="str">
        <f t="shared" si="25"/>
        <v>Madhuradhwani: 'xoooxxo' + 'ooxxxx'</v>
      </c>
      <c r="BE205" s="337">
        <f>IFERROR(__xludf.DUMMYFUNCTION("COUNTUNIQUE(FILTER(AT:AT,REGEXMATCH(AT:AT,AS205)))-1"),0.0)</f>
        <v>0</v>
      </c>
      <c r="BF205" s="261" t="str">
        <f>IFERROR(__xludf.DUMMYFUNCTION("IF(BI205=0,""(n/a)"",IF(BJ205=2,""(PAIR)"",IF(REGEXMATCH(AT205,""xoxoxxoxoxox""),""Bilawal"",IF(REGEXMATCH(AT205,""xoxoxooxoxoo""),""Bhupali"",IF(REGEXMATCH(AT205,""xoxoxxoxxoxo""),""Charukeshi"",IF(REGEXMATCH(AT205,""xoxoooxxoxxo""),""Kameshwari"",IF(REG"&amp;"EXMATCH(AT205,""xoxoxooxoxox""),""Shankara"",IF(REGEXMATCH(AT205,""xxooxoxxxoox""),""Basant"",IF(REGEXMATCH(AT205,""xoxoxxxxoxox""),""Bihag"",IF(REGEXMATCH(AT205,""xoxxxxoxoxxx""),""Pilu"",IF(REGEXMATCH(AT205,""xoxxoxoxxoox""),""Kirwani"",IF(REGEXMATCH(AT"&amp;"205,""xoxxoxoxoxxx""),""Mk.Malhar"",IF(REGEXMATCH(AT205,""xxooxxoxxoox""),""Bhairav"",IF(REGEXMATCH(AT205,""xxoxooxxxoox""),""Todi"",IF(REGEXMATCH(AT205,""xxooxoxooxox""),""Marwa"",IF(REGEXMATCH(AT205,""xxoooxoxxooo""),""Gunkali"",IF(REGEXMATCH(AT205,""xo"&amp;"xoxxoxxoox""),""Nat Bhairav"",IF(REGEXMATCH(AT205,""xoxxoooxoxoo""),""Shivranjani"",IF(REGEXMATCH(AT205,""xooxxxoxooxo""),""Jog"",IF(REGEXMATCH(AT205,""xxooxoxoxoox""),""Hemshri"",IF(REGEXMATCH(AT205,""xoooxooxoxxo""),""Kalavati"",IF(REGEXMATCH(AT205,""xx"&amp;"oxoxxoxoox""),""Kedar"",IF(REGEXMATCH(AT205,""xoxxxxoxooxx""),""Gara"",IF(REGEXMATCH(AT205,""xooxoxooxoox""),""Chandrakauns"",IF(REGEXMATCH(AT205,""xoxxxxoxxxox""),""Mand"",IF(REGEXMATCH(AT205,""xoxxxxoxoxox""),""Hanskinkini"",IF(REGEXMATCH(AT205,""xxooxx"&amp;"oxooxo""),""Lilavati"",IF(REGEXMATCH(AT205,""xooxoxoooxox""),""Rajeshwari"",IF(REGEXMATCH(AT205,""xoooxxoxoxxx""),""Khokar"",IF(REGEXMATCH(AT205,""xxooxoxxxxox""),""Maligoura"",""-""))))))))))))))))))))))))))))))"),"(n/a)")</f>
        <v>(n/a)</v>
      </c>
      <c r="BG205" s="239" t="str">
        <f t="shared" si="26"/>
        <v>#REF!</v>
      </c>
      <c r="BH205" s="239">
        <f>IFERROR(__xludf.DUMMYFUNCTION("COUNTUNIQUE(FE205:FO205)-1"),5.0)</f>
        <v>5</v>
      </c>
      <c r="BI205" s="239">
        <f>IFERROR(__xludf.DUMMYFUNCTION("COUNTUNIQUE(FILTER(AT:AT,REGEXMATCH(AT:AT,AS205)))-1"),0.0)</f>
        <v>0</v>
      </c>
      <c r="BJ205" s="239">
        <f>IFERROR(__xludf.DUMMYFUNCTION("COUNTA(FILTER(AT:AT,REGEXMATCH(AT:AT,AS205)))"),1.0)</f>
        <v>1</v>
      </c>
      <c r="BK205" s="341">
        <f>IFERROR(__xludf.DUMMYFUNCTION("COUNTA(FILTER(AT:AT,REGEXMATCH(AT:AT,AS205)))-AR205"),1.0)</f>
        <v>1</v>
      </c>
      <c r="BL205" s="276" t="str">
        <f>IFERROR(__xludf.DUMMYFUNCTION("IF(AS205=""oooooooooooo"",""-"",IF(REGEXMATCH(AT205,""xx""), ""Hemi."", ""Anhemi.""))"),"Hemi.")</f>
        <v>Hemi.</v>
      </c>
      <c r="BM205" s="282" t="str">
        <f>IFERROR(__xludf.DUMMYFUNCTION("IF(AS205=""oooooooooooo"",""-"",IF(REGEXMATCH(AT205,""xxx""), ""Cohem."", ""-""))"),"Cohem.")</f>
        <v>Cohem.</v>
      </c>
      <c r="BN205" s="282" t="str">
        <f>IFERROR(__xludf.DUMMYFUNCTION("IF(AS205=""oooooooooooo"",""-"",IF(REGEXMATCH(AT205,""xxxx""), ""Co-Co."", ""-""))"),"Co-Co.")</f>
        <v>Co-Co.</v>
      </c>
      <c r="BO205" s="342" t="str">
        <f>IFERROR(__xludf.DUMMYFUNCTION("IF(AS205=""oooooooooooo"",""-"",IF(REGEXMATCH(AT205,""xxxxx""), ""CCC."", ""-""))"),"-")</f>
        <v>-</v>
      </c>
      <c r="BP205" s="344" t="str">
        <f t="shared" si="27"/>
        <v>-</v>
      </c>
      <c r="BQ205" s="282" t="str">
        <f>IFERROR(__xludf.DUMMYFUNCTION("IF(REGEXMATCH(JOIN(""-"",EU205:FD205),""TRUE""),""✔"",""-"")"),"-")</f>
        <v>-</v>
      </c>
      <c r="BR205" s="225">
        <f t="shared" si="28"/>
        <v>0</v>
      </c>
      <c r="BS205" s="345" t="str">
        <f>IFERROR(__xludf.DUMMYFUNCTION("SUBSTITUTE(SUBSTITUTE(SUBSTITUTE(SUBSTITUTE(CONCATENATE(JOIN(""-"",GC205:GO205)),""--"",""-""),""--"",""-""),""--"",""-""),""--"",""-"")"),"1-3-4-6-b7-7-8")</f>
        <v>1-3-4-6-b7-7-8</v>
      </c>
      <c r="BT205" s="299" t="str">
        <f>IFERROR(__xludf.DUMMYFUNCTION("SUBSTITUTE(SUBSTITUTE(SUBSTITUTE(SUBSTITUTE(CONCATENATE(JOIN(""-"",GP205:HB205)),""--"",""-""),""--"",""-""),""--"",""-""),""--"",""-"")"),"S-G3-M1-D2-N2-N3-S")</f>
        <v>S-G3-M1-D2-N2-N3-S</v>
      </c>
      <c r="BU205" s="348" t="str">
        <f t="shared" si="29"/>
        <v>C-E-F-A-Bb-B-C</v>
      </c>
      <c r="BV205" s="349" t="str">
        <f t="shared" si="30"/>
        <v>SrRgMPdS</v>
      </c>
      <c r="BW205" s="350">
        <f t="shared" si="31"/>
        <v>0</v>
      </c>
      <c r="BX205" s="351">
        <f t="shared" si="32"/>
        <v>1</v>
      </c>
      <c r="BY205" s="392"/>
      <c r="BZ205" s="309" t="str">
        <f>IFERROR(__xludf.DUMMYFUNCTION("IF(REGEXMATCH(C205, ""S""), ""x"",""x"")"),"x")</f>
        <v>x</v>
      </c>
      <c r="CA205" s="245" t="str">
        <f>IFERROR(__xludf.DUMMYFUNCTION("IF(REGEXMATCH(C205, ""r""), ""o"",""x"")"),"x")</f>
        <v>x</v>
      </c>
      <c r="CB205" s="246" t="str">
        <f>IFERROR(__xludf.DUMMYFUNCTION("IF(REGEXMATCH(C205, ""R""), ""o"",""x"")"),"x")</f>
        <v>x</v>
      </c>
      <c r="CC205" s="246" t="str">
        <f>IFERROR(__xludf.DUMMYFUNCTION("IF(REGEXMATCH(C205, ""g""), ""o"",""x"")"),"x")</f>
        <v>x</v>
      </c>
      <c r="CD205" s="245" t="str">
        <f>IFERROR(__xludf.DUMMYFUNCTION("IF(REGEXMATCH(C205, ""G""), ""o"",""x"")"),"o")</f>
        <v>o</v>
      </c>
      <c r="CE205" s="245" t="str">
        <f>IFERROR(__xludf.DUMMYFUNCTION("IF(REGEXMATCH(C205, ""m""), ""o"",""x"")"),"o")</f>
        <v>o</v>
      </c>
      <c r="CF205" s="246" t="str">
        <f>IFERROR(__xludf.DUMMYFUNCTION("IF(REGEXMATCH(C205, ""M""), ""o"",""x"")"),"x")</f>
        <v>x</v>
      </c>
      <c r="CG205" s="245" t="str">
        <f>IFERROR(__xludf.DUMMYFUNCTION("IF(REGEXMATCH(C205, ""P""), ""o"",""x"")"),"x")</f>
        <v>x</v>
      </c>
      <c r="CH205" s="246" t="str">
        <f>IFERROR(__xludf.DUMMYFUNCTION("IF(REGEXMATCH(C205, ""d""), ""o"",""x"")"),"x")</f>
        <v>x</v>
      </c>
      <c r="CI205" s="245" t="str">
        <f>IFERROR(__xludf.DUMMYFUNCTION("IF(REGEXMATCH(C205, ""D""), ""o"",""x"")"),"o")</f>
        <v>o</v>
      </c>
      <c r="CJ205" s="245" t="str">
        <f>IFERROR(__xludf.DUMMYFUNCTION("IF(REGEXMATCH(C205, ""n""), ""o"",""x"")"),"o")</f>
        <v>o</v>
      </c>
      <c r="CK205" s="245" t="str">
        <f>IFERROR(__xludf.DUMMYFUNCTION("IF(REGEXMATCH(C205, ""N""), ""o"",""x"")"),"o")</f>
        <v>o</v>
      </c>
      <c r="CL205" s="356" t="str">
        <f>IFERROR(__xludf.DUMMYFUNCTION("IF(REGEXMATCH(C205, ""S""), ""x"",""x"")"),"x")</f>
        <v>x</v>
      </c>
      <c r="CM205" s="357" t="str">
        <f t="shared" si="33"/>
        <v>xxxxooxxxooo</v>
      </c>
      <c r="CN205" s="358">
        <f t="shared" si="34"/>
        <v>0</v>
      </c>
      <c r="CO205" s="246" t="str">
        <f>IFERROR(__xludf.DUMMYFUNCTION("IF(REGEXMATCH($C205, ""S""), ""S"",""S"")"),"S")</f>
        <v>S</v>
      </c>
      <c r="CP205" s="246" t="str">
        <f>IFERROR(__xludf.DUMMYFUNCTION("IF(REGEXMATCH($C205, ""r""), """",""r"")"),"r")</f>
        <v>r</v>
      </c>
      <c r="CQ205" s="246" t="str">
        <f>IFERROR(__xludf.DUMMYFUNCTION("IF(REGEXMATCH($C205, ""R""), """",""R"")"),"R")</f>
        <v>R</v>
      </c>
      <c r="CR205" s="246" t="str">
        <f>IFERROR(__xludf.DUMMYFUNCTION("IF(REGEXMATCH($C205, ""g""), """",""g"")"),"g")</f>
        <v>g</v>
      </c>
      <c r="CS205" s="246" t="str">
        <f>IFERROR(__xludf.DUMMYFUNCTION("IF(REGEXMATCH($C205, ""G""), """",""G"")"),"")</f>
        <v/>
      </c>
      <c r="CT205" s="246" t="str">
        <f>IFERROR(__xludf.DUMMYFUNCTION("IF(REGEXMATCH($C205, ""m""), """",""m"")"),"")</f>
        <v/>
      </c>
      <c r="CU205" s="246" t="str">
        <f>IFERROR(__xludf.DUMMYFUNCTION("IF(REGEXMATCH($C205, ""M""), """",""M"")"),"M")</f>
        <v>M</v>
      </c>
      <c r="CV205" s="246" t="str">
        <f>IFERROR(__xludf.DUMMYFUNCTION("IF(REGEXMATCH($C205, ""P""), """",""P"")"),"P")</f>
        <v>P</v>
      </c>
      <c r="CW205" s="246" t="str">
        <f>IFERROR(__xludf.DUMMYFUNCTION("IF(REGEXMATCH($C205, ""d""), """",""d"")"),"d")</f>
        <v>d</v>
      </c>
      <c r="CX205" s="246" t="str">
        <f>IFERROR(__xludf.DUMMYFUNCTION("IF(REGEXMATCH($C205, ""D""), """",""D"")"),"")</f>
        <v/>
      </c>
      <c r="CY205" s="246" t="str">
        <f>IFERROR(__xludf.DUMMYFUNCTION("IF(REGEXMATCH($C205, ""n""), """",""n"")"),"")</f>
        <v/>
      </c>
      <c r="CZ205" s="246" t="str">
        <f>IFERROR(__xludf.DUMMYFUNCTION("IF(REGEXMATCH($C205, ""N""), """",""N"")"),"")</f>
        <v/>
      </c>
      <c r="DA205" s="246" t="str">
        <f>IFERROR(__xludf.DUMMYFUNCTION("IF(REGEXMATCH($C205, ""S""), ""S"",""S"")"),"S")</f>
        <v>S</v>
      </c>
      <c r="DB205" s="362" t="str">
        <f>IFERROR(__xludf.DUMMYFUNCTION("JOIN("""",CO205:DA205,"""","""")"),"SrRgMPdS")</f>
        <v>SrRgMPdS</v>
      </c>
      <c r="DC205" s="363"/>
      <c r="DD205" s="301" t="str">
        <f t="shared" si="35"/>
        <v>#REF!</v>
      </c>
      <c r="DE205" s="302" t="str">
        <f t="shared" si="36"/>
        <v>#REF!</v>
      </c>
      <c r="DF205" s="301" t="str">
        <f t="shared" ref="DF205:DG205" si="625">SUBSTITUTE(S205,"-","")</f>
        <v>SGM</v>
      </c>
      <c r="DG205" s="301" t="str">
        <f t="shared" si="625"/>
        <v>DNS</v>
      </c>
      <c r="DH205" s="302" t="str">
        <f t="shared" si="38"/>
        <v>(n/a)</v>
      </c>
      <c r="DI205" s="301" t="str">
        <f t="shared" si="39"/>
        <v>Hemi.</v>
      </c>
      <c r="DJ205" s="364" t="str">
        <f t="shared" si="40"/>
        <v>Co-Co.</v>
      </c>
      <c r="DK205" s="306" t="str">
        <f t="shared" si="41"/>
        <v>-</v>
      </c>
      <c r="DL205" s="366" t="str">
        <f t="shared" si="42"/>
        <v>-</v>
      </c>
      <c r="DM205" s="308" t="str">
        <f t="shared" si="43"/>
        <v>✔</v>
      </c>
      <c r="DN205" s="306" t="str">
        <f t="shared" si="44"/>
        <v>-</v>
      </c>
      <c r="DO205" s="306" t="str">
        <f t="shared" si="45"/>
        <v>-</v>
      </c>
      <c r="DP205" s="367" t="str">
        <f t="shared" si="46"/>
        <v>-</v>
      </c>
      <c r="DQ205" s="310" t="str">
        <f t="shared" si="47"/>
        <v>-</v>
      </c>
      <c r="DR205" s="310" t="str">
        <f t="shared" si="48"/>
        <v>-</v>
      </c>
      <c r="DS205" s="310" t="str">
        <f t="shared" si="49"/>
        <v>-</v>
      </c>
      <c r="DT205" s="310" t="str">
        <f t="shared" si="50"/>
        <v>-</v>
      </c>
      <c r="DU205" s="370" t="str">
        <f t="shared" si="51"/>
        <v>✔</v>
      </c>
      <c r="DV205" s="306" t="str">
        <f t="shared" si="52"/>
        <v>✔</v>
      </c>
      <c r="DW205" s="306" t="str">
        <f t="shared" si="53"/>
        <v>-</v>
      </c>
      <c r="DX205" s="306" t="str">
        <f t="shared" si="54"/>
        <v>-</v>
      </c>
      <c r="DY205" s="306" t="str">
        <f t="shared" si="55"/>
        <v>✔</v>
      </c>
      <c r="DZ205" s="306" t="str">
        <f t="shared" si="56"/>
        <v>-</v>
      </c>
      <c r="EA205" s="367" t="str">
        <f t="shared" si="57"/>
        <v>-</v>
      </c>
      <c r="EB205" s="310" t="str">
        <f>IFERROR(__xludf.DUMMYFUNCTION("IF(REGEXMATCH(AW205,AS205),""✔"",""-"")"),"✔")</f>
        <v>✔</v>
      </c>
      <c r="EC205" s="310" t="str">
        <f t="shared" si="58"/>
        <v>#REF!</v>
      </c>
      <c r="ED205" s="370" t="str">
        <f t="shared" si="59"/>
        <v>-</v>
      </c>
      <c r="EE205" s="340" t="str">
        <f t="shared" si="60"/>
        <v>S-G-m-D-nN-S</v>
      </c>
      <c r="EF205" s="371" t="str">
        <f>IFERROR(__xludf.DUMMYFUNCTION("CONCATENATE(JOIN("""",HC205:HO205))"),"SrRgPdS")</f>
        <v>SrRgPdS</v>
      </c>
      <c r="EG205" s="372">
        <f t="shared" si="61"/>
        <v>2</v>
      </c>
      <c r="EH205" s="373" t="str">
        <f>IFERROR(__xludf.DUMMYFUNCTION("CONCATENATE(JOIN("""",JC205:JO205))"),"Sa, Ni, ")</f>
        <v>Sa, Ni, </v>
      </c>
      <c r="EI205" s="322">
        <f t="shared" si="62"/>
        <v>0</v>
      </c>
      <c r="EJ205" s="374" t="str">
        <f>IFERROR(__xludf.DUMMYFUNCTION("CONCATENATE(JOIN("""",KC205:KO205))"),"")</f>
        <v/>
      </c>
      <c r="EK205" s="325" t="str">
        <f t="shared" si="63"/>
        <v>S-G3-M1-D2-N2-N3-S</v>
      </c>
      <c r="EL205" s="326" t="str">
        <f t="shared" si="64"/>
        <v>1-3-4-6-b7-7-8</v>
      </c>
      <c r="EM205" s="318" t="str">
        <f t="shared" si="65"/>
        <v>#REF!</v>
      </c>
      <c r="EN205" s="328" t="str">
        <f>IFERROR(__xludf.DUMMYFUNCTION("SUBSTITUTE(SUBSTITUTE(SUBSTITUTE(SUBSTITUTE(CONCATENATE(JOIN("" "",HP205:IB205)),""  "","" ""),""  "","" ""),""  "","" ""),""  "","" "")"),"o • • • o o • • • o o o o")</f>
        <v>o • • • o o • • • o o o o</v>
      </c>
      <c r="EO205" s="368" t="str">
        <f t="shared" si="66"/>
        <v>Sa-ma</v>
      </c>
      <c r="EP205" s="339" t="str">
        <f t="shared" si="67"/>
        <v>-</v>
      </c>
      <c r="EQ205" s="339" t="str">
        <f t="shared" si="68"/>
        <v>-</v>
      </c>
      <c r="ER205" s="339" t="str">
        <f t="shared" si="69"/>
        <v>-</v>
      </c>
      <c r="ES205" s="340" t="str">
        <f t="shared" si="70"/>
        <v>Sa-ma</v>
      </c>
      <c r="ET205" s="363"/>
      <c r="EU205" s="376" t="b">
        <f>IFERROR(__xludf.DUMMYFUNCTION("arrayformula(sum(--REGEXMATCH(""SRGMPDNS"",split(REGEXREPLACE(C205,""(.)"",""$1~""),""~""))))=len(C205)
"),FALSE)</f>
        <v>0</v>
      </c>
      <c r="EV205" s="290" t="b">
        <f>IFERROR(__xludf.DUMMYFUNCTION("arrayformula(sum(--REGEXMATCH(""SRGmPDNS"",split(REGEXREPLACE(C205,""(.)"",""$1~""),""~""))))=len(C205)"),FALSE)</f>
        <v>0</v>
      </c>
      <c r="EW205" s="290" t="b">
        <f>IFERROR(__xludf.DUMMYFUNCTION("arrayformula(sum(--REGEXMATCH(""SRGmPDnS"",split(REGEXREPLACE(C205,""(.)"",""$1~""),""~""))))=len(C205)"),FALSE)</f>
        <v>0</v>
      </c>
      <c r="EX205" s="290" t="b">
        <f>IFERROR(__xludf.DUMMYFUNCTION("arrayformula(sum(--REGEXMATCH(""SRgmPDnS"",split(REGEXREPLACE(C205,""(.)"",""$1~""),""~""))))=len(C205)"),FALSE)</f>
        <v>0</v>
      </c>
      <c r="EY205" s="290" t="b">
        <f>IFERROR(__xludf.DUMMYFUNCTION("arrayformula(sum(--REGEXMATCH(""SRgmPdnS"",split(REGEXREPLACE(C205,""(.)"",""$1~""),""~""))))=len(C205)"),FALSE)</f>
        <v>0</v>
      </c>
      <c r="EZ205" s="290" t="b">
        <f>IFERROR(__xludf.DUMMYFUNCTION("arrayformula(sum(--REGEXMATCH(""SrgmPdnS"",split(REGEXREPLACE(C205,""(.)"",""$1~""),""~""))))=len(C205)"),FALSE)</f>
        <v>0</v>
      </c>
      <c r="FA205" s="290" t="b">
        <f>IFERROR(__xludf.DUMMYFUNCTION("arrayformula(sum(--REGEXMATCH(""SrGmPdNS"",split(REGEXREPLACE(C205,""(.)"",""$1~""),""~""))))=len(C205)"),FALSE)</f>
        <v>0</v>
      </c>
      <c r="FB205" s="290" t="b">
        <f>IFERROR(__xludf.DUMMYFUNCTION("arrayformula(sum(--REGEXMATCH(""SrGMPDNS"",split(REGEXREPLACE(C205,""(.)"",""$1~""),""~""))))=len(C205)"),FALSE)</f>
        <v>0</v>
      </c>
      <c r="FC205" s="290" t="b">
        <f>IFERROR(__xludf.DUMMYFUNCTION("arrayformula(sum(--REGEXMATCH(""SrGMPdNS"",split(REGEXREPLACE(C205,""(.)"",""$1~""),""~""))))=len(C205)"),FALSE)</f>
        <v>0</v>
      </c>
      <c r="FD205" s="377" t="b">
        <f>IFERROR(__xludf.DUMMYFUNCTION("arrayformula(sum(--REGEXMATCH(""SrgMPdNS"",split(REGEXREPLACE(C205,""(.)"",""$1~""),""~""))))=len(C205)"),FALSE)</f>
        <v>0</v>
      </c>
      <c r="FE205" s="269" t="str">
        <f t="shared" si="71"/>
        <v>-</v>
      </c>
      <c r="FF205" s="269" t="str">
        <f t="shared" si="72"/>
        <v>-</v>
      </c>
      <c r="FG205" s="271" t="str">
        <f t="shared" si="73"/>
        <v>-</v>
      </c>
      <c r="FH205" s="269" t="str">
        <f t="shared" si="74"/>
        <v>xxoooxxxxoo</v>
      </c>
      <c r="FI205" s="271" t="str">
        <f t="shared" si="75"/>
        <v>xoooxxxxooo</v>
      </c>
      <c r="FJ205" s="271" t="str">
        <f t="shared" si="76"/>
        <v>-</v>
      </c>
      <c r="FK205" s="271" t="str">
        <f t="shared" si="77"/>
        <v>-</v>
      </c>
      <c r="FL205" s="271" t="str">
        <f t="shared" si="78"/>
        <v>-</v>
      </c>
      <c r="FM205" s="271" t="str">
        <f t="shared" si="79"/>
        <v>xxxxoooxxoo</v>
      </c>
      <c r="FN205" s="271" t="str">
        <f t="shared" si="80"/>
        <v>xxxoooxxooo</v>
      </c>
      <c r="FO205" s="274" t="str">
        <f t="shared" si="81"/>
        <v>xxoooxxooox</v>
      </c>
      <c r="FP205" s="234" t="str">
        <f t="shared" si="82"/>
        <v>|</v>
      </c>
      <c r="FQ205" s="236" t="str">
        <f t="shared" si="83"/>
        <v>-</v>
      </c>
      <c r="FR205" s="237" t="str">
        <f t="shared" si="84"/>
        <v>-</v>
      </c>
      <c r="FS205" s="236" t="str">
        <f t="shared" si="85"/>
        <v>-</v>
      </c>
      <c r="FT205" s="237" t="str">
        <f t="shared" si="86"/>
        <v>|</v>
      </c>
      <c r="FU205" s="236" t="str">
        <f t="shared" si="87"/>
        <v>|</v>
      </c>
      <c r="FV205" s="237" t="str">
        <f t="shared" si="88"/>
        <v>-</v>
      </c>
      <c r="FW205" s="236" t="str">
        <f t="shared" si="89"/>
        <v>-</v>
      </c>
      <c r="FX205" s="237" t="str">
        <f t="shared" si="90"/>
        <v>-</v>
      </c>
      <c r="FY205" s="236" t="str">
        <f t="shared" si="91"/>
        <v>|</v>
      </c>
      <c r="FZ205" s="237" t="str">
        <f t="shared" si="92"/>
        <v>|</v>
      </c>
      <c r="GA205" s="236" t="str">
        <f t="shared" si="93"/>
        <v>|</v>
      </c>
      <c r="GB205" s="238" t="str">
        <f t="shared" si="94"/>
        <v>|</v>
      </c>
      <c r="GC205" s="244" t="str">
        <f>IFERROR(__xludf.DUMMYFUNCTION("IF(REGEXMATCH(C205, ""S""), ""1"","""")"),"1")</f>
        <v>1</v>
      </c>
      <c r="GD205" s="245" t="str">
        <f>IFERROR(__xludf.DUMMYFUNCTION("IF(REGEXMATCH(C205, ""r""), ""b2"","""")"),"")</f>
        <v/>
      </c>
      <c r="GE205" s="246" t="str">
        <f>IFERROR(__xludf.DUMMYFUNCTION("IF(REGEXMATCH(C205, ""R""), ""2"","""")"),"")</f>
        <v/>
      </c>
      <c r="GF205" s="246" t="str">
        <f>IFERROR(__xludf.DUMMYFUNCTION("IF(REGEXMATCH(C205, ""g""), ""b3"","""")"),"")</f>
        <v/>
      </c>
      <c r="GG205" s="245" t="str">
        <f>IFERROR(__xludf.DUMMYFUNCTION("IF(REGEXMATCH(C205, ""G""), ""3"","""")"),"3")</f>
        <v>3</v>
      </c>
      <c r="GH205" s="245" t="str">
        <f>IFERROR(__xludf.DUMMYFUNCTION("IF(REGEXMATCH(C205, ""m""), ""4"","""")"),"4")</f>
        <v>4</v>
      </c>
      <c r="GI205" s="246" t="str">
        <f>IFERROR(__xludf.DUMMYFUNCTION("IF(REGEXMATCH(C205, ""M""), ""#4"","""")"),"")</f>
        <v/>
      </c>
      <c r="GJ205" s="245" t="str">
        <f>IFERROR(__xludf.DUMMYFUNCTION("IF(REGEXMATCH(C205, ""P""), ""5"","""")"),"")</f>
        <v/>
      </c>
      <c r="GK205" s="246" t="str">
        <f>IFERROR(__xludf.DUMMYFUNCTION("IF(REGEXMATCH(C205, ""d""), ""b6"","""")"),"")</f>
        <v/>
      </c>
      <c r="GL205" s="245" t="str">
        <f>IFERROR(__xludf.DUMMYFUNCTION("IF(REGEXMATCH(C205, ""D""), ""6"","""")"),"6")</f>
        <v>6</v>
      </c>
      <c r="GM205" s="245" t="str">
        <f>IFERROR(__xludf.DUMMYFUNCTION("IF(REGEXMATCH(C205, ""n""), ""b7"","""")"),"b7")</f>
        <v>b7</v>
      </c>
      <c r="GN205" s="246" t="str">
        <f>IFERROR(__xludf.DUMMYFUNCTION("IF(REGEXMATCH(C205, ""N""), ""7"","""")"),"7")</f>
        <v>7</v>
      </c>
      <c r="GO205" s="249" t="str">
        <f>IFERROR(__xludf.DUMMYFUNCTION("IF(REGEXMATCH(C205, ""S""), ""8"","""")"),"8")</f>
        <v>8</v>
      </c>
      <c r="GP205" s="244" t="str">
        <f>IFERROR(__xludf.DUMMYFUNCTION("IF(REGEXMATCH(C205, ""S""), ""S"","""")"),"S")</f>
        <v>S</v>
      </c>
      <c r="GQ205" s="294" t="str">
        <f>IFERROR(__xludf.DUMMYFUNCTION("IF(REGEXMATCH(C205, ""r""), ""R1"","""")"),"")</f>
        <v/>
      </c>
      <c r="GR205" s="295" t="str">
        <f>IFERROR(__xludf.DUMMYFUNCTION("IF(REGEXMATCH(C205, ""R""), ""R2"","""")"),"")</f>
        <v/>
      </c>
      <c r="GS205" s="295" t="str">
        <f>IFERROR(__xludf.DUMMYFUNCTION("IF(REGEXMATCH(C205, ""g""), ""G2"","""")"),"")</f>
        <v/>
      </c>
      <c r="GT205" s="294" t="str">
        <f>IFERROR(__xludf.DUMMYFUNCTION("IF(REGEXMATCH(C205, ""G""), ""G3"","""")"),"G3")</f>
        <v>G3</v>
      </c>
      <c r="GU205" s="294" t="str">
        <f>IFERROR(__xludf.DUMMYFUNCTION("IF(REGEXMATCH(C205, ""m""), ""M1"","""")"),"M1")</f>
        <v>M1</v>
      </c>
      <c r="GV205" s="295" t="str">
        <f>IFERROR(__xludf.DUMMYFUNCTION("IF(REGEXMATCH(C205, ""M""), ""M2"","""")"),"")</f>
        <v/>
      </c>
      <c r="GW205" s="294" t="str">
        <f>IFERROR(__xludf.DUMMYFUNCTION("IF(REGEXMATCH(C205, ""P""), ""P"","""")"),"")</f>
        <v/>
      </c>
      <c r="GX205" s="295" t="str">
        <f>IFERROR(__xludf.DUMMYFUNCTION("IF(REGEXMATCH(C205, ""d""), ""D1"","""")"),"")</f>
        <v/>
      </c>
      <c r="GY205" s="294" t="str">
        <f>IFERROR(__xludf.DUMMYFUNCTION("IF(REGEXMATCH(C205, ""D""), ""D2"","""")"),"D2")</f>
        <v>D2</v>
      </c>
      <c r="GZ205" s="294" t="str">
        <f>IFERROR(__xludf.DUMMYFUNCTION("IF(REGEXMATCH(C205, ""n""), ""N2"","""")"),"N2")</f>
        <v>N2</v>
      </c>
      <c r="HA205" s="295" t="str">
        <f>IFERROR(__xludf.DUMMYFUNCTION("IF(REGEXMATCH(C205, ""N""), ""N3"","""")"),"N3")</f>
        <v>N3</v>
      </c>
      <c r="HB205" s="249" t="str">
        <f>IFERROR(__xludf.DUMMYFUNCTION("IF(REGEXMATCH(C205, ""S""), ""S"","""")"),"S")</f>
        <v>S</v>
      </c>
      <c r="HC205" s="331" t="str">
        <f t="shared" si="95"/>
        <v>S</v>
      </c>
      <c r="HD205" s="332" t="str">
        <f t="shared" si="96"/>
        <v>r</v>
      </c>
      <c r="HE205" s="332" t="str">
        <f t="shared" si="97"/>
        <v>R</v>
      </c>
      <c r="HF205" s="332" t="str">
        <f t="shared" si="98"/>
        <v>g</v>
      </c>
      <c r="HG205" s="332" t="str">
        <f t="shared" si="99"/>
        <v/>
      </c>
      <c r="HH205" s="332" t="str">
        <f t="shared" si="100"/>
        <v/>
      </c>
      <c r="HI205" s="332" t="str">
        <f t="shared" si="101"/>
        <v/>
      </c>
      <c r="HJ205" s="332" t="str">
        <f t="shared" si="102"/>
        <v>P</v>
      </c>
      <c r="HK205" s="332" t="str">
        <f t="shared" si="103"/>
        <v>d</v>
      </c>
      <c r="HL205" s="332" t="str">
        <f t="shared" si="104"/>
        <v/>
      </c>
      <c r="HM205" s="332" t="str">
        <f t="shared" si="105"/>
        <v/>
      </c>
      <c r="HN205" s="332" t="str">
        <f t="shared" si="106"/>
        <v/>
      </c>
      <c r="HO205" s="343" t="str">
        <f t="shared" si="107"/>
        <v>S</v>
      </c>
      <c r="HP205" s="331" t="str">
        <f t="shared" si="108"/>
        <v>o</v>
      </c>
      <c r="HQ205" s="332" t="str">
        <f t="shared" si="109"/>
        <v>•</v>
      </c>
      <c r="HR205" s="332" t="str">
        <f t="shared" si="110"/>
        <v>•</v>
      </c>
      <c r="HS205" s="332" t="str">
        <f t="shared" si="111"/>
        <v>•</v>
      </c>
      <c r="HT205" s="332" t="str">
        <f t="shared" si="112"/>
        <v>o</v>
      </c>
      <c r="HU205" s="332" t="str">
        <f t="shared" si="113"/>
        <v>o</v>
      </c>
      <c r="HV205" s="332" t="str">
        <f t="shared" si="114"/>
        <v>•</v>
      </c>
      <c r="HW205" s="332" t="str">
        <f t="shared" si="115"/>
        <v>•</v>
      </c>
      <c r="HX205" s="332" t="str">
        <f t="shared" si="116"/>
        <v>•</v>
      </c>
      <c r="HY205" s="332" t="str">
        <f t="shared" si="117"/>
        <v>o</v>
      </c>
      <c r="HZ205" s="332" t="str">
        <f t="shared" si="118"/>
        <v>o</v>
      </c>
      <c r="IA205" s="332" t="str">
        <f t="shared" si="119"/>
        <v>o</v>
      </c>
      <c r="IB205" s="338" t="str">
        <f t="shared" si="120"/>
        <v>o</v>
      </c>
      <c r="IC205" s="331" t="str">
        <f t="shared" si="121"/>
        <v>•</v>
      </c>
      <c r="ID205" s="332" t="str">
        <f t="shared" si="122"/>
        <v>o</v>
      </c>
      <c r="IE205" s="332" t="str">
        <f t="shared" si="123"/>
        <v>o</v>
      </c>
      <c r="IF205" s="332" t="str">
        <f t="shared" si="124"/>
        <v>o</v>
      </c>
      <c r="IG205" s="332" t="str">
        <f t="shared" si="125"/>
        <v>•</v>
      </c>
      <c r="IH205" s="332" t="str">
        <f t="shared" si="126"/>
        <v>•</v>
      </c>
      <c r="II205" s="332" t="str">
        <f t="shared" si="127"/>
        <v>o</v>
      </c>
      <c r="IJ205" s="332" t="str">
        <f t="shared" si="128"/>
        <v>o</v>
      </c>
      <c r="IK205" s="332" t="str">
        <f t="shared" si="129"/>
        <v>o</v>
      </c>
      <c r="IL205" s="332" t="str">
        <f t="shared" si="130"/>
        <v>•</v>
      </c>
      <c r="IM205" s="332" t="str">
        <f t="shared" si="131"/>
        <v>•</v>
      </c>
      <c r="IN205" s="332" t="str">
        <f t="shared" si="132"/>
        <v>•</v>
      </c>
      <c r="IO205" s="338" t="str">
        <f t="shared" si="133"/>
        <v>•</v>
      </c>
      <c r="IP205" s="346" t="b">
        <f t="shared" si="134"/>
        <v>1</v>
      </c>
      <c r="IQ205" s="347" t="b">
        <f t="shared" si="135"/>
        <v>0</v>
      </c>
      <c r="IR205" s="347" t="b">
        <f t="shared" si="136"/>
        <v>0</v>
      </c>
      <c r="IS205" s="347" t="b">
        <f t="shared" si="137"/>
        <v>0</v>
      </c>
      <c r="IT205" s="347" t="b">
        <f t="shared" si="138"/>
        <v>0</v>
      </c>
      <c r="IU205" s="347" t="b">
        <f t="shared" si="139"/>
        <v>0</v>
      </c>
      <c r="IV205" s="347" t="b">
        <f t="shared" si="140"/>
        <v>0</v>
      </c>
      <c r="IW205" s="347" t="b">
        <f t="shared" si="141"/>
        <v>0</v>
      </c>
      <c r="IX205" s="347" t="b">
        <f t="shared" si="142"/>
        <v>0</v>
      </c>
      <c r="IY205" s="347" t="b">
        <f t="shared" si="143"/>
        <v>0</v>
      </c>
      <c r="IZ205" s="347" t="b">
        <f t="shared" si="144"/>
        <v>0</v>
      </c>
      <c r="JA205" s="347" t="b">
        <f t="shared" si="145"/>
        <v>1</v>
      </c>
      <c r="JB205" s="353" t="b">
        <f t="shared" si="146"/>
        <v>1</v>
      </c>
      <c r="JC205" s="354" t="str">
        <f t="shared" si="147"/>
        <v>Sa, </v>
      </c>
      <c r="JD205" s="355" t="str">
        <f t="shared" si="148"/>
        <v/>
      </c>
      <c r="JE205" s="355" t="str">
        <f t="shared" si="149"/>
        <v/>
      </c>
      <c r="JF205" s="355" t="str">
        <f t="shared" si="150"/>
        <v/>
      </c>
      <c r="JG205" s="355" t="str">
        <f t="shared" si="151"/>
        <v/>
      </c>
      <c r="JH205" s="355" t="str">
        <f t="shared" si="152"/>
        <v/>
      </c>
      <c r="JI205" s="355" t="str">
        <f t="shared" si="153"/>
        <v/>
      </c>
      <c r="JJ205" s="355" t="str">
        <f t="shared" si="154"/>
        <v/>
      </c>
      <c r="JK205" s="355" t="str">
        <f t="shared" si="155"/>
        <v/>
      </c>
      <c r="JL205" s="355" t="str">
        <f t="shared" si="156"/>
        <v/>
      </c>
      <c r="JM205" s="355" t="str">
        <f t="shared" si="157"/>
        <v/>
      </c>
      <c r="JN205" s="355" t="str">
        <f t="shared" si="158"/>
        <v>Ni, </v>
      </c>
      <c r="JO205" s="359" t="str">
        <f t="shared" si="159"/>
        <v/>
      </c>
      <c r="JP205" s="346" t="b">
        <f t="shared" si="160"/>
        <v>0</v>
      </c>
      <c r="JQ205" s="347" t="b">
        <f t="shared" si="161"/>
        <v>0</v>
      </c>
      <c r="JR205" s="347" t="b">
        <f t="shared" si="162"/>
        <v>0</v>
      </c>
      <c r="JS205" s="347" t="b">
        <f t="shared" si="163"/>
        <v>0</v>
      </c>
      <c r="JT205" s="347" t="b">
        <f t="shared" si="164"/>
        <v>0</v>
      </c>
      <c r="JU205" s="347" t="b">
        <f t="shared" si="165"/>
        <v>0</v>
      </c>
      <c r="JV205" s="347" t="b">
        <f t="shared" si="166"/>
        <v>0</v>
      </c>
      <c r="JW205" s="347" t="b">
        <f t="shared" si="167"/>
        <v>0</v>
      </c>
      <c r="JX205" s="347" t="b">
        <f t="shared" si="168"/>
        <v>0</v>
      </c>
      <c r="JY205" s="347" t="b">
        <f t="shared" si="169"/>
        <v>0</v>
      </c>
      <c r="JZ205" s="347" t="b">
        <f t="shared" si="170"/>
        <v>0</v>
      </c>
      <c r="KA205" s="347" t="b">
        <f t="shared" si="171"/>
        <v>0</v>
      </c>
      <c r="KB205" s="365" t="b">
        <f t="shared" si="172"/>
        <v>0</v>
      </c>
      <c r="KC205" s="354" t="str">
        <f t="shared" si="173"/>
        <v/>
      </c>
      <c r="KD205" s="355" t="str">
        <f t="shared" si="174"/>
        <v/>
      </c>
      <c r="KE205" s="355" t="str">
        <f t="shared" si="175"/>
        <v/>
      </c>
      <c r="KF205" s="355" t="str">
        <f t="shared" si="176"/>
        <v/>
      </c>
      <c r="KG205" s="355" t="str">
        <f t="shared" si="177"/>
        <v/>
      </c>
      <c r="KH205" s="355" t="str">
        <f t="shared" si="178"/>
        <v/>
      </c>
      <c r="KI205" s="355" t="str">
        <f t="shared" si="179"/>
        <v/>
      </c>
      <c r="KJ205" s="355" t="str">
        <f t="shared" si="180"/>
        <v/>
      </c>
      <c r="KK205" s="355" t="str">
        <f t="shared" si="181"/>
        <v/>
      </c>
      <c r="KL205" s="355" t="str">
        <f t="shared" si="182"/>
        <v/>
      </c>
      <c r="KM205" s="355" t="str">
        <f t="shared" si="183"/>
        <v/>
      </c>
      <c r="KN205" s="355" t="str">
        <f t="shared" si="184"/>
        <v/>
      </c>
      <c r="KO205" s="359"/>
      <c r="KP205" s="378"/>
      <c r="KQ205" s="379" t="s">
        <v>616</v>
      </c>
      <c r="KR205" s="380" t="s">
        <v>1439</v>
      </c>
      <c r="KS205" s="381" t="str">
        <f t="shared" si="623"/>
        <v>S-G-m-D-N-S</v>
      </c>
      <c r="KT205" s="382">
        <f t="shared" si="186"/>
        <v>5</v>
      </c>
      <c r="KU205" s="383">
        <f t="shared" si="187"/>
        <v>5</v>
      </c>
      <c r="KV205" s="381" t="str">
        <f t="shared" si="205"/>
        <v>S-n-D-m-G-S</v>
      </c>
      <c r="KW205" s="382">
        <f t="shared" si="189"/>
        <v>5</v>
      </c>
      <c r="KX205" s="384">
        <f t="shared" si="190"/>
        <v>5</v>
      </c>
      <c r="KY205" s="382">
        <f t="shared" ref="KY205:KZ205" si="626">KW205-KT205</f>
        <v>0</v>
      </c>
      <c r="KZ205" s="369">
        <f t="shared" si="626"/>
        <v>0</v>
      </c>
      <c r="LA205" s="385" t="str">
        <f t="shared" si="192"/>
        <v>✔</v>
      </c>
      <c r="LB205" s="340" t="str">
        <f>IFERROR(__xludf.DUMMYFUNCTION("JOIN("""",ArrayFormula(MID(KS205,LEN(KS205)-SEQUENCE(1,LEN(KS205))+1,1)))"),"S-N-D-m-G-S")</f>
        <v>S-N-D-m-G-S</v>
      </c>
      <c r="LC205" s="373" t="str">
        <f>IFERROR(__xludf.DUMMYFUNCTION("JOIN("""",ArrayFormula(MID(KV205,LEN(KV205)-SEQUENCE(1,LEN(KV205))+1,1)))"),"S-G-m-D-n-S")</f>
        <v>S-G-m-D-n-S</v>
      </c>
      <c r="LD205" s="373" t="str">
        <f t="shared" si="193"/>
        <v>SGmDNS</v>
      </c>
      <c r="LE205" s="339" t="str">
        <f t="shared" si="194"/>
        <v>SGmDnS</v>
      </c>
      <c r="LF205" s="386" t="str">
        <f>IFERROR(__xludf.DUMMYFUNCTION("SUBSTITUTE(SUBSTITUTE(CONCATENATE(JOIN("""",LH205:LT205)),""1"",""""),""2"","""")"),"SGmDnNS")</f>
        <v>SGmDnNS</v>
      </c>
      <c r="LG205" s="369" t="str">
        <f t="shared" si="195"/>
        <v>✔</v>
      </c>
      <c r="LH205" s="387" t="str">
        <f>IFERROR(__xludf.DUMMYFUNCTION("IF(REGEXMATCH(LD205, ""S""), ""S"",IF(REGEXMATCH(LE205, ""S""), ""S"",""""))"),"S")</f>
        <v>S</v>
      </c>
      <c r="LI205" s="299" t="str">
        <f>IFERROR(__xludf.DUMMYFUNCTION("IF(REGEXMATCH(LD205, ""r""), ""r1"",IF(REGEXMATCH(LE205, ""r""), ""r2"",""""))"),"")</f>
        <v/>
      </c>
      <c r="LJ205" s="299" t="str">
        <f>IFERROR(__xludf.DUMMYFUNCTION("IF(REGEXMATCH(LD205, ""R""), ""R1"",IF(REGEXMATCH(LE205, ""R""), ""R2"",""""))"),"")</f>
        <v/>
      </c>
      <c r="LK205" s="299" t="str">
        <f>IFERROR(__xludf.DUMMYFUNCTION("IF(REGEXMATCH(LD205, ""g""), ""g1"",IF(REGEXMATCH(LE205, ""g""), ""g2"",""""))"),"")</f>
        <v/>
      </c>
      <c r="LL205" s="299" t="str">
        <f>IFERROR(__xludf.DUMMYFUNCTION("IF(REGEXMATCH(LD205, ""G""), ""G1"",IF(REGEXMATCH(LE205, ""G""), ""G2"",""""))"),"G1")</f>
        <v>G1</v>
      </c>
      <c r="LM205" s="299" t="str">
        <f>IFERROR(__xludf.DUMMYFUNCTION("IF(REGEXMATCH(LD205, ""m""), ""m1"",IF(REGEXMATCH(LE205, ""m""), ""m2"",""""))"),"m1")</f>
        <v>m1</v>
      </c>
      <c r="LN205" s="299" t="str">
        <f>IFERROR(__xludf.DUMMYFUNCTION("IF(REGEXMATCH(LD205, ""M""), ""M1"",IF(REGEXMATCH(LE205, ""M""), ""M2"",""""))"),"")</f>
        <v/>
      </c>
      <c r="LO205" s="299" t="str">
        <f>IFERROR(__xludf.DUMMYFUNCTION("IF(REGEXMATCH(LD205, ""P""), ""P1"",IF(REGEXMATCH(LE205, ""P""), ""P2"",""""))"),"")</f>
        <v/>
      </c>
      <c r="LP205" s="299" t="str">
        <f>IFERROR(__xludf.DUMMYFUNCTION("IF(REGEXMATCH(LD205, ""d""), ""d1"",IF(REGEXMATCH(LE205, ""d""), ""d2"",""""))"),"")</f>
        <v/>
      </c>
      <c r="LQ205" s="299" t="str">
        <f>IFERROR(__xludf.DUMMYFUNCTION("IF(REGEXMATCH(LD205, ""D""), ""D1"",IF(REGEXMATCH(LE205, ""D""), ""D2"",""""))"),"D1")</f>
        <v>D1</v>
      </c>
      <c r="LR205" s="299" t="str">
        <f>IFERROR(__xludf.DUMMYFUNCTION("IF(REGEXMATCH(LD205, ""n""), ""n1"",IF(REGEXMATCH(LE205, ""n""), ""n2"",""""))"),"n2")</f>
        <v>n2</v>
      </c>
      <c r="LS205" s="299" t="str">
        <f>IFERROR(__xludf.DUMMYFUNCTION("IF(REGEXMATCH(LD205, ""N""), ""N1"",IF(REGEXMATCH(LE205, ""N""), ""N2"",""""))"),"N1")</f>
        <v>N1</v>
      </c>
      <c r="LT205" s="388" t="str">
        <f>IFERROR(__xludf.DUMMYFUNCTION("IF(REGEXMATCH(LD205, ""S""), ""S"",IF(REGEXMATCH(LE205, ""S""), ""S"",""""))"),"S")</f>
        <v>S</v>
      </c>
      <c r="LU205" s="389">
        <f t="shared" si="196"/>
        <v>1</v>
      </c>
      <c r="LV205" s="378"/>
      <c r="LW205" s="369"/>
      <c r="LX205" s="369"/>
    </row>
    <row r="206" ht="18.0" customHeight="1">
      <c r="A206" s="447" t="s">
        <v>934</v>
      </c>
      <c r="B206" s="222" t="s">
        <v>935</v>
      </c>
      <c r="C206" s="233" t="str">
        <f t="shared" si="7"/>
        <v>SgmPNS</v>
      </c>
      <c r="D206" s="234" t="str">
        <f>IFERROR(__xludf.DUMMYFUNCTION("IF(REGEXMATCH(C206, ""S""), ""S"","""")"),"S")</f>
        <v>S</v>
      </c>
      <c r="E206" s="236" t="str">
        <f>IFERROR(__xludf.DUMMYFUNCTION("IF(REGEXMATCH(C206, ""r""), ""r"","""")"),"")</f>
        <v/>
      </c>
      <c r="F206" s="237" t="str">
        <f>IFERROR(__xludf.DUMMYFUNCTION("IF(REGEXMATCH(C206, ""R""), ""R"","""")"),"")</f>
        <v/>
      </c>
      <c r="G206" s="237" t="str">
        <f>IFERROR(__xludf.DUMMYFUNCTION("IF(REGEXMATCH(C206, ""g""), ""g"","""")"),"g")</f>
        <v>g</v>
      </c>
      <c r="H206" s="236" t="str">
        <f>IFERROR(__xludf.DUMMYFUNCTION("IF(REGEXMATCH(C206, ""G""), ""G"","""")"),"")</f>
        <v/>
      </c>
      <c r="I206" s="236" t="str">
        <f>IFERROR(__xludf.DUMMYFUNCTION("IF(REGEXMATCH(C206, ""m""), ""m"","""")"),"m")</f>
        <v>m</v>
      </c>
      <c r="J206" s="237" t="str">
        <f>IFERROR(__xludf.DUMMYFUNCTION("IF(REGEXMATCH(C206, ""M""), ""M"","""")"),"")</f>
        <v/>
      </c>
      <c r="K206" s="236" t="str">
        <f>IFERROR(__xludf.DUMMYFUNCTION("IF(REGEXMATCH(C206, ""P""), ""P"","""")"),"P")</f>
        <v>P</v>
      </c>
      <c r="L206" s="237" t="str">
        <f>IFERROR(__xludf.DUMMYFUNCTION("IF(REGEXMATCH(C206, ""d""), ""d"","""")"),"")</f>
        <v/>
      </c>
      <c r="M206" s="236" t="str">
        <f>IFERROR(__xludf.DUMMYFUNCTION("IF(REGEXMATCH(C206, ""D""), ""D"","""")"),"")</f>
        <v/>
      </c>
      <c r="N206" s="236" t="str">
        <f>IFERROR(__xludf.DUMMYFUNCTION("IF(REGEXMATCH(C206, ""n""), ""n"","""")"),"")</f>
        <v/>
      </c>
      <c r="O206" s="237" t="str">
        <f>IFERROR(__xludf.DUMMYFUNCTION("IF(REGEXMATCH(C206, ""N""), ""N"","""")"),"N")</f>
        <v>N</v>
      </c>
      <c r="P206" s="238" t="str">
        <f>IFERROR(__xludf.DUMMYFUNCTION("IF(REGEXMATCH(C206, ""S""), ""S"","""")"),"S")</f>
        <v>S</v>
      </c>
      <c r="Q206" s="239" t="str">
        <f>IFERROR(__xludf.DUMMYFUNCTION("SUBSTITUTE(CONCATENATE(JOIN(""-"",D206:J206)),""-"","""")"),"Sgm")</f>
        <v>Sgm</v>
      </c>
      <c r="R206" s="229" t="str">
        <f>IFERROR(__xludf.DUMMYFUNCTION("SUBSTITUTE(CONCATENATE(JOIN(""-"",K206:P206)),""-"","""")"),"PNS")</f>
        <v>PNS</v>
      </c>
      <c r="S206" s="282" t="str">
        <f t="shared" si="8"/>
        <v>S-G-M</v>
      </c>
      <c r="T206" s="282" t="str">
        <f t="shared" si="9"/>
        <v>P-N-S</v>
      </c>
      <c r="U206" s="237" t="str">
        <f>IFERROR(__xludf.DUMMYFUNCTION("SUBSTITUTE(JOIN(""-"",S206,T206),""--"",""-"")"),"S-G-M-P-N-S")</f>
        <v>S-G-M-P-N-S</v>
      </c>
      <c r="V206" s="309" t="str">
        <f t="shared" si="10"/>
        <v>gmN</v>
      </c>
      <c r="W206" s="244" t="str">
        <f>IFERROR(__xludf.DUMMYFUNCTION("IF(REGEXMATCH(C206, ""S""), ""0"","""")"),"0")</f>
        <v>0</v>
      </c>
      <c r="X206" s="245" t="str">
        <f>IFERROR(__xludf.DUMMYFUNCTION("IF(REGEXMATCH(C206, ""r""), ""1"","""")"),"")</f>
        <v/>
      </c>
      <c r="Y206" s="246" t="str">
        <f>IFERROR(__xludf.DUMMYFUNCTION("IF(REGEXMATCH(C206, ""R""), ""2"","""")"),"")</f>
        <v/>
      </c>
      <c r="Z206" s="246" t="str">
        <f>IFERROR(__xludf.DUMMYFUNCTION("IF(REGEXMATCH(C206, ""g""), ""3"","""")"),"3")</f>
        <v>3</v>
      </c>
      <c r="AA206" s="245" t="str">
        <f>IFERROR(__xludf.DUMMYFUNCTION("IF(REGEXMATCH(C206, ""G""), ""4"","""")"),"")</f>
        <v/>
      </c>
      <c r="AB206" s="245" t="str">
        <f>IFERROR(__xludf.DUMMYFUNCTION("IF(REGEXMATCH(C206, ""m""), ""5"","""")"),"5")</f>
        <v>5</v>
      </c>
      <c r="AC206" s="246" t="str">
        <f>IFERROR(__xludf.DUMMYFUNCTION("IF(REGEXMATCH(C206, ""M""), ""6"","""")"),"")</f>
        <v/>
      </c>
      <c r="AD206" s="245" t="str">
        <f>IFERROR(__xludf.DUMMYFUNCTION("IF(REGEXMATCH(C206, ""P""), ""7"","""")"),"7")</f>
        <v>7</v>
      </c>
      <c r="AE206" s="246" t="str">
        <f>IFERROR(__xludf.DUMMYFUNCTION("IF(REGEXMATCH(C206, ""d""), ""8"","""")"),"")</f>
        <v/>
      </c>
      <c r="AF206" s="245" t="str">
        <f>IFERROR(__xludf.DUMMYFUNCTION("IF(REGEXMATCH(C206, ""D""), ""9"","""")"),"")</f>
        <v/>
      </c>
      <c r="AG206" s="245" t="str">
        <f>IFERROR(__xludf.DUMMYFUNCTION("IF(REGEXMATCH(C206, ""n""), ""10"","""")"),"")</f>
        <v/>
      </c>
      <c r="AH206" s="246" t="str">
        <f>IFERROR(__xludf.DUMMYFUNCTION("IF(REGEXMATCH(C206, ""N""), ""11"","""")"),"11")</f>
        <v>11</v>
      </c>
      <c r="AI206" s="249" t="str">
        <f>IFERROR(__xludf.DUMMYFUNCTION("IF(REGEXMATCH(C206, ""S""), ""0"","""")"),"0")</f>
        <v>0</v>
      </c>
      <c r="AJ206" s="313" t="str">
        <f t="shared" si="11"/>
        <v>-</v>
      </c>
      <c r="AK206" s="313" t="str">
        <f t="shared" si="12"/>
        <v>-</v>
      </c>
      <c r="AL206" s="313" t="str">
        <f t="shared" si="13"/>
        <v>-</v>
      </c>
      <c r="AM206" s="313" t="str">
        <f t="shared" si="14"/>
        <v>-</v>
      </c>
      <c r="AN206" s="313" t="str">
        <f t="shared" si="15"/>
        <v>-</v>
      </c>
      <c r="AO206" s="314" t="str">
        <f t="shared" si="16"/>
        <v>T</v>
      </c>
      <c r="AP206" s="316">
        <f t="shared" si="17"/>
        <v>1</v>
      </c>
      <c r="AQ206" s="319" t="str">
        <f t="shared" si="18"/>
        <v>#REF!</v>
      </c>
      <c r="AR206" s="320">
        <f t="shared" si="19"/>
        <v>0</v>
      </c>
      <c r="AS206" s="250" t="str">
        <f>IFERROR(__xludf.DUMMYFUNCTION("SUBSTITUTE(SUBSTITUTE(CONCATENATE(JOIN("""",FP206:GA206)),""|"",""x""),""-"",""o"")"),"xooxoxoxooox")</f>
        <v>xooxoxoxooox</v>
      </c>
      <c r="AT206" s="323" t="str">
        <f>IFERROR(__xludf.DUMMYFUNCTION("JOIN("""",AS206,AS206)"),"xooxoxoxoooxxooxoxoxooox")</f>
        <v>xooxoxoxoooxxooxoxoxooox</v>
      </c>
      <c r="AU206" s="256" t="str">
        <f>IFERROR(__xludf.DUMMYFUNCTION("JOIN("""",ArrayFormula(MID(AS206,LEN(AS206)-SEQUENCE(1,LEN(AS206))+1,1)))"),"xoooxoxoxoox")</f>
        <v>xoooxoxoxoox</v>
      </c>
      <c r="AV206" s="256" t="str">
        <f>IFERROR(__xludf.DUMMYFUNCTION("LEFT(CONCATENATE(""x"",JOIN("""",ArrayFormula(MID(AS206,LEN(AS206)-SEQUENCE(1,LEN(AS206))+1,1)))),12)"),"xxoooxoxoxoo")</f>
        <v>xxoooxoxoxoo</v>
      </c>
      <c r="AW206" s="327" t="str">
        <f>IFERROR(__xludf.DUMMYFUNCTION("JOIN("""",AU206,AU206)"),"xoooxoxoxooxxoooxoxoxoox")</f>
        <v>xoooxoxoxooxxoooxoxoxoox</v>
      </c>
      <c r="AX206" s="239" t="str">
        <f>IFERROR(__xludf.DUMMYFUNCTION("IF(REGEXMATCH(AW206,AS206),""✔"",""-"")"),"-")</f>
        <v>-</v>
      </c>
      <c r="AY206" s="330" t="str">
        <f t="shared" si="20"/>
        <v>-</v>
      </c>
      <c r="AZ206" s="260" t="str">
        <f t="shared" si="21"/>
        <v>#REF!</v>
      </c>
      <c r="BA206" s="333" t="str">
        <f t="shared" si="22"/>
        <v>xooxoxo</v>
      </c>
      <c r="BB206" s="334" t="str">
        <f t="shared" si="23"/>
        <v>xoooxx</v>
      </c>
      <c r="BC206" s="335" t="str">
        <f t="shared" si="236"/>
        <v>-</v>
      </c>
      <c r="BD206" s="336" t="str">
        <f t="shared" si="25"/>
        <v>Madhuranjani: 'xooxoxo' + 'xoooxx'</v>
      </c>
      <c r="BE206" s="337">
        <f>IFERROR(__xludf.DUMMYFUNCTION("COUNTUNIQUE(FILTER(AT:AT,REGEXMATCH(AT:AT,AS206)))-1"),1.0)</f>
        <v>1</v>
      </c>
      <c r="BF206" s="261" t="str">
        <f>IFERROR(__xludf.DUMMYFUNCTION("IF(BI206=0,""(n/a)"",IF(BJ206=2,""(PAIR)"",IF(REGEXMATCH(AT206,""xoxoxxoxoxox""),""Bilawal"",IF(REGEXMATCH(AT206,""xoxoxooxoxoo""),""Bhupali"",IF(REGEXMATCH(AT206,""xoxoxxoxxoxo""),""Charukeshi"",IF(REGEXMATCH(AT206,""xoxoooxxoxxo""),""Kameshwari"",IF(REG"&amp;"EXMATCH(AT206,""xoxoxooxoxox""),""Shankara"",IF(REGEXMATCH(AT206,""xxooxoxxxoox""),""Basant"",IF(REGEXMATCH(AT206,""xoxoxxxxoxox""),""Bihag"",IF(REGEXMATCH(AT206,""xoxxxxoxoxxx""),""Pilu"",IF(REGEXMATCH(AT206,""xoxxoxoxxoox""),""Kirwani"",IF(REGEXMATCH(AT"&amp;"206,""xoxxoxoxoxxx""),""Mk.Malhar"",IF(REGEXMATCH(AT206,""xxooxxoxxoox""),""Bhairav"",IF(REGEXMATCH(AT206,""xxoxooxxxoox""),""Todi"",IF(REGEXMATCH(AT206,""xxooxoxooxox""),""Marwa"",IF(REGEXMATCH(AT206,""xxoooxoxxooo""),""Gunkali"",IF(REGEXMATCH(AT206,""xo"&amp;"xoxxoxxoox""),""Nat Bhairav"",IF(REGEXMATCH(AT206,""xoxxoooxoxoo""),""Shivranjani"",IF(REGEXMATCH(AT206,""xooxxxoxooxo""),""Jog"",IF(REGEXMATCH(AT206,""xxooxoxoxoox""),""Hemshri"",IF(REGEXMATCH(AT206,""xoooxooxoxxo""),""Kalavati"",IF(REGEXMATCH(AT206,""xx"&amp;"oxoxxoxoox""),""Kedar"",IF(REGEXMATCH(AT206,""xoxxxxoxooxx""),""Gara"",IF(REGEXMATCH(AT206,""xooxoxooxoox""),""Chandrakauns"",IF(REGEXMATCH(AT206,""xoxxxxoxxxox""),""Mand"",IF(REGEXMATCH(AT206,""xoxxxxoxoxox""),""Hanskinkini"",IF(REGEXMATCH(AT206,""xxooxx"&amp;"oxooxo""),""Lilavati"",IF(REGEXMATCH(AT206,""xooxoxoooxox""),""Rajeshwari"",IF(REGEXMATCH(AT206,""xoooxxoxoxxx""),""Khokar"",IF(REGEXMATCH(AT206,""xxooxoxxxxox""),""Maligoura"",""-""))))))))))))))))))))))))))))))"),"(PAIR)")</f>
        <v>(PAIR)</v>
      </c>
      <c r="BG206" s="239" t="str">
        <f t="shared" si="26"/>
        <v>#REF!</v>
      </c>
      <c r="BH206" s="239">
        <f>IFERROR(__xludf.DUMMYFUNCTION("COUNTUNIQUE(FE206:FO206)-1"),4.0)</f>
        <v>4</v>
      </c>
      <c r="BI206" s="239">
        <f>IFERROR(__xludf.DUMMYFUNCTION("COUNTUNIQUE(FILTER(AT:AT,REGEXMATCH(AT:AT,AS206)))-1"),1.0)</f>
        <v>1</v>
      </c>
      <c r="BJ206" s="239">
        <f>IFERROR(__xludf.DUMMYFUNCTION("COUNTA(FILTER(AT:AT,REGEXMATCH(AT:AT,AS206)))"),2.0)</f>
        <v>2</v>
      </c>
      <c r="BK206" s="341">
        <f>IFERROR(__xludf.DUMMYFUNCTION("COUNTA(FILTER(AT:AT,REGEXMATCH(AT:AT,AS206)))-AR206"),2.0)</f>
        <v>2</v>
      </c>
      <c r="BL206" s="276" t="str">
        <f>IFERROR(__xludf.DUMMYFUNCTION("IF(AS206=""oooooooooooo"",""-"",IF(REGEXMATCH(AT206,""xx""), ""Hemi."", ""Anhemi.""))"),"Hemi.")</f>
        <v>Hemi.</v>
      </c>
      <c r="BM206" s="282" t="str">
        <f>IFERROR(__xludf.DUMMYFUNCTION("IF(AS206=""oooooooooooo"",""-"",IF(REGEXMATCH(AT206,""xxx""), ""Cohem."", ""-""))"),"-")</f>
        <v>-</v>
      </c>
      <c r="BN206" s="282" t="str">
        <f>IFERROR(__xludf.DUMMYFUNCTION("IF(AS206=""oooooooooooo"",""-"",IF(REGEXMATCH(AT206,""xxxx""), ""Co-Co."", ""-""))"),"-")</f>
        <v>-</v>
      </c>
      <c r="BO206" s="342" t="str">
        <f>IFERROR(__xludf.DUMMYFUNCTION("IF(AS206=""oooooooooooo"",""-"",IF(REGEXMATCH(AT206,""xxxxx""), ""CCC."", ""-""))"),"-")</f>
        <v>-</v>
      </c>
      <c r="BP206" s="344" t="str">
        <f t="shared" si="27"/>
        <v>-</v>
      </c>
      <c r="BQ206" s="282" t="str">
        <f>IFERROR(__xludf.DUMMYFUNCTION("IF(REGEXMATCH(JOIN(""-"",EU206:FD206),""TRUE""),""✔"",""-"")"),"-")</f>
        <v>-</v>
      </c>
      <c r="BR206" s="225">
        <f t="shared" si="28"/>
        <v>0</v>
      </c>
      <c r="BS206" s="345" t="str">
        <f>IFERROR(__xludf.DUMMYFUNCTION("SUBSTITUTE(SUBSTITUTE(SUBSTITUTE(SUBSTITUTE(CONCATENATE(JOIN(""-"",GC206:GO206)),""--"",""-""),""--"",""-""),""--"",""-""),""--"",""-"")"),"1-b3-4-5-7-8")</f>
        <v>1-b3-4-5-7-8</v>
      </c>
      <c r="BT206" s="299" t="str">
        <f>IFERROR(__xludf.DUMMYFUNCTION("SUBSTITUTE(SUBSTITUTE(SUBSTITUTE(SUBSTITUTE(CONCATENATE(JOIN(""-"",GP206:HB206)),""--"",""-""),""--"",""-""),""--"",""-""),""--"",""-"")"),"S-G2-M1-P-N3-S")</f>
        <v>S-G2-M1-P-N3-S</v>
      </c>
      <c r="BU206" s="348" t="str">
        <f t="shared" si="29"/>
        <v>C-Eb-F-G-B-C</v>
      </c>
      <c r="BV206" s="349" t="str">
        <f t="shared" si="30"/>
        <v>SrRGMdDnS</v>
      </c>
      <c r="BW206" s="350">
        <f t="shared" si="31"/>
        <v>0</v>
      </c>
      <c r="BX206" s="351">
        <f t="shared" si="32"/>
        <v>1</v>
      </c>
      <c r="BY206" s="392"/>
      <c r="BZ206" s="309" t="str">
        <f>IFERROR(__xludf.DUMMYFUNCTION("IF(REGEXMATCH(C206, ""S""), ""x"",""x"")"),"x")</f>
        <v>x</v>
      </c>
      <c r="CA206" s="245" t="str">
        <f>IFERROR(__xludf.DUMMYFUNCTION("IF(REGEXMATCH(C206, ""r""), ""o"",""x"")"),"x")</f>
        <v>x</v>
      </c>
      <c r="CB206" s="246" t="str">
        <f>IFERROR(__xludf.DUMMYFUNCTION("IF(REGEXMATCH(C206, ""R""), ""o"",""x"")"),"x")</f>
        <v>x</v>
      </c>
      <c r="CC206" s="246" t="str">
        <f>IFERROR(__xludf.DUMMYFUNCTION("IF(REGEXMATCH(C206, ""g""), ""o"",""x"")"),"o")</f>
        <v>o</v>
      </c>
      <c r="CD206" s="245" t="str">
        <f>IFERROR(__xludf.DUMMYFUNCTION("IF(REGEXMATCH(C206, ""G""), ""o"",""x"")"),"x")</f>
        <v>x</v>
      </c>
      <c r="CE206" s="245" t="str">
        <f>IFERROR(__xludf.DUMMYFUNCTION("IF(REGEXMATCH(C206, ""m""), ""o"",""x"")"),"o")</f>
        <v>o</v>
      </c>
      <c r="CF206" s="246" t="str">
        <f>IFERROR(__xludf.DUMMYFUNCTION("IF(REGEXMATCH(C206, ""M""), ""o"",""x"")"),"x")</f>
        <v>x</v>
      </c>
      <c r="CG206" s="245" t="str">
        <f>IFERROR(__xludf.DUMMYFUNCTION("IF(REGEXMATCH(C206, ""P""), ""o"",""x"")"),"o")</f>
        <v>o</v>
      </c>
      <c r="CH206" s="246" t="str">
        <f>IFERROR(__xludf.DUMMYFUNCTION("IF(REGEXMATCH(C206, ""d""), ""o"",""x"")"),"x")</f>
        <v>x</v>
      </c>
      <c r="CI206" s="245" t="str">
        <f>IFERROR(__xludf.DUMMYFUNCTION("IF(REGEXMATCH(C206, ""D""), ""o"",""x"")"),"x")</f>
        <v>x</v>
      </c>
      <c r="CJ206" s="245" t="str">
        <f>IFERROR(__xludf.DUMMYFUNCTION("IF(REGEXMATCH(C206, ""n""), ""o"",""x"")"),"x")</f>
        <v>x</v>
      </c>
      <c r="CK206" s="245" t="str">
        <f>IFERROR(__xludf.DUMMYFUNCTION("IF(REGEXMATCH(C206, ""N""), ""o"",""x"")"),"o")</f>
        <v>o</v>
      </c>
      <c r="CL206" s="356" t="str">
        <f>IFERROR(__xludf.DUMMYFUNCTION("IF(REGEXMATCH(C206, ""S""), ""x"",""x"")"),"x")</f>
        <v>x</v>
      </c>
      <c r="CM206" s="357" t="str">
        <f t="shared" si="33"/>
        <v>xxxoxoxoxxxo</v>
      </c>
      <c r="CN206" s="358">
        <f t="shared" si="34"/>
        <v>0</v>
      </c>
      <c r="CO206" s="246" t="str">
        <f>IFERROR(__xludf.DUMMYFUNCTION("IF(REGEXMATCH($C206, ""S""), ""S"",""S"")"),"S")</f>
        <v>S</v>
      </c>
      <c r="CP206" s="246" t="str">
        <f>IFERROR(__xludf.DUMMYFUNCTION("IF(REGEXMATCH($C206, ""r""), """",""r"")"),"r")</f>
        <v>r</v>
      </c>
      <c r="CQ206" s="246" t="str">
        <f>IFERROR(__xludf.DUMMYFUNCTION("IF(REGEXMATCH($C206, ""R""), """",""R"")"),"R")</f>
        <v>R</v>
      </c>
      <c r="CR206" s="246" t="str">
        <f>IFERROR(__xludf.DUMMYFUNCTION("IF(REGEXMATCH($C206, ""g""), """",""g"")"),"")</f>
        <v/>
      </c>
      <c r="CS206" s="246" t="str">
        <f>IFERROR(__xludf.DUMMYFUNCTION("IF(REGEXMATCH($C206, ""G""), """",""G"")"),"G")</f>
        <v>G</v>
      </c>
      <c r="CT206" s="246" t="str">
        <f>IFERROR(__xludf.DUMMYFUNCTION("IF(REGEXMATCH($C206, ""m""), """",""m"")"),"")</f>
        <v/>
      </c>
      <c r="CU206" s="246" t="str">
        <f>IFERROR(__xludf.DUMMYFUNCTION("IF(REGEXMATCH($C206, ""M""), """",""M"")"),"M")</f>
        <v>M</v>
      </c>
      <c r="CV206" s="246" t="str">
        <f>IFERROR(__xludf.DUMMYFUNCTION("IF(REGEXMATCH($C206, ""P""), """",""P"")"),"")</f>
        <v/>
      </c>
      <c r="CW206" s="246" t="str">
        <f>IFERROR(__xludf.DUMMYFUNCTION("IF(REGEXMATCH($C206, ""d""), """",""d"")"),"d")</f>
        <v>d</v>
      </c>
      <c r="CX206" s="246" t="str">
        <f>IFERROR(__xludf.DUMMYFUNCTION("IF(REGEXMATCH($C206, ""D""), """",""D"")"),"D")</f>
        <v>D</v>
      </c>
      <c r="CY206" s="246" t="str">
        <f>IFERROR(__xludf.DUMMYFUNCTION("IF(REGEXMATCH($C206, ""n""), """",""n"")"),"n")</f>
        <v>n</v>
      </c>
      <c r="CZ206" s="246" t="str">
        <f>IFERROR(__xludf.DUMMYFUNCTION("IF(REGEXMATCH($C206, ""N""), """",""N"")"),"")</f>
        <v/>
      </c>
      <c r="DA206" s="246" t="str">
        <f>IFERROR(__xludf.DUMMYFUNCTION("IF(REGEXMATCH($C206, ""S""), ""S"",""S"")"),"S")</f>
        <v>S</v>
      </c>
      <c r="DB206" s="362" t="str">
        <f>IFERROR(__xludf.DUMMYFUNCTION("JOIN("""",CO206:DA206,"""","""")"),"SrRGMdDnS")</f>
        <v>SrRGMdDnS</v>
      </c>
      <c r="DC206" s="363"/>
      <c r="DD206" s="301" t="str">
        <f t="shared" si="35"/>
        <v>#REF!</v>
      </c>
      <c r="DE206" s="302" t="str">
        <f t="shared" si="36"/>
        <v>#REF!</v>
      </c>
      <c r="DF206" s="301" t="str">
        <f t="shared" ref="DF206:DG206" si="627">SUBSTITUTE(S206,"-","")</f>
        <v>SGM</v>
      </c>
      <c r="DG206" s="301" t="str">
        <f t="shared" si="627"/>
        <v>PNS</v>
      </c>
      <c r="DH206" s="302" t="str">
        <f t="shared" si="38"/>
        <v>(PAIR)</v>
      </c>
      <c r="DI206" s="301" t="str">
        <f t="shared" si="39"/>
        <v>Hemi.</v>
      </c>
      <c r="DJ206" s="364" t="str">
        <f t="shared" si="40"/>
        <v>-</v>
      </c>
      <c r="DK206" s="306" t="str">
        <f t="shared" si="41"/>
        <v>-</v>
      </c>
      <c r="DL206" s="366" t="str">
        <f t="shared" si="42"/>
        <v>-</v>
      </c>
      <c r="DM206" s="308" t="str">
        <f t="shared" si="43"/>
        <v>✔</v>
      </c>
      <c r="DN206" s="306" t="str">
        <f t="shared" si="44"/>
        <v>-</v>
      </c>
      <c r="DO206" s="306" t="str">
        <f t="shared" si="45"/>
        <v>-</v>
      </c>
      <c r="DP206" s="367" t="str">
        <f t="shared" si="46"/>
        <v>-</v>
      </c>
      <c r="DQ206" s="310" t="str">
        <f t="shared" si="47"/>
        <v>-</v>
      </c>
      <c r="DR206" s="310" t="str">
        <f t="shared" si="48"/>
        <v>-</v>
      </c>
      <c r="DS206" s="310" t="str">
        <f t="shared" si="49"/>
        <v>-</v>
      </c>
      <c r="DT206" s="310" t="str">
        <f t="shared" si="50"/>
        <v>-</v>
      </c>
      <c r="DU206" s="370" t="str">
        <f t="shared" si="51"/>
        <v>-</v>
      </c>
      <c r="DV206" s="306" t="str">
        <f t="shared" si="52"/>
        <v>✔</v>
      </c>
      <c r="DW206" s="306" t="str">
        <f t="shared" si="53"/>
        <v>-</v>
      </c>
      <c r="DX206" s="306" t="str">
        <f t="shared" si="54"/>
        <v>-</v>
      </c>
      <c r="DY206" s="306" t="str">
        <f t="shared" si="55"/>
        <v>-</v>
      </c>
      <c r="DZ206" s="306" t="str">
        <f t="shared" si="56"/>
        <v>✔</v>
      </c>
      <c r="EA206" s="367" t="str">
        <f t="shared" si="57"/>
        <v>-</v>
      </c>
      <c r="EB206" s="310" t="str">
        <f>IFERROR(__xludf.DUMMYFUNCTION("IF(REGEXMATCH(AW206,AS206),""✔"",""-"")"),"-")</f>
        <v>-</v>
      </c>
      <c r="EC206" s="310" t="str">
        <f t="shared" si="58"/>
        <v>#REF!</v>
      </c>
      <c r="ED206" s="370" t="str">
        <f t="shared" si="59"/>
        <v>-</v>
      </c>
      <c r="EE206" s="340" t="str">
        <f t="shared" si="60"/>
        <v>S-g-m-P-N-S</v>
      </c>
      <c r="EF206" s="371" t="str">
        <f>IFERROR(__xludf.DUMMYFUNCTION("CONCATENATE(JOIN("""",HC206:HO206))"),"SrmPDS")</f>
        <v>SrmPDS</v>
      </c>
      <c r="EG206" s="372">
        <f t="shared" si="61"/>
        <v>3</v>
      </c>
      <c r="EH206" s="373" t="str">
        <f>IFERROR(__xludf.DUMMYFUNCTION("CONCATENATE(JOIN("""",JC206:JO206))"),"ga, Pa, Ni, ")</f>
        <v>ga, Pa, Ni, </v>
      </c>
      <c r="EI206" s="322">
        <f t="shared" si="62"/>
        <v>2</v>
      </c>
      <c r="EJ206" s="374" t="str">
        <f>IFERROR(__xludf.DUMMYFUNCTION("CONCATENATE(JOIN("""",KC206:KO206))"),"ga, Ni, ")</f>
        <v>ga, Ni, </v>
      </c>
      <c r="EK206" s="325" t="str">
        <f t="shared" si="63"/>
        <v>S-G2-M1-P-N3-S</v>
      </c>
      <c r="EL206" s="326" t="str">
        <f t="shared" si="64"/>
        <v>1-b3-4-5-7-8</v>
      </c>
      <c r="EM206" s="318" t="str">
        <f t="shared" si="65"/>
        <v>#REF!</v>
      </c>
      <c r="EN206" s="328" t="str">
        <f>IFERROR(__xludf.DUMMYFUNCTION("SUBSTITUTE(SUBSTITUTE(SUBSTITUTE(SUBSTITUTE(CONCATENATE(JOIN("" "",HP206:IB206)),""  "","" ""),""  "","" ""),""  "","" ""),""  "","" "")"),"o • • o • o • o • • • o o")</f>
        <v>o • • o • o • o • • • o o</v>
      </c>
      <c r="EO206" s="368" t="str">
        <f t="shared" si="66"/>
        <v>-</v>
      </c>
      <c r="EP206" s="339" t="str">
        <f t="shared" si="67"/>
        <v>-</v>
      </c>
      <c r="EQ206" s="339" t="str">
        <f t="shared" si="68"/>
        <v>Sa-Pa</v>
      </c>
      <c r="ER206" s="339" t="str">
        <f t="shared" si="69"/>
        <v>-</v>
      </c>
      <c r="ES206" s="340" t="str">
        <f t="shared" si="70"/>
        <v>-</v>
      </c>
      <c r="ET206" s="363"/>
      <c r="EU206" s="376" t="b">
        <f>IFERROR(__xludf.DUMMYFUNCTION("arrayformula(sum(--REGEXMATCH(""SRGMPDNS"",split(REGEXREPLACE(C206,""(.)"",""$1~""),""~""))))=len(C206)
"),FALSE)</f>
        <v>0</v>
      </c>
      <c r="EV206" s="290" t="b">
        <f>IFERROR(__xludf.DUMMYFUNCTION("arrayformula(sum(--REGEXMATCH(""SRGmPDNS"",split(REGEXREPLACE(C206,""(.)"",""$1~""),""~""))))=len(C206)"),FALSE)</f>
        <v>0</v>
      </c>
      <c r="EW206" s="290" t="b">
        <f>IFERROR(__xludf.DUMMYFUNCTION("arrayformula(sum(--REGEXMATCH(""SRGmPDnS"",split(REGEXREPLACE(C206,""(.)"",""$1~""),""~""))))=len(C206)"),FALSE)</f>
        <v>0</v>
      </c>
      <c r="EX206" s="290" t="b">
        <f>IFERROR(__xludf.DUMMYFUNCTION("arrayformula(sum(--REGEXMATCH(""SRgmPDnS"",split(REGEXREPLACE(C206,""(.)"",""$1~""),""~""))))=len(C206)"),FALSE)</f>
        <v>0</v>
      </c>
      <c r="EY206" s="290" t="b">
        <f>IFERROR(__xludf.DUMMYFUNCTION("arrayformula(sum(--REGEXMATCH(""SRgmPdnS"",split(REGEXREPLACE(C206,""(.)"",""$1~""),""~""))))=len(C206)"),FALSE)</f>
        <v>0</v>
      </c>
      <c r="EZ206" s="290" t="b">
        <f>IFERROR(__xludf.DUMMYFUNCTION("arrayformula(sum(--REGEXMATCH(""SrgmPdnS"",split(REGEXREPLACE(C206,""(.)"",""$1~""),""~""))))=len(C206)"),FALSE)</f>
        <v>0</v>
      </c>
      <c r="FA206" s="290" t="b">
        <f>IFERROR(__xludf.DUMMYFUNCTION("arrayformula(sum(--REGEXMATCH(""SrGmPdNS"",split(REGEXREPLACE(C206,""(.)"",""$1~""),""~""))))=len(C206)"),FALSE)</f>
        <v>0</v>
      </c>
      <c r="FB206" s="290" t="b">
        <f>IFERROR(__xludf.DUMMYFUNCTION("arrayformula(sum(--REGEXMATCH(""SrGMPDNS"",split(REGEXREPLACE(C206,""(.)"",""$1~""),""~""))))=len(C206)"),FALSE)</f>
        <v>0</v>
      </c>
      <c r="FC206" s="290" t="b">
        <f>IFERROR(__xludf.DUMMYFUNCTION("arrayformula(sum(--REGEXMATCH(""SrGMPdNS"",split(REGEXREPLACE(C206,""(.)"",""$1~""),""~""))))=len(C206)"),FALSE)</f>
        <v>0</v>
      </c>
      <c r="FD206" s="377" t="b">
        <f>IFERROR(__xludf.DUMMYFUNCTION("arrayformula(sum(--REGEXMATCH(""SrgMPdNS"",split(REGEXREPLACE(C206,""(.)"",""$1~""),""~""))))=len(C206)"),FALSE)</f>
        <v>0</v>
      </c>
      <c r="FE206" s="269" t="str">
        <f t="shared" si="71"/>
        <v>-</v>
      </c>
      <c r="FF206" s="269" t="str">
        <f t="shared" si="72"/>
        <v>-</v>
      </c>
      <c r="FG206" s="271" t="str">
        <f t="shared" si="73"/>
        <v>xoxoxoooxxo</v>
      </c>
      <c r="FH206" s="269" t="str">
        <f t="shared" si="74"/>
        <v>-</v>
      </c>
      <c r="FI206" s="271" t="str">
        <f t="shared" si="75"/>
        <v>xoxoooxxoox</v>
      </c>
      <c r="FJ206" s="271" t="str">
        <f t="shared" si="76"/>
        <v>-</v>
      </c>
      <c r="FK206" s="271" t="str">
        <f t="shared" si="77"/>
        <v>xoooxxooxox</v>
      </c>
      <c r="FL206" s="271" t="str">
        <f t="shared" si="78"/>
        <v>-</v>
      </c>
      <c r="FM206" s="271" t="str">
        <f t="shared" si="79"/>
        <v>-</v>
      </c>
      <c r="FN206" s="271" t="str">
        <f t="shared" si="80"/>
        <v>-</v>
      </c>
      <c r="FO206" s="274" t="str">
        <f t="shared" si="81"/>
        <v>xxooxoxoxoo</v>
      </c>
      <c r="FP206" s="234" t="str">
        <f t="shared" si="82"/>
        <v>|</v>
      </c>
      <c r="FQ206" s="236" t="str">
        <f t="shared" si="83"/>
        <v>-</v>
      </c>
      <c r="FR206" s="237" t="str">
        <f t="shared" si="84"/>
        <v>-</v>
      </c>
      <c r="FS206" s="236" t="str">
        <f t="shared" si="85"/>
        <v>|</v>
      </c>
      <c r="FT206" s="237" t="str">
        <f t="shared" si="86"/>
        <v>-</v>
      </c>
      <c r="FU206" s="236" t="str">
        <f t="shared" si="87"/>
        <v>|</v>
      </c>
      <c r="FV206" s="237" t="str">
        <f t="shared" si="88"/>
        <v>-</v>
      </c>
      <c r="FW206" s="236" t="str">
        <f t="shared" si="89"/>
        <v>|</v>
      </c>
      <c r="FX206" s="237" t="str">
        <f t="shared" si="90"/>
        <v>-</v>
      </c>
      <c r="FY206" s="236" t="str">
        <f t="shared" si="91"/>
        <v>-</v>
      </c>
      <c r="FZ206" s="237" t="str">
        <f t="shared" si="92"/>
        <v>-</v>
      </c>
      <c r="GA206" s="236" t="str">
        <f t="shared" si="93"/>
        <v>|</v>
      </c>
      <c r="GB206" s="238" t="str">
        <f t="shared" si="94"/>
        <v>|</v>
      </c>
      <c r="GC206" s="244" t="str">
        <f>IFERROR(__xludf.DUMMYFUNCTION("IF(REGEXMATCH(C206, ""S""), ""1"","""")"),"1")</f>
        <v>1</v>
      </c>
      <c r="GD206" s="245" t="str">
        <f>IFERROR(__xludf.DUMMYFUNCTION("IF(REGEXMATCH(C206, ""r""), ""b2"","""")"),"")</f>
        <v/>
      </c>
      <c r="GE206" s="246" t="str">
        <f>IFERROR(__xludf.DUMMYFUNCTION("IF(REGEXMATCH(C206, ""R""), ""2"","""")"),"")</f>
        <v/>
      </c>
      <c r="GF206" s="246" t="str">
        <f>IFERROR(__xludf.DUMMYFUNCTION("IF(REGEXMATCH(C206, ""g""), ""b3"","""")"),"b3")</f>
        <v>b3</v>
      </c>
      <c r="GG206" s="245" t="str">
        <f>IFERROR(__xludf.DUMMYFUNCTION("IF(REGEXMATCH(C206, ""G""), ""3"","""")"),"")</f>
        <v/>
      </c>
      <c r="GH206" s="245" t="str">
        <f>IFERROR(__xludf.DUMMYFUNCTION("IF(REGEXMATCH(C206, ""m""), ""4"","""")"),"4")</f>
        <v>4</v>
      </c>
      <c r="GI206" s="246" t="str">
        <f>IFERROR(__xludf.DUMMYFUNCTION("IF(REGEXMATCH(C206, ""M""), ""#4"","""")"),"")</f>
        <v/>
      </c>
      <c r="GJ206" s="245" t="str">
        <f>IFERROR(__xludf.DUMMYFUNCTION("IF(REGEXMATCH(C206, ""P""), ""5"","""")"),"5")</f>
        <v>5</v>
      </c>
      <c r="GK206" s="246" t="str">
        <f>IFERROR(__xludf.DUMMYFUNCTION("IF(REGEXMATCH(C206, ""d""), ""b6"","""")"),"")</f>
        <v/>
      </c>
      <c r="GL206" s="245" t="str">
        <f>IFERROR(__xludf.DUMMYFUNCTION("IF(REGEXMATCH(C206, ""D""), ""6"","""")"),"")</f>
        <v/>
      </c>
      <c r="GM206" s="245" t="str">
        <f>IFERROR(__xludf.DUMMYFUNCTION("IF(REGEXMATCH(C206, ""n""), ""b7"","""")"),"")</f>
        <v/>
      </c>
      <c r="GN206" s="246" t="str">
        <f>IFERROR(__xludf.DUMMYFUNCTION("IF(REGEXMATCH(C206, ""N""), ""7"","""")"),"7")</f>
        <v>7</v>
      </c>
      <c r="GO206" s="249" t="str">
        <f>IFERROR(__xludf.DUMMYFUNCTION("IF(REGEXMATCH(C206, ""S""), ""8"","""")"),"8")</f>
        <v>8</v>
      </c>
      <c r="GP206" s="244" t="str">
        <f>IFERROR(__xludf.DUMMYFUNCTION("IF(REGEXMATCH(C206, ""S""), ""S"","""")"),"S")</f>
        <v>S</v>
      </c>
      <c r="GQ206" s="294" t="str">
        <f>IFERROR(__xludf.DUMMYFUNCTION("IF(REGEXMATCH(C206, ""r""), ""R1"","""")"),"")</f>
        <v/>
      </c>
      <c r="GR206" s="295" t="str">
        <f>IFERROR(__xludf.DUMMYFUNCTION("IF(REGEXMATCH(C206, ""R""), ""R2"","""")"),"")</f>
        <v/>
      </c>
      <c r="GS206" s="295" t="str">
        <f>IFERROR(__xludf.DUMMYFUNCTION("IF(REGEXMATCH(C206, ""g""), ""G2"","""")"),"G2")</f>
        <v>G2</v>
      </c>
      <c r="GT206" s="294" t="str">
        <f>IFERROR(__xludf.DUMMYFUNCTION("IF(REGEXMATCH(C206, ""G""), ""G3"","""")"),"")</f>
        <v/>
      </c>
      <c r="GU206" s="294" t="str">
        <f>IFERROR(__xludf.DUMMYFUNCTION("IF(REGEXMATCH(C206, ""m""), ""M1"","""")"),"M1")</f>
        <v>M1</v>
      </c>
      <c r="GV206" s="295" t="str">
        <f>IFERROR(__xludf.DUMMYFUNCTION("IF(REGEXMATCH(C206, ""M""), ""M2"","""")"),"")</f>
        <v/>
      </c>
      <c r="GW206" s="294" t="str">
        <f>IFERROR(__xludf.DUMMYFUNCTION("IF(REGEXMATCH(C206, ""P""), ""P"","""")"),"P")</f>
        <v>P</v>
      </c>
      <c r="GX206" s="295" t="str">
        <f>IFERROR(__xludf.DUMMYFUNCTION("IF(REGEXMATCH(C206, ""d""), ""D1"","""")"),"")</f>
        <v/>
      </c>
      <c r="GY206" s="294" t="str">
        <f>IFERROR(__xludf.DUMMYFUNCTION("IF(REGEXMATCH(C206, ""D""), ""D2"","""")"),"")</f>
        <v/>
      </c>
      <c r="GZ206" s="294" t="str">
        <f>IFERROR(__xludf.DUMMYFUNCTION("IF(REGEXMATCH(C206, ""n""), ""N2"","""")"),"")</f>
        <v/>
      </c>
      <c r="HA206" s="295" t="str">
        <f>IFERROR(__xludf.DUMMYFUNCTION("IF(REGEXMATCH(C206, ""N""), ""N3"","""")"),"N3")</f>
        <v>N3</v>
      </c>
      <c r="HB206" s="249" t="str">
        <f>IFERROR(__xludf.DUMMYFUNCTION("IF(REGEXMATCH(C206, ""S""), ""S"","""")"),"S")</f>
        <v>S</v>
      </c>
      <c r="HC206" s="331" t="str">
        <f t="shared" si="95"/>
        <v>S</v>
      </c>
      <c r="HD206" s="332" t="str">
        <f t="shared" si="96"/>
        <v>r</v>
      </c>
      <c r="HE206" s="332" t="str">
        <f t="shared" si="97"/>
        <v/>
      </c>
      <c r="HF206" s="332" t="str">
        <f t="shared" si="98"/>
        <v/>
      </c>
      <c r="HG206" s="332" t="str">
        <f t="shared" si="99"/>
        <v/>
      </c>
      <c r="HH206" s="332" t="str">
        <f t="shared" si="100"/>
        <v>m</v>
      </c>
      <c r="HI206" s="332" t="str">
        <f t="shared" si="101"/>
        <v/>
      </c>
      <c r="HJ206" s="332" t="str">
        <f t="shared" si="102"/>
        <v>P</v>
      </c>
      <c r="HK206" s="332" t="str">
        <f t="shared" si="103"/>
        <v/>
      </c>
      <c r="HL206" s="332" t="str">
        <f t="shared" si="104"/>
        <v>D</v>
      </c>
      <c r="HM206" s="332" t="str">
        <f t="shared" si="105"/>
        <v/>
      </c>
      <c r="HN206" s="332" t="str">
        <f t="shared" si="106"/>
        <v/>
      </c>
      <c r="HO206" s="343" t="str">
        <f t="shared" si="107"/>
        <v>S</v>
      </c>
      <c r="HP206" s="331" t="str">
        <f t="shared" si="108"/>
        <v>o</v>
      </c>
      <c r="HQ206" s="332" t="str">
        <f t="shared" si="109"/>
        <v>•</v>
      </c>
      <c r="HR206" s="332" t="str">
        <f t="shared" si="110"/>
        <v>•</v>
      </c>
      <c r="HS206" s="332" t="str">
        <f t="shared" si="111"/>
        <v>o</v>
      </c>
      <c r="HT206" s="332" t="str">
        <f t="shared" si="112"/>
        <v>•</v>
      </c>
      <c r="HU206" s="332" t="str">
        <f t="shared" si="113"/>
        <v>o</v>
      </c>
      <c r="HV206" s="332" t="str">
        <f t="shared" si="114"/>
        <v>•</v>
      </c>
      <c r="HW206" s="332" t="str">
        <f t="shared" si="115"/>
        <v>o</v>
      </c>
      <c r="HX206" s="332" t="str">
        <f t="shared" si="116"/>
        <v>•</v>
      </c>
      <c r="HY206" s="332" t="str">
        <f t="shared" si="117"/>
        <v>•</v>
      </c>
      <c r="HZ206" s="332" t="str">
        <f t="shared" si="118"/>
        <v>•</v>
      </c>
      <c r="IA206" s="332" t="str">
        <f t="shared" si="119"/>
        <v>o</v>
      </c>
      <c r="IB206" s="338" t="str">
        <f t="shared" si="120"/>
        <v>o</v>
      </c>
      <c r="IC206" s="331" t="str">
        <f t="shared" si="121"/>
        <v>•</v>
      </c>
      <c r="ID206" s="332" t="str">
        <f t="shared" si="122"/>
        <v>o</v>
      </c>
      <c r="IE206" s="332" t="str">
        <f t="shared" si="123"/>
        <v>o</v>
      </c>
      <c r="IF206" s="332" t="str">
        <f t="shared" si="124"/>
        <v>•</v>
      </c>
      <c r="IG206" s="332" t="str">
        <f t="shared" si="125"/>
        <v>o</v>
      </c>
      <c r="IH206" s="332" t="str">
        <f t="shared" si="126"/>
        <v>•</v>
      </c>
      <c r="II206" s="332" t="str">
        <f t="shared" si="127"/>
        <v>o</v>
      </c>
      <c r="IJ206" s="332" t="str">
        <f t="shared" si="128"/>
        <v>•</v>
      </c>
      <c r="IK206" s="332" t="str">
        <f t="shared" si="129"/>
        <v>o</v>
      </c>
      <c r="IL206" s="332" t="str">
        <f t="shared" si="130"/>
        <v>o</v>
      </c>
      <c r="IM206" s="332" t="str">
        <f t="shared" si="131"/>
        <v>o</v>
      </c>
      <c r="IN206" s="332" t="str">
        <f t="shared" si="132"/>
        <v>•</v>
      </c>
      <c r="IO206" s="338" t="str">
        <f t="shared" si="133"/>
        <v>•</v>
      </c>
      <c r="IP206" s="346" t="b">
        <f t="shared" si="134"/>
        <v>0</v>
      </c>
      <c r="IQ206" s="347" t="b">
        <f t="shared" si="135"/>
        <v>0</v>
      </c>
      <c r="IR206" s="347" t="b">
        <f t="shared" si="136"/>
        <v>0</v>
      </c>
      <c r="IS206" s="347" t="b">
        <f t="shared" si="137"/>
        <v>1</v>
      </c>
      <c r="IT206" s="347" t="b">
        <f t="shared" si="138"/>
        <v>0</v>
      </c>
      <c r="IU206" s="347" t="b">
        <f t="shared" si="139"/>
        <v>0</v>
      </c>
      <c r="IV206" s="347" t="b">
        <f t="shared" si="140"/>
        <v>0</v>
      </c>
      <c r="IW206" s="347" t="b">
        <f t="shared" si="141"/>
        <v>1</v>
      </c>
      <c r="IX206" s="347" t="b">
        <f t="shared" si="142"/>
        <v>0</v>
      </c>
      <c r="IY206" s="347" t="b">
        <f t="shared" si="143"/>
        <v>0</v>
      </c>
      <c r="IZ206" s="347" t="b">
        <f t="shared" si="144"/>
        <v>0</v>
      </c>
      <c r="JA206" s="347" t="b">
        <f t="shared" si="145"/>
        <v>1</v>
      </c>
      <c r="JB206" s="353" t="b">
        <f t="shared" si="146"/>
        <v>0</v>
      </c>
      <c r="JC206" s="354" t="str">
        <f t="shared" si="147"/>
        <v/>
      </c>
      <c r="JD206" s="355" t="str">
        <f t="shared" si="148"/>
        <v/>
      </c>
      <c r="JE206" s="355" t="str">
        <f t="shared" si="149"/>
        <v/>
      </c>
      <c r="JF206" s="355" t="str">
        <f t="shared" si="150"/>
        <v>ga, </v>
      </c>
      <c r="JG206" s="355" t="str">
        <f t="shared" si="151"/>
        <v/>
      </c>
      <c r="JH206" s="355" t="str">
        <f t="shared" si="152"/>
        <v/>
      </c>
      <c r="JI206" s="355" t="str">
        <f t="shared" si="153"/>
        <v/>
      </c>
      <c r="JJ206" s="355" t="str">
        <f t="shared" si="154"/>
        <v>Pa, </v>
      </c>
      <c r="JK206" s="355" t="str">
        <f t="shared" si="155"/>
        <v/>
      </c>
      <c r="JL206" s="355" t="str">
        <f t="shared" si="156"/>
        <v/>
      </c>
      <c r="JM206" s="355" t="str">
        <f t="shared" si="157"/>
        <v/>
      </c>
      <c r="JN206" s="355" t="str">
        <f t="shared" si="158"/>
        <v>Ni, </v>
      </c>
      <c r="JO206" s="359" t="str">
        <f t="shared" si="159"/>
        <v/>
      </c>
      <c r="JP206" s="346" t="b">
        <f t="shared" si="160"/>
        <v>0</v>
      </c>
      <c r="JQ206" s="347" t="b">
        <f t="shared" si="161"/>
        <v>0</v>
      </c>
      <c r="JR206" s="347" t="b">
        <f t="shared" si="162"/>
        <v>0</v>
      </c>
      <c r="JS206" s="347" t="b">
        <f t="shared" si="163"/>
        <v>1</v>
      </c>
      <c r="JT206" s="347" t="b">
        <f t="shared" si="164"/>
        <v>0</v>
      </c>
      <c r="JU206" s="347" t="b">
        <f t="shared" si="165"/>
        <v>0</v>
      </c>
      <c r="JV206" s="347" t="b">
        <f t="shared" si="166"/>
        <v>0</v>
      </c>
      <c r="JW206" s="347" t="b">
        <f t="shared" si="167"/>
        <v>0</v>
      </c>
      <c r="JX206" s="347" t="b">
        <f t="shared" si="168"/>
        <v>0</v>
      </c>
      <c r="JY206" s="347" t="b">
        <f t="shared" si="169"/>
        <v>0</v>
      </c>
      <c r="JZ206" s="347" t="b">
        <f t="shared" si="170"/>
        <v>0</v>
      </c>
      <c r="KA206" s="347" t="b">
        <f t="shared" si="171"/>
        <v>1</v>
      </c>
      <c r="KB206" s="365" t="b">
        <f t="shared" si="172"/>
        <v>0</v>
      </c>
      <c r="KC206" s="354" t="str">
        <f t="shared" si="173"/>
        <v/>
      </c>
      <c r="KD206" s="355" t="str">
        <f t="shared" si="174"/>
        <v/>
      </c>
      <c r="KE206" s="355" t="str">
        <f t="shared" si="175"/>
        <v/>
      </c>
      <c r="KF206" s="355" t="str">
        <f t="shared" si="176"/>
        <v>ga, </v>
      </c>
      <c r="KG206" s="355" t="str">
        <f t="shared" si="177"/>
        <v/>
      </c>
      <c r="KH206" s="355" t="str">
        <f t="shared" si="178"/>
        <v/>
      </c>
      <c r="KI206" s="355" t="str">
        <f t="shared" si="179"/>
        <v/>
      </c>
      <c r="KJ206" s="355" t="str">
        <f t="shared" si="180"/>
        <v/>
      </c>
      <c r="KK206" s="355" t="str">
        <f t="shared" si="181"/>
        <v/>
      </c>
      <c r="KL206" s="355" t="str">
        <f t="shared" si="182"/>
        <v/>
      </c>
      <c r="KM206" s="355" t="str">
        <f t="shared" si="183"/>
        <v/>
      </c>
      <c r="KN206" s="355" t="str">
        <f t="shared" si="184"/>
        <v>Ni, </v>
      </c>
      <c r="KO206" s="359"/>
      <c r="KP206" s="378"/>
      <c r="KQ206" s="379" t="s">
        <v>935</v>
      </c>
      <c r="KR206" s="380" t="s">
        <v>1440</v>
      </c>
      <c r="KS206" s="381" t="str">
        <f t="shared" si="623"/>
        <v>S-g-m-P-N-S</v>
      </c>
      <c r="KT206" s="382">
        <f t="shared" si="186"/>
        <v>5</v>
      </c>
      <c r="KU206" s="383">
        <f t="shared" si="187"/>
        <v>5</v>
      </c>
      <c r="KV206" s="381" t="str">
        <f t="shared" si="205"/>
        <v>S-N-P-m-g-S</v>
      </c>
      <c r="KW206" s="382">
        <f t="shared" si="189"/>
        <v>5</v>
      </c>
      <c r="KX206" s="384">
        <f t="shared" si="190"/>
        <v>5</v>
      </c>
      <c r="KY206" s="382">
        <f t="shared" ref="KY206:KZ206" si="628">KW206-KT206</f>
        <v>0</v>
      </c>
      <c r="KZ206" s="369">
        <f t="shared" si="628"/>
        <v>0</v>
      </c>
      <c r="LA206" s="385" t="str">
        <f t="shared" si="192"/>
        <v>✔</v>
      </c>
      <c r="LB206" s="340" t="str">
        <f>IFERROR(__xludf.DUMMYFUNCTION("JOIN("""",ArrayFormula(MID(KS206,LEN(KS206)-SEQUENCE(1,LEN(KS206))+1,1)))"),"S-N-P-m-g-S")</f>
        <v>S-N-P-m-g-S</v>
      </c>
      <c r="LC206" s="373" t="str">
        <f>IFERROR(__xludf.DUMMYFUNCTION("JOIN("""",ArrayFormula(MID(KV206,LEN(KV206)-SEQUENCE(1,LEN(KV206))+1,1)))"),"S-g-m-P-N-S")</f>
        <v>S-g-m-P-N-S</v>
      </c>
      <c r="LD206" s="373" t="str">
        <f t="shared" si="193"/>
        <v>SgmPNS</v>
      </c>
      <c r="LE206" s="339" t="str">
        <f t="shared" si="194"/>
        <v>SgmPNS</v>
      </c>
      <c r="LF206" s="386" t="str">
        <f>IFERROR(__xludf.DUMMYFUNCTION("SUBSTITUTE(SUBSTITUTE(CONCATENATE(JOIN("""",LH206:LT206)),""1"",""""),""2"","""")"),"SgmPNS")</f>
        <v>SgmPNS</v>
      </c>
      <c r="LG206" s="369" t="str">
        <f t="shared" si="195"/>
        <v>✔</v>
      </c>
      <c r="LH206" s="387" t="str">
        <f>IFERROR(__xludf.DUMMYFUNCTION("IF(REGEXMATCH(LD206, ""S""), ""S"",IF(REGEXMATCH(LE206, ""S""), ""S"",""""))"),"S")</f>
        <v>S</v>
      </c>
      <c r="LI206" s="299" t="str">
        <f>IFERROR(__xludf.DUMMYFUNCTION("IF(REGEXMATCH(LD206, ""r""), ""r1"",IF(REGEXMATCH(LE206, ""r""), ""r2"",""""))"),"")</f>
        <v/>
      </c>
      <c r="LJ206" s="299" t="str">
        <f>IFERROR(__xludf.DUMMYFUNCTION("IF(REGEXMATCH(LD206, ""R""), ""R1"",IF(REGEXMATCH(LE206, ""R""), ""R2"",""""))"),"")</f>
        <v/>
      </c>
      <c r="LK206" s="299" t="str">
        <f>IFERROR(__xludf.DUMMYFUNCTION("IF(REGEXMATCH(LD206, ""g""), ""g1"",IF(REGEXMATCH(LE206, ""g""), ""g2"",""""))"),"g1")</f>
        <v>g1</v>
      </c>
      <c r="LL206" s="299" t="str">
        <f>IFERROR(__xludf.DUMMYFUNCTION("IF(REGEXMATCH(LD206, ""G""), ""G1"",IF(REGEXMATCH(LE206, ""G""), ""G2"",""""))"),"")</f>
        <v/>
      </c>
      <c r="LM206" s="299" t="str">
        <f>IFERROR(__xludf.DUMMYFUNCTION("IF(REGEXMATCH(LD206, ""m""), ""m1"",IF(REGEXMATCH(LE206, ""m""), ""m2"",""""))"),"m1")</f>
        <v>m1</v>
      </c>
      <c r="LN206" s="299" t="str">
        <f>IFERROR(__xludf.DUMMYFUNCTION("IF(REGEXMATCH(LD206, ""M""), ""M1"",IF(REGEXMATCH(LE206, ""M""), ""M2"",""""))"),"")</f>
        <v/>
      </c>
      <c r="LO206" s="299" t="str">
        <f>IFERROR(__xludf.DUMMYFUNCTION("IF(REGEXMATCH(LD206, ""P""), ""P1"",IF(REGEXMATCH(LE206, ""P""), ""P2"",""""))"),"P1")</f>
        <v>P1</v>
      </c>
      <c r="LP206" s="299" t="str">
        <f>IFERROR(__xludf.DUMMYFUNCTION("IF(REGEXMATCH(LD206, ""d""), ""d1"",IF(REGEXMATCH(LE206, ""d""), ""d2"",""""))"),"")</f>
        <v/>
      </c>
      <c r="LQ206" s="299" t="str">
        <f>IFERROR(__xludf.DUMMYFUNCTION("IF(REGEXMATCH(LD206, ""D""), ""D1"",IF(REGEXMATCH(LE206, ""D""), ""D2"",""""))"),"")</f>
        <v/>
      </c>
      <c r="LR206" s="299" t="str">
        <f>IFERROR(__xludf.DUMMYFUNCTION("IF(REGEXMATCH(LD206, ""n""), ""n1"",IF(REGEXMATCH(LE206, ""n""), ""n2"",""""))"),"")</f>
        <v/>
      </c>
      <c r="LS206" s="299" t="str">
        <f>IFERROR(__xludf.DUMMYFUNCTION("IF(REGEXMATCH(LD206, ""N""), ""N1"",IF(REGEXMATCH(LE206, ""N""), ""N2"",""""))"),"N1")</f>
        <v>N1</v>
      </c>
      <c r="LT206" s="388" t="str">
        <f>IFERROR(__xludf.DUMMYFUNCTION("IF(REGEXMATCH(LD206, ""S""), ""S"",IF(REGEXMATCH(LE206, ""S""), ""S"",""""))"),"S")</f>
        <v>S</v>
      </c>
      <c r="LU206" s="389">
        <f t="shared" si="196"/>
        <v>1</v>
      </c>
      <c r="LV206" s="378"/>
      <c r="LW206" s="369"/>
      <c r="LX206" s="369"/>
    </row>
    <row r="207" ht="18.0" customHeight="1">
      <c r="A207" s="298" t="s">
        <v>937</v>
      </c>
      <c r="B207" s="222" t="s">
        <v>938</v>
      </c>
      <c r="C207" s="233" t="str">
        <f t="shared" si="7"/>
        <v>SgGmdnS</v>
      </c>
      <c r="D207" s="234" t="str">
        <f>IFERROR(__xludf.DUMMYFUNCTION("IF(REGEXMATCH(C207, ""S""), ""S"","""")"),"S")</f>
        <v>S</v>
      </c>
      <c r="E207" s="236" t="str">
        <f>IFERROR(__xludf.DUMMYFUNCTION("IF(REGEXMATCH(C207, ""r""), ""r"","""")"),"")</f>
        <v/>
      </c>
      <c r="F207" s="237" t="str">
        <f>IFERROR(__xludf.DUMMYFUNCTION("IF(REGEXMATCH(C207, ""R""), ""R"","""")"),"")</f>
        <v/>
      </c>
      <c r="G207" s="237" t="str">
        <f>IFERROR(__xludf.DUMMYFUNCTION("IF(REGEXMATCH(C207, ""g""), ""g"","""")"),"g")</f>
        <v>g</v>
      </c>
      <c r="H207" s="236" t="str">
        <f>IFERROR(__xludf.DUMMYFUNCTION("IF(REGEXMATCH(C207, ""G""), ""G"","""")"),"G")</f>
        <v>G</v>
      </c>
      <c r="I207" s="236" t="str">
        <f>IFERROR(__xludf.DUMMYFUNCTION("IF(REGEXMATCH(C207, ""m""), ""m"","""")"),"m")</f>
        <v>m</v>
      </c>
      <c r="J207" s="237" t="str">
        <f>IFERROR(__xludf.DUMMYFUNCTION("IF(REGEXMATCH(C207, ""M""), ""M"","""")"),"")</f>
        <v/>
      </c>
      <c r="K207" s="236" t="str">
        <f>IFERROR(__xludf.DUMMYFUNCTION("IF(REGEXMATCH(C207, ""P""), ""P"","""")"),"")</f>
        <v/>
      </c>
      <c r="L207" s="237" t="str">
        <f>IFERROR(__xludf.DUMMYFUNCTION("IF(REGEXMATCH(C207, ""d""), ""d"","""")"),"d")</f>
        <v>d</v>
      </c>
      <c r="M207" s="236" t="str">
        <f>IFERROR(__xludf.DUMMYFUNCTION("IF(REGEXMATCH(C207, ""D""), ""D"","""")"),"")</f>
        <v/>
      </c>
      <c r="N207" s="236" t="str">
        <f>IFERROR(__xludf.DUMMYFUNCTION("IF(REGEXMATCH(C207, ""n""), ""n"","""")"),"n")</f>
        <v>n</v>
      </c>
      <c r="O207" s="237" t="str">
        <f>IFERROR(__xludf.DUMMYFUNCTION("IF(REGEXMATCH(C207, ""N""), ""N"","""")"),"")</f>
        <v/>
      </c>
      <c r="P207" s="238" t="str">
        <f>IFERROR(__xludf.DUMMYFUNCTION("IF(REGEXMATCH(C207, ""S""), ""S"","""")"),"S")</f>
        <v>S</v>
      </c>
      <c r="Q207" s="239" t="str">
        <f>IFERROR(__xludf.DUMMYFUNCTION("SUBSTITUTE(CONCATENATE(JOIN(""-"",D207:J207)),""-"","""")"),"SgGm")</f>
        <v>SgGm</v>
      </c>
      <c r="R207" s="229" t="str">
        <f>IFERROR(__xludf.DUMMYFUNCTION("SUBSTITUTE(CONCATENATE(JOIN(""-"",K207:P207)),""-"","""")"),"dnS")</f>
        <v>dnS</v>
      </c>
      <c r="S207" s="282" t="str">
        <f t="shared" si="8"/>
        <v>S-G-M</v>
      </c>
      <c r="T207" s="282" t="str">
        <f t="shared" si="9"/>
        <v>D-N-S</v>
      </c>
      <c r="U207" s="237" t="str">
        <f>IFERROR(__xludf.DUMMYFUNCTION("SUBSTITUTE(JOIN(""-"",S207,T207),""--"",""-"")"),"S-G-M-D-N-S")</f>
        <v>S-G-M-D-N-S</v>
      </c>
      <c r="V207" s="309" t="str">
        <f t="shared" si="10"/>
        <v>gGmdn</v>
      </c>
      <c r="W207" s="244" t="str">
        <f>IFERROR(__xludf.DUMMYFUNCTION("IF(REGEXMATCH(C207, ""S""), ""0"","""")"),"0")</f>
        <v>0</v>
      </c>
      <c r="X207" s="245" t="str">
        <f>IFERROR(__xludf.DUMMYFUNCTION("IF(REGEXMATCH(C207, ""r""), ""1"","""")"),"")</f>
        <v/>
      </c>
      <c r="Y207" s="246" t="str">
        <f>IFERROR(__xludf.DUMMYFUNCTION("IF(REGEXMATCH(C207, ""R""), ""2"","""")"),"")</f>
        <v/>
      </c>
      <c r="Z207" s="246" t="str">
        <f>IFERROR(__xludf.DUMMYFUNCTION("IF(REGEXMATCH(C207, ""g""), ""3"","""")"),"3")</f>
        <v>3</v>
      </c>
      <c r="AA207" s="245" t="str">
        <f>IFERROR(__xludf.DUMMYFUNCTION("IF(REGEXMATCH(C207, ""G""), ""4"","""")"),"4")</f>
        <v>4</v>
      </c>
      <c r="AB207" s="245" t="str">
        <f>IFERROR(__xludf.DUMMYFUNCTION("IF(REGEXMATCH(C207, ""m""), ""5"","""")"),"5")</f>
        <v>5</v>
      </c>
      <c r="AC207" s="246" t="str">
        <f>IFERROR(__xludf.DUMMYFUNCTION("IF(REGEXMATCH(C207, ""M""), ""6"","""")"),"")</f>
        <v/>
      </c>
      <c r="AD207" s="245" t="str">
        <f>IFERROR(__xludf.DUMMYFUNCTION("IF(REGEXMATCH(C207, ""P""), ""7"","""")"),"")</f>
        <v/>
      </c>
      <c r="AE207" s="246" t="str">
        <f>IFERROR(__xludf.DUMMYFUNCTION("IF(REGEXMATCH(C207, ""d""), ""8"","""")"),"8")</f>
        <v>8</v>
      </c>
      <c r="AF207" s="245" t="str">
        <f>IFERROR(__xludf.DUMMYFUNCTION("IF(REGEXMATCH(C207, ""D""), ""9"","""")"),"")</f>
        <v/>
      </c>
      <c r="AG207" s="245" t="str">
        <f>IFERROR(__xludf.DUMMYFUNCTION("IF(REGEXMATCH(C207, ""n""), ""10"","""")"),"10")</f>
        <v>10</v>
      </c>
      <c r="AH207" s="246" t="str">
        <f>IFERROR(__xludf.DUMMYFUNCTION("IF(REGEXMATCH(C207, ""N""), ""11"","""")"),"")</f>
        <v/>
      </c>
      <c r="AI207" s="249" t="str">
        <f>IFERROR(__xludf.DUMMYFUNCTION("IF(REGEXMATCH(C207, ""S""), ""0"","""")"),"0")</f>
        <v>0</v>
      </c>
      <c r="AJ207" s="313" t="str">
        <f t="shared" si="11"/>
        <v>-</v>
      </c>
      <c r="AK207" s="313" t="str">
        <f t="shared" si="12"/>
        <v>-</v>
      </c>
      <c r="AL207" s="313" t="str">
        <f t="shared" si="13"/>
        <v>-</v>
      </c>
      <c r="AM207" s="313" t="str">
        <f t="shared" si="14"/>
        <v>-</v>
      </c>
      <c r="AN207" s="313" t="str">
        <f t="shared" si="15"/>
        <v>T</v>
      </c>
      <c r="AO207" s="314" t="str">
        <f t="shared" si="16"/>
        <v>-</v>
      </c>
      <c r="AP207" s="316">
        <f t="shared" si="17"/>
        <v>1</v>
      </c>
      <c r="AQ207" s="319" t="str">
        <f t="shared" si="18"/>
        <v>#REF!</v>
      </c>
      <c r="AR207" s="320">
        <f t="shared" si="19"/>
        <v>0</v>
      </c>
      <c r="AS207" s="250" t="str">
        <f>IFERROR(__xludf.DUMMYFUNCTION("SUBSTITUTE(SUBSTITUTE(CONCATENATE(JOIN("""",FP207:GA207)),""|"",""x""),""-"",""o"")"),"xooxxxooxoxo")</f>
        <v>xooxxxooxoxo</v>
      </c>
      <c r="AT207" s="323" t="str">
        <f>IFERROR(__xludf.DUMMYFUNCTION("JOIN("""",AS207,AS207)"),"xooxxxooxoxoxooxxxooxoxo")</f>
        <v>xooxxxooxoxoxooxxxooxoxo</v>
      </c>
      <c r="AU207" s="256" t="str">
        <f>IFERROR(__xludf.DUMMYFUNCTION("JOIN("""",ArrayFormula(MID(AS207,LEN(AS207)-SEQUENCE(1,LEN(AS207))+1,1)))"),"oxoxooxxxoox")</f>
        <v>oxoxooxxxoox</v>
      </c>
      <c r="AV207" s="256" t="str">
        <f>IFERROR(__xludf.DUMMYFUNCTION("LEFT(CONCATENATE(""x"",JOIN("""",ArrayFormula(MID(AS207,LEN(AS207)-SEQUENCE(1,LEN(AS207))+1,1)))),12)"),"xoxoxooxxxoo")</f>
        <v>xoxoxooxxxoo</v>
      </c>
      <c r="AW207" s="327" t="str">
        <f>IFERROR(__xludf.DUMMYFUNCTION("JOIN("""",AU207,AU207)"),"oxoxooxxxooxoxoxooxxxoox")</f>
        <v>oxoxooxxxooxoxoxooxxxoox</v>
      </c>
      <c r="AX207" s="239" t="str">
        <f>IFERROR(__xludf.DUMMYFUNCTION("IF(REGEXMATCH(AW207,AS207),""✔"",""-"")"),"✔")</f>
        <v>✔</v>
      </c>
      <c r="AY207" s="330" t="str">
        <f t="shared" si="20"/>
        <v>-</v>
      </c>
      <c r="AZ207" s="260" t="str">
        <f t="shared" si="21"/>
        <v>#REF!</v>
      </c>
      <c r="BA207" s="333" t="str">
        <f t="shared" si="22"/>
        <v>xooxxxo</v>
      </c>
      <c r="BB207" s="334" t="str">
        <f t="shared" si="23"/>
        <v>oxoxox</v>
      </c>
      <c r="BC207" s="335" t="str">
        <f t="shared" si="236"/>
        <v>-</v>
      </c>
      <c r="BD207" s="336" t="str">
        <f t="shared" si="25"/>
        <v>Madhurkauns: 'xooxxxo' + 'oxoxox'</v>
      </c>
      <c r="BE207" s="337">
        <f>IFERROR(__xludf.DUMMYFUNCTION("COUNTUNIQUE(FILTER(AT:AT,REGEXMATCH(AT:AT,AS207)))-1"),2.0)</f>
        <v>2</v>
      </c>
      <c r="BF207" s="261" t="str">
        <f>IFERROR(__xludf.DUMMYFUNCTION("IF(BI207=0,""(n/a)"",IF(BJ207=2,""(PAIR)"",IF(REGEXMATCH(AT207,""xoxoxxoxoxox""),""Bilawal"",IF(REGEXMATCH(AT207,""xoxoxooxoxoo""),""Bhupali"",IF(REGEXMATCH(AT207,""xoxoxxoxxoxo""),""Charukeshi"",IF(REGEXMATCH(AT207,""xoxoooxxoxxo""),""Kameshwari"",IF(REG"&amp;"EXMATCH(AT207,""xoxoxooxoxox""),""Shankara"",IF(REGEXMATCH(AT207,""xxooxoxxxoox""),""Basant"",IF(REGEXMATCH(AT207,""xoxoxxxxoxox""),""Bihag"",IF(REGEXMATCH(AT207,""xoxxxxoxoxxx""),""Pilu"",IF(REGEXMATCH(AT207,""xoxxoxoxxoox""),""Kirwani"",IF(REGEXMATCH(AT"&amp;"207,""xoxxoxoxoxxx""),""Mk.Malhar"",IF(REGEXMATCH(AT207,""xxooxxoxxoox""),""Bhairav"",IF(REGEXMATCH(AT207,""xxoxooxxxoox""),""Todi"",IF(REGEXMATCH(AT207,""xxooxoxooxox""),""Marwa"",IF(REGEXMATCH(AT207,""xxoooxoxxooo""),""Gunkali"",IF(REGEXMATCH(AT207,""xo"&amp;"xoxxoxxoox""),""Nat Bhairav"",IF(REGEXMATCH(AT207,""xoxxoooxoxoo""),""Shivranjani"",IF(REGEXMATCH(AT207,""xooxxxoxooxo""),""Jog"",IF(REGEXMATCH(AT207,""xxooxoxoxoox""),""Hemshri"",IF(REGEXMATCH(AT207,""xoooxooxoxxo""),""Kalavati"",IF(REGEXMATCH(AT207,""xx"&amp;"oxoxxoxoox""),""Kedar"",IF(REGEXMATCH(AT207,""xoxxxxoxooxx""),""Gara"",IF(REGEXMATCH(AT207,""xooxoxooxoox""),""Chandrakauns"",IF(REGEXMATCH(AT207,""xoxxxxoxxxox""),""Mand"",IF(REGEXMATCH(AT207,""xoxxxxoxoxox""),""Hanskinkini"",IF(REGEXMATCH(AT207,""xxooxx"&amp;"oxooxo""),""Lilavati"",IF(REGEXMATCH(AT207,""xooxoxoooxox""),""Rajeshwari"",IF(REGEXMATCH(AT207,""xoooxxoxoxxx""),""Khokar"",IF(REGEXMATCH(AT207,""xxooxoxxxxox""),""Maligoura"",""-""))))))))))))))))))))))))))))))"),"Hemshri")</f>
        <v>Hemshri</v>
      </c>
      <c r="BG207" s="239" t="str">
        <f t="shared" si="26"/>
        <v>#REF!</v>
      </c>
      <c r="BH207" s="239">
        <f>IFERROR(__xludf.DUMMYFUNCTION("COUNTUNIQUE(FE207:FO207)-1"),5.0)</f>
        <v>5</v>
      </c>
      <c r="BI207" s="239">
        <f>IFERROR(__xludf.DUMMYFUNCTION("COUNTUNIQUE(FILTER(AT:AT,REGEXMATCH(AT:AT,AS207)))-1"),2.0)</f>
        <v>2</v>
      </c>
      <c r="BJ207" s="239">
        <f>IFERROR(__xludf.DUMMYFUNCTION("COUNTA(FILTER(AT:AT,REGEXMATCH(AT:AT,AS207)))"),4.0)</f>
        <v>4</v>
      </c>
      <c r="BK207" s="341">
        <f>IFERROR(__xludf.DUMMYFUNCTION("COUNTA(FILTER(AT:AT,REGEXMATCH(AT:AT,AS207)))-AR207"),4.0)</f>
        <v>4</v>
      </c>
      <c r="BL207" s="276" t="str">
        <f>IFERROR(__xludf.DUMMYFUNCTION("IF(AS207=""oooooooooooo"",""-"",IF(REGEXMATCH(AT207,""xx""), ""Hemi."", ""Anhemi.""))"),"Hemi.")</f>
        <v>Hemi.</v>
      </c>
      <c r="BM207" s="282" t="str">
        <f>IFERROR(__xludf.DUMMYFUNCTION("IF(AS207=""oooooooooooo"",""-"",IF(REGEXMATCH(AT207,""xxx""), ""Cohem."", ""-""))"),"Cohem.")</f>
        <v>Cohem.</v>
      </c>
      <c r="BN207" s="282" t="str">
        <f>IFERROR(__xludf.DUMMYFUNCTION("IF(AS207=""oooooooooooo"",""-"",IF(REGEXMATCH(AT207,""xxxx""), ""Co-Co."", ""-""))"),"-")</f>
        <v>-</v>
      </c>
      <c r="BO207" s="342" t="str">
        <f>IFERROR(__xludf.DUMMYFUNCTION("IF(AS207=""oooooooooooo"",""-"",IF(REGEXMATCH(AT207,""xxxxx""), ""CCC."", ""-""))"),"-")</f>
        <v>-</v>
      </c>
      <c r="BP207" s="344" t="str">
        <f t="shared" si="27"/>
        <v>-</v>
      </c>
      <c r="BQ207" s="282" t="str">
        <f>IFERROR(__xludf.DUMMYFUNCTION("IF(REGEXMATCH(JOIN(""-"",EU207:FD207),""TRUE""),""✔"",""-"")"),"-")</f>
        <v>-</v>
      </c>
      <c r="BR207" s="225">
        <f t="shared" si="28"/>
        <v>0</v>
      </c>
      <c r="BS207" s="345" t="str">
        <f>IFERROR(__xludf.DUMMYFUNCTION("SUBSTITUTE(SUBSTITUTE(SUBSTITUTE(SUBSTITUTE(CONCATENATE(JOIN(""-"",GC207:GO207)),""--"",""-""),""--"",""-""),""--"",""-""),""--"",""-"")"),"1-b3-3-4-b6-b7-8")</f>
        <v>1-b3-3-4-b6-b7-8</v>
      </c>
      <c r="BT207" s="299" t="str">
        <f>IFERROR(__xludf.DUMMYFUNCTION("SUBSTITUTE(SUBSTITUTE(SUBSTITUTE(SUBSTITUTE(CONCATENATE(JOIN(""-"",GP207:HB207)),""--"",""-""),""--"",""-""),""--"",""-""),""--"",""-"")"),"S-G2-G3-M1-D1-N2-S")</f>
        <v>S-G2-G3-M1-D1-N2-S</v>
      </c>
      <c r="BU207" s="348" t="str">
        <f t="shared" si="29"/>
        <v>C-Eb-E-F-Ab-Bb-C</v>
      </c>
      <c r="BV207" s="349" t="str">
        <f t="shared" si="30"/>
        <v>SrRMPDNS</v>
      </c>
      <c r="BW207" s="350">
        <f t="shared" si="31"/>
        <v>0</v>
      </c>
      <c r="BX207" s="351">
        <f t="shared" si="32"/>
        <v>2</v>
      </c>
      <c r="BY207" s="392"/>
      <c r="BZ207" s="309" t="str">
        <f>IFERROR(__xludf.DUMMYFUNCTION("IF(REGEXMATCH(C207, ""S""), ""x"",""x"")"),"x")</f>
        <v>x</v>
      </c>
      <c r="CA207" s="245" t="str">
        <f>IFERROR(__xludf.DUMMYFUNCTION("IF(REGEXMATCH(C207, ""r""), ""o"",""x"")"),"x")</f>
        <v>x</v>
      </c>
      <c r="CB207" s="246" t="str">
        <f>IFERROR(__xludf.DUMMYFUNCTION("IF(REGEXMATCH(C207, ""R""), ""o"",""x"")"),"x")</f>
        <v>x</v>
      </c>
      <c r="CC207" s="246" t="str">
        <f>IFERROR(__xludf.DUMMYFUNCTION("IF(REGEXMATCH(C207, ""g""), ""o"",""x"")"),"o")</f>
        <v>o</v>
      </c>
      <c r="CD207" s="245" t="str">
        <f>IFERROR(__xludf.DUMMYFUNCTION("IF(REGEXMATCH(C207, ""G""), ""o"",""x"")"),"o")</f>
        <v>o</v>
      </c>
      <c r="CE207" s="245" t="str">
        <f>IFERROR(__xludf.DUMMYFUNCTION("IF(REGEXMATCH(C207, ""m""), ""o"",""x"")"),"o")</f>
        <v>o</v>
      </c>
      <c r="CF207" s="246" t="str">
        <f>IFERROR(__xludf.DUMMYFUNCTION("IF(REGEXMATCH(C207, ""M""), ""o"",""x"")"),"x")</f>
        <v>x</v>
      </c>
      <c r="CG207" s="245" t="str">
        <f>IFERROR(__xludf.DUMMYFUNCTION("IF(REGEXMATCH(C207, ""P""), ""o"",""x"")"),"x")</f>
        <v>x</v>
      </c>
      <c r="CH207" s="246" t="str">
        <f>IFERROR(__xludf.DUMMYFUNCTION("IF(REGEXMATCH(C207, ""d""), ""o"",""x"")"),"o")</f>
        <v>o</v>
      </c>
      <c r="CI207" s="245" t="str">
        <f>IFERROR(__xludf.DUMMYFUNCTION("IF(REGEXMATCH(C207, ""D""), ""o"",""x"")"),"x")</f>
        <v>x</v>
      </c>
      <c r="CJ207" s="245" t="str">
        <f>IFERROR(__xludf.DUMMYFUNCTION("IF(REGEXMATCH(C207, ""n""), ""o"",""x"")"),"o")</f>
        <v>o</v>
      </c>
      <c r="CK207" s="245" t="str">
        <f>IFERROR(__xludf.DUMMYFUNCTION("IF(REGEXMATCH(C207, ""N""), ""o"",""x"")"),"x")</f>
        <v>x</v>
      </c>
      <c r="CL207" s="356" t="str">
        <f>IFERROR(__xludf.DUMMYFUNCTION("IF(REGEXMATCH(C207, ""S""), ""x"",""x"")"),"x")</f>
        <v>x</v>
      </c>
      <c r="CM207" s="357" t="str">
        <f t="shared" si="33"/>
        <v>xxxoooxxoxox</v>
      </c>
      <c r="CN207" s="358">
        <f t="shared" si="34"/>
        <v>0</v>
      </c>
      <c r="CO207" s="246" t="str">
        <f>IFERROR(__xludf.DUMMYFUNCTION("IF(REGEXMATCH($C207, ""S""), ""S"",""S"")"),"S")</f>
        <v>S</v>
      </c>
      <c r="CP207" s="246" t="str">
        <f>IFERROR(__xludf.DUMMYFUNCTION("IF(REGEXMATCH($C207, ""r""), """",""r"")"),"r")</f>
        <v>r</v>
      </c>
      <c r="CQ207" s="246" t="str">
        <f>IFERROR(__xludf.DUMMYFUNCTION("IF(REGEXMATCH($C207, ""R""), """",""R"")"),"R")</f>
        <v>R</v>
      </c>
      <c r="CR207" s="246" t="str">
        <f>IFERROR(__xludf.DUMMYFUNCTION("IF(REGEXMATCH($C207, ""g""), """",""g"")"),"")</f>
        <v/>
      </c>
      <c r="CS207" s="246" t="str">
        <f>IFERROR(__xludf.DUMMYFUNCTION("IF(REGEXMATCH($C207, ""G""), """",""G"")"),"")</f>
        <v/>
      </c>
      <c r="CT207" s="246" t="str">
        <f>IFERROR(__xludf.DUMMYFUNCTION("IF(REGEXMATCH($C207, ""m""), """",""m"")"),"")</f>
        <v/>
      </c>
      <c r="CU207" s="246" t="str">
        <f>IFERROR(__xludf.DUMMYFUNCTION("IF(REGEXMATCH($C207, ""M""), """",""M"")"),"M")</f>
        <v>M</v>
      </c>
      <c r="CV207" s="246" t="str">
        <f>IFERROR(__xludf.DUMMYFUNCTION("IF(REGEXMATCH($C207, ""P""), """",""P"")"),"P")</f>
        <v>P</v>
      </c>
      <c r="CW207" s="246" t="str">
        <f>IFERROR(__xludf.DUMMYFUNCTION("IF(REGEXMATCH($C207, ""d""), """",""d"")"),"")</f>
        <v/>
      </c>
      <c r="CX207" s="246" t="str">
        <f>IFERROR(__xludf.DUMMYFUNCTION("IF(REGEXMATCH($C207, ""D""), """",""D"")"),"D")</f>
        <v>D</v>
      </c>
      <c r="CY207" s="246" t="str">
        <f>IFERROR(__xludf.DUMMYFUNCTION("IF(REGEXMATCH($C207, ""n""), """",""n"")"),"")</f>
        <v/>
      </c>
      <c r="CZ207" s="246" t="str">
        <f>IFERROR(__xludf.DUMMYFUNCTION("IF(REGEXMATCH($C207, ""N""), """",""N"")"),"N")</f>
        <v>N</v>
      </c>
      <c r="DA207" s="246" t="str">
        <f>IFERROR(__xludf.DUMMYFUNCTION("IF(REGEXMATCH($C207, ""S""), ""S"",""S"")"),"S")</f>
        <v>S</v>
      </c>
      <c r="DB207" s="362" t="str">
        <f>IFERROR(__xludf.DUMMYFUNCTION("JOIN("""",CO207:DA207,"""","""")"),"SrRMPDNS")</f>
        <v>SrRMPDNS</v>
      </c>
      <c r="DC207" s="363"/>
      <c r="DD207" s="301" t="str">
        <f t="shared" si="35"/>
        <v>#REF!</v>
      </c>
      <c r="DE207" s="302" t="str">
        <f t="shared" si="36"/>
        <v>#REF!</v>
      </c>
      <c r="DF207" s="301" t="str">
        <f t="shared" ref="DF207:DG207" si="629">SUBSTITUTE(S207,"-","")</f>
        <v>SGM</v>
      </c>
      <c r="DG207" s="301" t="str">
        <f t="shared" si="629"/>
        <v>DNS</v>
      </c>
      <c r="DH207" s="302" t="str">
        <f t="shared" si="38"/>
        <v>Hemshri</v>
      </c>
      <c r="DI207" s="301" t="str">
        <f t="shared" si="39"/>
        <v>Hemi.</v>
      </c>
      <c r="DJ207" s="364" t="str">
        <f t="shared" si="40"/>
        <v>Cohem.</v>
      </c>
      <c r="DK207" s="306" t="str">
        <f t="shared" si="41"/>
        <v>-</v>
      </c>
      <c r="DL207" s="366" t="str">
        <f t="shared" si="42"/>
        <v>-</v>
      </c>
      <c r="DM207" s="308" t="str">
        <f t="shared" si="43"/>
        <v>✔</v>
      </c>
      <c r="DN207" s="306" t="str">
        <f t="shared" si="44"/>
        <v>-</v>
      </c>
      <c r="DO207" s="306" t="str">
        <f t="shared" si="45"/>
        <v>-</v>
      </c>
      <c r="DP207" s="367" t="str">
        <f t="shared" si="46"/>
        <v>-</v>
      </c>
      <c r="DQ207" s="310" t="str">
        <f t="shared" si="47"/>
        <v>-</v>
      </c>
      <c r="DR207" s="310" t="str">
        <f t="shared" si="48"/>
        <v>✔</v>
      </c>
      <c r="DS207" s="310" t="str">
        <f t="shared" si="49"/>
        <v>-</v>
      </c>
      <c r="DT207" s="310" t="str">
        <f t="shared" si="50"/>
        <v>-</v>
      </c>
      <c r="DU207" s="370" t="str">
        <f t="shared" si="51"/>
        <v>-</v>
      </c>
      <c r="DV207" s="306" t="str">
        <f t="shared" si="52"/>
        <v>✔</v>
      </c>
      <c r="DW207" s="306" t="str">
        <f t="shared" si="53"/>
        <v>-</v>
      </c>
      <c r="DX207" s="306" t="str">
        <f t="shared" si="54"/>
        <v>-</v>
      </c>
      <c r="DY207" s="306" t="str">
        <f t="shared" si="55"/>
        <v>✔</v>
      </c>
      <c r="DZ207" s="306" t="str">
        <f t="shared" si="56"/>
        <v>-</v>
      </c>
      <c r="EA207" s="367" t="str">
        <f t="shared" si="57"/>
        <v>-</v>
      </c>
      <c r="EB207" s="310" t="str">
        <f>IFERROR(__xludf.DUMMYFUNCTION("IF(REGEXMATCH(AW207,AS207),""✔"",""-"")"),"✔")</f>
        <v>✔</v>
      </c>
      <c r="EC207" s="310" t="str">
        <f t="shared" si="58"/>
        <v>#REF!</v>
      </c>
      <c r="ED207" s="370" t="str">
        <f t="shared" si="59"/>
        <v>-</v>
      </c>
      <c r="EE207" s="340" t="str">
        <f t="shared" si="60"/>
        <v>S-gG-m-d-n-S</v>
      </c>
      <c r="EF207" s="371" t="str">
        <f>IFERROR(__xludf.DUMMYFUNCTION("CONCATENATE(JOIN("""",HC207:HO207))"),"SRGPdDS")</f>
        <v>SRGPdDS</v>
      </c>
      <c r="EG207" s="372">
        <f t="shared" si="61"/>
        <v>2</v>
      </c>
      <c r="EH207" s="373" t="str">
        <f>IFERROR(__xludf.DUMMYFUNCTION("CONCATENATE(JOIN("""",JC207:JO207))"),"Sa, Ga, ")</f>
        <v>Sa, Ga, </v>
      </c>
      <c r="EI207" s="322">
        <f t="shared" si="62"/>
        <v>1</v>
      </c>
      <c r="EJ207" s="374" t="str">
        <f>IFERROR(__xludf.DUMMYFUNCTION("CONCATENATE(JOIN("""",KC207:KO207))"),"Ga, ")</f>
        <v>Ga, </v>
      </c>
      <c r="EK207" s="325" t="str">
        <f t="shared" si="63"/>
        <v>S-G2-G3-M1-D1-N2-S</v>
      </c>
      <c r="EL207" s="326" t="str">
        <f t="shared" si="64"/>
        <v>1-b3-3-4-b6-b7-8</v>
      </c>
      <c r="EM207" s="318" t="str">
        <f t="shared" si="65"/>
        <v>#REF!</v>
      </c>
      <c r="EN207" s="328" t="str">
        <f>IFERROR(__xludf.DUMMYFUNCTION("SUBSTITUTE(SUBSTITUTE(SUBSTITUTE(SUBSTITUTE(CONCATENATE(JOIN("" "",HP207:IB207)),""  "","" ""),""  "","" ""),""  "","" ""),""  "","" "")"),"o • • o o o • • o • o • o")</f>
        <v>o • • o o o • • o • o • o</v>
      </c>
      <c r="EO207" s="368" t="str">
        <f t="shared" si="66"/>
        <v>Sa-ma</v>
      </c>
      <c r="EP207" s="339" t="str">
        <f t="shared" si="67"/>
        <v>-</v>
      </c>
      <c r="EQ207" s="339" t="str">
        <f t="shared" si="68"/>
        <v>-</v>
      </c>
      <c r="ER207" s="339" t="str">
        <f t="shared" si="69"/>
        <v>-</v>
      </c>
      <c r="ES207" s="340" t="str">
        <f t="shared" si="70"/>
        <v>Sa-ma</v>
      </c>
      <c r="ET207" s="363"/>
      <c r="EU207" s="376" t="b">
        <f>IFERROR(__xludf.DUMMYFUNCTION("arrayformula(sum(--REGEXMATCH(""SRGMPDNS"",split(REGEXREPLACE(C207,""(.)"",""$1~""),""~""))))=len(C207)
"),FALSE)</f>
        <v>0</v>
      </c>
      <c r="EV207" s="290" t="b">
        <f>IFERROR(__xludf.DUMMYFUNCTION("arrayformula(sum(--REGEXMATCH(""SRGmPDNS"",split(REGEXREPLACE(C207,""(.)"",""$1~""),""~""))))=len(C207)"),FALSE)</f>
        <v>0</v>
      </c>
      <c r="EW207" s="290" t="b">
        <f>IFERROR(__xludf.DUMMYFUNCTION("arrayformula(sum(--REGEXMATCH(""SRGmPDnS"",split(REGEXREPLACE(C207,""(.)"",""$1~""),""~""))))=len(C207)"),FALSE)</f>
        <v>0</v>
      </c>
      <c r="EX207" s="290" t="b">
        <f>IFERROR(__xludf.DUMMYFUNCTION("arrayformula(sum(--REGEXMATCH(""SRgmPDnS"",split(REGEXREPLACE(C207,""(.)"",""$1~""),""~""))))=len(C207)"),FALSE)</f>
        <v>0</v>
      </c>
      <c r="EY207" s="290" t="b">
        <f>IFERROR(__xludf.DUMMYFUNCTION("arrayformula(sum(--REGEXMATCH(""SRgmPdnS"",split(REGEXREPLACE(C207,""(.)"",""$1~""),""~""))))=len(C207)"),FALSE)</f>
        <v>0</v>
      </c>
      <c r="EZ207" s="290" t="b">
        <f>IFERROR(__xludf.DUMMYFUNCTION("arrayformula(sum(--REGEXMATCH(""SrgmPdnS"",split(REGEXREPLACE(C207,""(.)"",""$1~""),""~""))))=len(C207)"),FALSE)</f>
        <v>0</v>
      </c>
      <c r="FA207" s="290" t="b">
        <f>IFERROR(__xludf.DUMMYFUNCTION("arrayformula(sum(--REGEXMATCH(""SrGmPdNS"",split(REGEXREPLACE(C207,""(.)"",""$1~""),""~""))))=len(C207)"),FALSE)</f>
        <v>0</v>
      </c>
      <c r="FB207" s="290" t="b">
        <f>IFERROR(__xludf.DUMMYFUNCTION("arrayformula(sum(--REGEXMATCH(""SrGMPDNS"",split(REGEXREPLACE(C207,""(.)"",""$1~""),""~""))))=len(C207)"),FALSE)</f>
        <v>0</v>
      </c>
      <c r="FC207" s="290" t="b">
        <f>IFERROR(__xludf.DUMMYFUNCTION("arrayformula(sum(--REGEXMATCH(""SrGMPdNS"",split(REGEXREPLACE(C207,""(.)"",""$1~""),""~""))))=len(C207)"),FALSE)</f>
        <v>0</v>
      </c>
      <c r="FD207" s="377" t="b">
        <f>IFERROR(__xludf.DUMMYFUNCTION("arrayformula(sum(--REGEXMATCH(""SrgMPdNS"",split(REGEXREPLACE(C207,""(.)"",""$1~""),""~""))))=len(C207)"),FALSE)</f>
        <v>0</v>
      </c>
      <c r="FE207" s="269" t="str">
        <f t="shared" si="71"/>
        <v>-</v>
      </c>
      <c r="FF207" s="269" t="str">
        <f t="shared" si="72"/>
        <v>-</v>
      </c>
      <c r="FG207" s="271" t="str">
        <f t="shared" si="73"/>
        <v>xxxooxoxoxo</v>
      </c>
      <c r="FH207" s="269" t="str">
        <f t="shared" si="74"/>
        <v>xxooxoxoxoo</v>
      </c>
      <c r="FI207" s="271" t="str">
        <f t="shared" si="75"/>
        <v>xooxoxoxoox</v>
      </c>
      <c r="FJ207" s="271" t="str">
        <f t="shared" si="76"/>
        <v>-</v>
      </c>
      <c r="FK207" s="271" t="str">
        <f t="shared" si="77"/>
        <v>-</v>
      </c>
      <c r="FL207" s="271" t="str">
        <f t="shared" si="78"/>
        <v>xoxoxooxxxo</v>
      </c>
      <c r="FM207" s="271" t="str">
        <f t="shared" si="79"/>
        <v>-</v>
      </c>
      <c r="FN207" s="271" t="str">
        <f t="shared" si="80"/>
        <v>xoxooxxxoox</v>
      </c>
      <c r="FO207" s="274" t="str">
        <f t="shared" si="81"/>
        <v>-</v>
      </c>
      <c r="FP207" s="234" t="str">
        <f t="shared" si="82"/>
        <v>|</v>
      </c>
      <c r="FQ207" s="236" t="str">
        <f t="shared" si="83"/>
        <v>-</v>
      </c>
      <c r="FR207" s="237" t="str">
        <f t="shared" si="84"/>
        <v>-</v>
      </c>
      <c r="FS207" s="236" t="str">
        <f t="shared" si="85"/>
        <v>|</v>
      </c>
      <c r="FT207" s="237" t="str">
        <f t="shared" si="86"/>
        <v>|</v>
      </c>
      <c r="FU207" s="236" t="str">
        <f t="shared" si="87"/>
        <v>|</v>
      </c>
      <c r="FV207" s="237" t="str">
        <f t="shared" si="88"/>
        <v>-</v>
      </c>
      <c r="FW207" s="236" t="str">
        <f t="shared" si="89"/>
        <v>-</v>
      </c>
      <c r="FX207" s="237" t="str">
        <f t="shared" si="90"/>
        <v>|</v>
      </c>
      <c r="FY207" s="236" t="str">
        <f t="shared" si="91"/>
        <v>-</v>
      </c>
      <c r="FZ207" s="237" t="str">
        <f t="shared" si="92"/>
        <v>|</v>
      </c>
      <c r="GA207" s="236" t="str">
        <f t="shared" si="93"/>
        <v>-</v>
      </c>
      <c r="GB207" s="238" t="str">
        <f t="shared" si="94"/>
        <v>|</v>
      </c>
      <c r="GC207" s="244" t="str">
        <f>IFERROR(__xludf.DUMMYFUNCTION("IF(REGEXMATCH(C207, ""S""), ""1"","""")"),"1")</f>
        <v>1</v>
      </c>
      <c r="GD207" s="245" t="str">
        <f>IFERROR(__xludf.DUMMYFUNCTION("IF(REGEXMATCH(C207, ""r""), ""b2"","""")"),"")</f>
        <v/>
      </c>
      <c r="GE207" s="246" t="str">
        <f>IFERROR(__xludf.DUMMYFUNCTION("IF(REGEXMATCH(C207, ""R""), ""2"","""")"),"")</f>
        <v/>
      </c>
      <c r="GF207" s="246" t="str">
        <f>IFERROR(__xludf.DUMMYFUNCTION("IF(REGEXMATCH(C207, ""g""), ""b3"","""")"),"b3")</f>
        <v>b3</v>
      </c>
      <c r="GG207" s="245" t="str">
        <f>IFERROR(__xludf.DUMMYFUNCTION("IF(REGEXMATCH(C207, ""G""), ""3"","""")"),"3")</f>
        <v>3</v>
      </c>
      <c r="GH207" s="245" t="str">
        <f>IFERROR(__xludf.DUMMYFUNCTION("IF(REGEXMATCH(C207, ""m""), ""4"","""")"),"4")</f>
        <v>4</v>
      </c>
      <c r="GI207" s="246" t="str">
        <f>IFERROR(__xludf.DUMMYFUNCTION("IF(REGEXMATCH(C207, ""M""), ""#4"","""")"),"")</f>
        <v/>
      </c>
      <c r="GJ207" s="245" t="str">
        <f>IFERROR(__xludf.DUMMYFUNCTION("IF(REGEXMATCH(C207, ""P""), ""5"","""")"),"")</f>
        <v/>
      </c>
      <c r="GK207" s="246" t="str">
        <f>IFERROR(__xludf.DUMMYFUNCTION("IF(REGEXMATCH(C207, ""d""), ""b6"","""")"),"b6")</f>
        <v>b6</v>
      </c>
      <c r="GL207" s="245" t="str">
        <f>IFERROR(__xludf.DUMMYFUNCTION("IF(REGEXMATCH(C207, ""D""), ""6"","""")"),"")</f>
        <v/>
      </c>
      <c r="GM207" s="245" t="str">
        <f>IFERROR(__xludf.DUMMYFUNCTION("IF(REGEXMATCH(C207, ""n""), ""b7"","""")"),"b7")</f>
        <v>b7</v>
      </c>
      <c r="GN207" s="246" t="str">
        <f>IFERROR(__xludf.DUMMYFUNCTION("IF(REGEXMATCH(C207, ""N""), ""7"","""")"),"")</f>
        <v/>
      </c>
      <c r="GO207" s="249" t="str">
        <f>IFERROR(__xludf.DUMMYFUNCTION("IF(REGEXMATCH(C207, ""S""), ""8"","""")"),"8")</f>
        <v>8</v>
      </c>
      <c r="GP207" s="244" t="str">
        <f>IFERROR(__xludf.DUMMYFUNCTION("IF(REGEXMATCH(C207, ""S""), ""S"","""")"),"S")</f>
        <v>S</v>
      </c>
      <c r="GQ207" s="294" t="str">
        <f>IFERROR(__xludf.DUMMYFUNCTION("IF(REGEXMATCH(C207, ""r""), ""R1"","""")"),"")</f>
        <v/>
      </c>
      <c r="GR207" s="295" t="str">
        <f>IFERROR(__xludf.DUMMYFUNCTION("IF(REGEXMATCH(C207, ""R""), ""R2"","""")"),"")</f>
        <v/>
      </c>
      <c r="GS207" s="295" t="str">
        <f>IFERROR(__xludf.DUMMYFUNCTION("IF(REGEXMATCH(C207, ""g""), ""G2"","""")"),"G2")</f>
        <v>G2</v>
      </c>
      <c r="GT207" s="294" t="str">
        <f>IFERROR(__xludf.DUMMYFUNCTION("IF(REGEXMATCH(C207, ""G""), ""G3"","""")"),"G3")</f>
        <v>G3</v>
      </c>
      <c r="GU207" s="294" t="str">
        <f>IFERROR(__xludf.DUMMYFUNCTION("IF(REGEXMATCH(C207, ""m""), ""M1"","""")"),"M1")</f>
        <v>M1</v>
      </c>
      <c r="GV207" s="295" t="str">
        <f>IFERROR(__xludf.DUMMYFUNCTION("IF(REGEXMATCH(C207, ""M""), ""M2"","""")"),"")</f>
        <v/>
      </c>
      <c r="GW207" s="294" t="str">
        <f>IFERROR(__xludf.DUMMYFUNCTION("IF(REGEXMATCH(C207, ""P""), ""P"","""")"),"")</f>
        <v/>
      </c>
      <c r="GX207" s="295" t="str">
        <f>IFERROR(__xludf.DUMMYFUNCTION("IF(REGEXMATCH(C207, ""d""), ""D1"","""")"),"D1")</f>
        <v>D1</v>
      </c>
      <c r="GY207" s="294" t="str">
        <f>IFERROR(__xludf.DUMMYFUNCTION("IF(REGEXMATCH(C207, ""D""), ""D2"","""")"),"")</f>
        <v/>
      </c>
      <c r="GZ207" s="294" t="str">
        <f>IFERROR(__xludf.DUMMYFUNCTION("IF(REGEXMATCH(C207, ""n""), ""N2"","""")"),"N2")</f>
        <v>N2</v>
      </c>
      <c r="HA207" s="295" t="str">
        <f>IFERROR(__xludf.DUMMYFUNCTION("IF(REGEXMATCH(C207, ""N""), ""N3"","""")"),"")</f>
        <v/>
      </c>
      <c r="HB207" s="249" t="str">
        <f>IFERROR(__xludf.DUMMYFUNCTION("IF(REGEXMATCH(C207, ""S""), ""S"","""")"),"S")</f>
        <v>S</v>
      </c>
      <c r="HC207" s="331" t="str">
        <f t="shared" si="95"/>
        <v>S</v>
      </c>
      <c r="HD207" s="332" t="str">
        <f t="shared" si="96"/>
        <v/>
      </c>
      <c r="HE207" s="332" t="str">
        <f t="shared" si="97"/>
        <v>R</v>
      </c>
      <c r="HF207" s="332" t="str">
        <f t="shared" si="98"/>
        <v/>
      </c>
      <c r="HG207" s="332" t="str">
        <f t="shared" si="99"/>
        <v>G</v>
      </c>
      <c r="HH207" s="332" t="str">
        <f t="shared" si="100"/>
        <v/>
      </c>
      <c r="HI207" s="332" t="str">
        <f t="shared" si="101"/>
        <v/>
      </c>
      <c r="HJ207" s="332" t="str">
        <f t="shared" si="102"/>
        <v>P</v>
      </c>
      <c r="HK207" s="332" t="str">
        <f t="shared" si="103"/>
        <v>d</v>
      </c>
      <c r="HL207" s="332" t="str">
        <f t="shared" si="104"/>
        <v>D</v>
      </c>
      <c r="HM207" s="332" t="str">
        <f t="shared" si="105"/>
        <v/>
      </c>
      <c r="HN207" s="332" t="str">
        <f t="shared" si="106"/>
        <v/>
      </c>
      <c r="HO207" s="343" t="str">
        <f t="shared" si="107"/>
        <v>S</v>
      </c>
      <c r="HP207" s="331" t="str">
        <f t="shared" si="108"/>
        <v>o</v>
      </c>
      <c r="HQ207" s="332" t="str">
        <f t="shared" si="109"/>
        <v>•</v>
      </c>
      <c r="HR207" s="332" t="str">
        <f t="shared" si="110"/>
        <v>•</v>
      </c>
      <c r="HS207" s="332" t="str">
        <f t="shared" si="111"/>
        <v>o</v>
      </c>
      <c r="HT207" s="332" t="str">
        <f t="shared" si="112"/>
        <v>o</v>
      </c>
      <c r="HU207" s="332" t="str">
        <f t="shared" si="113"/>
        <v>o</v>
      </c>
      <c r="HV207" s="332" t="str">
        <f t="shared" si="114"/>
        <v>•</v>
      </c>
      <c r="HW207" s="332" t="str">
        <f t="shared" si="115"/>
        <v>•</v>
      </c>
      <c r="HX207" s="332" t="str">
        <f t="shared" si="116"/>
        <v>o</v>
      </c>
      <c r="HY207" s="332" t="str">
        <f t="shared" si="117"/>
        <v>•</v>
      </c>
      <c r="HZ207" s="332" t="str">
        <f t="shared" si="118"/>
        <v>o</v>
      </c>
      <c r="IA207" s="332" t="str">
        <f t="shared" si="119"/>
        <v>•</v>
      </c>
      <c r="IB207" s="338" t="str">
        <f t="shared" si="120"/>
        <v>o</v>
      </c>
      <c r="IC207" s="331" t="str">
        <f t="shared" si="121"/>
        <v>•</v>
      </c>
      <c r="ID207" s="332" t="str">
        <f t="shared" si="122"/>
        <v>o</v>
      </c>
      <c r="IE207" s="332" t="str">
        <f t="shared" si="123"/>
        <v>o</v>
      </c>
      <c r="IF207" s="332" t="str">
        <f t="shared" si="124"/>
        <v>•</v>
      </c>
      <c r="IG207" s="332" t="str">
        <f t="shared" si="125"/>
        <v>•</v>
      </c>
      <c r="IH207" s="332" t="str">
        <f t="shared" si="126"/>
        <v>•</v>
      </c>
      <c r="II207" s="332" t="str">
        <f t="shared" si="127"/>
        <v>o</v>
      </c>
      <c r="IJ207" s="332" t="str">
        <f t="shared" si="128"/>
        <v>o</v>
      </c>
      <c r="IK207" s="332" t="str">
        <f t="shared" si="129"/>
        <v>•</v>
      </c>
      <c r="IL207" s="332" t="str">
        <f t="shared" si="130"/>
        <v>o</v>
      </c>
      <c r="IM207" s="332" t="str">
        <f t="shared" si="131"/>
        <v>•</v>
      </c>
      <c r="IN207" s="332" t="str">
        <f t="shared" si="132"/>
        <v>o</v>
      </c>
      <c r="IO207" s="338" t="str">
        <f t="shared" si="133"/>
        <v>•</v>
      </c>
      <c r="IP207" s="346" t="b">
        <f t="shared" si="134"/>
        <v>1</v>
      </c>
      <c r="IQ207" s="347" t="b">
        <f t="shared" si="135"/>
        <v>0</v>
      </c>
      <c r="IR207" s="347" t="b">
        <f t="shared" si="136"/>
        <v>0</v>
      </c>
      <c r="IS207" s="347" t="b">
        <f t="shared" si="137"/>
        <v>0</v>
      </c>
      <c r="IT207" s="347" t="b">
        <f t="shared" si="138"/>
        <v>1</v>
      </c>
      <c r="IU207" s="347" t="b">
        <f t="shared" si="139"/>
        <v>0</v>
      </c>
      <c r="IV207" s="347" t="b">
        <f t="shared" si="140"/>
        <v>0</v>
      </c>
      <c r="IW207" s="347" t="b">
        <f t="shared" si="141"/>
        <v>0</v>
      </c>
      <c r="IX207" s="347" t="b">
        <f t="shared" si="142"/>
        <v>0</v>
      </c>
      <c r="IY207" s="347" t="b">
        <f t="shared" si="143"/>
        <v>0</v>
      </c>
      <c r="IZ207" s="347" t="b">
        <f t="shared" si="144"/>
        <v>0</v>
      </c>
      <c r="JA207" s="347" t="b">
        <f t="shared" si="145"/>
        <v>0</v>
      </c>
      <c r="JB207" s="353" t="b">
        <f t="shared" si="146"/>
        <v>1</v>
      </c>
      <c r="JC207" s="354" t="str">
        <f t="shared" si="147"/>
        <v>Sa, </v>
      </c>
      <c r="JD207" s="355" t="str">
        <f t="shared" si="148"/>
        <v/>
      </c>
      <c r="JE207" s="355" t="str">
        <f t="shared" si="149"/>
        <v/>
      </c>
      <c r="JF207" s="355" t="str">
        <f t="shared" si="150"/>
        <v/>
      </c>
      <c r="JG207" s="355" t="str">
        <f t="shared" si="151"/>
        <v>Ga, </v>
      </c>
      <c r="JH207" s="355" t="str">
        <f t="shared" si="152"/>
        <v/>
      </c>
      <c r="JI207" s="355" t="str">
        <f t="shared" si="153"/>
        <v/>
      </c>
      <c r="JJ207" s="355" t="str">
        <f t="shared" si="154"/>
        <v/>
      </c>
      <c r="JK207" s="355" t="str">
        <f t="shared" si="155"/>
        <v/>
      </c>
      <c r="JL207" s="355" t="str">
        <f t="shared" si="156"/>
        <v/>
      </c>
      <c r="JM207" s="355" t="str">
        <f t="shared" si="157"/>
        <v/>
      </c>
      <c r="JN207" s="355" t="str">
        <f t="shared" si="158"/>
        <v/>
      </c>
      <c r="JO207" s="359" t="str">
        <f t="shared" si="159"/>
        <v/>
      </c>
      <c r="JP207" s="346" t="b">
        <f t="shared" si="160"/>
        <v>0</v>
      </c>
      <c r="JQ207" s="347" t="b">
        <f t="shared" si="161"/>
        <v>0</v>
      </c>
      <c r="JR207" s="347" t="b">
        <f t="shared" si="162"/>
        <v>0</v>
      </c>
      <c r="JS207" s="347" t="b">
        <f t="shared" si="163"/>
        <v>0</v>
      </c>
      <c r="JT207" s="347" t="b">
        <f t="shared" si="164"/>
        <v>1</v>
      </c>
      <c r="JU207" s="347" t="b">
        <f t="shared" si="165"/>
        <v>0</v>
      </c>
      <c r="JV207" s="347" t="b">
        <f t="shared" si="166"/>
        <v>0</v>
      </c>
      <c r="JW207" s="347" t="b">
        <f t="shared" si="167"/>
        <v>0</v>
      </c>
      <c r="JX207" s="347" t="b">
        <f t="shared" si="168"/>
        <v>0</v>
      </c>
      <c r="JY207" s="347" t="b">
        <f t="shared" si="169"/>
        <v>0</v>
      </c>
      <c r="JZ207" s="347" t="b">
        <f t="shared" si="170"/>
        <v>0</v>
      </c>
      <c r="KA207" s="347" t="b">
        <f t="shared" si="171"/>
        <v>0</v>
      </c>
      <c r="KB207" s="365" t="b">
        <f t="shared" si="172"/>
        <v>0</v>
      </c>
      <c r="KC207" s="354" t="str">
        <f t="shared" si="173"/>
        <v/>
      </c>
      <c r="KD207" s="355" t="str">
        <f t="shared" si="174"/>
        <v/>
      </c>
      <c r="KE207" s="355" t="str">
        <f t="shared" si="175"/>
        <v/>
      </c>
      <c r="KF207" s="355" t="str">
        <f t="shared" si="176"/>
        <v/>
      </c>
      <c r="KG207" s="355" t="str">
        <f t="shared" si="177"/>
        <v>Ga, </v>
      </c>
      <c r="KH207" s="355" t="str">
        <f t="shared" si="178"/>
        <v/>
      </c>
      <c r="KI207" s="355" t="str">
        <f t="shared" si="179"/>
        <v/>
      </c>
      <c r="KJ207" s="355" t="str">
        <f t="shared" si="180"/>
        <v/>
      </c>
      <c r="KK207" s="355" t="str">
        <f t="shared" si="181"/>
        <v/>
      </c>
      <c r="KL207" s="355" t="str">
        <f t="shared" si="182"/>
        <v/>
      </c>
      <c r="KM207" s="355" t="str">
        <f t="shared" si="183"/>
        <v/>
      </c>
      <c r="KN207" s="355" t="str">
        <f t="shared" si="184"/>
        <v/>
      </c>
      <c r="KO207" s="359"/>
      <c r="KP207" s="378"/>
      <c r="KQ207" s="379" t="s">
        <v>9</v>
      </c>
      <c r="KR207" s="380" t="s">
        <v>9</v>
      </c>
      <c r="KS207" s="381" t="s">
        <v>9</v>
      </c>
      <c r="KT207" s="382">
        <f t="shared" si="186"/>
        <v>0</v>
      </c>
      <c r="KU207" s="383">
        <f t="shared" si="187"/>
        <v>0</v>
      </c>
      <c r="KV207" s="381" t="str">
        <f t="shared" si="205"/>
        <v>S</v>
      </c>
      <c r="KW207" s="382">
        <f t="shared" si="189"/>
        <v>0</v>
      </c>
      <c r="KX207" s="384">
        <f t="shared" si="190"/>
        <v>0</v>
      </c>
      <c r="KY207" s="382">
        <f t="shared" ref="KY207:KZ207" si="630">KW207-KT207</f>
        <v>0</v>
      </c>
      <c r="KZ207" s="369">
        <f t="shared" si="630"/>
        <v>0</v>
      </c>
      <c r="LA207" s="385" t="str">
        <f t="shared" si="192"/>
        <v>✔</v>
      </c>
      <c r="LB207" s="340" t="str">
        <f>IFERROR(__xludf.DUMMYFUNCTION("JOIN("""",ArrayFormula(MID(KS207,LEN(KS207)-SEQUENCE(1,LEN(KS207))+1,1)))"),"S")</f>
        <v>S</v>
      </c>
      <c r="LC207" s="373" t="str">
        <f>IFERROR(__xludf.DUMMYFUNCTION("JOIN("""",ArrayFormula(MID(KV207,LEN(KV207)-SEQUENCE(1,LEN(KV207))+1,1)))"),"S")</f>
        <v>S</v>
      </c>
      <c r="LD207" s="373" t="str">
        <f t="shared" si="193"/>
        <v>S</v>
      </c>
      <c r="LE207" s="339" t="str">
        <f t="shared" si="194"/>
        <v>S</v>
      </c>
      <c r="LF207" s="386" t="str">
        <f>IFERROR(__xludf.DUMMYFUNCTION("SUBSTITUTE(SUBSTITUTE(CONCATENATE(JOIN("""",LH207:LT207)),""1"",""""),""2"","""")"),"SS")</f>
        <v>SS</v>
      </c>
      <c r="LG207" s="369" t="str">
        <f t="shared" si="195"/>
        <v>-</v>
      </c>
      <c r="LH207" s="387" t="str">
        <f>IFERROR(__xludf.DUMMYFUNCTION("IF(REGEXMATCH(LD207, ""S""), ""S"",IF(REGEXMATCH(LE207, ""S""), ""S"",""""))"),"S")</f>
        <v>S</v>
      </c>
      <c r="LI207" s="299" t="str">
        <f>IFERROR(__xludf.DUMMYFUNCTION("IF(REGEXMATCH(LD207, ""r""), ""r1"",IF(REGEXMATCH(LE207, ""r""), ""r2"",""""))"),"")</f>
        <v/>
      </c>
      <c r="LJ207" s="299" t="str">
        <f>IFERROR(__xludf.DUMMYFUNCTION("IF(REGEXMATCH(LD207, ""R""), ""R1"",IF(REGEXMATCH(LE207, ""R""), ""R2"",""""))"),"")</f>
        <v/>
      </c>
      <c r="LK207" s="299" t="str">
        <f>IFERROR(__xludf.DUMMYFUNCTION("IF(REGEXMATCH(LD207, ""g""), ""g1"",IF(REGEXMATCH(LE207, ""g""), ""g2"",""""))"),"")</f>
        <v/>
      </c>
      <c r="LL207" s="299" t="str">
        <f>IFERROR(__xludf.DUMMYFUNCTION("IF(REGEXMATCH(LD207, ""G""), ""G1"",IF(REGEXMATCH(LE207, ""G""), ""G2"",""""))"),"")</f>
        <v/>
      </c>
      <c r="LM207" s="299" t="str">
        <f>IFERROR(__xludf.DUMMYFUNCTION("IF(REGEXMATCH(LD207, ""m""), ""m1"",IF(REGEXMATCH(LE207, ""m""), ""m2"",""""))"),"")</f>
        <v/>
      </c>
      <c r="LN207" s="299" t="str">
        <f>IFERROR(__xludf.DUMMYFUNCTION("IF(REGEXMATCH(LD207, ""M""), ""M1"",IF(REGEXMATCH(LE207, ""M""), ""M2"",""""))"),"")</f>
        <v/>
      </c>
      <c r="LO207" s="299" t="str">
        <f>IFERROR(__xludf.DUMMYFUNCTION("IF(REGEXMATCH(LD207, ""P""), ""P1"",IF(REGEXMATCH(LE207, ""P""), ""P2"",""""))"),"")</f>
        <v/>
      </c>
      <c r="LP207" s="299" t="str">
        <f>IFERROR(__xludf.DUMMYFUNCTION("IF(REGEXMATCH(LD207, ""d""), ""d1"",IF(REGEXMATCH(LE207, ""d""), ""d2"",""""))"),"")</f>
        <v/>
      </c>
      <c r="LQ207" s="299" t="str">
        <f>IFERROR(__xludf.DUMMYFUNCTION("IF(REGEXMATCH(LD207, ""D""), ""D1"",IF(REGEXMATCH(LE207, ""D""), ""D2"",""""))"),"")</f>
        <v/>
      </c>
      <c r="LR207" s="299" t="str">
        <f>IFERROR(__xludf.DUMMYFUNCTION("IF(REGEXMATCH(LD207, ""n""), ""n1"",IF(REGEXMATCH(LE207, ""n""), ""n2"",""""))"),"")</f>
        <v/>
      </c>
      <c r="LS207" s="299" t="str">
        <f>IFERROR(__xludf.DUMMYFUNCTION("IF(REGEXMATCH(LD207, ""N""), ""N1"",IF(REGEXMATCH(LE207, ""N""), ""N2"",""""))"),"")</f>
        <v/>
      </c>
      <c r="LT207" s="388" t="str">
        <f>IFERROR(__xludf.DUMMYFUNCTION("IF(REGEXMATCH(LD207, ""S""), ""S"",IF(REGEXMATCH(LE207, ""S""), ""S"",""""))"),"S")</f>
        <v>S</v>
      </c>
      <c r="LU207" s="389">
        <f t="shared" si="196"/>
        <v>1</v>
      </c>
      <c r="LV207" s="378"/>
      <c r="LW207" s="369"/>
      <c r="LX207" s="369"/>
    </row>
    <row r="208" ht="18.0" customHeight="1">
      <c r="A208" s="298" t="s">
        <v>1441</v>
      </c>
      <c r="B208" s="222" t="s">
        <v>941</v>
      </c>
      <c r="C208" s="233" t="str">
        <f t="shared" si="7"/>
        <v>SrRmMPnS</v>
      </c>
      <c r="D208" s="234" t="str">
        <f>IFERROR(__xludf.DUMMYFUNCTION("IF(REGEXMATCH(C208, ""S""), ""S"","""")"),"S")</f>
        <v>S</v>
      </c>
      <c r="E208" s="236" t="str">
        <f>IFERROR(__xludf.DUMMYFUNCTION("IF(REGEXMATCH(C208, ""r""), ""r"","""")"),"r")</f>
        <v>r</v>
      </c>
      <c r="F208" s="237" t="str">
        <f>IFERROR(__xludf.DUMMYFUNCTION("IF(REGEXMATCH(C208, ""R""), ""R"","""")"),"R")</f>
        <v>R</v>
      </c>
      <c r="G208" s="237" t="str">
        <f>IFERROR(__xludf.DUMMYFUNCTION("IF(REGEXMATCH(C208, ""g""), ""g"","""")"),"")</f>
        <v/>
      </c>
      <c r="H208" s="236" t="str">
        <f>IFERROR(__xludf.DUMMYFUNCTION("IF(REGEXMATCH(C208, ""G""), ""G"","""")"),"")</f>
        <v/>
      </c>
      <c r="I208" s="236" t="str">
        <f>IFERROR(__xludf.DUMMYFUNCTION("IF(REGEXMATCH(C208, ""m""), ""m"","""")"),"m")</f>
        <v>m</v>
      </c>
      <c r="J208" s="237" t="str">
        <f>IFERROR(__xludf.DUMMYFUNCTION("IF(REGEXMATCH(C208, ""M""), ""M"","""")"),"M")</f>
        <v>M</v>
      </c>
      <c r="K208" s="236" t="str">
        <f>IFERROR(__xludf.DUMMYFUNCTION("IF(REGEXMATCH(C208, ""P""), ""P"","""")"),"P")</f>
        <v>P</v>
      </c>
      <c r="L208" s="237" t="str">
        <f>IFERROR(__xludf.DUMMYFUNCTION("IF(REGEXMATCH(C208, ""d""), ""d"","""")"),"")</f>
        <v/>
      </c>
      <c r="M208" s="236" t="str">
        <f>IFERROR(__xludf.DUMMYFUNCTION("IF(REGEXMATCH(C208, ""D""), ""D"","""")"),"")</f>
        <v/>
      </c>
      <c r="N208" s="236" t="str">
        <f>IFERROR(__xludf.DUMMYFUNCTION("IF(REGEXMATCH(C208, ""n""), ""n"","""")"),"n")</f>
        <v>n</v>
      </c>
      <c r="O208" s="237" t="str">
        <f>IFERROR(__xludf.DUMMYFUNCTION("IF(REGEXMATCH(C208, ""N""), ""N"","""")"),"")</f>
        <v/>
      </c>
      <c r="P208" s="238" t="str">
        <f>IFERROR(__xludf.DUMMYFUNCTION("IF(REGEXMATCH(C208, ""S""), ""S"","""")"),"S")</f>
        <v>S</v>
      </c>
      <c r="Q208" s="239" t="str">
        <f>IFERROR(__xludf.DUMMYFUNCTION("SUBSTITUTE(CONCATENATE(JOIN(""-"",D208:J208)),""-"","""")"),"SrRmM")</f>
        <v>SrRmM</v>
      </c>
      <c r="R208" s="229" t="str">
        <f>IFERROR(__xludf.DUMMYFUNCTION("SUBSTITUTE(CONCATENATE(JOIN(""-"",K208:P208)),""-"","""")"),"PnS")</f>
        <v>PnS</v>
      </c>
      <c r="S208" s="282" t="str">
        <f t="shared" si="8"/>
        <v>S-R-M</v>
      </c>
      <c r="T208" s="282" t="str">
        <f t="shared" si="9"/>
        <v>P-N-S</v>
      </c>
      <c r="U208" s="237" t="str">
        <f>IFERROR(__xludf.DUMMYFUNCTION("SUBSTITUTE(JOIN(""-"",S208,T208),""--"",""-"")"),"S-R-M-P-N-S")</f>
        <v>S-R-M-P-N-S</v>
      </c>
      <c r="V208" s="309" t="str">
        <f t="shared" si="10"/>
        <v>rRmMn</v>
      </c>
      <c r="W208" s="244" t="str">
        <f>IFERROR(__xludf.DUMMYFUNCTION("IF(REGEXMATCH(C208, ""S""), ""0"","""")"),"0")</f>
        <v>0</v>
      </c>
      <c r="X208" s="245" t="str">
        <f>IFERROR(__xludf.DUMMYFUNCTION("IF(REGEXMATCH(C208, ""r""), ""1"","""")"),"1")</f>
        <v>1</v>
      </c>
      <c r="Y208" s="246" t="str">
        <f>IFERROR(__xludf.DUMMYFUNCTION("IF(REGEXMATCH(C208, ""R""), ""2"","""")"),"2")</f>
        <v>2</v>
      </c>
      <c r="Z208" s="246" t="str">
        <f>IFERROR(__xludf.DUMMYFUNCTION("IF(REGEXMATCH(C208, ""g""), ""3"","""")"),"")</f>
        <v/>
      </c>
      <c r="AA208" s="245" t="str">
        <f>IFERROR(__xludf.DUMMYFUNCTION("IF(REGEXMATCH(C208, ""G""), ""4"","""")"),"")</f>
        <v/>
      </c>
      <c r="AB208" s="245" t="str">
        <f>IFERROR(__xludf.DUMMYFUNCTION("IF(REGEXMATCH(C208, ""m""), ""5"","""")"),"5")</f>
        <v>5</v>
      </c>
      <c r="AC208" s="246" t="str">
        <f>IFERROR(__xludf.DUMMYFUNCTION("IF(REGEXMATCH(C208, ""M""), ""6"","""")"),"6")</f>
        <v>6</v>
      </c>
      <c r="AD208" s="245" t="str">
        <f>IFERROR(__xludf.DUMMYFUNCTION("IF(REGEXMATCH(C208, ""P""), ""7"","""")"),"7")</f>
        <v>7</v>
      </c>
      <c r="AE208" s="246" t="str">
        <f>IFERROR(__xludf.DUMMYFUNCTION("IF(REGEXMATCH(C208, ""d""), ""8"","""")"),"")</f>
        <v/>
      </c>
      <c r="AF208" s="245" t="str">
        <f>IFERROR(__xludf.DUMMYFUNCTION("IF(REGEXMATCH(C208, ""D""), ""9"","""")"),"")</f>
        <v/>
      </c>
      <c r="AG208" s="245" t="str">
        <f>IFERROR(__xludf.DUMMYFUNCTION("IF(REGEXMATCH(C208, ""n""), ""10"","""")"),"10")</f>
        <v>10</v>
      </c>
      <c r="AH208" s="246" t="str">
        <f>IFERROR(__xludf.DUMMYFUNCTION("IF(REGEXMATCH(C208, ""N""), ""11"","""")"),"")</f>
        <v/>
      </c>
      <c r="AI208" s="249" t="str">
        <f>IFERROR(__xludf.DUMMYFUNCTION("IF(REGEXMATCH(C208, ""S""), ""0"","""")"),"0")</f>
        <v>0</v>
      </c>
      <c r="AJ208" s="313" t="str">
        <f t="shared" si="11"/>
        <v>T</v>
      </c>
      <c r="AK208" s="313" t="str">
        <f t="shared" si="12"/>
        <v>T</v>
      </c>
      <c r="AL208" s="313" t="str">
        <f t="shared" si="13"/>
        <v>-</v>
      </c>
      <c r="AM208" s="313" t="str">
        <f t="shared" si="14"/>
        <v>-</v>
      </c>
      <c r="AN208" s="313" t="str">
        <f t="shared" si="15"/>
        <v>-</v>
      </c>
      <c r="AO208" s="314" t="str">
        <f t="shared" si="16"/>
        <v>-</v>
      </c>
      <c r="AP208" s="316">
        <f t="shared" si="17"/>
        <v>2</v>
      </c>
      <c r="AQ208" s="319" t="str">
        <f t="shared" si="18"/>
        <v>-</v>
      </c>
      <c r="AR208" s="320">
        <f t="shared" si="19"/>
        <v>0</v>
      </c>
      <c r="AS208" s="250" t="str">
        <f>IFERROR(__xludf.DUMMYFUNCTION("SUBSTITUTE(SUBSTITUTE(CONCATENATE(JOIN("""",FP208:GA208)),""|"",""x""),""-"",""o"")"),"xxxooxxxooxo")</f>
        <v>xxxooxxxooxo</v>
      </c>
      <c r="AT208" s="323" t="str">
        <f>IFERROR(__xludf.DUMMYFUNCTION("JOIN("""",AS208,AS208)"),"xxxooxxxooxoxxxooxxxooxo")</f>
        <v>xxxooxxxooxoxxxooxxxooxo</v>
      </c>
      <c r="AU208" s="256" t="str">
        <f>IFERROR(__xludf.DUMMYFUNCTION("JOIN("""",ArrayFormula(MID(AS208,LEN(AS208)-SEQUENCE(1,LEN(AS208))+1,1)))"),"oxooxxxooxxx")</f>
        <v>oxooxxxooxxx</v>
      </c>
      <c r="AV208" s="256" t="str">
        <f>IFERROR(__xludf.DUMMYFUNCTION("LEFT(CONCATENATE(""x"",JOIN("""",ArrayFormula(MID(AS208,LEN(AS208)-SEQUENCE(1,LEN(AS208))+1,1)))),12)"),"xoxooxxxooxx")</f>
        <v>xoxooxxxooxx</v>
      </c>
      <c r="AW208" s="327" t="str">
        <f>IFERROR(__xludf.DUMMYFUNCTION("JOIN("""",AU208,AU208)"),"oxooxxxooxxxoxooxxxooxxx")</f>
        <v>oxooxxxooxxxoxooxxxooxxx</v>
      </c>
      <c r="AX208" s="239" t="str">
        <f>IFERROR(__xludf.DUMMYFUNCTION("IF(REGEXMATCH(AW208,AS208),""✔"",""-"")"),"-")</f>
        <v>-</v>
      </c>
      <c r="AY208" s="330" t="str">
        <f t="shared" si="20"/>
        <v>-</v>
      </c>
      <c r="AZ208" s="260" t="str">
        <f t="shared" si="21"/>
        <v>#REF!</v>
      </c>
      <c r="BA208" s="333" t="str">
        <f t="shared" si="22"/>
        <v>xxxooxx</v>
      </c>
      <c r="BB208" s="334" t="str">
        <f t="shared" si="23"/>
        <v>xooxox</v>
      </c>
      <c r="BC208" s="335" t="str">
        <f t="shared" si="236"/>
        <v>-</v>
      </c>
      <c r="BD208" s="336" t="str">
        <f t="shared" si="25"/>
        <v>Madhusurja: 'xxxooxx' + 'xooxox'</v>
      </c>
      <c r="BE208" s="337">
        <f>IFERROR(__xludf.DUMMYFUNCTION("COUNTUNIQUE(FILTER(AT:AT,REGEXMATCH(AT:AT,AS208)))-1"),5.0)</f>
        <v>5</v>
      </c>
      <c r="BF208" s="261" t="str">
        <f>IFERROR(__xludf.DUMMYFUNCTION("IF(BI208=0,""(n/a)"",IF(BJ208=2,""(PAIR)"",IF(REGEXMATCH(AT208,""xoxoxxoxoxox""),""Bilawal"",IF(REGEXMATCH(AT208,""xoxoxooxoxoo""),""Bhupali"",IF(REGEXMATCH(AT208,""xoxoxxoxxoxo""),""Charukeshi"",IF(REGEXMATCH(AT208,""xoxoooxxoxxo""),""Kameshwari"",IF(REG"&amp;"EXMATCH(AT208,""xoxoxooxoxox""),""Shankara"",IF(REGEXMATCH(AT208,""xxooxoxxxoox""),""Basant"",IF(REGEXMATCH(AT208,""xoxoxxxxoxox""),""Bihag"",IF(REGEXMATCH(AT208,""xoxxxxoxoxxx""),""Pilu"",IF(REGEXMATCH(AT208,""xoxxoxoxxoox""),""Kirwani"",IF(REGEXMATCH(AT"&amp;"208,""xoxxoxoxoxxx""),""Mk.Malhar"",IF(REGEXMATCH(AT208,""xxooxxoxxoox""),""Bhairav"",IF(REGEXMATCH(AT208,""xxoxooxxxoox""),""Todi"",IF(REGEXMATCH(AT208,""xxooxoxooxox""),""Marwa"",IF(REGEXMATCH(AT208,""xxoooxoxxooo""),""Gunkali"",IF(REGEXMATCH(AT208,""xo"&amp;"xoxxoxxoox""),""Nat Bhairav"",IF(REGEXMATCH(AT208,""xoxxoooxoxoo""),""Shivranjani"",IF(REGEXMATCH(AT208,""xooxxxoxooxo""),""Jog"",IF(REGEXMATCH(AT208,""xxooxoxoxoox""),""Hemshri"",IF(REGEXMATCH(AT208,""xoooxooxoxxo""),""Kalavati"",IF(REGEXMATCH(AT208,""xx"&amp;"oxoxxoxoox""),""Kedar"",IF(REGEXMATCH(AT208,""xoxxxxoxooxx""),""Gara"",IF(REGEXMATCH(AT208,""xooxoxooxoox""),""Chandrakauns"",IF(REGEXMATCH(AT208,""xoxxxxoxxxox""),""Mand"",IF(REGEXMATCH(AT208,""xoxxxxoxoxox""),""Hanskinkini"",IF(REGEXMATCH(AT208,""xxooxx"&amp;"oxooxo""),""Lilavati"",IF(REGEXMATCH(AT208,""xooxoxoooxox""),""Rajeshwari"",IF(REGEXMATCH(AT208,""xoooxxoxoxxx""),""Khokar"",IF(REGEXMATCH(AT208,""xxooxoxxxxox""),""Maligoura"",""-""))))))))))))))))))))))))))))))"),"Basant")</f>
        <v>Basant</v>
      </c>
      <c r="BG208" s="239" t="str">
        <f t="shared" si="26"/>
        <v>#REF!</v>
      </c>
      <c r="BH208" s="239">
        <f>IFERROR(__xludf.DUMMYFUNCTION("COUNTUNIQUE(FE208:FO208)-1"),6.0)</f>
        <v>6</v>
      </c>
      <c r="BI208" s="239">
        <f>IFERROR(__xludf.DUMMYFUNCTION("COUNTUNIQUE(FILTER(AT:AT,REGEXMATCH(AT:AT,AS208)))-1"),5.0)</f>
        <v>5</v>
      </c>
      <c r="BJ208" s="239">
        <f>IFERROR(__xludf.DUMMYFUNCTION("COUNTA(FILTER(AT:AT,REGEXMATCH(AT:AT,AS208)))"),12.0)</f>
        <v>12</v>
      </c>
      <c r="BK208" s="341">
        <f>IFERROR(__xludf.DUMMYFUNCTION("COUNTA(FILTER(AT:AT,REGEXMATCH(AT:AT,AS208)))-AR208"),12.0)</f>
        <v>12</v>
      </c>
      <c r="BL208" s="276" t="str">
        <f>IFERROR(__xludf.DUMMYFUNCTION("IF(AS208=""oooooooooooo"",""-"",IF(REGEXMATCH(AT208,""xx""), ""Hemi."", ""Anhemi.""))"),"Hemi.")</f>
        <v>Hemi.</v>
      </c>
      <c r="BM208" s="282" t="str">
        <f>IFERROR(__xludf.DUMMYFUNCTION("IF(AS208=""oooooooooooo"",""-"",IF(REGEXMATCH(AT208,""xxx""), ""Cohem."", ""-""))"),"Cohem.")</f>
        <v>Cohem.</v>
      </c>
      <c r="BN208" s="282" t="str">
        <f>IFERROR(__xludf.DUMMYFUNCTION("IF(AS208=""oooooooooooo"",""-"",IF(REGEXMATCH(AT208,""xxxx""), ""Co-Co."", ""-""))"),"-")</f>
        <v>-</v>
      </c>
      <c r="BO208" s="342" t="str">
        <f>IFERROR(__xludf.DUMMYFUNCTION("IF(AS208=""oooooooooooo"",""-"",IF(REGEXMATCH(AT208,""xxxxx""), ""CCC."", ""-""))"),"-")</f>
        <v>-</v>
      </c>
      <c r="BP208" s="344" t="str">
        <f t="shared" si="27"/>
        <v>-</v>
      </c>
      <c r="BQ208" s="282" t="str">
        <f>IFERROR(__xludf.DUMMYFUNCTION("IF(REGEXMATCH(JOIN(""-"",EU208:FD208),""TRUE""),""✔"",""-"")"),"-")</f>
        <v>-</v>
      </c>
      <c r="BR208" s="225">
        <f t="shared" si="28"/>
        <v>0</v>
      </c>
      <c r="BS208" s="345" t="str">
        <f>IFERROR(__xludf.DUMMYFUNCTION("SUBSTITUTE(SUBSTITUTE(SUBSTITUTE(SUBSTITUTE(CONCATENATE(JOIN(""-"",GC208:GO208)),""--"",""-""),""--"",""-""),""--"",""-""),""--"",""-"")"),"1-b2-2-4-#4-5-b7-8")</f>
        <v>1-b2-2-4-#4-5-b7-8</v>
      </c>
      <c r="BT208" s="299" t="str">
        <f>IFERROR(__xludf.DUMMYFUNCTION("SUBSTITUTE(SUBSTITUTE(SUBSTITUTE(SUBSTITUTE(CONCATENATE(JOIN(""-"",GP208:HB208)),""--"",""-""),""--"",""-""),""--"",""-""),""--"",""-"")"),"S-R1-R2-M1-M2-P-N2-S")</f>
        <v>S-R1-R2-M1-M2-P-N2-S</v>
      </c>
      <c r="BU208" s="348" t="str">
        <f t="shared" si="29"/>
        <v>C-Db-D-F-F#-G-Bb-C</v>
      </c>
      <c r="BV208" s="349" t="str">
        <f t="shared" si="30"/>
        <v>SgGdDNS</v>
      </c>
      <c r="BW208" s="350">
        <f t="shared" si="31"/>
        <v>0</v>
      </c>
      <c r="BX208" s="351">
        <f t="shared" si="32"/>
        <v>1</v>
      </c>
      <c r="BY208" s="352" t="s">
        <v>275</v>
      </c>
      <c r="BZ208" s="309" t="str">
        <f>IFERROR(__xludf.DUMMYFUNCTION("IF(REGEXMATCH(C208, ""S""), ""x"",""x"")"),"x")</f>
        <v>x</v>
      </c>
      <c r="CA208" s="245" t="str">
        <f>IFERROR(__xludf.DUMMYFUNCTION("IF(REGEXMATCH(C208, ""r""), ""o"",""x"")"),"o")</f>
        <v>o</v>
      </c>
      <c r="CB208" s="246" t="str">
        <f>IFERROR(__xludf.DUMMYFUNCTION("IF(REGEXMATCH(C208, ""R""), ""o"",""x"")"),"o")</f>
        <v>o</v>
      </c>
      <c r="CC208" s="246" t="str">
        <f>IFERROR(__xludf.DUMMYFUNCTION("IF(REGEXMATCH(C208, ""g""), ""o"",""x"")"),"x")</f>
        <v>x</v>
      </c>
      <c r="CD208" s="245" t="str">
        <f>IFERROR(__xludf.DUMMYFUNCTION("IF(REGEXMATCH(C208, ""G""), ""o"",""x"")"),"x")</f>
        <v>x</v>
      </c>
      <c r="CE208" s="245" t="str">
        <f>IFERROR(__xludf.DUMMYFUNCTION("IF(REGEXMATCH(C208, ""m""), ""o"",""x"")"),"o")</f>
        <v>o</v>
      </c>
      <c r="CF208" s="246" t="str">
        <f>IFERROR(__xludf.DUMMYFUNCTION("IF(REGEXMATCH(C208, ""M""), ""o"",""x"")"),"o")</f>
        <v>o</v>
      </c>
      <c r="CG208" s="245" t="str">
        <f>IFERROR(__xludf.DUMMYFUNCTION("IF(REGEXMATCH(C208, ""P""), ""o"",""x"")"),"o")</f>
        <v>o</v>
      </c>
      <c r="CH208" s="246" t="str">
        <f>IFERROR(__xludf.DUMMYFUNCTION("IF(REGEXMATCH(C208, ""d""), ""o"",""x"")"),"x")</f>
        <v>x</v>
      </c>
      <c r="CI208" s="245" t="str">
        <f>IFERROR(__xludf.DUMMYFUNCTION("IF(REGEXMATCH(C208, ""D""), ""o"",""x"")"),"x")</f>
        <v>x</v>
      </c>
      <c r="CJ208" s="245" t="str">
        <f>IFERROR(__xludf.DUMMYFUNCTION("IF(REGEXMATCH(C208, ""n""), ""o"",""x"")"),"o")</f>
        <v>o</v>
      </c>
      <c r="CK208" s="245" t="str">
        <f>IFERROR(__xludf.DUMMYFUNCTION("IF(REGEXMATCH(C208, ""N""), ""o"",""x"")"),"x")</f>
        <v>x</v>
      </c>
      <c r="CL208" s="356" t="str">
        <f>IFERROR(__xludf.DUMMYFUNCTION("IF(REGEXMATCH(C208, ""S""), ""x"",""x"")"),"x")</f>
        <v>x</v>
      </c>
      <c r="CM208" s="357" t="str">
        <f t="shared" si="33"/>
        <v>xooxxoooxxox</v>
      </c>
      <c r="CN208" s="358">
        <f t="shared" si="34"/>
        <v>0</v>
      </c>
      <c r="CO208" s="246" t="str">
        <f>IFERROR(__xludf.DUMMYFUNCTION("IF(REGEXMATCH($C208, ""S""), ""S"",""S"")"),"S")</f>
        <v>S</v>
      </c>
      <c r="CP208" s="246" t="str">
        <f>IFERROR(__xludf.DUMMYFUNCTION("IF(REGEXMATCH($C208, ""r""), """",""r"")"),"")</f>
        <v/>
      </c>
      <c r="CQ208" s="246" t="str">
        <f>IFERROR(__xludf.DUMMYFUNCTION("IF(REGEXMATCH($C208, ""R""), """",""R"")"),"")</f>
        <v/>
      </c>
      <c r="CR208" s="246" t="str">
        <f>IFERROR(__xludf.DUMMYFUNCTION("IF(REGEXMATCH($C208, ""g""), """",""g"")"),"g")</f>
        <v>g</v>
      </c>
      <c r="CS208" s="246" t="str">
        <f>IFERROR(__xludf.DUMMYFUNCTION("IF(REGEXMATCH($C208, ""G""), """",""G"")"),"G")</f>
        <v>G</v>
      </c>
      <c r="CT208" s="246" t="str">
        <f>IFERROR(__xludf.DUMMYFUNCTION("IF(REGEXMATCH($C208, ""m""), """",""m"")"),"")</f>
        <v/>
      </c>
      <c r="CU208" s="246" t="str">
        <f>IFERROR(__xludf.DUMMYFUNCTION("IF(REGEXMATCH($C208, ""M""), """",""M"")"),"")</f>
        <v/>
      </c>
      <c r="CV208" s="246" t="str">
        <f>IFERROR(__xludf.DUMMYFUNCTION("IF(REGEXMATCH($C208, ""P""), """",""P"")"),"")</f>
        <v/>
      </c>
      <c r="CW208" s="246" t="str">
        <f>IFERROR(__xludf.DUMMYFUNCTION("IF(REGEXMATCH($C208, ""d""), """",""d"")"),"d")</f>
        <v>d</v>
      </c>
      <c r="CX208" s="246" t="str">
        <f>IFERROR(__xludf.DUMMYFUNCTION("IF(REGEXMATCH($C208, ""D""), """",""D"")"),"D")</f>
        <v>D</v>
      </c>
      <c r="CY208" s="246" t="str">
        <f>IFERROR(__xludf.DUMMYFUNCTION("IF(REGEXMATCH($C208, ""n""), """",""n"")"),"")</f>
        <v/>
      </c>
      <c r="CZ208" s="246" t="str">
        <f>IFERROR(__xludf.DUMMYFUNCTION("IF(REGEXMATCH($C208, ""N""), """",""N"")"),"N")</f>
        <v>N</v>
      </c>
      <c r="DA208" s="246" t="str">
        <f>IFERROR(__xludf.DUMMYFUNCTION("IF(REGEXMATCH($C208, ""S""), ""S"",""S"")"),"S")</f>
        <v>S</v>
      </c>
      <c r="DB208" s="362" t="str">
        <f>IFERROR(__xludf.DUMMYFUNCTION("JOIN("""",CO208:DA208,"""","""")"),"SgGdDNS")</f>
        <v>SgGdDNS</v>
      </c>
      <c r="DC208" s="363"/>
      <c r="DD208" s="301" t="str">
        <f t="shared" si="35"/>
        <v>#REF!</v>
      </c>
      <c r="DE208" s="302" t="str">
        <f t="shared" si="36"/>
        <v>#REF!</v>
      </c>
      <c r="DF208" s="301" t="str">
        <f t="shared" ref="DF208:DG208" si="631">SUBSTITUTE(S208,"-","")</f>
        <v>SRM</v>
      </c>
      <c r="DG208" s="301" t="str">
        <f t="shared" si="631"/>
        <v>PNS</v>
      </c>
      <c r="DH208" s="302" t="str">
        <f t="shared" si="38"/>
        <v>Basant</v>
      </c>
      <c r="DI208" s="301" t="str">
        <f t="shared" si="39"/>
        <v>Hemi.</v>
      </c>
      <c r="DJ208" s="364" t="str">
        <f t="shared" si="40"/>
        <v>Cohem.</v>
      </c>
      <c r="DK208" s="306" t="str">
        <f t="shared" si="41"/>
        <v>-</v>
      </c>
      <c r="DL208" s="366" t="str">
        <f t="shared" si="42"/>
        <v>-</v>
      </c>
      <c r="DM208" s="308" t="str">
        <f t="shared" si="43"/>
        <v>✔</v>
      </c>
      <c r="DN208" s="306" t="str">
        <f t="shared" si="44"/>
        <v>-</v>
      </c>
      <c r="DO208" s="306" t="str">
        <f t="shared" si="45"/>
        <v>-</v>
      </c>
      <c r="DP208" s="367" t="str">
        <f t="shared" si="46"/>
        <v>-</v>
      </c>
      <c r="DQ208" s="310" t="str">
        <f t="shared" si="47"/>
        <v>✔</v>
      </c>
      <c r="DR208" s="310" t="str">
        <f t="shared" si="48"/>
        <v>-</v>
      </c>
      <c r="DS208" s="310" t="str">
        <f t="shared" si="49"/>
        <v>✔</v>
      </c>
      <c r="DT208" s="310" t="str">
        <f t="shared" si="50"/>
        <v>-</v>
      </c>
      <c r="DU208" s="370" t="str">
        <f t="shared" si="51"/>
        <v>-</v>
      </c>
      <c r="DV208" s="306" t="str">
        <f t="shared" si="52"/>
        <v>-</v>
      </c>
      <c r="DW208" s="306" t="str">
        <f t="shared" si="53"/>
        <v>✔</v>
      </c>
      <c r="DX208" s="306" t="str">
        <f t="shared" si="54"/>
        <v>-</v>
      </c>
      <c r="DY208" s="306" t="str">
        <f t="shared" si="55"/>
        <v>-</v>
      </c>
      <c r="DZ208" s="306" t="str">
        <f t="shared" si="56"/>
        <v>✔</v>
      </c>
      <c r="EA208" s="367" t="str">
        <f t="shared" si="57"/>
        <v>-</v>
      </c>
      <c r="EB208" s="310" t="str">
        <f>IFERROR(__xludf.DUMMYFUNCTION("IF(REGEXMATCH(AW208,AS208),""✔"",""-"")"),"-")</f>
        <v>-</v>
      </c>
      <c r="EC208" s="310" t="str">
        <f t="shared" si="58"/>
        <v>#REF!</v>
      </c>
      <c r="ED208" s="370" t="str">
        <f t="shared" si="59"/>
        <v>-</v>
      </c>
      <c r="EE208" s="340" t="str">
        <f t="shared" si="60"/>
        <v>S-rR-mM-P-n-S</v>
      </c>
      <c r="EF208" s="371" t="str">
        <f>IFERROR(__xludf.DUMMYFUNCTION("CONCATENATE(JOIN("""",HC208:HO208))"),"SRmMPnNS")</f>
        <v>SRmMPnNS</v>
      </c>
      <c r="EG208" s="372">
        <f t="shared" si="61"/>
        <v>2</v>
      </c>
      <c r="EH208" s="373" t="str">
        <f>IFERROR(__xludf.DUMMYFUNCTION("CONCATENATE(JOIN("""",JC208:JO208))"),"re, Re, ")</f>
        <v>re, Re, </v>
      </c>
      <c r="EI208" s="322">
        <f t="shared" si="62"/>
        <v>0</v>
      </c>
      <c r="EJ208" s="374" t="str">
        <f>IFERROR(__xludf.DUMMYFUNCTION("CONCATENATE(JOIN("""",KC208:KO208))"),"")</f>
        <v/>
      </c>
      <c r="EK208" s="325" t="str">
        <f t="shared" si="63"/>
        <v>S-R1-R2-M1-M2-P-N2-S</v>
      </c>
      <c r="EL208" s="326" t="str">
        <f t="shared" si="64"/>
        <v>1-b2-2-4-#4-5-b7-8</v>
      </c>
      <c r="EM208" s="318" t="str">
        <f t="shared" si="65"/>
        <v>#REF!</v>
      </c>
      <c r="EN208" s="328" t="str">
        <f>IFERROR(__xludf.DUMMYFUNCTION("SUBSTITUTE(SUBSTITUTE(SUBSTITUTE(SUBSTITUTE(CONCATENATE(JOIN("" "",HP208:IB208)),""  "","" ""),""  "","" ""),""  "","" ""),""  "","" "")"),"o o o • • o o o • • o • o")</f>
        <v>o o o • • o o o • • o • o</v>
      </c>
      <c r="EO208" s="368" t="str">
        <f t="shared" si="66"/>
        <v>-</v>
      </c>
      <c r="EP208" s="339" t="str">
        <f t="shared" si="67"/>
        <v>-</v>
      </c>
      <c r="EQ208" s="339" t="str">
        <f t="shared" si="68"/>
        <v>Sa-Pa</v>
      </c>
      <c r="ER208" s="339" t="str">
        <f t="shared" si="69"/>
        <v>-</v>
      </c>
      <c r="ES208" s="340" t="str">
        <f t="shared" si="70"/>
        <v>-</v>
      </c>
      <c r="ET208" s="363"/>
      <c r="EU208" s="376" t="b">
        <f>IFERROR(__xludf.DUMMYFUNCTION("arrayformula(sum(--REGEXMATCH(""SRGMPDNS"",split(REGEXREPLACE(C208,""(.)"",""$1~""),""~""))))=len(C208)
"),FALSE)</f>
        <v>0</v>
      </c>
      <c r="EV208" s="290" t="b">
        <f>IFERROR(__xludf.DUMMYFUNCTION("arrayformula(sum(--REGEXMATCH(""SRGmPDNS"",split(REGEXREPLACE(C208,""(.)"",""$1~""),""~""))))=len(C208)"),FALSE)</f>
        <v>0</v>
      </c>
      <c r="EW208" s="290" t="b">
        <f>IFERROR(__xludf.DUMMYFUNCTION("arrayformula(sum(--REGEXMATCH(""SRGmPDnS"",split(REGEXREPLACE(C208,""(.)"",""$1~""),""~""))))=len(C208)"),FALSE)</f>
        <v>0</v>
      </c>
      <c r="EX208" s="290" t="b">
        <f>IFERROR(__xludf.DUMMYFUNCTION("arrayformula(sum(--REGEXMATCH(""SRgmPDnS"",split(REGEXREPLACE(C208,""(.)"",""$1~""),""~""))))=len(C208)"),FALSE)</f>
        <v>0</v>
      </c>
      <c r="EY208" s="290" t="b">
        <f>IFERROR(__xludf.DUMMYFUNCTION("arrayformula(sum(--REGEXMATCH(""SRgmPdnS"",split(REGEXREPLACE(C208,""(.)"",""$1~""),""~""))))=len(C208)"),FALSE)</f>
        <v>0</v>
      </c>
      <c r="EZ208" s="290" t="b">
        <f>IFERROR(__xludf.DUMMYFUNCTION("arrayformula(sum(--REGEXMATCH(""SrgmPdnS"",split(REGEXREPLACE(C208,""(.)"",""$1~""),""~""))))=len(C208)"),FALSE)</f>
        <v>0</v>
      </c>
      <c r="FA208" s="290" t="b">
        <f>IFERROR(__xludf.DUMMYFUNCTION("arrayformula(sum(--REGEXMATCH(""SrGmPdNS"",split(REGEXREPLACE(C208,""(.)"",""$1~""),""~""))))=len(C208)"),FALSE)</f>
        <v>0</v>
      </c>
      <c r="FB208" s="290" t="b">
        <f>IFERROR(__xludf.DUMMYFUNCTION("arrayformula(sum(--REGEXMATCH(""SrGMPDNS"",split(REGEXREPLACE(C208,""(.)"",""$1~""),""~""))))=len(C208)"),FALSE)</f>
        <v>0</v>
      </c>
      <c r="FC208" s="290" t="b">
        <f>IFERROR(__xludf.DUMMYFUNCTION("arrayformula(sum(--REGEXMATCH(""SrGMPdNS"",split(REGEXREPLACE(C208,""(.)"",""$1~""),""~""))))=len(C208)"),FALSE)</f>
        <v>0</v>
      </c>
      <c r="FD208" s="377" t="b">
        <f>IFERROR(__xludf.DUMMYFUNCTION("arrayformula(sum(--REGEXMATCH(""SrgMPdNS"",split(REGEXREPLACE(C208,""(.)"",""$1~""),""~""))))=len(C208)"),FALSE)</f>
        <v>0</v>
      </c>
      <c r="FE208" s="269" t="str">
        <f t="shared" si="71"/>
        <v>xxooxxxooxo</v>
      </c>
      <c r="FF208" s="269" t="str">
        <f t="shared" si="72"/>
        <v>xooxxxooxox</v>
      </c>
      <c r="FG208" s="271" t="str">
        <f t="shared" si="73"/>
        <v>-</v>
      </c>
      <c r="FH208" s="269" t="str">
        <f t="shared" si="74"/>
        <v>-</v>
      </c>
      <c r="FI208" s="271" t="str">
        <f t="shared" si="75"/>
        <v>xxxooxoxxxo</v>
      </c>
      <c r="FJ208" s="271" t="str">
        <f t="shared" si="76"/>
        <v>xxooxoxxxoo</v>
      </c>
      <c r="FK208" s="271" t="str">
        <f t="shared" si="77"/>
        <v>xooxoxxxoox</v>
      </c>
      <c r="FL208" s="271" t="str">
        <f t="shared" si="78"/>
        <v>-</v>
      </c>
      <c r="FM208" s="271" t="str">
        <f t="shared" si="79"/>
        <v>-</v>
      </c>
      <c r="FN208" s="271" t="str">
        <f t="shared" si="80"/>
        <v>xoxxxooxxxo</v>
      </c>
      <c r="FO208" s="274" t="str">
        <f t="shared" si="81"/>
        <v>-</v>
      </c>
      <c r="FP208" s="234" t="str">
        <f t="shared" si="82"/>
        <v>|</v>
      </c>
      <c r="FQ208" s="236" t="str">
        <f t="shared" si="83"/>
        <v>|</v>
      </c>
      <c r="FR208" s="237" t="str">
        <f t="shared" si="84"/>
        <v>|</v>
      </c>
      <c r="FS208" s="236" t="str">
        <f t="shared" si="85"/>
        <v>-</v>
      </c>
      <c r="FT208" s="237" t="str">
        <f t="shared" si="86"/>
        <v>-</v>
      </c>
      <c r="FU208" s="236" t="str">
        <f t="shared" si="87"/>
        <v>|</v>
      </c>
      <c r="FV208" s="237" t="str">
        <f t="shared" si="88"/>
        <v>|</v>
      </c>
      <c r="FW208" s="236" t="str">
        <f t="shared" si="89"/>
        <v>|</v>
      </c>
      <c r="FX208" s="237" t="str">
        <f t="shared" si="90"/>
        <v>-</v>
      </c>
      <c r="FY208" s="236" t="str">
        <f t="shared" si="91"/>
        <v>-</v>
      </c>
      <c r="FZ208" s="237" t="str">
        <f t="shared" si="92"/>
        <v>|</v>
      </c>
      <c r="GA208" s="236" t="str">
        <f t="shared" si="93"/>
        <v>-</v>
      </c>
      <c r="GB208" s="238" t="str">
        <f t="shared" si="94"/>
        <v>|</v>
      </c>
      <c r="GC208" s="244" t="str">
        <f>IFERROR(__xludf.DUMMYFUNCTION("IF(REGEXMATCH(C208, ""S""), ""1"","""")"),"1")</f>
        <v>1</v>
      </c>
      <c r="GD208" s="245" t="str">
        <f>IFERROR(__xludf.DUMMYFUNCTION("IF(REGEXMATCH(C208, ""r""), ""b2"","""")"),"b2")</f>
        <v>b2</v>
      </c>
      <c r="GE208" s="246" t="str">
        <f>IFERROR(__xludf.DUMMYFUNCTION("IF(REGEXMATCH(C208, ""R""), ""2"","""")"),"2")</f>
        <v>2</v>
      </c>
      <c r="GF208" s="246" t="str">
        <f>IFERROR(__xludf.DUMMYFUNCTION("IF(REGEXMATCH(C208, ""g""), ""b3"","""")"),"")</f>
        <v/>
      </c>
      <c r="GG208" s="245" t="str">
        <f>IFERROR(__xludf.DUMMYFUNCTION("IF(REGEXMATCH(C208, ""G""), ""3"","""")"),"")</f>
        <v/>
      </c>
      <c r="GH208" s="245" t="str">
        <f>IFERROR(__xludf.DUMMYFUNCTION("IF(REGEXMATCH(C208, ""m""), ""4"","""")"),"4")</f>
        <v>4</v>
      </c>
      <c r="GI208" s="246" t="str">
        <f>IFERROR(__xludf.DUMMYFUNCTION("IF(REGEXMATCH(C208, ""M""), ""#4"","""")"),"#4")</f>
        <v>#4</v>
      </c>
      <c r="GJ208" s="245" t="str">
        <f>IFERROR(__xludf.DUMMYFUNCTION("IF(REGEXMATCH(C208, ""P""), ""5"","""")"),"5")</f>
        <v>5</v>
      </c>
      <c r="GK208" s="246" t="str">
        <f>IFERROR(__xludf.DUMMYFUNCTION("IF(REGEXMATCH(C208, ""d""), ""b6"","""")"),"")</f>
        <v/>
      </c>
      <c r="GL208" s="245" t="str">
        <f>IFERROR(__xludf.DUMMYFUNCTION("IF(REGEXMATCH(C208, ""D""), ""6"","""")"),"")</f>
        <v/>
      </c>
      <c r="GM208" s="245" t="str">
        <f>IFERROR(__xludf.DUMMYFUNCTION("IF(REGEXMATCH(C208, ""n""), ""b7"","""")"),"b7")</f>
        <v>b7</v>
      </c>
      <c r="GN208" s="246" t="str">
        <f>IFERROR(__xludf.DUMMYFUNCTION("IF(REGEXMATCH(C208, ""N""), ""7"","""")"),"")</f>
        <v/>
      </c>
      <c r="GO208" s="249" t="str">
        <f>IFERROR(__xludf.DUMMYFUNCTION("IF(REGEXMATCH(C208, ""S""), ""8"","""")"),"8")</f>
        <v>8</v>
      </c>
      <c r="GP208" s="244" t="str">
        <f>IFERROR(__xludf.DUMMYFUNCTION("IF(REGEXMATCH(C208, ""S""), ""S"","""")"),"S")</f>
        <v>S</v>
      </c>
      <c r="GQ208" s="294" t="str">
        <f>IFERROR(__xludf.DUMMYFUNCTION("IF(REGEXMATCH(C208, ""r""), ""R1"","""")"),"R1")</f>
        <v>R1</v>
      </c>
      <c r="GR208" s="295" t="str">
        <f>IFERROR(__xludf.DUMMYFUNCTION("IF(REGEXMATCH(C208, ""R""), ""R2"","""")"),"R2")</f>
        <v>R2</v>
      </c>
      <c r="GS208" s="295" t="str">
        <f>IFERROR(__xludf.DUMMYFUNCTION("IF(REGEXMATCH(C208, ""g""), ""G2"","""")"),"")</f>
        <v/>
      </c>
      <c r="GT208" s="294" t="str">
        <f>IFERROR(__xludf.DUMMYFUNCTION("IF(REGEXMATCH(C208, ""G""), ""G3"","""")"),"")</f>
        <v/>
      </c>
      <c r="GU208" s="294" t="str">
        <f>IFERROR(__xludf.DUMMYFUNCTION("IF(REGEXMATCH(C208, ""m""), ""M1"","""")"),"M1")</f>
        <v>M1</v>
      </c>
      <c r="GV208" s="295" t="str">
        <f>IFERROR(__xludf.DUMMYFUNCTION("IF(REGEXMATCH(C208, ""M""), ""M2"","""")"),"M2")</f>
        <v>M2</v>
      </c>
      <c r="GW208" s="294" t="str">
        <f>IFERROR(__xludf.DUMMYFUNCTION("IF(REGEXMATCH(C208, ""P""), ""P"","""")"),"P")</f>
        <v>P</v>
      </c>
      <c r="GX208" s="295" t="str">
        <f>IFERROR(__xludf.DUMMYFUNCTION("IF(REGEXMATCH(C208, ""d""), ""D1"","""")"),"")</f>
        <v/>
      </c>
      <c r="GY208" s="294" t="str">
        <f>IFERROR(__xludf.DUMMYFUNCTION("IF(REGEXMATCH(C208, ""D""), ""D2"","""")"),"")</f>
        <v/>
      </c>
      <c r="GZ208" s="294" t="str">
        <f>IFERROR(__xludf.DUMMYFUNCTION("IF(REGEXMATCH(C208, ""n""), ""N2"","""")"),"N2")</f>
        <v>N2</v>
      </c>
      <c r="HA208" s="295" t="str">
        <f>IFERROR(__xludf.DUMMYFUNCTION("IF(REGEXMATCH(C208, ""N""), ""N3"","""")"),"")</f>
        <v/>
      </c>
      <c r="HB208" s="249" t="str">
        <f>IFERROR(__xludf.DUMMYFUNCTION("IF(REGEXMATCH(C208, ""S""), ""S"","""")"),"S")</f>
        <v>S</v>
      </c>
      <c r="HC208" s="331" t="str">
        <f t="shared" si="95"/>
        <v>S</v>
      </c>
      <c r="HD208" s="332" t="str">
        <f t="shared" si="96"/>
        <v/>
      </c>
      <c r="HE208" s="332" t="str">
        <f t="shared" si="97"/>
        <v>R</v>
      </c>
      <c r="HF208" s="332" t="str">
        <f t="shared" si="98"/>
        <v/>
      </c>
      <c r="HG208" s="332" t="str">
        <f t="shared" si="99"/>
        <v/>
      </c>
      <c r="HH208" s="332" t="str">
        <f t="shared" si="100"/>
        <v>m</v>
      </c>
      <c r="HI208" s="332" t="str">
        <f t="shared" si="101"/>
        <v>M</v>
      </c>
      <c r="HJ208" s="332" t="str">
        <f t="shared" si="102"/>
        <v>P</v>
      </c>
      <c r="HK208" s="332" t="str">
        <f t="shared" si="103"/>
        <v/>
      </c>
      <c r="HL208" s="332" t="str">
        <f t="shared" si="104"/>
        <v/>
      </c>
      <c r="HM208" s="332" t="str">
        <f t="shared" si="105"/>
        <v>n</v>
      </c>
      <c r="HN208" s="332" t="str">
        <f t="shared" si="106"/>
        <v>N</v>
      </c>
      <c r="HO208" s="343" t="str">
        <f t="shared" si="107"/>
        <v>S</v>
      </c>
      <c r="HP208" s="331" t="str">
        <f t="shared" si="108"/>
        <v>o</v>
      </c>
      <c r="HQ208" s="332" t="str">
        <f t="shared" si="109"/>
        <v>o</v>
      </c>
      <c r="HR208" s="332" t="str">
        <f t="shared" si="110"/>
        <v>o</v>
      </c>
      <c r="HS208" s="332" t="str">
        <f t="shared" si="111"/>
        <v>•</v>
      </c>
      <c r="HT208" s="332" t="str">
        <f t="shared" si="112"/>
        <v>•</v>
      </c>
      <c r="HU208" s="332" t="str">
        <f t="shared" si="113"/>
        <v>o</v>
      </c>
      <c r="HV208" s="332" t="str">
        <f t="shared" si="114"/>
        <v>o</v>
      </c>
      <c r="HW208" s="332" t="str">
        <f t="shared" si="115"/>
        <v>o</v>
      </c>
      <c r="HX208" s="332" t="str">
        <f t="shared" si="116"/>
        <v>•</v>
      </c>
      <c r="HY208" s="332" t="str">
        <f t="shared" si="117"/>
        <v>•</v>
      </c>
      <c r="HZ208" s="332" t="str">
        <f t="shared" si="118"/>
        <v>o</v>
      </c>
      <c r="IA208" s="332" t="str">
        <f t="shared" si="119"/>
        <v>•</v>
      </c>
      <c r="IB208" s="338" t="str">
        <f t="shared" si="120"/>
        <v>o</v>
      </c>
      <c r="IC208" s="331" t="str">
        <f t="shared" si="121"/>
        <v>•</v>
      </c>
      <c r="ID208" s="332" t="str">
        <f t="shared" si="122"/>
        <v>•</v>
      </c>
      <c r="IE208" s="332" t="str">
        <f t="shared" si="123"/>
        <v>•</v>
      </c>
      <c r="IF208" s="332" t="str">
        <f t="shared" si="124"/>
        <v>o</v>
      </c>
      <c r="IG208" s="332" t="str">
        <f t="shared" si="125"/>
        <v>o</v>
      </c>
      <c r="IH208" s="332" t="str">
        <f t="shared" si="126"/>
        <v>•</v>
      </c>
      <c r="II208" s="332" t="str">
        <f t="shared" si="127"/>
        <v>•</v>
      </c>
      <c r="IJ208" s="332" t="str">
        <f t="shared" si="128"/>
        <v>•</v>
      </c>
      <c r="IK208" s="332" t="str">
        <f t="shared" si="129"/>
        <v>o</v>
      </c>
      <c r="IL208" s="332" t="str">
        <f t="shared" si="130"/>
        <v>o</v>
      </c>
      <c r="IM208" s="332" t="str">
        <f t="shared" si="131"/>
        <v>•</v>
      </c>
      <c r="IN208" s="332" t="str">
        <f t="shared" si="132"/>
        <v>o</v>
      </c>
      <c r="IO208" s="338" t="str">
        <f t="shared" si="133"/>
        <v>•</v>
      </c>
      <c r="IP208" s="346" t="b">
        <f t="shared" si="134"/>
        <v>0</v>
      </c>
      <c r="IQ208" s="347" t="b">
        <f t="shared" si="135"/>
        <v>1</v>
      </c>
      <c r="IR208" s="347" t="b">
        <f t="shared" si="136"/>
        <v>1</v>
      </c>
      <c r="IS208" s="347" t="b">
        <f t="shared" si="137"/>
        <v>0</v>
      </c>
      <c r="IT208" s="347" t="b">
        <f t="shared" si="138"/>
        <v>0</v>
      </c>
      <c r="IU208" s="347" t="b">
        <f t="shared" si="139"/>
        <v>0</v>
      </c>
      <c r="IV208" s="347" t="b">
        <f t="shared" si="140"/>
        <v>0</v>
      </c>
      <c r="IW208" s="347" t="b">
        <f t="shared" si="141"/>
        <v>0</v>
      </c>
      <c r="IX208" s="347" t="b">
        <f t="shared" si="142"/>
        <v>0</v>
      </c>
      <c r="IY208" s="347" t="b">
        <f t="shared" si="143"/>
        <v>0</v>
      </c>
      <c r="IZ208" s="347" t="b">
        <f t="shared" si="144"/>
        <v>0</v>
      </c>
      <c r="JA208" s="347" t="b">
        <f t="shared" si="145"/>
        <v>0</v>
      </c>
      <c r="JB208" s="353" t="b">
        <f t="shared" si="146"/>
        <v>0</v>
      </c>
      <c r="JC208" s="354" t="str">
        <f t="shared" si="147"/>
        <v/>
      </c>
      <c r="JD208" s="355" t="str">
        <f t="shared" si="148"/>
        <v>re, </v>
      </c>
      <c r="JE208" s="355" t="str">
        <f t="shared" si="149"/>
        <v>Re, </v>
      </c>
      <c r="JF208" s="355" t="str">
        <f t="shared" si="150"/>
        <v/>
      </c>
      <c r="JG208" s="355" t="str">
        <f t="shared" si="151"/>
        <v/>
      </c>
      <c r="JH208" s="355" t="str">
        <f t="shared" si="152"/>
        <v/>
      </c>
      <c r="JI208" s="355" t="str">
        <f t="shared" si="153"/>
        <v/>
      </c>
      <c r="JJ208" s="355" t="str">
        <f t="shared" si="154"/>
        <v/>
      </c>
      <c r="JK208" s="355" t="str">
        <f t="shared" si="155"/>
        <v/>
      </c>
      <c r="JL208" s="355" t="str">
        <f t="shared" si="156"/>
        <v/>
      </c>
      <c r="JM208" s="355" t="str">
        <f t="shared" si="157"/>
        <v/>
      </c>
      <c r="JN208" s="355" t="str">
        <f t="shared" si="158"/>
        <v/>
      </c>
      <c r="JO208" s="359" t="str">
        <f t="shared" si="159"/>
        <v/>
      </c>
      <c r="JP208" s="346" t="b">
        <f t="shared" si="160"/>
        <v>0</v>
      </c>
      <c r="JQ208" s="347" t="b">
        <f t="shared" si="161"/>
        <v>0</v>
      </c>
      <c r="JR208" s="347" t="b">
        <f t="shared" si="162"/>
        <v>0</v>
      </c>
      <c r="JS208" s="347" t="b">
        <f t="shared" si="163"/>
        <v>0</v>
      </c>
      <c r="JT208" s="347" t="b">
        <f t="shared" si="164"/>
        <v>0</v>
      </c>
      <c r="JU208" s="347" t="b">
        <f t="shared" si="165"/>
        <v>0</v>
      </c>
      <c r="JV208" s="347" t="b">
        <f t="shared" si="166"/>
        <v>0</v>
      </c>
      <c r="JW208" s="347" t="b">
        <f t="shared" si="167"/>
        <v>0</v>
      </c>
      <c r="JX208" s="347" t="b">
        <f t="shared" si="168"/>
        <v>0</v>
      </c>
      <c r="JY208" s="347" t="b">
        <f t="shared" si="169"/>
        <v>0</v>
      </c>
      <c r="JZ208" s="347" t="b">
        <f t="shared" si="170"/>
        <v>0</v>
      </c>
      <c r="KA208" s="347" t="b">
        <f t="shared" si="171"/>
        <v>0</v>
      </c>
      <c r="KB208" s="365" t="b">
        <f t="shared" si="172"/>
        <v>0</v>
      </c>
      <c r="KC208" s="354" t="str">
        <f t="shared" si="173"/>
        <v/>
      </c>
      <c r="KD208" s="355" t="str">
        <f t="shared" si="174"/>
        <v/>
      </c>
      <c r="KE208" s="355" t="str">
        <f t="shared" si="175"/>
        <v/>
      </c>
      <c r="KF208" s="355" t="str">
        <f t="shared" si="176"/>
        <v/>
      </c>
      <c r="KG208" s="355" t="str">
        <f t="shared" si="177"/>
        <v/>
      </c>
      <c r="KH208" s="355" t="str">
        <f t="shared" si="178"/>
        <v/>
      </c>
      <c r="KI208" s="355" t="str">
        <f t="shared" si="179"/>
        <v/>
      </c>
      <c r="KJ208" s="355" t="str">
        <f t="shared" si="180"/>
        <v/>
      </c>
      <c r="KK208" s="355" t="str">
        <f t="shared" si="181"/>
        <v/>
      </c>
      <c r="KL208" s="355" t="str">
        <f t="shared" si="182"/>
        <v/>
      </c>
      <c r="KM208" s="355" t="str">
        <f t="shared" si="183"/>
        <v/>
      </c>
      <c r="KN208" s="355" t="str">
        <f t="shared" si="184"/>
        <v/>
      </c>
      <c r="KO208" s="359"/>
      <c r="KP208" s="378"/>
      <c r="KQ208" s="379" t="s">
        <v>9</v>
      </c>
      <c r="KR208" s="380" t="s">
        <v>9</v>
      </c>
      <c r="KS208" s="381" t="s">
        <v>9</v>
      </c>
      <c r="KT208" s="382">
        <f t="shared" si="186"/>
        <v>0</v>
      </c>
      <c r="KU208" s="383">
        <f t="shared" si="187"/>
        <v>0</v>
      </c>
      <c r="KV208" s="381" t="str">
        <f t="shared" si="205"/>
        <v>S</v>
      </c>
      <c r="KW208" s="382">
        <f t="shared" si="189"/>
        <v>0</v>
      </c>
      <c r="KX208" s="384">
        <f t="shared" si="190"/>
        <v>0</v>
      </c>
      <c r="KY208" s="382">
        <f t="shared" ref="KY208:KZ208" si="632">KW208-KT208</f>
        <v>0</v>
      </c>
      <c r="KZ208" s="369">
        <f t="shared" si="632"/>
        <v>0</v>
      </c>
      <c r="LA208" s="385" t="str">
        <f t="shared" si="192"/>
        <v>✔</v>
      </c>
      <c r="LB208" s="340" t="str">
        <f>IFERROR(__xludf.DUMMYFUNCTION("JOIN("""",ArrayFormula(MID(KS208,LEN(KS208)-SEQUENCE(1,LEN(KS208))+1,1)))"),"S")</f>
        <v>S</v>
      </c>
      <c r="LC208" s="373" t="str">
        <f>IFERROR(__xludf.DUMMYFUNCTION("JOIN("""",ArrayFormula(MID(KV208,LEN(KV208)-SEQUENCE(1,LEN(KV208))+1,1)))"),"S")</f>
        <v>S</v>
      </c>
      <c r="LD208" s="373" t="str">
        <f t="shared" si="193"/>
        <v>S</v>
      </c>
      <c r="LE208" s="339" t="str">
        <f t="shared" si="194"/>
        <v>S</v>
      </c>
      <c r="LF208" s="386" t="str">
        <f>IFERROR(__xludf.DUMMYFUNCTION("SUBSTITUTE(SUBSTITUTE(CONCATENATE(JOIN("""",LH208:LT208)),""1"",""""),""2"","""")"),"SS")</f>
        <v>SS</v>
      </c>
      <c r="LG208" s="369" t="str">
        <f t="shared" si="195"/>
        <v>-</v>
      </c>
      <c r="LH208" s="387" t="str">
        <f>IFERROR(__xludf.DUMMYFUNCTION("IF(REGEXMATCH(LD208, ""S""), ""S"",IF(REGEXMATCH(LE208, ""S""), ""S"",""""))"),"S")</f>
        <v>S</v>
      </c>
      <c r="LI208" s="299" t="str">
        <f>IFERROR(__xludf.DUMMYFUNCTION("IF(REGEXMATCH(LD208, ""r""), ""r1"",IF(REGEXMATCH(LE208, ""r""), ""r2"",""""))"),"")</f>
        <v/>
      </c>
      <c r="LJ208" s="299" t="str">
        <f>IFERROR(__xludf.DUMMYFUNCTION("IF(REGEXMATCH(LD208, ""R""), ""R1"",IF(REGEXMATCH(LE208, ""R""), ""R2"",""""))"),"")</f>
        <v/>
      </c>
      <c r="LK208" s="299" t="str">
        <f>IFERROR(__xludf.DUMMYFUNCTION("IF(REGEXMATCH(LD208, ""g""), ""g1"",IF(REGEXMATCH(LE208, ""g""), ""g2"",""""))"),"")</f>
        <v/>
      </c>
      <c r="LL208" s="299" t="str">
        <f>IFERROR(__xludf.DUMMYFUNCTION("IF(REGEXMATCH(LD208, ""G""), ""G1"",IF(REGEXMATCH(LE208, ""G""), ""G2"",""""))"),"")</f>
        <v/>
      </c>
      <c r="LM208" s="299" t="str">
        <f>IFERROR(__xludf.DUMMYFUNCTION("IF(REGEXMATCH(LD208, ""m""), ""m1"",IF(REGEXMATCH(LE208, ""m""), ""m2"",""""))"),"")</f>
        <v/>
      </c>
      <c r="LN208" s="299" t="str">
        <f>IFERROR(__xludf.DUMMYFUNCTION("IF(REGEXMATCH(LD208, ""M""), ""M1"",IF(REGEXMATCH(LE208, ""M""), ""M2"",""""))"),"")</f>
        <v/>
      </c>
      <c r="LO208" s="299" t="str">
        <f>IFERROR(__xludf.DUMMYFUNCTION("IF(REGEXMATCH(LD208, ""P""), ""P1"",IF(REGEXMATCH(LE208, ""P""), ""P2"",""""))"),"")</f>
        <v/>
      </c>
      <c r="LP208" s="299" t="str">
        <f>IFERROR(__xludf.DUMMYFUNCTION("IF(REGEXMATCH(LD208, ""d""), ""d1"",IF(REGEXMATCH(LE208, ""d""), ""d2"",""""))"),"")</f>
        <v/>
      </c>
      <c r="LQ208" s="299" t="str">
        <f>IFERROR(__xludf.DUMMYFUNCTION("IF(REGEXMATCH(LD208, ""D""), ""D1"",IF(REGEXMATCH(LE208, ""D""), ""D2"",""""))"),"")</f>
        <v/>
      </c>
      <c r="LR208" s="299" t="str">
        <f>IFERROR(__xludf.DUMMYFUNCTION("IF(REGEXMATCH(LD208, ""n""), ""n1"",IF(REGEXMATCH(LE208, ""n""), ""n2"",""""))"),"")</f>
        <v/>
      </c>
      <c r="LS208" s="299" t="str">
        <f>IFERROR(__xludf.DUMMYFUNCTION("IF(REGEXMATCH(LD208, ""N""), ""N1"",IF(REGEXMATCH(LE208, ""N""), ""N2"",""""))"),"")</f>
        <v/>
      </c>
      <c r="LT208" s="388" t="str">
        <f>IFERROR(__xludf.DUMMYFUNCTION("IF(REGEXMATCH(LD208, ""S""), ""S"",IF(REGEXMATCH(LE208, ""S""), ""S"",""""))"),"S")</f>
        <v>S</v>
      </c>
      <c r="LU208" s="389">
        <f t="shared" si="196"/>
        <v>1</v>
      </c>
      <c r="LV208" s="378"/>
      <c r="LW208" s="369"/>
      <c r="LX208" s="369"/>
    </row>
    <row r="209" ht="18.0" customHeight="1">
      <c r="A209" s="298" t="s">
        <v>361</v>
      </c>
      <c r="B209" s="222" t="s">
        <v>362</v>
      </c>
      <c r="C209" s="233" t="str">
        <f t="shared" si="7"/>
        <v>SRgMPDNS</v>
      </c>
      <c r="D209" s="234" t="str">
        <f>IFERROR(__xludf.DUMMYFUNCTION("IF(REGEXMATCH(C209, ""S""), ""S"","""")"),"S")</f>
        <v>S</v>
      </c>
      <c r="E209" s="236" t="str">
        <f>IFERROR(__xludf.DUMMYFUNCTION("IF(REGEXMATCH(C209, ""r""), ""r"","""")"),"")</f>
        <v/>
      </c>
      <c r="F209" s="237" t="str">
        <f>IFERROR(__xludf.DUMMYFUNCTION("IF(REGEXMATCH(C209, ""R""), ""R"","""")"),"R")</f>
        <v>R</v>
      </c>
      <c r="G209" s="237" t="str">
        <f>IFERROR(__xludf.DUMMYFUNCTION("IF(REGEXMATCH(C209, ""g""), ""g"","""")"),"g")</f>
        <v>g</v>
      </c>
      <c r="H209" s="236" t="str">
        <f>IFERROR(__xludf.DUMMYFUNCTION("IF(REGEXMATCH(C209, ""G""), ""G"","""")"),"")</f>
        <v/>
      </c>
      <c r="I209" s="236" t="str">
        <f>IFERROR(__xludf.DUMMYFUNCTION("IF(REGEXMATCH(C209, ""m""), ""m"","""")"),"")</f>
        <v/>
      </c>
      <c r="J209" s="237" t="str">
        <f>IFERROR(__xludf.DUMMYFUNCTION("IF(REGEXMATCH(C209, ""M""), ""M"","""")"),"M")</f>
        <v>M</v>
      </c>
      <c r="K209" s="236" t="str">
        <f>IFERROR(__xludf.DUMMYFUNCTION("IF(REGEXMATCH(C209, ""P""), ""P"","""")"),"P")</f>
        <v>P</v>
      </c>
      <c r="L209" s="237" t="str">
        <f>IFERROR(__xludf.DUMMYFUNCTION("IF(REGEXMATCH(C209, ""d""), ""d"","""")"),"")</f>
        <v/>
      </c>
      <c r="M209" s="236" t="str">
        <f>IFERROR(__xludf.DUMMYFUNCTION("IF(REGEXMATCH(C209, ""D""), ""D"","""")"),"D")</f>
        <v>D</v>
      </c>
      <c r="N209" s="236" t="str">
        <f>IFERROR(__xludf.DUMMYFUNCTION("IF(REGEXMATCH(C209, ""n""), ""n"","""")"),"")</f>
        <v/>
      </c>
      <c r="O209" s="237" t="str">
        <f>IFERROR(__xludf.DUMMYFUNCTION("IF(REGEXMATCH(C209, ""N""), ""N"","""")"),"N")</f>
        <v>N</v>
      </c>
      <c r="P209" s="238" t="str">
        <f>IFERROR(__xludf.DUMMYFUNCTION("IF(REGEXMATCH(C209, ""S""), ""S"","""")"),"S")</f>
        <v>S</v>
      </c>
      <c r="Q209" s="239" t="str">
        <f>IFERROR(__xludf.DUMMYFUNCTION("SUBSTITUTE(CONCATENATE(JOIN(""-"",D209:J209)),""-"","""")"),"SRgM")</f>
        <v>SRgM</v>
      </c>
      <c r="R209" s="229" t="str">
        <f>IFERROR(__xludf.DUMMYFUNCTION("SUBSTITUTE(CONCATENATE(JOIN(""-"",K209:P209)),""-"","""")"),"PDNS")</f>
        <v>PDNS</v>
      </c>
      <c r="S209" s="282" t="str">
        <f t="shared" si="8"/>
        <v>S-R-G-M</v>
      </c>
      <c r="T209" s="282" t="str">
        <f t="shared" si="9"/>
        <v>P-D-N-S</v>
      </c>
      <c r="U209" s="237" t="str">
        <f>IFERROR(__xludf.DUMMYFUNCTION("SUBSTITUTE(JOIN(""-"",S209,T209),""--"",""-"")"),"S-R-G-M-P-D-N-S")</f>
        <v>S-R-G-M-P-D-N-S</v>
      </c>
      <c r="V209" s="309" t="str">
        <f t="shared" si="10"/>
        <v>RgMDN</v>
      </c>
      <c r="W209" s="244" t="str">
        <f>IFERROR(__xludf.DUMMYFUNCTION("IF(REGEXMATCH(C209, ""S""), ""0"","""")"),"0")</f>
        <v>0</v>
      </c>
      <c r="X209" s="245" t="str">
        <f>IFERROR(__xludf.DUMMYFUNCTION("IF(REGEXMATCH(C209, ""r""), ""1"","""")"),"")</f>
        <v/>
      </c>
      <c r="Y209" s="246" t="str">
        <f>IFERROR(__xludf.DUMMYFUNCTION("IF(REGEXMATCH(C209, ""R""), ""2"","""")"),"2")</f>
        <v>2</v>
      </c>
      <c r="Z209" s="246" t="str">
        <f>IFERROR(__xludf.DUMMYFUNCTION("IF(REGEXMATCH(C209, ""g""), ""3"","""")"),"3")</f>
        <v>3</v>
      </c>
      <c r="AA209" s="245" t="str">
        <f>IFERROR(__xludf.DUMMYFUNCTION("IF(REGEXMATCH(C209, ""G""), ""4"","""")"),"")</f>
        <v/>
      </c>
      <c r="AB209" s="245" t="str">
        <f>IFERROR(__xludf.DUMMYFUNCTION("IF(REGEXMATCH(C209, ""m""), ""5"","""")"),"")</f>
        <v/>
      </c>
      <c r="AC209" s="246" t="str">
        <f>IFERROR(__xludf.DUMMYFUNCTION("IF(REGEXMATCH(C209, ""M""), ""6"","""")"),"6")</f>
        <v>6</v>
      </c>
      <c r="AD209" s="245" t="str">
        <f>IFERROR(__xludf.DUMMYFUNCTION("IF(REGEXMATCH(C209, ""P""), ""7"","""")"),"7")</f>
        <v>7</v>
      </c>
      <c r="AE209" s="246" t="str">
        <f>IFERROR(__xludf.DUMMYFUNCTION("IF(REGEXMATCH(C209, ""d""), ""8"","""")"),"")</f>
        <v/>
      </c>
      <c r="AF209" s="245" t="str">
        <f>IFERROR(__xludf.DUMMYFUNCTION("IF(REGEXMATCH(C209, ""D""), ""9"","""")"),"9")</f>
        <v>9</v>
      </c>
      <c r="AG209" s="245" t="str">
        <f>IFERROR(__xludf.DUMMYFUNCTION("IF(REGEXMATCH(C209, ""n""), ""10"","""")"),"")</f>
        <v/>
      </c>
      <c r="AH209" s="246" t="str">
        <f>IFERROR(__xludf.DUMMYFUNCTION("IF(REGEXMATCH(C209, ""N""), ""11"","""")"),"11")</f>
        <v>11</v>
      </c>
      <c r="AI209" s="249" t="str">
        <f>IFERROR(__xludf.DUMMYFUNCTION("IF(REGEXMATCH(C209, ""S""), ""0"","""")"),"0")</f>
        <v>0</v>
      </c>
      <c r="AJ209" s="313" t="str">
        <f t="shared" si="11"/>
        <v>T</v>
      </c>
      <c r="AK209" s="313" t="str">
        <f t="shared" si="12"/>
        <v>-</v>
      </c>
      <c r="AL209" s="313" t="str">
        <f t="shared" si="13"/>
        <v>-</v>
      </c>
      <c r="AM209" s="313" t="str">
        <f t="shared" si="14"/>
        <v>T</v>
      </c>
      <c r="AN209" s="313" t="str">
        <f t="shared" si="15"/>
        <v>-</v>
      </c>
      <c r="AO209" s="314" t="str">
        <f t="shared" si="16"/>
        <v>-</v>
      </c>
      <c r="AP209" s="316">
        <f t="shared" si="17"/>
        <v>2</v>
      </c>
      <c r="AQ209" s="319" t="str">
        <f t="shared" si="18"/>
        <v>#REF!</v>
      </c>
      <c r="AR209" s="320">
        <f t="shared" si="19"/>
        <v>0</v>
      </c>
      <c r="AS209" s="250" t="str">
        <f>IFERROR(__xludf.DUMMYFUNCTION("SUBSTITUTE(SUBSTITUTE(CONCATENATE(JOIN("""",FP209:GA209)),""|"",""x""),""-"",""o"")"),"xoxxooxxoxox")</f>
        <v>xoxxooxxoxox</v>
      </c>
      <c r="AT209" s="323" t="str">
        <f>IFERROR(__xludf.DUMMYFUNCTION("JOIN("""",AS209,AS209)"),"xoxxooxxoxoxxoxxooxxoxox")</f>
        <v>xoxxooxxoxoxxoxxooxxoxox</v>
      </c>
      <c r="AU209" s="256" t="str">
        <f>IFERROR(__xludf.DUMMYFUNCTION("JOIN("""",ArrayFormula(MID(AS209,LEN(AS209)-SEQUENCE(1,LEN(AS209))+1,1)))"),"xoxoxxooxxox")</f>
        <v>xoxoxxooxxox</v>
      </c>
      <c r="AV209" s="256" t="str">
        <f>IFERROR(__xludf.DUMMYFUNCTION("LEFT(CONCATENATE(""x"",JOIN("""",ArrayFormula(MID(AS209,LEN(AS209)-SEQUENCE(1,LEN(AS209))+1,1)))),12)"),"xxoxoxxooxxo")</f>
        <v>xxoxoxxooxxo</v>
      </c>
      <c r="AW209" s="327" t="str">
        <f>IFERROR(__xludf.DUMMYFUNCTION("JOIN("""",AU209,AU209)"),"xoxoxxooxxoxxoxoxxooxxox")</f>
        <v>xoxoxxooxxoxxoxoxxooxxox</v>
      </c>
      <c r="AX209" s="239" t="str">
        <f>IFERROR(__xludf.DUMMYFUNCTION("IF(REGEXMATCH(AW209,AS209),""✔"",""-"")"),"-")</f>
        <v>-</v>
      </c>
      <c r="AY209" s="330" t="str">
        <f t="shared" si="20"/>
        <v>-</v>
      </c>
      <c r="AZ209" s="260" t="str">
        <f t="shared" si="21"/>
        <v>#REF!</v>
      </c>
      <c r="BA209" s="333" t="str">
        <f t="shared" si="22"/>
        <v>xoxxoox</v>
      </c>
      <c r="BB209" s="334" t="str">
        <f t="shared" si="23"/>
        <v>xoxoxx</v>
      </c>
      <c r="BC209" s="335" t="str">
        <f t="shared" si="236"/>
        <v>-</v>
      </c>
      <c r="BD209" s="336" t="str">
        <f t="shared" si="25"/>
        <v>Madhuvanti: 'xoxxoox' + 'xoxoxx'</v>
      </c>
      <c r="BE209" s="337">
        <f>IFERROR(__xludf.DUMMYFUNCTION("COUNTUNIQUE(FILTER(AT:AT,REGEXMATCH(AT:AT,AS209)))-1"),2.0)</f>
        <v>2</v>
      </c>
      <c r="BF209" s="261" t="str">
        <f>IFERROR(__xludf.DUMMYFUNCTION("IF(BI209=0,""(n/a)"",IF(BJ209=2,""(PAIR)"",IF(REGEXMATCH(AT209,""xoxoxxoxoxox""),""Bilawal"",IF(REGEXMATCH(AT209,""xoxoxooxoxoo""),""Bhupali"",IF(REGEXMATCH(AT209,""xoxoxxoxxoxo""),""Charukeshi"",IF(REGEXMATCH(AT209,""xoxoooxxoxxo""),""Kameshwari"",IF(REG"&amp;"EXMATCH(AT209,""xoxoxooxoxox""),""Shankara"",IF(REGEXMATCH(AT209,""xxooxoxxxoox""),""Basant"",IF(REGEXMATCH(AT209,""xoxoxxxxoxox""),""Bihag"",IF(REGEXMATCH(AT209,""xoxxxxoxoxxx""),""Pilu"",IF(REGEXMATCH(AT209,""xoxxoxoxxoox""),""Kirwani"",IF(REGEXMATCH(AT"&amp;"209,""xoxxoxoxoxxx""),""Mk.Malhar"",IF(REGEXMATCH(AT209,""xxooxxoxxoox""),""Bhairav"",IF(REGEXMATCH(AT209,""xxoxooxxxoox""),""Todi"",IF(REGEXMATCH(AT209,""xxooxoxooxox""),""Marwa"",IF(REGEXMATCH(AT209,""xxoooxoxxooo""),""Gunkali"",IF(REGEXMATCH(AT209,""xo"&amp;"xoxxoxxoox""),""Nat Bhairav"",IF(REGEXMATCH(AT209,""xoxxoooxoxoo""),""Shivranjani"",IF(REGEXMATCH(AT209,""xooxxxoxooxo""),""Jog"",IF(REGEXMATCH(AT209,""xxooxoxoxoox""),""Hemshri"",IF(REGEXMATCH(AT209,""xoooxooxoxxo""),""Kalavati"",IF(REGEXMATCH(AT209,""xx"&amp;"oxoxxoxoox""),""Kedar"",IF(REGEXMATCH(AT209,""xoxxxxoxooxx""),""Gara"",IF(REGEXMATCH(AT209,""xooxoxooxoox""),""Chandrakauns"",IF(REGEXMATCH(AT209,""xoxxxxoxxxox""),""Mand"",IF(REGEXMATCH(AT209,""xoxxxxoxoxox""),""Hanskinkini"",IF(REGEXMATCH(AT209,""xxooxx"&amp;"oxooxo""),""Lilavati"",IF(REGEXMATCH(AT209,""xooxoxoooxox""),""Rajeshwari"",IF(REGEXMATCH(AT209,""xoooxxoxoxxx""),""Khokar"",IF(REGEXMATCH(AT209,""xxooxoxxxxox""),""Maligoura"",""-""))))))))))))))))))))))))))))))"),"Nat Bhairav")</f>
        <v>Nat Bhairav</v>
      </c>
      <c r="BG209" s="239" t="str">
        <f t="shared" si="26"/>
        <v>#REF!</v>
      </c>
      <c r="BH209" s="239">
        <f>IFERROR(__xludf.DUMMYFUNCTION("COUNTUNIQUE(FE209:FO209)-1"),6.0)</f>
        <v>6</v>
      </c>
      <c r="BI209" s="239">
        <f>IFERROR(__xludf.DUMMYFUNCTION("COUNTUNIQUE(FILTER(AT:AT,REGEXMATCH(AT:AT,AS209)))-1"),2.0)</f>
        <v>2</v>
      </c>
      <c r="BJ209" s="239">
        <f>IFERROR(__xludf.DUMMYFUNCTION("COUNTA(FILTER(AT:AT,REGEXMATCH(AT:AT,AS209)))"),4.0)</f>
        <v>4</v>
      </c>
      <c r="BK209" s="341">
        <f>IFERROR(__xludf.DUMMYFUNCTION("COUNTA(FILTER(AT:AT,REGEXMATCH(AT:AT,AS209)))-AR209"),4.0)</f>
        <v>4</v>
      </c>
      <c r="BL209" s="276" t="str">
        <f>IFERROR(__xludf.DUMMYFUNCTION("IF(AS209=""oooooooooooo"",""-"",IF(REGEXMATCH(AT209,""xx""), ""Hemi."", ""Anhemi.""))"),"Hemi.")</f>
        <v>Hemi.</v>
      </c>
      <c r="BM209" s="282" t="str">
        <f>IFERROR(__xludf.DUMMYFUNCTION("IF(AS209=""oooooooooooo"",""-"",IF(REGEXMATCH(AT209,""xxx""), ""Cohem."", ""-""))"),"-")</f>
        <v>-</v>
      </c>
      <c r="BN209" s="282" t="str">
        <f>IFERROR(__xludf.DUMMYFUNCTION("IF(AS209=""oooooooooooo"",""-"",IF(REGEXMATCH(AT209,""xxxx""), ""Co-Co."", ""-""))"),"-")</f>
        <v>-</v>
      </c>
      <c r="BO209" s="342" t="str">
        <f>IFERROR(__xludf.DUMMYFUNCTION("IF(AS209=""oooooooooooo"",""-"",IF(REGEXMATCH(AT209,""xxxxx""), ""CCC."", ""-""))"),"-")</f>
        <v>-</v>
      </c>
      <c r="BP209" s="344" t="str">
        <f t="shared" si="27"/>
        <v>-</v>
      </c>
      <c r="BQ209" s="282" t="str">
        <f>IFERROR(__xludf.DUMMYFUNCTION("IF(REGEXMATCH(JOIN(""-"",EU209:FD209),""TRUE""),""✔"",""-"")"),"-")</f>
        <v>-</v>
      </c>
      <c r="BR209" s="225">
        <f t="shared" si="28"/>
        <v>0</v>
      </c>
      <c r="BS209" s="345" t="str">
        <f>IFERROR(__xludf.DUMMYFUNCTION("SUBSTITUTE(SUBSTITUTE(SUBSTITUTE(SUBSTITUTE(CONCATENATE(JOIN(""-"",GC209:GO209)),""--"",""-""),""--"",""-""),""--"",""-""),""--"",""-"")"),"1-2-b3-#4-5-6-7-8")</f>
        <v>1-2-b3-#4-5-6-7-8</v>
      </c>
      <c r="BT209" s="299" t="str">
        <f>IFERROR(__xludf.DUMMYFUNCTION("SUBSTITUTE(SUBSTITUTE(SUBSTITUTE(SUBSTITUTE(CONCATENATE(JOIN(""-"",GP209:HB209)),""--"",""-""),""--"",""-""),""--"",""-""),""--"",""-"")"),"S-R2-G2-M2-P-D2-N3-S")</f>
        <v>S-R2-G2-M2-P-D2-N3-S</v>
      </c>
      <c r="BU209" s="348" t="str">
        <f t="shared" si="29"/>
        <v>C-D-Eb-F#-G-A-B-C</v>
      </c>
      <c r="BV209" s="349" t="str">
        <f t="shared" si="30"/>
        <v>SrGmdnS</v>
      </c>
      <c r="BW209" s="350">
        <f t="shared" si="31"/>
        <v>0</v>
      </c>
      <c r="BX209" s="351">
        <f t="shared" si="32"/>
        <v>2</v>
      </c>
      <c r="BY209" s="392"/>
      <c r="BZ209" s="309" t="str">
        <f>IFERROR(__xludf.DUMMYFUNCTION("IF(REGEXMATCH(C209, ""S""), ""x"",""x"")"),"x")</f>
        <v>x</v>
      </c>
      <c r="CA209" s="245" t="str">
        <f>IFERROR(__xludf.DUMMYFUNCTION("IF(REGEXMATCH(C209, ""r""), ""o"",""x"")"),"x")</f>
        <v>x</v>
      </c>
      <c r="CB209" s="246" t="str">
        <f>IFERROR(__xludf.DUMMYFUNCTION("IF(REGEXMATCH(C209, ""R""), ""o"",""x"")"),"o")</f>
        <v>o</v>
      </c>
      <c r="CC209" s="246" t="str">
        <f>IFERROR(__xludf.DUMMYFUNCTION("IF(REGEXMATCH(C209, ""g""), ""o"",""x"")"),"o")</f>
        <v>o</v>
      </c>
      <c r="CD209" s="245" t="str">
        <f>IFERROR(__xludf.DUMMYFUNCTION("IF(REGEXMATCH(C209, ""G""), ""o"",""x"")"),"x")</f>
        <v>x</v>
      </c>
      <c r="CE209" s="245" t="str">
        <f>IFERROR(__xludf.DUMMYFUNCTION("IF(REGEXMATCH(C209, ""m""), ""o"",""x"")"),"x")</f>
        <v>x</v>
      </c>
      <c r="CF209" s="246" t="str">
        <f>IFERROR(__xludf.DUMMYFUNCTION("IF(REGEXMATCH(C209, ""M""), ""o"",""x"")"),"o")</f>
        <v>o</v>
      </c>
      <c r="CG209" s="245" t="str">
        <f>IFERROR(__xludf.DUMMYFUNCTION("IF(REGEXMATCH(C209, ""P""), ""o"",""x"")"),"o")</f>
        <v>o</v>
      </c>
      <c r="CH209" s="246" t="str">
        <f>IFERROR(__xludf.DUMMYFUNCTION("IF(REGEXMATCH(C209, ""d""), ""o"",""x"")"),"x")</f>
        <v>x</v>
      </c>
      <c r="CI209" s="245" t="str">
        <f>IFERROR(__xludf.DUMMYFUNCTION("IF(REGEXMATCH(C209, ""D""), ""o"",""x"")"),"o")</f>
        <v>o</v>
      </c>
      <c r="CJ209" s="245" t="str">
        <f>IFERROR(__xludf.DUMMYFUNCTION("IF(REGEXMATCH(C209, ""n""), ""o"",""x"")"),"x")</f>
        <v>x</v>
      </c>
      <c r="CK209" s="245" t="str">
        <f>IFERROR(__xludf.DUMMYFUNCTION("IF(REGEXMATCH(C209, ""N""), ""o"",""x"")"),"o")</f>
        <v>o</v>
      </c>
      <c r="CL209" s="356" t="str">
        <f>IFERROR(__xludf.DUMMYFUNCTION("IF(REGEXMATCH(C209, ""S""), ""x"",""x"")"),"x")</f>
        <v>x</v>
      </c>
      <c r="CM209" s="357" t="str">
        <f t="shared" si="33"/>
        <v>xxooxxooxoxo</v>
      </c>
      <c r="CN209" s="358">
        <f t="shared" si="34"/>
        <v>0</v>
      </c>
      <c r="CO209" s="246" t="str">
        <f>IFERROR(__xludf.DUMMYFUNCTION("IF(REGEXMATCH($C209, ""S""), ""S"",""S"")"),"S")</f>
        <v>S</v>
      </c>
      <c r="CP209" s="246" t="str">
        <f>IFERROR(__xludf.DUMMYFUNCTION("IF(REGEXMATCH($C209, ""r""), """",""r"")"),"r")</f>
        <v>r</v>
      </c>
      <c r="CQ209" s="246" t="str">
        <f>IFERROR(__xludf.DUMMYFUNCTION("IF(REGEXMATCH($C209, ""R""), """",""R"")"),"")</f>
        <v/>
      </c>
      <c r="CR209" s="246" t="str">
        <f>IFERROR(__xludf.DUMMYFUNCTION("IF(REGEXMATCH($C209, ""g""), """",""g"")"),"")</f>
        <v/>
      </c>
      <c r="CS209" s="246" t="str">
        <f>IFERROR(__xludf.DUMMYFUNCTION("IF(REGEXMATCH($C209, ""G""), """",""G"")"),"G")</f>
        <v>G</v>
      </c>
      <c r="CT209" s="246" t="str">
        <f>IFERROR(__xludf.DUMMYFUNCTION("IF(REGEXMATCH($C209, ""m""), """",""m"")"),"m")</f>
        <v>m</v>
      </c>
      <c r="CU209" s="246" t="str">
        <f>IFERROR(__xludf.DUMMYFUNCTION("IF(REGEXMATCH($C209, ""M""), """",""M"")"),"")</f>
        <v/>
      </c>
      <c r="CV209" s="246" t="str">
        <f>IFERROR(__xludf.DUMMYFUNCTION("IF(REGEXMATCH($C209, ""P""), """",""P"")"),"")</f>
        <v/>
      </c>
      <c r="CW209" s="246" t="str">
        <f>IFERROR(__xludf.DUMMYFUNCTION("IF(REGEXMATCH($C209, ""d""), """",""d"")"),"d")</f>
        <v>d</v>
      </c>
      <c r="CX209" s="246" t="str">
        <f>IFERROR(__xludf.DUMMYFUNCTION("IF(REGEXMATCH($C209, ""D""), """",""D"")"),"")</f>
        <v/>
      </c>
      <c r="CY209" s="246" t="str">
        <f>IFERROR(__xludf.DUMMYFUNCTION("IF(REGEXMATCH($C209, ""n""), """",""n"")"),"n")</f>
        <v>n</v>
      </c>
      <c r="CZ209" s="246" t="str">
        <f>IFERROR(__xludf.DUMMYFUNCTION("IF(REGEXMATCH($C209, ""N""), """",""N"")"),"")</f>
        <v/>
      </c>
      <c r="DA209" s="246" t="str">
        <f>IFERROR(__xludf.DUMMYFUNCTION("IF(REGEXMATCH($C209, ""S""), ""S"",""S"")"),"S")</f>
        <v>S</v>
      </c>
      <c r="DB209" s="362" t="str">
        <f>IFERROR(__xludf.DUMMYFUNCTION("JOIN("""",CO209:DA209,"""","""")"),"SrGmdnS")</f>
        <v>SrGmdnS</v>
      </c>
      <c r="DC209" s="363"/>
      <c r="DD209" s="301" t="str">
        <f t="shared" si="35"/>
        <v>#REF!</v>
      </c>
      <c r="DE209" s="302" t="str">
        <f t="shared" si="36"/>
        <v>#REF!</v>
      </c>
      <c r="DF209" s="301" t="str">
        <f t="shared" ref="DF209:DG209" si="633">SUBSTITUTE(S209,"-","")</f>
        <v>SRGM</v>
      </c>
      <c r="DG209" s="301" t="str">
        <f t="shared" si="633"/>
        <v>PDNS</v>
      </c>
      <c r="DH209" s="302" t="str">
        <f t="shared" si="38"/>
        <v>Nat Bhairav</v>
      </c>
      <c r="DI209" s="301" t="str">
        <f t="shared" si="39"/>
        <v>Hemi.</v>
      </c>
      <c r="DJ209" s="364" t="str">
        <f t="shared" si="40"/>
        <v>-</v>
      </c>
      <c r="DK209" s="306" t="str">
        <f t="shared" si="41"/>
        <v>-</v>
      </c>
      <c r="DL209" s="366" t="str">
        <f t="shared" si="42"/>
        <v>-</v>
      </c>
      <c r="DM209" s="308" t="str">
        <f t="shared" si="43"/>
        <v>✔</v>
      </c>
      <c r="DN209" s="306" t="str">
        <f t="shared" si="44"/>
        <v>-</v>
      </c>
      <c r="DO209" s="306" t="str">
        <f t="shared" si="45"/>
        <v>-</v>
      </c>
      <c r="DP209" s="367" t="str">
        <f t="shared" si="46"/>
        <v>✔</v>
      </c>
      <c r="DQ209" s="310" t="str">
        <f t="shared" si="47"/>
        <v>-</v>
      </c>
      <c r="DR209" s="310" t="str">
        <f t="shared" si="48"/>
        <v>-</v>
      </c>
      <c r="DS209" s="310" t="str">
        <f t="shared" si="49"/>
        <v>-</v>
      </c>
      <c r="DT209" s="310" t="str">
        <f t="shared" si="50"/>
        <v>-</v>
      </c>
      <c r="DU209" s="370" t="str">
        <f t="shared" si="51"/>
        <v>-</v>
      </c>
      <c r="DV209" s="306" t="str">
        <f t="shared" si="52"/>
        <v>-</v>
      </c>
      <c r="DW209" s="306" t="str">
        <f t="shared" si="53"/>
        <v>-</v>
      </c>
      <c r="DX209" s="306" t="str">
        <f t="shared" si="54"/>
        <v>-</v>
      </c>
      <c r="DY209" s="306" t="str">
        <f t="shared" si="55"/>
        <v>-</v>
      </c>
      <c r="DZ209" s="306" t="str">
        <f t="shared" si="56"/>
        <v>-</v>
      </c>
      <c r="EA209" s="367" t="str">
        <f t="shared" si="57"/>
        <v>-</v>
      </c>
      <c r="EB209" s="310" t="str">
        <f>IFERROR(__xludf.DUMMYFUNCTION("IF(REGEXMATCH(AW209,AS209),""✔"",""-"")"),"-")</f>
        <v>-</v>
      </c>
      <c r="EC209" s="310" t="str">
        <f t="shared" si="58"/>
        <v>#REF!</v>
      </c>
      <c r="ED209" s="370" t="str">
        <f t="shared" si="59"/>
        <v>-</v>
      </c>
      <c r="EE209" s="340" t="str">
        <f t="shared" si="60"/>
        <v>S-R-g-M-P-D-N-S</v>
      </c>
      <c r="EF209" s="371" t="str">
        <f>IFERROR(__xludf.DUMMYFUNCTION("CONCATENATE(JOIN("""",HC209:HO209))"),"SrgmMDnS")</f>
        <v>SrgmMDnS</v>
      </c>
      <c r="EG209" s="372">
        <f t="shared" si="61"/>
        <v>3</v>
      </c>
      <c r="EH209" s="373" t="str">
        <f>IFERROR(__xludf.DUMMYFUNCTION("CONCATENATE(JOIN("""",JC209:JO209))"),"ga, Ma, Dha, ")</f>
        <v>ga, Ma, Dha, </v>
      </c>
      <c r="EI209" s="322">
        <f t="shared" si="62"/>
        <v>1</v>
      </c>
      <c r="EJ209" s="374" t="str">
        <f>IFERROR(__xludf.DUMMYFUNCTION("CONCATENATE(JOIN("""",KC209:KO209))"),"ga, ")</f>
        <v>ga, </v>
      </c>
      <c r="EK209" s="325" t="str">
        <f t="shared" si="63"/>
        <v>S-R2-G2-M2-P-D2-N3-S</v>
      </c>
      <c r="EL209" s="326" t="str">
        <f t="shared" si="64"/>
        <v>1-2-b3-#4-5-6-7-8</v>
      </c>
      <c r="EM209" s="318" t="str">
        <f t="shared" si="65"/>
        <v>#REF!</v>
      </c>
      <c r="EN209" s="328" t="str">
        <f>IFERROR(__xludf.DUMMYFUNCTION("SUBSTITUTE(SUBSTITUTE(SUBSTITUTE(SUBSTITUTE(CONCATENATE(JOIN("" "",HP209:IB209)),""  "","" ""),""  "","" ""),""  "","" ""),""  "","" "")"),"o • o o • • o o • o • o o")</f>
        <v>o • o o • • o o • o • o o</v>
      </c>
      <c r="EO209" s="368" t="str">
        <f t="shared" si="66"/>
        <v>Sa-Pa</v>
      </c>
      <c r="EP209" s="339" t="str">
        <f t="shared" si="67"/>
        <v>Sa-Pa</v>
      </c>
      <c r="EQ209" s="339" t="str">
        <f t="shared" si="68"/>
        <v>Sa-Pa</v>
      </c>
      <c r="ER209" s="339" t="str">
        <f t="shared" si="69"/>
        <v>-</v>
      </c>
      <c r="ES209" s="340" t="str">
        <f t="shared" si="70"/>
        <v>-</v>
      </c>
      <c r="ET209" s="363"/>
      <c r="EU209" s="376" t="b">
        <f>IFERROR(__xludf.DUMMYFUNCTION("arrayformula(sum(--REGEXMATCH(""SRGMPDNS"",split(REGEXREPLACE(C209,""(.)"",""$1~""),""~""))))=len(C209)
"),FALSE)</f>
        <v>0</v>
      </c>
      <c r="EV209" s="290" t="b">
        <f>IFERROR(__xludf.DUMMYFUNCTION("arrayformula(sum(--REGEXMATCH(""SRGmPDNS"",split(REGEXREPLACE(C209,""(.)"",""$1~""),""~""))))=len(C209)"),FALSE)</f>
        <v>0</v>
      </c>
      <c r="EW209" s="290" t="b">
        <f>IFERROR(__xludf.DUMMYFUNCTION("arrayformula(sum(--REGEXMATCH(""SRGmPDnS"",split(REGEXREPLACE(C209,""(.)"",""$1~""),""~""))))=len(C209)"),FALSE)</f>
        <v>0</v>
      </c>
      <c r="EX209" s="290" t="b">
        <f>IFERROR(__xludf.DUMMYFUNCTION("arrayformula(sum(--REGEXMATCH(""SRgmPDnS"",split(REGEXREPLACE(C209,""(.)"",""$1~""),""~""))))=len(C209)"),FALSE)</f>
        <v>0</v>
      </c>
      <c r="EY209" s="290" t="b">
        <f>IFERROR(__xludf.DUMMYFUNCTION("arrayformula(sum(--REGEXMATCH(""SRgmPdnS"",split(REGEXREPLACE(C209,""(.)"",""$1~""),""~""))))=len(C209)"),FALSE)</f>
        <v>0</v>
      </c>
      <c r="EZ209" s="290" t="b">
        <f>IFERROR(__xludf.DUMMYFUNCTION("arrayformula(sum(--REGEXMATCH(""SrgmPdnS"",split(REGEXREPLACE(C209,""(.)"",""$1~""),""~""))))=len(C209)"),FALSE)</f>
        <v>0</v>
      </c>
      <c r="FA209" s="290" t="b">
        <f>IFERROR(__xludf.DUMMYFUNCTION("arrayformula(sum(--REGEXMATCH(""SrGmPdNS"",split(REGEXREPLACE(C209,""(.)"",""$1~""),""~""))))=len(C209)"),FALSE)</f>
        <v>0</v>
      </c>
      <c r="FB209" s="290" t="b">
        <f>IFERROR(__xludf.DUMMYFUNCTION("arrayformula(sum(--REGEXMATCH(""SrGMPDNS"",split(REGEXREPLACE(C209,""(.)"",""$1~""),""~""))))=len(C209)"),FALSE)</f>
        <v>0</v>
      </c>
      <c r="FC209" s="290" t="b">
        <f>IFERROR(__xludf.DUMMYFUNCTION("arrayformula(sum(--REGEXMATCH(""SrGMPdNS"",split(REGEXREPLACE(C209,""(.)"",""$1~""),""~""))))=len(C209)"),FALSE)</f>
        <v>0</v>
      </c>
      <c r="FD209" s="377" t="b">
        <f>IFERROR(__xludf.DUMMYFUNCTION("arrayformula(sum(--REGEXMATCH(""SrgMPdNS"",split(REGEXREPLACE(C209,""(.)"",""$1~""),""~""))))=len(C209)"),FALSE)</f>
        <v>0</v>
      </c>
      <c r="FE209" s="269" t="str">
        <f t="shared" si="71"/>
        <v>-</v>
      </c>
      <c r="FF209" s="269" t="str">
        <f t="shared" si="72"/>
        <v>xxooxxoxoxx</v>
      </c>
      <c r="FG209" s="271" t="str">
        <f t="shared" si="73"/>
        <v>xooxxoxoxxo</v>
      </c>
      <c r="FH209" s="269" t="str">
        <f t="shared" si="74"/>
        <v>-</v>
      </c>
      <c r="FI209" s="271" t="str">
        <f t="shared" si="75"/>
        <v>-</v>
      </c>
      <c r="FJ209" s="271" t="str">
        <f t="shared" si="76"/>
        <v>xxoxoxxoxxo</v>
      </c>
      <c r="FK209" s="271" t="str">
        <f t="shared" si="77"/>
        <v>xoxoxxoxxoo</v>
      </c>
      <c r="FL209" s="271" t="str">
        <f t="shared" si="78"/>
        <v>-</v>
      </c>
      <c r="FM209" s="271" t="str">
        <f t="shared" si="79"/>
        <v>xoxxoxxooxx</v>
      </c>
      <c r="FN209" s="271" t="str">
        <f t="shared" si="80"/>
        <v>-</v>
      </c>
      <c r="FO209" s="274" t="str">
        <f t="shared" si="81"/>
        <v>xxoxxooxxox</v>
      </c>
      <c r="FP209" s="234" t="str">
        <f t="shared" si="82"/>
        <v>|</v>
      </c>
      <c r="FQ209" s="236" t="str">
        <f t="shared" si="83"/>
        <v>-</v>
      </c>
      <c r="FR209" s="237" t="str">
        <f t="shared" si="84"/>
        <v>|</v>
      </c>
      <c r="FS209" s="236" t="str">
        <f t="shared" si="85"/>
        <v>|</v>
      </c>
      <c r="FT209" s="237" t="str">
        <f t="shared" si="86"/>
        <v>-</v>
      </c>
      <c r="FU209" s="236" t="str">
        <f t="shared" si="87"/>
        <v>-</v>
      </c>
      <c r="FV209" s="237" t="str">
        <f t="shared" si="88"/>
        <v>|</v>
      </c>
      <c r="FW209" s="236" t="str">
        <f t="shared" si="89"/>
        <v>|</v>
      </c>
      <c r="FX209" s="237" t="str">
        <f t="shared" si="90"/>
        <v>-</v>
      </c>
      <c r="FY209" s="236" t="str">
        <f t="shared" si="91"/>
        <v>|</v>
      </c>
      <c r="FZ209" s="237" t="str">
        <f t="shared" si="92"/>
        <v>-</v>
      </c>
      <c r="GA209" s="236" t="str">
        <f t="shared" si="93"/>
        <v>|</v>
      </c>
      <c r="GB209" s="238" t="str">
        <f t="shared" si="94"/>
        <v>|</v>
      </c>
      <c r="GC209" s="244" t="str">
        <f>IFERROR(__xludf.DUMMYFUNCTION("IF(REGEXMATCH(C209, ""S""), ""1"","""")"),"1")</f>
        <v>1</v>
      </c>
      <c r="GD209" s="245" t="str">
        <f>IFERROR(__xludf.DUMMYFUNCTION("IF(REGEXMATCH(C209, ""r""), ""b2"","""")"),"")</f>
        <v/>
      </c>
      <c r="GE209" s="246" t="str">
        <f>IFERROR(__xludf.DUMMYFUNCTION("IF(REGEXMATCH(C209, ""R""), ""2"","""")"),"2")</f>
        <v>2</v>
      </c>
      <c r="GF209" s="246" t="str">
        <f>IFERROR(__xludf.DUMMYFUNCTION("IF(REGEXMATCH(C209, ""g""), ""b3"","""")"),"b3")</f>
        <v>b3</v>
      </c>
      <c r="GG209" s="245" t="str">
        <f>IFERROR(__xludf.DUMMYFUNCTION("IF(REGEXMATCH(C209, ""G""), ""3"","""")"),"")</f>
        <v/>
      </c>
      <c r="GH209" s="245" t="str">
        <f>IFERROR(__xludf.DUMMYFUNCTION("IF(REGEXMATCH(C209, ""m""), ""4"","""")"),"")</f>
        <v/>
      </c>
      <c r="GI209" s="246" t="str">
        <f>IFERROR(__xludf.DUMMYFUNCTION("IF(REGEXMATCH(C209, ""M""), ""#4"","""")"),"#4")</f>
        <v>#4</v>
      </c>
      <c r="GJ209" s="245" t="str">
        <f>IFERROR(__xludf.DUMMYFUNCTION("IF(REGEXMATCH(C209, ""P""), ""5"","""")"),"5")</f>
        <v>5</v>
      </c>
      <c r="GK209" s="246" t="str">
        <f>IFERROR(__xludf.DUMMYFUNCTION("IF(REGEXMATCH(C209, ""d""), ""b6"","""")"),"")</f>
        <v/>
      </c>
      <c r="GL209" s="245" t="str">
        <f>IFERROR(__xludf.DUMMYFUNCTION("IF(REGEXMATCH(C209, ""D""), ""6"","""")"),"6")</f>
        <v>6</v>
      </c>
      <c r="GM209" s="245" t="str">
        <f>IFERROR(__xludf.DUMMYFUNCTION("IF(REGEXMATCH(C209, ""n""), ""b7"","""")"),"")</f>
        <v/>
      </c>
      <c r="GN209" s="246" t="str">
        <f>IFERROR(__xludf.DUMMYFUNCTION("IF(REGEXMATCH(C209, ""N""), ""7"","""")"),"7")</f>
        <v>7</v>
      </c>
      <c r="GO209" s="249" t="str">
        <f>IFERROR(__xludf.DUMMYFUNCTION("IF(REGEXMATCH(C209, ""S""), ""8"","""")"),"8")</f>
        <v>8</v>
      </c>
      <c r="GP209" s="244" t="str">
        <f>IFERROR(__xludf.DUMMYFUNCTION("IF(REGEXMATCH(C209, ""S""), ""S"","""")"),"S")</f>
        <v>S</v>
      </c>
      <c r="GQ209" s="294" t="str">
        <f>IFERROR(__xludf.DUMMYFUNCTION("IF(REGEXMATCH(C209, ""r""), ""R1"","""")"),"")</f>
        <v/>
      </c>
      <c r="GR209" s="295" t="str">
        <f>IFERROR(__xludf.DUMMYFUNCTION("IF(REGEXMATCH(C209, ""R""), ""R2"","""")"),"R2")</f>
        <v>R2</v>
      </c>
      <c r="GS209" s="295" t="str">
        <f>IFERROR(__xludf.DUMMYFUNCTION("IF(REGEXMATCH(C209, ""g""), ""G2"","""")"),"G2")</f>
        <v>G2</v>
      </c>
      <c r="GT209" s="294" t="str">
        <f>IFERROR(__xludf.DUMMYFUNCTION("IF(REGEXMATCH(C209, ""G""), ""G3"","""")"),"")</f>
        <v/>
      </c>
      <c r="GU209" s="294" t="str">
        <f>IFERROR(__xludf.DUMMYFUNCTION("IF(REGEXMATCH(C209, ""m""), ""M1"","""")"),"")</f>
        <v/>
      </c>
      <c r="GV209" s="295" t="str">
        <f>IFERROR(__xludf.DUMMYFUNCTION("IF(REGEXMATCH(C209, ""M""), ""M2"","""")"),"M2")</f>
        <v>M2</v>
      </c>
      <c r="GW209" s="294" t="str">
        <f>IFERROR(__xludf.DUMMYFUNCTION("IF(REGEXMATCH(C209, ""P""), ""P"","""")"),"P")</f>
        <v>P</v>
      </c>
      <c r="GX209" s="295" t="str">
        <f>IFERROR(__xludf.DUMMYFUNCTION("IF(REGEXMATCH(C209, ""d""), ""D1"","""")"),"")</f>
        <v/>
      </c>
      <c r="GY209" s="294" t="str">
        <f>IFERROR(__xludf.DUMMYFUNCTION("IF(REGEXMATCH(C209, ""D""), ""D2"","""")"),"D2")</f>
        <v>D2</v>
      </c>
      <c r="GZ209" s="294" t="str">
        <f>IFERROR(__xludf.DUMMYFUNCTION("IF(REGEXMATCH(C209, ""n""), ""N2"","""")"),"")</f>
        <v/>
      </c>
      <c r="HA209" s="295" t="str">
        <f>IFERROR(__xludf.DUMMYFUNCTION("IF(REGEXMATCH(C209, ""N""), ""N3"","""")"),"N3")</f>
        <v>N3</v>
      </c>
      <c r="HB209" s="249" t="str">
        <f>IFERROR(__xludf.DUMMYFUNCTION("IF(REGEXMATCH(C209, ""S""), ""S"","""")"),"S")</f>
        <v>S</v>
      </c>
      <c r="HC209" s="331" t="str">
        <f t="shared" si="95"/>
        <v>S</v>
      </c>
      <c r="HD209" s="332" t="str">
        <f t="shared" si="96"/>
        <v>r</v>
      </c>
      <c r="HE209" s="332" t="str">
        <f t="shared" si="97"/>
        <v/>
      </c>
      <c r="HF209" s="332" t="str">
        <f t="shared" si="98"/>
        <v>g</v>
      </c>
      <c r="HG209" s="332" t="str">
        <f t="shared" si="99"/>
        <v/>
      </c>
      <c r="HH209" s="332" t="str">
        <f t="shared" si="100"/>
        <v>m</v>
      </c>
      <c r="HI209" s="332" t="str">
        <f t="shared" si="101"/>
        <v>M</v>
      </c>
      <c r="HJ209" s="332" t="str">
        <f t="shared" si="102"/>
        <v/>
      </c>
      <c r="HK209" s="332" t="str">
        <f t="shared" si="103"/>
        <v/>
      </c>
      <c r="HL209" s="332" t="str">
        <f t="shared" si="104"/>
        <v>D</v>
      </c>
      <c r="HM209" s="332" t="str">
        <f t="shared" si="105"/>
        <v>n</v>
      </c>
      <c r="HN209" s="332" t="str">
        <f t="shared" si="106"/>
        <v/>
      </c>
      <c r="HO209" s="343" t="str">
        <f t="shared" si="107"/>
        <v>S</v>
      </c>
      <c r="HP209" s="331" t="str">
        <f t="shared" si="108"/>
        <v>o</v>
      </c>
      <c r="HQ209" s="332" t="str">
        <f t="shared" si="109"/>
        <v>•</v>
      </c>
      <c r="HR209" s="332" t="str">
        <f t="shared" si="110"/>
        <v>o</v>
      </c>
      <c r="HS209" s="332" t="str">
        <f t="shared" si="111"/>
        <v>o</v>
      </c>
      <c r="HT209" s="332" t="str">
        <f t="shared" si="112"/>
        <v>•</v>
      </c>
      <c r="HU209" s="332" t="str">
        <f t="shared" si="113"/>
        <v>•</v>
      </c>
      <c r="HV209" s="332" t="str">
        <f t="shared" si="114"/>
        <v>o</v>
      </c>
      <c r="HW209" s="332" t="str">
        <f t="shared" si="115"/>
        <v>o</v>
      </c>
      <c r="HX209" s="332" t="str">
        <f t="shared" si="116"/>
        <v>•</v>
      </c>
      <c r="HY209" s="332" t="str">
        <f t="shared" si="117"/>
        <v>o</v>
      </c>
      <c r="HZ209" s="332" t="str">
        <f t="shared" si="118"/>
        <v>•</v>
      </c>
      <c r="IA209" s="332" t="str">
        <f t="shared" si="119"/>
        <v>o</v>
      </c>
      <c r="IB209" s="338" t="str">
        <f t="shared" si="120"/>
        <v>o</v>
      </c>
      <c r="IC209" s="331" t="str">
        <f t="shared" si="121"/>
        <v>•</v>
      </c>
      <c r="ID209" s="332" t="str">
        <f t="shared" si="122"/>
        <v>o</v>
      </c>
      <c r="IE209" s="332" t="str">
        <f t="shared" si="123"/>
        <v>•</v>
      </c>
      <c r="IF209" s="332" t="str">
        <f t="shared" si="124"/>
        <v>•</v>
      </c>
      <c r="IG209" s="332" t="str">
        <f t="shared" si="125"/>
        <v>o</v>
      </c>
      <c r="IH209" s="332" t="str">
        <f t="shared" si="126"/>
        <v>o</v>
      </c>
      <c r="II209" s="332" t="str">
        <f t="shared" si="127"/>
        <v>•</v>
      </c>
      <c r="IJ209" s="332" t="str">
        <f t="shared" si="128"/>
        <v>•</v>
      </c>
      <c r="IK209" s="332" t="str">
        <f t="shared" si="129"/>
        <v>o</v>
      </c>
      <c r="IL209" s="332" t="str">
        <f t="shared" si="130"/>
        <v>•</v>
      </c>
      <c r="IM209" s="332" t="str">
        <f t="shared" si="131"/>
        <v>o</v>
      </c>
      <c r="IN209" s="332" t="str">
        <f t="shared" si="132"/>
        <v>•</v>
      </c>
      <c r="IO209" s="338" t="str">
        <f t="shared" si="133"/>
        <v>•</v>
      </c>
      <c r="IP209" s="346" t="b">
        <f t="shared" si="134"/>
        <v>0</v>
      </c>
      <c r="IQ209" s="347" t="b">
        <f t="shared" si="135"/>
        <v>0</v>
      </c>
      <c r="IR209" s="347" t="b">
        <f t="shared" si="136"/>
        <v>0</v>
      </c>
      <c r="IS209" s="347" t="b">
        <f t="shared" si="137"/>
        <v>1</v>
      </c>
      <c r="IT209" s="347" t="b">
        <f t="shared" si="138"/>
        <v>0</v>
      </c>
      <c r="IU209" s="347" t="b">
        <f t="shared" si="139"/>
        <v>0</v>
      </c>
      <c r="IV209" s="347" t="b">
        <f t="shared" si="140"/>
        <v>1</v>
      </c>
      <c r="IW209" s="347" t="b">
        <f t="shared" si="141"/>
        <v>0</v>
      </c>
      <c r="IX209" s="347" t="b">
        <f t="shared" si="142"/>
        <v>0</v>
      </c>
      <c r="IY209" s="347" t="b">
        <f t="shared" si="143"/>
        <v>1</v>
      </c>
      <c r="IZ209" s="347" t="b">
        <f t="shared" si="144"/>
        <v>0</v>
      </c>
      <c r="JA209" s="347" t="b">
        <f t="shared" si="145"/>
        <v>0</v>
      </c>
      <c r="JB209" s="353" t="b">
        <f t="shared" si="146"/>
        <v>0</v>
      </c>
      <c r="JC209" s="354" t="str">
        <f t="shared" si="147"/>
        <v/>
      </c>
      <c r="JD209" s="355" t="str">
        <f t="shared" si="148"/>
        <v/>
      </c>
      <c r="JE209" s="355" t="str">
        <f t="shared" si="149"/>
        <v/>
      </c>
      <c r="JF209" s="355" t="str">
        <f t="shared" si="150"/>
        <v>ga, </v>
      </c>
      <c r="JG209" s="355" t="str">
        <f t="shared" si="151"/>
        <v/>
      </c>
      <c r="JH209" s="355" t="str">
        <f t="shared" si="152"/>
        <v/>
      </c>
      <c r="JI209" s="355" t="str">
        <f t="shared" si="153"/>
        <v>Ma, </v>
      </c>
      <c r="JJ209" s="355" t="str">
        <f t="shared" si="154"/>
        <v/>
      </c>
      <c r="JK209" s="355" t="str">
        <f t="shared" si="155"/>
        <v/>
      </c>
      <c r="JL209" s="355" t="str">
        <f t="shared" si="156"/>
        <v>Dha, </v>
      </c>
      <c r="JM209" s="355" t="str">
        <f t="shared" si="157"/>
        <v/>
      </c>
      <c r="JN209" s="355" t="str">
        <f t="shared" si="158"/>
        <v/>
      </c>
      <c r="JO209" s="359" t="str">
        <f t="shared" si="159"/>
        <v/>
      </c>
      <c r="JP209" s="346" t="b">
        <f t="shared" si="160"/>
        <v>0</v>
      </c>
      <c r="JQ209" s="347" t="b">
        <f t="shared" si="161"/>
        <v>0</v>
      </c>
      <c r="JR209" s="347" t="b">
        <f t="shared" si="162"/>
        <v>0</v>
      </c>
      <c r="JS209" s="347" t="b">
        <f t="shared" si="163"/>
        <v>1</v>
      </c>
      <c r="JT209" s="347" t="b">
        <f t="shared" si="164"/>
        <v>0</v>
      </c>
      <c r="JU209" s="347" t="b">
        <f t="shared" si="165"/>
        <v>0</v>
      </c>
      <c r="JV209" s="347" t="b">
        <f t="shared" si="166"/>
        <v>0</v>
      </c>
      <c r="JW209" s="347" t="b">
        <f t="shared" si="167"/>
        <v>0</v>
      </c>
      <c r="JX209" s="347" t="b">
        <f t="shared" si="168"/>
        <v>0</v>
      </c>
      <c r="JY209" s="347" t="b">
        <f t="shared" si="169"/>
        <v>0</v>
      </c>
      <c r="JZ209" s="347" t="b">
        <f t="shared" si="170"/>
        <v>0</v>
      </c>
      <c r="KA209" s="347" t="b">
        <f t="shared" si="171"/>
        <v>0</v>
      </c>
      <c r="KB209" s="365" t="b">
        <f t="shared" si="172"/>
        <v>0</v>
      </c>
      <c r="KC209" s="354" t="str">
        <f t="shared" si="173"/>
        <v/>
      </c>
      <c r="KD209" s="355" t="str">
        <f t="shared" si="174"/>
        <v/>
      </c>
      <c r="KE209" s="355" t="str">
        <f t="shared" si="175"/>
        <v/>
      </c>
      <c r="KF209" s="355" t="str">
        <f t="shared" si="176"/>
        <v>ga, </v>
      </c>
      <c r="KG209" s="355" t="str">
        <f t="shared" si="177"/>
        <v/>
      </c>
      <c r="KH209" s="355" t="str">
        <f t="shared" si="178"/>
        <v/>
      </c>
      <c r="KI209" s="355" t="str">
        <f t="shared" si="179"/>
        <v/>
      </c>
      <c r="KJ209" s="355" t="str">
        <f t="shared" si="180"/>
        <v/>
      </c>
      <c r="KK209" s="355" t="str">
        <f t="shared" si="181"/>
        <v/>
      </c>
      <c r="KL209" s="355" t="str">
        <f t="shared" si="182"/>
        <v/>
      </c>
      <c r="KM209" s="355" t="str">
        <f t="shared" si="183"/>
        <v/>
      </c>
      <c r="KN209" s="355" t="str">
        <f t="shared" si="184"/>
        <v/>
      </c>
      <c r="KO209" s="359"/>
      <c r="KP209" s="378"/>
      <c r="KQ209" s="379" t="s">
        <v>1442</v>
      </c>
      <c r="KR209" s="380" t="s">
        <v>1272</v>
      </c>
      <c r="KS209" s="381" t="str">
        <f>KQ209</f>
        <v>S-g-M-P-N-S</v>
      </c>
      <c r="KT209" s="382">
        <f t="shared" si="186"/>
        <v>5</v>
      </c>
      <c r="KU209" s="383">
        <f t="shared" si="187"/>
        <v>5</v>
      </c>
      <c r="KV209" s="381" t="str">
        <f t="shared" si="205"/>
        <v>S-N-D-P-M-g-R-S</v>
      </c>
      <c r="KW209" s="382">
        <f t="shared" si="189"/>
        <v>7</v>
      </c>
      <c r="KX209" s="384">
        <f t="shared" si="190"/>
        <v>7</v>
      </c>
      <c r="KY209" s="382">
        <f t="shared" ref="KY209:KZ209" si="634">KW209-KT209</f>
        <v>2</v>
      </c>
      <c r="KZ209" s="369">
        <f t="shared" si="634"/>
        <v>2</v>
      </c>
      <c r="LA209" s="385" t="str">
        <f t="shared" si="192"/>
        <v>-</v>
      </c>
      <c r="LB209" s="340" t="str">
        <f>IFERROR(__xludf.DUMMYFUNCTION("JOIN("""",ArrayFormula(MID(KS209,LEN(KS209)-SEQUENCE(1,LEN(KS209))+1,1)))"),"S-N-P-M-g-S")</f>
        <v>S-N-P-M-g-S</v>
      </c>
      <c r="LC209" s="373" t="str">
        <f>IFERROR(__xludf.DUMMYFUNCTION("JOIN("""",ArrayFormula(MID(KV209,LEN(KV209)-SEQUENCE(1,LEN(KV209))+1,1)))"),"S-R-g-M-P-D-N-S")</f>
        <v>S-R-g-M-P-D-N-S</v>
      </c>
      <c r="LD209" s="373" t="str">
        <f t="shared" si="193"/>
        <v>SgMPNS</v>
      </c>
      <c r="LE209" s="339" t="str">
        <f t="shared" si="194"/>
        <v>SRgMPDNS</v>
      </c>
      <c r="LF209" s="386" t="str">
        <f>IFERROR(__xludf.DUMMYFUNCTION("SUBSTITUTE(SUBSTITUTE(CONCATENATE(JOIN("""",LH209:LT209)),""1"",""""),""2"","""")"),"SRgMPDNS")</f>
        <v>SRgMPDNS</v>
      </c>
      <c r="LG209" s="369" t="str">
        <f t="shared" si="195"/>
        <v>✔</v>
      </c>
      <c r="LH209" s="387" t="str">
        <f>IFERROR(__xludf.DUMMYFUNCTION("IF(REGEXMATCH(LD209, ""S""), ""S"",IF(REGEXMATCH(LE209, ""S""), ""S"",""""))"),"S")</f>
        <v>S</v>
      </c>
      <c r="LI209" s="299" t="str">
        <f>IFERROR(__xludf.DUMMYFUNCTION("IF(REGEXMATCH(LD209, ""r""), ""r1"",IF(REGEXMATCH(LE209, ""r""), ""r2"",""""))"),"")</f>
        <v/>
      </c>
      <c r="LJ209" s="299" t="str">
        <f>IFERROR(__xludf.DUMMYFUNCTION("IF(REGEXMATCH(LD209, ""R""), ""R1"",IF(REGEXMATCH(LE209, ""R""), ""R2"",""""))"),"R2")</f>
        <v>R2</v>
      </c>
      <c r="LK209" s="299" t="str">
        <f>IFERROR(__xludf.DUMMYFUNCTION("IF(REGEXMATCH(LD209, ""g""), ""g1"",IF(REGEXMATCH(LE209, ""g""), ""g2"",""""))"),"g1")</f>
        <v>g1</v>
      </c>
      <c r="LL209" s="299" t="str">
        <f>IFERROR(__xludf.DUMMYFUNCTION("IF(REGEXMATCH(LD209, ""G""), ""G1"",IF(REGEXMATCH(LE209, ""G""), ""G2"",""""))"),"")</f>
        <v/>
      </c>
      <c r="LM209" s="299" t="str">
        <f>IFERROR(__xludf.DUMMYFUNCTION("IF(REGEXMATCH(LD209, ""m""), ""m1"",IF(REGEXMATCH(LE209, ""m""), ""m2"",""""))"),"")</f>
        <v/>
      </c>
      <c r="LN209" s="299" t="str">
        <f>IFERROR(__xludf.DUMMYFUNCTION("IF(REGEXMATCH(LD209, ""M""), ""M1"",IF(REGEXMATCH(LE209, ""M""), ""M2"",""""))"),"M1")</f>
        <v>M1</v>
      </c>
      <c r="LO209" s="299" t="str">
        <f>IFERROR(__xludf.DUMMYFUNCTION("IF(REGEXMATCH(LD209, ""P""), ""P1"",IF(REGEXMATCH(LE209, ""P""), ""P2"",""""))"),"P1")</f>
        <v>P1</v>
      </c>
      <c r="LP209" s="299" t="str">
        <f>IFERROR(__xludf.DUMMYFUNCTION("IF(REGEXMATCH(LD209, ""d""), ""d1"",IF(REGEXMATCH(LE209, ""d""), ""d2"",""""))"),"")</f>
        <v/>
      </c>
      <c r="LQ209" s="299" t="str">
        <f>IFERROR(__xludf.DUMMYFUNCTION("IF(REGEXMATCH(LD209, ""D""), ""D1"",IF(REGEXMATCH(LE209, ""D""), ""D2"",""""))"),"D2")</f>
        <v>D2</v>
      </c>
      <c r="LR209" s="299" t="str">
        <f>IFERROR(__xludf.DUMMYFUNCTION("IF(REGEXMATCH(LD209, ""n""), ""n1"",IF(REGEXMATCH(LE209, ""n""), ""n2"",""""))"),"")</f>
        <v/>
      </c>
      <c r="LS209" s="299" t="str">
        <f>IFERROR(__xludf.DUMMYFUNCTION("IF(REGEXMATCH(LD209, ""N""), ""N1"",IF(REGEXMATCH(LE209, ""N""), ""N2"",""""))"),"N1")</f>
        <v>N1</v>
      </c>
      <c r="LT209" s="388" t="str">
        <f>IFERROR(__xludf.DUMMYFUNCTION("IF(REGEXMATCH(LD209, ""S""), ""S"",IF(REGEXMATCH(LE209, ""S""), ""S"",""""))"),"S")</f>
        <v>S</v>
      </c>
      <c r="LU209" s="389">
        <f t="shared" si="196"/>
        <v>-3</v>
      </c>
      <c r="LV209" s="378"/>
      <c r="LW209" s="369"/>
      <c r="LX209" s="369"/>
    </row>
    <row r="210" ht="18.0" customHeight="1">
      <c r="A210" s="298" t="s">
        <v>1443</v>
      </c>
      <c r="B210" s="222" t="s">
        <v>897</v>
      </c>
      <c r="C210" s="233" t="str">
        <f t="shared" si="7"/>
        <v>SRgGmPdDnS</v>
      </c>
      <c r="D210" s="234" t="str">
        <f>IFERROR(__xludf.DUMMYFUNCTION("IF(REGEXMATCH(C210, ""S""), ""S"","""")"),"S")</f>
        <v>S</v>
      </c>
      <c r="E210" s="236" t="str">
        <f>IFERROR(__xludf.DUMMYFUNCTION("IF(REGEXMATCH(C210, ""r""), ""r"","""")"),"")</f>
        <v/>
      </c>
      <c r="F210" s="237" t="str">
        <f>IFERROR(__xludf.DUMMYFUNCTION("IF(REGEXMATCH(C210, ""R""), ""R"","""")"),"R")</f>
        <v>R</v>
      </c>
      <c r="G210" s="237" t="str">
        <f>IFERROR(__xludf.DUMMYFUNCTION("IF(REGEXMATCH(C210, ""g""), ""g"","""")"),"g")</f>
        <v>g</v>
      </c>
      <c r="H210" s="236" t="str">
        <f>IFERROR(__xludf.DUMMYFUNCTION("IF(REGEXMATCH(C210, ""G""), ""G"","""")"),"G")</f>
        <v>G</v>
      </c>
      <c r="I210" s="236" t="str">
        <f>IFERROR(__xludf.DUMMYFUNCTION("IF(REGEXMATCH(C210, ""m""), ""m"","""")"),"m")</f>
        <v>m</v>
      </c>
      <c r="J210" s="237" t="str">
        <f>IFERROR(__xludf.DUMMYFUNCTION("IF(REGEXMATCH(C210, ""M""), ""M"","""")"),"")</f>
        <v/>
      </c>
      <c r="K210" s="236" t="str">
        <f>IFERROR(__xludf.DUMMYFUNCTION("IF(REGEXMATCH(C210, ""P""), ""P"","""")"),"P")</f>
        <v>P</v>
      </c>
      <c r="L210" s="237" t="str">
        <f>IFERROR(__xludf.DUMMYFUNCTION("IF(REGEXMATCH(C210, ""d""), ""d"","""")"),"d")</f>
        <v>d</v>
      </c>
      <c r="M210" s="236" t="str">
        <f>IFERROR(__xludf.DUMMYFUNCTION("IF(REGEXMATCH(C210, ""D""), ""D"","""")"),"D")</f>
        <v>D</v>
      </c>
      <c r="N210" s="236" t="str">
        <f>IFERROR(__xludf.DUMMYFUNCTION("IF(REGEXMATCH(C210, ""n""), ""n"","""")"),"n")</f>
        <v>n</v>
      </c>
      <c r="O210" s="237" t="str">
        <f>IFERROR(__xludf.DUMMYFUNCTION("IF(REGEXMATCH(C210, ""N""), ""N"","""")"),"")</f>
        <v/>
      </c>
      <c r="P210" s="238" t="str">
        <f>IFERROR(__xludf.DUMMYFUNCTION("IF(REGEXMATCH(C210, ""S""), ""S"","""")"),"S")</f>
        <v>S</v>
      </c>
      <c r="Q210" s="239" t="str">
        <f>IFERROR(__xludf.DUMMYFUNCTION("SUBSTITUTE(CONCATENATE(JOIN(""-"",D210:J210)),""-"","""")"),"SRgGm")</f>
        <v>SRgGm</v>
      </c>
      <c r="R210" s="229" t="str">
        <f>IFERROR(__xludf.DUMMYFUNCTION("SUBSTITUTE(CONCATENATE(JOIN(""-"",K210:P210)),""-"","""")"),"PdDnS")</f>
        <v>PdDnS</v>
      </c>
      <c r="S210" s="282" t="str">
        <f t="shared" si="8"/>
        <v>S-R-G-M</v>
      </c>
      <c r="T210" s="282" t="str">
        <f t="shared" si="9"/>
        <v>P-D-N-S</v>
      </c>
      <c r="U210" s="237" t="str">
        <f>IFERROR(__xludf.DUMMYFUNCTION("SUBSTITUTE(JOIN(""-"",S210,T210),""--"",""-"")"),"S-R-G-M-P-D-N-S")</f>
        <v>S-R-G-M-P-D-N-S</v>
      </c>
      <c r="V210" s="309" t="str">
        <f t="shared" si="10"/>
        <v>RgGmdDn</v>
      </c>
      <c r="W210" s="244" t="str">
        <f>IFERROR(__xludf.DUMMYFUNCTION("IF(REGEXMATCH(C210, ""S""), ""0"","""")"),"0")</f>
        <v>0</v>
      </c>
      <c r="X210" s="245" t="str">
        <f>IFERROR(__xludf.DUMMYFUNCTION("IF(REGEXMATCH(C210, ""r""), ""1"","""")"),"")</f>
        <v/>
      </c>
      <c r="Y210" s="246" t="str">
        <f>IFERROR(__xludf.DUMMYFUNCTION("IF(REGEXMATCH(C210, ""R""), ""2"","""")"),"2")</f>
        <v>2</v>
      </c>
      <c r="Z210" s="246" t="str">
        <f>IFERROR(__xludf.DUMMYFUNCTION("IF(REGEXMATCH(C210, ""g""), ""3"","""")"),"3")</f>
        <v>3</v>
      </c>
      <c r="AA210" s="245" t="str">
        <f>IFERROR(__xludf.DUMMYFUNCTION("IF(REGEXMATCH(C210, ""G""), ""4"","""")"),"4")</f>
        <v>4</v>
      </c>
      <c r="AB210" s="245" t="str">
        <f>IFERROR(__xludf.DUMMYFUNCTION("IF(REGEXMATCH(C210, ""m""), ""5"","""")"),"5")</f>
        <v>5</v>
      </c>
      <c r="AC210" s="246" t="str">
        <f>IFERROR(__xludf.DUMMYFUNCTION("IF(REGEXMATCH(C210, ""M""), ""6"","""")"),"")</f>
        <v/>
      </c>
      <c r="AD210" s="245" t="str">
        <f>IFERROR(__xludf.DUMMYFUNCTION("IF(REGEXMATCH(C210, ""P""), ""7"","""")"),"7")</f>
        <v>7</v>
      </c>
      <c r="AE210" s="246" t="str">
        <f>IFERROR(__xludf.DUMMYFUNCTION("IF(REGEXMATCH(C210, ""d""), ""8"","""")"),"8")</f>
        <v>8</v>
      </c>
      <c r="AF210" s="245" t="str">
        <f>IFERROR(__xludf.DUMMYFUNCTION("IF(REGEXMATCH(C210, ""D""), ""9"","""")"),"9")</f>
        <v>9</v>
      </c>
      <c r="AG210" s="245" t="str">
        <f>IFERROR(__xludf.DUMMYFUNCTION("IF(REGEXMATCH(C210, ""n""), ""10"","""")"),"10")</f>
        <v>10</v>
      </c>
      <c r="AH210" s="246" t="str">
        <f>IFERROR(__xludf.DUMMYFUNCTION("IF(REGEXMATCH(C210, ""N""), ""11"","""")"),"")</f>
        <v/>
      </c>
      <c r="AI210" s="249" t="str">
        <f>IFERROR(__xludf.DUMMYFUNCTION("IF(REGEXMATCH(C210, ""S""), ""0"","""")"),"0")</f>
        <v>0</v>
      </c>
      <c r="AJ210" s="313" t="str">
        <f t="shared" si="11"/>
        <v>-</v>
      </c>
      <c r="AK210" s="313" t="str">
        <f t="shared" si="12"/>
        <v>-</v>
      </c>
      <c r="AL210" s="313" t="str">
        <f t="shared" si="13"/>
        <v>T</v>
      </c>
      <c r="AM210" s="313" t="str">
        <f t="shared" si="14"/>
        <v>T</v>
      </c>
      <c r="AN210" s="313" t="str">
        <f t="shared" si="15"/>
        <v>T</v>
      </c>
      <c r="AO210" s="314" t="str">
        <f t="shared" si="16"/>
        <v>-</v>
      </c>
      <c r="AP210" s="316">
        <f t="shared" si="17"/>
        <v>3</v>
      </c>
      <c r="AQ210" s="319" t="str">
        <f t="shared" si="18"/>
        <v>-</v>
      </c>
      <c r="AR210" s="320">
        <f t="shared" si="19"/>
        <v>0</v>
      </c>
      <c r="AS210" s="250" t="str">
        <f>IFERROR(__xludf.DUMMYFUNCTION("SUBSTITUTE(SUBSTITUTE(CONCATENATE(JOIN("""",FP210:GA210)),""|"",""x""),""-"",""o"")"),"xoxxxxoxxxxo")</f>
        <v>xoxxxxoxxxxo</v>
      </c>
      <c r="AT210" s="323" t="str">
        <f>IFERROR(__xludf.DUMMYFUNCTION("JOIN("""",AS210,AS210)"),"xoxxxxoxxxxoxoxxxxoxxxxo")</f>
        <v>xoxxxxoxxxxoxoxxxxoxxxxo</v>
      </c>
      <c r="AU210" s="256" t="str">
        <f>IFERROR(__xludf.DUMMYFUNCTION("JOIN("""",ArrayFormula(MID(AS210,LEN(AS210)-SEQUENCE(1,LEN(AS210))+1,1)))"),"oxxxxoxxxxox")</f>
        <v>oxxxxoxxxxox</v>
      </c>
      <c r="AV210" s="256" t="str">
        <f>IFERROR(__xludf.DUMMYFUNCTION("LEFT(CONCATENATE(""x"",JOIN("""",ArrayFormula(MID(AS210,LEN(AS210)-SEQUENCE(1,LEN(AS210))+1,1)))),12)"),"xoxxxxoxxxxo")</f>
        <v>xoxxxxoxxxxo</v>
      </c>
      <c r="AW210" s="327" t="str">
        <f>IFERROR(__xludf.DUMMYFUNCTION("JOIN("""",AU210,AU210)"),"oxxxxoxxxxoxoxxxxoxxxxox")</f>
        <v>oxxxxoxxxxoxoxxxxoxxxxox</v>
      </c>
      <c r="AX210" s="239" t="str">
        <f>IFERROR(__xludf.DUMMYFUNCTION("IF(REGEXMATCH(AW210,AS210),""✔"",""-"")"),"✔")</f>
        <v>✔</v>
      </c>
      <c r="AY210" s="330" t="str">
        <f t="shared" si="20"/>
        <v>✔</v>
      </c>
      <c r="AZ210" s="260" t="str">
        <f t="shared" si="21"/>
        <v>#REF!</v>
      </c>
      <c r="BA210" s="333" t="str">
        <f t="shared" si="22"/>
        <v>xoxxxxo</v>
      </c>
      <c r="BB210" s="334" t="str">
        <f t="shared" si="23"/>
        <v>xxxxox</v>
      </c>
      <c r="BC210" s="335" t="str">
        <f t="shared" si="236"/>
        <v>-</v>
      </c>
      <c r="BD210" s="336" t="str">
        <f t="shared" si="25"/>
        <v>Madhyami: 'xoxxxxo' + 'xxxxox'</v>
      </c>
      <c r="BE210" s="337">
        <f>IFERROR(__xludf.DUMMYFUNCTION("COUNTUNIQUE(FILTER(AT:AT,REGEXMATCH(AT:AT,AS210)))-1"),4.0)</f>
        <v>4</v>
      </c>
      <c r="BF210" s="261" t="str">
        <f>IFERROR(__xludf.DUMMYFUNCTION("IF(BI210=0,""(n/a)"",IF(BJ210=2,""(PAIR)"",IF(REGEXMATCH(AT210,""xoxoxxoxoxox""),""Bilawal"",IF(REGEXMATCH(AT210,""xoxoxooxoxoo""),""Bhupali"",IF(REGEXMATCH(AT210,""xoxoxxoxxoxo""),""Charukeshi"",IF(REGEXMATCH(AT210,""xoxoooxxoxxo""),""Kameshwari"",IF(REG"&amp;"EXMATCH(AT210,""xoxoxooxoxox""),""Shankara"",IF(REGEXMATCH(AT210,""xxooxoxxxoox""),""Basant"",IF(REGEXMATCH(AT210,""xoxoxxxxoxox""),""Bihag"",IF(REGEXMATCH(AT210,""xoxxxxoxoxxx""),""Pilu"",IF(REGEXMATCH(AT210,""xoxxoxoxxoox""),""Kirwani"",IF(REGEXMATCH(AT"&amp;"210,""xoxxoxoxoxxx""),""Mk.Malhar"",IF(REGEXMATCH(AT210,""xxooxxoxxoox""),""Bhairav"",IF(REGEXMATCH(AT210,""xxoxooxxxoox""),""Todi"",IF(REGEXMATCH(AT210,""xxooxoxooxox""),""Marwa"",IF(REGEXMATCH(AT210,""xxoooxoxxooo""),""Gunkali"",IF(REGEXMATCH(AT210,""xo"&amp;"xoxxoxxoox""),""Nat Bhairav"",IF(REGEXMATCH(AT210,""xoxxoooxoxoo""),""Shivranjani"",IF(REGEXMATCH(AT210,""xooxxxoxooxo""),""Jog"",IF(REGEXMATCH(AT210,""xxooxoxoxoox""),""Hemshri"",IF(REGEXMATCH(AT210,""xoooxooxoxxo""),""Kalavati"",IF(REGEXMATCH(AT210,""xx"&amp;"oxoxxoxoox""),""Kedar"",IF(REGEXMATCH(AT210,""xoxxxxoxooxx""),""Gara"",IF(REGEXMATCH(AT210,""xooxoxooxoox""),""Chandrakauns"",IF(REGEXMATCH(AT210,""xoxxxxoxxxox""),""Mand"",IF(REGEXMATCH(AT210,""xoxxxxoxoxox""),""Hanskinkini"",IF(REGEXMATCH(AT210,""xxooxx"&amp;"oxooxo""),""Lilavati"",IF(REGEXMATCH(AT210,""xooxoxoooxox""),""Rajeshwari"",IF(REGEXMATCH(AT210,""xoooxxoxoxxx""),""Khokar"",IF(REGEXMATCH(AT210,""xxooxoxxxxox""),""Maligoura"",""-""))))))))))))))))))))))))))))))"),"Pilu")</f>
        <v>Pilu</v>
      </c>
      <c r="BG210" s="239" t="str">
        <f t="shared" si="26"/>
        <v>#REF!</v>
      </c>
      <c r="BH210" s="239">
        <f>IFERROR(__xludf.DUMMYFUNCTION("COUNTUNIQUE(FE210:FO210)-1"),8.0)</f>
        <v>8</v>
      </c>
      <c r="BI210" s="239">
        <f>IFERROR(__xludf.DUMMYFUNCTION("COUNTUNIQUE(FILTER(AT:AT,REGEXMATCH(AT:AT,AS210)))-1"),4.0)</f>
        <v>4</v>
      </c>
      <c r="BJ210" s="239">
        <f>IFERROR(__xludf.DUMMYFUNCTION("COUNTA(FILTER(AT:AT,REGEXMATCH(AT:AT,AS210)))"),26.0)</f>
        <v>26</v>
      </c>
      <c r="BK210" s="341">
        <f>IFERROR(__xludf.DUMMYFUNCTION("COUNTA(FILTER(AT:AT,REGEXMATCH(AT:AT,AS210)))-AR210"),26.0)</f>
        <v>26</v>
      </c>
      <c r="BL210" s="276" t="str">
        <f>IFERROR(__xludf.DUMMYFUNCTION("IF(AS210=""oooooooooooo"",""-"",IF(REGEXMATCH(AT210,""xx""), ""Hemi."", ""Anhemi.""))"),"Hemi.")</f>
        <v>Hemi.</v>
      </c>
      <c r="BM210" s="282" t="str">
        <f>IFERROR(__xludf.DUMMYFUNCTION("IF(AS210=""oooooooooooo"",""-"",IF(REGEXMATCH(AT210,""xxx""), ""Cohem."", ""-""))"),"Cohem.")</f>
        <v>Cohem.</v>
      </c>
      <c r="BN210" s="282" t="str">
        <f>IFERROR(__xludf.DUMMYFUNCTION("IF(AS210=""oooooooooooo"",""-"",IF(REGEXMATCH(AT210,""xxxx""), ""Co-Co."", ""-""))"),"Co-Co.")</f>
        <v>Co-Co.</v>
      </c>
      <c r="BO210" s="342" t="str">
        <f>IFERROR(__xludf.DUMMYFUNCTION("IF(AS210=""oooooooooooo"",""-"",IF(REGEXMATCH(AT210,""xxxxx""), ""CCC."", ""-""))"),"-")</f>
        <v>-</v>
      </c>
      <c r="BP210" s="344" t="str">
        <f t="shared" si="27"/>
        <v>-</v>
      </c>
      <c r="BQ210" s="282" t="str">
        <f>IFERROR(__xludf.DUMMYFUNCTION("IF(REGEXMATCH(JOIN(""-"",EU210:FD210),""TRUE""),""✔"",""-"")"),"-")</f>
        <v>-</v>
      </c>
      <c r="BR210" s="225">
        <f t="shared" si="28"/>
        <v>0</v>
      </c>
      <c r="BS210" s="345" t="str">
        <f>IFERROR(__xludf.DUMMYFUNCTION("SUBSTITUTE(SUBSTITUTE(SUBSTITUTE(SUBSTITUTE(CONCATENATE(JOIN(""-"",GC210:GO210)),""--"",""-""),""--"",""-""),""--"",""-""),""--"",""-"")"),"1-2-b3-3-4-5-b6-6-b7-8")</f>
        <v>1-2-b3-3-4-5-b6-6-b7-8</v>
      </c>
      <c r="BT210" s="299" t="str">
        <f>IFERROR(__xludf.DUMMYFUNCTION("SUBSTITUTE(SUBSTITUTE(SUBSTITUTE(SUBSTITUTE(CONCATENATE(JOIN(""-"",GP210:HB210)),""--"",""-""),""--"",""-""),""--"",""-""),""--"",""-"")"),"S-R2-G2-G3-M1-P-D1-D2-N2-S")</f>
        <v>S-R2-G2-G3-M1-P-D1-D2-N2-S</v>
      </c>
      <c r="BU210" s="348" t="str">
        <f t="shared" si="29"/>
        <v>C-D-Eb-E-F-G-Ab-A-Bb-C</v>
      </c>
      <c r="BV210" s="349" t="str">
        <f t="shared" si="30"/>
        <v>SrMNS</v>
      </c>
      <c r="BW210" s="350">
        <f t="shared" si="31"/>
        <v>0</v>
      </c>
      <c r="BX210" s="351">
        <f t="shared" si="32"/>
        <v>2</v>
      </c>
      <c r="BY210" s="392"/>
      <c r="BZ210" s="309" t="str">
        <f>IFERROR(__xludf.DUMMYFUNCTION("IF(REGEXMATCH(C210, ""S""), ""x"",""x"")"),"x")</f>
        <v>x</v>
      </c>
      <c r="CA210" s="245" t="str">
        <f>IFERROR(__xludf.DUMMYFUNCTION("IF(REGEXMATCH(C210, ""r""), ""o"",""x"")"),"x")</f>
        <v>x</v>
      </c>
      <c r="CB210" s="246" t="str">
        <f>IFERROR(__xludf.DUMMYFUNCTION("IF(REGEXMATCH(C210, ""R""), ""o"",""x"")"),"o")</f>
        <v>o</v>
      </c>
      <c r="CC210" s="246" t="str">
        <f>IFERROR(__xludf.DUMMYFUNCTION("IF(REGEXMATCH(C210, ""g""), ""o"",""x"")"),"o")</f>
        <v>o</v>
      </c>
      <c r="CD210" s="245" t="str">
        <f>IFERROR(__xludf.DUMMYFUNCTION("IF(REGEXMATCH(C210, ""G""), ""o"",""x"")"),"o")</f>
        <v>o</v>
      </c>
      <c r="CE210" s="245" t="str">
        <f>IFERROR(__xludf.DUMMYFUNCTION("IF(REGEXMATCH(C210, ""m""), ""o"",""x"")"),"o")</f>
        <v>o</v>
      </c>
      <c r="CF210" s="246" t="str">
        <f>IFERROR(__xludf.DUMMYFUNCTION("IF(REGEXMATCH(C210, ""M""), ""o"",""x"")"),"x")</f>
        <v>x</v>
      </c>
      <c r="CG210" s="245" t="str">
        <f>IFERROR(__xludf.DUMMYFUNCTION("IF(REGEXMATCH(C210, ""P""), ""o"",""x"")"),"o")</f>
        <v>o</v>
      </c>
      <c r="CH210" s="246" t="str">
        <f>IFERROR(__xludf.DUMMYFUNCTION("IF(REGEXMATCH(C210, ""d""), ""o"",""x"")"),"o")</f>
        <v>o</v>
      </c>
      <c r="CI210" s="245" t="str">
        <f>IFERROR(__xludf.DUMMYFUNCTION("IF(REGEXMATCH(C210, ""D""), ""o"",""x"")"),"o")</f>
        <v>o</v>
      </c>
      <c r="CJ210" s="245" t="str">
        <f>IFERROR(__xludf.DUMMYFUNCTION("IF(REGEXMATCH(C210, ""n""), ""o"",""x"")"),"o")</f>
        <v>o</v>
      </c>
      <c r="CK210" s="245" t="str">
        <f>IFERROR(__xludf.DUMMYFUNCTION("IF(REGEXMATCH(C210, ""N""), ""o"",""x"")"),"x")</f>
        <v>x</v>
      </c>
      <c r="CL210" s="356" t="str">
        <f>IFERROR(__xludf.DUMMYFUNCTION("IF(REGEXMATCH(C210, ""S""), ""x"",""x"")"),"x")</f>
        <v>x</v>
      </c>
      <c r="CM210" s="357" t="str">
        <f t="shared" si="33"/>
        <v>xxooooxoooox</v>
      </c>
      <c r="CN210" s="358">
        <f t="shared" si="34"/>
        <v>0</v>
      </c>
      <c r="CO210" s="246" t="str">
        <f>IFERROR(__xludf.DUMMYFUNCTION("IF(REGEXMATCH($C210, ""S""), ""S"",""S"")"),"S")</f>
        <v>S</v>
      </c>
      <c r="CP210" s="246" t="str">
        <f>IFERROR(__xludf.DUMMYFUNCTION("IF(REGEXMATCH($C210, ""r""), """",""r"")"),"r")</f>
        <v>r</v>
      </c>
      <c r="CQ210" s="246" t="str">
        <f>IFERROR(__xludf.DUMMYFUNCTION("IF(REGEXMATCH($C210, ""R""), """",""R"")"),"")</f>
        <v/>
      </c>
      <c r="CR210" s="246" t="str">
        <f>IFERROR(__xludf.DUMMYFUNCTION("IF(REGEXMATCH($C210, ""g""), """",""g"")"),"")</f>
        <v/>
      </c>
      <c r="CS210" s="246" t="str">
        <f>IFERROR(__xludf.DUMMYFUNCTION("IF(REGEXMATCH($C210, ""G""), """",""G"")"),"")</f>
        <v/>
      </c>
      <c r="CT210" s="246" t="str">
        <f>IFERROR(__xludf.DUMMYFUNCTION("IF(REGEXMATCH($C210, ""m""), """",""m"")"),"")</f>
        <v/>
      </c>
      <c r="CU210" s="246" t="str">
        <f>IFERROR(__xludf.DUMMYFUNCTION("IF(REGEXMATCH($C210, ""M""), """",""M"")"),"M")</f>
        <v>M</v>
      </c>
      <c r="CV210" s="246" t="str">
        <f>IFERROR(__xludf.DUMMYFUNCTION("IF(REGEXMATCH($C210, ""P""), """",""P"")"),"")</f>
        <v/>
      </c>
      <c r="CW210" s="246" t="str">
        <f>IFERROR(__xludf.DUMMYFUNCTION("IF(REGEXMATCH($C210, ""d""), """",""d"")"),"")</f>
        <v/>
      </c>
      <c r="CX210" s="246" t="str">
        <f>IFERROR(__xludf.DUMMYFUNCTION("IF(REGEXMATCH($C210, ""D""), """",""D"")"),"")</f>
        <v/>
      </c>
      <c r="CY210" s="246" t="str">
        <f>IFERROR(__xludf.DUMMYFUNCTION("IF(REGEXMATCH($C210, ""n""), """",""n"")"),"")</f>
        <v/>
      </c>
      <c r="CZ210" s="246" t="str">
        <f>IFERROR(__xludf.DUMMYFUNCTION("IF(REGEXMATCH($C210, ""N""), """",""N"")"),"N")</f>
        <v>N</v>
      </c>
      <c r="DA210" s="246" t="str">
        <f>IFERROR(__xludf.DUMMYFUNCTION("IF(REGEXMATCH($C210, ""S""), ""S"",""S"")"),"S")</f>
        <v>S</v>
      </c>
      <c r="DB210" s="362" t="str">
        <f>IFERROR(__xludf.DUMMYFUNCTION("JOIN("""",CO210:DA210,"""","""")"),"SrMNS")</f>
        <v>SrMNS</v>
      </c>
      <c r="DC210" s="363"/>
      <c r="DD210" s="301" t="str">
        <f t="shared" si="35"/>
        <v>#REF!</v>
      </c>
      <c r="DE210" s="302" t="str">
        <f t="shared" si="36"/>
        <v>#REF!</v>
      </c>
      <c r="DF210" s="301" t="str">
        <f t="shared" ref="DF210:DG210" si="635">SUBSTITUTE(S210,"-","")</f>
        <v>SRGM</v>
      </c>
      <c r="DG210" s="301" t="str">
        <f t="shared" si="635"/>
        <v>PDNS</v>
      </c>
      <c r="DH210" s="302" t="str">
        <f t="shared" si="38"/>
        <v>Pilu</v>
      </c>
      <c r="DI210" s="301" t="str">
        <f t="shared" si="39"/>
        <v>Hemi.</v>
      </c>
      <c r="DJ210" s="364" t="str">
        <f t="shared" si="40"/>
        <v>Co-Co.</v>
      </c>
      <c r="DK210" s="306" t="str">
        <f t="shared" si="41"/>
        <v>-</v>
      </c>
      <c r="DL210" s="366" t="str">
        <f t="shared" si="42"/>
        <v>-</v>
      </c>
      <c r="DM210" s="308" t="str">
        <f t="shared" si="43"/>
        <v>✔</v>
      </c>
      <c r="DN210" s="306" t="str">
        <f t="shared" si="44"/>
        <v>-</v>
      </c>
      <c r="DO210" s="306" t="str">
        <f t="shared" si="45"/>
        <v>-</v>
      </c>
      <c r="DP210" s="367" t="str">
        <f t="shared" si="46"/>
        <v>-</v>
      </c>
      <c r="DQ210" s="310" t="str">
        <f t="shared" si="47"/>
        <v>-</v>
      </c>
      <c r="DR210" s="310" t="str">
        <f t="shared" si="48"/>
        <v>✔</v>
      </c>
      <c r="DS210" s="310" t="str">
        <f t="shared" si="49"/>
        <v>-</v>
      </c>
      <c r="DT210" s="310" t="str">
        <f t="shared" si="50"/>
        <v>✔</v>
      </c>
      <c r="DU210" s="370" t="str">
        <f t="shared" si="51"/>
        <v>-</v>
      </c>
      <c r="DV210" s="306" t="str">
        <f t="shared" si="52"/>
        <v>-</v>
      </c>
      <c r="DW210" s="306" t="str">
        <f t="shared" si="53"/>
        <v>-</v>
      </c>
      <c r="DX210" s="306" t="str">
        <f t="shared" si="54"/>
        <v>-</v>
      </c>
      <c r="DY210" s="306" t="str">
        <f t="shared" si="55"/>
        <v>-</v>
      </c>
      <c r="DZ210" s="306" t="str">
        <f t="shared" si="56"/>
        <v>-</v>
      </c>
      <c r="EA210" s="367" t="str">
        <f t="shared" si="57"/>
        <v>-</v>
      </c>
      <c r="EB210" s="310" t="str">
        <f>IFERROR(__xludf.DUMMYFUNCTION("IF(REGEXMATCH(AW210,AS210),""✔"",""-"")"),"✔")</f>
        <v>✔</v>
      </c>
      <c r="EC210" s="310" t="str">
        <f t="shared" si="58"/>
        <v>#REF!</v>
      </c>
      <c r="ED210" s="370" t="str">
        <f t="shared" si="59"/>
        <v>✔</v>
      </c>
      <c r="EE210" s="340" t="str">
        <f t="shared" si="60"/>
        <v>S-R-gG-m-P-dD-n-S</v>
      </c>
      <c r="EF210" s="371" t="str">
        <f>IFERROR(__xludf.DUMMYFUNCTION("CONCATENATE(JOIN("""",HC210:HO210))"),"SRgGmPdDnS")</f>
        <v>SRgGmPdDnS</v>
      </c>
      <c r="EG210" s="372">
        <f t="shared" si="61"/>
        <v>1</v>
      </c>
      <c r="EH210" s="373" t="str">
        <f>IFERROR(__xludf.DUMMYFUNCTION("CONCATENATE(JOIN("""",JC210:JO210))"),"Ga, ")</f>
        <v>Ga, </v>
      </c>
      <c r="EI210" s="322">
        <f t="shared" si="62"/>
        <v>0</v>
      </c>
      <c r="EJ210" s="374" t="str">
        <f>IFERROR(__xludf.DUMMYFUNCTION("CONCATENATE(JOIN("""",KC210:KO210))"),"")</f>
        <v/>
      </c>
      <c r="EK210" s="325" t="str">
        <f t="shared" si="63"/>
        <v>S-R2-G2-G3-M1-P-D1-D2-N2-S</v>
      </c>
      <c r="EL210" s="326" t="str">
        <f t="shared" si="64"/>
        <v>1-2-b3-3-4-5-b6-6-b7-8</v>
      </c>
      <c r="EM210" s="318" t="str">
        <f t="shared" si="65"/>
        <v>#REF!</v>
      </c>
      <c r="EN210" s="328" t="str">
        <f>IFERROR(__xludf.DUMMYFUNCTION("SUBSTITUTE(SUBSTITUTE(SUBSTITUTE(SUBSTITUTE(CONCATENATE(JOIN("" "",HP210:IB210)),""  "","" ""),""  "","" ""),""  "","" ""),""  "","" "")"),"o • o o o o • o o o o • o")</f>
        <v>o • o o o o • o o o o • o</v>
      </c>
      <c r="EO210" s="368" t="str">
        <f t="shared" si="66"/>
        <v>-</v>
      </c>
      <c r="EP210" s="339" t="str">
        <f t="shared" si="67"/>
        <v>-</v>
      </c>
      <c r="EQ210" s="339" t="str">
        <f t="shared" si="68"/>
        <v>Sa-Pa</v>
      </c>
      <c r="ER210" s="339" t="str">
        <f t="shared" si="69"/>
        <v>-</v>
      </c>
      <c r="ES210" s="340" t="str">
        <f t="shared" si="70"/>
        <v>-</v>
      </c>
      <c r="ET210" s="363"/>
      <c r="EU210" s="376" t="b">
        <f>IFERROR(__xludf.DUMMYFUNCTION("arrayformula(sum(--REGEXMATCH(""SRGMPDNS"",split(REGEXREPLACE(C210,""(.)"",""$1~""),""~""))))=len(C210)
"),FALSE)</f>
        <v>0</v>
      </c>
      <c r="EV210" s="290" t="b">
        <f>IFERROR(__xludf.DUMMYFUNCTION("arrayformula(sum(--REGEXMATCH(""SRGmPDNS"",split(REGEXREPLACE(C210,""(.)"",""$1~""),""~""))))=len(C210)"),FALSE)</f>
        <v>0</v>
      </c>
      <c r="EW210" s="290" t="b">
        <f>IFERROR(__xludf.DUMMYFUNCTION("arrayformula(sum(--REGEXMATCH(""SRGmPDnS"",split(REGEXREPLACE(C210,""(.)"",""$1~""),""~""))))=len(C210)"),FALSE)</f>
        <v>0</v>
      </c>
      <c r="EX210" s="290" t="b">
        <f>IFERROR(__xludf.DUMMYFUNCTION("arrayformula(sum(--REGEXMATCH(""SRgmPDnS"",split(REGEXREPLACE(C210,""(.)"",""$1~""),""~""))))=len(C210)"),FALSE)</f>
        <v>0</v>
      </c>
      <c r="EY210" s="290" t="b">
        <f>IFERROR(__xludf.DUMMYFUNCTION("arrayformula(sum(--REGEXMATCH(""SRgmPdnS"",split(REGEXREPLACE(C210,""(.)"",""$1~""),""~""))))=len(C210)"),FALSE)</f>
        <v>0</v>
      </c>
      <c r="EZ210" s="290" t="b">
        <f>IFERROR(__xludf.DUMMYFUNCTION("arrayformula(sum(--REGEXMATCH(""SrgmPdnS"",split(REGEXREPLACE(C210,""(.)"",""$1~""),""~""))))=len(C210)"),FALSE)</f>
        <v>0</v>
      </c>
      <c r="FA210" s="290" t="b">
        <f>IFERROR(__xludf.DUMMYFUNCTION("arrayformula(sum(--REGEXMATCH(""SrGmPdNS"",split(REGEXREPLACE(C210,""(.)"",""$1~""),""~""))))=len(C210)"),FALSE)</f>
        <v>0</v>
      </c>
      <c r="FB210" s="290" t="b">
        <f>IFERROR(__xludf.DUMMYFUNCTION("arrayformula(sum(--REGEXMATCH(""SrGMPDNS"",split(REGEXREPLACE(C210,""(.)"",""$1~""),""~""))))=len(C210)"),FALSE)</f>
        <v>0</v>
      </c>
      <c r="FC210" s="290" t="b">
        <f>IFERROR(__xludf.DUMMYFUNCTION("arrayformula(sum(--REGEXMATCH(""SrGMPdNS"",split(REGEXREPLACE(C210,""(.)"",""$1~""),""~""))))=len(C210)"),FALSE)</f>
        <v>0</v>
      </c>
      <c r="FD210" s="377" t="b">
        <f>IFERROR(__xludf.DUMMYFUNCTION("arrayformula(sum(--REGEXMATCH(""SrgMPdNS"",split(REGEXREPLACE(C210,""(.)"",""$1~""),""~""))))=len(C210)"),FALSE)</f>
        <v>0</v>
      </c>
      <c r="FE210" s="269" t="str">
        <f t="shared" si="71"/>
        <v>-</v>
      </c>
      <c r="FF210" s="269" t="str">
        <f t="shared" si="72"/>
        <v>xxxxoxxxxox</v>
      </c>
      <c r="FG210" s="271" t="str">
        <f t="shared" si="73"/>
        <v>xxxoxxxxoxo</v>
      </c>
      <c r="FH210" s="269" t="str">
        <f t="shared" si="74"/>
        <v>xxoxxxxoxox</v>
      </c>
      <c r="FI210" s="271" t="str">
        <f t="shared" si="75"/>
        <v>xoxxxxoxoxx</v>
      </c>
      <c r="FJ210" s="271" t="str">
        <f t="shared" si="76"/>
        <v>-</v>
      </c>
      <c r="FK210" s="271" t="str">
        <f t="shared" si="77"/>
        <v>xxxxoxoxxxx</v>
      </c>
      <c r="FL210" s="271" t="str">
        <f t="shared" si="78"/>
        <v>xxxoxoxxxxo</v>
      </c>
      <c r="FM210" s="271" t="str">
        <f t="shared" si="79"/>
        <v>xxoxoxxxxox</v>
      </c>
      <c r="FN210" s="271" t="str">
        <f t="shared" si="80"/>
        <v>xoxoxxxxoxx</v>
      </c>
      <c r="FO210" s="274" t="str">
        <f t="shared" si="81"/>
        <v>-</v>
      </c>
      <c r="FP210" s="234" t="str">
        <f t="shared" si="82"/>
        <v>|</v>
      </c>
      <c r="FQ210" s="236" t="str">
        <f t="shared" si="83"/>
        <v>-</v>
      </c>
      <c r="FR210" s="237" t="str">
        <f t="shared" si="84"/>
        <v>|</v>
      </c>
      <c r="FS210" s="236" t="str">
        <f t="shared" si="85"/>
        <v>|</v>
      </c>
      <c r="FT210" s="237" t="str">
        <f t="shared" si="86"/>
        <v>|</v>
      </c>
      <c r="FU210" s="236" t="str">
        <f t="shared" si="87"/>
        <v>|</v>
      </c>
      <c r="FV210" s="237" t="str">
        <f t="shared" si="88"/>
        <v>-</v>
      </c>
      <c r="FW210" s="236" t="str">
        <f t="shared" si="89"/>
        <v>|</v>
      </c>
      <c r="FX210" s="237" t="str">
        <f t="shared" si="90"/>
        <v>|</v>
      </c>
      <c r="FY210" s="236" t="str">
        <f t="shared" si="91"/>
        <v>|</v>
      </c>
      <c r="FZ210" s="237" t="str">
        <f t="shared" si="92"/>
        <v>|</v>
      </c>
      <c r="GA210" s="236" t="str">
        <f t="shared" si="93"/>
        <v>-</v>
      </c>
      <c r="GB210" s="238" t="str">
        <f t="shared" si="94"/>
        <v>|</v>
      </c>
      <c r="GC210" s="244" t="str">
        <f>IFERROR(__xludf.DUMMYFUNCTION("IF(REGEXMATCH(C210, ""S""), ""1"","""")"),"1")</f>
        <v>1</v>
      </c>
      <c r="GD210" s="245" t="str">
        <f>IFERROR(__xludf.DUMMYFUNCTION("IF(REGEXMATCH(C210, ""r""), ""b2"","""")"),"")</f>
        <v/>
      </c>
      <c r="GE210" s="246" t="str">
        <f>IFERROR(__xludf.DUMMYFUNCTION("IF(REGEXMATCH(C210, ""R""), ""2"","""")"),"2")</f>
        <v>2</v>
      </c>
      <c r="GF210" s="246" t="str">
        <f>IFERROR(__xludf.DUMMYFUNCTION("IF(REGEXMATCH(C210, ""g""), ""b3"","""")"),"b3")</f>
        <v>b3</v>
      </c>
      <c r="GG210" s="245" t="str">
        <f>IFERROR(__xludf.DUMMYFUNCTION("IF(REGEXMATCH(C210, ""G""), ""3"","""")"),"3")</f>
        <v>3</v>
      </c>
      <c r="GH210" s="245" t="str">
        <f>IFERROR(__xludf.DUMMYFUNCTION("IF(REGEXMATCH(C210, ""m""), ""4"","""")"),"4")</f>
        <v>4</v>
      </c>
      <c r="GI210" s="246" t="str">
        <f>IFERROR(__xludf.DUMMYFUNCTION("IF(REGEXMATCH(C210, ""M""), ""#4"","""")"),"")</f>
        <v/>
      </c>
      <c r="GJ210" s="245" t="str">
        <f>IFERROR(__xludf.DUMMYFUNCTION("IF(REGEXMATCH(C210, ""P""), ""5"","""")"),"5")</f>
        <v>5</v>
      </c>
      <c r="GK210" s="246" t="str">
        <f>IFERROR(__xludf.DUMMYFUNCTION("IF(REGEXMATCH(C210, ""d""), ""b6"","""")"),"b6")</f>
        <v>b6</v>
      </c>
      <c r="GL210" s="245" t="str">
        <f>IFERROR(__xludf.DUMMYFUNCTION("IF(REGEXMATCH(C210, ""D""), ""6"","""")"),"6")</f>
        <v>6</v>
      </c>
      <c r="GM210" s="245" t="str">
        <f>IFERROR(__xludf.DUMMYFUNCTION("IF(REGEXMATCH(C210, ""n""), ""b7"","""")"),"b7")</f>
        <v>b7</v>
      </c>
      <c r="GN210" s="246" t="str">
        <f>IFERROR(__xludf.DUMMYFUNCTION("IF(REGEXMATCH(C210, ""N""), ""7"","""")"),"")</f>
        <v/>
      </c>
      <c r="GO210" s="249" t="str">
        <f>IFERROR(__xludf.DUMMYFUNCTION("IF(REGEXMATCH(C210, ""S""), ""8"","""")"),"8")</f>
        <v>8</v>
      </c>
      <c r="GP210" s="244" t="str">
        <f>IFERROR(__xludf.DUMMYFUNCTION("IF(REGEXMATCH(C210, ""S""), ""S"","""")"),"S")</f>
        <v>S</v>
      </c>
      <c r="GQ210" s="294" t="str">
        <f>IFERROR(__xludf.DUMMYFUNCTION("IF(REGEXMATCH(C210, ""r""), ""R1"","""")"),"")</f>
        <v/>
      </c>
      <c r="GR210" s="295" t="str">
        <f>IFERROR(__xludf.DUMMYFUNCTION("IF(REGEXMATCH(C210, ""R""), ""R2"","""")"),"R2")</f>
        <v>R2</v>
      </c>
      <c r="GS210" s="295" t="str">
        <f>IFERROR(__xludf.DUMMYFUNCTION("IF(REGEXMATCH(C210, ""g""), ""G2"","""")"),"G2")</f>
        <v>G2</v>
      </c>
      <c r="GT210" s="294" t="str">
        <f>IFERROR(__xludf.DUMMYFUNCTION("IF(REGEXMATCH(C210, ""G""), ""G3"","""")"),"G3")</f>
        <v>G3</v>
      </c>
      <c r="GU210" s="294" t="str">
        <f>IFERROR(__xludf.DUMMYFUNCTION("IF(REGEXMATCH(C210, ""m""), ""M1"","""")"),"M1")</f>
        <v>M1</v>
      </c>
      <c r="GV210" s="295" t="str">
        <f>IFERROR(__xludf.DUMMYFUNCTION("IF(REGEXMATCH(C210, ""M""), ""M2"","""")"),"")</f>
        <v/>
      </c>
      <c r="GW210" s="294" t="str">
        <f>IFERROR(__xludf.DUMMYFUNCTION("IF(REGEXMATCH(C210, ""P""), ""P"","""")"),"P")</f>
        <v>P</v>
      </c>
      <c r="GX210" s="295" t="str">
        <f>IFERROR(__xludf.DUMMYFUNCTION("IF(REGEXMATCH(C210, ""d""), ""D1"","""")"),"D1")</f>
        <v>D1</v>
      </c>
      <c r="GY210" s="294" t="str">
        <f>IFERROR(__xludf.DUMMYFUNCTION("IF(REGEXMATCH(C210, ""D""), ""D2"","""")"),"D2")</f>
        <v>D2</v>
      </c>
      <c r="GZ210" s="294" t="str">
        <f>IFERROR(__xludf.DUMMYFUNCTION("IF(REGEXMATCH(C210, ""n""), ""N2"","""")"),"N2")</f>
        <v>N2</v>
      </c>
      <c r="HA210" s="295" t="str">
        <f>IFERROR(__xludf.DUMMYFUNCTION("IF(REGEXMATCH(C210, ""N""), ""N3"","""")"),"")</f>
        <v/>
      </c>
      <c r="HB210" s="249" t="str">
        <f>IFERROR(__xludf.DUMMYFUNCTION("IF(REGEXMATCH(C210, ""S""), ""S"","""")"),"S")</f>
        <v>S</v>
      </c>
      <c r="HC210" s="331" t="str">
        <f t="shared" si="95"/>
        <v>S</v>
      </c>
      <c r="HD210" s="332" t="str">
        <f t="shared" si="96"/>
        <v/>
      </c>
      <c r="HE210" s="332" t="str">
        <f t="shared" si="97"/>
        <v>R</v>
      </c>
      <c r="HF210" s="332" t="str">
        <f t="shared" si="98"/>
        <v>g</v>
      </c>
      <c r="HG210" s="332" t="str">
        <f t="shared" si="99"/>
        <v>G</v>
      </c>
      <c r="HH210" s="332" t="str">
        <f t="shared" si="100"/>
        <v>m</v>
      </c>
      <c r="HI210" s="332" t="str">
        <f t="shared" si="101"/>
        <v/>
      </c>
      <c r="HJ210" s="332" t="str">
        <f t="shared" si="102"/>
        <v>P</v>
      </c>
      <c r="HK210" s="332" t="str">
        <f t="shared" si="103"/>
        <v>d</v>
      </c>
      <c r="HL210" s="332" t="str">
        <f t="shared" si="104"/>
        <v>D</v>
      </c>
      <c r="HM210" s="332" t="str">
        <f t="shared" si="105"/>
        <v>n</v>
      </c>
      <c r="HN210" s="332" t="str">
        <f t="shared" si="106"/>
        <v/>
      </c>
      <c r="HO210" s="343" t="str">
        <f t="shared" si="107"/>
        <v>S</v>
      </c>
      <c r="HP210" s="331" t="str">
        <f t="shared" si="108"/>
        <v>o</v>
      </c>
      <c r="HQ210" s="332" t="str">
        <f t="shared" si="109"/>
        <v>•</v>
      </c>
      <c r="HR210" s="332" t="str">
        <f t="shared" si="110"/>
        <v>o</v>
      </c>
      <c r="HS210" s="332" t="str">
        <f t="shared" si="111"/>
        <v>o</v>
      </c>
      <c r="HT210" s="332" t="str">
        <f t="shared" si="112"/>
        <v>o</v>
      </c>
      <c r="HU210" s="332" t="str">
        <f t="shared" si="113"/>
        <v>o</v>
      </c>
      <c r="HV210" s="332" t="str">
        <f t="shared" si="114"/>
        <v>•</v>
      </c>
      <c r="HW210" s="332" t="str">
        <f t="shared" si="115"/>
        <v>o</v>
      </c>
      <c r="HX210" s="332" t="str">
        <f t="shared" si="116"/>
        <v>o</v>
      </c>
      <c r="HY210" s="332" t="str">
        <f t="shared" si="117"/>
        <v>o</v>
      </c>
      <c r="HZ210" s="332" t="str">
        <f t="shared" si="118"/>
        <v>o</v>
      </c>
      <c r="IA210" s="332" t="str">
        <f t="shared" si="119"/>
        <v>•</v>
      </c>
      <c r="IB210" s="338" t="str">
        <f t="shared" si="120"/>
        <v>o</v>
      </c>
      <c r="IC210" s="331" t="str">
        <f t="shared" si="121"/>
        <v>•</v>
      </c>
      <c r="ID210" s="332" t="str">
        <f t="shared" si="122"/>
        <v>o</v>
      </c>
      <c r="IE210" s="332" t="str">
        <f t="shared" si="123"/>
        <v>•</v>
      </c>
      <c r="IF210" s="332" t="str">
        <f t="shared" si="124"/>
        <v>•</v>
      </c>
      <c r="IG210" s="332" t="str">
        <f t="shared" si="125"/>
        <v>•</v>
      </c>
      <c r="IH210" s="332" t="str">
        <f t="shared" si="126"/>
        <v>•</v>
      </c>
      <c r="II210" s="332" t="str">
        <f t="shared" si="127"/>
        <v>o</v>
      </c>
      <c r="IJ210" s="332" t="str">
        <f t="shared" si="128"/>
        <v>•</v>
      </c>
      <c r="IK210" s="332" t="str">
        <f t="shared" si="129"/>
        <v>•</v>
      </c>
      <c r="IL210" s="332" t="str">
        <f t="shared" si="130"/>
        <v>•</v>
      </c>
      <c r="IM210" s="332" t="str">
        <f t="shared" si="131"/>
        <v>•</v>
      </c>
      <c r="IN210" s="332" t="str">
        <f t="shared" si="132"/>
        <v>o</v>
      </c>
      <c r="IO210" s="338" t="str">
        <f t="shared" si="133"/>
        <v>•</v>
      </c>
      <c r="IP210" s="346" t="b">
        <f t="shared" si="134"/>
        <v>0</v>
      </c>
      <c r="IQ210" s="347" t="b">
        <f t="shared" si="135"/>
        <v>0</v>
      </c>
      <c r="IR210" s="347" t="b">
        <f t="shared" si="136"/>
        <v>0</v>
      </c>
      <c r="IS210" s="347" t="b">
        <f t="shared" si="137"/>
        <v>0</v>
      </c>
      <c r="IT210" s="347" t="b">
        <f t="shared" si="138"/>
        <v>1</v>
      </c>
      <c r="IU210" s="347" t="b">
        <f t="shared" si="139"/>
        <v>0</v>
      </c>
      <c r="IV210" s="347" t="b">
        <f t="shared" si="140"/>
        <v>0</v>
      </c>
      <c r="IW210" s="347" t="b">
        <f t="shared" si="141"/>
        <v>0</v>
      </c>
      <c r="IX210" s="347" t="b">
        <f t="shared" si="142"/>
        <v>0</v>
      </c>
      <c r="IY210" s="347" t="b">
        <f t="shared" si="143"/>
        <v>0</v>
      </c>
      <c r="IZ210" s="347" t="b">
        <f t="shared" si="144"/>
        <v>0</v>
      </c>
      <c r="JA210" s="347" t="b">
        <f t="shared" si="145"/>
        <v>0</v>
      </c>
      <c r="JB210" s="353" t="b">
        <f t="shared" si="146"/>
        <v>0</v>
      </c>
      <c r="JC210" s="354" t="str">
        <f t="shared" si="147"/>
        <v/>
      </c>
      <c r="JD210" s="355" t="str">
        <f t="shared" si="148"/>
        <v/>
      </c>
      <c r="JE210" s="355" t="str">
        <f t="shared" si="149"/>
        <v/>
      </c>
      <c r="JF210" s="355" t="str">
        <f t="shared" si="150"/>
        <v/>
      </c>
      <c r="JG210" s="355" t="str">
        <f t="shared" si="151"/>
        <v>Ga, </v>
      </c>
      <c r="JH210" s="355" t="str">
        <f t="shared" si="152"/>
        <v/>
      </c>
      <c r="JI210" s="355" t="str">
        <f t="shared" si="153"/>
        <v/>
      </c>
      <c r="JJ210" s="355" t="str">
        <f t="shared" si="154"/>
        <v/>
      </c>
      <c r="JK210" s="355" t="str">
        <f t="shared" si="155"/>
        <v/>
      </c>
      <c r="JL210" s="355" t="str">
        <f t="shared" si="156"/>
        <v/>
      </c>
      <c r="JM210" s="355" t="str">
        <f t="shared" si="157"/>
        <v/>
      </c>
      <c r="JN210" s="355" t="str">
        <f t="shared" si="158"/>
        <v/>
      </c>
      <c r="JO210" s="359" t="str">
        <f t="shared" si="159"/>
        <v/>
      </c>
      <c r="JP210" s="346" t="b">
        <f t="shared" si="160"/>
        <v>0</v>
      </c>
      <c r="JQ210" s="347" t="b">
        <f t="shared" si="161"/>
        <v>0</v>
      </c>
      <c r="JR210" s="347" t="b">
        <f t="shared" si="162"/>
        <v>0</v>
      </c>
      <c r="JS210" s="347" t="b">
        <f t="shared" si="163"/>
        <v>0</v>
      </c>
      <c r="JT210" s="347" t="b">
        <f t="shared" si="164"/>
        <v>0</v>
      </c>
      <c r="JU210" s="347" t="b">
        <f t="shared" si="165"/>
        <v>0</v>
      </c>
      <c r="JV210" s="347" t="b">
        <f t="shared" si="166"/>
        <v>0</v>
      </c>
      <c r="JW210" s="347" t="b">
        <f t="shared" si="167"/>
        <v>0</v>
      </c>
      <c r="JX210" s="347" t="b">
        <f t="shared" si="168"/>
        <v>0</v>
      </c>
      <c r="JY210" s="347" t="b">
        <f t="shared" si="169"/>
        <v>0</v>
      </c>
      <c r="JZ210" s="347" t="b">
        <f t="shared" si="170"/>
        <v>0</v>
      </c>
      <c r="KA210" s="347" t="b">
        <f t="shared" si="171"/>
        <v>0</v>
      </c>
      <c r="KB210" s="365" t="b">
        <f t="shared" si="172"/>
        <v>0</v>
      </c>
      <c r="KC210" s="354" t="str">
        <f t="shared" si="173"/>
        <v/>
      </c>
      <c r="KD210" s="355" t="str">
        <f t="shared" si="174"/>
        <v/>
      </c>
      <c r="KE210" s="355" t="str">
        <f t="shared" si="175"/>
        <v/>
      </c>
      <c r="KF210" s="355" t="str">
        <f t="shared" si="176"/>
        <v/>
      </c>
      <c r="KG210" s="355" t="str">
        <f t="shared" si="177"/>
        <v/>
      </c>
      <c r="KH210" s="355" t="str">
        <f t="shared" si="178"/>
        <v/>
      </c>
      <c r="KI210" s="355" t="str">
        <f t="shared" si="179"/>
        <v/>
      </c>
      <c r="KJ210" s="355" t="str">
        <f t="shared" si="180"/>
        <v/>
      </c>
      <c r="KK210" s="355" t="str">
        <f t="shared" si="181"/>
        <v/>
      </c>
      <c r="KL210" s="355" t="str">
        <f t="shared" si="182"/>
        <v/>
      </c>
      <c r="KM210" s="355" t="str">
        <f t="shared" si="183"/>
        <v/>
      </c>
      <c r="KN210" s="355" t="str">
        <f t="shared" si="184"/>
        <v/>
      </c>
      <c r="KO210" s="359"/>
      <c r="KP210" s="378"/>
      <c r="KQ210" s="379" t="s">
        <v>9</v>
      </c>
      <c r="KR210" s="380" t="s">
        <v>9</v>
      </c>
      <c r="KS210" s="381" t="s">
        <v>9</v>
      </c>
      <c r="KT210" s="382">
        <f t="shared" si="186"/>
        <v>0</v>
      </c>
      <c r="KU210" s="383">
        <f t="shared" si="187"/>
        <v>0</v>
      </c>
      <c r="KV210" s="381" t="str">
        <f t="shared" si="205"/>
        <v>S</v>
      </c>
      <c r="KW210" s="382">
        <f t="shared" si="189"/>
        <v>0</v>
      </c>
      <c r="KX210" s="384">
        <f t="shared" si="190"/>
        <v>0</v>
      </c>
      <c r="KY210" s="382">
        <f t="shared" ref="KY210:KZ210" si="636">KW210-KT210</f>
        <v>0</v>
      </c>
      <c r="KZ210" s="369">
        <f t="shared" si="636"/>
        <v>0</v>
      </c>
      <c r="LA210" s="385" t="str">
        <f t="shared" si="192"/>
        <v>✔</v>
      </c>
      <c r="LB210" s="340" t="str">
        <f>IFERROR(__xludf.DUMMYFUNCTION("JOIN("""",ArrayFormula(MID(KS210,LEN(KS210)-SEQUENCE(1,LEN(KS210))+1,1)))"),"S")</f>
        <v>S</v>
      </c>
      <c r="LC210" s="373" t="str">
        <f>IFERROR(__xludf.DUMMYFUNCTION("JOIN("""",ArrayFormula(MID(KV210,LEN(KV210)-SEQUENCE(1,LEN(KV210))+1,1)))"),"S")</f>
        <v>S</v>
      </c>
      <c r="LD210" s="373" t="str">
        <f t="shared" si="193"/>
        <v>S</v>
      </c>
      <c r="LE210" s="339" t="str">
        <f t="shared" si="194"/>
        <v>S</v>
      </c>
      <c r="LF210" s="386" t="str">
        <f>IFERROR(__xludf.DUMMYFUNCTION("SUBSTITUTE(SUBSTITUTE(CONCATENATE(JOIN("""",LH210:LT210)),""1"",""""),""2"","""")"),"SS")</f>
        <v>SS</v>
      </c>
      <c r="LG210" s="369" t="str">
        <f t="shared" si="195"/>
        <v>-</v>
      </c>
      <c r="LH210" s="387" t="str">
        <f>IFERROR(__xludf.DUMMYFUNCTION("IF(REGEXMATCH(LD210, ""S""), ""S"",IF(REGEXMATCH(LE210, ""S""), ""S"",""""))"),"S")</f>
        <v>S</v>
      </c>
      <c r="LI210" s="299" t="str">
        <f>IFERROR(__xludf.DUMMYFUNCTION("IF(REGEXMATCH(LD210, ""r""), ""r1"",IF(REGEXMATCH(LE210, ""r""), ""r2"",""""))"),"")</f>
        <v/>
      </c>
      <c r="LJ210" s="299" t="str">
        <f>IFERROR(__xludf.DUMMYFUNCTION("IF(REGEXMATCH(LD210, ""R""), ""R1"",IF(REGEXMATCH(LE210, ""R""), ""R2"",""""))"),"")</f>
        <v/>
      </c>
      <c r="LK210" s="299" t="str">
        <f>IFERROR(__xludf.DUMMYFUNCTION("IF(REGEXMATCH(LD210, ""g""), ""g1"",IF(REGEXMATCH(LE210, ""g""), ""g2"",""""))"),"")</f>
        <v/>
      </c>
      <c r="LL210" s="299" t="str">
        <f>IFERROR(__xludf.DUMMYFUNCTION("IF(REGEXMATCH(LD210, ""G""), ""G1"",IF(REGEXMATCH(LE210, ""G""), ""G2"",""""))"),"")</f>
        <v/>
      </c>
      <c r="LM210" s="299" t="str">
        <f>IFERROR(__xludf.DUMMYFUNCTION("IF(REGEXMATCH(LD210, ""m""), ""m1"",IF(REGEXMATCH(LE210, ""m""), ""m2"",""""))"),"")</f>
        <v/>
      </c>
      <c r="LN210" s="299" t="str">
        <f>IFERROR(__xludf.DUMMYFUNCTION("IF(REGEXMATCH(LD210, ""M""), ""M1"",IF(REGEXMATCH(LE210, ""M""), ""M2"",""""))"),"")</f>
        <v/>
      </c>
      <c r="LO210" s="299" t="str">
        <f>IFERROR(__xludf.DUMMYFUNCTION("IF(REGEXMATCH(LD210, ""P""), ""P1"",IF(REGEXMATCH(LE210, ""P""), ""P2"",""""))"),"")</f>
        <v/>
      </c>
      <c r="LP210" s="299" t="str">
        <f>IFERROR(__xludf.DUMMYFUNCTION("IF(REGEXMATCH(LD210, ""d""), ""d1"",IF(REGEXMATCH(LE210, ""d""), ""d2"",""""))"),"")</f>
        <v/>
      </c>
      <c r="LQ210" s="299" t="str">
        <f>IFERROR(__xludf.DUMMYFUNCTION("IF(REGEXMATCH(LD210, ""D""), ""D1"",IF(REGEXMATCH(LE210, ""D""), ""D2"",""""))"),"")</f>
        <v/>
      </c>
      <c r="LR210" s="299" t="str">
        <f>IFERROR(__xludf.DUMMYFUNCTION("IF(REGEXMATCH(LD210, ""n""), ""n1"",IF(REGEXMATCH(LE210, ""n""), ""n2"",""""))"),"")</f>
        <v/>
      </c>
      <c r="LS210" s="299" t="str">
        <f>IFERROR(__xludf.DUMMYFUNCTION("IF(REGEXMATCH(LD210, ""N""), ""N1"",IF(REGEXMATCH(LE210, ""N""), ""N2"",""""))"),"")</f>
        <v/>
      </c>
      <c r="LT210" s="388" t="str">
        <f>IFERROR(__xludf.DUMMYFUNCTION("IF(REGEXMATCH(LD210, ""S""), ""S"",IF(REGEXMATCH(LE210, ""S""), ""S"",""""))"),"S")</f>
        <v>S</v>
      </c>
      <c r="LU210" s="389">
        <f t="shared" si="196"/>
        <v>1</v>
      </c>
      <c r="LV210" s="378"/>
      <c r="LW210" s="369"/>
      <c r="LX210" s="369"/>
    </row>
    <row r="211" ht="18.0" customHeight="1">
      <c r="A211" s="447" t="s">
        <v>944</v>
      </c>
      <c r="B211" s="222" t="s">
        <v>945</v>
      </c>
      <c r="C211" s="233" t="str">
        <f t="shared" si="7"/>
        <v>SGPS</v>
      </c>
      <c r="D211" s="234" t="str">
        <f>IFERROR(__xludf.DUMMYFUNCTION("IF(REGEXMATCH(C211, ""S""), ""S"","""")"),"S")</f>
        <v>S</v>
      </c>
      <c r="E211" s="236" t="str">
        <f>IFERROR(__xludf.DUMMYFUNCTION("IF(REGEXMATCH(C211, ""r""), ""r"","""")"),"")</f>
        <v/>
      </c>
      <c r="F211" s="237" t="str">
        <f>IFERROR(__xludf.DUMMYFUNCTION("IF(REGEXMATCH(C211, ""R""), ""R"","""")"),"")</f>
        <v/>
      </c>
      <c r="G211" s="237" t="str">
        <f>IFERROR(__xludf.DUMMYFUNCTION("IF(REGEXMATCH(C211, ""g""), ""g"","""")"),"")</f>
        <v/>
      </c>
      <c r="H211" s="236" t="str">
        <f>IFERROR(__xludf.DUMMYFUNCTION("IF(REGEXMATCH(C211, ""G""), ""G"","""")"),"G")</f>
        <v>G</v>
      </c>
      <c r="I211" s="236" t="str">
        <f>IFERROR(__xludf.DUMMYFUNCTION("IF(REGEXMATCH(C211, ""m""), ""m"","""")"),"")</f>
        <v/>
      </c>
      <c r="J211" s="237" t="str">
        <f>IFERROR(__xludf.DUMMYFUNCTION("IF(REGEXMATCH(C211, ""M""), ""M"","""")"),"")</f>
        <v/>
      </c>
      <c r="K211" s="236" t="str">
        <f>IFERROR(__xludf.DUMMYFUNCTION("IF(REGEXMATCH(C211, ""P""), ""P"","""")"),"P")</f>
        <v>P</v>
      </c>
      <c r="L211" s="237" t="str">
        <f>IFERROR(__xludf.DUMMYFUNCTION("IF(REGEXMATCH(C211, ""d""), ""d"","""")"),"")</f>
        <v/>
      </c>
      <c r="M211" s="236" t="str">
        <f>IFERROR(__xludf.DUMMYFUNCTION("IF(REGEXMATCH(C211, ""D""), ""D"","""")"),"")</f>
        <v/>
      </c>
      <c r="N211" s="236" t="str">
        <f>IFERROR(__xludf.DUMMYFUNCTION("IF(REGEXMATCH(C211, ""n""), ""n"","""")"),"")</f>
        <v/>
      </c>
      <c r="O211" s="237" t="str">
        <f>IFERROR(__xludf.DUMMYFUNCTION("IF(REGEXMATCH(C211, ""N""), ""N"","""")"),"")</f>
        <v/>
      </c>
      <c r="P211" s="238" t="str">
        <f>IFERROR(__xludf.DUMMYFUNCTION("IF(REGEXMATCH(C211, ""S""), ""S"","""")"),"S")</f>
        <v>S</v>
      </c>
      <c r="Q211" s="239" t="str">
        <f>IFERROR(__xludf.DUMMYFUNCTION("SUBSTITUTE(CONCATENATE(JOIN(""-"",D211:J211)),""-"","""")"),"SG")</f>
        <v>SG</v>
      </c>
      <c r="R211" s="229" t="str">
        <f>IFERROR(__xludf.DUMMYFUNCTION("SUBSTITUTE(CONCATENATE(JOIN(""-"",K211:P211)),""-"","""")"),"PS")</f>
        <v>PS</v>
      </c>
      <c r="S211" s="282" t="str">
        <f t="shared" si="8"/>
        <v>S-G-</v>
      </c>
      <c r="T211" s="282" t="str">
        <f t="shared" si="9"/>
        <v>P-S</v>
      </c>
      <c r="U211" s="237" t="str">
        <f>IFERROR(__xludf.DUMMYFUNCTION("SUBSTITUTE(JOIN(""-"",S211,T211),""--"",""-"")"),"S-G-P-S")</f>
        <v>S-G-P-S</v>
      </c>
      <c r="V211" s="309" t="str">
        <f t="shared" si="10"/>
        <v>G</v>
      </c>
      <c r="W211" s="244" t="str">
        <f>IFERROR(__xludf.DUMMYFUNCTION("IF(REGEXMATCH(C211, ""S""), ""0"","""")"),"0")</f>
        <v>0</v>
      </c>
      <c r="X211" s="245" t="str">
        <f>IFERROR(__xludf.DUMMYFUNCTION("IF(REGEXMATCH(C211, ""r""), ""1"","""")"),"")</f>
        <v/>
      </c>
      <c r="Y211" s="246" t="str">
        <f>IFERROR(__xludf.DUMMYFUNCTION("IF(REGEXMATCH(C211, ""R""), ""2"","""")"),"")</f>
        <v/>
      </c>
      <c r="Z211" s="246" t="str">
        <f>IFERROR(__xludf.DUMMYFUNCTION("IF(REGEXMATCH(C211, ""g""), ""3"","""")"),"")</f>
        <v/>
      </c>
      <c r="AA211" s="245" t="str">
        <f>IFERROR(__xludf.DUMMYFUNCTION("IF(REGEXMATCH(C211, ""G""), ""4"","""")"),"4")</f>
        <v>4</v>
      </c>
      <c r="AB211" s="245" t="str">
        <f>IFERROR(__xludf.DUMMYFUNCTION("IF(REGEXMATCH(C211, ""m""), ""5"","""")"),"")</f>
        <v/>
      </c>
      <c r="AC211" s="246" t="str">
        <f>IFERROR(__xludf.DUMMYFUNCTION("IF(REGEXMATCH(C211, ""M""), ""6"","""")"),"")</f>
        <v/>
      </c>
      <c r="AD211" s="245" t="str">
        <f>IFERROR(__xludf.DUMMYFUNCTION("IF(REGEXMATCH(C211, ""P""), ""7"","""")"),"7")</f>
        <v>7</v>
      </c>
      <c r="AE211" s="246" t="str">
        <f>IFERROR(__xludf.DUMMYFUNCTION("IF(REGEXMATCH(C211, ""d""), ""8"","""")"),"")</f>
        <v/>
      </c>
      <c r="AF211" s="245" t="str">
        <f>IFERROR(__xludf.DUMMYFUNCTION("IF(REGEXMATCH(C211, ""D""), ""9"","""")"),"")</f>
        <v/>
      </c>
      <c r="AG211" s="245" t="str">
        <f>IFERROR(__xludf.DUMMYFUNCTION("IF(REGEXMATCH(C211, ""n""), ""10"","""")"),"")</f>
        <v/>
      </c>
      <c r="AH211" s="246" t="str">
        <f>IFERROR(__xludf.DUMMYFUNCTION("IF(REGEXMATCH(C211, ""N""), ""11"","""")"),"")</f>
        <v/>
      </c>
      <c r="AI211" s="249" t="str">
        <f>IFERROR(__xludf.DUMMYFUNCTION("IF(REGEXMATCH(C211, ""S""), ""0"","""")"),"0")</f>
        <v>0</v>
      </c>
      <c r="AJ211" s="313" t="str">
        <f t="shared" si="11"/>
        <v>-</v>
      </c>
      <c r="AK211" s="313" t="str">
        <f t="shared" si="12"/>
        <v>-</v>
      </c>
      <c r="AL211" s="313" t="str">
        <f t="shared" si="13"/>
        <v>-</v>
      </c>
      <c r="AM211" s="313" t="str">
        <f t="shared" si="14"/>
        <v>-</v>
      </c>
      <c r="AN211" s="313" t="str">
        <f t="shared" si="15"/>
        <v>-</v>
      </c>
      <c r="AO211" s="314" t="str">
        <f t="shared" si="16"/>
        <v>-</v>
      </c>
      <c r="AP211" s="316">
        <f t="shared" si="17"/>
        <v>0</v>
      </c>
      <c r="AQ211" s="319" t="str">
        <f t="shared" si="18"/>
        <v>#REF!</v>
      </c>
      <c r="AR211" s="320">
        <f t="shared" si="19"/>
        <v>0</v>
      </c>
      <c r="AS211" s="250" t="str">
        <f>IFERROR(__xludf.DUMMYFUNCTION("SUBSTITUTE(SUBSTITUTE(CONCATENATE(JOIN("""",FP211:GA211)),""|"",""x""),""-"",""o"")"),"xoooxooxoooo")</f>
        <v>xoooxooxoooo</v>
      </c>
      <c r="AT211" s="323" t="str">
        <f>IFERROR(__xludf.DUMMYFUNCTION("JOIN("""",AS211,AS211)"),"xoooxooxooooxoooxooxoooo")</f>
        <v>xoooxooxooooxoooxooxoooo</v>
      </c>
      <c r="AU211" s="256" t="str">
        <f>IFERROR(__xludf.DUMMYFUNCTION("JOIN("""",ArrayFormula(MID(AS211,LEN(AS211)-SEQUENCE(1,LEN(AS211))+1,1)))"),"ooooxooxooox")</f>
        <v>ooooxooxooox</v>
      </c>
      <c r="AV211" s="256" t="str">
        <f>IFERROR(__xludf.DUMMYFUNCTION("LEFT(CONCATENATE(""x"",JOIN("""",ArrayFormula(MID(AS211,LEN(AS211)-SEQUENCE(1,LEN(AS211))+1,1)))),12)"),"xooooxooxooo")</f>
        <v>xooooxooxooo</v>
      </c>
      <c r="AW211" s="327" t="str">
        <f>IFERROR(__xludf.DUMMYFUNCTION("JOIN("""",AU211,AU211)"),"ooooxooxoooxooooxooxooox")</f>
        <v>ooooxooxoooxooooxooxooox</v>
      </c>
      <c r="AX211" s="239" t="str">
        <f>IFERROR(__xludf.DUMMYFUNCTION("IF(REGEXMATCH(AW211,AS211),""✔"",""-"")"),"-")</f>
        <v>-</v>
      </c>
      <c r="AY211" s="330" t="str">
        <f t="shared" si="20"/>
        <v>-</v>
      </c>
      <c r="AZ211" s="260" t="str">
        <f t="shared" si="21"/>
        <v>#REF!</v>
      </c>
      <c r="BA211" s="333" t="str">
        <f t="shared" si="22"/>
        <v>xoooxoo</v>
      </c>
      <c r="BB211" s="334" t="str">
        <f t="shared" si="23"/>
        <v>xoooox</v>
      </c>
      <c r="BC211" s="335" t="str">
        <f t="shared" si="236"/>
        <v>-</v>
      </c>
      <c r="BD211" s="336" t="str">
        <f t="shared" si="25"/>
        <v>Malashree: 'xoooxoo' + 'xoooox'</v>
      </c>
      <c r="BE211" s="337">
        <f>IFERROR(__xludf.DUMMYFUNCTION("COUNTUNIQUE(FILTER(AT:AT,REGEXMATCH(AT:AT,AS211)))-1"),0.0)</f>
        <v>0</v>
      </c>
      <c r="BF211" s="261" t="str">
        <f>IFERROR(__xludf.DUMMYFUNCTION("IF(BI211=0,""(n/a)"",IF(BJ211=2,""(PAIR)"",IF(REGEXMATCH(AT211,""xoxoxxoxoxox""),""Bilawal"",IF(REGEXMATCH(AT211,""xoxoxooxoxoo""),""Bhupali"",IF(REGEXMATCH(AT211,""xoxoxxoxxoxo""),""Charukeshi"",IF(REGEXMATCH(AT211,""xoxoooxxoxxo""),""Kameshwari"",IF(REG"&amp;"EXMATCH(AT211,""xoxoxooxoxox""),""Shankara"",IF(REGEXMATCH(AT211,""xxooxoxxxoox""),""Basant"",IF(REGEXMATCH(AT211,""xoxoxxxxoxox""),""Bihag"",IF(REGEXMATCH(AT211,""xoxxxxoxoxxx""),""Pilu"",IF(REGEXMATCH(AT211,""xoxxoxoxxoox""),""Kirwani"",IF(REGEXMATCH(AT"&amp;"211,""xoxxoxoxoxxx""),""Mk.Malhar"",IF(REGEXMATCH(AT211,""xxooxxoxxoox""),""Bhairav"",IF(REGEXMATCH(AT211,""xxoxooxxxoox""),""Todi"",IF(REGEXMATCH(AT211,""xxooxoxooxox""),""Marwa"",IF(REGEXMATCH(AT211,""xxoooxoxxooo""),""Gunkali"",IF(REGEXMATCH(AT211,""xo"&amp;"xoxxoxxoox""),""Nat Bhairav"",IF(REGEXMATCH(AT211,""xoxxoooxoxoo""),""Shivranjani"",IF(REGEXMATCH(AT211,""xooxxxoxooxo""),""Jog"",IF(REGEXMATCH(AT211,""xxooxoxoxoox""),""Hemshri"",IF(REGEXMATCH(AT211,""xoooxooxoxxo""),""Kalavati"",IF(REGEXMATCH(AT211,""xx"&amp;"oxoxxoxoox""),""Kedar"",IF(REGEXMATCH(AT211,""xoxxxxoxooxx""),""Gara"",IF(REGEXMATCH(AT211,""xooxoxooxoox""),""Chandrakauns"",IF(REGEXMATCH(AT211,""xoxxxxoxxxox""),""Mand"",IF(REGEXMATCH(AT211,""xoxxxxoxoxox""),""Hanskinkini"",IF(REGEXMATCH(AT211,""xxooxx"&amp;"oxooxo""),""Lilavati"",IF(REGEXMATCH(AT211,""xooxoxoooxox""),""Rajeshwari"",IF(REGEXMATCH(AT211,""xoooxxoxoxxx""),""Khokar"",IF(REGEXMATCH(AT211,""xxooxoxxxxox""),""Maligoura"",""-""))))))))))))))))))))))))))))))"),"(n/a)")</f>
        <v>(n/a)</v>
      </c>
      <c r="BG211" s="239" t="str">
        <f t="shared" si="26"/>
        <v>#REF!</v>
      </c>
      <c r="BH211" s="239">
        <f>IFERROR(__xludf.DUMMYFUNCTION("COUNTUNIQUE(FE211:FO211)-1"),2.0)</f>
        <v>2</v>
      </c>
      <c r="BI211" s="239">
        <f>IFERROR(__xludf.DUMMYFUNCTION("COUNTUNIQUE(FILTER(AT:AT,REGEXMATCH(AT:AT,AS211)))-1"),0.0)</f>
        <v>0</v>
      </c>
      <c r="BJ211" s="239">
        <f>IFERROR(__xludf.DUMMYFUNCTION("COUNTA(FILTER(AT:AT,REGEXMATCH(AT:AT,AS211)))"),1.0)</f>
        <v>1</v>
      </c>
      <c r="BK211" s="341">
        <f>IFERROR(__xludf.DUMMYFUNCTION("COUNTA(FILTER(AT:AT,REGEXMATCH(AT:AT,AS211)))-AR211"),1.0)</f>
        <v>1</v>
      </c>
      <c r="BL211" s="276" t="str">
        <f>IFERROR(__xludf.DUMMYFUNCTION("IF(AS211=""oooooooooooo"",""-"",IF(REGEXMATCH(AT211,""xx""), ""Hemi."", ""Anhemi.""))"),"Anhemi.")</f>
        <v>Anhemi.</v>
      </c>
      <c r="BM211" s="282" t="str">
        <f>IFERROR(__xludf.DUMMYFUNCTION("IF(AS211=""oooooooooooo"",""-"",IF(REGEXMATCH(AT211,""xxx""), ""Cohem."", ""-""))"),"-")</f>
        <v>-</v>
      </c>
      <c r="BN211" s="282" t="str">
        <f>IFERROR(__xludf.DUMMYFUNCTION("IF(AS211=""oooooooooooo"",""-"",IF(REGEXMATCH(AT211,""xxxx""), ""Co-Co."", ""-""))"),"-")</f>
        <v>-</v>
      </c>
      <c r="BO211" s="342" t="str">
        <f>IFERROR(__xludf.DUMMYFUNCTION("IF(AS211=""oooooooooooo"",""-"",IF(REGEXMATCH(AT211,""xxxxx""), ""CCC."", ""-""))"),"-")</f>
        <v>-</v>
      </c>
      <c r="BP211" s="344" t="str">
        <f t="shared" si="27"/>
        <v>-</v>
      </c>
      <c r="BQ211" s="282" t="str">
        <f>IFERROR(__xludf.DUMMYFUNCTION("IF(REGEXMATCH(JOIN(""-"",EU211:FD211),""TRUE""),""✔"",""-"")"),"✔")</f>
        <v>✔</v>
      </c>
      <c r="BR211" s="225">
        <f t="shared" si="28"/>
        <v>6</v>
      </c>
      <c r="BS211" s="345" t="str">
        <f>IFERROR(__xludf.DUMMYFUNCTION("SUBSTITUTE(SUBSTITUTE(SUBSTITUTE(SUBSTITUTE(CONCATENATE(JOIN(""-"",GC211:GO211)),""--"",""-""),""--"",""-""),""--"",""-""),""--"",""-"")"),"1-3-5-8")</f>
        <v>1-3-5-8</v>
      </c>
      <c r="BT211" s="299" t="str">
        <f>IFERROR(__xludf.DUMMYFUNCTION("SUBSTITUTE(SUBSTITUTE(SUBSTITUTE(SUBSTITUTE(CONCATENATE(JOIN(""-"",GP211:HB211)),""--"",""-""),""--"",""-""),""--"",""-""),""--"",""-"")"),"S-G3-P-S")</f>
        <v>S-G3-P-S</v>
      </c>
      <c r="BU211" s="348" t="str">
        <f t="shared" si="29"/>
        <v>C-E-G-C</v>
      </c>
      <c r="BV211" s="349" t="str">
        <f t="shared" si="30"/>
        <v>SrRgmMdDnNS</v>
      </c>
      <c r="BW211" s="350">
        <f t="shared" si="31"/>
        <v>0</v>
      </c>
      <c r="BX211" s="351">
        <f t="shared" si="32"/>
        <v>1</v>
      </c>
      <c r="BY211" s="392"/>
      <c r="BZ211" s="309" t="str">
        <f>IFERROR(__xludf.DUMMYFUNCTION("IF(REGEXMATCH(C211, ""S""), ""x"",""x"")"),"x")</f>
        <v>x</v>
      </c>
      <c r="CA211" s="245" t="str">
        <f>IFERROR(__xludf.DUMMYFUNCTION("IF(REGEXMATCH(C211, ""r""), ""o"",""x"")"),"x")</f>
        <v>x</v>
      </c>
      <c r="CB211" s="246" t="str">
        <f>IFERROR(__xludf.DUMMYFUNCTION("IF(REGEXMATCH(C211, ""R""), ""o"",""x"")"),"x")</f>
        <v>x</v>
      </c>
      <c r="CC211" s="246" t="str">
        <f>IFERROR(__xludf.DUMMYFUNCTION("IF(REGEXMATCH(C211, ""g""), ""o"",""x"")"),"x")</f>
        <v>x</v>
      </c>
      <c r="CD211" s="245" t="str">
        <f>IFERROR(__xludf.DUMMYFUNCTION("IF(REGEXMATCH(C211, ""G""), ""o"",""x"")"),"o")</f>
        <v>o</v>
      </c>
      <c r="CE211" s="245" t="str">
        <f>IFERROR(__xludf.DUMMYFUNCTION("IF(REGEXMATCH(C211, ""m""), ""o"",""x"")"),"x")</f>
        <v>x</v>
      </c>
      <c r="CF211" s="246" t="str">
        <f>IFERROR(__xludf.DUMMYFUNCTION("IF(REGEXMATCH(C211, ""M""), ""o"",""x"")"),"x")</f>
        <v>x</v>
      </c>
      <c r="CG211" s="245" t="str">
        <f>IFERROR(__xludf.DUMMYFUNCTION("IF(REGEXMATCH(C211, ""P""), ""o"",""x"")"),"o")</f>
        <v>o</v>
      </c>
      <c r="CH211" s="246" t="str">
        <f>IFERROR(__xludf.DUMMYFUNCTION("IF(REGEXMATCH(C211, ""d""), ""o"",""x"")"),"x")</f>
        <v>x</v>
      </c>
      <c r="CI211" s="245" t="str">
        <f>IFERROR(__xludf.DUMMYFUNCTION("IF(REGEXMATCH(C211, ""D""), ""o"",""x"")"),"x")</f>
        <v>x</v>
      </c>
      <c r="CJ211" s="245" t="str">
        <f>IFERROR(__xludf.DUMMYFUNCTION("IF(REGEXMATCH(C211, ""n""), ""o"",""x"")"),"x")</f>
        <v>x</v>
      </c>
      <c r="CK211" s="245" t="str">
        <f>IFERROR(__xludf.DUMMYFUNCTION("IF(REGEXMATCH(C211, ""N""), ""o"",""x"")"),"x")</f>
        <v>x</v>
      </c>
      <c r="CL211" s="356" t="str">
        <f>IFERROR(__xludf.DUMMYFUNCTION("IF(REGEXMATCH(C211, ""S""), ""x"",""x"")"),"x")</f>
        <v>x</v>
      </c>
      <c r="CM211" s="357" t="str">
        <f t="shared" si="33"/>
        <v>xxxxoxxoxxxx</v>
      </c>
      <c r="CN211" s="358">
        <f t="shared" si="34"/>
        <v>0</v>
      </c>
      <c r="CO211" s="246" t="str">
        <f>IFERROR(__xludf.DUMMYFUNCTION("IF(REGEXMATCH($C211, ""S""), ""S"",""S"")"),"S")</f>
        <v>S</v>
      </c>
      <c r="CP211" s="246" t="str">
        <f>IFERROR(__xludf.DUMMYFUNCTION("IF(REGEXMATCH($C211, ""r""), """",""r"")"),"r")</f>
        <v>r</v>
      </c>
      <c r="CQ211" s="246" t="str">
        <f>IFERROR(__xludf.DUMMYFUNCTION("IF(REGEXMATCH($C211, ""R""), """",""R"")"),"R")</f>
        <v>R</v>
      </c>
      <c r="CR211" s="246" t="str">
        <f>IFERROR(__xludf.DUMMYFUNCTION("IF(REGEXMATCH($C211, ""g""), """",""g"")"),"g")</f>
        <v>g</v>
      </c>
      <c r="CS211" s="246" t="str">
        <f>IFERROR(__xludf.DUMMYFUNCTION("IF(REGEXMATCH($C211, ""G""), """",""G"")"),"")</f>
        <v/>
      </c>
      <c r="CT211" s="246" t="str">
        <f>IFERROR(__xludf.DUMMYFUNCTION("IF(REGEXMATCH($C211, ""m""), """",""m"")"),"m")</f>
        <v>m</v>
      </c>
      <c r="CU211" s="246" t="str">
        <f>IFERROR(__xludf.DUMMYFUNCTION("IF(REGEXMATCH($C211, ""M""), """",""M"")"),"M")</f>
        <v>M</v>
      </c>
      <c r="CV211" s="246" t="str">
        <f>IFERROR(__xludf.DUMMYFUNCTION("IF(REGEXMATCH($C211, ""P""), """",""P"")"),"")</f>
        <v/>
      </c>
      <c r="CW211" s="246" t="str">
        <f>IFERROR(__xludf.DUMMYFUNCTION("IF(REGEXMATCH($C211, ""d""), """",""d"")"),"d")</f>
        <v>d</v>
      </c>
      <c r="CX211" s="246" t="str">
        <f>IFERROR(__xludf.DUMMYFUNCTION("IF(REGEXMATCH($C211, ""D""), """",""D"")"),"D")</f>
        <v>D</v>
      </c>
      <c r="CY211" s="246" t="str">
        <f>IFERROR(__xludf.DUMMYFUNCTION("IF(REGEXMATCH($C211, ""n""), """",""n"")"),"n")</f>
        <v>n</v>
      </c>
      <c r="CZ211" s="246" t="str">
        <f>IFERROR(__xludf.DUMMYFUNCTION("IF(REGEXMATCH($C211, ""N""), """",""N"")"),"N")</f>
        <v>N</v>
      </c>
      <c r="DA211" s="246" t="str">
        <f>IFERROR(__xludf.DUMMYFUNCTION("IF(REGEXMATCH($C211, ""S""), ""S"",""S"")"),"S")</f>
        <v>S</v>
      </c>
      <c r="DB211" s="362" t="str">
        <f>IFERROR(__xludf.DUMMYFUNCTION("JOIN("""",CO211:DA211,"""","""")"),"SrRgmMdDnNS")</f>
        <v>SrRgmMdDnNS</v>
      </c>
      <c r="DC211" s="363"/>
      <c r="DD211" s="301" t="str">
        <f t="shared" si="35"/>
        <v>#REF!</v>
      </c>
      <c r="DE211" s="302" t="str">
        <f t="shared" si="36"/>
        <v>#REF!</v>
      </c>
      <c r="DF211" s="301" t="str">
        <f t="shared" ref="DF211:DG211" si="637">SUBSTITUTE(S211,"-","")</f>
        <v>SG</v>
      </c>
      <c r="DG211" s="301" t="str">
        <f t="shared" si="637"/>
        <v>PS</v>
      </c>
      <c r="DH211" s="302" t="str">
        <f t="shared" si="38"/>
        <v>(n/a)</v>
      </c>
      <c r="DI211" s="301" t="str">
        <f t="shared" si="39"/>
        <v>Anhemi.</v>
      </c>
      <c r="DJ211" s="364" t="str">
        <f t="shared" si="40"/>
        <v>-</v>
      </c>
      <c r="DK211" s="306" t="str">
        <f t="shared" si="41"/>
        <v>-</v>
      </c>
      <c r="DL211" s="366" t="str">
        <f t="shared" si="42"/>
        <v>✔</v>
      </c>
      <c r="DM211" s="308" t="str">
        <f t="shared" si="43"/>
        <v>-</v>
      </c>
      <c r="DN211" s="306" t="str">
        <f t="shared" si="44"/>
        <v>✔</v>
      </c>
      <c r="DO211" s="306" t="str">
        <f t="shared" si="45"/>
        <v>-</v>
      </c>
      <c r="DP211" s="367" t="str">
        <f t="shared" si="46"/>
        <v>-</v>
      </c>
      <c r="DQ211" s="310" t="str">
        <f t="shared" si="47"/>
        <v>-</v>
      </c>
      <c r="DR211" s="310" t="str">
        <f t="shared" si="48"/>
        <v>-</v>
      </c>
      <c r="DS211" s="310" t="str">
        <f t="shared" si="49"/>
        <v>-</v>
      </c>
      <c r="DT211" s="310" t="str">
        <f t="shared" si="50"/>
        <v>-</v>
      </c>
      <c r="DU211" s="370" t="str">
        <f t="shared" si="51"/>
        <v>-</v>
      </c>
      <c r="DV211" s="306" t="str">
        <f t="shared" si="52"/>
        <v>✔</v>
      </c>
      <c r="DW211" s="306" t="str">
        <f t="shared" si="53"/>
        <v>-</v>
      </c>
      <c r="DX211" s="306" t="str">
        <f t="shared" si="54"/>
        <v>✔</v>
      </c>
      <c r="DY211" s="306" t="str">
        <f t="shared" si="55"/>
        <v>-</v>
      </c>
      <c r="DZ211" s="306" t="str">
        <f t="shared" si="56"/>
        <v>✔</v>
      </c>
      <c r="EA211" s="367" t="str">
        <f t="shared" si="57"/>
        <v>✔</v>
      </c>
      <c r="EB211" s="310" t="str">
        <f>IFERROR(__xludf.DUMMYFUNCTION("IF(REGEXMATCH(AW211,AS211),""✔"",""-"")"),"-")</f>
        <v>-</v>
      </c>
      <c r="EC211" s="310" t="str">
        <f t="shared" si="58"/>
        <v>#REF!</v>
      </c>
      <c r="ED211" s="370" t="str">
        <f t="shared" si="59"/>
        <v>-</v>
      </c>
      <c r="EE211" s="340" t="str">
        <f t="shared" si="60"/>
        <v>S-G-P-S</v>
      </c>
      <c r="EF211" s="371" t="str">
        <f>IFERROR(__xludf.DUMMYFUNCTION("CONCATENATE(JOIN("""",HC211:HO211))"),"SmdS")</f>
        <v>SmdS</v>
      </c>
      <c r="EG211" s="372">
        <f t="shared" si="61"/>
        <v>2</v>
      </c>
      <c r="EH211" s="373" t="str">
        <f>IFERROR(__xludf.DUMMYFUNCTION("CONCATENATE(JOIN("""",JC211:JO211))"),"Ga, Pa, ")</f>
        <v>Ga, Pa, </v>
      </c>
      <c r="EI211" s="322">
        <f t="shared" si="62"/>
        <v>1</v>
      </c>
      <c r="EJ211" s="374" t="str">
        <f>IFERROR(__xludf.DUMMYFUNCTION("CONCATENATE(JOIN("""",KC211:KO211))"),"Ga, ")</f>
        <v>Ga, </v>
      </c>
      <c r="EK211" s="325" t="str">
        <f t="shared" si="63"/>
        <v>S-G3-P-S</v>
      </c>
      <c r="EL211" s="326" t="str">
        <f t="shared" si="64"/>
        <v>1-3-5-8</v>
      </c>
      <c r="EM211" s="318" t="str">
        <f t="shared" si="65"/>
        <v>#REF!</v>
      </c>
      <c r="EN211" s="328" t="str">
        <f>IFERROR(__xludf.DUMMYFUNCTION("SUBSTITUTE(SUBSTITUTE(SUBSTITUTE(SUBSTITUTE(CONCATENATE(JOIN("" "",HP211:IB211)),""  "","" ""),""  "","" ""),""  "","" ""),""  "","" "")"),"o • • • o • • o • • • • o")</f>
        <v>o • • • o • • o • • • • o</v>
      </c>
      <c r="EO211" s="368" t="str">
        <f t="shared" si="66"/>
        <v>Sa-Pa</v>
      </c>
      <c r="EP211" s="339" t="str">
        <f t="shared" si="67"/>
        <v>-</v>
      </c>
      <c r="EQ211" s="339" t="str">
        <f t="shared" si="68"/>
        <v>Sa-Pa</v>
      </c>
      <c r="ER211" s="339" t="str">
        <f t="shared" si="69"/>
        <v>Sa-Pa</v>
      </c>
      <c r="ES211" s="340" t="str">
        <f t="shared" si="70"/>
        <v>-</v>
      </c>
      <c r="ET211" s="363"/>
      <c r="EU211" s="376" t="b">
        <f>IFERROR(__xludf.DUMMYFUNCTION("arrayformula(sum(--REGEXMATCH(""SRGMPDNS"",split(REGEXREPLACE(C211,""(.)"",""$1~""),""~""))))=len(C211)
"),TRUE)</f>
        <v>1</v>
      </c>
      <c r="EV211" s="290" t="b">
        <f>IFERROR(__xludf.DUMMYFUNCTION("arrayformula(sum(--REGEXMATCH(""SRGmPDNS"",split(REGEXREPLACE(C211,""(.)"",""$1~""),""~""))))=len(C211)"),TRUE)</f>
        <v>1</v>
      </c>
      <c r="EW211" s="290" t="b">
        <f>IFERROR(__xludf.DUMMYFUNCTION("arrayformula(sum(--REGEXMATCH(""SRGmPDnS"",split(REGEXREPLACE(C211,""(.)"",""$1~""),""~""))))=len(C211)"),TRUE)</f>
        <v>1</v>
      </c>
      <c r="EX211" s="290" t="b">
        <f>IFERROR(__xludf.DUMMYFUNCTION("arrayformula(sum(--REGEXMATCH(""SRgmPDnS"",split(REGEXREPLACE(C211,""(.)"",""$1~""),""~""))))=len(C211)"),FALSE)</f>
        <v>0</v>
      </c>
      <c r="EY211" s="290" t="b">
        <f>IFERROR(__xludf.DUMMYFUNCTION("arrayformula(sum(--REGEXMATCH(""SRgmPdnS"",split(REGEXREPLACE(C211,""(.)"",""$1~""),""~""))))=len(C211)"),FALSE)</f>
        <v>0</v>
      </c>
      <c r="EZ211" s="290" t="b">
        <f>IFERROR(__xludf.DUMMYFUNCTION("arrayformula(sum(--REGEXMATCH(""SrgmPdnS"",split(REGEXREPLACE(C211,""(.)"",""$1~""),""~""))))=len(C211)"),FALSE)</f>
        <v>0</v>
      </c>
      <c r="FA211" s="290" t="b">
        <f>IFERROR(__xludf.DUMMYFUNCTION("arrayformula(sum(--REGEXMATCH(""SrGmPdNS"",split(REGEXREPLACE(C211,""(.)"",""$1~""),""~""))))=len(C211)"),TRUE)</f>
        <v>1</v>
      </c>
      <c r="FB211" s="290" t="b">
        <f>IFERROR(__xludf.DUMMYFUNCTION("arrayformula(sum(--REGEXMATCH(""SrGMPDNS"",split(REGEXREPLACE(C211,""(.)"",""$1~""),""~""))))=len(C211)"),TRUE)</f>
        <v>1</v>
      </c>
      <c r="FC211" s="290" t="b">
        <f>IFERROR(__xludf.DUMMYFUNCTION("arrayformula(sum(--REGEXMATCH(""SrGMPdNS"",split(REGEXREPLACE(C211,""(.)"",""$1~""),""~""))))=len(C211)"),TRUE)</f>
        <v>1</v>
      </c>
      <c r="FD211" s="377" t="b">
        <f>IFERROR(__xludf.DUMMYFUNCTION("arrayformula(sum(--REGEXMATCH(""SrgMPdNS"",split(REGEXREPLACE(C211,""(.)"",""$1~""),""~""))))=len(C211)"),FALSE)</f>
        <v>0</v>
      </c>
      <c r="FE211" s="269" t="str">
        <f t="shared" si="71"/>
        <v>-</v>
      </c>
      <c r="FF211" s="269" t="str">
        <f t="shared" si="72"/>
        <v>-</v>
      </c>
      <c r="FG211" s="271" t="str">
        <f t="shared" si="73"/>
        <v>-</v>
      </c>
      <c r="FH211" s="269" t="str">
        <f t="shared" si="74"/>
        <v>xooxooooxoo</v>
      </c>
      <c r="FI211" s="271" t="str">
        <f t="shared" si="75"/>
        <v>-</v>
      </c>
      <c r="FJ211" s="271" t="str">
        <f t="shared" si="76"/>
        <v>-</v>
      </c>
      <c r="FK211" s="271" t="str">
        <f t="shared" si="77"/>
        <v>xooooxoooxo</v>
      </c>
      <c r="FL211" s="271" t="str">
        <f t="shared" si="78"/>
        <v>-</v>
      </c>
      <c r="FM211" s="271" t="str">
        <f t="shared" si="79"/>
        <v>-</v>
      </c>
      <c r="FN211" s="271" t="str">
        <f t="shared" si="80"/>
        <v>-</v>
      </c>
      <c r="FO211" s="274" t="str">
        <f t="shared" si="81"/>
        <v>-</v>
      </c>
      <c r="FP211" s="234" t="str">
        <f t="shared" si="82"/>
        <v>|</v>
      </c>
      <c r="FQ211" s="236" t="str">
        <f t="shared" si="83"/>
        <v>-</v>
      </c>
      <c r="FR211" s="237" t="str">
        <f t="shared" si="84"/>
        <v>-</v>
      </c>
      <c r="FS211" s="236" t="str">
        <f t="shared" si="85"/>
        <v>-</v>
      </c>
      <c r="FT211" s="237" t="str">
        <f t="shared" si="86"/>
        <v>|</v>
      </c>
      <c r="FU211" s="236" t="str">
        <f t="shared" si="87"/>
        <v>-</v>
      </c>
      <c r="FV211" s="237" t="str">
        <f t="shared" si="88"/>
        <v>-</v>
      </c>
      <c r="FW211" s="236" t="str">
        <f t="shared" si="89"/>
        <v>|</v>
      </c>
      <c r="FX211" s="237" t="str">
        <f t="shared" si="90"/>
        <v>-</v>
      </c>
      <c r="FY211" s="236" t="str">
        <f t="shared" si="91"/>
        <v>-</v>
      </c>
      <c r="FZ211" s="237" t="str">
        <f t="shared" si="92"/>
        <v>-</v>
      </c>
      <c r="GA211" s="236" t="str">
        <f t="shared" si="93"/>
        <v>-</v>
      </c>
      <c r="GB211" s="238" t="str">
        <f t="shared" si="94"/>
        <v>|</v>
      </c>
      <c r="GC211" s="244" t="str">
        <f>IFERROR(__xludf.DUMMYFUNCTION("IF(REGEXMATCH(C211, ""S""), ""1"","""")"),"1")</f>
        <v>1</v>
      </c>
      <c r="GD211" s="245" t="str">
        <f>IFERROR(__xludf.DUMMYFUNCTION("IF(REGEXMATCH(C211, ""r""), ""b2"","""")"),"")</f>
        <v/>
      </c>
      <c r="GE211" s="246" t="str">
        <f>IFERROR(__xludf.DUMMYFUNCTION("IF(REGEXMATCH(C211, ""R""), ""2"","""")"),"")</f>
        <v/>
      </c>
      <c r="GF211" s="246" t="str">
        <f>IFERROR(__xludf.DUMMYFUNCTION("IF(REGEXMATCH(C211, ""g""), ""b3"","""")"),"")</f>
        <v/>
      </c>
      <c r="GG211" s="245" t="str">
        <f>IFERROR(__xludf.DUMMYFUNCTION("IF(REGEXMATCH(C211, ""G""), ""3"","""")"),"3")</f>
        <v>3</v>
      </c>
      <c r="GH211" s="245" t="str">
        <f>IFERROR(__xludf.DUMMYFUNCTION("IF(REGEXMATCH(C211, ""m""), ""4"","""")"),"")</f>
        <v/>
      </c>
      <c r="GI211" s="246" t="str">
        <f>IFERROR(__xludf.DUMMYFUNCTION("IF(REGEXMATCH(C211, ""M""), ""#4"","""")"),"")</f>
        <v/>
      </c>
      <c r="GJ211" s="245" t="str">
        <f>IFERROR(__xludf.DUMMYFUNCTION("IF(REGEXMATCH(C211, ""P""), ""5"","""")"),"5")</f>
        <v>5</v>
      </c>
      <c r="GK211" s="246" t="str">
        <f>IFERROR(__xludf.DUMMYFUNCTION("IF(REGEXMATCH(C211, ""d""), ""b6"","""")"),"")</f>
        <v/>
      </c>
      <c r="GL211" s="245" t="str">
        <f>IFERROR(__xludf.DUMMYFUNCTION("IF(REGEXMATCH(C211, ""D""), ""6"","""")"),"")</f>
        <v/>
      </c>
      <c r="GM211" s="245" t="str">
        <f>IFERROR(__xludf.DUMMYFUNCTION("IF(REGEXMATCH(C211, ""n""), ""b7"","""")"),"")</f>
        <v/>
      </c>
      <c r="GN211" s="246" t="str">
        <f>IFERROR(__xludf.DUMMYFUNCTION("IF(REGEXMATCH(C211, ""N""), ""7"","""")"),"")</f>
        <v/>
      </c>
      <c r="GO211" s="249" t="str">
        <f>IFERROR(__xludf.DUMMYFUNCTION("IF(REGEXMATCH(C211, ""S""), ""8"","""")"),"8")</f>
        <v>8</v>
      </c>
      <c r="GP211" s="244" t="str">
        <f>IFERROR(__xludf.DUMMYFUNCTION("IF(REGEXMATCH(C211, ""S""), ""S"","""")"),"S")</f>
        <v>S</v>
      </c>
      <c r="GQ211" s="294" t="str">
        <f>IFERROR(__xludf.DUMMYFUNCTION("IF(REGEXMATCH(C211, ""r""), ""R1"","""")"),"")</f>
        <v/>
      </c>
      <c r="GR211" s="295" t="str">
        <f>IFERROR(__xludf.DUMMYFUNCTION("IF(REGEXMATCH(C211, ""R""), ""R2"","""")"),"")</f>
        <v/>
      </c>
      <c r="GS211" s="295" t="str">
        <f>IFERROR(__xludf.DUMMYFUNCTION("IF(REGEXMATCH(C211, ""g""), ""G2"","""")"),"")</f>
        <v/>
      </c>
      <c r="GT211" s="294" t="str">
        <f>IFERROR(__xludf.DUMMYFUNCTION("IF(REGEXMATCH(C211, ""G""), ""G3"","""")"),"G3")</f>
        <v>G3</v>
      </c>
      <c r="GU211" s="294" t="str">
        <f>IFERROR(__xludf.DUMMYFUNCTION("IF(REGEXMATCH(C211, ""m""), ""M1"","""")"),"")</f>
        <v/>
      </c>
      <c r="GV211" s="295" t="str">
        <f>IFERROR(__xludf.DUMMYFUNCTION("IF(REGEXMATCH(C211, ""M""), ""M2"","""")"),"")</f>
        <v/>
      </c>
      <c r="GW211" s="294" t="str">
        <f>IFERROR(__xludf.DUMMYFUNCTION("IF(REGEXMATCH(C211, ""P""), ""P"","""")"),"P")</f>
        <v>P</v>
      </c>
      <c r="GX211" s="295" t="str">
        <f>IFERROR(__xludf.DUMMYFUNCTION("IF(REGEXMATCH(C211, ""d""), ""D1"","""")"),"")</f>
        <v/>
      </c>
      <c r="GY211" s="294" t="str">
        <f>IFERROR(__xludf.DUMMYFUNCTION("IF(REGEXMATCH(C211, ""D""), ""D2"","""")"),"")</f>
        <v/>
      </c>
      <c r="GZ211" s="294" t="str">
        <f>IFERROR(__xludf.DUMMYFUNCTION("IF(REGEXMATCH(C211, ""n""), ""N2"","""")"),"")</f>
        <v/>
      </c>
      <c r="HA211" s="295" t="str">
        <f>IFERROR(__xludf.DUMMYFUNCTION("IF(REGEXMATCH(C211, ""N""), ""N3"","""")"),"")</f>
        <v/>
      </c>
      <c r="HB211" s="249" t="str">
        <f>IFERROR(__xludf.DUMMYFUNCTION("IF(REGEXMATCH(C211, ""S""), ""S"","""")"),"S")</f>
        <v>S</v>
      </c>
      <c r="HC211" s="331" t="str">
        <f t="shared" si="95"/>
        <v>S</v>
      </c>
      <c r="HD211" s="332" t="str">
        <f t="shared" si="96"/>
        <v/>
      </c>
      <c r="HE211" s="332" t="str">
        <f t="shared" si="97"/>
        <v/>
      </c>
      <c r="HF211" s="332" t="str">
        <f t="shared" si="98"/>
        <v/>
      </c>
      <c r="HG211" s="332" t="str">
        <f t="shared" si="99"/>
        <v/>
      </c>
      <c r="HH211" s="332" t="str">
        <f t="shared" si="100"/>
        <v>m</v>
      </c>
      <c r="HI211" s="332" t="str">
        <f t="shared" si="101"/>
        <v/>
      </c>
      <c r="HJ211" s="332" t="str">
        <f t="shared" si="102"/>
        <v/>
      </c>
      <c r="HK211" s="332" t="str">
        <f t="shared" si="103"/>
        <v>d</v>
      </c>
      <c r="HL211" s="332" t="str">
        <f t="shared" si="104"/>
        <v/>
      </c>
      <c r="HM211" s="332" t="str">
        <f t="shared" si="105"/>
        <v/>
      </c>
      <c r="HN211" s="332" t="str">
        <f t="shared" si="106"/>
        <v/>
      </c>
      <c r="HO211" s="343" t="str">
        <f t="shared" si="107"/>
        <v>S</v>
      </c>
      <c r="HP211" s="331" t="str">
        <f t="shared" si="108"/>
        <v>o</v>
      </c>
      <c r="HQ211" s="332" t="str">
        <f t="shared" si="109"/>
        <v>•</v>
      </c>
      <c r="HR211" s="332" t="str">
        <f t="shared" si="110"/>
        <v>•</v>
      </c>
      <c r="HS211" s="332" t="str">
        <f t="shared" si="111"/>
        <v>•</v>
      </c>
      <c r="HT211" s="332" t="str">
        <f t="shared" si="112"/>
        <v>o</v>
      </c>
      <c r="HU211" s="332" t="str">
        <f t="shared" si="113"/>
        <v>•</v>
      </c>
      <c r="HV211" s="332" t="str">
        <f t="shared" si="114"/>
        <v>•</v>
      </c>
      <c r="HW211" s="332" t="str">
        <f t="shared" si="115"/>
        <v>o</v>
      </c>
      <c r="HX211" s="332" t="str">
        <f t="shared" si="116"/>
        <v>•</v>
      </c>
      <c r="HY211" s="332" t="str">
        <f t="shared" si="117"/>
        <v>•</v>
      </c>
      <c r="HZ211" s="332" t="str">
        <f t="shared" si="118"/>
        <v>•</v>
      </c>
      <c r="IA211" s="332" t="str">
        <f t="shared" si="119"/>
        <v>•</v>
      </c>
      <c r="IB211" s="338" t="str">
        <f t="shared" si="120"/>
        <v>o</v>
      </c>
      <c r="IC211" s="331" t="str">
        <f t="shared" si="121"/>
        <v>•</v>
      </c>
      <c r="ID211" s="332" t="str">
        <f t="shared" si="122"/>
        <v>o</v>
      </c>
      <c r="IE211" s="332" t="str">
        <f t="shared" si="123"/>
        <v>o</v>
      </c>
      <c r="IF211" s="332" t="str">
        <f t="shared" si="124"/>
        <v>o</v>
      </c>
      <c r="IG211" s="332" t="str">
        <f t="shared" si="125"/>
        <v>•</v>
      </c>
      <c r="IH211" s="332" t="str">
        <f t="shared" si="126"/>
        <v>o</v>
      </c>
      <c r="II211" s="332" t="str">
        <f t="shared" si="127"/>
        <v>o</v>
      </c>
      <c r="IJ211" s="332" t="str">
        <f t="shared" si="128"/>
        <v>•</v>
      </c>
      <c r="IK211" s="332" t="str">
        <f t="shared" si="129"/>
        <v>o</v>
      </c>
      <c r="IL211" s="332" t="str">
        <f t="shared" si="130"/>
        <v>o</v>
      </c>
      <c r="IM211" s="332" t="str">
        <f t="shared" si="131"/>
        <v>o</v>
      </c>
      <c r="IN211" s="332" t="str">
        <f t="shared" si="132"/>
        <v>o</v>
      </c>
      <c r="IO211" s="338" t="str">
        <f t="shared" si="133"/>
        <v>•</v>
      </c>
      <c r="IP211" s="346" t="b">
        <f t="shared" si="134"/>
        <v>0</v>
      </c>
      <c r="IQ211" s="347" t="b">
        <f t="shared" si="135"/>
        <v>0</v>
      </c>
      <c r="IR211" s="347" t="b">
        <f t="shared" si="136"/>
        <v>0</v>
      </c>
      <c r="IS211" s="347" t="b">
        <f t="shared" si="137"/>
        <v>0</v>
      </c>
      <c r="IT211" s="347" t="b">
        <f t="shared" si="138"/>
        <v>1</v>
      </c>
      <c r="IU211" s="347" t="b">
        <f t="shared" si="139"/>
        <v>0</v>
      </c>
      <c r="IV211" s="347" t="b">
        <f t="shared" si="140"/>
        <v>0</v>
      </c>
      <c r="IW211" s="347" t="b">
        <f t="shared" si="141"/>
        <v>1</v>
      </c>
      <c r="IX211" s="347" t="b">
        <f t="shared" si="142"/>
        <v>0</v>
      </c>
      <c r="IY211" s="347" t="b">
        <f t="shared" si="143"/>
        <v>0</v>
      </c>
      <c r="IZ211" s="347" t="b">
        <f t="shared" si="144"/>
        <v>0</v>
      </c>
      <c r="JA211" s="347" t="b">
        <f t="shared" si="145"/>
        <v>0</v>
      </c>
      <c r="JB211" s="353" t="b">
        <f t="shared" si="146"/>
        <v>0</v>
      </c>
      <c r="JC211" s="354" t="str">
        <f t="shared" si="147"/>
        <v/>
      </c>
      <c r="JD211" s="355" t="str">
        <f t="shared" si="148"/>
        <v/>
      </c>
      <c r="JE211" s="355" t="str">
        <f t="shared" si="149"/>
        <v/>
      </c>
      <c r="JF211" s="355" t="str">
        <f t="shared" si="150"/>
        <v/>
      </c>
      <c r="JG211" s="355" t="str">
        <f t="shared" si="151"/>
        <v>Ga, </v>
      </c>
      <c r="JH211" s="355" t="str">
        <f t="shared" si="152"/>
        <v/>
      </c>
      <c r="JI211" s="355" t="str">
        <f t="shared" si="153"/>
        <v/>
      </c>
      <c r="JJ211" s="355" t="str">
        <f t="shared" si="154"/>
        <v>Pa, </v>
      </c>
      <c r="JK211" s="355" t="str">
        <f t="shared" si="155"/>
        <v/>
      </c>
      <c r="JL211" s="355" t="str">
        <f t="shared" si="156"/>
        <v/>
      </c>
      <c r="JM211" s="355" t="str">
        <f t="shared" si="157"/>
        <v/>
      </c>
      <c r="JN211" s="355" t="str">
        <f t="shared" si="158"/>
        <v/>
      </c>
      <c r="JO211" s="359" t="str">
        <f t="shared" si="159"/>
        <v/>
      </c>
      <c r="JP211" s="346" t="b">
        <f t="shared" si="160"/>
        <v>0</v>
      </c>
      <c r="JQ211" s="347" t="b">
        <f t="shared" si="161"/>
        <v>0</v>
      </c>
      <c r="JR211" s="347" t="b">
        <f t="shared" si="162"/>
        <v>0</v>
      </c>
      <c r="JS211" s="347" t="b">
        <f t="shared" si="163"/>
        <v>0</v>
      </c>
      <c r="JT211" s="347" t="b">
        <f t="shared" si="164"/>
        <v>1</v>
      </c>
      <c r="JU211" s="347" t="b">
        <f t="shared" si="165"/>
        <v>0</v>
      </c>
      <c r="JV211" s="347" t="b">
        <f t="shared" si="166"/>
        <v>0</v>
      </c>
      <c r="JW211" s="347" t="b">
        <f t="shared" si="167"/>
        <v>0</v>
      </c>
      <c r="JX211" s="347" t="b">
        <f t="shared" si="168"/>
        <v>0</v>
      </c>
      <c r="JY211" s="347" t="b">
        <f t="shared" si="169"/>
        <v>0</v>
      </c>
      <c r="JZ211" s="347" t="b">
        <f t="shared" si="170"/>
        <v>0</v>
      </c>
      <c r="KA211" s="347" t="b">
        <f t="shared" si="171"/>
        <v>0</v>
      </c>
      <c r="KB211" s="365" t="b">
        <f t="shared" si="172"/>
        <v>0</v>
      </c>
      <c r="KC211" s="354" t="str">
        <f t="shared" si="173"/>
        <v/>
      </c>
      <c r="KD211" s="355" t="str">
        <f t="shared" si="174"/>
        <v/>
      </c>
      <c r="KE211" s="355" t="str">
        <f t="shared" si="175"/>
        <v/>
      </c>
      <c r="KF211" s="355" t="str">
        <f t="shared" si="176"/>
        <v/>
      </c>
      <c r="KG211" s="355" t="str">
        <f t="shared" si="177"/>
        <v>Ga, </v>
      </c>
      <c r="KH211" s="355" t="str">
        <f t="shared" si="178"/>
        <v/>
      </c>
      <c r="KI211" s="355" t="str">
        <f t="shared" si="179"/>
        <v/>
      </c>
      <c r="KJ211" s="355" t="str">
        <f t="shared" si="180"/>
        <v/>
      </c>
      <c r="KK211" s="355" t="str">
        <f t="shared" si="181"/>
        <v/>
      </c>
      <c r="KL211" s="355" t="str">
        <f t="shared" si="182"/>
        <v/>
      </c>
      <c r="KM211" s="355" t="str">
        <f t="shared" si="183"/>
        <v/>
      </c>
      <c r="KN211" s="355" t="str">
        <f t="shared" si="184"/>
        <v/>
      </c>
      <c r="KO211" s="359"/>
      <c r="KP211" s="378"/>
      <c r="KQ211" s="379" t="s">
        <v>945</v>
      </c>
      <c r="KR211" s="380" t="s">
        <v>1444</v>
      </c>
      <c r="KS211" s="381" t="str">
        <f t="shared" ref="KS211:KS213" si="640">KQ211</f>
        <v>S-G-P-S</v>
      </c>
      <c r="KT211" s="382">
        <f t="shared" si="186"/>
        <v>3</v>
      </c>
      <c r="KU211" s="383">
        <f t="shared" si="187"/>
        <v>3</v>
      </c>
      <c r="KV211" s="381" t="str">
        <f t="shared" si="205"/>
        <v>S-P-G-S</v>
      </c>
      <c r="KW211" s="382">
        <f t="shared" si="189"/>
        <v>3</v>
      </c>
      <c r="KX211" s="384">
        <f t="shared" si="190"/>
        <v>3</v>
      </c>
      <c r="KY211" s="382">
        <f t="shared" ref="KY211:KZ211" si="638">KW211-KT211</f>
        <v>0</v>
      </c>
      <c r="KZ211" s="369">
        <f t="shared" si="638"/>
        <v>0</v>
      </c>
      <c r="LA211" s="385" t="str">
        <f t="shared" si="192"/>
        <v>✔</v>
      </c>
      <c r="LB211" s="340" t="str">
        <f>IFERROR(__xludf.DUMMYFUNCTION("JOIN("""",ArrayFormula(MID(KS211,LEN(KS211)-SEQUENCE(1,LEN(KS211))+1,1)))"),"S-P-G-S")</f>
        <v>S-P-G-S</v>
      </c>
      <c r="LC211" s="373" t="str">
        <f>IFERROR(__xludf.DUMMYFUNCTION("JOIN("""",ArrayFormula(MID(KV211,LEN(KV211)-SEQUENCE(1,LEN(KV211))+1,1)))"),"S-G-P-S")</f>
        <v>S-G-P-S</v>
      </c>
      <c r="LD211" s="373" t="str">
        <f t="shared" si="193"/>
        <v>SGPS</v>
      </c>
      <c r="LE211" s="339" t="str">
        <f t="shared" si="194"/>
        <v>SGPS</v>
      </c>
      <c r="LF211" s="386" t="str">
        <f>IFERROR(__xludf.DUMMYFUNCTION("SUBSTITUTE(SUBSTITUTE(CONCATENATE(JOIN("""",LH211:LT211)),""1"",""""),""2"","""")"),"SGPS")</f>
        <v>SGPS</v>
      </c>
      <c r="LG211" s="369" t="str">
        <f t="shared" si="195"/>
        <v>✔</v>
      </c>
      <c r="LH211" s="387" t="str">
        <f>IFERROR(__xludf.DUMMYFUNCTION("IF(REGEXMATCH(LD211, ""S""), ""S"",IF(REGEXMATCH(LE211, ""S""), ""S"",""""))"),"S")</f>
        <v>S</v>
      </c>
      <c r="LI211" s="299" t="str">
        <f>IFERROR(__xludf.DUMMYFUNCTION("IF(REGEXMATCH(LD211, ""r""), ""r1"",IF(REGEXMATCH(LE211, ""r""), ""r2"",""""))"),"")</f>
        <v/>
      </c>
      <c r="LJ211" s="299" t="str">
        <f>IFERROR(__xludf.DUMMYFUNCTION("IF(REGEXMATCH(LD211, ""R""), ""R1"",IF(REGEXMATCH(LE211, ""R""), ""R2"",""""))"),"")</f>
        <v/>
      </c>
      <c r="LK211" s="299" t="str">
        <f>IFERROR(__xludf.DUMMYFUNCTION("IF(REGEXMATCH(LD211, ""g""), ""g1"",IF(REGEXMATCH(LE211, ""g""), ""g2"",""""))"),"")</f>
        <v/>
      </c>
      <c r="LL211" s="299" t="str">
        <f>IFERROR(__xludf.DUMMYFUNCTION("IF(REGEXMATCH(LD211, ""G""), ""G1"",IF(REGEXMATCH(LE211, ""G""), ""G2"",""""))"),"G1")</f>
        <v>G1</v>
      </c>
      <c r="LM211" s="299" t="str">
        <f>IFERROR(__xludf.DUMMYFUNCTION("IF(REGEXMATCH(LD211, ""m""), ""m1"",IF(REGEXMATCH(LE211, ""m""), ""m2"",""""))"),"")</f>
        <v/>
      </c>
      <c r="LN211" s="299" t="str">
        <f>IFERROR(__xludf.DUMMYFUNCTION("IF(REGEXMATCH(LD211, ""M""), ""M1"",IF(REGEXMATCH(LE211, ""M""), ""M2"",""""))"),"")</f>
        <v/>
      </c>
      <c r="LO211" s="299" t="str">
        <f>IFERROR(__xludf.DUMMYFUNCTION("IF(REGEXMATCH(LD211, ""P""), ""P1"",IF(REGEXMATCH(LE211, ""P""), ""P2"",""""))"),"P1")</f>
        <v>P1</v>
      </c>
      <c r="LP211" s="299" t="str">
        <f>IFERROR(__xludf.DUMMYFUNCTION("IF(REGEXMATCH(LD211, ""d""), ""d1"",IF(REGEXMATCH(LE211, ""d""), ""d2"",""""))"),"")</f>
        <v/>
      </c>
      <c r="LQ211" s="299" t="str">
        <f>IFERROR(__xludf.DUMMYFUNCTION("IF(REGEXMATCH(LD211, ""D""), ""D1"",IF(REGEXMATCH(LE211, ""D""), ""D2"",""""))"),"")</f>
        <v/>
      </c>
      <c r="LR211" s="299" t="str">
        <f>IFERROR(__xludf.DUMMYFUNCTION("IF(REGEXMATCH(LD211, ""n""), ""n1"",IF(REGEXMATCH(LE211, ""n""), ""n2"",""""))"),"")</f>
        <v/>
      </c>
      <c r="LS211" s="299" t="str">
        <f>IFERROR(__xludf.DUMMYFUNCTION("IF(REGEXMATCH(LD211, ""N""), ""N1"",IF(REGEXMATCH(LE211, ""N""), ""N2"",""""))"),"")</f>
        <v/>
      </c>
      <c r="LT211" s="388" t="str">
        <f>IFERROR(__xludf.DUMMYFUNCTION("IF(REGEXMATCH(LD211, ""S""), ""S"",IF(REGEXMATCH(LE211, ""S""), ""S"",""""))"),"S")</f>
        <v>S</v>
      </c>
      <c r="LU211" s="389">
        <f t="shared" si="196"/>
        <v>1</v>
      </c>
      <c r="LV211" s="378"/>
      <c r="LW211" s="369"/>
      <c r="LX211" s="369"/>
    </row>
    <row r="212" ht="18.0" customHeight="1">
      <c r="A212" s="298" t="s">
        <v>947</v>
      </c>
      <c r="B212" s="222" t="s">
        <v>948</v>
      </c>
      <c r="C212" s="233" t="str">
        <f t="shared" si="7"/>
        <v>SrGMPDS</v>
      </c>
      <c r="D212" s="234" t="str">
        <f>IFERROR(__xludf.DUMMYFUNCTION("IF(REGEXMATCH(C212, ""S""), ""S"","""")"),"S")</f>
        <v>S</v>
      </c>
      <c r="E212" s="236" t="str">
        <f>IFERROR(__xludf.DUMMYFUNCTION("IF(REGEXMATCH(C212, ""r""), ""r"","""")"),"r")</f>
        <v>r</v>
      </c>
      <c r="F212" s="237" t="str">
        <f>IFERROR(__xludf.DUMMYFUNCTION("IF(REGEXMATCH(C212, ""R""), ""R"","""")"),"")</f>
        <v/>
      </c>
      <c r="G212" s="237" t="str">
        <f>IFERROR(__xludf.DUMMYFUNCTION("IF(REGEXMATCH(C212, ""g""), ""g"","""")"),"")</f>
        <v/>
      </c>
      <c r="H212" s="236" t="str">
        <f>IFERROR(__xludf.DUMMYFUNCTION("IF(REGEXMATCH(C212, ""G""), ""G"","""")"),"G")</f>
        <v>G</v>
      </c>
      <c r="I212" s="236" t="str">
        <f>IFERROR(__xludf.DUMMYFUNCTION("IF(REGEXMATCH(C212, ""m""), ""m"","""")"),"")</f>
        <v/>
      </c>
      <c r="J212" s="237" t="str">
        <f>IFERROR(__xludf.DUMMYFUNCTION("IF(REGEXMATCH(C212, ""M""), ""M"","""")"),"M")</f>
        <v>M</v>
      </c>
      <c r="K212" s="236" t="str">
        <f>IFERROR(__xludf.DUMMYFUNCTION("IF(REGEXMATCH(C212, ""P""), ""P"","""")"),"P")</f>
        <v>P</v>
      </c>
      <c r="L212" s="237" t="str">
        <f>IFERROR(__xludf.DUMMYFUNCTION("IF(REGEXMATCH(C212, ""d""), ""d"","""")"),"")</f>
        <v/>
      </c>
      <c r="M212" s="236" t="str">
        <f>IFERROR(__xludf.DUMMYFUNCTION("IF(REGEXMATCH(C212, ""D""), ""D"","""")"),"D")</f>
        <v>D</v>
      </c>
      <c r="N212" s="236" t="str">
        <f>IFERROR(__xludf.DUMMYFUNCTION("IF(REGEXMATCH(C212, ""n""), ""n"","""")"),"")</f>
        <v/>
      </c>
      <c r="O212" s="237" t="str">
        <f>IFERROR(__xludf.DUMMYFUNCTION("IF(REGEXMATCH(C212, ""N""), ""N"","""")"),"")</f>
        <v/>
      </c>
      <c r="P212" s="238" t="str">
        <f>IFERROR(__xludf.DUMMYFUNCTION("IF(REGEXMATCH(C212, ""S""), ""S"","""")"),"S")</f>
        <v>S</v>
      </c>
      <c r="Q212" s="239" t="str">
        <f>IFERROR(__xludf.DUMMYFUNCTION("SUBSTITUTE(CONCATENATE(JOIN(""-"",D212:J212)),""-"","""")"),"SrGM")</f>
        <v>SrGM</v>
      </c>
      <c r="R212" s="229" t="str">
        <f>IFERROR(__xludf.DUMMYFUNCTION("SUBSTITUTE(CONCATENATE(JOIN(""-"",K212:P212)),""-"","""")"),"PDS")</f>
        <v>PDS</v>
      </c>
      <c r="S212" s="282" t="str">
        <f t="shared" si="8"/>
        <v>S-R-G-M</v>
      </c>
      <c r="T212" s="282" t="str">
        <f t="shared" si="9"/>
        <v>P-D-S</v>
      </c>
      <c r="U212" s="237" t="str">
        <f>IFERROR(__xludf.DUMMYFUNCTION("SUBSTITUTE(JOIN(""-"",S212,T212),""--"",""-"")"),"S-R-G-M-P-D-S")</f>
        <v>S-R-G-M-P-D-S</v>
      </c>
      <c r="V212" s="309" t="str">
        <f t="shared" si="10"/>
        <v>rGMD</v>
      </c>
      <c r="W212" s="244" t="str">
        <f>IFERROR(__xludf.DUMMYFUNCTION("IF(REGEXMATCH(C212, ""S""), ""0"","""")"),"0")</f>
        <v>0</v>
      </c>
      <c r="X212" s="245" t="str">
        <f>IFERROR(__xludf.DUMMYFUNCTION("IF(REGEXMATCH(C212, ""r""), ""1"","""")"),"1")</f>
        <v>1</v>
      </c>
      <c r="Y212" s="246" t="str">
        <f>IFERROR(__xludf.DUMMYFUNCTION("IF(REGEXMATCH(C212, ""R""), ""2"","""")"),"")</f>
        <v/>
      </c>
      <c r="Z212" s="246" t="str">
        <f>IFERROR(__xludf.DUMMYFUNCTION("IF(REGEXMATCH(C212, ""g""), ""3"","""")"),"")</f>
        <v/>
      </c>
      <c r="AA212" s="245" t="str">
        <f>IFERROR(__xludf.DUMMYFUNCTION("IF(REGEXMATCH(C212, ""G""), ""4"","""")"),"4")</f>
        <v>4</v>
      </c>
      <c r="AB212" s="245" t="str">
        <f>IFERROR(__xludf.DUMMYFUNCTION("IF(REGEXMATCH(C212, ""m""), ""5"","""")"),"")</f>
        <v/>
      </c>
      <c r="AC212" s="246" t="str">
        <f>IFERROR(__xludf.DUMMYFUNCTION("IF(REGEXMATCH(C212, ""M""), ""6"","""")"),"6")</f>
        <v>6</v>
      </c>
      <c r="AD212" s="245" t="str">
        <f>IFERROR(__xludf.DUMMYFUNCTION("IF(REGEXMATCH(C212, ""P""), ""7"","""")"),"7")</f>
        <v>7</v>
      </c>
      <c r="AE212" s="246" t="str">
        <f>IFERROR(__xludf.DUMMYFUNCTION("IF(REGEXMATCH(C212, ""d""), ""8"","""")"),"")</f>
        <v/>
      </c>
      <c r="AF212" s="245" t="str">
        <f>IFERROR(__xludf.DUMMYFUNCTION("IF(REGEXMATCH(C212, ""D""), ""9"","""")"),"9")</f>
        <v>9</v>
      </c>
      <c r="AG212" s="245" t="str">
        <f>IFERROR(__xludf.DUMMYFUNCTION("IF(REGEXMATCH(C212, ""n""), ""10"","""")"),"")</f>
        <v/>
      </c>
      <c r="AH212" s="246" t="str">
        <f>IFERROR(__xludf.DUMMYFUNCTION("IF(REGEXMATCH(C212, ""N""), ""11"","""")"),"")</f>
        <v/>
      </c>
      <c r="AI212" s="249" t="str">
        <f>IFERROR(__xludf.DUMMYFUNCTION("IF(REGEXMATCH(C212, ""S""), ""0"","""")"),"0")</f>
        <v>0</v>
      </c>
      <c r="AJ212" s="313" t="str">
        <f t="shared" si="11"/>
        <v>T</v>
      </c>
      <c r="AK212" s="313" t="str">
        <f t="shared" si="12"/>
        <v>T</v>
      </c>
      <c r="AL212" s="313" t="str">
        <f t="shared" si="13"/>
        <v>-</v>
      </c>
      <c r="AM212" s="313" t="str">
        <f t="shared" si="14"/>
        <v>-</v>
      </c>
      <c r="AN212" s="313" t="str">
        <f t="shared" si="15"/>
        <v>-</v>
      </c>
      <c r="AO212" s="314" t="str">
        <f t="shared" si="16"/>
        <v>-</v>
      </c>
      <c r="AP212" s="316">
        <f t="shared" si="17"/>
        <v>2</v>
      </c>
      <c r="AQ212" s="319" t="str">
        <f t="shared" si="18"/>
        <v>-</v>
      </c>
      <c r="AR212" s="320">
        <f t="shared" si="19"/>
        <v>0</v>
      </c>
      <c r="AS212" s="250" t="str">
        <f>IFERROR(__xludf.DUMMYFUNCTION("SUBSTITUTE(SUBSTITUTE(CONCATENATE(JOIN("""",FP212:GA212)),""|"",""x""),""-"",""o"")"),"xxooxoxxoxoo")</f>
        <v>xxooxoxxoxoo</v>
      </c>
      <c r="AT212" s="323" t="str">
        <f>IFERROR(__xludf.DUMMYFUNCTION("JOIN("""",AS212,AS212)"),"xxooxoxxoxooxxooxoxxoxoo")</f>
        <v>xxooxoxxoxooxxooxoxxoxoo</v>
      </c>
      <c r="AU212" s="256" t="str">
        <f>IFERROR(__xludf.DUMMYFUNCTION("JOIN("""",ArrayFormula(MID(AS212,LEN(AS212)-SEQUENCE(1,LEN(AS212))+1,1)))"),"ooxoxxoxooxx")</f>
        <v>ooxoxxoxooxx</v>
      </c>
      <c r="AV212" s="256" t="str">
        <f>IFERROR(__xludf.DUMMYFUNCTION("LEFT(CONCATENATE(""x"",JOIN("""",ArrayFormula(MID(AS212,LEN(AS212)-SEQUENCE(1,LEN(AS212))+1,1)))),12)"),"xooxoxxoxoox")</f>
        <v>xooxoxxoxoox</v>
      </c>
      <c r="AW212" s="327" t="str">
        <f>IFERROR(__xludf.DUMMYFUNCTION("JOIN("""",AU212,AU212)"),"ooxoxxoxooxxooxoxxoxooxx")</f>
        <v>ooxoxxoxooxxooxoxxoxooxx</v>
      </c>
      <c r="AX212" s="239" t="str">
        <f>IFERROR(__xludf.DUMMYFUNCTION("IF(REGEXMATCH(AW212,AS212),""✔"",""-"")"),"✔")</f>
        <v>✔</v>
      </c>
      <c r="AY212" s="330" t="str">
        <f t="shared" si="20"/>
        <v>-</v>
      </c>
      <c r="AZ212" s="260" t="str">
        <f t="shared" si="21"/>
        <v>#REF!</v>
      </c>
      <c r="BA212" s="333" t="str">
        <f t="shared" si="22"/>
        <v>xxooxox</v>
      </c>
      <c r="BB212" s="334" t="str">
        <f t="shared" si="23"/>
        <v>xoxoox</v>
      </c>
      <c r="BC212" s="335" t="str">
        <f t="shared" si="236"/>
        <v>-</v>
      </c>
      <c r="BD212" s="336" t="str">
        <f t="shared" si="25"/>
        <v>Malavi: 'xxooxox' + 'xoxoox'</v>
      </c>
      <c r="BE212" s="337">
        <f>IFERROR(__xludf.DUMMYFUNCTION("COUNTUNIQUE(FILTER(AT:AT,REGEXMATCH(AT:AT,AS212)))-1"),1.0)</f>
        <v>1</v>
      </c>
      <c r="BF212" s="261" t="str">
        <f>IFERROR(__xludf.DUMMYFUNCTION("IF(BI212=0,""(n/a)"",IF(BJ212=2,""(PAIR)"",IF(REGEXMATCH(AT212,""xoxoxxoxoxox""),""Bilawal"",IF(REGEXMATCH(AT212,""xoxoxooxoxoo""),""Bhupali"",IF(REGEXMATCH(AT212,""xoxoxxoxxoxo""),""Charukeshi"",IF(REGEXMATCH(AT212,""xoxoooxxoxxo""),""Kameshwari"",IF(REG"&amp;"EXMATCH(AT212,""xoxoxooxoxox""),""Shankara"",IF(REGEXMATCH(AT212,""xxooxoxxxoox""),""Basant"",IF(REGEXMATCH(AT212,""xoxoxxxxoxox""),""Bihag"",IF(REGEXMATCH(AT212,""xoxxxxoxoxxx""),""Pilu"",IF(REGEXMATCH(AT212,""xoxxoxoxxoox""),""Kirwani"",IF(REGEXMATCH(AT"&amp;"212,""xoxxoxoxoxxx""),""Mk.Malhar"",IF(REGEXMATCH(AT212,""xxooxxoxxoox""),""Bhairav"",IF(REGEXMATCH(AT212,""xxoxooxxxoox""),""Todi"",IF(REGEXMATCH(AT212,""xxooxoxooxox""),""Marwa"",IF(REGEXMATCH(AT212,""xxoooxoxxooo""),""Gunkali"",IF(REGEXMATCH(AT212,""xo"&amp;"xoxxoxxoox""),""Nat Bhairav"",IF(REGEXMATCH(AT212,""xoxxoooxoxoo""),""Shivranjani"",IF(REGEXMATCH(AT212,""xooxxxoxooxo""),""Jog"",IF(REGEXMATCH(AT212,""xxooxoxoxoox""),""Hemshri"",IF(REGEXMATCH(AT212,""xoooxooxoxxo""),""Kalavati"",IF(REGEXMATCH(AT212,""xx"&amp;"oxoxxoxoox""),""Kedar"",IF(REGEXMATCH(AT212,""xoxxxxoxooxx""),""Gara"",IF(REGEXMATCH(AT212,""xooxoxooxoox""),""Chandrakauns"",IF(REGEXMATCH(AT212,""xoxxxxoxxxox""),""Mand"",IF(REGEXMATCH(AT212,""xoxxxxoxoxox""),""Hanskinkini"",IF(REGEXMATCH(AT212,""xxooxx"&amp;"oxooxo""),""Lilavati"",IF(REGEXMATCH(AT212,""xooxoxoooxox""),""Rajeshwari"",IF(REGEXMATCH(AT212,""xoooxxoxoxxx""),""Khokar"",IF(REGEXMATCH(AT212,""xxooxoxxxxox""),""Maligoura"",""-""))))))))))))))))))))))))))))))"),"(PAIR)")</f>
        <v>(PAIR)</v>
      </c>
      <c r="BG212" s="239" t="str">
        <f t="shared" si="26"/>
        <v>#REF!</v>
      </c>
      <c r="BH212" s="239">
        <f>IFERROR(__xludf.DUMMYFUNCTION("COUNTUNIQUE(FE212:FO212)-1"),5.0)</f>
        <v>5</v>
      </c>
      <c r="BI212" s="239">
        <f>IFERROR(__xludf.DUMMYFUNCTION("COUNTUNIQUE(FILTER(AT:AT,REGEXMATCH(AT:AT,AS212)))-1"),1.0)</f>
        <v>1</v>
      </c>
      <c r="BJ212" s="239">
        <f>IFERROR(__xludf.DUMMYFUNCTION("COUNTA(FILTER(AT:AT,REGEXMATCH(AT:AT,AS212)))"),2.0)</f>
        <v>2</v>
      </c>
      <c r="BK212" s="341">
        <f>IFERROR(__xludf.DUMMYFUNCTION("COUNTA(FILTER(AT:AT,REGEXMATCH(AT:AT,AS212)))-AR212"),2.0)</f>
        <v>2</v>
      </c>
      <c r="BL212" s="276" t="str">
        <f>IFERROR(__xludf.DUMMYFUNCTION("IF(AS212=""oooooooooooo"",""-"",IF(REGEXMATCH(AT212,""xx""), ""Hemi."", ""Anhemi.""))"),"Hemi.")</f>
        <v>Hemi.</v>
      </c>
      <c r="BM212" s="282" t="str">
        <f>IFERROR(__xludf.DUMMYFUNCTION("IF(AS212=""oooooooooooo"",""-"",IF(REGEXMATCH(AT212,""xxx""), ""Cohem."", ""-""))"),"-")</f>
        <v>-</v>
      </c>
      <c r="BN212" s="282" t="str">
        <f>IFERROR(__xludf.DUMMYFUNCTION("IF(AS212=""oooooooooooo"",""-"",IF(REGEXMATCH(AT212,""xxxx""), ""Co-Co."", ""-""))"),"-")</f>
        <v>-</v>
      </c>
      <c r="BO212" s="342" t="str">
        <f>IFERROR(__xludf.DUMMYFUNCTION("IF(AS212=""oooooooooooo"",""-"",IF(REGEXMATCH(AT212,""xxxxx""), ""CCC."", ""-""))"),"-")</f>
        <v>-</v>
      </c>
      <c r="BP212" s="344" t="str">
        <f t="shared" si="27"/>
        <v>-</v>
      </c>
      <c r="BQ212" s="282" t="str">
        <f>IFERROR(__xludf.DUMMYFUNCTION("IF(REGEXMATCH(JOIN(""-"",EU212:FD212),""TRUE""),""✔"",""-"")"),"✔")</f>
        <v>✔</v>
      </c>
      <c r="BR212" s="225">
        <f t="shared" si="28"/>
        <v>1</v>
      </c>
      <c r="BS212" s="345" t="str">
        <f>IFERROR(__xludf.DUMMYFUNCTION("SUBSTITUTE(SUBSTITUTE(SUBSTITUTE(SUBSTITUTE(CONCATENATE(JOIN(""-"",GC212:GO212)),""--"",""-""),""--"",""-""),""--"",""-""),""--"",""-"")"),"1-b2-3-#4-5-6-8")</f>
        <v>1-b2-3-#4-5-6-8</v>
      </c>
      <c r="BT212" s="299" t="str">
        <f>IFERROR(__xludf.DUMMYFUNCTION("SUBSTITUTE(SUBSTITUTE(SUBSTITUTE(SUBSTITUTE(CONCATENATE(JOIN(""-"",GP212:HB212)),""--"",""-""),""--"",""-""),""--"",""-""),""--"",""-"")"),"S-R1-G3-M2-P-D2-S")</f>
        <v>S-R1-G3-M2-P-D2-S</v>
      </c>
      <c r="BU212" s="348" t="str">
        <f t="shared" si="29"/>
        <v>C-Db-E-F#-G-A-C</v>
      </c>
      <c r="BV212" s="349" t="str">
        <f t="shared" si="30"/>
        <v>SRgmdnNS</v>
      </c>
      <c r="BW212" s="350">
        <f t="shared" si="31"/>
        <v>0</v>
      </c>
      <c r="BX212" s="351">
        <f t="shared" si="32"/>
        <v>1</v>
      </c>
      <c r="BY212" s="392"/>
      <c r="BZ212" s="309" t="str">
        <f>IFERROR(__xludf.DUMMYFUNCTION("IF(REGEXMATCH(C212, ""S""), ""x"",""x"")"),"x")</f>
        <v>x</v>
      </c>
      <c r="CA212" s="245" t="str">
        <f>IFERROR(__xludf.DUMMYFUNCTION("IF(REGEXMATCH(C212, ""r""), ""o"",""x"")"),"o")</f>
        <v>o</v>
      </c>
      <c r="CB212" s="246" t="str">
        <f>IFERROR(__xludf.DUMMYFUNCTION("IF(REGEXMATCH(C212, ""R""), ""o"",""x"")"),"x")</f>
        <v>x</v>
      </c>
      <c r="CC212" s="246" t="str">
        <f>IFERROR(__xludf.DUMMYFUNCTION("IF(REGEXMATCH(C212, ""g""), ""o"",""x"")"),"x")</f>
        <v>x</v>
      </c>
      <c r="CD212" s="245" t="str">
        <f>IFERROR(__xludf.DUMMYFUNCTION("IF(REGEXMATCH(C212, ""G""), ""o"",""x"")"),"o")</f>
        <v>o</v>
      </c>
      <c r="CE212" s="245" t="str">
        <f>IFERROR(__xludf.DUMMYFUNCTION("IF(REGEXMATCH(C212, ""m""), ""o"",""x"")"),"x")</f>
        <v>x</v>
      </c>
      <c r="CF212" s="246" t="str">
        <f>IFERROR(__xludf.DUMMYFUNCTION("IF(REGEXMATCH(C212, ""M""), ""o"",""x"")"),"o")</f>
        <v>o</v>
      </c>
      <c r="CG212" s="245" t="str">
        <f>IFERROR(__xludf.DUMMYFUNCTION("IF(REGEXMATCH(C212, ""P""), ""o"",""x"")"),"o")</f>
        <v>o</v>
      </c>
      <c r="CH212" s="246" t="str">
        <f>IFERROR(__xludf.DUMMYFUNCTION("IF(REGEXMATCH(C212, ""d""), ""o"",""x"")"),"x")</f>
        <v>x</v>
      </c>
      <c r="CI212" s="245" t="str">
        <f>IFERROR(__xludf.DUMMYFUNCTION("IF(REGEXMATCH(C212, ""D""), ""o"",""x"")"),"o")</f>
        <v>o</v>
      </c>
      <c r="CJ212" s="245" t="str">
        <f>IFERROR(__xludf.DUMMYFUNCTION("IF(REGEXMATCH(C212, ""n""), ""o"",""x"")"),"x")</f>
        <v>x</v>
      </c>
      <c r="CK212" s="245" t="str">
        <f>IFERROR(__xludf.DUMMYFUNCTION("IF(REGEXMATCH(C212, ""N""), ""o"",""x"")"),"x")</f>
        <v>x</v>
      </c>
      <c r="CL212" s="356" t="str">
        <f>IFERROR(__xludf.DUMMYFUNCTION("IF(REGEXMATCH(C212, ""S""), ""x"",""x"")"),"x")</f>
        <v>x</v>
      </c>
      <c r="CM212" s="357" t="str">
        <f t="shared" si="33"/>
        <v>xoxxoxooxoxx</v>
      </c>
      <c r="CN212" s="358">
        <f t="shared" si="34"/>
        <v>0</v>
      </c>
      <c r="CO212" s="246" t="str">
        <f>IFERROR(__xludf.DUMMYFUNCTION("IF(REGEXMATCH($C212, ""S""), ""S"",""S"")"),"S")</f>
        <v>S</v>
      </c>
      <c r="CP212" s="246" t="str">
        <f>IFERROR(__xludf.DUMMYFUNCTION("IF(REGEXMATCH($C212, ""r""), """",""r"")"),"")</f>
        <v/>
      </c>
      <c r="CQ212" s="246" t="str">
        <f>IFERROR(__xludf.DUMMYFUNCTION("IF(REGEXMATCH($C212, ""R""), """",""R"")"),"R")</f>
        <v>R</v>
      </c>
      <c r="CR212" s="246" t="str">
        <f>IFERROR(__xludf.DUMMYFUNCTION("IF(REGEXMATCH($C212, ""g""), """",""g"")"),"g")</f>
        <v>g</v>
      </c>
      <c r="CS212" s="246" t="str">
        <f>IFERROR(__xludf.DUMMYFUNCTION("IF(REGEXMATCH($C212, ""G""), """",""G"")"),"")</f>
        <v/>
      </c>
      <c r="CT212" s="246" t="str">
        <f>IFERROR(__xludf.DUMMYFUNCTION("IF(REGEXMATCH($C212, ""m""), """",""m"")"),"m")</f>
        <v>m</v>
      </c>
      <c r="CU212" s="246" t="str">
        <f>IFERROR(__xludf.DUMMYFUNCTION("IF(REGEXMATCH($C212, ""M""), """",""M"")"),"")</f>
        <v/>
      </c>
      <c r="CV212" s="246" t="str">
        <f>IFERROR(__xludf.DUMMYFUNCTION("IF(REGEXMATCH($C212, ""P""), """",""P"")"),"")</f>
        <v/>
      </c>
      <c r="CW212" s="246" t="str">
        <f>IFERROR(__xludf.DUMMYFUNCTION("IF(REGEXMATCH($C212, ""d""), """",""d"")"),"d")</f>
        <v>d</v>
      </c>
      <c r="CX212" s="246" t="str">
        <f>IFERROR(__xludf.DUMMYFUNCTION("IF(REGEXMATCH($C212, ""D""), """",""D"")"),"")</f>
        <v/>
      </c>
      <c r="CY212" s="246" t="str">
        <f>IFERROR(__xludf.DUMMYFUNCTION("IF(REGEXMATCH($C212, ""n""), """",""n"")"),"n")</f>
        <v>n</v>
      </c>
      <c r="CZ212" s="246" t="str">
        <f>IFERROR(__xludf.DUMMYFUNCTION("IF(REGEXMATCH($C212, ""N""), """",""N"")"),"N")</f>
        <v>N</v>
      </c>
      <c r="DA212" s="246" t="str">
        <f>IFERROR(__xludf.DUMMYFUNCTION("IF(REGEXMATCH($C212, ""S""), ""S"",""S"")"),"S")</f>
        <v>S</v>
      </c>
      <c r="DB212" s="362" t="str">
        <f>IFERROR(__xludf.DUMMYFUNCTION("JOIN("""",CO212:DA212,"""","""")"),"SRgmdnNS")</f>
        <v>SRgmdnNS</v>
      </c>
      <c r="DC212" s="363"/>
      <c r="DD212" s="301" t="str">
        <f t="shared" si="35"/>
        <v>#REF!</v>
      </c>
      <c r="DE212" s="302" t="str">
        <f t="shared" si="36"/>
        <v>#REF!</v>
      </c>
      <c r="DF212" s="301" t="str">
        <f t="shared" ref="DF212:DG212" si="639">SUBSTITUTE(S212,"-","")</f>
        <v>SRGM</v>
      </c>
      <c r="DG212" s="301" t="str">
        <f t="shared" si="639"/>
        <v>PDS</v>
      </c>
      <c r="DH212" s="302" t="str">
        <f t="shared" si="38"/>
        <v>(PAIR)</v>
      </c>
      <c r="DI212" s="301" t="str">
        <f t="shared" si="39"/>
        <v>Hemi.</v>
      </c>
      <c r="DJ212" s="364" t="str">
        <f t="shared" si="40"/>
        <v>-</v>
      </c>
      <c r="DK212" s="306" t="str">
        <f t="shared" si="41"/>
        <v>-</v>
      </c>
      <c r="DL212" s="366" t="str">
        <f t="shared" si="42"/>
        <v>✔</v>
      </c>
      <c r="DM212" s="308" t="str">
        <f t="shared" si="43"/>
        <v>-</v>
      </c>
      <c r="DN212" s="306" t="str">
        <f t="shared" si="44"/>
        <v>-</v>
      </c>
      <c r="DO212" s="306" t="str">
        <f t="shared" si="45"/>
        <v>-</v>
      </c>
      <c r="DP212" s="367" t="str">
        <f t="shared" si="46"/>
        <v>✔</v>
      </c>
      <c r="DQ212" s="310" t="str">
        <f t="shared" si="47"/>
        <v>-</v>
      </c>
      <c r="DR212" s="310" t="str">
        <f t="shared" si="48"/>
        <v>-</v>
      </c>
      <c r="DS212" s="310" t="str">
        <f t="shared" si="49"/>
        <v>-</v>
      </c>
      <c r="DT212" s="310" t="str">
        <f t="shared" si="50"/>
        <v>-</v>
      </c>
      <c r="DU212" s="370" t="str">
        <f t="shared" si="51"/>
        <v>-</v>
      </c>
      <c r="DV212" s="306" t="str">
        <f t="shared" si="52"/>
        <v>-</v>
      </c>
      <c r="DW212" s="306" t="str">
        <f t="shared" si="53"/>
        <v>-</v>
      </c>
      <c r="DX212" s="306" t="str">
        <f t="shared" si="54"/>
        <v>-</v>
      </c>
      <c r="DY212" s="306" t="str">
        <f t="shared" si="55"/>
        <v>-</v>
      </c>
      <c r="DZ212" s="306" t="str">
        <f t="shared" si="56"/>
        <v>-</v>
      </c>
      <c r="EA212" s="367" t="str">
        <f t="shared" si="57"/>
        <v>✔</v>
      </c>
      <c r="EB212" s="310" t="str">
        <f>IFERROR(__xludf.DUMMYFUNCTION("IF(REGEXMATCH(AW212,AS212),""✔"",""-"")"),"✔")</f>
        <v>✔</v>
      </c>
      <c r="EC212" s="310" t="str">
        <f t="shared" si="58"/>
        <v>#REF!</v>
      </c>
      <c r="ED212" s="370" t="str">
        <f t="shared" si="59"/>
        <v>-</v>
      </c>
      <c r="EE212" s="340" t="str">
        <f t="shared" si="60"/>
        <v>S-r-G-M-P-D-S</v>
      </c>
      <c r="EF212" s="371" t="str">
        <f>IFERROR(__xludf.DUMMYFUNCTION("CONCATENATE(JOIN("""",HC212:HO212))"),"SgmMdNS")</f>
        <v>SgmMdNS</v>
      </c>
      <c r="EG212" s="372">
        <f t="shared" si="61"/>
        <v>3</v>
      </c>
      <c r="EH212" s="373" t="str">
        <f>IFERROR(__xludf.DUMMYFUNCTION("CONCATENATE(JOIN("""",JC212:JO212))"),"re, Ga, Pa, ")</f>
        <v>re, Ga, Pa, </v>
      </c>
      <c r="EI212" s="322">
        <f t="shared" si="62"/>
        <v>0</v>
      </c>
      <c r="EJ212" s="374" t="str">
        <f>IFERROR(__xludf.DUMMYFUNCTION("CONCATENATE(JOIN("""",KC212:KO212))"),"")</f>
        <v/>
      </c>
      <c r="EK212" s="325" t="str">
        <f t="shared" si="63"/>
        <v>S-R1-G3-M2-P-D2-S</v>
      </c>
      <c r="EL212" s="326" t="str">
        <f t="shared" si="64"/>
        <v>1-b2-3-#4-5-6-8</v>
      </c>
      <c r="EM212" s="318" t="str">
        <f t="shared" si="65"/>
        <v>#REF!</v>
      </c>
      <c r="EN212" s="328" t="str">
        <f>IFERROR(__xludf.DUMMYFUNCTION("SUBSTITUTE(SUBSTITUTE(SUBSTITUTE(SUBSTITUTE(CONCATENATE(JOIN("" "",HP212:IB212)),""  "","" ""),""  "","" ""),""  "","" ""),""  "","" "")"),"o o • • o • o o • o • • o")</f>
        <v>o o • • o • o o • o • • o</v>
      </c>
      <c r="EO212" s="368" t="str">
        <f t="shared" si="66"/>
        <v>Sa-Pa</v>
      </c>
      <c r="EP212" s="339" t="str">
        <f t="shared" si="67"/>
        <v>Sa-Pa</v>
      </c>
      <c r="EQ212" s="339" t="str">
        <f t="shared" si="68"/>
        <v>Sa-Pa</v>
      </c>
      <c r="ER212" s="339" t="str">
        <f t="shared" si="69"/>
        <v>-</v>
      </c>
      <c r="ES212" s="340" t="str">
        <f t="shared" si="70"/>
        <v>-</v>
      </c>
      <c r="ET212" s="363"/>
      <c r="EU212" s="376" t="b">
        <f>IFERROR(__xludf.DUMMYFUNCTION("arrayformula(sum(--REGEXMATCH(""SRGMPDNS"",split(REGEXREPLACE(C212,""(.)"",""$1~""),""~""))))=len(C212)
"),FALSE)</f>
        <v>0</v>
      </c>
      <c r="EV212" s="290" t="b">
        <f>IFERROR(__xludf.DUMMYFUNCTION("arrayformula(sum(--REGEXMATCH(""SRGmPDNS"",split(REGEXREPLACE(C212,""(.)"",""$1~""),""~""))))=len(C212)"),FALSE)</f>
        <v>0</v>
      </c>
      <c r="EW212" s="290" t="b">
        <f>IFERROR(__xludf.DUMMYFUNCTION("arrayformula(sum(--REGEXMATCH(""SRGmPDnS"",split(REGEXREPLACE(C212,""(.)"",""$1~""),""~""))))=len(C212)"),FALSE)</f>
        <v>0</v>
      </c>
      <c r="EX212" s="290" t="b">
        <f>IFERROR(__xludf.DUMMYFUNCTION("arrayformula(sum(--REGEXMATCH(""SRgmPDnS"",split(REGEXREPLACE(C212,""(.)"",""$1~""),""~""))))=len(C212)"),FALSE)</f>
        <v>0</v>
      </c>
      <c r="EY212" s="290" t="b">
        <f>IFERROR(__xludf.DUMMYFUNCTION("arrayformula(sum(--REGEXMATCH(""SRgmPdnS"",split(REGEXREPLACE(C212,""(.)"",""$1~""),""~""))))=len(C212)"),FALSE)</f>
        <v>0</v>
      </c>
      <c r="EZ212" s="290" t="b">
        <f>IFERROR(__xludf.DUMMYFUNCTION("arrayformula(sum(--REGEXMATCH(""SrgmPdnS"",split(REGEXREPLACE(C212,""(.)"",""$1~""),""~""))))=len(C212)"),FALSE)</f>
        <v>0</v>
      </c>
      <c r="FA212" s="290" t="b">
        <f>IFERROR(__xludf.DUMMYFUNCTION("arrayformula(sum(--REGEXMATCH(""SrGmPdNS"",split(REGEXREPLACE(C212,""(.)"",""$1~""),""~""))))=len(C212)"),FALSE)</f>
        <v>0</v>
      </c>
      <c r="FB212" s="290" t="b">
        <f>IFERROR(__xludf.DUMMYFUNCTION("arrayformula(sum(--REGEXMATCH(""SrGMPDNS"",split(REGEXREPLACE(C212,""(.)"",""$1~""),""~""))))=len(C212)"),TRUE)</f>
        <v>1</v>
      </c>
      <c r="FC212" s="290" t="b">
        <f>IFERROR(__xludf.DUMMYFUNCTION("arrayformula(sum(--REGEXMATCH(""SrGMPdNS"",split(REGEXREPLACE(C212,""(.)"",""$1~""),""~""))))=len(C212)"),FALSE)</f>
        <v>0</v>
      </c>
      <c r="FD212" s="377" t="b">
        <f>IFERROR(__xludf.DUMMYFUNCTION("arrayformula(sum(--REGEXMATCH(""SrgMPdNS"",split(REGEXREPLACE(C212,""(.)"",""$1~""),""~""))))=len(C212)"),FALSE)</f>
        <v>0</v>
      </c>
      <c r="FE212" s="269" t="str">
        <f t="shared" si="71"/>
        <v>xooxoxxoxoo</v>
      </c>
      <c r="FF212" s="269" t="str">
        <f t="shared" si="72"/>
        <v>-</v>
      </c>
      <c r="FG212" s="271" t="str">
        <f t="shared" si="73"/>
        <v>-</v>
      </c>
      <c r="FH212" s="269" t="str">
        <f t="shared" si="74"/>
        <v>xoxxoxooxxo</v>
      </c>
      <c r="FI212" s="271" t="str">
        <f t="shared" si="75"/>
        <v>-</v>
      </c>
      <c r="FJ212" s="271" t="str">
        <f t="shared" si="76"/>
        <v>xxoxooxxoox</v>
      </c>
      <c r="FK212" s="271" t="str">
        <f t="shared" si="77"/>
        <v>xoxooxxooxo</v>
      </c>
      <c r="FL212" s="271" t="str">
        <f t="shared" si="78"/>
        <v>-</v>
      </c>
      <c r="FM212" s="271" t="str">
        <f t="shared" si="79"/>
        <v>xooxxooxoxx</v>
      </c>
      <c r="FN212" s="271" t="str">
        <f t="shared" si="80"/>
        <v>-</v>
      </c>
      <c r="FO212" s="274" t="str">
        <f t="shared" si="81"/>
        <v>-</v>
      </c>
      <c r="FP212" s="234" t="str">
        <f t="shared" si="82"/>
        <v>|</v>
      </c>
      <c r="FQ212" s="236" t="str">
        <f t="shared" si="83"/>
        <v>|</v>
      </c>
      <c r="FR212" s="237" t="str">
        <f t="shared" si="84"/>
        <v>-</v>
      </c>
      <c r="FS212" s="236" t="str">
        <f t="shared" si="85"/>
        <v>-</v>
      </c>
      <c r="FT212" s="237" t="str">
        <f t="shared" si="86"/>
        <v>|</v>
      </c>
      <c r="FU212" s="236" t="str">
        <f t="shared" si="87"/>
        <v>-</v>
      </c>
      <c r="FV212" s="237" t="str">
        <f t="shared" si="88"/>
        <v>|</v>
      </c>
      <c r="FW212" s="236" t="str">
        <f t="shared" si="89"/>
        <v>|</v>
      </c>
      <c r="FX212" s="237" t="str">
        <f t="shared" si="90"/>
        <v>-</v>
      </c>
      <c r="FY212" s="236" t="str">
        <f t="shared" si="91"/>
        <v>|</v>
      </c>
      <c r="FZ212" s="237" t="str">
        <f t="shared" si="92"/>
        <v>-</v>
      </c>
      <c r="GA212" s="236" t="str">
        <f t="shared" si="93"/>
        <v>-</v>
      </c>
      <c r="GB212" s="238" t="str">
        <f t="shared" si="94"/>
        <v>|</v>
      </c>
      <c r="GC212" s="244" t="str">
        <f>IFERROR(__xludf.DUMMYFUNCTION("IF(REGEXMATCH(C212, ""S""), ""1"","""")"),"1")</f>
        <v>1</v>
      </c>
      <c r="GD212" s="245" t="str">
        <f>IFERROR(__xludf.DUMMYFUNCTION("IF(REGEXMATCH(C212, ""r""), ""b2"","""")"),"b2")</f>
        <v>b2</v>
      </c>
      <c r="GE212" s="246" t="str">
        <f>IFERROR(__xludf.DUMMYFUNCTION("IF(REGEXMATCH(C212, ""R""), ""2"","""")"),"")</f>
        <v/>
      </c>
      <c r="GF212" s="246" t="str">
        <f>IFERROR(__xludf.DUMMYFUNCTION("IF(REGEXMATCH(C212, ""g""), ""b3"","""")"),"")</f>
        <v/>
      </c>
      <c r="GG212" s="245" t="str">
        <f>IFERROR(__xludf.DUMMYFUNCTION("IF(REGEXMATCH(C212, ""G""), ""3"","""")"),"3")</f>
        <v>3</v>
      </c>
      <c r="GH212" s="245" t="str">
        <f>IFERROR(__xludf.DUMMYFUNCTION("IF(REGEXMATCH(C212, ""m""), ""4"","""")"),"")</f>
        <v/>
      </c>
      <c r="GI212" s="246" t="str">
        <f>IFERROR(__xludf.DUMMYFUNCTION("IF(REGEXMATCH(C212, ""M""), ""#4"","""")"),"#4")</f>
        <v>#4</v>
      </c>
      <c r="GJ212" s="245" t="str">
        <f>IFERROR(__xludf.DUMMYFUNCTION("IF(REGEXMATCH(C212, ""P""), ""5"","""")"),"5")</f>
        <v>5</v>
      </c>
      <c r="GK212" s="246" t="str">
        <f>IFERROR(__xludf.DUMMYFUNCTION("IF(REGEXMATCH(C212, ""d""), ""b6"","""")"),"")</f>
        <v/>
      </c>
      <c r="GL212" s="245" t="str">
        <f>IFERROR(__xludf.DUMMYFUNCTION("IF(REGEXMATCH(C212, ""D""), ""6"","""")"),"6")</f>
        <v>6</v>
      </c>
      <c r="GM212" s="245" t="str">
        <f>IFERROR(__xludf.DUMMYFUNCTION("IF(REGEXMATCH(C212, ""n""), ""b7"","""")"),"")</f>
        <v/>
      </c>
      <c r="GN212" s="246" t="str">
        <f>IFERROR(__xludf.DUMMYFUNCTION("IF(REGEXMATCH(C212, ""N""), ""7"","""")"),"")</f>
        <v/>
      </c>
      <c r="GO212" s="249" t="str">
        <f>IFERROR(__xludf.DUMMYFUNCTION("IF(REGEXMATCH(C212, ""S""), ""8"","""")"),"8")</f>
        <v>8</v>
      </c>
      <c r="GP212" s="244" t="str">
        <f>IFERROR(__xludf.DUMMYFUNCTION("IF(REGEXMATCH(C212, ""S""), ""S"","""")"),"S")</f>
        <v>S</v>
      </c>
      <c r="GQ212" s="294" t="str">
        <f>IFERROR(__xludf.DUMMYFUNCTION("IF(REGEXMATCH(C212, ""r""), ""R1"","""")"),"R1")</f>
        <v>R1</v>
      </c>
      <c r="GR212" s="295" t="str">
        <f>IFERROR(__xludf.DUMMYFUNCTION("IF(REGEXMATCH(C212, ""R""), ""R2"","""")"),"")</f>
        <v/>
      </c>
      <c r="GS212" s="295" t="str">
        <f>IFERROR(__xludf.DUMMYFUNCTION("IF(REGEXMATCH(C212, ""g""), ""G2"","""")"),"")</f>
        <v/>
      </c>
      <c r="GT212" s="294" t="str">
        <f>IFERROR(__xludf.DUMMYFUNCTION("IF(REGEXMATCH(C212, ""G""), ""G3"","""")"),"G3")</f>
        <v>G3</v>
      </c>
      <c r="GU212" s="294" t="str">
        <f>IFERROR(__xludf.DUMMYFUNCTION("IF(REGEXMATCH(C212, ""m""), ""M1"","""")"),"")</f>
        <v/>
      </c>
      <c r="GV212" s="295" t="str">
        <f>IFERROR(__xludf.DUMMYFUNCTION("IF(REGEXMATCH(C212, ""M""), ""M2"","""")"),"M2")</f>
        <v>M2</v>
      </c>
      <c r="GW212" s="294" t="str">
        <f>IFERROR(__xludf.DUMMYFUNCTION("IF(REGEXMATCH(C212, ""P""), ""P"","""")"),"P")</f>
        <v>P</v>
      </c>
      <c r="GX212" s="295" t="str">
        <f>IFERROR(__xludf.DUMMYFUNCTION("IF(REGEXMATCH(C212, ""d""), ""D1"","""")"),"")</f>
        <v/>
      </c>
      <c r="GY212" s="294" t="str">
        <f>IFERROR(__xludf.DUMMYFUNCTION("IF(REGEXMATCH(C212, ""D""), ""D2"","""")"),"D2")</f>
        <v>D2</v>
      </c>
      <c r="GZ212" s="294" t="str">
        <f>IFERROR(__xludf.DUMMYFUNCTION("IF(REGEXMATCH(C212, ""n""), ""N2"","""")"),"")</f>
        <v/>
      </c>
      <c r="HA212" s="295" t="str">
        <f>IFERROR(__xludf.DUMMYFUNCTION("IF(REGEXMATCH(C212, ""N""), ""N3"","""")"),"")</f>
        <v/>
      </c>
      <c r="HB212" s="249" t="str">
        <f>IFERROR(__xludf.DUMMYFUNCTION("IF(REGEXMATCH(C212, ""S""), ""S"","""")"),"S")</f>
        <v>S</v>
      </c>
      <c r="HC212" s="331" t="str">
        <f t="shared" si="95"/>
        <v>S</v>
      </c>
      <c r="HD212" s="332" t="str">
        <f t="shared" si="96"/>
        <v/>
      </c>
      <c r="HE212" s="332" t="str">
        <f t="shared" si="97"/>
        <v/>
      </c>
      <c r="HF212" s="332" t="str">
        <f t="shared" si="98"/>
        <v>g</v>
      </c>
      <c r="HG212" s="332" t="str">
        <f t="shared" si="99"/>
        <v/>
      </c>
      <c r="HH212" s="332" t="str">
        <f t="shared" si="100"/>
        <v>m</v>
      </c>
      <c r="HI212" s="332" t="str">
        <f t="shared" si="101"/>
        <v>M</v>
      </c>
      <c r="HJ212" s="332" t="str">
        <f t="shared" si="102"/>
        <v/>
      </c>
      <c r="HK212" s="332" t="str">
        <f t="shared" si="103"/>
        <v>d</v>
      </c>
      <c r="HL212" s="332" t="str">
        <f t="shared" si="104"/>
        <v/>
      </c>
      <c r="HM212" s="332" t="str">
        <f t="shared" si="105"/>
        <v/>
      </c>
      <c r="HN212" s="332" t="str">
        <f t="shared" si="106"/>
        <v>N</v>
      </c>
      <c r="HO212" s="343" t="str">
        <f t="shared" si="107"/>
        <v>S</v>
      </c>
      <c r="HP212" s="331" t="str">
        <f t="shared" si="108"/>
        <v>o</v>
      </c>
      <c r="HQ212" s="332" t="str">
        <f t="shared" si="109"/>
        <v>o</v>
      </c>
      <c r="HR212" s="332" t="str">
        <f t="shared" si="110"/>
        <v>•</v>
      </c>
      <c r="HS212" s="332" t="str">
        <f t="shared" si="111"/>
        <v>•</v>
      </c>
      <c r="HT212" s="332" t="str">
        <f t="shared" si="112"/>
        <v>o</v>
      </c>
      <c r="HU212" s="332" t="str">
        <f t="shared" si="113"/>
        <v>•</v>
      </c>
      <c r="HV212" s="332" t="str">
        <f t="shared" si="114"/>
        <v>o</v>
      </c>
      <c r="HW212" s="332" t="str">
        <f t="shared" si="115"/>
        <v>o</v>
      </c>
      <c r="HX212" s="332" t="str">
        <f t="shared" si="116"/>
        <v>•</v>
      </c>
      <c r="HY212" s="332" t="str">
        <f t="shared" si="117"/>
        <v>o</v>
      </c>
      <c r="HZ212" s="332" t="str">
        <f t="shared" si="118"/>
        <v>•</v>
      </c>
      <c r="IA212" s="332" t="str">
        <f t="shared" si="119"/>
        <v>•</v>
      </c>
      <c r="IB212" s="338" t="str">
        <f t="shared" si="120"/>
        <v>o</v>
      </c>
      <c r="IC212" s="331" t="str">
        <f t="shared" si="121"/>
        <v>•</v>
      </c>
      <c r="ID212" s="332" t="str">
        <f t="shared" si="122"/>
        <v>•</v>
      </c>
      <c r="IE212" s="332" t="str">
        <f t="shared" si="123"/>
        <v>o</v>
      </c>
      <c r="IF212" s="332" t="str">
        <f t="shared" si="124"/>
        <v>o</v>
      </c>
      <c r="IG212" s="332" t="str">
        <f t="shared" si="125"/>
        <v>•</v>
      </c>
      <c r="IH212" s="332" t="str">
        <f t="shared" si="126"/>
        <v>o</v>
      </c>
      <c r="II212" s="332" t="str">
        <f t="shared" si="127"/>
        <v>•</v>
      </c>
      <c r="IJ212" s="332" t="str">
        <f t="shared" si="128"/>
        <v>•</v>
      </c>
      <c r="IK212" s="332" t="str">
        <f t="shared" si="129"/>
        <v>o</v>
      </c>
      <c r="IL212" s="332" t="str">
        <f t="shared" si="130"/>
        <v>•</v>
      </c>
      <c r="IM212" s="332" t="str">
        <f t="shared" si="131"/>
        <v>o</v>
      </c>
      <c r="IN212" s="332" t="str">
        <f t="shared" si="132"/>
        <v>o</v>
      </c>
      <c r="IO212" s="338" t="str">
        <f t="shared" si="133"/>
        <v>•</v>
      </c>
      <c r="IP212" s="346" t="b">
        <f t="shared" si="134"/>
        <v>0</v>
      </c>
      <c r="IQ212" s="347" t="b">
        <f t="shared" si="135"/>
        <v>1</v>
      </c>
      <c r="IR212" s="347" t="b">
        <f t="shared" si="136"/>
        <v>0</v>
      </c>
      <c r="IS212" s="347" t="b">
        <f t="shared" si="137"/>
        <v>0</v>
      </c>
      <c r="IT212" s="347" t="b">
        <f t="shared" si="138"/>
        <v>1</v>
      </c>
      <c r="IU212" s="347" t="b">
        <f t="shared" si="139"/>
        <v>0</v>
      </c>
      <c r="IV212" s="347" t="b">
        <f t="shared" si="140"/>
        <v>0</v>
      </c>
      <c r="IW212" s="347" t="b">
        <f t="shared" si="141"/>
        <v>1</v>
      </c>
      <c r="IX212" s="347" t="b">
        <f t="shared" si="142"/>
        <v>0</v>
      </c>
      <c r="IY212" s="347" t="b">
        <f t="shared" si="143"/>
        <v>0</v>
      </c>
      <c r="IZ212" s="347" t="b">
        <f t="shared" si="144"/>
        <v>0</v>
      </c>
      <c r="JA212" s="347" t="b">
        <f t="shared" si="145"/>
        <v>0</v>
      </c>
      <c r="JB212" s="353" t="b">
        <f t="shared" si="146"/>
        <v>0</v>
      </c>
      <c r="JC212" s="354" t="str">
        <f t="shared" si="147"/>
        <v/>
      </c>
      <c r="JD212" s="355" t="str">
        <f t="shared" si="148"/>
        <v>re, </v>
      </c>
      <c r="JE212" s="355" t="str">
        <f t="shared" si="149"/>
        <v/>
      </c>
      <c r="JF212" s="355" t="str">
        <f t="shared" si="150"/>
        <v/>
      </c>
      <c r="JG212" s="355" t="str">
        <f t="shared" si="151"/>
        <v>Ga, </v>
      </c>
      <c r="JH212" s="355" t="str">
        <f t="shared" si="152"/>
        <v/>
      </c>
      <c r="JI212" s="355" t="str">
        <f t="shared" si="153"/>
        <v/>
      </c>
      <c r="JJ212" s="355" t="str">
        <f t="shared" si="154"/>
        <v>Pa, </v>
      </c>
      <c r="JK212" s="355" t="str">
        <f t="shared" si="155"/>
        <v/>
      </c>
      <c r="JL212" s="355" t="str">
        <f t="shared" si="156"/>
        <v/>
      </c>
      <c r="JM212" s="355" t="str">
        <f t="shared" si="157"/>
        <v/>
      </c>
      <c r="JN212" s="355" t="str">
        <f t="shared" si="158"/>
        <v/>
      </c>
      <c r="JO212" s="359" t="str">
        <f t="shared" si="159"/>
        <v/>
      </c>
      <c r="JP212" s="346" t="b">
        <f t="shared" si="160"/>
        <v>0</v>
      </c>
      <c r="JQ212" s="347" t="b">
        <f t="shared" si="161"/>
        <v>0</v>
      </c>
      <c r="JR212" s="347" t="b">
        <f t="shared" si="162"/>
        <v>0</v>
      </c>
      <c r="JS212" s="347" t="b">
        <f t="shared" si="163"/>
        <v>0</v>
      </c>
      <c r="JT212" s="347" t="b">
        <f t="shared" si="164"/>
        <v>0</v>
      </c>
      <c r="JU212" s="347" t="b">
        <f t="shared" si="165"/>
        <v>0</v>
      </c>
      <c r="JV212" s="347" t="b">
        <f t="shared" si="166"/>
        <v>0</v>
      </c>
      <c r="JW212" s="347" t="b">
        <f t="shared" si="167"/>
        <v>0</v>
      </c>
      <c r="JX212" s="347" t="b">
        <f t="shared" si="168"/>
        <v>0</v>
      </c>
      <c r="JY212" s="347" t="b">
        <f t="shared" si="169"/>
        <v>0</v>
      </c>
      <c r="JZ212" s="347" t="b">
        <f t="shared" si="170"/>
        <v>0</v>
      </c>
      <c r="KA212" s="347" t="b">
        <f t="shared" si="171"/>
        <v>0</v>
      </c>
      <c r="KB212" s="365" t="b">
        <f t="shared" si="172"/>
        <v>0</v>
      </c>
      <c r="KC212" s="354" t="str">
        <f t="shared" si="173"/>
        <v/>
      </c>
      <c r="KD212" s="355" t="str">
        <f t="shared" si="174"/>
        <v/>
      </c>
      <c r="KE212" s="355" t="str">
        <f t="shared" si="175"/>
        <v/>
      </c>
      <c r="KF212" s="355" t="str">
        <f t="shared" si="176"/>
        <v/>
      </c>
      <c r="KG212" s="355" t="str">
        <f t="shared" si="177"/>
        <v/>
      </c>
      <c r="KH212" s="355" t="str">
        <f t="shared" si="178"/>
        <v/>
      </c>
      <c r="KI212" s="355" t="str">
        <f t="shared" si="179"/>
        <v/>
      </c>
      <c r="KJ212" s="355" t="str">
        <f t="shared" si="180"/>
        <v/>
      </c>
      <c r="KK212" s="355" t="str">
        <f t="shared" si="181"/>
        <v/>
      </c>
      <c r="KL212" s="355" t="str">
        <f t="shared" si="182"/>
        <v/>
      </c>
      <c r="KM212" s="355" t="str">
        <f t="shared" si="183"/>
        <v/>
      </c>
      <c r="KN212" s="355" t="str">
        <f t="shared" si="184"/>
        <v/>
      </c>
      <c r="KO212" s="359"/>
      <c r="KP212" s="378"/>
      <c r="KQ212" s="379" t="s">
        <v>1445</v>
      </c>
      <c r="KR212" s="380" t="s">
        <v>1446</v>
      </c>
      <c r="KS212" s="381" t="str">
        <f t="shared" si="640"/>
        <v>S-r-G-P-D-S</v>
      </c>
      <c r="KT212" s="382">
        <f t="shared" si="186"/>
        <v>5</v>
      </c>
      <c r="KU212" s="383">
        <f t="shared" si="187"/>
        <v>5</v>
      </c>
      <c r="KV212" s="381" t="str">
        <f t="shared" si="205"/>
        <v>S-D-P-M-G-r-S</v>
      </c>
      <c r="KW212" s="382">
        <f t="shared" si="189"/>
        <v>6</v>
      </c>
      <c r="KX212" s="384">
        <f t="shared" si="190"/>
        <v>6</v>
      </c>
      <c r="KY212" s="382">
        <f t="shared" ref="KY212:KZ212" si="641">KW212-KT212</f>
        <v>1</v>
      </c>
      <c r="KZ212" s="369">
        <f t="shared" si="641"/>
        <v>1</v>
      </c>
      <c r="LA212" s="385" t="str">
        <f t="shared" si="192"/>
        <v>-</v>
      </c>
      <c r="LB212" s="340" t="str">
        <f>IFERROR(__xludf.DUMMYFUNCTION("JOIN("""",ArrayFormula(MID(KS212,LEN(KS212)-SEQUENCE(1,LEN(KS212))+1,1)))"),"S-D-P-G-r-S")</f>
        <v>S-D-P-G-r-S</v>
      </c>
      <c r="LC212" s="373" t="str">
        <f>IFERROR(__xludf.DUMMYFUNCTION("JOIN("""",ArrayFormula(MID(KV212,LEN(KV212)-SEQUENCE(1,LEN(KV212))+1,1)))"),"S-r-G-M-P-D-S")</f>
        <v>S-r-G-M-P-D-S</v>
      </c>
      <c r="LD212" s="373" t="str">
        <f t="shared" si="193"/>
        <v>SrGPDS</v>
      </c>
      <c r="LE212" s="339" t="str">
        <f t="shared" si="194"/>
        <v>SrGMPDS</v>
      </c>
      <c r="LF212" s="386" t="str">
        <f>IFERROR(__xludf.DUMMYFUNCTION("SUBSTITUTE(SUBSTITUTE(CONCATENATE(JOIN("""",LH212:LT212)),""1"",""""),""2"","""")"),"SrGMPDS")</f>
        <v>SrGMPDS</v>
      </c>
      <c r="LG212" s="369" t="str">
        <f t="shared" si="195"/>
        <v>✔</v>
      </c>
      <c r="LH212" s="387" t="str">
        <f>IFERROR(__xludf.DUMMYFUNCTION("IF(REGEXMATCH(LD212, ""S""), ""S"",IF(REGEXMATCH(LE212, ""S""), ""S"",""""))"),"S")</f>
        <v>S</v>
      </c>
      <c r="LI212" s="299" t="str">
        <f>IFERROR(__xludf.DUMMYFUNCTION("IF(REGEXMATCH(LD212, ""r""), ""r1"",IF(REGEXMATCH(LE212, ""r""), ""r2"",""""))"),"r1")</f>
        <v>r1</v>
      </c>
      <c r="LJ212" s="299" t="str">
        <f>IFERROR(__xludf.DUMMYFUNCTION("IF(REGEXMATCH(LD212, ""R""), ""R1"",IF(REGEXMATCH(LE212, ""R""), ""R2"",""""))"),"")</f>
        <v/>
      </c>
      <c r="LK212" s="299" t="str">
        <f>IFERROR(__xludf.DUMMYFUNCTION("IF(REGEXMATCH(LD212, ""g""), ""g1"",IF(REGEXMATCH(LE212, ""g""), ""g2"",""""))"),"")</f>
        <v/>
      </c>
      <c r="LL212" s="299" t="str">
        <f>IFERROR(__xludf.DUMMYFUNCTION("IF(REGEXMATCH(LD212, ""G""), ""G1"",IF(REGEXMATCH(LE212, ""G""), ""G2"",""""))"),"G1")</f>
        <v>G1</v>
      </c>
      <c r="LM212" s="299" t="str">
        <f>IFERROR(__xludf.DUMMYFUNCTION("IF(REGEXMATCH(LD212, ""m""), ""m1"",IF(REGEXMATCH(LE212, ""m""), ""m2"",""""))"),"")</f>
        <v/>
      </c>
      <c r="LN212" s="299" t="str">
        <f>IFERROR(__xludf.DUMMYFUNCTION("IF(REGEXMATCH(LD212, ""M""), ""M1"",IF(REGEXMATCH(LE212, ""M""), ""M2"",""""))"),"M2")</f>
        <v>M2</v>
      </c>
      <c r="LO212" s="299" t="str">
        <f>IFERROR(__xludf.DUMMYFUNCTION("IF(REGEXMATCH(LD212, ""P""), ""P1"",IF(REGEXMATCH(LE212, ""P""), ""P2"",""""))"),"P1")</f>
        <v>P1</v>
      </c>
      <c r="LP212" s="299" t="str">
        <f>IFERROR(__xludf.DUMMYFUNCTION("IF(REGEXMATCH(LD212, ""d""), ""d1"",IF(REGEXMATCH(LE212, ""d""), ""d2"",""""))"),"")</f>
        <v/>
      </c>
      <c r="LQ212" s="299" t="str">
        <f>IFERROR(__xludf.DUMMYFUNCTION("IF(REGEXMATCH(LD212, ""D""), ""D1"",IF(REGEXMATCH(LE212, ""D""), ""D2"",""""))"),"D1")</f>
        <v>D1</v>
      </c>
      <c r="LR212" s="299" t="str">
        <f>IFERROR(__xludf.DUMMYFUNCTION("IF(REGEXMATCH(LD212, ""n""), ""n1"",IF(REGEXMATCH(LE212, ""n""), ""n2"",""""))"),"")</f>
        <v/>
      </c>
      <c r="LS212" s="299" t="str">
        <f>IFERROR(__xludf.DUMMYFUNCTION("IF(REGEXMATCH(LD212, ""N""), ""N1"",IF(REGEXMATCH(LE212, ""N""), ""N2"",""""))"),"")</f>
        <v/>
      </c>
      <c r="LT212" s="388" t="str">
        <f>IFERROR(__xludf.DUMMYFUNCTION("IF(REGEXMATCH(LD212, ""S""), ""S"",IF(REGEXMATCH(LE212, ""S""), ""S"",""""))"),"S")</f>
        <v>S</v>
      </c>
      <c r="LU212" s="389">
        <f t="shared" si="196"/>
        <v>-1</v>
      </c>
      <c r="LV212" s="378"/>
      <c r="LW212" s="369"/>
      <c r="LX212" s="369"/>
    </row>
    <row r="213" ht="18.0" customHeight="1">
      <c r="A213" s="298" t="s">
        <v>951</v>
      </c>
      <c r="B213" s="222" t="s">
        <v>952</v>
      </c>
      <c r="C213" s="233" t="str">
        <f t="shared" si="7"/>
        <v>SrGPDnS</v>
      </c>
      <c r="D213" s="234" t="str">
        <f>IFERROR(__xludf.DUMMYFUNCTION("IF(REGEXMATCH(C213, ""S""), ""S"","""")"),"S")</f>
        <v>S</v>
      </c>
      <c r="E213" s="236" t="str">
        <f>IFERROR(__xludf.DUMMYFUNCTION("IF(REGEXMATCH(C213, ""r""), ""r"","""")"),"r")</f>
        <v>r</v>
      </c>
      <c r="F213" s="237" t="str">
        <f>IFERROR(__xludf.DUMMYFUNCTION("IF(REGEXMATCH(C213, ""R""), ""R"","""")"),"")</f>
        <v/>
      </c>
      <c r="G213" s="237" t="str">
        <f>IFERROR(__xludf.DUMMYFUNCTION("IF(REGEXMATCH(C213, ""g""), ""g"","""")"),"")</f>
        <v/>
      </c>
      <c r="H213" s="236" t="str">
        <f>IFERROR(__xludf.DUMMYFUNCTION("IF(REGEXMATCH(C213, ""G""), ""G"","""")"),"G")</f>
        <v>G</v>
      </c>
      <c r="I213" s="236" t="str">
        <f>IFERROR(__xludf.DUMMYFUNCTION("IF(REGEXMATCH(C213, ""m""), ""m"","""")"),"")</f>
        <v/>
      </c>
      <c r="J213" s="237" t="str">
        <f>IFERROR(__xludf.DUMMYFUNCTION("IF(REGEXMATCH(C213, ""M""), ""M"","""")"),"")</f>
        <v/>
      </c>
      <c r="K213" s="236" t="str">
        <f>IFERROR(__xludf.DUMMYFUNCTION("IF(REGEXMATCH(C213, ""P""), ""P"","""")"),"P")</f>
        <v>P</v>
      </c>
      <c r="L213" s="237" t="str">
        <f>IFERROR(__xludf.DUMMYFUNCTION("IF(REGEXMATCH(C213, ""d""), ""d"","""")"),"")</f>
        <v/>
      </c>
      <c r="M213" s="236" t="str">
        <f>IFERROR(__xludf.DUMMYFUNCTION("IF(REGEXMATCH(C213, ""D""), ""D"","""")"),"D")</f>
        <v>D</v>
      </c>
      <c r="N213" s="236" t="str">
        <f>IFERROR(__xludf.DUMMYFUNCTION("IF(REGEXMATCH(C213, ""n""), ""n"","""")"),"n")</f>
        <v>n</v>
      </c>
      <c r="O213" s="237" t="str">
        <f>IFERROR(__xludf.DUMMYFUNCTION("IF(REGEXMATCH(C213, ""N""), ""N"","""")"),"")</f>
        <v/>
      </c>
      <c r="P213" s="238" t="str">
        <f>IFERROR(__xludf.DUMMYFUNCTION("IF(REGEXMATCH(C213, ""S""), ""S"","""")"),"S")</f>
        <v>S</v>
      </c>
      <c r="Q213" s="239" t="str">
        <f>IFERROR(__xludf.DUMMYFUNCTION("SUBSTITUTE(CONCATENATE(JOIN(""-"",D213:J213)),""-"","""")"),"SrG")</f>
        <v>SrG</v>
      </c>
      <c r="R213" s="229" t="str">
        <f>IFERROR(__xludf.DUMMYFUNCTION("SUBSTITUTE(CONCATENATE(JOIN(""-"",K213:P213)),""-"","""")"),"PDnS")</f>
        <v>PDnS</v>
      </c>
      <c r="S213" s="282" t="str">
        <f t="shared" si="8"/>
        <v>S-R-G-</v>
      </c>
      <c r="T213" s="282" t="str">
        <f t="shared" si="9"/>
        <v>P-D-N-S</v>
      </c>
      <c r="U213" s="237" t="str">
        <f>IFERROR(__xludf.DUMMYFUNCTION("SUBSTITUTE(JOIN(""-"",S213,T213),""--"",""-"")"),"S-R-G-P-D-N-S")</f>
        <v>S-R-G-P-D-N-S</v>
      </c>
      <c r="V213" s="309" t="str">
        <f t="shared" si="10"/>
        <v>rGDn</v>
      </c>
      <c r="W213" s="244" t="str">
        <f>IFERROR(__xludf.DUMMYFUNCTION("IF(REGEXMATCH(C213, ""S""), ""0"","""")"),"0")</f>
        <v>0</v>
      </c>
      <c r="X213" s="245" t="str">
        <f>IFERROR(__xludf.DUMMYFUNCTION("IF(REGEXMATCH(C213, ""r""), ""1"","""")"),"1")</f>
        <v>1</v>
      </c>
      <c r="Y213" s="246" t="str">
        <f>IFERROR(__xludf.DUMMYFUNCTION("IF(REGEXMATCH(C213, ""R""), ""2"","""")"),"")</f>
        <v/>
      </c>
      <c r="Z213" s="246" t="str">
        <f>IFERROR(__xludf.DUMMYFUNCTION("IF(REGEXMATCH(C213, ""g""), ""3"","""")"),"")</f>
        <v/>
      </c>
      <c r="AA213" s="245" t="str">
        <f>IFERROR(__xludf.DUMMYFUNCTION("IF(REGEXMATCH(C213, ""G""), ""4"","""")"),"4")</f>
        <v>4</v>
      </c>
      <c r="AB213" s="245" t="str">
        <f>IFERROR(__xludf.DUMMYFUNCTION("IF(REGEXMATCH(C213, ""m""), ""5"","""")"),"")</f>
        <v/>
      </c>
      <c r="AC213" s="246" t="str">
        <f>IFERROR(__xludf.DUMMYFUNCTION("IF(REGEXMATCH(C213, ""M""), ""6"","""")"),"")</f>
        <v/>
      </c>
      <c r="AD213" s="245" t="str">
        <f>IFERROR(__xludf.DUMMYFUNCTION("IF(REGEXMATCH(C213, ""P""), ""7"","""")"),"7")</f>
        <v>7</v>
      </c>
      <c r="AE213" s="246" t="str">
        <f>IFERROR(__xludf.DUMMYFUNCTION("IF(REGEXMATCH(C213, ""d""), ""8"","""")"),"")</f>
        <v/>
      </c>
      <c r="AF213" s="245" t="str">
        <f>IFERROR(__xludf.DUMMYFUNCTION("IF(REGEXMATCH(C213, ""D""), ""9"","""")"),"9")</f>
        <v>9</v>
      </c>
      <c r="AG213" s="245" t="str">
        <f>IFERROR(__xludf.DUMMYFUNCTION("IF(REGEXMATCH(C213, ""n""), ""10"","""")"),"10")</f>
        <v>10</v>
      </c>
      <c r="AH213" s="246" t="str">
        <f>IFERROR(__xludf.DUMMYFUNCTION("IF(REGEXMATCH(C213, ""N""), ""11"","""")"),"")</f>
        <v/>
      </c>
      <c r="AI213" s="249" t="str">
        <f>IFERROR(__xludf.DUMMYFUNCTION("IF(REGEXMATCH(C213, ""S""), ""0"","""")"),"0")</f>
        <v>0</v>
      </c>
      <c r="AJ213" s="313" t="str">
        <f t="shared" si="11"/>
        <v>-</v>
      </c>
      <c r="AK213" s="313" t="str">
        <f t="shared" si="12"/>
        <v>T</v>
      </c>
      <c r="AL213" s="313" t="str">
        <f t="shared" si="13"/>
        <v>-</v>
      </c>
      <c r="AM213" s="313" t="str">
        <f t="shared" si="14"/>
        <v>-</v>
      </c>
      <c r="AN213" s="313" t="str">
        <f t="shared" si="15"/>
        <v>T</v>
      </c>
      <c r="AO213" s="314" t="str">
        <f t="shared" si="16"/>
        <v>-</v>
      </c>
      <c r="AP213" s="316">
        <f t="shared" si="17"/>
        <v>2</v>
      </c>
      <c r="AQ213" s="319" t="str">
        <f t="shared" si="18"/>
        <v>#REF!</v>
      </c>
      <c r="AR213" s="320">
        <f t="shared" si="19"/>
        <v>0</v>
      </c>
      <c r="AS213" s="250" t="str">
        <f>IFERROR(__xludf.DUMMYFUNCTION("SUBSTITUTE(SUBSTITUTE(CONCATENATE(JOIN("""",FP213:GA213)),""|"",""x""),""-"",""o"")"),"xxooxooxoxxo")</f>
        <v>xxooxooxoxxo</v>
      </c>
      <c r="AT213" s="323" t="str">
        <f>IFERROR(__xludf.DUMMYFUNCTION("JOIN("""",AS213,AS213)"),"xxooxooxoxxoxxooxooxoxxo")</f>
        <v>xxooxooxoxxoxxooxooxoxxo</v>
      </c>
      <c r="AU213" s="256" t="str">
        <f>IFERROR(__xludf.DUMMYFUNCTION("JOIN("""",ArrayFormula(MID(AS213,LEN(AS213)-SEQUENCE(1,LEN(AS213))+1,1)))"),"oxxoxooxooxx")</f>
        <v>oxxoxooxooxx</v>
      </c>
      <c r="AV213" s="256" t="str">
        <f>IFERROR(__xludf.DUMMYFUNCTION("LEFT(CONCATENATE(""x"",JOIN("""",ArrayFormula(MID(AS213,LEN(AS213)-SEQUENCE(1,LEN(AS213))+1,1)))),12)"),"xoxxoxooxoox")</f>
        <v>xoxxoxooxoox</v>
      </c>
      <c r="AW213" s="327" t="str">
        <f>IFERROR(__xludf.DUMMYFUNCTION("JOIN("""",AU213,AU213)"),"oxxoxooxooxxoxxoxooxooxx")</f>
        <v>oxxoxooxooxxoxxoxooxooxx</v>
      </c>
      <c r="AX213" s="239" t="str">
        <f>IFERROR(__xludf.DUMMYFUNCTION("IF(REGEXMATCH(AW213,AS213),""✔"",""-"")"),"-")</f>
        <v>-</v>
      </c>
      <c r="AY213" s="330" t="str">
        <f t="shared" si="20"/>
        <v>-</v>
      </c>
      <c r="AZ213" s="260" t="str">
        <f t="shared" si="21"/>
        <v>#REF!</v>
      </c>
      <c r="BA213" s="333" t="str">
        <f t="shared" si="22"/>
        <v>xxooxoo</v>
      </c>
      <c r="BB213" s="334" t="str">
        <f t="shared" si="23"/>
        <v>xoxxox</v>
      </c>
      <c r="BC213" s="335" t="str">
        <f t="shared" si="236"/>
        <v>-</v>
      </c>
      <c r="BD213" s="336" t="str">
        <f t="shared" si="25"/>
        <v>Malay Marutam: 'xxooxoo' + 'xoxxox'</v>
      </c>
      <c r="BE213" s="337">
        <f>IFERROR(__xludf.DUMMYFUNCTION("COUNTUNIQUE(FILTER(AT:AT,REGEXMATCH(AT:AT,AS213)))-1"),0.0)</f>
        <v>0</v>
      </c>
      <c r="BF213" s="261" t="str">
        <f>IFERROR(__xludf.DUMMYFUNCTION("IF(BI213=0,""(n/a)"",IF(BJ213=2,""(PAIR)"",IF(REGEXMATCH(AT213,""xoxoxxoxoxox""),""Bilawal"",IF(REGEXMATCH(AT213,""xoxoxooxoxoo""),""Bhupali"",IF(REGEXMATCH(AT213,""xoxoxxoxxoxo""),""Charukeshi"",IF(REGEXMATCH(AT213,""xoxoooxxoxxo""),""Kameshwari"",IF(REG"&amp;"EXMATCH(AT213,""xoxoxooxoxox""),""Shankara"",IF(REGEXMATCH(AT213,""xxooxoxxxoox""),""Basant"",IF(REGEXMATCH(AT213,""xoxoxxxxoxox""),""Bihag"",IF(REGEXMATCH(AT213,""xoxxxxoxoxxx""),""Pilu"",IF(REGEXMATCH(AT213,""xoxxoxoxxoox""),""Kirwani"",IF(REGEXMATCH(AT"&amp;"213,""xoxxoxoxoxxx""),""Mk.Malhar"",IF(REGEXMATCH(AT213,""xxooxxoxxoox""),""Bhairav"",IF(REGEXMATCH(AT213,""xxoxooxxxoox""),""Todi"",IF(REGEXMATCH(AT213,""xxooxoxooxox""),""Marwa"",IF(REGEXMATCH(AT213,""xxoooxoxxooo""),""Gunkali"",IF(REGEXMATCH(AT213,""xo"&amp;"xoxxoxxoox""),""Nat Bhairav"",IF(REGEXMATCH(AT213,""xoxxoooxoxoo""),""Shivranjani"",IF(REGEXMATCH(AT213,""xooxxxoxooxo""),""Jog"",IF(REGEXMATCH(AT213,""xxooxoxoxoox""),""Hemshri"",IF(REGEXMATCH(AT213,""xoooxooxoxxo""),""Kalavati"",IF(REGEXMATCH(AT213,""xx"&amp;"oxoxxoxoox""),""Kedar"",IF(REGEXMATCH(AT213,""xoxxxxoxooxx""),""Gara"",IF(REGEXMATCH(AT213,""xooxoxooxoox""),""Chandrakauns"",IF(REGEXMATCH(AT213,""xoxxxxoxxxox""),""Mand"",IF(REGEXMATCH(AT213,""xoxxxxoxoxox""),""Hanskinkini"",IF(REGEXMATCH(AT213,""xxooxx"&amp;"oxooxo""),""Lilavati"",IF(REGEXMATCH(AT213,""xooxoxoooxox""),""Rajeshwari"",IF(REGEXMATCH(AT213,""xoooxxoxoxxx""),""Khokar"",IF(REGEXMATCH(AT213,""xxooxoxxxxox""),""Maligoura"",""-""))))))))))))))))))))))))))))))"),"(n/a)")</f>
        <v>(n/a)</v>
      </c>
      <c r="BG213" s="239" t="str">
        <f t="shared" si="26"/>
        <v>#REF!</v>
      </c>
      <c r="BH213" s="239">
        <f>IFERROR(__xludf.DUMMYFUNCTION("COUNTUNIQUE(FE213:FO213)-1"),5.0)</f>
        <v>5</v>
      </c>
      <c r="BI213" s="239">
        <f>IFERROR(__xludf.DUMMYFUNCTION("COUNTUNIQUE(FILTER(AT:AT,REGEXMATCH(AT:AT,AS213)))-1"),0.0)</f>
        <v>0</v>
      </c>
      <c r="BJ213" s="239">
        <f>IFERROR(__xludf.DUMMYFUNCTION("COUNTA(FILTER(AT:AT,REGEXMATCH(AT:AT,AS213)))"),1.0)</f>
        <v>1</v>
      </c>
      <c r="BK213" s="341">
        <f>IFERROR(__xludf.DUMMYFUNCTION("COUNTA(FILTER(AT:AT,REGEXMATCH(AT:AT,AS213)))-AR213"),1.0)</f>
        <v>1</v>
      </c>
      <c r="BL213" s="276" t="str">
        <f>IFERROR(__xludf.DUMMYFUNCTION("IF(AS213=""oooooooooooo"",""-"",IF(REGEXMATCH(AT213,""xx""), ""Hemi."", ""Anhemi.""))"),"Hemi.")</f>
        <v>Hemi.</v>
      </c>
      <c r="BM213" s="282" t="str">
        <f>IFERROR(__xludf.DUMMYFUNCTION("IF(AS213=""oooooooooooo"",""-"",IF(REGEXMATCH(AT213,""xxx""), ""Cohem."", ""-""))"),"-")</f>
        <v>-</v>
      </c>
      <c r="BN213" s="282" t="str">
        <f>IFERROR(__xludf.DUMMYFUNCTION("IF(AS213=""oooooooooooo"",""-"",IF(REGEXMATCH(AT213,""xxxx""), ""Co-Co."", ""-""))"),"-")</f>
        <v>-</v>
      </c>
      <c r="BO213" s="342" t="str">
        <f>IFERROR(__xludf.DUMMYFUNCTION("IF(AS213=""oooooooooooo"",""-"",IF(REGEXMATCH(AT213,""xxxxx""), ""CCC."", ""-""))"),"-")</f>
        <v>-</v>
      </c>
      <c r="BP213" s="344" t="str">
        <f t="shared" si="27"/>
        <v>-</v>
      </c>
      <c r="BQ213" s="282" t="str">
        <f>IFERROR(__xludf.DUMMYFUNCTION("IF(REGEXMATCH(JOIN(""-"",EU213:FD213),""TRUE""),""✔"",""-"")"),"-")</f>
        <v>-</v>
      </c>
      <c r="BR213" s="225">
        <f t="shared" si="28"/>
        <v>0</v>
      </c>
      <c r="BS213" s="345" t="str">
        <f>IFERROR(__xludf.DUMMYFUNCTION("SUBSTITUTE(SUBSTITUTE(SUBSTITUTE(SUBSTITUTE(CONCATENATE(JOIN(""-"",GC213:GO213)),""--"",""-""),""--"",""-""),""--"",""-""),""--"",""-"")"),"1-b2-3-5-6-b7-8")</f>
        <v>1-b2-3-5-6-b7-8</v>
      </c>
      <c r="BT213" s="299" t="str">
        <f>IFERROR(__xludf.DUMMYFUNCTION("SUBSTITUTE(SUBSTITUTE(SUBSTITUTE(SUBSTITUTE(CONCATENATE(JOIN(""-"",GP213:HB213)),""--"",""-""),""--"",""-""),""--"",""-""),""--"",""-"")"),"S-R1-G3-P-D2-N2-S")</f>
        <v>S-R1-G3-P-D2-N2-S</v>
      </c>
      <c r="BU213" s="348" t="str">
        <f t="shared" si="29"/>
        <v>C-Db-E-G-A-Bb-C</v>
      </c>
      <c r="BV213" s="349" t="str">
        <f t="shared" si="30"/>
        <v>SRgmMdNS</v>
      </c>
      <c r="BW213" s="350">
        <f t="shared" si="31"/>
        <v>0</v>
      </c>
      <c r="BX213" s="351">
        <f t="shared" si="32"/>
        <v>1</v>
      </c>
      <c r="BY213" s="392"/>
      <c r="BZ213" s="309" t="str">
        <f>IFERROR(__xludf.DUMMYFUNCTION("IF(REGEXMATCH(C213, ""S""), ""x"",""x"")"),"x")</f>
        <v>x</v>
      </c>
      <c r="CA213" s="245" t="str">
        <f>IFERROR(__xludf.DUMMYFUNCTION("IF(REGEXMATCH(C213, ""r""), ""o"",""x"")"),"o")</f>
        <v>o</v>
      </c>
      <c r="CB213" s="246" t="str">
        <f>IFERROR(__xludf.DUMMYFUNCTION("IF(REGEXMATCH(C213, ""R""), ""o"",""x"")"),"x")</f>
        <v>x</v>
      </c>
      <c r="CC213" s="246" t="str">
        <f>IFERROR(__xludf.DUMMYFUNCTION("IF(REGEXMATCH(C213, ""g""), ""o"",""x"")"),"x")</f>
        <v>x</v>
      </c>
      <c r="CD213" s="245" t="str">
        <f>IFERROR(__xludf.DUMMYFUNCTION("IF(REGEXMATCH(C213, ""G""), ""o"",""x"")"),"o")</f>
        <v>o</v>
      </c>
      <c r="CE213" s="245" t="str">
        <f>IFERROR(__xludf.DUMMYFUNCTION("IF(REGEXMATCH(C213, ""m""), ""o"",""x"")"),"x")</f>
        <v>x</v>
      </c>
      <c r="CF213" s="246" t="str">
        <f>IFERROR(__xludf.DUMMYFUNCTION("IF(REGEXMATCH(C213, ""M""), ""o"",""x"")"),"x")</f>
        <v>x</v>
      </c>
      <c r="CG213" s="245" t="str">
        <f>IFERROR(__xludf.DUMMYFUNCTION("IF(REGEXMATCH(C213, ""P""), ""o"",""x"")"),"o")</f>
        <v>o</v>
      </c>
      <c r="CH213" s="246" t="str">
        <f>IFERROR(__xludf.DUMMYFUNCTION("IF(REGEXMATCH(C213, ""d""), ""o"",""x"")"),"x")</f>
        <v>x</v>
      </c>
      <c r="CI213" s="245" t="str">
        <f>IFERROR(__xludf.DUMMYFUNCTION("IF(REGEXMATCH(C213, ""D""), ""o"",""x"")"),"o")</f>
        <v>o</v>
      </c>
      <c r="CJ213" s="245" t="str">
        <f>IFERROR(__xludf.DUMMYFUNCTION("IF(REGEXMATCH(C213, ""n""), ""o"",""x"")"),"o")</f>
        <v>o</v>
      </c>
      <c r="CK213" s="245" t="str">
        <f>IFERROR(__xludf.DUMMYFUNCTION("IF(REGEXMATCH(C213, ""N""), ""o"",""x"")"),"x")</f>
        <v>x</v>
      </c>
      <c r="CL213" s="356" t="str">
        <f>IFERROR(__xludf.DUMMYFUNCTION("IF(REGEXMATCH(C213, ""S""), ""x"",""x"")"),"x")</f>
        <v>x</v>
      </c>
      <c r="CM213" s="357" t="str">
        <f t="shared" si="33"/>
        <v>xoxxoxxoxoox</v>
      </c>
      <c r="CN213" s="358">
        <f t="shared" si="34"/>
        <v>0</v>
      </c>
      <c r="CO213" s="246" t="str">
        <f>IFERROR(__xludf.DUMMYFUNCTION("IF(REGEXMATCH($C213, ""S""), ""S"",""S"")"),"S")</f>
        <v>S</v>
      </c>
      <c r="CP213" s="246" t="str">
        <f>IFERROR(__xludf.DUMMYFUNCTION("IF(REGEXMATCH($C213, ""r""), """",""r"")"),"")</f>
        <v/>
      </c>
      <c r="CQ213" s="246" t="str">
        <f>IFERROR(__xludf.DUMMYFUNCTION("IF(REGEXMATCH($C213, ""R""), """",""R"")"),"R")</f>
        <v>R</v>
      </c>
      <c r="CR213" s="246" t="str">
        <f>IFERROR(__xludf.DUMMYFUNCTION("IF(REGEXMATCH($C213, ""g""), """",""g"")"),"g")</f>
        <v>g</v>
      </c>
      <c r="CS213" s="246" t="str">
        <f>IFERROR(__xludf.DUMMYFUNCTION("IF(REGEXMATCH($C213, ""G""), """",""G"")"),"")</f>
        <v/>
      </c>
      <c r="CT213" s="246" t="str">
        <f>IFERROR(__xludf.DUMMYFUNCTION("IF(REGEXMATCH($C213, ""m""), """",""m"")"),"m")</f>
        <v>m</v>
      </c>
      <c r="CU213" s="246" t="str">
        <f>IFERROR(__xludf.DUMMYFUNCTION("IF(REGEXMATCH($C213, ""M""), """",""M"")"),"M")</f>
        <v>M</v>
      </c>
      <c r="CV213" s="246" t="str">
        <f>IFERROR(__xludf.DUMMYFUNCTION("IF(REGEXMATCH($C213, ""P""), """",""P"")"),"")</f>
        <v/>
      </c>
      <c r="CW213" s="246" t="str">
        <f>IFERROR(__xludf.DUMMYFUNCTION("IF(REGEXMATCH($C213, ""d""), """",""d"")"),"d")</f>
        <v>d</v>
      </c>
      <c r="CX213" s="246" t="str">
        <f>IFERROR(__xludf.DUMMYFUNCTION("IF(REGEXMATCH($C213, ""D""), """",""D"")"),"")</f>
        <v/>
      </c>
      <c r="CY213" s="246" t="str">
        <f>IFERROR(__xludf.DUMMYFUNCTION("IF(REGEXMATCH($C213, ""n""), """",""n"")"),"")</f>
        <v/>
      </c>
      <c r="CZ213" s="246" t="str">
        <f>IFERROR(__xludf.DUMMYFUNCTION("IF(REGEXMATCH($C213, ""N""), """",""N"")"),"N")</f>
        <v>N</v>
      </c>
      <c r="DA213" s="246" t="str">
        <f>IFERROR(__xludf.DUMMYFUNCTION("IF(REGEXMATCH($C213, ""S""), ""S"",""S"")"),"S")</f>
        <v>S</v>
      </c>
      <c r="DB213" s="362" t="str">
        <f>IFERROR(__xludf.DUMMYFUNCTION("JOIN("""",CO213:DA213,"""","""")"),"SRgmMdNS")</f>
        <v>SRgmMdNS</v>
      </c>
      <c r="DC213" s="363"/>
      <c r="DD213" s="301" t="str">
        <f t="shared" si="35"/>
        <v>#REF!</v>
      </c>
      <c r="DE213" s="302" t="str">
        <f t="shared" si="36"/>
        <v>#REF!</v>
      </c>
      <c r="DF213" s="301" t="str">
        <f t="shared" ref="DF213:DG213" si="642">SUBSTITUTE(S213,"-","")</f>
        <v>SRG</v>
      </c>
      <c r="DG213" s="301" t="str">
        <f t="shared" si="642"/>
        <v>PDNS</v>
      </c>
      <c r="DH213" s="302" t="str">
        <f t="shared" si="38"/>
        <v>(n/a)</v>
      </c>
      <c r="DI213" s="301" t="str">
        <f t="shared" si="39"/>
        <v>Hemi.</v>
      </c>
      <c r="DJ213" s="364" t="str">
        <f t="shared" si="40"/>
        <v>-</v>
      </c>
      <c r="DK213" s="306" t="str">
        <f t="shared" si="41"/>
        <v>-</v>
      </c>
      <c r="DL213" s="366" t="str">
        <f t="shared" si="42"/>
        <v>-</v>
      </c>
      <c r="DM213" s="308" t="str">
        <f t="shared" si="43"/>
        <v>✔</v>
      </c>
      <c r="DN213" s="306" t="str">
        <f t="shared" si="44"/>
        <v>-</v>
      </c>
      <c r="DO213" s="306" t="str">
        <f t="shared" si="45"/>
        <v>-</v>
      </c>
      <c r="DP213" s="367" t="str">
        <f t="shared" si="46"/>
        <v>-</v>
      </c>
      <c r="DQ213" s="310" t="str">
        <f t="shared" si="47"/>
        <v>-</v>
      </c>
      <c r="DR213" s="310" t="str">
        <f t="shared" si="48"/>
        <v>-</v>
      </c>
      <c r="DS213" s="310" t="str">
        <f t="shared" si="49"/>
        <v>-</v>
      </c>
      <c r="DT213" s="310" t="str">
        <f t="shared" si="50"/>
        <v>-</v>
      </c>
      <c r="DU213" s="370" t="str">
        <f t="shared" si="51"/>
        <v>-</v>
      </c>
      <c r="DV213" s="306" t="str">
        <f t="shared" si="52"/>
        <v>-</v>
      </c>
      <c r="DW213" s="306" t="str">
        <f t="shared" si="53"/>
        <v>-</v>
      </c>
      <c r="DX213" s="306" t="str">
        <f t="shared" si="54"/>
        <v>✔</v>
      </c>
      <c r="DY213" s="306" t="str">
        <f t="shared" si="55"/>
        <v>-</v>
      </c>
      <c r="DZ213" s="306" t="str">
        <f t="shared" si="56"/>
        <v>-</v>
      </c>
      <c r="EA213" s="367" t="str">
        <f t="shared" si="57"/>
        <v>-</v>
      </c>
      <c r="EB213" s="310" t="str">
        <f>IFERROR(__xludf.DUMMYFUNCTION("IF(REGEXMATCH(AW213,AS213),""✔"",""-"")"),"-")</f>
        <v>-</v>
      </c>
      <c r="EC213" s="310" t="str">
        <f t="shared" si="58"/>
        <v>#REF!</v>
      </c>
      <c r="ED213" s="370" t="str">
        <f t="shared" si="59"/>
        <v>-</v>
      </c>
      <c r="EE213" s="340" t="str">
        <f t="shared" si="60"/>
        <v>S-r-G-P-D-n-S</v>
      </c>
      <c r="EF213" s="371" t="str">
        <f>IFERROR(__xludf.DUMMYFUNCTION("CONCATENATE(JOIN("""",HC213:HO213))"),"SRgmdNS")</f>
        <v>SRgmdNS</v>
      </c>
      <c r="EG213" s="372">
        <f t="shared" si="61"/>
        <v>4</v>
      </c>
      <c r="EH213" s="373" t="str">
        <f>IFERROR(__xludf.DUMMYFUNCTION("CONCATENATE(JOIN("""",JC213:JO213))"),"re, Ga, Pa, ni, ")</f>
        <v>re, Ga, Pa, ni, </v>
      </c>
      <c r="EI213" s="322">
        <f t="shared" si="62"/>
        <v>2</v>
      </c>
      <c r="EJ213" s="374" t="str">
        <f>IFERROR(__xludf.DUMMYFUNCTION("CONCATENATE(JOIN("""",KC213:KO213))"),"re, ni, ")</f>
        <v>re, ni, </v>
      </c>
      <c r="EK213" s="325" t="str">
        <f t="shared" si="63"/>
        <v>S-R1-G3-P-D2-N2-S</v>
      </c>
      <c r="EL213" s="326" t="str">
        <f t="shared" si="64"/>
        <v>1-b2-3-5-6-b7-8</v>
      </c>
      <c r="EM213" s="318" t="str">
        <f t="shared" si="65"/>
        <v>#REF!</v>
      </c>
      <c r="EN213" s="328" t="str">
        <f>IFERROR(__xludf.DUMMYFUNCTION("SUBSTITUTE(SUBSTITUTE(SUBSTITUTE(SUBSTITUTE(CONCATENATE(JOIN("" "",HP213:IB213)),""  "","" ""),""  "","" ""),""  "","" ""),""  "","" "")"),"o o • • o • • o • o o • o")</f>
        <v>o o • • o • • o • o o • o</v>
      </c>
      <c r="EO213" s="368" t="str">
        <f t="shared" si="66"/>
        <v>Sa-Pa</v>
      </c>
      <c r="EP213" s="339" t="str">
        <f t="shared" si="67"/>
        <v>-</v>
      </c>
      <c r="EQ213" s="339" t="str">
        <f t="shared" si="68"/>
        <v>Sa-Pa</v>
      </c>
      <c r="ER213" s="339" t="str">
        <f t="shared" si="69"/>
        <v>Sa-Pa</v>
      </c>
      <c r="ES213" s="340" t="str">
        <f t="shared" si="70"/>
        <v>-</v>
      </c>
      <c r="ET213" s="363"/>
      <c r="EU213" s="376" t="b">
        <f>IFERROR(__xludf.DUMMYFUNCTION("arrayformula(sum(--REGEXMATCH(""SRGMPDNS"",split(REGEXREPLACE(C213,""(.)"",""$1~""),""~""))))=len(C213)
"),FALSE)</f>
        <v>0</v>
      </c>
      <c r="EV213" s="290" t="b">
        <f>IFERROR(__xludf.DUMMYFUNCTION("arrayformula(sum(--REGEXMATCH(""SRGmPDNS"",split(REGEXREPLACE(C213,""(.)"",""$1~""),""~""))))=len(C213)"),FALSE)</f>
        <v>0</v>
      </c>
      <c r="EW213" s="290" t="b">
        <f>IFERROR(__xludf.DUMMYFUNCTION("arrayformula(sum(--REGEXMATCH(""SRGmPDnS"",split(REGEXREPLACE(C213,""(.)"",""$1~""),""~""))))=len(C213)"),FALSE)</f>
        <v>0</v>
      </c>
      <c r="EX213" s="290" t="b">
        <f>IFERROR(__xludf.DUMMYFUNCTION("arrayformula(sum(--REGEXMATCH(""SRgmPDnS"",split(REGEXREPLACE(C213,""(.)"",""$1~""),""~""))))=len(C213)"),FALSE)</f>
        <v>0</v>
      </c>
      <c r="EY213" s="290" t="b">
        <f>IFERROR(__xludf.DUMMYFUNCTION("arrayformula(sum(--REGEXMATCH(""SRgmPdnS"",split(REGEXREPLACE(C213,""(.)"",""$1~""),""~""))))=len(C213)"),FALSE)</f>
        <v>0</v>
      </c>
      <c r="EZ213" s="290" t="b">
        <f>IFERROR(__xludf.DUMMYFUNCTION("arrayformula(sum(--REGEXMATCH(""SrgmPdnS"",split(REGEXREPLACE(C213,""(.)"",""$1~""),""~""))))=len(C213)"),FALSE)</f>
        <v>0</v>
      </c>
      <c r="FA213" s="290" t="b">
        <f>IFERROR(__xludf.DUMMYFUNCTION("arrayformula(sum(--REGEXMATCH(""SrGmPdNS"",split(REGEXREPLACE(C213,""(.)"",""$1~""),""~""))))=len(C213)"),FALSE)</f>
        <v>0</v>
      </c>
      <c r="FB213" s="290" t="b">
        <f>IFERROR(__xludf.DUMMYFUNCTION("arrayformula(sum(--REGEXMATCH(""SrGMPDNS"",split(REGEXREPLACE(C213,""(.)"",""$1~""),""~""))))=len(C213)"),FALSE)</f>
        <v>0</v>
      </c>
      <c r="FC213" s="290" t="b">
        <f>IFERROR(__xludf.DUMMYFUNCTION("arrayformula(sum(--REGEXMATCH(""SrGMPdNS"",split(REGEXREPLACE(C213,""(.)"",""$1~""),""~""))))=len(C213)"),FALSE)</f>
        <v>0</v>
      </c>
      <c r="FD213" s="377" t="b">
        <f>IFERROR(__xludf.DUMMYFUNCTION("arrayformula(sum(--REGEXMATCH(""SrgMPdNS"",split(REGEXREPLACE(C213,""(.)"",""$1~""),""~""))))=len(C213)"),FALSE)</f>
        <v>0</v>
      </c>
      <c r="FE213" s="269" t="str">
        <f t="shared" si="71"/>
        <v>xooxooxoxxo</v>
      </c>
      <c r="FF213" s="269" t="str">
        <f t="shared" si="72"/>
        <v>-</v>
      </c>
      <c r="FG213" s="271" t="str">
        <f t="shared" si="73"/>
        <v>-</v>
      </c>
      <c r="FH213" s="269" t="str">
        <f t="shared" si="74"/>
        <v>xooxoxxoxxo</v>
      </c>
      <c r="FI213" s="271" t="str">
        <f t="shared" si="75"/>
        <v>-</v>
      </c>
      <c r="FJ213" s="271" t="str">
        <f t="shared" si="76"/>
        <v>-</v>
      </c>
      <c r="FK213" s="271" t="str">
        <f t="shared" si="77"/>
        <v>xoxxoxxooxo</v>
      </c>
      <c r="FL213" s="271" t="str">
        <f t="shared" si="78"/>
        <v>-</v>
      </c>
      <c r="FM213" s="271" t="str">
        <f t="shared" si="79"/>
        <v>xxoxxooxoox</v>
      </c>
      <c r="FN213" s="271" t="str">
        <f t="shared" si="80"/>
        <v>xoxxooxooxo</v>
      </c>
      <c r="FO213" s="274" t="str">
        <f t="shared" si="81"/>
        <v>-</v>
      </c>
      <c r="FP213" s="234" t="str">
        <f t="shared" si="82"/>
        <v>|</v>
      </c>
      <c r="FQ213" s="236" t="str">
        <f t="shared" si="83"/>
        <v>|</v>
      </c>
      <c r="FR213" s="237" t="str">
        <f t="shared" si="84"/>
        <v>-</v>
      </c>
      <c r="FS213" s="236" t="str">
        <f t="shared" si="85"/>
        <v>-</v>
      </c>
      <c r="FT213" s="237" t="str">
        <f t="shared" si="86"/>
        <v>|</v>
      </c>
      <c r="FU213" s="236" t="str">
        <f t="shared" si="87"/>
        <v>-</v>
      </c>
      <c r="FV213" s="237" t="str">
        <f t="shared" si="88"/>
        <v>-</v>
      </c>
      <c r="FW213" s="236" t="str">
        <f t="shared" si="89"/>
        <v>|</v>
      </c>
      <c r="FX213" s="237" t="str">
        <f t="shared" si="90"/>
        <v>-</v>
      </c>
      <c r="FY213" s="236" t="str">
        <f t="shared" si="91"/>
        <v>|</v>
      </c>
      <c r="FZ213" s="237" t="str">
        <f t="shared" si="92"/>
        <v>|</v>
      </c>
      <c r="GA213" s="236" t="str">
        <f t="shared" si="93"/>
        <v>-</v>
      </c>
      <c r="GB213" s="238" t="str">
        <f t="shared" si="94"/>
        <v>|</v>
      </c>
      <c r="GC213" s="244" t="str">
        <f>IFERROR(__xludf.DUMMYFUNCTION("IF(REGEXMATCH(C213, ""S""), ""1"","""")"),"1")</f>
        <v>1</v>
      </c>
      <c r="GD213" s="245" t="str">
        <f>IFERROR(__xludf.DUMMYFUNCTION("IF(REGEXMATCH(C213, ""r""), ""b2"","""")"),"b2")</f>
        <v>b2</v>
      </c>
      <c r="GE213" s="246" t="str">
        <f>IFERROR(__xludf.DUMMYFUNCTION("IF(REGEXMATCH(C213, ""R""), ""2"","""")"),"")</f>
        <v/>
      </c>
      <c r="GF213" s="246" t="str">
        <f>IFERROR(__xludf.DUMMYFUNCTION("IF(REGEXMATCH(C213, ""g""), ""b3"","""")"),"")</f>
        <v/>
      </c>
      <c r="GG213" s="245" t="str">
        <f>IFERROR(__xludf.DUMMYFUNCTION("IF(REGEXMATCH(C213, ""G""), ""3"","""")"),"3")</f>
        <v>3</v>
      </c>
      <c r="GH213" s="245" t="str">
        <f>IFERROR(__xludf.DUMMYFUNCTION("IF(REGEXMATCH(C213, ""m""), ""4"","""")"),"")</f>
        <v/>
      </c>
      <c r="GI213" s="246" t="str">
        <f>IFERROR(__xludf.DUMMYFUNCTION("IF(REGEXMATCH(C213, ""M""), ""#4"","""")"),"")</f>
        <v/>
      </c>
      <c r="GJ213" s="245" t="str">
        <f>IFERROR(__xludf.DUMMYFUNCTION("IF(REGEXMATCH(C213, ""P""), ""5"","""")"),"5")</f>
        <v>5</v>
      </c>
      <c r="GK213" s="246" t="str">
        <f>IFERROR(__xludf.DUMMYFUNCTION("IF(REGEXMATCH(C213, ""d""), ""b6"","""")"),"")</f>
        <v/>
      </c>
      <c r="GL213" s="245" t="str">
        <f>IFERROR(__xludf.DUMMYFUNCTION("IF(REGEXMATCH(C213, ""D""), ""6"","""")"),"6")</f>
        <v>6</v>
      </c>
      <c r="GM213" s="245" t="str">
        <f>IFERROR(__xludf.DUMMYFUNCTION("IF(REGEXMATCH(C213, ""n""), ""b7"","""")"),"b7")</f>
        <v>b7</v>
      </c>
      <c r="GN213" s="246" t="str">
        <f>IFERROR(__xludf.DUMMYFUNCTION("IF(REGEXMATCH(C213, ""N""), ""7"","""")"),"")</f>
        <v/>
      </c>
      <c r="GO213" s="249" t="str">
        <f>IFERROR(__xludf.DUMMYFUNCTION("IF(REGEXMATCH(C213, ""S""), ""8"","""")"),"8")</f>
        <v>8</v>
      </c>
      <c r="GP213" s="244" t="str">
        <f>IFERROR(__xludf.DUMMYFUNCTION("IF(REGEXMATCH(C213, ""S""), ""S"","""")"),"S")</f>
        <v>S</v>
      </c>
      <c r="GQ213" s="294" t="str">
        <f>IFERROR(__xludf.DUMMYFUNCTION("IF(REGEXMATCH(C213, ""r""), ""R1"","""")"),"R1")</f>
        <v>R1</v>
      </c>
      <c r="GR213" s="295" t="str">
        <f>IFERROR(__xludf.DUMMYFUNCTION("IF(REGEXMATCH(C213, ""R""), ""R2"","""")"),"")</f>
        <v/>
      </c>
      <c r="GS213" s="295" t="str">
        <f>IFERROR(__xludf.DUMMYFUNCTION("IF(REGEXMATCH(C213, ""g""), ""G2"","""")"),"")</f>
        <v/>
      </c>
      <c r="GT213" s="294" t="str">
        <f>IFERROR(__xludf.DUMMYFUNCTION("IF(REGEXMATCH(C213, ""G""), ""G3"","""")"),"G3")</f>
        <v>G3</v>
      </c>
      <c r="GU213" s="294" t="str">
        <f>IFERROR(__xludf.DUMMYFUNCTION("IF(REGEXMATCH(C213, ""m""), ""M1"","""")"),"")</f>
        <v/>
      </c>
      <c r="GV213" s="295" t="str">
        <f>IFERROR(__xludf.DUMMYFUNCTION("IF(REGEXMATCH(C213, ""M""), ""M2"","""")"),"")</f>
        <v/>
      </c>
      <c r="GW213" s="294" t="str">
        <f>IFERROR(__xludf.DUMMYFUNCTION("IF(REGEXMATCH(C213, ""P""), ""P"","""")"),"P")</f>
        <v>P</v>
      </c>
      <c r="GX213" s="295" t="str">
        <f>IFERROR(__xludf.DUMMYFUNCTION("IF(REGEXMATCH(C213, ""d""), ""D1"","""")"),"")</f>
        <v/>
      </c>
      <c r="GY213" s="294" t="str">
        <f>IFERROR(__xludf.DUMMYFUNCTION("IF(REGEXMATCH(C213, ""D""), ""D2"","""")"),"D2")</f>
        <v>D2</v>
      </c>
      <c r="GZ213" s="294" t="str">
        <f>IFERROR(__xludf.DUMMYFUNCTION("IF(REGEXMATCH(C213, ""n""), ""N2"","""")"),"N2")</f>
        <v>N2</v>
      </c>
      <c r="HA213" s="295" t="str">
        <f>IFERROR(__xludf.DUMMYFUNCTION("IF(REGEXMATCH(C213, ""N""), ""N3"","""")"),"")</f>
        <v/>
      </c>
      <c r="HB213" s="249" t="str">
        <f>IFERROR(__xludf.DUMMYFUNCTION("IF(REGEXMATCH(C213, ""S""), ""S"","""")"),"S")</f>
        <v>S</v>
      </c>
      <c r="HC213" s="331" t="str">
        <f t="shared" si="95"/>
        <v>S</v>
      </c>
      <c r="HD213" s="332" t="str">
        <f t="shared" si="96"/>
        <v/>
      </c>
      <c r="HE213" s="332" t="str">
        <f t="shared" si="97"/>
        <v>R</v>
      </c>
      <c r="HF213" s="332" t="str">
        <f t="shared" si="98"/>
        <v>g</v>
      </c>
      <c r="HG213" s="332" t="str">
        <f t="shared" si="99"/>
        <v/>
      </c>
      <c r="HH213" s="332" t="str">
        <f t="shared" si="100"/>
        <v>m</v>
      </c>
      <c r="HI213" s="332" t="str">
        <f t="shared" si="101"/>
        <v/>
      </c>
      <c r="HJ213" s="332" t="str">
        <f t="shared" si="102"/>
        <v/>
      </c>
      <c r="HK213" s="332" t="str">
        <f t="shared" si="103"/>
        <v>d</v>
      </c>
      <c r="HL213" s="332" t="str">
        <f t="shared" si="104"/>
        <v/>
      </c>
      <c r="HM213" s="332" t="str">
        <f t="shared" si="105"/>
        <v/>
      </c>
      <c r="HN213" s="332" t="str">
        <f t="shared" si="106"/>
        <v>N</v>
      </c>
      <c r="HO213" s="343" t="str">
        <f t="shared" si="107"/>
        <v>S</v>
      </c>
      <c r="HP213" s="331" t="str">
        <f t="shared" si="108"/>
        <v>o</v>
      </c>
      <c r="HQ213" s="332" t="str">
        <f t="shared" si="109"/>
        <v>o</v>
      </c>
      <c r="HR213" s="332" t="str">
        <f t="shared" si="110"/>
        <v>•</v>
      </c>
      <c r="HS213" s="332" t="str">
        <f t="shared" si="111"/>
        <v>•</v>
      </c>
      <c r="HT213" s="332" t="str">
        <f t="shared" si="112"/>
        <v>o</v>
      </c>
      <c r="HU213" s="332" t="str">
        <f t="shared" si="113"/>
        <v>•</v>
      </c>
      <c r="HV213" s="332" t="str">
        <f t="shared" si="114"/>
        <v>•</v>
      </c>
      <c r="HW213" s="332" t="str">
        <f t="shared" si="115"/>
        <v>o</v>
      </c>
      <c r="HX213" s="332" t="str">
        <f t="shared" si="116"/>
        <v>•</v>
      </c>
      <c r="HY213" s="332" t="str">
        <f t="shared" si="117"/>
        <v>o</v>
      </c>
      <c r="HZ213" s="332" t="str">
        <f t="shared" si="118"/>
        <v>o</v>
      </c>
      <c r="IA213" s="332" t="str">
        <f t="shared" si="119"/>
        <v>•</v>
      </c>
      <c r="IB213" s="338" t="str">
        <f t="shared" si="120"/>
        <v>o</v>
      </c>
      <c r="IC213" s="331" t="str">
        <f t="shared" si="121"/>
        <v>•</v>
      </c>
      <c r="ID213" s="332" t="str">
        <f t="shared" si="122"/>
        <v>•</v>
      </c>
      <c r="IE213" s="332" t="str">
        <f t="shared" si="123"/>
        <v>o</v>
      </c>
      <c r="IF213" s="332" t="str">
        <f t="shared" si="124"/>
        <v>o</v>
      </c>
      <c r="IG213" s="332" t="str">
        <f t="shared" si="125"/>
        <v>•</v>
      </c>
      <c r="IH213" s="332" t="str">
        <f t="shared" si="126"/>
        <v>o</v>
      </c>
      <c r="II213" s="332" t="str">
        <f t="shared" si="127"/>
        <v>o</v>
      </c>
      <c r="IJ213" s="332" t="str">
        <f t="shared" si="128"/>
        <v>•</v>
      </c>
      <c r="IK213" s="332" t="str">
        <f t="shared" si="129"/>
        <v>o</v>
      </c>
      <c r="IL213" s="332" t="str">
        <f t="shared" si="130"/>
        <v>•</v>
      </c>
      <c r="IM213" s="332" t="str">
        <f t="shared" si="131"/>
        <v>•</v>
      </c>
      <c r="IN213" s="332" t="str">
        <f t="shared" si="132"/>
        <v>o</v>
      </c>
      <c r="IO213" s="338" t="str">
        <f t="shared" si="133"/>
        <v>•</v>
      </c>
      <c r="IP213" s="346" t="b">
        <f t="shared" si="134"/>
        <v>0</v>
      </c>
      <c r="IQ213" s="347" t="b">
        <f t="shared" si="135"/>
        <v>1</v>
      </c>
      <c r="IR213" s="347" t="b">
        <f t="shared" si="136"/>
        <v>0</v>
      </c>
      <c r="IS213" s="347" t="b">
        <f t="shared" si="137"/>
        <v>0</v>
      </c>
      <c r="IT213" s="347" t="b">
        <f t="shared" si="138"/>
        <v>1</v>
      </c>
      <c r="IU213" s="347" t="b">
        <f t="shared" si="139"/>
        <v>0</v>
      </c>
      <c r="IV213" s="347" t="b">
        <f t="shared" si="140"/>
        <v>0</v>
      </c>
      <c r="IW213" s="347" t="b">
        <f t="shared" si="141"/>
        <v>1</v>
      </c>
      <c r="IX213" s="347" t="b">
        <f t="shared" si="142"/>
        <v>0</v>
      </c>
      <c r="IY213" s="347" t="b">
        <f t="shared" si="143"/>
        <v>0</v>
      </c>
      <c r="IZ213" s="347" t="b">
        <f t="shared" si="144"/>
        <v>1</v>
      </c>
      <c r="JA213" s="347" t="b">
        <f t="shared" si="145"/>
        <v>0</v>
      </c>
      <c r="JB213" s="353" t="b">
        <f t="shared" si="146"/>
        <v>0</v>
      </c>
      <c r="JC213" s="354" t="str">
        <f t="shared" si="147"/>
        <v/>
      </c>
      <c r="JD213" s="355" t="str">
        <f t="shared" si="148"/>
        <v>re, </v>
      </c>
      <c r="JE213" s="355" t="str">
        <f t="shared" si="149"/>
        <v/>
      </c>
      <c r="JF213" s="355" t="str">
        <f t="shared" si="150"/>
        <v/>
      </c>
      <c r="JG213" s="355" t="str">
        <f t="shared" si="151"/>
        <v>Ga, </v>
      </c>
      <c r="JH213" s="355" t="str">
        <f t="shared" si="152"/>
        <v/>
      </c>
      <c r="JI213" s="355" t="str">
        <f t="shared" si="153"/>
        <v/>
      </c>
      <c r="JJ213" s="355" t="str">
        <f t="shared" si="154"/>
        <v>Pa, </v>
      </c>
      <c r="JK213" s="355" t="str">
        <f t="shared" si="155"/>
        <v/>
      </c>
      <c r="JL213" s="355" t="str">
        <f t="shared" si="156"/>
        <v/>
      </c>
      <c r="JM213" s="355" t="str">
        <f t="shared" si="157"/>
        <v>ni, </v>
      </c>
      <c r="JN213" s="355" t="str">
        <f t="shared" si="158"/>
        <v/>
      </c>
      <c r="JO213" s="359" t="str">
        <f t="shared" si="159"/>
        <v/>
      </c>
      <c r="JP213" s="346" t="b">
        <f t="shared" si="160"/>
        <v>0</v>
      </c>
      <c r="JQ213" s="347" t="b">
        <f t="shared" si="161"/>
        <v>1</v>
      </c>
      <c r="JR213" s="347" t="b">
        <f t="shared" si="162"/>
        <v>0</v>
      </c>
      <c r="JS213" s="347" t="b">
        <f t="shared" si="163"/>
        <v>0</v>
      </c>
      <c r="JT213" s="347" t="b">
        <f t="shared" si="164"/>
        <v>0</v>
      </c>
      <c r="JU213" s="347" t="b">
        <f t="shared" si="165"/>
        <v>0</v>
      </c>
      <c r="JV213" s="347" t="b">
        <f t="shared" si="166"/>
        <v>0</v>
      </c>
      <c r="JW213" s="347" t="b">
        <f t="shared" si="167"/>
        <v>0</v>
      </c>
      <c r="JX213" s="347" t="b">
        <f t="shared" si="168"/>
        <v>0</v>
      </c>
      <c r="JY213" s="347" t="b">
        <f t="shared" si="169"/>
        <v>0</v>
      </c>
      <c r="JZ213" s="347" t="b">
        <f t="shared" si="170"/>
        <v>1</v>
      </c>
      <c r="KA213" s="347" t="b">
        <f t="shared" si="171"/>
        <v>0</v>
      </c>
      <c r="KB213" s="365" t="b">
        <f t="shared" si="172"/>
        <v>0</v>
      </c>
      <c r="KC213" s="354" t="str">
        <f t="shared" si="173"/>
        <v/>
      </c>
      <c r="KD213" s="355" t="str">
        <f t="shared" si="174"/>
        <v>re, </v>
      </c>
      <c r="KE213" s="355" t="str">
        <f t="shared" si="175"/>
        <v/>
      </c>
      <c r="KF213" s="355" t="str">
        <f t="shared" si="176"/>
        <v/>
      </c>
      <c r="KG213" s="355" t="str">
        <f t="shared" si="177"/>
        <v/>
      </c>
      <c r="KH213" s="355" t="str">
        <f t="shared" si="178"/>
        <v/>
      </c>
      <c r="KI213" s="355" t="str">
        <f t="shared" si="179"/>
        <v/>
      </c>
      <c r="KJ213" s="355" t="str">
        <f t="shared" si="180"/>
        <v/>
      </c>
      <c r="KK213" s="355" t="str">
        <f t="shared" si="181"/>
        <v/>
      </c>
      <c r="KL213" s="355" t="str">
        <f t="shared" si="182"/>
        <v/>
      </c>
      <c r="KM213" s="355" t="str">
        <f t="shared" si="183"/>
        <v>ni, </v>
      </c>
      <c r="KN213" s="355" t="str">
        <f t="shared" si="184"/>
        <v/>
      </c>
      <c r="KO213" s="359"/>
      <c r="KP213" s="378"/>
      <c r="KQ213" s="379" t="s">
        <v>952</v>
      </c>
      <c r="KR213" s="380" t="s">
        <v>1447</v>
      </c>
      <c r="KS213" s="381" t="str">
        <f t="shared" si="640"/>
        <v>S-r-G-P-D-n-S</v>
      </c>
      <c r="KT213" s="382">
        <f t="shared" si="186"/>
        <v>6</v>
      </c>
      <c r="KU213" s="383">
        <f t="shared" si="187"/>
        <v>6</v>
      </c>
      <c r="KV213" s="381" t="str">
        <f t="shared" si="205"/>
        <v>S-n-D-P-G-r-S</v>
      </c>
      <c r="KW213" s="382">
        <f t="shared" si="189"/>
        <v>6</v>
      </c>
      <c r="KX213" s="384">
        <f t="shared" si="190"/>
        <v>6</v>
      </c>
      <c r="KY213" s="382">
        <f t="shared" ref="KY213:KZ213" si="643">KW213-KT213</f>
        <v>0</v>
      </c>
      <c r="KZ213" s="369">
        <f t="shared" si="643"/>
        <v>0</v>
      </c>
      <c r="LA213" s="385" t="str">
        <f t="shared" si="192"/>
        <v>✔</v>
      </c>
      <c r="LB213" s="340" t="str">
        <f>IFERROR(__xludf.DUMMYFUNCTION("JOIN("""",ArrayFormula(MID(KS213,LEN(KS213)-SEQUENCE(1,LEN(KS213))+1,1)))"),"S-n-D-P-G-r-S")</f>
        <v>S-n-D-P-G-r-S</v>
      </c>
      <c r="LC213" s="373" t="str">
        <f>IFERROR(__xludf.DUMMYFUNCTION("JOIN("""",ArrayFormula(MID(KV213,LEN(KV213)-SEQUENCE(1,LEN(KV213))+1,1)))"),"S-r-G-P-D-n-S")</f>
        <v>S-r-G-P-D-n-S</v>
      </c>
      <c r="LD213" s="373" t="str">
        <f t="shared" si="193"/>
        <v>SrGPDnS</v>
      </c>
      <c r="LE213" s="339" t="str">
        <f t="shared" si="194"/>
        <v>SrGPDnS</v>
      </c>
      <c r="LF213" s="386" t="str">
        <f>IFERROR(__xludf.DUMMYFUNCTION("SUBSTITUTE(SUBSTITUTE(CONCATENATE(JOIN("""",LH213:LT213)),""1"",""""),""2"","""")"),"SrGPDnS")</f>
        <v>SrGPDnS</v>
      </c>
      <c r="LG213" s="369" t="str">
        <f t="shared" si="195"/>
        <v>✔</v>
      </c>
      <c r="LH213" s="387" t="str">
        <f>IFERROR(__xludf.DUMMYFUNCTION("IF(REGEXMATCH(LD213, ""S""), ""S"",IF(REGEXMATCH(LE213, ""S""), ""S"",""""))"),"S")</f>
        <v>S</v>
      </c>
      <c r="LI213" s="299" t="str">
        <f>IFERROR(__xludf.DUMMYFUNCTION("IF(REGEXMATCH(LD213, ""r""), ""r1"",IF(REGEXMATCH(LE213, ""r""), ""r2"",""""))"),"r1")</f>
        <v>r1</v>
      </c>
      <c r="LJ213" s="299" t="str">
        <f>IFERROR(__xludf.DUMMYFUNCTION("IF(REGEXMATCH(LD213, ""R""), ""R1"",IF(REGEXMATCH(LE213, ""R""), ""R2"",""""))"),"")</f>
        <v/>
      </c>
      <c r="LK213" s="299" t="str">
        <f>IFERROR(__xludf.DUMMYFUNCTION("IF(REGEXMATCH(LD213, ""g""), ""g1"",IF(REGEXMATCH(LE213, ""g""), ""g2"",""""))"),"")</f>
        <v/>
      </c>
      <c r="LL213" s="299" t="str">
        <f>IFERROR(__xludf.DUMMYFUNCTION("IF(REGEXMATCH(LD213, ""G""), ""G1"",IF(REGEXMATCH(LE213, ""G""), ""G2"",""""))"),"G1")</f>
        <v>G1</v>
      </c>
      <c r="LM213" s="299" t="str">
        <f>IFERROR(__xludf.DUMMYFUNCTION("IF(REGEXMATCH(LD213, ""m""), ""m1"",IF(REGEXMATCH(LE213, ""m""), ""m2"",""""))"),"")</f>
        <v/>
      </c>
      <c r="LN213" s="299" t="str">
        <f>IFERROR(__xludf.DUMMYFUNCTION("IF(REGEXMATCH(LD213, ""M""), ""M1"",IF(REGEXMATCH(LE213, ""M""), ""M2"",""""))"),"")</f>
        <v/>
      </c>
      <c r="LO213" s="299" t="str">
        <f>IFERROR(__xludf.DUMMYFUNCTION("IF(REGEXMATCH(LD213, ""P""), ""P1"",IF(REGEXMATCH(LE213, ""P""), ""P2"",""""))"),"P1")</f>
        <v>P1</v>
      </c>
      <c r="LP213" s="299" t="str">
        <f>IFERROR(__xludf.DUMMYFUNCTION("IF(REGEXMATCH(LD213, ""d""), ""d1"",IF(REGEXMATCH(LE213, ""d""), ""d2"",""""))"),"")</f>
        <v/>
      </c>
      <c r="LQ213" s="299" t="str">
        <f>IFERROR(__xludf.DUMMYFUNCTION("IF(REGEXMATCH(LD213, ""D""), ""D1"",IF(REGEXMATCH(LE213, ""D""), ""D2"",""""))"),"D1")</f>
        <v>D1</v>
      </c>
      <c r="LR213" s="299" t="str">
        <f>IFERROR(__xludf.DUMMYFUNCTION("IF(REGEXMATCH(LD213, ""n""), ""n1"",IF(REGEXMATCH(LE213, ""n""), ""n2"",""""))"),"n1")</f>
        <v>n1</v>
      </c>
      <c r="LS213" s="299" t="str">
        <f>IFERROR(__xludf.DUMMYFUNCTION("IF(REGEXMATCH(LD213, ""N""), ""N1"",IF(REGEXMATCH(LE213, ""N""), ""N2"",""""))"),"")</f>
        <v/>
      </c>
      <c r="LT213" s="388" t="str">
        <f>IFERROR(__xludf.DUMMYFUNCTION("IF(REGEXMATCH(LD213, ""S""), ""S"",IF(REGEXMATCH(LE213, ""S""), ""S"",""""))"),"S")</f>
        <v>S</v>
      </c>
      <c r="LU213" s="389">
        <f t="shared" si="196"/>
        <v>1</v>
      </c>
      <c r="LV213" s="378"/>
      <c r="LW213" s="369"/>
      <c r="LX213" s="369"/>
    </row>
    <row r="214" ht="18.0" customHeight="1">
      <c r="A214" s="298" t="s">
        <v>954</v>
      </c>
      <c r="B214" s="222" t="s">
        <v>353</v>
      </c>
      <c r="C214" s="233" t="str">
        <f t="shared" si="7"/>
        <v>SRGmPdnS</v>
      </c>
      <c r="D214" s="234" t="str">
        <f>IFERROR(__xludf.DUMMYFUNCTION("IF(REGEXMATCH(C214, ""S""), ""S"","""")"),"S")</f>
        <v>S</v>
      </c>
      <c r="E214" s="236" t="str">
        <f>IFERROR(__xludf.DUMMYFUNCTION("IF(REGEXMATCH(C214, ""r""), ""r"","""")"),"")</f>
        <v/>
      </c>
      <c r="F214" s="237" t="str">
        <f>IFERROR(__xludf.DUMMYFUNCTION("IF(REGEXMATCH(C214, ""R""), ""R"","""")"),"R")</f>
        <v>R</v>
      </c>
      <c r="G214" s="237" t="str">
        <f>IFERROR(__xludf.DUMMYFUNCTION("IF(REGEXMATCH(C214, ""g""), ""g"","""")"),"")</f>
        <v/>
      </c>
      <c r="H214" s="236" t="str">
        <f>IFERROR(__xludf.DUMMYFUNCTION("IF(REGEXMATCH(C214, ""G""), ""G"","""")"),"G")</f>
        <v>G</v>
      </c>
      <c r="I214" s="236" t="str">
        <f>IFERROR(__xludf.DUMMYFUNCTION("IF(REGEXMATCH(C214, ""m""), ""m"","""")"),"m")</f>
        <v>m</v>
      </c>
      <c r="J214" s="237" t="str">
        <f>IFERROR(__xludf.DUMMYFUNCTION("IF(REGEXMATCH(C214, ""M""), ""M"","""")"),"")</f>
        <v/>
      </c>
      <c r="K214" s="236" t="str">
        <f>IFERROR(__xludf.DUMMYFUNCTION("IF(REGEXMATCH(C214, ""P""), ""P"","""")"),"P")</f>
        <v>P</v>
      </c>
      <c r="L214" s="237" t="str">
        <f>IFERROR(__xludf.DUMMYFUNCTION("IF(REGEXMATCH(C214, ""d""), ""d"","""")"),"d")</f>
        <v>d</v>
      </c>
      <c r="M214" s="236" t="str">
        <f>IFERROR(__xludf.DUMMYFUNCTION("IF(REGEXMATCH(C214, ""D""), ""D"","""")"),"")</f>
        <v/>
      </c>
      <c r="N214" s="236" t="str">
        <f>IFERROR(__xludf.DUMMYFUNCTION("IF(REGEXMATCH(C214, ""n""), ""n"","""")"),"n")</f>
        <v>n</v>
      </c>
      <c r="O214" s="237" t="str">
        <f>IFERROR(__xludf.DUMMYFUNCTION("IF(REGEXMATCH(C214, ""N""), ""N"","""")"),"")</f>
        <v/>
      </c>
      <c r="P214" s="238" t="str">
        <f>IFERROR(__xludf.DUMMYFUNCTION("IF(REGEXMATCH(C214, ""S""), ""S"","""")"),"S")</f>
        <v>S</v>
      </c>
      <c r="Q214" s="239" t="str">
        <f>IFERROR(__xludf.DUMMYFUNCTION("SUBSTITUTE(CONCATENATE(JOIN(""-"",D214:J214)),""-"","""")"),"SRGm")</f>
        <v>SRGm</v>
      </c>
      <c r="R214" s="229" t="str">
        <f>IFERROR(__xludf.DUMMYFUNCTION("SUBSTITUTE(CONCATENATE(JOIN(""-"",K214:P214)),""-"","""")"),"PdnS")</f>
        <v>PdnS</v>
      </c>
      <c r="S214" s="282" t="str">
        <f t="shared" si="8"/>
        <v>S-R-G-M</v>
      </c>
      <c r="T214" s="282" t="str">
        <f t="shared" si="9"/>
        <v>P-D-N-S</v>
      </c>
      <c r="U214" s="237" t="str">
        <f>IFERROR(__xludf.DUMMYFUNCTION("SUBSTITUTE(JOIN(""-"",S214,T214),""--"",""-"")"),"S-R-G-M-P-D-N-S")</f>
        <v>S-R-G-M-P-D-N-S</v>
      </c>
      <c r="V214" s="309" t="str">
        <f t="shared" si="10"/>
        <v>RGmdn</v>
      </c>
      <c r="W214" s="244" t="str">
        <f>IFERROR(__xludf.DUMMYFUNCTION("IF(REGEXMATCH(C214, ""S""), ""0"","""")"),"0")</f>
        <v>0</v>
      </c>
      <c r="X214" s="245" t="str">
        <f>IFERROR(__xludf.DUMMYFUNCTION("IF(REGEXMATCH(C214, ""r""), ""1"","""")"),"")</f>
        <v/>
      </c>
      <c r="Y214" s="246" t="str">
        <f>IFERROR(__xludf.DUMMYFUNCTION("IF(REGEXMATCH(C214, ""R""), ""2"","""")"),"2")</f>
        <v>2</v>
      </c>
      <c r="Z214" s="246" t="str">
        <f>IFERROR(__xludf.DUMMYFUNCTION("IF(REGEXMATCH(C214, ""g""), ""3"","""")"),"")</f>
        <v/>
      </c>
      <c r="AA214" s="245" t="str">
        <f>IFERROR(__xludf.DUMMYFUNCTION("IF(REGEXMATCH(C214, ""G""), ""4"","""")"),"4")</f>
        <v>4</v>
      </c>
      <c r="AB214" s="245" t="str">
        <f>IFERROR(__xludf.DUMMYFUNCTION("IF(REGEXMATCH(C214, ""m""), ""5"","""")"),"5")</f>
        <v>5</v>
      </c>
      <c r="AC214" s="246" t="str">
        <f>IFERROR(__xludf.DUMMYFUNCTION("IF(REGEXMATCH(C214, ""M""), ""6"","""")"),"")</f>
        <v/>
      </c>
      <c r="AD214" s="245" t="str">
        <f>IFERROR(__xludf.DUMMYFUNCTION("IF(REGEXMATCH(C214, ""P""), ""7"","""")"),"7")</f>
        <v>7</v>
      </c>
      <c r="AE214" s="246" t="str">
        <f>IFERROR(__xludf.DUMMYFUNCTION("IF(REGEXMATCH(C214, ""d""), ""8"","""")"),"8")</f>
        <v>8</v>
      </c>
      <c r="AF214" s="245" t="str">
        <f>IFERROR(__xludf.DUMMYFUNCTION("IF(REGEXMATCH(C214, ""D""), ""9"","""")"),"")</f>
        <v/>
      </c>
      <c r="AG214" s="245" t="str">
        <f>IFERROR(__xludf.DUMMYFUNCTION("IF(REGEXMATCH(C214, ""n""), ""10"","""")"),"10")</f>
        <v>10</v>
      </c>
      <c r="AH214" s="246" t="str">
        <f>IFERROR(__xludf.DUMMYFUNCTION("IF(REGEXMATCH(C214, ""N""), ""11"","""")"),"")</f>
        <v/>
      </c>
      <c r="AI214" s="249" t="str">
        <f>IFERROR(__xludf.DUMMYFUNCTION("IF(REGEXMATCH(C214, ""S""), ""0"","""")"),"0")</f>
        <v>0</v>
      </c>
      <c r="AJ214" s="313" t="str">
        <f t="shared" si="11"/>
        <v>-</v>
      </c>
      <c r="AK214" s="313" t="str">
        <f t="shared" si="12"/>
        <v>-</v>
      </c>
      <c r="AL214" s="313" t="str">
        <f t="shared" si="13"/>
        <v>T</v>
      </c>
      <c r="AM214" s="313" t="str">
        <f t="shared" si="14"/>
        <v>-</v>
      </c>
      <c r="AN214" s="313" t="str">
        <f t="shared" si="15"/>
        <v>T</v>
      </c>
      <c r="AO214" s="314" t="str">
        <f t="shared" si="16"/>
        <v>-</v>
      </c>
      <c r="AP214" s="316">
        <f t="shared" si="17"/>
        <v>2</v>
      </c>
      <c r="AQ214" s="319" t="str">
        <f t="shared" si="18"/>
        <v>#REF!</v>
      </c>
      <c r="AR214" s="320">
        <f t="shared" si="19"/>
        <v>0</v>
      </c>
      <c r="AS214" s="250" t="str">
        <f>IFERROR(__xludf.DUMMYFUNCTION("SUBSTITUTE(SUBSTITUTE(CONCATENATE(JOIN("""",FP214:GA214)),""|"",""x""),""-"",""o"")"),"xoxoxxoxxoxo")</f>
        <v>xoxoxxoxxoxo</v>
      </c>
      <c r="AT214" s="323" t="str">
        <f>IFERROR(__xludf.DUMMYFUNCTION("JOIN("""",AS214,AS214)"),"xoxoxxoxxoxoxoxoxxoxxoxo")</f>
        <v>xoxoxxoxxoxoxoxoxxoxxoxo</v>
      </c>
      <c r="AU214" s="256" t="str">
        <f>IFERROR(__xludf.DUMMYFUNCTION("JOIN("""",ArrayFormula(MID(AS214,LEN(AS214)-SEQUENCE(1,LEN(AS214))+1,1)))"),"oxoxxoxxoxox")</f>
        <v>oxoxxoxxoxox</v>
      </c>
      <c r="AV214" s="256" t="str">
        <f>IFERROR(__xludf.DUMMYFUNCTION("LEFT(CONCATENATE(""x"",JOIN("""",ArrayFormula(MID(AS214,LEN(AS214)-SEQUENCE(1,LEN(AS214))+1,1)))),12)"),"xoxoxxoxxoxo")</f>
        <v>xoxoxxoxxoxo</v>
      </c>
      <c r="AW214" s="327" t="str">
        <f>IFERROR(__xludf.DUMMYFUNCTION("JOIN("""",AU214,AU214)"),"oxoxxoxxoxoxoxoxxoxxoxox")</f>
        <v>oxoxxoxxoxoxoxoxxoxxoxox</v>
      </c>
      <c r="AX214" s="239" t="str">
        <f>IFERROR(__xludf.DUMMYFUNCTION("IF(REGEXMATCH(AW214,AS214),""✔"",""-"")"),"✔")</f>
        <v>✔</v>
      </c>
      <c r="AY214" s="330" t="str">
        <f t="shared" si="20"/>
        <v>✔</v>
      </c>
      <c r="AZ214" s="260" t="str">
        <f t="shared" si="21"/>
        <v>#REF!</v>
      </c>
      <c r="BA214" s="333" t="str">
        <f t="shared" si="22"/>
        <v>xoxoxxo</v>
      </c>
      <c r="BB214" s="334" t="str">
        <f t="shared" si="23"/>
        <v>xxoxox</v>
      </c>
      <c r="BC214" s="335" t="str">
        <f t="shared" si="236"/>
        <v>-</v>
      </c>
      <c r="BD214" s="336" t="str">
        <f t="shared" si="25"/>
        <v>Malayalam: 'xoxoxxo' + 'xxoxox'</v>
      </c>
      <c r="BE214" s="337">
        <f>IFERROR(__xludf.DUMMYFUNCTION("COUNTUNIQUE(FILTER(AT:AT,REGEXMATCH(AT:AT,AS214)))-1"),4.0)</f>
        <v>4</v>
      </c>
      <c r="BF214" s="261" t="str">
        <f>IFERROR(__xludf.DUMMYFUNCTION("IF(BI214=0,""(n/a)"",IF(BJ214=2,""(PAIR)"",IF(REGEXMATCH(AT214,""xoxoxxoxoxox""),""Bilawal"",IF(REGEXMATCH(AT214,""xoxoxooxoxoo""),""Bhupali"",IF(REGEXMATCH(AT214,""xoxoxxoxxoxo""),""Charukeshi"",IF(REGEXMATCH(AT214,""xoxoooxxoxxo""),""Kameshwari"",IF(REG"&amp;"EXMATCH(AT214,""xoxoxooxoxox""),""Shankara"",IF(REGEXMATCH(AT214,""xxooxoxxxoox""),""Basant"",IF(REGEXMATCH(AT214,""xoxoxxxxoxox""),""Bihag"",IF(REGEXMATCH(AT214,""xoxxxxoxoxxx""),""Pilu"",IF(REGEXMATCH(AT214,""xoxxoxoxxoox""),""Kirwani"",IF(REGEXMATCH(AT"&amp;"214,""xoxxoxoxoxxx""),""Mk.Malhar"",IF(REGEXMATCH(AT214,""xxooxxoxxoox""),""Bhairav"",IF(REGEXMATCH(AT214,""xxoxooxxxoox""),""Todi"",IF(REGEXMATCH(AT214,""xxooxoxooxox""),""Marwa"",IF(REGEXMATCH(AT214,""xxoooxoxxooo""),""Gunkali"",IF(REGEXMATCH(AT214,""xo"&amp;"xoxxoxxoox""),""Nat Bhairav"",IF(REGEXMATCH(AT214,""xoxxoooxoxoo""),""Shivranjani"",IF(REGEXMATCH(AT214,""xooxxxoxooxo""),""Jog"",IF(REGEXMATCH(AT214,""xxooxoxoxoox""),""Hemshri"",IF(REGEXMATCH(AT214,""xoooxooxoxxo""),""Kalavati"",IF(REGEXMATCH(AT214,""xx"&amp;"oxoxxoxoox""),""Kedar"",IF(REGEXMATCH(AT214,""xoxxxxoxooxx""),""Gara"",IF(REGEXMATCH(AT214,""xooxoxooxoox""),""Chandrakauns"",IF(REGEXMATCH(AT214,""xoxxxxoxxxox""),""Mand"",IF(REGEXMATCH(AT214,""xoxxxxoxoxox""),""Hanskinkini"",IF(REGEXMATCH(AT214,""xxooxx"&amp;"oxooxo""),""Lilavati"",IF(REGEXMATCH(AT214,""xooxoxoooxox""),""Rajeshwari"",IF(REGEXMATCH(AT214,""xoooxxoxoxxx""),""Khokar"",IF(REGEXMATCH(AT214,""xxooxoxxxxox""),""Maligoura"",""-""))))))))))))))))))))))))))))))"),"Charukeshi")</f>
        <v>Charukeshi</v>
      </c>
      <c r="BG214" s="239" t="str">
        <f t="shared" si="26"/>
        <v>#REF!</v>
      </c>
      <c r="BH214" s="239">
        <f>IFERROR(__xludf.DUMMYFUNCTION("COUNTUNIQUE(FE214:FO214)-1"),6.0)</f>
        <v>6</v>
      </c>
      <c r="BI214" s="239">
        <f>IFERROR(__xludf.DUMMYFUNCTION("COUNTUNIQUE(FILTER(AT:AT,REGEXMATCH(AT:AT,AS214)))-1"),4.0)</f>
        <v>4</v>
      </c>
      <c r="BJ214" s="239">
        <f>IFERROR(__xludf.DUMMYFUNCTION("COUNTA(FILTER(AT:AT,REGEXMATCH(AT:AT,AS214)))"),8.0)</f>
        <v>8</v>
      </c>
      <c r="BK214" s="341">
        <f>IFERROR(__xludf.DUMMYFUNCTION("COUNTA(FILTER(AT:AT,REGEXMATCH(AT:AT,AS214)))-AR214"),8.0)</f>
        <v>8</v>
      </c>
      <c r="BL214" s="276" t="str">
        <f>IFERROR(__xludf.DUMMYFUNCTION("IF(AS214=""oooooooooooo"",""-"",IF(REGEXMATCH(AT214,""xx""), ""Hemi."", ""Anhemi.""))"),"Hemi.")</f>
        <v>Hemi.</v>
      </c>
      <c r="BM214" s="282" t="str">
        <f>IFERROR(__xludf.DUMMYFUNCTION("IF(AS214=""oooooooooooo"",""-"",IF(REGEXMATCH(AT214,""xxx""), ""Cohem."", ""-""))"),"-")</f>
        <v>-</v>
      </c>
      <c r="BN214" s="282" t="str">
        <f>IFERROR(__xludf.DUMMYFUNCTION("IF(AS214=""oooooooooooo"",""-"",IF(REGEXMATCH(AT214,""xxxx""), ""Co-Co."", ""-""))"),"-")</f>
        <v>-</v>
      </c>
      <c r="BO214" s="342" t="str">
        <f>IFERROR(__xludf.DUMMYFUNCTION("IF(AS214=""oooooooooooo"",""-"",IF(REGEXMATCH(AT214,""xxxxx""), ""CCC."", ""-""))"),"-")</f>
        <v>-</v>
      </c>
      <c r="BP214" s="344" t="str">
        <f t="shared" si="27"/>
        <v>-</v>
      </c>
      <c r="BQ214" s="282" t="str">
        <f>IFERROR(__xludf.DUMMYFUNCTION("IF(REGEXMATCH(JOIN(""-"",EU214:FD214),""TRUE""),""✔"",""-"")"),"-")</f>
        <v>-</v>
      </c>
      <c r="BR214" s="225">
        <f t="shared" si="28"/>
        <v>0</v>
      </c>
      <c r="BS214" s="345" t="str">
        <f>IFERROR(__xludf.DUMMYFUNCTION("SUBSTITUTE(SUBSTITUTE(SUBSTITUTE(SUBSTITUTE(CONCATENATE(JOIN(""-"",GC214:GO214)),""--"",""-""),""--"",""-""),""--"",""-""),""--"",""-"")"),"1-2-3-4-5-b6-b7-8")</f>
        <v>1-2-3-4-5-b6-b7-8</v>
      </c>
      <c r="BT214" s="299" t="str">
        <f>IFERROR(__xludf.DUMMYFUNCTION("SUBSTITUTE(SUBSTITUTE(SUBSTITUTE(SUBSTITUTE(CONCATENATE(JOIN(""-"",GP214:HB214)),""--"",""-""),""--"",""-""),""--"",""-""),""--"",""-"")"),"S-R2-G3-M1-P-D1-N2-S")</f>
        <v>S-R2-G3-M1-P-D1-N2-S</v>
      </c>
      <c r="BU214" s="348" t="str">
        <f t="shared" si="29"/>
        <v>C-D-E-F-G-Ab-Bb-C</v>
      </c>
      <c r="BV214" s="349" t="str">
        <f t="shared" si="30"/>
        <v>SrgMDNS</v>
      </c>
      <c r="BW214" s="350">
        <f t="shared" si="31"/>
        <v>0</v>
      </c>
      <c r="BX214" s="351">
        <f t="shared" si="32"/>
        <v>2</v>
      </c>
      <c r="BY214" s="392"/>
      <c r="BZ214" s="309" t="str">
        <f>IFERROR(__xludf.DUMMYFUNCTION("IF(REGEXMATCH(C214, ""S""), ""x"",""x"")"),"x")</f>
        <v>x</v>
      </c>
      <c r="CA214" s="245" t="str">
        <f>IFERROR(__xludf.DUMMYFUNCTION("IF(REGEXMATCH(C214, ""r""), ""o"",""x"")"),"x")</f>
        <v>x</v>
      </c>
      <c r="CB214" s="246" t="str">
        <f>IFERROR(__xludf.DUMMYFUNCTION("IF(REGEXMATCH(C214, ""R""), ""o"",""x"")"),"o")</f>
        <v>o</v>
      </c>
      <c r="CC214" s="246" t="str">
        <f>IFERROR(__xludf.DUMMYFUNCTION("IF(REGEXMATCH(C214, ""g""), ""o"",""x"")"),"x")</f>
        <v>x</v>
      </c>
      <c r="CD214" s="245" t="str">
        <f>IFERROR(__xludf.DUMMYFUNCTION("IF(REGEXMATCH(C214, ""G""), ""o"",""x"")"),"o")</f>
        <v>o</v>
      </c>
      <c r="CE214" s="245" t="str">
        <f>IFERROR(__xludf.DUMMYFUNCTION("IF(REGEXMATCH(C214, ""m""), ""o"",""x"")"),"o")</f>
        <v>o</v>
      </c>
      <c r="CF214" s="246" t="str">
        <f>IFERROR(__xludf.DUMMYFUNCTION("IF(REGEXMATCH(C214, ""M""), ""o"",""x"")"),"x")</f>
        <v>x</v>
      </c>
      <c r="CG214" s="245" t="str">
        <f>IFERROR(__xludf.DUMMYFUNCTION("IF(REGEXMATCH(C214, ""P""), ""o"",""x"")"),"o")</f>
        <v>o</v>
      </c>
      <c r="CH214" s="246" t="str">
        <f>IFERROR(__xludf.DUMMYFUNCTION("IF(REGEXMATCH(C214, ""d""), ""o"",""x"")"),"o")</f>
        <v>o</v>
      </c>
      <c r="CI214" s="245" t="str">
        <f>IFERROR(__xludf.DUMMYFUNCTION("IF(REGEXMATCH(C214, ""D""), ""o"",""x"")"),"x")</f>
        <v>x</v>
      </c>
      <c r="CJ214" s="245" t="str">
        <f>IFERROR(__xludf.DUMMYFUNCTION("IF(REGEXMATCH(C214, ""n""), ""o"",""x"")"),"o")</f>
        <v>o</v>
      </c>
      <c r="CK214" s="245" t="str">
        <f>IFERROR(__xludf.DUMMYFUNCTION("IF(REGEXMATCH(C214, ""N""), ""o"",""x"")"),"x")</f>
        <v>x</v>
      </c>
      <c r="CL214" s="356" t="str">
        <f>IFERROR(__xludf.DUMMYFUNCTION("IF(REGEXMATCH(C214, ""S""), ""x"",""x"")"),"x")</f>
        <v>x</v>
      </c>
      <c r="CM214" s="357" t="str">
        <f t="shared" si="33"/>
        <v>xxoxooxooxox</v>
      </c>
      <c r="CN214" s="358">
        <f t="shared" si="34"/>
        <v>0</v>
      </c>
      <c r="CO214" s="246" t="str">
        <f>IFERROR(__xludf.DUMMYFUNCTION("IF(REGEXMATCH($C214, ""S""), ""S"",""S"")"),"S")</f>
        <v>S</v>
      </c>
      <c r="CP214" s="246" t="str">
        <f>IFERROR(__xludf.DUMMYFUNCTION("IF(REGEXMATCH($C214, ""r""), """",""r"")"),"r")</f>
        <v>r</v>
      </c>
      <c r="CQ214" s="246" t="str">
        <f>IFERROR(__xludf.DUMMYFUNCTION("IF(REGEXMATCH($C214, ""R""), """",""R"")"),"")</f>
        <v/>
      </c>
      <c r="CR214" s="246" t="str">
        <f>IFERROR(__xludf.DUMMYFUNCTION("IF(REGEXMATCH($C214, ""g""), """",""g"")"),"g")</f>
        <v>g</v>
      </c>
      <c r="CS214" s="246" t="str">
        <f>IFERROR(__xludf.DUMMYFUNCTION("IF(REGEXMATCH($C214, ""G""), """",""G"")"),"")</f>
        <v/>
      </c>
      <c r="CT214" s="246" t="str">
        <f>IFERROR(__xludf.DUMMYFUNCTION("IF(REGEXMATCH($C214, ""m""), """",""m"")"),"")</f>
        <v/>
      </c>
      <c r="CU214" s="246" t="str">
        <f>IFERROR(__xludf.DUMMYFUNCTION("IF(REGEXMATCH($C214, ""M""), """",""M"")"),"M")</f>
        <v>M</v>
      </c>
      <c r="CV214" s="246" t="str">
        <f>IFERROR(__xludf.DUMMYFUNCTION("IF(REGEXMATCH($C214, ""P""), """",""P"")"),"")</f>
        <v/>
      </c>
      <c r="CW214" s="246" t="str">
        <f>IFERROR(__xludf.DUMMYFUNCTION("IF(REGEXMATCH($C214, ""d""), """",""d"")"),"")</f>
        <v/>
      </c>
      <c r="CX214" s="246" t="str">
        <f>IFERROR(__xludf.DUMMYFUNCTION("IF(REGEXMATCH($C214, ""D""), """",""D"")"),"D")</f>
        <v>D</v>
      </c>
      <c r="CY214" s="246" t="str">
        <f>IFERROR(__xludf.DUMMYFUNCTION("IF(REGEXMATCH($C214, ""n""), """",""n"")"),"")</f>
        <v/>
      </c>
      <c r="CZ214" s="246" t="str">
        <f>IFERROR(__xludf.DUMMYFUNCTION("IF(REGEXMATCH($C214, ""N""), """",""N"")"),"N")</f>
        <v>N</v>
      </c>
      <c r="DA214" s="246" t="str">
        <f>IFERROR(__xludf.DUMMYFUNCTION("IF(REGEXMATCH($C214, ""S""), ""S"",""S"")"),"S")</f>
        <v>S</v>
      </c>
      <c r="DB214" s="362" t="str">
        <f>IFERROR(__xludf.DUMMYFUNCTION("JOIN("""",CO214:DA214,"""","""")"),"SrgMDNS")</f>
        <v>SrgMDNS</v>
      </c>
      <c r="DC214" s="363"/>
      <c r="DD214" s="301" t="str">
        <f t="shared" si="35"/>
        <v>#REF!</v>
      </c>
      <c r="DE214" s="302" t="str">
        <f t="shared" si="36"/>
        <v>#REF!</v>
      </c>
      <c r="DF214" s="301" t="str">
        <f t="shared" ref="DF214:DG214" si="644">SUBSTITUTE(S214,"-","")</f>
        <v>SRGM</v>
      </c>
      <c r="DG214" s="301" t="str">
        <f t="shared" si="644"/>
        <v>PDNS</v>
      </c>
      <c r="DH214" s="302" t="str">
        <f t="shared" si="38"/>
        <v>Charukeshi</v>
      </c>
      <c r="DI214" s="301" t="str">
        <f t="shared" si="39"/>
        <v>Hemi.</v>
      </c>
      <c r="DJ214" s="364" t="str">
        <f t="shared" si="40"/>
        <v>-</v>
      </c>
      <c r="DK214" s="306" t="str">
        <f t="shared" si="41"/>
        <v>-</v>
      </c>
      <c r="DL214" s="366" t="str">
        <f t="shared" si="42"/>
        <v>-</v>
      </c>
      <c r="DM214" s="308" t="str">
        <f t="shared" si="43"/>
        <v>✔</v>
      </c>
      <c r="DN214" s="306" t="str">
        <f t="shared" si="44"/>
        <v>-</v>
      </c>
      <c r="DO214" s="306" t="str">
        <f t="shared" si="45"/>
        <v>-</v>
      </c>
      <c r="DP214" s="367" t="str">
        <f t="shared" si="46"/>
        <v>-</v>
      </c>
      <c r="DQ214" s="310" t="str">
        <f t="shared" si="47"/>
        <v>-</v>
      </c>
      <c r="DR214" s="310" t="str">
        <f t="shared" si="48"/>
        <v>-</v>
      </c>
      <c r="DS214" s="310" t="str">
        <f t="shared" si="49"/>
        <v>-</v>
      </c>
      <c r="DT214" s="310" t="str">
        <f t="shared" si="50"/>
        <v>-</v>
      </c>
      <c r="DU214" s="370" t="str">
        <f t="shared" si="51"/>
        <v>-</v>
      </c>
      <c r="DV214" s="306" t="str">
        <f t="shared" si="52"/>
        <v>-</v>
      </c>
      <c r="DW214" s="306" t="str">
        <f t="shared" si="53"/>
        <v>-</v>
      </c>
      <c r="DX214" s="306" t="str">
        <f t="shared" si="54"/>
        <v>-</v>
      </c>
      <c r="DY214" s="306" t="str">
        <f t="shared" si="55"/>
        <v>-</v>
      </c>
      <c r="DZ214" s="306" t="str">
        <f t="shared" si="56"/>
        <v>-</v>
      </c>
      <c r="EA214" s="367" t="str">
        <f t="shared" si="57"/>
        <v>-</v>
      </c>
      <c r="EB214" s="310" t="str">
        <f>IFERROR(__xludf.DUMMYFUNCTION("IF(REGEXMATCH(AW214,AS214),""✔"",""-"")"),"✔")</f>
        <v>✔</v>
      </c>
      <c r="EC214" s="310" t="str">
        <f t="shared" si="58"/>
        <v>#REF!</v>
      </c>
      <c r="ED214" s="370" t="str">
        <f t="shared" si="59"/>
        <v>✔</v>
      </c>
      <c r="EE214" s="340" t="str">
        <f t="shared" si="60"/>
        <v>S-R-G-m-P-d-n-S</v>
      </c>
      <c r="EF214" s="371" t="str">
        <f>IFERROR(__xludf.DUMMYFUNCTION("CONCATENATE(JOIN("""",HC214:HO214))"),"SRGmPdnS")</f>
        <v>SRGmPdnS</v>
      </c>
      <c r="EG214" s="372">
        <f t="shared" si="61"/>
        <v>3</v>
      </c>
      <c r="EH214" s="373" t="str">
        <f>IFERROR(__xludf.DUMMYFUNCTION("CONCATENATE(JOIN("""",JC214:JO214))"),"Re, Ga, dha, ")</f>
        <v>Re, Ga, dha, </v>
      </c>
      <c r="EI214" s="322">
        <f t="shared" si="62"/>
        <v>2</v>
      </c>
      <c r="EJ214" s="374" t="str">
        <f>IFERROR(__xludf.DUMMYFUNCTION("CONCATENATE(JOIN("""",KC214:KO214))"),"Ga, dha, ")</f>
        <v>Ga, dha, </v>
      </c>
      <c r="EK214" s="325" t="str">
        <f t="shared" si="63"/>
        <v>S-R2-G3-M1-P-D1-N2-S</v>
      </c>
      <c r="EL214" s="326" t="str">
        <f t="shared" si="64"/>
        <v>1-2-3-4-5-b6-b7-8</v>
      </c>
      <c r="EM214" s="318" t="str">
        <f t="shared" si="65"/>
        <v>#REF!</v>
      </c>
      <c r="EN214" s="328" t="str">
        <f>IFERROR(__xludf.DUMMYFUNCTION("SUBSTITUTE(SUBSTITUTE(SUBSTITUTE(SUBSTITUTE(CONCATENATE(JOIN("" "",HP214:IB214)),""  "","" ""),""  "","" ""),""  "","" ""),""  "","" "")"),"o • o • o o • o o • o • o")</f>
        <v>o • o • o o • o o • o • o</v>
      </c>
      <c r="EO214" s="368" t="str">
        <f t="shared" si="66"/>
        <v>-</v>
      </c>
      <c r="EP214" s="339" t="str">
        <f t="shared" si="67"/>
        <v>-</v>
      </c>
      <c r="EQ214" s="339" t="str">
        <f t="shared" si="68"/>
        <v>Sa-Pa</v>
      </c>
      <c r="ER214" s="339" t="str">
        <f t="shared" si="69"/>
        <v>-</v>
      </c>
      <c r="ES214" s="340" t="str">
        <f t="shared" si="70"/>
        <v>-</v>
      </c>
      <c r="ET214" s="363"/>
      <c r="EU214" s="376" t="b">
        <f>IFERROR(__xludf.DUMMYFUNCTION("arrayformula(sum(--REGEXMATCH(""SRGMPDNS"",split(REGEXREPLACE(C214,""(.)"",""$1~""),""~""))))=len(C214)
"),FALSE)</f>
        <v>0</v>
      </c>
      <c r="EV214" s="290" t="b">
        <f>IFERROR(__xludf.DUMMYFUNCTION("arrayformula(sum(--REGEXMATCH(""SRGmPDNS"",split(REGEXREPLACE(C214,""(.)"",""$1~""),""~""))))=len(C214)"),FALSE)</f>
        <v>0</v>
      </c>
      <c r="EW214" s="290" t="b">
        <f>IFERROR(__xludf.DUMMYFUNCTION("arrayformula(sum(--REGEXMATCH(""SRGmPDnS"",split(REGEXREPLACE(C214,""(.)"",""$1~""),""~""))))=len(C214)"),FALSE)</f>
        <v>0</v>
      </c>
      <c r="EX214" s="290" t="b">
        <f>IFERROR(__xludf.DUMMYFUNCTION("arrayformula(sum(--REGEXMATCH(""SRgmPDnS"",split(REGEXREPLACE(C214,""(.)"",""$1~""),""~""))))=len(C214)"),FALSE)</f>
        <v>0</v>
      </c>
      <c r="EY214" s="290" t="b">
        <f>IFERROR(__xludf.DUMMYFUNCTION("arrayformula(sum(--REGEXMATCH(""SRgmPdnS"",split(REGEXREPLACE(C214,""(.)"",""$1~""),""~""))))=len(C214)"),FALSE)</f>
        <v>0</v>
      </c>
      <c r="EZ214" s="290" t="b">
        <f>IFERROR(__xludf.DUMMYFUNCTION("arrayformula(sum(--REGEXMATCH(""SrgmPdnS"",split(REGEXREPLACE(C214,""(.)"",""$1~""),""~""))))=len(C214)"),FALSE)</f>
        <v>0</v>
      </c>
      <c r="FA214" s="290" t="b">
        <f>IFERROR(__xludf.DUMMYFUNCTION("arrayformula(sum(--REGEXMATCH(""SrGmPdNS"",split(REGEXREPLACE(C214,""(.)"",""$1~""),""~""))))=len(C214)"),FALSE)</f>
        <v>0</v>
      </c>
      <c r="FB214" s="290" t="b">
        <f>IFERROR(__xludf.DUMMYFUNCTION("arrayformula(sum(--REGEXMATCH(""SrGMPDNS"",split(REGEXREPLACE(C214,""(.)"",""$1~""),""~""))))=len(C214)"),FALSE)</f>
        <v>0</v>
      </c>
      <c r="FC214" s="290" t="b">
        <f>IFERROR(__xludf.DUMMYFUNCTION("arrayformula(sum(--REGEXMATCH(""SrGMPdNS"",split(REGEXREPLACE(C214,""(.)"",""$1~""),""~""))))=len(C214)"),FALSE)</f>
        <v>0</v>
      </c>
      <c r="FD214" s="377" t="b">
        <f>IFERROR(__xludf.DUMMYFUNCTION("arrayformula(sum(--REGEXMATCH(""SrgMPdNS"",split(REGEXREPLACE(C214,""(.)"",""$1~""),""~""))))=len(C214)"),FALSE)</f>
        <v>0</v>
      </c>
      <c r="FE214" s="269" t="str">
        <f t="shared" si="71"/>
        <v>-</v>
      </c>
      <c r="FF214" s="269" t="str">
        <f t="shared" si="72"/>
        <v>xoxxoxxoxox</v>
      </c>
      <c r="FG214" s="271" t="str">
        <f t="shared" si="73"/>
        <v>-</v>
      </c>
      <c r="FH214" s="269" t="str">
        <f t="shared" si="74"/>
        <v>xxoxxoxoxox</v>
      </c>
      <c r="FI214" s="271" t="str">
        <f t="shared" si="75"/>
        <v>xoxxoxoxoxo</v>
      </c>
      <c r="FJ214" s="271" t="str">
        <f t="shared" si="76"/>
        <v>-</v>
      </c>
      <c r="FK214" s="271" t="str">
        <f t="shared" si="77"/>
        <v>xxoxoxoxoxx</v>
      </c>
      <c r="FL214" s="271" t="str">
        <f t="shared" si="78"/>
        <v>xoxoxoxoxxo</v>
      </c>
      <c r="FM214" s="271" t="str">
        <f t="shared" si="79"/>
        <v>-</v>
      </c>
      <c r="FN214" s="271" t="str">
        <f t="shared" si="80"/>
        <v>xoxoxoxxoxx</v>
      </c>
      <c r="FO214" s="274" t="str">
        <f t="shared" si="81"/>
        <v>-</v>
      </c>
      <c r="FP214" s="234" t="str">
        <f t="shared" si="82"/>
        <v>|</v>
      </c>
      <c r="FQ214" s="236" t="str">
        <f t="shared" si="83"/>
        <v>-</v>
      </c>
      <c r="FR214" s="237" t="str">
        <f t="shared" si="84"/>
        <v>|</v>
      </c>
      <c r="FS214" s="236" t="str">
        <f t="shared" si="85"/>
        <v>-</v>
      </c>
      <c r="FT214" s="237" t="str">
        <f t="shared" si="86"/>
        <v>|</v>
      </c>
      <c r="FU214" s="236" t="str">
        <f t="shared" si="87"/>
        <v>|</v>
      </c>
      <c r="FV214" s="237" t="str">
        <f t="shared" si="88"/>
        <v>-</v>
      </c>
      <c r="FW214" s="236" t="str">
        <f t="shared" si="89"/>
        <v>|</v>
      </c>
      <c r="FX214" s="237" t="str">
        <f t="shared" si="90"/>
        <v>|</v>
      </c>
      <c r="FY214" s="236" t="str">
        <f t="shared" si="91"/>
        <v>-</v>
      </c>
      <c r="FZ214" s="237" t="str">
        <f t="shared" si="92"/>
        <v>|</v>
      </c>
      <c r="GA214" s="236" t="str">
        <f t="shared" si="93"/>
        <v>-</v>
      </c>
      <c r="GB214" s="238" t="str">
        <f t="shared" si="94"/>
        <v>|</v>
      </c>
      <c r="GC214" s="244" t="str">
        <f>IFERROR(__xludf.DUMMYFUNCTION("IF(REGEXMATCH(C214, ""S""), ""1"","""")"),"1")</f>
        <v>1</v>
      </c>
      <c r="GD214" s="245" t="str">
        <f>IFERROR(__xludf.DUMMYFUNCTION("IF(REGEXMATCH(C214, ""r""), ""b2"","""")"),"")</f>
        <v/>
      </c>
      <c r="GE214" s="246" t="str">
        <f>IFERROR(__xludf.DUMMYFUNCTION("IF(REGEXMATCH(C214, ""R""), ""2"","""")"),"2")</f>
        <v>2</v>
      </c>
      <c r="GF214" s="246" t="str">
        <f>IFERROR(__xludf.DUMMYFUNCTION("IF(REGEXMATCH(C214, ""g""), ""b3"","""")"),"")</f>
        <v/>
      </c>
      <c r="GG214" s="245" t="str">
        <f>IFERROR(__xludf.DUMMYFUNCTION("IF(REGEXMATCH(C214, ""G""), ""3"","""")"),"3")</f>
        <v>3</v>
      </c>
      <c r="GH214" s="245" t="str">
        <f>IFERROR(__xludf.DUMMYFUNCTION("IF(REGEXMATCH(C214, ""m""), ""4"","""")"),"4")</f>
        <v>4</v>
      </c>
      <c r="GI214" s="246" t="str">
        <f>IFERROR(__xludf.DUMMYFUNCTION("IF(REGEXMATCH(C214, ""M""), ""#4"","""")"),"")</f>
        <v/>
      </c>
      <c r="GJ214" s="245" t="str">
        <f>IFERROR(__xludf.DUMMYFUNCTION("IF(REGEXMATCH(C214, ""P""), ""5"","""")"),"5")</f>
        <v>5</v>
      </c>
      <c r="GK214" s="246" t="str">
        <f>IFERROR(__xludf.DUMMYFUNCTION("IF(REGEXMATCH(C214, ""d""), ""b6"","""")"),"b6")</f>
        <v>b6</v>
      </c>
      <c r="GL214" s="245" t="str">
        <f>IFERROR(__xludf.DUMMYFUNCTION("IF(REGEXMATCH(C214, ""D""), ""6"","""")"),"")</f>
        <v/>
      </c>
      <c r="GM214" s="245" t="str">
        <f>IFERROR(__xludf.DUMMYFUNCTION("IF(REGEXMATCH(C214, ""n""), ""b7"","""")"),"b7")</f>
        <v>b7</v>
      </c>
      <c r="GN214" s="246" t="str">
        <f>IFERROR(__xludf.DUMMYFUNCTION("IF(REGEXMATCH(C214, ""N""), ""7"","""")"),"")</f>
        <v/>
      </c>
      <c r="GO214" s="249" t="str">
        <f>IFERROR(__xludf.DUMMYFUNCTION("IF(REGEXMATCH(C214, ""S""), ""8"","""")"),"8")</f>
        <v>8</v>
      </c>
      <c r="GP214" s="244" t="str">
        <f>IFERROR(__xludf.DUMMYFUNCTION("IF(REGEXMATCH(C214, ""S""), ""S"","""")"),"S")</f>
        <v>S</v>
      </c>
      <c r="GQ214" s="294" t="str">
        <f>IFERROR(__xludf.DUMMYFUNCTION("IF(REGEXMATCH(C214, ""r""), ""R1"","""")"),"")</f>
        <v/>
      </c>
      <c r="GR214" s="295" t="str">
        <f>IFERROR(__xludf.DUMMYFUNCTION("IF(REGEXMATCH(C214, ""R""), ""R2"","""")"),"R2")</f>
        <v>R2</v>
      </c>
      <c r="GS214" s="295" t="str">
        <f>IFERROR(__xludf.DUMMYFUNCTION("IF(REGEXMATCH(C214, ""g""), ""G2"","""")"),"")</f>
        <v/>
      </c>
      <c r="GT214" s="294" t="str">
        <f>IFERROR(__xludf.DUMMYFUNCTION("IF(REGEXMATCH(C214, ""G""), ""G3"","""")"),"G3")</f>
        <v>G3</v>
      </c>
      <c r="GU214" s="294" t="str">
        <f>IFERROR(__xludf.DUMMYFUNCTION("IF(REGEXMATCH(C214, ""m""), ""M1"","""")"),"M1")</f>
        <v>M1</v>
      </c>
      <c r="GV214" s="295" t="str">
        <f>IFERROR(__xludf.DUMMYFUNCTION("IF(REGEXMATCH(C214, ""M""), ""M2"","""")"),"")</f>
        <v/>
      </c>
      <c r="GW214" s="294" t="str">
        <f>IFERROR(__xludf.DUMMYFUNCTION("IF(REGEXMATCH(C214, ""P""), ""P"","""")"),"P")</f>
        <v>P</v>
      </c>
      <c r="GX214" s="295" t="str">
        <f>IFERROR(__xludf.DUMMYFUNCTION("IF(REGEXMATCH(C214, ""d""), ""D1"","""")"),"D1")</f>
        <v>D1</v>
      </c>
      <c r="GY214" s="294" t="str">
        <f>IFERROR(__xludf.DUMMYFUNCTION("IF(REGEXMATCH(C214, ""D""), ""D2"","""")"),"")</f>
        <v/>
      </c>
      <c r="GZ214" s="294" t="str">
        <f>IFERROR(__xludf.DUMMYFUNCTION("IF(REGEXMATCH(C214, ""n""), ""N2"","""")"),"N2")</f>
        <v>N2</v>
      </c>
      <c r="HA214" s="295" t="str">
        <f>IFERROR(__xludf.DUMMYFUNCTION("IF(REGEXMATCH(C214, ""N""), ""N3"","""")"),"")</f>
        <v/>
      </c>
      <c r="HB214" s="249" t="str">
        <f>IFERROR(__xludf.DUMMYFUNCTION("IF(REGEXMATCH(C214, ""S""), ""S"","""")"),"S")</f>
        <v>S</v>
      </c>
      <c r="HC214" s="331" t="str">
        <f t="shared" si="95"/>
        <v>S</v>
      </c>
      <c r="HD214" s="332" t="str">
        <f t="shared" si="96"/>
        <v/>
      </c>
      <c r="HE214" s="332" t="str">
        <f t="shared" si="97"/>
        <v>R</v>
      </c>
      <c r="HF214" s="332" t="str">
        <f t="shared" si="98"/>
        <v/>
      </c>
      <c r="HG214" s="332" t="str">
        <f t="shared" si="99"/>
        <v>G</v>
      </c>
      <c r="HH214" s="332" t="str">
        <f t="shared" si="100"/>
        <v>m</v>
      </c>
      <c r="HI214" s="332" t="str">
        <f t="shared" si="101"/>
        <v/>
      </c>
      <c r="HJ214" s="332" t="str">
        <f t="shared" si="102"/>
        <v>P</v>
      </c>
      <c r="HK214" s="332" t="str">
        <f t="shared" si="103"/>
        <v>d</v>
      </c>
      <c r="HL214" s="332" t="str">
        <f t="shared" si="104"/>
        <v/>
      </c>
      <c r="HM214" s="332" t="str">
        <f t="shared" si="105"/>
        <v>n</v>
      </c>
      <c r="HN214" s="332" t="str">
        <f t="shared" si="106"/>
        <v/>
      </c>
      <c r="HO214" s="343" t="str">
        <f t="shared" si="107"/>
        <v>S</v>
      </c>
      <c r="HP214" s="331" t="str">
        <f t="shared" si="108"/>
        <v>o</v>
      </c>
      <c r="HQ214" s="332" t="str">
        <f t="shared" si="109"/>
        <v>•</v>
      </c>
      <c r="HR214" s="332" t="str">
        <f t="shared" si="110"/>
        <v>o</v>
      </c>
      <c r="HS214" s="332" t="str">
        <f t="shared" si="111"/>
        <v>•</v>
      </c>
      <c r="HT214" s="332" t="str">
        <f t="shared" si="112"/>
        <v>o</v>
      </c>
      <c r="HU214" s="332" t="str">
        <f t="shared" si="113"/>
        <v>o</v>
      </c>
      <c r="HV214" s="332" t="str">
        <f t="shared" si="114"/>
        <v>•</v>
      </c>
      <c r="HW214" s="332" t="str">
        <f t="shared" si="115"/>
        <v>o</v>
      </c>
      <c r="HX214" s="332" t="str">
        <f t="shared" si="116"/>
        <v>o</v>
      </c>
      <c r="HY214" s="332" t="str">
        <f t="shared" si="117"/>
        <v>•</v>
      </c>
      <c r="HZ214" s="332" t="str">
        <f t="shared" si="118"/>
        <v>o</v>
      </c>
      <c r="IA214" s="332" t="str">
        <f t="shared" si="119"/>
        <v>•</v>
      </c>
      <c r="IB214" s="338" t="str">
        <f t="shared" si="120"/>
        <v>o</v>
      </c>
      <c r="IC214" s="331" t="str">
        <f t="shared" si="121"/>
        <v>•</v>
      </c>
      <c r="ID214" s="332" t="str">
        <f t="shared" si="122"/>
        <v>o</v>
      </c>
      <c r="IE214" s="332" t="str">
        <f t="shared" si="123"/>
        <v>•</v>
      </c>
      <c r="IF214" s="332" t="str">
        <f t="shared" si="124"/>
        <v>o</v>
      </c>
      <c r="IG214" s="332" t="str">
        <f t="shared" si="125"/>
        <v>•</v>
      </c>
      <c r="IH214" s="332" t="str">
        <f t="shared" si="126"/>
        <v>•</v>
      </c>
      <c r="II214" s="332" t="str">
        <f t="shared" si="127"/>
        <v>o</v>
      </c>
      <c r="IJ214" s="332" t="str">
        <f t="shared" si="128"/>
        <v>•</v>
      </c>
      <c r="IK214" s="332" t="str">
        <f t="shared" si="129"/>
        <v>•</v>
      </c>
      <c r="IL214" s="332" t="str">
        <f t="shared" si="130"/>
        <v>o</v>
      </c>
      <c r="IM214" s="332" t="str">
        <f t="shared" si="131"/>
        <v>•</v>
      </c>
      <c r="IN214" s="332" t="str">
        <f t="shared" si="132"/>
        <v>o</v>
      </c>
      <c r="IO214" s="338" t="str">
        <f t="shared" si="133"/>
        <v>•</v>
      </c>
      <c r="IP214" s="346" t="b">
        <f t="shared" si="134"/>
        <v>0</v>
      </c>
      <c r="IQ214" s="347" t="b">
        <f t="shared" si="135"/>
        <v>0</v>
      </c>
      <c r="IR214" s="347" t="b">
        <f t="shared" si="136"/>
        <v>1</v>
      </c>
      <c r="IS214" s="347" t="b">
        <f t="shared" si="137"/>
        <v>0</v>
      </c>
      <c r="IT214" s="347" t="b">
        <f t="shared" si="138"/>
        <v>1</v>
      </c>
      <c r="IU214" s="347" t="b">
        <f t="shared" si="139"/>
        <v>0</v>
      </c>
      <c r="IV214" s="347" t="b">
        <f t="shared" si="140"/>
        <v>0</v>
      </c>
      <c r="IW214" s="347" t="b">
        <f t="shared" si="141"/>
        <v>0</v>
      </c>
      <c r="IX214" s="347" t="b">
        <f t="shared" si="142"/>
        <v>1</v>
      </c>
      <c r="IY214" s="347" t="b">
        <f t="shared" si="143"/>
        <v>0</v>
      </c>
      <c r="IZ214" s="347" t="b">
        <f t="shared" si="144"/>
        <v>0</v>
      </c>
      <c r="JA214" s="347" t="b">
        <f t="shared" si="145"/>
        <v>0</v>
      </c>
      <c r="JB214" s="353" t="b">
        <f t="shared" si="146"/>
        <v>0</v>
      </c>
      <c r="JC214" s="354" t="str">
        <f t="shared" si="147"/>
        <v/>
      </c>
      <c r="JD214" s="355" t="str">
        <f t="shared" si="148"/>
        <v/>
      </c>
      <c r="JE214" s="355" t="str">
        <f t="shared" si="149"/>
        <v>Re, </v>
      </c>
      <c r="JF214" s="355" t="str">
        <f t="shared" si="150"/>
        <v/>
      </c>
      <c r="JG214" s="355" t="str">
        <f t="shared" si="151"/>
        <v>Ga, </v>
      </c>
      <c r="JH214" s="355" t="str">
        <f t="shared" si="152"/>
        <v/>
      </c>
      <c r="JI214" s="355" t="str">
        <f t="shared" si="153"/>
        <v/>
      </c>
      <c r="JJ214" s="355" t="str">
        <f t="shared" si="154"/>
        <v/>
      </c>
      <c r="JK214" s="355" t="str">
        <f t="shared" si="155"/>
        <v>dha, </v>
      </c>
      <c r="JL214" s="355" t="str">
        <f t="shared" si="156"/>
        <v/>
      </c>
      <c r="JM214" s="355" t="str">
        <f t="shared" si="157"/>
        <v/>
      </c>
      <c r="JN214" s="355" t="str">
        <f t="shared" si="158"/>
        <v/>
      </c>
      <c r="JO214" s="359" t="str">
        <f t="shared" si="159"/>
        <v/>
      </c>
      <c r="JP214" s="346" t="b">
        <f t="shared" si="160"/>
        <v>0</v>
      </c>
      <c r="JQ214" s="347" t="b">
        <f t="shared" si="161"/>
        <v>0</v>
      </c>
      <c r="JR214" s="347" t="b">
        <f t="shared" si="162"/>
        <v>0</v>
      </c>
      <c r="JS214" s="347" t="b">
        <f t="shared" si="163"/>
        <v>0</v>
      </c>
      <c r="JT214" s="347" t="b">
        <f t="shared" si="164"/>
        <v>1</v>
      </c>
      <c r="JU214" s="347" t="b">
        <f t="shared" si="165"/>
        <v>0</v>
      </c>
      <c r="JV214" s="347" t="b">
        <f t="shared" si="166"/>
        <v>0</v>
      </c>
      <c r="JW214" s="347" t="b">
        <f t="shared" si="167"/>
        <v>0</v>
      </c>
      <c r="JX214" s="347" t="b">
        <f t="shared" si="168"/>
        <v>1</v>
      </c>
      <c r="JY214" s="347" t="b">
        <f t="shared" si="169"/>
        <v>0</v>
      </c>
      <c r="JZ214" s="347" t="b">
        <f t="shared" si="170"/>
        <v>0</v>
      </c>
      <c r="KA214" s="347" t="b">
        <f t="shared" si="171"/>
        <v>0</v>
      </c>
      <c r="KB214" s="365" t="b">
        <f t="shared" si="172"/>
        <v>0</v>
      </c>
      <c r="KC214" s="354" t="str">
        <f t="shared" si="173"/>
        <v/>
      </c>
      <c r="KD214" s="355" t="str">
        <f t="shared" si="174"/>
        <v/>
      </c>
      <c r="KE214" s="355" t="str">
        <f t="shared" si="175"/>
        <v/>
      </c>
      <c r="KF214" s="355" t="str">
        <f t="shared" si="176"/>
        <v/>
      </c>
      <c r="KG214" s="355" t="str">
        <f t="shared" si="177"/>
        <v>Ga, </v>
      </c>
      <c r="KH214" s="355" t="str">
        <f t="shared" si="178"/>
        <v/>
      </c>
      <c r="KI214" s="355" t="str">
        <f t="shared" si="179"/>
        <v/>
      </c>
      <c r="KJ214" s="355" t="str">
        <f t="shared" si="180"/>
        <v/>
      </c>
      <c r="KK214" s="355" t="str">
        <f t="shared" si="181"/>
        <v>dha, </v>
      </c>
      <c r="KL214" s="355" t="str">
        <f t="shared" si="182"/>
        <v/>
      </c>
      <c r="KM214" s="355" t="str">
        <f t="shared" si="183"/>
        <v/>
      </c>
      <c r="KN214" s="355" t="str">
        <f t="shared" si="184"/>
        <v/>
      </c>
      <c r="KO214" s="359"/>
      <c r="KP214" s="378"/>
      <c r="KQ214" s="379" t="s">
        <v>9</v>
      </c>
      <c r="KR214" s="380" t="s">
        <v>1370</v>
      </c>
      <c r="KS214" s="381" t="s">
        <v>9</v>
      </c>
      <c r="KT214" s="382">
        <f t="shared" si="186"/>
        <v>0</v>
      </c>
      <c r="KU214" s="383">
        <f t="shared" si="187"/>
        <v>0</v>
      </c>
      <c r="KV214" s="381" t="str">
        <f t="shared" si="205"/>
        <v>S-n-d-P-m-G-R-S</v>
      </c>
      <c r="KW214" s="382">
        <f t="shared" si="189"/>
        <v>7</v>
      </c>
      <c r="KX214" s="384">
        <f t="shared" si="190"/>
        <v>7</v>
      </c>
      <c r="KY214" s="382">
        <f t="shared" ref="KY214:KZ214" si="645">KW214-KT214</f>
        <v>7</v>
      </c>
      <c r="KZ214" s="369">
        <f t="shared" si="645"/>
        <v>7</v>
      </c>
      <c r="LA214" s="385" t="str">
        <f t="shared" si="192"/>
        <v>-</v>
      </c>
      <c r="LB214" s="340" t="str">
        <f>IFERROR(__xludf.DUMMYFUNCTION("JOIN("""",ArrayFormula(MID(KS214,LEN(KS214)-SEQUENCE(1,LEN(KS214))+1,1)))"),"S")</f>
        <v>S</v>
      </c>
      <c r="LC214" s="373" t="str">
        <f>IFERROR(__xludf.DUMMYFUNCTION("JOIN("""",ArrayFormula(MID(KV214,LEN(KV214)-SEQUENCE(1,LEN(KV214))+1,1)))"),"S-R-G-m-P-d-n-S")</f>
        <v>S-R-G-m-P-d-n-S</v>
      </c>
      <c r="LD214" s="373" t="str">
        <f t="shared" si="193"/>
        <v>S</v>
      </c>
      <c r="LE214" s="339" t="str">
        <f t="shared" si="194"/>
        <v>SRGmPdnS</v>
      </c>
      <c r="LF214" s="386" t="str">
        <f>IFERROR(__xludf.DUMMYFUNCTION("SUBSTITUTE(SUBSTITUTE(CONCATENATE(JOIN("""",LH214:LT214)),""1"",""""),""2"","""")"),"SRGmPdnS")</f>
        <v>SRGmPdnS</v>
      </c>
      <c r="LG214" s="369" t="str">
        <f t="shared" si="195"/>
        <v>✔</v>
      </c>
      <c r="LH214" s="387" t="str">
        <f>IFERROR(__xludf.DUMMYFUNCTION("IF(REGEXMATCH(LD214, ""S""), ""S"",IF(REGEXMATCH(LE214, ""S""), ""S"",""""))"),"S")</f>
        <v>S</v>
      </c>
      <c r="LI214" s="299" t="str">
        <f>IFERROR(__xludf.DUMMYFUNCTION("IF(REGEXMATCH(LD214, ""r""), ""r1"",IF(REGEXMATCH(LE214, ""r""), ""r2"",""""))"),"")</f>
        <v/>
      </c>
      <c r="LJ214" s="299" t="str">
        <f>IFERROR(__xludf.DUMMYFUNCTION("IF(REGEXMATCH(LD214, ""R""), ""R1"",IF(REGEXMATCH(LE214, ""R""), ""R2"",""""))"),"R2")</f>
        <v>R2</v>
      </c>
      <c r="LK214" s="299" t="str">
        <f>IFERROR(__xludf.DUMMYFUNCTION("IF(REGEXMATCH(LD214, ""g""), ""g1"",IF(REGEXMATCH(LE214, ""g""), ""g2"",""""))"),"")</f>
        <v/>
      </c>
      <c r="LL214" s="299" t="str">
        <f>IFERROR(__xludf.DUMMYFUNCTION("IF(REGEXMATCH(LD214, ""G""), ""G1"",IF(REGEXMATCH(LE214, ""G""), ""G2"",""""))"),"G2")</f>
        <v>G2</v>
      </c>
      <c r="LM214" s="299" t="str">
        <f>IFERROR(__xludf.DUMMYFUNCTION("IF(REGEXMATCH(LD214, ""m""), ""m1"",IF(REGEXMATCH(LE214, ""m""), ""m2"",""""))"),"m2")</f>
        <v>m2</v>
      </c>
      <c r="LN214" s="299" t="str">
        <f>IFERROR(__xludf.DUMMYFUNCTION("IF(REGEXMATCH(LD214, ""M""), ""M1"",IF(REGEXMATCH(LE214, ""M""), ""M2"",""""))"),"")</f>
        <v/>
      </c>
      <c r="LO214" s="299" t="str">
        <f>IFERROR(__xludf.DUMMYFUNCTION("IF(REGEXMATCH(LD214, ""P""), ""P1"",IF(REGEXMATCH(LE214, ""P""), ""P2"",""""))"),"P2")</f>
        <v>P2</v>
      </c>
      <c r="LP214" s="299" t="str">
        <f>IFERROR(__xludf.DUMMYFUNCTION("IF(REGEXMATCH(LD214, ""d""), ""d1"",IF(REGEXMATCH(LE214, ""d""), ""d2"",""""))"),"d2")</f>
        <v>d2</v>
      </c>
      <c r="LQ214" s="299" t="str">
        <f>IFERROR(__xludf.DUMMYFUNCTION("IF(REGEXMATCH(LD214, ""D""), ""D1"",IF(REGEXMATCH(LE214, ""D""), ""D2"",""""))"),"")</f>
        <v/>
      </c>
      <c r="LR214" s="299" t="str">
        <f>IFERROR(__xludf.DUMMYFUNCTION("IF(REGEXMATCH(LD214, ""n""), ""n1"",IF(REGEXMATCH(LE214, ""n""), ""n2"",""""))"),"n2")</f>
        <v>n2</v>
      </c>
      <c r="LS214" s="299" t="str">
        <f>IFERROR(__xludf.DUMMYFUNCTION("IF(REGEXMATCH(LD214, ""N""), ""N1"",IF(REGEXMATCH(LE214, ""N""), ""N2"",""""))"),"")</f>
        <v/>
      </c>
      <c r="LT214" s="388" t="str">
        <f>IFERROR(__xludf.DUMMYFUNCTION("IF(REGEXMATCH(LD214, ""S""), ""S"",IF(REGEXMATCH(LE214, ""S""), ""S"",""""))"),"S")</f>
        <v>S</v>
      </c>
      <c r="LU214" s="389">
        <f t="shared" si="196"/>
        <v>-13</v>
      </c>
      <c r="LV214" s="378"/>
      <c r="LW214" s="369"/>
      <c r="LX214" s="369"/>
    </row>
    <row r="215" ht="18.0" customHeight="1">
      <c r="A215" s="298" t="s">
        <v>956</v>
      </c>
      <c r="B215" s="222" t="s">
        <v>612</v>
      </c>
      <c r="C215" s="233" t="str">
        <f t="shared" si="7"/>
        <v>SRgGmPDnS</v>
      </c>
      <c r="D215" s="234" t="str">
        <f>IFERROR(__xludf.DUMMYFUNCTION("IF(REGEXMATCH(C215, ""S""), ""S"","""")"),"S")</f>
        <v>S</v>
      </c>
      <c r="E215" s="236" t="str">
        <f>IFERROR(__xludf.DUMMYFUNCTION("IF(REGEXMATCH(C215, ""r""), ""r"","""")"),"")</f>
        <v/>
      </c>
      <c r="F215" s="237" t="str">
        <f>IFERROR(__xludf.DUMMYFUNCTION("IF(REGEXMATCH(C215, ""R""), ""R"","""")"),"R")</f>
        <v>R</v>
      </c>
      <c r="G215" s="237" t="str">
        <f>IFERROR(__xludf.DUMMYFUNCTION("IF(REGEXMATCH(C215, ""g""), ""g"","""")"),"g")</f>
        <v>g</v>
      </c>
      <c r="H215" s="236" t="str">
        <f>IFERROR(__xludf.DUMMYFUNCTION("IF(REGEXMATCH(C215, ""G""), ""G"","""")"),"G")</f>
        <v>G</v>
      </c>
      <c r="I215" s="236" t="str">
        <f>IFERROR(__xludf.DUMMYFUNCTION("IF(REGEXMATCH(C215, ""m""), ""m"","""")"),"m")</f>
        <v>m</v>
      </c>
      <c r="J215" s="237" t="str">
        <f>IFERROR(__xludf.DUMMYFUNCTION("IF(REGEXMATCH(C215, ""M""), ""M"","""")"),"")</f>
        <v/>
      </c>
      <c r="K215" s="236" t="str">
        <f>IFERROR(__xludf.DUMMYFUNCTION("IF(REGEXMATCH(C215, ""P""), ""P"","""")"),"P")</f>
        <v>P</v>
      </c>
      <c r="L215" s="237" t="str">
        <f>IFERROR(__xludf.DUMMYFUNCTION("IF(REGEXMATCH(C215, ""d""), ""d"","""")"),"")</f>
        <v/>
      </c>
      <c r="M215" s="236" t="str">
        <f>IFERROR(__xludf.DUMMYFUNCTION("IF(REGEXMATCH(C215, ""D""), ""D"","""")"),"D")</f>
        <v>D</v>
      </c>
      <c r="N215" s="236" t="str">
        <f>IFERROR(__xludf.DUMMYFUNCTION("IF(REGEXMATCH(C215, ""n""), ""n"","""")"),"n")</f>
        <v>n</v>
      </c>
      <c r="O215" s="237" t="str">
        <f>IFERROR(__xludf.DUMMYFUNCTION("IF(REGEXMATCH(C215, ""N""), ""N"","""")"),"")</f>
        <v/>
      </c>
      <c r="P215" s="238" t="str">
        <f>IFERROR(__xludf.DUMMYFUNCTION("IF(REGEXMATCH(C215, ""S""), ""S"","""")"),"S")</f>
        <v>S</v>
      </c>
      <c r="Q215" s="239" t="str">
        <f>IFERROR(__xludf.DUMMYFUNCTION("SUBSTITUTE(CONCATENATE(JOIN(""-"",D215:J215)),""-"","""")"),"SRgGm")</f>
        <v>SRgGm</v>
      </c>
      <c r="R215" s="229" t="str">
        <f>IFERROR(__xludf.DUMMYFUNCTION("SUBSTITUTE(CONCATENATE(JOIN(""-"",K215:P215)),""-"","""")"),"PDnS")</f>
        <v>PDnS</v>
      </c>
      <c r="S215" s="282" t="str">
        <f t="shared" si="8"/>
        <v>S-R-G-M</v>
      </c>
      <c r="T215" s="282" t="str">
        <f t="shared" si="9"/>
        <v>P-D-N-S</v>
      </c>
      <c r="U215" s="237" t="str">
        <f>IFERROR(__xludf.DUMMYFUNCTION("SUBSTITUTE(JOIN(""-"",S215,T215),""--"",""-"")"),"S-R-G-M-P-D-N-S")</f>
        <v>S-R-G-M-P-D-N-S</v>
      </c>
      <c r="V215" s="309" t="str">
        <f t="shared" si="10"/>
        <v>RgGmDn</v>
      </c>
      <c r="W215" s="244" t="str">
        <f>IFERROR(__xludf.DUMMYFUNCTION("IF(REGEXMATCH(C215, ""S""), ""0"","""")"),"0")</f>
        <v>0</v>
      </c>
      <c r="X215" s="245" t="str">
        <f>IFERROR(__xludf.DUMMYFUNCTION("IF(REGEXMATCH(C215, ""r""), ""1"","""")"),"")</f>
        <v/>
      </c>
      <c r="Y215" s="246" t="str">
        <f>IFERROR(__xludf.DUMMYFUNCTION("IF(REGEXMATCH(C215, ""R""), ""2"","""")"),"2")</f>
        <v>2</v>
      </c>
      <c r="Z215" s="246" t="str">
        <f>IFERROR(__xludf.DUMMYFUNCTION("IF(REGEXMATCH(C215, ""g""), ""3"","""")"),"3")</f>
        <v>3</v>
      </c>
      <c r="AA215" s="245" t="str">
        <f>IFERROR(__xludf.DUMMYFUNCTION("IF(REGEXMATCH(C215, ""G""), ""4"","""")"),"4")</f>
        <v>4</v>
      </c>
      <c r="AB215" s="245" t="str">
        <f>IFERROR(__xludf.DUMMYFUNCTION("IF(REGEXMATCH(C215, ""m""), ""5"","""")"),"5")</f>
        <v>5</v>
      </c>
      <c r="AC215" s="246" t="str">
        <f>IFERROR(__xludf.DUMMYFUNCTION("IF(REGEXMATCH(C215, ""M""), ""6"","""")"),"")</f>
        <v/>
      </c>
      <c r="AD215" s="245" t="str">
        <f>IFERROR(__xludf.DUMMYFUNCTION("IF(REGEXMATCH(C215, ""P""), ""7"","""")"),"7")</f>
        <v>7</v>
      </c>
      <c r="AE215" s="246" t="str">
        <f>IFERROR(__xludf.DUMMYFUNCTION("IF(REGEXMATCH(C215, ""d""), ""8"","""")"),"")</f>
        <v/>
      </c>
      <c r="AF215" s="245" t="str">
        <f>IFERROR(__xludf.DUMMYFUNCTION("IF(REGEXMATCH(C215, ""D""), ""9"","""")"),"9")</f>
        <v>9</v>
      </c>
      <c r="AG215" s="245" t="str">
        <f>IFERROR(__xludf.DUMMYFUNCTION("IF(REGEXMATCH(C215, ""n""), ""10"","""")"),"10")</f>
        <v>10</v>
      </c>
      <c r="AH215" s="246" t="str">
        <f>IFERROR(__xludf.DUMMYFUNCTION("IF(REGEXMATCH(C215, ""N""), ""11"","""")"),"")</f>
        <v/>
      </c>
      <c r="AI215" s="249" t="str">
        <f>IFERROR(__xludf.DUMMYFUNCTION("IF(REGEXMATCH(C215, ""S""), ""0"","""")"),"0")</f>
        <v>0</v>
      </c>
      <c r="AJ215" s="313" t="str">
        <f t="shared" si="11"/>
        <v>-</v>
      </c>
      <c r="AK215" s="313" t="str">
        <f t="shared" si="12"/>
        <v>-</v>
      </c>
      <c r="AL215" s="313" t="str">
        <f t="shared" si="13"/>
        <v>-</v>
      </c>
      <c r="AM215" s="313" t="str">
        <f t="shared" si="14"/>
        <v>T</v>
      </c>
      <c r="AN215" s="313" t="str">
        <f t="shared" si="15"/>
        <v>T</v>
      </c>
      <c r="AO215" s="314" t="str">
        <f t="shared" si="16"/>
        <v>-</v>
      </c>
      <c r="AP215" s="316">
        <f t="shared" si="17"/>
        <v>2</v>
      </c>
      <c r="AQ215" s="319" t="str">
        <f t="shared" si="18"/>
        <v>-</v>
      </c>
      <c r="AR215" s="320">
        <f t="shared" si="19"/>
        <v>0</v>
      </c>
      <c r="AS215" s="250" t="str">
        <f>IFERROR(__xludf.DUMMYFUNCTION("SUBSTITUTE(SUBSTITUTE(CONCATENATE(JOIN("""",FP215:GA215)),""|"",""x""),""-"",""o"")"),"xoxxxxoxoxxo")</f>
        <v>xoxxxxoxoxxo</v>
      </c>
      <c r="AT215" s="323" t="str">
        <f>IFERROR(__xludf.DUMMYFUNCTION("JOIN("""",AS215,AS215)"),"xoxxxxoxoxxoxoxxxxoxoxxo")</f>
        <v>xoxxxxoxoxxoxoxxxxoxoxxo</v>
      </c>
      <c r="AU215" s="256" t="str">
        <f>IFERROR(__xludf.DUMMYFUNCTION("JOIN("""",ArrayFormula(MID(AS215,LEN(AS215)-SEQUENCE(1,LEN(AS215))+1,1)))"),"oxxoxoxxxxox")</f>
        <v>oxxoxoxxxxox</v>
      </c>
      <c r="AV215" s="256" t="str">
        <f>IFERROR(__xludf.DUMMYFUNCTION("LEFT(CONCATENATE(""x"",JOIN("""",ArrayFormula(MID(AS215,LEN(AS215)-SEQUENCE(1,LEN(AS215))+1,1)))),12)"),"xoxxoxoxxxxo")</f>
        <v>xoxxoxoxxxxo</v>
      </c>
      <c r="AW215" s="327" t="str">
        <f>IFERROR(__xludf.DUMMYFUNCTION("JOIN("""",AU215,AU215)"),"oxxoxoxxxxoxoxxoxoxxxxox")</f>
        <v>oxxoxoxxxxoxoxxoxoxxxxox</v>
      </c>
      <c r="AX215" s="239" t="str">
        <f>IFERROR(__xludf.DUMMYFUNCTION("IF(REGEXMATCH(AW215,AS215),""✔"",""-"")"),"✔")</f>
        <v>✔</v>
      </c>
      <c r="AY215" s="330" t="str">
        <f t="shared" si="20"/>
        <v>-</v>
      </c>
      <c r="AZ215" s="260" t="str">
        <f t="shared" si="21"/>
        <v>#REF!</v>
      </c>
      <c r="BA215" s="333" t="str">
        <f t="shared" si="22"/>
        <v>xoxxxxo</v>
      </c>
      <c r="BB215" s="334" t="str">
        <f t="shared" si="23"/>
        <v>xoxxox</v>
      </c>
      <c r="BC215" s="335" t="str">
        <f t="shared" si="236"/>
        <v>-</v>
      </c>
      <c r="BD215" s="336" t="str">
        <f t="shared" si="25"/>
        <v>Malgunji: 'xoxxxxo' + 'xoxxox'</v>
      </c>
      <c r="BE215" s="337">
        <f>IFERROR(__xludf.DUMMYFUNCTION("COUNTUNIQUE(FILTER(AT:AT,REGEXMATCH(AT:AT,AS215)))-1"),3.0)</f>
        <v>3</v>
      </c>
      <c r="BF215" s="261" t="str">
        <f>IFERROR(__xludf.DUMMYFUNCTION("IF(BI215=0,""(n/a)"",IF(BJ215=2,""(PAIR)"",IF(REGEXMATCH(AT215,""xoxoxxoxoxox""),""Bilawal"",IF(REGEXMATCH(AT215,""xoxoxooxoxoo""),""Bhupali"",IF(REGEXMATCH(AT215,""xoxoxxoxxoxo""),""Charukeshi"",IF(REGEXMATCH(AT215,""xoxoooxxoxxo""),""Kameshwari"",IF(REG"&amp;"EXMATCH(AT215,""xoxoxooxoxox""),""Shankara"",IF(REGEXMATCH(AT215,""xxooxoxxxoox""),""Basant"",IF(REGEXMATCH(AT215,""xoxoxxxxoxox""),""Bihag"",IF(REGEXMATCH(AT215,""xoxxxxoxoxxx""),""Pilu"",IF(REGEXMATCH(AT215,""xoxxoxoxxoox""),""Kirwani"",IF(REGEXMATCH(AT"&amp;"215,""xoxxoxoxoxxx""),""Mk.Malhar"",IF(REGEXMATCH(AT215,""xxooxxoxxoox""),""Bhairav"",IF(REGEXMATCH(AT215,""xxoxooxxxoox""),""Todi"",IF(REGEXMATCH(AT215,""xxooxoxooxox""),""Marwa"",IF(REGEXMATCH(AT215,""xxoooxoxxooo""),""Gunkali"",IF(REGEXMATCH(AT215,""xo"&amp;"xoxxoxxoox""),""Nat Bhairav"",IF(REGEXMATCH(AT215,""xoxxoooxoxoo""),""Shivranjani"",IF(REGEXMATCH(AT215,""xooxxxoxooxo""),""Jog"",IF(REGEXMATCH(AT215,""xxooxoxoxoox""),""Hemshri"",IF(REGEXMATCH(AT215,""xoooxooxoxxo""),""Kalavati"",IF(REGEXMATCH(AT215,""xx"&amp;"oxoxxoxoox""),""Kedar"",IF(REGEXMATCH(AT215,""xoxxxxoxooxx""),""Gara"",IF(REGEXMATCH(AT215,""xooxoxooxoox""),""Chandrakauns"",IF(REGEXMATCH(AT215,""xoxxxxoxxxox""),""Mand"",IF(REGEXMATCH(AT215,""xoxxxxoxoxox""),""Hanskinkini"",IF(REGEXMATCH(AT215,""xxooxx"&amp;"oxooxo""),""Lilavati"",IF(REGEXMATCH(AT215,""xooxoxoooxox""),""Rajeshwari"",IF(REGEXMATCH(AT215,""xoooxxoxoxxx""),""Khokar"",IF(REGEXMATCH(AT215,""xxooxoxxxxox""),""Maligoura"",""-""))))))))))))))))))))))))))))))"),"Bihag")</f>
        <v>Bihag</v>
      </c>
      <c r="BG215" s="239" t="str">
        <f t="shared" si="26"/>
        <v>#REF!</v>
      </c>
      <c r="BH215" s="239">
        <f>IFERROR(__xludf.DUMMYFUNCTION("COUNTUNIQUE(FE215:FO215)-1"),7.0)</f>
        <v>7</v>
      </c>
      <c r="BI215" s="239">
        <f>IFERROR(__xludf.DUMMYFUNCTION("COUNTUNIQUE(FILTER(AT:AT,REGEXMATCH(AT:AT,AS215)))-1"),3.0)</f>
        <v>3</v>
      </c>
      <c r="BJ215" s="239">
        <f>IFERROR(__xludf.DUMMYFUNCTION("COUNTA(FILTER(AT:AT,REGEXMATCH(AT:AT,AS215)))"),36.0)</f>
        <v>36</v>
      </c>
      <c r="BK215" s="341">
        <f>IFERROR(__xludf.DUMMYFUNCTION("COUNTA(FILTER(AT:AT,REGEXMATCH(AT:AT,AS215)))-AR215"),36.0)</f>
        <v>36</v>
      </c>
      <c r="BL215" s="276" t="str">
        <f>IFERROR(__xludf.DUMMYFUNCTION("IF(AS215=""oooooooooooo"",""-"",IF(REGEXMATCH(AT215,""xx""), ""Hemi."", ""Anhemi.""))"),"Hemi.")</f>
        <v>Hemi.</v>
      </c>
      <c r="BM215" s="282" t="str">
        <f>IFERROR(__xludf.DUMMYFUNCTION("IF(AS215=""oooooooooooo"",""-"",IF(REGEXMATCH(AT215,""xxx""), ""Cohem."", ""-""))"),"Cohem.")</f>
        <v>Cohem.</v>
      </c>
      <c r="BN215" s="282" t="str">
        <f>IFERROR(__xludf.DUMMYFUNCTION("IF(AS215=""oooooooooooo"",""-"",IF(REGEXMATCH(AT215,""xxxx""), ""Co-Co."", ""-""))"),"Co-Co.")</f>
        <v>Co-Co.</v>
      </c>
      <c r="BO215" s="342" t="str">
        <f>IFERROR(__xludf.DUMMYFUNCTION("IF(AS215=""oooooooooooo"",""-"",IF(REGEXMATCH(AT215,""xxxxx""), ""CCC."", ""-""))"),"-")</f>
        <v>-</v>
      </c>
      <c r="BP215" s="344" t="str">
        <f t="shared" si="27"/>
        <v>-</v>
      </c>
      <c r="BQ215" s="282" t="str">
        <f>IFERROR(__xludf.DUMMYFUNCTION("IF(REGEXMATCH(JOIN(""-"",EU215:FD215),""TRUE""),""✔"",""-"")"),"-")</f>
        <v>-</v>
      </c>
      <c r="BR215" s="225">
        <f t="shared" si="28"/>
        <v>0</v>
      </c>
      <c r="BS215" s="345" t="str">
        <f>IFERROR(__xludf.DUMMYFUNCTION("SUBSTITUTE(SUBSTITUTE(SUBSTITUTE(SUBSTITUTE(CONCATENATE(JOIN(""-"",GC215:GO215)),""--"",""-""),""--"",""-""),""--"",""-""),""--"",""-"")"),"1-2-b3-3-4-5-6-b7-8")</f>
        <v>1-2-b3-3-4-5-6-b7-8</v>
      </c>
      <c r="BT215" s="299" t="str">
        <f>IFERROR(__xludf.DUMMYFUNCTION("SUBSTITUTE(SUBSTITUTE(SUBSTITUTE(SUBSTITUTE(CONCATENATE(JOIN(""-"",GP215:HB215)),""--"",""-""),""--"",""-""),""--"",""-""),""--"",""-"")"),"S-R2-G2-G3-M1-P-D2-N2-S")</f>
        <v>S-R2-G2-G3-M1-P-D2-N2-S</v>
      </c>
      <c r="BU215" s="348" t="str">
        <f t="shared" si="29"/>
        <v>C-D-Eb-E-F-G-A-Bb-C</v>
      </c>
      <c r="BV215" s="349" t="str">
        <f t="shared" si="30"/>
        <v>SrMdNS</v>
      </c>
      <c r="BW215" s="350">
        <f t="shared" si="31"/>
        <v>0</v>
      </c>
      <c r="BX215" s="351">
        <f t="shared" si="32"/>
        <v>5</v>
      </c>
      <c r="BY215" s="392"/>
      <c r="BZ215" s="309" t="str">
        <f>IFERROR(__xludf.DUMMYFUNCTION("IF(REGEXMATCH(C215, ""S""), ""x"",""x"")"),"x")</f>
        <v>x</v>
      </c>
      <c r="CA215" s="245" t="str">
        <f>IFERROR(__xludf.DUMMYFUNCTION("IF(REGEXMATCH(C215, ""r""), ""o"",""x"")"),"x")</f>
        <v>x</v>
      </c>
      <c r="CB215" s="246" t="str">
        <f>IFERROR(__xludf.DUMMYFUNCTION("IF(REGEXMATCH(C215, ""R""), ""o"",""x"")"),"o")</f>
        <v>o</v>
      </c>
      <c r="CC215" s="246" t="str">
        <f>IFERROR(__xludf.DUMMYFUNCTION("IF(REGEXMATCH(C215, ""g""), ""o"",""x"")"),"o")</f>
        <v>o</v>
      </c>
      <c r="CD215" s="245" t="str">
        <f>IFERROR(__xludf.DUMMYFUNCTION("IF(REGEXMATCH(C215, ""G""), ""o"",""x"")"),"o")</f>
        <v>o</v>
      </c>
      <c r="CE215" s="245" t="str">
        <f>IFERROR(__xludf.DUMMYFUNCTION("IF(REGEXMATCH(C215, ""m""), ""o"",""x"")"),"o")</f>
        <v>o</v>
      </c>
      <c r="CF215" s="246" t="str">
        <f>IFERROR(__xludf.DUMMYFUNCTION("IF(REGEXMATCH(C215, ""M""), ""o"",""x"")"),"x")</f>
        <v>x</v>
      </c>
      <c r="CG215" s="245" t="str">
        <f>IFERROR(__xludf.DUMMYFUNCTION("IF(REGEXMATCH(C215, ""P""), ""o"",""x"")"),"o")</f>
        <v>o</v>
      </c>
      <c r="CH215" s="246" t="str">
        <f>IFERROR(__xludf.DUMMYFUNCTION("IF(REGEXMATCH(C215, ""d""), ""o"",""x"")"),"x")</f>
        <v>x</v>
      </c>
      <c r="CI215" s="245" t="str">
        <f>IFERROR(__xludf.DUMMYFUNCTION("IF(REGEXMATCH(C215, ""D""), ""o"",""x"")"),"o")</f>
        <v>o</v>
      </c>
      <c r="CJ215" s="245" t="str">
        <f>IFERROR(__xludf.DUMMYFUNCTION("IF(REGEXMATCH(C215, ""n""), ""o"",""x"")"),"o")</f>
        <v>o</v>
      </c>
      <c r="CK215" s="245" t="str">
        <f>IFERROR(__xludf.DUMMYFUNCTION("IF(REGEXMATCH(C215, ""N""), ""o"",""x"")"),"x")</f>
        <v>x</v>
      </c>
      <c r="CL215" s="356" t="str">
        <f>IFERROR(__xludf.DUMMYFUNCTION("IF(REGEXMATCH(C215, ""S""), ""x"",""x"")"),"x")</f>
        <v>x</v>
      </c>
      <c r="CM215" s="357" t="str">
        <f t="shared" si="33"/>
        <v>xxooooxoxoox</v>
      </c>
      <c r="CN215" s="358">
        <f t="shared" si="34"/>
        <v>0</v>
      </c>
      <c r="CO215" s="246" t="str">
        <f>IFERROR(__xludf.DUMMYFUNCTION("IF(REGEXMATCH($C215, ""S""), ""S"",""S"")"),"S")</f>
        <v>S</v>
      </c>
      <c r="CP215" s="246" t="str">
        <f>IFERROR(__xludf.DUMMYFUNCTION("IF(REGEXMATCH($C215, ""r""), """",""r"")"),"r")</f>
        <v>r</v>
      </c>
      <c r="CQ215" s="246" t="str">
        <f>IFERROR(__xludf.DUMMYFUNCTION("IF(REGEXMATCH($C215, ""R""), """",""R"")"),"")</f>
        <v/>
      </c>
      <c r="CR215" s="246" t="str">
        <f>IFERROR(__xludf.DUMMYFUNCTION("IF(REGEXMATCH($C215, ""g""), """",""g"")"),"")</f>
        <v/>
      </c>
      <c r="CS215" s="246" t="str">
        <f>IFERROR(__xludf.DUMMYFUNCTION("IF(REGEXMATCH($C215, ""G""), """",""G"")"),"")</f>
        <v/>
      </c>
      <c r="CT215" s="246" t="str">
        <f>IFERROR(__xludf.DUMMYFUNCTION("IF(REGEXMATCH($C215, ""m""), """",""m"")"),"")</f>
        <v/>
      </c>
      <c r="CU215" s="246" t="str">
        <f>IFERROR(__xludf.DUMMYFUNCTION("IF(REGEXMATCH($C215, ""M""), """",""M"")"),"M")</f>
        <v>M</v>
      </c>
      <c r="CV215" s="246" t="str">
        <f>IFERROR(__xludf.DUMMYFUNCTION("IF(REGEXMATCH($C215, ""P""), """",""P"")"),"")</f>
        <v/>
      </c>
      <c r="CW215" s="246" t="str">
        <f>IFERROR(__xludf.DUMMYFUNCTION("IF(REGEXMATCH($C215, ""d""), """",""d"")"),"d")</f>
        <v>d</v>
      </c>
      <c r="CX215" s="246" t="str">
        <f>IFERROR(__xludf.DUMMYFUNCTION("IF(REGEXMATCH($C215, ""D""), """",""D"")"),"")</f>
        <v/>
      </c>
      <c r="CY215" s="246" t="str">
        <f>IFERROR(__xludf.DUMMYFUNCTION("IF(REGEXMATCH($C215, ""n""), """",""n"")"),"")</f>
        <v/>
      </c>
      <c r="CZ215" s="246" t="str">
        <f>IFERROR(__xludf.DUMMYFUNCTION("IF(REGEXMATCH($C215, ""N""), """",""N"")"),"N")</f>
        <v>N</v>
      </c>
      <c r="DA215" s="246" t="str">
        <f>IFERROR(__xludf.DUMMYFUNCTION("IF(REGEXMATCH($C215, ""S""), ""S"",""S"")"),"S")</f>
        <v>S</v>
      </c>
      <c r="DB215" s="362" t="str">
        <f>IFERROR(__xludf.DUMMYFUNCTION("JOIN("""",CO215:DA215,"""","""")"),"SrMdNS")</f>
        <v>SrMdNS</v>
      </c>
      <c r="DC215" s="363"/>
      <c r="DD215" s="301" t="str">
        <f t="shared" si="35"/>
        <v>#REF!</v>
      </c>
      <c r="DE215" s="302" t="str">
        <f t="shared" si="36"/>
        <v>#REF!</v>
      </c>
      <c r="DF215" s="301" t="str">
        <f t="shared" ref="DF215:DG215" si="646">SUBSTITUTE(S215,"-","")</f>
        <v>SRGM</v>
      </c>
      <c r="DG215" s="301" t="str">
        <f t="shared" si="646"/>
        <v>PDNS</v>
      </c>
      <c r="DH215" s="302" t="str">
        <f t="shared" si="38"/>
        <v>Bihag</v>
      </c>
      <c r="DI215" s="301" t="str">
        <f t="shared" si="39"/>
        <v>Hemi.</v>
      </c>
      <c r="DJ215" s="364" t="str">
        <f t="shared" si="40"/>
        <v>Co-Co.</v>
      </c>
      <c r="DK215" s="306" t="str">
        <f t="shared" si="41"/>
        <v>-</v>
      </c>
      <c r="DL215" s="366" t="str">
        <f t="shared" si="42"/>
        <v>-</v>
      </c>
      <c r="DM215" s="308" t="str">
        <f t="shared" si="43"/>
        <v>✔</v>
      </c>
      <c r="DN215" s="306" t="str">
        <f t="shared" si="44"/>
        <v>-</v>
      </c>
      <c r="DO215" s="306" t="str">
        <f t="shared" si="45"/>
        <v>-</v>
      </c>
      <c r="DP215" s="367" t="str">
        <f t="shared" si="46"/>
        <v>-</v>
      </c>
      <c r="DQ215" s="310" t="str">
        <f t="shared" si="47"/>
        <v>-</v>
      </c>
      <c r="DR215" s="310" t="str">
        <f t="shared" si="48"/>
        <v>✔</v>
      </c>
      <c r="DS215" s="310" t="str">
        <f t="shared" si="49"/>
        <v>-</v>
      </c>
      <c r="DT215" s="310" t="str">
        <f t="shared" si="50"/>
        <v>-</v>
      </c>
      <c r="DU215" s="370" t="str">
        <f t="shared" si="51"/>
        <v>-</v>
      </c>
      <c r="DV215" s="306" t="str">
        <f t="shared" si="52"/>
        <v>-</v>
      </c>
      <c r="DW215" s="306" t="str">
        <f t="shared" si="53"/>
        <v>-</v>
      </c>
      <c r="DX215" s="306" t="str">
        <f t="shared" si="54"/>
        <v>-</v>
      </c>
      <c r="DY215" s="306" t="str">
        <f t="shared" si="55"/>
        <v>-</v>
      </c>
      <c r="DZ215" s="306" t="str">
        <f t="shared" si="56"/>
        <v>-</v>
      </c>
      <c r="EA215" s="367" t="str">
        <f t="shared" si="57"/>
        <v>-</v>
      </c>
      <c r="EB215" s="310" t="str">
        <f>IFERROR(__xludf.DUMMYFUNCTION("IF(REGEXMATCH(AW215,AS215),""✔"",""-"")"),"✔")</f>
        <v>✔</v>
      </c>
      <c r="EC215" s="310" t="str">
        <f t="shared" si="58"/>
        <v>#REF!</v>
      </c>
      <c r="ED215" s="370" t="str">
        <f t="shared" si="59"/>
        <v>-</v>
      </c>
      <c r="EE215" s="340" t="str">
        <f t="shared" si="60"/>
        <v>S-R-gG-m-P-D-n-S</v>
      </c>
      <c r="EF215" s="371" t="str">
        <f>IFERROR(__xludf.DUMMYFUNCTION("CONCATENATE(JOIN("""",HC215:HO215))"),"SRgmPdDnS")</f>
        <v>SRgmPdDnS</v>
      </c>
      <c r="EG215" s="372">
        <f t="shared" si="61"/>
        <v>1</v>
      </c>
      <c r="EH215" s="373" t="str">
        <f>IFERROR(__xludf.DUMMYFUNCTION("CONCATENATE(JOIN("""",JC215:JO215))"),"Ga, ")</f>
        <v>Ga, </v>
      </c>
      <c r="EI215" s="322">
        <f t="shared" si="62"/>
        <v>0</v>
      </c>
      <c r="EJ215" s="374" t="str">
        <f>IFERROR(__xludf.DUMMYFUNCTION("CONCATENATE(JOIN("""",KC215:KO215))"),"")</f>
        <v/>
      </c>
      <c r="EK215" s="325" t="str">
        <f t="shared" si="63"/>
        <v>S-R2-G2-G3-M1-P-D2-N2-S</v>
      </c>
      <c r="EL215" s="326" t="str">
        <f t="shared" si="64"/>
        <v>1-2-b3-3-4-5-6-b7-8</v>
      </c>
      <c r="EM215" s="318" t="str">
        <f t="shared" si="65"/>
        <v>#REF!</v>
      </c>
      <c r="EN215" s="328" t="str">
        <f>IFERROR(__xludf.DUMMYFUNCTION("SUBSTITUTE(SUBSTITUTE(SUBSTITUTE(SUBSTITUTE(CONCATENATE(JOIN("" "",HP215:IB215)),""  "","" ""),""  "","" ""),""  "","" ""),""  "","" "")"),"o • o o o o • o • o o • o")</f>
        <v>o • o o o o • o • o o • o</v>
      </c>
      <c r="EO215" s="368" t="str">
        <f t="shared" si="66"/>
        <v>-</v>
      </c>
      <c r="EP215" s="339" t="str">
        <f t="shared" si="67"/>
        <v>-</v>
      </c>
      <c r="EQ215" s="339" t="str">
        <f t="shared" si="68"/>
        <v>Sa-Pa</v>
      </c>
      <c r="ER215" s="339" t="str">
        <f t="shared" si="69"/>
        <v>-</v>
      </c>
      <c r="ES215" s="340" t="str">
        <f t="shared" si="70"/>
        <v>-</v>
      </c>
      <c r="ET215" s="363"/>
      <c r="EU215" s="376" t="b">
        <f>IFERROR(__xludf.DUMMYFUNCTION("arrayformula(sum(--REGEXMATCH(""SRGMPDNS"",split(REGEXREPLACE(C215,""(.)"",""$1~""),""~""))))=len(C215)
"),FALSE)</f>
        <v>0</v>
      </c>
      <c r="EV215" s="290" t="b">
        <f>IFERROR(__xludf.DUMMYFUNCTION("arrayformula(sum(--REGEXMATCH(""SRGmPDNS"",split(REGEXREPLACE(C215,""(.)"",""$1~""),""~""))))=len(C215)"),FALSE)</f>
        <v>0</v>
      </c>
      <c r="EW215" s="290" t="b">
        <f>IFERROR(__xludf.DUMMYFUNCTION("arrayformula(sum(--REGEXMATCH(""SRGmPDnS"",split(REGEXREPLACE(C215,""(.)"",""$1~""),""~""))))=len(C215)"),FALSE)</f>
        <v>0</v>
      </c>
      <c r="EX215" s="290" t="b">
        <f>IFERROR(__xludf.DUMMYFUNCTION("arrayformula(sum(--REGEXMATCH(""SRgmPDnS"",split(REGEXREPLACE(C215,""(.)"",""$1~""),""~""))))=len(C215)"),FALSE)</f>
        <v>0</v>
      </c>
      <c r="EY215" s="290" t="b">
        <f>IFERROR(__xludf.DUMMYFUNCTION("arrayformula(sum(--REGEXMATCH(""SRgmPdnS"",split(REGEXREPLACE(C215,""(.)"",""$1~""),""~""))))=len(C215)"),FALSE)</f>
        <v>0</v>
      </c>
      <c r="EZ215" s="290" t="b">
        <f>IFERROR(__xludf.DUMMYFUNCTION("arrayformula(sum(--REGEXMATCH(""SrgmPdnS"",split(REGEXREPLACE(C215,""(.)"",""$1~""),""~""))))=len(C215)"),FALSE)</f>
        <v>0</v>
      </c>
      <c r="FA215" s="290" t="b">
        <f>IFERROR(__xludf.DUMMYFUNCTION("arrayformula(sum(--REGEXMATCH(""SrGmPdNS"",split(REGEXREPLACE(C215,""(.)"",""$1~""),""~""))))=len(C215)"),FALSE)</f>
        <v>0</v>
      </c>
      <c r="FB215" s="290" t="b">
        <f>IFERROR(__xludf.DUMMYFUNCTION("arrayformula(sum(--REGEXMATCH(""SrGMPDNS"",split(REGEXREPLACE(C215,""(.)"",""$1~""),""~""))))=len(C215)"),FALSE)</f>
        <v>0</v>
      </c>
      <c r="FC215" s="290" t="b">
        <f>IFERROR(__xludf.DUMMYFUNCTION("arrayformula(sum(--REGEXMATCH(""SrGMPdNS"",split(REGEXREPLACE(C215,""(.)"",""$1~""),""~""))))=len(C215)"),FALSE)</f>
        <v>0</v>
      </c>
      <c r="FD215" s="377" t="b">
        <f>IFERROR(__xludf.DUMMYFUNCTION("arrayformula(sum(--REGEXMATCH(""SrgMPdNS"",split(REGEXREPLACE(C215,""(.)"",""$1~""),""~""))))=len(C215)"),FALSE)</f>
        <v>0</v>
      </c>
      <c r="FE215" s="269" t="str">
        <f t="shared" si="71"/>
        <v>-</v>
      </c>
      <c r="FF215" s="269" t="str">
        <f t="shared" si="72"/>
        <v>xxxxoxoxxox</v>
      </c>
      <c r="FG215" s="271" t="str">
        <f t="shared" si="73"/>
        <v>xxxoxoxxoxo</v>
      </c>
      <c r="FH215" s="269" t="str">
        <f t="shared" si="74"/>
        <v>xxoxoxxoxox</v>
      </c>
      <c r="FI215" s="271" t="str">
        <f t="shared" si="75"/>
        <v>xoxoxxoxoxx</v>
      </c>
      <c r="FJ215" s="271" t="str">
        <f t="shared" si="76"/>
        <v>-</v>
      </c>
      <c r="FK215" s="271" t="str">
        <f t="shared" si="77"/>
        <v>xoxxoxoxxxx</v>
      </c>
      <c r="FL215" s="271" t="str">
        <f t="shared" si="78"/>
        <v>-</v>
      </c>
      <c r="FM215" s="271" t="str">
        <f t="shared" si="79"/>
        <v>xxoxoxxxxox</v>
      </c>
      <c r="FN215" s="271" t="str">
        <f t="shared" si="80"/>
        <v>xoxoxxxxoxo</v>
      </c>
      <c r="FO215" s="274" t="str">
        <f t="shared" si="81"/>
        <v>-</v>
      </c>
      <c r="FP215" s="234" t="str">
        <f t="shared" si="82"/>
        <v>|</v>
      </c>
      <c r="FQ215" s="236" t="str">
        <f t="shared" si="83"/>
        <v>-</v>
      </c>
      <c r="FR215" s="237" t="str">
        <f t="shared" si="84"/>
        <v>|</v>
      </c>
      <c r="FS215" s="236" t="str">
        <f t="shared" si="85"/>
        <v>|</v>
      </c>
      <c r="FT215" s="237" t="str">
        <f t="shared" si="86"/>
        <v>|</v>
      </c>
      <c r="FU215" s="236" t="str">
        <f t="shared" si="87"/>
        <v>|</v>
      </c>
      <c r="FV215" s="237" t="str">
        <f t="shared" si="88"/>
        <v>-</v>
      </c>
      <c r="FW215" s="236" t="str">
        <f t="shared" si="89"/>
        <v>|</v>
      </c>
      <c r="FX215" s="237" t="str">
        <f t="shared" si="90"/>
        <v>-</v>
      </c>
      <c r="FY215" s="236" t="str">
        <f t="shared" si="91"/>
        <v>|</v>
      </c>
      <c r="FZ215" s="237" t="str">
        <f t="shared" si="92"/>
        <v>|</v>
      </c>
      <c r="GA215" s="236" t="str">
        <f t="shared" si="93"/>
        <v>-</v>
      </c>
      <c r="GB215" s="238" t="str">
        <f t="shared" si="94"/>
        <v>|</v>
      </c>
      <c r="GC215" s="244" t="str">
        <f>IFERROR(__xludf.DUMMYFUNCTION("IF(REGEXMATCH(C215, ""S""), ""1"","""")"),"1")</f>
        <v>1</v>
      </c>
      <c r="GD215" s="245" t="str">
        <f>IFERROR(__xludf.DUMMYFUNCTION("IF(REGEXMATCH(C215, ""r""), ""b2"","""")"),"")</f>
        <v/>
      </c>
      <c r="GE215" s="246" t="str">
        <f>IFERROR(__xludf.DUMMYFUNCTION("IF(REGEXMATCH(C215, ""R""), ""2"","""")"),"2")</f>
        <v>2</v>
      </c>
      <c r="GF215" s="246" t="str">
        <f>IFERROR(__xludf.DUMMYFUNCTION("IF(REGEXMATCH(C215, ""g""), ""b3"","""")"),"b3")</f>
        <v>b3</v>
      </c>
      <c r="GG215" s="245" t="str">
        <f>IFERROR(__xludf.DUMMYFUNCTION("IF(REGEXMATCH(C215, ""G""), ""3"","""")"),"3")</f>
        <v>3</v>
      </c>
      <c r="GH215" s="245" t="str">
        <f>IFERROR(__xludf.DUMMYFUNCTION("IF(REGEXMATCH(C215, ""m""), ""4"","""")"),"4")</f>
        <v>4</v>
      </c>
      <c r="GI215" s="246" t="str">
        <f>IFERROR(__xludf.DUMMYFUNCTION("IF(REGEXMATCH(C215, ""M""), ""#4"","""")"),"")</f>
        <v/>
      </c>
      <c r="GJ215" s="245" t="str">
        <f>IFERROR(__xludf.DUMMYFUNCTION("IF(REGEXMATCH(C215, ""P""), ""5"","""")"),"5")</f>
        <v>5</v>
      </c>
      <c r="GK215" s="246" t="str">
        <f>IFERROR(__xludf.DUMMYFUNCTION("IF(REGEXMATCH(C215, ""d""), ""b6"","""")"),"")</f>
        <v/>
      </c>
      <c r="GL215" s="245" t="str">
        <f>IFERROR(__xludf.DUMMYFUNCTION("IF(REGEXMATCH(C215, ""D""), ""6"","""")"),"6")</f>
        <v>6</v>
      </c>
      <c r="GM215" s="245" t="str">
        <f>IFERROR(__xludf.DUMMYFUNCTION("IF(REGEXMATCH(C215, ""n""), ""b7"","""")"),"b7")</f>
        <v>b7</v>
      </c>
      <c r="GN215" s="246" t="str">
        <f>IFERROR(__xludf.DUMMYFUNCTION("IF(REGEXMATCH(C215, ""N""), ""7"","""")"),"")</f>
        <v/>
      </c>
      <c r="GO215" s="249" t="str">
        <f>IFERROR(__xludf.DUMMYFUNCTION("IF(REGEXMATCH(C215, ""S""), ""8"","""")"),"8")</f>
        <v>8</v>
      </c>
      <c r="GP215" s="244" t="str">
        <f>IFERROR(__xludf.DUMMYFUNCTION("IF(REGEXMATCH(C215, ""S""), ""S"","""")"),"S")</f>
        <v>S</v>
      </c>
      <c r="GQ215" s="294" t="str">
        <f>IFERROR(__xludf.DUMMYFUNCTION("IF(REGEXMATCH(C215, ""r""), ""R1"","""")"),"")</f>
        <v/>
      </c>
      <c r="GR215" s="295" t="str">
        <f>IFERROR(__xludf.DUMMYFUNCTION("IF(REGEXMATCH(C215, ""R""), ""R2"","""")"),"R2")</f>
        <v>R2</v>
      </c>
      <c r="GS215" s="295" t="str">
        <f>IFERROR(__xludf.DUMMYFUNCTION("IF(REGEXMATCH(C215, ""g""), ""G2"","""")"),"G2")</f>
        <v>G2</v>
      </c>
      <c r="GT215" s="294" t="str">
        <f>IFERROR(__xludf.DUMMYFUNCTION("IF(REGEXMATCH(C215, ""G""), ""G3"","""")"),"G3")</f>
        <v>G3</v>
      </c>
      <c r="GU215" s="294" t="str">
        <f>IFERROR(__xludf.DUMMYFUNCTION("IF(REGEXMATCH(C215, ""m""), ""M1"","""")"),"M1")</f>
        <v>M1</v>
      </c>
      <c r="GV215" s="295" t="str">
        <f>IFERROR(__xludf.DUMMYFUNCTION("IF(REGEXMATCH(C215, ""M""), ""M2"","""")"),"")</f>
        <v/>
      </c>
      <c r="GW215" s="294" t="str">
        <f>IFERROR(__xludf.DUMMYFUNCTION("IF(REGEXMATCH(C215, ""P""), ""P"","""")"),"P")</f>
        <v>P</v>
      </c>
      <c r="GX215" s="295" t="str">
        <f>IFERROR(__xludf.DUMMYFUNCTION("IF(REGEXMATCH(C215, ""d""), ""D1"","""")"),"")</f>
        <v/>
      </c>
      <c r="GY215" s="294" t="str">
        <f>IFERROR(__xludf.DUMMYFUNCTION("IF(REGEXMATCH(C215, ""D""), ""D2"","""")"),"D2")</f>
        <v>D2</v>
      </c>
      <c r="GZ215" s="294" t="str">
        <f>IFERROR(__xludf.DUMMYFUNCTION("IF(REGEXMATCH(C215, ""n""), ""N2"","""")"),"N2")</f>
        <v>N2</v>
      </c>
      <c r="HA215" s="295" t="str">
        <f>IFERROR(__xludf.DUMMYFUNCTION("IF(REGEXMATCH(C215, ""N""), ""N3"","""")"),"")</f>
        <v/>
      </c>
      <c r="HB215" s="249" t="str">
        <f>IFERROR(__xludf.DUMMYFUNCTION("IF(REGEXMATCH(C215, ""S""), ""S"","""")"),"S")</f>
        <v>S</v>
      </c>
      <c r="HC215" s="331" t="str">
        <f t="shared" si="95"/>
        <v>S</v>
      </c>
      <c r="HD215" s="332" t="str">
        <f t="shared" si="96"/>
        <v/>
      </c>
      <c r="HE215" s="332" t="str">
        <f t="shared" si="97"/>
        <v>R</v>
      </c>
      <c r="HF215" s="332" t="str">
        <f t="shared" si="98"/>
        <v>g</v>
      </c>
      <c r="HG215" s="332" t="str">
        <f t="shared" si="99"/>
        <v/>
      </c>
      <c r="HH215" s="332" t="str">
        <f t="shared" si="100"/>
        <v>m</v>
      </c>
      <c r="HI215" s="332" t="str">
        <f t="shared" si="101"/>
        <v/>
      </c>
      <c r="HJ215" s="332" t="str">
        <f t="shared" si="102"/>
        <v>P</v>
      </c>
      <c r="HK215" s="332" t="str">
        <f t="shared" si="103"/>
        <v>d</v>
      </c>
      <c r="HL215" s="332" t="str">
        <f t="shared" si="104"/>
        <v>D</v>
      </c>
      <c r="HM215" s="332" t="str">
        <f t="shared" si="105"/>
        <v>n</v>
      </c>
      <c r="HN215" s="332" t="str">
        <f t="shared" si="106"/>
        <v/>
      </c>
      <c r="HO215" s="343" t="str">
        <f t="shared" si="107"/>
        <v>S</v>
      </c>
      <c r="HP215" s="331" t="str">
        <f t="shared" si="108"/>
        <v>o</v>
      </c>
      <c r="HQ215" s="332" t="str">
        <f t="shared" si="109"/>
        <v>•</v>
      </c>
      <c r="HR215" s="332" t="str">
        <f t="shared" si="110"/>
        <v>o</v>
      </c>
      <c r="HS215" s="332" t="str">
        <f t="shared" si="111"/>
        <v>o</v>
      </c>
      <c r="HT215" s="332" t="str">
        <f t="shared" si="112"/>
        <v>o</v>
      </c>
      <c r="HU215" s="332" t="str">
        <f t="shared" si="113"/>
        <v>o</v>
      </c>
      <c r="HV215" s="332" t="str">
        <f t="shared" si="114"/>
        <v>•</v>
      </c>
      <c r="HW215" s="332" t="str">
        <f t="shared" si="115"/>
        <v>o</v>
      </c>
      <c r="HX215" s="332" t="str">
        <f t="shared" si="116"/>
        <v>•</v>
      </c>
      <c r="HY215" s="332" t="str">
        <f t="shared" si="117"/>
        <v>o</v>
      </c>
      <c r="HZ215" s="332" t="str">
        <f t="shared" si="118"/>
        <v>o</v>
      </c>
      <c r="IA215" s="332" t="str">
        <f t="shared" si="119"/>
        <v>•</v>
      </c>
      <c r="IB215" s="338" t="str">
        <f t="shared" si="120"/>
        <v>o</v>
      </c>
      <c r="IC215" s="331" t="str">
        <f t="shared" si="121"/>
        <v>•</v>
      </c>
      <c r="ID215" s="332" t="str">
        <f t="shared" si="122"/>
        <v>o</v>
      </c>
      <c r="IE215" s="332" t="str">
        <f t="shared" si="123"/>
        <v>•</v>
      </c>
      <c r="IF215" s="332" t="str">
        <f t="shared" si="124"/>
        <v>•</v>
      </c>
      <c r="IG215" s="332" t="str">
        <f t="shared" si="125"/>
        <v>•</v>
      </c>
      <c r="IH215" s="332" t="str">
        <f t="shared" si="126"/>
        <v>•</v>
      </c>
      <c r="II215" s="332" t="str">
        <f t="shared" si="127"/>
        <v>o</v>
      </c>
      <c r="IJ215" s="332" t="str">
        <f t="shared" si="128"/>
        <v>•</v>
      </c>
      <c r="IK215" s="332" t="str">
        <f t="shared" si="129"/>
        <v>o</v>
      </c>
      <c r="IL215" s="332" t="str">
        <f t="shared" si="130"/>
        <v>•</v>
      </c>
      <c r="IM215" s="332" t="str">
        <f t="shared" si="131"/>
        <v>•</v>
      </c>
      <c r="IN215" s="332" t="str">
        <f t="shared" si="132"/>
        <v>o</v>
      </c>
      <c r="IO215" s="338" t="str">
        <f t="shared" si="133"/>
        <v>•</v>
      </c>
      <c r="IP215" s="346" t="b">
        <f t="shared" si="134"/>
        <v>0</v>
      </c>
      <c r="IQ215" s="347" t="b">
        <f t="shared" si="135"/>
        <v>0</v>
      </c>
      <c r="IR215" s="347" t="b">
        <f t="shared" si="136"/>
        <v>0</v>
      </c>
      <c r="IS215" s="347" t="b">
        <f t="shared" si="137"/>
        <v>0</v>
      </c>
      <c r="IT215" s="347" t="b">
        <f t="shared" si="138"/>
        <v>1</v>
      </c>
      <c r="IU215" s="347" t="b">
        <f t="shared" si="139"/>
        <v>0</v>
      </c>
      <c r="IV215" s="347" t="b">
        <f t="shared" si="140"/>
        <v>0</v>
      </c>
      <c r="IW215" s="347" t="b">
        <f t="shared" si="141"/>
        <v>0</v>
      </c>
      <c r="IX215" s="347" t="b">
        <f t="shared" si="142"/>
        <v>0</v>
      </c>
      <c r="IY215" s="347" t="b">
        <f t="shared" si="143"/>
        <v>0</v>
      </c>
      <c r="IZ215" s="347" t="b">
        <f t="shared" si="144"/>
        <v>0</v>
      </c>
      <c r="JA215" s="347" t="b">
        <f t="shared" si="145"/>
        <v>0</v>
      </c>
      <c r="JB215" s="353" t="b">
        <f t="shared" si="146"/>
        <v>0</v>
      </c>
      <c r="JC215" s="354" t="str">
        <f t="shared" si="147"/>
        <v/>
      </c>
      <c r="JD215" s="355" t="str">
        <f t="shared" si="148"/>
        <v/>
      </c>
      <c r="JE215" s="355" t="str">
        <f t="shared" si="149"/>
        <v/>
      </c>
      <c r="JF215" s="355" t="str">
        <f t="shared" si="150"/>
        <v/>
      </c>
      <c r="JG215" s="355" t="str">
        <f t="shared" si="151"/>
        <v>Ga, </v>
      </c>
      <c r="JH215" s="355" t="str">
        <f t="shared" si="152"/>
        <v/>
      </c>
      <c r="JI215" s="355" t="str">
        <f t="shared" si="153"/>
        <v/>
      </c>
      <c r="JJ215" s="355" t="str">
        <f t="shared" si="154"/>
        <v/>
      </c>
      <c r="JK215" s="355" t="str">
        <f t="shared" si="155"/>
        <v/>
      </c>
      <c r="JL215" s="355" t="str">
        <f t="shared" si="156"/>
        <v/>
      </c>
      <c r="JM215" s="355" t="str">
        <f t="shared" si="157"/>
        <v/>
      </c>
      <c r="JN215" s="355" t="str">
        <f t="shared" si="158"/>
        <v/>
      </c>
      <c r="JO215" s="359" t="str">
        <f t="shared" si="159"/>
        <v/>
      </c>
      <c r="JP215" s="346" t="b">
        <f t="shared" si="160"/>
        <v>0</v>
      </c>
      <c r="JQ215" s="347" t="b">
        <f t="shared" si="161"/>
        <v>0</v>
      </c>
      <c r="JR215" s="347" t="b">
        <f t="shared" si="162"/>
        <v>0</v>
      </c>
      <c r="JS215" s="347" t="b">
        <f t="shared" si="163"/>
        <v>0</v>
      </c>
      <c r="JT215" s="347" t="b">
        <f t="shared" si="164"/>
        <v>0</v>
      </c>
      <c r="JU215" s="347" t="b">
        <f t="shared" si="165"/>
        <v>0</v>
      </c>
      <c r="JV215" s="347" t="b">
        <f t="shared" si="166"/>
        <v>0</v>
      </c>
      <c r="JW215" s="347" t="b">
        <f t="shared" si="167"/>
        <v>0</v>
      </c>
      <c r="JX215" s="347" t="b">
        <f t="shared" si="168"/>
        <v>0</v>
      </c>
      <c r="JY215" s="347" t="b">
        <f t="shared" si="169"/>
        <v>0</v>
      </c>
      <c r="JZ215" s="347" t="b">
        <f t="shared" si="170"/>
        <v>0</v>
      </c>
      <c r="KA215" s="347" t="b">
        <f t="shared" si="171"/>
        <v>0</v>
      </c>
      <c r="KB215" s="365" t="b">
        <f t="shared" si="172"/>
        <v>0</v>
      </c>
      <c r="KC215" s="354" t="str">
        <f t="shared" si="173"/>
        <v/>
      </c>
      <c r="KD215" s="355" t="str">
        <f t="shared" si="174"/>
        <v/>
      </c>
      <c r="KE215" s="355" t="str">
        <f t="shared" si="175"/>
        <v/>
      </c>
      <c r="KF215" s="355" t="str">
        <f t="shared" si="176"/>
        <v/>
      </c>
      <c r="KG215" s="355" t="str">
        <f t="shared" si="177"/>
        <v/>
      </c>
      <c r="KH215" s="355" t="str">
        <f t="shared" si="178"/>
        <v/>
      </c>
      <c r="KI215" s="355" t="str">
        <f t="shared" si="179"/>
        <v/>
      </c>
      <c r="KJ215" s="355" t="str">
        <f t="shared" si="180"/>
        <v/>
      </c>
      <c r="KK215" s="355" t="str">
        <f t="shared" si="181"/>
        <v/>
      </c>
      <c r="KL215" s="355" t="str">
        <f t="shared" si="182"/>
        <v/>
      </c>
      <c r="KM215" s="355" t="str">
        <f t="shared" si="183"/>
        <v/>
      </c>
      <c r="KN215" s="355" t="str">
        <f t="shared" si="184"/>
        <v/>
      </c>
      <c r="KO215" s="359"/>
      <c r="KP215" s="378"/>
      <c r="KQ215" s="379" t="s">
        <v>1073</v>
      </c>
      <c r="KR215" s="380" t="s">
        <v>1401</v>
      </c>
      <c r="KS215" s="381" t="str">
        <f>KQ215</f>
        <v>S-R-G-m-D-n-S</v>
      </c>
      <c r="KT215" s="382">
        <f t="shared" si="186"/>
        <v>6</v>
      </c>
      <c r="KU215" s="383">
        <f t="shared" si="187"/>
        <v>6</v>
      </c>
      <c r="KV215" s="381" t="str">
        <f t="shared" si="205"/>
        <v>S-n-D-P-m-Gg-R-S</v>
      </c>
      <c r="KW215" s="382">
        <f t="shared" si="189"/>
        <v>7</v>
      </c>
      <c r="KX215" s="384">
        <f t="shared" si="190"/>
        <v>8</v>
      </c>
      <c r="KY215" s="382">
        <f t="shared" ref="KY215:KZ215" si="647">KW215-KT215</f>
        <v>1</v>
      </c>
      <c r="KZ215" s="369">
        <f t="shared" si="647"/>
        <v>2</v>
      </c>
      <c r="LA215" s="385" t="str">
        <f t="shared" si="192"/>
        <v>-</v>
      </c>
      <c r="LB215" s="340" t="str">
        <f>IFERROR(__xludf.DUMMYFUNCTION("JOIN("""",ArrayFormula(MID(KS215,LEN(KS215)-SEQUENCE(1,LEN(KS215))+1,1)))"),"S-n-D-m-G-R-S")</f>
        <v>S-n-D-m-G-R-S</v>
      </c>
      <c r="LC215" s="373" t="str">
        <f>IFERROR(__xludf.DUMMYFUNCTION("JOIN("""",ArrayFormula(MID(KV215,LEN(KV215)-SEQUENCE(1,LEN(KV215))+1,1)))"),"S-R-gG-m-P-D-n-S")</f>
        <v>S-R-gG-m-P-D-n-S</v>
      </c>
      <c r="LD215" s="373" t="str">
        <f t="shared" si="193"/>
        <v>SRGmDnS</v>
      </c>
      <c r="LE215" s="339" t="str">
        <f t="shared" si="194"/>
        <v>SRgGmPDnS</v>
      </c>
      <c r="LF215" s="386" t="str">
        <f>IFERROR(__xludf.DUMMYFUNCTION("SUBSTITUTE(SUBSTITUTE(CONCATENATE(JOIN("""",LH215:LT215)),""1"",""""),""2"","""")"),"SRgGmPDnS")</f>
        <v>SRgGmPDnS</v>
      </c>
      <c r="LG215" s="369" t="str">
        <f t="shared" si="195"/>
        <v>✔</v>
      </c>
      <c r="LH215" s="387" t="str">
        <f>IFERROR(__xludf.DUMMYFUNCTION("IF(REGEXMATCH(LD215, ""S""), ""S"",IF(REGEXMATCH(LE215, ""S""), ""S"",""""))"),"S")</f>
        <v>S</v>
      </c>
      <c r="LI215" s="299" t="str">
        <f>IFERROR(__xludf.DUMMYFUNCTION("IF(REGEXMATCH(LD215, ""r""), ""r1"",IF(REGEXMATCH(LE215, ""r""), ""r2"",""""))"),"")</f>
        <v/>
      </c>
      <c r="LJ215" s="299" t="str">
        <f>IFERROR(__xludf.DUMMYFUNCTION("IF(REGEXMATCH(LD215, ""R""), ""R1"",IF(REGEXMATCH(LE215, ""R""), ""R2"",""""))"),"R1")</f>
        <v>R1</v>
      </c>
      <c r="LK215" s="299" t="str">
        <f>IFERROR(__xludf.DUMMYFUNCTION("IF(REGEXMATCH(LD215, ""g""), ""g1"",IF(REGEXMATCH(LE215, ""g""), ""g2"",""""))"),"g2")</f>
        <v>g2</v>
      </c>
      <c r="LL215" s="299" t="str">
        <f>IFERROR(__xludf.DUMMYFUNCTION("IF(REGEXMATCH(LD215, ""G""), ""G1"",IF(REGEXMATCH(LE215, ""G""), ""G2"",""""))"),"G1")</f>
        <v>G1</v>
      </c>
      <c r="LM215" s="299" t="str">
        <f>IFERROR(__xludf.DUMMYFUNCTION("IF(REGEXMATCH(LD215, ""m""), ""m1"",IF(REGEXMATCH(LE215, ""m""), ""m2"",""""))"),"m1")</f>
        <v>m1</v>
      </c>
      <c r="LN215" s="299" t="str">
        <f>IFERROR(__xludf.DUMMYFUNCTION("IF(REGEXMATCH(LD215, ""M""), ""M1"",IF(REGEXMATCH(LE215, ""M""), ""M2"",""""))"),"")</f>
        <v/>
      </c>
      <c r="LO215" s="299" t="str">
        <f>IFERROR(__xludf.DUMMYFUNCTION("IF(REGEXMATCH(LD215, ""P""), ""P1"",IF(REGEXMATCH(LE215, ""P""), ""P2"",""""))"),"P2")</f>
        <v>P2</v>
      </c>
      <c r="LP215" s="299" t="str">
        <f>IFERROR(__xludf.DUMMYFUNCTION("IF(REGEXMATCH(LD215, ""d""), ""d1"",IF(REGEXMATCH(LE215, ""d""), ""d2"",""""))"),"")</f>
        <v/>
      </c>
      <c r="LQ215" s="299" t="str">
        <f>IFERROR(__xludf.DUMMYFUNCTION("IF(REGEXMATCH(LD215, ""D""), ""D1"",IF(REGEXMATCH(LE215, ""D""), ""D2"",""""))"),"D1")</f>
        <v>D1</v>
      </c>
      <c r="LR215" s="299" t="str">
        <f>IFERROR(__xludf.DUMMYFUNCTION("IF(REGEXMATCH(LD215, ""n""), ""n1"",IF(REGEXMATCH(LE215, ""n""), ""n2"",""""))"),"n1")</f>
        <v>n1</v>
      </c>
      <c r="LS215" s="299" t="str">
        <f>IFERROR(__xludf.DUMMYFUNCTION("IF(REGEXMATCH(LD215, ""N""), ""N1"",IF(REGEXMATCH(LE215, ""N""), ""N2"",""""))"),"")</f>
        <v/>
      </c>
      <c r="LT215" s="388" t="str">
        <f>IFERROR(__xludf.DUMMYFUNCTION("IF(REGEXMATCH(LD215, ""S""), ""S"",IF(REGEXMATCH(LE215, ""S""), ""S"",""""))"),"S")</f>
        <v>S</v>
      </c>
      <c r="LU215" s="389">
        <f t="shared" si="196"/>
        <v>-2</v>
      </c>
      <c r="LV215" s="378"/>
      <c r="LW215" s="369"/>
      <c r="LX215" s="369"/>
    </row>
    <row r="216" ht="18.0" customHeight="1">
      <c r="A216" s="298" t="s">
        <v>958</v>
      </c>
      <c r="B216" s="222" t="s">
        <v>713</v>
      </c>
      <c r="C216" s="233" t="str">
        <f t="shared" si="7"/>
        <v>SrGMPdDNS</v>
      </c>
      <c r="D216" s="234" t="str">
        <f>IFERROR(__xludf.DUMMYFUNCTION("IF(REGEXMATCH(C216, ""S""), ""S"","""")"),"S")</f>
        <v>S</v>
      </c>
      <c r="E216" s="236" t="str">
        <f>IFERROR(__xludf.DUMMYFUNCTION("IF(REGEXMATCH(C216, ""r""), ""r"","""")"),"r")</f>
        <v>r</v>
      </c>
      <c r="F216" s="237" t="str">
        <f>IFERROR(__xludf.DUMMYFUNCTION("IF(REGEXMATCH(C216, ""R""), ""R"","""")"),"")</f>
        <v/>
      </c>
      <c r="G216" s="237" t="str">
        <f>IFERROR(__xludf.DUMMYFUNCTION("IF(REGEXMATCH(C216, ""g""), ""g"","""")"),"")</f>
        <v/>
      </c>
      <c r="H216" s="236" t="str">
        <f>IFERROR(__xludf.DUMMYFUNCTION("IF(REGEXMATCH(C216, ""G""), ""G"","""")"),"G")</f>
        <v>G</v>
      </c>
      <c r="I216" s="236" t="str">
        <f>IFERROR(__xludf.DUMMYFUNCTION("IF(REGEXMATCH(C216, ""m""), ""m"","""")"),"")</f>
        <v/>
      </c>
      <c r="J216" s="237" t="str">
        <f>IFERROR(__xludf.DUMMYFUNCTION("IF(REGEXMATCH(C216, ""M""), ""M"","""")"),"M")</f>
        <v>M</v>
      </c>
      <c r="K216" s="236" t="str">
        <f>IFERROR(__xludf.DUMMYFUNCTION("IF(REGEXMATCH(C216, ""P""), ""P"","""")"),"P")</f>
        <v>P</v>
      </c>
      <c r="L216" s="237" t="str">
        <f>IFERROR(__xludf.DUMMYFUNCTION("IF(REGEXMATCH(C216, ""d""), ""d"","""")"),"d")</f>
        <v>d</v>
      </c>
      <c r="M216" s="236" t="str">
        <f>IFERROR(__xludf.DUMMYFUNCTION("IF(REGEXMATCH(C216, ""D""), ""D"","""")"),"D")</f>
        <v>D</v>
      </c>
      <c r="N216" s="236" t="str">
        <f>IFERROR(__xludf.DUMMYFUNCTION("IF(REGEXMATCH(C216, ""n""), ""n"","""")"),"")</f>
        <v/>
      </c>
      <c r="O216" s="237" t="str">
        <f>IFERROR(__xludf.DUMMYFUNCTION("IF(REGEXMATCH(C216, ""N""), ""N"","""")"),"N")</f>
        <v>N</v>
      </c>
      <c r="P216" s="238" t="str">
        <f>IFERROR(__xludf.DUMMYFUNCTION("IF(REGEXMATCH(C216, ""S""), ""S"","""")"),"S")</f>
        <v>S</v>
      </c>
      <c r="Q216" s="239" t="str">
        <f>IFERROR(__xludf.DUMMYFUNCTION("SUBSTITUTE(CONCATENATE(JOIN(""-"",D216:J216)),""-"","""")"),"SrGM")</f>
        <v>SrGM</v>
      </c>
      <c r="R216" s="229" t="str">
        <f>IFERROR(__xludf.DUMMYFUNCTION("SUBSTITUTE(CONCATENATE(JOIN(""-"",K216:P216)),""-"","""")"),"PdDNS")</f>
        <v>PdDNS</v>
      </c>
      <c r="S216" s="282" t="str">
        <f t="shared" si="8"/>
        <v>S-R-G-M</v>
      </c>
      <c r="T216" s="282" t="str">
        <f t="shared" si="9"/>
        <v>P-D-N-S</v>
      </c>
      <c r="U216" s="237" t="str">
        <f>IFERROR(__xludf.DUMMYFUNCTION("SUBSTITUTE(JOIN(""-"",S216,T216),""--"",""-"")"),"S-R-G-M-P-D-N-S")</f>
        <v>S-R-G-M-P-D-N-S</v>
      </c>
      <c r="V216" s="309" t="str">
        <f t="shared" si="10"/>
        <v>rGMdDN</v>
      </c>
      <c r="W216" s="244" t="str">
        <f>IFERROR(__xludf.DUMMYFUNCTION("IF(REGEXMATCH(C216, ""S""), ""0"","""")"),"0")</f>
        <v>0</v>
      </c>
      <c r="X216" s="245" t="str">
        <f>IFERROR(__xludf.DUMMYFUNCTION("IF(REGEXMATCH(C216, ""r""), ""1"","""")"),"1")</f>
        <v>1</v>
      </c>
      <c r="Y216" s="246" t="str">
        <f>IFERROR(__xludf.DUMMYFUNCTION("IF(REGEXMATCH(C216, ""R""), ""2"","""")"),"")</f>
        <v/>
      </c>
      <c r="Z216" s="246" t="str">
        <f>IFERROR(__xludf.DUMMYFUNCTION("IF(REGEXMATCH(C216, ""g""), ""3"","""")"),"")</f>
        <v/>
      </c>
      <c r="AA216" s="245" t="str">
        <f>IFERROR(__xludf.DUMMYFUNCTION("IF(REGEXMATCH(C216, ""G""), ""4"","""")"),"4")</f>
        <v>4</v>
      </c>
      <c r="AB216" s="245" t="str">
        <f>IFERROR(__xludf.DUMMYFUNCTION("IF(REGEXMATCH(C216, ""m""), ""5"","""")"),"")</f>
        <v/>
      </c>
      <c r="AC216" s="246" t="str">
        <f>IFERROR(__xludf.DUMMYFUNCTION("IF(REGEXMATCH(C216, ""M""), ""6"","""")"),"6")</f>
        <v>6</v>
      </c>
      <c r="AD216" s="245" t="str">
        <f>IFERROR(__xludf.DUMMYFUNCTION("IF(REGEXMATCH(C216, ""P""), ""7"","""")"),"7")</f>
        <v>7</v>
      </c>
      <c r="AE216" s="246" t="str">
        <f>IFERROR(__xludf.DUMMYFUNCTION("IF(REGEXMATCH(C216, ""d""), ""8"","""")"),"8")</f>
        <v>8</v>
      </c>
      <c r="AF216" s="245" t="str">
        <f>IFERROR(__xludf.DUMMYFUNCTION("IF(REGEXMATCH(C216, ""D""), ""9"","""")"),"9")</f>
        <v>9</v>
      </c>
      <c r="AG216" s="245" t="str">
        <f>IFERROR(__xludf.DUMMYFUNCTION("IF(REGEXMATCH(C216, ""n""), ""10"","""")"),"")</f>
        <v/>
      </c>
      <c r="AH216" s="246" t="str">
        <f>IFERROR(__xludf.DUMMYFUNCTION("IF(REGEXMATCH(C216, ""N""), ""11"","""")"),"11")</f>
        <v>11</v>
      </c>
      <c r="AI216" s="249" t="str">
        <f>IFERROR(__xludf.DUMMYFUNCTION("IF(REGEXMATCH(C216, ""S""), ""0"","""")"),"0")</f>
        <v>0</v>
      </c>
      <c r="AJ216" s="313" t="str">
        <f t="shared" si="11"/>
        <v>T</v>
      </c>
      <c r="AK216" s="313" t="str">
        <f t="shared" si="12"/>
        <v>T</v>
      </c>
      <c r="AL216" s="313" t="str">
        <f t="shared" si="13"/>
        <v>-</v>
      </c>
      <c r="AM216" s="313" t="str">
        <f t="shared" si="14"/>
        <v>-</v>
      </c>
      <c r="AN216" s="313" t="str">
        <f t="shared" si="15"/>
        <v>-</v>
      </c>
      <c r="AO216" s="314" t="str">
        <f t="shared" si="16"/>
        <v>-</v>
      </c>
      <c r="AP216" s="316">
        <f t="shared" si="17"/>
        <v>2</v>
      </c>
      <c r="AQ216" s="319" t="str">
        <f t="shared" si="18"/>
        <v>-</v>
      </c>
      <c r="AR216" s="320">
        <f t="shared" si="19"/>
        <v>0</v>
      </c>
      <c r="AS216" s="250" t="str">
        <f>IFERROR(__xludf.DUMMYFUNCTION("SUBSTITUTE(SUBSTITUTE(CONCATENATE(JOIN("""",FP216:GA216)),""|"",""x""),""-"",""o"")"),"xxooxoxxxxox")</f>
        <v>xxooxoxxxxox</v>
      </c>
      <c r="AT216" s="323" t="str">
        <f>IFERROR(__xludf.DUMMYFUNCTION("JOIN("""",AS216,AS216)"),"xxooxoxxxxoxxxooxoxxxxox")</f>
        <v>xxooxoxxxxoxxxooxoxxxxox</v>
      </c>
      <c r="AU216" s="256" t="str">
        <f>IFERROR(__xludf.DUMMYFUNCTION("JOIN("""",ArrayFormula(MID(AS216,LEN(AS216)-SEQUENCE(1,LEN(AS216))+1,1)))"),"xoxxxxoxooxx")</f>
        <v>xoxxxxoxooxx</v>
      </c>
      <c r="AV216" s="256" t="str">
        <f>IFERROR(__xludf.DUMMYFUNCTION("LEFT(CONCATENATE(""x"",JOIN("""",ArrayFormula(MID(AS216,LEN(AS216)-SEQUENCE(1,LEN(AS216))+1,1)))),12)"),"xxoxxxxoxoox")</f>
        <v>xxoxxxxoxoox</v>
      </c>
      <c r="AW216" s="327" t="str">
        <f>IFERROR(__xludf.DUMMYFUNCTION("JOIN("""",AU216,AU216)"),"xoxxxxoxooxxxoxxxxoxooxx")</f>
        <v>xoxxxxoxooxxxoxxxxoxooxx</v>
      </c>
      <c r="AX216" s="239" t="str">
        <f>IFERROR(__xludf.DUMMYFUNCTION("IF(REGEXMATCH(AW216,AS216),""✔"",""-"")"),"-")</f>
        <v>-</v>
      </c>
      <c r="AY216" s="330" t="str">
        <f t="shared" si="20"/>
        <v>-</v>
      </c>
      <c r="AZ216" s="260" t="str">
        <f t="shared" si="21"/>
        <v>#REF!</v>
      </c>
      <c r="BA216" s="333" t="str">
        <f t="shared" si="22"/>
        <v>xxooxox</v>
      </c>
      <c r="BB216" s="334" t="str">
        <f t="shared" si="23"/>
        <v>xxxoxx</v>
      </c>
      <c r="BC216" s="335" t="str">
        <f t="shared" si="236"/>
        <v>-</v>
      </c>
      <c r="BD216" s="336" t="str">
        <f t="shared" si="25"/>
        <v>Maligoura: 'xxooxox' + 'xxxoxx'</v>
      </c>
      <c r="BE216" s="337">
        <f>IFERROR(__xludf.DUMMYFUNCTION("COUNTUNIQUE(FILTER(AT:AT,REGEXMATCH(AT:AT,AS216)))-1"),0.0)</f>
        <v>0</v>
      </c>
      <c r="BF216" s="261" t="str">
        <f>IFERROR(__xludf.DUMMYFUNCTION("IF(BI216=0,""(n/a)"",IF(BJ216=2,""(PAIR)"",IF(REGEXMATCH(AT216,""xoxoxxoxoxox""),""Bilawal"",IF(REGEXMATCH(AT216,""xoxoxooxoxoo""),""Bhupali"",IF(REGEXMATCH(AT216,""xoxoxxoxxoxo""),""Charukeshi"",IF(REGEXMATCH(AT216,""xoxoooxxoxxo""),""Kameshwari"",IF(REG"&amp;"EXMATCH(AT216,""xoxoxooxoxox""),""Shankara"",IF(REGEXMATCH(AT216,""xxooxoxxxoox""),""Basant"",IF(REGEXMATCH(AT216,""xoxoxxxxoxox""),""Bihag"",IF(REGEXMATCH(AT216,""xoxxxxoxoxxx""),""Pilu"",IF(REGEXMATCH(AT216,""xoxxoxoxxoox""),""Kirwani"",IF(REGEXMATCH(AT"&amp;"216,""xoxxoxoxoxxx""),""Mk.Malhar"",IF(REGEXMATCH(AT216,""xxooxxoxxoox""),""Bhairav"",IF(REGEXMATCH(AT216,""xxoxooxxxoox""),""Todi"",IF(REGEXMATCH(AT216,""xxooxoxooxox""),""Marwa"",IF(REGEXMATCH(AT216,""xxoooxoxxooo""),""Gunkali"",IF(REGEXMATCH(AT216,""xo"&amp;"xoxxoxxoox""),""Nat Bhairav"",IF(REGEXMATCH(AT216,""xoxxoooxoxoo""),""Shivranjani"",IF(REGEXMATCH(AT216,""xooxxxoxooxo""),""Jog"",IF(REGEXMATCH(AT216,""xxooxoxoxoox""),""Hemshri"",IF(REGEXMATCH(AT216,""xoooxooxoxxo""),""Kalavati"",IF(REGEXMATCH(AT216,""xx"&amp;"oxoxxoxoox""),""Kedar"",IF(REGEXMATCH(AT216,""xoxxxxoxooxx""),""Gara"",IF(REGEXMATCH(AT216,""xooxoxooxoox""),""Chandrakauns"",IF(REGEXMATCH(AT216,""xoxxxxoxxxox""),""Mand"",IF(REGEXMATCH(AT216,""xoxxxxoxoxox""),""Hanskinkini"",IF(REGEXMATCH(AT216,""xxooxx"&amp;"oxooxo""),""Lilavati"",IF(REGEXMATCH(AT216,""xooxoxoooxox""),""Rajeshwari"",IF(REGEXMATCH(AT216,""xoooxxoxoxxx""),""Khokar"",IF(REGEXMATCH(AT216,""xxooxoxxxxox""),""Maligoura"",""-""))))))))))))))))))))))))))))))"),"(n/a)")</f>
        <v>(n/a)</v>
      </c>
      <c r="BG216" s="239" t="str">
        <f t="shared" si="26"/>
        <v>#REF!</v>
      </c>
      <c r="BH216" s="239">
        <f>IFERROR(__xludf.DUMMYFUNCTION("COUNTUNIQUE(FE216:FO216)-1"),7.0)</f>
        <v>7</v>
      </c>
      <c r="BI216" s="239">
        <f>IFERROR(__xludf.DUMMYFUNCTION("COUNTUNIQUE(FILTER(AT:AT,REGEXMATCH(AT:AT,AS216)))-1"),0.0)</f>
        <v>0</v>
      </c>
      <c r="BJ216" s="239">
        <f>IFERROR(__xludf.DUMMYFUNCTION("COUNTA(FILTER(AT:AT,REGEXMATCH(AT:AT,AS216)))"),2.0)</f>
        <v>2</v>
      </c>
      <c r="BK216" s="341">
        <f>IFERROR(__xludf.DUMMYFUNCTION("COUNTA(FILTER(AT:AT,REGEXMATCH(AT:AT,AS216)))-AR216"),2.0)</f>
        <v>2</v>
      </c>
      <c r="BL216" s="276" t="str">
        <f>IFERROR(__xludf.DUMMYFUNCTION("IF(AS216=""oooooooooooo"",""-"",IF(REGEXMATCH(AT216,""xx""), ""Hemi."", ""Anhemi.""))"),"Hemi.")</f>
        <v>Hemi.</v>
      </c>
      <c r="BM216" s="282" t="str">
        <f>IFERROR(__xludf.DUMMYFUNCTION("IF(AS216=""oooooooooooo"",""-"",IF(REGEXMATCH(AT216,""xxx""), ""Cohem."", ""-""))"),"Cohem.")</f>
        <v>Cohem.</v>
      </c>
      <c r="BN216" s="282" t="str">
        <f>IFERROR(__xludf.DUMMYFUNCTION("IF(AS216=""oooooooooooo"",""-"",IF(REGEXMATCH(AT216,""xxxx""), ""Co-Co."", ""-""))"),"Co-Co.")</f>
        <v>Co-Co.</v>
      </c>
      <c r="BO216" s="342" t="str">
        <f>IFERROR(__xludf.DUMMYFUNCTION("IF(AS216=""oooooooooooo"",""-"",IF(REGEXMATCH(AT216,""xxxxx""), ""CCC."", ""-""))"),"-")</f>
        <v>-</v>
      </c>
      <c r="BP216" s="344" t="str">
        <f t="shared" si="27"/>
        <v>-</v>
      </c>
      <c r="BQ216" s="282" t="str">
        <f>IFERROR(__xludf.DUMMYFUNCTION("IF(REGEXMATCH(JOIN(""-"",EU216:FD216),""TRUE""),""✔"",""-"")"),"-")</f>
        <v>-</v>
      </c>
      <c r="BR216" s="225">
        <f t="shared" si="28"/>
        <v>0</v>
      </c>
      <c r="BS216" s="345" t="str">
        <f>IFERROR(__xludf.DUMMYFUNCTION("SUBSTITUTE(SUBSTITUTE(SUBSTITUTE(SUBSTITUTE(CONCATENATE(JOIN(""-"",GC216:GO216)),""--"",""-""),""--"",""-""),""--"",""-""),""--"",""-"")"),"1-b2-3-#4-5-b6-6-7-8")</f>
        <v>1-b2-3-#4-5-b6-6-7-8</v>
      </c>
      <c r="BT216" s="299" t="str">
        <f>IFERROR(__xludf.DUMMYFUNCTION("SUBSTITUTE(SUBSTITUTE(SUBSTITUTE(SUBSTITUTE(CONCATENATE(JOIN(""-"",GP216:HB216)),""--"",""-""),""--"",""-""),""--"",""-""),""--"",""-"")"),"S-R1-G3-M2-P-D1-D2-N3-S")</f>
        <v>S-R1-G3-M2-P-D1-D2-N3-S</v>
      </c>
      <c r="BU216" s="348" t="str">
        <f t="shared" si="29"/>
        <v>C-Db-E-F#-G-Ab-A-B-C</v>
      </c>
      <c r="BV216" s="349" t="str">
        <f t="shared" si="30"/>
        <v>SRgmnS</v>
      </c>
      <c r="BW216" s="350">
        <f t="shared" si="31"/>
        <v>0</v>
      </c>
      <c r="BX216" s="351">
        <f t="shared" si="32"/>
        <v>2</v>
      </c>
      <c r="BY216" s="392"/>
      <c r="BZ216" s="309" t="str">
        <f>IFERROR(__xludf.DUMMYFUNCTION("IF(REGEXMATCH(C216, ""S""), ""x"",""x"")"),"x")</f>
        <v>x</v>
      </c>
      <c r="CA216" s="245" t="str">
        <f>IFERROR(__xludf.DUMMYFUNCTION("IF(REGEXMATCH(C216, ""r""), ""o"",""x"")"),"o")</f>
        <v>o</v>
      </c>
      <c r="CB216" s="246" t="str">
        <f>IFERROR(__xludf.DUMMYFUNCTION("IF(REGEXMATCH(C216, ""R""), ""o"",""x"")"),"x")</f>
        <v>x</v>
      </c>
      <c r="CC216" s="246" t="str">
        <f>IFERROR(__xludf.DUMMYFUNCTION("IF(REGEXMATCH(C216, ""g""), ""o"",""x"")"),"x")</f>
        <v>x</v>
      </c>
      <c r="CD216" s="245" t="str">
        <f>IFERROR(__xludf.DUMMYFUNCTION("IF(REGEXMATCH(C216, ""G""), ""o"",""x"")"),"o")</f>
        <v>o</v>
      </c>
      <c r="CE216" s="245" t="str">
        <f>IFERROR(__xludf.DUMMYFUNCTION("IF(REGEXMATCH(C216, ""m""), ""o"",""x"")"),"x")</f>
        <v>x</v>
      </c>
      <c r="CF216" s="246" t="str">
        <f>IFERROR(__xludf.DUMMYFUNCTION("IF(REGEXMATCH(C216, ""M""), ""o"",""x"")"),"o")</f>
        <v>o</v>
      </c>
      <c r="CG216" s="245" t="str">
        <f>IFERROR(__xludf.DUMMYFUNCTION("IF(REGEXMATCH(C216, ""P""), ""o"",""x"")"),"o")</f>
        <v>o</v>
      </c>
      <c r="CH216" s="246" t="str">
        <f>IFERROR(__xludf.DUMMYFUNCTION("IF(REGEXMATCH(C216, ""d""), ""o"",""x"")"),"o")</f>
        <v>o</v>
      </c>
      <c r="CI216" s="245" t="str">
        <f>IFERROR(__xludf.DUMMYFUNCTION("IF(REGEXMATCH(C216, ""D""), ""o"",""x"")"),"o")</f>
        <v>o</v>
      </c>
      <c r="CJ216" s="245" t="str">
        <f>IFERROR(__xludf.DUMMYFUNCTION("IF(REGEXMATCH(C216, ""n""), ""o"",""x"")"),"x")</f>
        <v>x</v>
      </c>
      <c r="CK216" s="245" t="str">
        <f>IFERROR(__xludf.DUMMYFUNCTION("IF(REGEXMATCH(C216, ""N""), ""o"",""x"")"),"o")</f>
        <v>o</v>
      </c>
      <c r="CL216" s="356" t="str">
        <f>IFERROR(__xludf.DUMMYFUNCTION("IF(REGEXMATCH(C216, ""S""), ""x"",""x"")"),"x")</f>
        <v>x</v>
      </c>
      <c r="CM216" s="357" t="str">
        <f t="shared" si="33"/>
        <v>xoxxoxooooxo</v>
      </c>
      <c r="CN216" s="358">
        <f t="shared" si="34"/>
        <v>0</v>
      </c>
      <c r="CO216" s="246" t="str">
        <f>IFERROR(__xludf.DUMMYFUNCTION("IF(REGEXMATCH($C216, ""S""), ""S"",""S"")"),"S")</f>
        <v>S</v>
      </c>
      <c r="CP216" s="246" t="str">
        <f>IFERROR(__xludf.DUMMYFUNCTION("IF(REGEXMATCH($C216, ""r""), """",""r"")"),"")</f>
        <v/>
      </c>
      <c r="CQ216" s="246" t="str">
        <f>IFERROR(__xludf.DUMMYFUNCTION("IF(REGEXMATCH($C216, ""R""), """",""R"")"),"R")</f>
        <v>R</v>
      </c>
      <c r="CR216" s="246" t="str">
        <f>IFERROR(__xludf.DUMMYFUNCTION("IF(REGEXMATCH($C216, ""g""), """",""g"")"),"g")</f>
        <v>g</v>
      </c>
      <c r="CS216" s="246" t="str">
        <f>IFERROR(__xludf.DUMMYFUNCTION("IF(REGEXMATCH($C216, ""G""), """",""G"")"),"")</f>
        <v/>
      </c>
      <c r="CT216" s="246" t="str">
        <f>IFERROR(__xludf.DUMMYFUNCTION("IF(REGEXMATCH($C216, ""m""), """",""m"")"),"m")</f>
        <v>m</v>
      </c>
      <c r="CU216" s="246" t="str">
        <f>IFERROR(__xludf.DUMMYFUNCTION("IF(REGEXMATCH($C216, ""M""), """",""M"")"),"")</f>
        <v/>
      </c>
      <c r="CV216" s="246" t="str">
        <f>IFERROR(__xludf.DUMMYFUNCTION("IF(REGEXMATCH($C216, ""P""), """",""P"")"),"")</f>
        <v/>
      </c>
      <c r="CW216" s="246" t="str">
        <f>IFERROR(__xludf.DUMMYFUNCTION("IF(REGEXMATCH($C216, ""d""), """",""d"")"),"")</f>
        <v/>
      </c>
      <c r="CX216" s="246" t="str">
        <f>IFERROR(__xludf.DUMMYFUNCTION("IF(REGEXMATCH($C216, ""D""), """",""D"")"),"")</f>
        <v/>
      </c>
      <c r="CY216" s="246" t="str">
        <f>IFERROR(__xludf.DUMMYFUNCTION("IF(REGEXMATCH($C216, ""n""), """",""n"")"),"n")</f>
        <v>n</v>
      </c>
      <c r="CZ216" s="246" t="str">
        <f>IFERROR(__xludf.DUMMYFUNCTION("IF(REGEXMATCH($C216, ""N""), """",""N"")"),"")</f>
        <v/>
      </c>
      <c r="DA216" s="246" t="str">
        <f>IFERROR(__xludf.DUMMYFUNCTION("IF(REGEXMATCH($C216, ""S""), ""S"",""S"")"),"S")</f>
        <v>S</v>
      </c>
      <c r="DB216" s="362" t="str">
        <f>IFERROR(__xludf.DUMMYFUNCTION("JOIN("""",CO216:DA216,"""","""")"),"SRgmnS")</f>
        <v>SRgmnS</v>
      </c>
      <c r="DC216" s="363"/>
      <c r="DD216" s="301" t="str">
        <f t="shared" si="35"/>
        <v>#REF!</v>
      </c>
      <c r="DE216" s="302" t="str">
        <f t="shared" si="36"/>
        <v>#REF!</v>
      </c>
      <c r="DF216" s="301" t="str">
        <f t="shared" ref="DF216:DG216" si="648">SUBSTITUTE(S216,"-","")</f>
        <v>SRGM</v>
      </c>
      <c r="DG216" s="301" t="str">
        <f t="shared" si="648"/>
        <v>PDNS</v>
      </c>
      <c r="DH216" s="302" t="str">
        <f t="shared" si="38"/>
        <v>(n/a)</v>
      </c>
      <c r="DI216" s="301" t="str">
        <f t="shared" si="39"/>
        <v>Hemi.</v>
      </c>
      <c r="DJ216" s="364" t="str">
        <f t="shared" si="40"/>
        <v>Co-Co.</v>
      </c>
      <c r="DK216" s="306" t="str">
        <f t="shared" si="41"/>
        <v>-</v>
      </c>
      <c r="DL216" s="366" t="str">
        <f t="shared" si="42"/>
        <v>-</v>
      </c>
      <c r="DM216" s="308" t="str">
        <f t="shared" si="43"/>
        <v>✔</v>
      </c>
      <c r="DN216" s="306" t="str">
        <f t="shared" si="44"/>
        <v>-</v>
      </c>
      <c r="DO216" s="306" t="str">
        <f t="shared" si="45"/>
        <v>-</v>
      </c>
      <c r="DP216" s="367" t="str">
        <f t="shared" si="46"/>
        <v>✔</v>
      </c>
      <c r="DQ216" s="310" t="str">
        <f t="shared" si="47"/>
        <v>-</v>
      </c>
      <c r="DR216" s="310" t="str">
        <f t="shared" si="48"/>
        <v>-</v>
      </c>
      <c r="DS216" s="310" t="str">
        <f t="shared" si="49"/>
        <v>-</v>
      </c>
      <c r="DT216" s="310" t="str">
        <f t="shared" si="50"/>
        <v>✔</v>
      </c>
      <c r="DU216" s="370" t="str">
        <f t="shared" si="51"/>
        <v>-</v>
      </c>
      <c r="DV216" s="306" t="str">
        <f t="shared" si="52"/>
        <v>-</v>
      </c>
      <c r="DW216" s="306" t="str">
        <f t="shared" si="53"/>
        <v>-</v>
      </c>
      <c r="DX216" s="306" t="str">
        <f t="shared" si="54"/>
        <v>-</v>
      </c>
      <c r="DY216" s="306" t="str">
        <f t="shared" si="55"/>
        <v>-</v>
      </c>
      <c r="DZ216" s="306" t="str">
        <f t="shared" si="56"/>
        <v>-</v>
      </c>
      <c r="EA216" s="367" t="str">
        <f t="shared" si="57"/>
        <v>-</v>
      </c>
      <c r="EB216" s="310" t="str">
        <f>IFERROR(__xludf.DUMMYFUNCTION("IF(REGEXMATCH(AW216,AS216),""✔"",""-"")"),"-")</f>
        <v>-</v>
      </c>
      <c r="EC216" s="310" t="str">
        <f t="shared" si="58"/>
        <v>#REF!</v>
      </c>
      <c r="ED216" s="370" t="str">
        <f t="shared" si="59"/>
        <v>-</v>
      </c>
      <c r="EE216" s="340" t="str">
        <f t="shared" si="60"/>
        <v>S-r-G-M-P-dD-N-S</v>
      </c>
      <c r="EF216" s="371" t="str">
        <f>IFERROR(__xludf.DUMMYFUNCTION("CONCATENATE(JOIN("""",HC216:HO216))"),"SrgGmMdNS")</f>
        <v>SrgGmMdNS</v>
      </c>
      <c r="EG216" s="372">
        <f t="shared" si="61"/>
        <v>2</v>
      </c>
      <c r="EH216" s="373" t="str">
        <f>IFERROR(__xludf.DUMMYFUNCTION("CONCATENATE(JOIN("""",JC216:JO216))"),"Pa, dha, ")</f>
        <v>Pa, dha, </v>
      </c>
      <c r="EI216" s="322">
        <f t="shared" si="62"/>
        <v>0</v>
      </c>
      <c r="EJ216" s="374" t="str">
        <f>IFERROR(__xludf.DUMMYFUNCTION("CONCATENATE(JOIN("""",KC216:KO216))"),"")</f>
        <v/>
      </c>
      <c r="EK216" s="325" t="str">
        <f t="shared" si="63"/>
        <v>S-R1-G3-M2-P-D1-D2-N3-S</v>
      </c>
      <c r="EL216" s="326" t="str">
        <f t="shared" si="64"/>
        <v>1-b2-3-#4-5-b6-6-7-8</v>
      </c>
      <c r="EM216" s="318" t="str">
        <f t="shared" si="65"/>
        <v>#REF!</v>
      </c>
      <c r="EN216" s="328" t="str">
        <f>IFERROR(__xludf.DUMMYFUNCTION("SUBSTITUTE(SUBSTITUTE(SUBSTITUTE(SUBSTITUTE(CONCATENATE(JOIN("" "",HP216:IB216)),""  "","" ""),""  "","" ""),""  "","" ""),""  "","" "")"),"o o • • o • o o o o • o o")</f>
        <v>o o • • o • o o o o • o o</v>
      </c>
      <c r="EO216" s="368" t="str">
        <f t="shared" si="66"/>
        <v>Sa-Pa</v>
      </c>
      <c r="EP216" s="339" t="str">
        <f t="shared" si="67"/>
        <v>Sa-Pa</v>
      </c>
      <c r="EQ216" s="339" t="str">
        <f t="shared" si="68"/>
        <v>Sa-Pa</v>
      </c>
      <c r="ER216" s="339" t="str">
        <f t="shared" si="69"/>
        <v>-</v>
      </c>
      <c r="ES216" s="340" t="str">
        <f t="shared" si="70"/>
        <v>-</v>
      </c>
      <c r="ET216" s="363"/>
      <c r="EU216" s="376" t="b">
        <f>IFERROR(__xludf.DUMMYFUNCTION("arrayformula(sum(--REGEXMATCH(""SRGMPDNS"",split(REGEXREPLACE(C216,""(.)"",""$1~""),""~""))))=len(C216)
"),FALSE)</f>
        <v>0</v>
      </c>
      <c r="EV216" s="290" t="b">
        <f>IFERROR(__xludf.DUMMYFUNCTION("arrayformula(sum(--REGEXMATCH(""SRGmPDNS"",split(REGEXREPLACE(C216,""(.)"",""$1~""),""~""))))=len(C216)"),FALSE)</f>
        <v>0</v>
      </c>
      <c r="EW216" s="290" t="b">
        <f>IFERROR(__xludf.DUMMYFUNCTION("arrayformula(sum(--REGEXMATCH(""SRGmPDnS"",split(REGEXREPLACE(C216,""(.)"",""$1~""),""~""))))=len(C216)"),FALSE)</f>
        <v>0</v>
      </c>
      <c r="EX216" s="290" t="b">
        <f>IFERROR(__xludf.DUMMYFUNCTION("arrayformula(sum(--REGEXMATCH(""SRgmPDnS"",split(REGEXREPLACE(C216,""(.)"",""$1~""),""~""))))=len(C216)"),FALSE)</f>
        <v>0</v>
      </c>
      <c r="EY216" s="290" t="b">
        <f>IFERROR(__xludf.DUMMYFUNCTION("arrayformula(sum(--REGEXMATCH(""SRgmPdnS"",split(REGEXREPLACE(C216,""(.)"",""$1~""),""~""))))=len(C216)"),FALSE)</f>
        <v>0</v>
      </c>
      <c r="EZ216" s="290" t="b">
        <f>IFERROR(__xludf.DUMMYFUNCTION("arrayformula(sum(--REGEXMATCH(""SrgmPdnS"",split(REGEXREPLACE(C216,""(.)"",""$1~""),""~""))))=len(C216)"),FALSE)</f>
        <v>0</v>
      </c>
      <c r="FA216" s="290" t="b">
        <f>IFERROR(__xludf.DUMMYFUNCTION("arrayformula(sum(--REGEXMATCH(""SrGmPdNS"",split(REGEXREPLACE(C216,""(.)"",""$1~""),""~""))))=len(C216)"),FALSE)</f>
        <v>0</v>
      </c>
      <c r="FB216" s="290" t="b">
        <f>IFERROR(__xludf.DUMMYFUNCTION("arrayformula(sum(--REGEXMATCH(""SrGMPDNS"",split(REGEXREPLACE(C216,""(.)"",""$1~""),""~""))))=len(C216)"),FALSE)</f>
        <v>0</v>
      </c>
      <c r="FC216" s="290" t="b">
        <f>IFERROR(__xludf.DUMMYFUNCTION("arrayformula(sum(--REGEXMATCH(""SrGMPdNS"",split(REGEXREPLACE(C216,""(.)"",""$1~""),""~""))))=len(C216)"),FALSE)</f>
        <v>0</v>
      </c>
      <c r="FD216" s="377" t="b">
        <f>IFERROR(__xludf.DUMMYFUNCTION("arrayformula(sum(--REGEXMATCH(""SrgMPdNS"",split(REGEXREPLACE(C216,""(.)"",""$1~""),""~""))))=len(C216)"),FALSE)</f>
        <v>0</v>
      </c>
      <c r="FE216" s="269" t="str">
        <f t="shared" si="71"/>
        <v>xooxoxxxxox</v>
      </c>
      <c r="FF216" s="269" t="str">
        <f t="shared" si="72"/>
        <v>-</v>
      </c>
      <c r="FG216" s="271" t="str">
        <f t="shared" si="73"/>
        <v>-</v>
      </c>
      <c r="FH216" s="269" t="str">
        <f t="shared" si="74"/>
        <v>xoxxxxoxxxo</v>
      </c>
      <c r="FI216" s="271" t="str">
        <f t="shared" si="75"/>
        <v>-</v>
      </c>
      <c r="FJ216" s="271" t="str">
        <f t="shared" si="76"/>
        <v>xxxxoxxxoox</v>
      </c>
      <c r="FK216" s="271" t="str">
        <f t="shared" si="77"/>
        <v>xxxoxxxooxo</v>
      </c>
      <c r="FL216" s="271" t="str">
        <f t="shared" si="78"/>
        <v>xxoxxxooxox</v>
      </c>
      <c r="FM216" s="271" t="str">
        <f t="shared" si="79"/>
        <v>xoxxxooxoxx</v>
      </c>
      <c r="FN216" s="271" t="str">
        <f t="shared" si="80"/>
        <v>-</v>
      </c>
      <c r="FO216" s="274" t="str">
        <f t="shared" si="81"/>
        <v>xxxooxoxxxx</v>
      </c>
      <c r="FP216" s="234" t="str">
        <f t="shared" si="82"/>
        <v>|</v>
      </c>
      <c r="FQ216" s="236" t="str">
        <f t="shared" si="83"/>
        <v>|</v>
      </c>
      <c r="FR216" s="237" t="str">
        <f t="shared" si="84"/>
        <v>-</v>
      </c>
      <c r="FS216" s="236" t="str">
        <f t="shared" si="85"/>
        <v>-</v>
      </c>
      <c r="FT216" s="237" t="str">
        <f t="shared" si="86"/>
        <v>|</v>
      </c>
      <c r="FU216" s="236" t="str">
        <f t="shared" si="87"/>
        <v>-</v>
      </c>
      <c r="FV216" s="237" t="str">
        <f t="shared" si="88"/>
        <v>|</v>
      </c>
      <c r="FW216" s="236" t="str">
        <f t="shared" si="89"/>
        <v>|</v>
      </c>
      <c r="FX216" s="237" t="str">
        <f t="shared" si="90"/>
        <v>|</v>
      </c>
      <c r="FY216" s="236" t="str">
        <f t="shared" si="91"/>
        <v>|</v>
      </c>
      <c r="FZ216" s="237" t="str">
        <f t="shared" si="92"/>
        <v>-</v>
      </c>
      <c r="GA216" s="236" t="str">
        <f t="shared" si="93"/>
        <v>|</v>
      </c>
      <c r="GB216" s="238" t="str">
        <f t="shared" si="94"/>
        <v>|</v>
      </c>
      <c r="GC216" s="244" t="str">
        <f>IFERROR(__xludf.DUMMYFUNCTION("IF(REGEXMATCH(C216, ""S""), ""1"","""")"),"1")</f>
        <v>1</v>
      </c>
      <c r="GD216" s="245" t="str">
        <f>IFERROR(__xludf.DUMMYFUNCTION("IF(REGEXMATCH(C216, ""r""), ""b2"","""")"),"b2")</f>
        <v>b2</v>
      </c>
      <c r="GE216" s="246" t="str">
        <f>IFERROR(__xludf.DUMMYFUNCTION("IF(REGEXMATCH(C216, ""R""), ""2"","""")"),"")</f>
        <v/>
      </c>
      <c r="GF216" s="246" t="str">
        <f>IFERROR(__xludf.DUMMYFUNCTION("IF(REGEXMATCH(C216, ""g""), ""b3"","""")"),"")</f>
        <v/>
      </c>
      <c r="GG216" s="245" t="str">
        <f>IFERROR(__xludf.DUMMYFUNCTION("IF(REGEXMATCH(C216, ""G""), ""3"","""")"),"3")</f>
        <v>3</v>
      </c>
      <c r="GH216" s="245" t="str">
        <f>IFERROR(__xludf.DUMMYFUNCTION("IF(REGEXMATCH(C216, ""m""), ""4"","""")"),"")</f>
        <v/>
      </c>
      <c r="GI216" s="246" t="str">
        <f>IFERROR(__xludf.DUMMYFUNCTION("IF(REGEXMATCH(C216, ""M""), ""#4"","""")"),"#4")</f>
        <v>#4</v>
      </c>
      <c r="GJ216" s="245" t="str">
        <f>IFERROR(__xludf.DUMMYFUNCTION("IF(REGEXMATCH(C216, ""P""), ""5"","""")"),"5")</f>
        <v>5</v>
      </c>
      <c r="GK216" s="246" t="str">
        <f>IFERROR(__xludf.DUMMYFUNCTION("IF(REGEXMATCH(C216, ""d""), ""b6"","""")"),"b6")</f>
        <v>b6</v>
      </c>
      <c r="GL216" s="245" t="str">
        <f>IFERROR(__xludf.DUMMYFUNCTION("IF(REGEXMATCH(C216, ""D""), ""6"","""")"),"6")</f>
        <v>6</v>
      </c>
      <c r="GM216" s="245" t="str">
        <f>IFERROR(__xludf.DUMMYFUNCTION("IF(REGEXMATCH(C216, ""n""), ""b7"","""")"),"")</f>
        <v/>
      </c>
      <c r="GN216" s="246" t="str">
        <f>IFERROR(__xludf.DUMMYFUNCTION("IF(REGEXMATCH(C216, ""N""), ""7"","""")"),"7")</f>
        <v>7</v>
      </c>
      <c r="GO216" s="249" t="str">
        <f>IFERROR(__xludf.DUMMYFUNCTION("IF(REGEXMATCH(C216, ""S""), ""8"","""")"),"8")</f>
        <v>8</v>
      </c>
      <c r="GP216" s="244" t="str">
        <f>IFERROR(__xludf.DUMMYFUNCTION("IF(REGEXMATCH(C216, ""S""), ""S"","""")"),"S")</f>
        <v>S</v>
      </c>
      <c r="GQ216" s="294" t="str">
        <f>IFERROR(__xludf.DUMMYFUNCTION("IF(REGEXMATCH(C216, ""r""), ""R1"","""")"),"R1")</f>
        <v>R1</v>
      </c>
      <c r="GR216" s="295" t="str">
        <f>IFERROR(__xludf.DUMMYFUNCTION("IF(REGEXMATCH(C216, ""R""), ""R2"","""")"),"")</f>
        <v/>
      </c>
      <c r="GS216" s="295" t="str">
        <f>IFERROR(__xludf.DUMMYFUNCTION("IF(REGEXMATCH(C216, ""g""), ""G2"","""")"),"")</f>
        <v/>
      </c>
      <c r="GT216" s="294" t="str">
        <f>IFERROR(__xludf.DUMMYFUNCTION("IF(REGEXMATCH(C216, ""G""), ""G3"","""")"),"G3")</f>
        <v>G3</v>
      </c>
      <c r="GU216" s="294" t="str">
        <f>IFERROR(__xludf.DUMMYFUNCTION("IF(REGEXMATCH(C216, ""m""), ""M1"","""")"),"")</f>
        <v/>
      </c>
      <c r="GV216" s="295" t="str">
        <f>IFERROR(__xludf.DUMMYFUNCTION("IF(REGEXMATCH(C216, ""M""), ""M2"","""")"),"M2")</f>
        <v>M2</v>
      </c>
      <c r="GW216" s="294" t="str">
        <f>IFERROR(__xludf.DUMMYFUNCTION("IF(REGEXMATCH(C216, ""P""), ""P"","""")"),"P")</f>
        <v>P</v>
      </c>
      <c r="GX216" s="295" t="str">
        <f>IFERROR(__xludf.DUMMYFUNCTION("IF(REGEXMATCH(C216, ""d""), ""D1"","""")"),"D1")</f>
        <v>D1</v>
      </c>
      <c r="GY216" s="294" t="str">
        <f>IFERROR(__xludf.DUMMYFUNCTION("IF(REGEXMATCH(C216, ""D""), ""D2"","""")"),"D2")</f>
        <v>D2</v>
      </c>
      <c r="GZ216" s="294" t="str">
        <f>IFERROR(__xludf.DUMMYFUNCTION("IF(REGEXMATCH(C216, ""n""), ""N2"","""")"),"")</f>
        <v/>
      </c>
      <c r="HA216" s="295" t="str">
        <f>IFERROR(__xludf.DUMMYFUNCTION("IF(REGEXMATCH(C216, ""N""), ""N3"","""")"),"N3")</f>
        <v>N3</v>
      </c>
      <c r="HB216" s="249" t="str">
        <f>IFERROR(__xludf.DUMMYFUNCTION("IF(REGEXMATCH(C216, ""S""), ""S"","""")"),"S")</f>
        <v>S</v>
      </c>
      <c r="HC216" s="331" t="str">
        <f t="shared" si="95"/>
        <v>S</v>
      </c>
      <c r="HD216" s="332" t="str">
        <f t="shared" si="96"/>
        <v>r</v>
      </c>
      <c r="HE216" s="332" t="str">
        <f t="shared" si="97"/>
        <v/>
      </c>
      <c r="HF216" s="332" t="str">
        <f t="shared" si="98"/>
        <v>g</v>
      </c>
      <c r="HG216" s="332" t="str">
        <f t="shared" si="99"/>
        <v>G</v>
      </c>
      <c r="HH216" s="332" t="str">
        <f t="shared" si="100"/>
        <v>m</v>
      </c>
      <c r="HI216" s="332" t="str">
        <f t="shared" si="101"/>
        <v>M</v>
      </c>
      <c r="HJ216" s="332" t="str">
        <f t="shared" si="102"/>
        <v/>
      </c>
      <c r="HK216" s="332" t="str">
        <f t="shared" si="103"/>
        <v>d</v>
      </c>
      <c r="HL216" s="332" t="str">
        <f t="shared" si="104"/>
        <v/>
      </c>
      <c r="HM216" s="332" t="str">
        <f t="shared" si="105"/>
        <v/>
      </c>
      <c r="HN216" s="332" t="str">
        <f t="shared" si="106"/>
        <v>N</v>
      </c>
      <c r="HO216" s="343" t="str">
        <f t="shared" si="107"/>
        <v>S</v>
      </c>
      <c r="HP216" s="331" t="str">
        <f t="shared" si="108"/>
        <v>o</v>
      </c>
      <c r="HQ216" s="332" t="str">
        <f t="shared" si="109"/>
        <v>o</v>
      </c>
      <c r="HR216" s="332" t="str">
        <f t="shared" si="110"/>
        <v>•</v>
      </c>
      <c r="HS216" s="332" t="str">
        <f t="shared" si="111"/>
        <v>•</v>
      </c>
      <c r="HT216" s="332" t="str">
        <f t="shared" si="112"/>
        <v>o</v>
      </c>
      <c r="HU216" s="332" t="str">
        <f t="shared" si="113"/>
        <v>•</v>
      </c>
      <c r="HV216" s="332" t="str">
        <f t="shared" si="114"/>
        <v>o</v>
      </c>
      <c r="HW216" s="332" t="str">
        <f t="shared" si="115"/>
        <v>o</v>
      </c>
      <c r="HX216" s="332" t="str">
        <f t="shared" si="116"/>
        <v>o</v>
      </c>
      <c r="HY216" s="332" t="str">
        <f t="shared" si="117"/>
        <v>o</v>
      </c>
      <c r="HZ216" s="332" t="str">
        <f t="shared" si="118"/>
        <v>•</v>
      </c>
      <c r="IA216" s="332" t="str">
        <f t="shared" si="119"/>
        <v>o</v>
      </c>
      <c r="IB216" s="338" t="str">
        <f t="shared" si="120"/>
        <v>o</v>
      </c>
      <c r="IC216" s="331" t="str">
        <f t="shared" si="121"/>
        <v>•</v>
      </c>
      <c r="ID216" s="332" t="str">
        <f t="shared" si="122"/>
        <v>•</v>
      </c>
      <c r="IE216" s="332" t="str">
        <f t="shared" si="123"/>
        <v>o</v>
      </c>
      <c r="IF216" s="332" t="str">
        <f t="shared" si="124"/>
        <v>o</v>
      </c>
      <c r="IG216" s="332" t="str">
        <f t="shared" si="125"/>
        <v>•</v>
      </c>
      <c r="IH216" s="332" t="str">
        <f t="shared" si="126"/>
        <v>o</v>
      </c>
      <c r="II216" s="332" t="str">
        <f t="shared" si="127"/>
        <v>•</v>
      </c>
      <c r="IJ216" s="332" t="str">
        <f t="shared" si="128"/>
        <v>•</v>
      </c>
      <c r="IK216" s="332" t="str">
        <f t="shared" si="129"/>
        <v>•</v>
      </c>
      <c r="IL216" s="332" t="str">
        <f t="shared" si="130"/>
        <v>•</v>
      </c>
      <c r="IM216" s="332" t="str">
        <f t="shared" si="131"/>
        <v>o</v>
      </c>
      <c r="IN216" s="332" t="str">
        <f t="shared" si="132"/>
        <v>•</v>
      </c>
      <c r="IO216" s="338" t="str">
        <f t="shared" si="133"/>
        <v>•</v>
      </c>
      <c r="IP216" s="346" t="b">
        <f t="shared" si="134"/>
        <v>0</v>
      </c>
      <c r="IQ216" s="347" t="b">
        <f t="shared" si="135"/>
        <v>0</v>
      </c>
      <c r="IR216" s="347" t="b">
        <f t="shared" si="136"/>
        <v>0</v>
      </c>
      <c r="IS216" s="347" t="b">
        <f t="shared" si="137"/>
        <v>0</v>
      </c>
      <c r="IT216" s="347" t="b">
        <f t="shared" si="138"/>
        <v>0</v>
      </c>
      <c r="IU216" s="347" t="b">
        <f t="shared" si="139"/>
        <v>0</v>
      </c>
      <c r="IV216" s="347" t="b">
        <f t="shared" si="140"/>
        <v>0</v>
      </c>
      <c r="IW216" s="347" t="b">
        <f t="shared" si="141"/>
        <v>1</v>
      </c>
      <c r="IX216" s="347" t="b">
        <f t="shared" si="142"/>
        <v>1</v>
      </c>
      <c r="IY216" s="347" t="b">
        <f t="shared" si="143"/>
        <v>0</v>
      </c>
      <c r="IZ216" s="347" t="b">
        <f t="shared" si="144"/>
        <v>0</v>
      </c>
      <c r="JA216" s="347" t="b">
        <f t="shared" si="145"/>
        <v>0</v>
      </c>
      <c r="JB216" s="353" t="b">
        <f t="shared" si="146"/>
        <v>0</v>
      </c>
      <c r="JC216" s="354" t="str">
        <f t="shared" si="147"/>
        <v/>
      </c>
      <c r="JD216" s="355" t="str">
        <f t="shared" si="148"/>
        <v/>
      </c>
      <c r="JE216" s="355" t="str">
        <f t="shared" si="149"/>
        <v/>
      </c>
      <c r="JF216" s="355" t="str">
        <f t="shared" si="150"/>
        <v/>
      </c>
      <c r="JG216" s="355" t="str">
        <f t="shared" si="151"/>
        <v/>
      </c>
      <c r="JH216" s="355" t="str">
        <f t="shared" si="152"/>
        <v/>
      </c>
      <c r="JI216" s="355" t="str">
        <f t="shared" si="153"/>
        <v/>
      </c>
      <c r="JJ216" s="355" t="str">
        <f t="shared" si="154"/>
        <v>Pa, </v>
      </c>
      <c r="JK216" s="355" t="str">
        <f t="shared" si="155"/>
        <v>dha, </v>
      </c>
      <c r="JL216" s="355" t="str">
        <f t="shared" si="156"/>
        <v/>
      </c>
      <c r="JM216" s="355" t="str">
        <f t="shared" si="157"/>
        <v/>
      </c>
      <c r="JN216" s="355" t="str">
        <f t="shared" si="158"/>
        <v/>
      </c>
      <c r="JO216" s="359" t="str">
        <f t="shared" si="159"/>
        <v/>
      </c>
      <c r="JP216" s="346" t="b">
        <f t="shared" si="160"/>
        <v>0</v>
      </c>
      <c r="JQ216" s="347" t="b">
        <f t="shared" si="161"/>
        <v>0</v>
      </c>
      <c r="JR216" s="347" t="b">
        <f t="shared" si="162"/>
        <v>0</v>
      </c>
      <c r="JS216" s="347" t="b">
        <f t="shared" si="163"/>
        <v>0</v>
      </c>
      <c r="JT216" s="347" t="b">
        <f t="shared" si="164"/>
        <v>0</v>
      </c>
      <c r="JU216" s="347" t="b">
        <f t="shared" si="165"/>
        <v>0</v>
      </c>
      <c r="JV216" s="347" t="b">
        <f t="shared" si="166"/>
        <v>0</v>
      </c>
      <c r="JW216" s="347" t="b">
        <f t="shared" si="167"/>
        <v>0</v>
      </c>
      <c r="JX216" s="347" t="b">
        <f t="shared" si="168"/>
        <v>0</v>
      </c>
      <c r="JY216" s="347" t="b">
        <f t="shared" si="169"/>
        <v>0</v>
      </c>
      <c r="JZ216" s="347" t="b">
        <f t="shared" si="170"/>
        <v>0</v>
      </c>
      <c r="KA216" s="347" t="b">
        <f t="shared" si="171"/>
        <v>0</v>
      </c>
      <c r="KB216" s="365" t="b">
        <f t="shared" si="172"/>
        <v>0</v>
      </c>
      <c r="KC216" s="354" t="str">
        <f t="shared" si="173"/>
        <v/>
      </c>
      <c r="KD216" s="355" t="str">
        <f t="shared" si="174"/>
        <v/>
      </c>
      <c r="KE216" s="355" t="str">
        <f t="shared" si="175"/>
        <v/>
      </c>
      <c r="KF216" s="355" t="str">
        <f t="shared" si="176"/>
        <v/>
      </c>
      <c r="KG216" s="355" t="str">
        <f t="shared" si="177"/>
        <v/>
      </c>
      <c r="KH216" s="355" t="str">
        <f t="shared" si="178"/>
        <v/>
      </c>
      <c r="KI216" s="355" t="str">
        <f t="shared" si="179"/>
        <v/>
      </c>
      <c r="KJ216" s="355" t="str">
        <f t="shared" si="180"/>
        <v/>
      </c>
      <c r="KK216" s="355" t="str">
        <f t="shared" si="181"/>
        <v/>
      </c>
      <c r="KL216" s="355" t="str">
        <f t="shared" si="182"/>
        <v/>
      </c>
      <c r="KM216" s="355" t="str">
        <f t="shared" si="183"/>
        <v/>
      </c>
      <c r="KN216" s="355" t="str">
        <f t="shared" si="184"/>
        <v/>
      </c>
      <c r="KO216" s="359"/>
      <c r="KP216" s="378"/>
      <c r="KQ216" s="379" t="s">
        <v>9</v>
      </c>
      <c r="KR216" s="380" t="s">
        <v>9</v>
      </c>
      <c r="KS216" s="381" t="s">
        <v>9</v>
      </c>
      <c r="KT216" s="382">
        <f t="shared" si="186"/>
        <v>0</v>
      </c>
      <c r="KU216" s="383">
        <f t="shared" si="187"/>
        <v>0</v>
      </c>
      <c r="KV216" s="381" t="str">
        <f t="shared" si="205"/>
        <v>S</v>
      </c>
      <c r="KW216" s="382">
        <f t="shared" si="189"/>
        <v>0</v>
      </c>
      <c r="KX216" s="384">
        <f t="shared" si="190"/>
        <v>0</v>
      </c>
      <c r="KY216" s="382">
        <f t="shared" ref="KY216:KZ216" si="649">KW216-KT216</f>
        <v>0</v>
      </c>
      <c r="KZ216" s="369">
        <f t="shared" si="649"/>
        <v>0</v>
      </c>
      <c r="LA216" s="385" t="str">
        <f t="shared" si="192"/>
        <v>✔</v>
      </c>
      <c r="LB216" s="340" t="str">
        <f>IFERROR(__xludf.DUMMYFUNCTION("JOIN("""",ArrayFormula(MID(KS216,LEN(KS216)-SEQUENCE(1,LEN(KS216))+1,1)))"),"S")</f>
        <v>S</v>
      </c>
      <c r="LC216" s="373" t="str">
        <f>IFERROR(__xludf.DUMMYFUNCTION("JOIN("""",ArrayFormula(MID(KV216,LEN(KV216)-SEQUENCE(1,LEN(KV216))+1,1)))"),"S")</f>
        <v>S</v>
      </c>
      <c r="LD216" s="373" t="str">
        <f t="shared" si="193"/>
        <v>S</v>
      </c>
      <c r="LE216" s="339" t="str">
        <f t="shared" si="194"/>
        <v>S</v>
      </c>
      <c r="LF216" s="386" t="str">
        <f>IFERROR(__xludf.DUMMYFUNCTION("SUBSTITUTE(SUBSTITUTE(CONCATENATE(JOIN("""",LH216:LT216)),""1"",""""),""2"","""")"),"SS")</f>
        <v>SS</v>
      </c>
      <c r="LG216" s="369" t="str">
        <f t="shared" si="195"/>
        <v>-</v>
      </c>
      <c r="LH216" s="387" t="str">
        <f>IFERROR(__xludf.DUMMYFUNCTION("IF(REGEXMATCH(LD216, ""S""), ""S"",IF(REGEXMATCH(LE216, ""S""), ""S"",""""))"),"S")</f>
        <v>S</v>
      </c>
      <c r="LI216" s="299" t="str">
        <f>IFERROR(__xludf.DUMMYFUNCTION("IF(REGEXMATCH(LD216, ""r""), ""r1"",IF(REGEXMATCH(LE216, ""r""), ""r2"",""""))"),"")</f>
        <v/>
      </c>
      <c r="LJ216" s="299" t="str">
        <f>IFERROR(__xludf.DUMMYFUNCTION("IF(REGEXMATCH(LD216, ""R""), ""R1"",IF(REGEXMATCH(LE216, ""R""), ""R2"",""""))"),"")</f>
        <v/>
      </c>
      <c r="LK216" s="299" t="str">
        <f>IFERROR(__xludf.DUMMYFUNCTION("IF(REGEXMATCH(LD216, ""g""), ""g1"",IF(REGEXMATCH(LE216, ""g""), ""g2"",""""))"),"")</f>
        <v/>
      </c>
      <c r="LL216" s="299" t="str">
        <f>IFERROR(__xludf.DUMMYFUNCTION("IF(REGEXMATCH(LD216, ""G""), ""G1"",IF(REGEXMATCH(LE216, ""G""), ""G2"",""""))"),"")</f>
        <v/>
      </c>
      <c r="LM216" s="299" t="str">
        <f>IFERROR(__xludf.DUMMYFUNCTION("IF(REGEXMATCH(LD216, ""m""), ""m1"",IF(REGEXMATCH(LE216, ""m""), ""m2"",""""))"),"")</f>
        <v/>
      </c>
      <c r="LN216" s="299" t="str">
        <f>IFERROR(__xludf.DUMMYFUNCTION("IF(REGEXMATCH(LD216, ""M""), ""M1"",IF(REGEXMATCH(LE216, ""M""), ""M2"",""""))"),"")</f>
        <v/>
      </c>
      <c r="LO216" s="299" t="str">
        <f>IFERROR(__xludf.DUMMYFUNCTION("IF(REGEXMATCH(LD216, ""P""), ""P1"",IF(REGEXMATCH(LE216, ""P""), ""P2"",""""))"),"")</f>
        <v/>
      </c>
      <c r="LP216" s="299" t="str">
        <f>IFERROR(__xludf.DUMMYFUNCTION("IF(REGEXMATCH(LD216, ""d""), ""d1"",IF(REGEXMATCH(LE216, ""d""), ""d2"",""""))"),"")</f>
        <v/>
      </c>
      <c r="LQ216" s="299" t="str">
        <f>IFERROR(__xludf.DUMMYFUNCTION("IF(REGEXMATCH(LD216, ""D""), ""D1"",IF(REGEXMATCH(LE216, ""D""), ""D2"",""""))"),"")</f>
        <v/>
      </c>
      <c r="LR216" s="299" t="str">
        <f>IFERROR(__xludf.DUMMYFUNCTION("IF(REGEXMATCH(LD216, ""n""), ""n1"",IF(REGEXMATCH(LE216, ""n""), ""n2"",""""))"),"")</f>
        <v/>
      </c>
      <c r="LS216" s="299" t="str">
        <f>IFERROR(__xludf.DUMMYFUNCTION("IF(REGEXMATCH(LD216, ""N""), ""N1"",IF(REGEXMATCH(LE216, ""N""), ""N2"",""""))"),"")</f>
        <v/>
      </c>
      <c r="LT216" s="388" t="str">
        <f>IFERROR(__xludf.DUMMYFUNCTION("IF(REGEXMATCH(LD216, ""S""), ""S"",IF(REGEXMATCH(LE216, ""S""), ""S"",""""))"),"S")</f>
        <v>S</v>
      </c>
      <c r="LU216" s="389">
        <f t="shared" si="196"/>
        <v>1</v>
      </c>
      <c r="LV216" s="378"/>
      <c r="LW216" s="369"/>
      <c r="LX216" s="369"/>
    </row>
    <row r="217" ht="18.0" customHeight="1">
      <c r="A217" s="298" t="s">
        <v>396</v>
      </c>
      <c r="B217" s="222" t="s">
        <v>397</v>
      </c>
      <c r="C217" s="233" t="str">
        <f t="shared" si="7"/>
        <v>SgmdnS</v>
      </c>
      <c r="D217" s="234" t="str">
        <f>IFERROR(__xludf.DUMMYFUNCTION("IF(REGEXMATCH(C217, ""S""), ""S"","""")"),"S")</f>
        <v>S</v>
      </c>
      <c r="E217" s="236" t="str">
        <f>IFERROR(__xludf.DUMMYFUNCTION("IF(REGEXMATCH(C217, ""r""), ""r"","""")"),"")</f>
        <v/>
      </c>
      <c r="F217" s="237" t="str">
        <f>IFERROR(__xludf.DUMMYFUNCTION("IF(REGEXMATCH(C217, ""R""), ""R"","""")"),"")</f>
        <v/>
      </c>
      <c r="G217" s="237" t="str">
        <f>IFERROR(__xludf.DUMMYFUNCTION("IF(REGEXMATCH(C217, ""g""), ""g"","""")"),"g")</f>
        <v>g</v>
      </c>
      <c r="H217" s="236" t="str">
        <f>IFERROR(__xludf.DUMMYFUNCTION("IF(REGEXMATCH(C217, ""G""), ""G"","""")"),"")</f>
        <v/>
      </c>
      <c r="I217" s="236" t="str">
        <f>IFERROR(__xludf.DUMMYFUNCTION("IF(REGEXMATCH(C217, ""m""), ""m"","""")"),"m")</f>
        <v>m</v>
      </c>
      <c r="J217" s="237" t="str">
        <f>IFERROR(__xludf.DUMMYFUNCTION("IF(REGEXMATCH(C217, ""M""), ""M"","""")"),"")</f>
        <v/>
      </c>
      <c r="K217" s="236" t="str">
        <f>IFERROR(__xludf.DUMMYFUNCTION("IF(REGEXMATCH(C217, ""P""), ""P"","""")"),"")</f>
        <v/>
      </c>
      <c r="L217" s="237" t="str">
        <f>IFERROR(__xludf.DUMMYFUNCTION("IF(REGEXMATCH(C217, ""d""), ""d"","""")"),"d")</f>
        <v>d</v>
      </c>
      <c r="M217" s="236" t="str">
        <f>IFERROR(__xludf.DUMMYFUNCTION("IF(REGEXMATCH(C217, ""D""), ""D"","""")"),"")</f>
        <v/>
      </c>
      <c r="N217" s="236" t="str">
        <f>IFERROR(__xludf.DUMMYFUNCTION("IF(REGEXMATCH(C217, ""n""), ""n"","""")"),"n")</f>
        <v>n</v>
      </c>
      <c r="O217" s="237" t="str">
        <f>IFERROR(__xludf.DUMMYFUNCTION("IF(REGEXMATCH(C217, ""N""), ""N"","""")"),"")</f>
        <v/>
      </c>
      <c r="P217" s="238" t="str">
        <f>IFERROR(__xludf.DUMMYFUNCTION("IF(REGEXMATCH(C217, ""S""), ""S"","""")"),"S")</f>
        <v>S</v>
      </c>
      <c r="Q217" s="239" t="str">
        <f>IFERROR(__xludf.DUMMYFUNCTION("SUBSTITUTE(CONCATENATE(JOIN(""-"",D217:J217)),""-"","""")"),"Sgm")</f>
        <v>Sgm</v>
      </c>
      <c r="R217" s="229" t="str">
        <f>IFERROR(__xludf.DUMMYFUNCTION("SUBSTITUTE(CONCATENATE(JOIN(""-"",K217:P217)),""-"","""")"),"dnS")</f>
        <v>dnS</v>
      </c>
      <c r="S217" s="282" t="str">
        <f t="shared" si="8"/>
        <v>S-G-M</v>
      </c>
      <c r="T217" s="282" t="str">
        <f t="shared" si="9"/>
        <v>D-N-S</v>
      </c>
      <c r="U217" s="237" t="str">
        <f>IFERROR(__xludf.DUMMYFUNCTION("SUBSTITUTE(JOIN(""-"",S217,T217),""--"",""-"")"),"S-G-M-D-N-S")</f>
        <v>S-G-M-D-N-S</v>
      </c>
      <c r="V217" s="309" t="str">
        <f t="shared" si="10"/>
        <v>gmdn</v>
      </c>
      <c r="W217" s="244" t="str">
        <f>IFERROR(__xludf.DUMMYFUNCTION("IF(REGEXMATCH(C217, ""S""), ""0"","""")"),"0")</f>
        <v>0</v>
      </c>
      <c r="X217" s="245" t="str">
        <f>IFERROR(__xludf.DUMMYFUNCTION("IF(REGEXMATCH(C217, ""r""), ""1"","""")"),"")</f>
        <v/>
      </c>
      <c r="Y217" s="246" t="str">
        <f>IFERROR(__xludf.DUMMYFUNCTION("IF(REGEXMATCH(C217, ""R""), ""2"","""")"),"")</f>
        <v/>
      </c>
      <c r="Z217" s="246" t="str">
        <f>IFERROR(__xludf.DUMMYFUNCTION("IF(REGEXMATCH(C217, ""g""), ""3"","""")"),"3")</f>
        <v>3</v>
      </c>
      <c r="AA217" s="245" t="str">
        <f>IFERROR(__xludf.DUMMYFUNCTION("IF(REGEXMATCH(C217, ""G""), ""4"","""")"),"")</f>
        <v/>
      </c>
      <c r="AB217" s="245" t="str">
        <f>IFERROR(__xludf.DUMMYFUNCTION("IF(REGEXMATCH(C217, ""m""), ""5"","""")"),"5")</f>
        <v>5</v>
      </c>
      <c r="AC217" s="246" t="str">
        <f>IFERROR(__xludf.DUMMYFUNCTION("IF(REGEXMATCH(C217, ""M""), ""6"","""")"),"")</f>
        <v/>
      </c>
      <c r="AD217" s="245" t="str">
        <f>IFERROR(__xludf.DUMMYFUNCTION("IF(REGEXMATCH(C217, ""P""), ""7"","""")"),"")</f>
        <v/>
      </c>
      <c r="AE217" s="246" t="str">
        <f>IFERROR(__xludf.DUMMYFUNCTION("IF(REGEXMATCH(C217, ""d""), ""8"","""")"),"8")</f>
        <v>8</v>
      </c>
      <c r="AF217" s="245" t="str">
        <f>IFERROR(__xludf.DUMMYFUNCTION("IF(REGEXMATCH(C217, ""D""), ""9"","""")"),"")</f>
        <v/>
      </c>
      <c r="AG217" s="245" t="str">
        <f>IFERROR(__xludf.DUMMYFUNCTION("IF(REGEXMATCH(C217, ""n""), ""10"","""")"),"10")</f>
        <v>10</v>
      </c>
      <c r="AH217" s="246" t="str">
        <f>IFERROR(__xludf.DUMMYFUNCTION("IF(REGEXMATCH(C217, ""N""), ""11"","""")"),"")</f>
        <v/>
      </c>
      <c r="AI217" s="249" t="str">
        <f>IFERROR(__xludf.DUMMYFUNCTION("IF(REGEXMATCH(C217, ""S""), ""0"","""")"),"0")</f>
        <v>0</v>
      </c>
      <c r="AJ217" s="313" t="str">
        <f t="shared" si="11"/>
        <v>-</v>
      </c>
      <c r="AK217" s="313" t="str">
        <f t="shared" si="12"/>
        <v>-</v>
      </c>
      <c r="AL217" s="313" t="str">
        <f t="shared" si="13"/>
        <v>-</v>
      </c>
      <c r="AM217" s="313" t="str">
        <f t="shared" si="14"/>
        <v>-</v>
      </c>
      <c r="AN217" s="313" t="str">
        <f t="shared" si="15"/>
        <v>-</v>
      </c>
      <c r="AO217" s="314" t="str">
        <f t="shared" si="16"/>
        <v>-</v>
      </c>
      <c r="AP217" s="316">
        <f t="shared" si="17"/>
        <v>0</v>
      </c>
      <c r="AQ217" s="319" t="str">
        <f t="shared" si="18"/>
        <v>-</v>
      </c>
      <c r="AR217" s="320">
        <f t="shared" si="19"/>
        <v>0</v>
      </c>
      <c r="AS217" s="250" t="str">
        <f>IFERROR(__xludf.DUMMYFUNCTION("SUBSTITUTE(SUBSTITUTE(CONCATENATE(JOIN("""",FP217:GA217)),""|"",""x""),""-"",""o"")"),"xooxoxooxoxo")</f>
        <v>xooxoxooxoxo</v>
      </c>
      <c r="AT217" s="323" t="str">
        <f>IFERROR(__xludf.DUMMYFUNCTION("JOIN("""",AS217,AS217)"),"xooxoxooxoxoxooxoxooxoxo")</f>
        <v>xooxoxooxoxoxooxoxooxoxo</v>
      </c>
      <c r="AU217" s="256" t="str">
        <f>IFERROR(__xludf.DUMMYFUNCTION("JOIN("""",ArrayFormula(MID(AS217,LEN(AS217)-SEQUENCE(1,LEN(AS217))+1,1)))"),"oxoxooxoxoox")</f>
        <v>oxoxooxoxoox</v>
      </c>
      <c r="AV217" s="256" t="str">
        <f>IFERROR(__xludf.DUMMYFUNCTION("LEFT(CONCATENATE(""x"",JOIN("""",ArrayFormula(MID(AS217,LEN(AS217)-SEQUENCE(1,LEN(AS217))+1,1)))),12)"),"xoxoxooxoxoo")</f>
        <v>xoxoxooxoxoo</v>
      </c>
      <c r="AW217" s="327" t="str">
        <f>IFERROR(__xludf.DUMMYFUNCTION("JOIN("""",AU217,AU217)"),"oxoxooxoxooxoxoxooxoxoox")</f>
        <v>oxoxooxoxooxoxoxooxoxoox</v>
      </c>
      <c r="AX217" s="239" t="str">
        <f>IFERROR(__xludf.DUMMYFUNCTION("IF(REGEXMATCH(AW217,AS217),""✔"",""-"")"),"✔")</f>
        <v>✔</v>
      </c>
      <c r="AY217" s="330" t="str">
        <f t="shared" si="20"/>
        <v>-</v>
      </c>
      <c r="AZ217" s="260" t="str">
        <f t="shared" si="21"/>
        <v>#REF!</v>
      </c>
      <c r="BA217" s="333" t="str">
        <f t="shared" si="22"/>
        <v>xooxoxo</v>
      </c>
      <c r="BB217" s="334" t="str">
        <f t="shared" si="23"/>
        <v>oxoxox</v>
      </c>
      <c r="BC217" s="335" t="str">
        <f t="shared" si="236"/>
        <v>-</v>
      </c>
      <c r="BD217" s="336" t="str">
        <f t="shared" si="25"/>
        <v>Malkauns: 'xooxoxo' + 'oxoxox'</v>
      </c>
      <c r="BE217" s="337">
        <f>IFERROR(__xludf.DUMMYFUNCTION("COUNTUNIQUE(FILTER(AT:AT,REGEXMATCH(AT:AT,AS217)))-1"),4.0)</f>
        <v>4</v>
      </c>
      <c r="BF217" s="261" t="str">
        <f>IFERROR(__xludf.DUMMYFUNCTION("IF(BI217=0,""(n/a)"",IF(BJ217=2,""(PAIR)"",IF(REGEXMATCH(AT217,""xoxoxxoxoxox""),""Bilawal"",IF(REGEXMATCH(AT217,""xoxoxooxoxoo""),""Bhupali"",IF(REGEXMATCH(AT217,""xoxoxxoxxoxo""),""Charukeshi"",IF(REGEXMATCH(AT217,""xoxoooxxoxxo""),""Kameshwari"",IF(REG"&amp;"EXMATCH(AT217,""xoxoxooxoxox""),""Shankara"",IF(REGEXMATCH(AT217,""xxooxoxxxoox""),""Basant"",IF(REGEXMATCH(AT217,""xoxoxxxxoxox""),""Bihag"",IF(REGEXMATCH(AT217,""xoxxxxoxoxxx""),""Pilu"",IF(REGEXMATCH(AT217,""xoxxoxoxxoox""),""Kirwani"",IF(REGEXMATCH(AT"&amp;"217,""xoxxoxoxoxxx""),""Mk.Malhar"",IF(REGEXMATCH(AT217,""xxooxxoxxoox""),""Bhairav"",IF(REGEXMATCH(AT217,""xxoxooxxxoox""),""Todi"",IF(REGEXMATCH(AT217,""xxooxoxooxox""),""Marwa"",IF(REGEXMATCH(AT217,""xxoooxoxxooo""),""Gunkali"",IF(REGEXMATCH(AT217,""xo"&amp;"xoxxoxxoox""),""Nat Bhairav"",IF(REGEXMATCH(AT217,""xoxxoooxoxoo""),""Shivranjani"",IF(REGEXMATCH(AT217,""xooxxxoxooxo""),""Jog"",IF(REGEXMATCH(AT217,""xxooxoxoxoox""),""Hemshri"",IF(REGEXMATCH(AT217,""xoooxooxoxxo""),""Kalavati"",IF(REGEXMATCH(AT217,""xx"&amp;"oxoxxoxoox""),""Kedar"",IF(REGEXMATCH(AT217,""xoxxxxoxooxx""),""Gara"",IF(REGEXMATCH(AT217,""xooxoxooxoox""),""Chandrakauns"",IF(REGEXMATCH(AT217,""xoxxxxoxxxox""),""Mand"",IF(REGEXMATCH(AT217,""xoxxxxoxoxox""),""Hanskinkini"",IF(REGEXMATCH(AT217,""xxooxx"&amp;"oxooxo""),""Lilavati"",IF(REGEXMATCH(AT217,""xooxoxoooxox""),""Rajeshwari"",IF(REGEXMATCH(AT217,""xoooxxoxoxxx""),""Khokar"",IF(REGEXMATCH(AT217,""xxooxoxxxxox""),""Maligoura"",""-""))))))))))))))))))))))))))))))"),"Bhupali")</f>
        <v>Bhupali</v>
      </c>
      <c r="BG217" s="239" t="str">
        <f t="shared" si="26"/>
        <v>#REF!</v>
      </c>
      <c r="BH217" s="239">
        <f>IFERROR(__xludf.DUMMYFUNCTION("COUNTUNIQUE(FE217:FO217)-1"),4.0)</f>
        <v>4</v>
      </c>
      <c r="BI217" s="239">
        <f>IFERROR(__xludf.DUMMYFUNCTION("COUNTUNIQUE(FILTER(AT:AT,REGEXMATCH(AT:AT,AS217)))-1"),4.0)</f>
        <v>4</v>
      </c>
      <c r="BJ217" s="239">
        <f>IFERROR(__xludf.DUMMYFUNCTION("COUNTA(FILTER(AT:AT,REGEXMATCH(AT:AT,AS217)))"),11.0)</f>
        <v>11</v>
      </c>
      <c r="BK217" s="341">
        <f>IFERROR(__xludf.DUMMYFUNCTION("COUNTA(FILTER(AT:AT,REGEXMATCH(AT:AT,AS217)))-AR217"),11.0)</f>
        <v>11</v>
      </c>
      <c r="BL217" s="276" t="str">
        <f>IFERROR(__xludf.DUMMYFUNCTION("IF(AS217=""oooooooooooo"",""-"",IF(REGEXMATCH(AT217,""xx""), ""Hemi."", ""Anhemi.""))"),"Anhemi.")</f>
        <v>Anhemi.</v>
      </c>
      <c r="BM217" s="282" t="str">
        <f>IFERROR(__xludf.DUMMYFUNCTION("IF(AS217=""oooooooooooo"",""-"",IF(REGEXMATCH(AT217,""xxx""), ""Cohem."", ""-""))"),"-")</f>
        <v>-</v>
      </c>
      <c r="BN217" s="282" t="str">
        <f>IFERROR(__xludf.DUMMYFUNCTION("IF(AS217=""oooooooooooo"",""-"",IF(REGEXMATCH(AT217,""xxxx""), ""Co-Co."", ""-""))"),"-")</f>
        <v>-</v>
      </c>
      <c r="BO217" s="342" t="str">
        <f>IFERROR(__xludf.DUMMYFUNCTION("IF(AS217=""oooooooooooo"",""-"",IF(REGEXMATCH(AT217,""xxxxx""), ""CCC."", ""-""))"),"-")</f>
        <v>-</v>
      </c>
      <c r="BP217" s="344" t="str">
        <f t="shared" si="27"/>
        <v>-</v>
      </c>
      <c r="BQ217" s="282" t="str">
        <f>IFERROR(__xludf.DUMMYFUNCTION("IF(REGEXMATCH(JOIN(""-"",EU217:FD217),""TRUE""),""✔"",""-"")"),"✔")</f>
        <v>✔</v>
      </c>
      <c r="BR217" s="225">
        <f t="shared" si="28"/>
        <v>2</v>
      </c>
      <c r="BS217" s="345" t="str">
        <f>IFERROR(__xludf.DUMMYFUNCTION("SUBSTITUTE(SUBSTITUTE(SUBSTITUTE(SUBSTITUTE(CONCATENATE(JOIN(""-"",GC217:GO217)),""--"",""-""),""--"",""-""),""--"",""-""),""--"",""-"")"),"1-b3-4-b6-b7-8")</f>
        <v>1-b3-4-b6-b7-8</v>
      </c>
      <c r="BT217" s="299" t="str">
        <f>IFERROR(__xludf.DUMMYFUNCTION("SUBSTITUTE(SUBSTITUTE(SUBSTITUTE(SUBSTITUTE(CONCATENATE(JOIN(""-"",GP217:HB217)),""--"",""-""),""--"",""-""),""--"",""-""),""--"",""-"")"),"S-G2-M1-D1-N2-S")</f>
        <v>S-G2-M1-D1-N2-S</v>
      </c>
      <c r="BU217" s="348" t="str">
        <f t="shared" si="29"/>
        <v>C-Eb-F-Ab-Bb-C</v>
      </c>
      <c r="BV217" s="349" t="str">
        <f t="shared" si="30"/>
        <v>SrRGMPDNS</v>
      </c>
      <c r="BW217" s="350">
        <f t="shared" si="31"/>
        <v>0</v>
      </c>
      <c r="BX217" s="351">
        <f t="shared" si="32"/>
        <v>1</v>
      </c>
      <c r="BY217" s="392"/>
      <c r="BZ217" s="309" t="str">
        <f>IFERROR(__xludf.DUMMYFUNCTION("IF(REGEXMATCH(C217, ""S""), ""x"",""x"")"),"x")</f>
        <v>x</v>
      </c>
      <c r="CA217" s="245" t="str">
        <f>IFERROR(__xludf.DUMMYFUNCTION("IF(REGEXMATCH(C217, ""r""), ""o"",""x"")"),"x")</f>
        <v>x</v>
      </c>
      <c r="CB217" s="246" t="str">
        <f>IFERROR(__xludf.DUMMYFUNCTION("IF(REGEXMATCH(C217, ""R""), ""o"",""x"")"),"x")</f>
        <v>x</v>
      </c>
      <c r="CC217" s="246" t="str">
        <f>IFERROR(__xludf.DUMMYFUNCTION("IF(REGEXMATCH(C217, ""g""), ""o"",""x"")"),"o")</f>
        <v>o</v>
      </c>
      <c r="CD217" s="245" t="str">
        <f>IFERROR(__xludf.DUMMYFUNCTION("IF(REGEXMATCH(C217, ""G""), ""o"",""x"")"),"x")</f>
        <v>x</v>
      </c>
      <c r="CE217" s="245" t="str">
        <f>IFERROR(__xludf.DUMMYFUNCTION("IF(REGEXMATCH(C217, ""m""), ""o"",""x"")"),"o")</f>
        <v>o</v>
      </c>
      <c r="CF217" s="246" t="str">
        <f>IFERROR(__xludf.DUMMYFUNCTION("IF(REGEXMATCH(C217, ""M""), ""o"",""x"")"),"x")</f>
        <v>x</v>
      </c>
      <c r="CG217" s="245" t="str">
        <f>IFERROR(__xludf.DUMMYFUNCTION("IF(REGEXMATCH(C217, ""P""), ""o"",""x"")"),"x")</f>
        <v>x</v>
      </c>
      <c r="CH217" s="246" t="str">
        <f>IFERROR(__xludf.DUMMYFUNCTION("IF(REGEXMATCH(C217, ""d""), ""o"",""x"")"),"o")</f>
        <v>o</v>
      </c>
      <c r="CI217" s="245" t="str">
        <f>IFERROR(__xludf.DUMMYFUNCTION("IF(REGEXMATCH(C217, ""D""), ""o"",""x"")"),"x")</f>
        <v>x</v>
      </c>
      <c r="CJ217" s="245" t="str">
        <f>IFERROR(__xludf.DUMMYFUNCTION("IF(REGEXMATCH(C217, ""n""), ""o"",""x"")"),"o")</f>
        <v>o</v>
      </c>
      <c r="CK217" s="245" t="str">
        <f>IFERROR(__xludf.DUMMYFUNCTION("IF(REGEXMATCH(C217, ""N""), ""o"",""x"")"),"x")</f>
        <v>x</v>
      </c>
      <c r="CL217" s="356" t="str">
        <f>IFERROR(__xludf.DUMMYFUNCTION("IF(REGEXMATCH(C217, ""S""), ""x"",""x"")"),"x")</f>
        <v>x</v>
      </c>
      <c r="CM217" s="357" t="str">
        <f t="shared" si="33"/>
        <v>xxxoxoxxoxox</v>
      </c>
      <c r="CN217" s="358">
        <f t="shared" si="34"/>
        <v>0</v>
      </c>
      <c r="CO217" s="246" t="str">
        <f>IFERROR(__xludf.DUMMYFUNCTION("IF(REGEXMATCH($C217, ""S""), ""S"",""S"")"),"S")</f>
        <v>S</v>
      </c>
      <c r="CP217" s="246" t="str">
        <f>IFERROR(__xludf.DUMMYFUNCTION("IF(REGEXMATCH($C217, ""r""), """",""r"")"),"r")</f>
        <v>r</v>
      </c>
      <c r="CQ217" s="246" t="str">
        <f>IFERROR(__xludf.DUMMYFUNCTION("IF(REGEXMATCH($C217, ""R""), """",""R"")"),"R")</f>
        <v>R</v>
      </c>
      <c r="CR217" s="246" t="str">
        <f>IFERROR(__xludf.DUMMYFUNCTION("IF(REGEXMATCH($C217, ""g""), """",""g"")"),"")</f>
        <v/>
      </c>
      <c r="CS217" s="246" t="str">
        <f>IFERROR(__xludf.DUMMYFUNCTION("IF(REGEXMATCH($C217, ""G""), """",""G"")"),"G")</f>
        <v>G</v>
      </c>
      <c r="CT217" s="246" t="str">
        <f>IFERROR(__xludf.DUMMYFUNCTION("IF(REGEXMATCH($C217, ""m""), """",""m"")"),"")</f>
        <v/>
      </c>
      <c r="CU217" s="246" t="str">
        <f>IFERROR(__xludf.DUMMYFUNCTION("IF(REGEXMATCH($C217, ""M""), """",""M"")"),"M")</f>
        <v>M</v>
      </c>
      <c r="CV217" s="246" t="str">
        <f>IFERROR(__xludf.DUMMYFUNCTION("IF(REGEXMATCH($C217, ""P""), """",""P"")"),"P")</f>
        <v>P</v>
      </c>
      <c r="CW217" s="246" t="str">
        <f>IFERROR(__xludf.DUMMYFUNCTION("IF(REGEXMATCH($C217, ""d""), """",""d"")"),"")</f>
        <v/>
      </c>
      <c r="CX217" s="246" t="str">
        <f>IFERROR(__xludf.DUMMYFUNCTION("IF(REGEXMATCH($C217, ""D""), """",""D"")"),"D")</f>
        <v>D</v>
      </c>
      <c r="CY217" s="246" t="str">
        <f>IFERROR(__xludf.DUMMYFUNCTION("IF(REGEXMATCH($C217, ""n""), """",""n"")"),"")</f>
        <v/>
      </c>
      <c r="CZ217" s="246" t="str">
        <f>IFERROR(__xludf.DUMMYFUNCTION("IF(REGEXMATCH($C217, ""N""), """",""N"")"),"N")</f>
        <v>N</v>
      </c>
      <c r="DA217" s="246" t="str">
        <f>IFERROR(__xludf.DUMMYFUNCTION("IF(REGEXMATCH($C217, ""S""), ""S"",""S"")"),"S")</f>
        <v>S</v>
      </c>
      <c r="DB217" s="362" t="str">
        <f>IFERROR(__xludf.DUMMYFUNCTION("JOIN("""",CO217:DA217,"""","""")"),"SrRGMPDNS")</f>
        <v>SrRGMPDNS</v>
      </c>
      <c r="DC217" s="363"/>
      <c r="DD217" s="301" t="str">
        <f t="shared" si="35"/>
        <v>#REF!</v>
      </c>
      <c r="DE217" s="302" t="str">
        <f t="shared" si="36"/>
        <v>#REF!</v>
      </c>
      <c r="DF217" s="301" t="str">
        <f t="shared" ref="DF217:DG217" si="650">SUBSTITUTE(S217,"-","")</f>
        <v>SGM</v>
      </c>
      <c r="DG217" s="301" t="str">
        <f t="shared" si="650"/>
        <v>DNS</v>
      </c>
      <c r="DH217" s="302" t="str">
        <f t="shared" si="38"/>
        <v>Bhupali</v>
      </c>
      <c r="DI217" s="301" t="str">
        <f t="shared" si="39"/>
        <v>Anhemi.</v>
      </c>
      <c r="DJ217" s="364" t="str">
        <f t="shared" si="40"/>
        <v>-</v>
      </c>
      <c r="DK217" s="306" t="str">
        <f t="shared" si="41"/>
        <v>-</v>
      </c>
      <c r="DL217" s="366" t="str">
        <f t="shared" si="42"/>
        <v>✔</v>
      </c>
      <c r="DM217" s="308" t="str">
        <f t="shared" si="43"/>
        <v>-</v>
      </c>
      <c r="DN217" s="306" t="str">
        <f t="shared" si="44"/>
        <v>-</v>
      </c>
      <c r="DO217" s="306" t="str">
        <f t="shared" si="45"/>
        <v>✔</v>
      </c>
      <c r="DP217" s="367" t="str">
        <f t="shared" si="46"/>
        <v>-</v>
      </c>
      <c r="DQ217" s="310" t="str">
        <f t="shared" si="47"/>
        <v>-</v>
      </c>
      <c r="DR217" s="310" t="str">
        <f t="shared" si="48"/>
        <v>-</v>
      </c>
      <c r="DS217" s="310" t="str">
        <f t="shared" si="49"/>
        <v>-</v>
      </c>
      <c r="DT217" s="310" t="str">
        <f t="shared" si="50"/>
        <v>-</v>
      </c>
      <c r="DU217" s="370" t="str">
        <f t="shared" si="51"/>
        <v>-</v>
      </c>
      <c r="DV217" s="306" t="str">
        <f t="shared" si="52"/>
        <v>✔</v>
      </c>
      <c r="DW217" s="306" t="str">
        <f t="shared" si="53"/>
        <v>-</v>
      </c>
      <c r="DX217" s="306" t="str">
        <f t="shared" si="54"/>
        <v>-</v>
      </c>
      <c r="DY217" s="306" t="str">
        <f t="shared" si="55"/>
        <v>✔</v>
      </c>
      <c r="DZ217" s="306" t="str">
        <f t="shared" si="56"/>
        <v>-</v>
      </c>
      <c r="EA217" s="367" t="str">
        <f t="shared" si="57"/>
        <v>-</v>
      </c>
      <c r="EB217" s="310" t="str">
        <f>IFERROR(__xludf.DUMMYFUNCTION("IF(REGEXMATCH(AW217,AS217),""✔"",""-"")"),"✔")</f>
        <v>✔</v>
      </c>
      <c r="EC217" s="310" t="str">
        <f t="shared" si="58"/>
        <v>#REF!</v>
      </c>
      <c r="ED217" s="370" t="str">
        <f t="shared" si="59"/>
        <v>-</v>
      </c>
      <c r="EE217" s="340" t="str">
        <f t="shared" si="60"/>
        <v>S-g-m-d-n-S</v>
      </c>
      <c r="EF217" s="371" t="str">
        <f>IFERROR(__xludf.DUMMYFUNCTION("CONCATENATE(JOIN("""",HC217:HO217))"),"SRGPDS")</f>
        <v>SRGPDS</v>
      </c>
      <c r="EG217" s="372">
        <f t="shared" si="61"/>
        <v>1</v>
      </c>
      <c r="EH217" s="373" t="str">
        <f>IFERROR(__xludf.DUMMYFUNCTION("CONCATENATE(JOIN("""",JC217:JO217))"),"Sa, ")</f>
        <v>Sa, </v>
      </c>
      <c r="EI217" s="322">
        <f t="shared" si="62"/>
        <v>0</v>
      </c>
      <c r="EJ217" s="374" t="str">
        <f>IFERROR(__xludf.DUMMYFUNCTION("CONCATENATE(JOIN("""",KC217:KO217))"),"")</f>
        <v/>
      </c>
      <c r="EK217" s="325" t="str">
        <f t="shared" si="63"/>
        <v>S-G2-M1-D1-N2-S</v>
      </c>
      <c r="EL217" s="326" t="str">
        <f t="shared" si="64"/>
        <v>1-b3-4-b6-b7-8</v>
      </c>
      <c r="EM217" s="318" t="str">
        <f t="shared" si="65"/>
        <v>#REF!</v>
      </c>
      <c r="EN217" s="328" t="str">
        <f>IFERROR(__xludf.DUMMYFUNCTION("SUBSTITUTE(SUBSTITUTE(SUBSTITUTE(SUBSTITUTE(CONCATENATE(JOIN("" "",HP217:IB217)),""  "","" ""),""  "","" ""),""  "","" ""),""  "","" "")"),"o • • o • o • • o • o • o")</f>
        <v>o • • o • o • • o • o • o</v>
      </c>
      <c r="EO217" s="368" t="str">
        <f t="shared" si="66"/>
        <v>Sa-ma</v>
      </c>
      <c r="EP217" s="339" t="str">
        <f t="shared" si="67"/>
        <v>-</v>
      </c>
      <c r="EQ217" s="339" t="str">
        <f t="shared" si="68"/>
        <v>-</v>
      </c>
      <c r="ER217" s="339" t="str">
        <f t="shared" si="69"/>
        <v>-</v>
      </c>
      <c r="ES217" s="340" t="str">
        <f t="shared" si="70"/>
        <v>Sa-ma</v>
      </c>
      <c r="ET217" s="363"/>
      <c r="EU217" s="376" t="b">
        <f>IFERROR(__xludf.DUMMYFUNCTION("arrayformula(sum(--REGEXMATCH(""SRGMPDNS"",split(REGEXREPLACE(C217,""(.)"",""$1~""),""~""))))=len(C217)
"),FALSE)</f>
        <v>0</v>
      </c>
      <c r="EV217" s="290" t="b">
        <f>IFERROR(__xludf.DUMMYFUNCTION("arrayformula(sum(--REGEXMATCH(""SRGmPDNS"",split(REGEXREPLACE(C217,""(.)"",""$1~""),""~""))))=len(C217)"),FALSE)</f>
        <v>0</v>
      </c>
      <c r="EW217" s="290" t="b">
        <f>IFERROR(__xludf.DUMMYFUNCTION("arrayformula(sum(--REGEXMATCH(""SRGmPDnS"",split(REGEXREPLACE(C217,""(.)"",""$1~""),""~""))))=len(C217)"),FALSE)</f>
        <v>0</v>
      </c>
      <c r="EX217" s="290" t="b">
        <f>IFERROR(__xludf.DUMMYFUNCTION("arrayformula(sum(--REGEXMATCH(""SRgmPDnS"",split(REGEXREPLACE(C217,""(.)"",""$1~""),""~""))))=len(C217)"),FALSE)</f>
        <v>0</v>
      </c>
      <c r="EY217" s="290" t="b">
        <f>IFERROR(__xludf.DUMMYFUNCTION("arrayformula(sum(--REGEXMATCH(""SRgmPdnS"",split(REGEXREPLACE(C217,""(.)"",""$1~""),""~""))))=len(C217)"),TRUE)</f>
        <v>1</v>
      </c>
      <c r="EZ217" s="290" t="b">
        <f>IFERROR(__xludf.DUMMYFUNCTION("arrayformula(sum(--REGEXMATCH(""SrgmPdnS"",split(REGEXREPLACE(C217,""(.)"",""$1~""),""~""))))=len(C217)"),TRUE)</f>
        <v>1</v>
      </c>
      <c r="FA217" s="290" t="b">
        <f>IFERROR(__xludf.DUMMYFUNCTION("arrayformula(sum(--REGEXMATCH(""SrGmPdNS"",split(REGEXREPLACE(C217,""(.)"",""$1~""),""~""))))=len(C217)"),FALSE)</f>
        <v>0</v>
      </c>
      <c r="FB217" s="290" t="b">
        <f>IFERROR(__xludf.DUMMYFUNCTION("arrayformula(sum(--REGEXMATCH(""SrGMPDNS"",split(REGEXREPLACE(C217,""(.)"",""$1~""),""~""))))=len(C217)"),FALSE)</f>
        <v>0</v>
      </c>
      <c r="FC217" s="290" t="b">
        <f>IFERROR(__xludf.DUMMYFUNCTION("arrayformula(sum(--REGEXMATCH(""SrGMPdNS"",split(REGEXREPLACE(C217,""(.)"",""$1~""),""~""))))=len(C217)"),FALSE)</f>
        <v>0</v>
      </c>
      <c r="FD217" s="377" t="b">
        <f>IFERROR(__xludf.DUMMYFUNCTION("arrayformula(sum(--REGEXMATCH(""SrgMPdNS"",split(REGEXREPLACE(C217,""(.)"",""$1~""),""~""))))=len(C217)"),FALSE)</f>
        <v>0</v>
      </c>
      <c r="FE217" s="269" t="str">
        <f t="shared" si="71"/>
        <v>-</v>
      </c>
      <c r="FF217" s="269" t="str">
        <f t="shared" si="72"/>
        <v>-</v>
      </c>
      <c r="FG217" s="271" t="str">
        <f t="shared" si="73"/>
        <v>xoxooxoxoxo</v>
      </c>
      <c r="FH217" s="269" t="str">
        <f t="shared" si="74"/>
        <v>-</v>
      </c>
      <c r="FI217" s="271" t="str">
        <f t="shared" si="75"/>
        <v>xooxoxoxoox</v>
      </c>
      <c r="FJ217" s="271" t="str">
        <f t="shared" si="76"/>
        <v>-</v>
      </c>
      <c r="FK217" s="271" t="str">
        <f t="shared" si="77"/>
        <v>-</v>
      </c>
      <c r="FL217" s="271" t="str">
        <f t="shared" si="78"/>
        <v>xoxoxooxoxo</v>
      </c>
      <c r="FM217" s="271" t="str">
        <f t="shared" si="79"/>
        <v>-</v>
      </c>
      <c r="FN217" s="271" t="str">
        <f t="shared" si="80"/>
        <v>xoxooxoxoox</v>
      </c>
      <c r="FO217" s="274" t="str">
        <f t="shared" si="81"/>
        <v>-</v>
      </c>
      <c r="FP217" s="234" t="str">
        <f t="shared" si="82"/>
        <v>|</v>
      </c>
      <c r="FQ217" s="236" t="str">
        <f t="shared" si="83"/>
        <v>-</v>
      </c>
      <c r="FR217" s="237" t="str">
        <f t="shared" si="84"/>
        <v>-</v>
      </c>
      <c r="FS217" s="236" t="str">
        <f t="shared" si="85"/>
        <v>|</v>
      </c>
      <c r="FT217" s="237" t="str">
        <f t="shared" si="86"/>
        <v>-</v>
      </c>
      <c r="FU217" s="236" t="str">
        <f t="shared" si="87"/>
        <v>|</v>
      </c>
      <c r="FV217" s="237" t="str">
        <f t="shared" si="88"/>
        <v>-</v>
      </c>
      <c r="FW217" s="236" t="str">
        <f t="shared" si="89"/>
        <v>-</v>
      </c>
      <c r="FX217" s="237" t="str">
        <f t="shared" si="90"/>
        <v>|</v>
      </c>
      <c r="FY217" s="236" t="str">
        <f t="shared" si="91"/>
        <v>-</v>
      </c>
      <c r="FZ217" s="237" t="str">
        <f t="shared" si="92"/>
        <v>|</v>
      </c>
      <c r="GA217" s="236" t="str">
        <f t="shared" si="93"/>
        <v>-</v>
      </c>
      <c r="GB217" s="238" t="str">
        <f t="shared" si="94"/>
        <v>|</v>
      </c>
      <c r="GC217" s="244" t="str">
        <f>IFERROR(__xludf.DUMMYFUNCTION("IF(REGEXMATCH(C217, ""S""), ""1"","""")"),"1")</f>
        <v>1</v>
      </c>
      <c r="GD217" s="245" t="str">
        <f>IFERROR(__xludf.DUMMYFUNCTION("IF(REGEXMATCH(C217, ""r""), ""b2"","""")"),"")</f>
        <v/>
      </c>
      <c r="GE217" s="246" t="str">
        <f>IFERROR(__xludf.DUMMYFUNCTION("IF(REGEXMATCH(C217, ""R""), ""2"","""")"),"")</f>
        <v/>
      </c>
      <c r="GF217" s="246" t="str">
        <f>IFERROR(__xludf.DUMMYFUNCTION("IF(REGEXMATCH(C217, ""g""), ""b3"","""")"),"b3")</f>
        <v>b3</v>
      </c>
      <c r="GG217" s="245" t="str">
        <f>IFERROR(__xludf.DUMMYFUNCTION("IF(REGEXMATCH(C217, ""G""), ""3"","""")"),"")</f>
        <v/>
      </c>
      <c r="GH217" s="245" t="str">
        <f>IFERROR(__xludf.DUMMYFUNCTION("IF(REGEXMATCH(C217, ""m""), ""4"","""")"),"4")</f>
        <v>4</v>
      </c>
      <c r="GI217" s="246" t="str">
        <f>IFERROR(__xludf.DUMMYFUNCTION("IF(REGEXMATCH(C217, ""M""), ""#4"","""")"),"")</f>
        <v/>
      </c>
      <c r="GJ217" s="245" t="str">
        <f>IFERROR(__xludf.DUMMYFUNCTION("IF(REGEXMATCH(C217, ""P""), ""5"","""")"),"")</f>
        <v/>
      </c>
      <c r="GK217" s="246" t="str">
        <f>IFERROR(__xludf.DUMMYFUNCTION("IF(REGEXMATCH(C217, ""d""), ""b6"","""")"),"b6")</f>
        <v>b6</v>
      </c>
      <c r="GL217" s="245" t="str">
        <f>IFERROR(__xludf.DUMMYFUNCTION("IF(REGEXMATCH(C217, ""D""), ""6"","""")"),"")</f>
        <v/>
      </c>
      <c r="GM217" s="245" t="str">
        <f>IFERROR(__xludf.DUMMYFUNCTION("IF(REGEXMATCH(C217, ""n""), ""b7"","""")"),"b7")</f>
        <v>b7</v>
      </c>
      <c r="GN217" s="246" t="str">
        <f>IFERROR(__xludf.DUMMYFUNCTION("IF(REGEXMATCH(C217, ""N""), ""7"","""")"),"")</f>
        <v/>
      </c>
      <c r="GO217" s="249" t="str">
        <f>IFERROR(__xludf.DUMMYFUNCTION("IF(REGEXMATCH(C217, ""S""), ""8"","""")"),"8")</f>
        <v>8</v>
      </c>
      <c r="GP217" s="244" t="str">
        <f>IFERROR(__xludf.DUMMYFUNCTION("IF(REGEXMATCH(C217, ""S""), ""S"","""")"),"S")</f>
        <v>S</v>
      </c>
      <c r="GQ217" s="294" t="str">
        <f>IFERROR(__xludf.DUMMYFUNCTION("IF(REGEXMATCH(C217, ""r""), ""R1"","""")"),"")</f>
        <v/>
      </c>
      <c r="GR217" s="295" t="str">
        <f>IFERROR(__xludf.DUMMYFUNCTION("IF(REGEXMATCH(C217, ""R""), ""R2"","""")"),"")</f>
        <v/>
      </c>
      <c r="GS217" s="295" t="str">
        <f>IFERROR(__xludf.DUMMYFUNCTION("IF(REGEXMATCH(C217, ""g""), ""G2"","""")"),"G2")</f>
        <v>G2</v>
      </c>
      <c r="GT217" s="294" t="str">
        <f>IFERROR(__xludf.DUMMYFUNCTION("IF(REGEXMATCH(C217, ""G""), ""G3"","""")"),"")</f>
        <v/>
      </c>
      <c r="GU217" s="294" t="str">
        <f>IFERROR(__xludf.DUMMYFUNCTION("IF(REGEXMATCH(C217, ""m""), ""M1"","""")"),"M1")</f>
        <v>M1</v>
      </c>
      <c r="GV217" s="295" t="str">
        <f>IFERROR(__xludf.DUMMYFUNCTION("IF(REGEXMATCH(C217, ""M""), ""M2"","""")"),"")</f>
        <v/>
      </c>
      <c r="GW217" s="294" t="str">
        <f>IFERROR(__xludf.DUMMYFUNCTION("IF(REGEXMATCH(C217, ""P""), ""P"","""")"),"")</f>
        <v/>
      </c>
      <c r="GX217" s="295" t="str">
        <f>IFERROR(__xludf.DUMMYFUNCTION("IF(REGEXMATCH(C217, ""d""), ""D1"","""")"),"D1")</f>
        <v>D1</v>
      </c>
      <c r="GY217" s="294" t="str">
        <f>IFERROR(__xludf.DUMMYFUNCTION("IF(REGEXMATCH(C217, ""D""), ""D2"","""")"),"")</f>
        <v/>
      </c>
      <c r="GZ217" s="294" t="str">
        <f>IFERROR(__xludf.DUMMYFUNCTION("IF(REGEXMATCH(C217, ""n""), ""N2"","""")"),"N2")</f>
        <v>N2</v>
      </c>
      <c r="HA217" s="295" t="str">
        <f>IFERROR(__xludf.DUMMYFUNCTION("IF(REGEXMATCH(C217, ""N""), ""N3"","""")"),"")</f>
        <v/>
      </c>
      <c r="HB217" s="249" t="str">
        <f>IFERROR(__xludf.DUMMYFUNCTION("IF(REGEXMATCH(C217, ""S""), ""S"","""")"),"S")</f>
        <v>S</v>
      </c>
      <c r="HC217" s="331" t="str">
        <f t="shared" si="95"/>
        <v>S</v>
      </c>
      <c r="HD217" s="332" t="str">
        <f t="shared" si="96"/>
        <v/>
      </c>
      <c r="HE217" s="332" t="str">
        <f t="shared" si="97"/>
        <v>R</v>
      </c>
      <c r="HF217" s="332" t="str">
        <f t="shared" si="98"/>
        <v/>
      </c>
      <c r="HG217" s="332" t="str">
        <f t="shared" si="99"/>
        <v>G</v>
      </c>
      <c r="HH217" s="332" t="str">
        <f t="shared" si="100"/>
        <v/>
      </c>
      <c r="HI217" s="332" t="str">
        <f t="shared" si="101"/>
        <v/>
      </c>
      <c r="HJ217" s="332" t="str">
        <f t="shared" si="102"/>
        <v>P</v>
      </c>
      <c r="HK217" s="332" t="str">
        <f t="shared" si="103"/>
        <v/>
      </c>
      <c r="HL217" s="332" t="str">
        <f t="shared" si="104"/>
        <v>D</v>
      </c>
      <c r="HM217" s="332" t="str">
        <f t="shared" si="105"/>
        <v/>
      </c>
      <c r="HN217" s="332" t="str">
        <f t="shared" si="106"/>
        <v/>
      </c>
      <c r="HO217" s="343" t="str">
        <f t="shared" si="107"/>
        <v>S</v>
      </c>
      <c r="HP217" s="331" t="str">
        <f t="shared" si="108"/>
        <v>o</v>
      </c>
      <c r="HQ217" s="332" t="str">
        <f t="shared" si="109"/>
        <v>•</v>
      </c>
      <c r="HR217" s="332" t="str">
        <f t="shared" si="110"/>
        <v>•</v>
      </c>
      <c r="HS217" s="332" t="str">
        <f t="shared" si="111"/>
        <v>o</v>
      </c>
      <c r="HT217" s="332" t="str">
        <f t="shared" si="112"/>
        <v>•</v>
      </c>
      <c r="HU217" s="332" t="str">
        <f t="shared" si="113"/>
        <v>o</v>
      </c>
      <c r="HV217" s="332" t="str">
        <f t="shared" si="114"/>
        <v>•</v>
      </c>
      <c r="HW217" s="332" t="str">
        <f t="shared" si="115"/>
        <v>•</v>
      </c>
      <c r="HX217" s="332" t="str">
        <f t="shared" si="116"/>
        <v>o</v>
      </c>
      <c r="HY217" s="332" t="str">
        <f t="shared" si="117"/>
        <v>•</v>
      </c>
      <c r="HZ217" s="332" t="str">
        <f t="shared" si="118"/>
        <v>o</v>
      </c>
      <c r="IA217" s="332" t="str">
        <f t="shared" si="119"/>
        <v>•</v>
      </c>
      <c r="IB217" s="338" t="str">
        <f t="shared" si="120"/>
        <v>o</v>
      </c>
      <c r="IC217" s="331" t="str">
        <f t="shared" si="121"/>
        <v>•</v>
      </c>
      <c r="ID217" s="332" t="str">
        <f t="shared" si="122"/>
        <v>o</v>
      </c>
      <c r="IE217" s="332" t="str">
        <f t="shared" si="123"/>
        <v>o</v>
      </c>
      <c r="IF217" s="332" t="str">
        <f t="shared" si="124"/>
        <v>•</v>
      </c>
      <c r="IG217" s="332" t="str">
        <f t="shared" si="125"/>
        <v>o</v>
      </c>
      <c r="IH217" s="332" t="str">
        <f t="shared" si="126"/>
        <v>•</v>
      </c>
      <c r="II217" s="332" t="str">
        <f t="shared" si="127"/>
        <v>o</v>
      </c>
      <c r="IJ217" s="332" t="str">
        <f t="shared" si="128"/>
        <v>o</v>
      </c>
      <c r="IK217" s="332" t="str">
        <f t="shared" si="129"/>
        <v>•</v>
      </c>
      <c r="IL217" s="332" t="str">
        <f t="shared" si="130"/>
        <v>o</v>
      </c>
      <c r="IM217" s="332" t="str">
        <f t="shared" si="131"/>
        <v>•</v>
      </c>
      <c r="IN217" s="332" t="str">
        <f t="shared" si="132"/>
        <v>o</v>
      </c>
      <c r="IO217" s="338" t="str">
        <f t="shared" si="133"/>
        <v>•</v>
      </c>
      <c r="IP217" s="346" t="b">
        <f t="shared" si="134"/>
        <v>1</v>
      </c>
      <c r="IQ217" s="347" t="b">
        <f t="shared" si="135"/>
        <v>0</v>
      </c>
      <c r="IR217" s="347" t="b">
        <f t="shared" si="136"/>
        <v>0</v>
      </c>
      <c r="IS217" s="347" t="b">
        <f t="shared" si="137"/>
        <v>0</v>
      </c>
      <c r="IT217" s="347" t="b">
        <f t="shared" si="138"/>
        <v>0</v>
      </c>
      <c r="IU217" s="347" t="b">
        <f t="shared" si="139"/>
        <v>0</v>
      </c>
      <c r="IV217" s="347" t="b">
        <f t="shared" si="140"/>
        <v>0</v>
      </c>
      <c r="IW217" s="347" t="b">
        <f t="shared" si="141"/>
        <v>0</v>
      </c>
      <c r="IX217" s="347" t="b">
        <f t="shared" si="142"/>
        <v>0</v>
      </c>
      <c r="IY217" s="347" t="b">
        <f t="shared" si="143"/>
        <v>0</v>
      </c>
      <c r="IZ217" s="347" t="b">
        <f t="shared" si="144"/>
        <v>0</v>
      </c>
      <c r="JA217" s="347" t="b">
        <f t="shared" si="145"/>
        <v>0</v>
      </c>
      <c r="JB217" s="353" t="b">
        <f t="shared" si="146"/>
        <v>1</v>
      </c>
      <c r="JC217" s="354" t="str">
        <f t="shared" si="147"/>
        <v>Sa, </v>
      </c>
      <c r="JD217" s="355" t="str">
        <f t="shared" si="148"/>
        <v/>
      </c>
      <c r="JE217" s="355" t="str">
        <f t="shared" si="149"/>
        <v/>
      </c>
      <c r="JF217" s="355" t="str">
        <f t="shared" si="150"/>
        <v/>
      </c>
      <c r="JG217" s="355" t="str">
        <f t="shared" si="151"/>
        <v/>
      </c>
      <c r="JH217" s="355" t="str">
        <f t="shared" si="152"/>
        <v/>
      </c>
      <c r="JI217" s="355" t="str">
        <f t="shared" si="153"/>
        <v/>
      </c>
      <c r="JJ217" s="355" t="str">
        <f t="shared" si="154"/>
        <v/>
      </c>
      <c r="JK217" s="355" t="str">
        <f t="shared" si="155"/>
        <v/>
      </c>
      <c r="JL217" s="355" t="str">
        <f t="shared" si="156"/>
        <v/>
      </c>
      <c r="JM217" s="355" t="str">
        <f t="shared" si="157"/>
        <v/>
      </c>
      <c r="JN217" s="355" t="str">
        <f t="shared" si="158"/>
        <v/>
      </c>
      <c r="JO217" s="359" t="str">
        <f t="shared" si="159"/>
        <v/>
      </c>
      <c r="JP217" s="346" t="b">
        <f t="shared" si="160"/>
        <v>0</v>
      </c>
      <c r="JQ217" s="347" t="b">
        <f t="shared" si="161"/>
        <v>0</v>
      </c>
      <c r="JR217" s="347" t="b">
        <f t="shared" si="162"/>
        <v>0</v>
      </c>
      <c r="JS217" s="347" t="b">
        <f t="shared" si="163"/>
        <v>0</v>
      </c>
      <c r="JT217" s="347" t="b">
        <f t="shared" si="164"/>
        <v>0</v>
      </c>
      <c r="JU217" s="347" t="b">
        <f t="shared" si="165"/>
        <v>0</v>
      </c>
      <c r="JV217" s="347" t="b">
        <f t="shared" si="166"/>
        <v>0</v>
      </c>
      <c r="JW217" s="347" t="b">
        <f t="shared" si="167"/>
        <v>0</v>
      </c>
      <c r="JX217" s="347" t="b">
        <f t="shared" si="168"/>
        <v>0</v>
      </c>
      <c r="JY217" s="347" t="b">
        <f t="shared" si="169"/>
        <v>0</v>
      </c>
      <c r="JZ217" s="347" t="b">
        <f t="shared" si="170"/>
        <v>0</v>
      </c>
      <c r="KA217" s="347" t="b">
        <f t="shared" si="171"/>
        <v>0</v>
      </c>
      <c r="KB217" s="365" t="b">
        <f t="shared" si="172"/>
        <v>0</v>
      </c>
      <c r="KC217" s="354" t="str">
        <f t="shared" si="173"/>
        <v/>
      </c>
      <c r="KD217" s="355" t="str">
        <f t="shared" si="174"/>
        <v/>
      </c>
      <c r="KE217" s="355" t="str">
        <f t="shared" si="175"/>
        <v/>
      </c>
      <c r="KF217" s="355" t="str">
        <f t="shared" si="176"/>
        <v/>
      </c>
      <c r="KG217" s="355" t="str">
        <f t="shared" si="177"/>
        <v/>
      </c>
      <c r="KH217" s="355" t="str">
        <f t="shared" si="178"/>
        <v/>
      </c>
      <c r="KI217" s="355" t="str">
        <f t="shared" si="179"/>
        <v/>
      </c>
      <c r="KJ217" s="355" t="str">
        <f t="shared" si="180"/>
        <v/>
      </c>
      <c r="KK217" s="355" t="str">
        <f t="shared" si="181"/>
        <v/>
      </c>
      <c r="KL217" s="355" t="str">
        <f t="shared" si="182"/>
        <v/>
      </c>
      <c r="KM217" s="355" t="str">
        <f t="shared" si="183"/>
        <v/>
      </c>
      <c r="KN217" s="355" t="str">
        <f t="shared" si="184"/>
        <v/>
      </c>
      <c r="KO217" s="359"/>
      <c r="KP217" s="378"/>
      <c r="KQ217" s="379" t="s">
        <v>397</v>
      </c>
      <c r="KR217" s="380" t="s">
        <v>1448</v>
      </c>
      <c r="KS217" s="381" t="str">
        <f>KQ217</f>
        <v>S-g-m-d-n-S</v>
      </c>
      <c r="KT217" s="382">
        <f t="shared" si="186"/>
        <v>5</v>
      </c>
      <c r="KU217" s="383">
        <f t="shared" si="187"/>
        <v>5</v>
      </c>
      <c r="KV217" s="381" t="str">
        <f t="shared" si="205"/>
        <v>S-n-d-m-g-S</v>
      </c>
      <c r="KW217" s="382">
        <f t="shared" si="189"/>
        <v>5</v>
      </c>
      <c r="KX217" s="384">
        <f t="shared" si="190"/>
        <v>5</v>
      </c>
      <c r="KY217" s="382">
        <f t="shared" ref="KY217:KZ217" si="651">KW217-KT217</f>
        <v>0</v>
      </c>
      <c r="KZ217" s="369">
        <f t="shared" si="651"/>
        <v>0</v>
      </c>
      <c r="LA217" s="385" t="str">
        <f t="shared" si="192"/>
        <v>✔</v>
      </c>
      <c r="LB217" s="340" t="str">
        <f>IFERROR(__xludf.DUMMYFUNCTION("JOIN("""",ArrayFormula(MID(KS217,LEN(KS217)-SEQUENCE(1,LEN(KS217))+1,1)))"),"S-n-d-m-g-S")</f>
        <v>S-n-d-m-g-S</v>
      </c>
      <c r="LC217" s="373" t="str">
        <f>IFERROR(__xludf.DUMMYFUNCTION("JOIN("""",ArrayFormula(MID(KV217,LEN(KV217)-SEQUENCE(1,LEN(KV217))+1,1)))"),"S-g-m-d-n-S")</f>
        <v>S-g-m-d-n-S</v>
      </c>
      <c r="LD217" s="373" t="str">
        <f t="shared" si="193"/>
        <v>SgmdnS</v>
      </c>
      <c r="LE217" s="339" t="str">
        <f t="shared" si="194"/>
        <v>SgmdnS</v>
      </c>
      <c r="LF217" s="386" t="str">
        <f>IFERROR(__xludf.DUMMYFUNCTION("SUBSTITUTE(SUBSTITUTE(CONCATENATE(JOIN("""",LH217:LT217)),""1"",""""),""2"","""")"),"SgmdnS")</f>
        <v>SgmdnS</v>
      </c>
      <c r="LG217" s="369" t="str">
        <f t="shared" si="195"/>
        <v>✔</v>
      </c>
      <c r="LH217" s="387" t="str">
        <f>IFERROR(__xludf.DUMMYFUNCTION("IF(REGEXMATCH(LD217, ""S""), ""S"",IF(REGEXMATCH(LE217, ""S""), ""S"",""""))"),"S")</f>
        <v>S</v>
      </c>
      <c r="LI217" s="299" t="str">
        <f>IFERROR(__xludf.DUMMYFUNCTION("IF(REGEXMATCH(LD217, ""r""), ""r1"",IF(REGEXMATCH(LE217, ""r""), ""r2"",""""))"),"")</f>
        <v/>
      </c>
      <c r="LJ217" s="299" t="str">
        <f>IFERROR(__xludf.DUMMYFUNCTION("IF(REGEXMATCH(LD217, ""R""), ""R1"",IF(REGEXMATCH(LE217, ""R""), ""R2"",""""))"),"")</f>
        <v/>
      </c>
      <c r="LK217" s="299" t="str">
        <f>IFERROR(__xludf.DUMMYFUNCTION("IF(REGEXMATCH(LD217, ""g""), ""g1"",IF(REGEXMATCH(LE217, ""g""), ""g2"",""""))"),"g1")</f>
        <v>g1</v>
      </c>
      <c r="LL217" s="299" t="str">
        <f>IFERROR(__xludf.DUMMYFUNCTION("IF(REGEXMATCH(LD217, ""G""), ""G1"",IF(REGEXMATCH(LE217, ""G""), ""G2"",""""))"),"")</f>
        <v/>
      </c>
      <c r="LM217" s="299" t="str">
        <f>IFERROR(__xludf.DUMMYFUNCTION("IF(REGEXMATCH(LD217, ""m""), ""m1"",IF(REGEXMATCH(LE217, ""m""), ""m2"",""""))"),"m1")</f>
        <v>m1</v>
      </c>
      <c r="LN217" s="299" t="str">
        <f>IFERROR(__xludf.DUMMYFUNCTION("IF(REGEXMATCH(LD217, ""M""), ""M1"",IF(REGEXMATCH(LE217, ""M""), ""M2"",""""))"),"")</f>
        <v/>
      </c>
      <c r="LO217" s="299" t="str">
        <f>IFERROR(__xludf.DUMMYFUNCTION("IF(REGEXMATCH(LD217, ""P""), ""P1"",IF(REGEXMATCH(LE217, ""P""), ""P2"",""""))"),"")</f>
        <v/>
      </c>
      <c r="LP217" s="299" t="str">
        <f>IFERROR(__xludf.DUMMYFUNCTION("IF(REGEXMATCH(LD217, ""d""), ""d1"",IF(REGEXMATCH(LE217, ""d""), ""d2"",""""))"),"d1")</f>
        <v>d1</v>
      </c>
      <c r="LQ217" s="299" t="str">
        <f>IFERROR(__xludf.DUMMYFUNCTION("IF(REGEXMATCH(LD217, ""D""), ""D1"",IF(REGEXMATCH(LE217, ""D""), ""D2"",""""))"),"")</f>
        <v/>
      </c>
      <c r="LR217" s="299" t="str">
        <f>IFERROR(__xludf.DUMMYFUNCTION("IF(REGEXMATCH(LD217, ""n""), ""n1"",IF(REGEXMATCH(LE217, ""n""), ""n2"",""""))"),"n1")</f>
        <v>n1</v>
      </c>
      <c r="LS217" s="299" t="str">
        <f>IFERROR(__xludf.DUMMYFUNCTION("IF(REGEXMATCH(LD217, ""N""), ""N1"",IF(REGEXMATCH(LE217, ""N""), ""N2"",""""))"),"")</f>
        <v/>
      </c>
      <c r="LT217" s="388" t="str">
        <f>IFERROR(__xludf.DUMMYFUNCTION("IF(REGEXMATCH(LD217, ""S""), ""S"",IF(REGEXMATCH(LE217, ""S""), ""S"",""""))"),"S")</f>
        <v>S</v>
      </c>
      <c r="LU217" s="389">
        <f t="shared" si="196"/>
        <v>1</v>
      </c>
      <c r="LV217" s="378"/>
      <c r="LW217" s="369"/>
      <c r="LX217" s="369"/>
    </row>
    <row r="218" ht="18.0" customHeight="1">
      <c r="A218" s="298" t="s">
        <v>960</v>
      </c>
      <c r="B218" s="222" t="s">
        <v>915</v>
      </c>
      <c r="C218" s="233" t="str">
        <f t="shared" si="7"/>
        <v>SrGmMDNS</v>
      </c>
      <c r="D218" s="234" t="str">
        <f>IFERROR(__xludf.DUMMYFUNCTION("IF(REGEXMATCH(C218, ""S""), ""S"","""")"),"S")</f>
        <v>S</v>
      </c>
      <c r="E218" s="236" t="str">
        <f>IFERROR(__xludf.DUMMYFUNCTION("IF(REGEXMATCH(C218, ""r""), ""r"","""")"),"r")</f>
        <v>r</v>
      </c>
      <c r="F218" s="237" t="str">
        <f>IFERROR(__xludf.DUMMYFUNCTION("IF(REGEXMATCH(C218, ""R""), ""R"","""")"),"")</f>
        <v/>
      </c>
      <c r="G218" s="237" t="str">
        <f>IFERROR(__xludf.DUMMYFUNCTION("IF(REGEXMATCH(C218, ""g""), ""g"","""")"),"")</f>
        <v/>
      </c>
      <c r="H218" s="236" t="str">
        <f>IFERROR(__xludf.DUMMYFUNCTION("IF(REGEXMATCH(C218, ""G""), ""G"","""")"),"G")</f>
        <v>G</v>
      </c>
      <c r="I218" s="236" t="str">
        <f>IFERROR(__xludf.DUMMYFUNCTION("IF(REGEXMATCH(C218, ""m""), ""m"","""")"),"m")</f>
        <v>m</v>
      </c>
      <c r="J218" s="237" t="str">
        <f>IFERROR(__xludf.DUMMYFUNCTION("IF(REGEXMATCH(C218, ""M""), ""M"","""")"),"M")</f>
        <v>M</v>
      </c>
      <c r="K218" s="236" t="str">
        <f>IFERROR(__xludf.DUMMYFUNCTION("IF(REGEXMATCH(C218, ""P""), ""P"","""")"),"")</f>
        <v/>
      </c>
      <c r="L218" s="237" t="str">
        <f>IFERROR(__xludf.DUMMYFUNCTION("IF(REGEXMATCH(C218, ""d""), ""d"","""")"),"")</f>
        <v/>
      </c>
      <c r="M218" s="236" t="str">
        <f>IFERROR(__xludf.DUMMYFUNCTION("IF(REGEXMATCH(C218, ""D""), ""D"","""")"),"D")</f>
        <v>D</v>
      </c>
      <c r="N218" s="236" t="str">
        <f>IFERROR(__xludf.DUMMYFUNCTION("IF(REGEXMATCH(C218, ""n""), ""n"","""")"),"")</f>
        <v/>
      </c>
      <c r="O218" s="237" t="str">
        <f>IFERROR(__xludf.DUMMYFUNCTION("IF(REGEXMATCH(C218, ""N""), ""N"","""")"),"N")</f>
        <v>N</v>
      </c>
      <c r="P218" s="238" t="str">
        <f>IFERROR(__xludf.DUMMYFUNCTION("IF(REGEXMATCH(C218, ""S""), ""S"","""")"),"S")</f>
        <v>S</v>
      </c>
      <c r="Q218" s="239" t="str">
        <f>IFERROR(__xludf.DUMMYFUNCTION("SUBSTITUTE(CONCATENATE(JOIN(""-"",D218:J218)),""-"","""")"),"SrGmM")</f>
        <v>SrGmM</v>
      </c>
      <c r="R218" s="229" t="str">
        <f>IFERROR(__xludf.DUMMYFUNCTION("SUBSTITUTE(CONCATENATE(JOIN(""-"",K218:P218)),""-"","""")"),"DNS")</f>
        <v>DNS</v>
      </c>
      <c r="S218" s="282" t="str">
        <f t="shared" si="8"/>
        <v>S-R-G-M</v>
      </c>
      <c r="T218" s="282" t="str">
        <f t="shared" si="9"/>
        <v>D-N-S</v>
      </c>
      <c r="U218" s="237" t="str">
        <f>IFERROR(__xludf.DUMMYFUNCTION("SUBSTITUTE(JOIN(""-"",S218,T218),""--"",""-"")"),"S-R-G-M-D-N-S")</f>
        <v>S-R-G-M-D-N-S</v>
      </c>
      <c r="V218" s="309" t="str">
        <f t="shared" si="10"/>
        <v>rGmMDN</v>
      </c>
      <c r="W218" s="244" t="str">
        <f>IFERROR(__xludf.DUMMYFUNCTION("IF(REGEXMATCH(C218, ""S""), ""0"","""")"),"0")</f>
        <v>0</v>
      </c>
      <c r="X218" s="245" t="str">
        <f>IFERROR(__xludf.DUMMYFUNCTION("IF(REGEXMATCH(C218, ""r""), ""1"","""")"),"1")</f>
        <v>1</v>
      </c>
      <c r="Y218" s="246" t="str">
        <f>IFERROR(__xludf.DUMMYFUNCTION("IF(REGEXMATCH(C218, ""R""), ""2"","""")"),"")</f>
        <v/>
      </c>
      <c r="Z218" s="246" t="str">
        <f>IFERROR(__xludf.DUMMYFUNCTION("IF(REGEXMATCH(C218, ""g""), ""3"","""")"),"")</f>
        <v/>
      </c>
      <c r="AA218" s="245" t="str">
        <f>IFERROR(__xludf.DUMMYFUNCTION("IF(REGEXMATCH(C218, ""G""), ""4"","""")"),"4")</f>
        <v>4</v>
      </c>
      <c r="AB218" s="245" t="str">
        <f>IFERROR(__xludf.DUMMYFUNCTION("IF(REGEXMATCH(C218, ""m""), ""5"","""")"),"5")</f>
        <v>5</v>
      </c>
      <c r="AC218" s="246" t="str">
        <f>IFERROR(__xludf.DUMMYFUNCTION("IF(REGEXMATCH(C218, ""M""), ""6"","""")"),"6")</f>
        <v>6</v>
      </c>
      <c r="AD218" s="245" t="str">
        <f>IFERROR(__xludf.DUMMYFUNCTION("IF(REGEXMATCH(C218, ""P""), ""7"","""")"),"")</f>
        <v/>
      </c>
      <c r="AE218" s="246" t="str">
        <f>IFERROR(__xludf.DUMMYFUNCTION("IF(REGEXMATCH(C218, ""d""), ""8"","""")"),"")</f>
        <v/>
      </c>
      <c r="AF218" s="245" t="str">
        <f>IFERROR(__xludf.DUMMYFUNCTION("IF(REGEXMATCH(C218, ""D""), ""9"","""")"),"9")</f>
        <v>9</v>
      </c>
      <c r="AG218" s="245" t="str">
        <f>IFERROR(__xludf.DUMMYFUNCTION("IF(REGEXMATCH(C218, ""n""), ""10"","""")"),"")</f>
        <v/>
      </c>
      <c r="AH218" s="246" t="str">
        <f>IFERROR(__xludf.DUMMYFUNCTION("IF(REGEXMATCH(C218, ""N""), ""11"","""")"),"11")</f>
        <v>11</v>
      </c>
      <c r="AI218" s="249" t="str">
        <f>IFERROR(__xludf.DUMMYFUNCTION("IF(REGEXMATCH(C218, ""S""), ""0"","""")"),"0")</f>
        <v>0</v>
      </c>
      <c r="AJ218" s="313" t="str">
        <f t="shared" si="11"/>
        <v>T</v>
      </c>
      <c r="AK218" s="313" t="str">
        <f t="shared" si="12"/>
        <v>-</v>
      </c>
      <c r="AL218" s="313" t="str">
        <f t="shared" si="13"/>
        <v>-</v>
      </c>
      <c r="AM218" s="313" t="str">
        <f t="shared" si="14"/>
        <v>-</v>
      </c>
      <c r="AN218" s="313" t="str">
        <f t="shared" si="15"/>
        <v>-</v>
      </c>
      <c r="AO218" s="314" t="str">
        <f t="shared" si="16"/>
        <v>T</v>
      </c>
      <c r="AP218" s="316">
        <f t="shared" si="17"/>
        <v>2</v>
      </c>
      <c r="AQ218" s="319" t="str">
        <f t="shared" si="18"/>
        <v>-</v>
      </c>
      <c r="AR218" s="320">
        <f t="shared" si="19"/>
        <v>0</v>
      </c>
      <c r="AS218" s="250" t="str">
        <f>IFERROR(__xludf.DUMMYFUNCTION("SUBSTITUTE(SUBSTITUTE(CONCATENATE(JOIN("""",FP218:GA218)),""|"",""x""),""-"",""o"")"),"xxooxxxooxox")</f>
        <v>xxooxxxooxox</v>
      </c>
      <c r="AT218" s="323" t="str">
        <f>IFERROR(__xludf.DUMMYFUNCTION("JOIN("""",AS218,AS218)"),"xxooxxxooxoxxxooxxxooxox")</f>
        <v>xxooxxxooxoxxxooxxxooxox</v>
      </c>
      <c r="AU218" s="256" t="str">
        <f>IFERROR(__xludf.DUMMYFUNCTION("JOIN("""",ArrayFormula(MID(AS218,LEN(AS218)-SEQUENCE(1,LEN(AS218))+1,1)))"),"xoxooxxxooxx")</f>
        <v>xoxooxxxooxx</v>
      </c>
      <c r="AV218" s="256" t="str">
        <f>IFERROR(__xludf.DUMMYFUNCTION("LEFT(CONCATENATE(""x"",JOIN("""",ArrayFormula(MID(AS218,LEN(AS218)-SEQUENCE(1,LEN(AS218))+1,1)))),12)"),"xxoxooxxxoox")</f>
        <v>xxoxooxxxoox</v>
      </c>
      <c r="AW218" s="327" t="str">
        <f>IFERROR(__xludf.DUMMYFUNCTION("JOIN("""",AU218,AU218)"),"xoxooxxxooxxxoxooxxxooxx")</f>
        <v>xoxooxxxooxxxoxooxxxooxx</v>
      </c>
      <c r="AX218" s="239" t="str">
        <f>IFERROR(__xludf.DUMMYFUNCTION("IF(REGEXMATCH(AW218,AS218),""✔"",""-"")"),"-")</f>
        <v>-</v>
      </c>
      <c r="AY218" s="330" t="str">
        <f t="shared" si="20"/>
        <v>-</v>
      </c>
      <c r="AZ218" s="260" t="str">
        <f t="shared" si="21"/>
        <v>#REF!</v>
      </c>
      <c r="BA218" s="333" t="str">
        <f t="shared" si="22"/>
        <v>xxooxxx</v>
      </c>
      <c r="BB218" s="334" t="str">
        <f t="shared" si="23"/>
        <v>ooxoxx</v>
      </c>
      <c r="BC218" s="335" t="str">
        <f t="shared" si="236"/>
        <v>-</v>
      </c>
      <c r="BD218" s="336" t="str">
        <f t="shared" si="25"/>
        <v>Malti Basant: 'xxooxxx' + 'ooxoxx'</v>
      </c>
      <c r="BE218" s="337">
        <f>IFERROR(__xludf.DUMMYFUNCTION("COUNTUNIQUE(FILTER(AT:AT,REGEXMATCH(AT:AT,AS218)))-1"),5.0)</f>
        <v>5</v>
      </c>
      <c r="BF218" s="261" t="str">
        <f>IFERROR(__xludf.DUMMYFUNCTION("IF(BI218=0,""(n/a)"",IF(BJ218=2,""(PAIR)"",IF(REGEXMATCH(AT218,""xoxoxxoxoxox""),""Bilawal"",IF(REGEXMATCH(AT218,""xoxoxooxoxoo""),""Bhupali"",IF(REGEXMATCH(AT218,""xoxoxxoxxoxo""),""Charukeshi"",IF(REGEXMATCH(AT218,""xoxoooxxoxxo""),""Kameshwari"",IF(REG"&amp;"EXMATCH(AT218,""xoxoxooxoxox""),""Shankara"",IF(REGEXMATCH(AT218,""xxooxoxxxoox""),""Basant"",IF(REGEXMATCH(AT218,""xoxoxxxxoxox""),""Bihag"",IF(REGEXMATCH(AT218,""xoxxxxoxoxxx""),""Pilu"",IF(REGEXMATCH(AT218,""xoxxoxoxxoox""),""Kirwani"",IF(REGEXMATCH(AT"&amp;"218,""xoxxoxoxoxxx""),""Mk.Malhar"",IF(REGEXMATCH(AT218,""xxooxxoxxoox""),""Bhairav"",IF(REGEXMATCH(AT218,""xxoxooxxxoox""),""Todi"",IF(REGEXMATCH(AT218,""xxooxoxooxox""),""Marwa"",IF(REGEXMATCH(AT218,""xxoooxoxxooo""),""Gunkali"",IF(REGEXMATCH(AT218,""xo"&amp;"xoxxoxxoox""),""Nat Bhairav"",IF(REGEXMATCH(AT218,""xoxxoooxoxoo""),""Shivranjani"",IF(REGEXMATCH(AT218,""xooxxxoxooxo""),""Jog"",IF(REGEXMATCH(AT218,""xxooxoxoxoox""),""Hemshri"",IF(REGEXMATCH(AT218,""xoooxooxoxxo""),""Kalavati"",IF(REGEXMATCH(AT218,""xx"&amp;"oxoxxoxoox""),""Kedar"",IF(REGEXMATCH(AT218,""xoxxxxoxooxx""),""Gara"",IF(REGEXMATCH(AT218,""xooxoxooxoox""),""Chandrakauns"",IF(REGEXMATCH(AT218,""xoxxxxoxxxox""),""Mand"",IF(REGEXMATCH(AT218,""xoxxxxoxoxox""),""Hanskinkini"",IF(REGEXMATCH(AT218,""xxooxx"&amp;"oxooxo""),""Lilavati"",IF(REGEXMATCH(AT218,""xooxoxoooxox""),""Rajeshwari"",IF(REGEXMATCH(AT218,""xoooxxoxoxxx""),""Khokar"",IF(REGEXMATCH(AT218,""xxooxoxxxxox""),""Maligoura"",""-""))))))))))))))))))))))))))))))"),"Basant")</f>
        <v>Basant</v>
      </c>
      <c r="BG218" s="239" t="str">
        <f t="shared" si="26"/>
        <v>#REF!</v>
      </c>
      <c r="BH218" s="239">
        <f>IFERROR(__xludf.DUMMYFUNCTION("COUNTUNIQUE(FE218:FO218)-1"),6.0)</f>
        <v>6</v>
      </c>
      <c r="BI218" s="239">
        <f>IFERROR(__xludf.DUMMYFUNCTION("COUNTUNIQUE(FILTER(AT:AT,REGEXMATCH(AT:AT,AS218)))-1"),5.0)</f>
        <v>5</v>
      </c>
      <c r="BJ218" s="239">
        <f>IFERROR(__xludf.DUMMYFUNCTION("COUNTA(FILTER(AT:AT,REGEXMATCH(AT:AT,AS218)))"),12.0)</f>
        <v>12</v>
      </c>
      <c r="BK218" s="341">
        <f>IFERROR(__xludf.DUMMYFUNCTION("COUNTA(FILTER(AT:AT,REGEXMATCH(AT:AT,AS218)))-AR218"),12.0)</f>
        <v>12</v>
      </c>
      <c r="BL218" s="276" t="str">
        <f>IFERROR(__xludf.DUMMYFUNCTION("IF(AS218=""oooooooooooo"",""-"",IF(REGEXMATCH(AT218,""xx""), ""Hemi."", ""Anhemi.""))"),"Hemi.")</f>
        <v>Hemi.</v>
      </c>
      <c r="BM218" s="282" t="str">
        <f>IFERROR(__xludf.DUMMYFUNCTION("IF(AS218=""oooooooooooo"",""-"",IF(REGEXMATCH(AT218,""xxx""), ""Cohem."", ""-""))"),"Cohem.")</f>
        <v>Cohem.</v>
      </c>
      <c r="BN218" s="282" t="str">
        <f>IFERROR(__xludf.DUMMYFUNCTION("IF(AS218=""oooooooooooo"",""-"",IF(REGEXMATCH(AT218,""xxxx""), ""Co-Co."", ""-""))"),"-")</f>
        <v>-</v>
      </c>
      <c r="BO218" s="342" t="str">
        <f>IFERROR(__xludf.DUMMYFUNCTION("IF(AS218=""oooooooooooo"",""-"",IF(REGEXMATCH(AT218,""xxxxx""), ""CCC."", ""-""))"),"-")</f>
        <v>-</v>
      </c>
      <c r="BP218" s="344" t="str">
        <f t="shared" si="27"/>
        <v>-</v>
      </c>
      <c r="BQ218" s="282" t="str">
        <f>IFERROR(__xludf.DUMMYFUNCTION("IF(REGEXMATCH(JOIN(""-"",EU218:FD218),""TRUE""),""✔"",""-"")"),"-")</f>
        <v>-</v>
      </c>
      <c r="BR218" s="225">
        <f t="shared" si="28"/>
        <v>0</v>
      </c>
      <c r="BS218" s="345" t="str">
        <f>IFERROR(__xludf.DUMMYFUNCTION("SUBSTITUTE(SUBSTITUTE(SUBSTITUTE(SUBSTITUTE(CONCATENATE(JOIN(""-"",GC218:GO218)),""--"",""-""),""--"",""-""),""--"",""-""),""--"",""-"")"),"1-b2-3-4-#4-6-7-8")</f>
        <v>1-b2-3-4-#4-6-7-8</v>
      </c>
      <c r="BT218" s="299" t="str">
        <f>IFERROR(__xludf.DUMMYFUNCTION("SUBSTITUTE(SUBSTITUTE(SUBSTITUTE(SUBSTITUTE(CONCATENATE(JOIN(""-"",GP218:HB218)),""--"",""-""),""--"",""-""),""--"",""-""),""--"",""-"")"),"S-R1-G3-M1-M2-D2-N3-S")</f>
        <v>S-R1-G3-M1-M2-D2-N3-S</v>
      </c>
      <c r="BU218" s="348" t="str">
        <f t="shared" si="29"/>
        <v>C-Db-E-F-F#-A-B-C</v>
      </c>
      <c r="BV218" s="349" t="str">
        <f t="shared" si="30"/>
        <v>SRgPdnS</v>
      </c>
      <c r="BW218" s="350">
        <f t="shared" si="31"/>
        <v>0</v>
      </c>
      <c r="BX218" s="351">
        <f t="shared" si="32"/>
        <v>2</v>
      </c>
      <c r="BY218" s="392"/>
      <c r="BZ218" s="309" t="str">
        <f>IFERROR(__xludf.DUMMYFUNCTION("IF(REGEXMATCH(C218, ""S""), ""x"",""x"")"),"x")</f>
        <v>x</v>
      </c>
      <c r="CA218" s="245" t="str">
        <f>IFERROR(__xludf.DUMMYFUNCTION("IF(REGEXMATCH(C218, ""r""), ""o"",""x"")"),"o")</f>
        <v>o</v>
      </c>
      <c r="CB218" s="246" t="str">
        <f>IFERROR(__xludf.DUMMYFUNCTION("IF(REGEXMATCH(C218, ""R""), ""o"",""x"")"),"x")</f>
        <v>x</v>
      </c>
      <c r="CC218" s="246" t="str">
        <f>IFERROR(__xludf.DUMMYFUNCTION("IF(REGEXMATCH(C218, ""g""), ""o"",""x"")"),"x")</f>
        <v>x</v>
      </c>
      <c r="CD218" s="245" t="str">
        <f>IFERROR(__xludf.DUMMYFUNCTION("IF(REGEXMATCH(C218, ""G""), ""o"",""x"")"),"o")</f>
        <v>o</v>
      </c>
      <c r="CE218" s="245" t="str">
        <f>IFERROR(__xludf.DUMMYFUNCTION("IF(REGEXMATCH(C218, ""m""), ""o"",""x"")"),"o")</f>
        <v>o</v>
      </c>
      <c r="CF218" s="246" t="str">
        <f>IFERROR(__xludf.DUMMYFUNCTION("IF(REGEXMATCH(C218, ""M""), ""o"",""x"")"),"o")</f>
        <v>o</v>
      </c>
      <c r="CG218" s="245" t="str">
        <f>IFERROR(__xludf.DUMMYFUNCTION("IF(REGEXMATCH(C218, ""P""), ""o"",""x"")"),"x")</f>
        <v>x</v>
      </c>
      <c r="CH218" s="246" t="str">
        <f>IFERROR(__xludf.DUMMYFUNCTION("IF(REGEXMATCH(C218, ""d""), ""o"",""x"")"),"x")</f>
        <v>x</v>
      </c>
      <c r="CI218" s="245" t="str">
        <f>IFERROR(__xludf.DUMMYFUNCTION("IF(REGEXMATCH(C218, ""D""), ""o"",""x"")"),"o")</f>
        <v>o</v>
      </c>
      <c r="CJ218" s="245" t="str">
        <f>IFERROR(__xludf.DUMMYFUNCTION("IF(REGEXMATCH(C218, ""n""), ""o"",""x"")"),"x")</f>
        <v>x</v>
      </c>
      <c r="CK218" s="245" t="str">
        <f>IFERROR(__xludf.DUMMYFUNCTION("IF(REGEXMATCH(C218, ""N""), ""o"",""x"")"),"o")</f>
        <v>o</v>
      </c>
      <c r="CL218" s="356" t="str">
        <f>IFERROR(__xludf.DUMMYFUNCTION("IF(REGEXMATCH(C218, ""S""), ""x"",""x"")"),"x")</f>
        <v>x</v>
      </c>
      <c r="CM218" s="357" t="str">
        <f t="shared" si="33"/>
        <v>xoxxoooxxoxo</v>
      </c>
      <c r="CN218" s="358">
        <f t="shared" si="34"/>
        <v>0</v>
      </c>
      <c r="CO218" s="246" t="str">
        <f>IFERROR(__xludf.DUMMYFUNCTION("IF(REGEXMATCH($C218, ""S""), ""S"",""S"")"),"S")</f>
        <v>S</v>
      </c>
      <c r="CP218" s="246" t="str">
        <f>IFERROR(__xludf.DUMMYFUNCTION("IF(REGEXMATCH($C218, ""r""), """",""r"")"),"")</f>
        <v/>
      </c>
      <c r="CQ218" s="246" t="str">
        <f>IFERROR(__xludf.DUMMYFUNCTION("IF(REGEXMATCH($C218, ""R""), """",""R"")"),"R")</f>
        <v>R</v>
      </c>
      <c r="CR218" s="246" t="str">
        <f>IFERROR(__xludf.DUMMYFUNCTION("IF(REGEXMATCH($C218, ""g""), """",""g"")"),"g")</f>
        <v>g</v>
      </c>
      <c r="CS218" s="246" t="str">
        <f>IFERROR(__xludf.DUMMYFUNCTION("IF(REGEXMATCH($C218, ""G""), """",""G"")"),"")</f>
        <v/>
      </c>
      <c r="CT218" s="246" t="str">
        <f>IFERROR(__xludf.DUMMYFUNCTION("IF(REGEXMATCH($C218, ""m""), """",""m"")"),"")</f>
        <v/>
      </c>
      <c r="CU218" s="246" t="str">
        <f>IFERROR(__xludf.DUMMYFUNCTION("IF(REGEXMATCH($C218, ""M""), """",""M"")"),"")</f>
        <v/>
      </c>
      <c r="CV218" s="246" t="str">
        <f>IFERROR(__xludf.DUMMYFUNCTION("IF(REGEXMATCH($C218, ""P""), """",""P"")"),"P")</f>
        <v>P</v>
      </c>
      <c r="CW218" s="246" t="str">
        <f>IFERROR(__xludf.DUMMYFUNCTION("IF(REGEXMATCH($C218, ""d""), """",""d"")"),"d")</f>
        <v>d</v>
      </c>
      <c r="CX218" s="246" t="str">
        <f>IFERROR(__xludf.DUMMYFUNCTION("IF(REGEXMATCH($C218, ""D""), """",""D"")"),"")</f>
        <v/>
      </c>
      <c r="CY218" s="246" t="str">
        <f>IFERROR(__xludf.DUMMYFUNCTION("IF(REGEXMATCH($C218, ""n""), """",""n"")"),"n")</f>
        <v>n</v>
      </c>
      <c r="CZ218" s="246" t="str">
        <f>IFERROR(__xludf.DUMMYFUNCTION("IF(REGEXMATCH($C218, ""N""), """",""N"")"),"")</f>
        <v/>
      </c>
      <c r="DA218" s="246" t="str">
        <f>IFERROR(__xludf.DUMMYFUNCTION("IF(REGEXMATCH($C218, ""S""), ""S"",""S"")"),"S")</f>
        <v>S</v>
      </c>
      <c r="DB218" s="362" t="str">
        <f>IFERROR(__xludf.DUMMYFUNCTION("JOIN("""",CO218:DA218,"""","""")"),"SRgPdnS")</f>
        <v>SRgPdnS</v>
      </c>
      <c r="DC218" s="363"/>
      <c r="DD218" s="301" t="str">
        <f t="shared" si="35"/>
        <v>#REF!</v>
      </c>
      <c r="DE218" s="302" t="str">
        <f t="shared" si="36"/>
        <v>#REF!</v>
      </c>
      <c r="DF218" s="301" t="str">
        <f t="shared" ref="DF218:DG218" si="652">SUBSTITUTE(S218,"-","")</f>
        <v>SRGM</v>
      </c>
      <c r="DG218" s="301" t="str">
        <f t="shared" si="652"/>
        <v>DNS</v>
      </c>
      <c r="DH218" s="302" t="str">
        <f t="shared" si="38"/>
        <v>Basant</v>
      </c>
      <c r="DI218" s="301" t="str">
        <f t="shared" si="39"/>
        <v>Hemi.</v>
      </c>
      <c r="DJ218" s="364" t="str">
        <f t="shared" si="40"/>
        <v>Cohem.</v>
      </c>
      <c r="DK218" s="306" t="str">
        <f t="shared" si="41"/>
        <v>-</v>
      </c>
      <c r="DL218" s="366" t="str">
        <f t="shared" si="42"/>
        <v>-</v>
      </c>
      <c r="DM218" s="308" t="str">
        <f t="shared" si="43"/>
        <v>✔</v>
      </c>
      <c r="DN218" s="306" t="str">
        <f t="shared" si="44"/>
        <v>-</v>
      </c>
      <c r="DO218" s="306" t="str">
        <f t="shared" si="45"/>
        <v>-</v>
      </c>
      <c r="DP218" s="367" t="str">
        <f t="shared" si="46"/>
        <v>-</v>
      </c>
      <c r="DQ218" s="310" t="str">
        <f t="shared" si="47"/>
        <v>-</v>
      </c>
      <c r="DR218" s="310" t="str">
        <f t="shared" si="48"/>
        <v>-</v>
      </c>
      <c r="DS218" s="310" t="str">
        <f t="shared" si="49"/>
        <v>✔</v>
      </c>
      <c r="DT218" s="310" t="str">
        <f t="shared" si="50"/>
        <v>-</v>
      </c>
      <c r="DU218" s="370" t="str">
        <f t="shared" si="51"/>
        <v>-</v>
      </c>
      <c r="DV218" s="306" t="str">
        <f t="shared" si="52"/>
        <v>-</v>
      </c>
      <c r="DW218" s="306" t="str">
        <f t="shared" si="53"/>
        <v>-</v>
      </c>
      <c r="DX218" s="306" t="str">
        <f t="shared" si="54"/>
        <v>-</v>
      </c>
      <c r="DY218" s="306" t="str">
        <f t="shared" si="55"/>
        <v>✔</v>
      </c>
      <c r="DZ218" s="306" t="str">
        <f t="shared" si="56"/>
        <v>-</v>
      </c>
      <c r="EA218" s="367" t="str">
        <f t="shared" si="57"/>
        <v>-</v>
      </c>
      <c r="EB218" s="310" t="str">
        <f>IFERROR(__xludf.DUMMYFUNCTION("IF(REGEXMATCH(AW218,AS218),""✔"",""-"")"),"-")</f>
        <v>-</v>
      </c>
      <c r="EC218" s="310" t="str">
        <f t="shared" si="58"/>
        <v>#REF!</v>
      </c>
      <c r="ED218" s="370" t="str">
        <f t="shared" si="59"/>
        <v>-</v>
      </c>
      <c r="EE218" s="340" t="str">
        <f t="shared" si="60"/>
        <v>S-r-G-mM-D-N-S</v>
      </c>
      <c r="EF218" s="371" t="str">
        <f>IFERROR(__xludf.DUMMYFUNCTION("CONCATENATE(JOIN("""",HC218:HO218))"),"SrgMPdNS")</f>
        <v>SrgMPdNS</v>
      </c>
      <c r="EG218" s="372">
        <f t="shared" si="61"/>
        <v>2</v>
      </c>
      <c r="EH218" s="373" t="str">
        <f>IFERROR(__xludf.DUMMYFUNCTION("CONCATENATE(JOIN("""",JC218:JO218))"),"Sa, re, ")</f>
        <v>Sa, re, </v>
      </c>
      <c r="EI218" s="322">
        <f t="shared" si="62"/>
        <v>0</v>
      </c>
      <c r="EJ218" s="374" t="str">
        <f>IFERROR(__xludf.DUMMYFUNCTION("CONCATENATE(JOIN("""",KC218:KO218))"),"")</f>
        <v/>
      </c>
      <c r="EK218" s="325" t="str">
        <f t="shared" si="63"/>
        <v>S-R1-G3-M1-M2-D2-N3-S</v>
      </c>
      <c r="EL218" s="326" t="str">
        <f t="shared" si="64"/>
        <v>1-b2-3-4-#4-6-7-8</v>
      </c>
      <c r="EM218" s="318" t="str">
        <f t="shared" si="65"/>
        <v>#REF!</v>
      </c>
      <c r="EN218" s="328" t="str">
        <f>IFERROR(__xludf.DUMMYFUNCTION("SUBSTITUTE(SUBSTITUTE(SUBSTITUTE(SUBSTITUTE(CONCATENATE(JOIN("" "",HP218:IB218)),""  "","" ""),""  "","" ""),""  "","" ""),""  "","" "")"),"o o • • o o o • • o • o o")</f>
        <v>o o • • o o o • • o • o o</v>
      </c>
      <c r="EO218" s="368" t="str">
        <f t="shared" si="66"/>
        <v>-</v>
      </c>
      <c r="EP218" s="339" t="str">
        <f t="shared" si="67"/>
        <v>-</v>
      </c>
      <c r="EQ218" s="339" t="str">
        <f t="shared" si="68"/>
        <v>-</v>
      </c>
      <c r="ER218" s="339" t="str">
        <f t="shared" si="69"/>
        <v>-</v>
      </c>
      <c r="ES218" s="340" t="str">
        <f t="shared" si="70"/>
        <v>-</v>
      </c>
      <c r="ET218" s="363"/>
      <c r="EU218" s="376" t="b">
        <f>IFERROR(__xludf.DUMMYFUNCTION("arrayformula(sum(--REGEXMATCH(""SRGMPDNS"",split(REGEXREPLACE(C218,""(.)"",""$1~""),""~""))))=len(C218)
"),FALSE)</f>
        <v>0</v>
      </c>
      <c r="EV218" s="290" t="b">
        <f>IFERROR(__xludf.DUMMYFUNCTION("arrayformula(sum(--REGEXMATCH(""SRGmPDNS"",split(REGEXREPLACE(C218,""(.)"",""$1~""),""~""))))=len(C218)"),FALSE)</f>
        <v>0</v>
      </c>
      <c r="EW218" s="290" t="b">
        <f>IFERROR(__xludf.DUMMYFUNCTION("arrayformula(sum(--REGEXMATCH(""SRGmPDnS"",split(REGEXREPLACE(C218,""(.)"",""$1~""),""~""))))=len(C218)"),FALSE)</f>
        <v>0</v>
      </c>
      <c r="EX218" s="290" t="b">
        <f>IFERROR(__xludf.DUMMYFUNCTION("arrayformula(sum(--REGEXMATCH(""SRgmPDnS"",split(REGEXREPLACE(C218,""(.)"",""$1~""),""~""))))=len(C218)"),FALSE)</f>
        <v>0</v>
      </c>
      <c r="EY218" s="290" t="b">
        <f>IFERROR(__xludf.DUMMYFUNCTION("arrayformula(sum(--REGEXMATCH(""SRgmPdnS"",split(REGEXREPLACE(C218,""(.)"",""$1~""),""~""))))=len(C218)"),FALSE)</f>
        <v>0</v>
      </c>
      <c r="EZ218" s="290" t="b">
        <f>IFERROR(__xludf.DUMMYFUNCTION("arrayformula(sum(--REGEXMATCH(""SrgmPdnS"",split(REGEXREPLACE(C218,""(.)"",""$1~""),""~""))))=len(C218)"),FALSE)</f>
        <v>0</v>
      </c>
      <c r="FA218" s="290" t="b">
        <f>IFERROR(__xludf.DUMMYFUNCTION("arrayformula(sum(--REGEXMATCH(""SrGmPdNS"",split(REGEXREPLACE(C218,""(.)"",""$1~""),""~""))))=len(C218)"),FALSE)</f>
        <v>0</v>
      </c>
      <c r="FB218" s="290" t="b">
        <f>IFERROR(__xludf.DUMMYFUNCTION("arrayformula(sum(--REGEXMATCH(""SrGMPDNS"",split(REGEXREPLACE(C218,""(.)"",""$1~""),""~""))))=len(C218)"),FALSE)</f>
        <v>0</v>
      </c>
      <c r="FC218" s="290" t="b">
        <f>IFERROR(__xludf.DUMMYFUNCTION("arrayformula(sum(--REGEXMATCH(""SrGMPdNS"",split(REGEXREPLACE(C218,""(.)"",""$1~""),""~""))))=len(C218)"),FALSE)</f>
        <v>0</v>
      </c>
      <c r="FD218" s="377" t="b">
        <f>IFERROR(__xludf.DUMMYFUNCTION("arrayformula(sum(--REGEXMATCH(""SrgMPdNS"",split(REGEXREPLACE(C218,""(.)"",""$1~""),""~""))))=len(C218)"),FALSE)</f>
        <v>0</v>
      </c>
      <c r="FE218" s="269" t="str">
        <f t="shared" si="71"/>
        <v>xooxxxooxox</v>
      </c>
      <c r="FF218" s="269" t="str">
        <f t="shared" si="72"/>
        <v>-</v>
      </c>
      <c r="FG218" s="271" t="str">
        <f t="shared" si="73"/>
        <v>-</v>
      </c>
      <c r="FH218" s="269" t="str">
        <f t="shared" si="74"/>
        <v>xxxooxoxxxo</v>
      </c>
      <c r="FI218" s="271" t="str">
        <f t="shared" si="75"/>
        <v>xxooxoxxxoo</v>
      </c>
      <c r="FJ218" s="271" t="str">
        <f t="shared" si="76"/>
        <v>xooxoxxxoox</v>
      </c>
      <c r="FK218" s="271" t="str">
        <f t="shared" si="77"/>
        <v>-</v>
      </c>
      <c r="FL218" s="271" t="str">
        <f t="shared" si="78"/>
        <v>-</v>
      </c>
      <c r="FM218" s="271" t="str">
        <f t="shared" si="79"/>
        <v>xoxxxooxxxo</v>
      </c>
      <c r="FN218" s="271" t="str">
        <f t="shared" si="80"/>
        <v>-</v>
      </c>
      <c r="FO218" s="274" t="str">
        <f t="shared" si="81"/>
        <v>xxxooxxxoox</v>
      </c>
      <c r="FP218" s="234" t="str">
        <f t="shared" si="82"/>
        <v>|</v>
      </c>
      <c r="FQ218" s="236" t="str">
        <f t="shared" si="83"/>
        <v>|</v>
      </c>
      <c r="FR218" s="237" t="str">
        <f t="shared" si="84"/>
        <v>-</v>
      </c>
      <c r="FS218" s="236" t="str">
        <f t="shared" si="85"/>
        <v>-</v>
      </c>
      <c r="FT218" s="237" t="str">
        <f t="shared" si="86"/>
        <v>|</v>
      </c>
      <c r="FU218" s="236" t="str">
        <f t="shared" si="87"/>
        <v>|</v>
      </c>
      <c r="FV218" s="237" t="str">
        <f t="shared" si="88"/>
        <v>|</v>
      </c>
      <c r="FW218" s="236" t="str">
        <f t="shared" si="89"/>
        <v>-</v>
      </c>
      <c r="FX218" s="237" t="str">
        <f t="shared" si="90"/>
        <v>-</v>
      </c>
      <c r="FY218" s="236" t="str">
        <f t="shared" si="91"/>
        <v>|</v>
      </c>
      <c r="FZ218" s="237" t="str">
        <f t="shared" si="92"/>
        <v>-</v>
      </c>
      <c r="GA218" s="236" t="str">
        <f t="shared" si="93"/>
        <v>|</v>
      </c>
      <c r="GB218" s="238" t="str">
        <f t="shared" si="94"/>
        <v>|</v>
      </c>
      <c r="GC218" s="244" t="str">
        <f>IFERROR(__xludf.DUMMYFUNCTION("IF(REGEXMATCH(C218, ""S""), ""1"","""")"),"1")</f>
        <v>1</v>
      </c>
      <c r="GD218" s="245" t="str">
        <f>IFERROR(__xludf.DUMMYFUNCTION("IF(REGEXMATCH(C218, ""r""), ""b2"","""")"),"b2")</f>
        <v>b2</v>
      </c>
      <c r="GE218" s="246" t="str">
        <f>IFERROR(__xludf.DUMMYFUNCTION("IF(REGEXMATCH(C218, ""R""), ""2"","""")"),"")</f>
        <v/>
      </c>
      <c r="GF218" s="246" t="str">
        <f>IFERROR(__xludf.DUMMYFUNCTION("IF(REGEXMATCH(C218, ""g""), ""b3"","""")"),"")</f>
        <v/>
      </c>
      <c r="GG218" s="245" t="str">
        <f>IFERROR(__xludf.DUMMYFUNCTION("IF(REGEXMATCH(C218, ""G""), ""3"","""")"),"3")</f>
        <v>3</v>
      </c>
      <c r="GH218" s="245" t="str">
        <f>IFERROR(__xludf.DUMMYFUNCTION("IF(REGEXMATCH(C218, ""m""), ""4"","""")"),"4")</f>
        <v>4</v>
      </c>
      <c r="GI218" s="246" t="str">
        <f>IFERROR(__xludf.DUMMYFUNCTION("IF(REGEXMATCH(C218, ""M""), ""#4"","""")"),"#4")</f>
        <v>#4</v>
      </c>
      <c r="GJ218" s="245" t="str">
        <f>IFERROR(__xludf.DUMMYFUNCTION("IF(REGEXMATCH(C218, ""P""), ""5"","""")"),"")</f>
        <v/>
      </c>
      <c r="GK218" s="246" t="str">
        <f>IFERROR(__xludf.DUMMYFUNCTION("IF(REGEXMATCH(C218, ""d""), ""b6"","""")"),"")</f>
        <v/>
      </c>
      <c r="GL218" s="245" t="str">
        <f>IFERROR(__xludf.DUMMYFUNCTION("IF(REGEXMATCH(C218, ""D""), ""6"","""")"),"6")</f>
        <v>6</v>
      </c>
      <c r="GM218" s="245" t="str">
        <f>IFERROR(__xludf.DUMMYFUNCTION("IF(REGEXMATCH(C218, ""n""), ""b7"","""")"),"")</f>
        <v/>
      </c>
      <c r="GN218" s="246" t="str">
        <f>IFERROR(__xludf.DUMMYFUNCTION("IF(REGEXMATCH(C218, ""N""), ""7"","""")"),"7")</f>
        <v>7</v>
      </c>
      <c r="GO218" s="249" t="str">
        <f>IFERROR(__xludf.DUMMYFUNCTION("IF(REGEXMATCH(C218, ""S""), ""8"","""")"),"8")</f>
        <v>8</v>
      </c>
      <c r="GP218" s="244" t="str">
        <f>IFERROR(__xludf.DUMMYFUNCTION("IF(REGEXMATCH(C218, ""S""), ""S"","""")"),"S")</f>
        <v>S</v>
      </c>
      <c r="GQ218" s="294" t="str">
        <f>IFERROR(__xludf.DUMMYFUNCTION("IF(REGEXMATCH(C218, ""r""), ""R1"","""")"),"R1")</f>
        <v>R1</v>
      </c>
      <c r="GR218" s="295" t="str">
        <f>IFERROR(__xludf.DUMMYFUNCTION("IF(REGEXMATCH(C218, ""R""), ""R2"","""")"),"")</f>
        <v/>
      </c>
      <c r="GS218" s="295" t="str">
        <f>IFERROR(__xludf.DUMMYFUNCTION("IF(REGEXMATCH(C218, ""g""), ""G2"","""")"),"")</f>
        <v/>
      </c>
      <c r="GT218" s="294" t="str">
        <f>IFERROR(__xludf.DUMMYFUNCTION("IF(REGEXMATCH(C218, ""G""), ""G3"","""")"),"G3")</f>
        <v>G3</v>
      </c>
      <c r="GU218" s="294" t="str">
        <f>IFERROR(__xludf.DUMMYFUNCTION("IF(REGEXMATCH(C218, ""m""), ""M1"","""")"),"M1")</f>
        <v>M1</v>
      </c>
      <c r="GV218" s="295" t="str">
        <f>IFERROR(__xludf.DUMMYFUNCTION("IF(REGEXMATCH(C218, ""M""), ""M2"","""")"),"M2")</f>
        <v>M2</v>
      </c>
      <c r="GW218" s="294" t="str">
        <f>IFERROR(__xludf.DUMMYFUNCTION("IF(REGEXMATCH(C218, ""P""), ""P"","""")"),"")</f>
        <v/>
      </c>
      <c r="GX218" s="295" t="str">
        <f>IFERROR(__xludf.DUMMYFUNCTION("IF(REGEXMATCH(C218, ""d""), ""D1"","""")"),"")</f>
        <v/>
      </c>
      <c r="GY218" s="294" t="str">
        <f>IFERROR(__xludf.DUMMYFUNCTION("IF(REGEXMATCH(C218, ""D""), ""D2"","""")"),"D2")</f>
        <v>D2</v>
      </c>
      <c r="GZ218" s="294" t="str">
        <f>IFERROR(__xludf.DUMMYFUNCTION("IF(REGEXMATCH(C218, ""n""), ""N2"","""")"),"")</f>
        <v/>
      </c>
      <c r="HA218" s="295" t="str">
        <f>IFERROR(__xludf.DUMMYFUNCTION("IF(REGEXMATCH(C218, ""N""), ""N3"","""")"),"N3")</f>
        <v>N3</v>
      </c>
      <c r="HB218" s="249" t="str">
        <f>IFERROR(__xludf.DUMMYFUNCTION("IF(REGEXMATCH(C218, ""S""), ""S"","""")"),"S")</f>
        <v>S</v>
      </c>
      <c r="HC218" s="331" t="str">
        <f t="shared" si="95"/>
        <v>S</v>
      </c>
      <c r="HD218" s="332" t="str">
        <f t="shared" si="96"/>
        <v>r</v>
      </c>
      <c r="HE218" s="332" t="str">
        <f t="shared" si="97"/>
        <v/>
      </c>
      <c r="HF218" s="332" t="str">
        <f t="shared" si="98"/>
        <v>g</v>
      </c>
      <c r="HG218" s="332" t="str">
        <f t="shared" si="99"/>
        <v/>
      </c>
      <c r="HH218" s="332" t="str">
        <f t="shared" si="100"/>
        <v/>
      </c>
      <c r="HI218" s="332" t="str">
        <f t="shared" si="101"/>
        <v>M</v>
      </c>
      <c r="HJ218" s="332" t="str">
        <f t="shared" si="102"/>
        <v>P</v>
      </c>
      <c r="HK218" s="332" t="str">
        <f t="shared" si="103"/>
        <v>d</v>
      </c>
      <c r="HL218" s="332" t="str">
        <f t="shared" si="104"/>
        <v/>
      </c>
      <c r="HM218" s="332" t="str">
        <f t="shared" si="105"/>
        <v/>
      </c>
      <c r="HN218" s="332" t="str">
        <f t="shared" si="106"/>
        <v>N</v>
      </c>
      <c r="HO218" s="343" t="str">
        <f t="shared" si="107"/>
        <v>S</v>
      </c>
      <c r="HP218" s="331" t="str">
        <f t="shared" si="108"/>
        <v>o</v>
      </c>
      <c r="HQ218" s="332" t="str">
        <f t="shared" si="109"/>
        <v>o</v>
      </c>
      <c r="HR218" s="332" t="str">
        <f t="shared" si="110"/>
        <v>•</v>
      </c>
      <c r="HS218" s="332" t="str">
        <f t="shared" si="111"/>
        <v>•</v>
      </c>
      <c r="HT218" s="332" t="str">
        <f t="shared" si="112"/>
        <v>o</v>
      </c>
      <c r="HU218" s="332" t="str">
        <f t="shared" si="113"/>
        <v>o</v>
      </c>
      <c r="HV218" s="332" t="str">
        <f t="shared" si="114"/>
        <v>o</v>
      </c>
      <c r="HW218" s="332" t="str">
        <f t="shared" si="115"/>
        <v>•</v>
      </c>
      <c r="HX218" s="332" t="str">
        <f t="shared" si="116"/>
        <v>•</v>
      </c>
      <c r="HY218" s="332" t="str">
        <f t="shared" si="117"/>
        <v>o</v>
      </c>
      <c r="HZ218" s="332" t="str">
        <f t="shared" si="118"/>
        <v>•</v>
      </c>
      <c r="IA218" s="332" t="str">
        <f t="shared" si="119"/>
        <v>o</v>
      </c>
      <c r="IB218" s="338" t="str">
        <f t="shared" si="120"/>
        <v>o</v>
      </c>
      <c r="IC218" s="331" t="str">
        <f t="shared" si="121"/>
        <v>•</v>
      </c>
      <c r="ID218" s="332" t="str">
        <f t="shared" si="122"/>
        <v>•</v>
      </c>
      <c r="IE218" s="332" t="str">
        <f t="shared" si="123"/>
        <v>o</v>
      </c>
      <c r="IF218" s="332" t="str">
        <f t="shared" si="124"/>
        <v>o</v>
      </c>
      <c r="IG218" s="332" t="str">
        <f t="shared" si="125"/>
        <v>•</v>
      </c>
      <c r="IH218" s="332" t="str">
        <f t="shared" si="126"/>
        <v>•</v>
      </c>
      <c r="II218" s="332" t="str">
        <f t="shared" si="127"/>
        <v>•</v>
      </c>
      <c r="IJ218" s="332" t="str">
        <f t="shared" si="128"/>
        <v>o</v>
      </c>
      <c r="IK218" s="332" t="str">
        <f t="shared" si="129"/>
        <v>o</v>
      </c>
      <c r="IL218" s="332" t="str">
        <f t="shared" si="130"/>
        <v>•</v>
      </c>
      <c r="IM218" s="332" t="str">
        <f t="shared" si="131"/>
        <v>o</v>
      </c>
      <c r="IN218" s="332" t="str">
        <f t="shared" si="132"/>
        <v>•</v>
      </c>
      <c r="IO218" s="338" t="str">
        <f t="shared" si="133"/>
        <v>•</v>
      </c>
      <c r="IP218" s="346" t="b">
        <f t="shared" si="134"/>
        <v>1</v>
      </c>
      <c r="IQ218" s="347" t="b">
        <f t="shared" si="135"/>
        <v>1</v>
      </c>
      <c r="IR218" s="347" t="b">
        <f t="shared" si="136"/>
        <v>0</v>
      </c>
      <c r="IS218" s="347" t="b">
        <f t="shared" si="137"/>
        <v>0</v>
      </c>
      <c r="IT218" s="347" t="b">
        <f t="shared" si="138"/>
        <v>0</v>
      </c>
      <c r="IU218" s="347" t="b">
        <f t="shared" si="139"/>
        <v>0</v>
      </c>
      <c r="IV218" s="347" t="b">
        <f t="shared" si="140"/>
        <v>0</v>
      </c>
      <c r="IW218" s="347" t="b">
        <f t="shared" si="141"/>
        <v>0</v>
      </c>
      <c r="IX218" s="347" t="b">
        <f t="shared" si="142"/>
        <v>0</v>
      </c>
      <c r="IY218" s="347" t="b">
        <f t="shared" si="143"/>
        <v>0</v>
      </c>
      <c r="IZ218" s="347" t="b">
        <f t="shared" si="144"/>
        <v>0</v>
      </c>
      <c r="JA218" s="347" t="b">
        <f t="shared" si="145"/>
        <v>0</v>
      </c>
      <c r="JB218" s="353" t="b">
        <f t="shared" si="146"/>
        <v>1</v>
      </c>
      <c r="JC218" s="354" t="str">
        <f t="shared" si="147"/>
        <v>Sa, </v>
      </c>
      <c r="JD218" s="355" t="str">
        <f t="shared" si="148"/>
        <v>re, </v>
      </c>
      <c r="JE218" s="355" t="str">
        <f t="shared" si="149"/>
        <v/>
      </c>
      <c r="JF218" s="355" t="str">
        <f t="shared" si="150"/>
        <v/>
      </c>
      <c r="JG218" s="355" t="str">
        <f t="shared" si="151"/>
        <v/>
      </c>
      <c r="JH218" s="355" t="str">
        <f t="shared" si="152"/>
        <v/>
      </c>
      <c r="JI218" s="355" t="str">
        <f t="shared" si="153"/>
        <v/>
      </c>
      <c r="JJ218" s="355" t="str">
        <f t="shared" si="154"/>
        <v/>
      </c>
      <c r="JK218" s="355" t="str">
        <f t="shared" si="155"/>
        <v/>
      </c>
      <c r="JL218" s="355" t="str">
        <f t="shared" si="156"/>
        <v/>
      </c>
      <c r="JM218" s="355" t="str">
        <f t="shared" si="157"/>
        <v/>
      </c>
      <c r="JN218" s="355" t="str">
        <f t="shared" si="158"/>
        <v/>
      </c>
      <c r="JO218" s="359" t="str">
        <f t="shared" si="159"/>
        <v/>
      </c>
      <c r="JP218" s="346" t="b">
        <f t="shared" si="160"/>
        <v>0</v>
      </c>
      <c r="JQ218" s="347" t="b">
        <f t="shared" si="161"/>
        <v>0</v>
      </c>
      <c r="JR218" s="347" t="b">
        <f t="shared" si="162"/>
        <v>0</v>
      </c>
      <c r="JS218" s="347" t="b">
        <f t="shared" si="163"/>
        <v>0</v>
      </c>
      <c r="JT218" s="347" t="b">
        <f t="shared" si="164"/>
        <v>0</v>
      </c>
      <c r="JU218" s="347" t="b">
        <f t="shared" si="165"/>
        <v>0</v>
      </c>
      <c r="JV218" s="347" t="b">
        <f t="shared" si="166"/>
        <v>0</v>
      </c>
      <c r="JW218" s="347" t="b">
        <f t="shared" si="167"/>
        <v>0</v>
      </c>
      <c r="JX218" s="347" t="b">
        <f t="shared" si="168"/>
        <v>0</v>
      </c>
      <c r="JY218" s="347" t="b">
        <f t="shared" si="169"/>
        <v>0</v>
      </c>
      <c r="JZ218" s="347" t="b">
        <f t="shared" si="170"/>
        <v>0</v>
      </c>
      <c r="KA218" s="347" t="b">
        <f t="shared" si="171"/>
        <v>0</v>
      </c>
      <c r="KB218" s="365" t="b">
        <f t="shared" si="172"/>
        <v>0</v>
      </c>
      <c r="KC218" s="354" t="str">
        <f t="shared" si="173"/>
        <v/>
      </c>
      <c r="KD218" s="355" t="str">
        <f t="shared" si="174"/>
        <v/>
      </c>
      <c r="KE218" s="355" t="str">
        <f t="shared" si="175"/>
        <v/>
      </c>
      <c r="KF218" s="355" t="str">
        <f t="shared" si="176"/>
        <v/>
      </c>
      <c r="KG218" s="355" t="str">
        <f t="shared" si="177"/>
        <v/>
      </c>
      <c r="KH218" s="355" t="str">
        <f t="shared" si="178"/>
        <v/>
      </c>
      <c r="KI218" s="355" t="str">
        <f t="shared" si="179"/>
        <v/>
      </c>
      <c r="KJ218" s="355" t="str">
        <f t="shared" si="180"/>
        <v/>
      </c>
      <c r="KK218" s="355" t="str">
        <f t="shared" si="181"/>
        <v/>
      </c>
      <c r="KL218" s="355" t="str">
        <f t="shared" si="182"/>
        <v/>
      </c>
      <c r="KM218" s="355" t="str">
        <f t="shared" si="183"/>
        <v/>
      </c>
      <c r="KN218" s="355" t="str">
        <f t="shared" si="184"/>
        <v/>
      </c>
      <c r="KO218" s="359"/>
      <c r="KP218" s="378"/>
      <c r="KQ218" s="379" t="s">
        <v>9</v>
      </c>
      <c r="KR218" s="380" t="s">
        <v>9</v>
      </c>
      <c r="KS218" s="381" t="s">
        <v>9</v>
      </c>
      <c r="KT218" s="382">
        <f t="shared" si="186"/>
        <v>0</v>
      </c>
      <c r="KU218" s="383">
        <f t="shared" si="187"/>
        <v>0</v>
      </c>
      <c r="KV218" s="381" t="str">
        <f t="shared" si="205"/>
        <v>S</v>
      </c>
      <c r="KW218" s="382">
        <f t="shared" si="189"/>
        <v>0</v>
      </c>
      <c r="KX218" s="384">
        <f t="shared" si="190"/>
        <v>0</v>
      </c>
      <c r="KY218" s="382">
        <f t="shared" ref="KY218:KZ218" si="653">KW218-KT218</f>
        <v>0</v>
      </c>
      <c r="KZ218" s="369">
        <f t="shared" si="653"/>
        <v>0</v>
      </c>
      <c r="LA218" s="385" t="str">
        <f t="shared" si="192"/>
        <v>✔</v>
      </c>
      <c r="LB218" s="340" t="str">
        <f>IFERROR(__xludf.DUMMYFUNCTION("JOIN("""",ArrayFormula(MID(KS218,LEN(KS218)-SEQUENCE(1,LEN(KS218))+1,1)))"),"S")</f>
        <v>S</v>
      </c>
      <c r="LC218" s="373" t="str">
        <f>IFERROR(__xludf.DUMMYFUNCTION("JOIN("""",ArrayFormula(MID(KV218,LEN(KV218)-SEQUENCE(1,LEN(KV218))+1,1)))"),"S")</f>
        <v>S</v>
      </c>
      <c r="LD218" s="373" t="str">
        <f t="shared" si="193"/>
        <v>S</v>
      </c>
      <c r="LE218" s="339" t="str">
        <f t="shared" si="194"/>
        <v>S</v>
      </c>
      <c r="LF218" s="386" t="str">
        <f>IFERROR(__xludf.DUMMYFUNCTION("SUBSTITUTE(SUBSTITUTE(CONCATENATE(JOIN("""",LH218:LT218)),""1"",""""),""2"","""")"),"SS")</f>
        <v>SS</v>
      </c>
      <c r="LG218" s="369" t="str">
        <f t="shared" si="195"/>
        <v>-</v>
      </c>
      <c r="LH218" s="387" t="str">
        <f>IFERROR(__xludf.DUMMYFUNCTION("IF(REGEXMATCH(LD218, ""S""), ""S"",IF(REGEXMATCH(LE218, ""S""), ""S"",""""))"),"S")</f>
        <v>S</v>
      </c>
      <c r="LI218" s="299" t="str">
        <f>IFERROR(__xludf.DUMMYFUNCTION("IF(REGEXMATCH(LD218, ""r""), ""r1"",IF(REGEXMATCH(LE218, ""r""), ""r2"",""""))"),"")</f>
        <v/>
      </c>
      <c r="LJ218" s="299" t="str">
        <f>IFERROR(__xludf.DUMMYFUNCTION("IF(REGEXMATCH(LD218, ""R""), ""R1"",IF(REGEXMATCH(LE218, ""R""), ""R2"",""""))"),"")</f>
        <v/>
      </c>
      <c r="LK218" s="299" t="str">
        <f>IFERROR(__xludf.DUMMYFUNCTION("IF(REGEXMATCH(LD218, ""g""), ""g1"",IF(REGEXMATCH(LE218, ""g""), ""g2"",""""))"),"")</f>
        <v/>
      </c>
      <c r="LL218" s="299" t="str">
        <f>IFERROR(__xludf.DUMMYFUNCTION("IF(REGEXMATCH(LD218, ""G""), ""G1"",IF(REGEXMATCH(LE218, ""G""), ""G2"",""""))"),"")</f>
        <v/>
      </c>
      <c r="LM218" s="299" t="str">
        <f>IFERROR(__xludf.DUMMYFUNCTION("IF(REGEXMATCH(LD218, ""m""), ""m1"",IF(REGEXMATCH(LE218, ""m""), ""m2"",""""))"),"")</f>
        <v/>
      </c>
      <c r="LN218" s="299" t="str">
        <f>IFERROR(__xludf.DUMMYFUNCTION("IF(REGEXMATCH(LD218, ""M""), ""M1"",IF(REGEXMATCH(LE218, ""M""), ""M2"",""""))"),"")</f>
        <v/>
      </c>
      <c r="LO218" s="299" t="str">
        <f>IFERROR(__xludf.DUMMYFUNCTION("IF(REGEXMATCH(LD218, ""P""), ""P1"",IF(REGEXMATCH(LE218, ""P""), ""P2"",""""))"),"")</f>
        <v/>
      </c>
      <c r="LP218" s="299" t="str">
        <f>IFERROR(__xludf.DUMMYFUNCTION("IF(REGEXMATCH(LD218, ""d""), ""d1"",IF(REGEXMATCH(LE218, ""d""), ""d2"",""""))"),"")</f>
        <v/>
      </c>
      <c r="LQ218" s="299" t="str">
        <f>IFERROR(__xludf.DUMMYFUNCTION("IF(REGEXMATCH(LD218, ""D""), ""D1"",IF(REGEXMATCH(LE218, ""D""), ""D2"",""""))"),"")</f>
        <v/>
      </c>
      <c r="LR218" s="299" t="str">
        <f>IFERROR(__xludf.DUMMYFUNCTION("IF(REGEXMATCH(LD218, ""n""), ""n1"",IF(REGEXMATCH(LE218, ""n""), ""n2"",""""))"),"")</f>
        <v/>
      </c>
      <c r="LS218" s="299" t="str">
        <f>IFERROR(__xludf.DUMMYFUNCTION("IF(REGEXMATCH(LD218, ""N""), ""N1"",IF(REGEXMATCH(LE218, ""N""), ""N2"",""""))"),"")</f>
        <v/>
      </c>
      <c r="LT218" s="388" t="str">
        <f>IFERROR(__xludf.DUMMYFUNCTION("IF(REGEXMATCH(LD218, ""S""), ""S"",IF(REGEXMATCH(LE218, ""S""), ""S"",""""))"),"S")</f>
        <v>S</v>
      </c>
      <c r="LU218" s="389">
        <f t="shared" si="196"/>
        <v>1</v>
      </c>
      <c r="LV218" s="378"/>
      <c r="LW218" s="369"/>
      <c r="LX218" s="369"/>
    </row>
    <row r="219" ht="18.0" customHeight="1">
      <c r="A219" s="298" t="s">
        <v>962</v>
      </c>
      <c r="B219" s="222" t="s">
        <v>554</v>
      </c>
      <c r="C219" s="233" t="str">
        <f t="shared" si="7"/>
        <v>SRGmPDNS</v>
      </c>
      <c r="D219" s="234" t="str">
        <f>IFERROR(__xludf.DUMMYFUNCTION("IF(REGEXMATCH(C219, ""S""), ""S"","""")"),"S")</f>
        <v>S</v>
      </c>
      <c r="E219" s="236" t="str">
        <f>IFERROR(__xludf.DUMMYFUNCTION("IF(REGEXMATCH(C219, ""r""), ""r"","""")"),"")</f>
        <v/>
      </c>
      <c r="F219" s="237" t="str">
        <f>IFERROR(__xludf.DUMMYFUNCTION("IF(REGEXMATCH(C219, ""R""), ""R"","""")"),"R")</f>
        <v>R</v>
      </c>
      <c r="G219" s="237" t="str">
        <f>IFERROR(__xludf.DUMMYFUNCTION("IF(REGEXMATCH(C219, ""g""), ""g"","""")"),"")</f>
        <v/>
      </c>
      <c r="H219" s="236" t="str">
        <f>IFERROR(__xludf.DUMMYFUNCTION("IF(REGEXMATCH(C219, ""G""), ""G"","""")"),"G")</f>
        <v>G</v>
      </c>
      <c r="I219" s="236" t="str">
        <f>IFERROR(__xludf.DUMMYFUNCTION("IF(REGEXMATCH(C219, ""m""), ""m"","""")"),"m")</f>
        <v>m</v>
      </c>
      <c r="J219" s="237" t="str">
        <f>IFERROR(__xludf.DUMMYFUNCTION("IF(REGEXMATCH(C219, ""M""), ""M"","""")"),"")</f>
        <v/>
      </c>
      <c r="K219" s="236" t="str">
        <f>IFERROR(__xludf.DUMMYFUNCTION("IF(REGEXMATCH(C219, ""P""), ""P"","""")"),"P")</f>
        <v>P</v>
      </c>
      <c r="L219" s="237" t="str">
        <f>IFERROR(__xludf.DUMMYFUNCTION("IF(REGEXMATCH(C219, ""d""), ""d"","""")"),"")</f>
        <v/>
      </c>
      <c r="M219" s="236" t="str">
        <f>IFERROR(__xludf.DUMMYFUNCTION("IF(REGEXMATCH(C219, ""D""), ""D"","""")"),"D")</f>
        <v>D</v>
      </c>
      <c r="N219" s="236" t="str">
        <f>IFERROR(__xludf.DUMMYFUNCTION("IF(REGEXMATCH(C219, ""n""), ""n"","""")"),"")</f>
        <v/>
      </c>
      <c r="O219" s="237" t="str">
        <f>IFERROR(__xludf.DUMMYFUNCTION("IF(REGEXMATCH(C219, ""N""), ""N"","""")"),"N")</f>
        <v>N</v>
      </c>
      <c r="P219" s="238" t="str">
        <f>IFERROR(__xludf.DUMMYFUNCTION("IF(REGEXMATCH(C219, ""S""), ""S"","""")"),"S")</f>
        <v>S</v>
      </c>
      <c r="Q219" s="239" t="str">
        <f>IFERROR(__xludf.DUMMYFUNCTION("SUBSTITUTE(CONCATENATE(JOIN(""-"",D219:J219)),""-"","""")"),"SRGm")</f>
        <v>SRGm</v>
      </c>
      <c r="R219" s="229" t="str">
        <f>IFERROR(__xludf.DUMMYFUNCTION("SUBSTITUTE(CONCATENATE(JOIN(""-"",K219:P219)),""-"","""")"),"PDNS")</f>
        <v>PDNS</v>
      </c>
      <c r="S219" s="282" t="str">
        <f t="shared" si="8"/>
        <v>S-R-G-M</v>
      </c>
      <c r="T219" s="282" t="str">
        <f t="shared" si="9"/>
        <v>P-D-N-S</v>
      </c>
      <c r="U219" s="237" t="str">
        <f>IFERROR(__xludf.DUMMYFUNCTION("SUBSTITUTE(JOIN(""-"",S219,T219),""--"",""-"")"),"S-R-G-M-P-D-N-S")</f>
        <v>S-R-G-M-P-D-N-S</v>
      </c>
      <c r="V219" s="309" t="str">
        <f t="shared" si="10"/>
        <v>RGmDN</v>
      </c>
      <c r="W219" s="244" t="str">
        <f>IFERROR(__xludf.DUMMYFUNCTION("IF(REGEXMATCH(C219, ""S""), ""0"","""")"),"0")</f>
        <v>0</v>
      </c>
      <c r="X219" s="245" t="str">
        <f>IFERROR(__xludf.DUMMYFUNCTION("IF(REGEXMATCH(C219, ""r""), ""1"","""")"),"")</f>
        <v/>
      </c>
      <c r="Y219" s="246" t="str">
        <f>IFERROR(__xludf.DUMMYFUNCTION("IF(REGEXMATCH(C219, ""R""), ""2"","""")"),"2")</f>
        <v>2</v>
      </c>
      <c r="Z219" s="246" t="str">
        <f>IFERROR(__xludf.DUMMYFUNCTION("IF(REGEXMATCH(C219, ""g""), ""3"","""")"),"")</f>
        <v/>
      </c>
      <c r="AA219" s="245" t="str">
        <f>IFERROR(__xludf.DUMMYFUNCTION("IF(REGEXMATCH(C219, ""G""), ""4"","""")"),"4")</f>
        <v>4</v>
      </c>
      <c r="AB219" s="245" t="str">
        <f>IFERROR(__xludf.DUMMYFUNCTION("IF(REGEXMATCH(C219, ""m""), ""5"","""")"),"5")</f>
        <v>5</v>
      </c>
      <c r="AC219" s="246" t="str">
        <f>IFERROR(__xludf.DUMMYFUNCTION("IF(REGEXMATCH(C219, ""M""), ""6"","""")"),"")</f>
        <v/>
      </c>
      <c r="AD219" s="245" t="str">
        <f>IFERROR(__xludf.DUMMYFUNCTION("IF(REGEXMATCH(C219, ""P""), ""7"","""")"),"7")</f>
        <v>7</v>
      </c>
      <c r="AE219" s="246" t="str">
        <f>IFERROR(__xludf.DUMMYFUNCTION("IF(REGEXMATCH(C219, ""d""), ""8"","""")"),"")</f>
        <v/>
      </c>
      <c r="AF219" s="245" t="str">
        <f>IFERROR(__xludf.DUMMYFUNCTION("IF(REGEXMATCH(C219, ""D""), ""9"","""")"),"9")</f>
        <v>9</v>
      </c>
      <c r="AG219" s="245" t="str">
        <f>IFERROR(__xludf.DUMMYFUNCTION("IF(REGEXMATCH(C219, ""n""), ""10"","""")"),"")</f>
        <v/>
      </c>
      <c r="AH219" s="246" t="str">
        <f>IFERROR(__xludf.DUMMYFUNCTION("IF(REGEXMATCH(C219, ""N""), ""11"","""")"),"11")</f>
        <v>11</v>
      </c>
      <c r="AI219" s="249" t="str">
        <f>IFERROR(__xludf.DUMMYFUNCTION("IF(REGEXMATCH(C219, ""S""), ""0"","""")"),"0")</f>
        <v>0</v>
      </c>
      <c r="AJ219" s="313" t="str">
        <f t="shared" si="11"/>
        <v>-</v>
      </c>
      <c r="AK219" s="313" t="str">
        <f t="shared" si="12"/>
        <v>-</v>
      </c>
      <c r="AL219" s="313" t="str">
        <f t="shared" si="13"/>
        <v>-</v>
      </c>
      <c r="AM219" s="313" t="str">
        <f t="shared" si="14"/>
        <v>-</v>
      </c>
      <c r="AN219" s="313" t="str">
        <f t="shared" si="15"/>
        <v>-</v>
      </c>
      <c r="AO219" s="314" t="str">
        <f t="shared" si="16"/>
        <v>T</v>
      </c>
      <c r="AP219" s="316">
        <f t="shared" si="17"/>
        <v>1</v>
      </c>
      <c r="AQ219" s="319" t="str">
        <f t="shared" si="18"/>
        <v>-</v>
      </c>
      <c r="AR219" s="320">
        <f t="shared" si="19"/>
        <v>0</v>
      </c>
      <c r="AS219" s="250" t="str">
        <f>IFERROR(__xludf.DUMMYFUNCTION("SUBSTITUTE(SUBSTITUTE(CONCATENATE(JOIN("""",FP219:GA219)),""|"",""x""),""-"",""o"")"),"xoxoxxoxoxox")</f>
        <v>xoxoxxoxoxox</v>
      </c>
      <c r="AT219" s="323" t="str">
        <f>IFERROR(__xludf.DUMMYFUNCTION("JOIN("""",AS219,AS219)"),"xoxoxxoxoxoxxoxoxxoxoxox")</f>
        <v>xoxoxxoxoxoxxoxoxxoxoxox</v>
      </c>
      <c r="AU219" s="256" t="str">
        <f>IFERROR(__xludf.DUMMYFUNCTION("JOIN("""",ArrayFormula(MID(AS219,LEN(AS219)-SEQUENCE(1,LEN(AS219))+1,1)))"),"xoxoxoxxoxox")</f>
        <v>xoxoxoxxoxox</v>
      </c>
      <c r="AV219" s="256" t="str">
        <f>IFERROR(__xludf.DUMMYFUNCTION("LEFT(CONCATENATE(""x"",JOIN("""",ArrayFormula(MID(AS219,LEN(AS219)-SEQUENCE(1,LEN(AS219))+1,1)))),12)"),"xxoxoxoxxoxo")</f>
        <v>xxoxoxoxxoxo</v>
      </c>
      <c r="AW219" s="327" t="str">
        <f>IFERROR(__xludf.DUMMYFUNCTION("JOIN("""",AU219,AU219)"),"xoxoxoxxoxoxxoxoxoxxoxox")</f>
        <v>xoxoxoxxoxoxxoxoxoxxoxox</v>
      </c>
      <c r="AX219" s="239" t="str">
        <f>IFERROR(__xludf.DUMMYFUNCTION("IF(REGEXMATCH(AW219,AS219),""✔"",""-"")"),"✔")</f>
        <v>✔</v>
      </c>
      <c r="AY219" s="330" t="str">
        <f t="shared" si="20"/>
        <v>-</v>
      </c>
      <c r="AZ219" s="260" t="str">
        <f t="shared" si="21"/>
        <v>#REF!</v>
      </c>
      <c r="BA219" s="333" t="str">
        <f t="shared" si="22"/>
        <v>xoxoxxo</v>
      </c>
      <c r="BB219" s="334" t="str">
        <f t="shared" si="23"/>
        <v>xoxoxx</v>
      </c>
      <c r="BC219" s="335" t="str">
        <f t="shared" si="236"/>
        <v>✔</v>
      </c>
      <c r="BD219" s="336" t="str">
        <f t="shared" si="25"/>
        <v>Maluha: 'xoxoxxo' + 'xoxoxx'</v>
      </c>
      <c r="BE219" s="337">
        <f>IFERROR(__xludf.DUMMYFUNCTION("COUNTUNIQUE(FILTER(AT:AT,REGEXMATCH(AT:AT,AS219)))-1"),6.0)</f>
        <v>6</v>
      </c>
      <c r="BF219" s="261" t="str">
        <f>IFERROR(__xludf.DUMMYFUNCTION("IF(BI219=0,""(n/a)"",IF(BJ219=2,""(PAIR)"",IF(REGEXMATCH(AT219,""xoxoxxoxoxox""),""Bilawal"",IF(REGEXMATCH(AT219,""xoxoxooxoxoo""),""Bhupali"",IF(REGEXMATCH(AT219,""xoxoxxoxxoxo""),""Charukeshi"",IF(REGEXMATCH(AT219,""xoxoooxxoxxo""),""Kameshwari"",IF(REG"&amp;"EXMATCH(AT219,""xoxoxooxoxox""),""Shankara"",IF(REGEXMATCH(AT219,""xxooxoxxxoox""),""Basant"",IF(REGEXMATCH(AT219,""xoxoxxxxoxox""),""Bihag"",IF(REGEXMATCH(AT219,""xoxxxxoxoxxx""),""Pilu"",IF(REGEXMATCH(AT219,""xoxxoxoxxoox""),""Kirwani"",IF(REGEXMATCH(AT"&amp;"219,""xoxxoxoxoxxx""),""Mk.Malhar"",IF(REGEXMATCH(AT219,""xxooxxoxxoox""),""Bhairav"",IF(REGEXMATCH(AT219,""xxoxooxxxoox""),""Todi"",IF(REGEXMATCH(AT219,""xxooxoxooxox""),""Marwa"",IF(REGEXMATCH(AT219,""xxoooxoxxooo""),""Gunkali"",IF(REGEXMATCH(AT219,""xo"&amp;"xoxxoxxoox""),""Nat Bhairav"",IF(REGEXMATCH(AT219,""xoxxoooxoxoo""),""Shivranjani"",IF(REGEXMATCH(AT219,""xooxxxoxooxo""),""Jog"",IF(REGEXMATCH(AT219,""xxooxoxoxoox""),""Hemshri"",IF(REGEXMATCH(AT219,""xoooxooxoxxo""),""Kalavati"",IF(REGEXMATCH(AT219,""xx"&amp;"oxoxxoxoox""),""Kedar"",IF(REGEXMATCH(AT219,""xoxxxxoxooxx""),""Gara"",IF(REGEXMATCH(AT219,""xooxoxooxoox""),""Chandrakauns"",IF(REGEXMATCH(AT219,""xoxxxxoxxxox""),""Mand"",IF(REGEXMATCH(AT219,""xoxxxxoxoxox""),""Hanskinkini"",IF(REGEXMATCH(AT219,""xxooxx"&amp;"oxooxo""),""Lilavati"",IF(REGEXMATCH(AT219,""xooxoxoooxox""),""Rajeshwari"",IF(REGEXMATCH(AT219,""xoooxxoxoxxx""),""Khokar"",IF(REGEXMATCH(AT219,""xxooxoxxxxox""),""Maligoura"",""-""))))))))))))))))))))))))))))))"),"Bilawal")</f>
        <v>Bilawal</v>
      </c>
      <c r="BG219" s="239" t="str">
        <f t="shared" si="26"/>
        <v>#REF!</v>
      </c>
      <c r="BH219" s="239">
        <f>IFERROR(__xludf.DUMMYFUNCTION("COUNTUNIQUE(FE219:FO219)-1"),6.0)</f>
        <v>6</v>
      </c>
      <c r="BI219" s="239">
        <f>IFERROR(__xludf.DUMMYFUNCTION("COUNTUNIQUE(FILTER(AT:AT,REGEXMATCH(AT:AT,AS219)))-1"),6.0)</f>
        <v>6</v>
      </c>
      <c r="BJ219" s="239">
        <f>IFERROR(__xludf.DUMMYFUNCTION("COUNTA(FILTER(AT:AT,REGEXMATCH(AT:AT,AS219)))"),48.0)</f>
        <v>48</v>
      </c>
      <c r="BK219" s="341">
        <f>IFERROR(__xludf.DUMMYFUNCTION("COUNTA(FILTER(AT:AT,REGEXMATCH(AT:AT,AS219)))-AR219"),48.0)</f>
        <v>48</v>
      </c>
      <c r="BL219" s="276" t="str">
        <f>IFERROR(__xludf.DUMMYFUNCTION("IF(AS219=""oooooooooooo"",""-"",IF(REGEXMATCH(AT219,""xx""), ""Hemi."", ""Anhemi.""))"),"Hemi.")</f>
        <v>Hemi.</v>
      </c>
      <c r="BM219" s="282" t="str">
        <f>IFERROR(__xludf.DUMMYFUNCTION("IF(AS219=""oooooooooooo"",""-"",IF(REGEXMATCH(AT219,""xxx""), ""Cohem."", ""-""))"),"-")</f>
        <v>-</v>
      </c>
      <c r="BN219" s="282" t="str">
        <f>IFERROR(__xludf.DUMMYFUNCTION("IF(AS219=""oooooooooooo"",""-"",IF(REGEXMATCH(AT219,""xxxx""), ""Co-Co."", ""-""))"),"-")</f>
        <v>-</v>
      </c>
      <c r="BO219" s="342" t="str">
        <f>IFERROR(__xludf.DUMMYFUNCTION("IF(AS219=""oooooooooooo"",""-"",IF(REGEXMATCH(AT219,""xxxxx""), ""CCC."", ""-""))"),"-")</f>
        <v>-</v>
      </c>
      <c r="BP219" s="344" t="str">
        <f t="shared" si="27"/>
        <v>Bilawal</v>
      </c>
      <c r="BQ219" s="282" t="str">
        <f>IFERROR(__xludf.DUMMYFUNCTION("IF(REGEXMATCH(JOIN(""-"",EU219:FD219),""TRUE""),""✔"",""-"")"),"✔")</f>
        <v>✔</v>
      </c>
      <c r="BR219" s="225">
        <f t="shared" si="28"/>
        <v>1</v>
      </c>
      <c r="BS219" s="345" t="str">
        <f>IFERROR(__xludf.DUMMYFUNCTION("SUBSTITUTE(SUBSTITUTE(SUBSTITUTE(SUBSTITUTE(CONCATENATE(JOIN(""-"",GC219:GO219)),""--"",""-""),""--"",""-""),""--"",""-""),""--"",""-"")"),"1-2-3-4-5-6-7-8")</f>
        <v>1-2-3-4-5-6-7-8</v>
      </c>
      <c r="BT219" s="299" t="str">
        <f>IFERROR(__xludf.DUMMYFUNCTION("SUBSTITUTE(SUBSTITUTE(SUBSTITUTE(SUBSTITUTE(CONCATENATE(JOIN(""-"",GP219:HB219)),""--"",""-""),""--"",""-""),""--"",""-""),""--"",""-"")"),"S-R2-G3-M1-P-D2-N3-S")</f>
        <v>S-R2-G3-M1-P-D2-N3-S</v>
      </c>
      <c r="BU219" s="348" t="str">
        <f t="shared" si="29"/>
        <v>C-D-E-F-G-A-B-C</v>
      </c>
      <c r="BV219" s="349" t="str">
        <f t="shared" si="30"/>
        <v>SrgMdnS</v>
      </c>
      <c r="BW219" s="350">
        <f t="shared" si="31"/>
        <v>1</v>
      </c>
      <c r="BX219" s="351">
        <f t="shared" si="32"/>
        <v>17</v>
      </c>
      <c r="BY219" s="392"/>
      <c r="BZ219" s="309" t="str">
        <f>IFERROR(__xludf.DUMMYFUNCTION("IF(REGEXMATCH(C219, ""S""), ""x"",""x"")"),"x")</f>
        <v>x</v>
      </c>
      <c r="CA219" s="245" t="str">
        <f>IFERROR(__xludf.DUMMYFUNCTION("IF(REGEXMATCH(C219, ""r""), ""o"",""x"")"),"x")</f>
        <v>x</v>
      </c>
      <c r="CB219" s="246" t="str">
        <f>IFERROR(__xludf.DUMMYFUNCTION("IF(REGEXMATCH(C219, ""R""), ""o"",""x"")"),"o")</f>
        <v>o</v>
      </c>
      <c r="CC219" s="246" t="str">
        <f>IFERROR(__xludf.DUMMYFUNCTION("IF(REGEXMATCH(C219, ""g""), ""o"",""x"")"),"x")</f>
        <v>x</v>
      </c>
      <c r="CD219" s="245" t="str">
        <f>IFERROR(__xludf.DUMMYFUNCTION("IF(REGEXMATCH(C219, ""G""), ""o"",""x"")"),"o")</f>
        <v>o</v>
      </c>
      <c r="CE219" s="245" t="str">
        <f>IFERROR(__xludf.DUMMYFUNCTION("IF(REGEXMATCH(C219, ""m""), ""o"",""x"")"),"o")</f>
        <v>o</v>
      </c>
      <c r="CF219" s="246" t="str">
        <f>IFERROR(__xludf.DUMMYFUNCTION("IF(REGEXMATCH(C219, ""M""), ""o"",""x"")"),"x")</f>
        <v>x</v>
      </c>
      <c r="CG219" s="245" t="str">
        <f>IFERROR(__xludf.DUMMYFUNCTION("IF(REGEXMATCH(C219, ""P""), ""o"",""x"")"),"o")</f>
        <v>o</v>
      </c>
      <c r="CH219" s="246" t="str">
        <f>IFERROR(__xludf.DUMMYFUNCTION("IF(REGEXMATCH(C219, ""d""), ""o"",""x"")"),"x")</f>
        <v>x</v>
      </c>
      <c r="CI219" s="245" t="str">
        <f>IFERROR(__xludf.DUMMYFUNCTION("IF(REGEXMATCH(C219, ""D""), ""o"",""x"")"),"o")</f>
        <v>o</v>
      </c>
      <c r="CJ219" s="245" t="str">
        <f>IFERROR(__xludf.DUMMYFUNCTION("IF(REGEXMATCH(C219, ""n""), ""o"",""x"")"),"x")</f>
        <v>x</v>
      </c>
      <c r="CK219" s="245" t="str">
        <f>IFERROR(__xludf.DUMMYFUNCTION("IF(REGEXMATCH(C219, ""N""), ""o"",""x"")"),"o")</f>
        <v>o</v>
      </c>
      <c r="CL219" s="356" t="str">
        <f>IFERROR(__xludf.DUMMYFUNCTION("IF(REGEXMATCH(C219, ""S""), ""x"",""x"")"),"x")</f>
        <v>x</v>
      </c>
      <c r="CM219" s="357" t="str">
        <f t="shared" si="33"/>
        <v>xxoxooxoxoxo</v>
      </c>
      <c r="CN219" s="358">
        <f t="shared" si="34"/>
        <v>1</v>
      </c>
      <c r="CO219" s="246" t="str">
        <f>IFERROR(__xludf.DUMMYFUNCTION("IF(REGEXMATCH($C219, ""S""), ""S"",""S"")"),"S")</f>
        <v>S</v>
      </c>
      <c r="CP219" s="246" t="str">
        <f>IFERROR(__xludf.DUMMYFUNCTION("IF(REGEXMATCH($C219, ""r""), """",""r"")"),"r")</f>
        <v>r</v>
      </c>
      <c r="CQ219" s="246" t="str">
        <f>IFERROR(__xludf.DUMMYFUNCTION("IF(REGEXMATCH($C219, ""R""), """",""R"")"),"")</f>
        <v/>
      </c>
      <c r="CR219" s="246" t="str">
        <f>IFERROR(__xludf.DUMMYFUNCTION("IF(REGEXMATCH($C219, ""g""), """",""g"")"),"g")</f>
        <v>g</v>
      </c>
      <c r="CS219" s="246" t="str">
        <f>IFERROR(__xludf.DUMMYFUNCTION("IF(REGEXMATCH($C219, ""G""), """",""G"")"),"")</f>
        <v/>
      </c>
      <c r="CT219" s="246" t="str">
        <f>IFERROR(__xludf.DUMMYFUNCTION("IF(REGEXMATCH($C219, ""m""), """",""m"")"),"")</f>
        <v/>
      </c>
      <c r="CU219" s="246" t="str">
        <f>IFERROR(__xludf.DUMMYFUNCTION("IF(REGEXMATCH($C219, ""M""), """",""M"")"),"M")</f>
        <v>M</v>
      </c>
      <c r="CV219" s="246" t="str">
        <f>IFERROR(__xludf.DUMMYFUNCTION("IF(REGEXMATCH($C219, ""P""), """",""P"")"),"")</f>
        <v/>
      </c>
      <c r="CW219" s="246" t="str">
        <f>IFERROR(__xludf.DUMMYFUNCTION("IF(REGEXMATCH($C219, ""d""), """",""d"")"),"d")</f>
        <v>d</v>
      </c>
      <c r="CX219" s="246" t="str">
        <f>IFERROR(__xludf.DUMMYFUNCTION("IF(REGEXMATCH($C219, ""D""), """",""D"")"),"")</f>
        <v/>
      </c>
      <c r="CY219" s="246" t="str">
        <f>IFERROR(__xludf.DUMMYFUNCTION("IF(REGEXMATCH($C219, ""n""), """",""n"")"),"n")</f>
        <v>n</v>
      </c>
      <c r="CZ219" s="246" t="str">
        <f>IFERROR(__xludf.DUMMYFUNCTION("IF(REGEXMATCH($C219, ""N""), """",""N"")"),"")</f>
        <v/>
      </c>
      <c r="DA219" s="246" t="str">
        <f>IFERROR(__xludf.DUMMYFUNCTION("IF(REGEXMATCH($C219, ""S""), ""S"",""S"")"),"S")</f>
        <v>S</v>
      </c>
      <c r="DB219" s="362" t="str">
        <f>IFERROR(__xludf.DUMMYFUNCTION("JOIN("""",CO219:DA219,"""","""")"),"SrgMdnS")</f>
        <v>SrgMdnS</v>
      </c>
      <c r="DC219" s="363"/>
      <c r="DD219" s="301" t="str">
        <f t="shared" si="35"/>
        <v>#REF!</v>
      </c>
      <c r="DE219" s="302" t="str">
        <f t="shared" si="36"/>
        <v>#REF!</v>
      </c>
      <c r="DF219" s="301" t="str">
        <f t="shared" ref="DF219:DG219" si="654">SUBSTITUTE(S219,"-","")</f>
        <v>SRGM</v>
      </c>
      <c r="DG219" s="301" t="str">
        <f t="shared" si="654"/>
        <v>PDNS</v>
      </c>
      <c r="DH219" s="302" t="str">
        <f t="shared" si="38"/>
        <v>Bilawal</v>
      </c>
      <c r="DI219" s="301" t="str">
        <f t="shared" si="39"/>
        <v>Hemi.</v>
      </c>
      <c r="DJ219" s="364" t="str">
        <f t="shared" si="40"/>
        <v>-</v>
      </c>
      <c r="DK219" s="306" t="str">
        <f t="shared" si="41"/>
        <v>Bilawal</v>
      </c>
      <c r="DL219" s="366" t="str">
        <f t="shared" si="42"/>
        <v>-</v>
      </c>
      <c r="DM219" s="308" t="str">
        <f t="shared" si="43"/>
        <v>-</v>
      </c>
      <c r="DN219" s="306" t="str">
        <f t="shared" si="44"/>
        <v>✔</v>
      </c>
      <c r="DO219" s="306" t="str">
        <f t="shared" si="45"/>
        <v>-</v>
      </c>
      <c r="DP219" s="367" t="str">
        <f t="shared" si="46"/>
        <v>-</v>
      </c>
      <c r="DQ219" s="310" t="str">
        <f t="shared" si="47"/>
        <v>-</v>
      </c>
      <c r="DR219" s="310" t="str">
        <f t="shared" si="48"/>
        <v>-</v>
      </c>
      <c r="DS219" s="310" t="str">
        <f t="shared" si="49"/>
        <v>-</v>
      </c>
      <c r="DT219" s="310" t="str">
        <f t="shared" si="50"/>
        <v>-</v>
      </c>
      <c r="DU219" s="370" t="str">
        <f t="shared" si="51"/>
        <v>-</v>
      </c>
      <c r="DV219" s="306" t="str">
        <f t="shared" si="52"/>
        <v>-</v>
      </c>
      <c r="DW219" s="306" t="str">
        <f t="shared" si="53"/>
        <v>-</v>
      </c>
      <c r="DX219" s="306" t="str">
        <f t="shared" si="54"/>
        <v>-</v>
      </c>
      <c r="DY219" s="306" t="str">
        <f t="shared" si="55"/>
        <v>-</v>
      </c>
      <c r="DZ219" s="306" t="str">
        <f t="shared" si="56"/>
        <v>-</v>
      </c>
      <c r="EA219" s="367" t="str">
        <f t="shared" si="57"/>
        <v>-</v>
      </c>
      <c r="EB219" s="310" t="str">
        <f>IFERROR(__xludf.DUMMYFUNCTION("IF(REGEXMATCH(AW219,AS219),""✔"",""-"")"),"✔")</f>
        <v>✔</v>
      </c>
      <c r="EC219" s="310" t="str">
        <f t="shared" si="58"/>
        <v>#REF!</v>
      </c>
      <c r="ED219" s="370" t="str">
        <f t="shared" si="59"/>
        <v>-</v>
      </c>
      <c r="EE219" s="340" t="str">
        <f t="shared" si="60"/>
        <v>S-R-G-m-P-D-N-S</v>
      </c>
      <c r="EF219" s="371" t="str">
        <f>IFERROR(__xludf.DUMMYFUNCTION("CONCATENATE(JOIN("""",HC219:HO219))"),"SrgmPdnS")</f>
        <v>SrgmPdnS</v>
      </c>
      <c r="EG219" s="372">
        <f t="shared" si="61"/>
        <v>1</v>
      </c>
      <c r="EH219" s="373" t="str">
        <f>IFERROR(__xludf.DUMMYFUNCTION("CONCATENATE(JOIN("""",JC219:JO219))"),"Ni, ")</f>
        <v>Ni, </v>
      </c>
      <c r="EI219" s="322">
        <f t="shared" si="62"/>
        <v>0</v>
      </c>
      <c r="EJ219" s="374" t="str">
        <f>IFERROR(__xludf.DUMMYFUNCTION("CONCATENATE(JOIN("""",KC219:KO219))"),"")</f>
        <v/>
      </c>
      <c r="EK219" s="325" t="str">
        <f t="shared" si="63"/>
        <v>S-R2-G3-M1-P-D2-N3-S</v>
      </c>
      <c r="EL219" s="326" t="str">
        <f t="shared" si="64"/>
        <v>1-2-3-4-5-6-7-8</v>
      </c>
      <c r="EM219" s="318" t="str">
        <f t="shared" si="65"/>
        <v>#REF!</v>
      </c>
      <c r="EN219" s="328" t="str">
        <f>IFERROR(__xludf.DUMMYFUNCTION("SUBSTITUTE(SUBSTITUTE(SUBSTITUTE(SUBSTITUTE(CONCATENATE(JOIN("" "",HP219:IB219)),""  "","" ""),""  "","" ""),""  "","" ""),""  "","" "")"),"o • o • o o • o • o • o o")</f>
        <v>o • o • o o • o • o • o o</v>
      </c>
      <c r="EO219" s="368" t="str">
        <f t="shared" si="66"/>
        <v>-</v>
      </c>
      <c r="EP219" s="339" t="str">
        <f t="shared" si="67"/>
        <v>-</v>
      </c>
      <c r="EQ219" s="339" t="str">
        <f t="shared" si="68"/>
        <v>Sa-Pa</v>
      </c>
      <c r="ER219" s="339" t="str">
        <f t="shared" si="69"/>
        <v>-</v>
      </c>
      <c r="ES219" s="340" t="str">
        <f t="shared" si="70"/>
        <v>-</v>
      </c>
      <c r="ET219" s="363"/>
      <c r="EU219" s="376" t="b">
        <f>IFERROR(__xludf.DUMMYFUNCTION("arrayformula(sum(--REGEXMATCH(""SRGMPDNS"",split(REGEXREPLACE(C219,""(.)"",""$1~""),""~""))))=len(C219)
"),FALSE)</f>
        <v>0</v>
      </c>
      <c r="EV219" s="290" t="b">
        <f>IFERROR(__xludf.DUMMYFUNCTION("arrayformula(sum(--REGEXMATCH(""SRGmPDNS"",split(REGEXREPLACE(C219,""(.)"",""$1~""),""~""))))=len(C219)"),TRUE)</f>
        <v>1</v>
      </c>
      <c r="EW219" s="290" t="b">
        <f>IFERROR(__xludf.DUMMYFUNCTION("arrayformula(sum(--REGEXMATCH(""SRGmPDnS"",split(REGEXREPLACE(C219,""(.)"",""$1~""),""~""))))=len(C219)"),FALSE)</f>
        <v>0</v>
      </c>
      <c r="EX219" s="290" t="b">
        <f>IFERROR(__xludf.DUMMYFUNCTION("arrayformula(sum(--REGEXMATCH(""SRgmPDnS"",split(REGEXREPLACE(C219,""(.)"",""$1~""),""~""))))=len(C219)"),FALSE)</f>
        <v>0</v>
      </c>
      <c r="EY219" s="290" t="b">
        <f>IFERROR(__xludf.DUMMYFUNCTION("arrayformula(sum(--REGEXMATCH(""SRgmPdnS"",split(REGEXREPLACE(C219,""(.)"",""$1~""),""~""))))=len(C219)"),FALSE)</f>
        <v>0</v>
      </c>
      <c r="EZ219" s="290" t="b">
        <f>IFERROR(__xludf.DUMMYFUNCTION("arrayformula(sum(--REGEXMATCH(""SrgmPdnS"",split(REGEXREPLACE(C219,""(.)"",""$1~""),""~""))))=len(C219)"),FALSE)</f>
        <v>0</v>
      </c>
      <c r="FA219" s="290" t="b">
        <f>IFERROR(__xludf.DUMMYFUNCTION("arrayformula(sum(--REGEXMATCH(""SrGmPdNS"",split(REGEXREPLACE(C219,""(.)"",""$1~""),""~""))))=len(C219)"),FALSE)</f>
        <v>0</v>
      </c>
      <c r="FB219" s="290" t="b">
        <f>IFERROR(__xludf.DUMMYFUNCTION("arrayformula(sum(--REGEXMATCH(""SrGMPDNS"",split(REGEXREPLACE(C219,""(.)"",""$1~""),""~""))))=len(C219)"),FALSE)</f>
        <v>0</v>
      </c>
      <c r="FC219" s="290" t="b">
        <f>IFERROR(__xludf.DUMMYFUNCTION("arrayformula(sum(--REGEXMATCH(""SrGMPdNS"",split(REGEXREPLACE(C219,""(.)"",""$1~""),""~""))))=len(C219)"),FALSE)</f>
        <v>0</v>
      </c>
      <c r="FD219" s="377" t="b">
        <f>IFERROR(__xludf.DUMMYFUNCTION("arrayformula(sum(--REGEXMATCH(""SrgMPdNS"",split(REGEXREPLACE(C219,""(.)"",""$1~""),""~""))))=len(C219)"),FALSE)</f>
        <v>0</v>
      </c>
      <c r="FE219" s="269" t="str">
        <f t="shared" si="71"/>
        <v>-</v>
      </c>
      <c r="FF219" s="269" t="str">
        <f t="shared" si="72"/>
        <v>xoxxoxoxoxx</v>
      </c>
      <c r="FG219" s="271" t="str">
        <f t="shared" si="73"/>
        <v>-</v>
      </c>
      <c r="FH219" s="269" t="str">
        <f t="shared" si="74"/>
        <v>xxoxoxoxxox</v>
      </c>
      <c r="FI219" s="271" t="str">
        <f t="shared" si="75"/>
        <v>xoxoxoxxoxo</v>
      </c>
      <c r="FJ219" s="271" t="str">
        <f t="shared" si="76"/>
        <v>-</v>
      </c>
      <c r="FK219" s="271" t="str">
        <f t="shared" si="77"/>
        <v>xoxoxxoxoxx</v>
      </c>
      <c r="FL219" s="271" t="str">
        <f t="shared" si="78"/>
        <v>-</v>
      </c>
      <c r="FM219" s="271" t="str">
        <f t="shared" si="79"/>
        <v>xoxxoxoxxox</v>
      </c>
      <c r="FN219" s="271" t="str">
        <f t="shared" si="80"/>
        <v>-</v>
      </c>
      <c r="FO219" s="274" t="str">
        <f t="shared" si="81"/>
        <v>xxoxoxxoxox</v>
      </c>
      <c r="FP219" s="234" t="str">
        <f t="shared" si="82"/>
        <v>|</v>
      </c>
      <c r="FQ219" s="236" t="str">
        <f t="shared" si="83"/>
        <v>-</v>
      </c>
      <c r="FR219" s="237" t="str">
        <f t="shared" si="84"/>
        <v>|</v>
      </c>
      <c r="FS219" s="236" t="str">
        <f t="shared" si="85"/>
        <v>-</v>
      </c>
      <c r="FT219" s="237" t="str">
        <f t="shared" si="86"/>
        <v>|</v>
      </c>
      <c r="FU219" s="236" t="str">
        <f t="shared" si="87"/>
        <v>|</v>
      </c>
      <c r="FV219" s="237" t="str">
        <f t="shared" si="88"/>
        <v>-</v>
      </c>
      <c r="FW219" s="236" t="str">
        <f t="shared" si="89"/>
        <v>|</v>
      </c>
      <c r="FX219" s="237" t="str">
        <f t="shared" si="90"/>
        <v>-</v>
      </c>
      <c r="FY219" s="236" t="str">
        <f t="shared" si="91"/>
        <v>|</v>
      </c>
      <c r="FZ219" s="237" t="str">
        <f t="shared" si="92"/>
        <v>-</v>
      </c>
      <c r="GA219" s="236" t="str">
        <f t="shared" si="93"/>
        <v>|</v>
      </c>
      <c r="GB219" s="238" t="str">
        <f t="shared" si="94"/>
        <v>|</v>
      </c>
      <c r="GC219" s="244" t="str">
        <f>IFERROR(__xludf.DUMMYFUNCTION("IF(REGEXMATCH(C219, ""S""), ""1"","""")"),"1")</f>
        <v>1</v>
      </c>
      <c r="GD219" s="245" t="str">
        <f>IFERROR(__xludf.DUMMYFUNCTION("IF(REGEXMATCH(C219, ""r""), ""b2"","""")"),"")</f>
        <v/>
      </c>
      <c r="GE219" s="246" t="str">
        <f>IFERROR(__xludf.DUMMYFUNCTION("IF(REGEXMATCH(C219, ""R""), ""2"","""")"),"2")</f>
        <v>2</v>
      </c>
      <c r="GF219" s="246" t="str">
        <f>IFERROR(__xludf.DUMMYFUNCTION("IF(REGEXMATCH(C219, ""g""), ""b3"","""")"),"")</f>
        <v/>
      </c>
      <c r="GG219" s="245" t="str">
        <f>IFERROR(__xludf.DUMMYFUNCTION("IF(REGEXMATCH(C219, ""G""), ""3"","""")"),"3")</f>
        <v>3</v>
      </c>
      <c r="GH219" s="245" t="str">
        <f>IFERROR(__xludf.DUMMYFUNCTION("IF(REGEXMATCH(C219, ""m""), ""4"","""")"),"4")</f>
        <v>4</v>
      </c>
      <c r="GI219" s="246" t="str">
        <f>IFERROR(__xludf.DUMMYFUNCTION("IF(REGEXMATCH(C219, ""M""), ""#4"","""")"),"")</f>
        <v/>
      </c>
      <c r="GJ219" s="245" t="str">
        <f>IFERROR(__xludf.DUMMYFUNCTION("IF(REGEXMATCH(C219, ""P""), ""5"","""")"),"5")</f>
        <v>5</v>
      </c>
      <c r="GK219" s="246" t="str">
        <f>IFERROR(__xludf.DUMMYFUNCTION("IF(REGEXMATCH(C219, ""d""), ""b6"","""")"),"")</f>
        <v/>
      </c>
      <c r="GL219" s="245" t="str">
        <f>IFERROR(__xludf.DUMMYFUNCTION("IF(REGEXMATCH(C219, ""D""), ""6"","""")"),"6")</f>
        <v>6</v>
      </c>
      <c r="GM219" s="245" t="str">
        <f>IFERROR(__xludf.DUMMYFUNCTION("IF(REGEXMATCH(C219, ""n""), ""b7"","""")"),"")</f>
        <v/>
      </c>
      <c r="GN219" s="246" t="str">
        <f>IFERROR(__xludf.DUMMYFUNCTION("IF(REGEXMATCH(C219, ""N""), ""7"","""")"),"7")</f>
        <v>7</v>
      </c>
      <c r="GO219" s="249" t="str">
        <f>IFERROR(__xludf.DUMMYFUNCTION("IF(REGEXMATCH(C219, ""S""), ""8"","""")"),"8")</f>
        <v>8</v>
      </c>
      <c r="GP219" s="244" t="str">
        <f>IFERROR(__xludf.DUMMYFUNCTION("IF(REGEXMATCH(C219, ""S""), ""S"","""")"),"S")</f>
        <v>S</v>
      </c>
      <c r="GQ219" s="294" t="str">
        <f>IFERROR(__xludf.DUMMYFUNCTION("IF(REGEXMATCH(C219, ""r""), ""R1"","""")"),"")</f>
        <v/>
      </c>
      <c r="GR219" s="295" t="str">
        <f>IFERROR(__xludf.DUMMYFUNCTION("IF(REGEXMATCH(C219, ""R""), ""R2"","""")"),"R2")</f>
        <v>R2</v>
      </c>
      <c r="GS219" s="295" t="str">
        <f>IFERROR(__xludf.DUMMYFUNCTION("IF(REGEXMATCH(C219, ""g""), ""G2"","""")"),"")</f>
        <v/>
      </c>
      <c r="GT219" s="294" t="str">
        <f>IFERROR(__xludf.DUMMYFUNCTION("IF(REGEXMATCH(C219, ""G""), ""G3"","""")"),"G3")</f>
        <v>G3</v>
      </c>
      <c r="GU219" s="294" t="str">
        <f>IFERROR(__xludf.DUMMYFUNCTION("IF(REGEXMATCH(C219, ""m""), ""M1"","""")"),"M1")</f>
        <v>M1</v>
      </c>
      <c r="GV219" s="295" t="str">
        <f>IFERROR(__xludf.DUMMYFUNCTION("IF(REGEXMATCH(C219, ""M""), ""M2"","""")"),"")</f>
        <v/>
      </c>
      <c r="GW219" s="294" t="str">
        <f>IFERROR(__xludf.DUMMYFUNCTION("IF(REGEXMATCH(C219, ""P""), ""P"","""")"),"P")</f>
        <v>P</v>
      </c>
      <c r="GX219" s="295" t="str">
        <f>IFERROR(__xludf.DUMMYFUNCTION("IF(REGEXMATCH(C219, ""d""), ""D1"","""")"),"")</f>
        <v/>
      </c>
      <c r="GY219" s="294" t="str">
        <f>IFERROR(__xludf.DUMMYFUNCTION("IF(REGEXMATCH(C219, ""D""), ""D2"","""")"),"D2")</f>
        <v>D2</v>
      </c>
      <c r="GZ219" s="294" t="str">
        <f>IFERROR(__xludf.DUMMYFUNCTION("IF(REGEXMATCH(C219, ""n""), ""N2"","""")"),"")</f>
        <v/>
      </c>
      <c r="HA219" s="295" t="str">
        <f>IFERROR(__xludf.DUMMYFUNCTION("IF(REGEXMATCH(C219, ""N""), ""N3"","""")"),"N3")</f>
        <v>N3</v>
      </c>
      <c r="HB219" s="249" t="str">
        <f>IFERROR(__xludf.DUMMYFUNCTION("IF(REGEXMATCH(C219, ""S""), ""S"","""")"),"S")</f>
        <v>S</v>
      </c>
      <c r="HC219" s="331" t="str">
        <f t="shared" si="95"/>
        <v>S</v>
      </c>
      <c r="HD219" s="332" t="str">
        <f t="shared" si="96"/>
        <v>r</v>
      </c>
      <c r="HE219" s="332" t="str">
        <f t="shared" si="97"/>
        <v/>
      </c>
      <c r="HF219" s="332" t="str">
        <f t="shared" si="98"/>
        <v>g</v>
      </c>
      <c r="HG219" s="332" t="str">
        <f t="shared" si="99"/>
        <v/>
      </c>
      <c r="HH219" s="332" t="str">
        <f t="shared" si="100"/>
        <v>m</v>
      </c>
      <c r="HI219" s="332" t="str">
        <f t="shared" si="101"/>
        <v/>
      </c>
      <c r="HJ219" s="332" t="str">
        <f t="shared" si="102"/>
        <v>P</v>
      </c>
      <c r="HK219" s="332" t="str">
        <f t="shared" si="103"/>
        <v>d</v>
      </c>
      <c r="HL219" s="332" t="str">
        <f t="shared" si="104"/>
        <v/>
      </c>
      <c r="HM219" s="332" t="str">
        <f t="shared" si="105"/>
        <v>n</v>
      </c>
      <c r="HN219" s="332" t="str">
        <f t="shared" si="106"/>
        <v/>
      </c>
      <c r="HO219" s="343" t="str">
        <f t="shared" si="107"/>
        <v>S</v>
      </c>
      <c r="HP219" s="331" t="str">
        <f t="shared" si="108"/>
        <v>o</v>
      </c>
      <c r="HQ219" s="332" t="str">
        <f t="shared" si="109"/>
        <v>•</v>
      </c>
      <c r="HR219" s="332" t="str">
        <f t="shared" si="110"/>
        <v>o</v>
      </c>
      <c r="HS219" s="332" t="str">
        <f t="shared" si="111"/>
        <v>•</v>
      </c>
      <c r="HT219" s="332" t="str">
        <f t="shared" si="112"/>
        <v>o</v>
      </c>
      <c r="HU219" s="332" t="str">
        <f t="shared" si="113"/>
        <v>o</v>
      </c>
      <c r="HV219" s="332" t="str">
        <f t="shared" si="114"/>
        <v>•</v>
      </c>
      <c r="HW219" s="332" t="str">
        <f t="shared" si="115"/>
        <v>o</v>
      </c>
      <c r="HX219" s="332" t="str">
        <f t="shared" si="116"/>
        <v>•</v>
      </c>
      <c r="HY219" s="332" t="str">
        <f t="shared" si="117"/>
        <v>o</v>
      </c>
      <c r="HZ219" s="332" t="str">
        <f t="shared" si="118"/>
        <v>•</v>
      </c>
      <c r="IA219" s="332" t="str">
        <f t="shared" si="119"/>
        <v>o</v>
      </c>
      <c r="IB219" s="338" t="str">
        <f t="shared" si="120"/>
        <v>o</v>
      </c>
      <c r="IC219" s="331" t="str">
        <f t="shared" si="121"/>
        <v>•</v>
      </c>
      <c r="ID219" s="332" t="str">
        <f t="shared" si="122"/>
        <v>o</v>
      </c>
      <c r="IE219" s="332" t="str">
        <f t="shared" si="123"/>
        <v>•</v>
      </c>
      <c r="IF219" s="332" t="str">
        <f t="shared" si="124"/>
        <v>o</v>
      </c>
      <c r="IG219" s="332" t="str">
        <f t="shared" si="125"/>
        <v>•</v>
      </c>
      <c r="IH219" s="332" t="str">
        <f t="shared" si="126"/>
        <v>•</v>
      </c>
      <c r="II219" s="332" t="str">
        <f t="shared" si="127"/>
        <v>o</v>
      </c>
      <c r="IJ219" s="332" t="str">
        <f t="shared" si="128"/>
        <v>•</v>
      </c>
      <c r="IK219" s="332" t="str">
        <f t="shared" si="129"/>
        <v>o</v>
      </c>
      <c r="IL219" s="332" t="str">
        <f t="shared" si="130"/>
        <v>•</v>
      </c>
      <c r="IM219" s="332" t="str">
        <f t="shared" si="131"/>
        <v>o</v>
      </c>
      <c r="IN219" s="332" t="str">
        <f t="shared" si="132"/>
        <v>•</v>
      </c>
      <c r="IO219" s="338" t="str">
        <f t="shared" si="133"/>
        <v>•</v>
      </c>
      <c r="IP219" s="346" t="b">
        <f t="shared" si="134"/>
        <v>0</v>
      </c>
      <c r="IQ219" s="347" t="b">
        <f t="shared" si="135"/>
        <v>0</v>
      </c>
      <c r="IR219" s="347" t="b">
        <f t="shared" si="136"/>
        <v>0</v>
      </c>
      <c r="IS219" s="347" t="b">
        <f t="shared" si="137"/>
        <v>0</v>
      </c>
      <c r="IT219" s="347" t="b">
        <f t="shared" si="138"/>
        <v>0</v>
      </c>
      <c r="IU219" s="347" t="b">
        <f t="shared" si="139"/>
        <v>0</v>
      </c>
      <c r="IV219" s="347" t="b">
        <f t="shared" si="140"/>
        <v>0</v>
      </c>
      <c r="IW219" s="347" t="b">
        <f t="shared" si="141"/>
        <v>0</v>
      </c>
      <c r="IX219" s="347" t="b">
        <f t="shared" si="142"/>
        <v>0</v>
      </c>
      <c r="IY219" s="347" t="b">
        <f t="shared" si="143"/>
        <v>0</v>
      </c>
      <c r="IZ219" s="347" t="b">
        <f t="shared" si="144"/>
        <v>0</v>
      </c>
      <c r="JA219" s="347" t="b">
        <f t="shared" si="145"/>
        <v>1</v>
      </c>
      <c r="JB219" s="353" t="b">
        <f t="shared" si="146"/>
        <v>0</v>
      </c>
      <c r="JC219" s="354" t="str">
        <f t="shared" si="147"/>
        <v/>
      </c>
      <c r="JD219" s="355" t="str">
        <f t="shared" si="148"/>
        <v/>
      </c>
      <c r="JE219" s="355" t="str">
        <f t="shared" si="149"/>
        <v/>
      </c>
      <c r="JF219" s="355" t="str">
        <f t="shared" si="150"/>
        <v/>
      </c>
      <c r="JG219" s="355" t="str">
        <f t="shared" si="151"/>
        <v/>
      </c>
      <c r="JH219" s="355" t="str">
        <f t="shared" si="152"/>
        <v/>
      </c>
      <c r="JI219" s="355" t="str">
        <f t="shared" si="153"/>
        <v/>
      </c>
      <c r="JJ219" s="355" t="str">
        <f t="shared" si="154"/>
        <v/>
      </c>
      <c r="JK219" s="355" t="str">
        <f t="shared" si="155"/>
        <v/>
      </c>
      <c r="JL219" s="355" t="str">
        <f t="shared" si="156"/>
        <v/>
      </c>
      <c r="JM219" s="355" t="str">
        <f t="shared" si="157"/>
        <v/>
      </c>
      <c r="JN219" s="355" t="str">
        <f t="shared" si="158"/>
        <v>Ni, </v>
      </c>
      <c r="JO219" s="359" t="str">
        <f t="shared" si="159"/>
        <v/>
      </c>
      <c r="JP219" s="346" t="b">
        <f t="shared" si="160"/>
        <v>0</v>
      </c>
      <c r="JQ219" s="347" t="b">
        <f t="shared" si="161"/>
        <v>0</v>
      </c>
      <c r="JR219" s="347" t="b">
        <f t="shared" si="162"/>
        <v>0</v>
      </c>
      <c r="JS219" s="347" t="b">
        <f t="shared" si="163"/>
        <v>0</v>
      </c>
      <c r="JT219" s="347" t="b">
        <f t="shared" si="164"/>
        <v>0</v>
      </c>
      <c r="JU219" s="347" t="b">
        <f t="shared" si="165"/>
        <v>0</v>
      </c>
      <c r="JV219" s="347" t="b">
        <f t="shared" si="166"/>
        <v>0</v>
      </c>
      <c r="JW219" s="347" t="b">
        <f t="shared" si="167"/>
        <v>0</v>
      </c>
      <c r="JX219" s="347" t="b">
        <f t="shared" si="168"/>
        <v>0</v>
      </c>
      <c r="JY219" s="347" t="b">
        <f t="shared" si="169"/>
        <v>0</v>
      </c>
      <c r="JZ219" s="347" t="b">
        <f t="shared" si="170"/>
        <v>0</v>
      </c>
      <c r="KA219" s="347" t="b">
        <f t="shared" si="171"/>
        <v>0</v>
      </c>
      <c r="KB219" s="365" t="b">
        <f t="shared" si="172"/>
        <v>0</v>
      </c>
      <c r="KC219" s="354" t="str">
        <f t="shared" si="173"/>
        <v/>
      </c>
      <c r="KD219" s="355" t="str">
        <f t="shared" si="174"/>
        <v/>
      </c>
      <c r="KE219" s="355" t="str">
        <f t="shared" si="175"/>
        <v/>
      </c>
      <c r="KF219" s="355" t="str">
        <f t="shared" si="176"/>
        <v/>
      </c>
      <c r="KG219" s="355" t="str">
        <f t="shared" si="177"/>
        <v/>
      </c>
      <c r="KH219" s="355" t="str">
        <f t="shared" si="178"/>
        <v/>
      </c>
      <c r="KI219" s="355" t="str">
        <f t="shared" si="179"/>
        <v/>
      </c>
      <c r="KJ219" s="355" t="str">
        <f t="shared" si="180"/>
        <v/>
      </c>
      <c r="KK219" s="355" t="str">
        <f t="shared" si="181"/>
        <v/>
      </c>
      <c r="KL219" s="355" t="str">
        <f t="shared" si="182"/>
        <v/>
      </c>
      <c r="KM219" s="355" t="str">
        <f t="shared" si="183"/>
        <v/>
      </c>
      <c r="KN219" s="355" t="str">
        <f t="shared" si="184"/>
        <v/>
      </c>
      <c r="KO219" s="359"/>
      <c r="KP219" s="378"/>
      <c r="KQ219" s="379" t="s">
        <v>9</v>
      </c>
      <c r="KR219" s="380" t="s">
        <v>1357</v>
      </c>
      <c r="KS219" s="381" t="s">
        <v>9</v>
      </c>
      <c r="KT219" s="382">
        <f t="shared" si="186"/>
        <v>0</v>
      </c>
      <c r="KU219" s="383">
        <f t="shared" si="187"/>
        <v>0</v>
      </c>
      <c r="KV219" s="381" t="str">
        <f t="shared" si="205"/>
        <v>S-N-D-P-m-G-R-S</v>
      </c>
      <c r="KW219" s="382">
        <f t="shared" si="189"/>
        <v>7</v>
      </c>
      <c r="KX219" s="384">
        <f t="shared" si="190"/>
        <v>7</v>
      </c>
      <c r="KY219" s="382">
        <f t="shared" ref="KY219:KZ219" si="655">KW219-KT219</f>
        <v>7</v>
      </c>
      <c r="KZ219" s="369">
        <f t="shared" si="655"/>
        <v>7</v>
      </c>
      <c r="LA219" s="385" t="str">
        <f t="shared" si="192"/>
        <v>-</v>
      </c>
      <c r="LB219" s="340" t="str">
        <f>IFERROR(__xludf.DUMMYFUNCTION("JOIN("""",ArrayFormula(MID(KS219,LEN(KS219)-SEQUENCE(1,LEN(KS219))+1,1)))"),"S")</f>
        <v>S</v>
      </c>
      <c r="LC219" s="373" t="str">
        <f>IFERROR(__xludf.DUMMYFUNCTION("JOIN("""",ArrayFormula(MID(KV219,LEN(KV219)-SEQUENCE(1,LEN(KV219))+1,1)))"),"S-R-G-m-P-D-N-S")</f>
        <v>S-R-G-m-P-D-N-S</v>
      </c>
      <c r="LD219" s="373" t="str">
        <f t="shared" si="193"/>
        <v>S</v>
      </c>
      <c r="LE219" s="339" t="str">
        <f t="shared" si="194"/>
        <v>SRGmPDNS</v>
      </c>
      <c r="LF219" s="386" t="str">
        <f>IFERROR(__xludf.DUMMYFUNCTION("SUBSTITUTE(SUBSTITUTE(CONCATENATE(JOIN("""",LH219:LT219)),""1"",""""),""2"","""")"),"SRGmPDNS")</f>
        <v>SRGmPDNS</v>
      </c>
      <c r="LG219" s="369" t="str">
        <f t="shared" si="195"/>
        <v>✔</v>
      </c>
      <c r="LH219" s="387" t="str">
        <f>IFERROR(__xludf.DUMMYFUNCTION("IF(REGEXMATCH(LD219, ""S""), ""S"",IF(REGEXMATCH(LE219, ""S""), ""S"",""""))"),"S")</f>
        <v>S</v>
      </c>
      <c r="LI219" s="299" t="str">
        <f>IFERROR(__xludf.DUMMYFUNCTION("IF(REGEXMATCH(LD219, ""r""), ""r1"",IF(REGEXMATCH(LE219, ""r""), ""r2"",""""))"),"")</f>
        <v/>
      </c>
      <c r="LJ219" s="299" t="str">
        <f>IFERROR(__xludf.DUMMYFUNCTION("IF(REGEXMATCH(LD219, ""R""), ""R1"",IF(REGEXMATCH(LE219, ""R""), ""R2"",""""))"),"R2")</f>
        <v>R2</v>
      </c>
      <c r="LK219" s="299" t="str">
        <f>IFERROR(__xludf.DUMMYFUNCTION("IF(REGEXMATCH(LD219, ""g""), ""g1"",IF(REGEXMATCH(LE219, ""g""), ""g2"",""""))"),"")</f>
        <v/>
      </c>
      <c r="LL219" s="299" t="str">
        <f>IFERROR(__xludf.DUMMYFUNCTION("IF(REGEXMATCH(LD219, ""G""), ""G1"",IF(REGEXMATCH(LE219, ""G""), ""G2"",""""))"),"G2")</f>
        <v>G2</v>
      </c>
      <c r="LM219" s="299" t="str">
        <f>IFERROR(__xludf.DUMMYFUNCTION("IF(REGEXMATCH(LD219, ""m""), ""m1"",IF(REGEXMATCH(LE219, ""m""), ""m2"",""""))"),"m2")</f>
        <v>m2</v>
      </c>
      <c r="LN219" s="299" t="str">
        <f>IFERROR(__xludf.DUMMYFUNCTION("IF(REGEXMATCH(LD219, ""M""), ""M1"",IF(REGEXMATCH(LE219, ""M""), ""M2"",""""))"),"")</f>
        <v/>
      </c>
      <c r="LO219" s="299" t="str">
        <f>IFERROR(__xludf.DUMMYFUNCTION("IF(REGEXMATCH(LD219, ""P""), ""P1"",IF(REGEXMATCH(LE219, ""P""), ""P2"",""""))"),"P2")</f>
        <v>P2</v>
      </c>
      <c r="LP219" s="299" t="str">
        <f>IFERROR(__xludf.DUMMYFUNCTION("IF(REGEXMATCH(LD219, ""d""), ""d1"",IF(REGEXMATCH(LE219, ""d""), ""d2"",""""))"),"")</f>
        <v/>
      </c>
      <c r="LQ219" s="299" t="str">
        <f>IFERROR(__xludf.DUMMYFUNCTION("IF(REGEXMATCH(LD219, ""D""), ""D1"",IF(REGEXMATCH(LE219, ""D""), ""D2"",""""))"),"D2")</f>
        <v>D2</v>
      </c>
      <c r="LR219" s="299" t="str">
        <f>IFERROR(__xludf.DUMMYFUNCTION("IF(REGEXMATCH(LD219, ""n""), ""n1"",IF(REGEXMATCH(LE219, ""n""), ""n2"",""""))"),"")</f>
        <v/>
      </c>
      <c r="LS219" s="299" t="str">
        <f>IFERROR(__xludf.DUMMYFUNCTION("IF(REGEXMATCH(LD219, ""N""), ""N1"",IF(REGEXMATCH(LE219, ""N""), ""N2"",""""))"),"N2")</f>
        <v>N2</v>
      </c>
      <c r="LT219" s="388" t="str">
        <f>IFERROR(__xludf.DUMMYFUNCTION("IF(REGEXMATCH(LD219, ""S""), ""S"",IF(REGEXMATCH(LE219, ""S""), ""S"",""""))"),"S")</f>
        <v>S</v>
      </c>
      <c r="LU219" s="389">
        <f t="shared" si="196"/>
        <v>-13</v>
      </c>
      <c r="LV219" s="378"/>
      <c r="LW219" s="369"/>
      <c r="LX219" s="369"/>
    </row>
    <row r="220" ht="18.0" customHeight="1">
      <c r="A220" s="298" t="s">
        <v>964</v>
      </c>
      <c r="B220" s="222" t="s">
        <v>965</v>
      </c>
      <c r="C220" s="233" t="str">
        <f t="shared" si="7"/>
        <v>SRgPDnS</v>
      </c>
      <c r="D220" s="234" t="str">
        <f>IFERROR(__xludf.DUMMYFUNCTION("IF(REGEXMATCH(C220, ""S""), ""S"","""")"),"S")</f>
        <v>S</v>
      </c>
      <c r="E220" s="236" t="str">
        <f>IFERROR(__xludf.DUMMYFUNCTION("IF(REGEXMATCH(C220, ""r""), ""r"","""")"),"")</f>
        <v/>
      </c>
      <c r="F220" s="237" t="str">
        <f>IFERROR(__xludf.DUMMYFUNCTION("IF(REGEXMATCH(C220, ""R""), ""R"","""")"),"R")</f>
        <v>R</v>
      </c>
      <c r="G220" s="237" t="str">
        <f>IFERROR(__xludf.DUMMYFUNCTION("IF(REGEXMATCH(C220, ""g""), ""g"","""")"),"g")</f>
        <v>g</v>
      </c>
      <c r="H220" s="236" t="str">
        <f>IFERROR(__xludf.DUMMYFUNCTION("IF(REGEXMATCH(C220, ""G""), ""G"","""")"),"")</f>
        <v/>
      </c>
      <c r="I220" s="236" t="str">
        <f>IFERROR(__xludf.DUMMYFUNCTION("IF(REGEXMATCH(C220, ""m""), ""m"","""")"),"")</f>
        <v/>
      </c>
      <c r="J220" s="237" t="str">
        <f>IFERROR(__xludf.DUMMYFUNCTION("IF(REGEXMATCH(C220, ""M""), ""M"","""")"),"")</f>
        <v/>
      </c>
      <c r="K220" s="236" t="str">
        <f>IFERROR(__xludf.DUMMYFUNCTION("IF(REGEXMATCH(C220, ""P""), ""P"","""")"),"P")</f>
        <v>P</v>
      </c>
      <c r="L220" s="237" t="str">
        <f>IFERROR(__xludf.DUMMYFUNCTION("IF(REGEXMATCH(C220, ""d""), ""d"","""")"),"")</f>
        <v/>
      </c>
      <c r="M220" s="236" t="str">
        <f>IFERROR(__xludf.DUMMYFUNCTION("IF(REGEXMATCH(C220, ""D""), ""D"","""")"),"D")</f>
        <v>D</v>
      </c>
      <c r="N220" s="236" t="str">
        <f>IFERROR(__xludf.DUMMYFUNCTION("IF(REGEXMATCH(C220, ""n""), ""n"","""")"),"n")</f>
        <v>n</v>
      </c>
      <c r="O220" s="237" t="str">
        <f>IFERROR(__xludf.DUMMYFUNCTION("IF(REGEXMATCH(C220, ""N""), ""N"","""")"),"")</f>
        <v/>
      </c>
      <c r="P220" s="238" t="str">
        <f>IFERROR(__xludf.DUMMYFUNCTION("IF(REGEXMATCH(C220, ""S""), ""S"","""")"),"S")</f>
        <v>S</v>
      </c>
      <c r="Q220" s="239" t="str">
        <f>IFERROR(__xludf.DUMMYFUNCTION("SUBSTITUTE(CONCATENATE(JOIN(""-"",D220:J220)),""-"","""")"),"SRg")</f>
        <v>SRg</v>
      </c>
      <c r="R220" s="229" t="str">
        <f>IFERROR(__xludf.DUMMYFUNCTION("SUBSTITUTE(CONCATENATE(JOIN(""-"",K220:P220)),""-"","""")"),"PDnS")</f>
        <v>PDnS</v>
      </c>
      <c r="S220" s="282" t="str">
        <f t="shared" si="8"/>
        <v>S-R-G-</v>
      </c>
      <c r="T220" s="282" t="str">
        <f t="shared" si="9"/>
        <v>P-D-N-S</v>
      </c>
      <c r="U220" s="237" t="str">
        <f>IFERROR(__xludf.DUMMYFUNCTION("SUBSTITUTE(JOIN(""-"",S220,T220),""--"",""-"")"),"S-R-G-P-D-N-S")</f>
        <v>S-R-G-P-D-N-S</v>
      </c>
      <c r="V220" s="309" t="str">
        <f t="shared" si="10"/>
        <v>RgDn</v>
      </c>
      <c r="W220" s="244" t="str">
        <f>IFERROR(__xludf.DUMMYFUNCTION("IF(REGEXMATCH(C220, ""S""), ""0"","""")"),"0")</f>
        <v>0</v>
      </c>
      <c r="X220" s="245" t="str">
        <f>IFERROR(__xludf.DUMMYFUNCTION("IF(REGEXMATCH(C220, ""r""), ""1"","""")"),"")</f>
        <v/>
      </c>
      <c r="Y220" s="246" t="str">
        <f>IFERROR(__xludf.DUMMYFUNCTION("IF(REGEXMATCH(C220, ""R""), ""2"","""")"),"2")</f>
        <v>2</v>
      </c>
      <c r="Z220" s="246" t="str">
        <f>IFERROR(__xludf.DUMMYFUNCTION("IF(REGEXMATCH(C220, ""g""), ""3"","""")"),"3")</f>
        <v>3</v>
      </c>
      <c r="AA220" s="245" t="str">
        <f>IFERROR(__xludf.DUMMYFUNCTION("IF(REGEXMATCH(C220, ""G""), ""4"","""")"),"")</f>
        <v/>
      </c>
      <c r="AB220" s="245" t="str">
        <f>IFERROR(__xludf.DUMMYFUNCTION("IF(REGEXMATCH(C220, ""m""), ""5"","""")"),"")</f>
        <v/>
      </c>
      <c r="AC220" s="246" t="str">
        <f>IFERROR(__xludf.DUMMYFUNCTION("IF(REGEXMATCH(C220, ""M""), ""6"","""")"),"")</f>
        <v/>
      </c>
      <c r="AD220" s="245" t="str">
        <f>IFERROR(__xludf.DUMMYFUNCTION("IF(REGEXMATCH(C220, ""P""), ""7"","""")"),"7")</f>
        <v>7</v>
      </c>
      <c r="AE220" s="246" t="str">
        <f>IFERROR(__xludf.DUMMYFUNCTION("IF(REGEXMATCH(C220, ""d""), ""8"","""")"),"")</f>
        <v/>
      </c>
      <c r="AF220" s="245" t="str">
        <f>IFERROR(__xludf.DUMMYFUNCTION("IF(REGEXMATCH(C220, ""D""), ""9"","""")"),"9")</f>
        <v>9</v>
      </c>
      <c r="AG220" s="245" t="str">
        <f>IFERROR(__xludf.DUMMYFUNCTION("IF(REGEXMATCH(C220, ""n""), ""10"","""")"),"10")</f>
        <v>10</v>
      </c>
      <c r="AH220" s="246" t="str">
        <f>IFERROR(__xludf.DUMMYFUNCTION("IF(REGEXMATCH(C220, ""N""), ""11"","""")"),"")</f>
        <v/>
      </c>
      <c r="AI220" s="249" t="str">
        <f>IFERROR(__xludf.DUMMYFUNCTION("IF(REGEXMATCH(C220, ""S""), ""0"","""")"),"0")</f>
        <v>0</v>
      </c>
      <c r="AJ220" s="313" t="str">
        <f t="shared" si="11"/>
        <v>-</v>
      </c>
      <c r="AK220" s="313" t="str">
        <f t="shared" si="12"/>
        <v>-</v>
      </c>
      <c r="AL220" s="313" t="str">
        <f t="shared" si="13"/>
        <v>-</v>
      </c>
      <c r="AM220" s="313" t="str">
        <f t="shared" si="14"/>
        <v>T</v>
      </c>
      <c r="AN220" s="313" t="str">
        <f t="shared" si="15"/>
        <v>-</v>
      </c>
      <c r="AO220" s="314" t="str">
        <f t="shared" si="16"/>
        <v>-</v>
      </c>
      <c r="AP220" s="316">
        <f t="shared" si="17"/>
        <v>1</v>
      </c>
      <c r="AQ220" s="319" t="str">
        <f t="shared" si="18"/>
        <v>-</v>
      </c>
      <c r="AR220" s="320">
        <f t="shared" si="19"/>
        <v>0</v>
      </c>
      <c r="AS220" s="250" t="str">
        <f>IFERROR(__xludf.DUMMYFUNCTION("SUBSTITUTE(SUBSTITUTE(CONCATENATE(JOIN("""",FP220:GA220)),""|"",""x""),""-"",""o"")"),"xoxxoooxoxxo")</f>
        <v>xoxxoooxoxxo</v>
      </c>
      <c r="AT220" s="323" t="str">
        <f>IFERROR(__xludf.DUMMYFUNCTION("JOIN("""",AS220,AS220)"),"xoxxoooxoxxoxoxxoooxoxxo")</f>
        <v>xoxxoooxoxxoxoxxoooxoxxo</v>
      </c>
      <c r="AU220" s="256" t="str">
        <f>IFERROR(__xludf.DUMMYFUNCTION("JOIN("""",ArrayFormula(MID(AS220,LEN(AS220)-SEQUENCE(1,LEN(AS220))+1,1)))"),"oxxoxoooxxox")</f>
        <v>oxxoxoooxxox</v>
      </c>
      <c r="AV220" s="256" t="str">
        <f>IFERROR(__xludf.DUMMYFUNCTION("LEFT(CONCATENATE(""x"",JOIN("""",ArrayFormula(MID(AS220,LEN(AS220)-SEQUENCE(1,LEN(AS220))+1,1)))),12)"),"xoxxoxoooxxo")</f>
        <v>xoxxoxoooxxo</v>
      </c>
      <c r="AW220" s="327" t="str">
        <f>IFERROR(__xludf.DUMMYFUNCTION("JOIN("""",AU220,AU220)"),"oxxoxoooxxoxoxxoxoooxxox")</f>
        <v>oxxoxoooxxoxoxxoxoooxxox</v>
      </c>
      <c r="AX220" s="239" t="str">
        <f>IFERROR(__xludf.DUMMYFUNCTION("IF(REGEXMATCH(AW220,AS220),""✔"",""-"")"),"-")</f>
        <v>-</v>
      </c>
      <c r="AY220" s="330" t="str">
        <f t="shared" si="20"/>
        <v>-</v>
      </c>
      <c r="AZ220" s="260" t="str">
        <f t="shared" si="21"/>
        <v>#REF!</v>
      </c>
      <c r="BA220" s="333" t="str">
        <f t="shared" si="22"/>
        <v>xoxxooo</v>
      </c>
      <c r="BB220" s="334" t="str">
        <f t="shared" si="23"/>
        <v>xoxxox</v>
      </c>
      <c r="BC220" s="335" t="str">
        <f t="shared" si="236"/>
        <v>-</v>
      </c>
      <c r="BD220" s="336" t="str">
        <f t="shared" si="25"/>
        <v>Manavi: 'xoxxooo' + 'xoxxox'</v>
      </c>
      <c r="BE220" s="337">
        <f>IFERROR(__xludf.DUMMYFUNCTION("COUNTUNIQUE(FILTER(AT:AT,REGEXMATCH(AT:AT,AS220)))-1"),0.0)</f>
        <v>0</v>
      </c>
      <c r="BF220" s="261" t="str">
        <f>IFERROR(__xludf.DUMMYFUNCTION("IF(BI220=0,""(n/a)"",IF(BJ220=2,""(PAIR)"",IF(REGEXMATCH(AT220,""xoxoxxoxoxox""),""Bilawal"",IF(REGEXMATCH(AT220,""xoxoxooxoxoo""),""Bhupali"",IF(REGEXMATCH(AT220,""xoxoxxoxxoxo""),""Charukeshi"",IF(REGEXMATCH(AT220,""xoxoooxxoxxo""),""Kameshwari"",IF(REG"&amp;"EXMATCH(AT220,""xoxoxooxoxox""),""Shankara"",IF(REGEXMATCH(AT220,""xxooxoxxxoox""),""Basant"",IF(REGEXMATCH(AT220,""xoxoxxxxoxox""),""Bihag"",IF(REGEXMATCH(AT220,""xoxxxxoxoxxx""),""Pilu"",IF(REGEXMATCH(AT220,""xoxxoxoxxoox""),""Kirwani"",IF(REGEXMATCH(AT"&amp;"220,""xoxxoxoxoxxx""),""Mk.Malhar"",IF(REGEXMATCH(AT220,""xxooxxoxxoox""),""Bhairav"",IF(REGEXMATCH(AT220,""xxoxooxxxoox""),""Todi"",IF(REGEXMATCH(AT220,""xxooxoxooxox""),""Marwa"",IF(REGEXMATCH(AT220,""xxoooxoxxooo""),""Gunkali"",IF(REGEXMATCH(AT220,""xo"&amp;"xoxxoxxoox""),""Nat Bhairav"",IF(REGEXMATCH(AT220,""xoxxoooxoxoo""),""Shivranjani"",IF(REGEXMATCH(AT220,""xooxxxoxooxo""),""Jog"",IF(REGEXMATCH(AT220,""xxooxoxoxoox""),""Hemshri"",IF(REGEXMATCH(AT220,""xoooxooxoxxo""),""Kalavati"",IF(REGEXMATCH(AT220,""xx"&amp;"oxoxxoxoox""),""Kedar"",IF(REGEXMATCH(AT220,""xoxxxxoxooxx""),""Gara"",IF(REGEXMATCH(AT220,""xooxoxooxoox""),""Chandrakauns"",IF(REGEXMATCH(AT220,""xoxxxxoxxxox""),""Mand"",IF(REGEXMATCH(AT220,""xoxxxxoxoxox""),""Hanskinkini"",IF(REGEXMATCH(AT220,""xxooxx"&amp;"oxooxo""),""Lilavati"",IF(REGEXMATCH(AT220,""xooxoxoooxox""),""Rajeshwari"",IF(REGEXMATCH(AT220,""xoooxxoxoxxx""),""Khokar"",IF(REGEXMATCH(AT220,""xxooxoxxxxox""),""Maligoura"",""-""))))))))))))))))))))))))))))))"),"(n/a)")</f>
        <v>(n/a)</v>
      </c>
      <c r="BG220" s="239" t="str">
        <f t="shared" si="26"/>
        <v>#REF!</v>
      </c>
      <c r="BH220" s="239">
        <f>IFERROR(__xludf.DUMMYFUNCTION("COUNTUNIQUE(FE220:FO220)-1"),5.0)</f>
        <v>5</v>
      </c>
      <c r="BI220" s="239">
        <f>IFERROR(__xludf.DUMMYFUNCTION("COUNTUNIQUE(FILTER(AT:AT,REGEXMATCH(AT:AT,AS220)))-1"),0.0)</f>
        <v>0</v>
      </c>
      <c r="BJ220" s="239">
        <f>IFERROR(__xludf.DUMMYFUNCTION("COUNTA(FILTER(AT:AT,REGEXMATCH(AT:AT,AS220)))"),1.0)</f>
        <v>1</v>
      </c>
      <c r="BK220" s="341">
        <f>IFERROR(__xludf.DUMMYFUNCTION("COUNTA(FILTER(AT:AT,REGEXMATCH(AT:AT,AS220)))-AR220"),1.0)</f>
        <v>1</v>
      </c>
      <c r="BL220" s="276" t="str">
        <f>IFERROR(__xludf.DUMMYFUNCTION("IF(AS220=""oooooooooooo"",""-"",IF(REGEXMATCH(AT220,""xx""), ""Hemi."", ""Anhemi.""))"),"Hemi.")</f>
        <v>Hemi.</v>
      </c>
      <c r="BM220" s="282" t="str">
        <f>IFERROR(__xludf.DUMMYFUNCTION("IF(AS220=""oooooooooooo"",""-"",IF(REGEXMATCH(AT220,""xxx""), ""Cohem."", ""-""))"),"-")</f>
        <v>-</v>
      </c>
      <c r="BN220" s="282" t="str">
        <f>IFERROR(__xludf.DUMMYFUNCTION("IF(AS220=""oooooooooooo"",""-"",IF(REGEXMATCH(AT220,""xxxx""), ""Co-Co."", ""-""))"),"-")</f>
        <v>-</v>
      </c>
      <c r="BO220" s="342" t="str">
        <f>IFERROR(__xludf.DUMMYFUNCTION("IF(AS220=""oooooooooooo"",""-"",IF(REGEXMATCH(AT220,""xxxxx""), ""CCC."", ""-""))"),"-")</f>
        <v>-</v>
      </c>
      <c r="BP220" s="344" t="str">
        <f t="shared" si="27"/>
        <v>-</v>
      </c>
      <c r="BQ220" s="282" t="str">
        <f>IFERROR(__xludf.DUMMYFUNCTION("IF(REGEXMATCH(JOIN(""-"",EU220:FD220),""TRUE""),""✔"",""-"")"),"✔")</f>
        <v>✔</v>
      </c>
      <c r="BR220" s="225">
        <f t="shared" si="28"/>
        <v>1</v>
      </c>
      <c r="BS220" s="345" t="str">
        <f>IFERROR(__xludf.DUMMYFUNCTION("SUBSTITUTE(SUBSTITUTE(SUBSTITUTE(SUBSTITUTE(CONCATENATE(JOIN(""-"",GC220:GO220)),""--"",""-""),""--"",""-""),""--"",""-""),""--"",""-"")"),"1-2-b3-5-6-b7-8")</f>
        <v>1-2-b3-5-6-b7-8</v>
      </c>
      <c r="BT220" s="299" t="str">
        <f>IFERROR(__xludf.DUMMYFUNCTION("SUBSTITUTE(SUBSTITUTE(SUBSTITUTE(SUBSTITUTE(CONCATENATE(JOIN(""-"",GP220:HB220)),""--"",""-""),""--"",""-""),""--"",""-""),""--"",""-"")"),"S-R2-G2-P-D2-N2-S")</f>
        <v>S-R2-G2-P-D2-N2-S</v>
      </c>
      <c r="BU220" s="348" t="str">
        <f t="shared" si="29"/>
        <v>C-D-Eb-G-A-Bb-C</v>
      </c>
      <c r="BV220" s="349" t="str">
        <f t="shared" si="30"/>
        <v>SrGmMdNS</v>
      </c>
      <c r="BW220" s="350">
        <f t="shared" si="31"/>
        <v>1</v>
      </c>
      <c r="BX220" s="351">
        <f t="shared" si="32"/>
        <v>1</v>
      </c>
      <c r="BY220" s="392"/>
      <c r="BZ220" s="309" t="str">
        <f>IFERROR(__xludf.DUMMYFUNCTION("IF(REGEXMATCH(C220, ""S""), ""x"",""x"")"),"x")</f>
        <v>x</v>
      </c>
      <c r="CA220" s="245" t="str">
        <f>IFERROR(__xludf.DUMMYFUNCTION("IF(REGEXMATCH(C220, ""r""), ""o"",""x"")"),"x")</f>
        <v>x</v>
      </c>
      <c r="CB220" s="246" t="str">
        <f>IFERROR(__xludf.DUMMYFUNCTION("IF(REGEXMATCH(C220, ""R""), ""o"",""x"")"),"o")</f>
        <v>o</v>
      </c>
      <c r="CC220" s="246" t="str">
        <f>IFERROR(__xludf.DUMMYFUNCTION("IF(REGEXMATCH(C220, ""g""), ""o"",""x"")"),"o")</f>
        <v>o</v>
      </c>
      <c r="CD220" s="245" t="str">
        <f>IFERROR(__xludf.DUMMYFUNCTION("IF(REGEXMATCH(C220, ""G""), ""o"",""x"")"),"x")</f>
        <v>x</v>
      </c>
      <c r="CE220" s="245" t="str">
        <f>IFERROR(__xludf.DUMMYFUNCTION("IF(REGEXMATCH(C220, ""m""), ""o"",""x"")"),"x")</f>
        <v>x</v>
      </c>
      <c r="CF220" s="246" t="str">
        <f>IFERROR(__xludf.DUMMYFUNCTION("IF(REGEXMATCH(C220, ""M""), ""o"",""x"")"),"x")</f>
        <v>x</v>
      </c>
      <c r="CG220" s="245" t="str">
        <f>IFERROR(__xludf.DUMMYFUNCTION("IF(REGEXMATCH(C220, ""P""), ""o"",""x"")"),"o")</f>
        <v>o</v>
      </c>
      <c r="CH220" s="246" t="str">
        <f>IFERROR(__xludf.DUMMYFUNCTION("IF(REGEXMATCH(C220, ""d""), ""o"",""x"")"),"x")</f>
        <v>x</v>
      </c>
      <c r="CI220" s="245" t="str">
        <f>IFERROR(__xludf.DUMMYFUNCTION("IF(REGEXMATCH(C220, ""D""), ""o"",""x"")"),"o")</f>
        <v>o</v>
      </c>
      <c r="CJ220" s="245" t="str">
        <f>IFERROR(__xludf.DUMMYFUNCTION("IF(REGEXMATCH(C220, ""n""), ""o"",""x"")"),"o")</f>
        <v>o</v>
      </c>
      <c r="CK220" s="245" t="str">
        <f>IFERROR(__xludf.DUMMYFUNCTION("IF(REGEXMATCH(C220, ""N""), ""o"",""x"")"),"x")</f>
        <v>x</v>
      </c>
      <c r="CL220" s="356" t="str">
        <f>IFERROR(__xludf.DUMMYFUNCTION("IF(REGEXMATCH(C220, ""S""), ""x"",""x"")"),"x")</f>
        <v>x</v>
      </c>
      <c r="CM220" s="357" t="str">
        <f t="shared" si="33"/>
        <v>xxooxxxoxoox</v>
      </c>
      <c r="CN220" s="358">
        <f t="shared" si="34"/>
        <v>1</v>
      </c>
      <c r="CO220" s="246" t="str">
        <f>IFERROR(__xludf.DUMMYFUNCTION("IF(REGEXMATCH($C220, ""S""), ""S"",""S"")"),"S")</f>
        <v>S</v>
      </c>
      <c r="CP220" s="246" t="str">
        <f>IFERROR(__xludf.DUMMYFUNCTION("IF(REGEXMATCH($C220, ""r""), """",""r"")"),"r")</f>
        <v>r</v>
      </c>
      <c r="CQ220" s="246" t="str">
        <f>IFERROR(__xludf.DUMMYFUNCTION("IF(REGEXMATCH($C220, ""R""), """",""R"")"),"")</f>
        <v/>
      </c>
      <c r="CR220" s="246" t="str">
        <f>IFERROR(__xludf.DUMMYFUNCTION("IF(REGEXMATCH($C220, ""g""), """",""g"")"),"")</f>
        <v/>
      </c>
      <c r="CS220" s="246" t="str">
        <f>IFERROR(__xludf.DUMMYFUNCTION("IF(REGEXMATCH($C220, ""G""), """",""G"")"),"G")</f>
        <v>G</v>
      </c>
      <c r="CT220" s="246" t="str">
        <f>IFERROR(__xludf.DUMMYFUNCTION("IF(REGEXMATCH($C220, ""m""), """",""m"")"),"m")</f>
        <v>m</v>
      </c>
      <c r="CU220" s="246" t="str">
        <f>IFERROR(__xludf.DUMMYFUNCTION("IF(REGEXMATCH($C220, ""M""), """",""M"")"),"M")</f>
        <v>M</v>
      </c>
      <c r="CV220" s="246" t="str">
        <f>IFERROR(__xludf.DUMMYFUNCTION("IF(REGEXMATCH($C220, ""P""), """",""P"")"),"")</f>
        <v/>
      </c>
      <c r="CW220" s="246" t="str">
        <f>IFERROR(__xludf.DUMMYFUNCTION("IF(REGEXMATCH($C220, ""d""), """",""d"")"),"d")</f>
        <v>d</v>
      </c>
      <c r="CX220" s="246" t="str">
        <f>IFERROR(__xludf.DUMMYFUNCTION("IF(REGEXMATCH($C220, ""D""), """",""D"")"),"")</f>
        <v/>
      </c>
      <c r="CY220" s="246" t="str">
        <f>IFERROR(__xludf.DUMMYFUNCTION("IF(REGEXMATCH($C220, ""n""), """",""n"")"),"")</f>
        <v/>
      </c>
      <c r="CZ220" s="246" t="str">
        <f>IFERROR(__xludf.DUMMYFUNCTION("IF(REGEXMATCH($C220, ""N""), """",""N"")"),"N")</f>
        <v>N</v>
      </c>
      <c r="DA220" s="246" t="str">
        <f>IFERROR(__xludf.DUMMYFUNCTION("IF(REGEXMATCH($C220, ""S""), ""S"",""S"")"),"S")</f>
        <v>S</v>
      </c>
      <c r="DB220" s="362" t="str">
        <f>IFERROR(__xludf.DUMMYFUNCTION("JOIN("""",CO220:DA220,"""","""")"),"SrGmMdNS")</f>
        <v>SrGmMdNS</v>
      </c>
      <c r="DC220" s="363"/>
      <c r="DD220" s="301" t="str">
        <f t="shared" si="35"/>
        <v>#REF!</v>
      </c>
      <c r="DE220" s="302" t="str">
        <f t="shared" si="36"/>
        <v>#REF!</v>
      </c>
      <c r="DF220" s="301" t="str">
        <f t="shared" ref="DF220:DG220" si="656">SUBSTITUTE(S220,"-","")</f>
        <v>SRG</v>
      </c>
      <c r="DG220" s="301" t="str">
        <f t="shared" si="656"/>
        <v>PDNS</v>
      </c>
      <c r="DH220" s="302" t="str">
        <f t="shared" si="38"/>
        <v>(n/a)</v>
      </c>
      <c r="DI220" s="301" t="str">
        <f t="shared" si="39"/>
        <v>Hemi.</v>
      </c>
      <c r="DJ220" s="364" t="str">
        <f t="shared" si="40"/>
        <v>-</v>
      </c>
      <c r="DK220" s="306" t="str">
        <f t="shared" si="41"/>
        <v>-</v>
      </c>
      <c r="DL220" s="366" t="str">
        <f t="shared" si="42"/>
        <v>✔</v>
      </c>
      <c r="DM220" s="308" t="str">
        <f t="shared" si="43"/>
        <v>-</v>
      </c>
      <c r="DN220" s="306" t="str">
        <f t="shared" si="44"/>
        <v>-</v>
      </c>
      <c r="DO220" s="306" t="str">
        <f t="shared" si="45"/>
        <v>-</v>
      </c>
      <c r="DP220" s="367" t="str">
        <f t="shared" si="46"/>
        <v>-</v>
      </c>
      <c r="DQ220" s="310" t="str">
        <f t="shared" si="47"/>
        <v>-</v>
      </c>
      <c r="DR220" s="310" t="str">
        <f t="shared" si="48"/>
        <v>-</v>
      </c>
      <c r="DS220" s="310" t="str">
        <f t="shared" si="49"/>
        <v>-</v>
      </c>
      <c r="DT220" s="310" t="str">
        <f t="shared" si="50"/>
        <v>-</v>
      </c>
      <c r="DU220" s="370" t="str">
        <f t="shared" si="51"/>
        <v>-</v>
      </c>
      <c r="DV220" s="306" t="str">
        <f t="shared" si="52"/>
        <v>-</v>
      </c>
      <c r="DW220" s="306" t="str">
        <f t="shared" si="53"/>
        <v>-</v>
      </c>
      <c r="DX220" s="306" t="str">
        <f t="shared" si="54"/>
        <v>✔</v>
      </c>
      <c r="DY220" s="306" t="str">
        <f t="shared" si="55"/>
        <v>-</v>
      </c>
      <c r="DZ220" s="306" t="str">
        <f t="shared" si="56"/>
        <v>-</v>
      </c>
      <c r="EA220" s="367" t="str">
        <f t="shared" si="57"/>
        <v>-</v>
      </c>
      <c r="EB220" s="310" t="str">
        <f>IFERROR(__xludf.DUMMYFUNCTION("IF(REGEXMATCH(AW220,AS220),""✔"",""-"")"),"-")</f>
        <v>-</v>
      </c>
      <c r="EC220" s="310" t="str">
        <f t="shared" si="58"/>
        <v>#REF!</v>
      </c>
      <c r="ED220" s="370" t="str">
        <f t="shared" si="59"/>
        <v>-</v>
      </c>
      <c r="EE220" s="340" t="str">
        <f t="shared" si="60"/>
        <v>S-R-g-P-D-n-S</v>
      </c>
      <c r="EF220" s="371" t="str">
        <f>IFERROR(__xludf.DUMMYFUNCTION("CONCATENATE(JOIN("""",HC220:HO220))"),"SRgmDnS")</f>
        <v>SRgmDnS</v>
      </c>
      <c r="EG220" s="372">
        <f t="shared" si="61"/>
        <v>2</v>
      </c>
      <c r="EH220" s="373" t="str">
        <f>IFERROR(__xludf.DUMMYFUNCTION("CONCATENATE(JOIN("""",JC220:JO220))"),"Dha, ni, ")</f>
        <v>Dha, ni, </v>
      </c>
      <c r="EI220" s="322">
        <f t="shared" si="62"/>
        <v>0</v>
      </c>
      <c r="EJ220" s="374" t="str">
        <f>IFERROR(__xludf.DUMMYFUNCTION("CONCATENATE(JOIN("""",KC220:KO220))"),"")</f>
        <v/>
      </c>
      <c r="EK220" s="325" t="str">
        <f t="shared" si="63"/>
        <v>S-R2-G2-P-D2-N2-S</v>
      </c>
      <c r="EL220" s="326" t="str">
        <f t="shared" si="64"/>
        <v>1-2-b3-5-6-b7-8</v>
      </c>
      <c r="EM220" s="318" t="str">
        <f t="shared" si="65"/>
        <v>#REF!</v>
      </c>
      <c r="EN220" s="328" t="str">
        <f>IFERROR(__xludf.DUMMYFUNCTION("SUBSTITUTE(SUBSTITUTE(SUBSTITUTE(SUBSTITUTE(CONCATENATE(JOIN("" "",HP220:IB220)),""  "","" ""),""  "","" ""),""  "","" ""),""  "","" "")"),"o • o o • • • o • o o • o")</f>
        <v>o • o o • • • o • o o • o</v>
      </c>
      <c r="EO220" s="368" t="str">
        <f t="shared" si="66"/>
        <v>Sa-Pa</v>
      </c>
      <c r="EP220" s="339" t="str">
        <f t="shared" si="67"/>
        <v>-</v>
      </c>
      <c r="EQ220" s="339" t="str">
        <f t="shared" si="68"/>
        <v>Sa-Pa</v>
      </c>
      <c r="ER220" s="339" t="str">
        <f t="shared" si="69"/>
        <v>Sa-Pa</v>
      </c>
      <c r="ES220" s="340" t="str">
        <f t="shared" si="70"/>
        <v>-</v>
      </c>
      <c r="ET220" s="363"/>
      <c r="EU220" s="376" t="b">
        <f>IFERROR(__xludf.DUMMYFUNCTION("arrayformula(sum(--REGEXMATCH(""SRGMPDNS"",split(REGEXREPLACE(C220,""(.)"",""$1~""),""~""))))=len(C220)
"),FALSE)</f>
        <v>0</v>
      </c>
      <c r="EV220" s="290" t="b">
        <f>IFERROR(__xludf.DUMMYFUNCTION("arrayformula(sum(--REGEXMATCH(""SRGmPDNS"",split(REGEXREPLACE(C220,""(.)"",""$1~""),""~""))))=len(C220)"),FALSE)</f>
        <v>0</v>
      </c>
      <c r="EW220" s="290" t="b">
        <f>IFERROR(__xludf.DUMMYFUNCTION("arrayformula(sum(--REGEXMATCH(""SRGmPDnS"",split(REGEXREPLACE(C220,""(.)"",""$1~""),""~""))))=len(C220)"),FALSE)</f>
        <v>0</v>
      </c>
      <c r="EX220" s="290" t="b">
        <f>IFERROR(__xludf.DUMMYFUNCTION("arrayformula(sum(--REGEXMATCH(""SRgmPDnS"",split(REGEXREPLACE(C220,""(.)"",""$1~""),""~""))))=len(C220)"),TRUE)</f>
        <v>1</v>
      </c>
      <c r="EY220" s="290" t="b">
        <f>IFERROR(__xludf.DUMMYFUNCTION("arrayformula(sum(--REGEXMATCH(""SRgmPdnS"",split(REGEXREPLACE(C220,""(.)"",""$1~""),""~""))))=len(C220)"),FALSE)</f>
        <v>0</v>
      </c>
      <c r="EZ220" s="290" t="b">
        <f>IFERROR(__xludf.DUMMYFUNCTION("arrayformula(sum(--REGEXMATCH(""SrgmPdnS"",split(REGEXREPLACE(C220,""(.)"",""$1~""),""~""))))=len(C220)"),FALSE)</f>
        <v>0</v>
      </c>
      <c r="FA220" s="290" t="b">
        <f>IFERROR(__xludf.DUMMYFUNCTION("arrayformula(sum(--REGEXMATCH(""SrGmPdNS"",split(REGEXREPLACE(C220,""(.)"",""$1~""),""~""))))=len(C220)"),FALSE)</f>
        <v>0</v>
      </c>
      <c r="FB220" s="290" t="b">
        <f>IFERROR(__xludf.DUMMYFUNCTION("arrayformula(sum(--REGEXMATCH(""SrGMPDNS"",split(REGEXREPLACE(C220,""(.)"",""$1~""),""~""))))=len(C220)"),FALSE)</f>
        <v>0</v>
      </c>
      <c r="FC220" s="290" t="b">
        <f>IFERROR(__xludf.DUMMYFUNCTION("arrayformula(sum(--REGEXMATCH(""SrGMPdNS"",split(REGEXREPLACE(C220,""(.)"",""$1~""),""~""))))=len(C220)"),FALSE)</f>
        <v>0</v>
      </c>
      <c r="FD220" s="377" t="b">
        <f>IFERROR(__xludf.DUMMYFUNCTION("arrayformula(sum(--REGEXMATCH(""SrgMPdNS"",split(REGEXREPLACE(C220,""(.)"",""$1~""),""~""))))=len(C220)"),FALSE)</f>
        <v>0</v>
      </c>
      <c r="FE220" s="269" t="str">
        <f t="shared" si="71"/>
        <v>-</v>
      </c>
      <c r="FF220" s="269" t="str">
        <f t="shared" si="72"/>
        <v>xxoooxoxxox</v>
      </c>
      <c r="FG220" s="271" t="str">
        <f t="shared" si="73"/>
        <v>xoooxoxxoxo</v>
      </c>
      <c r="FH220" s="269" t="str">
        <f t="shared" si="74"/>
        <v>-</v>
      </c>
      <c r="FI220" s="271" t="str">
        <f t="shared" si="75"/>
        <v>-</v>
      </c>
      <c r="FJ220" s="271" t="str">
        <f t="shared" si="76"/>
        <v>-</v>
      </c>
      <c r="FK220" s="271" t="str">
        <f t="shared" si="77"/>
        <v>xoxxoxoxxoo</v>
      </c>
      <c r="FL220" s="271" t="str">
        <f t="shared" si="78"/>
        <v>-</v>
      </c>
      <c r="FM220" s="271" t="str">
        <f t="shared" si="79"/>
        <v>xxoxoxxooox</v>
      </c>
      <c r="FN220" s="271" t="str">
        <f t="shared" si="80"/>
        <v>xoxoxxoooxo</v>
      </c>
      <c r="FO220" s="274" t="str">
        <f t="shared" si="81"/>
        <v>-</v>
      </c>
      <c r="FP220" s="234" t="str">
        <f t="shared" si="82"/>
        <v>|</v>
      </c>
      <c r="FQ220" s="236" t="str">
        <f t="shared" si="83"/>
        <v>-</v>
      </c>
      <c r="FR220" s="237" t="str">
        <f t="shared" si="84"/>
        <v>|</v>
      </c>
      <c r="FS220" s="236" t="str">
        <f t="shared" si="85"/>
        <v>|</v>
      </c>
      <c r="FT220" s="237" t="str">
        <f t="shared" si="86"/>
        <v>-</v>
      </c>
      <c r="FU220" s="236" t="str">
        <f t="shared" si="87"/>
        <v>-</v>
      </c>
      <c r="FV220" s="237" t="str">
        <f t="shared" si="88"/>
        <v>-</v>
      </c>
      <c r="FW220" s="236" t="str">
        <f t="shared" si="89"/>
        <v>|</v>
      </c>
      <c r="FX220" s="237" t="str">
        <f t="shared" si="90"/>
        <v>-</v>
      </c>
      <c r="FY220" s="236" t="str">
        <f t="shared" si="91"/>
        <v>|</v>
      </c>
      <c r="FZ220" s="237" t="str">
        <f t="shared" si="92"/>
        <v>|</v>
      </c>
      <c r="GA220" s="236" t="str">
        <f t="shared" si="93"/>
        <v>-</v>
      </c>
      <c r="GB220" s="238" t="str">
        <f t="shared" si="94"/>
        <v>|</v>
      </c>
      <c r="GC220" s="244" t="str">
        <f>IFERROR(__xludf.DUMMYFUNCTION("IF(REGEXMATCH(C220, ""S""), ""1"","""")"),"1")</f>
        <v>1</v>
      </c>
      <c r="GD220" s="245" t="str">
        <f>IFERROR(__xludf.DUMMYFUNCTION("IF(REGEXMATCH(C220, ""r""), ""b2"","""")"),"")</f>
        <v/>
      </c>
      <c r="GE220" s="246" t="str">
        <f>IFERROR(__xludf.DUMMYFUNCTION("IF(REGEXMATCH(C220, ""R""), ""2"","""")"),"2")</f>
        <v>2</v>
      </c>
      <c r="GF220" s="246" t="str">
        <f>IFERROR(__xludf.DUMMYFUNCTION("IF(REGEXMATCH(C220, ""g""), ""b3"","""")"),"b3")</f>
        <v>b3</v>
      </c>
      <c r="GG220" s="245" t="str">
        <f>IFERROR(__xludf.DUMMYFUNCTION("IF(REGEXMATCH(C220, ""G""), ""3"","""")"),"")</f>
        <v/>
      </c>
      <c r="GH220" s="245" t="str">
        <f>IFERROR(__xludf.DUMMYFUNCTION("IF(REGEXMATCH(C220, ""m""), ""4"","""")"),"")</f>
        <v/>
      </c>
      <c r="GI220" s="246" t="str">
        <f>IFERROR(__xludf.DUMMYFUNCTION("IF(REGEXMATCH(C220, ""M""), ""#4"","""")"),"")</f>
        <v/>
      </c>
      <c r="GJ220" s="245" t="str">
        <f>IFERROR(__xludf.DUMMYFUNCTION("IF(REGEXMATCH(C220, ""P""), ""5"","""")"),"5")</f>
        <v>5</v>
      </c>
      <c r="GK220" s="246" t="str">
        <f>IFERROR(__xludf.DUMMYFUNCTION("IF(REGEXMATCH(C220, ""d""), ""b6"","""")"),"")</f>
        <v/>
      </c>
      <c r="GL220" s="245" t="str">
        <f>IFERROR(__xludf.DUMMYFUNCTION("IF(REGEXMATCH(C220, ""D""), ""6"","""")"),"6")</f>
        <v>6</v>
      </c>
      <c r="GM220" s="245" t="str">
        <f>IFERROR(__xludf.DUMMYFUNCTION("IF(REGEXMATCH(C220, ""n""), ""b7"","""")"),"b7")</f>
        <v>b7</v>
      </c>
      <c r="GN220" s="246" t="str">
        <f>IFERROR(__xludf.DUMMYFUNCTION("IF(REGEXMATCH(C220, ""N""), ""7"","""")"),"")</f>
        <v/>
      </c>
      <c r="GO220" s="249" t="str">
        <f>IFERROR(__xludf.DUMMYFUNCTION("IF(REGEXMATCH(C220, ""S""), ""8"","""")"),"8")</f>
        <v>8</v>
      </c>
      <c r="GP220" s="244" t="str">
        <f>IFERROR(__xludf.DUMMYFUNCTION("IF(REGEXMATCH(C220, ""S""), ""S"","""")"),"S")</f>
        <v>S</v>
      </c>
      <c r="GQ220" s="294" t="str">
        <f>IFERROR(__xludf.DUMMYFUNCTION("IF(REGEXMATCH(C220, ""r""), ""R1"","""")"),"")</f>
        <v/>
      </c>
      <c r="GR220" s="295" t="str">
        <f>IFERROR(__xludf.DUMMYFUNCTION("IF(REGEXMATCH(C220, ""R""), ""R2"","""")"),"R2")</f>
        <v>R2</v>
      </c>
      <c r="GS220" s="295" t="str">
        <f>IFERROR(__xludf.DUMMYFUNCTION("IF(REGEXMATCH(C220, ""g""), ""G2"","""")"),"G2")</f>
        <v>G2</v>
      </c>
      <c r="GT220" s="294" t="str">
        <f>IFERROR(__xludf.DUMMYFUNCTION("IF(REGEXMATCH(C220, ""G""), ""G3"","""")"),"")</f>
        <v/>
      </c>
      <c r="GU220" s="294" t="str">
        <f>IFERROR(__xludf.DUMMYFUNCTION("IF(REGEXMATCH(C220, ""m""), ""M1"","""")"),"")</f>
        <v/>
      </c>
      <c r="GV220" s="295" t="str">
        <f>IFERROR(__xludf.DUMMYFUNCTION("IF(REGEXMATCH(C220, ""M""), ""M2"","""")"),"")</f>
        <v/>
      </c>
      <c r="GW220" s="294" t="str">
        <f>IFERROR(__xludf.DUMMYFUNCTION("IF(REGEXMATCH(C220, ""P""), ""P"","""")"),"P")</f>
        <v>P</v>
      </c>
      <c r="GX220" s="295" t="str">
        <f>IFERROR(__xludf.DUMMYFUNCTION("IF(REGEXMATCH(C220, ""d""), ""D1"","""")"),"")</f>
        <v/>
      </c>
      <c r="GY220" s="294" t="str">
        <f>IFERROR(__xludf.DUMMYFUNCTION("IF(REGEXMATCH(C220, ""D""), ""D2"","""")"),"D2")</f>
        <v>D2</v>
      </c>
      <c r="GZ220" s="294" t="str">
        <f>IFERROR(__xludf.DUMMYFUNCTION("IF(REGEXMATCH(C220, ""n""), ""N2"","""")"),"N2")</f>
        <v>N2</v>
      </c>
      <c r="HA220" s="295" t="str">
        <f>IFERROR(__xludf.DUMMYFUNCTION("IF(REGEXMATCH(C220, ""N""), ""N3"","""")"),"")</f>
        <v/>
      </c>
      <c r="HB220" s="249" t="str">
        <f>IFERROR(__xludf.DUMMYFUNCTION("IF(REGEXMATCH(C220, ""S""), ""S"","""")"),"S")</f>
        <v>S</v>
      </c>
      <c r="HC220" s="331" t="str">
        <f t="shared" si="95"/>
        <v>S</v>
      </c>
      <c r="HD220" s="332" t="str">
        <f t="shared" si="96"/>
        <v/>
      </c>
      <c r="HE220" s="332" t="str">
        <f t="shared" si="97"/>
        <v>R</v>
      </c>
      <c r="HF220" s="332" t="str">
        <f t="shared" si="98"/>
        <v>g</v>
      </c>
      <c r="HG220" s="332" t="str">
        <f t="shared" si="99"/>
        <v/>
      </c>
      <c r="HH220" s="332" t="str">
        <f t="shared" si="100"/>
        <v>m</v>
      </c>
      <c r="HI220" s="332" t="str">
        <f t="shared" si="101"/>
        <v/>
      </c>
      <c r="HJ220" s="332" t="str">
        <f t="shared" si="102"/>
        <v/>
      </c>
      <c r="HK220" s="332" t="str">
        <f t="shared" si="103"/>
        <v/>
      </c>
      <c r="HL220" s="332" t="str">
        <f t="shared" si="104"/>
        <v>D</v>
      </c>
      <c r="HM220" s="332" t="str">
        <f t="shared" si="105"/>
        <v>n</v>
      </c>
      <c r="HN220" s="332" t="str">
        <f t="shared" si="106"/>
        <v/>
      </c>
      <c r="HO220" s="343" t="str">
        <f t="shared" si="107"/>
        <v>S</v>
      </c>
      <c r="HP220" s="331" t="str">
        <f t="shared" si="108"/>
        <v>o</v>
      </c>
      <c r="HQ220" s="332" t="str">
        <f t="shared" si="109"/>
        <v>•</v>
      </c>
      <c r="HR220" s="332" t="str">
        <f t="shared" si="110"/>
        <v>o</v>
      </c>
      <c r="HS220" s="332" t="str">
        <f t="shared" si="111"/>
        <v>o</v>
      </c>
      <c r="HT220" s="332" t="str">
        <f t="shared" si="112"/>
        <v>•</v>
      </c>
      <c r="HU220" s="332" t="str">
        <f t="shared" si="113"/>
        <v>•</v>
      </c>
      <c r="HV220" s="332" t="str">
        <f t="shared" si="114"/>
        <v>•</v>
      </c>
      <c r="HW220" s="332" t="str">
        <f t="shared" si="115"/>
        <v>o</v>
      </c>
      <c r="HX220" s="332" t="str">
        <f t="shared" si="116"/>
        <v>•</v>
      </c>
      <c r="HY220" s="332" t="str">
        <f t="shared" si="117"/>
        <v>o</v>
      </c>
      <c r="HZ220" s="332" t="str">
        <f t="shared" si="118"/>
        <v>o</v>
      </c>
      <c r="IA220" s="332" t="str">
        <f t="shared" si="119"/>
        <v>•</v>
      </c>
      <c r="IB220" s="338" t="str">
        <f t="shared" si="120"/>
        <v>o</v>
      </c>
      <c r="IC220" s="331" t="str">
        <f t="shared" si="121"/>
        <v>•</v>
      </c>
      <c r="ID220" s="332" t="str">
        <f t="shared" si="122"/>
        <v>o</v>
      </c>
      <c r="IE220" s="332" t="str">
        <f t="shared" si="123"/>
        <v>•</v>
      </c>
      <c r="IF220" s="332" t="str">
        <f t="shared" si="124"/>
        <v>•</v>
      </c>
      <c r="IG220" s="332" t="str">
        <f t="shared" si="125"/>
        <v>o</v>
      </c>
      <c r="IH220" s="332" t="str">
        <f t="shared" si="126"/>
        <v>o</v>
      </c>
      <c r="II220" s="332" t="str">
        <f t="shared" si="127"/>
        <v>o</v>
      </c>
      <c r="IJ220" s="332" t="str">
        <f t="shared" si="128"/>
        <v>•</v>
      </c>
      <c r="IK220" s="332" t="str">
        <f t="shared" si="129"/>
        <v>o</v>
      </c>
      <c r="IL220" s="332" t="str">
        <f t="shared" si="130"/>
        <v>•</v>
      </c>
      <c r="IM220" s="332" t="str">
        <f t="shared" si="131"/>
        <v>•</v>
      </c>
      <c r="IN220" s="332" t="str">
        <f t="shared" si="132"/>
        <v>o</v>
      </c>
      <c r="IO220" s="338" t="str">
        <f t="shared" si="133"/>
        <v>•</v>
      </c>
      <c r="IP220" s="346" t="b">
        <f t="shared" si="134"/>
        <v>0</v>
      </c>
      <c r="IQ220" s="347" t="b">
        <f t="shared" si="135"/>
        <v>0</v>
      </c>
      <c r="IR220" s="347" t="b">
        <f t="shared" si="136"/>
        <v>0</v>
      </c>
      <c r="IS220" s="347" t="b">
        <f t="shared" si="137"/>
        <v>0</v>
      </c>
      <c r="IT220" s="347" t="b">
        <f t="shared" si="138"/>
        <v>0</v>
      </c>
      <c r="IU220" s="347" t="b">
        <f t="shared" si="139"/>
        <v>0</v>
      </c>
      <c r="IV220" s="347" t="b">
        <f t="shared" si="140"/>
        <v>0</v>
      </c>
      <c r="IW220" s="347" t="b">
        <f t="shared" si="141"/>
        <v>0</v>
      </c>
      <c r="IX220" s="347" t="b">
        <f t="shared" si="142"/>
        <v>0</v>
      </c>
      <c r="IY220" s="347" t="b">
        <f t="shared" si="143"/>
        <v>1</v>
      </c>
      <c r="IZ220" s="347" t="b">
        <f t="shared" si="144"/>
        <v>1</v>
      </c>
      <c r="JA220" s="347" t="b">
        <f t="shared" si="145"/>
        <v>0</v>
      </c>
      <c r="JB220" s="353" t="b">
        <f t="shared" si="146"/>
        <v>0</v>
      </c>
      <c r="JC220" s="354" t="str">
        <f t="shared" si="147"/>
        <v/>
      </c>
      <c r="JD220" s="355" t="str">
        <f t="shared" si="148"/>
        <v/>
      </c>
      <c r="JE220" s="355" t="str">
        <f t="shared" si="149"/>
        <v/>
      </c>
      <c r="JF220" s="355" t="str">
        <f t="shared" si="150"/>
        <v/>
      </c>
      <c r="JG220" s="355" t="str">
        <f t="shared" si="151"/>
        <v/>
      </c>
      <c r="JH220" s="355" t="str">
        <f t="shared" si="152"/>
        <v/>
      </c>
      <c r="JI220" s="355" t="str">
        <f t="shared" si="153"/>
        <v/>
      </c>
      <c r="JJ220" s="355" t="str">
        <f t="shared" si="154"/>
        <v/>
      </c>
      <c r="JK220" s="355" t="str">
        <f t="shared" si="155"/>
        <v/>
      </c>
      <c r="JL220" s="355" t="str">
        <f t="shared" si="156"/>
        <v>Dha, </v>
      </c>
      <c r="JM220" s="355" t="str">
        <f t="shared" si="157"/>
        <v>ni, </v>
      </c>
      <c r="JN220" s="355" t="str">
        <f t="shared" si="158"/>
        <v/>
      </c>
      <c r="JO220" s="359" t="str">
        <f t="shared" si="159"/>
        <v/>
      </c>
      <c r="JP220" s="346" t="b">
        <f t="shared" si="160"/>
        <v>0</v>
      </c>
      <c r="JQ220" s="347" t="b">
        <f t="shared" si="161"/>
        <v>0</v>
      </c>
      <c r="JR220" s="347" t="b">
        <f t="shared" si="162"/>
        <v>0</v>
      </c>
      <c r="JS220" s="347" t="b">
        <f t="shared" si="163"/>
        <v>0</v>
      </c>
      <c r="JT220" s="347" t="b">
        <f t="shared" si="164"/>
        <v>0</v>
      </c>
      <c r="JU220" s="347" t="b">
        <f t="shared" si="165"/>
        <v>0</v>
      </c>
      <c r="JV220" s="347" t="b">
        <f t="shared" si="166"/>
        <v>0</v>
      </c>
      <c r="JW220" s="347" t="b">
        <f t="shared" si="167"/>
        <v>0</v>
      </c>
      <c r="JX220" s="347" t="b">
        <f t="shared" si="168"/>
        <v>0</v>
      </c>
      <c r="JY220" s="347" t="b">
        <f t="shared" si="169"/>
        <v>0</v>
      </c>
      <c r="JZ220" s="347" t="b">
        <f t="shared" si="170"/>
        <v>0</v>
      </c>
      <c r="KA220" s="347" t="b">
        <f t="shared" si="171"/>
        <v>0</v>
      </c>
      <c r="KB220" s="365" t="b">
        <f t="shared" si="172"/>
        <v>0</v>
      </c>
      <c r="KC220" s="354" t="str">
        <f t="shared" si="173"/>
        <v/>
      </c>
      <c r="KD220" s="355" t="str">
        <f t="shared" si="174"/>
        <v/>
      </c>
      <c r="KE220" s="355" t="str">
        <f t="shared" si="175"/>
        <v/>
      </c>
      <c r="KF220" s="355" t="str">
        <f t="shared" si="176"/>
        <v/>
      </c>
      <c r="KG220" s="355" t="str">
        <f t="shared" si="177"/>
        <v/>
      </c>
      <c r="KH220" s="355" t="str">
        <f t="shared" si="178"/>
        <v/>
      </c>
      <c r="KI220" s="355" t="str">
        <f t="shared" si="179"/>
        <v/>
      </c>
      <c r="KJ220" s="355" t="str">
        <f t="shared" si="180"/>
        <v/>
      </c>
      <c r="KK220" s="355" t="str">
        <f t="shared" si="181"/>
        <v/>
      </c>
      <c r="KL220" s="355" t="str">
        <f t="shared" si="182"/>
        <v/>
      </c>
      <c r="KM220" s="355" t="str">
        <f t="shared" si="183"/>
        <v/>
      </c>
      <c r="KN220" s="355" t="str">
        <f t="shared" si="184"/>
        <v/>
      </c>
      <c r="KO220" s="359"/>
      <c r="KP220" s="378"/>
      <c r="KQ220" s="379" t="s">
        <v>9</v>
      </c>
      <c r="KR220" s="380" t="s">
        <v>1449</v>
      </c>
      <c r="KS220" s="381" t="s">
        <v>9</v>
      </c>
      <c r="KT220" s="382">
        <f t="shared" si="186"/>
        <v>0</v>
      </c>
      <c r="KU220" s="383">
        <f t="shared" si="187"/>
        <v>0</v>
      </c>
      <c r="KV220" s="381" t="str">
        <f t="shared" si="205"/>
        <v>S-n-D-P-g-R-S</v>
      </c>
      <c r="KW220" s="382">
        <f t="shared" si="189"/>
        <v>6</v>
      </c>
      <c r="KX220" s="384">
        <f t="shared" si="190"/>
        <v>6</v>
      </c>
      <c r="KY220" s="382">
        <f t="shared" ref="KY220:KZ220" si="657">KW220-KT220</f>
        <v>6</v>
      </c>
      <c r="KZ220" s="369">
        <f t="shared" si="657"/>
        <v>6</v>
      </c>
      <c r="LA220" s="385" t="str">
        <f t="shared" si="192"/>
        <v>-</v>
      </c>
      <c r="LB220" s="340" t="str">
        <f>IFERROR(__xludf.DUMMYFUNCTION("JOIN("""",ArrayFormula(MID(KS220,LEN(KS220)-SEQUENCE(1,LEN(KS220))+1,1)))"),"S")</f>
        <v>S</v>
      </c>
      <c r="LC220" s="373" t="str">
        <f>IFERROR(__xludf.DUMMYFUNCTION("JOIN("""",ArrayFormula(MID(KV220,LEN(KV220)-SEQUENCE(1,LEN(KV220))+1,1)))"),"S-R-g-P-D-n-S")</f>
        <v>S-R-g-P-D-n-S</v>
      </c>
      <c r="LD220" s="373" t="str">
        <f t="shared" si="193"/>
        <v>S</v>
      </c>
      <c r="LE220" s="339" t="str">
        <f t="shared" si="194"/>
        <v>SRgPDnS</v>
      </c>
      <c r="LF220" s="386" t="str">
        <f>IFERROR(__xludf.DUMMYFUNCTION("SUBSTITUTE(SUBSTITUTE(CONCATENATE(JOIN("""",LH220:LT220)),""1"",""""),""2"","""")"),"SRgPDnS")</f>
        <v>SRgPDnS</v>
      </c>
      <c r="LG220" s="369" t="str">
        <f t="shared" si="195"/>
        <v>✔</v>
      </c>
      <c r="LH220" s="387" t="str">
        <f>IFERROR(__xludf.DUMMYFUNCTION("IF(REGEXMATCH(LD220, ""S""), ""S"",IF(REGEXMATCH(LE220, ""S""), ""S"",""""))"),"S")</f>
        <v>S</v>
      </c>
      <c r="LI220" s="299" t="str">
        <f>IFERROR(__xludf.DUMMYFUNCTION("IF(REGEXMATCH(LD220, ""r""), ""r1"",IF(REGEXMATCH(LE220, ""r""), ""r2"",""""))"),"")</f>
        <v/>
      </c>
      <c r="LJ220" s="299" t="str">
        <f>IFERROR(__xludf.DUMMYFUNCTION("IF(REGEXMATCH(LD220, ""R""), ""R1"",IF(REGEXMATCH(LE220, ""R""), ""R2"",""""))"),"R2")</f>
        <v>R2</v>
      </c>
      <c r="LK220" s="299" t="str">
        <f>IFERROR(__xludf.DUMMYFUNCTION("IF(REGEXMATCH(LD220, ""g""), ""g1"",IF(REGEXMATCH(LE220, ""g""), ""g2"",""""))"),"g2")</f>
        <v>g2</v>
      </c>
      <c r="LL220" s="299" t="str">
        <f>IFERROR(__xludf.DUMMYFUNCTION("IF(REGEXMATCH(LD220, ""G""), ""G1"",IF(REGEXMATCH(LE220, ""G""), ""G2"",""""))"),"")</f>
        <v/>
      </c>
      <c r="LM220" s="299" t="str">
        <f>IFERROR(__xludf.DUMMYFUNCTION("IF(REGEXMATCH(LD220, ""m""), ""m1"",IF(REGEXMATCH(LE220, ""m""), ""m2"",""""))"),"")</f>
        <v/>
      </c>
      <c r="LN220" s="299" t="str">
        <f>IFERROR(__xludf.DUMMYFUNCTION("IF(REGEXMATCH(LD220, ""M""), ""M1"",IF(REGEXMATCH(LE220, ""M""), ""M2"",""""))"),"")</f>
        <v/>
      </c>
      <c r="LO220" s="299" t="str">
        <f>IFERROR(__xludf.DUMMYFUNCTION("IF(REGEXMATCH(LD220, ""P""), ""P1"",IF(REGEXMATCH(LE220, ""P""), ""P2"",""""))"),"P2")</f>
        <v>P2</v>
      </c>
      <c r="LP220" s="299" t="str">
        <f>IFERROR(__xludf.DUMMYFUNCTION("IF(REGEXMATCH(LD220, ""d""), ""d1"",IF(REGEXMATCH(LE220, ""d""), ""d2"",""""))"),"")</f>
        <v/>
      </c>
      <c r="LQ220" s="299" t="str">
        <f>IFERROR(__xludf.DUMMYFUNCTION("IF(REGEXMATCH(LD220, ""D""), ""D1"",IF(REGEXMATCH(LE220, ""D""), ""D2"",""""))"),"D2")</f>
        <v>D2</v>
      </c>
      <c r="LR220" s="299" t="str">
        <f>IFERROR(__xludf.DUMMYFUNCTION("IF(REGEXMATCH(LD220, ""n""), ""n1"",IF(REGEXMATCH(LE220, ""n""), ""n2"",""""))"),"n2")</f>
        <v>n2</v>
      </c>
      <c r="LS220" s="299" t="str">
        <f>IFERROR(__xludf.DUMMYFUNCTION("IF(REGEXMATCH(LD220, ""N""), ""N1"",IF(REGEXMATCH(LE220, ""N""), ""N2"",""""))"),"")</f>
        <v/>
      </c>
      <c r="LT220" s="388" t="str">
        <f>IFERROR(__xludf.DUMMYFUNCTION("IF(REGEXMATCH(LD220, ""S""), ""S"",IF(REGEXMATCH(LE220, ""S""), ""S"",""""))"),"S")</f>
        <v>S</v>
      </c>
      <c r="LU220" s="389">
        <f t="shared" si="196"/>
        <v>-11</v>
      </c>
      <c r="LV220" s="378"/>
      <c r="LW220" s="369"/>
      <c r="LX220" s="369"/>
    </row>
    <row r="221" ht="18.0" customHeight="1">
      <c r="A221" s="298" t="s">
        <v>967</v>
      </c>
      <c r="B221" s="222" t="s">
        <v>554</v>
      </c>
      <c r="C221" s="233" t="str">
        <f t="shared" si="7"/>
        <v>SRGmPDNS</v>
      </c>
      <c r="D221" s="234" t="str">
        <f>IFERROR(__xludf.DUMMYFUNCTION("IF(REGEXMATCH(C221, ""S""), ""S"","""")"),"S")</f>
        <v>S</v>
      </c>
      <c r="E221" s="236" t="str">
        <f>IFERROR(__xludf.DUMMYFUNCTION("IF(REGEXMATCH(C221, ""r""), ""r"","""")"),"")</f>
        <v/>
      </c>
      <c r="F221" s="237" t="str">
        <f>IFERROR(__xludf.DUMMYFUNCTION("IF(REGEXMATCH(C221, ""R""), ""R"","""")"),"R")</f>
        <v>R</v>
      </c>
      <c r="G221" s="237" t="str">
        <f>IFERROR(__xludf.DUMMYFUNCTION("IF(REGEXMATCH(C221, ""g""), ""g"","""")"),"")</f>
        <v/>
      </c>
      <c r="H221" s="236" t="str">
        <f>IFERROR(__xludf.DUMMYFUNCTION("IF(REGEXMATCH(C221, ""G""), ""G"","""")"),"G")</f>
        <v>G</v>
      </c>
      <c r="I221" s="236" t="str">
        <f>IFERROR(__xludf.DUMMYFUNCTION("IF(REGEXMATCH(C221, ""m""), ""m"","""")"),"m")</f>
        <v>m</v>
      </c>
      <c r="J221" s="237" t="str">
        <f>IFERROR(__xludf.DUMMYFUNCTION("IF(REGEXMATCH(C221, ""M""), ""M"","""")"),"")</f>
        <v/>
      </c>
      <c r="K221" s="236" t="str">
        <f>IFERROR(__xludf.DUMMYFUNCTION("IF(REGEXMATCH(C221, ""P""), ""P"","""")"),"P")</f>
        <v>P</v>
      </c>
      <c r="L221" s="237" t="str">
        <f>IFERROR(__xludf.DUMMYFUNCTION("IF(REGEXMATCH(C221, ""d""), ""d"","""")"),"")</f>
        <v/>
      </c>
      <c r="M221" s="236" t="str">
        <f>IFERROR(__xludf.DUMMYFUNCTION("IF(REGEXMATCH(C221, ""D""), ""D"","""")"),"D")</f>
        <v>D</v>
      </c>
      <c r="N221" s="236" t="str">
        <f>IFERROR(__xludf.DUMMYFUNCTION("IF(REGEXMATCH(C221, ""n""), ""n"","""")"),"")</f>
        <v/>
      </c>
      <c r="O221" s="237" t="str">
        <f>IFERROR(__xludf.DUMMYFUNCTION("IF(REGEXMATCH(C221, ""N""), ""N"","""")"),"N")</f>
        <v>N</v>
      </c>
      <c r="P221" s="238" t="str">
        <f>IFERROR(__xludf.DUMMYFUNCTION("IF(REGEXMATCH(C221, ""S""), ""S"","""")"),"S")</f>
        <v>S</v>
      </c>
      <c r="Q221" s="239" t="str">
        <f>IFERROR(__xludf.DUMMYFUNCTION("SUBSTITUTE(CONCATENATE(JOIN(""-"",D221:J221)),""-"","""")"),"SRGm")</f>
        <v>SRGm</v>
      </c>
      <c r="R221" s="229" t="str">
        <f>IFERROR(__xludf.DUMMYFUNCTION("SUBSTITUTE(CONCATENATE(JOIN(""-"",K221:P221)),""-"","""")"),"PDNS")</f>
        <v>PDNS</v>
      </c>
      <c r="S221" s="282" t="str">
        <f t="shared" si="8"/>
        <v>S-R-G-M</v>
      </c>
      <c r="T221" s="282" t="str">
        <f t="shared" si="9"/>
        <v>P-D-N-S</v>
      </c>
      <c r="U221" s="237" t="str">
        <f>IFERROR(__xludf.DUMMYFUNCTION("SUBSTITUTE(JOIN(""-"",S221,T221),""--"",""-"")"),"S-R-G-M-P-D-N-S")</f>
        <v>S-R-G-M-P-D-N-S</v>
      </c>
      <c r="V221" s="309" t="str">
        <f t="shared" si="10"/>
        <v>RGmDN</v>
      </c>
      <c r="W221" s="244" t="str">
        <f>IFERROR(__xludf.DUMMYFUNCTION("IF(REGEXMATCH(C221, ""S""), ""0"","""")"),"0")</f>
        <v>0</v>
      </c>
      <c r="X221" s="245" t="str">
        <f>IFERROR(__xludf.DUMMYFUNCTION("IF(REGEXMATCH(C221, ""r""), ""1"","""")"),"")</f>
        <v/>
      </c>
      <c r="Y221" s="246" t="str">
        <f>IFERROR(__xludf.DUMMYFUNCTION("IF(REGEXMATCH(C221, ""R""), ""2"","""")"),"2")</f>
        <v>2</v>
      </c>
      <c r="Z221" s="246" t="str">
        <f>IFERROR(__xludf.DUMMYFUNCTION("IF(REGEXMATCH(C221, ""g""), ""3"","""")"),"")</f>
        <v/>
      </c>
      <c r="AA221" s="245" t="str">
        <f>IFERROR(__xludf.DUMMYFUNCTION("IF(REGEXMATCH(C221, ""G""), ""4"","""")"),"4")</f>
        <v>4</v>
      </c>
      <c r="AB221" s="245" t="str">
        <f>IFERROR(__xludf.DUMMYFUNCTION("IF(REGEXMATCH(C221, ""m""), ""5"","""")"),"5")</f>
        <v>5</v>
      </c>
      <c r="AC221" s="246" t="str">
        <f>IFERROR(__xludf.DUMMYFUNCTION("IF(REGEXMATCH(C221, ""M""), ""6"","""")"),"")</f>
        <v/>
      </c>
      <c r="AD221" s="245" t="str">
        <f>IFERROR(__xludf.DUMMYFUNCTION("IF(REGEXMATCH(C221, ""P""), ""7"","""")"),"7")</f>
        <v>7</v>
      </c>
      <c r="AE221" s="246" t="str">
        <f>IFERROR(__xludf.DUMMYFUNCTION("IF(REGEXMATCH(C221, ""d""), ""8"","""")"),"")</f>
        <v/>
      </c>
      <c r="AF221" s="245" t="str">
        <f>IFERROR(__xludf.DUMMYFUNCTION("IF(REGEXMATCH(C221, ""D""), ""9"","""")"),"9")</f>
        <v>9</v>
      </c>
      <c r="AG221" s="245" t="str">
        <f>IFERROR(__xludf.DUMMYFUNCTION("IF(REGEXMATCH(C221, ""n""), ""10"","""")"),"")</f>
        <v/>
      </c>
      <c r="AH221" s="246" t="str">
        <f>IFERROR(__xludf.DUMMYFUNCTION("IF(REGEXMATCH(C221, ""N""), ""11"","""")"),"11")</f>
        <v>11</v>
      </c>
      <c r="AI221" s="249" t="str">
        <f>IFERROR(__xludf.DUMMYFUNCTION("IF(REGEXMATCH(C221, ""S""), ""0"","""")"),"0")</f>
        <v>0</v>
      </c>
      <c r="AJ221" s="313" t="str">
        <f t="shared" si="11"/>
        <v>-</v>
      </c>
      <c r="AK221" s="313" t="str">
        <f t="shared" si="12"/>
        <v>-</v>
      </c>
      <c r="AL221" s="313" t="str">
        <f t="shared" si="13"/>
        <v>-</v>
      </c>
      <c r="AM221" s="313" t="str">
        <f t="shared" si="14"/>
        <v>-</v>
      </c>
      <c r="AN221" s="313" t="str">
        <f t="shared" si="15"/>
        <v>-</v>
      </c>
      <c r="AO221" s="314" t="str">
        <f t="shared" si="16"/>
        <v>T</v>
      </c>
      <c r="AP221" s="316">
        <f t="shared" si="17"/>
        <v>1</v>
      </c>
      <c r="AQ221" s="319" t="str">
        <f t="shared" si="18"/>
        <v>-</v>
      </c>
      <c r="AR221" s="320">
        <f t="shared" si="19"/>
        <v>0</v>
      </c>
      <c r="AS221" s="250" t="str">
        <f>IFERROR(__xludf.DUMMYFUNCTION("SUBSTITUTE(SUBSTITUTE(CONCATENATE(JOIN("""",FP221:GA221)),""|"",""x""),""-"",""o"")"),"xoxoxxoxoxox")</f>
        <v>xoxoxxoxoxox</v>
      </c>
      <c r="AT221" s="323" t="str">
        <f>IFERROR(__xludf.DUMMYFUNCTION("JOIN("""",AS221,AS221)"),"xoxoxxoxoxoxxoxoxxoxoxox")</f>
        <v>xoxoxxoxoxoxxoxoxxoxoxox</v>
      </c>
      <c r="AU221" s="256" t="str">
        <f>IFERROR(__xludf.DUMMYFUNCTION("JOIN("""",ArrayFormula(MID(AS221,LEN(AS221)-SEQUENCE(1,LEN(AS221))+1,1)))"),"xoxoxoxxoxox")</f>
        <v>xoxoxoxxoxox</v>
      </c>
      <c r="AV221" s="256" t="str">
        <f>IFERROR(__xludf.DUMMYFUNCTION("LEFT(CONCATENATE(""x"",JOIN("""",ArrayFormula(MID(AS221,LEN(AS221)-SEQUENCE(1,LEN(AS221))+1,1)))),12)"),"xxoxoxoxxoxo")</f>
        <v>xxoxoxoxxoxo</v>
      </c>
      <c r="AW221" s="327" t="str">
        <f>IFERROR(__xludf.DUMMYFUNCTION("JOIN("""",AU221,AU221)"),"xoxoxoxxoxoxxoxoxoxxoxox")</f>
        <v>xoxoxoxxoxoxxoxoxoxxoxox</v>
      </c>
      <c r="AX221" s="239" t="str">
        <f>IFERROR(__xludf.DUMMYFUNCTION("IF(REGEXMATCH(AW221,AS221),""✔"",""-"")"),"✔")</f>
        <v>✔</v>
      </c>
      <c r="AY221" s="330" t="str">
        <f t="shared" si="20"/>
        <v>-</v>
      </c>
      <c r="AZ221" s="260" t="str">
        <f t="shared" si="21"/>
        <v>#REF!</v>
      </c>
      <c r="BA221" s="333" t="str">
        <f t="shared" si="22"/>
        <v>xoxoxxo</v>
      </c>
      <c r="BB221" s="334" t="str">
        <f t="shared" si="23"/>
        <v>xoxoxx</v>
      </c>
      <c r="BC221" s="335" t="str">
        <f t="shared" si="236"/>
        <v>✔</v>
      </c>
      <c r="BD221" s="336" t="str">
        <f t="shared" si="25"/>
        <v>Mand: 'xoxoxxo' + 'xoxoxx'</v>
      </c>
      <c r="BE221" s="337">
        <f>IFERROR(__xludf.DUMMYFUNCTION("COUNTUNIQUE(FILTER(AT:AT,REGEXMATCH(AT:AT,AS221)))-1"),6.0)</f>
        <v>6</v>
      </c>
      <c r="BF221" s="261" t="str">
        <f>IFERROR(__xludf.DUMMYFUNCTION("IF(BI221=0,""(n/a)"",IF(BJ221=2,""(PAIR)"",IF(REGEXMATCH(AT221,""xoxoxxoxoxox""),""Bilawal"",IF(REGEXMATCH(AT221,""xoxoxooxoxoo""),""Bhupali"",IF(REGEXMATCH(AT221,""xoxoxxoxxoxo""),""Charukeshi"",IF(REGEXMATCH(AT221,""xoxoooxxoxxo""),""Kameshwari"",IF(REG"&amp;"EXMATCH(AT221,""xoxoxooxoxox""),""Shankara"",IF(REGEXMATCH(AT221,""xxooxoxxxoox""),""Basant"",IF(REGEXMATCH(AT221,""xoxoxxxxoxox""),""Bihag"",IF(REGEXMATCH(AT221,""xoxxxxoxoxxx""),""Pilu"",IF(REGEXMATCH(AT221,""xoxxoxoxxoox""),""Kirwani"",IF(REGEXMATCH(AT"&amp;"221,""xoxxoxoxoxxx""),""Mk.Malhar"",IF(REGEXMATCH(AT221,""xxooxxoxxoox""),""Bhairav"",IF(REGEXMATCH(AT221,""xxoxooxxxoox""),""Todi"",IF(REGEXMATCH(AT221,""xxooxoxooxox""),""Marwa"",IF(REGEXMATCH(AT221,""xxoooxoxxooo""),""Gunkali"",IF(REGEXMATCH(AT221,""xo"&amp;"xoxxoxxoox""),""Nat Bhairav"",IF(REGEXMATCH(AT221,""xoxxoooxoxoo""),""Shivranjani"",IF(REGEXMATCH(AT221,""xooxxxoxooxo""),""Jog"",IF(REGEXMATCH(AT221,""xxooxoxoxoox""),""Hemshri"",IF(REGEXMATCH(AT221,""xoooxooxoxxo""),""Kalavati"",IF(REGEXMATCH(AT221,""xx"&amp;"oxoxxoxoox""),""Kedar"",IF(REGEXMATCH(AT221,""xoxxxxoxooxx""),""Gara"",IF(REGEXMATCH(AT221,""xooxoxooxoox""),""Chandrakauns"",IF(REGEXMATCH(AT221,""xoxxxxoxxxox""),""Mand"",IF(REGEXMATCH(AT221,""xoxxxxoxoxox""),""Hanskinkini"",IF(REGEXMATCH(AT221,""xxooxx"&amp;"oxooxo""),""Lilavati"",IF(REGEXMATCH(AT221,""xooxoxoooxox""),""Rajeshwari"",IF(REGEXMATCH(AT221,""xoooxxoxoxxx""),""Khokar"",IF(REGEXMATCH(AT221,""xxooxoxxxxox""),""Maligoura"",""-""))))))))))))))))))))))))))))))"),"Bilawal")</f>
        <v>Bilawal</v>
      </c>
      <c r="BG221" s="239" t="str">
        <f t="shared" si="26"/>
        <v>#REF!</v>
      </c>
      <c r="BH221" s="239">
        <f>IFERROR(__xludf.DUMMYFUNCTION("COUNTUNIQUE(FE221:FO221)-1"),6.0)</f>
        <v>6</v>
      </c>
      <c r="BI221" s="239">
        <f>IFERROR(__xludf.DUMMYFUNCTION("COUNTUNIQUE(FILTER(AT:AT,REGEXMATCH(AT:AT,AS221)))-1"),6.0)</f>
        <v>6</v>
      </c>
      <c r="BJ221" s="239">
        <f>IFERROR(__xludf.DUMMYFUNCTION("COUNTA(FILTER(AT:AT,REGEXMATCH(AT:AT,AS221)))"),48.0)</f>
        <v>48</v>
      </c>
      <c r="BK221" s="341">
        <f>IFERROR(__xludf.DUMMYFUNCTION("COUNTA(FILTER(AT:AT,REGEXMATCH(AT:AT,AS221)))-AR221"),48.0)</f>
        <v>48</v>
      </c>
      <c r="BL221" s="276" t="str">
        <f>IFERROR(__xludf.DUMMYFUNCTION("IF(AS221=""oooooooooooo"",""-"",IF(REGEXMATCH(AT221,""xx""), ""Hemi."", ""Anhemi.""))"),"Hemi.")</f>
        <v>Hemi.</v>
      </c>
      <c r="BM221" s="282" t="str">
        <f>IFERROR(__xludf.DUMMYFUNCTION("IF(AS221=""oooooooooooo"",""-"",IF(REGEXMATCH(AT221,""xxx""), ""Cohem."", ""-""))"),"-")</f>
        <v>-</v>
      </c>
      <c r="BN221" s="282" t="str">
        <f>IFERROR(__xludf.DUMMYFUNCTION("IF(AS221=""oooooooooooo"",""-"",IF(REGEXMATCH(AT221,""xxxx""), ""Co-Co."", ""-""))"),"-")</f>
        <v>-</v>
      </c>
      <c r="BO221" s="342" t="str">
        <f>IFERROR(__xludf.DUMMYFUNCTION("IF(AS221=""oooooooooooo"",""-"",IF(REGEXMATCH(AT221,""xxxxx""), ""CCC."", ""-""))"),"-")</f>
        <v>-</v>
      </c>
      <c r="BP221" s="344" t="str">
        <f t="shared" si="27"/>
        <v>Bilawal</v>
      </c>
      <c r="BQ221" s="282" t="str">
        <f>IFERROR(__xludf.DUMMYFUNCTION("IF(REGEXMATCH(JOIN(""-"",EU221:FD221),""TRUE""),""✔"",""-"")"),"✔")</f>
        <v>✔</v>
      </c>
      <c r="BR221" s="225">
        <f t="shared" si="28"/>
        <v>1</v>
      </c>
      <c r="BS221" s="345" t="str">
        <f>IFERROR(__xludf.DUMMYFUNCTION("SUBSTITUTE(SUBSTITUTE(SUBSTITUTE(SUBSTITUTE(CONCATENATE(JOIN(""-"",GC221:GO221)),""--"",""-""),""--"",""-""),""--"",""-""),""--"",""-"")"),"1-2-3-4-5-6-7-8")</f>
        <v>1-2-3-4-5-6-7-8</v>
      </c>
      <c r="BT221" s="299" t="str">
        <f>IFERROR(__xludf.DUMMYFUNCTION("SUBSTITUTE(SUBSTITUTE(SUBSTITUTE(SUBSTITUTE(CONCATENATE(JOIN(""-"",GP221:HB221)),""--"",""-""),""--"",""-""),""--"",""-""),""--"",""-"")"),"S-R2-G3-M1-P-D2-N3-S")</f>
        <v>S-R2-G3-M1-P-D2-N3-S</v>
      </c>
      <c r="BU221" s="348" t="str">
        <f t="shared" si="29"/>
        <v>C-D-E-F-G-A-B-C</v>
      </c>
      <c r="BV221" s="349" t="str">
        <f t="shared" si="30"/>
        <v>SrgMdnS</v>
      </c>
      <c r="BW221" s="350">
        <f t="shared" si="31"/>
        <v>1</v>
      </c>
      <c r="BX221" s="351">
        <f t="shared" si="32"/>
        <v>17</v>
      </c>
      <c r="BY221" s="392"/>
      <c r="BZ221" s="309" t="str">
        <f>IFERROR(__xludf.DUMMYFUNCTION("IF(REGEXMATCH(C221, ""S""), ""x"",""x"")"),"x")</f>
        <v>x</v>
      </c>
      <c r="CA221" s="245" t="str">
        <f>IFERROR(__xludf.DUMMYFUNCTION("IF(REGEXMATCH(C221, ""r""), ""o"",""x"")"),"x")</f>
        <v>x</v>
      </c>
      <c r="CB221" s="246" t="str">
        <f>IFERROR(__xludf.DUMMYFUNCTION("IF(REGEXMATCH(C221, ""R""), ""o"",""x"")"),"o")</f>
        <v>o</v>
      </c>
      <c r="CC221" s="246" t="str">
        <f>IFERROR(__xludf.DUMMYFUNCTION("IF(REGEXMATCH(C221, ""g""), ""o"",""x"")"),"x")</f>
        <v>x</v>
      </c>
      <c r="CD221" s="245" t="str">
        <f>IFERROR(__xludf.DUMMYFUNCTION("IF(REGEXMATCH(C221, ""G""), ""o"",""x"")"),"o")</f>
        <v>o</v>
      </c>
      <c r="CE221" s="245" t="str">
        <f>IFERROR(__xludf.DUMMYFUNCTION("IF(REGEXMATCH(C221, ""m""), ""o"",""x"")"),"o")</f>
        <v>o</v>
      </c>
      <c r="CF221" s="246" t="str">
        <f>IFERROR(__xludf.DUMMYFUNCTION("IF(REGEXMATCH(C221, ""M""), ""o"",""x"")"),"x")</f>
        <v>x</v>
      </c>
      <c r="CG221" s="245" t="str">
        <f>IFERROR(__xludf.DUMMYFUNCTION("IF(REGEXMATCH(C221, ""P""), ""o"",""x"")"),"o")</f>
        <v>o</v>
      </c>
      <c r="CH221" s="246" t="str">
        <f>IFERROR(__xludf.DUMMYFUNCTION("IF(REGEXMATCH(C221, ""d""), ""o"",""x"")"),"x")</f>
        <v>x</v>
      </c>
      <c r="CI221" s="245" t="str">
        <f>IFERROR(__xludf.DUMMYFUNCTION("IF(REGEXMATCH(C221, ""D""), ""o"",""x"")"),"o")</f>
        <v>o</v>
      </c>
      <c r="CJ221" s="245" t="str">
        <f>IFERROR(__xludf.DUMMYFUNCTION("IF(REGEXMATCH(C221, ""n""), ""o"",""x"")"),"x")</f>
        <v>x</v>
      </c>
      <c r="CK221" s="245" t="str">
        <f>IFERROR(__xludf.DUMMYFUNCTION("IF(REGEXMATCH(C221, ""N""), ""o"",""x"")"),"o")</f>
        <v>o</v>
      </c>
      <c r="CL221" s="356" t="str">
        <f>IFERROR(__xludf.DUMMYFUNCTION("IF(REGEXMATCH(C221, ""S""), ""x"",""x"")"),"x")</f>
        <v>x</v>
      </c>
      <c r="CM221" s="357" t="str">
        <f t="shared" si="33"/>
        <v>xxoxooxoxoxo</v>
      </c>
      <c r="CN221" s="358">
        <f t="shared" si="34"/>
        <v>1</v>
      </c>
      <c r="CO221" s="246" t="str">
        <f>IFERROR(__xludf.DUMMYFUNCTION("IF(REGEXMATCH($C221, ""S""), ""S"",""S"")"),"S")</f>
        <v>S</v>
      </c>
      <c r="CP221" s="246" t="str">
        <f>IFERROR(__xludf.DUMMYFUNCTION("IF(REGEXMATCH($C221, ""r""), """",""r"")"),"r")</f>
        <v>r</v>
      </c>
      <c r="CQ221" s="246" t="str">
        <f>IFERROR(__xludf.DUMMYFUNCTION("IF(REGEXMATCH($C221, ""R""), """",""R"")"),"")</f>
        <v/>
      </c>
      <c r="CR221" s="246" t="str">
        <f>IFERROR(__xludf.DUMMYFUNCTION("IF(REGEXMATCH($C221, ""g""), """",""g"")"),"g")</f>
        <v>g</v>
      </c>
      <c r="CS221" s="246" t="str">
        <f>IFERROR(__xludf.DUMMYFUNCTION("IF(REGEXMATCH($C221, ""G""), """",""G"")"),"")</f>
        <v/>
      </c>
      <c r="CT221" s="246" t="str">
        <f>IFERROR(__xludf.DUMMYFUNCTION("IF(REGEXMATCH($C221, ""m""), """",""m"")"),"")</f>
        <v/>
      </c>
      <c r="CU221" s="246" t="str">
        <f>IFERROR(__xludf.DUMMYFUNCTION("IF(REGEXMATCH($C221, ""M""), """",""M"")"),"M")</f>
        <v>M</v>
      </c>
      <c r="CV221" s="246" t="str">
        <f>IFERROR(__xludf.DUMMYFUNCTION("IF(REGEXMATCH($C221, ""P""), """",""P"")"),"")</f>
        <v/>
      </c>
      <c r="CW221" s="246" t="str">
        <f>IFERROR(__xludf.DUMMYFUNCTION("IF(REGEXMATCH($C221, ""d""), """",""d"")"),"d")</f>
        <v>d</v>
      </c>
      <c r="CX221" s="246" t="str">
        <f>IFERROR(__xludf.DUMMYFUNCTION("IF(REGEXMATCH($C221, ""D""), """",""D"")"),"")</f>
        <v/>
      </c>
      <c r="CY221" s="246" t="str">
        <f>IFERROR(__xludf.DUMMYFUNCTION("IF(REGEXMATCH($C221, ""n""), """",""n"")"),"n")</f>
        <v>n</v>
      </c>
      <c r="CZ221" s="246" t="str">
        <f>IFERROR(__xludf.DUMMYFUNCTION("IF(REGEXMATCH($C221, ""N""), """",""N"")"),"")</f>
        <v/>
      </c>
      <c r="DA221" s="246" t="str">
        <f>IFERROR(__xludf.DUMMYFUNCTION("IF(REGEXMATCH($C221, ""S""), ""S"",""S"")"),"S")</f>
        <v>S</v>
      </c>
      <c r="DB221" s="362" t="str">
        <f>IFERROR(__xludf.DUMMYFUNCTION("JOIN("""",CO221:DA221,"""","""")"),"SrgMdnS")</f>
        <v>SrgMdnS</v>
      </c>
      <c r="DC221" s="363"/>
      <c r="DD221" s="301" t="str">
        <f t="shared" si="35"/>
        <v>#REF!</v>
      </c>
      <c r="DE221" s="302" t="str">
        <f t="shared" si="36"/>
        <v>#REF!</v>
      </c>
      <c r="DF221" s="301" t="str">
        <f t="shared" ref="DF221:DG221" si="658">SUBSTITUTE(S221,"-","")</f>
        <v>SRGM</v>
      </c>
      <c r="DG221" s="301" t="str">
        <f t="shared" si="658"/>
        <v>PDNS</v>
      </c>
      <c r="DH221" s="302" t="str">
        <f t="shared" si="38"/>
        <v>Bilawal</v>
      </c>
      <c r="DI221" s="301" t="str">
        <f t="shared" si="39"/>
        <v>Hemi.</v>
      </c>
      <c r="DJ221" s="364" t="str">
        <f t="shared" si="40"/>
        <v>-</v>
      </c>
      <c r="DK221" s="306" t="str">
        <f t="shared" si="41"/>
        <v>Bilawal</v>
      </c>
      <c r="DL221" s="366" t="str">
        <f t="shared" si="42"/>
        <v>-</v>
      </c>
      <c r="DM221" s="308" t="str">
        <f t="shared" si="43"/>
        <v>-</v>
      </c>
      <c r="DN221" s="306" t="str">
        <f t="shared" si="44"/>
        <v>✔</v>
      </c>
      <c r="DO221" s="306" t="str">
        <f t="shared" si="45"/>
        <v>-</v>
      </c>
      <c r="DP221" s="367" t="str">
        <f t="shared" si="46"/>
        <v>-</v>
      </c>
      <c r="DQ221" s="310" t="str">
        <f t="shared" si="47"/>
        <v>-</v>
      </c>
      <c r="DR221" s="310" t="str">
        <f t="shared" si="48"/>
        <v>-</v>
      </c>
      <c r="DS221" s="310" t="str">
        <f t="shared" si="49"/>
        <v>-</v>
      </c>
      <c r="DT221" s="310" t="str">
        <f t="shared" si="50"/>
        <v>-</v>
      </c>
      <c r="DU221" s="370" t="str">
        <f t="shared" si="51"/>
        <v>-</v>
      </c>
      <c r="DV221" s="306" t="str">
        <f t="shared" si="52"/>
        <v>-</v>
      </c>
      <c r="DW221" s="306" t="str">
        <f t="shared" si="53"/>
        <v>-</v>
      </c>
      <c r="DX221" s="306" t="str">
        <f t="shared" si="54"/>
        <v>-</v>
      </c>
      <c r="DY221" s="306" t="str">
        <f t="shared" si="55"/>
        <v>-</v>
      </c>
      <c r="DZ221" s="306" t="str">
        <f t="shared" si="56"/>
        <v>-</v>
      </c>
      <c r="EA221" s="367" t="str">
        <f t="shared" si="57"/>
        <v>-</v>
      </c>
      <c r="EB221" s="310" t="str">
        <f>IFERROR(__xludf.DUMMYFUNCTION("IF(REGEXMATCH(AW221,AS221),""✔"",""-"")"),"✔")</f>
        <v>✔</v>
      </c>
      <c r="EC221" s="310" t="str">
        <f t="shared" si="58"/>
        <v>#REF!</v>
      </c>
      <c r="ED221" s="370" t="str">
        <f t="shared" si="59"/>
        <v>-</v>
      </c>
      <c r="EE221" s="340" t="str">
        <f t="shared" si="60"/>
        <v>S-R-G-m-P-D-N-S</v>
      </c>
      <c r="EF221" s="371" t="str">
        <f>IFERROR(__xludf.DUMMYFUNCTION("CONCATENATE(JOIN("""",HC221:HO221))"),"SrgmPdnS")</f>
        <v>SrgmPdnS</v>
      </c>
      <c r="EG221" s="372">
        <f t="shared" si="61"/>
        <v>1</v>
      </c>
      <c r="EH221" s="373" t="str">
        <f>IFERROR(__xludf.DUMMYFUNCTION("CONCATENATE(JOIN("""",JC221:JO221))"),"Ni, ")</f>
        <v>Ni, </v>
      </c>
      <c r="EI221" s="322">
        <f t="shared" si="62"/>
        <v>0</v>
      </c>
      <c r="EJ221" s="374" t="str">
        <f>IFERROR(__xludf.DUMMYFUNCTION("CONCATENATE(JOIN("""",KC221:KO221))"),"")</f>
        <v/>
      </c>
      <c r="EK221" s="325" t="str">
        <f t="shared" si="63"/>
        <v>S-R2-G3-M1-P-D2-N3-S</v>
      </c>
      <c r="EL221" s="326" t="str">
        <f t="shared" si="64"/>
        <v>1-2-3-4-5-6-7-8</v>
      </c>
      <c r="EM221" s="318" t="str">
        <f t="shared" si="65"/>
        <v>#REF!</v>
      </c>
      <c r="EN221" s="328" t="str">
        <f>IFERROR(__xludf.DUMMYFUNCTION("SUBSTITUTE(SUBSTITUTE(SUBSTITUTE(SUBSTITUTE(CONCATENATE(JOIN("" "",HP221:IB221)),""  "","" ""),""  "","" ""),""  "","" ""),""  "","" "")"),"o • o • o o • o • o • o o")</f>
        <v>o • o • o o • o • o • o o</v>
      </c>
      <c r="EO221" s="368" t="str">
        <f t="shared" si="66"/>
        <v>-</v>
      </c>
      <c r="EP221" s="339" t="str">
        <f t="shared" si="67"/>
        <v>-</v>
      </c>
      <c r="EQ221" s="339" t="str">
        <f t="shared" si="68"/>
        <v>Sa-Pa</v>
      </c>
      <c r="ER221" s="339" t="str">
        <f t="shared" si="69"/>
        <v>-</v>
      </c>
      <c r="ES221" s="340" t="str">
        <f t="shared" si="70"/>
        <v>-</v>
      </c>
      <c r="ET221" s="363"/>
      <c r="EU221" s="376" t="b">
        <f>IFERROR(__xludf.DUMMYFUNCTION("arrayformula(sum(--REGEXMATCH(""SRGMPDNS"",split(REGEXREPLACE(C221,""(.)"",""$1~""),""~""))))=len(C221)
"),FALSE)</f>
        <v>0</v>
      </c>
      <c r="EV221" s="290" t="b">
        <f>IFERROR(__xludf.DUMMYFUNCTION("arrayformula(sum(--REGEXMATCH(""SRGmPDNS"",split(REGEXREPLACE(C221,""(.)"",""$1~""),""~""))))=len(C221)"),TRUE)</f>
        <v>1</v>
      </c>
      <c r="EW221" s="290" t="b">
        <f>IFERROR(__xludf.DUMMYFUNCTION("arrayformula(sum(--REGEXMATCH(""SRGmPDnS"",split(REGEXREPLACE(C221,""(.)"",""$1~""),""~""))))=len(C221)"),FALSE)</f>
        <v>0</v>
      </c>
      <c r="EX221" s="290" t="b">
        <f>IFERROR(__xludf.DUMMYFUNCTION("arrayformula(sum(--REGEXMATCH(""SRgmPDnS"",split(REGEXREPLACE(C221,""(.)"",""$1~""),""~""))))=len(C221)"),FALSE)</f>
        <v>0</v>
      </c>
      <c r="EY221" s="290" t="b">
        <f>IFERROR(__xludf.DUMMYFUNCTION("arrayformula(sum(--REGEXMATCH(""SRgmPdnS"",split(REGEXREPLACE(C221,""(.)"",""$1~""),""~""))))=len(C221)"),FALSE)</f>
        <v>0</v>
      </c>
      <c r="EZ221" s="290" t="b">
        <f>IFERROR(__xludf.DUMMYFUNCTION("arrayformula(sum(--REGEXMATCH(""SrgmPdnS"",split(REGEXREPLACE(C221,""(.)"",""$1~""),""~""))))=len(C221)"),FALSE)</f>
        <v>0</v>
      </c>
      <c r="FA221" s="290" t="b">
        <f>IFERROR(__xludf.DUMMYFUNCTION("arrayformula(sum(--REGEXMATCH(""SrGmPdNS"",split(REGEXREPLACE(C221,""(.)"",""$1~""),""~""))))=len(C221)"),FALSE)</f>
        <v>0</v>
      </c>
      <c r="FB221" s="290" t="b">
        <f>IFERROR(__xludf.DUMMYFUNCTION("arrayformula(sum(--REGEXMATCH(""SrGMPDNS"",split(REGEXREPLACE(C221,""(.)"",""$1~""),""~""))))=len(C221)"),FALSE)</f>
        <v>0</v>
      </c>
      <c r="FC221" s="290" t="b">
        <f>IFERROR(__xludf.DUMMYFUNCTION("arrayformula(sum(--REGEXMATCH(""SrGMPdNS"",split(REGEXREPLACE(C221,""(.)"",""$1~""),""~""))))=len(C221)"),FALSE)</f>
        <v>0</v>
      </c>
      <c r="FD221" s="377" t="b">
        <f>IFERROR(__xludf.DUMMYFUNCTION("arrayformula(sum(--REGEXMATCH(""SrgMPdNS"",split(REGEXREPLACE(C221,""(.)"",""$1~""),""~""))))=len(C221)"),FALSE)</f>
        <v>0</v>
      </c>
      <c r="FE221" s="269" t="str">
        <f t="shared" si="71"/>
        <v>-</v>
      </c>
      <c r="FF221" s="269" t="str">
        <f t="shared" si="72"/>
        <v>xoxxoxoxoxx</v>
      </c>
      <c r="FG221" s="271" t="str">
        <f t="shared" si="73"/>
        <v>-</v>
      </c>
      <c r="FH221" s="269" t="str">
        <f t="shared" si="74"/>
        <v>xxoxoxoxxox</v>
      </c>
      <c r="FI221" s="271" t="str">
        <f t="shared" si="75"/>
        <v>xoxoxoxxoxo</v>
      </c>
      <c r="FJ221" s="271" t="str">
        <f t="shared" si="76"/>
        <v>-</v>
      </c>
      <c r="FK221" s="271" t="str">
        <f t="shared" si="77"/>
        <v>xoxoxxoxoxx</v>
      </c>
      <c r="FL221" s="271" t="str">
        <f t="shared" si="78"/>
        <v>-</v>
      </c>
      <c r="FM221" s="271" t="str">
        <f t="shared" si="79"/>
        <v>xoxxoxoxxox</v>
      </c>
      <c r="FN221" s="271" t="str">
        <f t="shared" si="80"/>
        <v>-</v>
      </c>
      <c r="FO221" s="274" t="str">
        <f t="shared" si="81"/>
        <v>xxoxoxxoxox</v>
      </c>
      <c r="FP221" s="234" t="str">
        <f t="shared" si="82"/>
        <v>|</v>
      </c>
      <c r="FQ221" s="236" t="str">
        <f t="shared" si="83"/>
        <v>-</v>
      </c>
      <c r="FR221" s="237" t="str">
        <f t="shared" si="84"/>
        <v>|</v>
      </c>
      <c r="FS221" s="236" t="str">
        <f t="shared" si="85"/>
        <v>-</v>
      </c>
      <c r="FT221" s="237" t="str">
        <f t="shared" si="86"/>
        <v>|</v>
      </c>
      <c r="FU221" s="236" t="str">
        <f t="shared" si="87"/>
        <v>|</v>
      </c>
      <c r="FV221" s="237" t="str">
        <f t="shared" si="88"/>
        <v>-</v>
      </c>
      <c r="FW221" s="236" t="str">
        <f t="shared" si="89"/>
        <v>|</v>
      </c>
      <c r="FX221" s="237" t="str">
        <f t="shared" si="90"/>
        <v>-</v>
      </c>
      <c r="FY221" s="236" t="str">
        <f t="shared" si="91"/>
        <v>|</v>
      </c>
      <c r="FZ221" s="237" t="str">
        <f t="shared" si="92"/>
        <v>-</v>
      </c>
      <c r="GA221" s="236" t="str">
        <f t="shared" si="93"/>
        <v>|</v>
      </c>
      <c r="GB221" s="238" t="str">
        <f t="shared" si="94"/>
        <v>|</v>
      </c>
      <c r="GC221" s="244" t="str">
        <f>IFERROR(__xludf.DUMMYFUNCTION("IF(REGEXMATCH(C221, ""S""), ""1"","""")"),"1")</f>
        <v>1</v>
      </c>
      <c r="GD221" s="245" t="str">
        <f>IFERROR(__xludf.DUMMYFUNCTION("IF(REGEXMATCH(C221, ""r""), ""b2"","""")"),"")</f>
        <v/>
      </c>
      <c r="GE221" s="246" t="str">
        <f>IFERROR(__xludf.DUMMYFUNCTION("IF(REGEXMATCH(C221, ""R""), ""2"","""")"),"2")</f>
        <v>2</v>
      </c>
      <c r="GF221" s="246" t="str">
        <f>IFERROR(__xludf.DUMMYFUNCTION("IF(REGEXMATCH(C221, ""g""), ""b3"","""")"),"")</f>
        <v/>
      </c>
      <c r="GG221" s="245" t="str">
        <f>IFERROR(__xludf.DUMMYFUNCTION("IF(REGEXMATCH(C221, ""G""), ""3"","""")"),"3")</f>
        <v>3</v>
      </c>
      <c r="GH221" s="245" t="str">
        <f>IFERROR(__xludf.DUMMYFUNCTION("IF(REGEXMATCH(C221, ""m""), ""4"","""")"),"4")</f>
        <v>4</v>
      </c>
      <c r="GI221" s="246" t="str">
        <f>IFERROR(__xludf.DUMMYFUNCTION("IF(REGEXMATCH(C221, ""M""), ""#4"","""")"),"")</f>
        <v/>
      </c>
      <c r="GJ221" s="245" t="str">
        <f>IFERROR(__xludf.DUMMYFUNCTION("IF(REGEXMATCH(C221, ""P""), ""5"","""")"),"5")</f>
        <v>5</v>
      </c>
      <c r="GK221" s="246" t="str">
        <f>IFERROR(__xludf.DUMMYFUNCTION("IF(REGEXMATCH(C221, ""d""), ""b6"","""")"),"")</f>
        <v/>
      </c>
      <c r="GL221" s="245" t="str">
        <f>IFERROR(__xludf.DUMMYFUNCTION("IF(REGEXMATCH(C221, ""D""), ""6"","""")"),"6")</f>
        <v>6</v>
      </c>
      <c r="GM221" s="245" t="str">
        <f>IFERROR(__xludf.DUMMYFUNCTION("IF(REGEXMATCH(C221, ""n""), ""b7"","""")"),"")</f>
        <v/>
      </c>
      <c r="GN221" s="246" t="str">
        <f>IFERROR(__xludf.DUMMYFUNCTION("IF(REGEXMATCH(C221, ""N""), ""7"","""")"),"7")</f>
        <v>7</v>
      </c>
      <c r="GO221" s="249" t="str">
        <f>IFERROR(__xludf.DUMMYFUNCTION("IF(REGEXMATCH(C221, ""S""), ""8"","""")"),"8")</f>
        <v>8</v>
      </c>
      <c r="GP221" s="244" t="str">
        <f>IFERROR(__xludf.DUMMYFUNCTION("IF(REGEXMATCH(C221, ""S""), ""S"","""")"),"S")</f>
        <v>S</v>
      </c>
      <c r="GQ221" s="294" t="str">
        <f>IFERROR(__xludf.DUMMYFUNCTION("IF(REGEXMATCH(C221, ""r""), ""R1"","""")"),"")</f>
        <v/>
      </c>
      <c r="GR221" s="295" t="str">
        <f>IFERROR(__xludf.DUMMYFUNCTION("IF(REGEXMATCH(C221, ""R""), ""R2"","""")"),"R2")</f>
        <v>R2</v>
      </c>
      <c r="GS221" s="295" t="str">
        <f>IFERROR(__xludf.DUMMYFUNCTION("IF(REGEXMATCH(C221, ""g""), ""G2"","""")"),"")</f>
        <v/>
      </c>
      <c r="GT221" s="294" t="str">
        <f>IFERROR(__xludf.DUMMYFUNCTION("IF(REGEXMATCH(C221, ""G""), ""G3"","""")"),"G3")</f>
        <v>G3</v>
      </c>
      <c r="GU221" s="294" t="str">
        <f>IFERROR(__xludf.DUMMYFUNCTION("IF(REGEXMATCH(C221, ""m""), ""M1"","""")"),"M1")</f>
        <v>M1</v>
      </c>
      <c r="GV221" s="295" t="str">
        <f>IFERROR(__xludf.DUMMYFUNCTION("IF(REGEXMATCH(C221, ""M""), ""M2"","""")"),"")</f>
        <v/>
      </c>
      <c r="GW221" s="294" t="str">
        <f>IFERROR(__xludf.DUMMYFUNCTION("IF(REGEXMATCH(C221, ""P""), ""P"","""")"),"P")</f>
        <v>P</v>
      </c>
      <c r="GX221" s="295" t="str">
        <f>IFERROR(__xludf.DUMMYFUNCTION("IF(REGEXMATCH(C221, ""d""), ""D1"","""")"),"")</f>
        <v/>
      </c>
      <c r="GY221" s="294" t="str">
        <f>IFERROR(__xludf.DUMMYFUNCTION("IF(REGEXMATCH(C221, ""D""), ""D2"","""")"),"D2")</f>
        <v>D2</v>
      </c>
      <c r="GZ221" s="294" t="str">
        <f>IFERROR(__xludf.DUMMYFUNCTION("IF(REGEXMATCH(C221, ""n""), ""N2"","""")"),"")</f>
        <v/>
      </c>
      <c r="HA221" s="295" t="str">
        <f>IFERROR(__xludf.DUMMYFUNCTION("IF(REGEXMATCH(C221, ""N""), ""N3"","""")"),"N3")</f>
        <v>N3</v>
      </c>
      <c r="HB221" s="249" t="str">
        <f>IFERROR(__xludf.DUMMYFUNCTION("IF(REGEXMATCH(C221, ""S""), ""S"","""")"),"S")</f>
        <v>S</v>
      </c>
      <c r="HC221" s="331" t="str">
        <f t="shared" si="95"/>
        <v>S</v>
      </c>
      <c r="HD221" s="332" t="str">
        <f t="shared" si="96"/>
        <v>r</v>
      </c>
      <c r="HE221" s="332" t="str">
        <f t="shared" si="97"/>
        <v/>
      </c>
      <c r="HF221" s="332" t="str">
        <f t="shared" si="98"/>
        <v>g</v>
      </c>
      <c r="HG221" s="332" t="str">
        <f t="shared" si="99"/>
        <v/>
      </c>
      <c r="HH221" s="332" t="str">
        <f t="shared" si="100"/>
        <v>m</v>
      </c>
      <c r="HI221" s="332" t="str">
        <f t="shared" si="101"/>
        <v/>
      </c>
      <c r="HJ221" s="332" t="str">
        <f t="shared" si="102"/>
        <v>P</v>
      </c>
      <c r="HK221" s="332" t="str">
        <f t="shared" si="103"/>
        <v>d</v>
      </c>
      <c r="HL221" s="332" t="str">
        <f t="shared" si="104"/>
        <v/>
      </c>
      <c r="HM221" s="332" t="str">
        <f t="shared" si="105"/>
        <v>n</v>
      </c>
      <c r="HN221" s="332" t="str">
        <f t="shared" si="106"/>
        <v/>
      </c>
      <c r="HO221" s="343" t="str">
        <f t="shared" si="107"/>
        <v>S</v>
      </c>
      <c r="HP221" s="331" t="str">
        <f t="shared" si="108"/>
        <v>o</v>
      </c>
      <c r="HQ221" s="332" t="str">
        <f t="shared" si="109"/>
        <v>•</v>
      </c>
      <c r="HR221" s="332" t="str">
        <f t="shared" si="110"/>
        <v>o</v>
      </c>
      <c r="HS221" s="332" t="str">
        <f t="shared" si="111"/>
        <v>•</v>
      </c>
      <c r="HT221" s="332" t="str">
        <f t="shared" si="112"/>
        <v>o</v>
      </c>
      <c r="HU221" s="332" t="str">
        <f t="shared" si="113"/>
        <v>o</v>
      </c>
      <c r="HV221" s="332" t="str">
        <f t="shared" si="114"/>
        <v>•</v>
      </c>
      <c r="HW221" s="332" t="str">
        <f t="shared" si="115"/>
        <v>o</v>
      </c>
      <c r="HX221" s="332" t="str">
        <f t="shared" si="116"/>
        <v>•</v>
      </c>
      <c r="HY221" s="332" t="str">
        <f t="shared" si="117"/>
        <v>o</v>
      </c>
      <c r="HZ221" s="332" t="str">
        <f t="shared" si="118"/>
        <v>•</v>
      </c>
      <c r="IA221" s="332" t="str">
        <f t="shared" si="119"/>
        <v>o</v>
      </c>
      <c r="IB221" s="338" t="str">
        <f t="shared" si="120"/>
        <v>o</v>
      </c>
      <c r="IC221" s="331" t="str">
        <f t="shared" si="121"/>
        <v>•</v>
      </c>
      <c r="ID221" s="332" t="str">
        <f t="shared" si="122"/>
        <v>o</v>
      </c>
      <c r="IE221" s="332" t="str">
        <f t="shared" si="123"/>
        <v>•</v>
      </c>
      <c r="IF221" s="332" t="str">
        <f t="shared" si="124"/>
        <v>o</v>
      </c>
      <c r="IG221" s="332" t="str">
        <f t="shared" si="125"/>
        <v>•</v>
      </c>
      <c r="IH221" s="332" t="str">
        <f t="shared" si="126"/>
        <v>•</v>
      </c>
      <c r="II221" s="332" t="str">
        <f t="shared" si="127"/>
        <v>o</v>
      </c>
      <c r="IJ221" s="332" t="str">
        <f t="shared" si="128"/>
        <v>•</v>
      </c>
      <c r="IK221" s="332" t="str">
        <f t="shared" si="129"/>
        <v>o</v>
      </c>
      <c r="IL221" s="332" t="str">
        <f t="shared" si="130"/>
        <v>•</v>
      </c>
      <c r="IM221" s="332" t="str">
        <f t="shared" si="131"/>
        <v>o</v>
      </c>
      <c r="IN221" s="332" t="str">
        <f t="shared" si="132"/>
        <v>•</v>
      </c>
      <c r="IO221" s="338" t="str">
        <f t="shared" si="133"/>
        <v>•</v>
      </c>
      <c r="IP221" s="346" t="b">
        <f t="shared" si="134"/>
        <v>0</v>
      </c>
      <c r="IQ221" s="347" t="b">
        <f t="shared" si="135"/>
        <v>0</v>
      </c>
      <c r="IR221" s="347" t="b">
        <f t="shared" si="136"/>
        <v>0</v>
      </c>
      <c r="IS221" s="347" t="b">
        <f t="shared" si="137"/>
        <v>0</v>
      </c>
      <c r="IT221" s="347" t="b">
        <f t="shared" si="138"/>
        <v>0</v>
      </c>
      <c r="IU221" s="347" t="b">
        <f t="shared" si="139"/>
        <v>0</v>
      </c>
      <c r="IV221" s="347" t="b">
        <f t="shared" si="140"/>
        <v>0</v>
      </c>
      <c r="IW221" s="347" t="b">
        <f t="shared" si="141"/>
        <v>0</v>
      </c>
      <c r="IX221" s="347" t="b">
        <f t="shared" si="142"/>
        <v>0</v>
      </c>
      <c r="IY221" s="347" t="b">
        <f t="shared" si="143"/>
        <v>0</v>
      </c>
      <c r="IZ221" s="347" t="b">
        <f t="shared" si="144"/>
        <v>0</v>
      </c>
      <c r="JA221" s="347" t="b">
        <f t="shared" si="145"/>
        <v>1</v>
      </c>
      <c r="JB221" s="353" t="b">
        <f t="shared" si="146"/>
        <v>0</v>
      </c>
      <c r="JC221" s="354" t="str">
        <f t="shared" si="147"/>
        <v/>
      </c>
      <c r="JD221" s="355" t="str">
        <f t="shared" si="148"/>
        <v/>
      </c>
      <c r="JE221" s="355" t="str">
        <f t="shared" si="149"/>
        <v/>
      </c>
      <c r="JF221" s="355" t="str">
        <f t="shared" si="150"/>
        <v/>
      </c>
      <c r="JG221" s="355" t="str">
        <f t="shared" si="151"/>
        <v/>
      </c>
      <c r="JH221" s="355" t="str">
        <f t="shared" si="152"/>
        <v/>
      </c>
      <c r="JI221" s="355" t="str">
        <f t="shared" si="153"/>
        <v/>
      </c>
      <c r="JJ221" s="355" t="str">
        <f t="shared" si="154"/>
        <v/>
      </c>
      <c r="JK221" s="355" t="str">
        <f t="shared" si="155"/>
        <v/>
      </c>
      <c r="JL221" s="355" t="str">
        <f t="shared" si="156"/>
        <v/>
      </c>
      <c r="JM221" s="355" t="str">
        <f t="shared" si="157"/>
        <v/>
      </c>
      <c r="JN221" s="355" t="str">
        <f t="shared" si="158"/>
        <v>Ni, </v>
      </c>
      <c r="JO221" s="359" t="str">
        <f t="shared" si="159"/>
        <v/>
      </c>
      <c r="JP221" s="346" t="b">
        <f t="shared" si="160"/>
        <v>0</v>
      </c>
      <c r="JQ221" s="347" t="b">
        <f t="shared" si="161"/>
        <v>0</v>
      </c>
      <c r="JR221" s="347" t="b">
        <f t="shared" si="162"/>
        <v>0</v>
      </c>
      <c r="JS221" s="347" t="b">
        <f t="shared" si="163"/>
        <v>0</v>
      </c>
      <c r="JT221" s="347" t="b">
        <f t="shared" si="164"/>
        <v>0</v>
      </c>
      <c r="JU221" s="347" t="b">
        <f t="shared" si="165"/>
        <v>0</v>
      </c>
      <c r="JV221" s="347" t="b">
        <f t="shared" si="166"/>
        <v>0</v>
      </c>
      <c r="JW221" s="347" t="b">
        <f t="shared" si="167"/>
        <v>0</v>
      </c>
      <c r="JX221" s="347" t="b">
        <f t="shared" si="168"/>
        <v>0</v>
      </c>
      <c r="JY221" s="347" t="b">
        <f t="shared" si="169"/>
        <v>0</v>
      </c>
      <c r="JZ221" s="347" t="b">
        <f t="shared" si="170"/>
        <v>0</v>
      </c>
      <c r="KA221" s="347" t="b">
        <f t="shared" si="171"/>
        <v>0</v>
      </c>
      <c r="KB221" s="365" t="b">
        <f t="shared" si="172"/>
        <v>0</v>
      </c>
      <c r="KC221" s="354" t="str">
        <f t="shared" si="173"/>
        <v/>
      </c>
      <c r="KD221" s="355" t="str">
        <f t="shared" si="174"/>
        <v/>
      </c>
      <c r="KE221" s="355" t="str">
        <f t="shared" si="175"/>
        <v/>
      </c>
      <c r="KF221" s="355" t="str">
        <f t="shared" si="176"/>
        <v/>
      </c>
      <c r="KG221" s="355" t="str">
        <f t="shared" si="177"/>
        <v/>
      </c>
      <c r="KH221" s="355" t="str">
        <f t="shared" si="178"/>
        <v/>
      </c>
      <c r="KI221" s="355" t="str">
        <f t="shared" si="179"/>
        <v/>
      </c>
      <c r="KJ221" s="355" t="str">
        <f t="shared" si="180"/>
        <v/>
      </c>
      <c r="KK221" s="355" t="str">
        <f t="shared" si="181"/>
        <v/>
      </c>
      <c r="KL221" s="355" t="str">
        <f t="shared" si="182"/>
        <v/>
      </c>
      <c r="KM221" s="355" t="str">
        <f t="shared" si="183"/>
        <v/>
      </c>
      <c r="KN221" s="355" t="str">
        <f t="shared" si="184"/>
        <v/>
      </c>
      <c r="KO221" s="359"/>
      <c r="KP221" s="378"/>
      <c r="KQ221" s="379" t="s">
        <v>554</v>
      </c>
      <c r="KR221" s="380" t="s">
        <v>1450</v>
      </c>
      <c r="KS221" s="381" t="str">
        <f t="shared" ref="KS221:KS223" si="661">KQ221</f>
        <v>S-R-G-m-P-D-N-S</v>
      </c>
      <c r="KT221" s="382">
        <f t="shared" si="186"/>
        <v>7</v>
      </c>
      <c r="KU221" s="383">
        <f t="shared" si="187"/>
        <v>7</v>
      </c>
      <c r="KV221" s="381" t="str">
        <f t="shared" si="205"/>
        <v>S-N-D-P-m-Gg-R-S</v>
      </c>
      <c r="KW221" s="382">
        <f t="shared" si="189"/>
        <v>7</v>
      </c>
      <c r="KX221" s="384">
        <f t="shared" si="190"/>
        <v>8</v>
      </c>
      <c r="KY221" s="382">
        <f t="shared" ref="KY221:KZ221" si="659">KW221-KT221</f>
        <v>0</v>
      </c>
      <c r="KZ221" s="369">
        <f t="shared" si="659"/>
        <v>1</v>
      </c>
      <c r="LA221" s="385" t="str">
        <f t="shared" si="192"/>
        <v>-</v>
      </c>
      <c r="LB221" s="340" t="str">
        <f>IFERROR(__xludf.DUMMYFUNCTION("JOIN("""",ArrayFormula(MID(KS221,LEN(KS221)-SEQUENCE(1,LEN(KS221))+1,1)))"),"S-N-D-P-m-G-R-S")</f>
        <v>S-N-D-P-m-G-R-S</v>
      </c>
      <c r="LC221" s="373" t="str">
        <f>IFERROR(__xludf.DUMMYFUNCTION("JOIN("""",ArrayFormula(MID(KV221,LEN(KV221)-SEQUENCE(1,LEN(KV221))+1,1)))"),"S-R-gG-m-P-D-N-S")</f>
        <v>S-R-gG-m-P-D-N-S</v>
      </c>
      <c r="LD221" s="373" t="str">
        <f t="shared" si="193"/>
        <v>SRGmPDNS</v>
      </c>
      <c r="LE221" s="339" t="str">
        <f t="shared" si="194"/>
        <v>SRgGmPDNS</v>
      </c>
      <c r="LF221" s="386" t="str">
        <f>IFERROR(__xludf.DUMMYFUNCTION("SUBSTITUTE(SUBSTITUTE(CONCATENATE(JOIN("""",LH221:LT221)),""1"",""""),""2"","""")"),"SRgGmPDNS")</f>
        <v>SRgGmPDNS</v>
      </c>
      <c r="LG221" s="369" t="str">
        <f t="shared" si="195"/>
        <v>-</v>
      </c>
      <c r="LH221" s="387" t="str">
        <f>IFERROR(__xludf.DUMMYFUNCTION("IF(REGEXMATCH(LD221, ""S""), ""S"",IF(REGEXMATCH(LE221, ""S""), ""S"",""""))"),"S")</f>
        <v>S</v>
      </c>
      <c r="LI221" s="299" t="str">
        <f>IFERROR(__xludf.DUMMYFUNCTION("IF(REGEXMATCH(LD221, ""r""), ""r1"",IF(REGEXMATCH(LE221, ""r""), ""r2"",""""))"),"")</f>
        <v/>
      </c>
      <c r="LJ221" s="299" t="str">
        <f>IFERROR(__xludf.DUMMYFUNCTION("IF(REGEXMATCH(LD221, ""R""), ""R1"",IF(REGEXMATCH(LE221, ""R""), ""R2"",""""))"),"R1")</f>
        <v>R1</v>
      </c>
      <c r="LK221" s="299" t="str">
        <f>IFERROR(__xludf.DUMMYFUNCTION("IF(REGEXMATCH(LD221, ""g""), ""g1"",IF(REGEXMATCH(LE221, ""g""), ""g2"",""""))"),"g2")</f>
        <v>g2</v>
      </c>
      <c r="LL221" s="299" t="str">
        <f>IFERROR(__xludf.DUMMYFUNCTION("IF(REGEXMATCH(LD221, ""G""), ""G1"",IF(REGEXMATCH(LE221, ""G""), ""G2"",""""))"),"G1")</f>
        <v>G1</v>
      </c>
      <c r="LM221" s="299" t="str">
        <f>IFERROR(__xludf.DUMMYFUNCTION("IF(REGEXMATCH(LD221, ""m""), ""m1"",IF(REGEXMATCH(LE221, ""m""), ""m2"",""""))"),"m1")</f>
        <v>m1</v>
      </c>
      <c r="LN221" s="299" t="str">
        <f>IFERROR(__xludf.DUMMYFUNCTION("IF(REGEXMATCH(LD221, ""M""), ""M1"",IF(REGEXMATCH(LE221, ""M""), ""M2"",""""))"),"")</f>
        <v/>
      </c>
      <c r="LO221" s="299" t="str">
        <f>IFERROR(__xludf.DUMMYFUNCTION("IF(REGEXMATCH(LD221, ""P""), ""P1"",IF(REGEXMATCH(LE221, ""P""), ""P2"",""""))"),"P1")</f>
        <v>P1</v>
      </c>
      <c r="LP221" s="299" t="str">
        <f>IFERROR(__xludf.DUMMYFUNCTION("IF(REGEXMATCH(LD221, ""d""), ""d1"",IF(REGEXMATCH(LE221, ""d""), ""d2"",""""))"),"")</f>
        <v/>
      </c>
      <c r="LQ221" s="299" t="str">
        <f>IFERROR(__xludf.DUMMYFUNCTION("IF(REGEXMATCH(LD221, ""D""), ""D1"",IF(REGEXMATCH(LE221, ""D""), ""D2"",""""))"),"D1")</f>
        <v>D1</v>
      </c>
      <c r="LR221" s="299" t="str">
        <f>IFERROR(__xludf.DUMMYFUNCTION("IF(REGEXMATCH(LD221, ""n""), ""n1"",IF(REGEXMATCH(LE221, ""n""), ""n2"",""""))"),"")</f>
        <v/>
      </c>
      <c r="LS221" s="299" t="str">
        <f>IFERROR(__xludf.DUMMYFUNCTION("IF(REGEXMATCH(LD221, ""N""), ""N1"",IF(REGEXMATCH(LE221, ""N""), ""N2"",""""))"),"N1")</f>
        <v>N1</v>
      </c>
      <c r="LT221" s="388" t="str">
        <f>IFERROR(__xludf.DUMMYFUNCTION("IF(REGEXMATCH(LD221, ""S""), ""S"",IF(REGEXMATCH(LE221, ""S""), ""S"",""""))"),"S")</f>
        <v>S</v>
      </c>
      <c r="LU221" s="389">
        <f t="shared" si="196"/>
        <v>0</v>
      </c>
      <c r="LV221" s="378"/>
      <c r="LW221" s="369"/>
      <c r="LX221" s="369"/>
    </row>
    <row r="222" ht="18.0" customHeight="1">
      <c r="A222" s="298" t="s">
        <v>969</v>
      </c>
      <c r="B222" s="222" t="s">
        <v>603</v>
      </c>
      <c r="C222" s="233" t="str">
        <f t="shared" si="7"/>
        <v>SrGmPDNS</v>
      </c>
      <c r="D222" s="234" t="str">
        <f>IFERROR(__xludf.DUMMYFUNCTION("IF(REGEXMATCH(C222, ""S""), ""S"","""")"),"S")</f>
        <v>S</v>
      </c>
      <c r="E222" s="236" t="str">
        <f>IFERROR(__xludf.DUMMYFUNCTION("IF(REGEXMATCH(C222, ""r""), ""r"","""")"),"r")</f>
        <v>r</v>
      </c>
      <c r="F222" s="237" t="str">
        <f>IFERROR(__xludf.DUMMYFUNCTION("IF(REGEXMATCH(C222, ""R""), ""R"","""")"),"")</f>
        <v/>
      </c>
      <c r="G222" s="237" t="str">
        <f>IFERROR(__xludf.DUMMYFUNCTION("IF(REGEXMATCH(C222, ""g""), ""g"","""")"),"")</f>
        <v/>
      </c>
      <c r="H222" s="236" t="str">
        <f>IFERROR(__xludf.DUMMYFUNCTION("IF(REGEXMATCH(C222, ""G""), ""G"","""")"),"G")</f>
        <v>G</v>
      </c>
      <c r="I222" s="236" t="str">
        <f>IFERROR(__xludf.DUMMYFUNCTION("IF(REGEXMATCH(C222, ""m""), ""m"","""")"),"m")</f>
        <v>m</v>
      </c>
      <c r="J222" s="237" t="str">
        <f>IFERROR(__xludf.DUMMYFUNCTION("IF(REGEXMATCH(C222, ""M""), ""M"","""")"),"")</f>
        <v/>
      </c>
      <c r="K222" s="236" t="str">
        <f>IFERROR(__xludf.DUMMYFUNCTION("IF(REGEXMATCH(C222, ""P""), ""P"","""")"),"P")</f>
        <v>P</v>
      </c>
      <c r="L222" s="237" t="str">
        <f>IFERROR(__xludf.DUMMYFUNCTION("IF(REGEXMATCH(C222, ""d""), ""d"","""")"),"")</f>
        <v/>
      </c>
      <c r="M222" s="236" t="str">
        <f>IFERROR(__xludf.DUMMYFUNCTION("IF(REGEXMATCH(C222, ""D""), ""D"","""")"),"D")</f>
        <v>D</v>
      </c>
      <c r="N222" s="236" t="str">
        <f>IFERROR(__xludf.DUMMYFUNCTION("IF(REGEXMATCH(C222, ""n""), ""n"","""")"),"")</f>
        <v/>
      </c>
      <c r="O222" s="237" t="str">
        <f>IFERROR(__xludf.DUMMYFUNCTION("IF(REGEXMATCH(C222, ""N""), ""N"","""")"),"N")</f>
        <v>N</v>
      </c>
      <c r="P222" s="238" t="str">
        <f>IFERROR(__xludf.DUMMYFUNCTION("IF(REGEXMATCH(C222, ""S""), ""S"","""")"),"S")</f>
        <v>S</v>
      </c>
      <c r="Q222" s="239" t="str">
        <f>IFERROR(__xludf.DUMMYFUNCTION("SUBSTITUTE(CONCATENATE(JOIN(""-"",D222:J222)),""-"","""")"),"SrGm")</f>
        <v>SrGm</v>
      </c>
      <c r="R222" s="229" t="str">
        <f>IFERROR(__xludf.DUMMYFUNCTION("SUBSTITUTE(CONCATENATE(JOIN(""-"",K222:P222)),""-"","""")"),"PDNS")</f>
        <v>PDNS</v>
      </c>
      <c r="S222" s="282" t="str">
        <f t="shared" si="8"/>
        <v>S-R-G-M</v>
      </c>
      <c r="T222" s="282" t="str">
        <f t="shared" si="9"/>
        <v>P-D-N-S</v>
      </c>
      <c r="U222" s="237" t="str">
        <f>IFERROR(__xludf.DUMMYFUNCTION("SUBSTITUTE(JOIN(""-"",S222,T222),""--"",""-"")"),"S-R-G-M-P-D-N-S")</f>
        <v>S-R-G-M-P-D-N-S</v>
      </c>
      <c r="V222" s="309" t="str">
        <f t="shared" si="10"/>
        <v>rGmDN</v>
      </c>
      <c r="W222" s="244" t="str">
        <f>IFERROR(__xludf.DUMMYFUNCTION("IF(REGEXMATCH(C222, ""S""), ""0"","""")"),"0")</f>
        <v>0</v>
      </c>
      <c r="X222" s="245" t="str">
        <f>IFERROR(__xludf.DUMMYFUNCTION("IF(REGEXMATCH(C222, ""r""), ""1"","""")"),"1")</f>
        <v>1</v>
      </c>
      <c r="Y222" s="246" t="str">
        <f>IFERROR(__xludf.DUMMYFUNCTION("IF(REGEXMATCH(C222, ""R""), ""2"","""")"),"")</f>
        <v/>
      </c>
      <c r="Z222" s="246" t="str">
        <f>IFERROR(__xludf.DUMMYFUNCTION("IF(REGEXMATCH(C222, ""g""), ""3"","""")"),"")</f>
        <v/>
      </c>
      <c r="AA222" s="245" t="str">
        <f>IFERROR(__xludf.DUMMYFUNCTION("IF(REGEXMATCH(C222, ""G""), ""4"","""")"),"4")</f>
        <v>4</v>
      </c>
      <c r="AB222" s="245" t="str">
        <f>IFERROR(__xludf.DUMMYFUNCTION("IF(REGEXMATCH(C222, ""m""), ""5"","""")"),"5")</f>
        <v>5</v>
      </c>
      <c r="AC222" s="246" t="str">
        <f>IFERROR(__xludf.DUMMYFUNCTION("IF(REGEXMATCH(C222, ""M""), ""6"","""")"),"")</f>
        <v/>
      </c>
      <c r="AD222" s="245" t="str">
        <f>IFERROR(__xludf.DUMMYFUNCTION("IF(REGEXMATCH(C222, ""P""), ""7"","""")"),"7")</f>
        <v>7</v>
      </c>
      <c r="AE222" s="246" t="str">
        <f>IFERROR(__xludf.DUMMYFUNCTION("IF(REGEXMATCH(C222, ""d""), ""8"","""")"),"")</f>
        <v/>
      </c>
      <c r="AF222" s="245" t="str">
        <f>IFERROR(__xludf.DUMMYFUNCTION("IF(REGEXMATCH(C222, ""D""), ""9"","""")"),"9")</f>
        <v>9</v>
      </c>
      <c r="AG222" s="245" t="str">
        <f>IFERROR(__xludf.DUMMYFUNCTION("IF(REGEXMATCH(C222, ""n""), ""10"","""")"),"")</f>
        <v/>
      </c>
      <c r="AH222" s="246" t="str">
        <f>IFERROR(__xludf.DUMMYFUNCTION("IF(REGEXMATCH(C222, ""N""), ""11"","""")"),"11")</f>
        <v>11</v>
      </c>
      <c r="AI222" s="249" t="str">
        <f>IFERROR(__xludf.DUMMYFUNCTION("IF(REGEXMATCH(C222, ""S""), ""0"","""")"),"0")</f>
        <v>0</v>
      </c>
      <c r="AJ222" s="313" t="str">
        <f t="shared" si="11"/>
        <v>-</v>
      </c>
      <c r="AK222" s="313" t="str">
        <f t="shared" si="12"/>
        <v>T</v>
      </c>
      <c r="AL222" s="313" t="str">
        <f t="shared" si="13"/>
        <v>-</v>
      </c>
      <c r="AM222" s="313" t="str">
        <f t="shared" si="14"/>
        <v>-</v>
      </c>
      <c r="AN222" s="313" t="str">
        <f t="shared" si="15"/>
        <v>-</v>
      </c>
      <c r="AO222" s="314" t="str">
        <f t="shared" si="16"/>
        <v>T</v>
      </c>
      <c r="AP222" s="316">
        <f t="shared" si="17"/>
        <v>2</v>
      </c>
      <c r="AQ222" s="319" t="str">
        <f t="shared" si="18"/>
        <v>#REF!</v>
      </c>
      <c r="AR222" s="320">
        <f t="shared" si="19"/>
        <v>0</v>
      </c>
      <c r="AS222" s="250" t="str">
        <f>IFERROR(__xludf.DUMMYFUNCTION("SUBSTITUTE(SUBSTITUTE(CONCATENATE(JOIN("""",FP222:GA222)),""|"",""x""),""-"",""o"")"),"xxooxxoxoxox")</f>
        <v>xxooxxoxoxox</v>
      </c>
      <c r="AT222" s="323" t="str">
        <f>IFERROR(__xludf.DUMMYFUNCTION("JOIN("""",AS222,AS222)"),"xxooxxoxoxoxxxooxxoxoxox")</f>
        <v>xxooxxoxoxoxxxooxxoxoxox</v>
      </c>
      <c r="AU222" s="256" t="str">
        <f>IFERROR(__xludf.DUMMYFUNCTION("JOIN("""",ArrayFormula(MID(AS222,LEN(AS222)-SEQUENCE(1,LEN(AS222))+1,1)))"),"xoxoxoxxooxx")</f>
        <v>xoxoxoxxooxx</v>
      </c>
      <c r="AV222" s="256" t="str">
        <f>IFERROR(__xludf.DUMMYFUNCTION("LEFT(CONCATENATE(""x"",JOIN("""",ArrayFormula(MID(AS222,LEN(AS222)-SEQUENCE(1,LEN(AS222))+1,1)))),12)"),"xxoxoxoxxoox")</f>
        <v>xxoxoxoxxoox</v>
      </c>
      <c r="AW222" s="327" t="str">
        <f>IFERROR(__xludf.DUMMYFUNCTION("JOIN("""",AU222,AU222)"),"xoxoxoxxooxxxoxoxoxxooxx")</f>
        <v>xoxoxoxxooxxxoxoxoxxooxx</v>
      </c>
      <c r="AX222" s="239" t="str">
        <f>IFERROR(__xludf.DUMMYFUNCTION("IF(REGEXMATCH(AW222,AS222),""✔"",""-"")"),"-")</f>
        <v>-</v>
      </c>
      <c r="AY222" s="330" t="str">
        <f t="shared" si="20"/>
        <v>-</v>
      </c>
      <c r="AZ222" s="260" t="str">
        <f t="shared" si="21"/>
        <v>#REF!</v>
      </c>
      <c r="BA222" s="333" t="str">
        <f t="shared" si="22"/>
        <v>xxooxxo</v>
      </c>
      <c r="BB222" s="334" t="str">
        <f t="shared" si="23"/>
        <v>xoxoxx</v>
      </c>
      <c r="BC222" s="335" t="str">
        <f t="shared" si="236"/>
        <v>-</v>
      </c>
      <c r="BD222" s="336" t="str">
        <f t="shared" si="25"/>
        <v>Mangal Bhairav: 'xxooxxo' + 'xoxoxx'</v>
      </c>
      <c r="BE222" s="337">
        <f>IFERROR(__xludf.DUMMYFUNCTION("COUNTUNIQUE(FILTER(AT:AT,REGEXMATCH(AT:AT,AS222)))-1"),1.0)</f>
        <v>1</v>
      </c>
      <c r="BF222" s="261" t="str">
        <f>IFERROR(__xludf.DUMMYFUNCTION("IF(BI222=0,""(n/a)"",IF(BJ222=2,""(PAIR)"",IF(REGEXMATCH(AT222,""xoxoxxoxoxox""),""Bilawal"",IF(REGEXMATCH(AT222,""xoxoxooxoxoo""),""Bhupali"",IF(REGEXMATCH(AT222,""xoxoxxoxxoxo""),""Charukeshi"",IF(REGEXMATCH(AT222,""xoxoooxxoxxo""),""Kameshwari"",IF(REG"&amp;"EXMATCH(AT222,""xoxoxooxoxox""),""Shankara"",IF(REGEXMATCH(AT222,""xxooxoxxxoox""),""Basant"",IF(REGEXMATCH(AT222,""xoxoxxxxoxox""),""Bihag"",IF(REGEXMATCH(AT222,""xoxxxxoxoxxx""),""Pilu"",IF(REGEXMATCH(AT222,""xoxxoxoxxoox""),""Kirwani"",IF(REGEXMATCH(AT"&amp;"222,""xoxxoxoxoxxx""),""Mk.Malhar"",IF(REGEXMATCH(AT222,""xxooxxoxxoox""),""Bhairav"",IF(REGEXMATCH(AT222,""xxoxooxxxoox""),""Todi"",IF(REGEXMATCH(AT222,""xxooxoxooxox""),""Marwa"",IF(REGEXMATCH(AT222,""xxoooxoxxooo""),""Gunkali"",IF(REGEXMATCH(AT222,""xo"&amp;"xoxxoxxoox""),""Nat Bhairav"",IF(REGEXMATCH(AT222,""xoxxoooxoxoo""),""Shivranjani"",IF(REGEXMATCH(AT222,""xooxxxoxooxo""),""Jog"",IF(REGEXMATCH(AT222,""xxooxoxoxoox""),""Hemshri"",IF(REGEXMATCH(AT222,""xoooxooxoxxo""),""Kalavati"",IF(REGEXMATCH(AT222,""xx"&amp;"oxoxxoxoox""),""Kedar"",IF(REGEXMATCH(AT222,""xoxxxxoxooxx""),""Gara"",IF(REGEXMATCH(AT222,""xooxoxooxoox""),""Chandrakauns"",IF(REGEXMATCH(AT222,""xoxxxxoxxxox""),""Mand"",IF(REGEXMATCH(AT222,""xoxxxxoxoxox""),""Hanskinkini"",IF(REGEXMATCH(AT222,""xxooxx"&amp;"oxooxo""),""Lilavati"",IF(REGEXMATCH(AT222,""xooxoxoooxox""),""Rajeshwari"",IF(REGEXMATCH(AT222,""xoooxxoxoxxx""),""Khokar"",IF(REGEXMATCH(AT222,""xxooxoxxxxox""),""Maligoura"",""-""))))))))))))))))))))))))))))))"),"-")</f>
        <v>-</v>
      </c>
      <c r="BG222" s="239" t="str">
        <f t="shared" si="26"/>
        <v>#REF!</v>
      </c>
      <c r="BH222" s="239">
        <f>IFERROR(__xludf.DUMMYFUNCTION("COUNTUNIQUE(FE222:FO222)-1"),6.0)</f>
        <v>6</v>
      </c>
      <c r="BI222" s="239">
        <f>IFERROR(__xludf.DUMMYFUNCTION("COUNTUNIQUE(FILTER(AT:AT,REGEXMATCH(AT:AT,AS222)))-1"),1.0)</f>
        <v>1</v>
      </c>
      <c r="BJ222" s="239">
        <f>IFERROR(__xludf.DUMMYFUNCTION("COUNTA(FILTER(AT:AT,REGEXMATCH(AT:AT,AS222)))"),4.0)</f>
        <v>4</v>
      </c>
      <c r="BK222" s="341">
        <f>IFERROR(__xludf.DUMMYFUNCTION("COUNTA(FILTER(AT:AT,REGEXMATCH(AT:AT,AS222)))-AR222"),4.0)</f>
        <v>4</v>
      </c>
      <c r="BL222" s="276" t="str">
        <f>IFERROR(__xludf.DUMMYFUNCTION("IF(AS222=""oooooooooooo"",""-"",IF(REGEXMATCH(AT222,""xx""), ""Hemi."", ""Anhemi.""))"),"Hemi.")</f>
        <v>Hemi.</v>
      </c>
      <c r="BM222" s="282" t="str">
        <f>IFERROR(__xludf.DUMMYFUNCTION("IF(AS222=""oooooooooooo"",""-"",IF(REGEXMATCH(AT222,""xxx""), ""Cohem."", ""-""))"),"Cohem.")</f>
        <v>Cohem.</v>
      </c>
      <c r="BN222" s="282" t="str">
        <f>IFERROR(__xludf.DUMMYFUNCTION("IF(AS222=""oooooooooooo"",""-"",IF(REGEXMATCH(AT222,""xxxx""), ""Co-Co."", ""-""))"),"-")</f>
        <v>-</v>
      </c>
      <c r="BO222" s="342" t="str">
        <f>IFERROR(__xludf.DUMMYFUNCTION("IF(AS222=""oooooooooooo"",""-"",IF(REGEXMATCH(AT222,""xxxxx""), ""CCC."", ""-""))"),"-")</f>
        <v>-</v>
      </c>
      <c r="BP222" s="344" t="str">
        <f t="shared" si="27"/>
        <v>-</v>
      </c>
      <c r="BQ222" s="282" t="str">
        <f>IFERROR(__xludf.DUMMYFUNCTION("IF(REGEXMATCH(JOIN(""-"",EU222:FD222),""TRUE""),""✔"",""-"")"),"-")</f>
        <v>-</v>
      </c>
      <c r="BR222" s="225">
        <f t="shared" si="28"/>
        <v>0</v>
      </c>
      <c r="BS222" s="345" t="str">
        <f>IFERROR(__xludf.DUMMYFUNCTION("SUBSTITUTE(SUBSTITUTE(SUBSTITUTE(SUBSTITUTE(CONCATENATE(JOIN(""-"",GC222:GO222)),""--"",""-""),""--"",""-""),""--"",""-""),""--"",""-"")"),"1-b2-3-4-5-6-7-8")</f>
        <v>1-b2-3-4-5-6-7-8</v>
      </c>
      <c r="BT222" s="299" t="str">
        <f>IFERROR(__xludf.DUMMYFUNCTION("SUBSTITUTE(SUBSTITUTE(SUBSTITUTE(SUBSTITUTE(CONCATENATE(JOIN(""-"",GP222:HB222)),""--"",""-""),""--"",""-""),""--"",""-""),""--"",""-"")"),"S-R1-G3-M1-P-D2-N3-S")</f>
        <v>S-R1-G3-M1-P-D2-N3-S</v>
      </c>
      <c r="BU222" s="348" t="str">
        <f t="shared" si="29"/>
        <v>C-Db-E-F-G-A-B-C</v>
      </c>
      <c r="BV222" s="349" t="str">
        <f t="shared" si="30"/>
        <v>SRgMdnS</v>
      </c>
      <c r="BW222" s="350">
        <f t="shared" si="31"/>
        <v>0</v>
      </c>
      <c r="BX222" s="351">
        <f t="shared" si="32"/>
        <v>3</v>
      </c>
      <c r="BY222" s="392"/>
      <c r="BZ222" s="309" t="str">
        <f>IFERROR(__xludf.DUMMYFUNCTION("IF(REGEXMATCH(C222, ""S""), ""x"",""x"")"),"x")</f>
        <v>x</v>
      </c>
      <c r="CA222" s="245" t="str">
        <f>IFERROR(__xludf.DUMMYFUNCTION("IF(REGEXMATCH(C222, ""r""), ""o"",""x"")"),"o")</f>
        <v>o</v>
      </c>
      <c r="CB222" s="246" t="str">
        <f>IFERROR(__xludf.DUMMYFUNCTION("IF(REGEXMATCH(C222, ""R""), ""o"",""x"")"),"x")</f>
        <v>x</v>
      </c>
      <c r="CC222" s="246" t="str">
        <f>IFERROR(__xludf.DUMMYFUNCTION("IF(REGEXMATCH(C222, ""g""), ""o"",""x"")"),"x")</f>
        <v>x</v>
      </c>
      <c r="CD222" s="245" t="str">
        <f>IFERROR(__xludf.DUMMYFUNCTION("IF(REGEXMATCH(C222, ""G""), ""o"",""x"")"),"o")</f>
        <v>o</v>
      </c>
      <c r="CE222" s="245" t="str">
        <f>IFERROR(__xludf.DUMMYFUNCTION("IF(REGEXMATCH(C222, ""m""), ""o"",""x"")"),"o")</f>
        <v>o</v>
      </c>
      <c r="CF222" s="246" t="str">
        <f>IFERROR(__xludf.DUMMYFUNCTION("IF(REGEXMATCH(C222, ""M""), ""o"",""x"")"),"x")</f>
        <v>x</v>
      </c>
      <c r="CG222" s="245" t="str">
        <f>IFERROR(__xludf.DUMMYFUNCTION("IF(REGEXMATCH(C222, ""P""), ""o"",""x"")"),"o")</f>
        <v>o</v>
      </c>
      <c r="CH222" s="246" t="str">
        <f>IFERROR(__xludf.DUMMYFUNCTION("IF(REGEXMATCH(C222, ""d""), ""o"",""x"")"),"x")</f>
        <v>x</v>
      </c>
      <c r="CI222" s="245" t="str">
        <f>IFERROR(__xludf.DUMMYFUNCTION("IF(REGEXMATCH(C222, ""D""), ""o"",""x"")"),"o")</f>
        <v>o</v>
      </c>
      <c r="CJ222" s="245" t="str">
        <f>IFERROR(__xludf.DUMMYFUNCTION("IF(REGEXMATCH(C222, ""n""), ""o"",""x"")"),"x")</f>
        <v>x</v>
      </c>
      <c r="CK222" s="245" t="str">
        <f>IFERROR(__xludf.DUMMYFUNCTION("IF(REGEXMATCH(C222, ""N""), ""o"",""x"")"),"o")</f>
        <v>o</v>
      </c>
      <c r="CL222" s="356" t="str">
        <f>IFERROR(__xludf.DUMMYFUNCTION("IF(REGEXMATCH(C222, ""S""), ""x"",""x"")"),"x")</f>
        <v>x</v>
      </c>
      <c r="CM222" s="357" t="str">
        <f t="shared" si="33"/>
        <v>xoxxooxoxoxo</v>
      </c>
      <c r="CN222" s="358">
        <f t="shared" si="34"/>
        <v>0</v>
      </c>
      <c r="CO222" s="246" t="str">
        <f>IFERROR(__xludf.DUMMYFUNCTION("IF(REGEXMATCH($C222, ""S""), ""S"",""S"")"),"S")</f>
        <v>S</v>
      </c>
      <c r="CP222" s="246" t="str">
        <f>IFERROR(__xludf.DUMMYFUNCTION("IF(REGEXMATCH($C222, ""r""), """",""r"")"),"")</f>
        <v/>
      </c>
      <c r="CQ222" s="246" t="str">
        <f>IFERROR(__xludf.DUMMYFUNCTION("IF(REGEXMATCH($C222, ""R""), """",""R"")"),"R")</f>
        <v>R</v>
      </c>
      <c r="CR222" s="246" t="str">
        <f>IFERROR(__xludf.DUMMYFUNCTION("IF(REGEXMATCH($C222, ""g""), """",""g"")"),"g")</f>
        <v>g</v>
      </c>
      <c r="CS222" s="246" t="str">
        <f>IFERROR(__xludf.DUMMYFUNCTION("IF(REGEXMATCH($C222, ""G""), """",""G"")"),"")</f>
        <v/>
      </c>
      <c r="CT222" s="246" t="str">
        <f>IFERROR(__xludf.DUMMYFUNCTION("IF(REGEXMATCH($C222, ""m""), """",""m"")"),"")</f>
        <v/>
      </c>
      <c r="CU222" s="246" t="str">
        <f>IFERROR(__xludf.DUMMYFUNCTION("IF(REGEXMATCH($C222, ""M""), """",""M"")"),"M")</f>
        <v>M</v>
      </c>
      <c r="CV222" s="246" t="str">
        <f>IFERROR(__xludf.DUMMYFUNCTION("IF(REGEXMATCH($C222, ""P""), """",""P"")"),"")</f>
        <v/>
      </c>
      <c r="CW222" s="246" t="str">
        <f>IFERROR(__xludf.DUMMYFUNCTION("IF(REGEXMATCH($C222, ""d""), """",""d"")"),"d")</f>
        <v>d</v>
      </c>
      <c r="CX222" s="246" t="str">
        <f>IFERROR(__xludf.DUMMYFUNCTION("IF(REGEXMATCH($C222, ""D""), """",""D"")"),"")</f>
        <v/>
      </c>
      <c r="CY222" s="246" t="str">
        <f>IFERROR(__xludf.DUMMYFUNCTION("IF(REGEXMATCH($C222, ""n""), """",""n"")"),"n")</f>
        <v>n</v>
      </c>
      <c r="CZ222" s="246" t="str">
        <f>IFERROR(__xludf.DUMMYFUNCTION("IF(REGEXMATCH($C222, ""N""), """",""N"")"),"")</f>
        <v/>
      </c>
      <c r="DA222" s="246" t="str">
        <f>IFERROR(__xludf.DUMMYFUNCTION("IF(REGEXMATCH($C222, ""S""), ""S"",""S"")"),"S")</f>
        <v>S</v>
      </c>
      <c r="DB222" s="362" t="str">
        <f>IFERROR(__xludf.DUMMYFUNCTION("JOIN("""",CO222:DA222,"""","""")"),"SRgMdnS")</f>
        <v>SRgMdnS</v>
      </c>
      <c r="DC222" s="363"/>
      <c r="DD222" s="301" t="str">
        <f t="shared" si="35"/>
        <v>#REF!</v>
      </c>
      <c r="DE222" s="302" t="str">
        <f t="shared" si="36"/>
        <v>#REF!</v>
      </c>
      <c r="DF222" s="301" t="str">
        <f t="shared" ref="DF222:DG222" si="660">SUBSTITUTE(S222,"-","")</f>
        <v>SRGM</v>
      </c>
      <c r="DG222" s="301" t="str">
        <f t="shared" si="660"/>
        <v>PDNS</v>
      </c>
      <c r="DH222" s="302" t="str">
        <f t="shared" si="38"/>
        <v>-</v>
      </c>
      <c r="DI222" s="301" t="str">
        <f t="shared" si="39"/>
        <v>Hemi.</v>
      </c>
      <c r="DJ222" s="364" t="str">
        <f t="shared" si="40"/>
        <v>Cohem.</v>
      </c>
      <c r="DK222" s="306" t="str">
        <f t="shared" si="41"/>
        <v>-</v>
      </c>
      <c r="DL222" s="366" t="str">
        <f t="shared" si="42"/>
        <v>-</v>
      </c>
      <c r="DM222" s="308" t="str">
        <f t="shared" si="43"/>
        <v>✔</v>
      </c>
      <c r="DN222" s="306" t="str">
        <f t="shared" si="44"/>
        <v>-</v>
      </c>
      <c r="DO222" s="306" t="str">
        <f t="shared" si="45"/>
        <v>-</v>
      </c>
      <c r="DP222" s="367" t="str">
        <f t="shared" si="46"/>
        <v>-</v>
      </c>
      <c r="DQ222" s="310" t="str">
        <f t="shared" si="47"/>
        <v>-</v>
      </c>
      <c r="DR222" s="310" t="str">
        <f t="shared" si="48"/>
        <v>-</v>
      </c>
      <c r="DS222" s="310" t="str">
        <f t="shared" si="49"/>
        <v>-</v>
      </c>
      <c r="DT222" s="310" t="str">
        <f t="shared" si="50"/>
        <v>-</v>
      </c>
      <c r="DU222" s="370" t="str">
        <f t="shared" si="51"/>
        <v>-</v>
      </c>
      <c r="DV222" s="306" t="str">
        <f t="shared" si="52"/>
        <v>-</v>
      </c>
      <c r="DW222" s="306" t="str">
        <f t="shared" si="53"/>
        <v>-</v>
      </c>
      <c r="DX222" s="306" t="str">
        <f t="shared" si="54"/>
        <v>-</v>
      </c>
      <c r="DY222" s="306" t="str">
        <f t="shared" si="55"/>
        <v>-</v>
      </c>
      <c r="DZ222" s="306" t="str">
        <f t="shared" si="56"/>
        <v>-</v>
      </c>
      <c r="EA222" s="367" t="str">
        <f t="shared" si="57"/>
        <v>-</v>
      </c>
      <c r="EB222" s="310" t="str">
        <f>IFERROR(__xludf.DUMMYFUNCTION("IF(REGEXMATCH(AW222,AS222),""✔"",""-"")"),"-")</f>
        <v>-</v>
      </c>
      <c r="EC222" s="310" t="str">
        <f t="shared" si="58"/>
        <v>#REF!</v>
      </c>
      <c r="ED222" s="370" t="str">
        <f t="shared" si="59"/>
        <v>-</v>
      </c>
      <c r="EE222" s="340" t="str">
        <f t="shared" si="60"/>
        <v>S-r-G-m-P-D-N-S</v>
      </c>
      <c r="EF222" s="371" t="str">
        <f>IFERROR(__xludf.DUMMYFUNCTION("CONCATENATE(JOIN("""",HC222:HO222))"),"SrgmPdNS")</f>
        <v>SrgmPdNS</v>
      </c>
      <c r="EG222" s="372">
        <f t="shared" si="61"/>
        <v>3</v>
      </c>
      <c r="EH222" s="373" t="str">
        <f>IFERROR(__xludf.DUMMYFUNCTION("CONCATENATE(JOIN("""",JC222:JO222))"),"re, Pa, Ni, ")</f>
        <v>re, Pa, Ni, </v>
      </c>
      <c r="EI222" s="322">
        <f t="shared" si="62"/>
        <v>1</v>
      </c>
      <c r="EJ222" s="374" t="str">
        <f>IFERROR(__xludf.DUMMYFUNCTION("CONCATENATE(JOIN("""",KC222:KO222))"),"re, ")</f>
        <v>re, </v>
      </c>
      <c r="EK222" s="325" t="str">
        <f t="shared" si="63"/>
        <v>S-R1-G3-M1-P-D2-N3-S</v>
      </c>
      <c r="EL222" s="326" t="str">
        <f t="shared" si="64"/>
        <v>1-b2-3-4-5-6-7-8</v>
      </c>
      <c r="EM222" s="318" t="str">
        <f t="shared" si="65"/>
        <v>#REF!</v>
      </c>
      <c r="EN222" s="328" t="str">
        <f>IFERROR(__xludf.DUMMYFUNCTION("SUBSTITUTE(SUBSTITUTE(SUBSTITUTE(SUBSTITUTE(CONCATENATE(JOIN("" "",HP222:IB222)),""  "","" ""),""  "","" ""),""  "","" ""),""  "","" "")"),"o o • • o o • o • o • o o")</f>
        <v>o o • • o o • o • o • o o</v>
      </c>
      <c r="EO222" s="368" t="str">
        <f t="shared" si="66"/>
        <v>-</v>
      </c>
      <c r="EP222" s="339" t="str">
        <f t="shared" si="67"/>
        <v>-</v>
      </c>
      <c r="EQ222" s="339" t="str">
        <f t="shared" si="68"/>
        <v>Sa-Pa</v>
      </c>
      <c r="ER222" s="339" t="str">
        <f t="shared" si="69"/>
        <v>-</v>
      </c>
      <c r="ES222" s="340" t="str">
        <f t="shared" si="70"/>
        <v>-</v>
      </c>
      <c r="ET222" s="363"/>
      <c r="EU222" s="376" t="b">
        <f>IFERROR(__xludf.DUMMYFUNCTION("arrayformula(sum(--REGEXMATCH(""SRGMPDNS"",split(REGEXREPLACE(C222,""(.)"",""$1~""),""~""))))=len(C222)
"),FALSE)</f>
        <v>0</v>
      </c>
      <c r="EV222" s="290" t="b">
        <f>IFERROR(__xludf.DUMMYFUNCTION("arrayformula(sum(--REGEXMATCH(""SRGmPDNS"",split(REGEXREPLACE(C222,""(.)"",""$1~""),""~""))))=len(C222)"),FALSE)</f>
        <v>0</v>
      </c>
      <c r="EW222" s="290" t="b">
        <f>IFERROR(__xludf.DUMMYFUNCTION("arrayformula(sum(--REGEXMATCH(""SRGmPDnS"",split(REGEXREPLACE(C222,""(.)"",""$1~""),""~""))))=len(C222)"),FALSE)</f>
        <v>0</v>
      </c>
      <c r="EX222" s="290" t="b">
        <f>IFERROR(__xludf.DUMMYFUNCTION("arrayformula(sum(--REGEXMATCH(""SRgmPDnS"",split(REGEXREPLACE(C222,""(.)"",""$1~""),""~""))))=len(C222)"),FALSE)</f>
        <v>0</v>
      </c>
      <c r="EY222" s="290" t="b">
        <f>IFERROR(__xludf.DUMMYFUNCTION("arrayformula(sum(--REGEXMATCH(""SRgmPdnS"",split(REGEXREPLACE(C222,""(.)"",""$1~""),""~""))))=len(C222)"),FALSE)</f>
        <v>0</v>
      </c>
      <c r="EZ222" s="290" t="b">
        <f>IFERROR(__xludf.DUMMYFUNCTION("arrayformula(sum(--REGEXMATCH(""SrgmPdnS"",split(REGEXREPLACE(C222,""(.)"",""$1~""),""~""))))=len(C222)"),FALSE)</f>
        <v>0</v>
      </c>
      <c r="FA222" s="290" t="b">
        <f>IFERROR(__xludf.DUMMYFUNCTION("arrayformula(sum(--REGEXMATCH(""SrGmPdNS"",split(REGEXREPLACE(C222,""(.)"",""$1~""),""~""))))=len(C222)"),FALSE)</f>
        <v>0</v>
      </c>
      <c r="FB222" s="290" t="b">
        <f>IFERROR(__xludf.DUMMYFUNCTION("arrayformula(sum(--REGEXMATCH(""SrGMPDNS"",split(REGEXREPLACE(C222,""(.)"",""$1~""),""~""))))=len(C222)"),FALSE)</f>
        <v>0</v>
      </c>
      <c r="FC222" s="290" t="b">
        <f>IFERROR(__xludf.DUMMYFUNCTION("arrayformula(sum(--REGEXMATCH(""SrGMPdNS"",split(REGEXREPLACE(C222,""(.)"",""$1~""),""~""))))=len(C222)"),FALSE)</f>
        <v>0</v>
      </c>
      <c r="FD222" s="377" t="b">
        <f>IFERROR(__xludf.DUMMYFUNCTION("arrayformula(sum(--REGEXMATCH(""SrgMPdNS"",split(REGEXREPLACE(C222,""(.)"",""$1~""),""~""))))=len(C222)"),FALSE)</f>
        <v>0</v>
      </c>
      <c r="FE222" s="269" t="str">
        <f t="shared" si="71"/>
        <v>xooxxoxoxox</v>
      </c>
      <c r="FF222" s="269" t="str">
        <f t="shared" si="72"/>
        <v>-</v>
      </c>
      <c r="FG222" s="271" t="str">
        <f t="shared" si="73"/>
        <v>-</v>
      </c>
      <c r="FH222" s="269" t="str">
        <f t="shared" si="74"/>
        <v>xxoxoxoxxxo</v>
      </c>
      <c r="FI222" s="271" t="str">
        <f t="shared" si="75"/>
        <v>xoxoxoxxxoo</v>
      </c>
      <c r="FJ222" s="271" t="str">
        <f t="shared" si="76"/>
        <v>-</v>
      </c>
      <c r="FK222" s="271" t="str">
        <f t="shared" si="77"/>
        <v>xoxoxxxooxx</v>
      </c>
      <c r="FL222" s="271" t="str">
        <f t="shared" si="78"/>
        <v>-</v>
      </c>
      <c r="FM222" s="271" t="str">
        <f t="shared" si="79"/>
        <v>xoxxxooxxox</v>
      </c>
      <c r="FN222" s="271" t="str">
        <f t="shared" si="80"/>
        <v>-</v>
      </c>
      <c r="FO222" s="274" t="str">
        <f t="shared" si="81"/>
        <v>xxxooxxoxox</v>
      </c>
      <c r="FP222" s="234" t="str">
        <f t="shared" si="82"/>
        <v>|</v>
      </c>
      <c r="FQ222" s="236" t="str">
        <f t="shared" si="83"/>
        <v>|</v>
      </c>
      <c r="FR222" s="237" t="str">
        <f t="shared" si="84"/>
        <v>-</v>
      </c>
      <c r="FS222" s="236" t="str">
        <f t="shared" si="85"/>
        <v>-</v>
      </c>
      <c r="FT222" s="237" t="str">
        <f t="shared" si="86"/>
        <v>|</v>
      </c>
      <c r="FU222" s="236" t="str">
        <f t="shared" si="87"/>
        <v>|</v>
      </c>
      <c r="FV222" s="237" t="str">
        <f t="shared" si="88"/>
        <v>-</v>
      </c>
      <c r="FW222" s="236" t="str">
        <f t="shared" si="89"/>
        <v>|</v>
      </c>
      <c r="FX222" s="237" t="str">
        <f t="shared" si="90"/>
        <v>-</v>
      </c>
      <c r="FY222" s="236" t="str">
        <f t="shared" si="91"/>
        <v>|</v>
      </c>
      <c r="FZ222" s="237" t="str">
        <f t="shared" si="92"/>
        <v>-</v>
      </c>
      <c r="GA222" s="236" t="str">
        <f t="shared" si="93"/>
        <v>|</v>
      </c>
      <c r="GB222" s="238" t="str">
        <f t="shared" si="94"/>
        <v>|</v>
      </c>
      <c r="GC222" s="244" t="str">
        <f>IFERROR(__xludf.DUMMYFUNCTION("IF(REGEXMATCH(C222, ""S""), ""1"","""")"),"1")</f>
        <v>1</v>
      </c>
      <c r="GD222" s="245" t="str">
        <f>IFERROR(__xludf.DUMMYFUNCTION("IF(REGEXMATCH(C222, ""r""), ""b2"","""")"),"b2")</f>
        <v>b2</v>
      </c>
      <c r="GE222" s="246" t="str">
        <f>IFERROR(__xludf.DUMMYFUNCTION("IF(REGEXMATCH(C222, ""R""), ""2"","""")"),"")</f>
        <v/>
      </c>
      <c r="GF222" s="246" t="str">
        <f>IFERROR(__xludf.DUMMYFUNCTION("IF(REGEXMATCH(C222, ""g""), ""b3"","""")"),"")</f>
        <v/>
      </c>
      <c r="GG222" s="245" t="str">
        <f>IFERROR(__xludf.DUMMYFUNCTION("IF(REGEXMATCH(C222, ""G""), ""3"","""")"),"3")</f>
        <v>3</v>
      </c>
      <c r="GH222" s="245" t="str">
        <f>IFERROR(__xludf.DUMMYFUNCTION("IF(REGEXMATCH(C222, ""m""), ""4"","""")"),"4")</f>
        <v>4</v>
      </c>
      <c r="GI222" s="246" t="str">
        <f>IFERROR(__xludf.DUMMYFUNCTION("IF(REGEXMATCH(C222, ""M""), ""#4"","""")"),"")</f>
        <v/>
      </c>
      <c r="GJ222" s="245" t="str">
        <f>IFERROR(__xludf.DUMMYFUNCTION("IF(REGEXMATCH(C222, ""P""), ""5"","""")"),"5")</f>
        <v>5</v>
      </c>
      <c r="GK222" s="246" t="str">
        <f>IFERROR(__xludf.DUMMYFUNCTION("IF(REGEXMATCH(C222, ""d""), ""b6"","""")"),"")</f>
        <v/>
      </c>
      <c r="GL222" s="245" t="str">
        <f>IFERROR(__xludf.DUMMYFUNCTION("IF(REGEXMATCH(C222, ""D""), ""6"","""")"),"6")</f>
        <v>6</v>
      </c>
      <c r="GM222" s="245" t="str">
        <f>IFERROR(__xludf.DUMMYFUNCTION("IF(REGEXMATCH(C222, ""n""), ""b7"","""")"),"")</f>
        <v/>
      </c>
      <c r="GN222" s="246" t="str">
        <f>IFERROR(__xludf.DUMMYFUNCTION("IF(REGEXMATCH(C222, ""N""), ""7"","""")"),"7")</f>
        <v>7</v>
      </c>
      <c r="GO222" s="249" t="str">
        <f>IFERROR(__xludf.DUMMYFUNCTION("IF(REGEXMATCH(C222, ""S""), ""8"","""")"),"8")</f>
        <v>8</v>
      </c>
      <c r="GP222" s="244" t="str">
        <f>IFERROR(__xludf.DUMMYFUNCTION("IF(REGEXMATCH(C222, ""S""), ""S"","""")"),"S")</f>
        <v>S</v>
      </c>
      <c r="GQ222" s="294" t="str">
        <f>IFERROR(__xludf.DUMMYFUNCTION("IF(REGEXMATCH(C222, ""r""), ""R1"","""")"),"R1")</f>
        <v>R1</v>
      </c>
      <c r="GR222" s="295" t="str">
        <f>IFERROR(__xludf.DUMMYFUNCTION("IF(REGEXMATCH(C222, ""R""), ""R2"","""")"),"")</f>
        <v/>
      </c>
      <c r="GS222" s="295" t="str">
        <f>IFERROR(__xludf.DUMMYFUNCTION("IF(REGEXMATCH(C222, ""g""), ""G2"","""")"),"")</f>
        <v/>
      </c>
      <c r="GT222" s="294" t="str">
        <f>IFERROR(__xludf.DUMMYFUNCTION("IF(REGEXMATCH(C222, ""G""), ""G3"","""")"),"G3")</f>
        <v>G3</v>
      </c>
      <c r="GU222" s="294" t="str">
        <f>IFERROR(__xludf.DUMMYFUNCTION("IF(REGEXMATCH(C222, ""m""), ""M1"","""")"),"M1")</f>
        <v>M1</v>
      </c>
      <c r="GV222" s="295" t="str">
        <f>IFERROR(__xludf.DUMMYFUNCTION("IF(REGEXMATCH(C222, ""M""), ""M2"","""")"),"")</f>
        <v/>
      </c>
      <c r="GW222" s="294" t="str">
        <f>IFERROR(__xludf.DUMMYFUNCTION("IF(REGEXMATCH(C222, ""P""), ""P"","""")"),"P")</f>
        <v>P</v>
      </c>
      <c r="GX222" s="295" t="str">
        <f>IFERROR(__xludf.DUMMYFUNCTION("IF(REGEXMATCH(C222, ""d""), ""D1"","""")"),"")</f>
        <v/>
      </c>
      <c r="GY222" s="294" t="str">
        <f>IFERROR(__xludf.DUMMYFUNCTION("IF(REGEXMATCH(C222, ""D""), ""D2"","""")"),"D2")</f>
        <v>D2</v>
      </c>
      <c r="GZ222" s="294" t="str">
        <f>IFERROR(__xludf.DUMMYFUNCTION("IF(REGEXMATCH(C222, ""n""), ""N2"","""")"),"")</f>
        <v/>
      </c>
      <c r="HA222" s="295" t="str">
        <f>IFERROR(__xludf.DUMMYFUNCTION("IF(REGEXMATCH(C222, ""N""), ""N3"","""")"),"N3")</f>
        <v>N3</v>
      </c>
      <c r="HB222" s="249" t="str">
        <f>IFERROR(__xludf.DUMMYFUNCTION("IF(REGEXMATCH(C222, ""S""), ""S"","""")"),"S")</f>
        <v>S</v>
      </c>
      <c r="HC222" s="331" t="str">
        <f t="shared" si="95"/>
        <v>S</v>
      </c>
      <c r="HD222" s="332" t="str">
        <f t="shared" si="96"/>
        <v>r</v>
      </c>
      <c r="HE222" s="332" t="str">
        <f t="shared" si="97"/>
        <v/>
      </c>
      <c r="HF222" s="332" t="str">
        <f t="shared" si="98"/>
        <v>g</v>
      </c>
      <c r="HG222" s="332" t="str">
        <f t="shared" si="99"/>
        <v/>
      </c>
      <c r="HH222" s="332" t="str">
        <f t="shared" si="100"/>
        <v>m</v>
      </c>
      <c r="HI222" s="332" t="str">
        <f t="shared" si="101"/>
        <v/>
      </c>
      <c r="HJ222" s="332" t="str">
        <f t="shared" si="102"/>
        <v>P</v>
      </c>
      <c r="HK222" s="332" t="str">
        <f t="shared" si="103"/>
        <v>d</v>
      </c>
      <c r="HL222" s="332" t="str">
        <f t="shared" si="104"/>
        <v/>
      </c>
      <c r="HM222" s="332" t="str">
        <f t="shared" si="105"/>
        <v/>
      </c>
      <c r="HN222" s="332" t="str">
        <f t="shared" si="106"/>
        <v>N</v>
      </c>
      <c r="HO222" s="343" t="str">
        <f t="shared" si="107"/>
        <v>S</v>
      </c>
      <c r="HP222" s="331" t="str">
        <f t="shared" si="108"/>
        <v>o</v>
      </c>
      <c r="HQ222" s="332" t="str">
        <f t="shared" si="109"/>
        <v>o</v>
      </c>
      <c r="HR222" s="332" t="str">
        <f t="shared" si="110"/>
        <v>•</v>
      </c>
      <c r="HS222" s="332" t="str">
        <f t="shared" si="111"/>
        <v>•</v>
      </c>
      <c r="HT222" s="332" t="str">
        <f t="shared" si="112"/>
        <v>o</v>
      </c>
      <c r="HU222" s="332" t="str">
        <f t="shared" si="113"/>
        <v>o</v>
      </c>
      <c r="HV222" s="332" t="str">
        <f t="shared" si="114"/>
        <v>•</v>
      </c>
      <c r="HW222" s="332" t="str">
        <f t="shared" si="115"/>
        <v>o</v>
      </c>
      <c r="HX222" s="332" t="str">
        <f t="shared" si="116"/>
        <v>•</v>
      </c>
      <c r="HY222" s="332" t="str">
        <f t="shared" si="117"/>
        <v>o</v>
      </c>
      <c r="HZ222" s="332" t="str">
        <f t="shared" si="118"/>
        <v>•</v>
      </c>
      <c r="IA222" s="332" t="str">
        <f t="shared" si="119"/>
        <v>o</v>
      </c>
      <c r="IB222" s="338" t="str">
        <f t="shared" si="120"/>
        <v>o</v>
      </c>
      <c r="IC222" s="331" t="str">
        <f t="shared" si="121"/>
        <v>•</v>
      </c>
      <c r="ID222" s="332" t="str">
        <f t="shared" si="122"/>
        <v>•</v>
      </c>
      <c r="IE222" s="332" t="str">
        <f t="shared" si="123"/>
        <v>o</v>
      </c>
      <c r="IF222" s="332" t="str">
        <f t="shared" si="124"/>
        <v>o</v>
      </c>
      <c r="IG222" s="332" t="str">
        <f t="shared" si="125"/>
        <v>•</v>
      </c>
      <c r="IH222" s="332" t="str">
        <f t="shared" si="126"/>
        <v>•</v>
      </c>
      <c r="II222" s="332" t="str">
        <f t="shared" si="127"/>
        <v>o</v>
      </c>
      <c r="IJ222" s="332" t="str">
        <f t="shared" si="128"/>
        <v>•</v>
      </c>
      <c r="IK222" s="332" t="str">
        <f t="shared" si="129"/>
        <v>o</v>
      </c>
      <c r="IL222" s="332" t="str">
        <f t="shared" si="130"/>
        <v>•</v>
      </c>
      <c r="IM222" s="332" t="str">
        <f t="shared" si="131"/>
        <v>o</v>
      </c>
      <c r="IN222" s="332" t="str">
        <f t="shared" si="132"/>
        <v>•</v>
      </c>
      <c r="IO222" s="338" t="str">
        <f t="shared" si="133"/>
        <v>•</v>
      </c>
      <c r="IP222" s="346" t="b">
        <f t="shared" si="134"/>
        <v>0</v>
      </c>
      <c r="IQ222" s="347" t="b">
        <f t="shared" si="135"/>
        <v>1</v>
      </c>
      <c r="IR222" s="347" t="b">
        <f t="shared" si="136"/>
        <v>0</v>
      </c>
      <c r="IS222" s="347" t="b">
        <f t="shared" si="137"/>
        <v>0</v>
      </c>
      <c r="IT222" s="347" t="b">
        <f t="shared" si="138"/>
        <v>0</v>
      </c>
      <c r="IU222" s="347" t="b">
        <f t="shared" si="139"/>
        <v>0</v>
      </c>
      <c r="IV222" s="347" t="b">
        <f t="shared" si="140"/>
        <v>0</v>
      </c>
      <c r="IW222" s="347" t="b">
        <f t="shared" si="141"/>
        <v>1</v>
      </c>
      <c r="IX222" s="347" t="b">
        <f t="shared" si="142"/>
        <v>0</v>
      </c>
      <c r="IY222" s="347" t="b">
        <f t="shared" si="143"/>
        <v>0</v>
      </c>
      <c r="IZ222" s="347" t="b">
        <f t="shared" si="144"/>
        <v>0</v>
      </c>
      <c r="JA222" s="347" t="b">
        <f t="shared" si="145"/>
        <v>1</v>
      </c>
      <c r="JB222" s="353" t="b">
        <f t="shared" si="146"/>
        <v>0</v>
      </c>
      <c r="JC222" s="354" t="str">
        <f t="shared" si="147"/>
        <v/>
      </c>
      <c r="JD222" s="355" t="str">
        <f t="shared" si="148"/>
        <v>re, </v>
      </c>
      <c r="JE222" s="355" t="str">
        <f t="shared" si="149"/>
        <v/>
      </c>
      <c r="JF222" s="355" t="str">
        <f t="shared" si="150"/>
        <v/>
      </c>
      <c r="JG222" s="355" t="str">
        <f t="shared" si="151"/>
        <v/>
      </c>
      <c r="JH222" s="355" t="str">
        <f t="shared" si="152"/>
        <v/>
      </c>
      <c r="JI222" s="355" t="str">
        <f t="shared" si="153"/>
        <v/>
      </c>
      <c r="JJ222" s="355" t="str">
        <f t="shared" si="154"/>
        <v>Pa, </v>
      </c>
      <c r="JK222" s="355" t="str">
        <f t="shared" si="155"/>
        <v/>
      </c>
      <c r="JL222" s="355" t="str">
        <f t="shared" si="156"/>
        <v/>
      </c>
      <c r="JM222" s="355" t="str">
        <f t="shared" si="157"/>
        <v/>
      </c>
      <c r="JN222" s="355" t="str">
        <f t="shared" si="158"/>
        <v>Ni, </v>
      </c>
      <c r="JO222" s="359" t="str">
        <f t="shared" si="159"/>
        <v/>
      </c>
      <c r="JP222" s="346" t="b">
        <f t="shared" si="160"/>
        <v>0</v>
      </c>
      <c r="JQ222" s="347" t="b">
        <f t="shared" si="161"/>
        <v>1</v>
      </c>
      <c r="JR222" s="347" t="b">
        <f t="shared" si="162"/>
        <v>0</v>
      </c>
      <c r="JS222" s="347" t="b">
        <f t="shared" si="163"/>
        <v>0</v>
      </c>
      <c r="JT222" s="347" t="b">
        <f t="shared" si="164"/>
        <v>0</v>
      </c>
      <c r="JU222" s="347" t="b">
        <f t="shared" si="165"/>
        <v>0</v>
      </c>
      <c r="JV222" s="347" t="b">
        <f t="shared" si="166"/>
        <v>0</v>
      </c>
      <c r="JW222" s="347" t="b">
        <f t="shared" si="167"/>
        <v>0</v>
      </c>
      <c r="JX222" s="347" t="b">
        <f t="shared" si="168"/>
        <v>0</v>
      </c>
      <c r="JY222" s="347" t="b">
        <f t="shared" si="169"/>
        <v>0</v>
      </c>
      <c r="JZ222" s="347" t="b">
        <f t="shared" si="170"/>
        <v>0</v>
      </c>
      <c r="KA222" s="347" t="b">
        <f t="shared" si="171"/>
        <v>0</v>
      </c>
      <c r="KB222" s="365" t="b">
        <f t="shared" si="172"/>
        <v>0</v>
      </c>
      <c r="KC222" s="354" t="str">
        <f t="shared" si="173"/>
        <v/>
      </c>
      <c r="KD222" s="355" t="str">
        <f t="shared" si="174"/>
        <v>re, </v>
      </c>
      <c r="KE222" s="355" t="str">
        <f t="shared" si="175"/>
        <v/>
      </c>
      <c r="KF222" s="355" t="str">
        <f t="shared" si="176"/>
        <v/>
      </c>
      <c r="KG222" s="355" t="str">
        <f t="shared" si="177"/>
        <v/>
      </c>
      <c r="KH222" s="355" t="str">
        <f t="shared" si="178"/>
        <v/>
      </c>
      <c r="KI222" s="355" t="str">
        <f t="shared" si="179"/>
        <v/>
      </c>
      <c r="KJ222" s="355" t="str">
        <f t="shared" si="180"/>
        <v/>
      </c>
      <c r="KK222" s="355" t="str">
        <f t="shared" si="181"/>
        <v/>
      </c>
      <c r="KL222" s="355" t="str">
        <f t="shared" si="182"/>
        <v/>
      </c>
      <c r="KM222" s="355" t="str">
        <f t="shared" si="183"/>
        <v/>
      </c>
      <c r="KN222" s="355" t="str">
        <f t="shared" si="184"/>
        <v/>
      </c>
      <c r="KO222" s="359"/>
      <c r="KP222" s="378"/>
      <c r="KQ222" s="379" t="s">
        <v>603</v>
      </c>
      <c r="KR222" s="380" t="s">
        <v>1288</v>
      </c>
      <c r="KS222" s="381" t="str">
        <f t="shared" si="661"/>
        <v>S-r-G-m-P-D-N-S</v>
      </c>
      <c r="KT222" s="382">
        <f t="shared" si="186"/>
        <v>7</v>
      </c>
      <c r="KU222" s="383">
        <f t="shared" si="187"/>
        <v>7</v>
      </c>
      <c r="KV222" s="381" t="str">
        <f t="shared" si="205"/>
        <v>S-N-D-P-m-G-r-S</v>
      </c>
      <c r="KW222" s="382">
        <f t="shared" si="189"/>
        <v>7</v>
      </c>
      <c r="KX222" s="384">
        <f t="shared" si="190"/>
        <v>7</v>
      </c>
      <c r="KY222" s="382">
        <f t="shared" ref="KY222:KZ222" si="662">KW222-KT222</f>
        <v>0</v>
      </c>
      <c r="KZ222" s="369">
        <f t="shared" si="662"/>
        <v>0</v>
      </c>
      <c r="LA222" s="385" t="str">
        <f t="shared" si="192"/>
        <v>✔</v>
      </c>
      <c r="LB222" s="340" t="str">
        <f>IFERROR(__xludf.DUMMYFUNCTION("JOIN("""",ArrayFormula(MID(KS222,LEN(KS222)-SEQUENCE(1,LEN(KS222))+1,1)))"),"S-N-D-P-m-G-r-S")</f>
        <v>S-N-D-P-m-G-r-S</v>
      </c>
      <c r="LC222" s="373" t="str">
        <f>IFERROR(__xludf.DUMMYFUNCTION("JOIN("""",ArrayFormula(MID(KV222,LEN(KV222)-SEQUENCE(1,LEN(KV222))+1,1)))"),"S-r-G-m-P-D-N-S")</f>
        <v>S-r-G-m-P-D-N-S</v>
      </c>
      <c r="LD222" s="373" t="str">
        <f t="shared" si="193"/>
        <v>SrGmPDNS</v>
      </c>
      <c r="LE222" s="339" t="str">
        <f t="shared" si="194"/>
        <v>SrGmPDNS</v>
      </c>
      <c r="LF222" s="386" t="str">
        <f>IFERROR(__xludf.DUMMYFUNCTION("SUBSTITUTE(SUBSTITUTE(CONCATENATE(JOIN("""",LH222:LT222)),""1"",""""),""2"","""")"),"SrGmPDNS")</f>
        <v>SrGmPDNS</v>
      </c>
      <c r="LG222" s="369" t="str">
        <f t="shared" si="195"/>
        <v>✔</v>
      </c>
      <c r="LH222" s="387" t="str">
        <f>IFERROR(__xludf.DUMMYFUNCTION("IF(REGEXMATCH(LD222, ""S""), ""S"",IF(REGEXMATCH(LE222, ""S""), ""S"",""""))"),"S")</f>
        <v>S</v>
      </c>
      <c r="LI222" s="299" t="str">
        <f>IFERROR(__xludf.DUMMYFUNCTION("IF(REGEXMATCH(LD222, ""r""), ""r1"",IF(REGEXMATCH(LE222, ""r""), ""r2"",""""))"),"r1")</f>
        <v>r1</v>
      </c>
      <c r="LJ222" s="299" t="str">
        <f>IFERROR(__xludf.DUMMYFUNCTION("IF(REGEXMATCH(LD222, ""R""), ""R1"",IF(REGEXMATCH(LE222, ""R""), ""R2"",""""))"),"")</f>
        <v/>
      </c>
      <c r="LK222" s="299" t="str">
        <f>IFERROR(__xludf.DUMMYFUNCTION("IF(REGEXMATCH(LD222, ""g""), ""g1"",IF(REGEXMATCH(LE222, ""g""), ""g2"",""""))"),"")</f>
        <v/>
      </c>
      <c r="LL222" s="299" t="str">
        <f>IFERROR(__xludf.DUMMYFUNCTION("IF(REGEXMATCH(LD222, ""G""), ""G1"",IF(REGEXMATCH(LE222, ""G""), ""G2"",""""))"),"G1")</f>
        <v>G1</v>
      </c>
      <c r="LM222" s="299" t="str">
        <f>IFERROR(__xludf.DUMMYFUNCTION("IF(REGEXMATCH(LD222, ""m""), ""m1"",IF(REGEXMATCH(LE222, ""m""), ""m2"",""""))"),"m1")</f>
        <v>m1</v>
      </c>
      <c r="LN222" s="299" t="str">
        <f>IFERROR(__xludf.DUMMYFUNCTION("IF(REGEXMATCH(LD222, ""M""), ""M1"",IF(REGEXMATCH(LE222, ""M""), ""M2"",""""))"),"")</f>
        <v/>
      </c>
      <c r="LO222" s="299" t="str">
        <f>IFERROR(__xludf.DUMMYFUNCTION("IF(REGEXMATCH(LD222, ""P""), ""P1"",IF(REGEXMATCH(LE222, ""P""), ""P2"",""""))"),"P1")</f>
        <v>P1</v>
      </c>
      <c r="LP222" s="299" t="str">
        <f>IFERROR(__xludf.DUMMYFUNCTION("IF(REGEXMATCH(LD222, ""d""), ""d1"",IF(REGEXMATCH(LE222, ""d""), ""d2"",""""))"),"")</f>
        <v/>
      </c>
      <c r="LQ222" s="299" t="str">
        <f>IFERROR(__xludf.DUMMYFUNCTION("IF(REGEXMATCH(LD222, ""D""), ""D1"",IF(REGEXMATCH(LE222, ""D""), ""D2"",""""))"),"D1")</f>
        <v>D1</v>
      </c>
      <c r="LR222" s="299" t="str">
        <f>IFERROR(__xludf.DUMMYFUNCTION("IF(REGEXMATCH(LD222, ""n""), ""n1"",IF(REGEXMATCH(LE222, ""n""), ""n2"",""""))"),"")</f>
        <v/>
      </c>
      <c r="LS222" s="299" t="str">
        <f>IFERROR(__xludf.DUMMYFUNCTION("IF(REGEXMATCH(LD222, ""N""), ""N1"",IF(REGEXMATCH(LE222, ""N""), ""N2"",""""))"),"N1")</f>
        <v>N1</v>
      </c>
      <c r="LT222" s="388" t="str">
        <f>IFERROR(__xludf.DUMMYFUNCTION("IF(REGEXMATCH(LD222, ""S""), ""S"",IF(REGEXMATCH(LE222, ""S""), ""S"",""""))"),"S")</f>
        <v>S</v>
      </c>
      <c r="LU222" s="389">
        <f t="shared" si="196"/>
        <v>1</v>
      </c>
      <c r="LV222" s="378"/>
      <c r="LW222" s="369"/>
      <c r="LX222" s="369"/>
    </row>
    <row r="223" ht="18.0" customHeight="1">
      <c r="A223" s="298" t="s">
        <v>971</v>
      </c>
      <c r="B223" s="222" t="s">
        <v>972</v>
      </c>
      <c r="C223" s="233" t="str">
        <f t="shared" si="7"/>
        <v>SrgMdnS</v>
      </c>
      <c r="D223" s="234" t="str">
        <f>IFERROR(__xludf.DUMMYFUNCTION("IF(REGEXMATCH(C223, ""S""), ""S"","""")"),"S")</f>
        <v>S</v>
      </c>
      <c r="E223" s="236" t="str">
        <f>IFERROR(__xludf.DUMMYFUNCTION("IF(REGEXMATCH(C223, ""r""), ""r"","""")"),"r")</f>
        <v>r</v>
      </c>
      <c r="F223" s="237" t="str">
        <f>IFERROR(__xludf.DUMMYFUNCTION("IF(REGEXMATCH(C223, ""R""), ""R"","""")"),"")</f>
        <v/>
      </c>
      <c r="G223" s="237" t="str">
        <f>IFERROR(__xludf.DUMMYFUNCTION("IF(REGEXMATCH(C223, ""g""), ""g"","""")"),"g")</f>
        <v>g</v>
      </c>
      <c r="H223" s="236" t="str">
        <f>IFERROR(__xludf.DUMMYFUNCTION("IF(REGEXMATCH(C223, ""G""), ""G"","""")"),"")</f>
        <v/>
      </c>
      <c r="I223" s="236" t="str">
        <f>IFERROR(__xludf.DUMMYFUNCTION("IF(REGEXMATCH(C223, ""m""), ""m"","""")"),"")</f>
        <v/>
      </c>
      <c r="J223" s="237" t="str">
        <f>IFERROR(__xludf.DUMMYFUNCTION("IF(REGEXMATCH(C223, ""M""), ""M"","""")"),"M")</f>
        <v>M</v>
      </c>
      <c r="K223" s="236" t="str">
        <f>IFERROR(__xludf.DUMMYFUNCTION("IF(REGEXMATCH(C223, ""P""), ""P"","""")"),"")</f>
        <v/>
      </c>
      <c r="L223" s="237" t="str">
        <f>IFERROR(__xludf.DUMMYFUNCTION("IF(REGEXMATCH(C223, ""d""), ""d"","""")"),"d")</f>
        <v>d</v>
      </c>
      <c r="M223" s="236" t="str">
        <f>IFERROR(__xludf.DUMMYFUNCTION("IF(REGEXMATCH(C223, ""D""), ""D"","""")"),"")</f>
        <v/>
      </c>
      <c r="N223" s="236" t="str">
        <f>IFERROR(__xludf.DUMMYFUNCTION("IF(REGEXMATCH(C223, ""n""), ""n"","""")"),"n")</f>
        <v>n</v>
      </c>
      <c r="O223" s="237" t="str">
        <f>IFERROR(__xludf.DUMMYFUNCTION("IF(REGEXMATCH(C223, ""N""), ""N"","""")"),"")</f>
        <v/>
      </c>
      <c r="P223" s="238" t="str">
        <f>IFERROR(__xludf.DUMMYFUNCTION("IF(REGEXMATCH(C223, ""S""), ""S"","""")"),"S")</f>
        <v>S</v>
      </c>
      <c r="Q223" s="239" t="str">
        <f>IFERROR(__xludf.DUMMYFUNCTION("SUBSTITUTE(CONCATENATE(JOIN(""-"",D223:J223)),""-"","""")"),"SrgM")</f>
        <v>SrgM</v>
      </c>
      <c r="R223" s="229" t="str">
        <f>IFERROR(__xludf.DUMMYFUNCTION("SUBSTITUTE(CONCATENATE(JOIN(""-"",K223:P223)),""-"","""")"),"dnS")</f>
        <v>dnS</v>
      </c>
      <c r="S223" s="282" t="str">
        <f t="shared" si="8"/>
        <v>S-R-G-M</v>
      </c>
      <c r="T223" s="282" t="str">
        <f t="shared" si="9"/>
        <v>D-N-S</v>
      </c>
      <c r="U223" s="237" t="str">
        <f>IFERROR(__xludf.DUMMYFUNCTION("SUBSTITUTE(JOIN(""-"",S223,T223),""--"",""-"")"),"S-R-G-M-D-N-S")</f>
        <v>S-R-G-M-D-N-S</v>
      </c>
      <c r="V223" s="309" t="str">
        <f t="shared" si="10"/>
        <v>rgMdn</v>
      </c>
      <c r="W223" s="244" t="str">
        <f>IFERROR(__xludf.DUMMYFUNCTION("IF(REGEXMATCH(C223, ""S""), ""0"","""")"),"0")</f>
        <v>0</v>
      </c>
      <c r="X223" s="245" t="str">
        <f>IFERROR(__xludf.DUMMYFUNCTION("IF(REGEXMATCH(C223, ""r""), ""1"","""")"),"1")</f>
        <v>1</v>
      </c>
      <c r="Y223" s="246" t="str">
        <f>IFERROR(__xludf.DUMMYFUNCTION("IF(REGEXMATCH(C223, ""R""), ""2"","""")"),"")</f>
        <v/>
      </c>
      <c r="Z223" s="246" t="str">
        <f>IFERROR(__xludf.DUMMYFUNCTION("IF(REGEXMATCH(C223, ""g""), ""3"","""")"),"3")</f>
        <v>3</v>
      </c>
      <c r="AA223" s="245" t="str">
        <f>IFERROR(__xludf.DUMMYFUNCTION("IF(REGEXMATCH(C223, ""G""), ""4"","""")"),"")</f>
        <v/>
      </c>
      <c r="AB223" s="245" t="str">
        <f>IFERROR(__xludf.DUMMYFUNCTION("IF(REGEXMATCH(C223, ""m""), ""5"","""")"),"")</f>
        <v/>
      </c>
      <c r="AC223" s="246" t="str">
        <f>IFERROR(__xludf.DUMMYFUNCTION("IF(REGEXMATCH(C223, ""M""), ""6"","""")"),"6")</f>
        <v>6</v>
      </c>
      <c r="AD223" s="245" t="str">
        <f>IFERROR(__xludf.DUMMYFUNCTION("IF(REGEXMATCH(C223, ""P""), ""7"","""")"),"")</f>
        <v/>
      </c>
      <c r="AE223" s="246" t="str">
        <f>IFERROR(__xludf.DUMMYFUNCTION("IF(REGEXMATCH(C223, ""d""), ""8"","""")"),"8")</f>
        <v>8</v>
      </c>
      <c r="AF223" s="245" t="str">
        <f>IFERROR(__xludf.DUMMYFUNCTION("IF(REGEXMATCH(C223, ""D""), ""9"","""")"),"")</f>
        <v/>
      </c>
      <c r="AG223" s="245" t="str">
        <f>IFERROR(__xludf.DUMMYFUNCTION("IF(REGEXMATCH(C223, ""n""), ""10"","""")"),"10")</f>
        <v>10</v>
      </c>
      <c r="AH223" s="246" t="str">
        <f>IFERROR(__xludf.DUMMYFUNCTION("IF(REGEXMATCH(C223, ""N""), ""11"","""")"),"")</f>
        <v/>
      </c>
      <c r="AI223" s="249" t="str">
        <f>IFERROR(__xludf.DUMMYFUNCTION("IF(REGEXMATCH(C223, ""S""), ""0"","""")"),"0")</f>
        <v>0</v>
      </c>
      <c r="AJ223" s="313" t="str">
        <f t="shared" si="11"/>
        <v>T</v>
      </c>
      <c r="AK223" s="313" t="str">
        <f t="shared" si="12"/>
        <v>-</v>
      </c>
      <c r="AL223" s="313" t="str">
        <f t="shared" si="13"/>
        <v>-</v>
      </c>
      <c r="AM223" s="313" t="str">
        <f t="shared" si="14"/>
        <v>-</v>
      </c>
      <c r="AN223" s="313" t="str">
        <f t="shared" si="15"/>
        <v>-</v>
      </c>
      <c r="AO223" s="314" t="str">
        <f t="shared" si="16"/>
        <v>-</v>
      </c>
      <c r="AP223" s="316">
        <f t="shared" si="17"/>
        <v>1</v>
      </c>
      <c r="AQ223" s="319" t="str">
        <f t="shared" si="18"/>
        <v>#REF!</v>
      </c>
      <c r="AR223" s="320">
        <f t="shared" si="19"/>
        <v>0</v>
      </c>
      <c r="AS223" s="250" t="str">
        <f>IFERROR(__xludf.DUMMYFUNCTION("SUBSTITUTE(SUBSTITUTE(CONCATENATE(JOIN("""",FP223:GA223)),""|"",""x""),""-"",""o"")"),"xxoxooxoxoxo")</f>
        <v>xxoxooxoxoxo</v>
      </c>
      <c r="AT223" s="323" t="str">
        <f>IFERROR(__xludf.DUMMYFUNCTION("JOIN("""",AS223,AS223)"),"xxoxooxoxoxoxxoxooxoxoxo")</f>
        <v>xxoxooxoxoxoxxoxooxoxoxo</v>
      </c>
      <c r="AU223" s="256" t="str">
        <f>IFERROR(__xludf.DUMMYFUNCTION("JOIN("""",ArrayFormula(MID(AS223,LEN(AS223)-SEQUENCE(1,LEN(AS223))+1,1)))"),"oxoxoxooxoxx")</f>
        <v>oxoxoxooxoxx</v>
      </c>
      <c r="AV223" s="256" t="str">
        <f>IFERROR(__xludf.DUMMYFUNCTION("LEFT(CONCATENATE(""x"",JOIN("""",ArrayFormula(MID(AS223,LEN(AS223)-SEQUENCE(1,LEN(AS223))+1,1)))),12)"),"xoxoxoxooxox")</f>
        <v>xoxoxoxooxox</v>
      </c>
      <c r="AW223" s="327" t="str">
        <f>IFERROR(__xludf.DUMMYFUNCTION("JOIN("""",AU223,AU223)"),"oxoxoxooxoxxoxoxoxooxoxx")</f>
        <v>oxoxoxooxoxxoxoxoxooxoxx</v>
      </c>
      <c r="AX223" s="239" t="str">
        <f>IFERROR(__xludf.DUMMYFUNCTION("IF(REGEXMATCH(AW223,AS223),""✔"",""-"")"),"-")</f>
        <v>-</v>
      </c>
      <c r="AY223" s="330" t="str">
        <f t="shared" si="20"/>
        <v>-</v>
      </c>
      <c r="AZ223" s="260" t="str">
        <f t="shared" si="21"/>
        <v>#REF!</v>
      </c>
      <c r="BA223" s="333" t="str">
        <f t="shared" si="22"/>
        <v>xxoxoox</v>
      </c>
      <c r="BB223" s="334" t="str">
        <f t="shared" si="23"/>
        <v>oxoxox</v>
      </c>
      <c r="BC223" s="335" t="str">
        <f t="shared" si="236"/>
        <v>-</v>
      </c>
      <c r="BD223" s="336" t="str">
        <f t="shared" si="25"/>
        <v>Mangal Gujari: 'xxoxoox' + 'oxoxox'</v>
      </c>
      <c r="BE223" s="337">
        <f>IFERROR(__xludf.DUMMYFUNCTION("COUNTUNIQUE(FILTER(AT:AT,REGEXMATCH(AT:AT,AS223)))-1"),0.0)</f>
        <v>0</v>
      </c>
      <c r="BF223" s="261" t="str">
        <f>IFERROR(__xludf.DUMMYFUNCTION("IF(BI223=0,""(n/a)"",IF(BJ223=2,""(PAIR)"",IF(REGEXMATCH(AT223,""xoxoxxoxoxox""),""Bilawal"",IF(REGEXMATCH(AT223,""xoxoxooxoxoo""),""Bhupali"",IF(REGEXMATCH(AT223,""xoxoxxoxxoxo""),""Charukeshi"",IF(REGEXMATCH(AT223,""xoxoooxxoxxo""),""Kameshwari"",IF(REG"&amp;"EXMATCH(AT223,""xoxoxooxoxox""),""Shankara"",IF(REGEXMATCH(AT223,""xxooxoxxxoox""),""Basant"",IF(REGEXMATCH(AT223,""xoxoxxxxoxox""),""Bihag"",IF(REGEXMATCH(AT223,""xoxxxxoxoxxx""),""Pilu"",IF(REGEXMATCH(AT223,""xoxxoxoxxoox""),""Kirwani"",IF(REGEXMATCH(AT"&amp;"223,""xoxxoxoxoxxx""),""Mk.Malhar"",IF(REGEXMATCH(AT223,""xxooxxoxxoox""),""Bhairav"",IF(REGEXMATCH(AT223,""xxoxooxxxoox""),""Todi"",IF(REGEXMATCH(AT223,""xxooxoxooxox""),""Marwa"",IF(REGEXMATCH(AT223,""xxoooxoxxooo""),""Gunkali"",IF(REGEXMATCH(AT223,""xo"&amp;"xoxxoxxoox""),""Nat Bhairav"",IF(REGEXMATCH(AT223,""xoxxoooxoxoo""),""Shivranjani"",IF(REGEXMATCH(AT223,""xooxxxoxooxo""),""Jog"",IF(REGEXMATCH(AT223,""xxooxoxoxoox""),""Hemshri"",IF(REGEXMATCH(AT223,""xoooxooxoxxo""),""Kalavati"",IF(REGEXMATCH(AT223,""xx"&amp;"oxoxxoxoox""),""Kedar"",IF(REGEXMATCH(AT223,""xoxxxxoxooxx""),""Gara"",IF(REGEXMATCH(AT223,""xooxoxooxoox""),""Chandrakauns"",IF(REGEXMATCH(AT223,""xoxxxxoxxxox""),""Mand"",IF(REGEXMATCH(AT223,""xoxxxxoxoxox""),""Hanskinkini"",IF(REGEXMATCH(AT223,""xxooxx"&amp;"oxooxo""),""Lilavati"",IF(REGEXMATCH(AT223,""xooxoxoooxox""),""Rajeshwari"",IF(REGEXMATCH(AT223,""xoooxxoxoxxx""),""Khokar"",IF(REGEXMATCH(AT223,""xxooxoxxxxox""),""Maligoura"",""-""))))))))))))))))))))))))))))))"),"(n/a)")</f>
        <v>(n/a)</v>
      </c>
      <c r="BG223" s="239" t="str">
        <f t="shared" si="26"/>
        <v>#REF!</v>
      </c>
      <c r="BH223" s="239">
        <f>IFERROR(__xludf.DUMMYFUNCTION("COUNTUNIQUE(FE223:FO223)-1"),5.0)</f>
        <v>5</v>
      </c>
      <c r="BI223" s="239">
        <f>IFERROR(__xludf.DUMMYFUNCTION("COUNTUNIQUE(FILTER(AT:AT,REGEXMATCH(AT:AT,AS223)))-1"),0.0)</f>
        <v>0</v>
      </c>
      <c r="BJ223" s="239">
        <f>IFERROR(__xludf.DUMMYFUNCTION("COUNTA(FILTER(AT:AT,REGEXMATCH(AT:AT,AS223)))"),1.0)</f>
        <v>1</v>
      </c>
      <c r="BK223" s="341">
        <f>IFERROR(__xludf.DUMMYFUNCTION("COUNTA(FILTER(AT:AT,REGEXMATCH(AT:AT,AS223)))-AR223"),1.0)</f>
        <v>1</v>
      </c>
      <c r="BL223" s="276" t="str">
        <f>IFERROR(__xludf.DUMMYFUNCTION("IF(AS223=""oooooooooooo"",""-"",IF(REGEXMATCH(AT223,""xx""), ""Hemi."", ""Anhemi.""))"),"Hemi.")</f>
        <v>Hemi.</v>
      </c>
      <c r="BM223" s="282" t="str">
        <f>IFERROR(__xludf.DUMMYFUNCTION("IF(AS223=""oooooooooooo"",""-"",IF(REGEXMATCH(AT223,""xxx""), ""Cohem."", ""-""))"),"-")</f>
        <v>-</v>
      </c>
      <c r="BN223" s="282" t="str">
        <f>IFERROR(__xludf.DUMMYFUNCTION("IF(AS223=""oooooooooooo"",""-"",IF(REGEXMATCH(AT223,""xxxx""), ""Co-Co."", ""-""))"),"-")</f>
        <v>-</v>
      </c>
      <c r="BO223" s="342" t="str">
        <f>IFERROR(__xludf.DUMMYFUNCTION("IF(AS223=""oooooooooooo"",""-"",IF(REGEXMATCH(AT223,""xxxxx""), ""CCC."", ""-""))"),"-")</f>
        <v>-</v>
      </c>
      <c r="BP223" s="344" t="str">
        <f t="shared" si="27"/>
        <v>-</v>
      </c>
      <c r="BQ223" s="282" t="str">
        <f>IFERROR(__xludf.DUMMYFUNCTION("IF(REGEXMATCH(JOIN(""-"",EU223:FD223),""TRUE""),""✔"",""-"")"),"-")</f>
        <v>-</v>
      </c>
      <c r="BR223" s="225">
        <f t="shared" si="28"/>
        <v>0</v>
      </c>
      <c r="BS223" s="345" t="str">
        <f>IFERROR(__xludf.DUMMYFUNCTION("SUBSTITUTE(SUBSTITUTE(SUBSTITUTE(SUBSTITUTE(CONCATENATE(JOIN(""-"",GC223:GO223)),""--"",""-""),""--"",""-""),""--"",""-""),""--"",""-"")"),"1-b2-b3-#4-b6-b7-8")</f>
        <v>1-b2-b3-#4-b6-b7-8</v>
      </c>
      <c r="BT223" s="299" t="str">
        <f>IFERROR(__xludf.DUMMYFUNCTION("SUBSTITUTE(SUBSTITUTE(SUBSTITUTE(SUBSTITUTE(CONCATENATE(JOIN(""-"",GP223:HB223)),""--"",""-""),""--"",""-""),""--"",""-""),""--"",""-"")"),"S-R1-G2-M2-D1-N2-S")</f>
        <v>S-R1-G2-M2-D1-N2-S</v>
      </c>
      <c r="BU223" s="348" t="str">
        <f t="shared" si="29"/>
        <v>C-Db-Eb-F#-Ab-Bb-C</v>
      </c>
      <c r="BV223" s="349" t="str">
        <f t="shared" si="30"/>
        <v>SRGmPDNS</v>
      </c>
      <c r="BW223" s="350">
        <f t="shared" si="31"/>
        <v>17</v>
      </c>
      <c r="BX223" s="351">
        <f t="shared" si="32"/>
        <v>1</v>
      </c>
      <c r="BY223" s="352" t="s">
        <v>275</v>
      </c>
      <c r="BZ223" s="309" t="str">
        <f>IFERROR(__xludf.DUMMYFUNCTION("IF(REGEXMATCH(C223, ""S""), ""x"",""x"")"),"x")</f>
        <v>x</v>
      </c>
      <c r="CA223" s="245" t="str">
        <f>IFERROR(__xludf.DUMMYFUNCTION("IF(REGEXMATCH(C223, ""r""), ""o"",""x"")"),"o")</f>
        <v>o</v>
      </c>
      <c r="CB223" s="246" t="str">
        <f>IFERROR(__xludf.DUMMYFUNCTION("IF(REGEXMATCH(C223, ""R""), ""o"",""x"")"),"x")</f>
        <v>x</v>
      </c>
      <c r="CC223" s="246" t="str">
        <f>IFERROR(__xludf.DUMMYFUNCTION("IF(REGEXMATCH(C223, ""g""), ""o"",""x"")"),"o")</f>
        <v>o</v>
      </c>
      <c r="CD223" s="245" t="str">
        <f>IFERROR(__xludf.DUMMYFUNCTION("IF(REGEXMATCH(C223, ""G""), ""o"",""x"")"),"x")</f>
        <v>x</v>
      </c>
      <c r="CE223" s="245" t="str">
        <f>IFERROR(__xludf.DUMMYFUNCTION("IF(REGEXMATCH(C223, ""m""), ""o"",""x"")"),"x")</f>
        <v>x</v>
      </c>
      <c r="CF223" s="246" t="str">
        <f>IFERROR(__xludf.DUMMYFUNCTION("IF(REGEXMATCH(C223, ""M""), ""o"",""x"")"),"o")</f>
        <v>o</v>
      </c>
      <c r="CG223" s="245" t="str">
        <f>IFERROR(__xludf.DUMMYFUNCTION("IF(REGEXMATCH(C223, ""P""), ""o"",""x"")"),"x")</f>
        <v>x</v>
      </c>
      <c r="CH223" s="246" t="str">
        <f>IFERROR(__xludf.DUMMYFUNCTION("IF(REGEXMATCH(C223, ""d""), ""o"",""x"")"),"o")</f>
        <v>o</v>
      </c>
      <c r="CI223" s="245" t="str">
        <f>IFERROR(__xludf.DUMMYFUNCTION("IF(REGEXMATCH(C223, ""D""), ""o"",""x"")"),"x")</f>
        <v>x</v>
      </c>
      <c r="CJ223" s="245" t="str">
        <f>IFERROR(__xludf.DUMMYFUNCTION("IF(REGEXMATCH(C223, ""n""), ""o"",""x"")"),"o")</f>
        <v>o</v>
      </c>
      <c r="CK223" s="245" t="str">
        <f>IFERROR(__xludf.DUMMYFUNCTION("IF(REGEXMATCH(C223, ""N""), ""o"",""x"")"),"x")</f>
        <v>x</v>
      </c>
      <c r="CL223" s="356" t="str">
        <f>IFERROR(__xludf.DUMMYFUNCTION("IF(REGEXMATCH(C223, ""S""), ""x"",""x"")"),"x")</f>
        <v>x</v>
      </c>
      <c r="CM223" s="357" t="str">
        <f t="shared" si="33"/>
        <v>xoxoxxoxoxox</v>
      </c>
      <c r="CN223" s="358">
        <f t="shared" si="34"/>
        <v>17</v>
      </c>
      <c r="CO223" s="246" t="str">
        <f>IFERROR(__xludf.DUMMYFUNCTION("IF(REGEXMATCH($C223, ""S""), ""S"",""S"")"),"S")</f>
        <v>S</v>
      </c>
      <c r="CP223" s="246" t="str">
        <f>IFERROR(__xludf.DUMMYFUNCTION("IF(REGEXMATCH($C223, ""r""), """",""r"")"),"")</f>
        <v/>
      </c>
      <c r="CQ223" s="246" t="str">
        <f>IFERROR(__xludf.DUMMYFUNCTION("IF(REGEXMATCH($C223, ""R""), """",""R"")"),"R")</f>
        <v>R</v>
      </c>
      <c r="CR223" s="246" t="str">
        <f>IFERROR(__xludf.DUMMYFUNCTION("IF(REGEXMATCH($C223, ""g""), """",""g"")"),"")</f>
        <v/>
      </c>
      <c r="CS223" s="246" t="str">
        <f>IFERROR(__xludf.DUMMYFUNCTION("IF(REGEXMATCH($C223, ""G""), """",""G"")"),"G")</f>
        <v>G</v>
      </c>
      <c r="CT223" s="246" t="str">
        <f>IFERROR(__xludf.DUMMYFUNCTION("IF(REGEXMATCH($C223, ""m""), """",""m"")"),"m")</f>
        <v>m</v>
      </c>
      <c r="CU223" s="246" t="str">
        <f>IFERROR(__xludf.DUMMYFUNCTION("IF(REGEXMATCH($C223, ""M""), """",""M"")"),"")</f>
        <v/>
      </c>
      <c r="CV223" s="246" t="str">
        <f>IFERROR(__xludf.DUMMYFUNCTION("IF(REGEXMATCH($C223, ""P""), """",""P"")"),"P")</f>
        <v>P</v>
      </c>
      <c r="CW223" s="246" t="str">
        <f>IFERROR(__xludf.DUMMYFUNCTION("IF(REGEXMATCH($C223, ""d""), """",""d"")"),"")</f>
        <v/>
      </c>
      <c r="CX223" s="246" t="str">
        <f>IFERROR(__xludf.DUMMYFUNCTION("IF(REGEXMATCH($C223, ""D""), """",""D"")"),"D")</f>
        <v>D</v>
      </c>
      <c r="CY223" s="246" t="str">
        <f>IFERROR(__xludf.DUMMYFUNCTION("IF(REGEXMATCH($C223, ""n""), """",""n"")"),"")</f>
        <v/>
      </c>
      <c r="CZ223" s="246" t="str">
        <f>IFERROR(__xludf.DUMMYFUNCTION("IF(REGEXMATCH($C223, ""N""), """",""N"")"),"N")</f>
        <v>N</v>
      </c>
      <c r="DA223" s="246" t="str">
        <f>IFERROR(__xludf.DUMMYFUNCTION("IF(REGEXMATCH($C223, ""S""), ""S"",""S"")"),"S")</f>
        <v>S</v>
      </c>
      <c r="DB223" s="362" t="str">
        <f>IFERROR(__xludf.DUMMYFUNCTION("JOIN("""",CO223:DA223,"""","""")"),"SRGmPDNS")</f>
        <v>SRGmPDNS</v>
      </c>
      <c r="DC223" s="363"/>
      <c r="DD223" s="301" t="str">
        <f t="shared" si="35"/>
        <v>#REF!</v>
      </c>
      <c r="DE223" s="302" t="str">
        <f t="shared" si="36"/>
        <v>#REF!</v>
      </c>
      <c r="DF223" s="301" t="str">
        <f t="shared" ref="DF223:DG223" si="663">SUBSTITUTE(S223,"-","")</f>
        <v>SRGM</v>
      </c>
      <c r="DG223" s="301" t="str">
        <f t="shared" si="663"/>
        <v>DNS</v>
      </c>
      <c r="DH223" s="302" t="str">
        <f t="shared" si="38"/>
        <v>(n/a)</v>
      </c>
      <c r="DI223" s="301" t="str">
        <f t="shared" si="39"/>
        <v>Hemi.</v>
      </c>
      <c r="DJ223" s="364" t="str">
        <f t="shared" si="40"/>
        <v>-</v>
      </c>
      <c r="DK223" s="306" t="str">
        <f t="shared" si="41"/>
        <v>-</v>
      </c>
      <c r="DL223" s="366" t="str">
        <f t="shared" si="42"/>
        <v>-</v>
      </c>
      <c r="DM223" s="308" t="str">
        <f t="shared" si="43"/>
        <v>✔</v>
      </c>
      <c r="DN223" s="306" t="str">
        <f t="shared" si="44"/>
        <v>-</v>
      </c>
      <c r="DO223" s="306" t="str">
        <f t="shared" si="45"/>
        <v>✔</v>
      </c>
      <c r="DP223" s="367" t="str">
        <f t="shared" si="46"/>
        <v>✔</v>
      </c>
      <c r="DQ223" s="310" t="str">
        <f t="shared" si="47"/>
        <v>-</v>
      </c>
      <c r="DR223" s="310" t="str">
        <f t="shared" si="48"/>
        <v>-</v>
      </c>
      <c r="DS223" s="310" t="str">
        <f t="shared" si="49"/>
        <v>-</v>
      </c>
      <c r="DT223" s="310" t="str">
        <f t="shared" si="50"/>
        <v>-</v>
      </c>
      <c r="DU223" s="370" t="str">
        <f t="shared" si="51"/>
        <v>-</v>
      </c>
      <c r="DV223" s="306" t="str">
        <f t="shared" si="52"/>
        <v>-</v>
      </c>
      <c r="DW223" s="306" t="str">
        <f t="shared" si="53"/>
        <v>-</v>
      </c>
      <c r="DX223" s="306" t="str">
        <f t="shared" si="54"/>
        <v>-</v>
      </c>
      <c r="DY223" s="306" t="str">
        <f t="shared" si="55"/>
        <v>✔</v>
      </c>
      <c r="DZ223" s="306" t="str">
        <f t="shared" si="56"/>
        <v>-</v>
      </c>
      <c r="EA223" s="367" t="str">
        <f t="shared" si="57"/>
        <v>-</v>
      </c>
      <c r="EB223" s="310" t="str">
        <f>IFERROR(__xludf.DUMMYFUNCTION("IF(REGEXMATCH(AW223,AS223),""✔"",""-"")"),"-")</f>
        <v>-</v>
      </c>
      <c r="EC223" s="310" t="str">
        <f t="shared" si="58"/>
        <v>#REF!</v>
      </c>
      <c r="ED223" s="370" t="str">
        <f t="shared" si="59"/>
        <v>-</v>
      </c>
      <c r="EE223" s="340" t="str">
        <f t="shared" si="60"/>
        <v>S-r-g-M-d-n-S</v>
      </c>
      <c r="EF223" s="371" t="str">
        <f>IFERROR(__xludf.DUMMYFUNCTION("CONCATENATE(JOIN("""",HC223:HO223))"),"SRGMDNS")</f>
        <v>SRGMDNS</v>
      </c>
      <c r="EG223" s="372">
        <f t="shared" si="61"/>
        <v>2</v>
      </c>
      <c r="EH223" s="373" t="str">
        <f>IFERROR(__xludf.DUMMYFUNCTION("CONCATENATE(JOIN("""",JC223:JO223))"),"Sa, ni, ")</f>
        <v>Sa, ni, </v>
      </c>
      <c r="EI223" s="322">
        <f t="shared" si="62"/>
        <v>1</v>
      </c>
      <c r="EJ223" s="374" t="str">
        <f>IFERROR(__xludf.DUMMYFUNCTION("CONCATENATE(JOIN("""",KC223:KO223))"),"Sa, ")</f>
        <v>Sa, </v>
      </c>
      <c r="EK223" s="325" t="str">
        <f t="shared" si="63"/>
        <v>S-R1-G2-M2-D1-N2-S</v>
      </c>
      <c r="EL223" s="326" t="str">
        <f t="shared" si="64"/>
        <v>1-b2-b3-#4-b6-b7-8</v>
      </c>
      <c r="EM223" s="318" t="str">
        <f t="shared" si="65"/>
        <v>#REF!</v>
      </c>
      <c r="EN223" s="328" t="str">
        <f>IFERROR(__xludf.DUMMYFUNCTION("SUBSTITUTE(SUBSTITUTE(SUBSTITUTE(SUBSTITUTE(CONCATENATE(JOIN("" "",HP223:IB223)),""  "","" ""),""  "","" ""),""  "","" ""),""  "","" "")"),"o o • o • • o • o • o • o")</f>
        <v>o o • o • • o • o • o • o</v>
      </c>
      <c r="EO223" s="368" t="str">
        <f t="shared" si="66"/>
        <v>Sa-Pa</v>
      </c>
      <c r="EP223" s="339" t="str">
        <f t="shared" si="67"/>
        <v>Sa-Pa</v>
      </c>
      <c r="EQ223" s="339" t="str">
        <f t="shared" si="68"/>
        <v>-</v>
      </c>
      <c r="ER223" s="339" t="str">
        <f t="shared" si="69"/>
        <v>-</v>
      </c>
      <c r="ES223" s="340" t="str">
        <f t="shared" si="70"/>
        <v>-</v>
      </c>
      <c r="ET223" s="363"/>
      <c r="EU223" s="376" t="b">
        <f>IFERROR(__xludf.DUMMYFUNCTION("arrayformula(sum(--REGEXMATCH(""SRGMPDNS"",split(REGEXREPLACE(C223,""(.)"",""$1~""),""~""))))=len(C223)
"),FALSE)</f>
        <v>0</v>
      </c>
      <c r="EV223" s="290" t="b">
        <f>IFERROR(__xludf.DUMMYFUNCTION("arrayformula(sum(--REGEXMATCH(""SRGmPDNS"",split(REGEXREPLACE(C223,""(.)"",""$1~""),""~""))))=len(C223)"),FALSE)</f>
        <v>0</v>
      </c>
      <c r="EW223" s="290" t="b">
        <f>IFERROR(__xludf.DUMMYFUNCTION("arrayformula(sum(--REGEXMATCH(""SRGmPDnS"",split(REGEXREPLACE(C223,""(.)"",""$1~""),""~""))))=len(C223)"),FALSE)</f>
        <v>0</v>
      </c>
      <c r="EX223" s="290" t="b">
        <f>IFERROR(__xludf.DUMMYFUNCTION("arrayformula(sum(--REGEXMATCH(""SRgmPDnS"",split(REGEXREPLACE(C223,""(.)"",""$1~""),""~""))))=len(C223)"),FALSE)</f>
        <v>0</v>
      </c>
      <c r="EY223" s="290" t="b">
        <f>IFERROR(__xludf.DUMMYFUNCTION("arrayformula(sum(--REGEXMATCH(""SRgmPdnS"",split(REGEXREPLACE(C223,""(.)"",""$1~""),""~""))))=len(C223)"),FALSE)</f>
        <v>0</v>
      </c>
      <c r="EZ223" s="290" t="b">
        <f>IFERROR(__xludf.DUMMYFUNCTION("arrayformula(sum(--REGEXMATCH(""SrgmPdnS"",split(REGEXREPLACE(C223,""(.)"",""$1~""),""~""))))=len(C223)"),FALSE)</f>
        <v>0</v>
      </c>
      <c r="FA223" s="290" t="b">
        <f>IFERROR(__xludf.DUMMYFUNCTION("arrayformula(sum(--REGEXMATCH(""SrGmPdNS"",split(REGEXREPLACE(C223,""(.)"",""$1~""),""~""))))=len(C223)"),FALSE)</f>
        <v>0</v>
      </c>
      <c r="FB223" s="290" t="b">
        <f>IFERROR(__xludf.DUMMYFUNCTION("arrayformula(sum(--REGEXMATCH(""SrGMPDNS"",split(REGEXREPLACE(C223,""(.)"",""$1~""),""~""))))=len(C223)"),FALSE)</f>
        <v>0</v>
      </c>
      <c r="FC223" s="290" t="b">
        <f>IFERROR(__xludf.DUMMYFUNCTION("arrayformula(sum(--REGEXMATCH(""SrGMPdNS"",split(REGEXREPLACE(C223,""(.)"",""$1~""),""~""))))=len(C223)"),FALSE)</f>
        <v>0</v>
      </c>
      <c r="FD223" s="377" t="b">
        <f>IFERROR(__xludf.DUMMYFUNCTION("arrayformula(sum(--REGEXMATCH(""SrgMPdNS"",split(REGEXREPLACE(C223,""(.)"",""$1~""),""~""))))=len(C223)"),FALSE)</f>
        <v>0</v>
      </c>
      <c r="FE223" s="269" t="str">
        <f t="shared" si="71"/>
        <v>xoxooxoxoxo</v>
      </c>
      <c r="FF223" s="269" t="str">
        <f t="shared" si="72"/>
        <v>-</v>
      </c>
      <c r="FG223" s="271" t="str">
        <f t="shared" si="73"/>
        <v>xooxoxoxoxx</v>
      </c>
      <c r="FH223" s="269" t="str">
        <f t="shared" si="74"/>
        <v>-</v>
      </c>
      <c r="FI223" s="271" t="str">
        <f t="shared" si="75"/>
        <v>-</v>
      </c>
      <c r="FJ223" s="271" t="str">
        <f t="shared" si="76"/>
        <v>xoxoxoxxoxo</v>
      </c>
      <c r="FK223" s="271" t="str">
        <f t="shared" si="77"/>
        <v>-</v>
      </c>
      <c r="FL223" s="271" t="str">
        <f t="shared" si="78"/>
        <v>xoxoxxoxoox</v>
      </c>
      <c r="FM223" s="271" t="str">
        <f t="shared" si="79"/>
        <v>-</v>
      </c>
      <c r="FN223" s="271" t="str">
        <f t="shared" si="80"/>
        <v>xoxxoxooxox</v>
      </c>
      <c r="FO223" s="274" t="str">
        <f t="shared" si="81"/>
        <v>-</v>
      </c>
      <c r="FP223" s="234" t="str">
        <f t="shared" si="82"/>
        <v>|</v>
      </c>
      <c r="FQ223" s="236" t="str">
        <f t="shared" si="83"/>
        <v>|</v>
      </c>
      <c r="FR223" s="237" t="str">
        <f t="shared" si="84"/>
        <v>-</v>
      </c>
      <c r="FS223" s="236" t="str">
        <f t="shared" si="85"/>
        <v>|</v>
      </c>
      <c r="FT223" s="237" t="str">
        <f t="shared" si="86"/>
        <v>-</v>
      </c>
      <c r="FU223" s="236" t="str">
        <f t="shared" si="87"/>
        <v>-</v>
      </c>
      <c r="FV223" s="237" t="str">
        <f t="shared" si="88"/>
        <v>|</v>
      </c>
      <c r="FW223" s="236" t="str">
        <f t="shared" si="89"/>
        <v>-</v>
      </c>
      <c r="FX223" s="237" t="str">
        <f t="shared" si="90"/>
        <v>|</v>
      </c>
      <c r="FY223" s="236" t="str">
        <f t="shared" si="91"/>
        <v>-</v>
      </c>
      <c r="FZ223" s="237" t="str">
        <f t="shared" si="92"/>
        <v>|</v>
      </c>
      <c r="GA223" s="236" t="str">
        <f t="shared" si="93"/>
        <v>-</v>
      </c>
      <c r="GB223" s="238" t="str">
        <f t="shared" si="94"/>
        <v>|</v>
      </c>
      <c r="GC223" s="244" t="str">
        <f>IFERROR(__xludf.DUMMYFUNCTION("IF(REGEXMATCH(C223, ""S""), ""1"","""")"),"1")</f>
        <v>1</v>
      </c>
      <c r="GD223" s="245" t="str">
        <f>IFERROR(__xludf.DUMMYFUNCTION("IF(REGEXMATCH(C223, ""r""), ""b2"","""")"),"b2")</f>
        <v>b2</v>
      </c>
      <c r="GE223" s="246" t="str">
        <f>IFERROR(__xludf.DUMMYFUNCTION("IF(REGEXMATCH(C223, ""R""), ""2"","""")"),"")</f>
        <v/>
      </c>
      <c r="GF223" s="246" t="str">
        <f>IFERROR(__xludf.DUMMYFUNCTION("IF(REGEXMATCH(C223, ""g""), ""b3"","""")"),"b3")</f>
        <v>b3</v>
      </c>
      <c r="GG223" s="245" t="str">
        <f>IFERROR(__xludf.DUMMYFUNCTION("IF(REGEXMATCH(C223, ""G""), ""3"","""")"),"")</f>
        <v/>
      </c>
      <c r="GH223" s="245" t="str">
        <f>IFERROR(__xludf.DUMMYFUNCTION("IF(REGEXMATCH(C223, ""m""), ""4"","""")"),"")</f>
        <v/>
      </c>
      <c r="GI223" s="246" t="str">
        <f>IFERROR(__xludf.DUMMYFUNCTION("IF(REGEXMATCH(C223, ""M""), ""#4"","""")"),"#4")</f>
        <v>#4</v>
      </c>
      <c r="GJ223" s="245" t="str">
        <f>IFERROR(__xludf.DUMMYFUNCTION("IF(REGEXMATCH(C223, ""P""), ""5"","""")"),"")</f>
        <v/>
      </c>
      <c r="GK223" s="246" t="str">
        <f>IFERROR(__xludf.DUMMYFUNCTION("IF(REGEXMATCH(C223, ""d""), ""b6"","""")"),"b6")</f>
        <v>b6</v>
      </c>
      <c r="GL223" s="245" t="str">
        <f>IFERROR(__xludf.DUMMYFUNCTION("IF(REGEXMATCH(C223, ""D""), ""6"","""")"),"")</f>
        <v/>
      </c>
      <c r="GM223" s="245" t="str">
        <f>IFERROR(__xludf.DUMMYFUNCTION("IF(REGEXMATCH(C223, ""n""), ""b7"","""")"),"b7")</f>
        <v>b7</v>
      </c>
      <c r="GN223" s="246" t="str">
        <f>IFERROR(__xludf.DUMMYFUNCTION("IF(REGEXMATCH(C223, ""N""), ""7"","""")"),"")</f>
        <v/>
      </c>
      <c r="GO223" s="249" t="str">
        <f>IFERROR(__xludf.DUMMYFUNCTION("IF(REGEXMATCH(C223, ""S""), ""8"","""")"),"8")</f>
        <v>8</v>
      </c>
      <c r="GP223" s="244" t="str">
        <f>IFERROR(__xludf.DUMMYFUNCTION("IF(REGEXMATCH(C223, ""S""), ""S"","""")"),"S")</f>
        <v>S</v>
      </c>
      <c r="GQ223" s="294" t="str">
        <f>IFERROR(__xludf.DUMMYFUNCTION("IF(REGEXMATCH(C223, ""r""), ""R1"","""")"),"R1")</f>
        <v>R1</v>
      </c>
      <c r="GR223" s="295" t="str">
        <f>IFERROR(__xludf.DUMMYFUNCTION("IF(REGEXMATCH(C223, ""R""), ""R2"","""")"),"")</f>
        <v/>
      </c>
      <c r="GS223" s="295" t="str">
        <f>IFERROR(__xludf.DUMMYFUNCTION("IF(REGEXMATCH(C223, ""g""), ""G2"","""")"),"G2")</f>
        <v>G2</v>
      </c>
      <c r="GT223" s="294" t="str">
        <f>IFERROR(__xludf.DUMMYFUNCTION("IF(REGEXMATCH(C223, ""G""), ""G3"","""")"),"")</f>
        <v/>
      </c>
      <c r="GU223" s="294" t="str">
        <f>IFERROR(__xludf.DUMMYFUNCTION("IF(REGEXMATCH(C223, ""m""), ""M1"","""")"),"")</f>
        <v/>
      </c>
      <c r="GV223" s="295" t="str">
        <f>IFERROR(__xludf.DUMMYFUNCTION("IF(REGEXMATCH(C223, ""M""), ""M2"","""")"),"M2")</f>
        <v>M2</v>
      </c>
      <c r="GW223" s="294" t="str">
        <f>IFERROR(__xludf.DUMMYFUNCTION("IF(REGEXMATCH(C223, ""P""), ""P"","""")"),"")</f>
        <v/>
      </c>
      <c r="GX223" s="295" t="str">
        <f>IFERROR(__xludf.DUMMYFUNCTION("IF(REGEXMATCH(C223, ""d""), ""D1"","""")"),"D1")</f>
        <v>D1</v>
      </c>
      <c r="GY223" s="294" t="str">
        <f>IFERROR(__xludf.DUMMYFUNCTION("IF(REGEXMATCH(C223, ""D""), ""D2"","""")"),"")</f>
        <v/>
      </c>
      <c r="GZ223" s="294" t="str">
        <f>IFERROR(__xludf.DUMMYFUNCTION("IF(REGEXMATCH(C223, ""n""), ""N2"","""")"),"N2")</f>
        <v>N2</v>
      </c>
      <c r="HA223" s="295" t="str">
        <f>IFERROR(__xludf.DUMMYFUNCTION("IF(REGEXMATCH(C223, ""N""), ""N3"","""")"),"")</f>
        <v/>
      </c>
      <c r="HB223" s="249" t="str">
        <f>IFERROR(__xludf.DUMMYFUNCTION("IF(REGEXMATCH(C223, ""S""), ""S"","""")"),"S")</f>
        <v>S</v>
      </c>
      <c r="HC223" s="331" t="str">
        <f t="shared" si="95"/>
        <v>S</v>
      </c>
      <c r="HD223" s="332" t="str">
        <f t="shared" si="96"/>
        <v/>
      </c>
      <c r="HE223" s="332" t="str">
        <f t="shared" si="97"/>
        <v>R</v>
      </c>
      <c r="HF223" s="332" t="str">
        <f t="shared" si="98"/>
        <v/>
      </c>
      <c r="HG223" s="332" t="str">
        <f t="shared" si="99"/>
        <v>G</v>
      </c>
      <c r="HH223" s="332" t="str">
        <f t="shared" si="100"/>
        <v/>
      </c>
      <c r="HI223" s="332" t="str">
        <f t="shared" si="101"/>
        <v>M</v>
      </c>
      <c r="HJ223" s="332" t="str">
        <f t="shared" si="102"/>
        <v/>
      </c>
      <c r="HK223" s="332" t="str">
        <f t="shared" si="103"/>
        <v/>
      </c>
      <c r="HL223" s="332" t="str">
        <f t="shared" si="104"/>
        <v>D</v>
      </c>
      <c r="HM223" s="332" t="str">
        <f t="shared" si="105"/>
        <v/>
      </c>
      <c r="HN223" s="332" t="str">
        <f t="shared" si="106"/>
        <v>N</v>
      </c>
      <c r="HO223" s="343" t="str">
        <f t="shared" si="107"/>
        <v>S</v>
      </c>
      <c r="HP223" s="331" t="str">
        <f t="shared" si="108"/>
        <v>o</v>
      </c>
      <c r="HQ223" s="332" t="str">
        <f t="shared" si="109"/>
        <v>o</v>
      </c>
      <c r="HR223" s="332" t="str">
        <f t="shared" si="110"/>
        <v>•</v>
      </c>
      <c r="HS223" s="332" t="str">
        <f t="shared" si="111"/>
        <v>o</v>
      </c>
      <c r="HT223" s="332" t="str">
        <f t="shared" si="112"/>
        <v>•</v>
      </c>
      <c r="HU223" s="332" t="str">
        <f t="shared" si="113"/>
        <v>•</v>
      </c>
      <c r="HV223" s="332" t="str">
        <f t="shared" si="114"/>
        <v>o</v>
      </c>
      <c r="HW223" s="332" t="str">
        <f t="shared" si="115"/>
        <v>•</v>
      </c>
      <c r="HX223" s="332" t="str">
        <f t="shared" si="116"/>
        <v>o</v>
      </c>
      <c r="HY223" s="332" t="str">
        <f t="shared" si="117"/>
        <v>•</v>
      </c>
      <c r="HZ223" s="332" t="str">
        <f t="shared" si="118"/>
        <v>o</v>
      </c>
      <c r="IA223" s="332" t="str">
        <f t="shared" si="119"/>
        <v>•</v>
      </c>
      <c r="IB223" s="338" t="str">
        <f t="shared" si="120"/>
        <v>o</v>
      </c>
      <c r="IC223" s="331" t="str">
        <f t="shared" si="121"/>
        <v>•</v>
      </c>
      <c r="ID223" s="332" t="str">
        <f t="shared" si="122"/>
        <v>•</v>
      </c>
      <c r="IE223" s="332" t="str">
        <f t="shared" si="123"/>
        <v>o</v>
      </c>
      <c r="IF223" s="332" t="str">
        <f t="shared" si="124"/>
        <v>•</v>
      </c>
      <c r="IG223" s="332" t="str">
        <f t="shared" si="125"/>
        <v>o</v>
      </c>
      <c r="IH223" s="332" t="str">
        <f t="shared" si="126"/>
        <v>o</v>
      </c>
      <c r="II223" s="332" t="str">
        <f t="shared" si="127"/>
        <v>•</v>
      </c>
      <c r="IJ223" s="332" t="str">
        <f t="shared" si="128"/>
        <v>o</v>
      </c>
      <c r="IK223" s="332" t="str">
        <f t="shared" si="129"/>
        <v>•</v>
      </c>
      <c r="IL223" s="332" t="str">
        <f t="shared" si="130"/>
        <v>o</v>
      </c>
      <c r="IM223" s="332" t="str">
        <f t="shared" si="131"/>
        <v>•</v>
      </c>
      <c r="IN223" s="332" t="str">
        <f t="shared" si="132"/>
        <v>o</v>
      </c>
      <c r="IO223" s="338" t="str">
        <f t="shared" si="133"/>
        <v>•</v>
      </c>
      <c r="IP223" s="346" t="b">
        <f t="shared" si="134"/>
        <v>1</v>
      </c>
      <c r="IQ223" s="347" t="b">
        <f t="shared" si="135"/>
        <v>0</v>
      </c>
      <c r="IR223" s="347" t="b">
        <f t="shared" si="136"/>
        <v>0</v>
      </c>
      <c r="IS223" s="347" t="b">
        <f t="shared" si="137"/>
        <v>0</v>
      </c>
      <c r="IT223" s="347" t="b">
        <f t="shared" si="138"/>
        <v>0</v>
      </c>
      <c r="IU223" s="347" t="b">
        <f t="shared" si="139"/>
        <v>0</v>
      </c>
      <c r="IV223" s="347" t="b">
        <f t="shared" si="140"/>
        <v>0</v>
      </c>
      <c r="IW223" s="347" t="b">
        <f t="shared" si="141"/>
        <v>0</v>
      </c>
      <c r="IX223" s="347" t="b">
        <f t="shared" si="142"/>
        <v>0</v>
      </c>
      <c r="IY223" s="347" t="b">
        <f t="shared" si="143"/>
        <v>0</v>
      </c>
      <c r="IZ223" s="347" t="b">
        <f t="shared" si="144"/>
        <v>1</v>
      </c>
      <c r="JA223" s="347" t="b">
        <f t="shared" si="145"/>
        <v>0</v>
      </c>
      <c r="JB223" s="353" t="b">
        <f t="shared" si="146"/>
        <v>1</v>
      </c>
      <c r="JC223" s="354" t="str">
        <f t="shared" si="147"/>
        <v>Sa, </v>
      </c>
      <c r="JD223" s="355" t="str">
        <f t="shared" si="148"/>
        <v/>
      </c>
      <c r="JE223" s="355" t="str">
        <f t="shared" si="149"/>
        <v/>
      </c>
      <c r="JF223" s="355" t="str">
        <f t="shared" si="150"/>
        <v/>
      </c>
      <c r="JG223" s="355" t="str">
        <f t="shared" si="151"/>
        <v/>
      </c>
      <c r="JH223" s="355" t="str">
        <f t="shared" si="152"/>
        <v/>
      </c>
      <c r="JI223" s="355" t="str">
        <f t="shared" si="153"/>
        <v/>
      </c>
      <c r="JJ223" s="355" t="str">
        <f t="shared" si="154"/>
        <v/>
      </c>
      <c r="JK223" s="355" t="str">
        <f t="shared" si="155"/>
        <v/>
      </c>
      <c r="JL223" s="355" t="str">
        <f t="shared" si="156"/>
        <v/>
      </c>
      <c r="JM223" s="355" t="str">
        <f t="shared" si="157"/>
        <v>ni, </v>
      </c>
      <c r="JN223" s="355" t="str">
        <f t="shared" si="158"/>
        <v/>
      </c>
      <c r="JO223" s="359" t="str">
        <f t="shared" si="159"/>
        <v/>
      </c>
      <c r="JP223" s="346" t="b">
        <f t="shared" si="160"/>
        <v>1</v>
      </c>
      <c r="JQ223" s="347" t="b">
        <f t="shared" si="161"/>
        <v>0</v>
      </c>
      <c r="JR223" s="347" t="b">
        <f t="shared" si="162"/>
        <v>0</v>
      </c>
      <c r="JS223" s="347" t="b">
        <f t="shared" si="163"/>
        <v>0</v>
      </c>
      <c r="JT223" s="347" t="b">
        <f t="shared" si="164"/>
        <v>0</v>
      </c>
      <c r="JU223" s="347" t="b">
        <f t="shared" si="165"/>
        <v>0</v>
      </c>
      <c r="JV223" s="347" t="b">
        <f t="shared" si="166"/>
        <v>0</v>
      </c>
      <c r="JW223" s="347" t="b">
        <f t="shared" si="167"/>
        <v>0</v>
      </c>
      <c r="JX223" s="347" t="b">
        <f t="shared" si="168"/>
        <v>0</v>
      </c>
      <c r="JY223" s="347" t="b">
        <f t="shared" si="169"/>
        <v>0</v>
      </c>
      <c r="JZ223" s="347" t="b">
        <f t="shared" si="170"/>
        <v>0</v>
      </c>
      <c r="KA223" s="347" t="b">
        <f t="shared" si="171"/>
        <v>0</v>
      </c>
      <c r="KB223" s="365" t="b">
        <f t="shared" si="172"/>
        <v>1</v>
      </c>
      <c r="KC223" s="354" t="str">
        <f t="shared" si="173"/>
        <v>Sa, </v>
      </c>
      <c r="KD223" s="355" t="str">
        <f t="shared" si="174"/>
        <v/>
      </c>
      <c r="KE223" s="355" t="str">
        <f t="shared" si="175"/>
        <v/>
      </c>
      <c r="KF223" s="355" t="str">
        <f t="shared" si="176"/>
        <v/>
      </c>
      <c r="KG223" s="355" t="str">
        <f t="shared" si="177"/>
        <v/>
      </c>
      <c r="KH223" s="355" t="str">
        <f t="shared" si="178"/>
        <v/>
      </c>
      <c r="KI223" s="355" t="str">
        <f t="shared" si="179"/>
        <v/>
      </c>
      <c r="KJ223" s="355" t="str">
        <f t="shared" si="180"/>
        <v/>
      </c>
      <c r="KK223" s="355" t="str">
        <f t="shared" si="181"/>
        <v/>
      </c>
      <c r="KL223" s="355" t="str">
        <f t="shared" si="182"/>
        <v/>
      </c>
      <c r="KM223" s="355" t="str">
        <f t="shared" si="183"/>
        <v/>
      </c>
      <c r="KN223" s="355" t="str">
        <f t="shared" si="184"/>
        <v/>
      </c>
      <c r="KO223" s="359"/>
      <c r="KP223" s="378"/>
      <c r="KQ223" s="379" t="s">
        <v>972</v>
      </c>
      <c r="KR223" s="380" t="s">
        <v>1451</v>
      </c>
      <c r="KS223" s="381" t="str">
        <f t="shared" si="661"/>
        <v>S-r-g-M-d-n-S</v>
      </c>
      <c r="KT223" s="382">
        <f t="shared" si="186"/>
        <v>6</v>
      </c>
      <c r="KU223" s="383">
        <f t="shared" si="187"/>
        <v>6</v>
      </c>
      <c r="KV223" s="381" t="str">
        <f t="shared" si="205"/>
        <v>S-n-d-M-g-r-S</v>
      </c>
      <c r="KW223" s="382">
        <f t="shared" si="189"/>
        <v>6</v>
      </c>
      <c r="KX223" s="384">
        <f t="shared" si="190"/>
        <v>6</v>
      </c>
      <c r="KY223" s="382">
        <f t="shared" ref="KY223:KZ223" si="664">KW223-KT223</f>
        <v>0</v>
      </c>
      <c r="KZ223" s="369">
        <f t="shared" si="664"/>
        <v>0</v>
      </c>
      <c r="LA223" s="385" t="str">
        <f t="shared" si="192"/>
        <v>✔</v>
      </c>
      <c r="LB223" s="340" t="str">
        <f>IFERROR(__xludf.DUMMYFUNCTION("JOIN("""",ArrayFormula(MID(KS223,LEN(KS223)-SEQUENCE(1,LEN(KS223))+1,1)))"),"S-n-d-M-g-r-S")</f>
        <v>S-n-d-M-g-r-S</v>
      </c>
      <c r="LC223" s="373" t="str">
        <f>IFERROR(__xludf.DUMMYFUNCTION("JOIN("""",ArrayFormula(MID(KV223,LEN(KV223)-SEQUENCE(1,LEN(KV223))+1,1)))"),"S-r-g-M-d-n-S")</f>
        <v>S-r-g-M-d-n-S</v>
      </c>
      <c r="LD223" s="373" t="str">
        <f t="shared" si="193"/>
        <v>SrgMdnS</v>
      </c>
      <c r="LE223" s="339" t="str">
        <f t="shared" si="194"/>
        <v>SrgMdnS</v>
      </c>
      <c r="LF223" s="386" t="str">
        <f>IFERROR(__xludf.DUMMYFUNCTION("SUBSTITUTE(SUBSTITUTE(CONCATENATE(JOIN("""",LH223:LT223)),""1"",""""),""2"","""")"),"SrgMdnS")</f>
        <v>SrgMdnS</v>
      </c>
      <c r="LG223" s="369" t="str">
        <f t="shared" si="195"/>
        <v>✔</v>
      </c>
      <c r="LH223" s="387" t="str">
        <f>IFERROR(__xludf.DUMMYFUNCTION("IF(REGEXMATCH(LD223, ""S""), ""S"",IF(REGEXMATCH(LE223, ""S""), ""S"",""""))"),"S")</f>
        <v>S</v>
      </c>
      <c r="LI223" s="299" t="str">
        <f>IFERROR(__xludf.DUMMYFUNCTION("IF(REGEXMATCH(LD223, ""r""), ""r1"",IF(REGEXMATCH(LE223, ""r""), ""r2"",""""))"),"r1")</f>
        <v>r1</v>
      </c>
      <c r="LJ223" s="299" t="str">
        <f>IFERROR(__xludf.DUMMYFUNCTION("IF(REGEXMATCH(LD223, ""R""), ""R1"",IF(REGEXMATCH(LE223, ""R""), ""R2"",""""))"),"")</f>
        <v/>
      </c>
      <c r="LK223" s="299" t="str">
        <f>IFERROR(__xludf.DUMMYFUNCTION("IF(REGEXMATCH(LD223, ""g""), ""g1"",IF(REGEXMATCH(LE223, ""g""), ""g2"",""""))"),"g1")</f>
        <v>g1</v>
      </c>
      <c r="LL223" s="299" t="str">
        <f>IFERROR(__xludf.DUMMYFUNCTION("IF(REGEXMATCH(LD223, ""G""), ""G1"",IF(REGEXMATCH(LE223, ""G""), ""G2"",""""))"),"")</f>
        <v/>
      </c>
      <c r="LM223" s="299" t="str">
        <f>IFERROR(__xludf.DUMMYFUNCTION("IF(REGEXMATCH(LD223, ""m""), ""m1"",IF(REGEXMATCH(LE223, ""m""), ""m2"",""""))"),"")</f>
        <v/>
      </c>
      <c r="LN223" s="299" t="str">
        <f>IFERROR(__xludf.DUMMYFUNCTION("IF(REGEXMATCH(LD223, ""M""), ""M1"",IF(REGEXMATCH(LE223, ""M""), ""M2"",""""))"),"M1")</f>
        <v>M1</v>
      </c>
      <c r="LO223" s="299" t="str">
        <f>IFERROR(__xludf.DUMMYFUNCTION("IF(REGEXMATCH(LD223, ""P""), ""P1"",IF(REGEXMATCH(LE223, ""P""), ""P2"",""""))"),"")</f>
        <v/>
      </c>
      <c r="LP223" s="299" t="str">
        <f>IFERROR(__xludf.DUMMYFUNCTION("IF(REGEXMATCH(LD223, ""d""), ""d1"",IF(REGEXMATCH(LE223, ""d""), ""d2"",""""))"),"d1")</f>
        <v>d1</v>
      </c>
      <c r="LQ223" s="299" t="str">
        <f>IFERROR(__xludf.DUMMYFUNCTION("IF(REGEXMATCH(LD223, ""D""), ""D1"",IF(REGEXMATCH(LE223, ""D""), ""D2"",""""))"),"")</f>
        <v/>
      </c>
      <c r="LR223" s="299" t="str">
        <f>IFERROR(__xludf.DUMMYFUNCTION("IF(REGEXMATCH(LD223, ""n""), ""n1"",IF(REGEXMATCH(LE223, ""n""), ""n2"",""""))"),"n1")</f>
        <v>n1</v>
      </c>
      <c r="LS223" s="299" t="str">
        <f>IFERROR(__xludf.DUMMYFUNCTION("IF(REGEXMATCH(LD223, ""N""), ""N1"",IF(REGEXMATCH(LE223, ""N""), ""N2"",""""))"),"")</f>
        <v/>
      </c>
      <c r="LT223" s="388" t="str">
        <f>IFERROR(__xludf.DUMMYFUNCTION("IF(REGEXMATCH(LD223, ""S""), ""S"",IF(REGEXMATCH(LE223, ""S""), ""S"",""""))"),"S")</f>
        <v>S</v>
      </c>
      <c r="LU223" s="389">
        <f t="shared" si="196"/>
        <v>1</v>
      </c>
      <c r="LV223" s="378"/>
      <c r="LW223" s="369"/>
      <c r="LX223" s="369"/>
    </row>
    <row r="224" ht="18.0" customHeight="1">
      <c r="A224" s="298" t="s">
        <v>974</v>
      </c>
      <c r="B224" s="222" t="s">
        <v>435</v>
      </c>
      <c r="C224" s="233" t="str">
        <f t="shared" si="7"/>
        <v>SrgmMPdnNS</v>
      </c>
      <c r="D224" s="234" t="str">
        <f>IFERROR(__xludf.DUMMYFUNCTION("IF(REGEXMATCH(C224, ""S""), ""S"","""")"),"S")</f>
        <v>S</v>
      </c>
      <c r="E224" s="236" t="str">
        <f>IFERROR(__xludf.DUMMYFUNCTION("IF(REGEXMATCH(C224, ""r""), ""r"","""")"),"r")</f>
        <v>r</v>
      </c>
      <c r="F224" s="237" t="str">
        <f>IFERROR(__xludf.DUMMYFUNCTION("IF(REGEXMATCH(C224, ""R""), ""R"","""")"),"")</f>
        <v/>
      </c>
      <c r="G224" s="237" t="str">
        <f>IFERROR(__xludf.DUMMYFUNCTION("IF(REGEXMATCH(C224, ""g""), ""g"","""")"),"g")</f>
        <v>g</v>
      </c>
      <c r="H224" s="236" t="str">
        <f>IFERROR(__xludf.DUMMYFUNCTION("IF(REGEXMATCH(C224, ""G""), ""G"","""")"),"")</f>
        <v/>
      </c>
      <c r="I224" s="236" t="str">
        <f>IFERROR(__xludf.DUMMYFUNCTION("IF(REGEXMATCH(C224, ""m""), ""m"","""")"),"m")</f>
        <v>m</v>
      </c>
      <c r="J224" s="237" t="str">
        <f>IFERROR(__xludf.DUMMYFUNCTION("IF(REGEXMATCH(C224, ""M""), ""M"","""")"),"M")</f>
        <v>M</v>
      </c>
      <c r="K224" s="236" t="str">
        <f>IFERROR(__xludf.DUMMYFUNCTION("IF(REGEXMATCH(C224, ""P""), ""P"","""")"),"P")</f>
        <v>P</v>
      </c>
      <c r="L224" s="237" t="str">
        <f>IFERROR(__xludf.DUMMYFUNCTION("IF(REGEXMATCH(C224, ""d""), ""d"","""")"),"d")</f>
        <v>d</v>
      </c>
      <c r="M224" s="236" t="str">
        <f>IFERROR(__xludf.DUMMYFUNCTION("IF(REGEXMATCH(C224, ""D""), ""D"","""")"),"")</f>
        <v/>
      </c>
      <c r="N224" s="236" t="str">
        <f>IFERROR(__xludf.DUMMYFUNCTION("IF(REGEXMATCH(C224, ""n""), ""n"","""")"),"n")</f>
        <v>n</v>
      </c>
      <c r="O224" s="237" t="str">
        <f>IFERROR(__xludf.DUMMYFUNCTION("IF(REGEXMATCH(C224, ""N""), ""N"","""")"),"N")</f>
        <v>N</v>
      </c>
      <c r="P224" s="238" t="str">
        <f>IFERROR(__xludf.DUMMYFUNCTION("IF(REGEXMATCH(C224, ""S""), ""S"","""")"),"S")</f>
        <v>S</v>
      </c>
      <c r="Q224" s="239" t="str">
        <f>IFERROR(__xludf.DUMMYFUNCTION("SUBSTITUTE(CONCATENATE(JOIN(""-"",D224:J224)),""-"","""")"),"SrgmM")</f>
        <v>SrgmM</v>
      </c>
      <c r="R224" s="229" t="str">
        <f>IFERROR(__xludf.DUMMYFUNCTION("SUBSTITUTE(CONCATENATE(JOIN(""-"",K224:P224)),""-"","""")"),"PdnNS")</f>
        <v>PdnNS</v>
      </c>
      <c r="S224" s="282" t="str">
        <f t="shared" si="8"/>
        <v>S-R-G-M</v>
      </c>
      <c r="T224" s="282" t="str">
        <f t="shared" si="9"/>
        <v>P-D-N-S</v>
      </c>
      <c r="U224" s="237" t="str">
        <f>IFERROR(__xludf.DUMMYFUNCTION("SUBSTITUTE(JOIN(""-"",S224,T224),""--"",""-"")"),"S-R-G-M-P-D-N-S")</f>
        <v>S-R-G-M-P-D-N-S</v>
      </c>
      <c r="V224" s="309" t="str">
        <f t="shared" si="10"/>
        <v>rgmMdnN</v>
      </c>
      <c r="W224" s="244" t="str">
        <f>IFERROR(__xludf.DUMMYFUNCTION("IF(REGEXMATCH(C224, ""S""), ""0"","""")"),"0")</f>
        <v>0</v>
      </c>
      <c r="X224" s="245" t="str">
        <f>IFERROR(__xludf.DUMMYFUNCTION("IF(REGEXMATCH(C224, ""r""), ""1"","""")"),"1")</f>
        <v>1</v>
      </c>
      <c r="Y224" s="246" t="str">
        <f>IFERROR(__xludf.DUMMYFUNCTION("IF(REGEXMATCH(C224, ""R""), ""2"","""")"),"")</f>
        <v/>
      </c>
      <c r="Z224" s="246" t="str">
        <f>IFERROR(__xludf.DUMMYFUNCTION("IF(REGEXMATCH(C224, ""g""), ""3"","""")"),"3")</f>
        <v>3</v>
      </c>
      <c r="AA224" s="245" t="str">
        <f>IFERROR(__xludf.DUMMYFUNCTION("IF(REGEXMATCH(C224, ""G""), ""4"","""")"),"")</f>
        <v/>
      </c>
      <c r="AB224" s="245" t="str">
        <f>IFERROR(__xludf.DUMMYFUNCTION("IF(REGEXMATCH(C224, ""m""), ""5"","""")"),"5")</f>
        <v>5</v>
      </c>
      <c r="AC224" s="246" t="str">
        <f>IFERROR(__xludf.DUMMYFUNCTION("IF(REGEXMATCH(C224, ""M""), ""6"","""")"),"6")</f>
        <v>6</v>
      </c>
      <c r="AD224" s="245" t="str">
        <f>IFERROR(__xludf.DUMMYFUNCTION("IF(REGEXMATCH(C224, ""P""), ""7"","""")"),"7")</f>
        <v>7</v>
      </c>
      <c r="AE224" s="246" t="str">
        <f>IFERROR(__xludf.DUMMYFUNCTION("IF(REGEXMATCH(C224, ""d""), ""8"","""")"),"8")</f>
        <v>8</v>
      </c>
      <c r="AF224" s="245" t="str">
        <f>IFERROR(__xludf.DUMMYFUNCTION("IF(REGEXMATCH(C224, ""D""), ""9"","""")"),"")</f>
        <v/>
      </c>
      <c r="AG224" s="245" t="str">
        <f>IFERROR(__xludf.DUMMYFUNCTION("IF(REGEXMATCH(C224, ""n""), ""10"","""")"),"10")</f>
        <v>10</v>
      </c>
      <c r="AH224" s="246" t="str">
        <f>IFERROR(__xludf.DUMMYFUNCTION("IF(REGEXMATCH(C224, ""N""), ""11"","""")"),"11")</f>
        <v>11</v>
      </c>
      <c r="AI224" s="249" t="str">
        <f>IFERROR(__xludf.DUMMYFUNCTION("IF(REGEXMATCH(C224, ""S""), ""0"","""")"),"0")</f>
        <v>0</v>
      </c>
      <c r="AJ224" s="313" t="str">
        <f t="shared" si="11"/>
        <v>T</v>
      </c>
      <c r="AK224" s="313" t="str">
        <f t="shared" si="12"/>
        <v>T</v>
      </c>
      <c r="AL224" s="313" t="str">
        <f t="shared" si="13"/>
        <v>-</v>
      </c>
      <c r="AM224" s="313" t="str">
        <f t="shared" si="14"/>
        <v>-</v>
      </c>
      <c r="AN224" s="313" t="str">
        <f t="shared" si="15"/>
        <v>-</v>
      </c>
      <c r="AO224" s="314" t="str">
        <f t="shared" si="16"/>
        <v>T</v>
      </c>
      <c r="AP224" s="316">
        <f t="shared" si="17"/>
        <v>3</v>
      </c>
      <c r="AQ224" s="319" t="str">
        <f t="shared" si="18"/>
        <v>-</v>
      </c>
      <c r="AR224" s="320">
        <f t="shared" si="19"/>
        <v>0</v>
      </c>
      <c r="AS224" s="250" t="str">
        <f>IFERROR(__xludf.DUMMYFUNCTION("SUBSTITUTE(SUBSTITUTE(CONCATENATE(JOIN("""",FP224:GA224)),""|"",""x""),""-"",""o"")"),"xxoxoxxxxoxx")</f>
        <v>xxoxoxxxxoxx</v>
      </c>
      <c r="AT224" s="323" t="str">
        <f>IFERROR(__xludf.DUMMYFUNCTION("JOIN("""",AS224,AS224)"),"xxoxoxxxxoxxxxoxoxxxxoxx")</f>
        <v>xxoxoxxxxoxxxxoxoxxxxoxx</v>
      </c>
      <c r="AU224" s="256" t="str">
        <f>IFERROR(__xludf.DUMMYFUNCTION("JOIN("""",ArrayFormula(MID(AS224,LEN(AS224)-SEQUENCE(1,LEN(AS224))+1,1)))"),"xxoxxxxoxoxx")</f>
        <v>xxoxxxxoxoxx</v>
      </c>
      <c r="AV224" s="256" t="str">
        <f>IFERROR(__xludf.DUMMYFUNCTION("LEFT(CONCATENATE(""x"",JOIN("""",ArrayFormula(MID(AS224,LEN(AS224)-SEQUENCE(1,LEN(AS224))+1,1)))),12)"),"xxxoxxxxoxox")</f>
        <v>xxxoxxxxoxox</v>
      </c>
      <c r="AW224" s="327" t="str">
        <f>IFERROR(__xludf.DUMMYFUNCTION("JOIN("""",AU224,AU224)"),"xxoxxxxoxoxxxxoxxxxoxoxx")</f>
        <v>xxoxxxxoxoxxxxoxxxxoxoxx</v>
      </c>
      <c r="AX224" s="239" t="str">
        <f>IFERROR(__xludf.DUMMYFUNCTION("IF(REGEXMATCH(AW224,AS224),""✔"",""-"")"),"✔")</f>
        <v>✔</v>
      </c>
      <c r="AY224" s="330" t="str">
        <f t="shared" si="20"/>
        <v>-</v>
      </c>
      <c r="AZ224" s="260" t="str">
        <f t="shared" si="21"/>
        <v>#REF!</v>
      </c>
      <c r="BA224" s="333" t="str">
        <f t="shared" si="22"/>
        <v>xxoxoxx</v>
      </c>
      <c r="BB224" s="334" t="str">
        <f t="shared" si="23"/>
        <v>xxoxxx</v>
      </c>
      <c r="BC224" s="335" t="str">
        <f t="shared" si="236"/>
        <v>-</v>
      </c>
      <c r="BD224" s="336" t="str">
        <f t="shared" si="25"/>
        <v>Mangal Todi: 'xxoxoxx' + 'xxoxxx'</v>
      </c>
      <c r="BE224" s="337">
        <f>IFERROR(__xludf.DUMMYFUNCTION("COUNTUNIQUE(FILTER(AT:AT,REGEXMATCH(AT:AT,AS224)))-1"),4.0)</f>
        <v>4</v>
      </c>
      <c r="BF224" s="261" t="str">
        <f>IFERROR(__xludf.DUMMYFUNCTION("IF(BI224=0,""(n/a)"",IF(BJ224=2,""(PAIR)"",IF(REGEXMATCH(AT224,""xoxoxxoxoxox""),""Bilawal"",IF(REGEXMATCH(AT224,""xoxoxooxoxoo""),""Bhupali"",IF(REGEXMATCH(AT224,""xoxoxxoxxoxo""),""Charukeshi"",IF(REGEXMATCH(AT224,""xoxoooxxoxxo""),""Kameshwari"",IF(REG"&amp;"EXMATCH(AT224,""xoxoxooxoxox""),""Shankara"",IF(REGEXMATCH(AT224,""xxooxoxxxoox""),""Basant"",IF(REGEXMATCH(AT224,""xoxoxxxxoxox""),""Bihag"",IF(REGEXMATCH(AT224,""xoxxxxoxoxxx""),""Pilu"",IF(REGEXMATCH(AT224,""xoxxoxoxxoox""),""Kirwani"",IF(REGEXMATCH(AT"&amp;"224,""xoxxoxoxoxxx""),""Mk.Malhar"",IF(REGEXMATCH(AT224,""xxooxxoxxoox""),""Bhairav"",IF(REGEXMATCH(AT224,""xxoxooxxxoox""),""Todi"",IF(REGEXMATCH(AT224,""xxooxoxooxox""),""Marwa"",IF(REGEXMATCH(AT224,""xxoooxoxxooo""),""Gunkali"",IF(REGEXMATCH(AT224,""xo"&amp;"xoxxoxxoox""),""Nat Bhairav"",IF(REGEXMATCH(AT224,""xoxxoooxoxoo""),""Shivranjani"",IF(REGEXMATCH(AT224,""xooxxxoxooxo""),""Jog"",IF(REGEXMATCH(AT224,""xxooxoxoxoox""),""Hemshri"",IF(REGEXMATCH(AT224,""xoooxooxoxxo""),""Kalavati"",IF(REGEXMATCH(AT224,""xx"&amp;"oxoxxoxoox""),""Kedar"",IF(REGEXMATCH(AT224,""xoxxxxoxooxx""),""Gara"",IF(REGEXMATCH(AT224,""xooxoxooxoox""),""Chandrakauns"",IF(REGEXMATCH(AT224,""xoxxxxoxxxox""),""Mand"",IF(REGEXMATCH(AT224,""xoxxxxoxoxox""),""Hanskinkini"",IF(REGEXMATCH(AT224,""xxooxx"&amp;"oxooxo""),""Lilavati"",IF(REGEXMATCH(AT224,""xooxoxoooxox""),""Rajeshwari"",IF(REGEXMATCH(AT224,""xoooxxoxoxxx""),""Khokar"",IF(REGEXMATCH(AT224,""xxooxoxxxxox""),""Maligoura"",""-""))))))))))))))))))))))))))))))"),"Pilu")</f>
        <v>Pilu</v>
      </c>
      <c r="BG224" s="239" t="str">
        <f t="shared" si="26"/>
        <v>#REF!</v>
      </c>
      <c r="BH224" s="239">
        <f>IFERROR(__xludf.DUMMYFUNCTION("COUNTUNIQUE(FE224:FO224)-1"),8.0)</f>
        <v>8</v>
      </c>
      <c r="BI224" s="239">
        <f>IFERROR(__xludf.DUMMYFUNCTION("COUNTUNIQUE(FILTER(AT:AT,REGEXMATCH(AT:AT,AS224)))-1"),4.0)</f>
        <v>4</v>
      </c>
      <c r="BJ224" s="239">
        <f>IFERROR(__xludf.DUMMYFUNCTION("COUNTA(FILTER(AT:AT,REGEXMATCH(AT:AT,AS224)))"),26.0)</f>
        <v>26</v>
      </c>
      <c r="BK224" s="341">
        <f>IFERROR(__xludf.DUMMYFUNCTION("COUNTA(FILTER(AT:AT,REGEXMATCH(AT:AT,AS224)))-AR224"),26.0)</f>
        <v>26</v>
      </c>
      <c r="BL224" s="276" t="str">
        <f>IFERROR(__xludf.DUMMYFUNCTION("IF(AS224=""oooooooooooo"",""-"",IF(REGEXMATCH(AT224,""xx""), ""Hemi."", ""Anhemi.""))"),"Hemi.")</f>
        <v>Hemi.</v>
      </c>
      <c r="BM224" s="282" t="str">
        <f>IFERROR(__xludf.DUMMYFUNCTION("IF(AS224=""oooooooooooo"",""-"",IF(REGEXMATCH(AT224,""xxx""), ""Cohem."", ""-""))"),"Cohem.")</f>
        <v>Cohem.</v>
      </c>
      <c r="BN224" s="282" t="str">
        <f>IFERROR(__xludf.DUMMYFUNCTION("IF(AS224=""oooooooooooo"",""-"",IF(REGEXMATCH(AT224,""xxxx""), ""Co-Co."", ""-""))"),"Co-Co.")</f>
        <v>Co-Co.</v>
      </c>
      <c r="BO224" s="342" t="str">
        <f>IFERROR(__xludf.DUMMYFUNCTION("IF(AS224=""oooooooooooo"",""-"",IF(REGEXMATCH(AT224,""xxxxx""), ""CCC."", ""-""))"),"-")</f>
        <v>-</v>
      </c>
      <c r="BP224" s="344" t="str">
        <f t="shared" si="27"/>
        <v>-</v>
      </c>
      <c r="BQ224" s="282" t="str">
        <f>IFERROR(__xludf.DUMMYFUNCTION("IF(REGEXMATCH(JOIN(""-"",EU224:FD224),""TRUE""),""✔"",""-"")"),"-")</f>
        <v>-</v>
      </c>
      <c r="BR224" s="225">
        <f t="shared" si="28"/>
        <v>0</v>
      </c>
      <c r="BS224" s="345" t="str">
        <f>IFERROR(__xludf.DUMMYFUNCTION("SUBSTITUTE(SUBSTITUTE(SUBSTITUTE(SUBSTITUTE(CONCATENATE(JOIN(""-"",GC224:GO224)),""--"",""-""),""--"",""-""),""--"",""-""),""--"",""-"")"),"1-b2-b3-4-#4-5-b6-b7-7-8")</f>
        <v>1-b2-b3-4-#4-5-b6-b7-7-8</v>
      </c>
      <c r="BT224" s="299" t="str">
        <f>IFERROR(__xludf.DUMMYFUNCTION("SUBSTITUTE(SUBSTITUTE(SUBSTITUTE(SUBSTITUTE(CONCATENATE(JOIN(""-"",GP224:HB224)),""--"",""-""),""--"",""-""),""--"",""-""),""--"",""-"")"),"S-R1-G2-M1-M2-P-D1-N2-N3-S")</f>
        <v>S-R1-G2-M1-M2-P-D1-N2-N3-S</v>
      </c>
      <c r="BU224" s="348" t="str">
        <f t="shared" si="29"/>
        <v>C-Db-Eb-F-F#-G-Ab-Bb-B-C</v>
      </c>
      <c r="BV224" s="349" t="str">
        <f t="shared" si="30"/>
        <v>SRGDS</v>
      </c>
      <c r="BW224" s="350">
        <f t="shared" si="31"/>
        <v>0</v>
      </c>
      <c r="BX224" s="351">
        <f t="shared" si="32"/>
        <v>3</v>
      </c>
      <c r="BY224" s="352" t="s">
        <v>275</v>
      </c>
      <c r="BZ224" s="309" t="str">
        <f>IFERROR(__xludf.DUMMYFUNCTION("IF(REGEXMATCH(C224, ""S""), ""x"",""x"")"),"x")</f>
        <v>x</v>
      </c>
      <c r="CA224" s="245" t="str">
        <f>IFERROR(__xludf.DUMMYFUNCTION("IF(REGEXMATCH(C224, ""r""), ""o"",""x"")"),"o")</f>
        <v>o</v>
      </c>
      <c r="CB224" s="246" t="str">
        <f>IFERROR(__xludf.DUMMYFUNCTION("IF(REGEXMATCH(C224, ""R""), ""o"",""x"")"),"x")</f>
        <v>x</v>
      </c>
      <c r="CC224" s="246" t="str">
        <f>IFERROR(__xludf.DUMMYFUNCTION("IF(REGEXMATCH(C224, ""g""), ""o"",""x"")"),"o")</f>
        <v>o</v>
      </c>
      <c r="CD224" s="245" t="str">
        <f>IFERROR(__xludf.DUMMYFUNCTION("IF(REGEXMATCH(C224, ""G""), ""o"",""x"")"),"x")</f>
        <v>x</v>
      </c>
      <c r="CE224" s="245" t="str">
        <f>IFERROR(__xludf.DUMMYFUNCTION("IF(REGEXMATCH(C224, ""m""), ""o"",""x"")"),"o")</f>
        <v>o</v>
      </c>
      <c r="CF224" s="246" t="str">
        <f>IFERROR(__xludf.DUMMYFUNCTION("IF(REGEXMATCH(C224, ""M""), ""o"",""x"")"),"o")</f>
        <v>o</v>
      </c>
      <c r="CG224" s="245" t="str">
        <f>IFERROR(__xludf.DUMMYFUNCTION("IF(REGEXMATCH(C224, ""P""), ""o"",""x"")"),"o")</f>
        <v>o</v>
      </c>
      <c r="CH224" s="246" t="str">
        <f>IFERROR(__xludf.DUMMYFUNCTION("IF(REGEXMATCH(C224, ""d""), ""o"",""x"")"),"o")</f>
        <v>o</v>
      </c>
      <c r="CI224" s="245" t="str">
        <f>IFERROR(__xludf.DUMMYFUNCTION("IF(REGEXMATCH(C224, ""D""), ""o"",""x"")"),"x")</f>
        <v>x</v>
      </c>
      <c r="CJ224" s="245" t="str">
        <f>IFERROR(__xludf.DUMMYFUNCTION("IF(REGEXMATCH(C224, ""n""), ""o"",""x"")"),"o")</f>
        <v>o</v>
      </c>
      <c r="CK224" s="245" t="str">
        <f>IFERROR(__xludf.DUMMYFUNCTION("IF(REGEXMATCH(C224, ""N""), ""o"",""x"")"),"o")</f>
        <v>o</v>
      </c>
      <c r="CL224" s="356" t="str">
        <f>IFERROR(__xludf.DUMMYFUNCTION("IF(REGEXMATCH(C224, ""S""), ""x"",""x"")"),"x")</f>
        <v>x</v>
      </c>
      <c r="CM224" s="357" t="str">
        <f t="shared" si="33"/>
        <v>xoxoxooooxoo</v>
      </c>
      <c r="CN224" s="358">
        <f t="shared" si="34"/>
        <v>0</v>
      </c>
      <c r="CO224" s="246" t="str">
        <f>IFERROR(__xludf.DUMMYFUNCTION("IF(REGEXMATCH($C224, ""S""), ""S"",""S"")"),"S")</f>
        <v>S</v>
      </c>
      <c r="CP224" s="246" t="str">
        <f>IFERROR(__xludf.DUMMYFUNCTION("IF(REGEXMATCH($C224, ""r""), """",""r"")"),"")</f>
        <v/>
      </c>
      <c r="CQ224" s="246" t="str">
        <f>IFERROR(__xludf.DUMMYFUNCTION("IF(REGEXMATCH($C224, ""R""), """",""R"")"),"R")</f>
        <v>R</v>
      </c>
      <c r="CR224" s="246" t="str">
        <f>IFERROR(__xludf.DUMMYFUNCTION("IF(REGEXMATCH($C224, ""g""), """",""g"")"),"")</f>
        <v/>
      </c>
      <c r="CS224" s="246" t="str">
        <f>IFERROR(__xludf.DUMMYFUNCTION("IF(REGEXMATCH($C224, ""G""), """",""G"")"),"G")</f>
        <v>G</v>
      </c>
      <c r="CT224" s="246" t="str">
        <f>IFERROR(__xludf.DUMMYFUNCTION("IF(REGEXMATCH($C224, ""m""), """",""m"")"),"")</f>
        <v/>
      </c>
      <c r="CU224" s="246" t="str">
        <f>IFERROR(__xludf.DUMMYFUNCTION("IF(REGEXMATCH($C224, ""M""), """",""M"")"),"")</f>
        <v/>
      </c>
      <c r="CV224" s="246" t="str">
        <f>IFERROR(__xludf.DUMMYFUNCTION("IF(REGEXMATCH($C224, ""P""), """",""P"")"),"")</f>
        <v/>
      </c>
      <c r="CW224" s="246" t="str">
        <f>IFERROR(__xludf.DUMMYFUNCTION("IF(REGEXMATCH($C224, ""d""), """",""d"")"),"")</f>
        <v/>
      </c>
      <c r="CX224" s="246" t="str">
        <f>IFERROR(__xludf.DUMMYFUNCTION("IF(REGEXMATCH($C224, ""D""), """",""D"")"),"D")</f>
        <v>D</v>
      </c>
      <c r="CY224" s="246" t="str">
        <f>IFERROR(__xludf.DUMMYFUNCTION("IF(REGEXMATCH($C224, ""n""), """",""n"")"),"")</f>
        <v/>
      </c>
      <c r="CZ224" s="246" t="str">
        <f>IFERROR(__xludf.DUMMYFUNCTION("IF(REGEXMATCH($C224, ""N""), """",""N"")"),"")</f>
        <v/>
      </c>
      <c r="DA224" s="246" t="str">
        <f>IFERROR(__xludf.DUMMYFUNCTION("IF(REGEXMATCH($C224, ""S""), ""S"",""S"")"),"S")</f>
        <v>S</v>
      </c>
      <c r="DB224" s="362" t="str">
        <f>IFERROR(__xludf.DUMMYFUNCTION("JOIN("""",CO224:DA224,"""","""")"),"SRGDS")</f>
        <v>SRGDS</v>
      </c>
      <c r="DC224" s="363"/>
      <c r="DD224" s="301" t="str">
        <f t="shared" si="35"/>
        <v>#REF!</v>
      </c>
      <c r="DE224" s="302" t="str">
        <f t="shared" si="36"/>
        <v>#REF!</v>
      </c>
      <c r="DF224" s="301" t="str">
        <f t="shared" ref="DF224:DG224" si="665">SUBSTITUTE(S224,"-","")</f>
        <v>SRGM</v>
      </c>
      <c r="DG224" s="301" t="str">
        <f t="shared" si="665"/>
        <v>PDNS</v>
      </c>
      <c r="DH224" s="302" t="str">
        <f t="shared" si="38"/>
        <v>Pilu</v>
      </c>
      <c r="DI224" s="301" t="str">
        <f t="shared" si="39"/>
        <v>Hemi.</v>
      </c>
      <c r="DJ224" s="364" t="str">
        <f t="shared" si="40"/>
        <v>Co-Co.</v>
      </c>
      <c r="DK224" s="306" t="str">
        <f t="shared" si="41"/>
        <v>-</v>
      </c>
      <c r="DL224" s="366" t="str">
        <f t="shared" si="42"/>
        <v>-</v>
      </c>
      <c r="DM224" s="308" t="str">
        <f t="shared" si="43"/>
        <v>✔</v>
      </c>
      <c r="DN224" s="306" t="str">
        <f t="shared" si="44"/>
        <v>-</v>
      </c>
      <c r="DO224" s="306" t="str">
        <f t="shared" si="45"/>
        <v>-</v>
      </c>
      <c r="DP224" s="367" t="str">
        <f t="shared" si="46"/>
        <v>-</v>
      </c>
      <c r="DQ224" s="310" t="str">
        <f t="shared" si="47"/>
        <v>-</v>
      </c>
      <c r="DR224" s="310" t="str">
        <f t="shared" si="48"/>
        <v>-</v>
      </c>
      <c r="DS224" s="310" t="str">
        <f t="shared" si="49"/>
        <v>✔</v>
      </c>
      <c r="DT224" s="310" t="str">
        <f t="shared" si="50"/>
        <v>-</v>
      </c>
      <c r="DU224" s="370" t="str">
        <f t="shared" si="51"/>
        <v>✔</v>
      </c>
      <c r="DV224" s="306" t="str">
        <f t="shared" si="52"/>
        <v>-</v>
      </c>
      <c r="DW224" s="306" t="str">
        <f t="shared" si="53"/>
        <v>-</v>
      </c>
      <c r="DX224" s="306" t="str">
        <f t="shared" si="54"/>
        <v>-</v>
      </c>
      <c r="DY224" s="306" t="str">
        <f t="shared" si="55"/>
        <v>-</v>
      </c>
      <c r="DZ224" s="306" t="str">
        <f t="shared" si="56"/>
        <v>-</v>
      </c>
      <c r="EA224" s="367" t="str">
        <f t="shared" si="57"/>
        <v>-</v>
      </c>
      <c r="EB224" s="310" t="str">
        <f>IFERROR(__xludf.DUMMYFUNCTION("IF(REGEXMATCH(AW224,AS224),""✔"",""-"")"),"✔")</f>
        <v>✔</v>
      </c>
      <c r="EC224" s="310" t="str">
        <f t="shared" si="58"/>
        <v>#REF!</v>
      </c>
      <c r="ED224" s="370" t="str">
        <f t="shared" si="59"/>
        <v>-</v>
      </c>
      <c r="EE224" s="340" t="str">
        <f t="shared" si="60"/>
        <v>S-r-g-mM-P-d-nN-S</v>
      </c>
      <c r="EF224" s="371" t="str">
        <f>IFERROR(__xludf.DUMMYFUNCTION("CONCATENATE(JOIN("""",HC224:HO224))"),"SrRGmMPDNS")</f>
        <v>SrRGmMPDNS</v>
      </c>
      <c r="EG224" s="372">
        <f t="shared" si="61"/>
        <v>1</v>
      </c>
      <c r="EH224" s="373" t="str">
        <f>IFERROR(__xludf.DUMMYFUNCTION("CONCATENATE(JOIN("""",JC224:JO224))"),"Pa, ")</f>
        <v>Pa, </v>
      </c>
      <c r="EI224" s="322">
        <f t="shared" si="62"/>
        <v>0</v>
      </c>
      <c r="EJ224" s="374" t="str">
        <f>IFERROR(__xludf.DUMMYFUNCTION("CONCATENATE(JOIN("""",KC224:KO224))"),"")</f>
        <v/>
      </c>
      <c r="EK224" s="325" t="str">
        <f t="shared" si="63"/>
        <v>S-R1-G2-M1-M2-P-D1-N2-N3-S</v>
      </c>
      <c r="EL224" s="326" t="str">
        <f t="shared" si="64"/>
        <v>1-b2-b3-4-#4-5-b6-b7-7-8</v>
      </c>
      <c r="EM224" s="318" t="str">
        <f t="shared" si="65"/>
        <v>#REF!</v>
      </c>
      <c r="EN224" s="328" t="str">
        <f>IFERROR(__xludf.DUMMYFUNCTION("SUBSTITUTE(SUBSTITUTE(SUBSTITUTE(SUBSTITUTE(CONCATENATE(JOIN("" "",HP224:IB224)),""  "","" ""),""  "","" ""),""  "","" ""),""  "","" "")"),"o o • o • o o o o • o o o")</f>
        <v>o o • o • o o o o • o o o</v>
      </c>
      <c r="EO224" s="368" t="str">
        <f t="shared" si="66"/>
        <v>-</v>
      </c>
      <c r="EP224" s="339" t="str">
        <f t="shared" si="67"/>
        <v>-</v>
      </c>
      <c r="EQ224" s="339" t="str">
        <f t="shared" si="68"/>
        <v>Sa-Pa</v>
      </c>
      <c r="ER224" s="339" t="str">
        <f t="shared" si="69"/>
        <v>-</v>
      </c>
      <c r="ES224" s="340" t="str">
        <f t="shared" si="70"/>
        <v>-</v>
      </c>
      <c r="ET224" s="363"/>
      <c r="EU224" s="376" t="b">
        <f>IFERROR(__xludf.DUMMYFUNCTION("arrayformula(sum(--REGEXMATCH(""SRGMPDNS"",split(REGEXREPLACE(C224,""(.)"",""$1~""),""~""))))=len(C224)
"),FALSE)</f>
        <v>0</v>
      </c>
      <c r="EV224" s="290" t="b">
        <f>IFERROR(__xludf.DUMMYFUNCTION("arrayformula(sum(--REGEXMATCH(""SRGmPDNS"",split(REGEXREPLACE(C224,""(.)"",""$1~""),""~""))))=len(C224)"),FALSE)</f>
        <v>0</v>
      </c>
      <c r="EW224" s="290" t="b">
        <f>IFERROR(__xludf.DUMMYFUNCTION("arrayformula(sum(--REGEXMATCH(""SRGmPDnS"",split(REGEXREPLACE(C224,""(.)"",""$1~""),""~""))))=len(C224)"),FALSE)</f>
        <v>0</v>
      </c>
      <c r="EX224" s="290" t="b">
        <f>IFERROR(__xludf.DUMMYFUNCTION("arrayformula(sum(--REGEXMATCH(""SRgmPDnS"",split(REGEXREPLACE(C224,""(.)"",""$1~""),""~""))))=len(C224)"),FALSE)</f>
        <v>0</v>
      </c>
      <c r="EY224" s="290" t="b">
        <f>IFERROR(__xludf.DUMMYFUNCTION("arrayformula(sum(--REGEXMATCH(""SRgmPdnS"",split(REGEXREPLACE(C224,""(.)"",""$1~""),""~""))))=len(C224)"),FALSE)</f>
        <v>0</v>
      </c>
      <c r="EZ224" s="290" t="b">
        <f>IFERROR(__xludf.DUMMYFUNCTION("arrayformula(sum(--REGEXMATCH(""SrgmPdnS"",split(REGEXREPLACE(C224,""(.)"",""$1~""),""~""))))=len(C224)"),FALSE)</f>
        <v>0</v>
      </c>
      <c r="FA224" s="290" t="b">
        <f>IFERROR(__xludf.DUMMYFUNCTION("arrayformula(sum(--REGEXMATCH(""SrGmPdNS"",split(REGEXREPLACE(C224,""(.)"",""$1~""),""~""))))=len(C224)"),FALSE)</f>
        <v>0</v>
      </c>
      <c r="FB224" s="290" t="b">
        <f>IFERROR(__xludf.DUMMYFUNCTION("arrayformula(sum(--REGEXMATCH(""SrGMPDNS"",split(REGEXREPLACE(C224,""(.)"",""$1~""),""~""))))=len(C224)"),FALSE)</f>
        <v>0</v>
      </c>
      <c r="FC224" s="290" t="b">
        <f>IFERROR(__xludf.DUMMYFUNCTION("arrayformula(sum(--REGEXMATCH(""SrGMPdNS"",split(REGEXREPLACE(C224,""(.)"",""$1~""),""~""))))=len(C224)"),FALSE)</f>
        <v>0</v>
      </c>
      <c r="FD224" s="377" t="b">
        <f>IFERROR(__xludf.DUMMYFUNCTION("arrayformula(sum(--REGEXMATCH(""SrgMPdNS"",split(REGEXREPLACE(C224,""(.)"",""$1~""),""~""))))=len(C224)"),FALSE)</f>
        <v>0</v>
      </c>
      <c r="FE224" s="269" t="str">
        <f t="shared" si="71"/>
        <v>xoxoxxxxoxx</v>
      </c>
      <c r="FF224" s="269" t="str">
        <f t="shared" si="72"/>
        <v>-</v>
      </c>
      <c r="FG224" s="271" t="str">
        <f t="shared" si="73"/>
        <v>xoxxxxoxxxx</v>
      </c>
      <c r="FH224" s="269" t="str">
        <f t="shared" si="74"/>
        <v>-</v>
      </c>
      <c r="FI224" s="271" t="str">
        <f t="shared" si="75"/>
        <v>xxxxoxxxxox</v>
      </c>
      <c r="FJ224" s="271" t="str">
        <f t="shared" si="76"/>
        <v>xxxoxxxxoxo</v>
      </c>
      <c r="FK224" s="271" t="str">
        <f t="shared" si="77"/>
        <v>xxoxxxxoxox</v>
      </c>
      <c r="FL224" s="271" t="str">
        <f t="shared" si="78"/>
        <v>xoxxxxoxoxx</v>
      </c>
      <c r="FM224" s="271" t="str">
        <f t="shared" si="79"/>
        <v>-</v>
      </c>
      <c r="FN224" s="271" t="str">
        <f t="shared" si="80"/>
        <v>xxxxoxoxxxx</v>
      </c>
      <c r="FO224" s="274" t="str">
        <f t="shared" si="81"/>
        <v>xxxoxoxxxxo</v>
      </c>
      <c r="FP224" s="234" t="str">
        <f t="shared" si="82"/>
        <v>|</v>
      </c>
      <c r="FQ224" s="236" t="str">
        <f t="shared" si="83"/>
        <v>|</v>
      </c>
      <c r="FR224" s="237" t="str">
        <f t="shared" si="84"/>
        <v>-</v>
      </c>
      <c r="FS224" s="236" t="str">
        <f t="shared" si="85"/>
        <v>|</v>
      </c>
      <c r="FT224" s="237" t="str">
        <f t="shared" si="86"/>
        <v>-</v>
      </c>
      <c r="FU224" s="236" t="str">
        <f t="shared" si="87"/>
        <v>|</v>
      </c>
      <c r="FV224" s="237" t="str">
        <f t="shared" si="88"/>
        <v>|</v>
      </c>
      <c r="FW224" s="236" t="str">
        <f t="shared" si="89"/>
        <v>|</v>
      </c>
      <c r="FX224" s="237" t="str">
        <f t="shared" si="90"/>
        <v>|</v>
      </c>
      <c r="FY224" s="236" t="str">
        <f t="shared" si="91"/>
        <v>-</v>
      </c>
      <c r="FZ224" s="237" t="str">
        <f t="shared" si="92"/>
        <v>|</v>
      </c>
      <c r="GA224" s="236" t="str">
        <f t="shared" si="93"/>
        <v>|</v>
      </c>
      <c r="GB224" s="238" t="str">
        <f t="shared" si="94"/>
        <v>|</v>
      </c>
      <c r="GC224" s="244" t="str">
        <f>IFERROR(__xludf.DUMMYFUNCTION("IF(REGEXMATCH(C224, ""S""), ""1"","""")"),"1")</f>
        <v>1</v>
      </c>
      <c r="GD224" s="245" t="str">
        <f>IFERROR(__xludf.DUMMYFUNCTION("IF(REGEXMATCH(C224, ""r""), ""b2"","""")"),"b2")</f>
        <v>b2</v>
      </c>
      <c r="GE224" s="246" t="str">
        <f>IFERROR(__xludf.DUMMYFUNCTION("IF(REGEXMATCH(C224, ""R""), ""2"","""")"),"")</f>
        <v/>
      </c>
      <c r="GF224" s="246" t="str">
        <f>IFERROR(__xludf.DUMMYFUNCTION("IF(REGEXMATCH(C224, ""g""), ""b3"","""")"),"b3")</f>
        <v>b3</v>
      </c>
      <c r="GG224" s="245" t="str">
        <f>IFERROR(__xludf.DUMMYFUNCTION("IF(REGEXMATCH(C224, ""G""), ""3"","""")"),"")</f>
        <v/>
      </c>
      <c r="GH224" s="245" t="str">
        <f>IFERROR(__xludf.DUMMYFUNCTION("IF(REGEXMATCH(C224, ""m""), ""4"","""")"),"4")</f>
        <v>4</v>
      </c>
      <c r="GI224" s="246" t="str">
        <f>IFERROR(__xludf.DUMMYFUNCTION("IF(REGEXMATCH(C224, ""M""), ""#4"","""")"),"#4")</f>
        <v>#4</v>
      </c>
      <c r="GJ224" s="245" t="str">
        <f>IFERROR(__xludf.DUMMYFUNCTION("IF(REGEXMATCH(C224, ""P""), ""5"","""")"),"5")</f>
        <v>5</v>
      </c>
      <c r="GK224" s="246" t="str">
        <f>IFERROR(__xludf.DUMMYFUNCTION("IF(REGEXMATCH(C224, ""d""), ""b6"","""")"),"b6")</f>
        <v>b6</v>
      </c>
      <c r="GL224" s="245" t="str">
        <f>IFERROR(__xludf.DUMMYFUNCTION("IF(REGEXMATCH(C224, ""D""), ""6"","""")"),"")</f>
        <v/>
      </c>
      <c r="GM224" s="245" t="str">
        <f>IFERROR(__xludf.DUMMYFUNCTION("IF(REGEXMATCH(C224, ""n""), ""b7"","""")"),"b7")</f>
        <v>b7</v>
      </c>
      <c r="GN224" s="246" t="str">
        <f>IFERROR(__xludf.DUMMYFUNCTION("IF(REGEXMATCH(C224, ""N""), ""7"","""")"),"7")</f>
        <v>7</v>
      </c>
      <c r="GO224" s="249" t="str">
        <f>IFERROR(__xludf.DUMMYFUNCTION("IF(REGEXMATCH(C224, ""S""), ""8"","""")"),"8")</f>
        <v>8</v>
      </c>
      <c r="GP224" s="244" t="str">
        <f>IFERROR(__xludf.DUMMYFUNCTION("IF(REGEXMATCH(C224, ""S""), ""S"","""")"),"S")</f>
        <v>S</v>
      </c>
      <c r="GQ224" s="294" t="str">
        <f>IFERROR(__xludf.DUMMYFUNCTION("IF(REGEXMATCH(C224, ""r""), ""R1"","""")"),"R1")</f>
        <v>R1</v>
      </c>
      <c r="GR224" s="295" t="str">
        <f>IFERROR(__xludf.DUMMYFUNCTION("IF(REGEXMATCH(C224, ""R""), ""R2"","""")"),"")</f>
        <v/>
      </c>
      <c r="GS224" s="295" t="str">
        <f>IFERROR(__xludf.DUMMYFUNCTION("IF(REGEXMATCH(C224, ""g""), ""G2"","""")"),"G2")</f>
        <v>G2</v>
      </c>
      <c r="GT224" s="294" t="str">
        <f>IFERROR(__xludf.DUMMYFUNCTION("IF(REGEXMATCH(C224, ""G""), ""G3"","""")"),"")</f>
        <v/>
      </c>
      <c r="GU224" s="294" t="str">
        <f>IFERROR(__xludf.DUMMYFUNCTION("IF(REGEXMATCH(C224, ""m""), ""M1"","""")"),"M1")</f>
        <v>M1</v>
      </c>
      <c r="GV224" s="295" t="str">
        <f>IFERROR(__xludf.DUMMYFUNCTION("IF(REGEXMATCH(C224, ""M""), ""M2"","""")"),"M2")</f>
        <v>M2</v>
      </c>
      <c r="GW224" s="294" t="str">
        <f>IFERROR(__xludf.DUMMYFUNCTION("IF(REGEXMATCH(C224, ""P""), ""P"","""")"),"P")</f>
        <v>P</v>
      </c>
      <c r="GX224" s="295" t="str">
        <f>IFERROR(__xludf.DUMMYFUNCTION("IF(REGEXMATCH(C224, ""d""), ""D1"","""")"),"D1")</f>
        <v>D1</v>
      </c>
      <c r="GY224" s="294" t="str">
        <f>IFERROR(__xludf.DUMMYFUNCTION("IF(REGEXMATCH(C224, ""D""), ""D2"","""")"),"")</f>
        <v/>
      </c>
      <c r="GZ224" s="294" t="str">
        <f>IFERROR(__xludf.DUMMYFUNCTION("IF(REGEXMATCH(C224, ""n""), ""N2"","""")"),"N2")</f>
        <v>N2</v>
      </c>
      <c r="HA224" s="295" t="str">
        <f>IFERROR(__xludf.DUMMYFUNCTION("IF(REGEXMATCH(C224, ""N""), ""N3"","""")"),"N3")</f>
        <v>N3</v>
      </c>
      <c r="HB224" s="249" t="str">
        <f>IFERROR(__xludf.DUMMYFUNCTION("IF(REGEXMATCH(C224, ""S""), ""S"","""")"),"S")</f>
        <v>S</v>
      </c>
      <c r="HC224" s="331" t="str">
        <f t="shared" si="95"/>
        <v>S</v>
      </c>
      <c r="HD224" s="332" t="str">
        <f t="shared" si="96"/>
        <v>r</v>
      </c>
      <c r="HE224" s="332" t="str">
        <f t="shared" si="97"/>
        <v>R</v>
      </c>
      <c r="HF224" s="332" t="str">
        <f t="shared" si="98"/>
        <v/>
      </c>
      <c r="HG224" s="332" t="str">
        <f t="shared" si="99"/>
        <v>G</v>
      </c>
      <c r="HH224" s="332" t="str">
        <f t="shared" si="100"/>
        <v>m</v>
      </c>
      <c r="HI224" s="332" t="str">
        <f t="shared" si="101"/>
        <v>M</v>
      </c>
      <c r="HJ224" s="332" t="str">
        <f t="shared" si="102"/>
        <v>P</v>
      </c>
      <c r="HK224" s="332" t="str">
        <f t="shared" si="103"/>
        <v/>
      </c>
      <c r="HL224" s="332" t="str">
        <f t="shared" si="104"/>
        <v>D</v>
      </c>
      <c r="HM224" s="332" t="str">
        <f t="shared" si="105"/>
        <v/>
      </c>
      <c r="HN224" s="332" t="str">
        <f t="shared" si="106"/>
        <v>N</v>
      </c>
      <c r="HO224" s="343" t="str">
        <f t="shared" si="107"/>
        <v>S</v>
      </c>
      <c r="HP224" s="331" t="str">
        <f t="shared" si="108"/>
        <v>o</v>
      </c>
      <c r="HQ224" s="332" t="str">
        <f t="shared" si="109"/>
        <v>o</v>
      </c>
      <c r="HR224" s="332" t="str">
        <f t="shared" si="110"/>
        <v>•</v>
      </c>
      <c r="HS224" s="332" t="str">
        <f t="shared" si="111"/>
        <v>o</v>
      </c>
      <c r="HT224" s="332" t="str">
        <f t="shared" si="112"/>
        <v>•</v>
      </c>
      <c r="HU224" s="332" t="str">
        <f t="shared" si="113"/>
        <v>o</v>
      </c>
      <c r="HV224" s="332" t="str">
        <f t="shared" si="114"/>
        <v>o</v>
      </c>
      <c r="HW224" s="332" t="str">
        <f t="shared" si="115"/>
        <v>o</v>
      </c>
      <c r="HX224" s="332" t="str">
        <f t="shared" si="116"/>
        <v>o</v>
      </c>
      <c r="HY224" s="332" t="str">
        <f t="shared" si="117"/>
        <v>•</v>
      </c>
      <c r="HZ224" s="332" t="str">
        <f t="shared" si="118"/>
        <v>o</v>
      </c>
      <c r="IA224" s="332" t="str">
        <f t="shared" si="119"/>
        <v>o</v>
      </c>
      <c r="IB224" s="338" t="str">
        <f t="shared" si="120"/>
        <v>o</v>
      </c>
      <c r="IC224" s="331" t="str">
        <f t="shared" si="121"/>
        <v>•</v>
      </c>
      <c r="ID224" s="332" t="str">
        <f t="shared" si="122"/>
        <v>•</v>
      </c>
      <c r="IE224" s="332" t="str">
        <f t="shared" si="123"/>
        <v>o</v>
      </c>
      <c r="IF224" s="332" t="str">
        <f t="shared" si="124"/>
        <v>•</v>
      </c>
      <c r="IG224" s="332" t="str">
        <f t="shared" si="125"/>
        <v>o</v>
      </c>
      <c r="IH224" s="332" t="str">
        <f t="shared" si="126"/>
        <v>•</v>
      </c>
      <c r="II224" s="332" t="str">
        <f t="shared" si="127"/>
        <v>•</v>
      </c>
      <c r="IJ224" s="332" t="str">
        <f t="shared" si="128"/>
        <v>•</v>
      </c>
      <c r="IK224" s="332" t="str">
        <f t="shared" si="129"/>
        <v>•</v>
      </c>
      <c r="IL224" s="332" t="str">
        <f t="shared" si="130"/>
        <v>o</v>
      </c>
      <c r="IM224" s="332" t="str">
        <f t="shared" si="131"/>
        <v>•</v>
      </c>
      <c r="IN224" s="332" t="str">
        <f t="shared" si="132"/>
        <v>•</v>
      </c>
      <c r="IO224" s="338" t="str">
        <f t="shared" si="133"/>
        <v>•</v>
      </c>
      <c r="IP224" s="346" t="b">
        <f t="shared" si="134"/>
        <v>0</v>
      </c>
      <c r="IQ224" s="347" t="b">
        <f t="shared" si="135"/>
        <v>0</v>
      </c>
      <c r="IR224" s="347" t="b">
        <f t="shared" si="136"/>
        <v>0</v>
      </c>
      <c r="IS224" s="347" t="b">
        <f t="shared" si="137"/>
        <v>0</v>
      </c>
      <c r="IT224" s="347" t="b">
        <f t="shared" si="138"/>
        <v>0</v>
      </c>
      <c r="IU224" s="347" t="b">
        <f t="shared" si="139"/>
        <v>0</v>
      </c>
      <c r="IV224" s="347" t="b">
        <f t="shared" si="140"/>
        <v>0</v>
      </c>
      <c r="IW224" s="347" t="b">
        <f t="shared" si="141"/>
        <v>1</v>
      </c>
      <c r="IX224" s="347" t="b">
        <f t="shared" si="142"/>
        <v>0</v>
      </c>
      <c r="IY224" s="347" t="b">
        <f t="shared" si="143"/>
        <v>0</v>
      </c>
      <c r="IZ224" s="347" t="b">
        <f t="shared" si="144"/>
        <v>0</v>
      </c>
      <c r="JA224" s="347" t="b">
        <f t="shared" si="145"/>
        <v>0</v>
      </c>
      <c r="JB224" s="353" t="b">
        <f t="shared" si="146"/>
        <v>0</v>
      </c>
      <c r="JC224" s="354" t="str">
        <f t="shared" si="147"/>
        <v/>
      </c>
      <c r="JD224" s="355" t="str">
        <f t="shared" si="148"/>
        <v/>
      </c>
      <c r="JE224" s="355" t="str">
        <f t="shared" si="149"/>
        <v/>
      </c>
      <c r="JF224" s="355" t="str">
        <f t="shared" si="150"/>
        <v/>
      </c>
      <c r="JG224" s="355" t="str">
        <f t="shared" si="151"/>
        <v/>
      </c>
      <c r="JH224" s="355" t="str">
        <f t="shared" si="152"/>
        <v/>
      </c>
      <c r="JI224" s="355" t="str">
        <f t="shared" si="153"/>
        <v/>
      </c>
      <c r="JJ224" s="355" t="str">
        <f t="shared" si="154"/>
        <v>Pa, </v>
      </c>
      <c r="JK224" s="355" t="str">
        <f t="shared" si="155"/>
        <v/>
      </c>
      <c r="JL224" s="355" t="str">
        <f t="shared" si="156"/>
        <v/>
      </c>
      <c r="JM224" s="355" t="str">
        <f t="shared" si="157"/>
        <v/>
      </c>
      <c r="JN224" s="355" t="str">
        <f t="shared" si="158"/>
        <v/>
      </c>
      <c r="JO224" s="359" t="str">
        <f t="shared" si="159"/>
        <v/>
      </c>
      <c r="JP224" s="346" t="b">
        <f t="shared" si="160"/>
        <v>0</v>
      </c>
      <c r="JQ224" s="347" t="b">
        <f t="shared" si="161"/>
        <v>0</v>
      </c>
      <c r="JR224" s="347" t="b">
        <f t="shared" si="162"/>
        <v>0</v>
      </c>
      <c r="JS224" s="347" t="b">
        <f t="shared" si="163"/>
        <v>0</v>
      </c>
      <c r="JT224" s="347" t="b">
        <f t="shared" si="164"/>
        <v>0</v>
      </c>
      <c r="JU224" s="347" t="b">
        <f t="shared" si="165"/>
        <v>0</v>
      </c>
      <c r="JV224" s="347" t="b">
        <f t="shared" si="166"/>
        <v>0</v>
      </c>
      <c r="JW224" s="347" t="b">
        <f t="shared" si="167"/>
        <v>0</v>
      </c>
      <c r="JX224" s="347" t="b">
        <f t="shared" si="168"/>
        <v>0</v>
      </c>
      <c r="JY224" s="347" t="b">
        <f t="shared" si="169"/>
        <v>0</v>
      </c>
      <c r="JZ224" s="347" t="b">
        <f t="shared" si="170"/>
        <v>0</v>
      </c>
      <c r="KA224" s="347" t="b">
        <f t="shared" si="171"/>
        <v>0</v>
      </c>
      <c r="KB224" s="365" t="b">
        <f t="shared" si="172"/>
        <v>0</v>
      </c>
      <c r="KC224" s="354" t="str">
        <f t="shared" si="173"/>
        <v/>
      </c>
      <c r="KD224" s="355" t="str">
        <f t="shared" si="174"/>
        <v/>
      </c>
      <c r="KE224" s="355" t="str">
        <f t="shared" si="175"/>
        <v/>
      </c>
      <c r="KF224" s="355" t="str">
        <f t="shared" si="176"/>
        <v/>
      </c>
      <c r="KG224" s="355" t="str">
        <f t="shared" si="177"/>
        <v/>
      </c>
      <c r="KH224" s="355" t="str">
        <f t="shared" si="178"/>
        <v/>
      </c>
      <c r="KI224" s="355" t="str">
        <f t="shared" si="179"/>
        <v/>
      </c>
      <c r="KJ224" s="355" t="str">
        <f t="shared" si="180"/>
        <v/>
      </c>
      <c r="KK224" s="355" t="str">
        <f t="shared" si="181"/>
        <v/>
      </c>
      <c r="KL224" s="355" t="str">
        <f t="shared" si="182"/>
        <v/>
      </c>
      <c r="KM224" s="355" t="str">
        <f t="shared" si="183"/>
        <v/>
      </c>
      <c r="KN224" s="355" t="str">
        <f t="shared" si="184"/>
        <v/>
      </c>
      <c r="KO224" s="359"/>
      <c r="KP224" s="378"/>
      <c r="KQ224" s="379" t="s">
        <v>9</v>
      </c>
      <c r="KR224" s="380" t="s">
        <v>9</v>
      </c>
      <c r="KS224" s="381" t="s">
        <v>9</v>
      </c>
      <c r="KT224" s="382">
        <f t="shared" si="186"/>
        <v>0</v>
      </c>
      <c r="KU224" s="383">
        <f t="shared" si="187"/>
        <v>0</v>
      </c>
      <c r="KV224" s="381" t="str">
        <f t="shared" si="205"/>
        <v>S</v>
      </c>
      <c r="KW224" s="382">
        <f t="shared" si="189"/>
        <v>0</v>
      </c>
      <c r="KX224" s="384">
        <f t="shared" si="190"/>
        <v>0</v>
      </c>
      <c r="KY224" s="382">
        <f t="shared" ref="KY224:KZ224" si="666">KW224-KT224</f>
        <v>0</v>
      </c>
      <c r="KZ224" s="369">
        <f t="shared" si="666"/>
        <v>0</v>
      </c>
      <c r="LA224" s="385" t="str">
        <f t="shared" si="192"/>
        <v>✔</v>
      </c>
      <c r="LB224" s="340" t="str">
        <f>IFERROR(__xludf.DUMMYFUNCTION("JOIN("""",ArrayFormula(MID(KS224,LEN(KS224)-SEQUENCE(1,LEN(KS224))+1,1)))"),"S")</f>
        <v>S</v>
      </c>
      <c r="LC224" s="373" t="str">
        <f>IFERROR(__xludf.DUMMYFUNCTION("JOIN("""",ArrayFormula(MID(KV224,LEN(KV224)-SEQUENCE(1,LEN(KV224))+1,1)))"),"S")</f>
        <v>S</v>
      </c>
      <c r="LD224" s="373" t="str">
        <f t="shared" si="193"/>
        <v>S</v>
      </c>
      <c r="LE224" s="339" t="str">
        <f t="shared" si="194"/>
        <v>S</v>
      </c>
      <c r="LF224" s="386" t="str">
        <f>IFERROR(__xludf.DUMMYFUNCTION("SUBSTITUTE(SUBSTITUTE(CONCATENATE(JOIN("""",LH224:LT224)),""1"",""""),""2"","""")"),"SS")</f>
        <v>SS</v>
      </c>
      <c r="LG224" s="369" t="str">
        <f t="shared" si="195"/>
        <v>-</v>
      </c>
      <c r="LH224" s="387" t="str">
        <f>IFERROR(__xludf.DUMMYFUNCTION("IF(REGEXMATCH(LD224, ""S""), ""S"",IF(REGEXMATCH(LE224, ""S""), ""S"",""""))"),"S")</f>
        <v>S</v>
      </c>
      <c r="LI224" s="299" t="str">
        <f>IFERROR(__xludf.DUMMYFUNCTION("IF(REGEXMATCH(LD224, ""r""), ""r1"",IF(REGEXMATCH(LE224, ""r""), ""r2"",""""))"),"")</f>
        <v/>
      </c>
      <c r="LJ224" s="299" t="str">
        <f>IFERROR(__xludf.DUMMYFUNCTION("IF(REGEXMATCH(LD224, ""R""), ""R1"",IF(REGEXMATCH(LE224, ""R""), ""R2"",""""))"),"")</f>
        <v/>
      </c>
      <c r="LK224" s="299" t="str">
        <f>IFERROR(__xludf.DUMMYFUNCTION("IF(REGEXMATCH(LD224, ""g""), ""g1"",IF(REGEXMATCH(LE224, ""g""), ""g2"",""""))"),"")</f>
        <v/>
      </c>
      <c r="LL224" s="299" t="str">
        <f>IFERROR(__xludf.DUMMYFUNCTION("IF(REGEXMATCH(LD224, ""G""), ""G1"",IF(REGEXMATCH(LE224, ""G""), ""G2"",""""))"),"")</f>
        <v/>
      </c>
      <c r="LM224" s="299" t="str">
        <f>IFERROR(__xludf.DUMMYFUNCTION("IF(REGEXMATCH(LD224, ""m""), ""m1"",IF(REGEXMATCH(LE224, ""m""), ""m2"",""""))"),"")</f>
        <v/>
      </c>
      <c r="LN224" s="299" t="str">
        <f>IFERROR(__xludf.DUMMYFUNCTION("IF(REGEXMATCH(LD224, ""M""), ""M1"",IF(REGEXMATCH(LE224, ""M""), ""M2"",""""))"),"")</f>
        <v/>
      </c>
      <c r="LO224" s="299" t="str">
        <f>IFERROR(__xludf.DUMMYFUNCTION("IF(REGEXMATCH(LD224, ""P""), ""P1"",IF(REGEXMATCH(LE224, ""P""), ""P2"",""""))"),"")</f>
        <v/>
      </c>
      <c r="LP224" s="299" t="str">
        <f>IFERROR(__xludf.DUMMYFUNCTION("IF(REGEXMATCH(LD224, ""d""), ""d1"",IF(REGEXMATCH(LE224, ""d""), ""d2"",""""))"),"")</f>
        <v/>
      </c>
      <c r="LQ224" s="299" t="str">
        <f>IFERROR(__xludf.DUMMYFUNCTION("IF(REGEXMATCH(LD224, ""D""), ""D1"",IF(REGEXMATCH(LE224, ""D""), ""D2"",""""))"),"")</f>
        <v/>
      </c>
      <c r="LR224" s="299" t="str">
        <f>IFERROR(__xludf.DUMMYFUNCTION("IF(REGEXMATCH(LD224, ""n""), ""n1"",IF(REGEXMATCH(LE224, ""n""), ""n2"",""""))"),"")</f>
        <v/>
      </c>
      <c r="LS224" s="299" t="str">
        <f>IFERROR(__xludf.DUMMYFUNCTION("IF(REGEXMATCH(LD224, ""N""), ""N1"",IF(REGEXMATCH(LE224, ""N""), ""N2"",""""))"),"")</f>
        <v/>
      </c>
      <c r="LT224" s="388" t="str">
        <f>IFERROR(__xludf.DUMMYFUNCTION("IF(REGEXMATCH(LD224, ""S""), ""S"",IF(REGEXMATCH(LE224, ""S""), ""S"",""""))"),"S")</f>
        <v>S</v>
      </c>
      <c r="LU224" s="389">
        <f t="shared" si="196"/>
        <v>1</v>
      </c>
      <c r="LV224" s="378"/>
      <c r="LW224" s="369"/>
      <c r="LX224" s="369"/>
    </row>
    <row r="225" ht="18.0" customHeight="1">
      <c r="A225" s="298" t="s">
        <v>976</v>
      </c>
      <c r="B225" s="222" t="s">
        <v>648</v>
      </c>
      <c r="C225" s="233" t="str">
        <f t="shared" si="7"/>
        <v>SRGmMPDnNS</v>
      </c>
      <c r="D225" s="234" t="str">
        <f>IFERROR(__xludf.DUMMYFUNCTION("IF(REGEXMATCH(C225, ""S""), ""S"","""")"),"S")</f>
        <v>S</v>
      </c>
      <c r="E225" s="236" t="str">
        <f>IFERROR(__xludf.DUMMYFUNCTION("IF(REGEXMATCH(C225, ""r""), ""r"","""")"),"")</f>
        <v/>
      </c>
      <c r="F225" s="237" t="str">
        <f>IFERROR(__xludf.DUMMYFUNCTION("IF(REGEXMATCH(C225, ""R""), ""R"","""")"),"R")</f>
        <v>R</v>
      </c>
      <c r="G225" s="237" t="str">
        <f>IFERROR(__xludf.DUMMYFUNCTION("IF(REGEXMATCH(C225, ""g""), ""g"","""")"),"")</f>
        <v/>
      </c>
      <c r="H225" s="236" t="str">
        <f>IFERROR(__xludf.DUMMYFUNCTION("IF(REGEXMATCH(C225, ""G""), ""G"","""")"),"G")</f>
        <v>G</v>
      </c>
      <c r="I225" s="236" t="str">
        <f>IFERROR(__xludf.DUMMYFUNCTION("IF(REGEXMATCH(C225, ""m""), ""m"","""")"),"m")</f>
        <v>m</v>
      </c>
      <c r="J225" s="237" t="str">
        <f>IFERROR(__xludf.DUMMYFUNCTION("IF(REGEXMATCH(C225, ""M""), ""M"","""")"),"M")</f>
        <v>M</v>
      </c>
      <c r="K225" s="236" t="str">
        <f>IFERROR(__xludf.DUMMYFUNCTION("IF(REGEXMATCH(C225, ""P""), ""P"","""")"),"P")</f>
        <v>P</v>
      </c>
      <c r="L225" s="237" t="str">
        <f>IFERROR(__xludf.DUMMYFUNCTION("IF(REGEXMATCH(C225, ""d""), ""d"","""")"),"")</f>
        <v/>
      </c>
      <c r="M225" s="236" t="str">
        <f>IFERROR(__xludf.DUMMYFUNCTION("IF(REGEXMATCH(C225, ""D""), ""D"","""")"),"D")</f>
        <v>D</v>
      </c>
      <c r="N225" s="236" t="str">
        <f>IFERROR(__xludf.DUMMYFUNCTION("IF(REGEXMATCH(C225, ""n""), ""n"","""")"),"n")</f>
        <v>n</v>
      </c>
      <c r="O225" s="237" t="str">
        <f>IFERROR(__xludf.DUMMYFUNCTION("IF(REGEXMATCH(C225, ""N""), ""N"","""")"),"N")</f>
        <v>N</v>
      </c>
      <c r="P225" s="238" t="str">
        <f>IFERROR(__xludf.DUMMYFUNCTION("IF(REGEXMATCH(C225, ""S""), ""S"","""")"),"S")</f>
        <v>S</v>
      </c>
      <c r="Q225" s="239" t="str">
        <f>IFERROR(__xludf.DUMMYFUNCTION("SUBSTITUTE(CONCATENATE(JOIN(""-"",D225:J225)),""-"","""")"),"SRGmM")</f>
        <v>SRGmM</v>
      </c>
      <c r="R225" s="229" t="str">
        <f>IFERROR(__xludf.DUMMYFUNCTION("SUBSTITUTE(CONCATENATE(JOIN(""-"",K225:P225)),""-"","""")"),"PDnNS")</f>
        <v>PDnNS</v>
      </c>
      <c r="S225" s="282" t="str">
        <f t="shared" si="8"/>
        <v>S-R-G-M</v>
      </c>
      <c r="T225" s="282" t="str">
        <f t="shared" si="9"/>
        <v>P-D-N-S</v>
      </c>
      <c r="U225" s="237" t="str">
        <f>IFERROR(__xludf.DUMMYFUNCTION("SUBSTITUTE(JOIN(""-"",S225,T225),""--"",""-"")"),"S-R-G-M-P-D-N-S")</f>
        <v>S-R-G-M-P-D-N-S</v>
      </c>
      <c r="V225" s="309" t="str">
        <f t="shared" si="10"/>
        <v>RGmMDnN</v>
      </c>
      <c r="W225" s="244" t="str">
        <f>IFERROR(__xludf.DUMMYFUNCTION("IF(REGEXMATCH(C225, ""S""), ""0"","""")"),"0")</f>
        <v>0</v>
      </c>
      <c r="X225" s="245" t="str">
        <f>IFERROR(__xludf.DUMMYFUNCTION("IF(REGEXMATCH(C225, ""r""), ""1"","""")"),"")</f>
        <v/>
      </c>
      <c r="Y225" s="246" t="str">
        <f>IFERROR(__xludf.DUMMYFUNCTION("IF(REGEXMATCH(C225, ""R""), ""2"","""")"),"2")</f>
        <v>2</v>
      </c>
      <c r="Z225" s="246" t="str">
        <f>IFERROR(__xludf.DUMMYFUNCTION("IF(REGEXMATCH(C225, ""g""), ""3"","""")"),"")</f>
        <v/>
      </c>
      <c r="AA225" s="245" t="str">
        <f>IFERROR(__xludf.DUMMYFUNCTION("IF(REGEXMATCH(C225, ""G""), ""4"","""")"),"4")</f>
        <v>4</v>
      </c>
      <c r="AB225" s="245" t="str">
        <f>IFERROR(__xludf.DUMMYFUNCTION("IF(REGEXMATCH(C225, ""m""), ""5"","""")"),"5")</f>
        <v>5</v>
      </c>
      <c r="AC225" s="246" t="str">
        <f>IFERROR(__xludf.DUMMYFUNCTION("IF(REGEXMATCH(C225, ""M""), ""6"","""")"),"6")</f>
        <v>6</v>
      </c>
      <c r="AD225" s="245" t="str">
        <f>IFERROR(__xludf.DUMMYFUNCTION("IF(REGEXMATCH(C225, ""P""), ""7"","""")"),"7")</f>
        <v>7</v>
      </c>
      <c r="AE225" s="246" t="str">
        <f>IFERROR(__xludf.DUMMYFUNCTION("IF(REGEXMATCH(C225, ""d""), ""8"","""")"),"")</f>
        <v/>
      </c>
      <c r="AF225" s="245" t="str">
        <f>IFERROR(__xludf.DUMMYFUNCTION("IF(REGEXMATCH(C225, ""D""), ""9"","""")"),"9")</f>
        <v>9</v>
      </c>
      <c r="AG225" s="245" t="str">
        <f>IFERROR(__xludf.DUMMYFUNCTION("IF(REGEXMATCH(C225, ""n""), ""10"","""")"),"10")</f>
        <v>10</v>
      </c>
      <c r="AH225" s="246" t="str">
        <f>IFERROR(__xludf.DUMMYFUNCTION("IF(REGEXMATCH(C225, ""N""), ""11"","""")"),"11")</f>
        <v>11</v>
      </c>
      <c r="AI225" s="249" t="str">
        <f>IFERROR(__xludf.DUMMYFUNCTION("IF(REGEXMATCH(C225, ""S""), ""0"","""")"),"0")</f>
        <v>0</v>
      </c>
      <c r="AJ225" s="313" t="str">
        <f t="shared" si="11"/>
        <v>T</v>
      </c>
      <c r="AK225" s="313" t="str">
        <f t="shared" si="12"/>
        <v>-</v>
      </c>
      <c r="AL225" s="313" t="str">
        <f t="shared" si="13"/>
        <v>-</v>
      </c>
      <c r="AM225" s="313" t="str">
        <f t="shared" si="14"/>
        <v>-</v>
      </c>
      <c r="AN225" s="313" t="str">
        <f t="shared" si="15"/>
        <v>T</v>
      </c>
      <c r="AO225" s="314" t="str">
        <f t="shared" si="16"/>
        <v>T</v>
      </c>
      <c r="AP225" s="316">
        <f t="shared" si="17"/>
        <v>3</v>
      </c>
      <c r="AQ225" s="319" t="str">
        <f t="shared" si="18"/>
        <v>-</v>
      </c>
      <c r="AR225" s="320">
        <f t="shared" si="19"/>
        <v>0</v>
      </c>
      <c r="AS225" s="250" t="str">
        <f>IFERROR(__xludf.DUMMYFUNCTION("SUBSTITUTE(SUBSTITUTE(CONCATENATE(JOIN("""",FP225:GA225)),""|"",""x""),""-"",""o"")"),"xoxoxxxxoxxx")</f>
        <v>xoxoxxxxoxxx</v>
      </c>
      <c r="AT225" s="323" t="str">
        <f>IFERROR(__xludf.DUMMYFUNCTION("JOIN("""",AS225,AS225)"),"xoxoxxxxoxxxxoxoxxxxoxxx")</f>
        <v>xoxoxxxxoxxxxoxoxxxxoxxx</v>
      </c>
      <c r="AU225" s="256" t="str">
        <f>IFERROR(__xludf.DUMMYFUNCTION("JOIN("""",ArrayFormula(MID(AS225,LEN(AS225)-SEQUENCE(1,LEN(AS225))+1,1)))"),"xxxoxxxxoxox")</f>
        <v>xxxoxxxxoxox</v>
      </c>
      <c r="AV225" s="256" t="str">
        <f>IFERROR(__xludf.DUMMYFUNCTION("LEFT(CONCATENATE(""x"",JOIN("""",ArrayFormula(MID(AS225,LEN(AS225)-SEQUENCE(1,LEN(AS225))+1,1)))),12)"),"xxxxoxxxxoxo")</f>
        <v>xxxxoxxxxoxo</v>
      </c>
      <c r="AW225" s="327" t="str">
        <f>IFERROR(__xludf.DUMMYFUNCTION("JOIN("""",AU225,AU225)"),"xxxoxxxxoxoxxxxoxxxxoxox")</f>
        <v>xxxoxxxxoxoxxxxoxxxxoxox</v>
      </c>
      <c r="AX225" s="239" t="str">
        <f>IFERROR(__xludf.DUMMYFUNCTION("IF(REGEXMATCH(AW225,AS225),""✔"",""-"")"),"✔")</f>
        <v>✔</v>
      </c>
      <c r="AY225" s="330" t="str">
        <f t="shared" si="20"/>
        <v>-</v>
      </c>
      <c r="AZ225" s="260" t="str">
        <f t="shared" si="21"/>
        <v>#REF!</v>
      </c>
      <c r="BA225" s="333" t="str">
        <f t="shared" si="22"/>
        <v>xoxoxxx</v>
      </c>
      <c r="BB225" s="334" t="str">
        <f t="shared" si="23"/>
        <v>xoxxxx</v>
      </c>
      <c r="BC225" s="335" t="str">
        <f t="shared" si="236"/>
        <v>-</v>
      </c>
      <c r="BD225" s="336" t="str">
        <f t="shared" si="25"/>
        <v>Manj Khamaj: 'xoxoxxx' + 'xoxxxx'</v>
      </c>
      <c r="BE225" s="337">
        <f>IFERROR(__xludf.DUMMYFUNCTION("COUNTUNIQUE(FILTER(AT:AT,REGEXMATCH(AT:AT,AS225)))-1"),4.0)</f>
        <v>4</v>
      </c>
      <c r="BF225" s="261" t="str">
        <f>IFERROR(__xludf.DUMMYFUNCTION("IF(BI225=0,""(n/a)"",IF(BJ225=2,""(PAIR)"",IF(REGEXMATCH(AT225,""xoxoxxoxoxox""),""Bilawal"",IF(REGEXMATCH(AT225,""xoxoxooxoxoo""),""Bhupali"",IF(REGEXMATCH(AT225,""xoxoxxoxxoxo""),""Charukeshi"",IF(REGEXMATCH(AT225,""xoxoooxxoxxo""),""Kameshwari"",IF(REG"&amp;"EXMATCH(AT225,""xoxoxooxoxox""),""Shankara"",IF(REGEXMATCH(AT225,""xxooxoxxxoox""),""Basant"",IF(REGEXMATCH(AT225,""xoxoxxxxoxox""),""Bihag"",IF(REGEXMATCH(AT225,""xoxxxxoxoxxx""),""Pilu"",IF(REGEXMATCH(AT225,""xoxxoxoxxoox""),""Kirwani"",IF(REGEXMATCH(AT"&amp;"225,""xoxxoxoxoxxx""),""Mk.Malhar"",IF(REGEXMATCH(AT225,""xxooxxoxxoox""),""Bhairav"",IF(REGEXMATCH(AT225,""xxoxooxxxoox""),""Todi"",IF(REGEXMATCH(AT225,""xxooxoxooxox""),""Marwa"",IF(REGEXMATCH(AT225,""xxoooxoxxooo""),""Gunkali"",IF(REGEXMATCH(AT225,""xo"&amp;"xoxxoxxoox""),""Nat Bhairav"",IF(REGEXMATCH(AT225,""xoxxoooxoxoo""),""Shivranjani"",IF(REGEXMATCH(AT225,""xooxxxoxooxo""),""Jog"",IF(REGEXMATCH(AT225,""xxooxoxoxoox""),""Hemshri"",IF(REGEXMATCH(AT225,""xoooxooxoxxo""),""Kalavati"",IF(REGEXMATCH(AT225,""xx"&amp;"oxoxxoxoox""),""Kedar"",IF(REGEXMATCH(AT225,""xoxxxxoxooxx""),""Gara"",IF(REGEXMATCH(AT225,""xooxoxooxoox""),""Chandrakauns"",IF(REGEXMATCH(AT225,""xoxxxxoxxxox""),""Mand"",IF(REGEXMATCH(AT225,""xoxxxxoxoxox""),""Hanskinkini"",IF(REGEXMATCH(AT225,""xxooxx"&amp;"oxooxo""),""Lilavati"",IF(REGEXMATCH(AT225,""xooxoxoooxox""),""Rajeshwari"",IF(REGEXMATCH(AT225,""xoooxxoxoxxx""),""Khokar"",IF(REGEXMATCH(AT225,""xxooxoxxxxox""),""Maligoura"",""-""))))))))))))))))))))))))))))))"),"Pilu")</f>
        <v>Pilu</v>
      </c>
      <c r="BG225" s="239" t="str">
        <f t="shared" si="26"/>
        <v>#REF!</v>
      </c>
      <c r="BH225" s="239">
        <f>IFERROR(__xludf.DUMMYFUNCTION("COUNTUNIQUE(FE225:FO225)-1"),8.0)</f>
        <v>8</v>
      </c>
      <c r="BI225" s="239">
        <f>IFERROR(__xludf.DUMMYFUNCTION("COUNTUNIQUE(FILTER(AT:AT,REGEXMATCH(AT:AT,AS225)))-1"),4.0)</f>
        <v>4</v>
      </c>
      <c r="BJ225" s="239">
        <f>IFERROR(__xludf.DUMMYFUNCTION("COUNTA(FILTER(AT:AT,REGEXMATCH(AT:AT,AS225)))"),26.0)</f>
        <v>26</v>
      </c>
      <c r="BK225" s="341">
        <f>IFERROR(__xludf.DUMMYFUNCTION("COUNTA(FILTER(AT:AT,REGEXMATCH(AT:AT,AS225)))-AR225"),26.0)</f>
        <v>26</v>
      </c>
      <c r="BL225" s="276" t="str">
        <f>IFERROR(__xludf.DUMMYFUNCTION("IF(AS225=""oooooooooooo"",""-"",IF(REGEXMATCH(AT225,""xx""), ""Hemi."", ""Anhemi.""))"),"Hemi.")</f>
        <v>Hemi.</v>
      </c>
      <c r="BM225" s="282" t="str">
        <f>IFERROR(__xludf.DUMMYFUNCTION("IF(AS225=""oooooooooooo"",""-"",IF(REGEXMATCH(AT225,""xxx""), ""Cohem."", ""-""))"),"Cohem.")</f>
        <v>Cohem.</v>
      </c>
      <c r="BN225" s="282" t="str">
        <f>IFERROR(__xludf.DUMMYFUNCTION("IF(AS225=""oooooooooooo"",""-"",IF(REGEXMATCH(AT225,""xxxx""), ""Co-Co."", ""-""))"),"Co-Co.")</f>
        <v>Co-Co.</v>
      </c>
      <c r="BO225" s="342" t="str">
        <f>IFERROR(__xludf.DUMMYFUNCTION("IF(AS225=""oooooooooooo"",""-"",IF(REGEXMATCH(AT225,""xxxxx""), ""CCC."", ""-""))"),"-")</f>
        <v>-</v>
      </c>
      <c r="BP225" s="344" t="str">
        <f t="shared" si="27"/>
        <v>-</v>
      </c>
      <c r="BQ225" s="282" t="str">
        <f>IFERROR(__xludf.DUMMYFUNCTION("IF(REGEXMATCH(JOIN(""-"",EU225:FD225),""TRUE""),""✔"",""-"")"),"-")</f>
        <v>-</v>
      </c>
      <c r="BR225" s="225">
        <f t="shared" si="28"/>
        <v>0</v>
      </c>
      <c r="BS225" s="345" t="str">
        <f>IFERROR(__xludf.DUMMYFUNCTION("SUBSTITUTE(SUBSTITUTE(SUBSTITUTE(SUBSTITUTE(CONCATENATE(JOIN(""-"",GC225:GO225)),""--"",""-""),""--"",""-""),""--"",""-""),""--"",""-"")"),"1-2-3-4-#4-5-6-b7-7-8")</f>
        <v>1-2-3-4-#4-5-6-b7-7-8</v>
      </c>
      <c r="BT225" s="299" t="str">
        <f>IFERROR(__xludf.DUMMYFUNCTION("SUBSTITUTE(SUBSTITUTE(SUBSTITUTE(SUBSTITUTE(CONCATENATE(JOIN(""-"",GP225:HB225)),""--"",""-""),""--"",""-""),""--"",""-""),""--"",""-"")"),"S-R2-G3-M1-M2-P-D2-N2-N3-S")</f>
        <v>S-R2-G3-M1-M2-P-D2-N2-N3-S</v>
      </c>
      <c r="BU225" s="348" t="str">
        <f t="shared" si="29"/>
        <v>C-D-E-F-F#-G-A-Bb-B-C</v>
      </c>
      <c r="BV225" s="349" t="str">
        <f t="shared" si="30"/>
        <v>SrgdS</v>
      </c>
      <c r="BW225" s="350">
        <f t="shared" si="31"/>
        <v>0</v>
      </c>
      <c r="BX225" s="351">
        <f t="shared" si="32"/>
        <v>8</v>
      </c>
      <c r="BY225" s="392"/>
      <c r="BZ225" s="309" t="str">
        <f>IFERROR(__xludf.DUMMYFUNCTION("IF(REGEXMATCH(C225, ""S""), ""x"",""x"")"),"x")</f>
        <v>x</v>
      </c>
      <c r="CA225" s="245" t="str">
        <f>IFERROR(__xludf.DUMMYFUNCTION("IF(REGEXMATCH(C225, ""r""), ""o"",""x"")"),"x")</f>
        <v>x</v>
      </c>
      <c r="CB225" s="246" t="str">
        <f>IFERROR(__xludf.DUMMYFUNCTION("IF(REGEXMATCH(C225, ""R""), ""o"",""x"")"),"o")</f>
        <v>o</v>
      </c>
      <c r="CC225" s="246" t="str">
        <f>IFERROR(__xludf.DUMMYFUNCTION("IF(REGEXMATCH(C225, ""g""), ""o"",""x"")"),"x")</f>
        <v>x</v>
      </c>
      <c r="CD225" s="245" t="str">
        <f>IFERROR(__xludf.DUMMYFUNCTION("IF(REGEXMATCH(C225, ""G""), ""o"",""x"")"),"o")</f>
        <v>o</v>
      </c>
      <c r="CE225" s="245" t="str">
        <f>IFERROR(__xludf.DUMMYFUNCTION("IF(REGEXMATCH(C225, ""m""), ""o"",""x"")"),"o")</f>
        <v>o</v>
      </c>
      <c r="CF225" s="246" t="str">
        <f>IFERROR(__xludf.DUMMYFUNCTION("IF(REGEXMATCH(C225, ""M""), ""o"",""x"")"),"o")</f>
        <v>o</v>
      </c>
      <c r="CG225" s="245" t="str">
        <f>IFERROR(__xludf.DUMMYFUNCTION("IF(REGEXMATCH(C225, ""P""), ""o"",""x"")"),"o")</f>
        <v>o</v>
      </c>
      <c r="CH225" s="246" t="str">
        <f>IFERROR(__xludf.DUMMYFUNCTION("IF(REGEXMATCH(C225, ""d""), ""o"",""x"")"),"x")</f>
        <v>x</v>
      </c>
      <c r="CI225" s="245" t="str">
        <f>IFERROR(__xludf.DUMMYFUNCTION("IF(REGEXMATCH(C225, ""D""), ""o"",""x"")"),"o")</f>
        <v>o</v>
      </c>
      <c r="CJ225" s="245" t="str">
        <f>IFERROR(__xludf.DUMMYFUNCTION("IF(REGEXMATCH(C225, ""n""), ""o"",""x"")"),"o")</f>
        <v>o</v>
      </c>
      <c r="CK225" s="245" t="str">
        <f>IFERROR(__xludf.DUMMYFUNCTION("IF(REGEXMATCH(C225, ""N""), ""o"",""x"")"),"o")</f>
        <v>o</v>
      </c>
      <c r="CL225" s="356" t="str">
        <f>IFERROR(__xludf.DUMMYFUNCTION("IF(REGEXMATCH(C225, ""S""), ""x"",""x"")"),"x")</f>
        <v>x</v>
      </c>
      <c r="CM225" s="357" t="str">
        <f t="shared" si="33"/>
        <v>xxoxooooxooo</v>
      </c>
      <c r="CN225" s="358">
        <f t="shared" si="34"/>
        <v>0</v>
      </c>
      <c r="CO225" s="246" t="str">
        <f>IFERROR(__xludf.DUMMYFUNCTION("IF(REGEXMATCH($C225, ""S""), ""S"",""S"")"),"S")</f>
        <v>S</v>
      </c>
      <c r="CP225" s="246" t="str">
        <f>IFERROR(__xludf.DUMMYFUNCTION("IF(REGEXMATCH($C225, ""r""), """",""r"")"),"r")</f>
        <v>r</v>
      </c>
      <c r="CQ225" s="246" t="str">
        <f>IFERROR(__xludf.DUMMYFUNCTION("IF(REGEXMATCH($C225, ""R""), """",""R"")"),"")</f>
        <v/>
      </c>
      <c r="CR225" s="246" t="str">
        <f>IFERROR(__xludf.DUMMYFUNCTION("IF(REGEXMATCH($C225, ""g""), """",""g"")"),"g")</f>
        <v>g</v>
      </c>
      <c r="CS225" s="246" t="str">
        <f>IFERROR(__xludf.DUMMYFUNCTION("IF(REGEXMATCH($C225, ""G""), """",""G"")"),"")</f>
        <v/>
      </c>
      <c r="CT225" s="246" t="str">
        <f>IFERROR(__xludf.DUMMYFUNCTION("IF(REGEXMATCH($C225, ""m""), """",""m"")"),"")</f>
        <v/>
      </c>
      <c r="CU225" s="246" t="str">
        <f>IFERROR(__xludf.DUMMYFUNCTION("IF(REGEXMATCH($C225, ""M""), """",""M"")"),"")</f>
        <v/>
      </c>
      <c r="CV225" s="246" t="str">
        <f>IFERROR(__xludf.DUMMYFUNCTION("IF(REGEXMATCH($C225, ""P""), """",""P"")"),"")</f>
        <v/>
      </c>
      <c r="CW225" s="246" t="str">
        <f>IFERROR(__xludf.DUMMYFUNCTION("IF(REGEXMATCH($C225, ""d""), """",""d"")"),"d")</f>
        <v>d</v>
      </c>
      <c r="CX225" s="246" t="str">
        <f>IFERROR(__xludf.DUMMYFUNCTION("IF(REGEXMATCH($C225, ""D""), """",""D"")"),"")</f>
        <v/>
      </c>
      <c r="CY225" s="246" t="str">
        <f>IFERROR(__xludf.DUMMYFUNCTION("IF(REGEXMATCH($C225, ""n""), """",""n"")"),"")</f>
        <v/>
      </c>
      <c r="CZ225" s="246" t="str">
        <f>IFERROR(__xludf.DUMMYFUNCTION("IF(REGEXMATCH($C225, ""N""), """",""N"")"),"")</f>
        <v/>
      </c>
      <c r="DA225" s="246" t="str">
        <f>IFERROR(__xludf.DUMMYFUNCTION("IF(REGEXMATCH($C225, ""S""), ""S"",""S"")"),"S")</f>
        <v>S</v>
      </c>
      <c r="DB225" s="362" t="str">
        <f>IFERROR(__xludf.DUMMYFUNCTION("JOIN("""",CO225:DA225,"""","""")"),"SrgdS")</f>
        <v>SrgdS</v>
      </c>
      <c r="DC225" s="363"/>
      <c r="DD225" s="301" t="str">
        <f t="shared" si="35"/>
        <v>#REF!</v>
      </c>
      <c r="DE225" s="302" t="str">
        <f t="shared" si="36"/>
        <v>#REF!</v>
      </c>
      <c r="DF225" s="301" t="str">
        <f t="shared" ref="DF225:DG225" si="667">SUBSTITUTE(S225,"-","")</f>
        <v>SRGM</v>
      </c>
      <c r="DG225" s="301" t="str">
        <f t="shared" si="667"/>
        <v>PDNS</v>
      </c>
      <c r="DH225" s="302" t="str">
        <f t="shared" si="38"/>
        <v>Pilu</v>
      </c>
      <c r="DI225" s="301" t="str">
        <f t="shared" si="39"/>
        <v>Hemi.</v>
      </c>
      <c r="DJ225" s="364" t="str">
        <f t="shared" si="40"/>
        <v>Co-Co.</v>
      </c>
      <c r="DK225" s="306" t="str">
        <f t="shared" si="41"/>
        <v>-</v>
      </c>
      <c r="DL225" s="366" t="str">
        <f t="shared" si="42"/>
        <v>-</v>
      </c>
      <c r="DM225" s="308" t="str">
        <f t="shared" si="43"/>
        <v>✔</v>
      </c>
      <c r="DN225" s="306" t="str">
        <f t="shared" si="44"/>
        <v>-</v>
      </c>
      <c r="DO225" s="306" t="str">
        <f t="shared" si="45"/>
        <v>-</v>
      </c>
      <c r="DP225" s="367" t="str">
        <f t="shared" si="46"/>
        <v>-</v>
      </c>
      <c r="DQ225" s="310" t="str">
        <f t="shared" si="47"/>
        <v>-</v>
      </c>
      <c r="DR225" s="310" t="str">
        <f t="shared" si="48"/>
        <v>-</v>
      </c>
      <c r="DS225" s="310" t="str">
        <f t="shared" si="49"/>
        <v>✔</v>
      </c>
      <c r="DT225" s="310" t="str">
        <f t="shared" si="50"/>
        <v>-</v>
      </c>
      <c r="DU225" s="370" t="str">
        <f t="shared" si="51"/>
        <v>✔</v>
      </c>
      <c r="DV225" s="306" t="str">
        <f t="shared" si="52"/>
        <v>-</v>
      </c>
      <c r="DW225" s="306" t="str">
        <f t="shared" si="53"/>
        <v>-</v>
      </c>
      <c r="DX225" s="306" t="str">
        <f t="shared" si="54"/>
        <v>-</v>
      </c>
      <c r="DY225" s="306" t="str">
        <f t="shared" si="55"/>
        <v>-</v>
      </c>
      <c r="DZ225" s="306" t="str">
        <f t="shared" si="56"/>
        <v>-</v>
      </c>
      <c r="EA225" s="367" t="str">
        <f t="shared" si="57"/>
        <v>-</v>
      </c>
      <c r="EB225" s="310" t="str">
        <f>IFERROR(__xludf.DUMMYFUNCTION("IF(REGEXMATCH(AW225,AS225),""✔"",""-"")"),"✔")</f>
        <v>✔</v>
      </c>
      <c r="EC225" s="310" t="str">
        <f t="shared" si="58"/>
        <v>#REF!</v>
      </c>
      <c r="ED225" s="370" t="str">
        <f t="shared" si="59"/>
        <v>-</v>
      </c>
      <c r="EE225" s="340" t="str">
        <f t="shared" si="60"/>
        <v>S-R-G-mM-P-D-nN-S</v>
      </c>
      <c r="EF225" s="371" t="str">
        <f>IFERROR(__xludf.DUMMYFUNCTION("CONCATENATE(JOIN("""",HC225:HO225))"),"SrRgmMPdnS")</f>
        <v>SrRgmMPdnS</v>
      </c>
      <c r="EG225" s="372">
        <f t="shared" si="61"/>
        <v>1</v>
      </c>
      <c r="EH225" s="373" t="str">
        <f>IFERROR(__xludf.DUMMYFUNCTION("CONCATENATE(JOIN("""",JC225:JO225))"),"Ma, ")</f>
        <v>Ma, </v>
      </c>
      <c r="EI225" s="322">
        <f t="shared" si="62"/>
        <v>0</v>
      </c>
      <c r="EJ225" s="374" t="str">
        <f>IFERROR(__xludf.DUMMYFUNCTION("CONCATENATE(JOIN("""",KC225:KO225))"),"")</f>
        <v/>
      </c>
      <c r="EK225" s="325" t="str">
        <f t="shared" si="63"/>
        <v>S-R2-G3-M1-M2-P-D2-N2-N3-S</v>
      </c>
      <c r="EL225" s="326" t="str">
        <f t="shared" si="64"/>
        <v>1-2-3-4-#4-5-6-b7-7-8</v>
      </c>
      <c r="EM225" s="318" t="str">
        <f t="shared" si="65"/>
        <v>#REF!</v>
      </c>
      <c r="EN225" s="328" t="str">
        <f>IFERROR(__xludf.DUMMYFUNCTION("SUBSTITUTE(SUBSTITUTE(SUBSTITUTE(SUBSTITUTE(CONCATENATE(JOIN("" "",HP225:IB225)),""  "","" ""),""  "","" ""),""  "","" ""),""  "","" "")"),"o • o • o o o o • o o o o")</f>
        <v>o • o • o o o o • o o o o</v>
      </c>
      <c r="EO225" s="368" t="str">
        <f t="shared" si="66"/>
        <v>-</v>
      </c>
      <c r="EP225" s="339" t="str">
        <f t="shared" si="67"/>
        <v>-</v>
      </c>
      <c r="EQ225" s="339" t="str">
        <f t="shared" si="68"/>
        <v>Sa-Pa</v>
      </c>
      <c r="ER225" s="339" t="str">
        <f t="shared" si="69"/>
        <v>-</v>
      </c>
      <c r="ES225" s="340" t="str">
        <f t="shared" si="70"/>
        <v>-</v>
      </c>
      <c r="ET225" s="363"/>
      <c r="EU225" s="376" t="b">
        <f>IFERROR(__xludf.DUMMYFUNCTION("arrayformula(sum(--REGEXMATCH(""SRGMPDNS"",split(REGEXREPLACE(C225,""(.)"",""$1~""),""~""))))=len(C225)
"),FALSE)</f>
        <v>0</v>
      </c>
      <c r="EV225" s="290" t="b">
        <f>IFERROR(__xludf.DUMMYFUNCTION("arrayformula(sum(--REGEXMATCH(""SRGmPDNS"",split(REGEXREPLACE(C225,""(.)"",""$1~""),""~""))))=len(C225)"),FALSE)</f>
        <v>0</v>
      </c>
      <c r="EW225" s="290" t="b">
        <f>IFERROR(__xludf.DUMMYFUNCTION("arrayformula(sum(--REGEXMATCH(""SRGmPDnS"",split(REGEXREPLACE(C225,""(.)"",""$1~""),""~""))))=len(C225)"),FALSE)</f>
        <v>0</v>
      </c>
      <c r="EX225" s="290" t="b">
        <f>IFERROR(__xludf.DUMMYFUNCTION("arrayformula(sum(--REGEXMATCH(""SRgmPDnS"",split(REGEXREPLACE(C225,""(.)"",""$1~""),""~""))))=len(C225)"),FALSE)</f>
        <v>0</v>
      </c>
      <c r="EY225" s="290" t="b">
        <f>IFERROR(__xludf.DUMMYFUNCTION("arrayformula(sum(--REGEXMATCH(""SRgmPdnS"",split(REGEXREPLACE(C225,""(.)"",""$1~""),""~""))))=len(C225)"),FALSE)</f>
        <v>0</v>
      </c>
      <c r="EZ225" s="290" t="b">
        <f>IFERROR(__xludf.DUMMYFUNCTION("arrayformula(sum(--REGEXMATCH(""SrgmPdnS"",split(REGEXREPLACE(C225,""(.)"",""$1~""),""~""))))=len(C225)"),FALSE)</f>
        <v>0</v>
      </c>
      <c r="FA225" s="290" t="b">
        <f>IFERROR(__xludf.DUMMYFUNCTION("arrayformula(sum(--REGEXMATCH(""SrGmPdNS"",split(REGEXREPLACE(C225,""(.)"",""$1~""),""~""))))=len(C225)"),FALSE)</f>
        <v>0</v>
      </c>
      <c r="FB225" s="290" t="b">
        <f>IFERROR(__xludf.DUMMYFUNCTION("arrayformula(sum(--REGEXMATCH(""SrGMPDNS"",split(REGEXREPLACE(C225,""(.)"",""$1~""),""~""))))=len(C225)"),FALSE)</f>
        <v>0</v>
      </c>
      <c r="FC225" s="290" t="b">
        <f>IFERROR(__xludf.DUMMYFUNCTION("arrayformula(sum(--REGEXMATCH(""SrGMPdNS"",split(REGEXREPLACE(C225,""(.)"",""$1~""),""~""))))=len(C225)"),FALSE)</f>
        <v>0</v>
      </c>
      <c r="FD225" s="377" t="b">
        <f>IFERROR(__xludf.DUMMYFUNCTION("arrayformula(sum(--REGEXMATCH(""SrgMPdNS"",split(REGEXREPLACE(C225,""(.)"",""$1~""),""~""))))=len(C225)"),FALSE)</f>
        <v>0</v>
      </c>
      <c r="FE225" s="269" t="str">
        <f t="shared" si="71"/>
        <v>-</v>
      </c>
      <c r="FF225" s="269" t="str">
        <f t="shared" si="72"/>
        <v>xoxxxxoxxxx</v>
      </c>
      <c r="FG225" s="271" t="str">
        <f t="shared" si="73"/>
        <v>-</v>
      </c>
      <c r="FH225" s="269" t="str">
        <f t="shared" si="74"/>
        <v>xxxxoxxxxox</v>
      </c>
      <c r="FI225" s="271" t="str">
        <f t="shared" si="75"/>
        <v>xxxoxxxxoxo</v>
      </c>
      <c r="FJ225" s="271" t="str">
        <f t="shared" si="76"/>
        <v>xxoxxxxoxox</v>
      </c>
      <c r="FK225" s="271" t="str">
        <f t="shared" si="77"/>
        <v>xoxxxxoxoxx</v>
      </c>
      <c r="FL225" s="271" t="str">
        <f t="shared" si="78"/>
        <v>-</v>
      </c>
      <c r="FM225" s="271" t="str">
        <f t="shared" si="79"/>
        <v>xxxxoxoxxxx</v>
      </c>
      <c r="FN225" s="271" t="str">
        <f t="shared" si="80"/>
        <v>xxxoxoxxxxo</v>
      </c>
      <c r="FO225" s="274" t="str">
        <f t="shared" si="81"/>
        <v>xxoxoxxxxox</v>
      </c>
      <c r="FP225" s="234" t="str">
        <f t="shared" si="82"/>
        <v>|</v>
      </c>
      <c r="FQ225" s="236" t="str">
        <f t="shared" si="83"/>
        <v>-</v>
      </c>
      <c r="FR225" s="237" t="str">
        <f t="shared" si="84"/>
        <v>|</v>
      </c>
      <c r="FS225" s="236" t="str">
        <f t="shared" si="85"/>
        <v>-</v>
      </c>
      <c r="FT225" s="237" t="str">
        <f t="shared" si="86"/>
        <v>|</v>
      </c>
      <c r="FU225" s="236" t="str">
        <f t="shared" si="87"/>
        <v>|</v>
      </c>
      <c r="FV225" s="237" t="str">
        <f t="shared" si="88"/>
        <v>|</v>
      </c>
      <c r="FW225" s="236" t="str">
        <f t="shared" si="89"/>
        <v>|</v>
      </c>
      <c r="FX225" s="237" t="str">
        <f t="shared" si="90"/>
        <v>-</v>
      </c>
      <c r="FY225" s="236" t="str">
        <f t="shared" si="91"/>
        <v>|</v>
      </c>
      <c r="FZ225" s="237" t="str">
        <f t="shared" si="92"/>
        <v>|</v>
      </c>
      <c r="GA225" s="236" t="str">
        <f t="shared" si="93"/>
        <v>|</v>
      </c>
      <c r="GB225" s="238" t="str">
        <f t="shared" si="94"/>
        <v>|</v>
      </c>
      <c r="GC225" s="244" t="str">
        <f>IFERROR(__xludf.DUMMYFUNCTION("IF(REGEXMATCH(C225, ""S""), ""1"","""")"),"1")</f>
        <v>1</v>
      </c>
      <c r="GD225" s="245" t="str">
        <f>IFERROR(__xludf.DUMMYFUNCTION("IF(REGEXMATCH(C225, ""r""), ""b2"","""")"),"")</f>
        <v/>
      </c>
      <c r="GE225" s="246" t="str">
        <f>IFERROR(__xludf.DUMMYFUNCTION("IF(REGEXMATCH(C225, ""R""), ""2"","""")"),"2")</f>
        <v>2</v>
      </c>
      <c r="GF225" s="246" t="str">
        <f>IFERROR(__xludf.DUMMYFUNCTION("IF(REGEXMATCH(C225, ""g""), ""b3"","""")"),"")</f>
        <v/>
      </c>
      <c r="GG225" s="245" t="str">
        <f>IFERROR(__xludf.DUMMYFUNCTION("IF(REGEXMATCH(C225, ""G""), ""3"","""")"),"3")</f>
        <v>3</v>
      </c>
      <c r="GH225" s="245" t="str">
        <f>IFERROR(__xludf.DUMMYFUNCTION("IF(REGEXMATCH(C225, ""m""), ""4"","""")"),"4")</f>
        <v>4</v>
      </c>
      <c r="GI225" s="246" t="str">
        <f>IFERROR(__xludf.DUMMYFUNCTION("IF(REGEXMATCH(C225, ""M""), ""#4"","""")"),"#4")</f>
        <v>#4</v>
      </c>
      <c r="GJ225" s="245" t="str">
        <f>IFERROR(__xludf.DUMMYFUNCTION("IF(REGEXMATCH(C225, ""P""), ""5"","""")"),"5")</f>
        <v>5</v>
      </c>
      <c r="GK225" s="246" t="str">
        <f>IFERROR(__xludf.DUMMYFUNCTION("IF(REGEXMATCH(C225, ""d""), ""b6"","""")"),"")</f>
        <v/>
      </c>
      <c r="GL225" s="245" t="str">
        <f>IFERROR(__xludf.DUMMYFUNCTION("IF(REGEXMATCH(C225, ""D""), ""6"","""")"),"6")</f>
        <v>6</v>
      </c>
      <c r="GM225" s="245" t="str">
        <f>IFERROR(__xludf.DUMMYFUNCTION("IF(REGEXMATCH(C225, ""n""), ""b7"","""")"),"b7")</f>
        <v>b7</v>
      </c>
      <c r="GN225" s="246" t="str">
        <f>IFERROR(__xludf.DUMMYFUNCTION("IF(REGEXMATCH(C225, ""N""), ""7"","""")"),"7")</f>
        <v>7</v>
      </c>
      <c r="GO225" s="249" t="str">
        <f>IFERROR(__xludf.DUMMYFUNCTION("IF(REGEXMATCH(C225, ""S""), ""8"","""")"),"8")</f>
        <v>8</v>
      </c>
      <c r="GP225" s="244" t="str">
        <f>IFERROR(__xludf.DUMMYFUNCTION("IF(REGEXMATCH(C225, ""S""), ""S"","""")"),"S")</f>
        <v>S</v>
      </c>
      <c r="GQ225" s="294" t="str">
        <f>IFERROR(__xludf.DUMMYFUNCTION("IF(REGEXMATCH(C225, ""r""), ""R1"","""")"),"")</f>
        <v/>
      </c>
      <c r="GR225" s="295" t="str">
        <f>IFERROR(__xludf.DUMMYFUNCTION("IF(REGEXMATCH(C225, ""R""), ""R2"","""")"),"R2")</f>
        <v>R2</v>
      </c>
      <c r="GS225" s="295" t="str">
        <f>IFERROR(__xludf.DUMMYFUNCTION("IF(REGEXMATCH(C225, ""g""), ""G2"","""")"),"")</f>
        <v/>
      </c>
      <c r="GT225" s="294" t="str">
        <f>IFERROR(__xludf.DUMMYFUNCTION("IF(REGEXMATCH(C225, ""G""), ""G3"","""")"),"G3")</f>
        <v>G3</v>
      </c>
      <c r="GU225" s="294" t="str">
        <f>IFERROR(__xludf.DUMMYFUNCTION("IF(REGEXMATCH(C225, ""m""), ""M1"","""")"),"M1")</f>
        <v>M1</v>
      </c>
      <c r="GV225" s="295" t="str">
        <f>IFERROR(__xludf.DUMMYFUNCTION("IF(REGEXMATCH(C225, ""M""), ""M2"","""")"),"M2")</f>
        <v>M2</v>
      </c>
      <c r="GW225" s="294" t="str">
        <f>IFERROR(__xludf.DUMMYFUNCTION("IF(REGEXMATCH(C225, ""P""), ""P"","""")"),"P")</f>
        <v>P</v>
      </c>
      <c r="GX225" s="295" t="str">
        <f>IFERROR(__xludf.DUMMYFUNCTION("IF(REGEXMATCH(C225, ""d""), ""D1"","""")"),"")</f>
        <v/>
      </c>
      <c r="GY225" s="294" t="str">
        <f>IFERROR(__xludf.DUMMYFUNCTION("IF(REGEXMATCH(C225, ""D""), ""D2"","""")"),"D2")</f>
        <v>D2</v>
      </c>
      <c r="GZ225" s="294" t="str">
        <f>IFERROR(__xludf.DUMMYFUNCTION("IF(REGEXMATCH(C225, ""n""), ""N2"","""")"),"N2")</f>
        <v>N2</v>
      </c>
      <c r="HA225" s="295" t="str">
        <f>IFERROR(__xludf.DUMMYFUNCTION("IF(REGEXMATCH(C225, ""N""), ""N3"","""")"),"N3")</f>
        <v>N3</v>
      </c>
      <c r="HB225" s="249" t="str">
        <f>IFERROR(__xludf.DUMMYFUNCTION("IF(REGEXMATCH(C225, ""S""), ""S"","""")"),"S")</f>
        <v>S</v>
      </c>
      <c r="HC225" s="331" t="str">
        <f t="shared" si="95"/>
        <v>S</v>
      </c>
      <c r="HD225" s="332" t="str">
        <f t="shared" si="96"/>
        <v>r</v>
      </c>
      <c r="HE225" s="332" t="str">
        <f t="shared" si="97"/>
        <v>R</v>
      </c>
      <c r="HF225" s="332" t="str">
        <f t="shared" si="98"/>
        <v>g</v>
      </c>
      <c r="HG225" s="332" t="str">
        <f t="shared" si="99"/>
        <v/>
      </c>
      <c r="HH225" s="332" t="str">
        <f t="shared" si="100"/>
        <v>m</v>
      </c>
      <c r="HI225" s="332" t="str">
        <f t="shared" si="101"/>
        <v>M</v>
      </c>
      <c r="HJ225" s="332" t="str">
        <f t="shared" si="102"/>
        <v>P</v>
      </c>
      <c r="HK225" s="332" t="str">
        <f t="shared" si="103"/>
        <v>d</v>
      </c>
      <c r="HL225" s="332" t="str">
        <f t="shared" si="104"/>
        <v/>
      </c>
      <c r="HM225" s="332" t="str">
        <f t="shared" si="105"/>
        <v>n</v>
      </c>
      <c r="HN225" s="332" t="str">
        <f t="shared" si="106"/>
        <v/>
      </c>
      <c r="HO225" s="343" t="str">
        <f t="shared" si="107"/>
        <v>S</v>
      </c>
      <c r="HP225" s="331" t="str">
        <f t="shared" si="108"/>
        <v>o</v>
      </c>
      <c r="HQ225" s="332" t="str">
        <f t="shared" si="109"/>
        <v>•</v>
      </c>
      <c r="HR225" s="332" t="str">
        <f t="shared" si="110"/>
        <v>o</v>
      </c>
      <c r="HS225" s="332" t="str">
        <f t="shared" si="111"/>
        <v>•</v>
      </c>
      <c r="HT225" s="332" t="str">
        <f t="shared" si="112"/>
        <v>o</v>
      </c>
      <c r="HU225" s="332" t="str">
        <f t="shared" si="113"/>
        <v>o</v>
      </c>
      <c r="HV225" s="332" t="str">
        <f t="shared" si="114"/>
        <v>o</v>
      </c>
      <c r="HW225" s="332" t="str">
        <f t="shared" si="115"/>
        <v>o</v>
      </c>
      <c r="HX225" s="332" t="str">
        <f t="shared" si="116"/>
        <v>•</v>
      </c>
      <c r="HY225" s="332" t="str">
        <f t="shared" si="117"/>
        <v>o</v>
      </c>
      <c r="HZ225" s="332" t="str">
        <f t="shared" si="118"/>
        <v>o</v>
      </c>
      <c r="IA225" s="332" t="str">
        <f t="shared" si="119"/>
        <v>o</v>
      </c>
      <c r="IB225" s="338" t="str">
        <f t="shared" si="120"/>
        <v>o</v>
      </c>
      <c r="IC225" s="331" t="str">
        <f t="shared" si="121"/>
        <v>•</v>
      </c>
      <c r="ID225" s="332" t="str">
        <f t="shared" si="122"/>
        <v>o</v>
      </c>
      <c r="IE225" s="332" t="str">
        <f t="shared" si="123"/>
        <v>•</v>
      </c>
      <c r="IF225" s="332" t="str">
        <f t="shared" si="124"/>
        <v>o</v>
      </c>
      <c r="IG225" s="332" t="str">
        <f t="shared" si="125"/>
        <v>•</v>
      </c>
      <c r="IH225" s="332" t="str">
        <f t="shared" si="126"/>
        <v>•</v>
      </c>
      <c r="II225" s="332" t="str">
        <f t="shared" si="127"/>
        <v>•</v>
      </c>
      <c r="IJ225" s="332" t="str">
        <f t="shared" si="128"/>
        <v>•</v>
      </c>
      <c r="IK225" s="332" t="str">
        <f t="shared" si="129"/>
        <v>o</v>
      </c>
      <c r="IL225" s="332" t="str">
        <f t="shared" si="130"/>
        <v>•</v>
      </c>
      <c r="IM225" s="332" t="str">
        <f t="shared" si="131"/>
        <v>•</v>
      </c>
      <c r="IN225" s="332" t="str">
        <f t="shared" si="132"/>
        <v>•</v>
      </c>
      <c r="IO225" s="338" t="str">
        <f t="shared" si="133"/>
        <v>•</v>
      </c>
      <c r="IP225" s="346" t="b">
        <f t="shared" si="134"/>
        <v>0</v>
      </c>
      <c r="IQ225" s="347" t="b">
        <f t="shared" si="135"/>
        <v>0</v>
      </c>
      <c r="IR225" s="347" t="b">
        <f t="shared" si="136"/>
        <v>0</v>
      </c>
      <c r="IS225" s="347" t="b">
        <f t="shared" si="137"/>
        <v>0</v>
      </c>
      <c r="IT225" s="347" t="b">
        <f t="shared" si="138"/>
        <v>0</v>
      </c>
      <c r="IU225" s="347" t="b">
        <f t="shared" si="139"/>
        <v>0</v>
      </c>
      <c r="IV225" s="347" t="b">
        <f t="shared" si="140"/>
        <v>1</v>
      </c>
      <c r="IW225" s="347" t="b">
        <f t="shared" si="141"/>
        <v>0</v>
      </c>
      <c r="IX225" s="347" t="b">
        <f t="shared" si="142"/>
        <v>0</v>
      </c>
      <c r="IY225" s="347" t="b">
        <f t="shared" si="143"/>
        <v>0</v>
      </c>
      <c r="IZ225" s="347" t="b">
        <f t="shared" si="144"/>
        <v>0</v>
      </c>
      <c r="JA225" s="347" t="b">
        <f t="shared" si="145"/>
        <v>0</v>
      </c>
      <c r="JB225" s="353" t="b">
        <f t="shared" si="146"/>
        <v>0</v>
      </c>
      <c r="JC225" s="354" t="str">
        <f t="shared" si="147"/>
        <v/>
      </c>
      <c r="JD225" s="355" t="str">
        <f t="shared" si="148"/>
        <v/>
      </c>
      <c r="JE225" s="355" t="str">
        <f t="shared" si="149"/>
        <v/>
      </c>
      <c r="JF225" s="355" t="str">
        <f t="shared" si="150"/>
        <v/>
      </c>
      <c r="JG225" s="355" t="str">
        <f t="shared" si="151"/>
        <v/>
      </c>
      <c r="JH225" s="355" t="str">
        <f t="shared" si="152"/>
        <v/>
      </c>
      <c r="JI225" s="355" t="str">
        <f t="shared" si="153"/>
        <v>Ma, </v>
      </c>
      <c r="JJ225" s="355" t="str">
        <f t="shared" si="154"/>
        <v/>
      </c>
      <c r="JK225" s="355" t="str">
        <f t="shared" si="155"/>
        <v/>
      </c>
      <c r="JL225" s="355" t="str">
        <f t="shared" si="156"/>
        <v/>
      </c>
      <c r="JM225" s="355" t="str">
        <f t="shared" si="157"/>
        <v/>
      </c>
      <c r="JN225" s="355" t="str">
        <f t="shared" si="158"/>
        <v/>
      </c>
      <c r="JO225" s="359" t="str">
        <f t="shared" si="159"/>
        <v/>
      </c>
      <c r="JP225" s="346" t="b">
        <f t="shared" si="160"/>
        <v>0</v>
      </c>
      <c r="JQ225" s="347" t="b">
        <f t="shared" si="161"/>
        <v>0</v>
      </c>
      <c r="JR225" s="347" t="b">
        <f t="shared" si="162"/>
        <v>0</v>
      </c>
      <c r="JS225" s="347" t="b">
        <f t="shared" si="163"/>
        <v>0</v>
      </c>
      <c r="JT225" s="347" t="b">
        <f t="shared" si="164"/>
        <v>0</v>
      </c>
      <c r="JU225" s="347" t="b">
        <f t="shared" si="165"/>
        <v>0</v>
      </c>
      <c r="JV225" s="347" t="b">
        <f t="shared" si="166"/>
        <v>0</v>
      </c>
      <c r="JW225" s="347" t="b">
        <f t="shared" si="167"/>
        <v>0</v>
      </c>
      <c r="JX225" s="347" t="b">
        <f t="shared" si="168"/>
        <v>0</v>
      </c>
      <c r="JY225" s="347" t="b">
        <f t="shared" si="169"/>
        <v>0</v>
      </c>
      <c r="JZ225" s="347" t="b">
        <f t="shared" si="170"/>
        <v>0</v>
      </c>
      <c r="KA225" s="347" t="b">
        <f t="shared" si="171"/>
        <v>0</v>
      </c>
      <c r="KB225" s="365" t="b">
        <f t="shared" si="172"/>
        <v>0</v>
      </c>
      <c r="KC225" s="354" t="str">
        <f t="shared" si="173"/>
        <v/>
      </c>
      <c r="KD225" s="355" t="str">
        <f t="shared" si="174"/>
        <v/>
      </c>
      <c r="KE225" s="355" t="str">
        <f t="shared" si="175"/>
        <v/>
      </c>
      <c r="KF225" s="355" t="str">
        <f t="shared" si="176"/>
        <v/>
      </c>
      <c r="KG225" s="355" t="str">
        <f t="shared" si="177"/>
        <v/>
      </c>
      <c r="KH225" s="355" t="str">
        <f t="shared" si="178"/>
        <v/>
      </c>
      <c r="KI225" s="355" t="str">
        <f t="shared" si="179"/>
        <v/>
      </c>
      <c r="KJ225" s="355" t="str">
        <f t="shared" si="180"/>
        <v/>
      </c>
      <c r="KK225" s="355" t="str">
        <f t="shared" si="181"/>
        <v/>
      </c>
      <c r="KL225" s="355" t="str">
        <f t="shared" si="182"/>
        <v/>
      </c>
      <c r="KM225" s="355" t="str">
        <f t="shared" si="183"/>
        <v/>
      </c>
      <c r="KN225" s="355" t="str">
        <f t="shared" si="184"/>
        <v/>
      </c>
      <c r="KO225" s="359"/>
      <c r="KP225" s="378"/>
      <c r="KQ225" s="379" t="s">
        <v>9</v>
      </c>
      <c r="KR225" s="380" t="s">
        <v>9</v>
      </c>
      <c r="KS225" s="381" t="s">
        <v>9</v>
      </c>
      <c r="KT225" s="382">
        <f t="shared" si="186"/>
        <v>0</v>
      </c>
      <c r="KU225" s="383">
        <f t="shared" si="187"/>
        <v>0</v>
      </c>
      <c r="KV225" s="381" t="str">
        <f t="shared" si="205"/>
        <v>S</v>
      </c>
      <c r="KW225" s="382">
        <f t="shared" si="189"/>
        <v>0</v>
      </c>
      <c r="KX225" s="384">
        <f t="shared" si="190"/>
        <v>0</v>
      </c>
      <c r="KY225" s="382">
        <f t="shared" ref="KY225:KZ225" si="668">KW225-KT225</f>
        <v>0</v>
      </c>
      <c r="KZ225" s="369">
        <f t="shared" si="668"/>
        <v>0</v>
      </c>
      <c r="LA225" s="385" t="str">
        <f t="shared" si="192"/>
        <v>✔</v>
      </c>
      <c r="LB225" s="340" t="str">
        <f>IFERROR(__xludf.DUMMYFUNCTION("JOIN("""",ArrayFormula(MID(KS225,LEN(KS225)-SEQUENCE(1,LEN(KS225))+1,1)))"),"S")</f>
        <v>S</v>
      </c>
      <c r="LC225" s="373" t="str">
        <f>IFERROR(__xludf.DUMMYFUNCTION("JOIN("""",ArrayFormula(MID(KV225,LEN(KV225)-SEQUENCE(1,LEN(KV225))+1,1)))"),"S")</f>
        <v>S</v>
      </c>
      <c r="LD225" s="373" t="str">
        <f t="shared" si="193"/>
        <v>S</v>
      </c>
      <c r="LE225" s="339" t="str">
        <f t="shared" si="194"/>
        <v>S</v>
      </c>
      <c r="LF225" s="386" t="str">
        <f>IFERROR(__xludf.DUMMYFUNCTION("SUBSTITUTE(SUBSTITUTE(CONCATENATE(JOIN("""",LH225:LT225)),""1"",""""),""2"","""")"),"SS")</f>
        <v>SS</v>
      </c>
      <c r="LG225" s="369" t="str">
        <f t="shared" si="195"/>
        <v>-</v>
      </c>
      <c r="LH225" s="387" t="str">
        <f>IFERROR(__xludf.DUMMYFUNCTION("IF(REGEXMATCH(LD225, ""S""), ""S"",IF(REGEXMATCH(LE225, ""S""), ""S"",""""))"),"S")</f>
        <v>S</v>
      </c>
      <c r="LI225" s="299" t="str">
        <f>IFERROR(__xludf.DUMMYFUNCTION("IF(REGEXMATCH(LD225, ""r""), ""r1"",IF(REGEXMATCH(LE225, ""r""), ""r2"",""""))"),"")</f>
        <v/>
      </c>
      <c r="LJ225" s="299" t="str">
        <f>IFERROR(__xludf.DUMMYFUNCTION("IF(REGEXMATCH(LD225, ""R""), ""R1"",IF(REGEXMATCH(LE225, ""R""), ""R2"",""""))"),"")</f>
        <v/>
      </c>
      <c r="LK225" s="299" t="str">
        <f>IFERROR(__xludf.DUMMYFUNCTION("IF(REGEXMATCH(LD225, ""g""), ""g1"",IF(REGEXMATCH(LE225, ""g""), ""g2"",""""))"),"")</f>
        <v/>
      </c>
      <c r="LL225" s="299" t="str">
        <f>IFERROR(__xludf.DUMMYFUNCTION("IF(REGEXMATCH(LD225, ""G""), ""G1"",IF(REGEXMATCH(LE225, ""G""), ""G2"",""""))"),"")</f>
        <v/>
      </c>
      <c r="LM225" s="299" t="str">
        <f>IFERROR(__xludf.DUMMYFUNCTION("IF(REGEXMATCH(LD225, ""m""), ""m1"",IF(REGEXMATCH(LE225, ""m""), ""m2"",""""))"),"")</f>
        <v/>
      </c>
      <c r="LN225" s="299" t="str">
        <f>IFERROR(__xludf.DUMMYFUNCTION("IF(REGEXMATCH(LD225, ""M""), ""M1"",IF(REGEXMATCH(LE225, ""M""), ""M2"",""""))"),"")</f>
        <v/>
      </c>
      <c r="LO225" s="299" t="str">
        <f>IFERROR(__xludf.DUMMYFUNCTION("IF(REGEXMATCH(LD225, ""P""), ""P1"",IF(REGEXMATCH(LE225, ""P""), ""P2"",""""))"),"")</f>
        <v/>
      </c>
      <c r="LP225" s="299" t="str">
        <f>IFERROR(__xludf.DUMMYFUNCTION("IF(REGEXMATCH(LD225, ""d""), ""d1"",IF(REGEXMATCH(LE225, ""d""), ""d2"",""""))"),"")</f>
        <v/>
      </c>
      <c r="LQ225" s="299" t="str">
        <f>IFERROR(__xludf.DUMMYFUNCTION("IF(REGEXMATCH(LD225, ""D""), ""D1"",IF(REGEXMATCH(LE225, ""D""), ""D2"",""""))"),"")</f>
        <v/>
      </c>
      <c r="LR225" s="299" t="str">
        <f>IFERROR(__xludf.DUMMYFUNCTION("IF(REGEXMATCH(LD225, ""n""), ""n1"",IF(REGEXMATCH(LE225, ""n""), ""n2"",""""))"),"")</f>
        <v/>
      </c>
      <c r="LS225" s="299" t="str">
        <f>IFERROR(__xludf.DUMMYFUNCTION("IF(REGEXMATCH(LD225, ""N""), ""N1"",IF(REGEXMATCH(LE225, ""N""), ""N2"",""""))"),"")</f>
        <v/>
      </c>
      <c r="LT225" s="388" t="str">
        <f>IFERROR(__xludf.DUMMYFUNCTION("IF(REGEXMATCH(LD225, ""S""), ""S"",IF(REGEXMATCH(LE225, ""S""), ""S"",""""))"),"S")</f>
        <v>S</v>
      </c>
      <c r="LU225" s="389">
        <f t="shared" si="196"/>
        <v>1</v>
      </c>
      <c r="LV225" s="378"/>
      <c r="LW225" s="369"/>
      <c r="LX225" s="369"/>
    </row>
    <row r="226" ht="18.0" customHeight="1">
      <c r="A226" s="298" t="s">
        <v>978</v>
      </c>
      <c r="B226" s="222" t="s">
        <v>554</v>
      </c>
      <c r="C226" s="233" t="str">
        <f t="shared" si="7"/>
        <v>SRGmPDNS</v>
      </c>
      <c r="D226" s="234" t="str">
        <f>IFERROR(__xludf.DUMMYFUNCTION("IF(REGEXMATCH(C226, ""S""), ""S"","""")"),"S")</f>
        <v>S</v>
      </c>
      <c r="E226" s="236" t="str">
        <f>IFERROR(__xludf.DUMMYFUNCTION("IF(REGEXMATCH(C226, ""r""), ""r"","""")"),"")</f>
        <v/>
      </c>
      <c r="F226" s="237" t="str">
        <f>IFERROR(__xludf.DUMMYFUNCTION("IF(REGEXMATCH(C226, ""R""), ""R"","""")"),"R")</f>
        <v>R</v>
      </c>
      <c r="G226" s="237" t="str">
        <f>IFERROR(__xludf.DUMMYFUNCTION("IF(REGEXMATCH(C226, ""g""), ""g"","""")"),"")</f>
        <v/>
      </c>
      <c r="H226" s="236" t="str">
        <f>IFERROR(__xludf.DUMMYFUNCTION("IF(REGEXMATCH(C226, ""G""), ""G"","""")"),"G")</f>
        <v>G</v>
      </c>
      <c r="I226" s="236" t="str">
        <f>IFERROR(__xludf.DUMMYFUNCTION("IF(REGEXMATCH(C226, ""m""), ""m"","""")"),"m")</f>
        <v>m</v>
      </c>
      <c r="J226" s="237" t="str">
        <f>IFERROR(__xludf.DUMMYFUNCTION("IF(REGEXMATCH(C226, ""M""), ""M"","""")"),"")</f>
        <v/>
      </c>
      <c r="K226" s="236" t="str">
        <f>IFERROR(__xludf.DUMMYFUNCTION("IF(REGEXMATCH(C226, ""P""), ""P"","""")"),"P")</f>
        <v>P</v>
      </c>
      <c r="L226" s="237" t="str">
        <f>IFERROR(__xludf.DUMMYFUNCTION("IF(REGEXMATCH(C226, ""d""), ""d"","""")"),"")</f>
        <v/>
      </c>
      <c r="M226" s="236" t="str">
        <f>IFERROR(__xludf.DUMMYFUNCTION("IF(REGEXMATCH(C226, ""D""), ""D"","""")"),"D")</f>
        <v>D</v>
      </c>
      <c r="N226" s="236" t="str">
        <f>IFERROR(__xludf.DUMMYFUNCTION("IF(REGEXMATCH(C226, ""n""), ""n"","""")"),"")</f>
        <v/>
      </c>
      <c r="O226" s="237" t="str">
        <f>IFERROR(__xludf.DUMMYFUNCTION("IF(REGEXMATCH(C226, ""N""), ""N"","""")"),"N")</f>
        <v>N</v>
      </c>
      <c r="P226" s="238" t="str">
        <f>IFERROR(__xludf.DUMMYFUNCTION("IF(REGEXMATCH(C226, ""S""), ""S"","""")"),"S")</f>
        <v>S</v>
      </c>
      <c r="Q226" s="239" t="str">
        <f>IFERROR(__xludf.DUMMYFUNCTION("SUBSTITUTE(CONCATENATE(JOIN(""-"",D226:J226)),""-"","""")"),"SRGm")</f>
        <v>SRGm</v>
      </c>
      <c r="R226" s="229" t="str">
        <f>IFERROR(__xludf.DUMMYFUNCTION("SUBSTITUTE(CONCATENATE(JOIN(""-"",K226:P226)),""-"","""")"),"PDNS")</f>
        <v>PDNS</v>
      </c>
      <c r="S226" s="282" t="str">
        <f t="shared" si="8"/>
        <v>S-R-G-M</v>
      </c>
      <c r="T226" s="282" t="str">
        <f t="shared" si="9"/>
        <v>P-D-N-S</v>
      </c>
      <c r="U226" s="237" t="str">
        <f>IFERROR(__xludf.DUMMYFUNCTION("SUBSTITUTE(JOIN(""-"",S226,T226),""--"",""-"")"),"S-R-G-M-P-D-N-S")</f>
        <v>S-R-G-M-P-D-N-S</v>
      </c>
      <c r="V226" s="309" t="str">
        <f t="shared" si="10"/>
        <v>RGmDN</v>
      </c>
      <c r="W226" s="244" t="str">
        <f>IFERROR(__xludf.DUMMYFUNCTION("IF(REGEXMATCH(C226, ""S""), ""0"","""")"),"0")</f>
        <v>0</v>
      </c>
      <c r="X226" s="245" t="str">
        <f>IFERROR(__xludf.DUMMYFUNCTION("IF(REGEXMATCH(C226, ""r""), ""1"","""")"),"")</f>
        <v/>
      </c>
      <c r="Y226" s="246" t="str">
        <f>IFERROR(__xludf.DUMMYFUNCTION("IF(REGEXMATCH(C226, ""R""), ""2"","""")"),"2")</f>
        <v>2</v>
      </c>
      <c r="Z226" s="246" t="str">
        <f>IFERROR(__xludf.DUMMYFUNCTION("IF(REGEXMATCH(C226, ""g""), ""3"","""")"),"")</f>
        <v/>
      </c>
      <c r="AA226" s="245" t="str">
        <f>IFERROR(__xludf.DUMMYFUNCTION("IF(REGEXMATCH(C226, ""G""), ""4"","""")"),"4")</f>
        <v>4</v>
      </c>
      <c r="AB226" s="245" t="str">
        <f>IFERROR(__xludf.DUMMYFUNCTION("IF(REGEXMATCH(C226, ""m""), ""5"","""")"),"5")</f>
        <v>5</v>
      </c>
      <c r="AC226" s="246" t="str">
        <f>IFERROR(__xludf.DUMMYFUNCTION("IF(REGEXMATCH(C226, ""M""), ""6"","""")"),"")</f>
        <v/>
      </c>
      <c r="AD226" s="245" t="str">
        <f>IFERROR(__xludf.DUMMYFUNCTION("IF(REGEXMATCH(C226, ""P""), ""7"","""")"),"7")</f>
        <v>7</v>
      </c>
      <c r="AE226" s="246" t="str">
        <f>IFERROR(__xludf.DUMMYFUNCTION("IF(REGEXMATCH(C226, ""d""), ""8"","""")"),"")</f>
        <v/>
      </c>
      <c r="AF226" s="245" t="str">
        <f>IFERROR(__xludf.DUMMYFUNCTION("IF(REGEXMATCH(C226, ""D""), ""9"","""")"),"9")</f>
        <v>9</v>
      </c>
      <c r="AG226" s="245" t="str">
        <f>IFERROR(__xludf.DUMMYFUNCTION("IF(REGEXMATCH(C226, ""n""), ""10"","""")"),"")</f>
        <v/>
      </c>
      <c r="AH226" s="246" t="str">
        <f>IFERROR(__xludf.DUMMYFUNCTION("IF(REGEXMATCH(C226, ""N""), ""11"","""")"),"11")</f>
        <v>11</v>
      </c>
      <c r="AI226" s="249" t="str">
        <f>IFERROR(__xludf.DUMMYFUNCTION("IF(REGEXMATCH(C226, ""S""), ""0"","""")"),"0")</f>
        <v>0</v>
      </c>
      <c r="AJ226" s="313" t="str">
        <f t="shared" si="11"/>
        <v>-</v>
      </c>
      <c r="AK226" s="313" t="str">
        <f t="shared" si="12"/>
        <v>-</v>
      </c>
      <c r="AL226" s="313" t="str">
        <f t="shared" si="13"/>
        <v>-</v>
      </c>
      <c r="AM226" s="313" t="str">
        <f t="shared" si="14"/>
        <v>-</v>
      </c>
      <c r="AN226" s="313" t="str">
        <f t="shared" si="15"/>
        <v>-</v>
      </c>
      <c r="AO226" s="314" t="str">
        <f t="shared" si="16"/>
        <v>T</v>
      </c>
      <c r="AP226" s="316">
        <f t="shared" si="17"/>
        <v>1</v>
      </c>
      <c r="AQ226" s="319" t="str">
        <f t="shared" si="18"/>
        <v>-</v>
      </c>
      <c r="AR226" s="320">
        <f t="shared" si="19"/>
        <v>0</v>
      </c>
      <c r="AS226" s="250" t="str">
        <f>IFERROR(__xludf.DUMMYFUNCTION("SUBSTITUTE(SUBSTITUTE(CONCATENATE(JOIN("""",FP226:GA226)),""|"",""x""),""-"",""o"")"),"xoxoxxoxoxox")</f>
        <v>xoxoxxoxoxox</v>
      </c>
      <c r="AT226" s="323" t="str">
        <f>IFERROR(__xludf.DUMMYFUNCTION("JOIN("""",AS226,AS226)"),"xoxoxxoxoxoxxoxoxxoxoxox")</f>
        <v>xoxoxxoxoxoxxoxoxxoxoxox</v>
      </c>
      <c r="AU226" s="256" t="str">
        <f>IFERROR(__xludf.DUMMYFUNCTION("JOIN("""",ArrayFormula(MID(AS226,LEN(AS226)-SEQUENCE(1,LEN(AS226))+1,1)))"),"xoxoxoxxoxox")</f>
        <v>xoxoxoxxoxox</v>
      </c>
      <c r="AV226" s="256" t="str">
        <f>IFERROR(__xludf.DUMMYFUNCTION("LEFT(CONCATENATE(""x"",JOIN("""",ArrayFormula(MID(AS226,LEN(AS226)-SEQUENCE(1,LEN(AS226))+1,1)))),12)"),"xxoxoxoxxoxo")</f>
        <v>xxoxoxoxxoxo</v>
      </c>
      <c r="AW226" s="327" t="str">
        <f>IFERROR(__xludf.DUMMYFUNCTION("JOIN("""",AU226,AU226)"),"xoxoxoxxoxoxxoxoxoxxoxox")</f>
        <v>xoxoxoxxoxoxxoxoxoxxoxox</v>
      </c>
      <c r="AX226" s="239" t="str">
        <f>IFERROR(__xludf.DUMMYFUNCTION("IF(REGEXMATCH(AW226,AS226),""✔"",""-"")"),"✔")</f>
        <v>✔</v>
      </c>
      <c r="AY226" s="330" t="str">
        <f t="shared" si="20"/>
        <v>-</v>
      </c>
      <c r="AZ226" s="260" t="str">
        <f t="shared" si="21"/>
        <v>#REF!</v>
      </c>
      <c r="BA226" s="333" t="str">
        <f t="shared" si="22"/>
        <v>xoxoxxo</v>
      </c>
      <c r="BB226" s="334" t="str">
        <f t="shared" si="23"/>
        <v>xoxoxx</v>
      </c>
      <c r="BC226" s="335" t="str">
        <f t="shared" si="236"/>
        <v>✔</v>
      </c>
      <c r="BD226" s="336" t="str">
        <f t="shared" si="25"/>
        <v>Manjari Bihag: 'xoxoxxo' + 'xoxoxx'</v>
      </c>
      <c r="BE226" s="337">
        <f>IFERROR(__xludf.DUMMYFUNCTION("COUNTUNIQUE(FILTER(AT:AT,REGEXMATCH(AT:AT,AS226)))-1"),6.0)</f>
        <v>6</v>
      </c>
      <c r="BF226" s="261" t="str">
        <f>IFERROR(__xludf.DUMMYFUNCTION("IF(BI226=0,""(n/a)"",IF(BJ226=2,""(PAIR)"",IF(REGEXMATCH(AT226,""xoxoxxoxoxox""),""Bilawal"",IF(REGEXMATCH(AT226,""xoxoxooxoxoo""),""Bhupali"",IF(REGEXMATCH(AT226,""xoxoxxoxxoxo""),""Charukeshi"",IF(REGEXMATCH(AT226,""xoxoooxxoxxo""),""Kameshwari"",IF(REG"&amp;"EXMATCH(AT226,""xoxoxooxoxox""),""Shankara"",IF(REGEXMATCH(AT226,""xxooxoxxxoox""),""Basant"",IF(REGEXMATCH(AT226,""xoxoxxxxoxox""),""Bihag"",IF(REGEXMATCH(AT226,""xoxxxxoxoxxx""),""Pilu"",IF(REGEXMATCH(AT226,""xoxxoxoxxoox""),""Kirwani"",IF(REGEXMATCH(AT"&amp;"226,""xoxxoxoxoxxx""),""Mk.Malhar"",IF(REGEXMATCH(AT226,""xxooxxoxxoox""),""Bhairav"",IF(REGEXMATCH(AT226,""xxoxooxxxoox""),""Todi"",IF(REGEXMATCH(AT226,""xxooxoxooxox""),""Marwa"",IF(REGEXMATCH(AT226,""xxoooxoxxooo""),""Gunkali"",IF(REGEXMATCH(AT226,""xo"&amp;"xoxxoxxoox""),""Nat Bhairav"",IF(REGEXMATCH(AT226,""xoxxoooxoxoo""),""Shivranjani"",IF(REGEXMATCH(AT226,""xooxxxoxooxo""),""Jog"",IF(REGEXMATCH(AT226,""xxooxoxoxoox""),""Hemshri"",IF(REGEXMATCH(AT226,""xoooxooxoxxo""),""Kalavati"",IF(REGEXMATCH(AT226,""xx"&amp;"oxoxxoxoox""),""Kedar"",IF(REGEXMATCH(AT226,""xoxxxxoxooxx""),""Gara"",IF(REGEXMATCH(AT226,""xooxoxooxoox""),""Chandrakauns"",IF(REGEXMATCH(AT226,""xoxxxxoxxxox""),""Mand"",IF(REGEXMATCH(AT226,""xoxxxxoxoxox""),""Hanskinkini"",IF(REGEXMATCH(AT226,""xxooxx"&amp;"oxooxo""),""Lilavati"",IF(REGEXMATCH(AT226,""xooxoxoooxox""),""Rajeshwari"",IF(REGEXMATCH(AT226,""xoooxxoxoxxx""),""Khokar"",IF(REGEXMATCH(AT226,""xxooxoxxxxox""),""Maligoura"",""-""))))))))))))))))))))))))))))))"),"Bilawal")</f>
        <v>Bilawal</v>
      </c>
      <c r="BG226" s="239" t="str">
        <f t="shared" si="26"/>
        <v>#REF!</v>
      </c>
      <c r="BH226" s="239">
        <f>IFERROR(__xludf.DUMMYFUNCTION("COUNTUNIQUE(FE226:FO226)-1"),6.0)</f>
        <v>6</v>
      </c>
      <c r="BI226" s="239">
        <f>IFERROR(__xludf.DUMMYFUNCTION("COUNTUNIQUE(FILTER(AT:AT,REGEXMATCH(AT:AT,AS226)))-1"),6.0)</f>
        <v>6</v>
      </c>
      <c r="BJ226" s="239">
        <f>IFERROR(__xludf.DUMMYFUNCTION("COUNTA(FILTER(AT:AT,REGEXMATCH(AT:AT,AS226)))"),48.0)</f>
        <v>48</v>
      </c>
      <c r="BK226" s="341">
        <f>IFERROR(__xludf.DUMMYFUNCTION("COUNTA(FILTER(AT:AT,REGEXMATCH(AT:AT,AS226)))-AR226"),48.0)</f>
        <v>48</v>
      </c>
      <c r="BL226" s="276" t="str">
        <f>IFERROR(__xludf.DUMMYFUNCTION("IF(AS226=""oooooooooooo"",""-"",IF(REGEXMATCH(AT226,""xx""), ""Hemi."", ""Anhemi.""))"),"Hemi.")</f>
        <v>Hemi.</v>
      </c>
      <c r="BM226" s="282" t="str">
        <f>IFERROR(__xludf.DUMMYFUNCTION("IF(AS226=""oooooooooooo"",""-"",IF(REGEXMATCH(AT226,""xxx""), ""Cohem."", ""-""))"),"-")</f>
        <v>-</v>
      </c>
      <c r="BN226" s="282" t="str">
        <f>IFERROR(__xludf.DUMMYFUNCTION("IF(AS226=""oooooooooooo"",""-"",IF(REGEXMATCH(AT226,""xxxx""), ""Co-Co."", ""-""))"),"-")</f>
        <v>-</v>
      </c>
      <c r="BO226" s="342" t="str">
        <f>IFERROR(__xludf.DUMMYFUNCTION("IF(AS226=""oooooooooooo"",""-"",IF(REGEXMATCH(AT226,""xxxxx""), ""CCC."", ""-""))"),"-")</f>
        <v>-</v>
      </c>
      <c r="BP226" s="344" t="str">
        <f t="shared" si="27"/>
        <v>Bilawal</v>
      </c>
      <c r="BQ226" s="282" t="str">
        <f>IFERROR(__xludf.DUMMYFUNCTION("IF(REGEXMATCH(JOIN(""-"",EU226:FD226),""TRUE""),""✔"",""-"")"),"✔")</f>
        <v>✔</v>
      </c>
      <c r="BR226" s="225">
        <f t="shared" si="28"/>
        <v>1</v>
      </c>
      <c r="BS226" s="345" t="str">
        <f>IFERROR(__xludf.DUMMYFUNCTION("SUBSTITUTE(SUBSTITUTE(SUBSTITUTE(SUBSTITUTE(CONCATENATE(JOIN(""-"",GC226:GO226)),""--"",""-""),""--"",""-""),""--"",""-""),""--"",""-"")"),"1-2-3-4-5-6-7-8")</f>
        <v>1-2-3-4-5-6-7-8</v>
      </c>
      <c r="BT226" s="299" t="str">
        <f>IFERROR(__xludf.DUMMYFUNCTION("SUBSTITUTE(SUBSTITUTE(SUBSTITUTE(SUBSTITUTE(CONCATENATE(JOIN(""-"",GP226:HB226)),""--"",""-""),""--"",""-""),""--"",""-""),""--"",""-"")"),"S-R2-G3-M1-P-D2-N3-S")</f>
        <v>S-R2-G3-M1-P-D2-N3-S</v>
      </c>
      <c r="BU226" s="348" t="str">
        <f t="shared" si="29"/>
        <v>C-D-E-F-G-A-B-C</v>
      </c>
      <c r="BV226" s="349" t="str">
        <f t="shared" si="30"/>
        <v>SrgMdnS</v>
      </c>
      <c r="BW226" s="350">
        <f t="shared" si="31"/>
        <v>1</v>
      </c>
      <c r="BX226" s="351">
        <f t="shared" si="32"/>
        <v>17</v>
      </c>
      <c r="BY226" s="392"/>
      <c r="BZ226" s="309" t="str">
        <f>IFERROR(__xludf.DUMMYFUNCTION("IF(REGEXMATCH(C226, ""S""), ""x"",""x"")"),"x")</f>
        <v>x</v>
      </c>
      <c r="CA226" s="245" t="str">
        <f>IFERROR(__xludf.DUMMYFUNCTION("IF(REGEXMATCH(C226, ""r""), ""o"",""x"")"),"x")</f>
        <v>x</v>
      </c>
      <c r="CB226" s="246" t="str">
        <f>IFERROR(__xludf.DUMMYFUNCTION("IF(REGEXMATCH(C226, ""R""), ""o"",""x"")"),"o")</f>
        <v>o</v>
      </c>
      <c r="CC226" s="246" t="str">
        <f>IFERROR(__xludf.DUMMYFUNCTION("IF(REGEXMATCH(C226, ""g""), ""o"",""x"")"),"x")</f>
        <v>x</v>
      </c>
      <c r="CD226" s="245" t="str">
        <f>IFERROR(__xludf.DUMMYFUNCTION("IF(REGEXMATCH(C226, ""G""), ""o"",""x"")"),"o")</f>
        <v>o</v>
      </c>
      <c r="CE226" s="245" t="str">
        <f>IFERROR(__xludf.DUMMYFUNCTION("IF(REGEXMATCH(C226, ""m""), ""o"",""x"")"),"o")</f>
        <v>o</v>
      </c>
      <c r="CF226" s="246" t="str">
        <f>IFERROR(__xludf.DUMMYFUNCTION("IF(REGEXMATCH(C226, ""M""), ""o"",""x"")"),"x")</f>
        <v>x</v>
      </c>
      <c r="CG226" s="245" t="str">
        <f>IFERROR(__xludf.DUMMYFUNCTION("IF(REGEXMATCH(C226, ""P""), ""o"",""x"")"),"o")</f>
        <v>o</v>
      </c>
      <c r="CH226" s="246" t="str">
        <f>IFERROR(__xludf.DUMMYFUNCTION("IF(REGEXMATCH(C226, ""d""), ""o"",""x"")"),"x")</f>
        <v>x</v>
      </c>
      <c r="CI226" s="245" t="str">
        <f>IFERROR(__xludf.DUMMYFUNCTION("IF(REGEXMATCH(C226, ""D""), ""o"",""x"")"),"o")</f>
        <v>o</v>
      </c>
      <c r="CJ226" s="245" t="str">
        <f>IFERROR(__xludf.DUMMYFUNCTION("IF(REGEXMATCH(C226, ""n""), ""o"",""x"")"),"x")</f>
        <v>x</v>
      </c>
      <c r="CK226" s="245" t="str">
        <f>IFERROR(__xludf.DUMMYFUNCTION("IF(REGEXMATCH(C226, ""N""), ""o"",""x"")"),"o")</f>
        <v>o</v>
      </c>
      <c r="CL226" s="356" t="str">
        <f>IFERROR(__xludf.DUMMYFUNCTION("IF(REGEXMATCH(C226, ""S""), ""x"",""x"")"),"x")</f>
        <v>x</v>
      </c>
      <c r="CM226" s="357" t="str">
        <f t="shared" si="33"/>
        <v>xxoxooxoxoxo</v>
      </c>
      <c r="CN226" s="358">
        <f t="shared" si="34"/>
        <v>1</v>
      </c>
      <c r="CO226" s="246" t="str">
        <f>IFERROR(__xludf.DUMMYFUNCTION("IF(REGEXMATCH($C226, ""S""), ""S"",""S"")"),"S")</f>
        <v>S</v>
      </c>
      <c r="CP226" s="246" t="str">
        <f>IFERROR(__xludf.DUMMYFUNCTION("IF(REGEXMATCH($C226, ""r""), """",""r"")"),"r")</f>
        <v>r</v>
      </c>
      <c r="CQ226" s="246" t="str">
        <f>IFERROR(__xludf.DUMMYFUNCTION("IF(REGEXMATCH($C226, ""R""), """",""R"")"),"")</f>
        <v/>
      </c>
      <c r="CR226" s="246" t="str">
        <f>IFERROR(__xludf.DUMMYFUNCTION("IF(REGEXMATCH($C226, ""g""), """",""g"")"),"g")</f>
        <v>g</v>
      </c>
      <c r="CS226" s="246" t="str">
        <f>IFERROR(__xludf.DUMMYFUNCTION("IF(REGEXMATCH($C226, ""G""), """",""G"")"),"")</f>
        <v/>
      </c>
      <c r="CT226" s="246" t="str">
        <f>IFERROR(__xludf.DUMMYFUNCTION("IF(REGEXMATCH($C226, ""m""), """",""m"")"),"")</f>
        <v/>
      </c>
      <c r="CU226" s="246" t="str">
        <f>IFERROR(__xludf.DUMMYFUNCTION("IF(REGEXMATCH($C226, ""M""), """",""M"")"),"M")</f>
        <v>M</v>
      </c>
      <c r="CV226" s="246" t="str">
        <f>IFERROR(__xludf.DUMMYFUNCTION("IF(REGEXMATCH($C226, ""P""), """",""P"")"),"")</f>
        <v/>
      </c>
      <c r="CW226" s="246" t="str">
        <f>IFERROR(__xludf.DUMMYFUNCTION("IF(REGEXMATCH($C226, ""d""), """",""d"")"),"d")</f>
        <v>d</v>
      </c>
      <c r="CX226" s="246" t="str">
        <f>IFERROR(__xludf.DUMMYFUNCTION("IF(REGEXMATCH($C226, ""D""), """",""D"")"),"")</f>
        <v/>
      </c>
      <c r="CY226" s="246" t="str">
        <f>IFERROR(__xludf.DUMMYFUNCTION("IF(REGEXMATCH($C226, ""n""), """",""n"")"),"n")</f>
        <v>n</v>
      </c>
      <c r="CZ226" s="246" t="str">
        <f>IFERROR(__xludf.DUMMYFUNCTION("IF(REGEXMATCH($C226, ""N""), """",""N"")"),"")</f>
        <v/>
      </c>
      <c r="DA226" s="246" t="str">
        <f>IFERROR(__xludf.DUMMYFUNCTION("IF(REGEXMATCH($C226, ""S""), ""S"",""S"")"),"S")</f>
        <v>S</v>
      </c>
      <c r="DB226" s="362" t="str">
        <f>IFERROR(__xludf.DUMMYFUNCTION("JOIN("""",CO226:DA226,"""","""")"),"SrgMdnS")</f>
        <v>SrgMdnS</v>
      </c>
      <c r="DC226" s="363"/>
      <c r="DD226" s="301" t="str">
        <f t="shared" si="35"/>
        <v>#REF!</v>
      </c>
      <c r="DE226" s="302" t="str">
        <f t="shared" si="36"/>
        <v>#REF!</v>
      </c>
      <c r="DF226" s="301" t="str">
        <f t="shared" ref="DF226:DG226" si="669">SUBSTITUTE(S226,"-","")</f>
        <v>SRGM</v>
      </c>
      <c r="DG226" s="301" t="str">
        <f t="shared" si="669"/>
        <v>PDNS</v>
      </c>
      <c r="DH226" s="302" t="str">
        <f t="shared" si="38"/>
        <v>Bilawal</v>
      </c>
      <c r="DI226" s="301" t="str">
        <f t="shared" si="39"/>
        <v>Hemi.</v>
      </c>
      <c r="DJ226" s="364" t="str">
        <f t="shared" si="40"/>
        <v>-</v>
      </c>
      <c r="DK226" s="306" t="str">
        <f t="shared" si="41"/>
        <v>Bilawal</v>
      </c>
      <c r="DL226" s="366" t="str">
        <f t="shared" si="42"/>
        <v>-</v>
      </c>
      <c r="DM226" s="308" t="str">
        <f t="shared" si="43"/>
        <v>-</v>
      </c>
      <c r="DN226" s="306" t="str">
        <f t="shared" si="44"/>
        <v>✔</v>
      </c>
      <c r="DO226" s="306" t="str">
        <f t="shared" si="45"/>
        <v>-</v>
      </c>
      <c r="DP226" s="367" t="str">
        <f t="shared" si="46"/>
        <v>-</v>
      </c>
      <c r="DQ226" s="310" t="str">
        <f t="shared" si="47"/>
        <v>-</v>
      </c>
      <c r="DR226" s="310" t="str">
        <f t="shared" si="48"/>
        <v>-</v>
      </c>
      <c r="DS226" s="310" t="str">
        <f t="shared" si="49"/>
        <v>-</v>
      </c>
      <c r="DT226" s="310" t="str">
        <f t="shared" si="50"/>
        <v>-</v>
      </c>
      <c r="DU226" s="370" t="str">
        <f t="shared" si="51"/>
        <v>-</v>
      </c>
      <c r="DV226" s="306" t="str">
        <f t="shared" si="52"/>
        <v>-</v>
      </c>
      <c r="DW226" s="306" t="str">
        <f t="shared" si="53"/>
        <v>-</v>
      </c>
      <c r="DX226" s="306" t="str">
        <f t="shared" si="54"/>
        <v>-</v>
      </c>
      <c r="DY226" s="306" t="str">
        <f t="shared" si="55"/>
        <v>-</v>
      </c>
      <c r="DZ226" s="306" t="str">
        <f t="shared" si="56"/>
        <v>-</v>
      </c>
      <c r="EA226" s="367" t="str">
        <f t="shared" si="57"/>
        <v>-</v>
      </c>
      <c r="EB226" s="310" t="str">
        <f>IFERROR(__xludf.DUMMYFUNCTION("IF(REGEXMATCH(AW226,AS226),""✔"",""-"")"),"✔")</f>
        <v>✔</v>
      </c>
      <c r="EC226" s="310" t="str">
        <f t="shared" si="58"/>
        <v>#REF!</v>
      </c>
      <c r="ED226" s="370" t="str">
        <f t="shared" si="59"/>
        <v>-</v>
      </c>
      <c r="EE226" s="340" t="str">
        <f t="shared" si="60"/>
        <v>S-R-G-m-P-D-N-S</v>
      </c>
      <c r="EF226" s="371" t="str">
        <f>IFERROR(__xludf.DUMMYFUNCTION("CONCATENATE(JOIN("""",HC226:HO226))"),"SrgmPdnS")</f>
        <v>SrgmPdnS</v>
      </c>
      <c r="EG226" s="372">
        <f t="shared" si="61"/>
        <v>1</v>
      </c>
      <c r="EH226" s="373" t="str">
        <f>IFERROR(__xludf.DUMMYFUNCTION("CONCATENATE(JOIN("""",JC226:JO226))"),"Ni, ")</f>
        <v>Ni, </v>
      </c>
      <c r="EI226" s="322">
        <f t="shared" si="62"/>
        <v>0</v>
      </c>
      <c r="EJ226" s="374" t="str">
        <f>IFERROR(__xludf.DUMMYFUNCTION("CONCATENATE(JOIN("""",KC226:KO226))"),"")</f>
        <v/>
      </c>
      <c r="EK226" s="325" t="str">
        <f t="shared" si="63"/>
        <v>S-R2-G3-M1-P-D2-N3-S</v>
      </c>
      <c r="EL226" s="326" t="str">
        <f t="shared" si="64"/>
        <v>1-2-3-4-5-6-7-8</v>
      </c>
      <c r="EM226" s="318" t="str">
        <f t="shared" si="65"/>
        <v>#REF!</v>
      </c>
      <c r="EN226" s="328" t="str">
        <f>IFERROR(__xludf.DUMMYFUNCTION("SUBSTITUTE(SUBSTITUTE(SUBSTITUTE(SUBSTITUTE(CONCATENATE(JOIN("" "",HP226:IB226)),""  "","" ""),""  "","" ""),""  "","" ""),""  "","" "")"),"o • o • o o • o • o • o o")</f>
        <v>o • o • o o • o • o • o o</v>
      </c>
      <c r="EO226" s="368" t="str">
        <f t="shared" si="66"/>
        <v>-</v>
      </c>
      <c r="EP226" s="339" t="str">
        <f t="shared" si="67"/>
        <v>-</v>
      </c>
      <c r="EQ226" s="339" t="str">
        <f t="shared" si="68"/>
        <v>Sa-Pa</v>
      </c>
      <c r="ER226" s="339" t="str">
        <f t="shared" si="69"/>
        <v>-</v>
      </c>
      <c r="ES226" s="340" t="str">
        <f t="shared" si="70"/>
        <v>-</v>
      </c>
      <c r="ET226" s="363"/>
      <c r="EU226" s="376" t="b">
        <f>IFERROR(__xludf.DUMMYFUNCTION("arrayformula(sum(--REGEXMATCH(""SRGMPDNS"",split(REGEXREPLACE(C226,""(.)"",""$1~""),""~""))))=len(C226)
"),FALSE)</f>
        <v>0</v>
      </c>
      <c r="EV226" s="290" t="b">
        <f>IFERROR(__xludf.DUMMYFUNCTION("arrayformula(sum(--REGEXMATCH(""SRGmPDNS"",split(REGEXREPLACE(C226,""(.)"",""$1~""),""~""))))=len(C226)"),TRUE)</f>
        <v>1</v>
      </c>
      <c r="EW226" s="290" t="b">
        <f>IFERROR(__xludf.DUMMYFUNCTION("arrayformula(sum(--REGEXMATCH(""SRGmPDnS"",split(REGEXREPLACE(C226,""(.)"",""$1~""),""~""))))=len(C226)"),FALSE)</f>
        <v>0</v>
      </c>
      <c r="EX226" s="290" t="b">
        <f>IFERROR(__xludf.DUMMYFUNCTION("arrayformula(sum(--REGEXMATCH(""SRgmPDnS"",split(REGEXREPLACE(C226,""(.)"",""$1~""),""~""))))=len(C226)"),FALSE)</f>
        <v>0</v>
      </c>
      <c r="EY226" s="290" t="b">
        <f>IFERROR(__xludf.DUMMYFUNCTION("arrayformula(sum(--REGEXMATCH(""SRgmPdnS"",split(REGEXREPLACE(C226,""(.)"",""$1~""),""~""))))=len(C226)"),FALSE)</f>
        <v>0</v>
      </c>
      <c r="EZ226" s="290" t="b">
        <f>IFERROR(__xludf.DUMMYFUNCTION("arrayformula(sum(--REGEXMATCH(""SrgmPdnS"",split(REGEXREPLACE(C226,""(.)"",""$1~""),""~""))))=len(C226)"),FALSE)</f>
        <v>0</v>
      </c>
      <c r="FA226" s="290" t="b">
        <f>IFERROR(__xludf.DUMMYFUNCTION("arrayformula(sum(--REGEXMATCH(""SrGmPdNS"",split(REGEXREPLACE(C226,""(.)"",""$1~""),""~""))))=len(C226)"),FALSE)</f>
        <v>0</v>
      </c>
      <c r="FB226" s="290" t="b">
        <f>IFERROR(__xludf.DUMMYFUNCTION("arrayformula(sum(--REGEXMATCH(""SrGMPDNS"",split(REGEXREPLACE(C226,""(.)"",""$1~""),""~""))))=len(C226)"),FALSE)</f>
        <v>0</v>
      </c>
      <c r="FC226" s="290" t="b">
        <f>IFERROR(__xludf.DUMMYFUNCTION("arrayformula(sum(--REGEXMATCH(""SrGMPdNS"",split(REGEXREPLACE(C226,""(.)"",""$1~""),""~""))))=len(C226)"),FALSE)</f>
        <v>0</v>
      </c>
      <c r="FD226" s="377" t="b">
        <f>IFERROR(__xludf.DUMMYFUNCTION("arrayformula(sum(--REGEXMATCH(""SrgMPdNS"",split(REGEXREPLACE(C226,""(.)"",""$1~""),""~""))))=len(C226)"),FALSE)</f>
        <v>0</v>
      </c>
      <c r="FE226" s="269" t="str">
        <f t="shared" si="71"/>
        <v>-</v>
      </c>
      <c r="FF226" s="269" t="str">
        <f t="shared" si="72"/>
        <v>xoxxoxoxoxx</v>
      </c>
      <c r="FG226" s="271" t="str">
        <f t="shared" si="73"/>
        <v>-</v>
      </c>
      <c r="FH226" s="269" t="str">
        <f t="shared" si="74"/>
        <v>xxoxoxoxxox</v>
      </c>
      <c r="FI226" s="271" t="str">
        <f t="shared" si="75"/>
        <v>xoxoxoxxoxo</v>
      </c>
      <c r="FJ226" s="271" t="str">
        <f t="shared" si="76"/>
        <v>-</v>
      </c>
      <c r="FK226" s="271" t="str">
        <f t="shared" si="77"/>
        <v>xoxoxxoxoxx</v>
      </c>
      <c r="FL226" s="271" t="str">
        <f t="shared" si="78"/>
        <v>-</v>
      </c>
      <c r="FM226" s="271" t="str">
        <f t="shared" si="79"/>
        <v>xoxxoxoxxox</v>
      </c>
      <c r="FN226" s="271" t="str">
        <f t="shared" si="80"/>
        <v>-</v>
      </c>
      <c r="FO226" s="274" t="str">
        <f t="shared" si="81"/>
        <v>xxoxoxxoxox</v>
      </c>
      <c r="FP226" s="234" t="str">
        <f t="shared" si="82"/>
        <v>|</v>
      </c>
      <c r="FQ226" s="236" t="str">
        <f t="shared" si="83"/>
        <v>-</v>
      </c>
      <c r="FR226" s="237" t="str">
        <f t="shared" si="84"/>
        <v>|</v>
      </c>
      <c r="FS226" s="236" t="str">
        <f t="shared" si="85"/>
        <v>-</v>
      </c>
      <c r="FT226" s="237" t="str">
        <f t="shared" si="86"/>
        <v>|</v>
      </c>
      <c r="FU226" s="236" t="str">
        <f t="shared" si="87"/>
        <v>|</v>
      </c>
      <c r="FV226" s="237" t="str">
        <f t="shared" si="88"/>
        <v>-</v>
      </c>
      <c r="FW226" s="236" t="str">
        <f t="shared" si="89"/>
        <v>|</v>
      </c>
      <c r="FX226" s="237" t="str">
        <f t="shared" si="90"/>
        <v>-</v>
      </c>
      <c r="FY226" s="236" t="str">
        <f t="shared" si="91"/>
        <v>|</v>
      </c>
      <c r="FZ226" s="237" t="str">
        <f t="shared" si="92"/>
        <v>-</v>
      </c>
      <c r="GA226" s="236" t="str">
        <f t="shared" si="93"/>
        <v>|</v>
      </c>
      <c r="GB226" s="238" t="str">
        <f t="shared" si="94"/>
        <v>|</v>
      </c>
      <c r="GC226" s="244" t="str">
        <f>IFERROR(__xludf.DUMMYFUNCTION("IF(REGEXMATCH(C226, ""S""), ""1"","""")"),"1")</f>
        <v>1</v>
      </c>
      <c r="GD226" s="245" t="str">
        <f>IFERROR(__xludf.DUMMYFUNCTION("IF(REGEXMATCH(C226, ""r""), ""b2"","""")"),"")</f>
        <v/>
      </c>
      <c r="GE226" s="246" t="str">
        <f>IFERROR(__xludf.DUMMYFUNCTION("IF(REGEXMATCH(C226, ""R""), ""2"","""")"),"2")</f>
        <v>2</v>
      </c>
      <c r="GF226" s="246" t="str">
        <f>IFERROR(__xludf.DUMMYFUNCTION("IF(REGEXMATCH(C226, ""g""), ""b3"","""")"),"")</f>
        <v/>
      </c>
      <c r="GG226" s="245" t="str">
        <f>IFERROR(__xludf.DUMMYFUNCTION("IF(REGEXMATCH(C226, ""G""), ""3"","""")"),"3")</f>
        <v>3</v>
      </c>
      <c r="GH226" s="245" t="str">
        <f>IFERROR(__xludf.DUMMYFUNCTION("IF(REGEXMATCH(C226, ""m""), ""4"","""")"),"4")</f>
        <v>4</v>
      </c>
      <c r="GI226" s="246" t="str">
        <f>IFERROR(__xludf.DUMMYFUNCTION("IF(REGEXMATCH(C226, ""M""), ""#4"","""")"),"")</f>
        <v/>
      </c>
      <c r="GJ226" s="245" t="str">
        <f>IFERROR(__xludf.DUMMYFUNCTION("IF(REGEXMATCH(C226, ""P""), ""5"","""")"),"5")</f>
        <v>5</v>
      </c>
      <c r="GK226" s="246" t="str">
        <f>IFERROR(__xludf.DUMMYFUNCTION("IF(REGEXMATCH(C226, ""d""), ""b6"","""")"),"")</f>
        <v/>
      </c>
      <c r="GL226" s="245" t="str">
        <f>IFERROR(__xludf.DUMMYFUNCTION("IF(REGEXMATCH(C226, ""D""), ""6"","""")"),"6")</f>
        <v>6</v>
      </c>
      <c r="GM226" s="245" t="str">
        <f>IFERROR(__xludf.DUMMYFUNCTION("IF(REGEXMATCH(C226, ""n""), ""b7"","""")"),"")</f>
        <v/>
      </c>
      <c r="GN226" s="246" t="str">
        <f>IFERROR(__xludf.DUMMYFUNCTION("IF(REGEXMATCH(C226, ""N""), ""7"","""")"),"7")</f>
        <v>7</v>
      </c>
      <c r="GO226" s="249" t="str">
        <f>IFERROR(__xludf.DUMMYFUNCTION("IF(REGEXMATCH(C226, ""S""), ""8"","""")"),"8")</f>
        <v>8</v>
      </c>
      <c r="GP226" s="244" t="str">
        <f>IFERROR(__xludf.DUMMYFUNCTION("IF(REGEXMATCH(C226, ""S""), ""S"","""")"),"S")</f>
        <v>S</v>
      </c>
      <c r="GQ226" s="294" t="str">
        <f>IFERROR(__xludf.DUMMYFUNCTION("IF(REGEXMATCH(C226, ""r""), ""R1"","""")"),"")</f>
        <v/>
      </c>
      <c r="GR226" s="295" t="str">
        <f>IFERROR(__xludf.DUMMYFUNCTION("IF(REGEXMATCH(C226, ""R""), ""R2"","""")"),"R2")</f>
        <v>R2</v>
      </c>
      <c r="GS226" s="295" t="str">
        <f>IFERROR(__xludf.DUMMYFUNCTION("IF(REGEXMATCH(C226, ""g""), ""G2"","""")"),"")</f>
        <v/>
      </c>
      <c r="GT226" s="294" t="str">
        <f>IFERROR(__xludf.DUMMYFUNCTION("IF(REGEXMATCH(C226, ""G""), ""G3"","""")"),"G3")</f>
        <v>G3</v>
      </c>
      <c r="GU226" s="294" t="str">
        <f>IFERROR(__xludf.DUMMYFUNCTION("IF(REGEXMATCH(C226, ""m""), ""M1"","""")"),"M1")</f>
        <v>M1</v>
      </c>
      <c r="GV226" s="295" t="str">
        <f>IFERROR(__xludf.DUMMYFUNCTION("IF(REGEXMATCH(C226, ""M""), ""M2"","""")"),"")</f>
        <v/>
      </c>
      <c r="GW226" s="294" t="str">
        <f>IFERROR(__xludf.DUMMYFUNCTION("IF(REGEXMATCH(C226, ""P""), ""P"","""")"),"P")</f>
        <v>P</v>
      </c>
      <c r="GX226" s="295" t="str">
        <f>IFERROR(__xludf.DUMMYFUNCTION("IF(REGEXMATCH(C226, ""d""), ""D1"","""")"),"")</f>
        <v/>
      </c>
      <c r="GY226" s="294" t="str">
        <f>IFERROR(__xludf.DUMMYFUNCTION("IF(REGEXMATCH(C226, ""D""), ""D2"","""")"),"D2")</f>
        <v>D2</v>
      </c>
      <c r="GZ226" s="294" t="str">
        <f>IFERROR(__xludf.DUMMYFUNCTION("IF(REGEXMATCH(C226, ""n""), ""N2"","""")"),"")</f>
        <v/>
      </c>
      <c r="HA226" s="295" t="str">
        <f>IFERROR(__xludf.DUMMYFUNCTION("IF(REGEXMATCH(C226, ""N""), ""N3"","""")"),"N3")</f>
        <v>N3</v>
      </c>
      <c r="HB226" s="249" t="str">
        <f>IFERROR(__xludf.DUMMYFUNCTION("IF(REGEXMATCH(C226, ""S""), ""S"","""")"),"S")</f>
        <v>S</v>
      </c>
      <c r="HC226" s="331" t="str">
        <f t="shared" si="95"/>
        <v>S</v>
      </c>
      <c r="HD226" s="332" t="str">
        <f t="shared" si="96"/>
        <v>r</v>
      </c>
      <c r="HE226" s="332" t="str">
        <f t="shared" si="97"/>
        <v/>
      </c>
      <c r="HF226" s="332" t="str">
        <f t="shared" si="98"/>
        <v>g</v>
      </c>
      <c r="HG226" s="332" t="str">
        <f t="shared" si="99"/>
        <v/>
      </c>
      <c r="HH226" s="332" t="str">
        <f t="shared" si="100"/>
        <v>m</v>
      </c>
      <c r="HI226" s="332" t="str">
        <f t="shared" si="101"/>
        <v/>
      </c>
      <c r="HJ226" s="332" t="str">
        <f t="shared" si="102"/>
        <v>P</v>
      </c>
      <c r="HK226" s="332" t="str">
        <f t="shared" si="103"/>
        <v>d</v>
      </c>
      <c r="HL226" s="332" t="str">
        <f t="shared" si="104"/>
        <v/>
      </c>
      <c r="HM226" s="332" t="str">
        <f t="shared" si="105"/>
        <v>n</v>
      </c>
      <c r="HN226" s="332" t="str">
        <f t="shared" si="106"/>
        <v/>
      </c>
      <c r="HO226" s="343" t="str">
        <f t="shared" si="107"/>
        <v>S</v>
      </c>
      <c r="HP226" s="331" t="str">
        <f t="shared" si="108"/>
        <v>o</v>
      </c>
      <c r="HQ226" s="332" t="str">
        <f t="shared" si="109"/>
        <v>•</v>
      </c>
      <c r="HR226" s="332" t="str">
        <f t="shared" si="110"/>
        <v>o</v>
      </c>
      <c r="HS226" s="332" t="str">
        <f t="shared" si="111"/>
        <v>•</v>
      </c>
      <c r="HT226" s="332" t="str">
        <f t="shared" si="112"/>
        <v>o</v>
      </c>
      <c r="HU226" s="332" t="str">
        <f t="shared" si="113"/>
        <v>o</v>
      </c>
      <c r="HV226" s="332" t="str">
        <f t="shared" si="114"/>
        <v>•</v>
      </c>
      <c r="HW226" s="332" t="str">
        <f t="shared" si="115"/>
        <v>o</v>
      </c>
      <c r="HX226" s="332" t="str">
        <f t="shared" si="116"/>
        <v>•</v>
      </c>
      <c r="HY226" s="332" t="str">
        <f t="shared" si="117"/>
        <v>o</v>
      </c>
      <c r="HZ226" s="332" t="str">
        <f t="shared" si="118"/>
        <v>•</v>
      </c>
      <c r="IA226" s="332" t="str">
        <f t="shared" si="119"/>
        <v>o</v>
      </c>
      <c r="IB226" s="338" t="str">
        <f t="shared" si="120"/>
        <v>o</v>
      </c>
      <c r="IC226" s="331" t="str">
        <f t="shared" si="121"/>
        <v>•</v>
      </c>
      <c r="ID226" s="332" t="str">
        <f t="shared" si="122"/>
        <v>o</v>
      </c>
      <c r="IE226" s="332" t="str">
        <f t="shared" si="123"/>
        <v>•</v>
      </c>
      <c r="IF226" s="332" t="str">
        <f t="shared" si="124"/>
        <v>o</v>
      </c>
      <c r="IG226" s="332" t="str">
        <f t="shared" si="125"/>
        <v>•</v>
      </c>
      <c r="IH226" s="332" t="str">
        <f t="shared" si="126"/>
        <v>•</v>
      </c>
      <c r="II226" s="332" t="str">
        <f t="shared" si="127"/>
        <v>o</v>
      </c>
      <c r="IJ226" s="332" t="str">
        <f t="shared" si="128"/>
        <v>•</v>
      </c>
      <c r="IK226" s="332" t="str">
        <f t="shared" si="129"/>
        <v>o</v>
      </c>
      <c r="IL226" s="332" t="str">
        <f t="shared" si="130"/>
        <v>•</v>
      </c>
      <c r="IM226" s="332" t="str">
        <f t="shared" si="131"/>
        <v>o</v>
      </c>
      <c r="IN226" s="332" t="str">
        <f t="shared" si="132"/>
        <v>•</v>
      </c>
      <c r="IO226" s="338" t="str">
        <f t="shared" si="133"/>
        <v>•</v>
      </c>
      <c r="IP226" s="346" t="b">
        <f t="shared" si="134"/>
        <v>0</v>
      </c>
      <c r="IQ226" s="347" t="b">
        <f t="shared" si="135"/>
        <v>0</v>
      </c>
      <c r="IR226" s="347" t="b">
        <f t="shared" si="136"/>
        <v>0</v>
      </c>
      <c r="IS226" s="347" t="b">
        <f t="shared" si="137"/>
        <v>0</v>
      </c>
      <c r="IT226" s="347" t="b">
        <f t="shared" si="138"/>
        <v>0</v>
      </c>
      <c r="IU226" s="347" t="b">
        <f t="shared" si="139"/>
        <v>0</v>
      </c>
      <c r="IV226" s="347" t="b">
        <f t="shared" si="140"/>
        <v>0</v>
      </c>
      <c r="IW226" s="347" t="b">
        <f t="shared" si="141"/>
        <v>0</v>
      </c>
      <c r="IX226" s="347" t="b">
        <f t="shared" si="142"/>
        <v>0</v>
      </c>
      <c r="IY226" s="347" t="b">
        <f t="shared" si="143"/>
        <v>0</v>
      </c>
      <c r="IZ226" s="347" t="b">
        <f t="shared" si="144"/>
        <v>0</v>
      </c>
      <c r="JA226" s="347" t="b">
        <f t="shared" si="145"/>
        <v>1</v>
      </c>
      <c r="JB226" s="353" t="b">
        <f t="shared" si="146"/>
        <v>0</v>
      </c>
      <c r="JC226" s="354" t="str">
        <f t="shared" si="147"/>
        <v/>
      </c>
      <c r="JD226" s="355" t="str">
        <f t="shared" si="148"/>
        <v/>
      </c>
      <c r="JE226" s="355" t="str">
        <f t="shared" si="149"/>
        <v/>
      </c>
      <c r="JF226" s="355" t="str">
        <f t="shared" si="150"/>
        <v/>
      </c>
      <c r="JG226" s="355" t="str">
        <f t="shared" si="151"/>
        <v/>
      </c>
      <c r="JH226" s="355" t="str">
        <f t="shared" si="152"/>
        <v/>
      </c>
      <c r="JI226" s="355" t="str">
        <f t="shared" si="153"/>
        <v/>
      </c>
      <c r="JJ226" s="355" t="str">
        <f t="shared" si="154"/>
        <v/>
      </c>
      <c r="JK226" s="355" t="str">
        <f t="shared" si="155"/>
        <v/>
      </c>
      <c r="JL226" s="355" t="str">
        <f t="shared" si="156"/>
        <v/>
      </c>
      <c r="JM226" s="355" t="str">
        <f t="shared" si="157"/>
        <v/>
      </c>
      <c r="JN226" s="355" t="str">
        <f t="shared" si="158"/>
        <v>Ni, </v>
      </c>
      <c r="JO226" s="359" t="str">
        <f t="shared" si="159"/>
        <v/>
      </c>
      <c r="JP226" s="346" t="b">
        <f t="shared" si="160"/>
        <v>0</v>
      </c>
      <c r="JQ226" s="347" t="b">
        <f t="shared" si="161"/>
        <v>0</v>
      </c>
      <c r="JR226" s="347" t="b">
        <f t="shared" si="162"/>
        <v>0</v>
      </c>
      <c r="JS226" s="347" t="b">
        <f t="shared" si="163"/>
        <v>0</v>
      </c>
      <c r="JT226" s="347" t="b">
        <f t="shared" si="164"/>
        <v>0</v>
      </c>
      <c r="JU226" s="347" t="b">
        <f t="shared" si="165"/>
        <v>0</v>
      </c>
      <c r="JV226" s="347" t="b">
        <f t="shared" si="166"/>
        <v>0</v>
      </c>
      <c r="JW226" s="347" t="b">
        <f t="shared" si="167"/>
        <v>0</v>
      </c>
      <c r="JX226" s="347" t="b">
        <f t="shared" si="168"/>
        <v>0</v>
      </c>
      <c r="JY226" s="347" t="b">
        <f t="shared" si="169"/>
        <v>0</v>
      </c>
      <c r="JZ226" s="347" t="b">
        <f t="shared" si="170"/>
        <v>0</v>
      </c>
      <c r="KA226" s="347" t="b">
        <f t="shared" si="171"/>
        <v>0</v>
      </c>
      <c r="KB226" s="365" t="b">
        <f t="shared" si="172"/>
        <v>0</v>
      </c>
      <c r="KC226" s="354" t="str">
        <f t="shared" si="173"/>
        <v/>
      </c>
      <c r="KD226" s="355" t="str">
        <f t="shared" si="174"/>
        <v/>
      </c>
      <c r="KE226" s="355" t="str">
        <f t="shared" si="175"/>
        <v/>
      </c>
      <c r="KF226" s="355" t="str">
        <f t="shared" si="176"/>
        <v/>
      </c>
      <c r="KG226" s="355" t="str">
        <f t="shared" si="177"/>
        <v/>
      </c>
      <c r="KH226" s="355" t="str">
        <f t="shared" si="178"/>
        <v/>
      </c>
      <c r="KI226" s="355" t="str">
        <f t="shared" si="179"/>
        <v/>
      </c>
      <c r="KJ226" s="355" t="str">
        <f t="shared" si="180"/>
        <v/>
      </c>
      <c r="KK226" s="355" t="str">
        <f t="shared" si="181"/>
        <v/>
      </c>
      <c r="KL226" s="355" t="str">
        <f t="shared" si="182"/>
        <v/>
      </c>
      <c r="KM226" s="355" t="str">
        <f t="shared" si="183"/>
        <v/>
      </c>
      <c r="KN226" s="355" t="str">
        <f t="shared" si="184"/>
        <v/>
      </c>
      <c r="KO226" s="359"/>
      <c r="KP226" s="378"/>
      <c r="KQ226" s="379" t="s">
        <v>554</v>
      </c>
      <c r="KR226" s="380" t="s">
        <v>1357</v>
      </c>
      <c r="KS226" s="381" t="str">
        <f>KQ226</f>
        <v>S-R-G-m-P-D-N-S</v>
      </c>
      <c r="KT226" s="382">
        <f t="shared" si="186"/>
        <v>7</v>
      </c>
      <c r="KU226" s="383">
        <f t="shared" si="187"/>
        <v>7</v>
      </c>
      <c r="KV226" s="381" t="str">
        <f t="shared" si="205"/>
        <v>S-N-D-P-m-G-R-S</v>
      </c>
      <c r="KW226" s="382">
        <f t="shared" si="189"/>
        <v>7</v>
      </c>
      <c r="KX226" s="384">
        <f t="shared" si="190"/>
        <v>7</v>
      </c>
      <c r="KY226" s="382">
        <f t="shared" ref="KY226:KZ226" si="670">KW226-KT226</f>
        <v>0</v>
      </c>
      <c r="KZ226" s="369">
        <f t="shared" si="670"/>
        <v>0</v>
      </c>
      <c r="LA226" s="385" t="str">
        <f t="shared" si="192"/>
        <v>✔</v>
      </c>
      <c r="LB226" s="340" t="str">
        <f>IFERROR(__xludf.DUMMYFUNCTION("JOIN("""",ArrayFormula(MID(KS226,LEN(KS226)-SEQUENCE(1,LEN(KS226))+1,1)))"),"S-N-D-P-m-G-R-S")</f>
        <v>S-N-D-P-m-G-R-S</v>
      </c>
      <c r="LC226" s="373" t="str">
        <f>IFERROR(__xludf.DUMMYFUNCTION("JOIN("""",ArrayFormula(MID(KV226,LEN(KV226)-SEQUENCE(1,LEN(KV226))+1,1)))"),"S-R-G-m-P-D-N-S")</f>
        <v>S-R-G-m-P-D-N-S</v>
      </c>
      <c r="LD226" s="373" t="str">
        <f t="shared" si="193"/>
        <v>SRGmPDNS</v>
      </c>
      <c r="LE226" s="339" t="str">
        <f t="shared" si="194"/>
        <v>SRGmPDNS</v>
      </c>
      <c r="LF226" s="386" t="str">
        <f>IFERROR(__xludf.DUMMYFUNCTION("SUBSTITUTE(SUBSTITUTE(CONCATENATE(JOIN("""",LH226:LT226)),""1"",""""),""2"","""")"),"SRGmPDNS")</f>
        <v>SRGmPDNS</v>
      </c>
      <c r="LG226" s="369" t="str">
        <f t="shared" si="195"/>
        <v>✔</v>
      </c>
      <c r="LH226" s="387" t="str">
        <f>IFERROR(__xludf.DUMMYFUNCTION("IF(REGEXMATCH(LD226, ""S""), ""S"",IF(REGEXMATCH(LE226, ""S""), ""S"",""""))"),"S")</f>
        <v>S</v>
      </c>
      <c r="LI226" s="299" t="str">
        <f>IFERROR(__xludf.DUMMYFUNCTION("IF(REGEXMATCH(LD226, ""r""), ""r1"",IF(REGEXMATCH(LE226, ""r""), ""r2"",""""))"),"")</f>
        <v/>
      </c>
      <c r="LJ226" s="299" t="str">
        <f>IFERROR(__xludf.DUMMYFUNCTION("IF(REGEXMATCH(LD226, ""R""), ""R1"",IF(REGEXMATCH(LE226, ""R""), ""R2"",""""))"),"R1")</f>
        <v>R1</v>
      </c>
      <c r="LK226" s="299" t="str">
        <f>IFERROR(__xludf.DUMMYFUNCTION("IF(REGEXMATCH(LD226, ""g""), ""g1"",IF(REGEXMATCH(LE226, ""g""), ""g2"",""""))"),"")</f>
        <v/>
      </c>
      <c r="LL226" s="299" t="str">
        <f>IFERROR(__xludf.DUMMYFUNCTION("IF(REGEXMATCH(LD226, ""G""), ""G1"",IF(REGEXMATCH(LE226, ""G""), ""G2"",""""))"),"G1")</f>
        <v>G1</v>
      </c>
      <c r="LM226" s="299" t="str">
        <f>IFERROR(__xludf.DUMMYFUNCTION("IF(REGEXMATCH(LD226, ""m""), ""m1"",IF(REGEXMATCH(LE226, ""m""), ""m2"",""""))"),"m1")</f>
        <v>m1</v>
      </c>
      <c r="LN226" s="299" t="str">
        <f>IFERROR(__xludf.DUMMYFUNCTION("IF(REGEXMATCH(LD226, ""M""), ""M1"",IF(REGEXMATCH(LE226, ""M""), ""M2"",""""))"),"")</f>
        <v/>
      </c>
      <c r="LO226" s="299" t="str">
        <f>IFERROR(__xludf.DUMMYFUNCTION("IF(REGEXMATCH(LD226, ""P""), ""P1"",IF(REGEXMATCH(LE226, ""P""), ""P2"",""""))"),"P1")</f>
        <v>P1</v>
      </c>
      <c r="LP226" s="299" t="str">
        <f>IFERROR(__xludf.DUMMYFUNCTION("IF(REGEXMATCH(LD226, ""d""), ""d1"",IF(REGEXMATCH(LE226, ""d""), ""d2"",""""))"),"")</f>
        <v/>
      </c>
      <c r="LQ226" s="299" t="str">
        <f>IFERROR(__xludf.DUMMYFUNCTION("IF(REGEXMATCH(LD226, ""D""), ""D1"",IF(REGEXMATCH(LE226, ""D""), ""D2"",""""))"),"D1")</f>
        <v>D1</v>
      </c>
      <c r="LR226" s="299" t="str">
        <f>IFERROR(__xludf.DUMMYFUNCTION("IF(REGEXMATCH(LD226, ""n""), ""n1"",IF(REGEXMATCH(LE226, ""n""), ""n2"",""""))"),"")</f>
        <v/>
      </c>
      <c r="LS226" s="299" t="str">
        <f>IFERROR(__xludf.DUMMYFUNCTION("IF(REGEXMATCH(LD226, ""N""), ""N1"",IF(REGEXMATCH(LE226, ""N""), ""N2"",""""))"),"N1")</f>
        <v>N1</v>
      </c>
      <c r="LT226" s="388" t="str">
        <f>IFERROR(__xludf.DUMMYFUNCTION("IF(REGEXMATCH(LD226, ""S""), ""S"",IF(REGEXMATCH(LE226, ""S""), ""S"",""""))"),"S")</f>
        <v>S</v>
      </c>
      <c r="LU226" s="389">
        <f t="shared" si="196"/>
        <v>1</v>
      </c>
      <c r="LV226" s="378"/>
      <c r="LW226" s="369"/>
      <c r="LX226" s="369"/>
    </row>
    <row r="227" ht="18.0" customHeight="1">
      <c r="A227" s="298" t="s">
        <v>1452</v>
      </c>
      <c r="B227" s="222" t="s">
        <v>1082</v>
      </c>
      <c r="C227" s="233" t="str">
        <f t="shared" si="7"/>
        <v>SRGMDNS</v>
      </c>
      <c r="D227" s="234" t="str">
        <f>IFERROR(__xludf.DUMMYFUNCTION("IF(REGEXMATCH(C227, ""S""), ""S"","""")"),"S")</f>
        <v>S</v>
      </c>
      <c r="E227" s="236" t="str">
        <f>IFERROR(__xludf.DUMMYFUNCTION("IF(REGEXMATCH(C227, ""r""), ""r"","""")"),"")</f>
        <v/>
      </c>
      <c r="F227" s="237" t="str">
        <f>IFERROR(__xludf.DUMMYFUNCTION("IF(REGEXMATCH(C227, ""R""), ""R"","""")"),"R")</f>
        <v>R</v>
      </c>
      <c r="G227" s="237" t="str">
        <f>IFERROR(__xludf.DUMMYFUNCTION("IF(REGEXMATCH(C227, ""g""), ""g"","""")"),"")</f>
        <v/>
      </c>
      <c r="H227" s="236" t="str">
        <f>IFERROR(__xludf.DUMMYFUNCTION("IF(REGEXMATCH(C227, ""G""), ""G"","""")"),"G")</f>
        <v>G</v>
      </c>
      <c r="I227" s="236" t="str">
        <f>IFERROR(__xludf.DUMMYFUNCTION("IF(REGEXMATCH(C227, ""m""), ""m"","""")"),"")</f>
        <v/>
      </c>
      <c r="J227" s="237" t="str">
        <f>IFERROR(__xludf.DUMMYFUNCTION("IF(REGEXMATCH(C227, ""M""), ""M"","""")"),"M")</f>
        <v>M</v>
      </c>
      <c r="K227" s="236" t="str">
        <f>IFERROR(__xludf.DUMMYFUNCTION("IF(REGEXMATCH(C227, ""P""), ""P"","""")"),"")</f>
        <v/>
      </c>
      <c r="L227" s="237" t="str">
        <f>IFERROR(__xludf.DUMMYFUNCTION("IF(REGEXMATCH(C227, ""d""), ""d"","""")"),"")</f>
        <v/>
      </c>
      <c r="M227" s="236" t="str">
        <f>IFERROR(__xludf.DUMMYFUNCTION("IF(REGEXMATCH(C227, ""D""), ""D"","""")"),"D")</f>
        <v>D</v>
      </c>
      <c r="N227" s="236" t="str">
        <f>IFERROR(__xludf.DUMMYFUNCTION("IF(REGEXMATCH(C227, ""n""), ""n"","""")"),"")</f>
        <v/>
      </c>
      <c r="O227" s="237" t="str">
        <f>IFERROR(__xludf.DUMMYFUNCTION("IF(REGEXMATCH(C227, ""N""), ""N"","""")"),"N")</f>
        <v>N</v>
      </c>
      <c r="P227" s="238" t="str">
        <f>IFERROR(__xludf.DUMMYFUNCTION("IF(REGEXMATCH(C227, ""S""), ""S"","""")"),"S")</f>
        <v>S</v>
      </c>
      <c r="Q227" s="239" t="str">
        <f>IFERROR(__xludf.DUMMYFUNCTION("SUBSTITUTE(CONCATENATE(JOIN(""-"",D227:J227)),""-"","""")"),"SRGM")</f>
        <v>SRGM</v>
      </c>
      <c r="R227" s="229" t="str">
        <f>IFERROR(__xludf.DUMMYFUNCTION("SUBSTITUTE(CONCATENATE(JOIN(""-"",K227:P227)),""-"","""")"),"DNS")</f>
        <v>DNS</v>
      </c>
      <c r="S227" s="282" t="str">
        <f t="shared" si="8"/>
        <v>S-R-G-M</v>
      </c>
      <c r="T227" s="282" t="str">
        <f t="shared" si="9"/>
        <v>D-N-S</v>
      </c>
      <c r="U227" s="237" t="str">
        <f>IFERROR(__xludf.DUMMYFUNCTION("SUBSTITUTE(JOIN(""-"",S227,T227),""--"",""-"")"),"S-R-G-M-D-N-S")</f>
        <v>S-R-G-M-D-N-S</v>
      </c>
      <c r="V227" s="309" t="str">
        <f t="shared" si="10"/>
        <v>RGMDN</v>
      </c>
      <c r="W227" s="244" t="str">
        <f>IFERROR(__xludf.DUMMYFUNCTION("IF(REGEXMATCH(C227, ""S""), ""0"","""")"),"0")</f>
        <v>0</v>
      </c>
      <c r="X227" s="245" t="str">
        <f>IFERROR(__xludf.DUMMYFUNCTION("IF(REGEXMATCH(C227, ""r""), ""1"","""")"),"")</f>
        <v/>
      </c>
      <c r="Y227" s="246" t="str">
        <f>IFERROR(__xludf.DUMMYFUNCTION("IF(REGEXMATCH(C227, ""R""), ""2"","""")"),"2")</f>
        <v>2</v>
      </c>
      <c r="Z227" s="246" t="str">
        <f>IFERROR(__xludf.DUMMYFUNCTION("IF(REGEXMATCH(C227, ""g""), ""3"","""")"),"")</f>
        <v/>
      </c>
      <c r="AA227" s="245" t="str">
        <f>IFERROR(__xludf.DUMMYFUNCTION("IF(REGEXMATCH(C227, ""G""), ""4"","""")"),"4")</f>
        <v>4</v>
      </c>
      <c r="AB227" s="245" t="str">
        <f>IFERROR(__xludf.DUMMYFUNCTION("IF(REGEXMATCH(C227, ""m""), ""5"","""")"),"")</f>
        <v/>
      </c>
      <c r="AC227" s="246" t="str">
        <f>IFERROR(__xludf.DUMMYFUNCTION("IF(REGEXMATCH(C227, ""M""), ""6"","""")"),"6")</f>
        <v>6</v>
      </c>
      <c r="AD227" s="245" t="str">
        <f>IFERROR(__xludf.DUMMYFUNCTION("IF(REGEXMATCH(C227, ""P""), ""7"","""")"),"")</f>
        <v/>
      </c>
      <c r="AE227" s="246" t="str">
        <f>IFERROR(__xludf.DUMMYFUNCTION("IF(REGEXMATCH(C227, ""d""), ""8"","""")"),"")</f>
        <v/>
      </c>
      <c r="AF227" s="245" t="str">
        <f>IFERROR(__xludf.DUMMYFUNCTION("IF(REGEXMATCH(C227, ""D""), ""9"","""")"),"9")</f>
        <v>9</v>
      </c>
      <c r="AG227" s="245" t="str">
        <f>IFERROR(__xludf.DUMMYFUNCTION("IF(REGEXMATCH(C227, ""n""), ""10"","""")"),"")</f>
        <v/>
      </c>
      <c r="AH227" s="246" t="str">
        <f>IFERROR(__xludf.DUMMYFUNCTION("IF(REGEXMATCH(C227, ""N""), ""11"","""")"),"11")</f>
        <v>11</v>
      </c>
      <c r="AI227" s="249" t="str">
        <f>IFERROR(__xludf.DUMMYFUNCTION("IF(REGEXMATCH(C227, ""S""), ""0"","""")"),"0")</f>
        <v>0</v>
      </c>
      <c r="AJ227" s="313" t="str">
        <f t="shared" si="11"/>
        <v>T</v>
      </c>
      <c r="AK227" s="313" t="str">
        <f t="shared" si="12"/>
        <v>-</v>
      </c>
      <c r="AL227" s="313" t="str">
        <f t="shared" si="13"/>
        <v>-</v>
      </c>
      <c r="AM227" s="313" t="str">
        <f t="shared" si="14"/>
        <v>-</v>
      </c>
      <c r="AN227" s="313" t="str">
        <f t="shared" si="15"/>
        <v>-</v>
      </c>
      <c r="AO227" s="314" t="str">
        <f t="shared" si="16"/>
        <v>-</v>
      </c>
      <c r="AP227" s="316">
        <f t="shared" si="17"/>
        <v>1</v>
      </c>
      <c r="AQ227" s="319" t="str">
        <f t="shared" si="18"/>
        <v>#REF!</v>
      </c>
      <c r="AR227" s="320">
        <f t="shared" si="19"/>
        <v>0</v>
      </c>
      <c r="AS227" s="250" t="str">
        <f>IFERROR(__xludf.DUMMYFUNCTION("SUBSTITUTE(SUBSTITUTE(CONCATENATE(JOIN("""",FP227:GA227)),""|"",""x""),""-"",""o"")"),"xoxoxoxooxox")</f>
        <v>xoxoxoxooxox</v>
      </c>
      <c r="AT227" s="323" t="str">
        <f>IFERROR(__xludf.DUMMYFUNCTION("JOIN("""",AS227,AS227)"),"xoxoxoxooxoxxoxoxoxooxox")</f>
        <v>xoxoxoxooxoxxoxoxoxooxox</v>
      </c>
      <c r="AU227" s="256" t="str">
        <f>IFERROR(__xludf.DUMMYFUNCTION("JOIN("""",ArrayFormula(MID(AS227,LEN(AS227)-SEQUENCE(1,LEN(AS227))+1,1)))"),"xoxooxoxoxox")</f>
        <v>xoxooxoxoxox</v>
      </c>
      <c r="AV227" s="256" t="str">
        <f>IFERROR(__xludf.DUMMYFUNCTION("LEFT(CONCATENATE(""x"",JOIN("""",ArrayFormula(MID(AS227,LEN(AS227)-SEQUENCE(1,LEN(AS227))+1,1)))),12)"),"xxoxooxoxoxo")</f>
        <v>xxoxooxoxoxo</v>
      </c>
      <c r="AW227" s="327" t="str">
        <f>IFERROR(__xludf.DUMMYFUNCTION("JOIN("""",AU227,AU227)"),"xoxooxoxoxoxxoxooxoxoxox")</f>
        <v>xoxooxoxoxoxxoxooxoxoxox</v>
      </c>
      <c r="AX227" s="239" t="str">
        <f>IFERROR(__xludf.DUMMYFUNCTION("IF(REGEXMATCH(AW227,AS227),""✔"",""-"")"),"-")</f>
        <v>-</v>
      </c>
      <c r="AY227" s="330" t="str">
        <f t="shared" si="20"/>
        <v>-</v>
      </c>
      <c r="AZ227" s="260" t="str">
        <f t="shared" si="21"/>
        <v>#REF!</v>
      </c>
      <c r="BA227" s="333" t="str">
        <f t="shared" si="22"/>
        <v>xoxoxox</v>
      </c>
      <c r="BB227" s="334" t="str">
        <f t="shared" si="23"/>
        <v>ooxoxx</v>
      </c>
      <c r="BC227" s="335" t="str">
        <f t="shared" si="236"/>
        <v>-</v>
      </c>
      <c r="BD227" s="336" t="str">
        <f t="shared" si="25"/>
        <v>Maru: 'xoxoxox' + 'ooxoxx'</v>
      </c>
      <c r="BE227" s="337">
        <f>IFERROR(__xludf.DUMMYFUNCTION("COUNTUNIQUE(FILTER(AT:AT,REGEXMATCH(AT:AT,AS227)))-1"),1.0)</f>
        <v>1</v>
      </c>
      <c r="BF227" s="261" t="str">
        <f>IFERROR(__xludf.DUMMYFUNCTION("IF(BI227=0,""(n/a)"",IF(BJ227=2,""(PAIR)"",IF(REGEXMATCH(AT227,""xoxoxxoxoxox""),""Bilawal"",IF(REGEXMATCH(AT227,""xoxoxooxoxoo""),""Bhupali"",IF(REGEXMATCH(AT227,""xoxoxxoxxoxo""),""Charukeshi"",IF(REGEXMATCH(AT227,""xoxoooxxoxxo""),""Kameshwari"",IF(REG"&amp;"EXMATCH(AT227,""xoxoxooxoxox""),""Shankara"",IF(REGEXMATCH(AT227,""xxooxoxxxoox""),""Basant"",IF(REGEXMATCH(AT227,""xoxoxxxxoxox""),""Bihag"",IF(REGEXMATCH(AT227,""xoxxxxoxoxxx""),""Pilu"",IF(REGEXMATCH(AT227,""xoxxoxoxxoox""),""Kirwani"",IF(REGEXMATCH(AT"&amp;"227,""xoxxoxoxoxxx""),""Mk.Malhar"",IF(REGEXMATCH(AT227,""xxooxxoxxoox""),""Bhairav"",IF(REGEXMATCH(AT227,""xxoxooxxxoox""),""Todi"",IF(REGEXMATCH(AT227,""xxooxoxooxox""),""Marwa"",IF(REGEXMATCH(AT227,""xxoooxoxxooo""),""Gunkali"",IF(REGEXMATCH(AT227,""xo"&amp;"xoxxoxxoox""),""Nat Bhairav"",IF(REGEXMATCH(AT227,""xoxxoooxoxoo""),""Shivranjani"",IF(REGEXMATCH(AT227,""xooxxxoxooxo""),""Jog"",IF(REGEXMATCH(AT227,""xxooxoxoxoox""),""Hemshri"",IF(REGEXMATCH(AT227,""xoooxooxoxxo""),""Kalavati"",IF(REGEXMATCH(AT227,""xx"&amp;"oxoxxoxoox""),""Kedar"",IF(REGEXMATCH(AT227,""xoxxxxoxooxx""),""Gara"",IF(REGEXMATCH(AT227,""xooxoxooxoox""),""Chandrakauns"",IF(REGEXMATCH(AT227,""xoxxxxoxxxox""),""Mand"",IF(REGEXMATCH(AT227,""xoxxxxoxoxox""),""Hanskinkini"",IF(REGEXMATCH(AT227,""xxooxx"&amp;"oxooxo""),""Lilavati"",IF(REGEXMATCH(AT227,""xooxoxoooxox""),""Rajeshwari"",IF(REGEXMATCH(AT227,""xoooxxoxoxxx""),""Khokar"",IF(REGEXMATCH(AT227,""xxooxoxxxxox""),""Maligoura"",""-""))))))))))))))))))))))))))))))"),"-")</f>
        <v>-</v>
      </c>
      <c r="BG227" s="239" t="str">
        <f t="shared" si="26"/>
        <v>#REF!</v>
      </c>
      <c r="BH227" s="239">
        <f>IFERROR(__xludf.DUMMYFUNCTION("COUNTUNIQUE(FE227:FO227)-1"),5.0)</f>
        <v>5</v>
      </c>
      <c r="BI227" s="239">
        <f>IFERROR(__xludf.DUMMYFUNCTION("COUNTUNIQUE(FILTER(AT:AT,REGEXMATCH(AT:AT,AS227)))-1"),1.0)</f>
        <v>1</v>
      </c>
      <c r="BJ227" s="239">
        <f>IFERROR(__xludf.DUMMYFUNCTION("COUNTA(FILTER(AT:AT,REGEXMATCH(AT:AT,AS227)))"),3.0)</f>
        <v>3</v>
      </c>
      <c r="BK227" s="341">
        <f>IFERROR(__xludf.DUMMYFUNCTION("COUNTA(FILTER(AT:AT,REGEXMATCH(AT:AT,AS227)))-AR227"),3.0)</f>
        <v>3</v>
      </c>
      <c r="BL227" s="276" t="str">
        <f>IFERROR(__xludf.DUMMYFUNCTION("IF(AS227=""oooooooooooo"",""-"",IF(REGEXMATCH(AT227,""xx""), ""Hemi."", ""Anhemi.""))"),"Hemi.")</f>
        <v>Hemi.</v>
      </c>
      <c r="BM227" s="282" t="str">
        <f>IFERROR(__xludf.DUMMYFUNCTION("IF(AS227=""oooooooooooo"",""-"",IF(REGEXMATCH(AT227,""xxx""), ""Cohem."", ""-""))"),"-")</f>
        <v>-</v>
      </c>
      <c r="BN227" s="282" t="str">
        <f>IFERROR(__xludf.DUMMYFUNCTION("IF(AS227=""oooooooooooo"",""-"",IF(REGEXMATCH(AT227,""xxxx""), ""Co-Co."", ""-""))"),"-")</f>
        <v>-</v>
      </c>
      <c r="BO227" s="342" t="str">
        <f>IFERROR(__xludf.DUMMYFUNCTION("IF(AS227=""oooooooooooo"",""-"",IF(REGEXMATCH(AT227,""xxxxx""), ""CCC."", ""-""))"),"-")</f>
        <v>-</v>
      </c>
      <c r="BP227" s="344" t="str">
        <f t="shared" si="27"/>
        <v>-</v>
      </c>
      <c r="BQ227" s="282" t="str">
        <f>IFERROR(__xludf.DUMMYFUNCTION("IF(REGEXMATCH(JOIN(""-"",EU227:FD227),""TRUE""),""✔"",""-"")"),"✔")</f>
        <v>✔</v>
      </c>
      <c r="BR227" s="225">
        <f t="shared" si="28"/>
        <v>1</v>
      </c>
      <c r="BS227" s="345" t="str">
        <f>IFERROR(__xludf.DUMMYFUNCTION("SUBSTITUTE(SUBSTITUTE(SUBSTITUTE(SUBSTITUTE(CONCATENATE(JOIN(""-"",GC227:GO227)),""--"",""-""),""--"",""-""),""--"",""-""),""--"",""-"")"),"1-2-3-#4-6-7-8")</f>
        <v>1-2-3-#4-6-7-8</v>
      </c>
      <c r="BT227" s="299" t="str">
        <f>IFERROR(__xludf.DUMMYFUNCTION("SUBSTITUTE(SUBSTITUTE(SUBSTITUTE(SUBSTITUTE(CONCATENATE(JOIN(""-"",GP227:HB227)),""--"",""-""),""--"",""-""),""--"",""-""),""--"",""-"")"),"S-R2-G3-M2-D2-N3-S")</f>
        <v>S-R2-G3-M2-D2-N3-S</v>
      </c>
      <c r="BU227" s="348" t="str">
        <f t="shared" si="29"/>
        <v>C-D-E-F#-A-B-C</v>
      </c>
      <c r="BV227" s="349" t="str">
        <f t="shared" si="30"/>
        <v>SrgmPdnS</v>
      </c>
      <c r="BW227" s="350">
        <f t="shared" si="31"/>
        <v>4</v>
      </c>
      <c r="BX227" s="351">
        <f t="shared" si="32"/>
        <v>2</v>
      </c>
      <c r="BY227" s="392"/>
      <c r="BZ227" s="309" t="str">
        <f>IFERROR(__xludf.DUMMYFUNCTION("IF(REGEXMATCH(C227, ""S""), ""x"",""x"")"),"x")</f>
        <v>x</v>
      </c>
      <c r="CA227" s="245" t="str">
        <f>IFERROR(__xludf.DUMMYFUNCTION("IF(REGEXMATCH(C227, ""r""), ""o"",""x"")"),"x")</f>
        <v>x</v>
      </c>
      <c r="CB227" s="246" t="str">
        <f>IFERROR(__xludf.DUMMYFUNCTION("IF(REGEXMATCH(C227, ""R""), ""o"",""x"")"),"o")</f>
        <v>o</v>
      </c>
      <c r="CC227" s="246" t="str">
        <f>IFERROR(__xludf.DUMMYFUNCTION("IF(REGEXMATCH(C227, ""g""), ""o"",""x"")"),"x")</f>
        <v>x</v>
      </c>
      <c r="CD227" s="245" t="str">
        <f>IFERROR(__xludf.DUMMYFUNCTION("IF(REGEXMATCH(C227, ""G""), ""o"",""x"")"),"o")</f>
        <v>o</v>
      </c>
      <c r="CE227" s="245" t="str">
        <f>IFERROR(__xludf.DUMMYFUNCTION("IF(REGEXMATCH(C227, ""m""), ""o"",""x"")"),"x")</f>
        <v>x</v>
      </c>
      <c r="CF227" s="246" t="str">
        <f>IFERROR(__xludf.DUMMYFUNCTION("IF(REGEXMATCH(C227, ""M""), ""o"",""x"")"),"o")</f>
        <v>o</v>
      </c>
      <c r="CG227" s="245" t="str">
        <f>IFERROR(__xludf.DUMMYFUNCTION("IF(REGEXMATCH(C227, ""P""), ""o"",""x"")"),"x")</f>
        <v>x</v>
      </c>
      <c r="CH227" s="246" t="str">
        <f>IFERROR(__xludf.DUMMYFUNCTION("IF(REGEXMATCH(C227, ""d""), ""o"",""x"")"),"x")</f>
        <v>x</v>
      </c>
      <c r="CI227" s="245" t="str">
        <f>IFERROR(__xludf.DUMMYFUNCTION("IF(REGEXMATCH(C227, ""D""), ""o"",""x"")"),"o")</f>
        <v>o</v>
      </c>
      <c r="CJ227" s="245" t="str">
        <f>IFERROR(__xludf.DUMMYFUNCTION("IF(REGEXMATCH(C227, ""n""), ""o"",""x"")"),"x")</f>
        <v>x</v>
      </c>
      <c r="CK227" s="245" t="str">
        <f>IFERROR(__xludf.DUMMYFUNCTION("IF(REGEXMATCH(C227, ""N""), ""o"",""x"")"),"o")</f>
        <v>o</v>
      </c>
      <c r="CL227" s="356" t="str">
        <f>IFERROR(__xludf.DUMMYFUNCTION("IF(REGEXMATCH(C227, ""S""), ""x"",""x"")"),"x")</f>
        <v>x</v>
      </c>
      <c r="CM227" s="357" t="str">
        <f t="shared" si="33"/>
        <v>xxoxoxoxxoxo</v>
      </c>
      <c r="CN227" s="358">
        <f t="shared" si="34"/>
        <v>4</v>
      </c>
      <c r="CO227" s="246" t="str">
        <f>IFERROR(__xludf.DUMMYFUNCTION("IF(REGEXMATCH($C227, ""S""), ""S"",""S"")"),"S")</f>
        <v>S</v>
      </c>
      <c r="CP227" s="246" t="str">
        <f>IFERROR(__xludf.DUMMYFUNCTION("IF(REGEXMATCH($C227, ""r""), """",""r"")"),"r")</f>
        <v>r</v>
      </c>
      <c r="CQ227" s="246" t="str">
        <f>IFERROR(__xludf.DUMMYFUNCTION("IF(REGEXMATCH($C227, ""R""), """",""R"")"),"")</f>
        <v/>
      </c>
      <c r="CR227" s="246" t="str">
        <f>IFERROR(__xludf.DUMMYFUNCTION("IF(REGEXMATCH($C227, ""g""), """",""g"")"),"g")</f>
        <v>g</v>
      </c>
      <c r="CS227" s="246" t="str">
        <f>IFERROR(__xludf.DUMMYFUNCTION("IF(REGEXMATCH($C227, ""G""), """",""G"")"),"")</f>
        <v/>
      </c>
      <c r="CT227" s="246" t="str">
        <f>IFERROR(__xludf.DUMMYFUNCTION("IF(REGEXMATCH($C227, ""m""), """",""m"")"),"m")</f>
        <v>m</v>
      </c>
      <c r="CU227" s="246" t="str">
        <f>IFERROR(__xludf.DUMMYFUNCTION("IF(REGEXMATCH($C227, ""M""), """",""M"")"),"")</f>
        <v/>
      </c>
      <c r="CV227" s="246" t="str">
        <f>IFERROR(__xludf.DUMMYFUNCTION("IF(REGEXMATCH($C227, ""P""), """",""P"")"),"P")</f>
        <v>P</v>
      </c>
      <c r="CW227" s="246" t="str">
        <f>IFERROR(__xludf.DUMMYFUNCTION("IF(REGEXMATCH($C227, ""d""), """",""d"")"),"d")</f>
        <v>d</v>
      </c>
      <c r="CX227" s="246" t="str">
        <f>IFERROR(__xludf.DUMMYFUNCTION("IF(REGEXMATCH($C227, ""D""), """",""D"")"),"")</f>
        <v/>
      </c>
      <c r="CY227" s="246" t="str">
        <f>IFERROR(__xludf.DUMMYFUNCTION("IF(REGEXMATCH($C227, ""n""), """",""n"")"),"n")</f>
        <v>n</v>
      </c>
      <c r="CZ227" s="246" t="str">
        <f>IFERROR(__xludf.DUMMYFUNCTION("IF(REGEXMATCH($C227, ""N""), """",""N"")"),"")</f>
        <v/>
      </c>
      <c r="DA227" s="246" t="str">
        <f>IFERROR(__xludf.DUMMYFUNCTION("IF(REGEXMATCH($C227, ""S""), ""S"",""S"")"),"S")</f>
        <v>S</v>
      </c>
      <c r="DB227" s="362" t="str">
        <f>IFERROR(__xludf.DUMMYFUNCTION("JOIN("""",CO227:DA227,"""","""")"),"SrgmPdnS")</f>
        <v>SrgmPdnS</v>
      </c>
      <c r="DC227" s="363"/>
      <c r="DD227" s="301" t="str">
        <f t="shared" si="35"/>
        <v>#REF!</v>
      </c>
      <c r="DE227" s="302" t="str">
        <f t="shared" si="36"/>
        <v>#REF!</v>
      </c>
      <c r="DF227" s="301" t="str">
        <f t="shared" ref="DF227:DG227" si="671">SUBSTITUTE(S227,"-","")</f>
        <v>SRGM</v>
      </c>
      <c r="DG227" s="301" t="str">
        <f t="shared" si="671"/>
        <v>DNS</v>
      </c>
      <c r="DH227" s="302" t="str">
        <f t="shared" si="38"/>
        <v>-</v>
      </c>
      <c r="DI227" s="301" t="str">
        <f t="shared" si="39"/>
        <v>Hemi.</v>
      </c>
      <c r="DJ227" s="364" t="str">
        <f t="shared" si="40"/>
        <v>-</v>
      </c>
      <c r="DK227" s="306" t="str">
        <f t="shared" si="41"/>
        <v>-</v>
      </c>
      <c r="DL227" s="366" t="str">
        <f t="shared" si="42"/>
        <v>✔</v>
      </c>
      <c r="DM227" s="308" t="str">
        <f t="shared" si="43"/>
        <v>-</v>
      </c>
      <c r="DN227" s="306" t="str">
        <f t="shared" si="44"/>
        <v>-</v>
      </c>
      <c r="DO227" s="306" t="str">
        <f t="shared" si="45"/>
        <v>-</v>
      </c>
      <c r="DP227" s="367" t="str">
        <f t="shared" si="46"/>
        <v>✔</v>
      </c>
      <c r="DQ227" s="310" t="str">
        <f t="shared" si="47"/>
        <v>-</v>
      </c>
      <c r="DR227" s="310" t="str">
        <f t="shared" si="48"/>
        <v>-</v>
      </c>
      <c r="DS227" s="310" t="str">
        <f t="shared" si="49"/>
        <v>-</v>
      </c>
      <c r="DT227" s="310" t="str">
        <f t="shared" si="50"/>
        <v>-</v>
      </c>
      <c r="DU227" s="370" t="str">
        <f t="shared" si="51"/>
        <v>-</v>
      </c>
      <c r="DV227" s="306" t="str">
        <f t="shared" si="52"/>
        <v>-</v>
      </c>
      <c r="DW227" s="306" t="str">
        <f t="shared" si="53"/>
        <v>-</v>
      </c>
      <c r="DX227" s="306" t="str">
        <f t="shared" si="54"/>
        <v>-</v>
      </c>
      <c r="DY227" s="306" t="str">
        <f t="shared" si="55"/>
        <v>✔</v>
      </c>
      <c r="DZ227" s="306" t="str">
        <f t="shared" si="56"/>
        <v>-</v>
      </c>
      <c r="EA227" s="367" t="str">
        <f t="shared" si="57"/>
        <v>-</v>
      </c>
      <c r="EB227" s="310" t="str">
        <f>IFERROR(__xludf.DUMMYFUNCTION("IF(REGEXMATCH(AW227,AS227),""✔"",""-"")"),"-")</f>
        <v>-</v>
      </c>
      <c r="EC227" s="310" t="str">
        <f t="shared" si="58"/>
        <v>#REF!</v>
      </c>
      <c r="ED227" s="370" t="str">
        <f t="shared" si="59"/>
        <v>-</v>
      </c>
      <c r="EE227" s="340" t="str">
        <f t="shared" si="60"/>
        <v>S-R-G-M-D-N-S</v>
      </c>
      <c r="EF227" s="371" t="str">
        <f>IFERROR(__xludf.DUMMYFUNCTION("CONCATENATE(JOIN("""",HC227:HO227))"),"SrgMdnS")</f>
        <v>SrgMdnS</v>
      </c>
      <c r="EG227" s="372">
        <f t="shared" si="61"/>
        <v>2</v>
      </c>
      <c r="EH227" s="373" t="str">
        <f>IFERROR(__xludf.DUMMYFUNCTION("CONCATENATE(JOIN("""",JC227:JO227))"),"Sa, Ma, ")</f>
        <v>Sa, Ma, </v>
      </c>
      <c r="EI227" s="322">
        <f t="shared" si="62"/>
        <v>1</v>
      </c>
      <c r="EJ227" s="374" t="str">
        <f>IFERROR(__xludf.DUMMYFUNCTION("CONCATENATE(JOIN("""",KC227:KO227))"),"Sa, ")</f>
        <v>Sa, </v>
      </c>
      <c r="EK227" s="325" t="str">
        <f t="shared" si="63"/>
        <v>S-R2-G3-M2-D2-N3-S</v>
      </c>
      <c r="EL227" s="326" t="str">
        <f t="shared" si="64"/>
        <v>1-2-3-#4-6-7-8</v>
      </c>
      <c r="EM227" s="318" t="str">
        <f t="shared" si="65"/>
        <v>#REF!</v>
      </c>
      <c r="EN227" s="328" t="str">
        <f>IFERROR(__xludf.DUMMYFUNCTION("SUBSTITUTE(SUBSTITUTE(SUBSTITUTE(SUBSTITUTE(CONCATENATE(JOIN("" "",HP227:IB227)),""  "","" ""),""  "","" ""),""  "","" ""),""  "","" "")"),"o • o • o • o • • o • o o")</f>
        <v>o • o • o • o • • o • o o</v>
      </c>
      <c r="EO227" s="368" t="str">
        <f t="shared" si="66"/>
        <v>Sa-Pa</v>
      </c>
      <c r="EP227" s="339" t="str">
        <f t="shared" si="67"/>
        <v>Sa-Pa</v>
      </c>
      <c r="EQ227" s="339" t="str">
        <f t="shared" si="68"/>
        <v>-</v>
      </c>
      <c r="ER227" s="339" t="str">
        <f t="shared" si="69"/>
        <v>-</v>
      </c>
      <c r="ES227" s="340" t="str">
        <f t="shared" si="70"/>
        <v>-</v>
      </c>
      <c r="ET227" s="363"/>
      <c r="EU227" s="376" t="b">
        <f>IFERROR(__xludf.DUMMYFUNCTION("arrayformula(sum(--REGEXMATCH(""SRGMPDNS"",split(REGEXREPLACE(C227,""(.)"",""$1~""),""~""))))=len(C227)
"),TRUE)</f>
        <v>1</v>
      </c>
      <c r="EV227" s="290" t="b">
        <f>IFERROR(__xludf.DUMMYFUNCTION("arrayformula(sum(--REGEXMATCH(""SRGmPDNS"",split(REGEXREPLACE(C227,""(.)"",""$1~""),""~""))))=len(C227)"),FALSE)</f>
        <v>0</v>
      </c>
      <c r="EW227" s="290" t="b">
        <f>IFERROR(__xludf.DUMMYFUNCTION("arrayformula(sum(--REGEXMATCH(""SRGmPDnS"",split(REGEXREPLACE(C227,""(.)"",""$1~""),""~""))))=len(C227)"),FALSE)</f>
        <v>0</v>
      </c>
      <c r="EX227" s="290" t="b">
        <f>IFERROR(__xludf.DUMMYFUNCTION("arrayformula(sum(--REGEXMATCH(""SRgmPDnS"",split(REGEXREPLACE(C227,""(.)"",""$1~""),""~""))))=len(C227)"),FALSE)</f>
        <v>0</v>
      </c>
      <c r="EY227" s="290" t="b">
        <f>IFERROR(__xludf.DUMMYFUNCTION("arrayformula(sum(--REGEXMATCH(""SRgmPdnS"",split(REGEXREPLACE(C227,""(.)"",""$1~""),""~""))))=len(C227)"),FALSE)</f>
        <v>0</v>
      </c>
      <c r="EZ227" s="290" t="b">
        <f>IFERROR(__xludf.DUMMYFUNCTION("arrayformula(sum(--REGEXMATCH(""SrgmPdnS"",split(REGEXREPLACE(C227,""(.)"",""$1~""),""~""))))=len(C227)"),FALSE)</f>
        <v>0</v>
      </c>
      <c r="FA227" s="290" t="b">
        <f>IFERROR(__xludf.DUMMYFUNCTION("arrayformula(sum(--REGEXMATCH(""SrGmPdNS"",split(REGEXREPLACE(C227,""(.)"",""$1~""),""~""))))=len(C227)"),FALSE)</f>
        <v>0</v>
      </c>
      <c r="FB227" s="290" t="b">
        <f>IFERROR(__xludf.DUMMYFUNCTION("arrayformula(sum(--REGEXMATCH(""SrGMPDNS"",split(REGEXREPLACE(C227,""(.)"",""$1~""),""~""))))=len(C227)"),FALSE)</f>
        <v>0</v>
      </c>
      <c r="FC227" s="290" t="b">
        <f>IFERROR(__xludf.DUMMYFUNCTION("arrayformula(sum(--REGEXMATCH(""SrGMPdNS"",split(REGEXREPLACE(C227,""(.)"",""$1~""),""~""))))=len(C227)"),FALSE)</f>
        <v>0</v>
      </c>
      <c r="FD227" s="377" t="b">
        <f>IFERROR(__xludf.DUMMYFUNCTION("arrayformula(sum(--REGEXMATCH(""SrgMPdNS"",split(REGEXREPLACE(C227,""(.)"",""$1~""),""~""))))=len(C227)"),FALSE)</f>
        <v>0</v>
      </c>
      <c r="FE227" s="269" t="str">
        <f t="shared" si="71"/>
        <v>-</v>
      </c>
      <c r="FF227" s="269" t="str">
        <f t="shared" si="72"/>
        <v>xoxoxooxoxx</v>
      </c>
      <c r="FG227" s="271" t="str">
        <f t="shared" si="73"/>
        <v>-</v>
      </c>
      <c r="FH227" s="269" t="str">
        <f t="shared" si="74"/>
        <v>xoxooxoxxox</v>
      </c>
      <c r="FI227" s="271" t="str">
        <f t="shared" si="75"/>
        <v>-</v>
      </c>
      <c r="FJ227" s="271" t="str">
        <f t="shared" si="76"/>
        <v>xooxoxxoxox</v>
      </c>
      <c r="FK227" s="271" t="str">
        <f t="shared" si="77"/>
        <v>-</v>
      </c>
      <c r="FL227" s="271" t="str">
        <f t="shared" si="78"/>
        <v>-</v>
      </c>
      <c r="FM227" s="271" t="str">
        <f t="shared" si="79"/>
        <v>xoxxoxoxoxo</v>
      </c>
      <c r="FN227" s="271" t="str">
        <f t="shared" si="80"/>
        <v>-</v>
      </c>
      <c r="FO227" s="274" t="str">
        <f t="shared" si="81"/>
        <v>xxoxoxoxoox</v>
      </c>
      <c r="FP227" s="234" t="str">
        <f t="shared" si="82"/>
        <v>|</v>
      </c>
      <c r="FQ227" s="236" t="str">
        <f t="shared" si="83"/>
        <v>-</v>
      </c>
      <c r="FR227" s="237" t="str">
        <f t="shared" si="84"/>
        <v>|</v>
      </c>
      <c r="FS227" s="236" t="str">
        <f t="shared" si="85"/>
        <v>-</v>
      </c>
      <c r="FT227" s="237" t="str">
        <f t="shared" si="86"/>
        <v>|</v>
      </c>
      <c r="FU227" s="236" t="str">
        <f t="shared" si="87"/>
        <v>-</v>
      </c>
      <c r="FV227" s="237" t="str">
        <f t="shared" si="88"/>
        <v>|</v>
      </c>
      <c r="FW227" s="236" t="str">
        <f t="shared" si="89"/>
        <v>-</v>
      </c>
      <c r="FX227" s="237" t="str">
        <f t="shared" si="90"/>
        <v>-</v>
      </c>
      <c r="FY227" s="236" t="str">
        <f t="shared" si="91"/>
        <v>|</v>
      </c>
      <c r="FZ227" s="237" t="str">
        <f t="shared" si="92"/>
        <v>-</v>
      </c>
      <c r="GA227" s="236" t="str">
        <f t="shared" si="93"/>
        <v>|</v>
      </c>
      <c r="GB227" s="238" t="str">
        <f t="shared" si="94"/>
        <v>|</v>
      </c>
      <c r="GC227" s="244" t="str">
        <f>IFERROR(__xludf.DUMMYFUNCTION("IF(REGEXMATCH(C227, ""S""), ""1"","""")"),"1")</f>
        <v>1</v>
      </c>
      <c r="GD227" s="245" t="str">
        <f>IFERROR(__xludf.DUMMYFUNCTION("IF(REGEXMATCH(C227, ""r""), ""b2"","""")"),"")</f>
        <v/>
      </c>
      <c r="GE227" s="246" t="str">
        <f>IFERROR(__xludf.DUMMYFUNCTION("IF(REGEXMATCH(C227, ""R""), ""2"","""")"),"2")</f>
        <v>2</v>
      </c>
      <c r="GF227" s="246" t="str">
        <f>IFERROR(__xludf.DUMMYFUNCTION("IF(REGEXMATCH(C227, ""g""), ""b3"","""")"),"")</f>
        <v/>
      </c>
      <c r="GG227" s="245" t="str">
        <f>IFERROR(__xludf.DUMMYFUNCTION("IF(REGEXMATCH(C227, ""G""), ""3"","""")"),"3")</f>
        <v>3</v>
      </c>
      <c r="GH227" s="245" t="str">
        <f>IFERROR(__xludf.DUMMYFUNCTION("IF(REGEXMATCH(C227, ""m""), ""4"","""")"),"")</f>
        <v/>
      </c>
      <c r="GI227" s="246" t="str">
        <f>IFERROR(__xludf.DUMMYFUNCTION("IF(REGEXMATCH(C227, ""M""), ""#4"","""")"),"#4")</f>
        <v>#4</v>
      </c>
      <c r="GJ227" s="245" t="str">
        <f>IFERROR(__xludf.DUMMYFUNCTION("IF(REGEXMATCH(C227, ""P""), ""5"","""")"),"")</f>
        <v/>
      </c>
      <c r="GK227" s="246" t="str">
        <f>IFERROR(__xludf.DUMMYFUNCTION("IF(REGEXMATCH(C227, ""d""), ""b6"","""")"),"")</f>
        <v/>
      </c>
      <c r="GL227" s="245" t="str">
        <f>IFERROR(__xludf.DUMMYFUNCTION("IF(REGEXMATCH(C227, ""D""), ""6"","""")"),"6")</f>
        <v>6</v>
      </c>
      <c r="GM227" s="245" t="str">
        <f>IFERROR(__xludf.DUMMYFUNCTION("IF(REGEXMATCH(C227, ""n""), ""b7"","""")"),"")</f>
        <v/>
      </c>
      <c r="GN227" s="246" t="str">
        <f>IFERROR(__xludf.DUMMYFUNCTION("IF(REGEXMATCH(C227, ""N""), ""7"","""")"),"7")</f>
        <v>7</v>
      </c>
      <c r="GO227" s="249" t="str">
        <f>IFERROR(__xludf.DUMMYFUNCTION("IF(REGEXMATCH(C227, ""S""), ""8"","""")"),"8")</f>
        <v>8</v>
      </c>
      <c r="GP227" s="244" t="str">
        <f>IFERROR(__xludf.DUMMYFUNCTION("IF(REGEXMATCH(C227, ""S""), ""S"","""")"),"S")</f>
        <v>S</v>
      </c>
      <c r="GQ227" s="294" t="str">
        <f>IFERROR(__xludf.DUMMYFUNCTION("IF(REGEXMATCH(C227, ""r""), ""R1"","""")"),"")</f>
        <v/>
      </c>
      <c r="GR227" s="295" t="str">
        <f>IFERROR(__xludf.DUMMYFUNCTION("IF(REGEXMATCH(C227, ""R""), ""R2"","""")"),"R2")</f>
        <v>R2</v>
      </c>
      <c r="GS227" s="295" t="str">
        <f>IFERROR(__xludf.DUMMYFUNCTION("IF(REGEXMATCH(C227, ""g""), ""G2"","""")"),"")</f>
        <v/>
      </c>
      <c r="GT227" s="294" t="str">
        <f>IFERROR(__xludf.DUMMYFUNCTION("IF(REGEXMATCH(C227, ""G""), ""G3"","""")"),"G3")</f>
        <v>G3</v>
      </c>
      <c r="GU227" s="294" t="str">
        <f>IFERROR(__xludf.DUMMYFUNCTION("IF(REGEXMATCH(C227, ""m""), ""M1"","""")"),"")</f>
        <v/>
      </c>
      <c r="GV227" s="295" t="str">
        <f>IFERROR(__xludf.DUMMYFUNCTION("IF(REGEXMATCH(C227, ""M""), ""M2"","""")"),"M2")</f>
        <v>M2</v>
      </c>
      <c r="GW227" s="294" t="str">
        <f>IFERROR(__xludf.DUMMYFUNCTION("IF(REGEXMATCH(C227, ""P""), ""P"","""")"),"")</f>
        <v/>
      </c>
      <c r="GX227" s="295" t="str">
        <f>IFERROR(__xludf.DUMMYFUNCTION("IF(REGEXMATCH(C227, ""d""), ""D1"","""")"),"")</f>
        <v/>
      </c>
      <c r="GY227" s="294" t="str">
        <f>IFERROR(__xludf.DUMMYFUNCTION("IF(REGEXMATCH(C227, ""D""), ""D2"","""")"),"D2")</f>
        <v>D2</v>
      </c>
      <c r="GZ227" s="294" t="str">
        <f>IFERROR(__xludf.DUMMYFUNCTION("IF(REGEXMATCH(C227, ""n""), ""N2"","""")"),"")</f>
        <v/>
      </c>
      <c r="HA227" s="295" t="str">
        <f>IFERROR(__xludf.DUMMYFUNCTION("IF(REGEXMATCH(C227, ""N""), ""N3"","""")"),"N3")</f>
        <v>N3</v>
      </c>
      <c r="HB227" s="249" t="str">
        <f>IFERROR(__xludf.DUMMYFUNCTION("IF(REGEXMATCH(C227, ""S""), ""S"","""")"),"S")</f>
        <v>S</v>
      </c>
      <c r="HC227" s="331" t="str">
        <f t="shared" si="95"/>
        <v>S</v>
      </c>
      <c r="HD227" s="332" t="str">
        <f t="shared" si="96"/>
        <v>r</v>
      </c>
      <c r="HE227" s="332" t="str">
        <f t="shared" si="97"/>
        <v/>
      </c>
      <c r="HF227" s="332" t="str">
        <f t="shared" si="98"/>
        <v>g</v>
      </c>
      <c r="HG227" s="332" t="str">
        <f t="shared" si="99"/>
        <v/>
      </c>
      <c r="HH227" s="332" t="str">
        <f t="shared" si="100"/>
        <v/>
      </c>
      <c r="HI227" s="332" t="str">
        <f t="shared" si="101"/>
        <v>M</v>
      </c>
      <c r="HJ227" s="332" t="str">
        <f t="shared" si="102"/>
        <v/>
      </c>
      <c r="HK227" s="332" t="str">
        <f t="shared" si="103"/>
        <v>d</v>
      </c>
      <c r="HL227" s="332" t="str">
        <f t="shared" si="104"/>
        <v/>
      </c>
      <c r="HM227" s="332" t="str">
        <f t="shared" si="105"/>
        <v>n</v>
      </c>
      <c r="HN227" s="332" t="str">
        <f t="shared" si="106"/>
        <v/>
      </c>
      <c r="HO227" s="343" t="str">
        <f t="shared" si="107"/>
        <v>S</v>
      </c>
      <c r="HP227" s="331" t="str">
        <f t="shared" si="108"/>
        <v>o</v>
      </c>
      <c r="HQ227" s="332" t="str">
        <f t="shared" si="109"/>
        <v>•</v>
      </c>
      <c r="HR227" s="332" t="str">
        <f t="shared" si="110"/>
        <v>o</v>
      </c>
      <c r="HS227" s="332" t="str">
        <f t="shared" si="111"/>
        <v>•</v>
      </c>
      <c r="HT227" s="332" t="str">
        <f t="shared" si="112"/>
        <v>o</v>
      </c>
      <c r="HU227" s="332" t="str">
        <f t="shared" si="113"/>
        <v>•</v>
      </c>
      <c r="HV227" s="332" t="str">
        <f t="shared" si="114"/>
        <v>o</v>
      </c>
      <c r="HW227" s="332" t="str">
        <f t="shared" si="115"/>
        <v>•</v>
      </c>
      <c r="HX227" s="332" t="str">
        <f t="shared" si="116"/>
        <v>•</v>
      </c>
      <c r="HY227" s="332" t="str">
        <f t="shared" si="117"/>
        <v>o</v>
      </c>
      <c r="HZ227" s="332" t="str">
        <f t="shared" si="118"/>
        <v>•</v>
      </c>
      <c r="IA227" s="332" t="str">
        <f t="shared" si="119"/>
        <v>o</v>
      </c>
      <c r="IB227" s="338" t="str">
        <f t="shared" si="120"/>
        <v>o</v>
      </c>
      <c r="IC227" s="331" t="str">
        <f t="shared" si="121"/>
        <v>•</v>
      </c>
      <c r="ID227" s="332" t="str">
        <f t="shared" si="122"/>
        <v>o</v>
      </c>
      <c r="IE227" s="332" t="str">
        <f t="shared" si="123"/>
        <v>•</v>
      </c>
      <c r="IF227" s="332" t="str">
        <f t="shared" si="124"/>
        <v>o</v>
      </c>
      <c r="IG227" s="332" t="str">
        <f t="shared" si="125"/>
        <v>•</v>
      </c>
      <c r="IH227" s="332" t="str">
        <f t="shared" si="126"/>
        <v>o</v>
      </c>
      <c r="II227" s="332" t="str">
        <f t="shared" si="127"/>
        <v>•</v>
      </c>
      <c r="IJ227" s="332" t="str">
        <f t="shared" si="128"/>
        <v>o</v>
      </c>
      <c r="IK227" s="332" t="str">
        <f t="shared" si="129"/>
        <v>o</v>
      </c>
      <c r="IL227" s="332" t="str">
        <f t="shared" si="130"/>
        <v>•</v>
      </c>
      <c r="IM227" s="332" t="str">
        <f t="shared" si="131"/>
        <v>o</v>
      </c>
      <c r="IN227" s="332" t="str">
        <f t="shared" si="132"/>
        <v>•</v>
      </c>
      <c r="IO227" s="338" t="str">
        <f t="shared" si="133"/>
        <v>•</v>
      </c>
      <c r="IP227" s="346" t="b">
        <f t="shared" si="134"/>
        <v>1</v>
      </c>
      <c r="IQ227" s="347" t="b">
        <f t="shared" si="135"/>
        <v>0</v>
      </c>
      <c r="IR227" s="347" t="b">
        <f t="shared" si="136"/>
        <v>0</v>
      </c>
      <c r="IS227" s="347" t="b">
        <f t="shared" si="137"/>
        <v>0</v>
      </c>
      <c r="IT227" s="347" t="b">
        <f t="shared" si="138"/>
        <v>0</v>
      </c>
      <c r="IU227" s="347" t="b">
        <f t="shared" si="139"/>
        <v>0</v>
      </c>
      <c r="IV227" s="347" t="b">
        <f t="shared" si="140"/>
        <v>1</v>
      </c>
      <c r="IW227" s="347" t="b">
        <f t="shared" si="141"/>
        <v>0</v>
      </c>
      <c r="IX227" s="347" t="b">
        <f t="shared" si="142"/>
        <v>0</v>
      </c>
      <c r="IY227" s="347" t="b">
        <f t="shared" si="143"/>
        <v>0</v>
      </c>
      <c r="IZ227" s="347" t="b">
        <f t="shared" si="144"/>
        <v>0</v>
      </c>
      <c r="JA227" s="347" t="b">
        <f t="shared" si="145"/>
        <v>0</v>
      </c>
      <c r="JB227" s="353" t="b">
        <f t="shared" si="146"/>
        <v>1</v>
      </c>
      <c r="JC227" s="354" t="str">
        <f t="shared" si="147"/>
        <v>Sa, </v>
      </c>
      <c r="JD227" s="355" t="str">
        <f t="shared" si="148"/>
        <v/>
      </c>
      <c r="JE227" s="355" t="str">
        <f t="shared" si="149"/>
        <v/>
      </c>
      <c r="JF227" s="355" t="str">
        <f t="shared" si="150"/>
        <v/>
      </c>
      <c r="JG227" s="355" t="str">
        <f t="shared" si="151"/>
        <v/>
      </c>
      <c r="JH227" s="355" t="str">
        <f t="shared" si="152"/>
        <v/>
      </c>
      <c r="JI227" s="355" t="str">
        <f t="shared" si="153"/>
        <v>Ma, </v>
      </c>
      <c r="JJ227" s="355" t="str">
        <f t="shared" si="154"/>
        <v/>
      </c>
      <c r="JK227" s="355" t="str">
        <f t="shared" si="155"/>
        <v/>
      </c>
      <c r="JL227" s="355" t="str">
        <f t="shared" si="156"/>
        <v/>
      </c>
      <c r="JM227" s="355" t="str">
        <f t="shared" si="157"/>
        <v/>
      </c>
      <c r="JN227" s="355" t="str">
        <f t="shared" si="158"/>
        <v/>
      </c>
      <c r="JO227" s="359" t="str">
        <f t="shared" si="159"/>
        <v/>
      </c>
      <c r="JP227" s="346" t="b">
        <f t="shared" si="160"/>
        <v>1</v>
      </c>
      <c r="JQ227" s="347" t="b">
        <f t="shared" si="161"/>
        <v>0</v>
      </c>
      <c r="JR227" s="347" t="b">
        <f t="shared" si="162"/>
        <v>0</v>
      </c>
      <c r="JS227" s="347" t="b">
        <f t="shared" si="163"/>
        <v>0</v>
      </c>
      <c r="JT227" s="347" t="b">
        <f t="shared" si="164"/>
        <v>0</v>
      </c>
      <c r="JU227" s="347" t="b">
        <f t="shared" si="165"/>
        <v>0</v>
      </c>
      <c r="JV227" s="347" t="b">
        <f t="shared" si="166"/>
        <v>0</v>
      </c>
      <c r="JW227" s="347" t="b">
        <f t="shared" si="167"/>
        <v>0</v>
      </c>
      <c r="JX227" s="347" t="b">
        <f t="shared" si="168"/>
        <v>0</v>
      </c>
      <c r="JY227" s="347" t="b">
        <f t="shared" si="169"/>
        <v>0</v>
      </c>
      <c r="JZ227" s="347" t="b">
        <f t="shared" si="170"/>
        <v>0</v>
      </c>
      <c r="KA227" s="347" t="b">
        <f t="shared" si="171"/>
        <v>0</v>
      </c>
      <c r="KB227" s="365" t="b">
        <f t="shared" si="172"/>
        <v>1</v>
      </c>
      <c r="KC227" s="354" t="str">
        <f t="shared" si="173"/>
        <v>Sa, </v>
      </c>
      <c r="KD227" s="355" t="str">
        <f t="shared" si="174"/>
        <v/>
      </c>
      <c r="KE227" s="355" t="str">
        <f t="shared" si="175"/>
        <v/>
      </c>
      <c r="KF227" s="355" t="str">
        <f t="shared" si="176"/>
        <v/>
      </c>
      <c r="KG227" s="355" t="str">
        <f t="shared" si="177"/>
        <v/>
      </c>
      <c r="KH227" s="355" t="str">
        <f t="shared" si="178"/>
        <v/>
      </c>
      <c r="KI227" s="355" t="str">
        <f t="shared" si="179"/>
        <v/>
      </c>
      <c r="KJ227" s="355" t="str">
        <f t="shared" si="180"/>
        <v/>
      </c>
      <c r="KK227" s="355" t="str">
        <f t="shared" si="181"/>
        <v/>
      </c>
      <c r="KL227" s="355" t="str">
        <f t="shared" si="182"/>
        <v/>
      </c>
      <c r="KM227" s="355" t="str">
        <f t="shared" si="183"/>
        <v/>
      </c>
      <c r="KN227" s="355" t="str">
        <f t="shared" si="184"/>
        <v/>
      </c>
      <c r="KO227" s="359"/>
      <c r="KP227" s="378"/>
      <c r="KQ227" s="379" t="s">
        <v>9</v>
      </c>
      <c r="KR227" s="380" t="s">
        <v>9</v>
      </c>
      <c r="KS227" s="381" t="s">
        <v>9</v>
      </c>
      <c r="KT227" s="382">
        <f t="shared" si="186"/>
        <v>0</v>
      </c>
      <c r="KU227" s="383">
        <f t="shared" si="187"/>
        <v>0</v>
      </c>
      <c r="KV227" s="381" t="str">
        <f t="shared" si="205"/>
        <v>S</v>
      </c>
      <c r="KW227" s="382">
        <f t="shared" si="189"/>
        <v>0</v>
      </c>
      <c r="KX227" s="384">
        <f t="shared" si="190"/>
        <v>0</v>
      </c>
      <c r="KY227" s="382">
        <f t="shared" ref="KY227:KZ227" si="672">KW227-KT227</f>
        <v>0</v>
      </c>
      <c r="KZ227" s="369">
        <f t="shared" si="672"/>
        <v>0</v>
      </c>
      <c r="LA227" s="385" t="str">
        <f t="shared" si="192"/>
        <v>✔</v>
      </c>
      <c r="LB227" s="340" t="str">
        <f>IFERROR(__xludf.DUMMYFUNCTION("JOIN("""",ArrayFormula(MID(KS227,LEN(KS227)-SEQUENCE(1,LEN(KS227))+1,1)))"),"S")</f>
        <v>S</v>
      </c>
      <c r="LC227" s="373" t="str">
        <f>IFERROR(__xludf.DUMMYFUNCTION("JOIN("""",ArrayFormula(MID(KV227,LEN(KV227)-SEQUENCE(1,LEN(KV227))+1,1)))"),"S")</f>
        <v>S</v>
      </c>
      <c r="LD227" s="373" t="str">
        <f t="shared" si="193"/>
        <v>S</v>
      </c>
      <c r="LE227" s="339" t="str">
        <f t="shared" si="194"/>
        <v>S</v>
      </c>
      <c r="LF227" s="386" t="str">
        <f>IFERROR(__xludf.DUMMYFUNCTION("SUBSTITUTE(SUBSTITUTE(CONCATENATE(JOIN("""",LH227:LT227)),""1"",""""),""2"","""")"),"SS")</f>
        <v>SS</v>
      </c>
      <c r="LG227" s="369" t="str">
        <f t="shared" si="195"/>
        <v>-</v>
      </c>
      <c r="LH227" s="387" t="str">
        <f>IFERROR(__xludf.DUMMYFUNCTION("IF(REGEXMATCH(LD227, ""S""), ""S"",IF(REGEXMATCH(LE227, ""S""), ""S"",""""))"),"S")</f>
        <v>S</v>
      </c>
      <c r="LI227" s="299" t="str">
        <f>IFERROR(__xludf.DUMMYFUNCTION("IF(REGEXMATCH(LD227, ""r""), ""r1"",IF(REGEXMATCH(LE227, ""r""), ""r2"",""""))"),"")</f>
        <v/>
      </c>
      <c r="LJ227" s="299" t="str">
        <f>IFERROR(__xludf.DUMMYFUNCTION("IF(REGEXMATCH(LD227, ""R""), ""R1"",IF(REGEXMATCH(LE227, ""R""), ""R2"",""""))"),"")</f>
        <v/>
      </c>
      <c r="LK227" s="299" t="str">
        <f>IFERROR(__xludf.DUMMYFUNCTION("IF(REGEXMATCH(LD227, ""g""), ""g1"",IF(REGEXMATCH(LE227, ""g""), ""g2"",""""))"),"")</f>
        <v/>
      </c>
      <c r="LL227" s="299" t="str">
        <f>IFERROR(__xludf.DUMMYFUNCTION("IF(REGEXMATCH(LD227, ""G""), ""G1"",IF(REGEXMATCH(LE227, ""G""), ""G2"",""""))"),"")</f>
        <v/>
      </c>
      <c r="LM227" s="299" t="str">
        <f>IFERROR(__xludf.DUMMYFUNCTION("IF(REGEXMATCH(LD227, ""m""), ""m1"",IF(REGEXMATCH(LE227, ""m""), ""m2"",""""))"),"")</f>
        <v/>
      </c>
      <c r="LN227" s="299" t="str">
        <f>IFERROR(__xludf.DUMMYFUNCTION("IF(REGEXMATCH(LD227, ""M""), ""M1"",IF(REGEXMATCH(LE227, ""M""), ""M2"",""""))"),"")</f>
        <v/>
      </c>
      <c r="LO227" s="299" t="str">
        <f>IFERROR(__xludf.DUMMYFUNCTION("IF(REGEXMATCH(LD227, ""P""), ""P1"",IF(REGEXMATCH(LE227, ""P""), ""P2"",""""))"),"")</f>
        <v/>
      </c>
      <c r="LP227" s="299" t="str">
        <f>IFERROR(__xludf.DUMMYFUNCTION("IF(REGEXMATCH(LD227, ""d""), ""d1"",IF(REGEXMATCH(LE227, ""d""), ""d2"",""""))"),"")</f>
        <v/>
      </c>
      <c r="LQ227" s="299" t="str">
        <f>IFERROR(__xludf.DUMMYFUNCTION("IF(REGEXMATCH(LD227, ""D""), ""D1"",IF(REGEXMATCH(LE227, ""D""), ""D2"",""""))"),"")</f>
        <v/>
      </c>
      <c r="LR227" s="299" t="str">
        <f>IFERROR(__xludf.DUMMYFUNCTION("IF(REGEXMATCH(LD227, ""n""), ""n1"",IF(REGEXMATCH(LE227, ""n""), ""n2"",""""))"),"")</f>
        <v/>
      </c>
      <c r="LS227" s="299" t="str">
        <f>IFERROR(__xludf.DUMMYFUNCTION("IF(REGEXMATCH(LD227, ""N""), ""N1"",IF(REGEXMATCH(LE227, ""N""), ""N2"",""""))"),"")</f>
        <v/>
      </c>
      <c r="LT227" s="388" t="str">
        <f>IFERROR(__xludf.DUMMYFUNCTION("IF(REGEXMATCH(LD227, ""S""), ""S"",IF(REGEXMATCH(LE227, ""S""), ""S"",""""))"),"S")</f>
        <v>S</v>
      </c>
      <c r="LU227" s="389">
        <f t="shared" si="196"/>
        <v>1</v>
      </c>
      <c r="LV227" s="378"/>
      <c r="LW227" s="369"/>
      <c r="LX227" s="369"/>
    </row>
    <row r="228" ht="18.0" customHeight="1">
      <c r="A228" s="298" t="s">
        <v>980</v>
      </c>
      <c r="B228" s="222" t="s">
        <v>632</v>
      </c>
      <c r="C228" s="233" t="str">
        <f t="shared" si="7"/>
        <v>SRGmMPDNS</v>
      </c>
      <c r="D228" s="234" t="str">
        <f>IFERROR(__xludf.DUMMYFUNCTION("IF(REGEXMATCH(C228, ""S""), ""S"","""")"),"S")</f>
        <v>S</v>
      </c>
      <c r="E228" s="236" t="str">
        <f>IFERROR(__xludf.DUMMYFUNCTION("IF(REGEXMATCH(C228, ""r""), ""r"","""")"),"")</f>
        <v/>
      </c>
      <c r="F228" s="237" t="str">
        <f>IFERROR(__xludf.DUMMYFUNCTION("IF(REGEXMATCH(C228, ""R""), ""R"","""")"),"R")</f>
        <v>R</v>
      </c>
      <c r="G228" s="237" t="str">
        <f>IFERROR(__xludf.DUMMYFUNCTION("IF(REGEXMATCH(C228, ""g""), ""g"","""")"),"")</f>
        <v/>
      </c>
      <c r="H228" s="236" t="str">
        <f>IFERROR(__xludf.DUMMYFUNCTION("IF(REGEXMATCH(C228, ""G""), ""G"","""")"),"G")</f>
        <v>G</v>
      </c>
      <c r="I228" s="236" t="str">
        <f>IFERROR(__xludf.DUMMYFUNCTION("IF(REGEXMATCH(C228, ""m""), ""m"","""")"),"m")</f>
        <v>m</v>
      </c>
      <c r="J228" s="237" t="str">
        <f>IFERROR(__xludf.DUMMYFUNCTION("IF(REGEXMATCH(C228, ""M""), ""M"","""")"),"M")</f>
        <v>M</v>
      </c>
      <c r="K228" s="236" t="str">
        <f>IFERROR(__xludf.DUMMYFUNCTION("IF(REGEXMATCH(C228, ""P""), ""P"","""")"),"P")</f>
        <v>P</v>
      </c>
      <c r="L228" s="237" t="str">
        <f>IFERROR(__xludf.DUMMYFUNCTION("IF(REGEXMATCH(C228, ""d""), ""d"","""")"),"")</f>
        <v/>
      </c>
      <c r="M228" s="236" t="str">
        <f>IFERROR(__xludf.DUMMYFUNCTION("IF(REGEXMATCH(C228, ""D""), ""D"","""")"),"D")</f>
        <v>D</v>
      </c>
      <c r="N228" s="236" t="str">
        <f>IFERROR(__xludf.DUMMYFUNCTION("IF(REGEXMATCH(C228, ""n""), ""n"","""")"),"")</f>
        <v/>
      </c>
      <c r="O228" s="237" t="str">
        <f>IFERROR(__xludf.DUMMYFUNCTION("IF(REGEXMATCH(C228, ""N""), ""N"","""")"),"N")</f>
        <v>N</v>
      </c>
      <c r="P228" s="238" t="str">
        <f>IFERROR(__xludf.DUMMYFUNCTION("IF(REGEXMATCH(C228, ""S""), ""S"","""")"),"S")</f>
        <v>S</v>
      </c>
      <c r="Q228" s="239" t="str">
        <f>IFERROR(__xludf.DUMMYFUNCTION("SUBSTITUTE(CONCATENATE(JOIN(""-"",D228:J228)),""-"","""")"),"SRGmM")</f>
        <v>SRGmM</v>
      </c>
      <c r="R228" s="229" t="str">
        <f>IFERROR(__xludf.DUMMYFUNCTION("SUBSTITUTE(CONCATENATE(JOIN(""-"",K228:P228)),""-"","""")"),"PDNS")</f>
        <v>PDNS</v>
      </c>
      <c r="S228" s="282" t="str">
        <f t="shared" si="8"/>
        <v>S-R-G-M</v>
      </c>
      <c r="T228" s="282" t="str">
        <f t="shared" si="9"/>
        <v>P-D-N-S</v>
      </c>
      <c r="U228" s="237" t="str">
        <f>IFERROR(__xludf.DUMMYFUNCTION("SUBSTITUTE(JOIN(""-"",S228,T228),""--"",""-"")"),"S-R-G-M-P-D-N-S")</f>
        <v>S-R-G-M-P-D-N-S</v>
      </c>
      <c r="V228" s="309" t="str">
        <f t="shared" si="10"/>
        <v>RGmMDN</v>
      </c>
      <c r="W228" s="244" t="str">
        <f>IFERROR(__xludf.DUMMYFUNCTION("IF(REGEXMATCH(C228, ""S""), ""0"","""")"),"0")</f>
        <v>0</v>
      </c>
      <c r="X228" s="245" t="str">
        <f>IFERROR(__xludf.DUMMYFUNCTION("IF(REGEXMATCH(C228, ""r""), ""1"","""")"),"")</f>
        <v/>
      </c>
      <c r="Y228" s="246" t="str">
        <f>IFERROR(__xludf.DUMMYFUNCTION("IF(REGEXMATCH(C228, ""R""), ""2"","""")"),"2")</f>
        <v>2</v>
      </c>
      <c r="Z228" s="246" t="str">
        <f>IFERROR(__xludf.DUMMYFUNCTION("IF(REGEXMATCH(C228, ""g""), ""3"","""")"),"")</f>
        <v/>
      </c>
      <c r="AA228" s="245" t="str">
        <f>IFERROR(__xludf.DUMMYFUNCTION("IF(REGEXMATCH(C228, ""G""), ""4"","""")"),"4")</f>
        <v>4</v>
      </c>
      <c r="AB228" s="245" t="str">
        <f>IFERROR(__xludf.DUMMYFUNCTION("IF(REGEXMATCH(C228, ""m""), ""5"","""")"),"5")</f>
        <v>5</v>
      </c>
      <c r="AC228" s="246" t="str">
        <f>IFERROR(__xludf.DUMMYFUNCTION("IF(REGEXMATCH(C228, ""M""), ""6"","""")"),"6")</f>
        <v>6</v>
      </c>
      <c r="AD228" s="245" t="str">
        <f>IFERROR(__xludf.DUMMYFUNCTION("IF(REGEXMATCH(C228, ""P""), ""7"","""")"),"7")</f>
        <v>7</v>
      </c>
      <c r="AE228" s="246" t="str">
        <f>IFERROR(__xludf.DUMMYFUNCTION("IF(REGEXMATCH(C228, ""d""), ""8"","""")"),"")</f>
        <v/>
      </c>
      <c r="AF228" s="245" t="str">
        <f>IFERROR(__xludf.DUMMYFUNCTION("IF(REGEXMATCH(C228, ""D""), ""9"","""")"),"9")</f>
        <v>9</v>
      </c>
      <c r="AG228" s="245" t="str">
        <f>IFERROR(__xludf.DUMMYFUNCTION("IF(REGEXMATCH(C228, ""n""), ""10"","""")"),"")</f>
        <v/>
      </c>
      <c r="AH228" s="246" t="str">
        <f>IFERROR(__xludf.DUMMYFUNCTION("IF(REGEXMATCH(C228, ""N""), ""11"","""")"),"11")</f>
        <v>11</v>
      </c>
      <c r="AI228" s="249" t="str">
        <f>IFERROR(__xludf.DUMMYFUNCTION("IF(REGEXMATCH(C228, ""S""), ""0"","""")"),"0")</f>
        <v>0</v>
      </c>
      <c r="AJ228" s="313" t="str">
        <f t="shared" si="11"/>
        <v>T</v>
      </c>
      <c r="AK228" s="313" t="str">
        <f t="shared" si="12"/>
        <v>-</v>
      </c>
      <c r="AL228" s="313" t="str">
        <f t="shared" si="13"/>
        <v>-</v>
      </c>
      <c r="AM228" s="313" t="str">
        <f t="shared" si="14"/>
        <v>-</v>
      </c>
      <c r="AN228" s="313" t="str">
        <f t="shared" si="15"/>
        <v>-</v>
      </c>
      <c r="AO228" s="314" t="str">
        <f t="shared" si="16"/>
        <v>T</v>
      </c>
      <c r="AP228" s="316">
        <f t="shared" si="17"/>
        <v>2</v>
      </c>
      <c r="AQ228" s="319" t="str">
        <f t="shared" si="18"/>
        <v>-</v>
      </c>
      <c r="AR228" s="320">
        <f t="shared" si="19"/>
        <v>0</v>
      </c>
      <c r="AS228" s="250" t="str">
        <f>IFERROR(__xludf.DUMMYFUNCTION("SUBSTITUTE(SUBSTITUTE(CONCATENATE(JOIN("""",FP228:GA228)),""|"",""x""),""-"",""o"")"),"xoxoxxxxoxox")</f>
        <v>xoxoxxxxoxox</v>
      </c>
      <c r="AT228" s="323" t="str">
        <f>IFERROR(__xludf.DUMMYFUNCTION("JOIN("""",AS228,AS228)"),"xoxoxxxxoxoxxoxoxxxxoxox")</f>
        <v>xoxoxxxxoxoxxoxoxxxxoxox</v>
      </c>
      <c r="AU228" s="256" t="str">
        <f>IFERROR(__xludf.DUMMYFUNCTION("JOIN("""",ArrayFormula(MID(AS228,LEN(AS228)-SEQUENCE(1,LEN(AS228))+1,1)))"),"xoxoxxxxoxox")</f>
        <v>xoxoxxxxoxox</v>
      </c>
      <c r="AV228" s="256" t="str">
        <f>IFERROR(__xludf.DUMMYFUNCTION("LEFT(CONCATENATE(""x"",JOIN("""",ArrayFormula(MID(AS228,LEN(AS228)-SEQUENCE(1,LEN(AS228))+1,1)))),12)"),"xxoxoxxxxoxo")</f>
        <v>xxoxoxxxxoxo</v>
      </c>
      <c r="AW228" s="327" t="str">
        <f>IFERROR(__xludf.DUMMYFUNCTION("JOIN("""",AU228,AU228)"),"xoxoxxxxoxoxxoxoxxxxoxox")</f>
        <v>xoxoxxxxoxoxxoxoxxxxoxox</v>
      </c>
      <c r="AX228" s="239" t="str">
        <f>IFERROR(__xludf.DUMMYFUNCTION("IF(REGEXMATCH(AW228,AS228),""✔"",""-"")"),"✔")</f>
        <v>✔</v>
      </c>
      <c r="AY228" s="330" t="str">
        <f t="shared" si="20"/>
        <v>-</v>
      </c>
      <c r="AZ228" s="260" t="str">
        <f t="shared" si="21"/>
        <v>#REF!</v>
      </c>
      <c r="BA228" s="333" t="str">
        <f t="shared" si="22"/>
        <v>xoxoxxx</v>
      </c>
      <c r="BB228" s="334" t="str">
        <f t="shared" si="23"/>
        <v>xoxoxx</v>
      </c>
      <c r="BC228" s="335" t="str">
        <f t="shared" si="236"/>
        <v>✔</v>
      </c>
      <c r="BD228" s="336" t="str">
        <f t="shared" si="25"/>
        <v>Maru Bihag: 'xoxoxxx' + 'xoxoxx'</v>
      </c>
      <c r="BE228" s="337">
        <f>IFERROR(__xludf.DUMMYFUNCTION("COUNTUNIQUE(FILTER(AT:AT,REGEXMATCH(AT:AT,AS228)))-1"),3.0)</f>
        <v>3</v>
      </c>
      <c r="BF228" s="261" t="str">
        <f>IFERROR(__xludf.DUMMYFUNCTION("IF(BI228=0,""(n/a)"",IF(BJ228=2,""(PAIR)"",IF(REGEXMATCH(AT228,""xoxoxxoxoxox""),""Bilawal"",IF(REGEXMATCH(AT228,""xoxoxooxoxoo""),""Bhupali"",IF(REGEXMATCH(AT228,""xoxoxxoxxoxo""),""Charukeshi"",IF(REGEXMATCH(AT228,""xoxoooxxoxxo""),""Kameshwari"",IF(REG"&amp;"EXMATCH(AT228,""xoxoxooxoxox""),""Shankara"",IF(REGEXMATCH(AT228,""xxooxoxxxoox""),""Basant"",IF(REGEXMATCH(AT228,""xoxoxxxxoxox""),""Bihag"",IF(REGEXMATCH(AT228,""xoxxxxoxoxxx""),""Pilu"",IF(REGEXMATCH(AT228,""xoxxoxoxxoox""),""Kirwani"",IF(REGEXMATCH(AT"&amp;"228,""xoxxoxoxoxxx""),""Mk.Malhar"",IF(REGEXMATCH(AT228,""xxooxxoxxoox""),""Bhairav"",IF(REGEXMATCH(AT228,""xxoxooxxxoox""),""Todi"",IF(REGEXMATCH(AT228,""xxooxoxooxox""),""Marwa"",IF(REGEXMATCH(AT228,""xxoooxoxxooo""),""Gunkali"",IF(REGEXMATCH(AT228,""xo"&amp;"xoxxoxxoox""),""Nat Bhairav"",IF(REGEXMATCH(AT228,""xoxxoooxoxoo""),""Shivranjani"",IF(REGEXMATCH(AT228,""xooxxxoxooxo""),""Jog"",IF(REGEXMATCH(AT228,""xxooxoxoxoox""),""Hemshri"",IF(REGEXMATCH(AT228,""xoooxooxoxxo""),""Kalavati"",IF(REGEXMATCH(AT228,""xx"&amp;"oxoxxoxoox""),""Kedar"",IF(REGEXMATCH(AT228,""xoxxxxoxooxx""),""Gara"",IF(REGEXMATCH(AT228,""xooxoxooxoox""),""Chandrakauns"",IF(REGEXMATCH(AT228,""xoxxxxoxxxox""),""Mand"",IF(REGEXMATCH(AT228,""xoxxxxoxoxox""),""Hanskinkini"",IF(REGEXMATCH(AT228,""xxooxx"&amp;"oxooxo""),""Lilavati"",IF(REGEXMATCH(AT228,""xooxoxoooxox""),""Rajeshwari"",IF(REGEXMATCH(AT228,""xoooxxoxoxxx""),""Khokar"",IF(REGEXMATCH(AT228,""xxooxoxxxxox""),""Maligoura"",""-""))))))))))))))))))))))))))))))"),"Bihag")</f>
        <v>Bihag</v>
      </c>
      <c r="BG228" s="239" t="str">
        <f t="shared" si="26"/>
        <v>#REF!</v>
      </c>
      <c r="BH228" s="239">
        <f>IFERROR(__xludf.DUMMYFUNCTION("COUNTUNIQUE(FE228:FO228)-1"),7.0)</f>
        <v>7</v>
      </c>
      <c r="BI228" s="239">
        <f>IFERROR(__xludf.DUMMYFUNCTION("COUNTUNIQUE(FILTER(AT:AT,REGEXMATCH(AT:AT,AS228)))-1"),3.0)</f>
        <v>3</v>
      </c>
      <c r="BJ228" s="239">
        <f>IFERROR(__xludf.DUMMYFUNCTION("COUNTA(FILTER(AT:AT,REGEXMATCH(AT:AT,AS228)))"),36.0)</f>
        <v>36</v>
      </c>
      <c r="BK228" s="341">
        <f>IFERROR(__xludf.DUMMYFUNCTION("COUNTA(FILTER(AT:AT,REGEXMATCH(AT:AT,AS228)))-AR228"),36.0)</f>
        <v>36</v>
      </c>
      <c r="BL228" s="276" t="str">
        <f>IFERROR(__xludf.DUMMYFUNCTION("IF(AS228=""oooooooooooo"",""-"",IF(REGEXMATCH(AT228,""xx""), ""Hemi."", ""Anhemi.""))"),"Hemi.")</f>
        <v>Hemi.</v>
      </c>
      <c r="BM228" s="282" t="str">
        <f>IFERROR(__xludf.DUMMYFUNCTION("IF(AS228=""oooooooooooo"",""-"",IF(REGEXMATCH(AT228,""xxx""), ""Cohem."", ""-""))"),"Cohem.")</f>
        <v>Cohem.</v>
      </c>
      <c r="BN228" s="282" t="str">
        <f>IFERROR(__xludf.DUMMYFUNCTION("IF(AS228=""oooooooooooo"",""-"",IF(REGEXMATCH(AT228,""xxxx""), ""Co-Co."", ""-""))"),"Co-Co.")</f>
        <v>Co-Co.</v>
      </c>
      <c r="BO228" s="342" t="str">
        <f>IFERROR(__xludf.DUMMYFUNCTION("IF(AS228=""oooooooooooo"",""-"",IF(REGEXMATCH(AT228,""xxxxx""), ""CCC."", ""-""))"),"-")</f>
        <v>-</v>
      </c>
      <c r="BP228" s="344" t="str">
        <f t="shared" si="27"/>
        <v>-</v>
      </c>
      <c r="BQ228" s="282" t="str">
        <f>IFERROR(__xludf.DUMMYFUNCTION("IF(REGEXMATCH(JOIN(""-"",EU228:FD228),""TRUE""),""✔"",""-"")"),"-")</f>
        <v>-</v>
      </c>
      <c r="BR228" s="225">
        <f t="shared" si="28"/>
        <v>0</v>
      </c>
      <c r="BS228" s="345" t="str">
        <f>IFERROR(__xludf.DUMMYFUNCTION("SUBSTITUTE(SUBSTITUTE(SUBSTITUTE(SUBSTITUTE(CONCATENATE(JOIN(""-"",GC228:GO228)),""--"",""-""),""--"",""-""),""--"",""-""),""--"",""-"")"),"1-2-3-4-#4-5-6-7-8")</f>
        <v>1-2-3-4-#4-5-6-7-8</v>
      </c>
      <c r="BT228" s="299" t="str">
        <f>IFERROR(__xludf.DUMMYFUNCTION("SUBSTITUTE(SUBSTITUTE(SUBSTITUTE(SUBSTITUTE(CONCATENATE(JOIN(""-"",GP228:HB228)),""--"",""-""),""--"",""-""),""--"",""-""),""--"",""-"")"),"S-R2-G3-M1-M2-P-D2-N3-S")</f>
        <v>S-R2-G3-M1-M2-P-D2-N3-S</v>
      </c>
      <c r="BU228" s="348" t="str">
        <f t="shared" si="29"/>
        <v>C-D-E-F-F#-G-A-B-C</v>
      </c>
      <c r="BV228" s="349" t="str">
        <f t="shared" si="30"/>
        <v>SrgdnS</v>
      </c>
      <c r="BW228" s="350">
        <f t="shared" si="31"/>
        <v>0</v>
      </c>
      <c r="BX228" s="351">
        <f t="shared" si="32"/>
        <v>13</v>
      </c>
      <c r="BY228" s="392"/>
      <c r="BZ228" s="309" t="str">
        <f>IFERROR(__xludf.DUMMYFUNCTION("IF(REGEXMATCH(C228, ""S""), ""x"",""x"")"),"x")</f>
        <v>x</v>
      </c>
      <c r="CA228" s="245" t="str">
        <f>IFERROR(__xludf.DUMMYFUNCTION("IF(REGEXMATCH(C228, ""r""), ""o"",""x"")"),"x")</f>
        <v>x</v>
      </c>
      <c r="CB228" s="246" t="str">
        <f>IFERROR(__xludf.DUMMYFUNCTION("IF(REGEXMATCH(C228, ""R""), ""o"",""x"")"),"o")</f>
        <v>o</v>
      </c>
      <c r="CC228" s="246" t="str">
        <f>IFERROR(__xludf.DUMMYFUNCTION("IF(REGEXMATCH(C228, ""g""), ""o"",""x"")"),"x")</f>
        <v>x</v>
      </c>
      <c r="CD228" s="245" t="str">
        <f>IFERROR(__xludf.DUMMYFUNCTION("IF(REGEXMATCH(C228, ""G""), ""o"",""x"")"),"o")</f>
        <v>o</v>
      </c>
      <c r="CE228" s="245" t="str">
        <f>IFERROR(__xludf.DUMMYFUNCTION("IF(REGEXMATCH(C228, ""m""), ""o"",""x"")"),"o")</f>
        <v>o</v>
      </c>
      <c r="CF228" s="246" t="str">
        <f>IFERROR(__xludf.DUMMYFUNCTION("IF(REGEXMATCH(C228, ""M""), ""o"",""x"")"),"o")</f>
        <v>o</v>
      </c>
      <c r="CG228" s="245" t="str">
        <f>IFERROR(__xludf.DUMMYFUNCTION("IF(REGEXMATCH(C228, ""P""), ""o"",""x"")"),"o")</f>
        <v>o</v>
      </c>
      <c r="CH228" s="246" t="str">
        <f>IFERROR(__xludf.DUMMYFUNCTION("IF(REGEXMATCH(C228, ""d""), ""o"",""x"")"),"x")</f>
        <v>x</v>
      </c>
      <c r="CI228" s="245" t="str">
        <f>IFERROR(__xludf.DUMMYFUNCTION("IF(REGEXMATCH(C228, ""D""), ""o"",""x"")"),"o")</f>
        <v>o</v>
      </c>
      <c r="CJ228" s="245" t="str">
        <f>IFERROR(__xludf.DUMMYFUNCTION("IF(REGEXMATCH(C228, ""n""), ""o"",""x"")"),"x")</f>
        <v>x</v>
      </c>
      <c r="CK228" s="245" t="str">
        <f>IFERROR(__xludf.DUMMYFUNCTION("IF(REGEXMATCH(C228, ""N""), ""o"",""x"")"),"o")</f>
        <v>o</v>
      </c>
      <c r="CL228" s="356" t="str">
        <f>IFERROR(__xludf.DUMMYFUNCTION("IF(REGEXMATCH(C228, ""S""), ""x"",""x"")"),"x")</f>
        <v>x</v>
      </c>
      <c r="CM228" s="357" t="str">
        <f t="shared" si="33"/>
        <v>xxoxooooxoxo</v>
      </c>
      <c r="CN228" s="358">
        <f t="shared" si="34"/>
        <v>0</v>
      </c>
      <c r="CO228" s="246" t="str">
        <f>IFERROR(__xludf.DUMMYFUNCTION("IF(REGEXMATCH($C228, ""S""), ""S"",""S"")"),"S")</f>
        <v>S</v>
      </c>
      <c r="CP228" s="246" t="str">
        <f>IFERROR(__xludf.DUMMYFUNCTION("IF(REGEXMATCH($C228, ""r""), """",""r"")"),"r")</f>
        <v>r</v>
      </c>
      <c r="CQ228" s="246" t="str">
        <f>IFERROR(__xludf.DUMMYFUNCTION("IF(REGEXMATCH($C228, ""R""), """",""R"")"),"")</f>
        <v/>
      </c>
      <c r="CR228" s="246" t="str">
        <f>IFERROR(__xludf.DUMMYFUNCTION("IF(REGEXMATCH($C228, ""g""), """",""g"")"),"g")</f>
        <v>g</v>
      </c>
      <c r="CS228" s="246" t="str">
        <f>IFERROR(__xludf.DUMMYFUNCTION("IF(REGEXMATCH($C228, ""G""), """",""G"")"),"")</f>
        <v/>
      </c>
      <c r="CT228" s="246" t="str">
        <f>IFERROR(__xludf.DUMMYFUNCTION("IF(REGEXMATCH($C228, ""m""), """",""m"")"),"")</f>
        <v/>
      </c>
      <c r="CU228" s="246" t="str">
        <f>IFERROR(__xludf.DUMMYFUNCTION("IF(REGEXMATCH($C228, ""M""), """",""M"")"),"")</f>
        <v/>
      </c>
      <c r="CV228" s="246" t="str">
        <f>IFERROR(__xludf.DUMMYFUNCTION("IF(REGEXMATCH($C228, ""P""), """",""P"")"),"")</f>
        <v/>
      </c>
      <c r="CW228" s="246" t="str">
        <f>IFERROR(__xludf.DUMMYFUNCTION("IF(REGEXMATCH($C228, ""d""), """",""d"")"),"d")</f>
        <v>d</v>
      </c>
      <c r="CX228" s="246" t="str">
        <f>IFERROR(__xludf.DUMMYFUNCTION("IF(REGEXMATCH($C228, ""D""), """",""D"")"),"")</f>
        <v/>
      </c>
      <c r="CY228" s="246" t="str">
        <f>IFERROR(__xludf.DUMMYFUNCTION("IF(REGEXMATCH($C228, ""n""), """",""n"")"),"n")</f>
        <v>n</v>
      </c>
      <c r="CZ228" s="246" t="str">
        <f>IFERROR(__xludf.DUMMYFUNCTION("IF(REGEXMATCH($C228, ""N""), """",""N"")"),"")</f>
        <v/>
      </c>
      <c r="DA228" s="246" t="str">
        <f>IFERROR(__xludf.DUMMYFUNCTION("IF(REGEXMATCH($C228, ""S""), ""S"",""S"")"),"S")</f>
        <v>S</v>
      </c>
      <c r="DB228" s="362" t="str">
        <f>IFERROR(__xludf.DUMMYFUNCTION("JOIN("""",CO228:DA228,"""","""")"),"SrgdnS")</f>
        <v>SrgdnS</v>
      </c>
      <c r="DC228" s="363"/>
      <c r="DD228" s="301" t="str">
        <f t="shared" si="35"/>
        <v>#REF!</v>
      </c>
      <c r="DE228" s="302" t="str">
        <f t="shared" si="36"/>
        <v>#REF!</v>
      </c>
      <c r="DF228" s="301" t="str">
        <f t="shared" ref="DF228:DG228" si="673">SUBSTITUTE(S228,"-","")</f>
        <v>SRGM</v>
      </c>
      <c r="DG228" s="301" t="str">
        <f t="shared" si="673"/>
        <v>PDNS</v>
      </c>
      <c r="DH228" s="302" t="str">
        <f t="shared" si="38"/>
        <v>Bihag</v>
      </c>
      <c r="DI228" s="301" t="str">
        <f t="shared" si="39"/>
        <v>Hemi.</v>
      </c>
      <c r="DJ228" s="364" t="str">
        <f t="shared" si="40"/>
        <v>Co-Co.</v>
      </c>
      <c r="DK228" s="306" t="str">
        <f t="shared" si="41"/>
        <v>-</v>
      </c>
      <c r="DL228" s="366" t="str">
        <f t="shared" si="42"/>
        <v>-</v>
      </c>
      <c r="DM228" s="308" t="str">
        <f t="shared" si="43"/>
        <v>✔</v>
      </c>
      <c r="DN228" s="306" t="str">
        <f t="shared" si="44"/>
        <v>-</v>
      </c>
      <c r="DO228" s="306" t="str">
        <f t="shared" si="45"/>
        <v>-</v>
      </c>
      <c r="DP228" s="367" t="str">
        <f t="shared" si="46"/>
        <v>-</v>
      </c>
      <c r="DQ228" s="310" t="str">
        <f t="shared" si="47"/>
        <v>-</v>
      </c>
      <c r="DR228" s="310" t="str">
        <f t="shared" si="48"/>
        <v>-</v>
      </c>
      <c r="DS228" s="310" t="str">
        <f t="shared" si="49"/>
        <v>✔</v>
      </c>
      <c r="DT228" s="310" t="str">
        <f t="shared" si="50"/>
        <v>-</v>
      </c>
      <c r="DU228" s="370" t="str">
        <f t="shared" si="51"/>
        <v>-</v>
      </c>
      <c r="DV228" s="306" t="str">
        <f t="shared" si="52"/>
        <v>-</v>
      </c>
      <c r="DW228" s="306" t="str">
        <f t="shared" si="53"/>
        <v>-</v>
      </c>
      <c r="DX228" s="306" t="str">
        <f t="shared" si="54"/>
        <v>-</v>
      </c>
      <c r="DY228" s="306" t="str">
        <f t="shared" si="55"/>
        <v>-</v>
      </c>
      <c r="DZ228" s="306" t="str">
        <f t="shared" si="56"/>
        <v>-</v>
      </c>
      <c r="EA228" s="367" t="str">
        <f t="shared" si="57"/>
        <v>-</v>
      </c>
      <c r="EB228" s="310" t="str">
        <f>IFERROR(__xludf.DUMMYFUNCTION("IF(REGEXMATCH(AW228,AS228),""✔"",""-"")"),"✔")</f>
        <v>✔</v>
      </c>
      <c r="EC228" s="310" t="str">
        <f t="shared" si="58"/>
        <v>#REF!</v>
      </c>
      <c r="ED228" s="370" t="str">
        <f t="shared" si="59"/>
        <v>-</v>
      </c>
      <c r="EE228" s="340" t="str">
        <f t="shared" si="60"/>
        <v>S-R-G-mM-P-D-N-S</v>
      </c>
      <c r="EF228" s="371" t="str">
        <f>IFERROR(__xludf.DUMMYFUNCTION("CONCATENATE(JOIN("""",HC228:HO228))"),"SrgmMPdnS")</f>
        <v>SrgmMPdnS</v>
      </c>
      <c r="EG228" s="372">
        <f t="shared" si="61"/>
        <v>1</v>
      </c>
      <c r="EH228" s="373" t="str">
        <f>IFERROR(__xludf.DUMMYFUNCTION("CONCATENATE(JOIN("""",JC228:JO228))"),"Ma, ")</f>
        <v>Ma, </v>
      </c>
      <c r="EI228" s="322">
        <f t="shared" si="62"/>
        <v>0</v>
      </c>
      <c r="EJ228" s="374" t="str">
        <f>IFERROR(__xludf.DUMMYFUNCTION("CONCATENATE(JOIN("""",KC228:KO228))"),"")</f>
        <v/>
      </c>
      <c r="EK228" s="325" t="str">
        <f t="shared" si="63"/>
        <v>S-R2-G3-M1-M2-P-D2-N3-S</v>
      </c>
      <c r="EL228" s="326" t="str">
        <f t="shared" si="64"/>
        <v>1-2-3-4-#4-5-6-7-8</v>
      </c>
      <c r="EM228" s="318" t="str">
        <f t="shared" si="65"/>
        <v>#REF!</v>
      </c>
      <c r="EN228" s="328" t="str">
        <f>IFERROR(__xludf.DUMMYFUNCTION("SUBSTITUTE(SUBSTITUTE(SUBSTITUTE(SUBSTITUTE(CONCATENATE(JOIN("" "",HP228:IB228)),""  "","" ""),""  "","" ""),""  "","" ""),""  "","" "")"),"o • o • o o o o • o • o o")</f>
        <v>o • o • o o o o • o • o o</v>
      </c>
      <c r="EO228" s="368" t="str">
        <f t="shared" si="66"/>
        <v>-</v>
      </c>
      <c r="EP228" s="339" t="str">
        <f t="shared" si="67"/>
        <v>-</v>
      </c>
      <c r="EQ228" s="339" t="str">
        <f t="shared" si="68"/>
        <v>Sa-Pa</v>
      </c>
      <c r="ER228" s="339" t="str">
        <f t="shared" si="69"/>
        <v>-</v>
      </c>
      <c r="ES228" s="340" t="str">
        <f t="shared" si="70"/>
        <v>-</v>
      </c>
      <c r="ET228" s="363"/>
      <c r="EU228" s="376" t="b">
        <f>IFERROR(__xludf.DUMMYFUNCTION("arrayformula(sum(--REGEXMATCH(""SRGMPDNS"",split(REGEXREPLACE(C228,""(.)"",""$1~""),""~""))))=len(C228)
"),FALSE)</f>
        <v>0</v>
      </c>
      <c r="EV228" s="290" t="b">
        <f>IFERROR(__xludf.DUMMYFUNCTION("arrayformula(sum(--REGEXMATCH(""SRGmPDNS"",split(REGEXREPLACE(C228,""(.)"",""$1~""),""~""))))=len(C228)"),FALSE)</f>
        <v>0</v>
      </c>
      <c r="EW228" s="290" t="b">
        <f>IFERROR(__xludf.DUMMYFUNCTION("arrayformula(sum(--REGEXMATCH(""SRGmPDnS"",split(REGEXREPLACE(C228,""(.)"",""$1~""),""~""))))=len(C228)"),FALSE)</f>
        <v>0</v>
      </c>
      <c r="EX228" s="290" t="b">
        <f>IFERROR(__xludf.DUMMYFUNCTION("arrayformula(sum(--REGEXMATCH(""SRgmPDnS"",split(REGEXREPLACE(C228,""(.)"",""$1~""),""~""))))=len(C228)"),FALSE)</f>
        <v>0</v>
      </c>
      <c r="EY228" s="290" t="b">
        <f>IFERROR(__xludf.DUMMYFUNCTION("arrayformula(sum(--REGEXMATCH(""SRgmPdnS"",split(REGEXREPLACE(C228,""(.)"",""$1~""),""~""))))=len(C228)"),FALSE)</f>
        <v>0</v>
      </c>
      <c r="EZ228" s="290" t="b">
        <f>IFERROR(__xludf.DUMMYFUNCTION("arrayformula(sum(--REGEXMATCH(""SrgmPdnS"",split(REGEXREPLACE(C228,""(.)"",""$1~""),""~""))))=len(C228)"),FALSE)</f>
        <v>0</v>
      </c>
      <c r="FA228" s="290" t="b">
        <f>IFERROR(__xludf.DUMMYFUNCTION("arrayformula(sum(--REGEXMATCH(""SrGmPdNS"",split(REGEXREPLACE(C228,""(.)"",""$1~""),""~""))))=len(C228)"),FALSE)</f>
        <v>0</v>
      </c>
      <c r="FB228" s="290" t="b">
        <f>IFERROR(__xludf.DUMMYFUNCTION("arrayformula(sum(--REGEXMATCH(""SrGMPDNS"",split(REGEXREPLACE(C228,""(.)"",""$1~""),""~""))))=len(C228)"),FALSE)</f>
        <v>0</v>
      </c>
      <c r="FC228" s="290" t="b">
        <f>IFERROR(__xludf.DUMMYFUNCTION("arrayformula(sum(--REGEXMATCH(""SrGMPdNS"",split(REGEXREPLACE(C228,""(.)"",""$1~""),""~""))))=len(C228)"),FALSE)</f>
        <v>0</v>
      </c>
      <c r="FD228" s="377" t="b">
        <f>IFERROR(__xludf.DUMMYFUNCTION("arrayformula(sum(--REGEXMATCH(""SrgMPdNS"",split(REGEXREPLACE(C228,""(.)"",""$1~""),""~""))))=len(C228)"),FALSE)</f>
        <v>0</v>
      </c>
      <c r="FE228" s="269" t="str">
        <f t="shared" si="71"/>
        <v>-</v>
      </c>
      <c r="FF228" s="269" t="str">
        <f t="shared" si="72"/>
        <v>xoxxxxoxoxx</v>
      </c>
      <c r="FG228" s="271" t="str">
        <f t="shared" si="73"/>
        <v>-</v>
      </c>
      <c r="FH228" s="269" t="str">
        <f t="shared" si="74"/>
        <v>xxxxoxoxxox</v>
      </c>
      <c r="FI228" s="271" t="str">
        <f t="shared" si="75"/>
        <v>xxxoxoxxoxo</v>
      </c>
      <c r="FJ228" s="271" t="str">
        <f t="shared" si="76"/>
        <v>xxoxoxxoxox</v>
      </c>
      <c r="FK228" s="271" t="str">
        <f t="shared" si="77"/>
        <v>xoxoxxoxoxx</v>
      </c>
      <c r="FL228" s="271" t="str">
        <f t="shared" si="78"/>
        <v>-</v>
      </c>
      <c r="FM228" s="271" t="str">
        <f t="shared" si="79"/>
        <v>xoxxoxoxxxx</v>
      </c>
      <c r="FN228" s="271" t="str">
        <f t="shared" si="80"/>
        <v>-</v>
      </c>
      <c r="FO228" s="274" t="str">
        <f t="shared" si="81"/>
        <v>xxoxoxxxxox</v>
      </c>
      <c r="FP228" s="234" t="str">
        <f t="shared" si="82"/>
        <v>|</v>
      </c>
      <c r="FQ228" s="236" t="str">
        <f t="shared" si="83"/>
        <v>-</v>
      </c>
      <c r="FR228" s="237" t="str">
        <f t="shared" si="84"/>
        <v>|</v>
      </c>
      <c r="FS228" s="236" t="str">
        <f t="shared" si="85"/>
        <v>-</v>
      </c>
      <c r="FT228" s="237" t="str">
        <f t="shared" si="86"/>
        <v>|</v>
      </c>
      <c r="FU228" s="236" t="str">
        <f t="shared" si="87"/>
        <v>|</v>
      </c>
      <c r="FV228" s="237" t="str">
        <f t="shared" si="88"/>
        <v>|</v>
      </c>
      <c r="FW228" s="236" t="str">
        <f t="shared" si="89"/>
        <v>|</v>
      </c>
      <c r="FX228" s="237" t="str">
        <f t="shared" si="90"/>
        <v>-</v>
      </c>
      <c r="FY228" s="236" t="str">
        <f t="shared" si="91"/>
        <v>|</v>
      </c>
      <c r="FZ228" s="237" t="str">
        <f t="shared" si="92"/>
        <v>-</v>
      </c>
      <c r="GA228" s="236" t="str">
        <f t="shared" si="93"/>
        <v>|</v>
      </c>
      <c r="GB228" s="238" t="str">
        <f t="shared" si="94"/>
        <v>|</v>
      </c>
      <c r="GC228" s="244" t="str">
        <f>IFERROR(__xludf.DUMMYFUNCTION("IF(REGEXMATCH(C228, ""S""), ""1"","""")"),"1")</f>
        <v>1</v>
      </c>
      <c r="GD228" s="245" t="str">
        <f>IFERROR(__xludf.DUMMYFUNCTION("IF(REGEXMATCH(C228, ""r""), ""b2"","""")"),"")</f>
        <v/>
      </c>
      <c r="GE228" s="246" t="str">
        <f>IFERROR(__xludf.DUMMYFUNCTION("IF(REGEXMATCH(C228, ""R""), ""2"","""")"),"2")</f>
        <v>2</v>
      </c>
      <c r="GF228" s="246" t="str">
        <f>IFERROR(__xludf.DUMMYFUNCTION("IF(REGEXMATCH(C228, ""g""), ""b3"","""")"),"")</f>
        <v/>
      </c>
      <c r="GG228" s="245" t="str">
        <f>IFERROR(__xludf.DUMMYFUNCTION("IF(REGEXMATCH(C228, ""G""), ""3"","""")"),"3")</f>
        <v>3</v>
      </c>
      <c r="GH228" s="245" t="str">
        <f>IFERROR(__xludf.DUMMYFUNCTION("IF(REGEXMATCH(C228, ""m""), ""4"","""")"),"4")</f>
        <v>4</v>
      </c>
      <c r="GI228" s="246" t="str">
        <f>IFERROR(__xludf.DUMMYFUNCTION("IF(REGEXMATCH(C228, ""M""), ""#4"","""")"),"#4")</f>
        <v>#4</v>
      </c>
      <c r="GJ228" s="245" t="str">
        <f>IFERROR(__xludf.DUMMYFUNCTION("IF(REGEXMATCH(C228, ""P""), ""5"","""")"),"5")</f>
        <v>5</v>
      </c>
      <c r="GK228" s="246" t="str">
        <f>IFERROR(__xludf.DUMMYFUNCTION("IF(REGEXMATCH(C228, ""d""), ""b6"","""")"),"")</f>
        <v/>
      </c>
      <c r="GL228" s="245" t="str">
        <f>IFERROR(__xludf.DUMMYFUNCTION("IF(REGEXMATCH(C228, ""D""), ""6"","""")"),"6")</f>
        <v>6</v>
      </c>
      <c r="GM228" s="245" t="str">
        <f>IFERROR(__xludf.DUMMYFUNCTION("IF(REGEXMATCH(C228, ""n""), ""b7"","""")"),"")</f>
        <v/>
      </c>
      <c r="GN228" s="246" t="str">
        <f>IFERROR(__xludf.DUMMYFUNCTION("IF(REGEXMATCH(C228, ""N""), ""7"","""")"),"7")</f>
        <v>7</v>
      </c>
      <c r="GO228" s="249" t="str">
        <f>IFERROR(__xludf.DUMMYFUNCTION("IF(REGEXMATCH(C228, ""S""), ""8"","""")"),"8")</f>
        <v>8</v>
      </c>
      <c r="GP228" s="244" t="str">
        <f>IFERROR(__xludf.DUMMYFUNCTION("IF(REGEXMATCH(C228, ""S""), ""S"","""")"),"S")</f>
        <v>S</v>
      </c>
      <c r="GQ228" s="294" t="str">
        <f>IFERROR(__xludf.DUMMYFUNCTION("IF(REGEXMATCH(C228, ""r""), ""R1"","""")"),"")</f>
        <v/>
      </c>
      <c r="GR228" s="295" t="str">
        <f>IFERROR(__xludf.DUMMYFUNCTION("IF(REGEXMATCH(C228, ""R""), ""R2"","""")"),"R2")</f>
        <v>R2</v>
      </c>
      <c r="GS228" s="295" t="str">
        <f>IFERROR(__xludf.DUMMYFUNCTION("IF(REGEXMATCH(C228, ""g""), ""G2"","""")"),"")</f>
        <v/>
      </c>
      <c r="GT228" s="294" t="str">
        <f>IFERROR(__xludf.DUMMYFUNCTION("IF(REGEXMATCH(C228, ""G""), ""G3"","""")"),"G3")</f>
        <v>G3</v>
      </c>
      <c r="GU228" s="294" t="str">
        <f>IFERROR(__xludf.DUMMYFUNCTION("IF(REGEXMATCH(C228, ""m""), ""M1"","""")"),"M1")</f>
        <v>M1</v>
      </c>
      <c r="GV228" s="295" t="str">
        <f>IFERROR(__xludf.DUMMYFUNCTION("IF(REGEXMATCH(C228, ""M""), ""M2"","""")"),"M2")</f>
        <v>M2</v>
      </c>
      <c r="GW228" s="294" t="str">
        <f>IFERROR(__xludf.DUMMYFUNCTION("IF(REGEXMATCH(C228, ""P""), ""P"","""")"),"P")</f>
        <v>P</v>
      </c>
      <c r="GX228" s="295" t="str">
        <f>IFERROR(__xludf.DUMMYFUNCTION("IF(REGEXMATCH(C228, ""d""), ""D1"","""")"),"")</f>
        <v/>
      </c>
      <c r="GY228" s="294" t="str">
        <f>IFERROR(__xludf.DUMMYFUNCTION("IF(REGEXMATCH(C228, ""D""), ""D2"","""")"),"D2")</f>
        <v>D2</v>
      </c>
      <c r="GZ228" s="294" t="str">
        <f>IFERROR(__xludf.DUMMYFUNCTION("IF(REGEXMATCH(C228, ""n""), ""N2"","""")"),"")</f>
        <v/>
      </c>
      <c r="HA228" s="295" t="str">
        <f>IFERROR(__xludf.DUMMYFUNCTION("IF(REGEXMATCH(C228, ""N""), ""N3"","""")"),"N3")</f>
        <v>N3</v>
      </c>
      <c r="HB228" s="249" t="str">
        <f>IFERROR(__xludf.DUMMYFUNCTION("IF(REGEXMATCH(C228, ""S""), ""S"","""")"),"S")</f>
        <v>S</v>
      </c>
      <c r="HC228" s="331" t="str">
        <f t="shared" si="95"/>
        <v>S</v>
      </c>
      <c r="HD228" s="332" t="str">
        <f t="shared" si="96"/>
        <v>r</v>
      </c>
      <c r="HE228" s="332" t="str">
        <f t="shared" si="97"/>
        <v/>
      </c>
      <c r="HF228" s="332" t="str">
        <f t="shared" si="98"/>
        <v>g</v>
      </c>
      <c r="HG228" s="332" t="str">
        <f t="shared" si="99"/>
        <v/>
      </c>
      <c r="HH228" s="332" t="str">
        <f t="shared" si="100"/>
        <v>m</v>
      </c>
      <c r="HI228" s="332" t="str">
        <f t="shared" si="101"/>
        <v>M</v>
      </c>
      <c r="HJ228" s="332" t="str">
        <f t="shared" si="102"/>
        <v>P</v>
      </c>
      <c r="HK228" s="332" t="str">
        <f t="shared" si="103"/>
        <v>d</v>
      </c>
      <c r="HL228" s="332" t="str">
        <f t="shared" si="104"/>
        <v/>
      </c>
      <c r="HM228" s="332" t="str">
        <f t="shared" si="105"/>
        <v>n</v>
      </c>
      <c r="HN228" s="332" t="str">
        <f t="shared" si="106"/>
        <v/>
      </c>
      <c r="HO228" s="343" t="str">
        <f t="shared" si="107"/>
        <v>S</v>
      </c>
      <c r="HP228" s="331" t="str">
        <f t="shared" si="108"/>
        <v>o</v>
      </c>
      <c r="HQ228" s="332" t="str">
        <f t="shared" si="109"/>
        <v>•</v>
      </c>
      <c r="HR228" s="332" t="str">
        <f t="shared" si="110"/>
        <v>o</v>
      </c>
      <c r="HS228" s="332" t="str">
        <f t="shared" si="111"/>
        <v>•</v>
      </c>
      <c r="HT228" s="332" t="str">
        <f t="shared" si="112"/>
        <v>o</v>
      </c>
      <c r="HU228" s="332" t="str">
        <f t="shared" si="113"/>
        <v>o</v>
      </c>
      <c r="HV228" s="332" t="str">
        <f t="shared" si="114"/>
        <v>o</v>
      </c>
      <c r="HW228" s="332" t="str">
        <f t="shared" si="115"/>
        <v>o</v>
      </c>
      <c r="HX228" s="332" t="str">
        <f t="shared" si="116"/>
        <v>•</v>
      </c>
      <c r="HY228" s="332" t="str">
        <f t="shared" si="117"/>
        <v>o</v>
      </c>
      <c r="HZ228" s="332" t="str">
        <f t="shared" si="118"/>
        <v>•</v>
      </c>
      <c r="IA228" s="332" t="str">
        <f t="shared" si="119"/>
        <v>o</v>
      </c>
      <c r="IB228" s="338" t="str">
        <f t="shared" si="120"/>
        <v>o</v>
      </c>
      <c r="IC228" s="331" t="str">
        <f t="shared" si="121"/>
        <v>•</v>
      </c>
      <c r="ID228" s="332" t="str">
        <f t="shared" si="122"/>
        <v>o</v>
      </c>
      <c r="IE228" s="332" t="str">
        <f t="shared" si="123"/>
        <v>•</v>
      </c>
      <c r="IF228" s="332" t="str">
        <f t="shared" si="124"/>
        <v>o</v>
      </c>
      <c r="IG228" s="332" t="str">
        <f t="shared" si="125"/>
        <v>•</v>
      </c>
      <c r="IH228" s="332" t="str">
        <f t="shared" si="126"/>
        <v>•</v>
      </c>
      <c r="II228" s="332" t="str">
        <f t="shared" si="127"/>
        <v>•</v>
      </c>
      <c r="IJ228" s="332" t="str">
        <f t="shared" si="128"/>
        <v>•</v>
      </c>
      <c r="IK228" s="332" t="str">
        <f t="shared" si="129"/>
        <v>o</v>
      </c>
      <c r="IL228" s="332" t="str">
        <f t="shared" si="130"/>
        <v>•</v>
      </c>
      <c r="IM228" s="332" t="str">
        <f t="shared" si="131"/>
        <v>o</v>
      </c>
      <c r="IN228" s="332" t="str">
        <f t="shared" si="132"/>
        <v>•</v>
      </c>
      <c r="IO228" s="338" t="str">
        <f t="shared" si="133"/>
        <v>•</v>
      </c>
      <c r="IP228" s="346" t="b">
        <f t="shared" si="134"/>
        <v>0</v>
      </c>
      <c r="IQ228" s="347" t="b">
        <f t="shared" si="135"/>
        <v>0</v>
      </c>
      <c r="IR228" s="347" t="b">
        <f t="shared" si="136"/>
        <v>0</v>
      </c>
      <c r="IS228" s="347" t="b">
        <f t="shared" si="137"/>
        <v>0</v>
      </c>
      <c r="IT228" s="347" t="b">
        <f t="shared" si="138"/>
        <v>0</v>
      </c>
      <c r="IU228" s="347" t="b">
        <f t="shared" si="139"/>
        <v>0</v>
      </c>
      <c r="IV228" s="347" t="b">
        <f t="shared" si="140"/>
        <v>1</v>
      </c>
      <c r="IW228" s="347" t="b">
        <f t="shared" si="141"/>
        <v>0</v>
      </c>
      <c r="IX228" s="347" t="b">
        <f t="shared" si="142"/>
        <v>0</v>
      </c>
      <c r="IY228" s="347" t="b">
        <f t="shared" si="143"/>
        <v>0</v>
      </c>
      <c r="IZ228" s="347" t="b">
        <f t="shared" si="144"/>
        <v>0</v>
      </c>
      <c r="JA228" s="347" t="b">
        <f t="shared" si="145"/>
        <v>0</v>
      </c>
      <c r="JB228" s="353" t="b">
        <f t="shared" si="146"/>
        <v>0</v>
      </c>
      <c r="JC228" s="354" t="str">
        <f t="shared" si="147"/>
        <v/>
      </c>
      <c r="JD228" s="355" t="str">
        <f t="shared" si="148"/>
        <v/>
      </c>
      <c r="JE228" s="355" t="str">
        <f t="shared" si="149"/>
        <v/>
      </c>
      <c r="JF228" s="355" t="str">
        <f t="shared" si="150"/>
        <v/>
      </c>
      <c r="JG228" s="355" t="str">
        <f t="shared" si="151"/>
        <v/>
      </c>
      <c r="JH228" s="355" t="str">
        <f t="shared" si="152"/>
        <v/>
      </c>
      <c r="JI228" s="355" t="str">
        <f t="shared" si="153"/>
        <v>Ma, </v>
      </c>
      <c r="JJ228" s="355" t="str">
        <f t="shared" si="154"/>
        <v/>
      </c>
      <c r="JK228" s="355" t="str">
        <f t="shared" si="155"/>
        <v/>
      </c>
      <c r="JL228" s="355" t="str">
        <f t="shared" si="156"/>
        <v/>
      </c>
      <c r="JM228" s="355" t="str">
        <f t="shared" si="157"/>
        <v/>
      </c>
      <c r="JN228" s="355" t="str">
        <f t="shared" si="158"/>
        <v/>
      </c>
      <c r="JO228" s="359" t="str">
        <f t="shared" si="159"/>
        <v/>
      </c>
      <c r="JP228" s="346" t="b">
        <f t="shared" si="160"/>
        <v>0</v>
      </c>
      <c r="JQ228" s="347" t="b">
        <f t="shared" si="161"/>
        <v>0</v>
      </c>
      <c r="JR228" s="347" t="b">
        <f t="shared" si="162"/>
        <v>0</v>
      </c>
      <c r="JS228" s="347" t="b">
        <f t="shared" si="163"/>
        <v>0</v>
      </c>
      <c r="JT228" s="347" t="b">
        <f t="shared" si="164"/>
        <v>0</v>
      </c>
      <c r="JU228" s="347" t="b">
        <f t="shared" si="165"/>
        <v>0</v>
      </c>
      <c r="JV228" s="347" t="b">
        <f t="shared" si="166"/>
        <v>0</v>
      </c>
      <c r="JW228" s="347" t="b">
        <f t="shared" si="167"/>
        <v>0</v>
      </c>
      <c r="JX228" s="347" t="b">
        <f t="shared" si="168"/>
        <v>0</v>
      </c>
      <c r="JY228" s="347" t="b">
        <f t="shared" si="169"/>
        <v>0</v>
      </c>
      <c r="JZ228" s="347" t="b">
        <f t="shared" si="170"/>
        <v>0</v>
      </c>
      <c r="KA228" s="347" t="b">
        <f t="shared" si="171"/>
        <v>0</v>
      </c>
      <c r="KB228" s="365" t="b">
        <f t="shared" si="172"/>
        <v>0</v>
      </c>
      <c r="KC228" s="354" t="str">
        <f t="shared" si="173"/>
        <v/>
      </c>
      <c r="KD228" s="355" t="str">
        <f t="shared" si="174"/>
        <v/>
      </c>
      <c r="KE228" s="355" t="str">
        <f t="shared" si="175"/>
        <v/>
      </c>
      <c r="KF228" s="355" t="str">
        <f t="shared" si="176"/>
        <v/>
      </c>
      <c r="KG228" s="355" t="str">
        <f t="shared" si="177"/>
        <v/>
      </c>
      <c r="KH228" s="355" t="str">
        <f t="shared" si="178"/>
        <v/>
      </c>
      <c r="KI228" s="355" t="str">
        <f t="shared" si="179"/>
        <v/>
      </c>
      <c r="KJ228" s="355" t="str">
        <f t="shared" si="180"/>
        <v/>
      </c>
      <c r="KK228" s="355" t="str">
        <f t="shared" si="181"/>
        <v/>
      </c>
      <c r="KL228" s="355" t="str">
        <f t="shared" si="182"/>
        <v/>
      </c>
      <c r="KM228" s="355" t="str">
        <f t="shared" si="183"/>
        <v/>
      </c>
      <c r="KN228" s="355" t="str">
        <f t="shared" si="184"/>
        <v/>
      </c>
      <c r="KO228" s="359"/>
      <c r="KP228" s="378"/>
      <c r="KQ228" s="379" t="s">
        <v>1453</v>
      </c>
      <c r="KR228" s="380" t="s">
        <v>1454</v>
      </c>
      <c r="KS228" s="381" t="str">
        <f t="shared" ref="KS228:KS229" si="676">KQ228</f>
        <v>S-G-mM-P-N-S</v>
      </c>
      <c r="KT228" s="382">
        <f t="shared" si="186"/>
        <v>5</v>
      </c>
      <c r="KU228" s="383">
        <f t="shared" si="187"/>
        <v>6</v>
      </c>
      <c r="KV228" s="381" t="str">
        <f t="shared" si="205"/>
        <v>S-N-D-P-M-G-R-S</v>
      </c>
      <c r="KW228" s="382">
        <f t="shared" si="189"/>
        <v>7</v>
      </c>
      <c r="KX228" s="384">
        <f t="shared" si="190"/>
        <v>7</v>
      </c>
      <c r="KY228" s="382">
        <f t="shared" ref="KY228:KZ228" si="674">KW228-KT228</f>
        <v>2</v>
      </c>
      <c r="KZ228" s="369">
        <f t="shared" si="674"/>
        <v>1</v>
      </c>
      <c r="LA228" s="385" t="str">
        <f t="shared" si="192"/>
        <v>-</v>
      </c>
      <c r="LB228" s="340" t="str">
        <f>IFERROR(__xludf.DUMMYFUNCTION("JOIN("""",ArrayFormula(MID(KS228,LEN(KS228)-SEQUENCE(1,LEN(KS228))+1,1)))"),"S-N-P-Mm-G-S")</f>
        <v>S-N-P-Mm-G-S</v>
      </c>
      <c r="LC228" s="373" t="str">
        <f>IFERROR(__xludf.DUMMYFUNCTION("JOIN("""",ArrayFormula(MID(KV228,LEN(KV228)-SEQUENCE(1,LEN(KV228))+1,1)))"),"S-R-G-M-P-D-N-S")</f>
        <v>S-R-G-M-P-D-N-S</v>
      </c>
      <c r="LD228" s="373" t="str">
        <f t="shared" si="193"/>
        <v>SGmMPNS</v>
      </c>
      <c r="LE228" s="339" t="str">
        <f t="shared" si="194"/>
        <v>SRGMPDNS</v>
      </c>
      <c r="LF228" s="386" t="str">
        <f>IFERROR(__xludf.DUMMYFUNCTION("SUBSTITUTE(SUBSTITUTE(CONCATENATE(JOIN("""",LH228:LT228)),""1"",""""),""2"","""")"),"SRGmMPDNS")</f>
        <v>SRGmMPDNS</v>
      </c>
      <c r="LG228" s="369" t="str">
        <f t="shared" si="195"/>
        <v>✔</v>
      </c>
      <c r="LH228" s="387" t="str">
        <f>IFERROR(__xludf.DUMMYFUNCTION("IF(REGEXMATCH(LD228, ""S""), ""S"",IF(REGEXMATCH(LE228, ""S""), ""S"",""""))"),"S")</f>
        <v>S</v>
      </c>
      <c r="LI228" s="299" t="str">
        <f>IFERROR(__xludf.DUMMYFUNCTION("IF(REGEXMATCH(LD228, ""r""), ""r1"",IF(REGEXMATCH(LE228, ""r""), ""r2"",""""))"),"")</f>
        <v/>
      </c>
      <c r="LJ228" s="299" t="str">
        <f>IFERROR(__xludf.DUMMYFUNCTION("IF(REGEXMATCH(LD228, ""R""), ""R1"",IF(REGEXMATCH(LE228, ""R""), ""R2"",""""))"),"R2")</f>
        <v>R2</v>
      </c>
      <c r="LK228" s="299" t="str">
        <f>IFERROR(__xludf.DUMMYFUNCTION("IF(REGEXMATCH(LD228, ""g""), ""g1"",IF(REGEXMATCH(LE228, ""g""), ""g2"",""""))"),"")</f>
        <v/>
      </c>
      <c r="LL228" s="299" t="str">
        <f>IFERROR(__xludf.DUMMYFUNCTION("IF(REGEXMATCH(LD228, ""G""), ""G1"",IF(REGEXMATCH(LE228, ""G""), ""G2"",""""))"),"G1")</f>
        <v>G1</v>
      </c>
      <c r="LM228" s="299" t="str">
        <f>IFERROR(__xludf.DUMMYFUNCTION("IF(REGEXMATCH(LD228, ""m""), ""m1"",IF(REGEXMATCH(LE228, ""m""), ""m2"",""""))"),"m1")</f>
        <v>m1</v>
      </c>
      <c r="LN228" s="299" t="str">
        <f>IFERROR(__xludf.DUMMYFUNCTION("IF(REGEXMATCH(LD228, ""M""), ""M1"",IF(REGEXMATCH(LE228, ""M""), ""M2"",""""))"),"M1")</f>
        <v>M1</v>
      </c>
      <c r="LO228" s="299" t="str">
        <f>IFERROR(__xludf.DUMMYFUNCTION("IF(REGEXMATCH(LD228, ""P""), ""P1"",IF(REGEXMATCH(LE228, ""P""), ""P2"",""""))"),"P1")</f>
        <v>P1</v>
      </c>
      <c r="LP228" s="299" t="str">
        <f>IFERROR(__xludf.DUMMYFUNCTION("IF(REGEXMATCH(LD228, ""d""), ""d1"",IF(REGEXMATCH(LE228, ""d""), ""d2"",""""))"),"")</f>
        <v/>
      </c>
      <c r="LQ228" s="299" t="str">
        <f>IFERROR(__xludf.DUMMYFUNCTION("IF(REGEXMATCH(LD228, ""D""), ""D1"",IF(REGEXMATCH(LE228, ""D""), ""D2"",""""))"),"D2")</f>
        <v>D2</v>
      </c>
      <c r="LR228" s="299" t="str">
        <f>IFERROR(__xludf.DUMMYFUNCTION("IF(REGEXMATCH(LD228, ""n""), ""n1"",IF(REGEXMATCH(LE228, ""n""), ""n2"",""""))"),"")</f>
        <v/>
      </c>
      <c r="LS228" s="299" t="str">
        <f>IFERROR(__xludf.DUMMYFUNCTION("IF(REGEXMATCH(LD228, ""N""), ""N1"",IF(REGEXMATCH(LE228, ""N""), ""N2"",""""))"),"N1")</f>
        <v>N1</v>
      </c>
      <c r="LT228" s="388" t="str">
        <f>IFERROR(__xludf.DUMMYFUNCTION("IF(REGEXMATCH(LD228, ""S""), ""S"",IF(REGEXMATCH(LE228, ""S""), ""S"",""""))"),"S")</f>
        <v>S</v>
      </c>
      <c r="LU228" s="389">
        <f t="shared" si="196"/>
        <v>-2</v>
      </c>
      <c r="LV228" s="378"/>
      <c r="LW228" s="369"/>
      <c r="LX228" s="369"/>
    </row>
    <row r="229" ht="18.0" customHeight="1">
      <c r="A229" s="298" t="s">
        <v>125</v>
      </c>
      <c r="B229" s="222" t="s">
        <v>982</v>
      </c>
      <c r="C229" s="233" t="str">
        <f t="shared" si="7"/>
        <v>SrGMDNS</v>
      </c>
      <c r="D229" s="234" t="str">
        <f>IFERROR(__xludf.DUMMYFUNCTION("IF(REGEXMATCH(C229, ""S""), ""S"","""")"),"S")</f>
        <v>S</v>
      </c>
      <c r="E229" s="236" t="str">
        <f>IFERROR(__xludf.DUMMYFUNCTION("IF(REGEXMATCH(C229, ""r""), ""r"","""")"),"r")</f>
        <v>r</v>
      </c>
      <c r="F229" s="237" t="str">
        <f>IFERROR(__xludf.DUMMYFUNCTION("IF(REGEXMATCH(C229, ""R""), ""R"","""")"),"")</f>
        <v/>
      </c>
      <c r="G229" s="237" t="str">
        <f>IFERROR(__xludf.DUMMYFUNCTION("IF(REGEXMATCH(C229, ""g""), ""g"","""")"),"")</f>
        <v/>
      </c>
      <c r="H229" s="236" t="str">
        <f>IFERROR(__xludf.DUMMYFUNCTION("IF(REGEXMATCH(C229, ""G""), ""G"","""")"),"G")</f>
        <v>G</v>
      </c>
      <c r="I229" s="236" t="str">
        <f>IFERROR(__xludf.DUMMYFUNCTION("IF(REGEXMATCH(C229, ""m""), ""m"","""")"),"")</f>
        <v/>
      </c>
      <c r="J229" s="237" t="str">
        <f>IFERROR(__xludf.DUMMYFUNCTION("IF(REGEXMATCH(C229, ""M""), ""M"","""")"),"M")</f>
        <v>M</v>
      </c>
      <c r="K229" s="236" t="str">
        <f>IFERROR(__xludf.DUMMYFUNCTION("IF(REGEXMATCH(C229, ""P""), ""P"","""")"),"")</f>
        <v/>
      </c>
      <c r="L229" s="237" t="str">
        <f>IFERROR(__xludf.DUMMYFUNCTION("IF(REGEXMATCH(C229, ""d""), ""d"","""")"),"")</f>
        <v/>
      </c>
      <c r="M229" s="236" t="str">
        <f>IFERROR(__xludf.DUMMYFUNCTION("IF(REGEXMATCH(C229, ""D""), ""D"","""")"),"D")</f>
        <v>D</v>
      </c>
      <c r="N229" s="236" t="str">
        <f>IFERROR(__xludf.DUMMYFUNCTION("IF(REGEXMATCH(C229, ""n""), ""n"","""")"),"")</f>
        <v/>
      </c>
      <c r="O229" s="237" t="str">
        <f>IFERROR(__xludf.DUMMYFUNCTION("IF(REGEXMATCH(C229, ""N""), ""N"","""")"),"N")</f>
        <v>N</v>
      </c>
      <c r="P229" s="238" t="str">
        <f>IFERROR(__xludf.DUMMYFUNCTION("IF(REGEXMATCH(C229, ""S""), ""S"","""")"),"S")</f>
        <v>S</v>
      </c>
      <c r="Q229" s="239" t="str">
        <f>IFERROR(__xludf.DUMMYFUNCTION("SUBSTITUTE(CONCATENATE(JOIN(""-"",D229:J229)),""-"","""")"),"SrGM")</f>
        <v>SrGM</v>
      </c>
      <c r="R229" s="229" t="str">
        <f>IFERROR(__xludf.DUMMYFUNCTION("SUBSTITUTE(CONCATENATE(JOIN(""-"",K229:P229)),""-"","""")"),"DNS")</f>
        <v>DNS</v>
      </c>
      <c r="S229" s="282" t="str">
        <f t="shared" si="8"/>
        <v>S-R-G-M</v>
      </c>
      <c r="T229" s="282" t="str">
        <f t="shared" si="9"/>
        <v>D-N-S</v>
      </c>
      <c r="U229" s="237" t="str">
        <f>IFERROR(__xludf.DUMMYFUNCTION("SUBSTITUTE(JOIN(""-"",S229,T229),""--"",""-"")"),"S-R-G-M-D-N-S")</f>
        <v>S-R-G-M-D-N-S</v>
      </c>
      <c r="V229" s="309" t="str">
        <f t="shared" si="10"/>
        <v>rGMDN</v>
      </c>
      <c r="W229" s="244" t="str">
        <f>IFERROR(__xludf.DUMMYFUNCTION("IF(REGEXMATCH(C229, ""S""), ""0"","""")"),"0")</f>
        <v>0</v>
      </c>
      <c r="X229" s="245" t="str">
        <f>IFERROR(__xludf.DUMMYFUNCTION("IF(REGEXMATCH(C229, ""r""), ""1"","""")"),"1")</f>
        <v>1</v>
      </c>
      <c r="Y229" s="246" t="str">
        <f>IFERROR(__xludf.DUMMYFUNCTION("IF(REGEXMATCH(C229, ""R""), ""2"","""")"),"")</f>
        <v/>
      </c>
      <c r="Z229" s="246" t="str">
        <f>IFERROR(__xludf.DUMMYFUNCTION("IF(REGEXMATCH(C229, ""g""), ""3"","""")"),"")</f>
        <v/>
      </c>
      <c r="AA229" s="245" t="str">
        <f>IFERROR(__xludf.DUMMYFUNCTION("IF(REGEXMATCH(C229, ""G""), ""4"","""")"),"4")</f>
        <v>4</v>
      </c>
      <c r="AB229" s="245" t="str">
        <f>IFERROR(__xludf.DUMMYFUNCTION("IF(REGEXMATCH(C229, ""m""), ""5"","""")"),"")</f>
        <v/>
      </c>
      <c r="AC229" s="246" t="str">
        <f>IFERROR(__xludf.DUMMYFUNCTION("IF(REGEXMATCH(C229, ""M""), ""6"","""")"),"6")</f>
        <v>6</v>
      </c>
      <c r="AD229" s="245" t="str">
        <f>IFERROR(__xludf.DUMMYFUNCTION("IF(REGEXMATCH(C229, ""P""), ""7"","""")"),"")</f>
        <v/>
      </c>
      <c r="AE229" s="246" t="str">
        <f>IFERROR(__xludf.DUMMYFUNCTION("IF(REGEXMATCH(C229, ""d""), ""8"","""")"),"")</f>
        <v/>
      </c>
      <c r="AF229" s="245" t="str">
        <f>IFERROR(__xludf.DUMMYFUNCTION("IF(REGEXMATCH(C229, ""D""), ""9"","""")"),"9")</f>
        <v>9</v>
      </c>
      <c r="AG229" s="245" t="str">
        <f>IFERROR(__xludf.DUMMYFUNCTION("IF(REGEXMATCH(C229, ""n""), ""10"","""")"),"")</f>
        <v/>
      </c>
      <c r="AH229" s="246" t="str">
        <f>IFERROR(__xludf.DUMMYFUNCTION("IF(REGEXMATCH(C229, ""N""), ""11"","""")"),"11")</f>
        <v>11</v>
      </c>
      <c r="AI229" s="249" t="str">
        <f>IFERROR(__xludf.DUMMYFUNCTION("IF(REGEXMATCH(C229, ""S""), ""0"","""")"),"0")</f>
        <v>0</v>
      </c>
      <c r="AJ229" s="313" t="str">
        <f t="shared" si="11"/>
        <v>T</v>
      </c>
      <c r="AK229" s="313" t="str">
        <f t="shared" si="12"/>
        <v>-</v>
      </c>
      <c r="AL229" s="313" t="str">
        <f t="shared" si="13"/>
        <v>-</v>
      </c>
      <c r="AM229" s="313" t="str">
        <f t="shared" si="14"/>
        <v>-</v>
      </c>
      <c r="AN229" s="313" t="str">
        <f t="shared" si="15"/>
        <v>-</v>
      </c>
      <c r="AO229" s="314" t="str">
        <f t="shared" si="16"/>
        <v>-</v>
      </c>
      <c r="AP229" s="316">
        <f t="shared" si="17"/>
        <v>1</v>
      </c>
      <c r="AQ229" s="319" t="str">
        <f t="shared" si="18"/>
        <v>#REF!</v>
      </c>
      <c r="AR229" s="320">
        <f t="shared" si="19"/>
        <v>0</v>
      </c>
      <c r="AS229" s="250" t="str">
        <f>IFERROR(__xludf.DUMMYFUNCTION("SUBSTITUTE(SUBSTITUTE(CONCATENATE(JOIN("""",FP229:GA229)),""|"",""x""),""-"",""o"")"),"xxooxoxooxox")</f>
        <v>xxooxoxooxox</v>
      </c>
      <c r="AT229" s="323" t="str">
        <f>IFERROR(__xludf.DUMMYFUNCTION("JOIN("""",AS229,AS229)"),"xxooxoxooxoxxxooxoxooxox")</f>
        <v>xxooxoxooxoxxxooxoxooxox</v>
      </c>
      <c r="AU229" s="256" t="str">
        <f>IFERROR(__xludf.DUMMYFUNCTION("JOIN("""",ArrayFormula(MID(AS229,LEN(AS229)-SEQUENCE(1,LEN(AS229))+1,1)))"),"xoxooxoxooxx")</f>
        <v>xoxooxoxooxx</v>
      </c>
      <c r="AV229" s="256" t="str">
        <f>IFERROR(__xludf.DUMMYFUNCTION("LEFT(CONCATENATE(""x"",JOIN("""",ArrayFormula(MID(AS229,LEN(AS229)-SEQUENCE(1,LEN(AS229))+1,1)))),12)"),"xxoxooxoxoox")</f>
        <v>xxoxooxoxoox</v>
      </c>
      <c r="AW229" s="327" t="str">
        <f>IFERROR(__xludf.DUMMYFUNCTION("JOIN("""",AU229,AU229)"),"xoxooxoxooxxxoxooxoxooxx")</f>
        <v>xoxooxoxooxxxoxooxoxooxx</v>
      </c>
      <c r="AX229" s="239" t="str">
        <f>IFERROR(__xludf.DUMMYFUNCTION("IF(REGEXMATCH(AW229,AS229),""✔"",""-"")"),"-")</f>
        <v>-</v>
      </c>
      <c r="AY229" s="330" t="str">
        <f t="shared" si="20"/>
        <v>-</v>
      </c>
      <c r="AZ229" s="260" t="str">
        <f t="shared" si="21"/>
        <v>#REF!</v>
      </c>
      <c r="BA229" s="333" t="str">
        <f t="shared" si="22"/>
        <v>xxooxox</v>
      </c>
      <c r="BB229" s="334" t="str">
        <f t="shared" si="23"/>
        <v>ooxoxx</v>
      </c>
      <c r="BC229" s="335" t="str">
        <f t="shared" si="236"/>
        <v>-</v>
      </c>
      <c r="BD229" s="336" t="str">
        <f t="shared" si="25"/>
        <v>Marwa: 'xxooxox' + 'ooxoxx'</v>
      </c>
      <c r="BE229" s="337">
        <f>IFERROR(__xludf.DUMMYFUNCTION("COUNTUNIQUE(FILTER(AT:AT,REGEXMATCH(AT:AT,AS229)))-1"),3.0)</f>
        <v>3</v>
      </c>
      <c r="BF229" s="261" t="str">
        <f>IFERROR(__xludf.DUMMYFUNCTION("IF(BI229=0,""(n/a)"",IF(BJ229=2,""(PAIR)"",IF(REGEXMATCH(AT229,""xoxoxxoxoxox""),""Bilawal"",IF(REGEXMATCH(AT229,""xoxoxooxoxoo""),""Bhupali"",IF(REGEXMATCH(AT229,""xoxoxxoxxoxo""),""Charukeshi"",IF(REGEXMATCH(AT229,""xoxoooxxoxxo""),""Kameshwari"",IF(REG"&amp;"EXMATCH(AT229,""xoxoxooxoxox""),""Shankara"",IF(REGEXMATCH(AT229,""xxooxoxxxoox""),""Basant"",IF(REGEXMATCH(AT229,""xoxoxxxxoxox""),""Bihag"",IF(REGEXMATCH(AT229,""xoxxxxoxoxxx""),""Pilu"",IF(REGEXMATCH(AT229,""xoxxoxoxxoox""),""Kirwani"",IF(REGEXMATCH(AT"&amp;"229,""xoxxoxoxoxxx""),""Mk.Malhar"",IF(REGEXMATCH(AT229,""xxooxxoxxoox""),""Bhairav"",IF(REGEXMATCH(AT229,""xxoxooxxxoox""),""Todi"",IF(REGEXMATCH(AT229,""xxooxoxooxox""),""Marwa"",IF(REGEXMATCH(AT229,""xxoooxoxxooo""),""Gunkali"",IF(REGEXMATCH(AT229,""xo"&amp;"xoxxoxxoox""),""Nat Bhairav"",IF(REGEXMATCH(AT229,""xoxxoooxoxoo""),""Shivranjani"",IF(REGEXMATCH(AT229,""xooxxxoxooxo""),""Jog"",IF(REGEXMATCH(AT229,""xxooxoxoxoox""),""Hemshri"",IF(REGEXMATCH(AT229,""xoooxooxoxxo""),""Kalavati"",IF(REGEXMATCH(AT229,""xx"&amp;"oxoxxoxoox""),""Kedar"",IF(REGEXMATCH(AT229,""xoxxxxoxooxx""),""Gara"",IF(REGEXMATCH(AT229,""xooxoxooxoox""),""Chandrakauns"",IF(REGEXMATCH(AT229,""xoxxxxoxxxox""),""Mand"",IF(REGEXMATCH(AT229,""xoxxxxoxoxox""),""Hanskinkini"",IF(REGEXMATCH(AT229,""xxooxx"&amp;"oxooxo""),""Lilavati"",IF(REGEXMATCH(AT229,""xooxoxoooxox""),""Rajeshwari"",IF(REGEXMATCH(AT229,""xoooxxoxoxxx""),""Khokar"",IF(REGEXMATCH(AT229,""xxooxoxxxxox""),""Maligoura"",""-""))))))))))))))))))))))))))))))"),"Marwa")</f>
        <v>Marwa</v>
      </c>
      <c r="BG229" s="239" t="str">
        <f t="shared" si="26"/>
        <v>#REF!</v>
      </c>
      <c r="BH229" s="239">
        <f>IFERROR(__xludf.DUMMYFUNCTION("COUNTUNIQUE(FE229:FO229)-1"),5.0)</f>
        <v>5</v>
      </c>
      <c r="BI229" s="239">
        <f>IFERROR(__xludf.DUMMYFUNCTION("COUNTUNIQUE(FILTER(AT:AT,REGEXMATCH(AT:AT,AS229)))-1"),3.0)</f>
        <v>3</v>
      </c>
      <c r="BJ229" s="239">
        <f>IFERROR(__xludf.DUMMYFUNCTION("COUNTA(FILTER(AT:AT,REGEXMATCH(AT:AT,AS229)))"),6.0)</f>
        <v>6</v>
      </c>
      <c r="BK229" s="341">
        <f>IFERROR(__xludf.DUMMYFUNCTION("COUNTA(FILTER(AT:AT,REGEXMATCH(AT:AT,AS229)))-AR229"),6.0)</f>
        <v>6</v>
      </c>
      <c r="BL229" s="276" t="str">
        <f>IFERROR(__xludf.DUMMYFUNCTION("IF(AS229=""oooooooooooo"",""-"",IF(REGEXMATCH(AT229,""xx""), ""Hemi."", ""Anhemi.""))"),"Hemi.")</f>
        <v>Hemi.</v>
      </c>
      <c r="BM229" s="282" t="str">
        <f>IFERROR(__xludf.DUMMYFUNCTION("IF(AS229=""oooooooooooo"",""-"",IF(REGEXMATCH(AT229,""xxx""), ""Cohem."", ""-""))"),"Cohem.")</f>
        <v>Cohem.</v>
      </c>
      <c r="BN229" s="282" t="str">
        <f>IFERROR(__xludf.DUMMYFUNCTION("IF(AS229=""oooooooooooo"",""-"",IF(REGEXMATCH(AT229,""xxxx""), ""Co-Co."", ""-""))"),"-")</f>
        <v>-</v>
      </c>
      <c r="BO229" s="342" t="str">
        <f>IFERROR(__xludf.DUMMYFUNCTION("IF(AS229=""oooooooooooo"",""-"",IF(REGEXMATCH(AT229,""xxxxx""), ""CCC."", ""-""))"),"-")</f>
        <v>-</v>
      </c>
      <c r="BP229" s="344" t="str">
        <f t="shared" si="27"/>
        <v>-</v>
      </c>
      <c r="BQ229" s="282" t="str">
        <f>IFERROR(__xludf.DUMMYFUNCTION("IF(REGEXMATCH(JOIN(""-"",EU229:FD229),""TRUE""),""✔"",""-"")"),"✔")</f>
        <v>✔</v>
      </c>
      <c r="BR229" s="225">
        <f t="shared" si="28"/>
        <v>1</v>
      </c>
      <c r="BS229" s="345" t="str">
        <f>IFERROR(__xludf.DUMMYFUNCTION("SUBSTITUTE(SUBSTITUTE(SUBSTITUTE(SUBSTITUTE(CONCATENATE(JOIN(""-"",GC229:GO229)),""--"",""-""),""--"",""-""),""--"",""-""),""--"",""-"")"),"1-b2-3-#4-6-7-8")</f>
        <v>1-b2-3-#4-6-7-8</v>
      </c>
      <c r="BT229" s="299" t="str">
        <f>IFERROR(__xludf.DUMMYFUNCTION("SUBSTITUTE(SUBSTITUTE(SUBSTITUTE(SUBSTITUTE(CONCATENATE(JOIN(""-"",GP229:HB229)),""--"",""-""),""--"",""-""),""--"",""-""),""--"",""-"")"),"S-R1-G3-M2-D2-N3-S")</f>
        <v>S-R1-G3-M2-D2-N3-S</v>
      </c>
      <c r="BU229" s="348" t="str">
        <f t="shared" si="29"/>
        <v>C-Db-E-F#-A-B-C</v>
      </c>
      <c r="BV229" s="349" t="str">
        <f t="shared" si="30"/>
        <v>SRgmPdnS</v>
      </c>
      <c r="BW229" s="350">
        <f t="shared" si="31"/>
        <v>7</v>
      </c>
      <c r="BX229" s="351">
        <f t="shared" si="32"/>
        <v>3</v>
      </c>
      <c r="BY229" s="392"/>
      <c r="BZ229" s="309" t="str">
        <f>IFERROR(__xludf.DUMMYFUNCTION("IF(REGEXMATCH(C229, ""S""), ""x"",""x"")"),"x")</f>
        <v>x</v>
      </c>
      <c r="CA229" s="245" t="str">
        <f>IFERROR(__xludf.DUMMYFUNCTION("IF(REGEXMATCH(C229, ""r""), ""o"",""x"")"),"o")</f>
        <v>o</v>
      </c>
      <c r="CB229" s="246" t="str">
        <f>IFERROR(__xludf.DUMMYFUNCTION("IF(REGEXMATCH(C229, ""R""), ""o"",""x"")"),"x")</f>
        <v>x</v>
      </c>
      <c r="CC229" s="246" t="str">
        <f>IFERROR(__xludf.DUMMYFUNCTION("IF(REGEXMATCH(C229, ""g""), ""o"",""x"")"),"x")</f>
        <v>x</v>
      </c>
      <c r="CD229" s="245" t="str">
        <f>IFERROR(__xludf.DUMMYFUNCTION("IF(REGEXMATCH(C229, ""G""), ""o"",""x"")"),"o")</f>
        <v>o</v>
      </c>
      <c r="CE229" s="245" t="str">
        <f>IFERROR(__xludf.DUMMYFUNCTION("IF(REGEXMATCH(C229, ""m""), ""o"",""x"")"),"x")</f>
        <v>x</v>
      </c>
      <c r="CF229" s="246" t="str">
        <f>IFERROR(__xludf.DUMMYFUNCTION("IF(REGEXMATCH(C229, ""M""), ""o"",""x"")"),"o")</f>
        <v>o</v>
      </c>
      <c r="CG229" s="245" t="str">
        <f>IFERROR(__xludf.DUMMYFUNCTION("IF(REGEXMATCH(C229, ""P""), ""o"",""x"")"),"x")</f>
        <v>x</v>
      </c>
      <c r="CH229" s="246" t="str">
        <f>IFERROR(__xludf.DUMMYFUNCTION("IF(REGEXMATCH(C229, ""d""), ""o"",""x"")"),"x")</f>
        <v>x</v>
      </c>
      <c r="CI229" s="245" t="str">
        <f>IFERROR(__xludf.DUMMYFUNCTION("IF(REGEXMATCH(C229, ""D""), ""o"",""x"")"),"o")</f>
        <v>o</v>
      </c>
      <c r="CJ229" s="245" t="str">
        <f>IFERROR(__xludf.DUMMYFUNCTION("IF(REGEXMATCH(C229, ""n""), ""o"",""x"")"),"x")</f>
        <v>x</v>
      </c>
      <c r="CK229" s="245" t="str">
        <f>IFERROR(__xludf.DUMMYFUNCTION("IF(REGEXMATCH(C229, ""N""), ""o"",""x"")"),"o")</f>
        <v>o</v>
      </c>
      <c r="CL229" s="356" t="str">
        <f>IFERROR(__xludf.DUMMYFUNCTION("IF(REGEXMATCH(C229, ""S""), ""x"",""x"")"),"x")</f>
        <v>x</v>
      </c>
      <c r="CM229" s="357" t="str">
        <f t="shared" si="33"/>
        <v>xoxxoxoxxoxo</v>
      </c>
      <c r="CN229" s="358">
        <f t="shared" si="34"/>
        <v>7</v>
      </c>
      <c r="CO229" s="246" t="str">
        <f>IFERROR(__xludf.DUMMYFUNCTION("IF(REGEXMATCH($C229, ""S""), ""S"",""S"")"),"S")</f>
        <v>S</v>
      </c>
      <c r="CP229" s="246" t="str">
        <f>IFERROR(__xludf.DUMMYFUNCTION("IF(REGEXMATCH($C229, ""r""), """",""r"")"),"")</f>
        <v/>
      </c>
      <c r="CQ229" s="246" t="str">
        <f>IFERROR(__xludf.DUMMYFUNCTION("IF(REGEXMATCH($C229, ""R""), """",""R"")"),"R")</f>
        <v>R</v>
      </c>
      <c r="CR229" s="246" t="str">
        <f>IFERROR(__xludf.DUMMYFUNCTION("IF(REGEXMATCH($C229, ""g""), """",""g"")"),"g")</f>
        <v>g</v>
      </c>
      <c r="CS229" s="246" t="str">
        <f>IFERROR(__xludf.DUMMYFUNCTION("IF(REGEXMATCH($C229, ""G""), """",""G"")"),"")</f>
        <v/>
      </c>
      <c r="CT229" s="246" t="str">
        <f>IFERROR(__xludf.DUMMYFUNCTION("IF(REGEXMATCH($C229, ""m""), """",""m"")"),"m")</f>
        <v>m</v>
      </c>
      <c r="CU229" s="246" t="str">
        <f>IFERROR(__xludf.DUMMYFUNCTION("IF(REGEXMATCH($C229, ""M""), """",""M"")"),"")</f>
        <v/>
      </c>
      <c r="CV229" s="246" t="str">
        <f>IFERROR(__xludf.DUMMYFUNCTION("IF(REGEXMATCH($C229, ""P""), """",""P"")"),"P")</f>
        <v>P</v>
      </c>
      <c r="CW229" s="246" t="str">
        <f>IFERROR(__xludf.DUMMYFUNCTION("IF(REGEXMATCH($C229, ""d""), """",""d"")"),"d")</f>
        <v>d</v>
      </c>
      <c r="CX229" s="246" t="str">
        <f>IFERROR(__xludf.DUMMYFUNCTION("IF(REGEXMATCH($C229, ""D""), """",""D"")"),"")</f>
        <v/>
      </c>
      <c r="CY229" s="246" t="str">
        <f>IFERROR(__xludf.DUMMYFUNCTION("IF(REGEXMATCH($C229, ""n""), """",""n"")"),"n")</f>
        <v>n</v>
      </c>
      <c r="CZ229" s="246" t="str">
        <f>IFERROR(__xludf.DUMMYFUNCTION("IF(REGEXMATCH($C229, ""N""), """",""N"")"),"")</f>
        <v/>
      </c>
      <c r="DA229" s="246" t="str">
        <f>IFERROR(__xludf.DUMMYFUNCTION("IF(REGEXMATCH($C229, ""S""), ""S"",""S"")"),"S")</f>
        <v>S</v>
      </c>
      <c r="DB229" s="362" t="str">
        <f>IFERROR(__xludf.DUMMYFUNCTION("JOIN("""",CO229:DA229,"""","""")"),"SRgmPdnS")</f>
        <v>SRgmPdnS</v>
      </c>
      <c r="DC229" s="363"/>
      <c r="DD229" s="301" t="str">
        <f t="shared" si="35"/>
        <v>#REF!</v>
      </c>
      <c r="DE229" s="302" t="str">
        <f t="shared" si="36"/>
        <v>#REF!</v>
      </c>
      <c r="DF229" s="301" t="str">
        <f t="shared" ref="DF229:DG229" si="675">SUBSTITUTE(S229,"-","")</f>
        <v>SRGM</v>
      </c>
      <c r="DG229" s="301" t="str">
        <f t="shared" si="675"/>
        <v>DNS</v>
      </c>
      <c r="DH229" s="302" t="str">
        <f t="shared" si="38"/>
        <v>Marwa</v>
      </c>
      <c r="DI229" s="301" t="str">
        <f t="shared" si="39"/>
        <v>Hemi.</v>
      </c>
      <c r="DJ229" s="364" t="str">
        <f t="shared" si="40"/>
        <v>Cohem.</v>
      </c>
      <c r="DK229" s="306" t="str">
        <f t="shared" si="41"/>
        <v>-</v>
      </c>
      <c r="DL229" s="366" t="str">
        <f t="shared" si="42"/>
        <v>✔</v>
      </c>
      <c r="DM229" s="308" t="str">
        <f t="shared" si="43"/>
        <v>-</v>
      </c>
      <c r="DN229" s="306" t="str">
        <f t="shared" si="44"/>
        <v>-</v>
      </c>
      <c r="DO229" s="306" t="str">
        <f t="shared" si="45"/>
        <v>-</v>
      </c>
      <c r="DP229" s="367" t="str">
        <f t="shared" si="46"/>
        <v>✔</v>
      </c>
      <c r="DQ229" s="310" t="str">
        <f t="shared" si="47"/>
        <v>-</v>
      </c>
      <c r="DR229" s="310" t="str">
        <f t="shared" si="48"/>
        <v>-</v>
      </c>
      <c r="DS229" s="310" t="str">
        <f t="shared" si="49"/>
        <v>-</v>
      </c>
      <c r="DT229" s="310" t="str">
        <f t="shared" si="50"/>
        <v>-</v>
      </c>
      <c r="DU229" s="370" t="str">
        <f t="shared" si="51"/>
        <v>-</v>
      </c>
      <c r="DV229" s="306" t="str">
        <f t="shared" si="52"/>
        <v>-</v>
      </c>
      <c r="DW229" s="306" t="str">
        <f t="shared" si="53"/>
        <v>-</v>
      </c>
      <c r="DX229" s="306" t="str">
        <f t="shared" si="54"/>
        <v>-</v>
      </c>
      <c r="DY229" s="306" t="str">
        <f t="shared" si="55"/>
        <v>✔</v>
      </c>
      <c r="DZ229" s="306" t="str">
        <f t="shared" si="56"/>
        <v>-</v>
      </c>
      <c r="EA229" s="367" t="str">
        <f t="shared" si="57"/>
        <v>-</v>
      </c>
      <c r="EB229" s="310" t="str">
        <f>IFERROR(__xludf.DUMMYFUNCTION("IF(REGEXMATCH(AW229,AS229),""✔"",""-"")"),"-")</f>
        <v>-</v>
      </c>
      <c r="EC229" s="310" t="str">
        <f t="shared" si="58"/>
        <v>#REF!</v>
      </c>
      <c r="ED229" s="370" t="str">
        <f t="shared" si="59"/>
        <v>-</v>
      </c>
      <c r="EE229" s="340" t="str">
        <f t="shared" si="60"/>
        <v>S-r-G-M-D-N-S</v>
      </c>
      <c r="EF229" s="371" t="str">
        <f>IFERROR(__xludf.DUMMYFUNCTION("CONCATENATE(JOIN("""",HC229:HO229))"),"SrgMdNS")</f>
        <v>SrgMdNS</v>
      </c>
      <c r="EG229" s="372">
        <f t="shared" si="61"/>
        <v>2</v>
      </c>
      <c r="EH229" s="373" t="str">
        <f>IFERROR(__xludf.DUMMYFUNCTION("CONCATENATE(JOIN("""",JC229:JO229))"),"Sa, re, ")</f>
        <v>Sa, re, </v>
      </c>
      <c r="EI229" s="322">
        <f t="shared" si="62"/>
        <v>1</v>
      </c>
      <c r="EJ229" s="374" t="str">
        <f>IFERROR(__xludf.DUMMYFUNCTION("CONCATENATE(JOIN("""",KC229:KO229))"),"Sa, ")</f>
        <v>Sa, </v>
      </c>
      <c r="EK229" s="325" t="str">
        <f t="shared" si="63"/>
        <v>S-R1-G3-M2-D2-N3-S</v>
      </c>
      <c r="EL229" s="326" t="str">
        <f t="shared" si="64"/>
        <v>1-b2-3-#4-6-7-8</v>
      </c>
      <c r="EM229" s="318" t="str">
        <f t="shared" si="65"/>
        <v>#REF!</v>
      </c>
      <c r="EN229" s="328" t="str">
        <f>IFERROR(__xludf.DUMMYFUNCTION("SUBSTITUTE(SUBSTITUTE(SUBSTITUTE(SUBSTITUTE(CONCATENATE(JOIN("" "",HP229:IB229)),""  "","" ""),""  "","" ""),""  "","" ""),""  "","" "")"),"o o • • o • o • • o • o o")</f>
        <v>o o • • o • o • • o • o o</v>
      </c>
      <c r="EO229" s="368" t="str">
        <f t="shared" si="66"/>
        <v>Sa-Pa</v>
      </c>
      <c r="EP229" s="339" t="str">
        <f t="shared" si="67"/>
        <v>Sa-Pa</v>
      </c>
      <c r="EQ229" s="339" t="str">
        <f t="shared" si="68"/>
        <v>-</v>
      </c>
      <c r="ER229" s="339" t="str">
        <f t="shared" si="69"/>
        <v>-</v>
      </c>
      <c r="ES229" s="340" t="str">
        <f t="shared" si="70"/>
        <v>-</v>
      </c>
      <c r="ET229" s="363"/>
      <c r="EU229" s="376" t="b">
        <f>IFERROR(__xludf.DUMMYFUNCTION("arrayformula(sum(--REGEXMATCH(""SRGMPDNS"",split(REGEXREPLACE(C229,""(.)"",""$1~""),""~""))))=len(C229)
"),FALSE)</f>
        <v>0</v>
      </c>
      <c r="EV229" s="290" t="b">
        <f>IFERROR(__xludf.DUMMYFUNCTION("arrayformula(sum(--REGEXMATCH(""SRGmPDNS"",split(REGEXREPLACE(C229,""(.)"",""$1~""),""~""))))=len(C229)"),FALSE)</f>
        <v>0</v>
      </c>
      <c r="EW229" s="290" t="b">
        <f>IFERROR(__xludf.DUMMYFUNCTION("arrayformula(sum(--REGEXMATCH(""SRGmPDnS"",split(REGEXREPLACE(C229,""(.)"",""$1~""),""~""))))=len(C229)"),FALSE)</f>
        <v>0</v>
      </c>
      <c r="EX229" s="290" t="b">
        <f>IFERROR(__xludf.DUMMYFUNCTION("arrayformula(sum(--REGEXMATCH(""SRgmPDnS"",split(REGEXREPLACE(C229,""(.)"",""$1~""),""~""))))=len(C229)"),FALSE)</f>
        <v>0</v>
      </c>
      <c r="EY229" s="290" t="b">
        <f>IFERROR(__xludf.DUMMYFUNCTION("arrayformula(sum(--REGEXMATCH(""SRgmPdnS"",split(REGEXREPLACE(C229,""(.)"",""$1~""),""~""))))=len(C229)"),FALSE)</f>
        <v>0</v>
      </c>
      <c r="EZ229" s="290" t="b">
        <f>IFERROR(__xludf.DUMMYFUNCTION("arrayformula(sum(--REGEXMATCH(""SrgmPdnS"",split(REGEXREPLACE(C229,""(.)"",""$1~""),""~""))))=len(C229)"),FALSE)</f>
        <v>0</v>
      </c>
      <c r="FA229" s="290" t="b">
        <f>IFERROR(__xludf.DUMMYFUNCTION("arrayformula(sum(--REGEXMATCH(""SrGmPdNS"",split(REGEXREPLACE(C229,""(.)"",""$1~""),""~""))))=len(C229)"),FALSE)</f>
        <v>0</v>
      </c>
      <c r="FB229" s="290" t="b">
        <f>IFERROR(__xludf.DUMMYFUNCTION("arrayformula(sum(--REGEXMATCH(""SrGMPDNS"",split(REGEXREPLACE(C229,""(.)"",""$1~""),""~""))))=len(C229)"),TRUE)</f>
        <v>1</v>
      </c>
      <c r="FC229" s="290" t="b">
        <f>IFERROR(__xludf.DUMMYFUNCTION("arrayformula(sum(--REGEXMATCH(""SrGMPdNS"",split(REGEXREPLACE(C229,""(.)"",""$1~""),""~""))))=len(C229)"),FALSE)</f>
        <v>0</v>
      </c>
      <c r="FD229" s="377" t="b">
        <f>IFERROR(__xludf.DUMMYFUNCTION("arrayformula(sum(--REGEXMATCH(""SrgMPdNS"",split(REGEXREPLACE(C229,""(.)"",""$1~""),""~""))))=len(C229)"),FALSE)</f>
        <v>0</v>
      </c>
      <c r="FE229" s="269" t="str">
        <f t="shared" si="71"/>
        <v>xooxoxooxox</v>
      </c>
      <c r="FF229" s="269" t="str">
        <f t="shared" si="72"/>
        <v>-</v>
      </c>
      <c r="FG229" s="271" t="str">
        <f t="shared" si="73"/>
        <v>-</v>
      </c>
      <c r="FH229" s="269" t="str">
        <f t="shared" si="74"/>
        <v>xoxooxoxxxo</v>
      </c>
      <c r="FI229" s="271" t="str">
        <f t="shared" si="75"/>
        <v>-</v>
      </c>
      <c r="FJ229" s="271" t="str">
        <f t="shared" si="76"/>
        <v>xooxoxxxoox</v>
      </c>
      <c r="FK229" s="271" t="str">
        <f t="shared" si="77"/>
        <v>-</v>
      </c>
      <c r="FL229" s="271" t="str">
        <f t="shared" si="78"/>
        <v>-</v>
      </c>
      <c r="FM229" s="271" t="str">
        <f t="shared" si="79"/>
        <v>xoxxxooxoxo</v>
      </c>
      <c r="FN229" s="271" t="str">
        <f t="shared" si="80"/>
        <v>-</v>
      </c>
      <c r="FO229" s="274" t="str">
        <f t="shared" si="81"/>
        <v>xxxooxoxoox</v>
      </c>
      <c r="FP229" s="234" t="str">
        <f t="shared" si="82"/>
        <v>|</v>
      </c>
      <c r="FQ229" s="236" t="str">
        <f t="shared" si="83"/>
        <v>|</v>
      </c>
      <c r="FR229" s="237" t="str">
        <f t="shared" si="84"/>
        <v>-</v>
      </c>
      <c r="FS229" s="236" t="str">
        <f t="shared" si="85"/>
        <v>-</v>
      </c>
      <c r="FT229" s="237" t="str">
        <f t="shared" si="86"/>
        <v>|</v>
      </c>
      <c r="FU229" s="236" t="str">
        <f t="shared" si="87"/>
        <v>-</v>
      </c>
      <c r="FV229" s="237" t="str">
        <f t="shared" si="88"/>
        <v>|</v>
      </c>
      <c r="FW229" s="236" t="str">
        <f t="shared" si="89"/>
        <v>-</v>
      </c>
      <c r="FX229" s="237" t="str">
        <f t="shared" si="90"/>
        <v>-</v>
      </c>
      <c r="FY229" s="236" t="str">
        <f t="shared" si="91"/>
        <v>|</v>
      </c>
      <c r="FZ229" s="237" t="str">
        <f t="shared" si="92"/>
        <v>-</v>
      </c>
      <c r="GA229" s="236" t="str">
        <f t="shared" si="93"/>
        <v>|</v>
      </c>
      <c r="GB229" s="238" t="str">
        <f t="shared" si="94"/>
        <v>|</v>
      </c>
      <c r="GC229" s="244" t="str">
        <f>IFERROR(__xludf.DUMMYFUNCTION("IF(REGEXMATCH(C229, ""S""), ""1"","""")"),"1")</f>
        <v>1</v>
      </c>
      <c r="GD229" s="245" t="str">
        <f>IFERROR(__xludf.DUMMYFUNCTION("IF(REGEXMATCH(C229, ""r""), ""b2"","""")"),"b2")</f>
        <v>b2</v>
      </c>
      <c r="GE229" s="246" t="str">
        <f>IFERROR(__xludf.DUMMYFUNCTION("IF(REGEXMATCH(C229, ""R""), ""2"","""")"),"")</f>
        <v/>
      </c>
      <c r="GF229" s="246" t="str">
        <f>IFERROR(__xludf.DUMMYFUNCTION("IF(REGEXMATCH(C229, ""g""), ""b3"","""")"),"")</f>
        <v/>
      </c>
      <c r="GG229" s="245" t="str">
        <f>IFERROR(__xludf.DUMMYFUNCTION("IF(REGEXMATCH(C229, ""G""), ""3"","""")"),"3")</f>
        <v>3</v>
      </c>
      <c r="GH229" s="245" t="str">
        <f>IFERROR(__xludf.DUMMYFUNCTION("IF(REGEXMATCH(C229, ""m""), ""4"","""")"),"")</f>
        <v/>
      </c>
      <c r="GI229" s="246" t="str">
        <f>IFERROR(__xludf.DUMMYFUNCTION("IF(REGEXMATCH(C229, ""M""), ""#4"","""")"),"#4")</f>
        <v>#4</v>
      </c>
      <c r="GJ229" s="245" t="str">
        <f>IFERROR(__xludf.DUMMYFUNCTION("IF(REGEXMATCH(C229, ""P""), ""5"","""")"),"")</f>
        <v/>
      </c>
      <c r="GK229" s="246" t="str">
        <f>IFERROR(__xludf.DUMMYFUNCTION("IF(REGEXMATCH(C229, ""d""), ""b6"","""")"),"")</f>
        <v/>
      </c>
      <c r="GL229" s="245" t="str">
        <f>IFERROR(__xludf.DUMMYFUNCTION("IF(REGEXMATCH(C229, ""D""), ""6"","""")"),"6")</f>
        <v>6</v>
      </c>
      <c r="GM229" s="245" t="str">
        <f>IFERROR(__xludf.DUMMYFUNCTION("IF(REGEXMATCH(C229, ""n""), ""b7"","""")"),"")</f>
        <v/>
      </c>
      <c r="GN229" s="246" t="str">
        <f>IFERROR(__xludf.DUMMYFUNCTION("IF(REGEXMATCH(C229, ""N""), ""7"","""")"),"7")</f>
        <v>7</v>
      </c>
      <c r="GO229" s="249" t="str">
        <f>IFERROR(__xludf.DUMMYFUNCTION("IF(REGEXMATCH(C229, ""S""), ""8"","""")"),"8")</f>
        <v>8</v>
      </c>
      <c r="GP229" s="244" t="str">
        <f>IFERROR(__xludf.DUMMYFUNCTION("IF(REGEXMATCH(C229, ""S""), ""S"","""")"),"S")</f>
        <v>S</v>
      </c>
      <c r="GQ229" s="294" t="str">
        <f>IFERROR(__xludf.DUMMYFUNCTION("IF(REGEXMATCH(C229, ""r""), ""R1"","""")"),"R1")</f>
        <v>R1</v>
      </c>
      <c r="GR229" s="295" t="str">
        <f>IFERROR(__xludf.DUMMYFUNCTION("IF(REGEXMATCH(C229, ""R""), ""R2"","""")"),"")</f>
        <v/>
      </c>
      <c r="GS229" s="295" t="str">
        <f>IFERROR(__xludf.DUMMYFUNCTION("IF(REGEXMATCH(C229, ""g""), ""G2"","""")"),"")</f>
        <v/>
      </c>
      <c r="GT229" s="294" t="str">
        <f>IFERROR(__xludf.DUMMYFUNCTION("IF(REGEXMATCH(C229, ""G""), ""G3"","""")"),"G3")</f>
        <v>G3</v>
      </c>
      <c r="GU229" s="294" t="str">
        <f>IFERROR(__xludf.DUMMYFUNCTION("IF(REGEXMATCH(C229, ""m""), ""M1"","""")"),"")</f>
        <v/>
      </c>
      <c r="GV229" s="295" t="str">
        <f>IFERROR(__xludf.DUMMYFUNCTION("IF(REGEXMATCH(C229, ""M""), ""M2"","""")"),"M2")</f>
        <v>M2</v>
      </c>
      <c r="GW229" s="294" t="str">
        <f>IFERROR(__xludf.DUMMYFUNCTION("IF(REGEXMATCH(C229, ""P""), ""P"","""")"),"")</f>
        <v/>
      </c>
      <c r="GX229" s="295" t="str">
        <f>IFERROR(__xludf.DUMMYFUNCTION("IF(REGEXMATCH(C229, ""d""), ""D1"","""")"),"")</f>
        <v/>
      </c>
      <c r="GY229" s="294" t="str">
        <f>IFERROR(__xludf.DUMMYFUNCTION("IF(REGEXMATCH(C229, ""D""), ""D2"","""")"),"D2")</f>
        <v>D2</v>
      </c>
      <c r="GZ229" s="294" t="str">
        <f>IFERROR(__xludf.DUMMYFUNCTION("IF(REGEXMATCH(C229, ""n""), ""N2"","""")"),"")</f>
        <v/>
      </c>
      <c r="HA229" s="295" t="str">
        <f>IFERROR(__xludf.DUMMYFUNCTION("IF(REGEXMATCH(C229, ""N""), ""N3"","""")"),"N3")</f>
        <v>N3</v>
      </c>
      <c r="HB229" s="249" t="str">
        <f>IFERROR(__xludf.DUMMYFUNCTION("IF(REGEXMATCH(C229, ""S""), ""S"","""")"),"S")</f>
        <v>S</v>
      </c>
      <c r="HC229" s="331" t="str">
        <f t="shared" si="95"/>
        <v>S</v>
      </c>
      <c r="HD229" s="332" t="str">
        <f t="shared" si="96"/>
        <v>r</v>
      </c>
      <c r="HE229" s="332" t="str">
        <f t="shared" si="97"/>
        <v/>
      </c>
      <c r="HF229" s="332" t="str">
        <f t="shared" si="98"/>
        <v>g</v>
      </c>
      <c r="HG229" s="332" t="str">
        <f t="shared" si="99"/>
        <v/>
      </c>
      <c r="HH229" s="332" t="str">
        <f t="shared" si="100"/>
        <v/>
      </c>
      <c r="HI229" s="332" t="str">
        <f t="shared" si="101"/>
        <v>M</v>
      </c>
      <c r="HJ229" s="332" t="str">
        <f t="shared" si="102"/>
        <v/>
      </c>
      <c r="HK229" s="332" t="str">
        <f t="shared" si="103"/>
        <v>d</v>
      </c>
      <c r="HL229" s="332" t="str">
        <f t="shared" si="104"/>
        <v/>
      </c>
      <c r="HM229" s="332" t="str">
        <f t="shared" si="105"/>
        <v/>
      </c>
      <c r="HN229" s="332" t="str">
        <f t="shared" si="106"/>
        <v>N</v>
      </c>
      <c r="HO229" s="343" t="str">
        <f t="shared" si="107"/>
        <v>S</v>
      </c>
      <c r="HP229" s="331" t="str">
        <f t="shared" si="108"/>
        <v>o</v>
      </c>
      <c r="HQ229" s="332" t="str">
        <f t="shared" si="109"/>
        <v>o</v>
      </c>
      <c r="HR229" s="332" t="str">
        <f t="shared" si="110"/>
        <v>•</v>
      </c>
      <c r="HS229" s="332" t="str">
        <f t="shared" si="111"/>
        <v>•</v>
      </c>
      <c r="HT229" s="332" t="str">
        <f t="shared" si="112"/>
        <v>o</v>
      </c>
      <c r="HU229" s="332" t="str">
        <f t="shared" si="113"/>
        <v>•</v>
      </c>
      <c r="HV229" s="332" t="str">
        <f t="shared" si="114"/>
        <v>o</v>
      </c>
      <c r="HW229" s="332" t="str">
        <f t="shared" si="115"/>
        <v>•</v>
      </c>
      <c r="HX229" s="332" t="str">
        <f t="shared" si="116"/>
        <v>•</v>
      </c>
      <c r="HY229" s="332" t="str">
        <f t="shared" si="117"/>
        <v>o</v>
      </c>
      <c r="HZ229" s="332" t="str">
        <f t="shared" si="118"/>
        <v>•</v>
      </c>
      <c r="IA229" s="332" t="str">
        <f t="shared" si="119"/>
        <v>o</v>
      </c>
      <c r="IB229" s="338" t="str">
        <f t="shared" si="120"/>
        <v>o</v>
      </c>
      <c r="IC229" s="331" t="str">
        <f t="shared" si="121"/>
        <v>•</v>
      </c>
      <c r="ID229" s="332" t="str">
        <f t="shared" si="122"/>
        <v>•</v>
      </c>
      <c r="IE229" s="332" t="str">
        <f t="shared" si="123"/>
        <v>o</v>
      </c>
      <c r="IF229" s="332" t="str">
        <f t="shared" si="124"/>
        <v>o</v>
      </c>
      <c r="IG229" s="332" t="str">
        <f t="shared" si="125"/>
        <v>•</v>
      </c>
      <c r="IH229" s="332" t="str">
        <f t="shared" si="126"/>
        <v>o</v>
      </c>
      <c r="II229" s="332" t="str">
        <f t="shared" si="127"/>
        <v>•</v>
      </c>
      <c r="IJ229" s="332" t="str">
        <f t="shared" si="128"/>
        <v>o</v>
      </c>
      <c r="IK229" s="332" t="str">
        <f t="shared" si="129"/>
        <v>o</v>
      </c>
      <c r="IL229" s="332" t="str">
        <f t="shared" si="130"/>
        <v>•</v>
      </c>
      <c r="IM229" s="332" t="str">
        <f t="shared" si="131"/>
        <v>o</v>
      </c>
      <c r="IN229" s="332" t="str">
        <f t="shared" si="132"/>
        <v>•</v>
      </c>
      <c r="IO229" s="338" t="str">
        <f t="shared" si="133"/>
        <v>•</v>
      </c>
      <c r="IP229" s="346" t="b">
        <f t="shared" si="134"/>
        <v>1</v>
      </c>
      <c r="IQ229" s="347" t="b">
        <f t="shared" si="135"/>
        <v>1</v>
      </c>
      <c r="IR229" s="347" t="b">
        <f t="shared" si="136"/>
        <v>0</v>
      </c>
      <c r="IS229" s="347" t="b">
        <f t="shared" si="137"/>
        <v>0</v>
      </c>
      <c r="IT229" s="347" t="b">
        <f t="shared" si="138"/>
        <v>0</v>
      </c>
      <c r="IU229" s="347" t="b">
        <f t="shared" si="139"/>
        <v>0</v>
      </c>
      <c r="IV229" s="347" t="b">
        <f t="shared" si="140"/>
        <v>0</v>
      </c>
      <c r="IW229" s="347" t="b">
        <f t="shared" si="141"/>
        <v>0</v>
      </c>
      <c r="IX229" s="347" t="b">
        <f t="shared" si="142"/>
        <v>0</v>
      </c>
      <c r="IY229" s="347" t="b">
        <f t="shared" si="143"/>
        <v>0</v>
      </c>
      <c r="IZ229" s="347" t="b">
        <f t="shared" si="144"/>
        <v>0</v>
      </c>
      <c r="JA229" s="347" t="b">
        <f t="shared" si="145"/>
        <v>0</v>
      </c>
      <c r="JB229" s="353" t="b">
        <f t="shared" si="146"/>
        <v>1</v>
      </c>
      <c r="JC229" s="354" t="str">
        <f t="shared" si="147"/>
        <v>Sa, </v>
      </c>
      <c r="JD229" s="355" t="str">
        <f t="shared" si="148"/>
        <v>re, </v>
      </c>
      <c r="JE229" s="355" t="str">
        <f t="shared" si="149"/>
        <v/>
      </c>
      <c r="JF229" s="355" t="str">
        <f t="shared" si="150"/>
        <v/>
      </c>
      <c r="JG229" s="355" t="str">
        <f t="shared" si="151"/>
        <v/>
      </c>
      <c r="JH229" s="355" t="str">
        <f t="shared" si="152"/>
        <v/>
      </c>
      <c r="JI229" s="355" t="str">
        <f t="shared" si="153"/>
        <v/>
      </c>
      <c r="JJ229" s="355" t="str">
        <f t="shared" si="154"/>
        <v/>
      </c>
      <c r="JK229" s="355" t="str">
        <f t="shared" si="155"/>
        <v/>
      </c>
      <c r="JL229" s="355" t="str">
        <f t="shared" si="156"/>
        <v/>
      </c>
      <c r="JM229" s="355" t="str">
        <f t="shared" si="157"/>
        <v/>
      </c>
      <c r="JN229" s="355" t="str">
        <f t="shared" si="158"/>
        <v/>
      </c>
      <c r="JO229" s="359" t="str">
        <f t="shared" si="159"/>
        <v/>
      </c>
      <c r="JP229" s="346" t="b">
        <f t="shared" si="160"/>
        <v>1</v>
      </c>
      <c r="JQ229" s="347" t="b">
        <f t="shared" si="161"/>
        <v>0</v>
      </c>
      <c r="JR229" s="347" t="b">
        <f t="shared" si="162"/>
        <v>0</v>
      </c>
      <c r="JS229" s="347" t="b">
        <f t="shared" si="163"/>
        <v>0</v>
      </c>
      <c r="JT229" s="347" t="b">
        <f t="shared" si="164"/>
        <v>0</v>
      </c>
      <c r="JU229" s="347" t="b">
        <f t="shared" si="165"/>
        <v>0</v>
      </c>
      <c r="JV229" s="347" t="b">
        <f t="shared" si="166"/>
        <v>0</v>
      </c>
      <c r="JW229" s="347" t="b">
        <f t="shared" si="167"/>
        <v>0</v>
      </c>
      <c r="JX229" s="347" t="b">
        <f t="shared" si="168"/>
        <v>0</v>
      </c>
      <c r="JY229" s="347" t="b">
        <f t="shared" si="169"/>
        <v>0</v>
      </c>
      <c r="JZ229" s="347" t="b">
        <f t="shared" si="170"/>
        <v>0</v>
      </c>
      <c r="KA229" s="347" t="b">
        <f t="shared" si="171"/>
        <v>0</v>
      </c>
      <c r="KB229" s="365" t="b">
        <f t="shared" si="172"/>
        <v>1</v>
      </c>
      <c r="KC229" s="354" t="str">
        <f t="shared" si="173"/>
        <v>Sa, </v>
      </c>
      <c r="KD229" s="355" t="str">
        <f t="shared" si="174"/>
        <v/>
      </c>
      <c r="KE229" s="355" t="str">
        <f t="shared" si="175"/>
        <v/>
      </c>
      <c r="KF229" s="355" t="str">
        <f t="shared" si="176"/>
        <v/>
      </c>
      <c r="KG229" s="355" t="str">
        <f t="shared" si="177"/>
        <v/>
      </c>
      <c r="KH229" s="355" t="str">
        <f t="shared" si="178"/>
        <v/>
      </c>
      <c r="KI229" s="355" t="str">
        <f t="shared" si="179"/>
        <v/>
      </c>
      <c r="KJ229" s="355" t="str">
        <f t="shared" si="180"/>
        <v/>
      </c>
      <c r="KK229" s="355" t="str">
        <f t="shared" si="181"/>
        <v/>
      </c>
      <c r="KL229" s="355" t="str">
        <f t="shared" si="182"/>
        <v/>
      </c>
      <c r="KM229" s="355" t="str">
        <f t="shared" si="183"/>
        <v/>
      </c>
      <c r="KN229" s="355" t="str">
        <f t="shared" si="184"/>
        <v/>
      </c>
      <c r="KO229" s="359"/>
      <c r="KP229" s="378"/>
      <c r="KQ229" s="379" t="s">
        <v>982</v>
      </c>
      <c r="KR229" s="380" t="s">
        <v>1455</v>
      </c>
      <c r="KS229" s="381" t="str">
        <f t="shared" si="676"/>
        <v>S-r-G-M-D-N-S</v>
      </c>
      <c r="KT229" s="382">
        <f t="shared" si="186"/>
        <v>6</v>
      </c>
      <c r="KU229" s="383">
        <f t="shared" si="187"/>
        <v>6</v>
      </c>
      <c r="KV229" s="381" t="str">
        <f t="shared" si="205"/>
        <v>S-N-D-M-G-r-S</v>
      </c>
      <c r="KW229" s="382">
        <f t="shared" si="189"/>
        <v>6</v>
      </c>
      <c r="KX229" s="384">
        <f t="shared" si="190"/>
        <v>6</v>
      </c>
      <c r="KY229" s="382">
        <f t="shared" ref="KY229:KZ229" si="677">KW229-KT229</f>
        <v>0</v>
      </c>
      <c r="KZ229" s="369">
        <f t="shared" si="677"/>
        <v>0</v>
      </c>
      <c r="LA229" s="385" t="str">
        <f t="shared" si="192"/>
        <v>✔</v>
      </c>
      <c r="LB229" s="340" t="str">
        <f>IFERROR(__xludf.DUMMYFUNCTION("JOIN("""",ArrayFormula(MID(KS229,LEN(KS229)-SEQUENCE(1,LEN(KS229))+1,1)))"),"S-N-D-M-G-r-S")</f>
        <v>S-N-D-M-G-r-S</v>
      </c>
      <c r="LC229" s="373" t="str">
        <f>IFERROR(__xludf.DUMMYFUNCTION("JOIN("""",ArrayFormula(MID(KV229,LEN(KV229)-SEQUENCE(1,LEN(KV229))+1,1)))"),"S-r-G-M-D-N-S")</f>
        <v>S-r-G-M-D-N-S</v>
      </c>
      <c r="LD229" s="373" t="str">
        <f t="shared" si="193"/>
        <v>SrGMDNS</v>
      </c>
      <c r="LE229" s="339" t="str">
        <f t="shared" si="194"/>
        <v>SrGMDNS</v>
      </c>
      <c r="LF229" s="386" t="str">
        <f>IFERROR(__xludf.DUMMYFUNCTION("SUBSTITUTE(SUBSTITUTE(CONCATENATE(JOIN("""",LH229:LT229)),""1"",""""),""2"","""")"),"SrGMDNS")</f>
        <v>SrGMDNS</v>
      </c>
      <c r="LG229" s="369" t="str">
        <f t="shared" si="195"/>
        <v>✔</v>
      </c>
      <c r="LH229" s="387" t="str">
        <f>IFERROR(__xludf.DUMMYFUNCTION("IF(REGEXMATCH(LD229, ""S""), ""S"",IF(REGEXMATCH(LE229, ""S""), ""S"",""""))"),"S")</f>
        <v>S</v>
      </c>
      <c r="LI229" s="299" t="str">
        <f>IFERROR(__xludf.DUMMYFUNCTION("IF(REGEXMATCH(LD229, ""r""), ""r1"",IF(REGEXMATCH(LE229, ""r""), ""r2"",""""))"),"r1")</f>
        <v>r1</v>
      </c>
      <c r="LJ229" s="299" t="str">
        <f>IFERROR(__xludf.DUMMYFUNCTION("IF(REGEXMATCH(LD229, ""R""), ""R1"",IF(REGEXMATCH(LE229, ""R""), ""R2"",""""))"),"")</f>
        <v/>
      </c>
      <c r="LK229" s="299" t="str">
        <f>IFERROR(__xludf.DUMMYFUNCTION("IF(REGEXMATCH(LD229, ""g""), ""g1"",IF(REGEXMATCH(LE229, ""g""), ""g2"",""""))"),"")</f>
        <v/>
      </c>
      <c r="LL229" s="299" t="str">
        <f>IFERROR(__xludf.DUMMYFUNCTION("IF(REGEXMATCH(LD229, ""G""), ""G1"",IF(REGEXMATCH(LE229, ""G""), ""G2"",""""))"),"G1")</f>
        <v>G1</v>
      </c>
      <c r="LM229" s="299" t="str">
        <f>IFERROR(__xludf.DUMMYFUNCTION("IF(REGEXMATCH(LD229, ""m""), ""m1"",IF(REGEXMATCH(LE229, ""m""), ""m2"",""""))"),"")</f>
        <v/>
      </c>
      <c r="LN229" s="299" t="str">
        <f>IFERROR(__xludf.DUMMYFUNCTION("IF(REGEXMATCH(LD229, ""M""), ""M1"",IF(REGEXMATCH(LE229, ""M""), ""M2"",""""))"),"M1")</f>
        <v>M1</v>
      </c>
      <c r="LO229" s="299" t="str">
        <f>IFERROR(__xludf.DUMMYFUNCTION("IF(REGEXMATCH(LD229, ""P""), ""P1"",IF(REGEXMATCH(LE229, ""P""), ""P2"",""""))"),"")</f>
        <v/>
      </c>
      <c r="LP229" s="299" t="str">
        <f>IFERROR(__xludf.DUMMYFUNCTION("IF(REGEXMATCH(LD229, ""d""), ""d1"",IF(REGEXMATCH(LE229, ""d""), ""d2"",""""))"),"")</f>
        <v/>
      </c>
      <c r="LQ229" s="299" t="str">
        <f>IFERROR(__xludf.DUMMYFUNCTION("IF(REGEXMATCH(LD229, ""D""), ""D1"",IF(REGEXMATCH(LE229, ""D""), ""D2"",""""))"),"D1")</f>
        <v>D1</v>
      </c>
      <c r="LR229" s="299" t="str">
        <f>IFERROR(__xludf.DUMMYFUNCTION("IF(REGEXMATCH(LD229, ""n""), ""n1"",IF(REGEXMATCH(LE229, ""n""), ""n2"",""""))"),"")</f>
        <v/>
      </c>
      <c r="LS229" s="299" t="str">
        <f>IFERROR(__xludf.DUMMYFUNCTION("IF(REGEXMATCH(LD229, ""N""), ""N1"",IF(REGEXMATCH(LE229, ""N""), ""N2"",""""))"),"N1")</f>
        <v>N1</v>
      </c>
      <c r="LT229" s="388" t="str">
        <f>IFERROR(__xludf.DUMMYFUNCTION("IF(REGEXMATCH(LD229, ""S""), ""S"",IF(REGEXMATCH(LE229, ""S""), ""S"",""""))"),"S")</f>
        <v>S</v>
      </c>
      <c r="LU229" s="389">
        <f t="shared" si="196"/>
        <v>1</v>
      </c>
      <c r="LV229" s="378"/>
      <c r="LW229" s="369"/>
      <c r="LX229" s="369"/>
    </row>
    <row r="230" ht="18.0" customHeight="1">
      <c r="A230" s="298" t="s">
        <v>983</v>
      </c>
      <c r="B230" s="222" t="s">
        <v>648</v>
      </c>
      <c r="C230" s="233" t="str">
        <f t="shared" si="7"/>
        <v>SRGmMPDnNS</v>
      </c>
      <c r="D230" s="234" t="str">
        <f>IFERROR(__xludf.DUMMYFUNCTION("IF(REGEXMATCH(C230, ""S""), ""S"","""")"),"S")</f>
        <v>S</v>
      </c>
      <c r="E230" s="236" t="str">
        <f>IFERROR(__xludf.DUMMYFUNCTION("IF(REGEXMATCH(C230, ""r""), ""r"","""")"),"")</f>
        <v/>
      </c>
      <c r="F230" s="237" t="str">
        <f>IFERROR(__xludf.DUMMYFUNCTION("IF(REGEXMATCH(C230, ""R""), ""R"","""")"),"R")</f>
        <v>R</v>
      </c>
      <c r="G230" s="237" t="str">
        <f>IFERROR(__xludf.DUMMYFUNCTION("IF(REGEXMATCH(C230, ""g""), ""g"","""")"),"")</f>
        <v/>
      </c>
      <c r="H230" s="236" t="str">
        <f>IFERROR(__xludf.DUMMYFUNCTION("IF(REGEXMATCH(C230, ""G""), ""G"","""")"),"G")</f>
        <v>G</v>
      </c>
      <c r="I230" s="236" t="str">
        <f>IFERROR(__xludf.DUMMYFUNCTION("IF(REGEXMATCH(C230, ""m""), ""m"","""")"),"m")</f>
        <v>m</v>
      </c>
      <c r="J230" s="237" t="str">
        <f>IFERROR(__xludf.DUMMYFUNCTION("IF(REGEXMATCH(C230, ""M""), ""M"","""")"),"M")</f>
        <v>M</v>
      </c>
      <c r="K230" s="236" t="str">
        <f>IFERROR(__xludf.DUMMYFUNCTION("IF(REGEXMATCH(C230, ""P""), ""P"","""")"),"P")</f>
        <v>P</v>
      </c>
      <c r="L230" s="237" t="str">
        <f>IFERROR(__xludf.DUMMYFUNCTION("IF(REGEXMATCH(C230, ""d""), ""d"","""")"),"")</f>
        <v/>
      </c>
      <c r="M230" s="236" t="str">
        <f>IFERROR(__xludf.DUMMYFUNCTION("IF(REGEXMATCH(C230, ""D""), ""D"","""")"),"D")</f>
        <v>D</v>
      </c>
      <c r="N230" s="236" t="str">
        <f>IFERROR(__xludf.DUMMYFUNCTION("IF(REGEXMATCH(C230, ""n""), ""n"","""")"),"n")</f>
        <v>n</v>
      </c>
      <c r="O230" s="237" t="str">
        <f>IFERROR(__xludf.DUMMYFUNCTION("IF(REGEXMATCH(C230, ""N""), ""N"","""")"),"N")</f>
        <v>N</v>
      </c>
      <c r="P230" s="238" t="str">
        <f>IFERROR(__xludf.DUMMYFUNCTION("IF(REGEXMATCH(C230, ""S""), ""S"","""")"),"S")</f>
        <v>S</v>
      </c>
      <c r="Q230" s="239" t="str">
        <f>IFERROR(__xludf.DUMMYFUNCTION("SUBSTITUTE(CONCATENATE(JOIN(""-"",D230:J230)),""-"","""")"),"SRGmM")</f>
        <v>SRGmM</v>
      </c>
      <c r="R230" s="229" t="str">
        <f>IFERROR(__xludf.DUMMYFUNCTION("SUBSTITUTE(CONCATENATE(JOIN(""-"",K230:P230)),""-"","""")"),"PDnNS")</f>
        <v>PDnNS</v>
      </c>
      <c r="S230" s="282" t="str">
        <f t="shared" si="8"/>
        <v>S-R-G-M</v>
      </c>
      <c r="T230" s="282" t="str">
        <f t="shared" si="9"/>
        <v>P-D-N-S</v>
      </c>
      <c r="U230" s="237" t="str">
        <f>IFERROR(__xludf.DUMMYFUNCTION("SUBSTITUTE(JOIN(""-"",S230,T230),""--"",""-"")"),"S-R-G-M-P-D-N-S")</f>
        <v>S-R-G-M-P-D-N-S</v>
      </c>
      <c r="V230" s="309" t="str">
        <f t="shared" si="10"/>
        <v>RGmMDnN</v>
      </c>
      <c r="W230" s="244" t="str">
        <f>IFERROR(__xludf.DUMMYFUNCTION("IF(REGEXMATCH(C230, ""S""), ""0"","""")"),"0")</f>
        <v>0</v>
      </c>
      <c r="X230" s="245" t="str">
        <f>IFERROR(__xludf.DUMMYFUNCTION("IF(REGEXMATCH(C230, ""r""), ""1"","""")"),"")</f>
        <v/>
      </c>
      <c r="Y230" s="246" t="str">
        <f>IFERROR(__xludf.DUMMYFUNCTION("IF(REGEXMATCH(C230, ""R""), ""2"","""")"),"2")</f>
        <v>2</v>
      </c>
      <c r="Z230" s="246" t="str">
        <f>IFERROR(__xludf.DUMMYFUNCTION("IF(REGEXMATCH(C230, ""g""), ""3"","""")"),"")</f>
        <v/>
      </c>
      <c r="AA230" s="245" t="str">
        <f>IFERROR(__xludf.DUMMYFUNCTION("IF(REGEXMATCH(C230, ""G""), ""4"","""")"),"4")</f>
        <v>4</v>
      </c>
      <c r="AB230" s="245" t="str">
        <f>IFERROR(__xludf.DUMMYFUNCTION("IF(REGEXMATCH(C230, ""m""), ""5"","""")"),"5")</f>
        <v>5</v>
      </c>
      <c r="AC230" s="246" t="str">
        <f>IFERROR(__xludf.DUMMYFUNCTION("IF(REGEXMATCH(C230, ""M""), ""6"","""")"),"6")</f>
        <v>6</v>
      </c>
      <c r="AD230" s="245" t="str">
        <f>IFERROR(__xludf.DUMMYFUNCTION("IF(REGEXMATCH(C230, ""P""), ""7"","""")"),"7")</f>
        <v>7</v>
      </c>
      <c r="AE230" s="246" t="str">
        <f>IFERROR(__xludf.DUMMYFUNCTION("IF(REGEXMATCH(C230, ""d""), ""8"","""")"),"")</f>
        <v/>
      </c>
      <c r="AF230" s="245" t="str">
        <f>IFERROR(__xludf.DUMMYFUNCTION("IF(REGEXMATCH(C230, ""D""), ""9"","""")"),"9")</f>
        <v>9</v>
      </c>
      <c r="AG230" s="245" t="str">
        <f>IFERROR(__xludf.DUMMYFUNCTION("IF(REGEXMATCH(C230, ""n""), ""10"","""")"),"10")</f>
        <v>10</v>
      </c>
      <c r="AH230" s="246" t="str">
        <f>IFERROR(__xludf.DUMMYFUNCTION("IF(REGEXMATCH(C230, ""N""), ""11"","""")"),"11")</f>
        <v>11</v>
      </c>
      <c r="AI230" s="249" t="str">
        <f>IFERROR(__xludf.DUMMYFUNCTION("IF(REGEXMATCH(C230, ""S""), ""0"","""")"),"0")</f>
        <v>0</v>
      </c>
      <c r="AJ230" s="313" t="str">
        <f t="shared" si="11"/>
        <v>T</v>
      </c>
      <c r="AK230" s="313" t="str">
        <f t="shared" si="12"/>
        <v>-</v>
      </c>
      <c r="AL230" s="313" t="str">
        <f t="shared" si="13"/>
        <v>-</v>
      </c>
      <c r="AM230" s="313" t="str">
        <f t="shared" si="14"/>
        <v>-</v>
      </c>
      <c r="AN230" s="313" t="str">
        <f t="shared" si="15"/>
        <v>T</v>
      </c>
      <c r="AO230" s="314" t="str">
        <f t="shared" si="16"/>
        <v>T</v>
      </c>
      <c r="AP230" s="316">
        <f t="shared" si="17"/>
        <v>3</v>
      </c>
      <c r="AQ230" s="319" t="str">
        <f t="shared" si="18"/>
        <v>-</v>
      </c>
      <c r="AR230" s="320">
        <f t="shared" si="19"/>
        <v>0</v>
      </c>
      <c r="AS230" s="250" t="str">
        <f>IFERROR(__xludf.DUMMYFUNCTION("SUBSTITUTE(SUBSTITUTE(CONCATENATE(JOIN("""",FP230:GA230)),""|"",""x""),""-"",""o"")"),"xoxoxxxxoxxx")</f>
        <v>xoxoxxxxoxxx</v>
      </c>
      <c r="AT230" s="323" t="str">
        <f>IFERROR(__xludf.DUMMYFUNCTION("JOIN("""",AS230,AS230)"),"xoxoxxxxoxxxxoxoxxxxoxxx")</f>
        <v>xoxoxxxxoxxxxoxoxxxxoxxx</v>
      </c>
      <c r="AU230" s="256" t="str">
        <f>IFERROR(__xludf.DUMMYFUNCTION("JOIN("""",ArrayFormula(MID(AS230,LEN(AS230)-SEQUENCE(1,LEN(AS230))+1,1)))"),"xxxoxxxxoxox")</f>
        <v>xxxoxxxxoxox</v>
      </c>
      <c r="AV230" s="256" t="str">
        <f>IFERROR(__xludf.DUMMYFUNCTION("LEFT(CONCATENATE(""x"",JOIN("""",ArrayFormula(MID(AS230,LEN(AS230)-SEQUENCE(1,LEN(AS230))+1,1)))),12)"),"xxxxoxxxxoxo")</f>
        <v>xxxxoxxxxoxo</v>
      </c>
      <c r="AW230" s="327" t="str">
        <f>IFERROR(__xludf.DUMMYFUNCTION("JOIN("""",AU230,AU230)"),"xxxoxxxxoxoxxxxoxxxxoxox")</f>
        <v>xxxoxxxxoxoxxxxoxxxxoxox</v>
      </c>
      <c r="AX230" s="239" t="str">
        <f>IFERROR(__xludf.DUMMYFUNCTION("IF(REGEXMATCH(AW230,AS230),""✔"",""-"")"),"✔")</f>
        <v>✔</v>
      </c>
      <c r="AY230" s="330" t="str">
        <f t="shared" si="20"/>
        <v>-</v>
      </c>
      <c r="AZ230" s="260" t="str">
        <f t="shared" si="21"/>
        <v>#REF!</v>
      </c>
      <c r="BA230" s="333" t="str">
        <f t="shared" si="22"/>
        <v>xoxoxxx</v>
      </c>
      <c r="BB230" s="334" t="str">
        <f t="shared" si="23"/>
        <v>xoxxxx</v>
      </c>
      <c r="BC230" s="335" t="str">
        <f t="shared" si="236"/>
        <v>-</v>
      </c>
      <c r="BD230" s="336" t="str">
        <f t="shared" si="25"/>
        <v>Medhavi: 'xoxoxxx' + 'xoxxxx'</v>
      </c>
      <c r="BE230" s="337">
        <f>IFERROR(__xludf.DUMMYFUNCTION("COUNTUNIQUE(FILTER(AT:AT,REGEXMATCH(AT:AT,AS230)))-1"),4.0)</f>
        <v>4</v>
      </c>
      <c r="BF230" s="261" t="str">
        <f>IFERROR(__xludf.DUMMYFUNCTION("IF(BI230=0,""(n/a)"",IF(BJ230=2,""(PAIR)"",IF(REGEXMATCH(AT230,""xoxoxxoxoxox""),""Bilawal"",IF(REGEXMATCH(AT230,""xoxoxooxoxoo""),""Bhupali"",IF(REGEXMATCH(AT230,""xoxoxxoxxoxo""),""Charukeshi"",IF(REGEXMATCH(AT230,""xoxoooxxoxxo""),""Kameshwari"",IF(REG"&amp;"EXMATCH(AT230,""xoxoxooxoxox""),""Shankara"",IF(REGEXMATCH(AT230,""xxooxoxxxoox""),""Basant"",IF(REGEXMATCH(AT230,""xoxoxxxxoxox""),""Bihag"",IF(REGEXMATCH(AT230,""xoxxxxoxoxxx""),""Pilu"",IF(REGEXMATCH(AT230,""xoxxoxoxxoox""),""Kirwani"",IF(REGEXMATCH(AT"&amp;"230,""xoxxoxoxoxxx""),""Mk.Malhar"",IF(REGEXMATCH(AT230,""xxooxxoxxoox""),""Bhairav"",IF(REGEXMATCH(AT230,""xxoxooxxxoox""),""Todi"",IF(REGEXMATCH(AT230,""xxooxoxooxox""),""Marwa"",IF(REGEXMATCH(AT230,""xxoooxoxxooo""),""Gunkali"",IF(REGEXMATCH(AT230,""xo"&amp;"xoxxoxxoox""),""Nat Bhairav"",IF(REGEXMATCH(AT230,""xoxxoooxoxoo""),""Shivranjani"",IF(REGEXMATCH(AT230,""xooxxxoxooxo""),""Jog"",IF(REGEXMATCH(AT230,""xxooxoxoxoox""),""Hemshri"",IF(REGEXMATCH(AT230,""xoooxooxoxxo""),""Kalavati"",IF(REGEXMATCH(AT230,""xx"&amp;"oxoxxoxoox""),""Kedar"",IF(REGEXMATCH(AT230,""xoxxxxoxooxx""),""Gara"",IF(REGEXMATCH(AT230,""xooxoxooxoox""),""Chandrakauns"",IF(REGEXMATCH(AT230,""xoxxxxoxxxox""),""Mand"",IF(REGEXMATCH(AT230,""xoxxxxoxoxox""),""Hanskinkini"",IF(REGEXMATCH(AT230,""xxooxx"&amp;"oxooxo""),""Lilavati"",IF(REGEXMATCH(AT230,""xooxoxoooxox""),""Rajeshwari"",IF(REGEXMATCH(AT230,""xoooxxoxoxxx""),""Khokar"",IF(REGEXMATCH(AT230,""xxooxoxxxxox""),""Maligoura"",""-""))))))))))))))))))))))))))))))"),"Pilu")</f>
        <v>Pilu</v>
      </c>
      <c r="BG230" s="239" t="str">
        <f t="shared" si="26"/>
        <v>#REF!</v>
      </c>
      <c r="BH230" s="239">
        <f>IFERROR(__xludf.DUMMYFUNCTION("COUNTUNIQUE(FE230:FO230)-1"),8.0)</f>
        <v>8</v>
      </c>
      <c r="BI230" s="239">
        <f>IFERROR(__xludf.DUMMYFUNCTION("COUNTUNIQUE(FILTER(AT:AT,REGEXMATCH(AT:AT,AS230)))-1"),4.0)</f>
        <v>4</v>
      </c>
      <c r="BJ230" s="239">
        <f>IFERROR(__xludf.DUMMYFUNCTION("COUNTA(FILTER(AT:AT,REGEXMATCH(AT:AT,AS230)))"),26.0)</f>
        <v>26</v>
      </c>
      <c r="BK230" s="341">
        <f>IFERROR(__xludf.DUMMYFUNCTION("COUNTA(FILTER(AT:AT,REGEXMATCH(AT:AT,AS230)))-AR230"),26.0)</f>
        <v>26</v>
      </c>
      <c r="BL230" s="276" t="str">
        <f>IFERROR(__xludf.DUMMYFUNCTION("IF(AS230=""oooooooooooo"",""-"",IF(REGEXMATCH(AT230,""xx""), ""Hemi."", ""Anhemi.""))"),"Hemi.")</f>
        <v>Hemi.</v>
      </c>
      <c r="BM230" s="282" t="str">
        <f>IFERROR(__xludf.DUMMYFUNCTION("IF(AS230=""oooooooooooo"",""-"",IF(REGEXMATCH(AT230,""xxx""), ""Cohem."", ""-""))"),"Cohem.")</f>
        <v>Cohem.</v>
      </c>
      <c r="BN230" s="282" t="str">
        <f>IFERROR(__xludf.DUMMYFUNCTION("IF(AS230=""oooooooooooo"",""-"",IF(REGEXMATCH(AT230,""xxxx""), ""Co-Co."", ""-""))"),"Co-Co.")</f>
        <v>Co-Co.</v>
      </c>
      <c r="BO230" s="342" t="str">
        <f>IFERROR(__xludf.DUMMYFUNCTION("IF(AS230=""oooooooooooo"",""-"",IF(REGEXMATCH(AT230,""xxxxx""), ""CCC."", ""-""))"),"-")</f>
        <v>-</v>
      </c>
      <c r="BP230" s="344" t="str">
        <f t="shared" si="27"/>
        <v>-</v>
      </c>
      <c r="BQ230" s="282" t="str">
        <f>IFERROR(__xludf.DUMMYFUNCTION("IF(REGEXMATCH(JOIN(""-"",EU230:FD230),""TRUE""),""✔"",""-"")"),"-")</f>
        <v>-</v>
      </c>
      <c r="BR230" s="225">
        <f t="shared" si="28"/>
        <v>0</v>
      </c>
      <c r="BS230" s="345" t="str">
        <f>IFERROR(__xludf.DUMMYFUNCTION("SUBSTITUTE(SUBSTITUTE(SUBSTITUTE(SUBSTITUTE(CONCATENATE(JOIN(""-"",GC230:GO230)),""--"",""-""),""--"",""-""),""--"",""-""),""--"",""-"")"),"1-2-3-4-#4-5-6-b7-7-8")</f>
        <v>1-2-3-4-#4-5-6-b7-7-8</v>
      </c>
      <c r="BT230" s="299" t="str">
        <f>IFERROR(__xludf.DUMMYFUNCTION("SUBSTITUTE(SUBSTITUTE(SUBSTITUTE(SUBSTITUTE(CONCATENATE(JOIN(""-"",GP230:HB230)),""--"",""-""),""--"",""-""),""--"",""-""),""--"",""-"")"),"S-R2-G3-M1-M2-P-D2-N2-N3-S")</f>
        <v>S-R2-G3-M1-M2-P-D2-N2-N3-S</v>
      </c>
      <c r="BU230" s="348" t="str">
        <f t="shared" si="29"/>
        <v>C-D-E-F-F#-G-A-Bb-B-C</v>
      </c>
      <c r="BV230" s="349" t="str">
        <f t="shared" si="30"/>
        <v>SrgdS</v>
      </c>
      <c r="BW230" s="350">
        <f t="shared" si="31"/>
        <v>0</v>
      </c>
      <c r="BX230" s="351">
        <f t="shared" si="32"/>
        <v>8</v>
      </c>
      <c r="BY230" s="392"/>
      <c r="BZ230" s="309" t="str">
        <f>IFERROR(__xludf.DUMMYFUNCTION("IF(REGEXMATCH(C230, ""S""), ""x"",""x"")"),"x")</f>
        <v>x</v>
      </c>
      <c r="CA230" s="245" t="str">
        <f>IFERROR(__xludf.DUMMYFUNCTION("IF(REGEXMATCH(C230, ""r""), ""o"",""x"")"),"x")</f>
        <v>x</v>
      </c>
      <c r="CB230" s="246" t="str">
        <f>IFERROR(__xludf.DUMMYFUNCTION("IF(REGEXMATCH(C230, ""R""), ""o"",""x"")"),"o")</f>
        <v>o</v>
      </c>
      <c r="CC230" s="246" t="str">
        <f>IFERROR(__xludf.DUMMYFUNCTION("IF(REGEXMATCH(C230, ""g""), ""o"",""x"")"),"x")</f>
        <v>x</v>
      </c>
      <c r="CD230" s="245" t="str">
        <f>IFERROR(__xludf.DUMMYFUNCTION("IF(REGEXMATCH(C230, ""G""), ""o"",""x"")"),"o")</f>
        <v>o</v>
      </c>
      <c r="CE230" s="245" t="str">
        <f>IFERROR(__xludf.DUMMYFUNCTION("IF(REGEXMATCH(C230, ""m""), ""o"",""x"")"),"o")</f>
        <v>o</v>
      </c>
      <c r="CF230" s="246" t="str">
        <f>IFERROR(__xludf.DUMMYFUNCTION("IF(REGEXMATCH(C230, ""M""), ""o"",""x"")"),"o")</f>
        <v>o</v>
      </c>
      <c r="CG230" s="245" t="str">
        <f>IFERROR(__xludf.DUMMYFUNCTION("IF(REGEXMATCH(C230, ""P""), ""o"",""x"")"),"o")</f>
        <v>o</v>
      </c>
      <c r="CH230" s="246" t="str">
        <f>IFERROR(__xludf.DUMMYFUNCTION("IF(REGEXMATCH(C230, ""d""), ""o"",""x"")"),"x")</f>
        <v>x</v>
      </c>
      <c r="CI230" s="245" t="str">
        <f>IFERROR(__xludf.DUMMYFUNCTION("IF(REGEXMATCH(C230, ""D""), ""o"",""x"")"),"o")</f>
        <v>o</v>
      </c>
      <c r="CJ230" s="245" t="str">
        <f>IFERROR(__xludf.DUMMYFUNCTION("IF(REGEXMATCH(C230, ""n""), ""o"",""x"")"),"o")</f>
        <v>o</v>
      </c>
      <c r="CK230" s="245" t="str">
        <f>IFERROR(__xludf.DUMMYFUNCTION("IF(REGEXMATCH(C230, ""N""), ""o"",""x"")"),"o")</f>
        <v>o</v>
      </c>
      <c r="CL230" s="356" t="str">
        <f>IFERROR(__xludf.DUMMYFUNCTION("IF(REGEXMATCH(C230, ""S""), ""x"",""x"")"),"x")</f>
        <v>x</v>
      </c>
      <c r="CM230" s="357" t="str">
        <f t="shared" si="33"/>
        <v>xxoxooooxooo</v>
      </c>
      <c r="CN230" s="358">
        <f t="shared" si="34"/>
        <v>0</v>
      </c>
      <c r="CO230" s="246" t="str">
        <f>IFERROR(__xludf.DUMMYFUNCTION("IF(REGEXMATCH($C230, ""S""), ""S"",""S"")"),"S")</f>
        <v>S</v>
      </c>
      <c r="CP230" s="246" t="str">
        <f>IFERROR(__xludf.DUMMYFUNCTION("IF(REGEXMATCH($C230, ""r""), """",""r"")"),"r")</f>
        <v>r</v>
      </c>
      <c r="CQ230" s="246" t="str">
        <f>IFERROR(__xludf.DUMMYFUNCTION("IF(REGEXMATCH($C230, ""R""), """",""R"")"),"")</f>
        <v/>
      </c>
      <c r="CR230" s="246" t="str">
        <f>IFERROR(__xludf.DUMMYFUNCTION("IF(REGEXMATCH($C230, ""g""), """",""g"")"),"g")</f>
        <v>g</v>
      </c>
      <c r="CS230" s="246" t="str">
        <f>IFERROR(__xludf.DUMMYFUNCTION("IF(REGEXMATCH($C230, ""G""), """",""G"")"),"")</f>
        <v/>
      </c>
      <c r="CT230" s="246" t="str">
        <f>IFERROR(__xludf.DUMMYFUNCTION("IF(REGEXMATCH($C230, ""m""), """",""m"")"),"")</f>
        <v/>
      </c>
      <c r="CU230" s="246" t="str">
        <f>IFERROR(__xludf.DUMMYFUNCTION("IF(REGEXMATCH($C230, ""M""), """",""M"")"),"")</f>
        <v/>
      </c>
      <c r="CV230" s="246" t="str">
        <f>IFERROR(__xludf.DUMMYFUNCTION("IF(REGEXMATCH($C230, ""P""), """",""P"")"),"")</f>
        <v/>
      </c>
      <c r="CW230" s="246" t="str">
        <f>IFERROR(__xludf.DUMMYFUNCTION("IF(REGEXMATCH($C230, ""d""), """",""d"")"),"d")</f>
        <v>d</v>
      </c>
      <c r="CX230" s="246" t="str">
        <f>IFERROR(__xludf.DUMMYFUNCTION("IF(REGEXMATCH($C230, ""D""), """",""D"")"),"")</f>
        <v/>
      </c>
      <c r="CY230" s="246" t="str">
        <f>IFERROR(__xludf.DUMMYFUNCTION("IF(REGEXMATCH($C230, ""n""), """",""n"")"),"")</f>
        <v/>
      </c>
      <c r="CZ230" s="246" t="str">
        <f>IFERROR(__xludf.DUMMYFUNCTION("IF(REGEXMATCH($C230, ""N""), """",""N"")"),"")</f>
        <v/>
      </c>
      <c r="DA230" s="246" t="str">
        <f>IFERROR(__xludf.DUMMYFUNCTION("IF(REGEXMATCH($C230, ""S""), ""S"",""S"")"),"S")</f>
        <v>S</v>
      </c>
      <c r="DB230" s="362" t="str">
        <f>IFERROR(__xludf.DUMMYFUNCTION("JOIN("""",CO230:DA230,"""","""")"),"SrgdS")</f>
        <v>SrgdS</v>
      </c>
      <c r="DC230" s="363"/>
      <c r="DD230" s="301" t="str">
        <f t="shared" si="35"/>
        <v>#REF!</v>
      </c>
      <c r="DE230" s="302" t="str">
        <f t="shared" si="36"/>
        <v>#REF!</v>
      </c>
      <c r="DF230" s="301" t="str">
        <f t="shared" ref="DF230:DG230" si="678">SUBSTITUTE(S230,"-","")</f>
        <v>SRGM</v>
      </c>
      <c r="DG230" s="301" t="str">
        <f t="shared" si="678"/>
        <v>PDNS</v>
      </c>
      <c r="DH230" s="302" t="str">
        <f t="shared" si="38"/>
        <v>Pilu</v>
      </c>
      <c r="DI230" s="301" t="str">
        <f t="shared" si="39"/>
        <v>Hemi.</v>
      </c>
      <c r="DJ230" s="364" t="str">
        <f t="shared" si="40"/>
        <v>Co-Co.</v>
      </c>
      <c r="DK230" s="306" t="str">
        <f t="shared" si="41"/>
        <v>-</v>
      </c>
      <c r="DL230" s="366" t="str">
        <f t="shared" si="42"/>
        <v>-</v>
      </c>
      <c r="DM230" s="308" t="str">
        <f t="shared" si="43"/>
        <v>✔</v>
      </c>
      <c r="DN230" s="306" t="str">
        <f t="shared" si="44"/>
        <v>-</v>
      </c>
      <c r="DO230" s="306" t="str">
        <f t="shared" si="45"/>
        <v>-</v>
      </c>
      <c r="DP230" s="367" t="str">
        <f t="shared" si="46"/>
        <v>-</v>
      </c>
      <c r="DQ230" s="310" t="str">
        <f t="shared" si="47"/>
        <v>-</v>
      </c>
      <c r="DR230" s="310" t="str">
        <f t="shared" si="48"/>
        <v>-</v>
      </c>
      <c r="DS230" s="310" t="str">
        <f t="shared" si="49"/>
        <v>✔</v>
      </c>
      <c r="DT230" s="310" t="str">
        <f t="shared" si="50"/>
        <v>-</v>
      </c>
      <c r="DU230" s="370" t="str">
        <f t="shared" si="51"/>
        <v>✔</v>
      </c>
      <c r="DV230" s="306" t="str">
        <f t="shared" si="52"/>
        <v>-</v>
      </c>
      <c r="DW230" s="306" t="str">
        <f t="shared" si="53"/>
        <v>-</v>
      </c>
      <c r="DX230" s="306" t="str">
        <f t="shared" si="54"/>
        <v>-</v>
      </c>
      <c r="DY230" s="306" t="str">
        <f t="shared" si="55"/>
        <v>-</v>
      </c>
      <c r="DZ230" s="306" t="str">
        <f t="shared" si="56"/>
        <v>-</v>
      </c>
      <c r="EA230" s="367" t="str">
        <f t="shared" si="57"/>
        <v>-</v>
      </c>
      <c r="EB230" s="310" t="str">
        <f>IFERROR(__xludf.DUMMYFUNCTION("IF(REGEXMATCH(AW230,AS230),""✔"",""-"")"),"✔")</f>
        <v>✔</v>
      </c>
      <c r="EC230" s="310" t="str">
        <f t="shared" si="58"/>
        <v>#REF!</v>
      </c>
      <c r="ED230" s="370" t="str">
        <f t="shared" si="59"/>
        <v>-</v>
      </c>
      <c r="EE230" s="340" t="str">
        <f t="shared" si="60"/>
        <v>S-R-G-mM-P-D-nN-S</v>
      </c>
      <c r="EF230" s="371" t="str">
        <f>IFERROR(__xludf.DUMMYFUNCTION("CONCATENATE(JOIN("""",HC230:HO230))"),"SrRgmMPdnS")</f>
        <v>SrRgmMPdnS</v>
      </c>
      <c r="EG230" s="372">
        <f t="shared" si="61"/>
        <v>1</v>
      </c>
      <c r="EH230" s="373" t="str">
        <f>IFERROR(__xludf.DUMMYFUNCTION("CONCATENATE(JOIN("""",JC230:JO230))"),"Ma, ")</f>
        <v>Ma, </v>
      </c>
      <c r="EI230" s="322">
        <f t="shared" si="62"/>
        <v>0</v>
      </c>
      <c r="EJ230" s="374" t="str">
        <f>IFERROR(__xludf.DUMMYFUNCTION("CONCATENATE(JOIN("""",KC230:KO230))"),"")</f>
        <v/>
      </c>
      <c r="EK230" s="325" t="str">
        <f t="shared" si="63"/>
        <v>S-R2-G3-M1-M2-P-D2-N2-N3-S</v>
      </c>
      <c r="EL230" s="326" t="str">
        <f t="shared" si="64"/>
        <v>1-2-3-4-#4-5-6-b7-7-8</v>
      </c>
      <c r="EM230" s="318" t="str">
        <f t="shared" si="65"/>
        <v>#REF!</v>
      </c>
      <c r="EN230" s="328" t="str">
        <f>IFERROR(__xludf.DUMMYFUNCTION("SUBSTITUTE(SUBSTITUTE(SUBSTITUTE(SUBSTITUTE(CONCATENATE(JOIN("" "",HP230:IB230)),""  "","" ""),""  "","" ""),""  "","" ""),""  "","" "")"),"o • o • o o o o • o o o o")</f>
        <v>o • o • o o o o • o o o o</v>
      </c>
      <c r="EO230" s="368" t="str">
        <f t="shared" si="66"/>
        <v>-</v>
      </c>
      <c r="EP230" s="339" t="str">
        <f t="shared" si="67"/>
        <v>-</v>
      </c>
      <c r="EQ230" s="339" t="str">
        <f t="shared" si="68"/>
        <v>Sa-Pa</v>
      </c>
      <c r="ER230" s="339" t="str">
        <f t="shared" si="69"/>
        <v>-</v>
      </c>
      <c r="ES230" s="340" t="str">
        <f t="shared" si="70"/>
        <v>-</v>
      </c>
      <c r="ET230" s="363"/>
      <c r="EU230" s="376" t="b">
        <f>IFERROR(__xludf.DUMMYFUNCTION("arrayformula(sum(--REGEXMATCH(""SRGMPDNS"",split(REGEXREPLACE(C230,""(.)"",""$1~""),""~""))))=len(C230)
"),FALSE)</f>
        <v>0</v>
      </c>
      <c r="EV230" s="290" t="b">
        <f>IFERROR(__xludf.DUMMYFUNCTION("arrayformula(sum(--REGEXMATCH(""SRGmPDNS"",split(REGEXREPLACE(C230,""(.)"",""$1~""),""~""))))=len(C230)"),FALSE)</f>
        <v>0</v>
      </c>
      <c r="EW230" s="290" t="b">
        <f>IFERROR(__xludf.DUMMYFUNCTION("arrayformula(sum(--REGEXMATCH(""SRGmPDnS"",split(REGEXREPLACE(C230,""(.)"",""$1~""),""~""))))=len(C230)"),FALSE)</f>
        <v>0</v>
      </c>
      <c r="EX230" s="290" t="b">
        <f>IFERROR(__xludf.DUMMYFUNCTION("arrayformula(sum(--REGEXMATCH(""SRgmPDnS"",split(REGEXREPLACE(C230,""(.)"",""$1~""),""~""))))=len(C230)"),FALSE)</f>
        <v>0</v>
      </c>
      <c r="EY230" s="290" t="b">
        <f>IFERROR(__xludf.DUMMYFUNCTION("arrayformula(sum(--REGEXMATCH(""SRgmPdnS"",split(REGEXREPLACE(C230,""(.)"",""$1~""),""~""))))=len(C230)"),FALSE)</f>
        <v>0</v>
      </c>
      <c r="EZ230" s="290" t="b">
        <f>IFERROR(__xludf.DUMMYFUNCTION("arrayformula(sum(--REGEXMATCH(""SrgmPdnS"",split(REGEXREPLACE(C230,""(.)"",""$1~""),""~""))))=len(C230)"),FALSE)</f>
        <v>0</v>
      </c>
      <c r="FA230" s="290" t="b">
        <f>IFERROR(__xludf.DUMMYFUNCTION("arrayformula(sum(--REGEXMATCH(""SrGmPdNS"",split(REGEXREPLACE(C230,""(.)"",""$1~""),""~""))))=len(C230)"),FALSE)</f>
        <v>0</v>
      </c>
      <c r="FB230" s="290" t="b">
        <f>IFERROR(__xludf.DUMMYFUNCTION("arrayformula(sum(--REGEXMATCH(""SrGMPDNS"",split(REGEXREPLACE(C230,""(.)"",""$1~""),""~""))))=len(C230)"),FALSE)</f>
        <v>0</v>
      </c>
      <c r="FC230" s="290" t="b">
        <f>IFERROR(__xludf.DUMMYFUNCTION("arrayformula(sum(--REGEXMATCH(""SrGMPdNS"",split(REGEXREPLACE(C230,""(.)"",""$1~""),""~""))))=len(C230)"),FALSE)</f>
        <v>0</v>
      </c>
      <c r="FD230" s="377" t="b">
        <f>IFERROR(__xludf.DUMMYFUNCTION("arrayformula(sum(--REGEXMATCH(""SrgMPdNS"",split(REGEXREPLACE(C230,""(.)"",""$1~""),""~""))))=len(C230)"),FALSE)</f>
        <v>0</v>
      </c>
      <c r="FE230" s="269" t="str">
        <f t="shared" si="71"/>
        <v>-</v>
      </c>
      <c r="FF230" s="269" t="str">
        <f t="shared" si="72"/>
        <v>xoxxxxoxxxx</v>
      </c>
      <c r="FG230" s="271" t="str">
        <f t="shared" si="73"/>
        <v>-</v>
      </c>
      <c r="FH230" s="269" t="str">
        <f t="shared" si="74"/>
        <v>xxxxoxxxxox</v>
      </c>
      <c r="FI230" s="271" t="str">
        <f t="shared" si="75"/>
        <v>xxxoxxxxoxo</v>
      </c>
      <c r="FJ230" s="271" t="str">
        <f t="shared" si="76"/>
        <v>xxoxxxxoxox</v>
      </c>
      <c r="FK230" s="271" t="str">
        <f t="shared" si="77"/>
        <v>xoxxxxoxoxx</v>
      </c>
      <c r="FL230" s="271" t="str">
        <f t="shared" si="78"/>
        <v>-</v>
      </c>
      <c r="FM230" s="271" t="str">
        <f t="shared" si="79"/>
        <v>xxxxoxoxxxx</v>
      </c>
      <c r="FN230" s="271" t="str">
        <f t="shared" si="80"/>
        <v>xxxoxoxxxxo</v>
      </c>
      <c r="FO230" s="274" t="str">
        <f t="shared" si="81"/>
        <v>xxoxoxxxxox</v>
      </c>
      <c r="FP230" s="234" t="str">
        <f t="shared" si="82"/>
        <v>|</v>
      </c>
      <c r="FQ230" s="236" t="str">
        <f t="shared" si="83"/>
        <v>-</v>
      </c>
      <c r="FR230" s="237" t="str">
        <f t="shared" si="84"/>
        <v>|</v>
      </c>
      <c r="FS230" s="236" t="str">
        <f t="shared" si="85"/>
        <v>-</v>
      </c>
      <c r="FT230" s="237" t="str">
        <f t="shared" si="86"/>
        <v>|</v>
      </c>
      <c r="FU230" s="236" t="str">
        <f t="shared" si="87"/>
        <v>|</v>
      </c>
      <c r="FV230" s="237" t="str">
        <f t="shared" si="88"/>
        <v>|</v>
      </c>
      <c r="FW230" s="236" t="str">
        <f t="shared" si="89"/>
        <v>|</v>
      </c>
      <c r="FX230" s="237" t="str">
        <f t="shared" si="90"/>
        <v>-</v>
      </c>
      <c r="FY230" s="236" t="str">
        <f t="shared" si="91"/>
        <v>|</v>
      </c>
      <c r="FZ230" s="237" t="str">
        <f t="shared" si="92"/>
        <v>|</v>
      </c>
      <c r="GA230" s="236" t="str">
        <f t="shared" si="93"/>
        <v>|</v>
      </c>
      <c r="GB230" s="238" t="str">
        <f t="shared" si="94"/>
        <v>|</v>
      </c>
      <c r="GC230" s="244" t="str">
        <f>IFERROR(__xludf.DUMMYFUNCTION("IF(REGEXMATCH(C230, ""S""), ""1"","""")"),"1")</f>
        <v>1</v>
      </c>
      <c r="GD230" s="245" t="str">
        <f>IFERROR(__xludf.DUMMYFUNCTION("IF(REGEXMATCH(C230, ""r""), ""b2"","""")"),"")</f>
        <v/>
      </c>
      <c r="GE230" s="246" t="str">
        <f>IFERROR(__xludf.DUMMYFUNCTION("IF(REGEXMATCH(C230, ""R""), ""2"","""")"),"2")</f>
        <v>2</v>
      </c>
      <c r="GF230" s="246" t="str">
        <f>IFERROR(__xludf.DUMMYFUNCTION("IF(REGEXMATCH(C230, ""g""), ""b3"","""")"),"")</f>
        <v/>
      </c>
      <c r="GG230" s="245" t="str">
        <f>IFERROR(__xludf.DUMMYFUNCTION("IF(REGEXMATCH(C230, ""G""), ""3"","""")"),"3")</f>
        <v>3</v>
      </c>
      <c r="GH230" s="245" t="str">
        <f>IFERROR(__xludf.DUMMYFUNCTION("IF(REGEXMATCH(C230, ""m""), ""4"","""")"),"4")</f>
        <v>4</v>
      </c>
      <c r="GI230" s="246" t="str">
        <f>IFERROR(__xludf.DUMMYFUNCTION("IF(REGEXMATCH(C230, ""M""), ""#4"","""")"),"#4")</f>
        <v>#4</v>
      </c>
      <c r="GJ230" s="245" t="str">
        <f>IFERROR(__xludf.DUMMYFUNCTION("IF(REGEXMATCH(C230, ""P""), ""5"","""")"),"5")</f>
        <v>5</v>
      </c>
      <c r="GK230" s="246" t="str">
        <f>IFERROR(__xludf.DUMMYFUNCTION("IF(REGEXMATCH(C230, ""d""), ""b6"","""")"),"")</f>
        <v/>
      </c>
      <c r="GL230" s="245" t="str">
        <f>IFERROR(__xludf.DUMMYFUNCTION("IF(REGEXMATCH(C230, ""D""), ""6"","""")"),"6")</f>
        <v>6</v>
      </c>
      <c r="GM230" s="245" t="str">
        <f>IFERROR(__xludf.DUMMYFUNCTION("IF(REGEXMATCH(C230, ""n""), ""b7"","""")"),"b7")</f>
        <v>b7</v>
      </c>
      <c r="GN230" s="246" t="str">
        <f>IFERROR(__xludf.DUMMYFUNCTION("IF(REGEXMATCH(C230, ""N""), ""7"","""")"),"7")</f>
        <v>7</v>
      </c>
      <c r="GO230" s="249" t="str">
        <f>IFERROR(__xludf.DUMMYFUNCTION("IF(REGEXMATCH(C230, ""S""), ""8"","""")"),"8")</f>
        <v>8</v>
      </c>
      <c r="GP230" s="244" t="str">
        <f>IFERROR(__xludf.DUMMYFUNCTION("IF(REGEXMATCH(C230, ""S""), ""S"","""")"),"S")</f>
        <v>S</v>
      </c>
      <c r="GQ230" s="294" t="str">
        <f>IFERROR(__xludf.DUMMYFUNCTION("IF(REGEXMATCH(C230, ""r""), ""R1"","""")"),"")</f>
        <v/>
      </c>
      <c r="GR230" s="295" t="str">
        <f>IFERROR(__xludf.DUMMYFUNCTION("IF(REGEXMATCH(C230, ""R""), ""R2"","""")"),"R2")</f>
        <v>R2</v>
      </c>
      <c r="GS230" s="295" t="str">
        <f>IFERROR(__xludf.DUMMYFUNCTION("IF(REGEXMATCH(C230, ""g""), ""G2"","""")"),"")</f>
        <v/>
      </c>
      <c r="GT230" s="294" t="str">
        <f>IFERROR(__xludf.DUMMYFUNCTION("IF(REGEXMATCH(C230, ""G""), ""G3"","""")"),"G3")</f>
        <v>G3</v>
      </c>
      <c r="GU230" s="294" t="str">
        <f>IFERROR(__xludf.DUMMYFUNCTION("IF(REGEXMATCH(C230, ""m""), ""M1"","""")"),"M1")</f>
        <v>M1</v>
      </c>
      <c r="GV230" s="295" t="str">
        <f>IFERROR(__xludf.DUMMYFUNCTION("IF(REGEXMATCH(C230, ""M""), ""M2"","""")"),"M2")</f>
        <v>M2</v>
      </c>
      <c r="GW230" s="294" t="str">
        <f>IFERROR(__xludf.DUMMYFUNCTION("IF(REGEXMATCH(C230, ""P""), ""P"","""")"),"P")</f>
        <v>P</v>
      </c>
      <c r="GX230" s="295" t="str">
        <f>IFERROR(__xludf.DUMMYFUNCTION("IF(REGEXMATCH(C230, ""d""), ""D1"","""")"),"")</f>
        <v/>
      </c>
      <c r="GY230" s="294" t="str">
        <f>IFERROR(__xludf.DUMMYFUNCTION("IF(REGEXMATCH(C230, ""D""), ""D2"","""")"),"D2")</f>
        <v>D2</v>
      </c>
      <c r="GZ230" s="294" t="str">
        <f>IFERROR(__xludf.DUMMYFUNCTION("IF(REGEXMATCH(C230, ""n""), ""N2"","""")"),"N2")</f>
        <v>N2</v>
      </c>
      <c r="HA230" s="295" t="str">
        <f>IFERROR(__xludf.DUMMYFUNCTION("IF(REGEXMATCH(C230, ""N""), ""N3"","""")"),"N3")</f>
        <v>N3</v>
      </c>
      <c r="HB230" s="249" t="str">
        <f>IFERROR(__xludf.DUMMYFUNCTION("IF(REGEXMATCH(C230, ""S""), ""S"","""")"),"S")</f>
        <v>S</v>
      </c>
      <c r="HC230" s="331" t="str">
        <f t="shared" si="95"/>
        <v>S</v>
      </c>
      <c r="HD230" s="332" t="str">
        <f t="shared" si="96"/>
        <v>r</v>
      </c>
      <c r="HE230" s="332" t="str">
        <f t="shared" si="97"/>
        <v>R</v>
      </c>
      <c r="HF230" s="332" t="str">
        <f t="shared" si="98"/>
        <v>g</v>
      </c>
      <c r="HG230" s="332" t="str">
        <f t="shared" si="99"/>
        <v/>
      </c>
      <c r="HH230" s="332" t="str">
        <f t="shared" si="100"/>
        <v>m</v>
      </c>
      <c r="HI230" s="332" t="str">
        <f t="shared" si="101"/>
        <v>M</v>
      </c>
      <c r="HJ230" s="332" t="str">
        <f t="shared" si="102"/>
        <v>P</v>
      </c>
      <c r="HK230" s="332" t="str">
        <f t="shared" si="103"/>
        <v>d</v>
      </c>
      <c r="HL230" s="332" t="str">
        <f t="shared" si="104"/>
        <v/>
      </c>
      <c r="HM230" s="332" t="str">
        <f t="shared" si="105"/>
        <v>n</v>
      </c>
      <c r="HN230" s="332" t="str">
        <f t="shared" si="106"/>
        <v/>
      </c>
      <c r="HO230" s="343" t="str">
        <f t="shared" si="107"/>
        <v>S</v>
      </c>
      <c r="HP230" s="331" t="str">
        <f t="shared" si="108"/>
        <v>o</v>
      </c>
      <c r="HQ230" s="332" t="str">
        <f t="shared" si="109"/>
        <v>•</v>
      </c>
      <c r="HR230" s="332" t="str">
        <f t="shared" si="110"/>
        <v>o</v>
      </c>
      <c r="HS230" s="332" t="str">
        <f t="shared" si="111"/>
        <v>•</v>
      </c>
      <c r="HT230" s="332" t="str">
        <f t="shared" si="112"/>
        <v>o</v>
      </c>
      <c r="HU230" s="332" t="str">
        <f t="shared" si="113"/>
        <v>o</v>
      </c>
      <c r="HV230" s="332" t="str">
        <f t="shared" si="114"/>
        <v>o</v>
      </c>
      <c r="HW230" s="332" t="str">
        <f t="shared" si="115"/>
        <v>o</v>
      </c>
      <c r="HX230" s="332" t="str">
        <f t="shared" si="116"/>
        <v>•</v>
      </c>
      <c r="HY230" s="332" t="str">
        <f t="shared" si="117"/>
        <v>o</v>
      </c>
      <c r="HZ230" s="332" t="str">
        <f t="shared" si="118"/>
        <v>o</v>
      </c>
      <c r="IA230" s="332" t="str">
        <f t="shared" si="119"/>
        <v>o</v>
      </c>
      <c r="IB230" s="338" t="str">
        <f t="shared" si="120"/>
        <v>o</v>
      </c>
      <c r="IC230" s="331" t="str">
        <f t="shared" si="121"/>
        <v>•</v>
      </c>
      <c r="ID230" s="332" t="str">
        <f t="shared" si="122"/>
        <v>o</v>
      </c>
      <c r="IE230" s="332" t="str">
        <f t="shared" si="123"/>
        <v>•</v>
      </c>
      <c r="IF230" s="332" t="str">
        <f t="shared" si="124"/>
        <v>o</v>
      </c>
      <c r="IG230" s="332" t="str">
        <f t="shared" si="125"/>
        <v>•</v>
      </c>
      <c r="IH230" s="332" t="str">
        <f t="shared" si="126"/>
        <v>•</v>
      </c>
      <c r="II230" s="332" t="str">
        <f t="shared" si="127"/>
        <v>•</v>
      </c>
      <c r="IJ230" s="332" t="str">
        <f t="shared" si="128"/>
        <v>•</v>
      </c>
      <c r="IK230" s="332" t="str">
        <f t="shared" si="129"/>
        <v>o</v>
      </c>
      <c r="IL230" s="332" t="str">
        <f t="shared" si="130"/>
        <v>•</v>
      </c>
      <c r="IM230" s="332" t="str">
        <f t="shared" si="131"/>
        <v>•</v>
      </c>
      <c r="IN230" s="332" t="str">
        <f t="shared" si="132"/>
        <v>•</v>
      </c>
      <c r="IO230" s="338" t="str">
        <f t="shared" si="133"/>
        <v>•</v>
      </c>
      <c r="IP230" s="346" t="b">
        <f t="shared" si="134"/>
        <v>0</v>
      </c>
      <c r="IQ230" s="347" t="b">
        <f t="shared" si="135"/>
        <v>0</v>
      </c>
      <c r="IR230" s="347" t="b">
        <f t="shared" si="136"/>
        <v>0</v>
      </c>
      <c r="IS230" s="347" t="b">
        <f t="shared" si="137"/>
        <v>0</v>
      </c>
      <c r="IT230" s="347" t="b">
        <f t="shared" si="138"/>
        <v>0</v>
      </c>
      <c r="IU230" s="347" t="b">
        <f t="shared" si="139"/>
        <v>0</v>
      </c>
      <c r="IV230" s="347" t="b">
        <f t="shared" si="140"/>
        <v>1</v>
      </c>
      <c r="IW230" s="347" t="b">
        <f t="shared" si="141"/>
        <v>0</v>
      </c>
      <c r="IX230" s="347" t="b">
        <f t="shared" si="142"/>
        <v>0</v>
      </c>
      <c r="IY230" s="347" t="b">
        <f t="shared" si="143"/>
        <v>0</v>
      </c>
      <c r="IZ230" s="347" t="b">
        <f t="shared" si="144"/>
        <v>0</v>
      </c>
      <c r="JA230" s="347" t="b">
        <f t="shared" si="145"/>
        <v>0</v>
      </c>
      <c r="JB230" s="353" t="b">
        <f t="shared" si="146"/>
        <v>0</v>
      </c>
      <c r="JC230" s="354" t="str">
        <f t="shared" si="147"/>
        <v/>
      </c>
      <c r="JD230" s="355" t="str">
        <f t="shared" si="148"/>
        <v/>
      </c>
      <c r="JE230" s="355" t="str">
        <f t="shared" si="149"/>
        <v/>
      </c>
      <c r="JF230" s="355" t="str">
        <f t="shared" si="150"/>
        <v/>
      </c>
      <c r="JG230" s="355" t="str">
        <f t="shared" si="151"/>
        <v/>
      </c>
      <c r="JH230" s="355" t="str">
        <f t="shared" si="152"/>
        <v/>
      </c>
      <c r="JI230" s="355" t="str">
        <f t="shared" si="153"/>
        <v>Ma, </v>
      </c>
      <c r="JJ230" s="355" t="str">
        <f t="shared" si="154"/>
        <v/>
      </c>
      <c r="JK230" s="355" t="str">
        <f t="shared" si="155"/>
        <v/>
      </c>
      <c r="JL230" s="355" t="str">
        <f t="shared" si="156"/>
        <v/>
      </c>
      <c r="JM230" s="355" t="str">
        <f t="shared" si="157"/>
        <v/>
      </c>
      <c r="JN230" s="355" t="str">
        <f t="shared" si="158"/>
        <v/>
      </c>
      <c r="JO230" s="359" t="str">
        <f t="shared" si="159"/>
        <v/>
      </c>
      <c r="JP230" s="346" t="b">
        <f t="shared" si="160"/>
        <v>0</v>
      </c>
      <c r="JQ230" s="347" t="b">
        <f t="shared" si="161"/>
        <v>0</v>
      </c>
      <c r="JR230" s="347" t="b">
        <f t="shared" si="162"/>
        <v>0</v>
      </c>
      <c r="JS230" s="347" t="b">
        <f t="shared" si="163"/>
        <v>0</v>
      </c>
      <c r="JT230" s="347" t="b">
        <f t="shared" si="164"/>
        <v>0</v>
      </c>
      <c r="JU230" s="347" t="b">
        <f t="shared" si="165"/>
        <v>0</v>
      </c>
      <c r="JV230" s="347" t="b">
        <f t="shared" si="166"/>
        <v>0</v>
      </c>
      <c r="JW230" s="347" t="b">
        <f t="shared" si="167"/>
        <v>0</v>
      </c>
      <c r="JX230" s="347" t="b">
        <f t="shared" si="168"/>
        <v>0</v>
      </c>
      <c r="JY230" s="347" t="b">
        <f t="shared" si="169"/>
        <v>0</v>
      </c>
      <c r="JZ230" s="347" t="b">
        <f t="shared" si="170"/>
        <v>0</v>
      </c>
      <c r="KA230" s="347" t="b">
        <f t="shared" si="171"/>
        <v>0</v>
      </c>
      <c r="KB230" s="365" t="b">
        <f t="shared" si="172"/>
        <v>0</v>
      </c>
      <c r="KC230" s="354" t="str">
        <f t="shared" si="173"/>
        <v/>
      </c>
      <c r="KD230" s="355" t="str">
        <f t="shared" si="174"/>
        <v/>
      </c>
      <c r="KE230" s="355" t="str">
        <f t="shared" si="175"/>
        <v/>
      </c>
      <c r="KF230" s="355" t="str">
        <f t="shared" si="176"/>
        <v/>
      </c>
      <c r="KG230" s="355" t="str">
        <f t="shared" si="177"/>
        <v/>
      </c>
      <c r="KH230" s="355" t="str">
        <f t="shared" si="178"/>
        <v/>
      </c>
      <c r="KI230" s="355" t="str">
        <f t="shared" si="179"/>
        <v/>
      </c>
      <c r="KJ230" s="355" t="str">
        <f t="shared" si="180"/>
        <v/>
      </c>
      <c r="KK230" s="355" t="str">
        <f t="shared" si="181"/>
        <v/>
      </c>
      <c r="KL230" s="355" t="str">
        <f t="shared" si="182"/>
        <v/>
      </c>
      <c r="KM230" s="355" t="str">
        <f t="shared" si="183"/>
        <v/>
      </c>
      <c r="KN230" s="355" t="str">
        <f t="shared" si="184"/>
        <v/>
      </c>
      <c r="KO230" s="359"/>
      <c r="KP230" s="378"/>
      <c r="KQ230" s="379" t="s">
        <v>9</v>
      </c>
      <c r="KR230" s="380" t="s">
        <v>9</v>
      </c>
      <c r="KS230" s="381" t="s">
        <v>9</v>
      </c>
      <c r="KT230" s="382">
        <f t="shared" si="186"/>
        <v>0</v>
      </c>
      <c r="KU230" s="383">
        <f t="shared" si="187"/>
        <v>0</v>
      </c>
      <c r="KV230" s="381" t="str">
        <f t="shared" si="205"/>
        <v>S</v>
      </c>
      <c r="KW230" s="382">
        <f t="shared" si="189"/>
        <v>0</v>
      </c>
      <c r="KX230" s="384">
        <f t="shared" si="190"/>
        <v>0</v>
      </c>
      <c r="KY230" s="382">
        <f t="shared" ref="KY230:KZ230" si="679">KW230-KT230</f>
        <v>0</v>
      </c>
      <c r="KZ230" s="369">
        <f t="shared" si="679"/>
        <v>0</v>
      </c>
      <c r="LA230" s="385" t="str">
        <f t="shared" si="192"/>
        <v>✔</v>
      </c>
      <c r="LB230" s="340" t="str">
        <f>IFERROR(__xludf.DUMMYFUNCTION("JOIN("""",ArrayFormula(MID(KS230,LEN(KS230)-SEQUENCE(1,LEN(KS230))+1,1)))"),"S")</f>
        <v>S</v>
      </c>
      <c r="LC230" s="373" t="str">
        <f>IFERROR(__xludf.DUMMYFUNCTION("JOIN("""",ArrayFormula(MID(KV230,LEN(KV230)-SEQUENCE(1,LEN(KV230))+1,1)))"),"S")</f>
        <v>S</v>
      </c>
      <c r="LD230" s="373" t="str">
        <f t="shared" si="193"/>
        <v>S</v>
      </c>
      <c r="LE230" s="339" t="str">
        <f t="shared" si="194"/>
        <v>S</v>
      </c>
      <c r="LF230" s="386" t="str">
        <f>IFERROR(__xludf.DUMMYFUNCTION("SUBSTITUTE(SUBSTITUTE(CONCATENATE(JOIN("""",LH230:LT230)),""1"",""""),""2"","""")"),"SS")</f>
        <v>SS</v>
      </c>
      <c r="LG230" s="369" t="str">
        <f t="shared" si="195"/>
        <v>-</v>
      </c>
      <c r="LH230" s="387" t="str">
        <f>IFERROR(__xludf.DUMMYFUNCTION("IF(REGEXMATCH(LD230, ""S""), ""S"",IF(REGEXMATCH(LE230, ""S""), ""S"",""""))"),"S")</f>
        <v>S</v>
      </c>
      <c r="LI230" s="299" t="str">
        <f>IFERROR(__xludf.DUMMYFUNCTION("IF(REGEXMATCH(LD230, ""r""), ""r1"",IF(REGEXMATCH(LE230, ""r""), ""r2"",""""))"),"")</f>
        <v/>
      </c>
      <c r="LJ230" s="299" t="str">
        <f>IFERROR(__xludf.DUMMYFUNCTION("IF(REGEXMATCH(LD230, ""R""), ""R1"",IF(REGEXMATCH(LE230, ""R""), ""R2"",""""))"),"")</f>
        <v/>
      </c>
      <c r="LK230" s="299" t="str">
        <f>IFERROR(__xludf.DUMMYFUNCTION("IF(REGEXMATCH(LD230, ""g""), ""g1"",IF(REGEXMATCH(LE230, ""g""), ""g2"",""""))"),"")</f>
        <v/>
      </c>
      <c r="LL230" s="299" t="str">
        <f>IFERROR(__xludf.DUMMYFUNCTION("IF(REGEXMATCH(LD230, ""G""), ""G1"",IF(REGEXMATCH(LE230, ""G""), ""G2"",""""))"),"")</f>
        <v/>
      </c>
      <c r="LM230" s="299" t="str">
        <f>IFERROR(__xludf.DUMMYFUNCTION("IF(REGEXMATCH(LD230, ""m""), ""m1"",IF(REGEXMATCH(LE230, ""m""), ""m2"",""""))"),"")</f>
        <v/>
      </c>
      <c r="LN230" s="299" t="str">
        <f>IFERROR(__xludf.DUMMYFUNCTION("IF(REGEXMATCH(LD230, ""M""), ""M1"",IF(REGEXMATCH(LE230, ""M""), ""M2"",""""))"),"")</f>
        <v/>
      </c>
      <c r="LO230" s="299" t="str">
        <f>IFERROR(__xludf.DUMMYFUNCTION("IF(REGEXMATCH(LD230, ""P""), ""P1"",IF(REGEXMATCH(LE230, ""P""), ""P2"",""""))"),"")</f>
        <v/>
      </c>
      <c r="LP230" s="299" t="str">
        <f>IFERROR(__xludf.DUMMYFUNCTION("IF(REGEXMATCH(LD230, ""d""), ""d1"",IF(REGEXMATCH(LE230, ""d""), ""d2"",""""))"),"")</f>
        <v/>
      </c>
      <c r="LQ230" s="299" t="str">
        <f>IFERROR(__xludf.DUMMYFUNCTION("IF(REGEXMATCH(LD230, ""D""), ""D1"",IF(REGEXMATCH(LE230, ""D""), ""D2"",""""))"),"")</f>
        <v/>
      </c>
      <c r="LR230" s="299" t="str">
        <f>IFERROR(__xludf.DUMMYFUNCTION("IF(REGEXMATCH(LD230, ""n""), ""n1"",IF(REGEXMATCH(LE230, ""n""), ""n2"",""""))"),"")</f>
        <v/>
      </c>
      <c r="LS230" s="299" t="str">
        <f>IFERROR(__xludf.DUMMYFUNCTION("IF(REGEXMATCH(LD230, ""N""), ""N1"",IF(REGEXMATCH(LE230, ""N""), ""N2"",""""))"),"")</f>
        <v/>
      </c>
      <c r="LT230" s="388" t="str">
        <f>IFERROR(__xludf.DUMMYFUNCTION("IF(REGEXMATCH(LD230, ""S""), ""S"",IF(REGEXMATCH(LE230, ""S""), ""S"",""""))"),"S")</f>
        <v>S</v>
      </c>
      <c r="LU230" s="389">
        <f t="shared" si="196"/>
        <v>1</v>
      </c>
      <c r="LV230" s="378"/>
      <c r="LW230" s="369"/>
      <c r="LX230" s="369"/>
    </row>
    <row r="231" ht="18.0" customHeight="1">
      <c r="A231" s="298" t="s">
        <v>1456</v>
      </c>
      <c r="B231" s="222" t="s">
        <v>1056</v>
      </c>
      <c r="C231" s="233" t="str">
        <f t="shared" si="7"/>
        <v>SRgGmPdDnNS</v>
      </c>
      <c r="D231" s="234" t="str">
        <f>IFERROR(__xludf.DUMMYFUNCTION("IF(REGEXMATCH(C231, ""S""), ""S"","""")"),"S")</f>
        <v>S</v>
      </c>
      <c r="E231" s="236" t="str">
        <f>IFERROR(__xludf.DUMMYFUNCTION("IF(REGEXMATCH(C231, ""r""), ""r"","""")"),"")</f>
        <v/>
      </c>
      <c r="F231" s="237" t="str">
        <f>IFERROR(__xludf.DUMMYFUNCTION("IF(REGEXMATCH(C231, ""R""), ""R"","""")"),"R")</f>
        <v>R</v>
      </c>
      <c r="G231" s="237" t="str">
        <f>IFERROR(__xludf.DUMMYFUNCTION("IF(REGEXMATCH(C231, ""g""), ""g"","""")"),"g")</f>
        <v>g</v>
      </c>
      <c r="H231" s="236" t="str">
        <f>IFERROR(__xludf.DUMMYFUNCTION("IF(REGEXMATCH(C231, ""G""), ""G"","""")"),"G")</f>
        <v>G</v>
      </c>
      <c r="I231" s="236" t="str">
        <f>IFERROR(__xludf.DUMMYFUNCTION("IF(REGEXMATCH(C231, ""m""), ""m"","""")"),"m")</f>
        <v>m</v>
      </c>
      <c r="J231" s="237" t="str">
        <f>IFERROR(__xludf.DUMMYFUNCTION("IF(REGEXMATCH(C231, ""M""), ""M"","""")"),"")</f>
        <v/>
      </c>
      <c r="K231" s="236" t="str">
        <f>IFERROR(__xludf.DUMMYFUNCTION("IF(REGEXMATCH(C231, ""P""), ""P"","""")"),"P")</f>
        <v>P</v>
      </c>
      <c r="L231" s="237" t="str">
        <f>IFERROR(__xludf.DUMMYFUNCTION("IF(REGEXMATCH(C231, ""d""), ""d"","""")"),"d")</f>
        <v>d</v>
      </c>
      <c r="M231" s="236" t="str">
        <f>IFERROR(__xludf.DUMMYFUNCTION("IF(REGEXMATCH(C231, ""D""), ""D"","""")"),"D")</f>
        <v>D</v>
      </c>
      <c r="N231" s="236" t="str">
        <f>IFERROR(__xludf.DUMMYFUNCTION("IF(REGEXMATCH(C231, ""n""), ""n"","""")"),"n")</f>
        <v>n</v>
      </c>
      <c r="O231" s="237" t="str">
        <f>IFERROR(__xludf.DUMMYFUNCTION("IF(REGEXMATCH(C231, ""N""), ""N"","""")"),"N")</f>
        <v>N</v>
      </c>
      <c r="P231" s="238" t="str">
        <f>IFERROR(__xludf.DUMMYFUNCTION("IF(REGEXMATCH(C231, ""S""), ""S"","""")"),"S")</f>
        <v>S</v>
      </c>
      <c r="Q231" s="239" t="str">
        <f>IFERROR(__xludf.DUMMYFUNCTION("SUBSTITUTE(CONCATENATE(JOIN(""-"",D231:J231)),""-"","""")"),"SRgGm")</f>
        <v>SRgGm</v>
      </c>
      <c r="R231" s="229" t="str">
        <f>IFERROR(__xludf.DUMMYFUNCTION("SUBSTITUTE(CONCATENATE(JOIN(""-"",K231:P231)),""-"","""")"),"PdDnNS")</f>
        <v>PdDnNS</v>
      </c>
      <c r="S231" s="282" t="str">
        <f t="shared" si="8"/>
        <v>S-R-G-M</v>
      </c>
      <c r="T231" s="282" t="str">
        <f t="shared" si="9"/>
        <v>P-D-N-S</v>
      </c>
      <c r="U231" s="237" t="str">
        <f>IFERROR(__xludf.DUMMYFUNCTION("SUBSTITUTE(JOIN(""-"",S231,T231),""--"",""-"")"),"S-R-G-M-P-D-N-S")</f>
        <v>S-R-G-M-P-D-N-S</v>
      </c>
      <c r="V231" s="309" t="str">
        <f t="shared" si="10"/>
        <v>RgGmdDnN</v>
      </c>
      <c r="W231" s="244" t="str">
        <f>IFERROR(__xludf.DUMMYFUNCTION("IF(REGEXMATCH(C231, ""S""), ""0"","""")"),"0")</f>
        <v>0</v>
      </c>
      <c r="X231" s="245" t="str">
        <f>IFERROR(__xludf.DUMMYFUNCTION("IF(REGEXMATCH(C231, ""r""), ""1"","""")"),"")</f>
        <v/>
      </c>
      <c r="Y231" s="246" t="str">
        <f>IFERROR(__xludf.DUMMYFUNCTION("IF(REGEXMATCH(C231, ""R""), ""2"","""")"),"2")</f>
        <v>2</v>
      </c>
      <c r="Z231" s="246" t="str">
        <f>IFERROR(__xludf.DUMMYFUNCTION("IF(REGEXMATCH(C231, ""g""), ""3"","""")"),"3")</f>
        <v>3</v>
      </c>
      <c r="AA231" s="245" t="str">
        <f>IFERROR(__xludf.DUMMYFUNCTION("IF(REGEXMATCH(C231, ""G""), ""4"","""")"),"4")</f>
        <v>4</v>
      </c>
      <c r="AB231" s="245" t="str">
        <f>IFERROR(__xludf.DUMMYFUNCTION("IF(REGEXMATCH(C231, ""m""), ""5"","""")"),"5")</f>
        <v>5</v>
      </c>
      <c r="AC231" s="246" t="str">
        <f>IFERROR(__xludf.DUMMYFUNCTION("IF(REGEXMATCH(C231, ""M""), ""6"","""")"),"")</f>
        <v/>
      </c>
      <c r="AD231" s="245" t="str">
        <f>IFERROR(__xludf.DUMMYFUNCTION("IF(REGEXMATCH(C231, ""P""), ""7"","""")"),"7")</f>
        <v>7</v>
      </c>
      <c r="AE231" s="246" t="str">
        <f>IFERROR(__xludf.DUMMYFUNCTION("IF(REGEXMATCH(C231, ""d""), ""8"","""")"),"8")</f>
        <v>8</v>
      </c>
      <c r="AF231" s="245" t="str">
        <f>IFERROR(__xludf.DUMMYFUNCTION("IF(REGEXMATCH(C231, ""D""), ""9"","""")"),"9")</f>
        <v>9</v>
      </c>
      <c r="AG231" s="245" t="str">
        <f>IFERROR(__xludf.DUMMYFUNCTION("IF(REGEXMATCH(C231, ""n""), ""10"","""")"),"10")</f>
        <v>10</v>
      </c>
      <c r="AH231" s="246" t="str">
        <f>IFERROR(__xludf.DUMMYFUNCTION("IF(REGEXMATCH(C231, ""N""), ""11"","""")"),"11")</f>
        <v>11</v>
      </c>
      <c r="AI231" s="249" t="str">
        <f>IFERROR(__xludf.DUMMYFUNCTION("IF(REGEXMATCH(C231, ""S""), ""0"","""")"),"0")</f>
        <v>0</v>
      </c>
      <c r="AJ231" s="313" t="str">
        <f t="shared" si="11"/>
        <v>-</v>
      </c>
      <c r="AK231" s="313" t="str">
        <f t="shared" si="12"/>
        <v>-</v>
      </c>
      <c r="AL231" s="313" t="str">
        <f t="shared" si="13"/>
        <v>T</v>
      </c>
      <c r="AM231" s="313" t="str">
        <f t="shared" si="14"/>
        <v>T</v>
      </c>
      <c r="AN231" s="313" t="str">
        <f t="shared" si="15"/>
        <v>T</v>
      </c>
      <c r="AO231" s="314" t="str">
        <f t="shared" si="16"/>
        <v>T</v>
      </c>
      <c r="AP231" s="316">
        <f t="shared" si="17"/>
        <v>4</v>
      </c>
      <c r="AQ231" s="319" t="str">
        <f t="shared" si="18"/>
        <v>-</v>
      </c>
      <c r="AR231" s="320">
        <f t="shared" si="19"/>
        <v>0</v>
      </c>
      <c r="AS231" s="250" t="str">
        <f>IFERROR(__xludf.DUMMYFUNCTION("SUBSTITUTE(SUBSTITUTE(CONCATENATE(JOIN("""",FP231:GA231)),""|"",""x""),""-"",""o"")"),"xoxxxxoxxxxx")</f>
        <v>xoxxxxoxxxxx</v>
      </c>
      <c r="AT231" s="323" t="str">
        <f>IFERROR(__xludf.DUMMYFUNCTION("JOIN("""",AS231,AS231)"),"xoxxxxoxxxxxxoxxxxoxxxxx")</f>
        <v>xoxxxxoxxxxxxoxxxxoxxxxx</v>
      </c>
      <c r="AU231" s="256" t="str">
        <f>IFERROR(__xludf.DUMMYFUNCTION("JOIN("""",ArrayFormula(MID(AS231,LEN(AS231)-SEQUENCE(1,LEN(AS231))+1,1)))"),"xxxxxoxxxxox")</f>
        <v>xxxxxoxxxxox</v>
      </c>
      <c r="AV231" s="256" t="str">
        <f>IFERROR(__xludf.DUMMYFUNCTION("LEFT(CONCATENATE(""x"",JOIN("""",ArrayFormula(MID(AS231,LEN(AS231)-SEQUENCE(1,LEN(AS231))+1,1)))),12)"),"xxxxxxoxxxxo")</f>
        <v>xxxxxxoxxxxo</v>
      </c>
      <c r="AW231" s="327" t="str">
        <f>IFERROR(__xludf.DUMMYFUNCTION("JOIN("""",AU231,AU231)"),"xxxxxoxxxxoxxxxxxoxxxxox")</f>
        <v>xxxxxoxxxxoxxxxxxoxxxxox</v>
      </c>
      <c r="AX231" s="239" t="str">
        <f>IFERROR(__xludf.DUMMYFUNCTION("IF(REGEXMATCH(AW231,AS231),""✔"",""-"")"),"✔")</f>
        <v>✔</v>
      </c>
      <c r="AY231" s="330" t="str">
        <f t="shared" si="20"/>
        <v>-</v>
      </c>
      <c r="AZ231" s="260" t="str">
        <f t="shared" si="21"/>
        <v>#REF!</v>
      </c>
      <c r="BA231" s="333" t="str">
        <f t="shared" si="22"/>
        <v>xoxxxxo</v>
      </c>
      <c r="BB231" s="334" t="str">
        <f t="shared" si="23"/>
        <v>xxxxxx</v>
      </c>
      <c r="BC231" s="335" t="str">
        <f t="shared" si="236"/>
        <v>-</v>
      </c>
      <c r="BD231" s="336" t="str">
        <f t="shared" si="25"/>
        <v>Meerabai Malhar: 'xoxxxxo' + 'xxxxxx'</v>
      </c>
      <c r="BE231" s="337">
        <f>IFERROR(__xludf.DUMMYFUNCTION("COUNTUNIQUE(FILTER(AT:AT,REGEXMATCH(AT:AT,AS231)))-1"),1.0)</f>
        <v>1</v>
      </c>
      <c r="BF231" s="261" t="str">
        <f>IFERROR(__xludf.DUMMYFUNCTION("IF(BI231=0,""(n/a)"",IF(BJ231=2,""(PAIR)"",IF(REGEXMATCH(AT231,""xoxoxxoxoxox""),""Bilawal"",IF(REGEXMATCH(AT231,""xoxoxooxoxoo""),""Bhupali"",IF(REGEXMATCH(AT231,""xoxoxxoxxoxo""),""Charukeshi"",IF(REGEXMATCH(AT231,""xoxoooxxoxxo""),""Kameshwari"",IF(REG"&amp;"EXMATCH(AT231,""xoxoxooxoxox""),""Shankara"",IF(REGEXMATCH(AT231,""xxooxoxxxoox""),""Basant"",IF(REGEXMATCH(AT231,""xoxoxxxxoxox""),""Bihag"",IF(REGEXMATCH(AT231,""xoxxxxoxoxxx""),""Pilu"",IF(REGEXMATCH(AT231,""xoxxoxoxxoox""),""Kirwani"",IF(REGEXMATCH(AT"&amp;"231,""xoxxoxoxoxxx""),""Mk.Malhar"",IF(REGEXMATCH(AT231,""xxooxxoxxoox""),""Bhairav"",IF(REGEXMATCH(AT231,""xxoxooxxxoox""),""Todi"",IF(REGEXMATCH(AT231,""xxooxoxooxox""),""Marwa"",IF(REGEXMATCH(AT231,""xxoooxoxxooo""),""Gunkali"",IF(REGEXMATCH(AT231,""xo"&amp;"xoxxoxxoox""),""Nat Bhairav"",IF(REGEXMATCH(AT231,""xoxxoooxoxoo""),""Shivranjani"",IF(REGEXMATCH(AT231,""xooxxxoxooxo""),""Jog"",IF(REGEXMATCH(AT231,""xxooxoxoxoox""),""Hemshri"",IF(REGEXMATCH(AT231,""xoooxooxoxxo""),""Kalavati"",IF(REGEXMATCH(AT231,""xx"&amp;"oxoxxoxoox""),""Kedar"",IF(REGEXMATCH(AT231,""xoxxxxoxooxx""),""Gara"",IF(REGEXMATCH(AT231,""xooxoxooxoox""),""Chandrakauns"",IF(REGEXMATCH(AT231,""xoxxxxoxxxox""),""Mand"",IF(REGEXMATCH(AT231,""xoxxxxoxoxox""),""Hanskinkini"",IF(REGEXMATCH(AT231,""xxooxx"&amp;"oxooxo""),""Lilavati"",IF(REGEXMATCH(AT231,""xooxoxoooxox""),""Rajeshwari"",IF(REGEXMATCH(AT231,""xoooxxoxoxxx""),""Khokar"",IF(REGEXMATCH(AT231,""xxooxoxxxxox""),""Maligoura"",""-""))))))))))))))))))))))))))))))"),"-")</f>
        <v>-</v>
      </c>
      <c r="BG231" s="239" t="str">
        <f t="shared" si="26"/>
        <v>#REF!</v>
      </c>
      <c r="BH231" s="239">
        <f>IFERROR(__xludf.DUMMYFUNCTION("COUNTUNIQUE(FE231:FO231)-1"),9.0)</f>
        <v>9</v>
      </c>
      <c r="BI231" s="239">
        <f>IFERROR(__xludf.DUMMYFUNCTION("COUNTUNIQUE(FILTER(AT:AT,REGEXMATCH(AT:AT,AS231)))-1"),1.0)</f>
        <v>1</v>
      </c>
      <c r="BJ231" s="239">
        <f>IFERROR(__xludf.DUMMYFUNCTION("COUNTA(FILTER(AT:AT,REGEXMATCH(AT:AT,AS231)))"),4.0)</f>
        <v>4</v>
      </c>
      <c r="BK231" s="341">
        <f>IFERROR(__xludf.DUMMYFUNCTION("COUNTA(FILTER(AT:AT,REGEXMATCH(AT:AT,AS231)))-AR231"),4.0)</f>
        <v>4</v>
      </c>
      <c r="BL231" s="276" t="str">
        <f>IFERROR(__xludf.DUMMYFUNCTION("IF(AS231=""oooooooooooo"",""-"",IF(REGEXMATCH(AT231,""xx""), ""Hemi."", ""Anhemi.""))"),"Hemi.")</f>
        <v>Hemi.</v>
      </c>
      <c r="BM231" s="282" t="str">
        <f>IFERROR(__xludf.DUMMYFUNCTION("IF(AS231=""oooooooooooo"",""-"",IF(REGEXMATCH(AT231,""xxx""), ""Cohem."", ""-""))"),"Cohem.")</f>
        <v>Cohem.</v>
      </c>
      <c r="BN231" s="282" t="str">
        <f>IFERROR(__xludf.DUMMYFUNCTION("IF(AS231=""oooooooooooo"",""-"",IF(REGEXMATCH(AT231,""xxxx""), ""Co-Co."", ""-""))"),"Co-Co.")</f>
        <v>Co-Co.</v>
      </c>
      <c r="BO231" s="342" t="str">
        <f>IFERROR(__xludf.DUMMYFUNCTION("IF(AS231=""oooooooooooo"",""-"",IF(REGEXMATCH(AT231,""xxxxx""), ""CCC."", ""-""))"),"CCC.")</f>
        <v>CCC.</v>
      </c>
      <c r="BP231" s="344" t="str">
        <f t="shared" si="27"/>
        <v>-</v>
      </c>
      <c r="BQ231" s="282" t="str">
        <f>IFERROR(__xludf.DUMMYFUNCTION("IF(REGEXMATCH(JOIN(""-"",EU231:FD231),""TRUE""),""✔"",""-"")"),"-")</f>
        <v>-</v>
      </c>
      <c r="BR231" s="225">
        <f t="shared" si="28"/>
        <v>0</v>
      </c>
      <c r="BS231" s="345" t="str">
        <f>IFERROR(__xludf.DUMMYFUNCTION("SUBSTITUTE(SUBSTITUTE(SUBSTITUTE(SUBSTITUTE(CONCATENATE(JOIN(""-"",GC231:GO231)),""--"",""-""),""--"",""-""),""--"",""-""),""--"",""-"")"),"1-2-b3-3-4-5-b6-6-b7-7-8")</f>
        <v>1-2-b3-3-4-5-b6-6-b7-7-8</v>
      </c>
      <c r="BT231" s="299" t="str">
        <f>IFERROR(__xludf.DUMMYFUNCTION("SUBSTITUTE(SUBSTITUTE(SUBSTITUTE(SUBSTITUTE(CONCATENATE(JOIN(""-"",GP231:HB231)),""--"",""-""),""--"",""-""),""--"",""-""),""--"",""-"")"),"S-R2-G2-G3-M1-P-D1-D2-N2-N3-S")</f>
        <v>S-R2-G2-G3-M1-P-D1-D2-N2-N3-S</v>
      </c>
      <c r="BU231" s="348" t="str">
        <f t="shared" si="29"/>
        <v>C-D-Eb-E-F-G-Ab-A-Bb-B-C</v>
      </c>
      <c r="BV231" s="349" t="str">
        <f t="shared" si="30"/>
        <v>SrMS</v>
      </c>
      <c r="BW231" s="350">
        <f t="shared" si="31"/>
        <v>0</v>
      </c>
      <c r="BX231" s="351">
        <f t="shared" si="32"/>
        <v>2</v>
      </c>
      <c r="BY231" s="392"/>
      <c r="BZ231" s="309" t="str">
        <f>IFERROR(__xludf.DUMMYFUNCTION("IF(REGEXMATCH(C231, ""S""), ""x"",""x"")"),"x")</f>
        <v>x</v>
      </c>
      <c r="CA231" s="245" t="str">
        <f>IFERROR(__xludf.DUMMYFUNCTION("IF(REGEXMATCH(C231, ""r""), ""o"",""x"")"),"x")</f>
        <v>x</v>
      </c>
      <c r="CB231" s="246" t="str">
        <f>IFERROR(__xludf.DUMMYFUNCTION("IF(REGEXMATCH(C231, ""R""), ""o"",""x"")"),"o")</f>
        <v>o</v>
      </c>
      <c r="CC231" s="246" t="str">
        <f>IFERROR(__xludf.DUMMYFUNCTION("IF(REGEXMATCH(C231, ""g""), ""o"",""x"")"),"o")</f>
        <v>o</v>
      </c>
      <c r="CD231" s="245" t="str">
        <f>IFERROR(__xludf.DUMMYFUNCTION("IF(REGEXMATCH(C231, ""G""), ""o"",""x"")"),"o")</f>
        <v>o</v>
      </c>
      <c r="CE231" s="245" t="str">
        <f>IFERROR(__xludf.DUMMYFUNCTION("IF(REGEXMATCH(C231, ""m""), ""o"",""x"")"),"o")</f>
        <v>o</v>
      </c>
      <c r="CF231" s="246" t="str">
        <f>IFERROR(__xludf.DUMMYFUNCTION("IF(REGEXMATCH(C231, ""M""), ""o"",""x"")"),"x")</f>
        <v>x</v>
      </c>
      <c r="CG231" s="245" t="str">
        <f>IFERROR(__xludf.DUMMYFUNCTION("IF(REGEXMATCH(C231, ""P""), ""o"",""x"")"),"o")</f>
        <v>o</v>
      </c>
      <c r="CH231" s="246" t="str">
        <f>IFERROR(__xludf.DUMMYFUNCTION("IF(REGEXMATCH(C231, ""d""), ""o"",""x"")"),"o")</f>
        <v>o</v>
      </c>
      <c r="CI231" s="245" t="str">
        <f>IFERROR(__xludf.DUMMYFUNCTION("IF(REGEXMATCH(C231, ""D""), ""o"",""x"")"),"o")</f>
        <v>o</v>
      </c>
      <c r="CJ231" s="245" t="str">
        <f>IFERROR(__xludf.DUMMYFUNCTION("IF(REGEXMATCH(C231, ""n""), ""o"",""x"")"),"o")</f>
        <v>o</v>
      </c>
      <c r="CK231" s="245" t="str">
        <f>IFERROR(__xludf.DUMMYFUNCTION("IF(REGEXMATCH(C231, ""N""), ""o"",""x"")"),"o")</f>
        <v>o</v>
      </c>
      <c r="CL231" s="356" t="str">
        <f>IFERROR(__xludf.DUMMYFUNCTION("IF(REGEXMATCH(C231, ""S""), ""x"",""x"")"),"x")</f>
        <v>x</v>
      </c>
      <c r="CM231" s="357" t="str">
        <f t="shared" si="33"/>
        <v>xxooooxooooo</v>
      </c>
      <c r="CN231" s="358">
        <f t="shared" si="34"/>
        <v>0</v>
      </c>
      <c r="CO231" s="246" t="str">
        <f>IFERROR(__xludf.DUMMYFUNCTION("IF(REGEXMATCH($C231, ""S""), ""S"",""S"")"),"S")</f>
        <v>S</v>
      </c>
      <c r="CP231" s="246" t="str">
        <f>IFERROR(__xludf.DUMMYFUNCTION("IF(REGEXMATCH($C231, ""r""), """",""r"")"),"r")</f>
        <v>r</v>
      </c>
      <c r="CQ231" s="246" t="str">
        <f>IFERROR(__xludf.DUMMYFUNCTION("IF(REGEXMATCH($C231, ""R""), """",""R"")"),"")</f>
        <v/>
      </c>
      <c r="CR231" s="246" t="str">
        <f>IFERROR(__xludf.DUMMYFUNCTION("IF(REGEXMATCH($C231, ""g""), """",""g"")"),"")</f>
        <v/>
      </c>
      <c r="CS231" s="246" t="str">
        <f>IFERROR(__xludf.DUMMYFUNCTION("IF(REGEXMATCH($C231, ""G""), """",""G"")"),"")</f>
        <v/>
      </c>
      <c r="CT231" s="246" t="str">
        <f>IFERROR(__xludf.DUMMYFUNCTION("IF(REGEXMATCH($C231, ""m""), """",""m"")"),"")</f>
        <v/>
      </c>
      <c r="CU231" s="246" t="str">
        <f>IFERROR(__xludf.DUMMYFUNCTION("IF(REGEXMATCH($C231, ""M""), """",""M"")"),"M")</f>
        <v>M</v>
      </c>
      <c r="CV231" s="246" t="str">
        <f>IFERROR(__xludf.DUMMYFUNCTION("IF(REGEXMATCH($C231, ""P""), """",""P"")"),"")</f>
        <v/>
      </c>
      <c r="CW231" s="246" t="str">
        <f>IFERROR(__xludf.DUMMYFUNCTION("IF(REGEXMATCH($C231, ""d""), """",""d"")"),"")</f>
        <v/>
      </c>
      <c r="CX231" s="246" t="str">
        <f>IFERROR(__xludf.DUMMYFUNCTION("IF(REGEXMATCH($C231, ""D""), """",""D"")"),"")</f>
        <v/>
      </c>
      <c r="CY231" s="246" t="str">
        <f>IFERROR(__xludf.DUMMYFUNCTION("IF(REGEXMATCH($C231, ""n""), """",""n"")"),"")</f>
        <v/>
      </c>
      <c r="CZ231" s="246" t="str">
        <f>IFERROR(__xludf.DUMMYFUNCTION("IF(REGEXMATCH($C231, ""N""), """",""N"")"),"")</f>
        <v/>
      </c>
      <c r="DA231" s="246" t="str">
        <f>IFERROR(__xludf.DUMMYFUNCTION("IF(REGEXMATCH($C231, ""S""), ""S"",""S"")"),"S")</f>
        <v>S</v>
      </c>
      <c r="DB231" s="362" t="str">
        <f>IFERROR(__xludf.DUMMYFUNCTION("JOIN("""",CO231:DA231,"""","""")"),"SrMS")</f>
        <v>SrMS</v>
      </c>
      <c r="DC231" s="363"/>
      <c r="DD231" s="301" t="str">
        <f t="shared" si="35"/>
        <v>#REF!</v>
      </c>
      <c r="DE231" s="302" t="str">
        <f t="shared" si="36"/>
        <v>#REF!</v>
      </c>
      <c r="DF231" s="301" t="str">
        <f t="shared" ref="DF231:DG231" si="680">SUBSTITUTE(S231,"-","")</f>
        <v>SRGM</v>
      </c>
      <c r="DG231" s="301" t="str">
        <f t="shared" si="680"/>
        <v>PDNS</v>
      </c>
      <c r="DH231" s="302" t="str">
        <f t="shared" si="38"/>
        <v>-</v>
      </c>
      <c r="DI231" s="301" t="str">
        <f t="shared" si="39"/>
        <v>Hemi.</v>
      </c>
      <c r="DJ231" s="364" t="str">
        <f t="shared" si="40"/>
        <v>CCC.</v>
      </c>
      <c r="DK231" s="306" t="str">
        <f t="shared" si="41"/>
        <v>-</v>
      </c>
      <c r="DL231" s="366" t="str">
        <f t="shared" si="42"/>
        <v>-</v>
      </c>
      <c r="DM231" s="308" t="str">
        <f t="shared" si="43"/>
        <v>✔</v>
      </c>
      <c r="DN231" s="306" t="str">
        <f t="shared" si="44"/>
        <v>-</v>
      </c>
      <c r="DO231" s="306" t="str">
        <f t="shared" si="45"/>
        <v>-</v>
      </c>
      <c r="DP231" s="367" t="str">
        <f t="shared" si="46"/>
        <v>-</v>
      </c>
      <c r="DQ231" s="310" t="str">
        <f t="shared" si="47"/>
        <v>-</v>
      </c>
      <c r="DR231" s="310" t="str">
        <f t="shared" si="48"/>
        <v>✔</v>
      </c>
      <c r="DS231" s="310" t="str">
        <f t="shared" si="49"/>
        <v>-</v>
      </c>
      <c r="DT231" s="310" t="str">
        <f t="shared" si="50"/>
        <v>✔</v>
      </c>
      <c r="DU231" s="370" t="str">
        <f t="shared" si="51"/>
        <v>✔</v>
      </c>
      <c r="DV231" s="306" t="str">
        <f t="shared" si="52"/>
        <v>-</v>
      </c>
      <c r="DW231" s="306" t="str">
        <f t="shared" si="53"/>
        <v>-</v>
      </c>
      <c r="DX231" s="306" t="str">
        <f t="shared" si="54"/>
        <v>-</v>
      </c>
      <c r="DY231" s="306" t="str">
        <f t="shared" si="55"/>
        <v>-</v>
      </c>
      <c r="DZ231" s="306" t="str">
        <f t="shared" si="56"/>
        <v>-</v>
      </c>
      <c r="EA231" s="367" t="str">
        <f t="shared" si="57"/>
        <v>-</v>
      </c>
      <c r="EB231" s="310" t="str">
        <f>IFERROR(__xludf.DUMMYFUNCTION("IF(REGEXMATCH(AW231,AS231),""✔"",""-"")"),"✔")</f>
        <v>✔</v>
      </c>
      <c r="EC231" s="310" t="str">
        <f t="shared" si="58"/>
        <v>#REF!</v>
      </c>
      <c r="ED231" s="370" t="str">
        <f t="shared" si="59"/>
        <v>-</v>
      </c>
      <c r="EE231" s="340" t="str">
        <f t="shared" si="60"/>
        <v>S-R-gG-m-P-dD-nN-S</v>
      </c>
      <c r="EF231" s="371" t="str">
        <f>IFERROR(__xludf.DUMMYFUNCTION("CONCATENATE(JOIN("""",HC231:HO231))"),"SrRgGmPdDnS")</f>
        <v>SrRgGmPdDnS</v>
      </c>
      <c r="EG231" s="372">
        <f t="shared" si="61"/>
        <v>1</v>
      </c>
      <c r="EH231" s="373" t="str">
        <f>IFERROR(__xludf.DUMMYFUNCTION("CONCATENATE(JOIN("""",JC231:JO231))"),"Ni, ")</f>
        <v>Ni, </v>
      </c>
      <c r="EI231" s="322">
        <f t="shared" si="62"/>
        <v>0</v>
      </c>
      <c r="EJ231" s="374" t="str">
        <f>IFERROR(__xludf.DUMMYFUNCTION("CONCATENATE(JOIN("""",KC231:KO231))"),"")</f>
        <v/>
      </c>
      <c r="EK231" s="325" t="str">
        <f t="shared" si="63"/>
        <v>S-R2-G2-G3-M1-P-D1-D2-N2-N3-S</v>
      </c>
      <c r="EL231" s="326" t="str">
        <f t="shared" si="64"/>
        <v>1-2-b3-3-4-5-b6-6-b7-7-8</v>
      </c>
      <c r="EM231" s="318" t="str">
        <f t="shared" si="65"/>
        <v>#REF!</v>
      </c>
      <c r="EN231" s="328" t="str">
        <f>IFERROR(__xludf.DUMMYFUNCTION("SUBSTITUTE(SUBSTITUTE(SUBSTITUTE(SUBSTITUTE(CONCATENATE(JOIN("" "",HP231:IB231)),""  "","" ""),""  "","" ""),""  "","" ""),""  "","" "")"),"o • o o o o • o o o o o o")</f>
        <v>o • o o o o • o o o o o o</v>
      </c>
      <c r="EO231" s="368" t="str">
        <f t="shared" si="66"/>
        <v>-</v>
      </c>
      <c r="EP231" s="339" t="str">
        <f t="shared" si="67"/>
        <v>-</v>
      </c>
      <c r="EQ231" s="339" t="str">
        <f t="shared" si="68"/>
        <v>Sa-Pa</v>
      </c>
      <c r="ER231" s="339" t="str">
        <f t="shared" si="69"/>
        <v>-</v>
      </c>
      <c r="ES231" s="340" t="str">
        <f t="shared" si="70"/>
        <v>-</v>
      </c>
      <c r="ET231" s="363"/>
      <c r="EU231" s="376" t="b">
        <f>IFERROR(__xludf.DUMMYFUNCTION("arrayformula(sum(--REGEXMATCH(""SRGMPDNS"",split(REGEXREPLACE(C231,""(.)"",""$1~""),""~""))))=len(C231)
"),FALSE)</f>
        <v>0</v>
      </c>
      <c r="EV231" s="290" t="b">
        <f>IFERROR(__xludf.DUMMYFUNCTION("arrayformula(sum(--REGEXMATCH(""SRGmPDNS"",split(REGEXREPLACE(C231,""(.)"",""$1~""),""~""))))=len(C231)"),FALSE)</f>
        <v>0</v>
      </c>
      <c r="EW231" s="290" t="b">
        <f>IFERROR(__xludf.DUMMYFUNCTION("arrayformula(sum(--REGEXMATCH(""SRGmPDnS"",split(REGEXREPLACE(C231,""(.)"",""$1~""),""~""))))=len(C231)"),FALSE)</f>
        <v>0</v>
      </c>
      <c r="EX231" s="290" t="b">
        <f>IFERROR(__xludf.DUMMYFUNCTION("arrayformula(sum(--REGEXMATCH(""SRgmPDnS"",split(REGEXREPLACE(C231,""(.)"",""$1~""),""~""))))=len(C231)"),FALSE)</f>
        <v>0</v>
      </c>
      <c r="EY231" s="290" t="b">
        <f>IFERROR(__xludf.DUMMYFUNCTION("arrayformula(sum(--REGEXMATCH(""SRgmPdnS"",split(REGEXREPLACE(C231,""(.)"",""$1~""),""~""))))=len(C231)"),FALSE)</f>
        <v>0</v>
      </c>
      <c r="EZ231" s="290" t="b">
        <f>IFERROR(__xludf.DUMMYFUNCTION("arrayformula(sum(--REGEXMATCH(""SrgmPdnS"",split(REGEXREPLACE(C231,""(.)"",""$1~""),""~""))))=len(C231)"),FALSE)</f>
        <v>0</v>
      </c>
      <c r="FA231" s="290" t="b">
        <f>IFERROR(__xludf.DUMMYFUNCTION("arrayformula(sum(--REGEXMATCH(""SrGmPdNS"",split(REGEXREPLACE(C231,""(.)"",""$1~""),""~""))))=len(C231)"),FALSE)</f>
        <v>0</v>
      </c>
      <c r="FB231" s="290" t="b">
        <f>IFERROR(__xludf.DUMMYFUNCTION("arrayformula(sum(--REGEXMATCH(""SrGMPDNS"",split(REGEXREPLACE(C231,""(.)"",""$1~""),""~""))))=len(C231)"),FALSE)</f>
        <v>0</v>
      </c>
      <c r="FC231" s="290" t="b">
        <f>IFERROR(__xludf.DUMMYFUNCTION("arrayformula(sum(--REGEXMATCH(""SrGMPdNS"",split(REGEXREPLACE(C231,""(.)"",""$1~""),""~""))))=len(C231)"),FALSE)</f>
        <v>0</v>
      </c>
      <c r="FD231" s="377" t="b">
        <f>IFERROR(__xludf.DUMMYFUNCTION("arrayformula(sum(--REGEXMATCH(""SrgMPdNS"",split(REGEXREPLACE(C231,""(.)"",""$1~""),""~""))))=len(C231)"),FALSE)</f>
        <v>0</v>
      </c>
      <c r="FE231" s="269" t="str">
        <f t="shared" si="71"/>
        <v>-</v>
      </c>
      <c r="FF231" s="269" t="str">
        <f t="shared" si="72"/>
        <v>xxxxoxxxxxx</v>
      </c>
      <c r="FG231" s="271" t="str">
        <f t="shared" si="73"/>
        <v>xxxoxxxxxxo</v>
      </c>
      <c r="FH231" s="269" t="str">
        <f t="shared" si="74"/>
        <v>xxoxxxxxxox</v>
      </c>
      <c r="FI231" s="271" t="str">
        <f t="shared" si="75"/>
        <v>xoxxxxxxoxx</v>
      </c>
      <c r="FJ231" s="271" t="str">
        <f t="shared" si="76"/>
        <v>-</v>
      </c>
      <c r="FK231" s="271" t="str">
        <f t="shared" si="77"/>
        <v>xxxxxxoxxxx</v>
      </c>
      <c r="FL231" s="271" t="str">
        <f t="shared" si="78"/>
        <v>xxxxxoxxxxo</v>
      </c>
      <c r="FM231" s="271" t="str">
        <f t="shared" si="79"/>
        <v>xxxxoxxxxox</v>
      </c>
      <c r="FN231" s="271" t="str">
        <f t="shared" si="80"/>
        <v>xxxoxxxxoxx</v>
      </c>
      <c r="FO231" s="274" t="str">
        <f t="shared" si="81"/>
        <v>xxoxxxxoxxx</v>
      </c>
      <c r="FP231" s="234" t="str">
        <f t="shared" si="82"/>
        <v>|</v>
      </c>
      <c r="FQ231" s="236" t="str">
        <f t="shared" si="83"/>
        <v>-</v>
      </c>
      <c r="FR231" s="237" t="str">
        <f t="shared" si="84"/>
        <v>|</v>
      </c>
      <c r="FS231" s="236" t="str">
        <f t="shared" si="85"/>
        <v>|</v>
      </c>
      <c r="FT231" s="237" t="str">
        <f t="shared" si="86"/>
        <v>|</v>
      </c>
      <c r="FU231" s="236" t="str">
        <f t="shared" si="87"/>
        <v>|</v>
      </c>
      <c r="FV231" s="237" t="str">
        <f t="shared" si="88"/>
        <v>-</v>
      </c>
      <c r="FW231" s="236" t="str">
        <f t="shared" si="89"/>
        <v>|</v>
      </c>
      <c r="FX231" s="237" t="str">
        <f t="shared" si="90"/>
        <v>|</v>
      </c>
      <c r="FY231" s="236" t="str">
        <f t="shared" si="91"/>
        <v>|</v>
      </c>
      <c r="FZ231" s="237" t="str">
        <f t="shared" si="92"/>
        <v>|</v>
      </c>
      <c r="GA231" s="236" t="str">
        <f t="shared" si="93"/>
        <v>|</v>
      </c>
      <c r="GB231" s="238" t="str">
        <f t="shared" si="94"/>
        <v>|</v>
      </c>
      <c r="GC231" s="244" t="str">
        <f>IFERROR(__xludf.DUMMYFUNCTION("IF(REGEXMATCH(C231, ""S""), ""1"","""")"),"1")</f>
        <v>1</v>
      </c>
      <c r="GD231" s="245" t="str">
        <f>IFERROR(__xludf.DUMMYFUNCTION("IF(REGEXMATCH(C231, ""r""), ""b2"","""")"),"")</f>
        <v/>
      </c>
      <c r="GE231" s="246" t="str">
        <f>IFERROR(__xludf.DUMMYFUNCTION("IF(REGEXMATCH(C231, ""R""), ""2"","""")"),"2")</f>
        <v>2</v>
      </c>
      <c r="GF231" s="246" t="str">
        <f>IFERROR(__xludf.DUMMYFUNCTION("IF(REGEXMATCH(C231, ""g""), ""b3"","""")"),"b3")</f>
        <v>b3</v>
      </c>
      <c r="GG231" s="245" t="str">
        <f>IFERROR(__xludf.DUMMYFUNCTION("IF(REGEXMATCH(C231, ""G""), ""3"","""")"),"3")</f>
        <v>3</v>
      </c>
      <c r="GH231" s="245" t="str">
        <f>IFERROR(__xludf.DUMMYFUNCTION("IF(REGEXMATCH(C231, ""m""), ""4"","""")"),"4")</f>
        <v>4</v>
      </c>
      <c r="GI231" s="246" t="str">
        <f>IFERROR(__xludf.DUMMYFUNCTION("IF(REGEXMATCH(C231, ""M""), ""#4"","""")"),"")</f>
        <v/>
      </c>
      <c r="GJ231" s="245" t="str">
        <f>IFERROR(__xludf.DUMMYFUNCTION("IF(REGEXMATCH(C231, ""P""), ""5"","""")"),"5")</f>
        <v>5</v>
      </c>
      <c r="GK231" s="246" t="str">
        <f>IFERROR(__xludf.DUMMYFUNCTION("IF(REGEXMATCH(C231, ""d""), ""b6"","""")"),"b6")</f>
        <v>b6</v>
      </c>
      <c r="GL231" s="245" t="str">
        <f>IFERROR(__xludf.DUMMYFUNCTION("IF(REGEXMATCH(C231, ""D""), ""6"","""")"),"6")</f>
        <v>6</v>
      </c>
      <c r="GM231" s="245" t="str">
        <f>IFERROR(__xludf.DUMMYFUNCTION("IF(REGEXMATCH(C231, ""n""), ""b7"","""")"),"b7")</f>
        <v>b7</v>
      </c>
      <c r="GN231" s="246" t="str">
        <f>IFERROR(__xludf.DUMMYFUNCTION("IF(REGEXMATCH(C231, ""N""), ""7"","""")"),"7")</f>
        <v>7</v>
      </c>
      <c r="GO231" s="249" t="str">
        <f>IFERROR(__xludf.DUMMYFUNCTION("IF(REGEXMATCH(C231, ""S""), ""8"","""")"),"8")</f>
        <v>8</v>
      </c>
      <c r="GP231" s="244" t="str">
        <f>IFERROR(__xludf.DUMMYFUNCTION("IF(REGEXMATCH(C231, ""S""), ""S"","""")"),"S")</f>
        <v>S</v>
      </c>
      <c r="GQ231" s="294" t="str">
        <f>IFERROR(__xludf.DUMMYFUNCTION("IF(REGEXMATCH(C231, ""r""), ""R1"","""")"),"")</f>
        <v/>
      </c>
      <c r="GR231" s="295" t="str">
        <f>IFERROR(__xludf.DUMMYFUNCTION("IF(REGEXMATCH(C231, ""R""), ""R2"","""")"),"R2")</f>
        <v>R2</v>
      </c>
      <c r="GS231" s="295" t="str">
        <f>IFERROR(__xludf.DUMMYFUNCTION("IF(REGEXMATCH(C231, ""g""), ""G2"","""")"),"G2")</f>
        <v>G2</v>
      </c>
      <c r="GT231" s="294" t="str">
        <f>IFERROR(__xludf.DUMMYFUNCTION("IF(REGEXMATCH(C231, ""G""), ""G3"","""")"),"G3")</f>
        <v>G3</v>
      </c>
      <c r="GU231" s="294" t="str">
        <f>IFERROR(__xludf.DUMMYFUNCTION("IF(REGEXMATCH(C231, ""m""), ""M1"","""")"),"M1")</f>
        <v>M1</v>
      </c>
      <c r="GV231" s="295" t="str">
        <f>IFERROR(__xludf.DUMMYFUNCTION("IF(REGEXMATCH(C231, ""M""), ""M2"","""")"),"")</f>
        <v/>
      </c>
      <c r="GW231" s="294" t="str">
        <f>IFERROR(__xludf.DUMMYFUNCTION("IF(REGEXMATCH(C231, ""P""), ""P"","""")"),"P")</f>
        <v>P</v>
      </c>
      <c r="GX231" s="295" t="str">
        <f>IFERROR(__xludf.DUMMYFUNCTION("IF(REGEXMATCH(C231, ""d""), ""D1"","""")"),"D1")</f>
        <v>D1</v>
      </c>
      <c r="GY231" s="294" t="str">
        <f>IFERROR(__xludf.DUMMYFUNCTION("IF(REGEXMATCH(C231, ""D""), ""D2"","""")"),"D2")</f>
        <v>D2</v>
      </c>
      <c r="GZ231" s="294" t="str">
        <f>IFERROR(__xludf.DUMMYFUNCTION("IF(REGEXMATCH(C231, ""n""), ""N2"","""")"),"N2")</f>
        <v>N2</v>
      </c>
      <c r="HA231" s="295" t="str">
        <f>IFERROR(__xludf.DUMMYFUNCTION("IF(REGEXMATCH(C231, ""N""), ""N3"","""")"),"N3")</f>
        <v>N3</v>
      </c>
      <c r="HB231" s="249" t="str">
        <f>IFERROR(__xludf.DUMMYFUNCTION("IF(REGEXMATCH(C231, ""S""), ""S"","""")"),"S")</f>
        <v>S</v>
      </c>
      <c r="HC231" s="331" t="str">
        <f t="shared" si="95"/>
        <v>S</v>
      </c>
      <c r="HD231" s="332" t="str">
        <f t="shared" si="96"/>
        <v>r</v>
      </c>
      <c r="HE231" s="332" t="str">
        <f t="shared" si="97"/>
        <v>R</v>
      </c>
      <c r="HF231" s="332" t="str">
        <f t="shared" si="98"/>
        <v>g</v>
      </c>
      <c r="HG231" s="332" t="str">
        <f t="shared" si="99"/>
        <v>G</v>
      </c>
      <c r="HH231" s="332" t="str">
        <f t="shared" si="100"/>
        <v>m</v>
      </c>
      <c r="HI231" s="332" t="str">
        <f t="shared" si="101"/>
        <v/>
      </c>
      <c r="HJ231" s="332" t="str">
        <f t="shared" si="102"/>
        <v>P</v>
      </c>
      <c r="HK231" s="332" t="str">
        <f t="shared" si="103"/>
        <v>d</v>
      </c>
      <c r="HL231" s="332" t="str">
        <f t="shared" si="104"/>
        <v>D</v>
      </c>
      <c r="HM231" s="332" t="str">
        <f t="shared" si="105"/>
        <v>n</v>
      </c>
      <c r="HN231" s="332" t="str">
        <f t="shared" si="106"/>
        <v/>
      </c>
      <c r="HO231" s="343" t="str">
        <f t="shared" si="107"/>
        <v>S</v>
      </c>
      <c r="HP231" s="331" t="str">
        <f t="shared" si="108"/>
        <v>o</v>
      </c>
      <c r="HQ231" s="332" t="str">
        <f t="shared" si="109"/>
        <v>•</v>
      </c>
      <c r="HR231" s="332" t="str">
        <f t="shared" si="110"/>
        <v>o</v>
      </c>
      <c r="HS231" s="332" t="str">
        <f t="shared" si="111"/>
        <v>o</v>
      </c>
      <c r="HT231" s="332" t="str">
        <f t="shared" si="112"/>
        <v>o</v>
      </c>
      <c r="HU231" s="332" t="str">
        <f t="shared" si="113"/>
        <v>o</v>
      </c>
      <c r="HV231" s="332" t="str">
        <f t="shared" si="114"/>
        <v>•</v>
      </c>
      <c r="HW231" s="332" t="str">
        <f t="shared" si="115"/>
        <v>o</v>
      </c>
      <c r="HX231" s="332" t="str">
        <f t="shared" si="116"/>
        <v>o</v>
      </c>
      <c r="HY231" s="332" t="str">
        <f t="shared" si="117"/>
        <v>o</v>
      </c>
      <c r="HZ231" s="332" t="str">
        <f t="shared" si="118"/>
        <v>o</v>
      </c>
      <c r="IA231" s="332" t="str">
        <f t="shared" si="119"/>
        <v>o</v>
      </c>
      <c r="IB231" s="338" t="str">
        <f t="shared" si="120"/>
        <v>o</v>
      </c>
      <c r="IC231" s="331" t="str">
        <f t="shared" si="121"/>
        <v>•</v>
      </c>
      <c r="ID231" s="332" t="str">
        <f t="shared" si="122"/>
        <v>o</v>
      </c>
      <c r="IE231" s="332" t="str">
        <f t="shared" si="123"/>
        <v>•</v>
      </c>
      <c r="IF231" s="332" t="str">
        <f t="shared" si="124"/>
        <v>•</v>
      </c>
      <c r="IG231" s="332" t="str">
        <f t="shared" si="125"/>
        <v>•</v>
      </c>
      <c r="IH231" s="332" t="str">
        <f t="shared" si="126"/>
        <v>•</v>
      </c>
      <c r="II231" s="332" t="str">
        <f t="shared" si="127"/>
        <v>o</v>
      </c>
      <c r="IJ231" s="332" t="str">
        <f t="shared" si="128"/>
        <v>•</v>
      </c>
      <c r="IK231" s="332" t="str">
        <f t="shared" si="129"/>
        <v>•</v>
      </c>
      <c r="IL231" s="332" t="str">
        <f t="shared" si="130"/>
        <v>•</v>
      </c>
      <c r="IM231" s="332" t="str">
        <f t="shared" si="131"/>
        <v>•</v>
      </c>
      <c r="IN231" s="332" t="str">
        <f t="shared" si="132"/>
        <v>•</v>
      </c>
      <c r="IO231" s="338" t="str">
        <f t="shared" si="133"/>
        <v>•</v>
      </c>
      <c r="IP231" s="346" t="b">
        <f t="shared" si="134"/>
        <v>0</v>
      </c>
      <c r="IQ231" s="347" t="b">
        <f t="shared" si="135"/>
        <v>0</v>
      </c>
      <c r="IR231" s="347" t="b">
        <f t="shared" si="136"/>
        <v>0</v>
      </c>
      <c r="IS231" s="347" t="b">
        <f t="shared" si="137"/>
        <v>0</v>
      </c>
      <c r="IT231" s="347" t="b">
        <f t="shared" si="138"/>
        <v>0</v>
      </c>
      <c r="IU231" s="347" t="b">
        <f t="shared" si="139"/>
        <v>0</v>
      </c>
      <c r="IV231" s="347" t="b">
        <f t="shared" si="140"/>
        <v>0</v>
      </c>
      <c r="IW231" s="347" t="b">
        <f t="shared" si="141"/>
        <v>0</v>
      </c>
      <c r="IX231" s="347" t="b">
        <f t="shared" si="142"/>
        <v>0</v>
      </c>
      <c r="IY231" s="347" t="b">
        <f t="shared" si="143"/>
        <v>0</v>
      </c>
      <c r="IZ231" s="347" t="b">
        <f t="shared" si="144"/>
        <v>0</v>
      </c>
      <c r="JA231" s="347" t="b">
        <f t="shared" si="145"/>
        <v>1</v>
      </c>
      <c r="JB231" s="353" t="b">
        <f t="shared" si="146"/>
        <v>0</v>
      </c>
      <c r="JC231" s="354" t="str">
        <f t="shared" si="147"/>
        <v/>
      </c>
      <c r="JD231" s="355" t="str">
        <f t="shared" si="148"/>
        <v/>
      </c>
      <c r="JE231" s="355" t="str">
        <f t="shared" si="149"/>
        <v/>
      </c>
      <c r="JF231" s="355" t="str">
        <f t="shared" si="150"/>
        <v/>
      </c>
      <c r="JG231" s="355" t="str">
        <f t="shared" si="151"/>
        <v/>
      </c>
      <c r="JH231" s="355" t="str">
        <f t="shared" si="152"/>
        <v/>
      </c>
      <c r="JI231" s="355" t="str">
        <f t="shared" si="153"/>
        <v/>
      </c>
      <c r="JJ231" s="355" t="str">
        <f t="shared" si="154"/>
        <v/>
      </c>
      <c r="JK231" s="355" t="str">
        <f t="shared" si="155"/>
        <v/>
      </c>
      <c r="JL231" s="355" t="str">
        <f t="shared" si="156"/>
        <v/>
      </c>
      <c r="JM231" s="355" t="str">
        <f t="shared" si="157"/>
        <v/>
      </c>
      <c r="JN231" s="355" t="str">
        <f t="shared" si="158"/>
        <v>Ni, </v>
      </c>
      <c r="JO231" s="359" t="str">
        <f t="shared" si="159"/>
        <v/>
      </c>
      <c r="JP231" s="346" t="b">
        <f t="shared" si="160"/>
        <v>0</v>
      </c>
      <c r="JQ231" s="347" t="b">
        <f t="shared" si="161"/>
        <v>0</v>
      </c>
      <c r="JR231" s="347" t="b">
        <f t="shared" si="162"/>
        <v>0</v>
      </c>
      <c r="JS231" s="347" t="b">
        <f t="shared" si="163"/>
        <v>0</v>
      </c>
      <c r="JT231" s="347" t="b">
        <f t="shared" si="164"/>
        <v>0</v>
      </c>
      <c r="JU231" s="347" t="b">
        <f t="shared" si="165"/>
        <v>0</v>
      </c>
      <c r="JV231" s="347" t="b">
        <f t="shared" si="166"/>
        <v>0</v>
      </c>
      <c r="JW231" s="347" t="b">
        <f t="shared" si="167"/>
        <v>0</v>
      </c>
      <c r="JX231" s="347" t="b">
        <f t="shared" si="168"/>
        <v>0</v>
      </c>
      <c r="JY231" s="347" t="b">
        <f t="shared" si="169"/>
        <v>0</v>
      </c>
      <c r="JZ231" s="347" t="b">
        <f t="shared" si="170"/>
        <v>0</v>
      </c>
      <c r="KA231" s="347" t="b">
        <f t="shared" si="171"/>
        <v>0</v>
      </c>
      <c r="KB231" s="365" t="b">
        <f t="shared" si="172"/>
        <v>0</v>
      </c>
      <c r="KC231" s="354" t="str">
        <f t="shared" si="173"/>
        <v/>
      </c>
      <c r="KD231" s="355" t="str">
        <f t="shared" si="174"/>
        <v/>
      </c>
      <c r="KE231" s="355" t="str">
        <f t="shared" si="175"/>
        <v/>
      </c>
      <c r="KF231" s="355" t="str">
        <f t="shared" si="176"/>
        <v/>
      </c>
      <c r="KG231" s="355" t="str">
        <f t="shared" si="177"/>
        <v/>
      </c>
      <c r="KH231" s="355" t="str">
        <f t="shared" si="178"/>
        <v/>
      </c>
      <c r="KI231" s="355" t="str">
        <f t="shared" si="179"/>
        <v/>
      </c>
      <c r="KJ231" s="355" t="str">
        <f t="shared" si="180"/>
        <v/>
      </c>
      <c r="KK231" s="355" t="str">
        <f t="shared" si="181"/>
        <v/>
      </c>
      <c r="KL231" s="355" t="str">
        <f t="shared" si="182"/>
        <v/>
      </c>
      <c r="KM231" s="355" t="str">
        <f t="shared" si="183"/>
        <v/>
      </c>
      <c r="KN231" s="355" t="str">
        <f t="shared" si="184"/>
        <v/>
      </c>
      <c r="KO231" s="359"/>
      <c r="KP231" s="378"/>
      <c r="KQ231" s="379" t="s">
        <v>9</v>
      </c>
      <c r="KR231" s="380" t="s">
        <v>9</v>
      </c>
      <c r="KS231" s="381" t="s">
        <v>9</v>
      </c>
      <c r="KT231" s="382">
        <f t="shared" si="186"/>
        <v>0</v>
      </c>
      <c r="KU231" s="383">
        <f t="shared" si="187"/>
        <v>0</v>
      </c>
      <c r="KV231" s="381" t="str">
        <f t="shared" si="205"/>
        <v>S</v>
      </c>
      <c r="KW231" s="382">
        <f t="shared" si="189"/>
        <v>0</v>
      </c>
      <c r="KX231" s="384">
        <f t="shared" si="190"/>
        <v>0</v>
      </c>
      <c r="KY231" s="382">
        <f t="shared" ref="KY231:KZ231" si="681">KW231-KT231</f>
        <v>0</v>
      </c>
      <c r="KZ231" s="369">
        <f t="shared" si="681"/>
        <v>0</v>
      </c>
      <c r="LA231" s="385" t="str">
        <f t="shared" si="192"/>
        <v>✔</v>
      </c>
      <c r="LB231" s="340" t="str">
        <f>IFERROR(__xludf.DUMMYFUNCTION("JOIN("""",ArrayFormula(MID(KS231,LEN(KS231)-SEQUENCE(1,LEN(KS231))+1,1)))"),"S")</f>
        <v>S</v>
      </c>
      <c r="LC231" s="373" t="str">
        <f>IFERROR(__xludf.DUMMYFUNCTION("JOIN("""",ArrayFormula(MID(KV231,LEN(KV231)-SEQUENCE(1,LEN(KV231))+1,1)))"),"S")</f>
        <v>S</v>
      </c>
      <c r="LD231" s="373" t="str">
        <f t="shared" si="193"/>
        <v>S</v>
      </c>
      <c r="LE231" s="339" t="str">
        <f t="shared" si="194"/>
        <v>S</v>
      </c>
      <c r="LF231" s="386" t="str">
        <f>IFERROR(__xludf.DUMMYFUNCTION("SUBSTITUTE(SUBSTITUTE(CONCATENATE(JOIN("""",LH231:LT231)),""1"",""""),""2"","""")"),"SS")</f>
        <v>SS</v>
      </c>
      <c r="LG231" s="369" t="str">
        <f t="shared" si="195"/>
        <v>-</v>
      </c>
      <c r="LH231" s="387" t="str">
        <f>IFERROR(__xludf.DUMMYFUNCTION("IF(REGEXMATCH(LD231, ""S""), ""S"",IF(REGEXMATCH(LE231, ""S""), ""S"",""""))"),"S")</f>
        <v>S</v>
      </c>
      <c r="LI231" s="299" t="str">
        <f>IFERROR(__xludf.DUMMYFUNCTION("IF(REGEXMATCH(LD231, ""r""), ""r1"",IF(REGEXMATCH(LE231, ""r""), ""r2"",""""))"),"")</f>
        <v/>
      </c>
      <c r="LJ231" s="299" t="str">
        <f>IFERROR(__xludf.DUMMYFUNCTION("IF(REGEXMATCH(LD231, ""R""), ""R1"",IF(REGEXMATCH(LE231, ""R""), ""R2"",""""))"),"")</f>
        <v/>
      </c>
      <c r="LK231" s="299" t="str">
        <f>IFERROR(__xludf.DUMMYFUNCTION("IF(REGEXMATCH(LD231, ""g""), ""g1"",IF(REGEXMATCH(LE231, ""g""), ""g2"",""""))"),"")</f>
        <v/>
      </c>
      <c r="LL231" s="299" t="str">
        <f>IFERROR(__xludf.DUMMYFUNCTION("IF(REGEXMATCH(LD231, ""G""), ""G1"",IF(REGEXMATCH(LE231, ""G""), ""G2"",""""))"),"")</f>
        <v/>
      </c>
      <c r="LM231" s="299" t="str">
        <f>IFERROR(__xludf.DUMMYFUNCTION("IF(REGEXMATCH(LD231, ""m""), ""m1"",IF(REGEXMATCH(LE231, ""m""), ""m2"",""""))"),"")</f>
        <v/>
      </c>
      <c r="LN231" s="299" t="str">
        <f>IFERROR(__xludf.DUMMYFUNCTION("IF(REGEXMATCH(LD231, ""M""), ""M1"",IF(REGEXMATCH(LE231, ""M""), ""M2"",""""))"),"")</f>
        <v/>
      </c>
      <c r="LO231" s="299" t="str">
        <f>IFERROR(__xludf.DUMMYFUNCTION("IF(REGEXMATCH(LD231, ""P""), ""P1"",IF(REGEXMATCH(LE231, ""P""), ""P2"",""""))"),"")</f>
        <v/>
      </c>
      <c r="LP231" s="299" t="str">
        <f>IFERROR(__xludf.DUMMYFUNCTION("IF(REGEXMATCH(LD231, ""d""), ""d1"",IF(REGEXMATCH(LE231, ""d""), ""d2"",""""))"),"")</f>
        <v/>
      </c>
      <c r="LQ231" s="299" t="str">
        <f>IFERROR(__xludf.DUMMYFUNCTION("IF(REGEXMATCH(LD231, ""D""), ""D1"",IF(REGEXMATCH(LE231, ""D""), ""D2"",""""))"),"")</f>
        <v/>
      </c>
      <c r="LR231" s="299" t="str">
        <f>IFERROR(__xludf.DUMMYFUNCTION("IF(REGEXMATCH(LD231, ""n""), ""n1"",IF(REGEXMATCH(LE231, ""n""), ""n2"",""""))"),"")</f>
        <v/>
      </c>
      <c r="LS231" s="299" t="str">
        <f>IFERROR(__xludf.DUMMYFUNCTION("IF(REGEXMATCH(LD231, ""N""), ""N1"",IF(REGEXMATCH(LE231, ""N""), ""N2"",""""))"),"")</f>
        <v/>
      </c>
      <c r="LT231" s="388" t="str">
        <f>IFERROR(__xludf.DUMMYFUNCTION("IF(REGEXMATCH(LD231, ""S""), ""S"",IF(REGEXMATCH(LE231, ""S""), ""S"",""""))"),"S")</f>
        <v>S</v>
      </c>
      <c r="LU231" s="389">
        <f t="shared" si="196"/>
        <v>1</v>
      </c>
      <c r="LV231" s="378"/>
      <c r="LW231" s="369"/>
      <c r="LX231" s="369"/>
    </row>
    <row r="232" ht="18.0" customHeight="1">
      <c r="A232" s="298" t="s">
        <v>985</v>
      </c>
      <c r="B232" s="222" t="s">
        <v>929</v>
      </c>
      <c r="C232" s="233" t="str">
        <f t="shared" si="7"/>
        <v>SRmPnS</v>
      </c>
      <c r="D232" s="234" t="str">
        <f>IFERROR(__xludf.DUMMYFUNCTION("IF(REGEXMATCH(C232, ""S""), ""S"","""")"),"S")</f>
        <v>S</v>
      </c>
      <c r="E232" s="236" t="str">
        <f>IFERROR(__xludf.DUMMYFUNCTION("IF(REGEXMATCH(C232, ""r""), ""r"","""")"),"")</f>
        <v/>
      </c>
      <c r="F232" s="237" t="str">
        <f>IFERROR(__xludf.DUMMYFUNCTION("IF(REGEXMATCH(C232, ""R""), ""R"","""")"),"R")</f>
        <v>R</v>
      </c>
      <c r="G232" s="237" t="str">
        <f>IFERROR(__xludf.DUMMYFUNCTION("IF(REGEXMATCH(C232, ""g""), ""g"","""")"),"")</f>
        <v/>
      </c>
      <c r="H232" s="236" t="str">
        <f>IFERROR(__xludf.DUMMYFUNCTION("IF(REGEXMATCH(C232, ""G""), ""G"","""")"),"")</f>
        <v/>
      </c>
      <c r="I232" s="236" t="str">
        <f>IFERROR(__xludf.DUMMYFUNCTION("IF(REGEXMATCH(C232, ""m""), ""m"","""")"),"m")</f>
        <v>m</v>
      </c>
      <c r="J232" s="237" t="str">
        <f>IFERROR(__xludf.DUMMYFUNCTION("IF(REGEXMATCH(C232, ""M""), ""M"","""")"),"")</f>
        <v/>
      </c>
      <c r="K232" s="236" t="str">
        <f>IFERROR(__xludf.DUMMYFUNCTION("IF(REGEXMATCH(C232, ""P""), ""P"","""")"),"P")</f>
        <v>P</v>
      </c>
      <c r="L232" s="237" t="str">
        <f>IFERROR(__xludf.DUMMYFUNCTION("IF(REGEXMATCH(C232, ""d""), ""d"","""")"),"")</f>
        <v/>
      </c>
      <c r="M232" s="236" t="str">
        <f>IFERROR(__xludf.DUMMYFUNCTION("IF(REGEXMATCH(C232, ""D""), ""D"","""")"),"")</f>
        <v/>
      </c>
      <c r="N232" s="236" t="str">
        <f>IFERROR(__xludf.DUMMYFUNCTION("IF(REGEXMATCH(C232, ""n""), ""n"","""")"),"n")</f>
        <v>n</v>
      </c>
      <c r="O232" s="237" t="str">
        <f>IFERROR(__xludf.DUMMYFUNCTION("IF(REGEXMATCH(C232, ""N""), ""N"","""")"),"")</f>
        <v/>
      </c>
      <c r="P232" s="238" t="str">
        <f>IFERROR(__xludf.DUMMYFUNCTION("IF(REGEXMATCH(C232, ""S""), ""S"","""")"),"S")</f>
        <v>S</v>
      </c>
      <c r="Q232" s="239" t="str">
        <f>IFERROR(__xludf.DUMMYFUNCTION("SUBSTITUTE(CONCATENATE(JOIN(""-"",D232:J232)),""-"","""")"),"SRm")</f>
        <v>SRm</v>
      </c>
      <c r="R232" s="229" t="str">
        <f>IFERROR(__xludf.DUMMYFUNCTION("SUBSTITUTE(CONCATENATE(JOIN(""-"",K232:P232)),""-"","""")"),"PnS")</f>
        <v>PnS</v>
      </c>
      <c r="S232" s="282" t="str">
        <f t="shared" si="8"/>
        <v>S-R-M</v>
      </c>
      <c r="T232" s="282" t="str">
        <f t="shared" si="9"/>
        <v>P-N-S</v>
      </c>
      <c r="U232" s="237" t="str">
        <f>IFERROR(__xludf.DUMMYFUNCTION("SUBSTITUTE(JOIN(""-"",S232,T232),""--"",""-"")"),"S-R-M-P-N-S")</f>
        <v>S-R-M-P-N-S</v>
      </c>
      <c r="V232" s="309" t="str">
        <f t="shared" si="10"/>
        <v>Rmn</v>
      </c>
      <c r="W232" s="244" t="str">
        <f>IFERROR(__xludf.DUMMYFUNCTION("IF(REGEXMATCH(C232, ""S""), ""0"","""")"),"0")</f>
        <v>0</v>
      </c>
      <c r="X232" s="245" t="str">
        <f>IFERROR(__xludf.DUMMYFUNCTION("IF(REGEXMATCH(C232, ""r""), ""1"","""")"),"")</f>
        <v/>
      </c>
      <c r="Y232" s="246" t="str">
        <f>IFERROR(__xludf.DUMMYFUNCTION("IF(REGEXMATCH(C232, ""R""), ""2"","""")"),"2")</f>
        <v>2</v>
      </c>
      <c r="Z232" s="246" t="str">
        <f>IFERROR(__xludf.DUMMYFUNCTION("IF(REGEXMATCH(C232, ""g""), ""3"","""")"),"")</f>
        <v/>
      </c>
      <c r="AA232" s="245" t="str">
        <f>IFERROR(__xludf.DUMMYFUNCTION("IF(REGEXMATCH(C232, ""G""), ""4"","""")"),"")</f>
        <v/>
      </c>
      <c r="AB232" s="245" t="str">
        <f>IFERROR(__xludf.DUMMYFUNCTION("IF(REGEXMATCH(C232, ""m""), ""5"","""")"),"5")</f>
        <v>5</v>
      </c>
      <c r="AC232" s="246" t="str">
        <f>IFERROR(__xludf.DUMMYFUNCTION("IF(REGEXMATCH(C232, ""M""), ""6"","""")"),"")</f>
        <v/>
      </c>
      <c r="AD232" s="245" t="str">
        <f>IFERROR(__xludf.DUMMYFUNCTION("IF(REGEXMATCH(C232, ""P""), ""7"","""")"),"7")</f>
        <v>7</v>
      </c>
      <c r="AE232" s="246" t="str">
        <f>IFERROR(__xludf.DUMMYFUNCTION("IF(REGEXMATCH(C232, ""d""), ""8"","""")"),"")</f>
        <v/>
      </c>
      <c r="AF232" s="245" t="str">
        <f>IFERROR(__xludf.DUMMYFUNCTION("IF(REGEXMATCH(C232, ""D""), ""9"","""")"),"")</f>
        <v/>
      </c>
      <c r="AG232" s="245" t="str">
        <f>IFERROR(__xludf.DUMMYFUNCTION("IF(REGEXMATCH(C232, ""n""), ""10"","""")"),"10")</f>
        <v>10</v>
      </c>
      <c r="AH232" s="246" t="str">
        <f>IFERROR(__xludf.DUMMYFUNCTION("IF(REGEXMATCH(C232, ""N""), ""11"","""")"),"")</f>
        <v/>
      </c>
      <c r="AI232" s="249" t="str">
        <f>IFERROR(__xludf.DUMMYFUNCTION("IF(REGEXMATCH(C232, ""S""), ""0"","""")"),"0")</f>
        <v>0</v>
      </c>
      <c r="AJ232" s="313" t="str">
        <f t="shared" si="11"/>
        <v>-</v>
      </c>
      <c r="AK232" s="313" t="str">
        <f t="shared" si="12"/>
        <v>-</v>
      </c>
      <c r="AL232" s="313" t="str">
        <f t="shared" si="13"/>
        <v>-</v>
      </c>
      <c r="AM232" s="313" t="str">
        <f t="shared" si="14"/>
        <v>-</v>
      </c>
      <c r="AN232" s="313" t="str">
        <f t="shared" si="15"/>
        <v>-</v>
      </c>
      <c r="AO232" s="314" t="str">
        <f t="shared" si="16"/>
        <v>-</v>
      </c>
      <c r="AP232" s="316">
        <f t="shared" si="17"/>
        <v>0</v>
      </c>
      <c r="AQ232" s="319" t="str">
        <f t="shared" si="18"/>
        <v>-</v>
      </c>
      <c r="AR232" s="320">
        <f t="shared" si="19"/>
        <v>0</v>
      </c>
      <c r="AS232" s="250" t="str">
        <f>IFERROR(__xludf.DUMMYFUNCTION("SUBSTITUTE(SUBSTITUTE(CONCATENATE(JOIN("""",FP232:GA232)),""|"",""x""),""-"",""o"")"),"xoxooxoxooxo")</f>
        <v>xoxooxoxooxo</v>
      </c>
      <c r="AT232" s="323" t="str">
        <f>IFERROR(__xludf.DUMMYFUNCTION("JOIN("""",AS232,AS232)"),"xoxooxoxooxoxoxooxoxooxo")</f>
        <v>xoxooxoxooxoxoxooxoxooxo</v>
      </c>
      <c r="AU232" s="256" t="str">
        <f>IFERROR(__xludf.DUMMYFUNCTION("JOIN("""",ArrayFormula(MID(AS232,LEN(AS232)-SEQUENCE(1,LEN(AS232))+1,1)))"),"oxooxoxooxox")</f>
        <v>oxooxoxooxox</v>
      </c>
      <c r="AV232" s="256" t="str">
        <f>IFERROR(__xludf.DUMMYFUNCTION("LEFT(CONCATENATE(""x"",JOIN("""",ArrayFormula(MID(AS232,LEN(AS232)-SEQUENCE(1,LEN(AS232))+1,1)))),12)"),"xoxooxoxooxo")</f>
        <v>xoxooxoxooxo</v>
      </c>
      <c r="AW232" s="327" t="str">
        <f>IFERROR(__xludf.DUMMYFUNCTION("JOIN("""",AU232,AU232)"),"oxooxoxooxoxoxooxoxooxox")</f>
        <v>oxooxoxooxoxoxooxoxooxox</v>
      </c>
      <c r="AX232" s="239" t="str">
        <f>IFERROR(__xludf.DUMMYFUNCTION("IF(REGEXMATCH(AW232,AS232),""✔"",""-"")"),"✔")</f>
        <v>✔</v>
      </c>
      <c r="AY232" s="330" t="str">
        <f t="shared" si="20"/>
        <v>✔</v>
      </c>
      <c r="AZ232" s="260" t="str">
        <f t="shared" si="21"/>
        <v>#REF!</v>
      </c>
      <c r="BA232" s="333" t="str">
        <f t="shared" si="22"/>
        <v>xoxooxo</v>
      </c>
      <c r="BB232" s="334" t="str">
        <f t="shared" si="23"/>
        <v>xooxox</v>
      </c>
      <c r="BC232" s="335" t="str">
        <f t="shared" si="236"/>
        <v>-</v>
      </c>
      <c r="BD232" s="336" t="str">
        <f t="shared" si="25"/>
        <v>Megh: 'xoxooxo' + 'xooxox'</v>
      </c>
      <c r="BE232" s="337">
        <f>IFERROR(__xludf.DUMMYFUNCTION("COUNTUNIQUE(FILTER(AT:AT,REGEXMATCH(AT:AT,AS232)))-1"),4.0)</f>
        <v>4</v>
      </c>
      <c r="BF232" s="261" t="str">
        <f>IFERROR(__xludf.DUMMYFUNCTION("IF(BI232=0,""(n/a)"",IF(BJ232=2,""(PAIR)"",IF(REGEXMATCH(AT232,""xoxoxxoxoxox""),""Bilawal"",IF(REGEXMATCH(AT232,""xoxoxooxoxoo""),""Bhupali"",IF(REGEXMATCH(AT232,""xoxoxxoxxoxo""),""Charukeshi"",IF(REGEXMATCH(AT232,""xoxoooxxoxxo""),""Kameshwari"",IF(REG"&amp;"EXMATCH(AT232,""xoxoxooxoxox""),""Shankara"",IF(REGEXMATCH(AT232,""xxooxoxxxoox""),""Basant"",IF(REGEXMATCH(AT232,""xoxoxxxxoxox""),""Bihag"",IF(REGEXMATCH(AT232,""xoxxxxoxoxxx""),""Pilu"",IF(REGEXMATCH(AT232,""xoxxoxoxxoox""),""Kirwani"",IF(REGEXMATCH(AT"&amp;"232,""xoxxoxoxoxxx""),""Mk.Malhar"",IF(REGEXMATCH(AT232,""xxooxxoxxoox""),""Bhairav"",IF(REGEXMATCH(AT232,""xxoxooxxxoox""),""Todi"",IF(REGEXMATCH(AT232,""xxooxoxooxox""),""Marwa"",IF(REGEXMATCH(AT232,""xxoooxoxxooo""),""Gunkali"",IF(REGEXMATCH(AT232,""xo"&amp;"xoxxoxxoox""),""Nat Bhairav"",IF(REGEXMATCH(AT232,""xoxxoooxoxoo""),""Shivranjani"",IF(REGEXMATCH(AT232,""xooxxxoxooxo""),""Jog"",IF(REGEXMATCH(AT232,""xxooxoxoxoox""),""Hemshri"",IF(REGEXMATCH(AT232,""xoooxooxoxxo""),""Kalavati"",IF(REGEXMATCH(AT232,""xx"&amp;"oxoxxoxoox""),""Kedar"",IF(REGEXMATCH(AT232,""xoxxxxoxooxx""),""Gara"",IF(REGEXMATCH(AT232,""xooxoxooxoox""),""Chandrakauns"",IF(REGEXMATCH(AT232,""xoxxxxoxxxox""),""Mand"",IF(REGEXMATCH(AT232,""xoxxxxoxoxox""),""Hanskinkini"",IF(REGEXMATCH(AT232,""xxooxx"&amp;"oxooxo""),""Lilavati"",IF(REGEXMATCH(AT232,""xooxoxoooxox""),""Rajeshwari"",IF(REGEXMATCH(AT232,""xoooxxoxoxxx""),""Khokar"",IF(REGEXMATCH(AT232,""xxooxoxxxxox""),""Maligoura"",""-""))))))))))))))))))))))))))))))"),"Bhupali")</f>
        <v>Bhupali</v>
      </c>
      <c r="BG232" s="239" t="str">
        <f t="shared" si="26"/>
        <v>#REF!</v>
      </c>
      <c r="BH232" s="239">
        <f>IFERROR(__xludf.DUMMYFUNCTION("COUNTUNIQUE(FE232:FO232)-1"),4.0)</f>
        <v>4</v>
      </c>
      <c r="BI232" s="239">
        <f>IFERROR(__xludf.DUMMYFUNCTION("COUNTUNIQUE(FILTER(AT:AT,REGEXMATCH(AT:AT,AS232)))-1"),4.0)</f>
        <v>4</v>
      </c>
      <c r="BJ232" s="239">
        <f>IFERROR(__xludf.DUMMYFUNCTION("COUNTA(FILTER(AT:AT,REGEXMATCH(AT:AT,AS232)))"),11.0)</f>
        <v>11</v>
      </c>
      <c r="BK232" s="341">
        <f>IFERROR(__xludf.DUMMYFUNCTION("COUNTA(FILTER(AT:AT,REGEXMATCH(AT:AT,AS232)))-AR232"),11.0)</f>
        <v>11</v>
      </c>
      <c r="BL232" s="276" t="str">
        <f>IFERROR(__xludf.DUMMYFUNCTION("IF(AS232=""oooooooooooo"",""-"",IF(REGEXMATCH(AT232,""xx""), ""Hemi."", ""Anhemi.""))"),"Anhemi.")</f>
        <v>Anhemi.</v>
      </c>
      <c r="BM232" s="282" t="str">
        <f>IFERROR(__xludf.DUMMYFUNCTION("IF(AS232=""oooooooooooo"",""-"",IF(REGEXMATCH(AT232,""xxx""), ""Cohem."", ""-""))"),"-")</f>
        <v>-</v>
      </c>
      <c r="BN232" s="282" t="str">
        <f>IFERROR(__xludf.DUMMYFUNCTION("IF(AS232=""oooooooooooo"",""-"",IF(REGEXMATCH(AT232,""xxxx""), ""Co-Co."", ""-""))"),"-")</f>
        <v>-</v>
      </c>
      <c r="BO232" s="342" t="str">
        <f>IFERROR(__xludf.DUMMYFUNCTION("IF(AS232=""oooooooooooo"",""-"",IF(REGEXMATCH(AT232,""xxxxx""), ""CCC."", ""-""))"),"-")</f>
        <v>-</v>
      </c>
      <c r="BP232" s="344" t="str">
        <f t="shared" si="27"/>
        <v>-</v>
      </c>
      <c r="BQ232" s="282" t="str">
        <f>IFERROR(__xludf.DUMMYFUNCTION("IF(REGEXMATCH(JOIN(""-"",EU232:FD232),""TRUE""),""✔"",""-"")"),"✔")</f>
        <v>✔</v>
      </c>
      <c r="BR232" s="225">
        <f t="shared" si="28"/>
        <v>3</v>
      </c>
      <c r="BS232" s="345" t="str">
        <f>IFERROR(__xludf.DUMMYFUNCTION("SUBSTITUTE(SUBSTITUTE(SUBSTITUTE(SUBSTITUTE(CONCATENATE(JOIN(""-"",GC232:GO232)),""--"",""-""),""--"",""-""),""--"",""-""),""--"",""-"")"),"1-2-4-5-b7-8")</f>
        <v>1-2-4-5-b7-8</v>
      </c>
      <c r="BT232" s="299" t="str">
        <f>IFERROR(__xludf.DUMMYFUNCTION("SUBSTITUTE(SUBSTITUTE(SUBSTITUTE(SUBSTITUTE(CONCATENATE(JOIN(""-"",GP232:HB232)),""--"",""-""),""--"",""-""),""--"",""-""),""--"",""-"")"),"S-R2-M1-P-N2-S")</f>
        <v>S-R2-M1-P-N2-S</v>
      </c>
      <c r="BU232" s="348" t="str">
        <f t="shared" si="29"/>
        <v>C-D-F-G-Bb-C</v>
      </c>
      <c r="BV232" s="349" t="str">
        <f t="shared" si="30"/>
        <v>SrgGMdDNS</v>
      </c>
      <c r="BW232" s="350">
        <f t="shared" si="31"/>
        <v>0</v>
      </c>
      <c r="BX232" s="351">
        <f t="shared" si="32"/>
        <v>2</v>
      </c>
      <c r="BY232" s="392"/>
      <c r="BZ232" s="309" t="str">
        <f>IFERROR(__xludf.DUMMYFUNCTION("IF(REGEXMATCH(C232, ""S""), ""x"",""x"")"),"x")</f>
        <v>x</v>
      </c>
      <c r="CA232" s="245" t="str">
        <f>IFERROR(__xludf.DUMMYFUNCTION("IF(REGEXMATCH(C232, ""r""), ""o"",""x"")"),"x")</f>
        <v>x</v>
      </c>
      <c r="CB232" s="246" t="str">
        <f>IFERROR(__xludf.DUMMYFUNCTION("IF(REGEXMATCH(C232, ""R""), ""o"",""x"")"),"o")</f>
        <v>o</v>
      </c>
      <c r="CC232" s="246" t="str">
        <f>IFERROR(__xludf.DUMMYFUNCTION("IF(REGEXMATCH(C232, ""g""), ""o"",""x"")"),"x")</f>
        <v>x</v>
      </c>
      <c r="CD232" s="245" t="str">
        <f>IFERROR(__xludf.DUMMYFUNCTION("IF(REGEXMATCH(C232, ""G""), ""o"",""x"")"),"x")</f>
        <v>x</v>
      </c>
      <c r="CE232" s="245" t="str">
        <f>IFERROR(__xludf.DUMMYFUNCTION("IF(REGEXMATCH(C232, ""m""), ""o"",""x"")"),"o")</f>
        <v>o</v>
      </c>
      <c r="CF232" s="246" t="str">
        <f>IFERROR(__xludf.DUMMYFUNCTION("IF(REGEXMATCH(C232, ""M""), ""o"",""x"")"),"x")</f>
        <v>x</v>
      </c>
      <c r="CG232" s="245" t="str">
        <f>IFERROR(__xludf.DUMMYFUNCTION("IF(REGEXMATCH(C232, ""P""), ""o"",""x"")"),"o")</f>
        <v>o</v>
      </c>
      <c r="CH232" s="246" t="str">
        <f>IFERROR(__xludf.DUMMYFUNCTION("IF(REGEXMATCH(C232, ""d""), ""o"",""x"")"),"x")</f>
        <v>x</v>
      </c>
      <c r="CI232" s="245" t="str">
        <f>IFERROR(__xludf.DUMMYFUNCTION("IF(REGEXMATCH(C232, ""D""), ""o"",""x"")"),"x")</f>
        <v>x</v>
      </c>
      <c r="CJ232" s="245" t="str">
        <f>IFERROR(__xludf.DUMMYFUNCTION("IF(REGEXMATCH(C232, ""n""), ""o"",""x"")"),"o")</f>
        <v>o</v>
      </c>
      <c r="CK232" s="245" t="str">
        <f>IFERROR(__xludf.DUMMYFUNCTION("IF(REGEXMATCH(C232, ""N""), ""o"",""x"")"),"x")</f>
        <v>x</v>
      </c>
      <c r="CL232" s="356" t="str">
        <f>IFERROR(__xludf.DUMMYFUNCTION("IF(REGEXMATCH(C232, ""S""), ""x"",""x"")"),"x")</f>
        <v>x</v>
      </c>
      <c r="CM232" s="357" t="str">
        <f t="shared" si="33"/>
        <v>xxoxxoxoxxox</v>
      </c>
      <c r="CN232" s="358">
        <f t="shared" si="34"/>
        <v>0</v>
      </c>
      <c r="CO232" s="246" t="str">
        <f>IFERROR(__xludf.DUMMYFUNCTION("IF(REGEXMATCH($C232, ""S""), ""S"",""S"")"),"S")</f>
        <v>S</v>
      </c>
      <c r="CP232" s="246" t="str">
        <f>IFERROR(__xludf.DUMMYFUNCTION("IF(REGEXMATCH($C232, ""r""), """",""r"")"),"r")</f>
        <v>r</v>
      </c>
      <c r="CQ232" s="246" t="str">
        <f>IFERROR(__xludf.DUMMYFUNCTION("IF(REGEXMATCH($C232, ""R""), """",""R"")"),"")</f>
        <v/>
      </c>
      <c r="CR232" s="246" t="str">
        <f>IFERROR(__xludf.DUMMYFUNCTION("IF(REGEXMATCH($C232, ""g""), """",""g"")"),"g")</f>
        <v>g</v>
      </c>
      <c r="CS232" s="246" t="str">
        <f>IFERROR(__xludf.DUMMYFUNCTION("IF(REGEXMATCH($C232, ""G""), """",""G"")"),"G")</f>
        <v>G</v>
      </c>
      <c r="CT232" s="246" t="str">
        <f>IFERROR(__xludf.DUMMYFUNCTION("IF(REGEXMATCH($C232, ""m""), """",""m"")"),"")</f>
        <v/>
      </c>
      <c r="CU232" s="246" t="str">
        <f>IFERROR(__xludf.DUMMYFUNCTION("IF(REGEXMATCH($C232, ""M""), """",""M"")"),"M")</f>
        <v>M</v>
      </c>
      <c r="CV232" s="246" t="str">
        <f>IFERROR(__xludf.DUMMYFUNCTION("IF(REGEXMATCH($C232, ""P""), """",""P"")"),"")</f>
        <v/>
      </c>
      <c r="CW232" s="246" t="str">
        <f>IFERROR(__xludf.DUMMYFUNCTION("IF(REGEXMATCH($C232, ""d""), """",""d"")"),"d")</f>
        <v>d</v>
      </c>
      <c r="CX232" s="246" t="str">
        <f>IFERROR(__xludf.DUMMYFUNCTION("IF(REGEXMATCH($C232, ""D""), """",""D"")"),"D")</f>
        <v>D</v>
      </c>
      <c r="CY232" s="246" t="str">
        <f>IFERROR(__xludf.DUMMYFUNCTION("IF(REGEXMATCH($C232, ""n""), """",""n"")"),"")</f>
        <v/>
      </c>
      <c r="CZ232" s="246" t="str">
        <f>IFERROR(__xludf.DUMMYFUNCTION("IF(REGEXMATCH($C232, ""N""), """",""N"")"),"N")</f>
        <v>N</v>
      </c>
      <c r="DA232" s="246" t="str">
        <f>IFERROR(__xludf.DUMMYFUNCTION("IF(REGEXMATCH($C232, ""S""), ""S"",""S"")"),"S")</f>
        <v>S</v>
      </c>
      <c r="DB232" s="362" t="str">
        <f>IFERROR(__xludf.DUMMYFUNCTION("JOIN("""",CO232:DA232,"""","""")"),"SrgGMdDNS")</f>
        <v>SrgGMdDNS</v>
      </c>
      <c r="DC232" s="363"/>
      <c r="DD232" s="301" t="str">
        <f t="shared" si="35"/>
        <v>#REF!</v>
      </c>
      <c r="DE232" s="302" t="str">
        <f t="shared" si="36"/>
        <v>#REF!</v>
      </c>
      <c r="DF232" s="301" t="str">
        <f t="shared" ref="DF232:DG232" si="682">SUBSTITUTE(S232,"-","")</f>
        <v>SRM</v>
      </c>
      <c r="DG232" s="301" t="str">
        <f t="shared" si="682"/>
        <v>PNS</v>
      </c>
      <c r="DH232" s="302" t="str">
        <f t="shared" si="38"/>
        <v>Bhupali</v>
      </c>
      <c r="DI232" s="301" t="str">
        <f t="shared" si="39"/>
        <v>Anhemi.</v>
      </c>
      <c r="DJ232" s="364" t="str">
        <f t="shared" si="40"/>
        <v>-</v>
      </c>
      <c r="DK232" s="306" t="str">
        <f t="shared" si="41"/>
        <v>-</v>
      </c>
      <c r="DL232" s="366" t="str">
        <f t="shared" si="42"/>
        <v>✔</v>
      </c>
      <c r="DM232" s="308" t="str">
        <f t="shared" si="43"/>
        <v>-</v>
      </c>
      <c r="DN232" s="306" t="str">
        <f t="shared" si="44"/>
        <v>-</v>
      </c>
      <c r="DO232" s="306" t="str">
        <f t="shared" si="45"/>
        <v>-</v>
      </c>
      <c r="DP232" s="367" t="str">
        <f t="shared" si="46"/>
        <v>-</v>
      </c>
      <c r="DQ232" s="310" t="str">
        <f t="shared" si="47"/>
        <v>-</v>
      </c>
      <c r="DR232" s="310" t="str">
        <f t="shared" si="48"/>
        <v>-</v>
      </c>
      <c r="DS232" s="310" t="str">
        <f t="shared" si="49"/>
        <v>-</v>
      </c>
      <c r="DT232" s="310" t="str">
        <f t="shared" si="50"/>
        <v>-</v>
      </c>
      <c r="DU232" s="370" t="str">
        <f t="shared" si="51"/>
        <v>-</v>
      </c>
      <c r="DV232" s="306" t="str">
        <f t="shared" si="52"/>
        <v>-</v>
      </c>
      <c r="DW232" s="306" t="str">
        <f t="shared" si="53"/>
        <v>✔</v>
      </c>
      <c r="DX232" s="306" t="str">
        <f t="shared" si="54"/>
        <v>-</v>
      </c>
      <c r="DY232" s="306" t="str">
        <f t="shared" si="55"/>
        <v>-</v>
      </c>
      <c r="DZ232" s="306" t="str">
        <f t="shared" si="56"/>
        <v>✔</v>
      </c>
      <c r="EA232" s="367" t="str">
        <f t="shared" si="57"/>
        <v>-</v>
      </c>
      <c r="EB232" s="310" t="str">
        <f>IFERROR(__xludf.DUMMYFUNCTION("IF(REGEXMATCH(AW232,AS232),""✔"",""-"")"),"✔")</f>
        <v>✔</v>
      </c>
      <c r="EC232" s="310" t="str">
        <f t="shared" si="58"/>
        <v>#REF!</v>
      </c>
      <c r="ED232" s="370" t="str">
        <f t="shared" si="59"/>
        <v>✔</v>
      </c>
      <c r="EE232" s="340" t="str">
        <f t="shared" si="60"/>
        <v>S-R-m-P-n-S</v>
      </c>
      <c r="EF232" s="371" t="str">
        <f>IFERROR(__xludf.DUMMYFUNCTION("CONCATENATE(JOIN("""",HC232:HO232))"),"SRmPnS")</f>
        <v>SRmPnS</v>
      </c>
      <c r="EG232" s="372">
        <f t="shared" si="61"/>
        <v>1</v>
      </c>
      <c r="EH232" s="373" t="str">
        <f>IFERROR(__xludf.DUMMYFUNCTION("CONCATENATE(JOIN("""",JC232:JO232))"),"Re, ")</f>
        <v>Re, </v>
      </c>
      <c r="EI232" s="322">
        <f t="shared" si="62"/>
        <v>0</v>
      </c>
      <c r="EJ232" s="374" t="str">
        <f>IFERROR(__xludf.DUMMYFUNCTION("CONCATENATE(JOIN("""",KC232:KO232))"),"")</f>
        <v/>
      </c>
      <c r="EK232" s="325" t="str">
        <f t="shared" si="63"/>
        <v>S-R2-M1-P-N2-S</v>
      </c>
      <c r="EL232" s="326" t="str">
        <f t="shared" si="64"/>
        <v>1-2-4-5-b7-8</v>
      </c>
      <c r="EM232" s="318" t="str">
        <f t="shared" si="65"/>
        <v>#REF!</v>
      </c>
      <c r="EN232" s="328" t="str">
        <f>IFERROR(__xludf.DUMMYFUNCTION("SUBSTITUTE(SUBSTITUTE(SUBSTITUTE(SUBSTITUTE(CONCATENATE(JOIN("" "",HP232:IB232)),""  "","" ""),""  "","" ""),""  "","" ""),""  "","" "")"),"o • o • • o • o • • o • o")</f>
        <v>o • o • • o • o • • o • o</v>
      </c>
      <c r="EO232" s="368" t="str">
        <f t="shared" si="66"/>
        <v>-</v>
      </c>
      <c r="EP232" s="339" t="str">
        <f t="shared" si="67"/>
        <v>-</v>
      </c>
      <c r="EQ232" s="339" t="str">
        <f t="shared" si="68"/>
        <v>Sa-Pa</v>
      </c>
      <c r="ER232" s="339" t="str">
        <f t="shared" si="69"/>
        <v>-</v>
      </c>
      <c r="ES232" s="340" t="str">
        <f t="shared" si="70"/>
        <v>-</v>
      </c>
      <c r="ET232" s="363"/>
      <c r="EU232" s="376" t="b">
        <f>IFERROR(__xludf.DUMMYFUNCTION("arrayformula(sum(--REGEXMATCH(""SRGMPDNS"",split(REGEXREPLACE(C232,""(.)"",""$1~""),""~""))))=len(C232)
"),FALSE)</f>
        <v>0</v>
      </c>
      <c r="EV232" s="290" t="b">
        <f>IFERROR(__xludf.DUMMYFUNCTION("arrayformula(sum(--REGEXMATCH(""SRGmPDNS"",split(REGEXREPLACE(C232,""(.)"",""$1~""),""~""))))=len(C232)"),FALSE)</f>
        <v>0</v>
      </c>
      <c r="EW232" s="290" t="b">
        <f>IFERROR(__xludf.DUMMYFUNCTION("arrayformula(sum(--REGEXMATCH(""SRGmPDnS"",split(REGEXREPLACE(C232,""(.)"",""$1~""),""~""))))=len(C232)"),TRUE)</f>
        <v>1</v>
      </c>
      <c r="EX232" s="290" t="b">
        <f>IFERROR(__xludf.DUMMYFUNCTION("arrayformula(sum(--REGEXMATCH(""SRgmPDnS"",split(REGEXREPLACE(C232,""(.)"",""$1~""),""~""))))=len(C232)"),TRUE)</f>
        <v>1</v>
      </c>
      <c r="EY232" s="290" t="b">
        <f>IFERROR(__xludf.DUMMYFUNCTION("arrayformula(sum(--REGEXMATCH(""SRgmPdnS"",split(REGEXREPLACE(C232,""(.)"",""$1~""),""~""))))=len(C232)"),TRUE)</f>
        <v>1</v>
      </c>
      <c r="EZ232" s="290" t="b">
        <f>IFERROR(__xludf.DUMMYFUNCTION("arrayformula(sum(--REGEXMATCH(""SrgmPdnS"",split(REGEXREPLACE(C232,""(.)"",""$1~""),""~""))))=len(C232)"),FALSE)</f>
        <v>0</v>
      </c>
      <c r="FA232" s="290" t="b">
        <f>IFERROR(__xludf.DUMMYFUNCTION("arrayformula(sum(--REGEXMATCH(""SrGmPdNS"",split(REGEXREPLACE(C232,""(.)"",""$1~""),""~""))))=len(C232)"),FALSE)</f>
        <v>0</v>
      </c>
      <c r="FB232" s="290" t="b">
        <f>IFERROR(__xludf.DUMMYFUNCTION("arrayformula(sum(--REGEXMATCH(""SrGMPDNS"",split(REGEXREPLACE(C232,""(.)"",""$1~""),""~""))))=len(C232)"),FALSE)</f>
        <v>0</v>
      </c>
      <c r="FC232" s="290" t="b">
        <f>IFERROR(__xludf.DUMMYFUNCTION("arrayformula(sum(--REGEXMATCH(""SrGMPdNS"",split(REGEXREPLACE(C232,""(.)"",""$1~""),""~""))))=len(C232)"),FALSE)</f>
        <v>0</v>
      </c>
      <c r="FD232" s="377" t="b">
        <f>IFERROR(__xludf.DUMMYFUNCTION("arrayformula(sum(--REGEXMATCH(""SrgMPdNS"",split(REGEXREPLACE(C232,""(.)"",""$1~""),""~""))))=len(C232)"),FALSE)</f>
        <v>0</v>
      </c>
      <c r="FE232" s="269" t="str">
        <f t="shared" si="71"/>
        <v>-</v>
      </c>
      <c r="FF232" s="269" t="str">
        <f t="shared" si="72"/>
        <v>xooxoxooxox</v>
      </c>
      <c r="FG232" s="271" t="str">
        <f t="shared" si="73"/>
        <v>-</v>
      </c>
      <c r="FH232" s="269" t="str">
        <f t="shared" si="74"/>
        <v>-</v>
      </c>
      <c r="FI232" s="271" t="str">
        <f t="shared" si="75"/>
        <v>xoxooxoxoxo</v>
      </c>
      <c r="FJ232" s="271" t="str">
        <f t="shared" si="76"/>
        <v>-</v>
      </c>
      <c r="FK232" s="271" t="str">
        <f t="shared" si="77"/>
        <v>xooxoxoxoox</v>
      </c>
      <c r="FL232" s="271" t="str">
        <f t="shared" si="78"/>
        <v>-</v>
      </c>
      <c r="FM232" s="271" t="str">
        <f t="shared" si="79"/>
        <v>-</v>
      </c>
      <c r="FN232" s="271" t="str">
        <f t="shared" si="80"/>
        <v>xoxoxooxoxo</v>
      </c>
      <c r="FO232" s="274" t="str">
        <f t="shared" si="81"/>
        <v>-</v>
      </c>
      <c r="FP232" s="234" t="str">
        <f t="shared" si="82"/>
        <v>|</v>
      </c>
      <c r="FQ232" s="236" t="str">
        <f t="shared" si="83"/>
        <v>-</v>
      </c>
      <c r="FR232" s="237" t="str">
        <f t="shared" si="84"/>
        <v>|</v>
      </c>
      <c r="FS232" s="236" t="str">
        <f t="shared" si="85"/>
        <v>-</v>
      </c>
      <c r="FT232" s="237" t="str">
        <f t="shared" si="86"/>
        <v>-</v>
      </c>
      <c r="FU232" s="236" t="str">
        <f t="shared" si="87"/>
        <v>|</v>
      </c>
      <c r="FV232" s="237" t="str">
        <f t="shared" si="88"/>
        <v>-</v>
      </c>
      <c r="FW232" s="236" t="str">
        <f t="shared" si="89"/>
        <v>|</v>
      </c>
      <c r="FX232" s="237" t="str">
        <f t="shared" si="90"/>
        <v>-</v>
      </c>
      <c r="FY232" s="236" t="str">
        <f t="shared" si="91"/>
        <v>-</v>
      </c>
      <c r="FZ232" s="237" t="str">
        <f t="shared" si="92"/>
        <v>|</v>
      </c>
      <c r="GA232" s="236" t="str">
        <f t="shared" si="93"/>
        <v>-</v>
      </c>
      <c r="GB232" s="238" t="str">
        <f t="shared" si="94"/>
        <v>|</v>
      </c>
      <c r="GC232" s="244" t="str">
        <f>IFERROR(__xludf.DUMMYFUNCTION("IF(REGEXMATCH(C232, ""S""), ""1"","""")"),"1")</f>
        <v>1</v>
      </c>
      <c r="GD232" s="245" t="str">
        <f>IFERROR(__xludf.DUMMYFUNCTION("IF(REGEXMATCH(C232, ""r""), ""b2"","""")"),"")</f>
        <v/>
      </c>
      <c r="GE232" s="246" t="str">
        <f>IFERROR(__xludf.DUMMYFUNCTION("IF(REGEXMATCH(C232, ""R""), ""2"","""")"),"2")</f>
        <v>2</v>
      </c>
      <c r="GF232" s="246" t="str">
        <f>IFERROR(__xludf.DUMMYFUNCTION("IF(REGEXMATCH(C232, ""g""), ""b3"","""")"),"")</f>
        <v/>
      </c>
      <c r="GG232" s="245" t="str">
        <f>IFERROR(__xludf.DUMMYFUNCTION("IF(REGEXMATCH(C232, ""G""), ""3"","""")"),"")</f>
        <v/>
      </c>
      <c r="GH232" s="245" t="str">
        <f>IFERROR(__xludf.DUMMYFUNCTION("IF(REGEXMATCH(C232, ""m""), ""4"","""")"),"4")</f>
        <v>4</v>
      </c>
      <c r="GI232" s="246" t="str">
        <f>IFERROR(__xludf.DUMMYFUNCTION("IF(REGEXMATCH(C232, ""M""), ""#4"","""")"),"")</f>
        <v/>
      </c>
      <c r="GJ232" s="245" t="str">
        <f>IFERROR(__xludf.DUMMYFUNCTION("IF(REGEXMATCH(C232, ""P""), ""5"","""")"),"5")</f>
        <v>5</v>
      </c>
      <c r="GK232" s="246" t="str">
        <f>IFERROR(__xludf.DUMMYFUNCTION("IF(REGEXMATCH(C232, ""d""), ""b6"","""")"),"")</f>
        <v/>
      </c>
      <c r="GL232" s="245" t="str">
        <f>IFERROR(__xludf.DUMMYFUNCTION("IF(REGEXMATCH(C232, ""D""), ""6"","""")"),"")</f>
        <v/>
      </c>
      <c r="GM232" s="245" t="str">
        <f>IFERROR(__xludf.DUMMYFUNCTION("IF(REGEXMATCH(C232, ""n""), ""b7"","""")"),"b7")</f>
        <v>b7</v>
      </c>
      <c r="GN232" s="246" t="str">
        <f>IFERROR(__xludf.DUMMYFUNCTION("IF(REGEXMATCH(C232, ""N""), ""7"","""")"),"")</f>
        <v/>
      </c>
      <c r="GO232" s="249" t="str">
        <f>IFERROR(__xludf.DUMMYFUNCTION("IF(REGEXMATCH(C232, ""S""), ""8"","""")"),"8")</f>
        <v>8</v>
      </c>
      <c r="GP232" s="244" t="str">
        <f>IFERROR(__xludf.DUMMYFUNCTION("IF(REGEXMATCH(C232, ""S""), ""S"","""")"),"S")</f>
        <v>S</v>
      </c>
      <c r="GQ232" s="294" t="str">
        <f>IFERROR(__xludf.DUMMYFUNCTION("IF(REGEXMATCH(C232, ""r""), ""R1"","""")"),"")</f>
        <v/>
      </c>
      <c r="GR232" s="295" t="str">
        <f>IFERROR(__xludf.DUMMYFUNCTION("IF(REGEXMATCH(C232, ""R""), ""R2"","""")"),"R2")</f>
        <v>R2</v>
      </c>
      <c r="GS232" s="295" t="str">
        <f>IFERROR(__xludf.DUMMYFUNCTION("IF(REGEXMATCH(C232, ""g""), ""G2"","""")"),"")</f>
        <v/>
      </c>
      <c r="GT232" s="294" t="str">
        <f>IFERROR(__xludf.DUMMYFUNCTION("IF(REGEXMATCH(C232, ""G""), ""G3"","""")"),"")</f>
        <v/>
      </c>
      <c r="GU232" s="294" t="str">
        <f>IFERROR(__xludf.DUMMYFUNCTION("IF(REGEXMATCH(C232, ""m""), ""M1"","""")"),"M1")</f>
        <v>M1</v>
      </c>
      <c r="GV232" s="295" t="str">
        <f>IFERROR(__xludf.DUMMYFUNCTION("IF(REGEXMATCH(C232, ""M""), ""M2"","""")"),"")</f>
        <v/>
      </c>
      <c r="GW232" s="294" t="str">
        <f>IFERROR(__xludf.DUMMYFUNCTION("IF(REGEXMATCH(C232, ""P""), ""P"","""")"),"P")</f>
        <v>P</v>
      </c>
      <c r="GX232" s="295" t="str">
        <f>IFERROR(__xludf.DUMMYFUNCTION("IF(REGEXMATCH(C232, ""d""), ""D1"","""")"),"")</f>
        <v/>
      </c>
      <c r="GY232" s="294" t="str">
        <f>IFERROR(__xludf.DUMMYFUNCTION("IF(REGEXMATCH(C232, ""D""), ""D2"","""")"),"")</f>
        <v/>
      </c>
      <c r="GZ232" s="294" t="str">
        <f>IFERROR(__xludf.DUMMYFUNCTION("IF(REGEXMATCH(C232, ""n""), ""N2"","""")"),"N2")</f>
        <v>N2</v>
      </c>
      <c r="HA232" s="295" t="str">
        <f>IFERROR(__xludf.DUMMYFUNCTION("IF(REGEXMATCH(C232, ""N""), ""N3"","""")"),"")</f>
        <v/>
      </c>
      <c r="HB232" s="249" t="str">
        <f>IFERROR(__xludf.DUMMYFUNCTION("IF(REGEXMATCH(C232, ""S""), ""S"","""")"),"S")</f>
        <v>S</v>
      </c>
      <c r="HC232" s="331" t="str">
        <f t="shared" si="95"/>
        <v>S</v>
      </c>
      <c r="HD232" s="332" t="str">
        <f t="shared" si="96"/>
        <v/>
      </c>
      <c r="HE232" s="332" t="str">
        <f t="shared" si="97"/>
        <v>R</v>
      </c>
      <c r="HF232" s="332" t="str">
        <f t="shared" si="98"/>
        <v/>
      </c>
      <c r="HG232" s="332" t="str">
        <f t="shared" si="99"/>
        <v/>
      </c>
      <c r="HH232" s="332" t="str">
        <f t="shared" si="100"/>
        <v>m</v>
      </c>
      <c r="HI232" s="332" t="str">
        <f t="shared" si="101"/>
        <v/>
      </c>
      <c r="HJ232" s="332" t="str">
        <f t="shared" si="102"/>
        <v>P</v>
      </c>
      <c r="HK232" s="332" t="str">
        <f t="shared" si="103"/>
        <v/>
      </c>
      <c r="HL232" s="332" t="str">
        <f t="shared" si="104"/>
        <v/>
      </c>
      <c r="HM232" s="332" t="str">
        <f t="shared" si="105"/>
        <v>n</v>
      </c>
      <c r="HN232" s="332" t="str">
        <f t="shared" si="106"/>
        <v/>
      </c>
      <c r="HO232" s="343" t="str">
        <f t="shared" si="107"/>
        <v>S</v>
      </c>
      <c r="HP232" s="331" t="str">
        <f t="shared" si="108"/>
        <v>o</v>
      </c>
      <c r="HQ232" s="332" t="str">
        <f t="shared" si="109"/>
        <v>•</v>
      </c>
      <c r="HR232" s="332" t="str">
        <f t="shared" si="110"/>
        <v>o</v>
      </c>
      <c r="HS232" s="332" t="str">
        <f t="shared" si="111"/>
        <v>•</v>
      </c>
      <c r="HT232" s="332" t="str">
        <f t="shared" si="112"/>
        <v>•</v>
      </c>
      <c r="HU232" s="332" t="str">
        <f t="shared" si="113"/>
        <v>o</v>
      </c>
      <c r="HV232" s="332" t="str">
        <f t="shared" si="114"/>
        <v>•</v>
      </c>
      <c r="HW232" s="332" t="str">
        <f t="shared" si="115"/>
        <v>o</v>
      </c>
      <c r="HX232" s="332" t="str">
        <f t="shared" si="116"/>
        <v>•</v>
      </c>
      <c r="HY232" s="332" t="str">
        <f t="shared" si="117"/>
        <v>•</v>
      </c>
      <c r="HZ232" s="332" t="str">
        <f t="shared" si="118"/>
        <v>o</v>
      </c>
      <c r="IA232" s="332" t="str">
        <f t="shared" si="119"/>
        <v>•</v>
      </c>
      <c r="IB232" s="338" t="str">
        <f t="shared" si="120"/>
        <v>o</v>
      </c>
      <c r="IC232" s="331" t="str">
        <f t="shared" si="121"/>
        <v>•</v>
      </c>
      <c r="ID232" s="332" t="str">
        <f t="shared" si="122"/>
        <v>o</v>
      </c>
      <c r="IE232" s="332" t="str">
        <f t="shared" si="123"/>
        <v>•</v>
      </c>
      <c r="IF232" s="332" t="str">
        <f t="shared" si="124"/>
        <v>o</v>
      </c>
      <c r="IG232" s="332" t="str">
        <f t="shared" si="125"/>
        <v>o</v>
      </c>
      <c r="IH232" s="332" t="str">
        <f t="shared" si="126"/>
        <v>•</v>
      </c>
      <c r="II232" s="332" t="str">
        <f t="shared" si="127"/>
        <v>o</v>
      </c>
      <c r="IJ232" s="332" t="str">
        <f t="shared" si="128"/>
        <v>•</v>
      </c>
      <c r="IK232" s="332" t="str">
        <f t="shared" si="129"/>
        <v>o</v>
      </c>
      <c r="IL232" s="332" t="str">
        <f t="shared" si="130"/>
        <v>o</v>
      </c>
      <c r="IM232" s="332" t="str">
        <f t="shared" si="131"/>
        <v>•</v>
      </c>
      <c r="IN232" s="332" t="str">
        <f t="shared" si="132"/>
        <v>o</v>
      </c>
      <c r="IO232" s="338" t="str">
        <f t="shared" si="133"/>
        <v>•</v>
      </c>
      <c r="IP232" s="346" t="b">
        <f t="shared" si="134"/>
        <v>0</v>
      </c>
      <c r="IQ232" s="347" t="b">
        <f t="shared" si="135"/>
        <v>0</v>
      </c>
      <c r="IR232" s="347" t="b">
        <f t="shared" si="136"/>
        <v>1</v>
      </c>
      <c r="IS232" s="347" t="b">
        <f t="shared" si="137"/>
        <v>0</v>
      </c>
      <c r="IT232" s="347" t="b">
        <f t="shared" si="138"/>
        <v>0</v>
      </c>
      <c r="IU232" s="347" t="b">
        <f t="shared" si="139"/>
        <v>0</v>
      </c>
      <c r="IV232" s="347" t="b">
        <f t="shared" si="140"/>
        <v>0</v>
      </c>
      <c r="IW232" s="347" t="b">
        <f t="shared" si="141"/>
        <v>0</v>
      </c>
      <c r="IX232" s="347" t="b">
        <f t="shared" si="142"/>
        <v>0</v>
      </c>
      <c r="IY232" s="347" t="b">
        <f t="shared" si="143"/>
        <v>0</v>
      </c>
      <c r="IZ232" s="347" t="b">
        <f t="shared" si="144"/>
        <v>0</v>
      </c>
      <c r="JA232" s="347" t="b">
        <f t="shared" si="145"/>
        <v>0</v>
      </c>
      <c r="JB232" s="353" t="b">
        <f t="shared" si="146"/>
        <v>0</v>
      </c>
      <c r="JC232" s="354" t="str">
        <f t="shared" si="147"/>
        <v/>
      </c>
      <c r="JD232" s="355" t="str">
        <f t="shared" si="148"/>
        <v/>
      </c>
      <c r="JE232" s="355" t="str">
        <f t="shared" si="149"/>
        <v>Re, </v>
      </c>
      <c r="JF232" s="355" t="str">
        <f t="shared" si="150"/>
        <v/>
      </c>
      <c r="JG232" s="355" t="str">
        <f t="shared" si="151"/>
        <v/>
      </c>
      <c r="JH232" s="355" t="str">
        <f t="shared" si="152"/>
        <v/>
      </c>
      <c r="JI232" s="355" t="str">
        <f t="shared" si="153"/>
        <v/>
      </c>
      <c r="JJ232" s="355" t="str">
        <f t="shared" si="154"/>
        <v/>
      </c>
      <c r="JK232" s="355" t="str">
        <f t="shared" si="155"/>
        <v/>
      </c>
      <c r="JL232" s="355" t="str">
        <f t="shared" si="156"/>
        <v/>
      </c>
      <c r="JM232" s="355" t="str">
        <f t="shared" si="157"/>
        <v/>
      </c>
      <c r="JN232" s="355" t="str">
        <f t="shared" si="158"/>
        <v/>
      </c>
      <c r="JO232" s="359" t="str">
        <f t="shared" si="159"/>
        <v/>
      </c>
      <c r="JP232" s="346" t="b">
        <f t="shared" si="160"/>
        <v>0</v>
      </c>
      <c r="JQ232" s="347" t="b">
        <f t="shared" si="161"/>
        <v>0</v>
      </c>
      <c r="JR232" s="347" t="b">
        <f t="shared" si="162"/>
        <v>0</v>
      </c>
      <c r="JS232" s="347" t="b">
        <f t="shared" si="163"/>
        <v>0</v>
      </c>
      <c r="JT232" s="347" t="b">
        <f t="shared" si="164"/>
        <v>0</v>
      </c>
      <c r="JU232" s="347" t="b">
        <f t="shared" si="165"/>
        <v>0</v>
      </c>
      <c r="JV232" s="347" t="b">
        <f t="shared" si="166"/>
        <v>0</v>
      </c>
      <c r="JW232" s="347" t="b">
        <f t="shared" si="167"/>
        <v>0</v>
      </c>
      <c r="JX232" s="347" t="b">
        <f t="shared" si="168"/>
        <v>0</v>
      </c>
      <c r="JY232" s="347" t="b">
        <f t="shared" si="169"/>
        <v>0</v>
      </c>
      <c r="JZ232" s="347" t="b">
        <f t="shared" si="170"/>
        <v>0</v>
      </c>
      <c r="KA232" s="347" t="b">
        <f t="shared" si="171"/>
        <v>0</v>
      </c>
      <c r="KB232" s="365" t="b">
        <f t="shared" si="172"/>
        <v>0</v>
      </c>
      <c r="KC232" s="354" t="str">
        <f t="shared" si="173"/>
        <v/>
      </c>
      <c r="KD232" s="355" t="str">
        <f t="shared" si="174"/>
        <v/>
      </c>
      <c r="KE232" s="355" t="str">
        <f t="shared" si="175"/>
        <v/>
      </c>
      <c r="KF232" s="355" t="str">
        <f t="shared" si="176"/>
        <v/>
      </c>
      <c r="KG232" s="355" t="str">
        <f t="shared" si="177"/>
        <v/>
      </c>
      <c r="KH232" s="355" t="str">
        <f t="shared" si="178"/>
        <v/>
      </c>
      <c r="KI232" s="355" t="str">
        <f t="shared" si="179"/>
        <v/>
      </c>
      <c r="KJ232" s="355" t="str">
        <f t="shared" si="180"/>
        <v/>
      </c>
      <c r="KK232" s="355" t="str">
        <f t="shared" si="181"/>
        <v/>
      </c>
      <c r="KL232" s="355" t="str">
        <f t="shared" si="182"/>
        <v/>
      </c>
      <c r="KM232" s="355" t="str">
        <f t="shared" si="183"/>
        <v/>
      </c>
      <c r="KN232" s="355" t="str">
        <f t="shared" si="184"/>
        <v/>
      </c>
      <c r="KO232" s="359"/>
      <c r="KP232" s="378"/>
      <c r="KQ232" s="379" t="s">
        <v>929</v>
      </c>
      <c r="KR232" s="380" t="s">
        <v>1438</v>
      </c>
      <c r="KS232" s="381" t="str">
        <f t="shared" ref="KS232:KS233" si="685">KQ232</f>
        <v>S-R-m-P-n-S</v>
      </c>
      <c r="KT232" s="382">
        <f t="shared" si="186"/>
        <v>5</v>
      </c>
      <c r="KU232" s="383">
        <f t="shared" si="187"/>
        <v>5</v>
      </c>
      <c r="KV232" s="381" t="str">
        <f t="shared" si="205"/>
        <v>S-n-P-m-R-S</v>
      </c>
      <c r="KW232" s="382">
        <f t="shared" si="189"/>
        <v>5</v>
      </c>
      <c r="KX232" s="384">
        <f t="shared" si="190"/>
        <v>5</v>
      </c>
      <c r="KY232" s="382">
        <f t="shared" ref="KY232:KZ232" si="683">KW232-KT232</f>
        <v>0</v>
      </c>
      <c r="KZ232" s="369">
        <f t="shared" si="683"/>
        <v>0</v>
      </c>
      <c r="LA232" s="385" t="str">
        <f t="shared" si="192"/>
        <v>✔</v>
      </c>
      <c r="LB232" s="340" t="str">
        <f>IFERROR(__xludf.DUMMYFUNCTION("JOIN("""",ArrayFormula(MID(KS232,LEN(KS232)-SEQUENCE(1,LEN(KS232))+1,1)))"),"S-n-P-m-R-S")</f>
        <v>S-n-P-m-R-S</v>
      </c>
      <c r="LC232" s="373" t="str">
        <f>IFERROR(__xludf.DUMMYFUNCTION("JOIN("""",ArrayFormula(MID(KV232,LEN(KV232)-SEQUENCE(1,LEN(KV232))+1,1)))"),"S-R-m-P-n-S")</f>
        <v>S-R-m-P-n-S</v>
      </c>
      <c r="LD232" s="373" t="str">
        <f t="shared" si="193"/>
        <v>SRmPnS</v>
      </c>
      <c r="LE232" s="339" t="str">
        <f t="shared" si="194"/>
        <v>SRmPnS</v>
      </c>
      <c r="LF232" s="386" t="str">
        <f>IFERROR(__xludf.DUMMYFUNCTION("SUBSTITUTE(SUBSTITUTE(CONCATENATE(JOIN("""",LH232:LT232)),""1"",""""),""2"","""")"),"SRmPnS")</f>
        <v>SRmPnS</v>
      </c>
      <c r="LG232" s="369" t="str">
        <f t="shared" si="195"/>
        <v>✔</v>
      </c>
      <c r="LH232" s="387" t="str">
        <f>IFERROR(__xludf.DUMMYFUNCTION("IF(REGEXMATCH(LD232, ""S""), ""S"",IF(REGEXMATCH(LE232, ""S""), ""S"",""""))"),"S")</f>
        <v>S</v>
      </c>
      <c r="LI232" s="299" t="str">
        <f>IFERROR(__xludf.DUMMYFUNCTION("IF(REGEXMATCH(LD232, ""r""), ""r1"",IF(REGEXMATCH(LE232, ""r""), ""r2"",""""))"),"")</f>
        <v/>
      </c>
      <c r="LJ232" s="299" t="str">
        <f>IFERROR(__xludf.DUMMYFUNCTION("IF(REGEXMATCH(LD232, ""R""), ""R1"",IF(REGEXMATCH(LE232, ""R""), ""R2"",""""))"),"R1")</f>
        <v>R1</v>
      </c>
      <c r="LK232" s="299" t="str">
        <f>IFERROR(__xludf.DUMMYFUNCTION("IF(REGEXMATCH(LD232, ""g""), ""g1"",IF(REGEXMATCH(LE232, ""g""), ""g2"",""""))"),"")</f>
        <v/>
      </c>
      <c r="LL232" s="299" t="str">
        <f>IFERROR(__xludf.DUMMYFUNCTION("IF(REGEXMATCH(LD232, ""G""), ""G1"",IF(REGEXMATCH(LE232, ""G""), ""G2"",""""))"),"")</f>
        <v/>
      </c>
      <c r="LM232" s="299" t="str">
        <f>IFERROR(__xludf.DUMMYFUNCTION("IF(REGEXMATCH(LD232, ""m""), ""m1"",IF(REGEXMATCH(LE232, ""m""), ""m2"",""""))"),"m1")</f>
        <v>m1</v>
      </c>
      <c r="LN232" s="299" t="str">
        <f>IFERROR(__xludf.DUMMYFUNCTION("IF(REGEXMATCH(LD232, ""M""), ""M1"",IF(REGEXMATCH(LE232, ""M""), ""M2"",""""))"),"")</f>
        <v/>
      </c>
      <c r="LO232" s="299" t="str">
        <f>IFERROR(__xludf.DUMMYFUNCTION("IF(REGEXMATCH(LD232, ""P""), ""P1"",IF(REGEXMATCH(LE232, ""P""), ""P2"",""""))"),"P1")</f>
        <v>P1</v>
      </c>
      <c r="LP232" s="299" t="str">
        <f>IFERROR(__xludf.DUMMYFUNCTION("IF(REGEXMATCH(LD232, ""d""), ""d1"",IF(REGEXMATCH(LE232, ""d""), ""d2"",""""))"),"")</f>
        <v/>
      </c>
      <c r="LQ232" s="299" t="str">
        <f>IFERROR(__xludf.DUMMYFUNCTION("IF(REGEXMATCH(LD232, ""D""), ""D1"",IF(REGEXMATCH(LE232, ""D""), ""D2"",""""))"),"")</f>
        <v/>
      </c>
      <c r="LR232" s="299" t="str">
        <f>IFERROR(__xludf.DUMMYFUNCTION("IF(REGEXMATCH(LD232, ""n""), ""n1"",IF(REGEXMATCH(LE232, ""n""), ""n2"",""""))"),"n1")</f>
        <v>n1</v>
      </c>
      <c r="LS232" s="299" t="str">
        <f>IFERROR(__xludf.DUMMYFUNCTION("IF(REGEXMATCH(LD232, ""N""), ""N1"",IF(REGEXMATCH(LE232, ""N""), ""N2"",""""))"),"")</f>
        <v/>
      </c>
      <c r="LT232" s="388" t="str">
        <f>IFERROR(__xludf.DUMMYFUNCTION("IF(REGEXMATCH(LD232, ""S""), ""S"",IF(REGEXMATCH(LE232, ""S""), ""S"",""""))"),"S")</f>
        <v>S</v>
      </c>
      <c r="LU232" s="389">
        <f t="shared" si="196"/>
        <v>1</v>
      </c>
      <c r="LV232" s="378"/>
      <c r="LW232" s="369"/>
      <c r="LX232" s="369"/>
    </row>
    <row r="233" ht="18.0" customHeight="1">
      <c r="A233" s="298" t="s">
        <v>986</v>
      </c>
      <c r="B233" s="222" t="s">
        <v>987</v>
      </c>
      <c r="C233" s="233" t="str">
        <f t="shared" si="7"/>
        <v>SrGmMNS</v>
      </c>
      <c r="D233" s="234" t="str">
        <f>IFERROR(__xludf.DUMMYFUNCTION("IF(REGEXMATCH(C233, ""S""), ""S"","""")"),"S")</f>
        <v>S</v>
      </c>
      <c r="E233" s="236" t="str">
        <f>IFERROR(__xludf.DUMMYFUNCTION("IF(REGEXMATCH(C233, ""r""), ""r"","""")"),"r")</f>
        <v>r</v>
      </c>
      <c r="F233" s="237" t="str">
        <f>IFERROR(__xludf.DUMMYFUNCTION("IF(REGEXMATCH(C233, ""R""), ""R"","""")"),"")</f>
        <v/>
      </c>
      <c r="G233" s="237" t="str">
        <f>IFERROR(__xludf.DUMMYFUNCTION("IF(REGEXMATCH(C233, ""g""), ""g"","""")"),"")</f>
        <v/>
      </c>
      <c r="H233" s="236" t="str">
        <f>IFERROR(__xludf.DUMMYFUNCTION("IF(REGEXMATCH(C233, ""G""), ""G"","""")"),"G")</f>
        <v>G</v>
      </c>
      <c r="I233" s="236" t="str">
        <f>IFERROR(__xludf.DUMMYFUNCTION("IF(REGEXMATCH(C233, ""m""), ""m"","""")"),"m")</f>
        <v>m</v>
      </c>
      <c r="J233" s="237" t="str">
        <f>IFERROR(__xludf.DUMMYFUNCTION("IF(REGEXMATCH(C233, ""M""), ""M"","""")"),"M")</f>
        <v>M</v>
      </c>
      <c r="K233" s="236" t="str">
        <f>IFERROR(__xludf.DUMMYFUNCTION("IF(REGEXMATCH(C233, ""P""), ""P"","""")"),"")</f>
        <v/>
      </c>
      <c r="L233" s="237" t="str">
        <f>IFERROR(__xludf.DUMMYFUNCTION("IF(REGEXMATCH(C233, ""d""), ""d"","""")"),"")</f>
        <v/>
      </c>
      <c r="M233" s="236" t="str">
        <f>IFERROR(__xludf.DUMMYFUNCTION("IF(REGEXMATCH(C233, ""D""), ""D"","""")"),"")</f>
        <v/>
      </c>
      <c r="N233" s="236" t="str">
        <f>IFERROR(__xludf.DUMMYFUNCTION("IF(REGEXMATCH(C233, ""n""), ""n"","""")"),"")</f>
        <v/>
      </c>
      <c r="O233" s="237" t="str">
        <f>IFERROR(__xludf.DUMMYFUNCTION("IF(REGEXMATCH(C233, ""N""), ""N"","""")"),"N")</f>
        <v>N</v>
      </c>
      <c r="P233" s="238" t="str">
        <f>IFERROR(__xludf.DUMMYFUNCTION("IF(REGEXMATCH(C233, ""S""), ""S"","""")"),"S")</f>
        <v>S</v>
      </c>
      <c r="Q233" s="239" t="str">
        <f>IFERROR(__xludf.DUMMYFUNCTION("SUBSTITUTE(CONCATENATE(JOIN(""-"",D233:J233)),""-"","""")"),"SrGmM")</f>
        <v>SrGmM</v>
      </c>
      <c r="R233" s="229" t="str">
        <f>IFERROR(__xludf.DUMMYFUNCTION("SUBSTITUTE(CONCATENATE(JOIN(""-"",K233:P233)),""-"","""")"),"NS")</f>
        <v>NS</v>
      </c>
      <c r="S233" s="282" t="str">
        <f t="shared" si="8"/>
        <v>S-R-G-M</v>
      </c>
      <c r="T233" s="282" t="str">
        <f t="shared" si="9"/>
        <v>N-S</v>
      </c>
      <c r="U233" s="237" t="str">
        <f>IFERROR(__xludf.DUMMYFUNCTION("SUBSTITUTE(JOIN(""-"",S233,T233),""--"",""-"")"),"S-R-G-M-N-S")</f>
        <v>S-R-G-M-N-S</v>
      </c>
      <c r="V233" s="309" t="str">
        <f t="shared" si="10"/>
        <v>rGmMN</v>
      </c>
      <c r="W233" s="244" t="str">
        <f>IFERROR(__xludf.DUMMYFUNCTION("IF(REGEXMATCH(C233, ""S""), ""0"","""")"),"0")</f>
        <v>0</v>
      </c>
      <c r="X233" s="245" t="str">
        <f>IFERROR(__xludf.DUMMYFUNCTION("IF(REGEXMATCH(C233, ""r""), ""1"","""")"),"1")</f>
        <v>1</v>
      </c>
      <c r="Y233" s="246" t="str">
        <f>IFERROR(__xludf.DUMMYFUNCTION("IF(REGEXMATCH(C233, ""R""), ""2"","""")"),"")</f>
        <v/>
      </c>
      <c r="Z233" s="246" t="str">
        <f>IFERROR(__xludf.DUMMYFUNCTION("IF(REGEXMATCH(C233, ""g""), ""3"","""")"),"")</f>
        <v/>
      </c>
      <c r="AA233" s="245" t="str">
        <f>IFERROR(__xludf.DUMMYFUNCTION("IF(REGEXMATCH(C233, ""G""), ""4"","""")"),"4")</f>
        <v>4</v>
      </c>
      <c r="AB233" s="245" t="str">
        <f>IFERROR(__xludf.DUMMYFUNCTION("IF(REGEXMATCH(C233, ""m""), ""5"","""")"),"5")</f>
        <v>5</v>
      </c>
      <c r="AC233" s="246" t="str">
        <f>IFERROR(__xludf.DUMMYFUNCTION("IF(REGEXMATCH(C233, ""M""), ""6"","""")"),"6")</f>
        <v>6</v>
      </c>
      <c r="AD233" s="245" t="str">
        <f>IFERROR(__xludf.DUMMYFUNCTION("IF(REGEXMATCH(C233, ""P""), ""7"","""")"),"")</f>
        <v/>
      </c>
      <c r="AE233" s="246" t="str">
        <f>IFERROR(__xludf.DUMMYFUNCTION("IF(REGEXMATCH(C233, ""d""), ""8"","""")"),"")</f>
        <v/>
      </c>
      <c r="AF233" s="245" t="str">
        <f>IFERROR(__xludf.DUMMYFUNCTION("IF(REGEXMATCH(C233, ""D""), ""9"","""")"),"")</f>
        <v/>
      </c>
      <c r="AG233" s="245" t="str">
        <f>IFERROR(__xludf.DUMMYFUNCTION("IF(REGEXMATCH(C233, ""n""), ""10"","""")"),"")</f>
        <v/>
      </c>
      <c r="AH233" s="246" t="str">
        <f>IFERROR(__xludf.DUMMYFUNCTION("IF(REGEXMATCH(C233, ""N""), ""11"","""")"),"11")</f>
        <v>11</v>
      </c>
      <c r="AI233" s="249" t="str">
        <f>IFERROR(__xludf.DUMMYFUNCTION("IF(REGEXMATCH(C233, ""S""), ""0"","""")"),"0")</f>
        <v>0</v>
      </c>
      <c r="AJ233" s="313" t="str">
        <f t="shared" si="11"/>
        <v>T</v>
      </c>
      <c r="AK233" s="313" t="str">
        <f t="shared" si="12"/>
        <v>-</v>
      </c>
      <c r="AL233" s="313" t="str">
        <f t="shared" si="13"/>
        <v>-</v>
      </c>
      <c r="AM233" s="313" t="str">
        <f t="shared" si="14"/>
        <v>-</v>
      </c>
      <c r="AN233" s="313" t="str">
        <f t="shared" si="15"/>
        <v>-</v>
      </c>
      <c r="AO233" s="314" t="str">
        <f t="shared" si="16"/>
        <v>T</v>
      </c>
      <c r="AP233" s="316">
        <f t="shared" si="17"/>
        <v>2</v>
      </c>
      <c r="AQ233" s="319" t="str">
        <f t="shared" si="18"/>
        <v>-</v>
      </c>
      <c r="AR233" s="320">
        <f t="shared" si="19"/>
        <v>0</v>
      </c>
      <c r="AS233" s="250" t="str">
        <f>IFERROR(__xludf.DUMMYFUNCTION("SUBSTITUTE(SUBSTITUTE(CONCATENATE(JOIN("""",FP233:GA233)),""|"",""x""),""-"",""o"")"),"xxooxxxoooox")</f>
        <v>xxooxxxoooox</v>
      </c>
      <c r="AT233" s="323" t="str">
        <f>IFERROR(__xludf.DUMMYFUNCTION("JOIN("""",AS233,AS233)"),"xxooxxxooooxxxooxxxoooox")</f>
        <v>xxooxxxooooxxxooxxxoooox</v>
      </c>
      <c r="AU233" s="256" t="str">
        <f>IFERROR(__xludf.DUMMYFUNCTION("JOIN("""",ArrayFormula(MID(AS233,LEN(AS233)-SEQUENCE(1,LEN(AS233))+1,1)))"),"xooooxxxooxx")</f>
        <v>xooooxxxooxx</v>
      </c>
      <c r="AV233" s="256" t="str">
        <f>IFERROR(__xludf.DUMMYFUNCTION("LEFT(CONCATENATE(""x"",JOIN("""",ArrayFormula(MID(AS233,LEN(AS233)-SEQUENCE(1,LEN(AS233))+1,1)))),12)"),"xxooooxxxoox")</f>
        <v>xxooooxxxoox</v>
      </c>
      <c r="AW233" s="327" t="str">
        <f>IFERROR(__xludf.DUMMYFUNCTION("JOIN("""",AU233,AU233)"),"xooooxxxooxxxooooxxxooxx")</f>
        <v>xooooxxxooxxxooooxxxooxx</v>
      </c>
      <c r="AX233" s="239" t="str">
        <f>IFERROR(__xludf.DUMMYFUNCTION("IF(REGEXMATCH(AW233,AS233),""✔"",""-"")"),"✔")</f>
        <v>✔</v>
      </c>
      <c r="AY233" s="330" t="str">
        <f t="shared" si="20"/>
        <v>-</v>
      </c>
      <c r="AZ233" s="260" t="str">
        <f t="shared" si="21"/>
        <v>#REF!</v>
      </c>
      <c r="BA233" s="333" t="str">
        <f t="shared" si="22"/>
        <v>xxooxxx</v>
      </c>
      <c r="BB233" s="334" t="str">
        <f t="shared" si="23"/>
        <v>ooooxx</v>
      </c>
      <c r="BC233" s="335" t="str">
        <f t="shared" si="236"/>
        <v>-</v>
      </c>
      <c r="BD233" s="336" t="str">
        <f t="shared" si="25"/>
        <v>Meghranjani: 'xxooxxx' + 'ooooxx'</v>
      </c>
      <c r="BE233" s="337">
        <f>IFERROR(__xludf.DUMMYFUNCTION("COUNTUNIQUE(FILTER(AT:AT,REGEXMATCH(AT:AT,AS233)))-1"),0.0)</f>
        <v>0</v>
      </c>
      <c r="BF233" s="261" t="str">
        <f>IFERROR(__xludf.DUMMYFUNCTION("IF(BI233=0,""(n/a)"",IF(BJ233=2,""(PAIR)"",IF(REGEXMATCH(AT233,""xoxoxxoxoxox""),""Bilawal"",IF(REGEXMATCH(AT233,""xoxoxooxoxoo""),""Bhupali"",IF(REGEXMATCH(AT233,""xoxoxxoxxoxo""),""Charukeshi"",IF(REGEXMATCH(AT233,""xoxoooxxoxxo""),""Kameshwari"",IF(REG"&amp;"EXMATCH(AT233,""xoxoxooxoxox""),""Shankara"",IF(REGEXMATCH(AT233,""xxooxoxxxoox""),""Basant"",IF(REGEXMATCH(AT233,""xoxoxxxxoxox""),""Bihag"",IF(REGEXMATCH(AT233,""xoxxxxoxoxxx""),""Pilu"",IF(REGEXMATCH(AT233,""xoxxoxoxxoox""),""Kirwani"",IF(REGEXMATCH(AT"&amp;"233,""xoxxoxoxoxxx""),""Mk.Malhar"",IF(REGEXMATCH(AT233,""xxooxxoxxoox""),""Bhairav"",IF(REGEXMATCH(AT233,""xxoxooxxxoox""),""Todi"",IF(REGEXMATCH(AT233,""xxooxoxooxox""),""Marwa"",IF(REGEXMATCH(AT233,""xxoooxoxxooo""),""Gunkali"",IF(REGEXMATCH(AT233,""xo"&amp;"xoxxoxxoox""),""Nat Bhairav"",IF(REGEXMATCH(AT233,""xoxxoooxoxoo""),""Shivranjani"",IF(REGEXMATCH(AT233,""xooxxxoxooxo""),""Jog"",IF(REGEXMATCH(AT233,""xxooxoxoxoox""),""Hemshri"",IF(REGEXMATCH(AT233,""xoooxooxoxxo""),""Kalavati"",IF(REGEXMATCH(AT233,""xx"&amp;"oxoxxoxoox""),""Kedar"",IF(REGEXMATCH(AT233,""xoxxxxoxooxx""),""Gara"",IF(REGEXMATCH(AT233,""xooxoxooxoox""),""Chandrakauns"",IF(REGEXMATCH(AT233,""xoxxxxoxxxox""),""Mand"",IF(REGEXMATCH(AT233,""xoxxxxoxoxox""),""Hanskinkini"",IF(REGEXMATCH(AT233,""xxooxx"&amp;"oxooxo""),""Lilavati"",IF(REGEXMATCH(AT233,""xooxoxoooxox""),""Rajeshwari"",IF(REGEXMATCH(AT233,""xoooxxoxoxxx""),""Khokar"",IF(REGEXMATCH(AT233,""xxooxoxxxxox""),""Maligoura"",""-""))))))))))))))))))))))))))))))"),"(n/a)")</f>
        <v>(n/a)</v>
      </c>
      <c r="BG233" s="239" t="str">
        <f t="shared" si="26"/>
        <v>#REF!</v>
      </c>
      <c r="BH233" s="239">
        <f>IFERROR(__xludf.DUMMYFUNCTION("COUNTUNIQUE(FE233:FO233)-1"),5.0)</f>
        <v>5</v>
      </c>
      <c r="BI233" s="239">
        <f>IFERROR(__xludf.DUMMYFUNCTION("COUNTUNIQUE(FILTER(AT:AT,REGEXMATCH(AT:AT,AS233)))-1"),0.0)</f>
        <v>0</v>
      </c>
      <c r="BJ233" s="239">
        <f>IFERROR(__xludf.DUMMYFUNCTION("COUNTA(FILTER(AT:AT,REGEXMATCH(AT:AT,AS233)))"),1.0)</f>
        <v>1</v>
      </c>
      <c r="BK233" s="341">
        <f>IFERROR(__xludf.DUMMYFUNCTION("COUNTA(FILTER(AT:AT,REGEXMATCH(AT:AT,AS233)))-AR233"),1.0)</f>
        <v>1</v>
      </c>
      <c r="BL233" s="276" t="str">
        <f>IFERROR(__xludf.DUMMYFUNCTION("IF(AS233=""oooooooooooo"",""-"",IF(REGEXMATCH(AT233,""xx""), ""Hemi."", ""Anhemi.""))"),"Hemi.")</f>
        <v>Hemi.</v>
      </c>
      <c r="BM233" s="282" t="str">
        <f>IFERROR(__xludf.DUMMYFUNCTION("IF(AS233=""oooooooooooo"",""-"",IF(REGEXMATCH(AT233,""xxx""), ""Cohem."", ""-""))"),"Cohem.")</f>
        <v>Cohem.</v>
      </c>
      <c r="BN233" s="282" t="str">
        <f>IFERROR(__xludf.DUMMYFUNCTION("IF(AS233=""oooooooooooo"",""-"",IF(REGEXMATCH(AT233,""xxxx""), ""Co-Co."", ""-""))"),"-")</f>
        <v>-</v>
      </c>
      <c r="BO233" s="342" t="str">
        <f>IFERROR(__xludf.DUMMYFUNCTION("IF(AS233=""oooooooooooo"",""-"",IF(REGEXMATCH(AT233,""xxxxx""), ""CCC."", ""-""))"),"-")</f>
        <v>-</v>
      </c>
      <c r="BP233" s="344" t="str">
        <f t="shared" si="27"/>
        <v>-</v>
      </c>
      <c r="BQ233" s="282" t="str">
        <f>IFERROR(__xludf.DUMMYFUNCTION("IF(REGEXMATCH(JOIN(""-"",EU233:FD233),""TRUE""),""✔"",""-"")"),"-")</f>
        <v>-</v>
      </c>
      <c r="BR233" s="225">
        <f t="shared" si="28"/>
        <v>0</v>
      </c>
      <c r="BS233" s="345" t="str">
        <f>IFERROR(__xludf.DUMMYFUNCTION("SUBSTITUTE(SUBSTITUTE(SUBSTITUTE(SUBSTITUTE(CONCATENATE(JOIN(""-"",GC233:GO233)),""--"",""-""),""--"",""-""),""--"",""-""),""--"",""-"")"),"1-b2-3-4-#4-7-8")</f>
        <v>1-b2-3-4-#4-7-8</v>
      </c>
      <c r="BT233" s="299" t="str">
        <f>IFERROR(__xludf.DUMMYFUNCTION("SUBSTITUTE(SUBSTITUTE(SUBSTITUTE(SUBSTITUTE(CONCATENATE(JOIN(""-"",GP233:HB233)),""--"",""-""),""--"",""-""),""--"",""-""),""--"",""-"")"),"S-R1-G3-M1-M2-N3-S")</f>
        <v>S-R1-G3-M1-M2-N3-S</v>
      </c>
      <c r="BU233" s="348" t="str">
        <f t="shared" si="29"/>
        <v>C-Db-E-F-F#-B-C</v>
      </c>
      <c r="BV233" s="349" t="str">
        <f t="shared" si="30"/>
        <v>SRgPdDnS</v>
      </c>
      <c r="BW233" s="350">
        <f t="shared" si="31"/>
        <v>0</v>
      </c>
      <c r="BX233" s="351">
        <f t="shared" si="32"/>
        <v>1</v>
      </c>
      <c r="BY233" s="352" t="s">
        <v>275</v>
      </c>
      <c r="BZ233" s="309" t="str">
        <f>IFERROR(__xludf.DUMMYFUNCTION("IF(REGEXMATCH(C233, ""S""), ""x"",""x"")"),"x")</f>
        <v>x</v>
      </c>
      <c r="CA233" s="245" t="str">
        <f>IFERROR(__xludf.DUMMYFUNCTION("IF(REGEXMATCH(C233, ""r""), ""o"",""x"")"),"o")</f>
        <v>o</v>
      </c>
      <c r="CB233" s="246" t="str">
        <f>IFERROR(__xludf.DUMMYFUNCTION("IF(REGEXMATCH(C233, ""R""), ""o"",""x"")"),"x")</f>
        <v>x</v>
      </c>
      <c r="CC233" s="246" t="str">
        <f>IFERROR(__xludf.DUMMYFUNCTION("IF(REGEXMATCH(C233, ""g""), ""o"",""x"")"),"x")</f>
        <v>x</v>
      </c>
      <c r="CD233" s="245" t="str">
        <f>IFERROR(__xludf.DUMMYFUNCTION("IF(REGEXMATCH(C233, ""G""), ""o"",""x"")"),"o")</f>
        <v>o</v>
      </c>
      <c r="CE233" s="245" t="str">
        <f>IFERROR(__xludf.DUMMYFUNCTION("IF(REGEXMATCH(C233, ""m""), ""o"",""x"")"),"o")</f>
        <v>o</v>
      </c>
      <c r="CF233" s="246" t="str">
        <f>IFERROR(__xludf.DUMMYFUNCTION("IF(REGEXMATCH(C233, ""M""), ""o"",""x"")"),"o")</f>
        <v>o</v>
      </c>
      <c r="CG233" s="245" t="str">
        <f>IFERROR(__xludf.DUMMYFUNCTION("IF(REGEXMATCH(C233, ""P""), ""o"",""x"")"),"x")</f>
        <v>x</v>
      </c>
      <c r="CH233" s="246" t="str">
        <f>IFERROR(__xludf.DUMMYFUNCTION("IF(REGEXMATCH(C233, ""d""), ""o"",""x"")"),"x")</f>
        <v>x</v>
      </c>
      <c r="CI233" s="245" t="str">
        <f>IFERROR(__xludf.DUMMYFUNCTION("IF(REGEXMATCH(C233, ""D""), ""o"",""x"")"),"x")</f>
        <v>x</v>
      </c>
      <c r="CJ233" s="245" t="str">
        <f>IFERROR(__xludf.DUMMYFUNCTION("IF(REGEXMATCH(C233, ""n""), ""o"",""x"")"),"x")</f>
        <v>x</v>
      </c>
      <c r="CK233" s="245" t="str">
        <f>IFERROR(__xludf.DUMMYFUNCTION("IF(REGEXMATCH(C233, ""N""), ""o"",""x"")"),"o")</f>
        <v>o</v>
      </c>
      <c r="CL233" s="356" t="str">
        <f>IFERROR(__xludf.DUMMYFUNCTION("IF(REGEXMATCH(C233, ""S""), ""x"",""x"")"),"x")</f>
        <v>x</v>
      </c>
      <c r="CM233" s="357" t="str">
        <f t="shared" si="33"/>
        <v>xoxxoooxxxxo</v>
      </c>
      <c r="CN233" s="358">
        <f t="shared" si="34"/>
        <v>0</v>
      </c>
      <c r="CO233" s="246" t="str">
        <f>IFERROR(__xludf.DUMMYFUNCTION("IF(REGEXMATCH($C233, ""S""), ""S"",""S"")"),"S")</f>
        <v>S</v>
      </c>
      <c r="CP233" s="246" t="str">
        <f>IFERROR(__xludf.DUMMYFUNCTION("IF(REGEXMATCH($C233, ""r""), """",""r"")"),"")</f>
        <v/>
      </c>
      <c r="CQ233" s="246" t="str">
        <f>IFERROR(__xludf.DUMMYFUNCTION("IF(REGEXMATCH($C233, ""R""), """",""R"")"),"R")</f>
        <v>R</v>
      </c>
      <c r="CR233" s="246" t="str">
        <f>IFERROR(__xludf.DUMMYFUNCTION("IF(REGEXMATCH($C233, ""g""), """",""g"")"),"g")</f>
        <v>g</v>
      </c>
      <c r="CS233" s="246" t="str">
        <f>IFERROR(__xludf.DUMMYFUNCTION("IF(REGEXMATCH($C233, ""G""), """",""G"")"),"")</f>
        <v/>
      </c>
      <c r="CT233" s="246" t="str">
        <f>IFERROR(__xludf.DUMMYFUNCTION("IF(REGEXMATCH($C233, ""m""), """",""m"")"),"")</f>
        <v/>
      </c>
      <c r="CU233" s="246" t="str">
        <f>IFERROR(__xludf.DUMMYFUNCTION("IF(REGEXMATCH($C233, ""M""), """",""M"")"),"")</f>
        <v/>
      </c>
      <c r="CV233" s="246" t="str">
        <f>IFERROR(__xludf.DUMMYFUNCTION("IF(REGEXMATCH($C233, ""P""), """",""P"")"),"P")</f>
        <v>P</v>
      </c>
      <c r="CW233" s="246" t="str">
        <f>IFERROR(__xludf.DUMMYFUNCTION("IF(REGEXMATCH($C233, ""d""), """",""d"")"),"d")</f>
        <v>d</v>
      </c>
      <c r="CX233" s="246" t="str">
        <f>IFERROR(__xludf.DUMMYFUNCTION("IF(REGEXMATCH($C233, ""D""), """",""D"")"),"D")</f>
        <v>D</v>
      </c>
      <c r="CY233" s="246" t="str">
        <f>IFERROR(__xludf.DUMMYFUNCTION("IF(REGEXMATCH($C233, ""n""), """",""n"")"),"n")</f>
        <v>n</v>
      </c>
      <c r="CZ233" s="246" t="str">
        <f>IFERROR(__xludf.DUMMYFUNCTION("IF(REGEXMATCH($C233, ""N""), """",""N"")"),"")</f>
        <v/>
      </c>
      <c r="DA233" s="246" t="str">
        <f>IFERROR(__xludf.DUMMYFUNCTION("IF(REGEXMATCH($C233, ""S""), ""S"",""S"")"),"S")</f>
        <v>S</v>
      </c>
      <c r="DB233" s="362" t="str">
        <f>IFERROR(__xludf.DUMMYFUNCTION("JOIN("""",CO233:DA233,"""","""")"),"SRgPdDnS")</f>
        <v>SRgPdDnS</v>
      </c>
      <c r="DC233" s="363"/>
      <c r="DD233" s="301" t="str">
        <f t="shared" si="35"/>
        <v>#REF!</v>
      </c>
      <c r="DE233" s="302" t="str">
        <f t="shared" si="36"/>
        <v>#REF!</v>
      </c>
      <c r="DF233" s="301" t="str">
        <f t="shared" ref="DF233:DG233" si="684">SUBSTITUTE(S233,"-","")</f>
        <v>SRGM</v>
      </c>
      <c r="DG233" s="301" t="str">
        <f t="shared" si="684"/>
        <v>NS</v>
      </c>
      <c r="DH233" s="302" t="str">
        <f t="shared" si="38"/>
        <v>(n/a)</v>
      </c>
      <c r="DI233" s="301" t="str">
        <f t="shared" si="39"/>
        <v>Hemi.</v>
      </c>
      <c r="DJ233" s="364" t="str">
        <f t="shared" si="40"/>
        <v>Cohem.</v>
      </c>
      <c r="DK233" s="306" t="str">
        <f t="shared" si="41"/>
        <v>-</v>
      </c>
      <c r="DL233" s="366" t="str">
        <f t="shared" si="42"/>
        <v>-</v>
      </c>
      <c r="DM233" s="308" t="str">
        <f t="shared" si="43"/>
        <v>✔</v>
      </c>
      <c r="DN233" s="306" t="str">
        <f t="shared" si="44"/>
        <v>-</v>
      </c>
      <c r="DO233" s="306" t="str">
        <f t="shared" si="45"/>
        <v>-</v>
      </c>
      <c r="DP233" s="367" t="str">
        <f t="shared" si="46"/>
        <v>-</v>
      </c>
      <c r="DQ233" s="310" t="str">
        <f t="shared" si="47"/>
        <v>-</v>
      </c>
      <c r="DR233" s="310" t="str">
        <f t="shared" si="48"/>
        <v>-</v>
      </c>
      <c r="DS233" s="310" t="str">
        <f t="shared" si="49"/>
        <v>✔</v>
      </c>
      <c r="DT233" s="310" t="str">
        <f t="shared" si="50"/>
        <v>-</v>
      </c>
      <c r="DU233" s="370" t="str">
        <f t="shared" si="51"/>
        <v>-</v>
      </c>
      <c r="DV233" s="306" t="str">
        <f t="shared" si="52"/>
        <v>-</v>
      </c>
      <c r="DW233" s="306" t="str">
        <f t="shared" si="53"/>
        <v>-</v>
      </c>
      <c r="DX233" s="306" t="str">
        <f t="shared" si="54"/>
        <v>-</v>
      </c>
      <c r="DY233" s="306" t="str">
        <f t="shared" si="55"/>
        <v>✔</v>
      </c>
      <c r="DZ233" s="306" t="str">
        <f t="shared" si="56"/>
        <v>✔</v>
      </c>
      <c r="EA233" s="367" t="str">
        <f t="shared" si="57"/>
        <v>-</v>
      </c>
      <c r="EB233" s="310" t="str">
        <f>IFERROR(__xludf.DUMMYFUNCTION("IF(REGEXMATCH(AW233,AS233),""✔"",""-"")"),"✔")</f>
        <v>✔</v>
      </c>
      <c r="EC233" s="310" t="str">
        <f t="shared" si="58"/>
        <v>#REF!</v>
      </c>
      <c r="ED233" s="370" t="str">
        <f t="shared" si="59"/>
        <v>-</v>
      </c>
      <c r="EE233" s="340" t="str">
        <f t="shared" si="60"/>
        <v>S-r-G-mM-N-S</v>
      </c>
      <c r="EF233" s="371" t="str">
        <f>IFERROR(__xludf.DUMMYFUNCTION("CONCATENATE(JOIN("""",HC233:HO233))"),"SrMPdNS")</f>
        <v>SrMPdNS</v>
      </c>
      <c r="EG233" s="372">
        <f t="shared" si="61"/>
        <v>2</v>
      </c>
      <c r="EH233" s="373" t="str">
        <f>IFERROR(__xludf.DUMMYFUNCTION("CONCATENATE(JOIN("""",JC233:JO233))"),"Sa, re, ")</f>
        <v>Sa, re, </v>
      </c>
      <c r="EI233" s="322">
        <f t="shared" si="62"/>
        <v>0</v>
      </c>
      <c r="EJ233" s="374" t="str">
        <f>IFERROR(__xludf.DUMMYFUNCTION("CONCATENATE(JOIN("""",KC233:KO233))"),"")</f>
        <v/>
      </c>
      <c r="EK233" s="325" t="str">
        <f t="shared" si="63"/>
        <v>S-R1-G3-M1-M2-N3-S</v>
      </c>
      <c r="EL233" s="326" t="str">
        <f t="shared" si="64"/>
        <v>1-b2-3-4-#4-7-8</v>
      </c>
      <c r="EM233" s="318" t="str">
        <f t="shared" si="65"/>
        <v>#REF!</v>
      </c>
      <c r="EN233" s="328" t="str">
        <f>IFERROR(__xludf.DUMMYFUNCTION("SUBSTITUTE(SUBSTITUTE(SUBSTITUTE(SUBSTITUTE(CONCATENATE(JOIN("" "",HP233:IB233)),""  "","" ""),""  "","" ""),""  "","" ""),""  "","" "")"),"o o • • o o o • • • • o o")</f>
        <v>o o • • o o o • • • • o o</v>
      </c>
      <c r="EO233" s="368" t="str">
        <f t="shared" si="66"/>
        <v>-</v>
      </c>
      <c r="EP233" s="339" t="str">
        <f t="shared" si="67"/>
        <v>-</v>
      </c>
      <c r="EQ233" s="339" t="str">
        <f t="shared" si="68"/>
        <v>-</v>
      </c>
      <c r="ER233" s="339" t="str">
        <f t="shared" si="69"/>
        <v>-</v>
      </c>
      <c r="ES233" s="340" t="str">
        <f t="shared" si="70"/>
        <v>-</v>
      </c>
      <c r="ET233" s="363"/>
      <c r="EU233" s="376" t="b">
        <f>IFERROR(__xludf.DUMMYFUNCTION("arrayformula(sum(--REGEXMATCH(""SRGMPDNS"",split(REGEXREPLACE(C233,""(.)"",""$1~""),""~""))))=len(C233)
"),FALSE)</f>
        <v>0</v>
      </c>
      <c r="EV233" s="290" t="b">
        <f>IFERROR(__xludf.DUMMYFUNCTION("arrayformula(sum(--REGEXMATCH(""SRGmPDNS"",split(REGEXREPLACE(C233,""(.)"",""$1~""),""~""))))=len(C233)"),FALSE)</f>
        <v>0</v>
      </c>
      <c r="EW233" s="290" t="b">
        <f>IFERROR(__xludf.DUMMYFUNCTION("arrayformula(sum(--REGEXMATCH(""SRGmPDnS"",split(REGEXREPLACE(C233,""(.)"",""$1~""),""~""))))=len(C233)"),FALSE)</f>
        <v>0</v>
      </c>
      <c r="EX233" s="290" t="b">
        <f>IFERROR(__xludf.DUMMYFUNCTION("arrayformula(sum(--REGEXMATCH(""SRgmPDnS"",split(REGEXREPLACE(C233,""(.)"",""$1~""),""~""))))=len(C233)"),FALSE)</f>
        <v>0</v>
      </c>
      <c r="EY233" s="290" t="b">
        <f>IFERROR(__xludf.DUMMYFUNCTION("arrayformula(sum(--REGEXMATCH(""SRgmPdnS"",split(REGEXREPLACE(C233,""(.)"",""$1~""),""~""))))=len(C233)"),FALSE)</f>
        <v>0</v>
      </c>
      <c r="EZ233" s="290" t="b">
        <f>IFERROR(__xludf.DUMMYFUNCTION("arrayformula(sum(--REGEXMATCH(""SrgmPdnS"",split(REGEXREPLACE(C233,""(.)"",""$1~""),""~""))))=len(C233)"),FALSE)</f>
        <v>0</v>
      </c>
      <c r="FA233" s="290" t="b">
        <f>IFERROR(__xludf.DUMMYFUNCTION("arrayformula(sum(--REGEXMATCH(""SrGmPdNS"",split(REGEXREPLACE(C233,""(.)"",""$1~""),""~""))))=len(C233)"),FALSE)</f>
        <v>0</v>
      </c>
      <c r="FB233" s="290" t="b">
        <f>IFERROR(__xludf.DUMMYFUNCTION("arrayformula(sum(--REGEXMATCH(""SrGMPDNS"",split(REGEXREPLACE(C233,""(.)"",""$1~""),""~""))))=len(C233)"),FALSE)</f>
        <v>0</v>
      </c>
      <c r="FC233" s="290" t="b">
        <f>IFERROR(__xludf.DUMMYFUNCTION("arrayformula(sum(--REGEXMATCH(""SrGMPdNS"",split(REGEXREPLACE(C233,""(.)"",""$1~""),""~""))))=len(C233)"),FALSE)</f>
        <v>0</v>
      </c>
      <c r="FD233" s="377" t="b">
        <f>IFERROR(__xludf.DUMMYFUNCTION("arrayformula(sum(--REGEXMATCH(""SrgMPdNS"",split(REGEXREPLACE(C233,""(.)"",""$1~""),""~""))))=len(C233)"),FALSE)</f>
        <v>0</v>
      </c>
      <c r="FE233" s="269" t="str">
        <f t="shared" si="71"/>
        <v>xooxxxoooox</v>
      </c>
      <c r="FF233" s="269" t="str">
        <f t="shared" si="72"/>
        <v>-</v>
      </c>
      <c r="FG233" s="271" t="str">
        <f t="shared" si="73"/>
        <v>-</v>
      </c>
      <c r="FH233" s="269" t="str">
        <f t="shared" si="74"/>
        <v>xxxooooxxxo</v>
      </c>
      <c r="FI233" s="271" t="str">
        <f t="shared" si="75"/>
        <v>xxooooxxxoo</v>
      </c>
      <c r="FJ233" s="271" t="str">
        <f t="shared" si="76"/>
        <v>xooooxxxoox</v>
      </c>
      <c r="FK233" s="271" t="str">
        <f t="shared" si="77"/>
        <v>-</v>
      </c>
      <c r="FL233" s="271" t="str">
        <f t="shared" si="78"/>
        <v>-</v>
      </c>
      <c r="FM233" s="271" t="str">
        <f t="shared" si="79"/>
        <v>-</v>
      </c>
      <c r="FN233" s="271" t="str">
        <f t="shared" si="80"/>
        <v>-</v>
      </c>
      <c r="FO233" s="274" t="str">
        <f t="shared" si="81"/>
        <v>xxxooxxxooo</v>
      </c>
      <c r="FP233" s="234" t="str">
        <f t="shared" si="82"/>
        <v>|</v>
      </c>
      <c r="FQ233" s="236" t="str">
        <f t="shared" si="83"/>
        <v>|</v>
      </c>
      <c r="FR233" s="237" t="str">
        <f t="shared" si="84"/>
        <v>-</v>
      </c>
      <c r="FS233" s="236" t="str">
        <f t="shared" si="85"/>
        <v>-</v>
      </c>
      <c r="FT233" s="237" t="str">
        <f t="shared" si="86"/>
        <v>|</v>
      </c>
      <c r="FU233" s="236" t="str">
        <f t="shared" si="87"/>
        <v>|</v>
      </c>
      <c r="FV233" s="237" t="str">
        <f t="shared" si="88"/>
        <v>|</v>
      </c>
      <c r="FW233" s="236" t="str">
        <f t="shared" si="89"/>
        <v>-</v>
      </c>
      <c r="FX233" s="237" t="str">
        <f t="shared" si="90"/>
        <v>-</v>
      </c>
      <c r="FY233" s="236" t="str">
        <f t="shared" si="91"/>
        <v>-</v>
      </c>
      <c r="FZ233" s="237" t="str">
        <f t="shared" si="92"/>
        <v>-</v>
      </c>
      <c r="GA233" s="236" t="str">
        <f t="shared" si="93"/>
        <v>|</v>
      </c>
      <c r="GB233" s="238" t="str">
        <f t="shared" si="94"/>
        <v>|</v>
      </c>
      <c r="GC233" s="244" t="str">
        <f>IFERROR(__xludf.DUMMYFUNCTION("IF(REGEXMATCH(C233, ""S""), ""1"","""")"),"1")</f>
        <v>1</v>
      </c>
      <c r="GD233" s="245" t="str">
        <f>IFERROR(__xludf.DUMMYFUNCTION("IF(REGEXMATCH(C233, ""r""), ""b2"","""")"),"b2")</f>
        <v>b2</v>
      </c>
      <c r="GE233" s="246" t="str">
        <f>IFERROR(__xludf.DUMMYFUNCTION("IF(REGEXMATCH(C233, ""R""), ""2"","""")"),"")</f>
        <v/>
      </c>
      <c r="GF233" s="246" t="str">
        <f>IFERROR(__xludf.DUMMYFUNCTION("IF(REGEXMATCH(C233, ""g""), ""b3"","""")"),"")</f>
        <v/>
      </c>
      <c r="GG233" s="245" t="str">
        <f>IFERROR(__xludf.DUMMYFUNCTION("IF(REGEXMATCH(C233, ""G""), ""3"","""")"),"3")</f>
        <v>3</v>
      </c>
      <c r="GH233" s="245" t="str">
        <f>IFERROR(__xludf.DUMMYFUNCTION("IF(REGEXMATCH(C233, ""m""), ""4"","""")"),"4")</f>
        <v>4</v>
      </c>
      <c r="GI233" s="246" t="str">
        <f>IFERROR(__xludf.DUMMYFUNCTION("IF(REGEXMATCH(C233, ""M""), ""#4"","""")"),"#4")</f>
        <v>#4</v>
      </c>
      <c r="GJ233" s="245" t="str">
        <f>IFERROR(__xludf.DUMMYFUNCTION("IF(REGEXMATCH(C233, ""P""), ""5"","""")"),"")</f>
        <v/>
      </c>
      <c r="GK233" s="246" t="str">
        <f>IFERROR(__xludf.DUMMYFUNCTION("IF(REGEXMATCH(C233, ""d""), ""b6"","""")"),"")</f>
        <v/>
      </c>
      <c r="GL233" s="245" t="str">
        <f>IFERROR(__xludf.DUMMYFUNCTION("IF(REGEXMATCH(C233, ""D""), ""6"","""")"),"")</f>
        <v/>
      </c>
      <c r="GM233" s="245" t="str">
        <f>IFERROR(__xludf.DUMMYFUNCTION("IF(REGEXMATCH(C233, ""n""), ""b7"","""")"),"")</f>
        <v/>
      </c>
      <c r="GN233" s="246" t="str">
        <f>IFERROR(__xludf.DUMMYFUNCTION("IF(REGEXMATCH(C233, ""N""), ""7"","""")"),"7")</f>
        <v>7</v>
      </c>
      <c r="GO233" s="249" t="str">
        <f>IFERROR(__xludf.DUMMYFUNCTION("IF(REGEXMATCH(C233, ""S""), ""8"","""")"),"8")</f>
        <v>8</v>
      </c>
      <c r="GP233" s="244" t="str">
        <f>IFERROR(__xludf.DUMMYFUNCTION("IF(REGEXMATCH(C233, ""S""), ""S"","""")"),"S")</f>
        <v>S</v>
      </c>
      <c r="GQ233" s="294" t="str">
        <f>IFERROR(__xludf.DUMMYFUNCTION("IF(REGEXMATCH(C233, ""r""), ""R1"","""")"),"R1")</f>
        <v>R1</v>
      </c>
      <c r="GR233" s="295" t="str">
        <f>IFERROR(__xludf.DUMMYFUNCTION("IF(REGEXMATCH(C233, ""R""), ""R2"","""")"),"")</f>
        <v/>
      </c>
      <c r="GS233" s="295" t="str">
        <f>IFERROR(__xludf.DUMMYFUNCTION("IF(REGEXMATCH(C233, ""g""), ""G2"","""")"),"")</f>
        <v/>
      </c>
      <c r="GT233" s="294" t="str">
        <f>IFERROR(__xludf.DUMMYFUNCTION("IF(REGEXMATCH(C233, ""G""), ""G3"","""")"),"G3")</f>
        <v>G3</v>
      </c>
      <c r="GU233" s="294" t="str">
        <f>IFERROR(__xludf.DUMMYFUNCTION("IF(REGEXMATCH(C233, ""m""), ""M1"","""")"),"M1")</f>
        <v>M1</v>
      </c>
      <c r="GV233" s="295" t="str">
        <f>IFERROR(__xludf.DUMMYFUNCTION("IF(REGEXMATCH(C233, ""M""), ""M2"","""")"),"M2")</f>
        <v>M2</v>
      </c>
      <c r="GW233" s="294" t="str">
        <f>IFERROR(__xludf.DUMMYFUNCTION("IF(REGEXMATCH(C233, ""P""), ""P"","""")"),"")</f>
        <v/>
      </c>
      <c r="GX233" s="295" t="str">
        <f>IFERROR(__xludf.DUMMYFUNCTION("IF(REGEXMATCH(C233, ""d""), ""D1"","""")"),"")</f>
        <v/>
      </c>
      <c r="GY233" s="294" t="str">
        <f>IFERROR(__xludf.DUMMYFUNCTION("IF(REGEXMATCH(C233, ""D""), ""D2"","""")"),"")</f>
        <v/>
      </c>
      <c r="GZ233" s="294" t="str">
        <f>IFERROR(__xludf.DUMMYFUNCTION("IF(REGEXMATCH(C233, ""n""), ""N2"","""")"),"")</f>
        <v/>
      </c>
      <c r="HA233" s="295" t="str">
        <f>IFERROR(__xludf.DUMMYFUNCTION("IF(REGEXMATCH(C233, ""N""), ""N3"","""")"),"N3")</f>
        <v>N3</v>
      </c>
      <c r="HB233" s="249" t="str">
        <f>IFERROR(__xludf.DUMMYFUNCTION("IF(REGEXMATCH(C233, ""S""), ""S"","""")"),"S")</f>
        <v>S</v>
      </c>
      <c r="HC233" s="331" t="str">
        <f t="shared" si="95"/>
        <v>S</v>
      </c>
      <c r="HD233" s="332" t="str">
        <f t="shared" si="96"/>
        <v>r</v>
      </c>
      <c r="HE233" s="332" t="str">
        <f t="shared" si="97"/>
        <v/>
      </c>
      <c r="HF233" s="332" t="str">
        <f t="shared" si="98"/>
        <v/>
      </c>
      <c r="HG233" s="332" t="str">
        <f t="shared" si="99"/>
        <v/>
      </c>
      <c r="HH233" s="332" t="str">
        <f t="shared" si="100"/>
        <v/>
      </c>
      <c r="HI233" s="332" t="str">
        <f t="shared" si="101"/>
        <v>M</v>
      </c>
      <c r="HJ233" s="332" t="str">
        <f t="shared" si="102"/>
        <v>P</v>
      </c>
      <c r="HK233" s="332" t="str">
        <f t="shared" si="103"/>
        <v>d</v>
      </c>
      <c r="HL233" s="332" t="str">
        <f t="shared" si="104"/>
        <v/>
      </c>
      <c r="HM233" s="332" t="str">
        <f t="shared" si="105"/>
        <v/>
      </c>
      <c r="HN233" s="332" t="str">
        <f t="shared" si="106"/>
        <v>N</v>
      </c>
      <c r="HO233" s="343" t="str">
        <f t="shared" si="107"/>
        <v>S</v>
      </c>
      <c r="HP233" s="331" t="str">
        <f t="shared" si="108"/>
        <v>o</v>
      </c>
      <c r="HQ233" s="332" t="str">
        <f t="shared" si="109"/>
        <v>o</v>
      </c>
      <c r="HR233" s="332" t="str">
        <f t="shared" si="110"/>
        <v>•</v>
      </c>
      <c r="HS233" s="332" t="str">
        <f t="shared" si="111"/>
        <v>•</v>
      </c>
      <c r="HT233" s="332" t="str">
        <f t="shared" si="112"/>
        <v>o</v>
      </c>
      <c r="HU233" s="332" t="str">
        <f t="shared" si="113"/>
        <v>o</v>
      </c>
      <c r="HV233" s="332" t="str">
        <f t="shared" si="114"/>
        <v>o</v>
      </c>
      <c r="HW233" s="332" t="str">
        <f t="shared" si="115"/>
        <v>•</v>
      </c>
      <c r="HX233" s="332" t="str">
        <f t="shared" si="116"/>
        <v>•</v>
      </c>
      <c r="HY233" s="332" t="str">
        <f t="shared" si="117"/>
        <v>•</v>
      </c>
      <c r="HZ233" s="332" t="str">
        <f t="shared" si="118"/>
        <v>•</v>
      </c>
      <c r="IA233" s="332" t="str">
        <f t="shared" si="119"/>
        <v>o</v>
      </c>
      <c r="IB233" s="338" t="str">
        <f t="shared" si="120"/>
        <v>o</v>
      </c>
      <c r="IC233" s="331" t="str">
        <f t="shared" si="121"/>
        <v>•</v>
      </c>
      <c r="ID233" s="332" t="str">
        <f t="shared" si="122"/>
        <v>•</v>
      </c>
      <c r="IE233" s="332" t="str">
        <f t="shared" si="123"/>
        <v>o</v>
      </c>
      <c r="IF233" s="332" t="str">
        <f t="shared" si="124"/>
        <v>o</v>
      </c>
      <c r="IG233" s="332" t="str">
        <f t="shared" si="125"/>
        <v>•</v>
      </c>
      <c r="IH233" s="332" t="str">
        <f t="shared" si="126"/>
        <v>•</v>
      </c>
      <c r="II233" s="332" t="str">
        <f t="shared" si="127"/>
        <v>•</v>
      </c>
      <c r="IJ233" s="332" t="str">
        <f t="shared" si="128"/>
        <v>o</v>
      </c>
      <c r="IK233" s="332" t="str">
        <f t="shared" si="129"/>
        <v>o</v>
      </c>
      <c r="IL233" s="332" t="str">
        <f t="shared" si="130"/>
        <v>o</v>
      </c>
      <c r="IM233" s="332" t="str">
        <f t="shared" si="131"/>
        <v>o</v>
      </c>
      <c r="IN233" s="332" t="str">
        <f t="shared" si="132"/>
        <v>•</v>
      </c>
      <c r="IO233" s="338" t="str">
        <f t="shared" si="133"/>
        <v>•</v>
      </c>
      <c r="IP233" s="346" t="b">
        <f t="shared" si="134"/>
        <v>1</v>
      </c>
      <c r="IQ233" s="347" t="b">
        <f t="shared" si="135"/>
        <v>1</v>
      </c>
      <c r="IR233" s="347" t="b">
        <f t="shared" si="136"/>
        <v>0</v>
      </c>
      <c r="IS233" s="347" t="b">
        <f t="shared" si="137"/>
        <v>0</v>
      </c>
      <c r="IT233" s="347" t="b">
        <f t="shared" si="138"/>
        <v>0</v>
      </c>
      <c r="IU233" s="347" t="b">
        <f t="shared" si="139"/>
        <v>0</v>
      </c>
      <c r="IV233" s="347" t="b">
        <f t="shared" si="140"/>
        <v>0</v>
      </c>
      <c r="IW233" s="347" t="b">
        <f t="shared" si="141"/>
        <v>0</v>
      </c>
      <c r="IX233" s="347" t="b">
        <f t="shared" si="142"/>
        <v>0</v>
      </c>
      <c r="IY233" s="347" t="b">
        <f t="shared" si="143"/>
        <v>0</v>
      </c>
      <c r="IZ233" s="347" t="b">
        <f t="shared" si="144"/>
        <v>0</v>
      </c>
      <c r="JA233" s="347" t="b">
        <f t="shared" si="145"/>
        <v>0</v>
      </c>
      <c r="JB233" s="353" t="b">
        <f t="shared" si="146"/>
        <v>1</v>
      </c>
      <c r="JC233" s="354" t="str">
        <f t="shared" si="147"/>
        <v>Sa, </v>
      </c>
      <c r="JD233" s="355" t="str">
        <f t="shared" si="148"/>
        <v>re, </v>
      </c>
      <c r="JE233" s="355" t="str">
        <f t="shared" si="149"/>
        <v/>
      </c>
      <c r="JF233" s="355" t="str">
        <f t="shared" si="150"/>
        <v/>
      </c>
      <c r="JG233" s="355" t="str">
        <f t="shared" si="151"/>
        <v/>
      </c>
      <c r="JH233" s="355" t="str">
        <f t="shared" si="152"/>
        <v/>
      </c>
      <c r="JI233" s="355" t="str">
        <f t="shared" si="153"/>
        <v/>
      </c>
      <c r="JJ233" s="355" t="str">
        <f t="shared" si="154"/>
        <v/>
      </c>
      <c r="JK233" s="355" t="str">
        <f t="shared" si="155"/>
        <v/>
      </c>
      <c r="JL233" s="355" t="str">
        <f t="shared" si="156"/>
        <v/>
      </c>
      <c r="JM233" s="355" t="str">
        <f t="shared" si="157"/>
        <v/>
      </c>
      <c r="JN233" s="355" t="str">
        <f t="shared" si="158"/>
        <v/>
      </c>
      <c r="JO233" s="359" t="str">
        <f t="shared" si="159"/>
        <v/>
      </c>
      <c r="JP233" s="346" t="b">
        <f t="shared" si="160"/>
        <v>0</v>
      </c>
      <c r="JQ233" s="347" t="b">
        <f t="shared" si="161"/>
        <v>0</v>
      </c>
      <c r="JR233" s="347" t="b">
        <f t="shared" si="162"/>
        <v>0</v>
      </c>
      <c r="JS233" s="347" t="b">
        <f t="shared" si="163"/>
        <v>0</v>
      </c>
      <c r="JT233" s="347" t="b">
        <f t="shared" si="164"/>
        <v>0</v>
      </c>
      <c r="JU233" s="347" t="b">
        <f t="shared" si="165"/>
        <v>0</v>
      </c>
      <c r="JV233" s="347" t="b">
        <f t="shared" si="166"/>
        <v>0</v>
      </c>
      <c r="JW233" s="347" t="b">
        <f t="shared" si="167"/>
        <v>0</v>
      </c>
      <c r="JX233" s="347" t="b">
        <f t="shared" si="168"/>
        <v>0</v>
      </c>
      <c r="JY233" s="347" t="b">
        <f t="shared" si="169"/>
        <v>0</v>
      </c>
      <c r="JZ233" s="347" t="b">
        <f t="shared" si="170"/>
        <v>0</v>
      </c>
      <c r="KA233" s="347" t="b">
        <f t="shared" si="171"/>
        <v>0</v>
      </c>
      <c r="KB233" s="365" t="b">
        <f t="shared" si="172"/>
        <v>0</v>
      </c>
      <c r="KC233" s="354" t="str">
        <f t="shared" si="173"/>
        <v/>
      </c>
      <c r="KD233" s="355" t="str">
        <f t="shared" si="174"/>
        <v/>
      </c>
      <c r="KE233" s="355" t="str">
        <f t="shared" si="175"/>
        <v/>
      </c>
      <c r="KF233" s="355" t="str">
        <f t="shared" si="176"/>
        <v/>
      </c>
      <c r="KG233" s="355" t="str">
        <f t="shared" si="177"/>
        <v/>
      </c>
      <c r="KH233" s="355" t="str">
        <f t="shared" si="178"/>
        <v/>
      </c>
      <c r="KI233" s="355" t="str">
        <f t="shared" si="179"/>
        <v/>
      </c>
      <c r="KJ233" s="355" t="str">
        <f t="shared" si="180"/>
        <v/>
      </c>
      <c r="KK233" s="355" t="str">
        <f t="shared" si="181"/>
        <v/>
      </c>
      <c r="KL233" s="355" t="str">
        <f t="shared" si="182"/>
        <v/>
      </c>
      <c r="KM233" s="355" t="str">
        <f t="shared" si="183"/>
        <v/>
      </c>
      <c r="KN233" s="355" t="str">
        <f t="shared" si="184"/>
        <v/>
      </c>
      <c r="KO233" s="359"/>
      <c r="KP233" s="378"/>
      <c r="KQ233" s="379" t="s">
        <v>987</v>
      </c>
      <c r="KR233" s="380" t="s">
        <v>1457</v>
      </c>
      <c r="KS233" s="381" t="str">
        <f t="shared" si="685"/>
        <v>S-r-G-mM-N-S</v>
      </c>
      <c r="KT233" s="382">
        <f t="shared" si="186"/>
        <v>5</v>
      </c>
      <c r="KU233" s="383">
        <f t="shared" si="187"/>
        <v>6</v>
      </c>
      <c r="KV233" s="381" t="str">
        <f t="shared" si="205"/>
        <v>S-N-Mm-G-r-S</v>
      </c>
      <c r="KW233" s="382">
        <f t="shared" si="189"/>
        <v>5</v>
      </c>
      <c r="KX233" s="384">
        <f t="shared" si="190"/>
        <v>6</v>
      </c>
      <c r="KY233" s="382">
        <f t="shared" ref="KY233:KZ233" si="686">KW233-KT233</f>
        <v>0</v>
      </c>
      <c r="KZ233" s="369">
        <f t="shared" si="686"/>
        <v>0</v>
      </c>
      <c r="LA233" s="385" t="str">
        <f t="shared" si="192"/>
        <v>✔</v>
      </c>
      <c r="LB233" s="340" t="str">
        <f>IFERROR(__xludf.DUMMYFUNCTION("JOIN("""",ArrayFormula(MID(KS233,LEN(KS233)-SEQUENCE(1,LEN(KS233))+1,1)))"),"S-N-Mm-G-r-S")</f>
        <v>S-N-Mm-G-r-S</v>
      </c>
      <c r="LC233" s="373" t="str">
        <f>IFERROR(__xludf.DUMMYFUNCTION("JOIN("""",ArrayFormula(MID(KV233,LEN(KV233)-SEQUENCE(1,LEN(KV233))+1,1)))"),"S-r-G-mM-N-S")</f>
        <v>S-r-G-mM-N-S</v>
      </c>
      <c r="LD233" s="373" t="str">
        <f t="shared" si="193"/>
        <v>SrGmMNS</v>
      </c>
      <c r="LE233" s="339" t="str">
        <f t="shared" si="194"/>
        <v>SrGmMNS</v>
      </c>
      <c r="LF233" s="386" t="str">
        <f>IFERROR(__xludf.DUMMYFUNCTION("SUBSTITUTE(SUBSTITUTE(CONCATENATE(JOIN("""",LH233:LT233)),""1"",""""),""2"","""")"),"SrGmMNS")</f>
        <v>SrGmMNS</v>
      </c>
      <c r="LG233" s="369" t="str">
        <f t="shared" si="195"/>
        <v>✔</v>
      </c>
      <c r="LH233" s="387" t="str">
        <f>IFERROR(__xludf.DUMMYFUNCTION("IF(REGEXMATCH(LD233, ""S""), ""S"",IF(REGEXMATCH(LE233, ""S""), ""S"",""""))"),"S")</f>
        <v>S</v>
      </c>
      <c r="LI233" s="299" t="str">
        <f>IFERROR(__xludf.DUMMYFUNCTION("IF(REGEXMATCH(LD233, ""r""), ""r1"",IF(REGEXMATCH(LE233, ""r""), ""r2"",""""))"),"r1")</f>
        <v>r1</v>
      </c>
      <c r="LJ233" s="299" t="str">
        <f>IFERROR(__xludf.DUMMYFUNCTION("IF(REGEXMATCH(LD233, ""R""), ""R1"",IF(REGEXMATCH(LE233, ""R""), ""R2"",""""))"),"")</f>
        <v/>
      </c>
      <c r="LK233" s="299" t="str">
        <f>IFERROR(__xludf.DUMMYFUNCTION("IF(REGEXMATCH(LD233, ""g""), ""g1"",IF(REGEXMATCH(LE233, ""g""), ""g2"",""""))"),"")</f>
        <v/>
      </c>
      <c r="LL233" s="299" t="str">
        <f>IFERROR(__xludf.DUMMYFUNCTION("IF(REGEXMATCH(LD233, ""G""), ""G1"",IF(REGEXMATCH(LE233, ""G""), ""G2"",""""))"),"G1")</f>
        <v>G1</v>
      </c>
      <c r="LM233" s="299" t="str">
        <f>IFERROR(__xludf.DUMMYFUNCTION("IF(REGEXMATCH(LD233, ""m""), ""m1"",IF(REGEXMATCH(LE233, ""m""), ""m2"",""""))"),"m1")</f>
        <v>m1</v>
      </c>
      <c r="LN233" s="299" t="str">
        <f>IFERROR(__xludf.DUMMYFUNCTION("IF(REGEXMATCH(LD233, ""M""), ""M1"",IF(REGEXMATCH(LE233, ""M""), ""M2"",""""))"),"M1")</f>
        <v>M1</v>
      </c>
      <c r="LO233" s="299" t="str">
        <f>IFERROR(__xludf.DUMMYFUNCTION("IF(REGEXMATCH(LD233, ""P""), ""P1"",IF(REGEXMATCH(LE233, ""P""), ""P2"",""""))"),"")</f>
        <v/>
      </c>
      <c r="LP233" s="299" t="str">
        <f>IFERROR(__xludf.DUMMYFUNCTION("IF(REGEXMATCH(LD233, ""d""), ""d1"",IF(REGEXMATCH(LE233, ""d""), ""d2"",""""))"),"")</f>
        <v/>
      </c>
      <c r="LQ233" s="299" t="str">
        <f>IFERROR(__xludf.DUMMYFUNCTION("IF(REGEXMATCH(LD233, ""D""), ""D1"",IF(REGEXMATCH(LE233, ""D""), ""D2"",""""))"),"")</f>
        <v/>
      </c>
      <c r="LR233" s="299" t="str">
        <f>IFERROR(__xludf.DUMMYFUNCTION("IF(REGEXMATCH(LD233, ""n""), ""n1"",IF(REGEXMATCH(LE233, ""n""), ""n2"",""""))"),"")</f>
        <v/>
      </c>
      <c r="LS233" s="299" t="str">
        <f>IFERROR(__xludf.DUMMYFUNCTION("IF(REGEXMATCH(LD233, ""N""), ""N1"",IF(REGEXMATCH(LE233, ""N""), ""N2"",""""))"),"N1")</f>
        <v>N1</v>
      </c>
      <c r="LT233" s="388" t="str">
        <f>IFERROR(__xludf.DUMMYFUNCTION("IF(REGEXMATCH(LD233, ""S""), ""S"",IF(REGEXMATCH(LE233, ""S""), ""S"",""""))"),"S")</f>
        <v>S</v>
      </c>
      <c r="LU233" s="389">
        <f t="shared" si="196"/>
        <v>1</v>
      </c>
      <c r="LV233" s="378"/>
      <c r="LW233" s="369"/>
      <c r="LX233" s="369"/>
    </row>
    <row r="234" ht="18.0" customHeight="1">
      <c r="A234" s="298" t="s">
        <v>989</v>
      </c>
      <c r="B234" s="222" t="s">
        <v>990</v>
      </c>
      <c r="C234" s="233" t="str">
        <f t="shared" si="7"/>
        <v>SrgmMdnS</v>
      </c>
      <c r="D234" s="234" t="str">
        <f>IFERROR(__xludf.DUMMYFUNCTION("IF(REGEXMATCH(C234, ""S""), ""S"","""")"),"S")</f>
        <v>S</v>
      </c>
      <c r="E234" s="236" t="str">
        <f>IFERROR(__xludf.DUMMYFUNCTION("IF(REGEXMATCH(C234, ""r""), ""r"","""")"),"r")</f>
        <v>r</v>
      </c>
      <c r="F234" s="237" t="str">
        <f>IFERROR(__xludf.DUMMYFUNCTION("IF(REGEXMATCH(C234, ""R""), ""R"","""")"),"")</f>
        <v/>
      </c>
      <c r="G234" s="237" t="str">
        <f>IFERROR(__xludf.DUMMYFUNCTION("IF(REGEXMATCH(C234, ""g""), ""g"","""")"),"g")</f>
        <v>g</v>
      </c>
      <c r="H234" s="236" t="str">
        <f>IFERROR(__xludf.DUMMYFUNCTION("IF(REGEXMATCH(C234, ""G""), ""G"","""")"),"")</f>
        <v/>
      </c>
      <c r="I234" s="236" t="str">
        <f>IFERROR(__xludf.DUMMYFUNCTION("IF(REGEXMATCH(C234, ""m""), ""m"","""")"),"m")</f>
        <v>m</v>
      </c>
      <c r="J234" s="237" t="str">
        <f>IFERROR(__xludf.DUMMYFUNCTION("IF(REGEXMATCH(C234, ""M""), ""M"","""")"),"M")</f>
        <v>M</v>
      </c>
      <c r="K234" s="236" t="str">
        <f>IFERROR(__xludf.DUMMYFUNCTION("IF(REGEXMATCH(C234, ""P""), ""P"","""")"),"")</f>
        <v/>
      </c>
      <c r="L234" s="237" t="str">
        <f>IFERROR(__xludf.DUMMYFUNCTION("IF(REGEXMATCH(C234, ""d""), ""d"","""")"),"d")</f>
        <v>d</v>
      </c>
      <c r="M234" s="236" t="str">
        <f>IFERROR(__xludf.DUMMYFUNCTION("IF(REGEXMATCH(C234, ""D""), ""D"","""")"),"")</f>
        <v/>
      </c>
      <c r="N234" s="236" t="str">
        <f>IFERROR(__xludf.DUMMYFUNCTION("IF(REGEXMATCH(C234, ""n""), ""n"","""")"),"n")</f>
        <v>n</v>
      </c>
      <c r="O234" s="237" t="str">
        <f>IFERROR(__xludf.DUMMYFUNCTION("IF(REGEXMATCH(C234, ""N""), ""N"","""")"),"")</f>
        <v/>
      </c>
      <c r="P234" s="238" t="str">
        <f>IFERROR(__xludf.DUMMYFUNCTION("IF(REGEXMATCH(C234, ""S""), ""S"","""")"),"S")</f>
        <v>S</v>
      </c>
      <c r="Q234" s="239" t="str">
        <f>IFERROR(__xludf.DUMMYFUNCTION("SUBSTITUTE(CONCATENATE(JOIN(""-"",D234:J234)),""-"","""")"),"SrgmM")</f>
        <v>SrgmM</v>
      </c>
      <c r="R234" s="229" t="str">
        <f>IFERROR(__xludf.DUMMYFUNCTION("SUBSTITUTE(CONCATENATE(JOIN(""-"",K234:P234)),""-"","""")"),"dnS")</f>
        <v>dnS</v>
      </c>
      <c r="S234" s="282" t="str">
        <f t="shared" si="8"/>
        <v>S-R-G-M</v>
      </c>
      <c r="T234" s="282" t="str">
        <f t="shared" si="9"/>
        <v>D-N-S</v>
      </c>
      <c r="U234" s="237" t="str">
        <f>IFERROR(__xludf.DUMMYFUNCTION("SUBSTITUTE(JOIN(""-"",S234,T234),""--"",""-"")"),"S-R-G-M-D-N-S")</f>
        <v>S-R-G-M-D-N-S</v>
      </c>
      <c r="V234" s="309" t="str">
        <f t="shared" si="10"/>
        <v>rgmMdn</v>
      </c>
      <c r="W234" s="244" t="str">
        <f>IFERROR(__xludf.DUMMYFUNCTION("IF(REGEXMATCH(C234, ""S""), ""0"","""")"),"0")</f>
        <v>0</v>
      </c>
      <c r="X234" s="245" t="str">
        <f>IFERROR(__xludf.DUMMYFUNCTION("IF(REGEXMATCH(C234, ""r""), ""1"","""")"),"1")</f>
        <v>1</v>
      </c>
      <c r="Y234" s="246" t="str">
        <f>IFERROR(__xludf.DUMMYFUNCTION("IF(REGEXMATCH(C234, ""R""), ""2"","""")"),"")</f>
        <v/>
      </c>
      <c r="Z234" s="246" t="str">
        <f>IFERROR(__xludf.DUMMYFUNCTION("IF(REGEXMATCH(C234, ""g""), ""3"","""")"),"3")</f>
        <v>3</v>
      </c>
      <c r="AA234" s="245" t="str">
        <f>IFERROR(__xludf.DUMMYFUNCTION("IF(REGEXMATCH(C234, ""G""), ""4"","""")"),"")</f>
        <v/>
      </c>
      <c r="AB234" s="245" t="str">
        <f>IFERROR(__xludf.DUMMYFUNCTION("IF(REGEXMATCH(C234, ""m""), ""5"","""")"),"5")</f>
        <v>5</v>
      </c>
      <c r="AC234" s="246" t="str">
        <f>IFERROR(__xludf.DUMMYFUNCTION("IF(REGEXMATCH(C234, ""M""), ""6"","""")"),"6")</f>
        <v>6</v>
      </c>
      <c r="AD234" s="245" t="str">
        <f>IFERROR(__xludf.DUMMYFUNCTION("IF(REGEXMATCH(C234, ""P""), ""7"","""")"),"")</f>
        <v/>
      </c>
      <c r="AE234" s="246" t="str">
        <f>IFERROR(__xludf.DUMMYFUNCTION("IF(REGEXMATCH(C234, ""d""), ""8"","""")"),"8")</f>
        <v>8</v>
      </c>
      <c r="AF234" s="245" t="str">
        <f>IFERROR(__xludf.DUMMYFUNCTION("IF(REGEXMATCH(C234, ""D""), ""9"","""")"),"")</f>
        <v/>
      </c>
      <c r="AG234" s="245" t="str">
        <f>IFERROR(__xludf.DUMMYFUNCTION("IF(REGEXMATCH(C234, ""n""), ""10"","""")"),"10")</f>
        <v>10</v>
      </c>
      <c r="AH234" s="246" t="str">
        <f>IFERROR(__xludf.DUMMYFUNCTION("IF(REGEXMATCH(C234, ""N""), ""11"","""")"),"")</f>
        <v/>
      </c>
      <c r="AI234" s="249" t="str">
        <f>IFERROR(__xludf.DUMMYFUNCTION("IF(REGEXMATCH(C234, ""S""), ""0"","""")"),"0")</f>
        <v>0</v>
      </c>
      <c r="AJ234" s="313" t="str">
        <f t="shared" si="11"/>
        <v>T</v>
      </c>
      <c r="AK234" s="313" t="str">
        <f t="shared" si="12"/>
        <v>-</v>
      </c>
      <c r="AL234" s="313" t="str">
        <f t="shared" si="13"/>
        <v>-</v>
      </c>
      <c r="AM234" s="313" t="str">
        <f t="shared" si="14"/>
        <v>-</v>
      </c>
      <c r="AN234" s="313" t="str">
        <f t="shared" si="15"/>
        <v>-</v>
      </c>
      <c r="AO234" s="314" t="str">
        <f t="shared" si="16"/>
        <v>-</v>
      </c>
      <c r="AP234" s="316">
        <f t="shared" si="17"/>
        <v>1</v>
      </c>
      <c r="AQ234" s="319" t="str">
        <f t="shared" si="18"/>
        <v>-</v>
      </c>
      <c r="AR234" s="320">
        <f t="shared" si="19"/>
        <v>0</v>
      </c>
      <c r="AS234" s="250" t="str">
        <f>IFERROR(__xludf.DUMMYFUNCTION("SUBSTITUTE(SUBSTITUTE(CONCATENATE(JOIN("""",FP234:GA234)),""|"",""x""),""-"",""o"")"),"xxoxoxxoxoxo")</f>
        <v>xxoxoxxoxoxo</v>
      </c>
      <c r="AT234" s="323" t="str">
        <f>IFERROR(__xludf.DUMMYFUNCTION("JOIN("""",AS234,AS234)"),"xxoxoxxoxoxoxxoxoxxoxoxo")</f>
        <v>xxoxoxxoxoxoxxoxoxxoxoxo</v>
      </c>
      <c r="AU234" s="256" t="str">
        <f>IFERROR(__xludf.DUMMYFUNCTION("JOIN("""",ArrayFormula(MID(AS234,LEN(AS234)-SEQUENCE(1,LEN(AS234))+1,1)))"),"oxoxoxxoxoxx")</f>
        <v>oxoxoxxoxoxx</v>
      </c>
      <c r="AV234" s="256" t="str">
        <f>IFERROR(__xludf.DUMMYFUNCTION("LEFT(CONCATENATE(""x"",JOIN("""",ArrayFormula(MID(AS234,LEN(AS234)-SEQUENCE(1,LEN(AS234))+1,1)))),12)"),"xoxoxoxxoxox")</f>
        <v>xoxoxoxxoxox</v>
      </c>
      <c r="AW234" s="327" t="str">
        <f>IFERROR(__xludf.DUMMYFUNCTION("JOIN("""",AU234,AU234)"),"oxoxoxxoxoxxoxoxoxxoxoxx")</f>
        <v>oxoxoxxoxoxxoxoxoxxoxoxx</v>
      </c>
      <c r="AX234" s="239" t="str">
        <f>IFERROR(__xludf.DUMMYFUNCTION("IF(REGEXMATCH(AW234,AS234),""✔"",""-"")"),"✔")</f>
        <v>✔</v>
      </c>
      <c r="AY234" s="330" t="str">
        <f t="shared" si="20"/>
        <v>-</v>
      </c>
      <c r="AZ234" s="260" t="str">
        <f t="shared" si="21"/>
        <v>#REF!</v>
      </c>
      <c r="BA234" s="333" t="str">
        <f t="shared" si="22"/>
        <v>xxoxoxx</v>
      </c>
      <c r="BB234" s="334" t="str">
        <f t="shared" si="23"/>
        <v>oxoxox</v>
      </c>
      <c r="BC234" s="335" t="str">
        <f t="shared" si="236"/>
        <v>-</v>
      </c>
      <c r="BD234" s="336" t="str">
        <f t="shared" si="25"/>
        <v>Meladalan: 'xxoxoxx' + 'oxoxox'</v>
      </c>
      <c r="BE234" s="337">
        <f>IFERROR(__xludf.DUMMYFUNCTION("COUNTUNIQUE(FILTER(AT:AT,REGEXMATCH(AT:AT,AS234)))-1"),6.0)</f>
        <v>6</v>
      </c>
      <c r="BF234" s="261" t="str">
        <f>IFERROR(__xludf.DUMMYFUNCTION("IF(BI234=0,""(n/a)"",IF(BJ234=2,""(PAIR)"",IF(REGEXMATCH(AT234,""xoxoxxoxoxox""),""Bilawal"",IF(REGEXMATCH(AT234,""xoxoxooxoxoo""),""Bhupali"",IF(REGEXMATCH(AT234,""xoxoxxoxxoxo""),""Charukeshi"",IF(REGEXMATCH(AT234,""xoxoooxxoxxo""),""Kameshwari"",IF(REG"&amp;"EXMATCH(AT234,""xoxoxooxoxox""),""Shankara"",IF(REGEXMATCH(AT234,""xxooxoxxxoox""),""Basant"",IF(REGEXMATCH(AT234,""xoxoxxxxoxox""),""Bihag"",IF(REGEXMATCH(AT234,""xoxxxxoxoxxx""),""Pilu"",IF(REGEXMATCH(AT234,""xoxxoxoxxoox""),""Kirwani"",IF(REGEXMATCH(AT"&amp;"234,""xoxxoxoxoxxx""),""Mk.Malhar"",IF(REGEXMATCH(AT234,""xxooxxoxxoox""),""Bhairav"",IF(REGEXMATCH(AT234,""xxoxooxxxoox""),""Todi"",IF(REGEXMATCH(AT234,""xxooxoxooxox""),""Marwa"",IF(REGEXMATCH(AT234,""xxoooxoxxooo""),""Gunkali"",IF(REGEXMATCH(AT234,""xo"&amp;"xoxxoxxoox""),""Nat Bhairav"",IF(REGEXMATCH(AT234,""xoxxoooxoxoo""),""Shivranjani"",IF(REGEXMATCH(AT234,""xooxxxoxooxo""),""Jog"",IF(REGEXMATCH(AT234,""xxooxoxoxoox""),""Hemshri"",IF(REGEXMATCH(AT234,""xoooxooxoxxo""),""Kalavati"",IF(REGEXMATCH(AT234,""xx"&amp;"oxoxxoxoox""),""Kedar"",IF(REGEXMATCH(AT234,""xoxxxxoxooxx""),""Gara"",IF(REGEXMATCH(AT234,""xooxoxooxoox""),""Chandrakauns"",IF(REGEXMATCH(AT234,""xoxxxxoxxxox""),""Mand"",IF(REGEXMATCH(AT234,""xoxxxxoxoxox""),""Hanskinkini"",IF(REGEXMATCH(AT234,""xxooxx"&amp;"oxooxo""),""Lilavati"",IF(REGEXMATCH(AT234,""xooxoxoooxox""),""Rajeshwari"",IF(REGEXMATCH(AT234,""xoooxxoxoxxx""),""Khokar"",IF(REGEXMATCH(AT234,""xxooxoxxxxox""),""Maligoura"",""-""))))))))))))))))))))))))))))))"),"Bilawal")</f>
        <v>Bilawal</v>
      </c>
      <c r="BG234" s="239" t="str">
        <f t="shared" si="26"/>
        <v>#REF!</v>
      </c>
      <c r="BH234" s="239">
        <f>IFERROR(__xludf.DUMMYFUNCTION("COUNTUNIQUE(FE234:FO234)-1"),6.0)</f>
        <v>6</v>
      </c>
      <c r="BI234" s="239">
        <f>IFERROR(__xludf.DUMMYFUNCTION("COUNTUNIQUE(FILTER(AT:AT,REGEXMATCH(AT:AT,AS234)))-1"),6.0)</f>
        <v>6</v>
      </c>
      <c r="BJ234" s="239">
        <f>IFERROR(__xludf.DUMMYFUNCTION("COUNTA(FILTER(AT:AT,REGEXMATCH(AT:AT,AS234)))"),48.0)</f>
        <v>48</v>
      </c>
      <c r="BK234" s="341">
        <f>IFERROR(__xludf.DUMMYFUNCTION("COUNTA(FILTER(AT:AT,REGEXMATCH(AT:AT,AS234)))-AR234"),48.0)</f>
        <v>48</v>
      </c>
      <c r="BL234" s="276" t="str">
        <f>IFERROR(__xludf.DUMMYFUNCTION("IF(AS234=""oooooooooooo"",""-"",IF(REGEXMATCH(AT234,""xx""), ""Hemi."", ""Anhemi.""))"),"Hemi.")</f>
        <v>Hemi.</v>
      </c>
      <c r="BM234" s="282" t="str">
        <f>IFERROR(__xludf.DUMMYFUNCTION("IF(AS234=""oooooooooooo"",""-"",IF(REGEXMATCH(AT234,""xxx""), ""Cohem."", ""-""))"),"-")</f>
        <v>-</v>
      </c>
      <c r="BN234" s="282" t="str">
        <f>IFERROR(__xludf.DUMMYFUNCTION("IF(AS234=""oooooooooooo"",""-"",IF(REGEXMATCH(AT234,""xxxx""), ""Co-Co."", ""-""))"),"-")</f>
        <v>-</v>
      </c>
      <c r="BO234" s="342" t="str">
        <f>IFERROR(__xludf.DUMMYFUNCTION("IF(AS234=""oooooooooooo"",""-"",IF(REGEXMATCH(AT234,""xxxxx""), ""CCC."", ""-""))"),"-")</f>
        <v>-</v>
      </c>
      <c r="BP234" s="344" t="str">
        <f t="shared" si="27"/>
        <v>-</v>
      </c>
      <c r="BQ234" s="282" t="str">
        <f>IFERROR(__xludf.DUMMYFUNCTION("IF(REGEXMATCH(JOIN(""-"",EU234:FD234),""TRUE""),""✔"",""-"")"),"-")</f>
        <v>-</v>
      </c>
      <c r="BR234" s="225">
        <f t="shared" si="28"/>
        <v>0</v>
      </c>
      <c r="BS234" s="345" t="str">
        <f>IFERROR(__xludf.DUMMYFUNCTION("SUBSTITUTE(SUBSTITUTE(SUBSTITUTE(SUBSTITUTE(CONCATENATE(JOIN(""-"",GC234:GO234)),""--"",""-""),""--"",""-""),""--"",""-""),""--"",""-"")"),"1-b2-b3-4-#4-b6-b7-8")</f>
        <v>1-b2-b3-4-#4-b6-b7-8</v>
      </c>
      <c r="BT234" s="299" t="str">
        <f>IFERROR(__xludf.DUMMYFUNCTION("SUBSTITUTE(SUBSTITUTE(SUBSTITUTE(SUBSTITUTE(CONCATENATE(JOIN(""-"",GP234:HB234)),""--"",""-""),""--"",""-""),""--"",""-""),""--"",""-"")"),"S-R1-G2-M1-M2-D1-N2-S")</f>
        <v>S-R1-G2-M1-M2-D1-N2-S</v>
      </c>
      <c r="BU234" s="348" t="str">
        <f t="shared" si="29"/>
        <v>C-Db-Eb-F-F#-Ab-Bb-C</v>
      </c>
      <c r="BV234" s="349" t="str">
        <f t="shared" si="30"/>
        <v>SRGPDNS</v>
      </c>
      <c r="BW234" s="350">
        <f t="shared" si="31"/>
        <v>2</v>
      </c>
      <c r="BX234" s="351">
        <f t="shared" si="32"/>
        <v>1</v>
      </c>
      <c r="BY234" s="352" t="s">
        <v>275</v>
      </c>
      <c r="BZ234" s="309" t="str">
        <f>IFERROR(__xludf.DUMMYFUNCTION("IF(REGEXMATCH(C234, ""S""), ""x"",""x"")"),"x")</f>
        <v>x</v>
      </c>
      <c r="CA234" s="245" t="str">
        <f>IFERROR(__xludf.DUMMYFUNCTION("IF(REGEXMATCH(C234, ""r""), ""o"",""x"")"),"o")</f>
        <v>o</v>
      </c>
      <c r="CB234" s="246" t="str">
        <f>IFERROR(__xludf.DUMMYFUNCTION("IF(REGEXMATCH(C234, ""R""), ""o"",""x"")"),"x")</f>
        <v>x</v>
      </c>
      <c r="CC234" s="246" t="str">
        <f>IFERROR(__xludf.DUMMYFUNCTION("IF(REGEXMATCH(C234, ""g""), ""o"",""x"")"),"o")</f>
        <v>o</v>
      </c>
      <c r="CD234" s="245" t="str">
        <f>IFERROR(__xludf.DUMMYFUNCTION("IF(REGEXMATCH(C234, ""G""), ""o"",""x"")"),"x")</f>
        <v>x</v>
      </c>
      <c r="CE234" s="245" t="str">
        <f>IFERROR(__xludf.DUMMYFUNCTION("IF(REGEXMATCH(C234, ""m""), ""o"",""x"")"),"o")</f>
        <v>o</v>
      </c>
      <c r="CF234" s="246" t="str">
        <f>IFERROR(__xludf.DUMMYFUNCTION("IF(REGEXMATCH(C234, ""M""), ""o"",""x"")"),"o")</f>
        <v>o</v>
      </c>
      <c r="CG234" s="245" t="str">
        <f>IFERROR(__xludf.DUMMYFUNCTION("IF(REGEXMATCH(C234, ""P""), ""o"",""x"")"),"x")</f>
        <v>x</v>
      </c>
      <c r="CH234" s="246" t="str">
        <f>IFERROR(__xludf.DUMMYFUNCTION("IF(REGEXMATCH(C234, ""d""), ""o"",""x"")"),"o")</f>
        <v>o</v>
      </c>
      <c r="CI234" s="245" t="str">
        <f>IFERROR(__xludf.DUMMYFUNCTION("IF(REGEXMATCH(C234, ""D""), ""o"",""x"")"),"x")</f>
        <v>x</v>
      </c>
      <c r="CJ234" s="245" t="str">
        <f>IFERROR(__xludf.DUMMYFUNCTION("IF(REGEXMATCH(C234, ""n""), ""o"",""x"")"),"o")</f>
        <v>o</v>
      </c>
      <c r="CK234" s="245" t="str">
        <f>IFERROR(__xludf.DUMMYFUNCTION("IF(REGEXMATCH(C234, ""N""), ""o"",""x"")"),"x")</f>
        <v>x</v>
      </c>
      <c r="CL234" s="356" t="str">
        <f>IFERROR(__xludf.DUMMYFUNCTION("IF(REGEXMATCH(C234, ""S""), ""x"",""x"")"),"x")</f>
        <v>x</v>
      </c>
      <c r="CM234" s="357" t="str">
        <f t="shared" si="33"/>
        <v>xoxoxooxoxox</v>
      </c>
      <c r="CN234" s="358">
        <f t="shared" si="34"/>
        <v>2</v>
      </c>
      <c r="CO234" s="246" t="str">
        <f>IFERROR(__xludf.DUMMYFUNCTION("IF(REGEXMATCH($C234, ""S""), ""S"",""S"")"),"S")</f>
        <v>S</v>
      </c>
      <c r="CP234" s="246" t="str">
        <f>IFERROR(__xludf.DUMMYFUNCTION("IF(REGEXMATCH($C234, ""r""), """",""r"")"),"")</f>
        <v/>
      </c>
      <c r="CQ234" s="246" t="str">
        <f>IFERROR(__xludf.DUMMYFUNCTION("IF(REGEXMATCH($C234, ""R""), """",""R"")"),"R")</f>
        <v>R</v>
      </c>
      <c r="CR234" s="246" t="str">
        <f>IFERROR(__xludf.DUMMYFUNCTION("IF(REGEXMATCH($C234, ""g""), """",""g"")"),"")</f>
        <v/>
      </c>
      <c r="CS234" s="246" t="str">
        <f>IFERROR(__xludf.DUMMYFUNCTION("IF(REGEXMATCH($C234, ""G""), """",""G"")"),"G")</f>
        <v>G</v>
      </c>
      <c r="CT234" s="246" t="str">
        <f>IFERROR(__xludf.DUMMYFUNCTION("IF(REGEXMATCH($C234, ""m""), """",""m"")"),"")</f>
        <v/>
      </c>
      <c r="CU234" s="246" t="str">
        <f>IFERROR(__xludf.DUMMYFUNCTION("IF(REGEXMATCH($C234, ""M""), """",""M"")"),"")</f>
        <v/>
      </c>
      <c r="CV234" s="246" t="str">
        <f>IFERROR(__xludf.DUMMYFUNCTION("IF(REGEXMATCH($C234, ""P""), """",""P"")"),"P")</f>
        <v>P</v>
      </c>
      <c r="CW234" s="246" t="str">
        <f>IFERROR(__xludf.DUMMYFUNCTION("IF(REGEXMATCH($C234, ""d""), """",""d"")"),"")</f>
        <v/>
      </c>
      <c r="CX234" s="246" t="str">
        <f>IFERROR(__xludf.DUMMYFUNCTION("IF(REGEXMATCH($C234, ""D""), """",""D"")"),"D")</f>
        <v>D</v>
      </c>
      <c r="CY234" s="246" t="str">
        <f>IFERROR(__xludf.DUMMYFUNCTION("IF(REGEXMATCH($C234, ""n""), """",""n"")"),"")</f>
        <v/>
      </c>
      <c r="CZ234" s="246" t="str">
        <f>IFERROR(__xludf.DUMMYFUNCTION("IF(REGEXMATCH($C234, ""N""), """",""N"")"),"N")</f>
        <v>N</v>
      </c>
      <c r="DA234" s="246" t="str">
        <f>IFERROR(__xludf.DUMMYFUNCTION("IF(REGEXMATCH($C234, ""S""), ""S"",""S"")"),"S")</f>
        <v>S</v>
      </c>
      <c r="DB234" s="362" t="str">
        <f>IFERROR(__xludf.DUMMYFUNCTION("JOIN("""",CO234:DA234,"""","""")"),"SRGPDNS")</f>
        <v>SRGPDNS</v>
      </c>
      <c r="DC234" s="363"/>
      <c r="DD234" s="301" t="str">
        <f t="shared" si="35"/>
        <v>#REF!</v>
      </c>
      <c r="DE234" s="302" t="str">
        <f t="shared" si="36"/>
        <v>#REF!</v>
      </c>
      <c r="DF234" s="301" t="str">
        <f t="shared" ref="DF234:DG234" si="687">SUBSTITUTE(S234,"-","")</f>
        <v>SRGM</v>
      </c>
      <c r="DG234" s="301" t="str">
        <f t="shared" si="687"/>
        <v>DNS</v>
      </c>
      <c r="DH234" s="302" t="str">
        <f t="shared" si="38"/>
        <v>Bilawal</v>
      </c>
      <c r="DI234" s="301" t="str">
        <f t="shared" si="39"/>
        <v>Hemi.</v>
      </c>
      <c r="DJ234" s="364" t="str">
        <f t="shared" si="40"/>
        <v>-</v>
      </c>
      <c r="DK234" s="306" t="str">
        <f t="shared" si="41"/>
        <v>-</v>
      </c>
      <c r="DL234" s="366" t="str">
        <f t="shared" si="42"/>
        <v>-</v>
      </c>
      <c r="DM234" s="308" t="str">
        <f t="shared" si="43"/>
        <v>✔</v>
      </c>
      <c r="DN234" s="306" t="str">
        <f t="shared" si="44"/>
        <v>-</v>
      </c>
      <c r="DO234" s="306" t="str">
        <f t="shared" si="45"/>
        <v>✔</v>
      </c>
      <c r="DP234" s="367" t="str">
        <f t="shared" si="46"/>
        <v>-</v>
      </c>
      <c r="DQ234" s="310" t="str">
        <f t="shared" si="47"/>
        <v>-</v>
      </c>
      <c r="DR234" s="310" t="str">
        <f t="shared" si="48"/>
        <v>-</v>
      </c>
      <c r="DS234" s="310" t="str">
        <f t="shared" si="49"/>
        <v>✔</v>
      </c>
      <c r="DT234" s="310" t="str">
        <f t="shared" si="50"/>
        <v>-</v>
      </c>
      <c r="DU234" s="370" t="str">
        <f t="shared" si="51"/>
        <v>-</v>
      </c>
      <c r="DV234" s="306" t="str">
        <f t="shared" si="52"/>
        <v>-</v>
      </c>
      <c r="DW234" s="306" t="str">
        <f t="shared" si="53"/>
        <v>-</v>
      </c>
      <c r="DX234" s="306" t="str">
        <f t="shared" si="54"/>
        <v>-</v>
      </c>
      <c r="DY234" s="306" t="str">
        <f t="shared" si="55"/>
        <v>✔</v>
      </c>
      <c r="DZ234" s="306" t="str">
        <f t="shared" si="56"/>
        <v>-</v>
      </c>
      <c r="EA234" s="367" t="str">
        <f t="shared" si="57"/>
        <v>-</v>
      </c>
      <c r="EB234" s="310" t="str">
        <f>IFERROR(__xludf.DUMMYFUNCTION("IF(REGEXMATCH(AW234,AS234),""✔"",""-"")"),"✔")</f>
        <v>✔</v>
      </c>
      <c r="EC234" s="310" t="str">
        <f t="shared" si="58"/>
        <v>#REF!</v>
      </c>
      <c r="ED234" s="370" t="str">
        <f t="shared" si="59"/>
        <v>-</v>
      </c>
      <c r="EE234" s="340" t="str">
        <f t="shared" si="60"/>
        <v>S-r-g-mM-d-n-S</v>
      </c>
      <c r="EF234" s="371" t="str">
        <f>IFERROR(__xludf.DUMMYFUNCTION("CONCATENATE(JOIN("""",HC234:HO234))"),"SRGMPDNS")</f>
        <v>SRGMPDNS</v>
      </c>
      <c r="EG234" s="372">
        <f t="shared" si="61"/>
        <v>1</v>
      </c>
      <c r="EH234" s="373" t="str">
        <f>IFERROR(__xludf.DUMMYFUNCTION("CONCATENATE(JOIN("""",JC234:JO234))"),"Sa, ")</f>
        <v>Sa, </v>
      </c>
      <c r="EI234" s="322">
        <f t="shared" si="62"/>
        <v>0</v>
      </c>
      <c r="EJ234" s="374" t="str">
        <f>IFERROR(__xludf.DUMMYFUNCTION("CONCATENATE(JOIN("""",KC234:KO234))"),"")</f>
        <v/>
      </c>
      <c r="EK234" s="325" t="str">
        <f t="shared" si="63"/>
        <v>S-R1-G2-M1-M2-D1-N2-S</v>
      </c>
      <c r="EL234" s="326" t="str">
        <f t="shared" si="64"/>
        <v>1-b2-b3-4-#4-b6-b7-8</v>
      </c>
      <c r="EM234" s="318" t="str">
        <f t="shared" si="65"/>
        <v>#REF!</v>
      </c>
      <c r="EN234" s="328" t="str">
        <f>IFERROR(__xludf.DUMMYFUNCTION("SUBSTITUTE(SUBSTITUTE(SUBSTITUTE(SUBSTITUTE(CONCATENATE(JOIN("" "",HP234:IB234)),""  "","" ""),""  "","" ""),""  "","" ""),""  "","" "")"),"o o • o • o o • o • o • o")</f>
        <v>o o • o • o o • o • o • o</v>
      </c>
      <c r="EO234" s="368" t="str">
        <f t="shared" si="66"/>
        <v>-</v>
      </c>
      <c r="EP234" s="339" t="str">
        <f t="shared" si="67"/>
        <v>-</v>
      </c>
      <c r="EQ234" s="339" t="str">
        <f t="shared" si="68"/>
        <v>-</v>
      </c>
      <c r="ER234" s="339" t="str">
        <f t="shared" si="69"/>
        <v>-</v>
      </c>
      <c r="ES234" s="340" t="str">
        <f t="shared" si="70"/>
        <v>-</v>
      </c>
      <c r="ET234" s="363"/>
      <c r="EU234" s="376" t="b">
        <f>IFERROR(__xludf.DUMMYFUNCTION("arrayformula(sum(--REGEXMATCH(""SRGMPDNS"",split(REGEXREPLACE(C234,""(.)"",""$1~""),""~""))))=len(C234)
"),FALSE)</f>
        <v>0</v>
      </c>
      <c r="EV234" s="290" t="b">
        <f>IFERROR(__xludf.DUMMYFUNCTION("arrayformula(sum(--REGEXMATCH(""SRGmPDNS"",split(REGEXREPLACE(C234,""(.)"",""$1~""),""~""))))=len(C234)"),FALSE)</f>
        <v>0</v>
      </c>
      <c r="EW234" s="290" t="b">
        <f>IFERROR(__xludf.DUMMYFUNCTION("arrayformula(sum(--REGEXMATCH(""SRGmPDnS"",split(REGEXREPLACE(C234,""(.)"",""$1~""),""~""))))=len(C234)"),FALSE)</f>
        <v>0</v>
      </c>
      <c r="EX234" s="290" t="b">
        <f>IFERROR(__xludf.DUMMYFUNCTION("arrayformula(sum(--REGEXMATCH(""SRgmPDnS"",split(REGEXREPLACE(C234,""(.)"",""$1~""),""~""))))=len(C234)"),FALSE)</f>
        <v>0</v>
      </c>
      <c r="EY234" s="290" t="b">
        <f>IFERROR(__xludf.DUMMYFUNCTION("arrayformula(sum(--REGEXMATCH(""SRgmPdnS"",split(REGEXREPLACE(C234,""(.)"",""$1~""),""~""))))=len(C234)"),FALSE)</f>
        <v>0</v>
      </c>
      <c r="EZ234" s="290" t="b">
        <f>IFERROR(__xludf.DUMMYFUNCTION("arrayformula(sum(--REGEXMATCH(""SrgmPdnS"",split(REGEXREPLACE(C234,""(.)"",""$1~""),""~""))))=len(C234)"),FALSE)</f>
        <v>0</v>
      </c>
      <c r="FA234" s="290" t="b">
        <f>IFERROR(__xludf.DUMMYFUNCTION("arrayformula(sum(--REGEXMATCH(""SrGmPdNS"",split(REGEXREPLACE(C234,""(.)"",""$1~""),""~""))))=len(C234)"),FALSE)</f>
        <v>0</v>
      </c>
      <c r="FB234" s="290" t="b">
        <f>IFERROR(__xludf.DUMMYFUNCTION("arrayformula(sum(--REGEXMATCH(""SrGMPDNS"",split(REGEXREPLACE(C234,""(.)"",""$1~""),""~""))))=len(C234)"),FALSE)</f>
        <v>0</v>
      </c>
      <c r="FC234" s="290" t="b">
        <f>IFERROR(__xludf.DUMMYFUNCTION("arrayformula(sum(--REGEXMATCH(""SrGMPdNS"",split(REGEXREPLACE(C234,""(.)"",""$1~""),""~""))))=len(C234)"),FALSE)</f>
        <v>0</v>
      </c>
      <c r="FD234" s="377" t="b">
        <f>IFERROR(__xludf.DUMMYFUNCTION("arrayformula(sum(--REGEXMATCH(""SrgMPdNS"",split(REGEXREPLACE(C234,""(.)"",""$1~""),""~""))))=len(C234)"),FALSE)</f>
        <v>0</v>
      </c>
      <c r="FE234" s="269" t="str">
        <f t="shared" si="71"/>
        <v>xoxoxxoxoxo</v>
      </c>
      <c r="FF234" s="269" t="str">
        <f t="shared" si="72"/>
        <v>-</v>
      </c>
      <c r="FG234" s="271" t="str">
        <f t="shared" si="73"/>
        <v>xoxxoxoxoxx</v>
      </c>
      <c r="FH234" s="269" t="str">
        <f t="shared" si="74"/>
        <v>-</v>
      </c>
      <c r="FI234" s="271" t="str">
        <f t="shared" si="75"/>
        <v>xxoxoxoxxox</v>
      </c>
      <c r="FJ234" s="271" t="str">
        <f t="shared" si="76"/>
        <v>xoxoxoxxoxo</v>
      </c>
      <c r="FK234" s="271" t="str">
        <f t="shared" si="77"/>
        <v>-</v>
      </c>
      <c r="FL234" s="271" t="str">
        <f t="shared" si="78"/>
        <v>xoxoxxoxoxx</v>
      </c>
      <c r="FM234" s="271" t="str">
        <f t="shared" si="79"/>
        <v>-</v>
      </c>
      <c r="FN234" s="271" t="str">
        <f t="shared" si="80"/>
        <v>xoxxoxoxxox</v>
      </c>
      <c r="FO234" s="274" t="str">
        <f t="shared" si="81"/>
        <v>-</v>
      </c>
      <c r="FP234" s="234" t="str">
        <f t="shared" si="82"/>
        <v>|</v>
      </c>
      <c r="FQ234" s="236" t="str">
        <f t="shared" si="83"/>
        <v>|</v>
      </c>
      <c r="FR234" s="237" t="str">
        <f t="shared" si="84"/>
        <v>-</v>
      </c>
      <c r="FS234" s="236" t="str">
        <f t="shared" si="85"/>
        <v>|</v>
      </c>
      <c r="FT234" s="237" t="str">
        <f t="shared" si="86"/>
        <v>-</v>
      </c>
      <c r="FU234" s="236" t="str">
        <f t="shared" si="87"/>
        <v>|</v>
      </c>
      <c r="FV234" s="237" t="str">
        <f t="shared" si="88"/>
        <v>|</v>
      </c>
      <c r="FW234" s="236" t="str">
        <f t="shared" si="89"/>
        <v>-</v>
      </c>
      <c r="FX234" s="237" t="str">
        <f t="shared" si="90"/>
        <v>|</v>
      </c>
      <c r="FY234" s="236" t="str">
        <f t="shared" si="91"/>
        <v>-</v>
      </c>
      <c r="FZ234" s="237" t="str">
        <f t="shared" si="92"/>
        <v>|</v>
      </c>
      <c r="GA234" s="236" t="str">
        <f t="shared" si="93"/>
        <v>-</v>
      </c>
      <c r="GB234" s="238" t="str">
        <f t="shared" si="94"/>
        <v>|</v>
      </c>
      <c r="GC234" s="244" t="str">
        <f>IFERROR(__xludf.DUMMYFUNCTION("IF(REGEXMATCH(C234, ""S""), ""1"","""")"),"1")</f>
        <v>1</v>
      </c>
      <c r="GD234" s="245" t="str">
        <f>IFERROR(__xludf.DUMMYFUNCTION("IF(REGEXMATCH(C234, ""r""), ""b2"","""")"),"b2")</f>
        <v>b2</v>
      </c>
      <c r="GE234" s="246" t="str">
        <f>IFERROR(__xludf.DUMMYFUNCTION("IF(REGEXMATCH(C234, ""R""), ""2"","""")"),"")</f>
        <v/>
      </c>
      <c r="GF234" s="246" t="str">
        <f>IFERROR(__xludf.DUMMYFUNCTION("IF(REGEXMATCH(C234, ""g""), ""b3"","""")"),"b3")</f>
        <v>b3</v>
      </c>
      <c r="GG234" s="245" t="str">
        <f>IFERROR(__xludf.DUMMYFUNCTION("IF(REGEXMATCH(C234, ""G""), ""3"","""")"),"")</f>
        <v/>
      </c>
      <c r="GH234" s="245" t="str">
        <f>IFERROR(__xludf.DUMMYFUNCTION("IF(REGEXMATCH(C234, ""m""), ""4"","""")"),"4")</f>
        <v>4</v>
      </c>
      <c r="GI234" s="246" t="str">
        <f>IFERROR(__xludf.DUMMYFUNCTION("IF(REGEXMATCH(C234, ""M""), ""#4"","""")"),"#4")</f>
        <v>#4</v>
      </c>
      <c r="GJ234" s="245" t="str">
        <f>IFERROR(__xludf.DUMMYFUNCTION("IF(REGEXMATCH(C234, ""P""), ""5"","""")"),"")</f>
        <v/>
      </c>
      <c r="GK234" s="246" t="str">
        <f>IFERROR(__xludf.DUMMYFUNCTION("IF(REGEXMATCH(C234, ""d""), ""b6"","""")"),"b6")</f>
        <v>b6</v>
      </c>
      <c r="GL234" s="245" t="str">
        <f>IFERROR(__xludf.DUMMYFUNCTION("IF(REGEXMATCH(C234, ""D""), ""6"","""")"),"")</f>
        <v/>
      </c>
      <c r="GM234" s="245" t="str">
        <f>IFERROR(__xludf.DUMMYFUNCTION("IF(REGEXMATCH(C234, ""n""), ""b7"","""")"),"b7")</f>
        <v>b7</v>
      </c>
      <c r="GN234" s="246" t="str">
        <f>IFERROR(__xludf.DUMMYFUNCTION("IF(REGEXMATCH(C234, ""N""), ""7"","""")"),"")</f>
        <v/>
      </c>
      <c r="GO234" s="249" t="str">
        <f>IFERROR(__xludf.DUMMYFUNCTION("IF(REGEXMATCH(C234, ""S""), ""8"","""")"),"8")</f>
        <v>8</v>
      </c>
      <c r="GP234" s="244" t="str">
        <f>IFERROR(__xludf.DUMMYFUNCTION("IF(REGEXMATCH(C234, ""S""), ""S"","""")"),"S")</f>
        <v>S</v>
      </c>
      <c r="GQ234" s="294" t="str">
        <f>IFERROR(__xludf.DUMMYFUNCTION("IF(REGEXMATCH(C234, ""r""), ""R1"","""")"),"R1")</f>
        <v>R1</v>
      </c>
      <c r="GR234" s="295" t="str">
        <f>IFERROR(__xludf.DUMMYFUNCTION("IF(REGEXMATCH(C234, ""R""), ""R2"","""")"),"")</f>
        <v/>
      </c>
      <c r="GS234" s="295" t="str">
        <f>IFERROR(__xludf.DUMMYFUNCTION("IF(REGEXMATCH(C234, ""g""), ""G2"","""")"),"G2")</f>
        <v>G2</v>
      </c>
      <c r="GT234" s="294" t="str">
        <f>IFERROR(__xludf.DUMMYFUNCTION("IF(REGEXMATCH(C234, ""G""), ""G3"","""")"),"")</f>
        <v/>
      </c>
      <c r="GU234" s="294" t="str">
        <f>IFERROR(__xludf.DUMMYFUNCTION("IF(REGEXMATCH(C234, ""m""), ""M1"","""")"),"M1")</f>
        <v>M1</v>
      </c>
      <c r="GV234" s="295" t="str">
        <f>IFERROR(__xludf.DUMMYFUNCTION("IF(REGEXMATCH(C234, ""M""), ""M2"","""")"),"M2")</f>
        <v>M2</v>
      </c>
      <c r="GW234" s="294" t="str">
        <f>IFERROR(__xludf.DUMMYFUNCTION("IF(REGEXMATCH(C234, ""P""), ""P"","""")"),"")</f>
        <v/>
      </c>
      <c r="GX234" s="295" t="str">
        <f>IFERROR(__xludf.DUMMYFUNCTION("IF(REGEXMATCH(C234, ""d""), ""D1"","""")"),"D1")</f>
        <v>D1</v>
      </c>
      <c r="GY234" s="294" t="str">
        <f>IFERROR(__xludf.DUMMYFUNCTION("IF(REGEXMATCH(C234, ""D""), ""D2"","""")"),"")</f>
        <v/>
      </c>
      <c r="GZ234" s="294" t="str">
        <f>IFERROR(__xludf.DUMMYFUNCTION("IF(REGEXMATCH(C234, ""n""), ""N2"","""")"),"N2")</f>
        <v>N2</v>
      </c>
      <c r="HA234" s="295" t="str">
        <f>IFERROR(__xludf.DUMMYFUNCTION("IF(REGEXMATCH(C234, ""N""), ""N3"","""")"),"")</f>
        <v/>
      </c>
      <c r="HB234" s="249" t="str">
        <f>IFERROR(__xludf.DUMMYFUNCTION("IF(REGEXMATCH(C234, ""S""), ""S"","""")"),"S")</f>
        <v>S</v>
      </c>
      <c r="HC234" s="331" t="str">
        <f t="shared" si="95"/>
        <v>S</v>
      </c>
      <c r="HD234" s="332" t="str">
        <f t="shared" si="96"/>
        <v/>
      </c>
      <c r="HE234" s="332" t="str">
        <f t="shared" si="97"/>
        <v>R</v>
      </c>
      <c r="HF234" s="332" t="str">
        <f t="shared" si="98"/>
        <v/>
      </c>
      <c r="HG234" s="332" t="str">
        <f t="shared" si="99"/>
        <v>G</v>
      </c>
      <c r="HH234" s="332" t="str">
        <f t="shared" si="100"/>
        <v/>
      </c>
      <c r="HI234" s="332" t="str">
        <f t="shared" si="101"/>
        <v>M</v>
      </c>
      <c r="HJ234" s="332" t="str">
        <f t="shared" si="102"/>
        <v>P</v>
      </c>
      <c r="HK234" s="332" t="str">
        <f t="shared" si="103"/>
        <v/>
      </c>
      <c r="HL234" s="332" t="str">
        <f t="shared" si="104"/>
        <v>D</v>
      </c>
      <c r="HM234" s="332" t="str">
        <f t="shared" si="105"/>
        <v/>
      </c>
      <c r="HN234" s="332" t="str">
        <f t="shared" si="106"/>
        <v>N</v>
      </c>
      <c r="HO234" s="343" t="str">
        <f t="shared" si="107"/>
        <v>S</v>
      </c>
      <c r="HP234" s="331" t="str">
        <f t="shared" si="108"/>
        <v>o</v>
      </c>
      <c r="HQ234" s="332" t="str">
        <f t="shared" si="109"/>
        <v>o</v>
      </c>
      <c r="HR234" s="332" t="str">
        <f t="shared" si="110"/>
        <v>•</v>
      </c>
      <c r="HS234" s="332" t="str">
        <f t="shared" si="111"/>
        <v>o</v>
      </c>
      <c r="HT234" s="332" t="str">
        <f t="shared" si="112"/>
        <v>•</v>
      </c>
      <c r="HU234" s="332" t="str">
        <f t="shared" si="113"/>
        <v>o</v>
      </c>
      <c r="HV234" s="332" t="str">
        <f t="shared" si="114"/>
        <v>o</v>
      </c>
      <c r="HW234" s="332" t="str">
        <f t="shared" si="115"/>
        <v>•</v>
      </c>
      <c r="HX234" s="332" t="str">
        <f t="shared" si="116"/>
        <v>o</v>
      </c>
      <c r="HY234" s="332" t="str">
        <f t="shared" si="117"/>
        <v>•</v>
      </c>
      <c r="HZ234" s="332" t="str">
        <f t="shared" si="118"/>
        <v>o</v>
      </c>
      <c r="IA234" s="332" t="str">
        <f t="shared" si="119"/>
        <v>•</v>
      </c>
      <c r="IB234" s="338" t="str">
        <f t="shared" si="120"/>
        <v>o</v>
      </c>
      <c r="IC234" s="331" t="str">
        <f t="shared" si="121"/>
        <v>•</v>
      </c>
      <c r="ID234" s="332" t="str">
        <f t="shared" si="122"/>
        <v>•</v>
      </c>
      <c r="IE234" s="332" t="str">
        <f t="shared" si="123"/>
        <v>o</v>
      </c>
      <c r="IF234" s="332" t="str">
        <f t="shared" si="124"/>
        <v>•</v>
      </c>
      <c r="IG234" s="332" t="str">
        <f t="shared" si="125"/>
        <v>o</v>
      </c>
      <c r="IH234" s="332" t="str">
        <f t="shared" si="126"/>
        <v>•</v>
      </c>
      <c r="II234" s="332" t="str">
        <f t="shared" si="127"/>
        <v>•</v>
      </c>
      <c r="IJ234" s="332" t="str">
        <f t="shared" si="128"/>
        <v>o</v>
      </c>
      <c r="IK234" s="332" t="str">
        <f t="shared" si="129"/>
        <v>•</v>
      </c>
      <c r="IL234" s="332" t="str">
        <f t="shared" si="130"/>
        <v>o</v>
      </c>
      <c r="IM234" s="332" t="str">
        <f t="shared" si="131"/>
        <v>•</v>
      </c>
      <c r="IN234" s="332" t="str">
        <f t="shared" si="132"/>
        <v>o</v>
      </c>
      <c r="IO234" s="338" t="str">
        <f t="shared" si="133"/>
        <v>•</v>
      </c>
      <c r="IP234" s="346" t="b">
        <f t="shared" si="134"/>
        <v>1</v>
      </c>
      <c r="IQ234" s="347" t="b">
        <f t="shared" si="135"/>
        <v>0</v>
      </c>
      <c r="IR234" s="347" t="b">
        <f t="shared" si="136"/>
        <v>0</v>
      </c>
      <c r="IS234" s="347" t="b">
        <f t="shared" si="137"/>
        <v>0</v>
      </c>
      <c r="IT234" s="347" t="b">
        <f t="shared" si="138"/>
        <v>0</v>
      </c>
      <c r="IU234" s="347" t="b">
        <f t="shared" si="139"/>
        <v>0</v>
      </c>
      <c r="IV234" s="347" t="b">
        <f t="shared" si="140"/>
        <v>0</v>
      </c>
      <c r="IW234" s="347" t="b">
        <f t="shared" si="141"/>
        <v>0</v>
      </c>
      <c r="IX234" s="347" t="b">
        <f t="shared" si="142"/>
        <v>0</v>
      </c>
      <c r="IY234" s="347" t="b">
        <f t="shared" si="143"/>
        <v>0</v>
      </c>
      <c r="IZ234" s="347" t="b">
        <f t="shared" si="144"/>
        <v>0</v>
      </c>
      <c r="JA234" s="347" t="b">
        <f t="shared" si="145"/>
        <v>0</v>
      </c>
      <c r="JB234" s="353" t="b">
        <f t="shared" si="146"/>
        <v>1</v>
      </c>
      <c r="JC234" s="354" t="str">
        <f t="shared" si="147"/>
        <v>Sa, </v>
      </c>
      <c r="JD234" s="355" t="str">
        <f t="shared" si="148"/>
        <v/>
      </c>
      <c r="JE234" s="355" t="str">
        <f t="shared" si="149"/>
        <v/>
      </c>
      <c r="JF234" s="355" t="str">
        <f t="shared" si="150"/>
        <v/>
      </c>
      <c r="JG234" s="355" t="str">
        <f t="shared" si="151"/>
        <v/>
      </c>
      <c r="JH234" s="355" t="str">
        <f t="shared" si="152"/>
        <v/>
      </c>
      <c r="JI234" s="355" t="str">
        <f t="shared" si="153"/>
        <v/>
      </c>
      <c r="JJ234" s="355" t="str">
        <f t="shared" si="154"/>
        <v/>
      </c>
      <c r="JK234" s="355" t="str">
        <f t="shared" si="155"/>
        <v/>
      </c>
      <c r="JL234" s="355" t="str">
        <f t="shared" si="156"/>
        <v/>
      </c>
      <c r="JM234" s="355" t="str">
        <f t="shared" si="157"/>
        <v/>
      </c>
      <c r="JN234" s="355" t="str">
        <f t="shared" si="158"/>
        <v/>
      </c>
      <c r="JO234" s="359" t="str">
        <f t="shared" si="159"/>
        <v/>
      </c>
      <c r="JP234" s="346" t="b">
        <f t="shared" si="160"/>
        <v>0</v>
      </c>
      <c r="JQ234" s="347" t="b">
        <f t="shared" si="161"/>
        <v>0</v>
      </c>
      <c r="JR234" s="347" t="b">
        <f t="shared" si="162"/>
        <v>0</v>
      </c>
      <c r="JS234" s="347" t="b">
        <f t="shared" si="163"/>
        <v>0</v>
      </c>
      <c r="JT234" s="347" t="b">
        <f t="shared" si="164"/>
        <v>0</v>
      </c>
      <c r="JU234" s="347" t="b">
        <f t="shared" si="165"/>
        <v>0</v>
      </c>
      <c r="JV234" s="347" t="b">
        <f t="shared" si="166"/>
        <v>0</v>
      </c>
      <c r="JW234" s="347" t="b">
        <f t="shared" si="167"/>
        <v>0</v>
      </c>
      <c r="JX234" s="347" t="b">
        <f t="shared" si="168"/>
        <v>0</v>
      </c>
      <c r="JY234" s="347" t="b">
        <f t="shared" si="169"/>
        <v>0</v>
      </c>
      <c r="JZ234" s="347" t="b">
        <f t="shared" si="170"/>
        <v>0</v>
      </c>
      <c r="KA234" s="347" t="b">
        <f t="shared" si="171"/>
        <v>0</v>
      </c>
      <c r="KB234" s="365" t="b">
        <f t="shared" si="172"/>
        <v>0</v>
      </c>
      <c r="KC234" s="354" t="str">
        <f t="shared" si="173"/>
        <v/>
      </c>
      <c r="KD234" s="355" t="str">
        <f t="shared" si="174"/>
        <v/>
      </c>
      <c r="KE234" s="355" t="str">
        <f t="shared" si="175"/>
        <v/>
      </c>
      <c r="KF234" s="355" t="str">
        <f t="shared" si="176"/>
        <v/>
      </c>
      <c r="KG234" s="355" t="str">
        <f t="shared" si="177"/>
        <v/>
      </c>
      <c r="KH234" s="355" t="str">
        <f t="shared" si="178"/>
        <v/>
      </c>
      <c r="KI234" s="355" t="str">
        <f t="shared" si="179"/>
        <v/>
      </c>
      <c r="KJ234" s="355" t="str">
        <f t="shared" si="180"/>
        <v/>
      </c>
      <c r="KK234" s="355" t="str">
        <f t="shared" si="181"/>
        <v/>
      </c>
      <c r="KL234" s="355" t="str">
        <f t="shared" si="182"/>
        <v/>
      </c>
      <c r="KM234" s="355" t="str">
        <f t="shared" si="183"/>
        <v/>
      </c>
      <c r="KN234" s="355" t="str">
        <f t="shared" si="184"/>
        <v/>
      </c>
      <c r="KO234" s="359"/>
      <c r="KP234" s="378"/>
      <c r="KQ234" s="379" t="s">
        <v>9</v>
      </c>
      <c r="KR234" s="380" t="s">
        <v>9</v>
      </c>
      <c r="KS234" s="381" t="s">
        <v>9</v>
      </c>
      <c r="KT234" s="382">
        <f t="shared" si="186"/>
        <v>0</v>
      </c>
      <c r="KU234" s="383">
        <f t="shared" si="187"/>
        <v>0</v>
      </c>
      <c r="KV234" s="381" t="str">
        <f t="shared" si="205"/>
        <v>S</v>
      </c>
      <c r="KW234" s="382">
        <f t="shared" si="189"/>
        <v>0</v>
      </c>
      <c r="KX234" s="384">
        <f t="shared" si="190"/>
        <v>0</v>
      </c>
      <c r="KY234" s="382">
        <f t="shared" ref="KY234:KZ234" si="688">KW234-KT234</f>
        <v>0</v>
      </c>
      <c r="KZ234" s="369">
        <f t="shared" si="688"/>
        <v>0</v>
      </c>
      <c r="LA234" s="385" t="str">
        <f t="shared" si="192"/>
        <v>✔</v>
      </c>
      <c r="LB234" s="340" t="str">
        <f>IFERROR(__xludf.DUMMYFUNCTION("JOIN("""",ArrayFormula(MID(KS234,LEN(KS234)-SEQUENCE(1,LEN(KS234))+1,1)))"),"S")</f>
        <v>S</v>
      </c>
      <c r="LC234" s="373" t="str">
        <f>IFERROR(__xludf.DUMMYFUNCTION("JOIN("""",ArrayFormula(MID(KV234,LEN(KV234)-SEQUENCE(1,LEN(KV234))+1,1)))"),"S")</f>
        <v>S</v>
      </c>
      <c r="LD234" s="373" t="str">
        <f t="shared" si="193"/>
        <v>S</v>
      </c>
      <c r="LE234" s="339" t="str">
        <f t="shared" si="194"/>
        <v>S</v>
      </c>
      <c r="LF234" s="386" t="str">
        <f>IFERROR(__xludf.DUMMYFUNCTION("SUBSTITUTE(SUBSTITUTE(CONCATENATE(JOIN("""",LH234:LT234)),""1"",""""),""2"","""")"),"SS")</f>
        <v>SS</v>
      </c>
      <c r="LG234" s="369" t="str">
        <f t="shared" si="195"/>
        <v>-</v>
      </c>
      <c r="LH234" s="387" t="str">
        <f>IFERROR(__xludf.DUMMYFUNCTION("IF(REGEXMATCH(LD234, ""S""), ""S"",IF(REGEXMATCH(LE234, ""S""), ""S"",""""))"),"S")</f>
        <v>S</v>
      </c>
      <c r="LI234" s="299" t="str">
        <f>IFERROR(__xludf.DUMMYFUNCTION("IF(REGEXMATCH(LD234, ""r""), ""r1"",IF(REGEXMATCH(LE234, ""r""), ""r2"",""""))"),"")</f>
        <v/>
      </c>
      <c r="LJ234" s="299" t="str">
        <f>IFERROR(__xludf.DUMMYFUNCTION("IF(REGEXMATCH(LD234, ""R""), ""R1"",IF(REGEXMATCH(LE234, ""R""), ""R2"",""""))"),"")</f>
        <v/>
      </c>
      <c r="LK234" s="299" t="str">
        <f>IFERROR(__xludf.DUMMYFUNCTION("IF(REGEXMATCH(LD234, ""g""), ""g1"",IF(REGEXMATCH(LE234, ""g""), ""g2"",""""))"),"")</f>
        <v/>
      </c>
      <c r="LL234" s="299" t="str">
        <f>IFERROR(__xludf.DUMMYFUNCTION("IF(REGEXMATCH(LD234, ""G""), ""G1"",IF(REGEXMATCH(LE234, ""G""), ""G2"",""""))"),"")</f>
        <v/>
      </c>
      <c r="LM234" s="299" t="str">
        <f>IFERROR(__xludf.DUMMYFUNCTION("IF(REGEXMATCH(LD234, ""m""), ""m1"",IF(REGEXMATCH(LE234, ""m""), ""m2"",""""))"),"")</f>
        <v/>
      </c>
      <c r="LN234" s="299" t="str">
        <f>IFERROR(__xludf.DUMMYFUNCTION("IF(REGEXMATCH(LD234, ""M""), ""M1"",IF(REGEXMATCH(LE234, ""M""), ""M2"",""""))"),"")</f>
        <v/>
      </c>
      <c r="LO234" s="299" t="str">
        <f>IFERROR(__xludf.DUMMYFUNCTION("IF(REGEXMATCH(LD234, ""P""), ""P1"",IF(REGEXMATCH(LE234, ""P""), ""P2"",""""))"),"")</f>
        <v/>
      </c>
      <c r="LP234" s="299" t="str">
        <f>IFERROR(__xludf.DUMMYFUNCTION("IF(REGEXMATCH(LD234, ""d""), ""d1"",IF(REGEXMATCH(LE234, ""d""), ""d2"",""""))"),"")</f>
        <v/>
      </c>
      <c r="LQ234" s="299" t="str">
        <f>IFERROR(__xludf.DUMMYFUNCTION("IF(REGEXMATCH(LD234, ""D""), ""D1"",IF(REGEXMATCH(LE234, ""D""), ""D2"",""""))"),"")</f>
        <v/>
      </c>
      <c r="LR234" s="299" t="str">
        <f>IFERROR(__xludf.DUMMYFUNCTION("IF(REGEXMATCH(LD234, ""n""), ""n1"",IF(REGEXMATCH(LE234, ""n""), ""n2"",""""))"),"")</f>
        <v/>
      </c>
      <c r="LS234" s="299" t="str">
        <f>IFERROR(__xludf.DUMMYFUNCTION("IF(REGEXMATCH(LD234, ""N""), ""N1"",IF(REGEXMATCH(LE234, ""N""), ""N2"",""""))"),"")</f>
        <v/>
      </c>
      <c r="LT234" s="388" t="str">
        <f>IFERROR(__xludf.DUMMYFUNCTION("IF(REGEXMATCH(LD234, ""S""), ""S"",IF(REGEXMATCH(LE234, ""S""), ""S"",""""))"),"S")</f>
        <v>S</v>
      </c>
      <c r="LU234" s="389">
        <f t="shared" si="196"/>
        <v>1</v>
      </c>
      <c r="LV234" s="378"/>
      <c r="LW234" s="369"/>
      <c r="LX234" s="369"/>
    </row>
    <row r="235" ht="18.0" customHeight="1">
      <c r="A235" s="298" t="s">
        <v>992</v>
      </c>
      <c r="B235" s="222" t="s">
        <v>993</v>
      </c>
      <c r="C235" s="233" t="str">
        <f t="shared" si="7"/>
        <v>SgGPDnS</v>
      </c>
      <c r="D235" s="234" t="str">
        <f>IFERROR(__xludf.DUMMYFUNCTION("IF(REGEXMATCH(C235, ""S""), ""S"","""")"),"S")</f>
        <v>S</v>
      </c>
      <c r="E235" s="236" t="str">
        <f>IFERROR(__xludf.DUMMYFUNCTION("IF(REGEXMATCH(C235, ""r""), ""r"","""")"),"")</f>
        <v/>
      </c>
      <c r="F235" s="237" t="str">
        <f>IFERROR(__xludf.DUMMYFUNCTION("IF(REGEXMATCH(C235, ""R""), ""R"","""")"),"")</f>
        <v/>
      </c>
      <c r="G235" s="237" t="str">
        <f>IFERROR(__xludf.DUMMYFUNCTION("IF(REGEXMATCH(C235, ""g""), ""g"","""")"),"g")</f>
        <v>g</v>
      </c>
      <c r="H235" s="236" t="str">
        <f>IFERROR(__xludf.DUMMYFUNCTION("IF(REGEXMATCH(C235, ""G""), ""G"","""")"),"G")</f>
        <v>G</v>
      </c>
      <c r="I235" s="236" t="str">
        <f>IFERROR(__xludf.DUMMYFUNCTION("IF(REGEXMATCH(C235, ""m""), ""m"","""")"),"")</f>
        <v/>
      </c>
      <c r="J235" s="237" t="str">
        <f>IFERROR(__xludf.DUMMYFUNCTION("IF(REGEXMATCH(C235, ""M""), ""M"","""")"),"")</f>
        <v/>
      </c>
      <c r="K235" s="236" t="str">
        <f>IFERROR(__xludf.DUMMYFUNCTION("IF(REGEXMATCH(C235, ""P""), ""P"","""")"),"P")</f>
        <v>P</v>
      </c>
      <c r="L235" s="237" t="str">
        <f>IFERROR(__xludf.DUMMYFUNCTION("IF(REGEXMATCH(C235, ""d""), ""d"","""")"),"")</f>
        <v/>
      </c>
      <c r="M235" s="236" t="str">
        <f>IFERROR(__xludf.DUMMYFUNCTION("IF(REGEXMATCH(C235, ""D""), ""D"","""")"),"D")</f>
        <v>D</v>
      </c>
      <c r="N235" s="236" t="str">
        <f>IFERROR(__xludf.DUMMYFUNCTION("IF(REGEXMATCH(C235, ""n""), ""n"","""")"),"n")</f>
        <v>n</v>
      </c>
      <c r="O235" s="237" t="str">
        <f>IFERROR(__xludf.DUMMYFUNCTION("IF(REGEXMATCH(C235, ""N""), ""N"","""")"),"")</f>
        <v/>
      </c>
      <c r="P235" s="238" t="str">
        <f>IFERROR(__xludf.DUMMYFUNCTION("IF(REGEXMATCH(C235, ""S""), ""S"","""")"),"S")</f>
        <v>S</v>
      </c>
      <c r="Q235" s="239" t="str">
        <f>IFERROR(__xludf.DUMMYFUNCTION("SUBSTITUTE(CONCATENATE(JOIN(""-"",D235:J235)),""-"","""")"),"SgG")</f>
        <v>SgG</v>
      </c>
      <c r="R235" s="229" t="str">
        <f>IFERROR(__xludf.DUMMYFUNCTION("SUBSTITUTE(CONCATENATE(JOIN(""-"",K235:P235)),""-"","""")"),"PDnS")</f>
        <v>PDnS</v>
      </c>
      <c r="S235" s="282" t="str">
        <f t="shared" si="8"/>
        <v>S-G-</v>
      </c>
      <c r="T235" s="282" t="str">
        <f t="shared" si="9"/>
        <v>P-D-N-S</v>
      </c>
      <c r="U235" s="237" t="str">
        <f>IFERROR(__xludf.DUMMYFUNCTION("SUBSTITUTE(JOIN(""-"",S235,T235),""--"",""-"")"),"S-G-P-D-N-S")</f>
        <v>S-G-P-D-N-S</v>
      </c>
      <c r="V235" s="309" t="str">
        <f t="shared" si="10"/>
        <v>gGDn</v>
      </c>
      <c r="W235" s="244" t="str">
        <f>IFERROR(__xludf.DUMMYFUNCTION("IF(REGEXMATCH(C235, ""S""), ""0"","""")"),"0")</f>
        <v>0</v>
      </c>
      <c r="X235" s="245" t="str">
        <f>IFERROR(__xludf.DUMMYFUNCTION("IF(REGEXMATCH(C235, ""r""), ""1"","""")"),"")</f>
        <v/>
      </c>
      <c r="Y235" s="246" t="str">
        <f>IFERROR(__xludf.DUMMYFUNCTION("IF(REGEXMATCH(C235, ""R""), ""2"","""")"),"")</f>
        <v/>
      </c>
      <c r="Z235" s="246" t="str">
        <f>IFERROR(__xludf.DUMMYFUNCTION("IF(REGEXMATCH(C235, ""g""), ""3"","""")"),"3")</f>
        <v>3</v>
      </c>
      <c r="AA235" s="245" t="str">
        <f>IFERROR(__xludf.DUMMYFUNCTION("IF(REGEXMATCH(C235, ""G""), ""4"","""")"),"4")</f>
        <v>4</v>
      </c>
      <c r="AB235" s="245" t="str">
        <f>IFERROR(__xludf.DUMMYFUNCTION("IF(REGEXMATCH(C235, ""m""), ""5"","""")"),"")</f>
        <v/>
      </c>
      <c r="AC235" s="246" t="str">
        <f>IFERROR(__xludf.DUMMYFUNCTION("IF(REGEXMATCH(C235, ""M""), ""6"","""")"),"")</f>
        <v/>
      </c>
      <c r="AD235" s="245" t="str">
        <f>IFERROR(__xludf.DUMMYFUNCTION("IF(REGEXMATCH(C235, ""P""), ""7"","""")"),"7")</f>
        <v>7</v>
      </c>
      <c r="AE235" s="246" t="str">
        <f>IFERROR(__xludf.DUMMYFUNCTION("IF(REGEXMATCH(C235, ""d""), ""8"","""")"),"")</f>
        <v/>
      </c>
      <c r="AF235" s="245" t="str">
        <f>IFERROR(__xludf.DUMMYFUNCTION("IF(REGEXMATCH(C235, ""D""), ""9"","""")"),"9")</f>
        <v>9</v>
      </c>
      <c r="AG235" s="245" t="str">
        <f>IFERROR(__xludf.DUMMYFUNCTION("IF(REGEXMATCH(C235, ""n""), ""10"","""")"),"10")</f>
        <v>10</v>
      </c>
      <c r="AH235" s="246" t="str">
        <f>IFERROR(__xludf.DUMMYFUNCTION("IF(REGEXMATCH(C235, ""N""), ""11"","""")"),"")</f>
        <v/>
      </c>
      <c r="AI235" s="249" t="str">
        <f>IFERROR(__xludf.DUMMYFUNCTION("IF(REGEXMATCH(C235, ""S""), ""0"","""")"),"0")</f>
        <v>0</v>
      </c>
      <c r="AJ235" s="313" t="str">
        <f t="shared" si="11"/>
        <v>-</v>
      </c>
      <c r="AK235" s="313" t="str">
        <f t="shared" si="12"/>
        <v>-</v>
      </c>
      <c r="AL235" s="313" t="str">
        <f t="shared" si="13"/>
        <v>-</v>
      </c>
      <c r="AM235" s="313" t="str">
        <f t="shared" si="14"/>
        <v>T</v>
      </c>
      <c r="AN235" s="313" t="str">
        <f t="shared" si="15"/>
        <v>T</v>
      </c>
      <c r="AO235" s="314" t="str">
        <f t="shared" si="16"/>
        <v>-</v>
      </c>
      <c r="AP235" s="316">
        <f t="shared" si="17"/>
        <v>2</v>
      </c>
      <c r="AQ235" s="319" t="str">
        <f t="shared" si="18"/>
        <v>-</v>
      </c>
      <c r="AR235" s="320">
        <f t="shared" si="19"/>
        <v>0</v>
      </c>
      <c r="AS235" s="250" t="str">
        <f>IFERROR(__xludf.DUMMYFUNCTION("SUBSTITUTE(SUBSTITUTE(CONCATENATE(JOIN("""",FP235:GA235)),""|"",""x""),""-"",""o"")"),"xooxxooxoxxo")</f>
        <v>xooxxooxoxxo</v>
      </c>
      <c r="AT235" s="323" t="str">
        <f>IFERROR(__xludf.DUMMYFUNCTION("JOIN("""",AS235,AS235)"),"xooxxooxoxxoxooxxooxoxxo")</f>
        <v>xooxxooxoxxoxooxxooxoxxo</v>
      </c>
      <c r="AU235" s="256" t="str">
        <f>IFERROR(__xludf.DUMMYFUNCTION("JOIN("""",ArrayFormula(MID(AS235,LEN(AS235)-SEQUENCE(1,LEN(AS235))+1,1)))"),"oxxoxooxxoox")</f>
        <v>oxxoxooxxoox</v>
      </c>
      <c r="AV235" s="256" t="str">
        <f>IFERROR(__xludf.DUMMYFUNCTION("LEFT(CONCATENATE(""x"",JOIN("""",ArrayFormula(MID(AS235,LEN(AS235)-SEQUENCE(1,LEN(AS235))+1,1)))),12)"),"xoxxoxooxxoo")</f>
        <v>xoxxoxooxxoo</v>
      </c>
      <c r="AW235" s="327" t="str">
        <f>IFERROR(__xludf.DUMMYFUNCTION("JOIN("""",AU235,AU235)"),"oxxoxooxxooxoxxoxooxxoox")</f>
        <v>oxxoxooxxooxoxxoxooxxoox</v>
      </c>
      <c r="AX235" s="239" t="str">
        <f>IFERROR(__xludf.DUMMYFUNCTION("IF(REGEXMATCH(AW235,AS235),""✔"",""-"")"),"✔")</f>
        <v>✔</v>
      </c>
      <c r="AY235" s="330" t="str">
        <f t="shared" si="20"/>
        <v>-</v>
      </c>
      <c r="AZ235" s="260" t="str">
        <f t="shared" si="21"/>
        <v>#REF!</v>
      </c>
      <c r="BA235" s="333" t="str">
        <f t="shared" si="22"/>
        <v>xooxxoo</v>
      </c>
      <c r="BB235" s="334" t="str">
        <f t="shared" si="23"/>
        <v>xoxxox</v>
      </c>
      <c r="BC235" s="335" t="str">
        <f t="shared" si="236"/>
        <v>-</v>
      </c>
      <c r="BD235" s="336" t="str">
        <f t="shared" si="25"/>
        <v>Milan Gandhar: 'xooxxoo' + 'xoxxox'</v>
      </c>
      <c r="BE235" s="337">
        <f>IFERROR(__xludf.DUMMYFUNCTION("COUNTUNIQUE(FILTER(AT:AT,REGEXMATCH(AT:AT,AS235)))-1"),1.0)</f>
        <v>1</v>
      </c>
      <c r="BF235" s="261" t="str">
        <f>IFERROR(__xludf.DUMMYFUNCTION("IF(BI235=0,""(n/a)"",IF(BJ235=2,""(PAIR)"",IF(REGEXMATCH(AT235,""xoxoxxoxoxox""),""Bilawal"",IF(REGEXMATCH(AT235,""xoxoxooxoxoo""),""Bhupali"",IF(REGEXMATCH(AT235,""xoxoxxoxxoxo""),""Charukeshi"",IF(REGEXMATCH(AT235,""xoxoooxxoxxo""),""Kameshwari"",IF(REG"&amp;"EXMATCH(AT235,""xoxoxooxoxox""),""Shankara"",IF(REGEXMATCH(AT235,""xxooxoxxxoox""),""Basant"",IF(REGEXMATCH(AT235,""xoxoxxxxoxox""),""Bihag"",IF(REGEXMATCH(AT235,""xoxxxxoxoxxx""),""Pilu"",IF(REGEXMATCH(AT235,""xoxxoxoxxoox""),""Kirwani"",IF(REGEXMATCH(AT"&amp;"235,""xoxxoxoxoxxx""),""Mk.Malhar"",IF(REGEXMATCH(AT235,""xxooxxoxxoox""),""Bhairav"",IF(REGEXMATCH(AT235,""xxoxooxxxoox""),""Todi"",IF(REGEXMATCH(AT235,""xxooxoxooxox""),""Marwa"",IF(REGEXMATCH(AT235,""xxoooxoxxooo""),""Gunkali"",IF(REGEXMATCH(AT235,""xo"&amp;"xoxxoxxoox""),""Nat Bhairav"",IF(REGEXMATCH(AT235,""xoxxoooxoxoo""),""Shivranjani"",IF(REGEXMATCH(AT235,""xooxxxoxooxo""),""Jog"",IF(REGEXMATCH(AT235,""xxooxoxoxoox""),""Hemshri"",IF(REGEXMATCH(AT235,""xoooxooxoxxo""),""Kalavati"",IF(REGEXMATCH(AT235,""xx"&amp;"oxoxxoxoox""),""Kedar"",IF(REGEXMATCH(AT235,""xoxxxxoxooxx""),""Gara"",IF(REGEXMATCH(AT235,""xooxoxooxoox""),""Chandrakauns"",IF(REGEXMATCH(AT235,""xoxxxxoxxxox""),""Mand"",IF(REGEXMATCH(AT235,""xoxxxxoxoxox""),""Hanskinkini"",IF(REGEXMATCH(AT235,""xxooxx"&amp;"oxooxo""),""Lilavati"",IF(REGEXMATCH(AT235,""xooxoxoooxox""),""Rajeshwari"",IF(REGEXMATCH(AT235,""xoooxxoxoxxx""),""Khokar"",IF(REGEXMATCH(AT235,""xxooxoxxxxox""),""Maligoura"",""-""))))))))))))))))))))))))))))))"),"(PAIR)")</f>
        <v>(PAIR)</v>
      </c>
      <c r="BG235" s="239" t="str">
        <f t="shared" si="26"/>
        <v>#REF!</v>
      </c>
      <c r="BH235" s="239">
        <f>IFERROR(__xludf.DUMMYFUNCTION("COUNTUNIQUE(FE235:FO235)-1"),5.0)</f>
        <v>5</v>
      </c>
      <c r="BI235" s="239">
        <f>IFERROR(__xludf.DUMMYFUNCTION("COUNTUNIQUE(FILTER(AT:AT,REGEXMATCH(AT:AT,AS235)))-1"),1.0)</f>
        <v>1</v>
      </c>
      <c r="BJ235" s="239">
        <f>IFERROR(__xludf.DUMMYFUNCTION("COUNTA(FILTER(AT:AT,REGEXMATCH(AT:AT,AS235)))"),2.0)</f>
        <v>2</v>
      </c>
      <c r="BK235" s="341">
        <f>IFERROR(__xludf.DUMMYFUNCTION("COUNTA(FILTER(AT:AT,REGEXMATCH(AT:AT,AS235)))-AR235"),2.0)</f>
        <v>2</v>
      </c>
      <c r="BL235" s="276" t="str">
        <f>IFERROR(__xludf.DUMMYFUNCTION("IF(AS235=""oooooooooooo"",""-"",IF(REGEXMATCH(AT235,""xx""), ""Hemi."", ""Anhemi.""))"),"Hemi.")</f>
        <v>Hemi.</v>
      </c>
      <c r="BM235" s="282" t="str">
        <f>IFERROR(__xludf.DUMMYFUNCTION("IF(AS235=""oooooooooooo"",""-"",IF(REGEXMATCH(AT235,""xxx""), ""Cohem."", ""-""))"),"-")</f>
        <v>-</v>
      </c>
      <c r="BN235" s="282" t="str">
        <f>IFERROR(__xludf.DUMMYFUNCTION("IF(AS235=""oooooooooooo"",""-"",IF(REGEXMATCH(AT235,""xxxx""), ""Co-Co."", ""-""))"),"-")</f>
        <v>-</v>
      </c>
      <c r="BO235" s="342" t="str">
        <f>IFERROR(__xludf.DUMMYFUNCTION("IF(AS235=""oooooooooooo"",""-"",IF(REGEXMATCH(AT235,""xxxxx""), ""CCC."", ""-""))"),"-")</f>
        <v>-</v>
      </c>
      <c r="BP235" s="344" t="str">
        <f t="shared" si="27"/>
        <v>-</v>
      </c>
      <c r="BQ235" s="282" t="str">
        <f>IFERROR(__xludf.DUMMYFUNCTION("IF(REGEXMATCH(JOIN(""-"",EU235:FD235),""TRUE""),""✔"",""-"")"),"-")</f>
        <v>-</v>
      </c>
      <c r="BR235" s="225">
        <f t="shared" si="28"/>
        <v>0</v>
      </c>
      <c r="BS235" s="345" t="str">
        <f>IFERROR(__xludf.DUMMYFUNCTION("SUBSTITUTE(SUBSTITUTE(SUBSTITUTE(SUBSTITUTE(CONCATENATE(JOIN(""-"",GC235:GO235)),""--"",""-""),""--"",""-""),""--"",""-""),""--"",""-"")"),"1-b3-3-5-6-b7-8")</f>
        <v>1-b3-3-5-6-b7-8</v>
      </c>
      <c r="BT235" s="299" t="str">
        <f>IFERROR(__xludf.DUMMYFUNCTION("SUBSTITUTE(SUBSTITUTE(SUBSTITUTE(SUBSTITUTE(CONCATENATE(JOIN(""-"",GP235:HB235)),""--"",""-""),""--"",""-""),""--"",""-""),""--"",""-"")"),"S-G2-G3-P-D2-N2-S")</f>
        <v>S-G2-G3-P-D2-N2-S</v>
      </c>
      <c r="BU235" s="348" t="str">
        <f t="shared" si="29"/>
        <v>C-Eb-E-G-A-Bb-C</v>
      </c>
      <c r="BV235" s="349" t="str">
        <f t="shared" si="30"/>
        <v>SrRmMdNS</v>
      </c>
      <c r="BW235" s="350">
        <f t="shared" si="31"/>
        <v>0</v>
      </c>
      <c r="BX235" s="351">
        <f t="shared" si="32"/>
        <v>1</v>
      </c>
      <c r="BY235" s="392"/>
      <c r="BZ235" s="309" t="str">
        <f>IFERROR(__xludf.DUMMYFUNCTION("IF(REGEXMATCH(C235, ""S""), ""x"",""x"")"),"x")</f>
        <v>x</v>
      </c>
      <c r="CA235" s="245" t="str">
        <f>IFERROR(__xludf.DUMMYFUNCTION("IF(REGEXMATCH(C235, ""r""), ""o"",""x"")"),"x")</f>
        <v>x</v>
      </c>
      <c r="CB235" s="246" t="str">
        <f>IFERROR(__xludf.DUMMYFUNCTION("IF(REGEXMATCH(C235, ""R""), ""o"",""x"")"),"x")</f>
        <v>x</v>
      </c>
      <c r="CC235" s="246" t="str">
        <f>IFERROR(__xludf.DUMMYFUNCTION("IF(REGEXMATCH(C235, ""g""), ""o"",""x"")"),"o")</f>
        <v>o</v>
      </c>
      <c r="CD235" s="245" t="str">
        <f>IFERROR(__xludf.DUMMYFUNCTION("IF(REGEXMATCH(C235, ""G""), ""o"",""x"")"),"o")</f>
        <v>o</v>
      </c>
      <c r="CE235" s="245" t="str">
        <f>IFERROR(__xludf.DUMMYFUNCTION("IF(REGEXMATCH(C235, ""m""), ""o"",""x"")"),"x")</f>
        <v>x</v>
      </c>
      <c r="CF235" s="246" t="str">
        <f>IFERROR(__xludf.DUMMYFUNCTION("IF(REGEXMATCH(C235, ""M""), ""o"",""x"")"),"x")</f>
        <v>x</v>
      </c>
      <c r="CG235" s="245" t="str">
        <f>IFERROR(__xludf.DUMMYFUNCTION("IF(REGEXMATCH(C235, ""P""), ""o"",""x"")"),"o")</f>
        <v>o</v>
      </c>
      <c r="CH235" s="246" t="str">
        <f>IFERROR(__xludf.DUMMYFUNCTION("IF(REGEXMATCH(C235, ""d""), ""o"",""x"")"),"x")</f>
        <v>x</v>
      </c>
      <c r="CI235" s="245" t="str">
        <f>IFERROR(__xludf.DUMMYFUNCTION("IF(REGEXMATCH(C235, ""D""), ""o"",""x"")"),"o")</f>
        <v>o</v>
      </c>
      <c r="CJ235" s="245" t="str">
        <f>IFERROR(__xludf.DUMMYFUNCTION("IF(REGEXMATCH(C235, ""n""), ""o"",""x"")"),"o")</f>
        <v>o</v>
      </c>
      <c r="CK235" s="245" t="str">
        <f>IFERROR(__xludf.DUMMYFUNCTION("IF(REGEXMATCH(C235, ""N""), ""o"",""x"")"),"x")</f>
        <v>x</v>
      </c>
      <c r="CL235" s="356" t="str">
        <f>IFERROR(__xludf.DUMMYFUNCTION("IF(REGEXMATCH(C235, ""S""), ""x"",""x"")"),"x")</f>
        <v>x</v>
      </c>
      <c r="CM235" s="357" t="str">
        <f t="shared" si="33"/>
        <v>xxxooxxoxoox</v>
      </c>
      <c r="CN235" s="358">
        <f t="shared" si="34"/>
        <v>0</v>
      </c>
      <c r="CO235" s="246" t="str">
        <f>IFERROR(__xludf.DUMMYFUNCTION("IF(REGEXMATCH($C235, ""S""), ""S"",""S"")"),"S")</f>
        <v>S</v>
      </c>
      <c r="CP235" s="246" t="str">
        <f>IFERROR(__xludf.DUMMYFUNCTION("IF(REGEXMATCH($C235, ""r""), """",""r"")"),"r")</f>
        <v>r</v>
      </c>
      <c r="CQ235" s="246" t="str">
        <f>IFERROR(__xludf.DUMMYFUNCTION("IF(REGEXMATCH($C235, ""R""), """",""R"")"),"R")</f>
        <v>R</v>
      </c>
      <c r="CR235" s="246" t="str">
        <f>IFERROR(__xludf.DUMMYFUNCTION("IF(REGEXMATCH($C235, ""g""), """",""g"")"),"")</f>
        <v/>
      </c>
      <c r="CS235" s="246" t="str">
        <f>IFERROR(__xludf.DUMMYFUNCTION("IF(REGEXMATCH($C235, ""G""), """",""G"")"),"")</f>
        <v/>
      </c>
      <c r="CT235" s="246" t="str">
        <f>IFERROR(__xludf.DUMMYFUNCTION("IF(REGEXMATCH($C235, ""m""), """",""m"")"),"m")</f>
        <v>m</v>
      </c>
      <c r="CU235" s="246" t="str">
        <f>IFERROR(__xludf.DUMMYFUNCTION("IF(REGEXMATCH($C235, ""M""), """",""M"")"),"M")</f>
        <v>M</v>
      </c>
      <c r="CV235" s="246" t="str">
        <f>IFERROR(__xludf.DUMMYFUNCTION("IF(REGEXMATCH($C235, ""P""), """",""P"")"),"")</f>
        <v/>
      </c>
      <c r="CW235" s="246" t="str">
        <f>IFERROR(__xludf.DUMMYFUNCTION("IF(REGEXMATCH($C235, ""d""), """",""d"")"),"d")</f>
        <v>d</v>
      </c>
      <c r="CX235" s="246" t="str">
        <f>IFERROR(__xludf.DUMMYFUNCTION("IF(REGEXMATCH($C235, ""D""), """",""D"")"),"")</f>
        <v/>
      </c>
      <c r="CY235" s="246" t="str">
        <f>IFERROR(__xludf.DUMMYFUNCTION("IF(REGEXMATCH($C235, ""n""), """",""n"")"),"")</f>
        <v/>
      </c>
      <c r="CZ235" s="246" t="str">
        <f>IFERROR(__xludf.DUMMYFUNCTION("IF(REGEXMATCH($C235, ""N""), """",""N"")"),"N")</f>
        <v>N</v>
      </c>
      <c r="DA235" s="246" t="str">
        <f>IFERROR(__xludf.DUMMYFUNCTION("IF(REGEXMATCH($C235, ""S""), ""S"",""S"")"),"S")</f>
        <v>S</v>
      </c>
      <c r="DB235" s="362" t="str">
        <f>IFERROR(__xludf.DUMMYFUNCTION("JOIN("""",CO235:DA235,"""","""")"),"SrRmMdNS")</f>
        <v>SrRmMdNS</v>
      </c>
      <c r="DC235" s="363"/>
      <c r="DD235" s="301" t="str">
        <f t="shared" si="35"/>
        <v>#REF!</v>
      </c>
      <c r="DE235" s="302" t="str">
        <f t="shared" si="36"/>
        <v>#REF!</v>
      </c>
      <c r="DF235" s="301" t="str">
        <f t="shared" ref="DF235:DG235" si="689">SUBSTITUTE(S235,"-","")</f>
        <v>SG</v>
      </c>
      <c r="DG235" s="301" t="str">
        <f t="shared" si="689"/>
        <v>PDNS</v>
      </c>
      <c r="DH235" s="302" t="str">
        <f t="shared" si="38"/>
        <v>(PAIR)</v>
      </c>
      <c r="DI235" s="301" t="str">
        <f t="shared" si="39"/>
        <v>Hemi.</v>
      </c>
      <c r="DJ235" s="364" t="str">
        <f t="shared" si="40"/>
        <v>-</v>
      </c>
      <c r="DK235" s="306" t="str">
        <f t="shared" si="41"/>
        <v>-</v>
      </c>
      <c r="DL235" s="366" t="str">
        <f t="shared" si="42"/>
        <v>-</v>
      </c>
      <c r="DM235" s="308" t="str">
        <f t="shared" si="43"/>
        <v>✔</v>
      </c>
      <c r="DN235" s="306" t="str">
        <f t="shared" si="44"/>
        <v>-</v>
      </c>
      <c r="DO235" s="306" t="str">
        <f t="shared" si="45"/>
        <v>-</v>
      </c>
      <c r="DP235" s="367" t="str">
        <f t="shared" si="46"/>
        <v>-</v>
      </c>
      <c r="DQ235" s="310" t="str">
        <f t="shared" si="47"/>
        <v>-</v>
      </c>
      <c r="DR235" s="310" t="str">
        <f t="shared" si="48"/>
        <v>✔</v>
      </c>
      <c r="DS235" s="310" t="str">
        <f t="shared" si="49"/>
        <v>-</v>
      </c>
      <c r="DT235" s="310" t="str">
        <f t="shared" si="50"/>
        <v>-</v>
      </c>
      <c r="DU235" s="370" t="str">
        <f t="shared" si="51"/>
        <v>-</v>
      </c>
      <c r="DV235" s="306" t="str">
        <f t="shared" si="52"/>
        <v>✔</v>
      </c>
      <c r="DW235" s="306" t="str">
        <f t="shared" si="53"/>
        <v>-</v>
      </c>
      <c r="DX235" s="306" t="str">
        <f t="shared" si="54"/>
        <v>✔</v>
      </c>
      <c r="DY235" s="306" t="str">
        <f t="shared" si="55"/>
        <v>-</v>
      </c>
      <c r="DZ235" s="306" t="str">
        <f t="shared" si="56"/>
        <v>-</v>
      </c>
      <c r="EA235" s="367" t="str">
        <f t="shared" si="57"/>
        <v>-</v>
      </c>
      <c r="EB235" s="310" t="str">
        <f>IFERROR(__xludf.DUMMYFUNCTION("IF(REGEXMATCH(AW235,AS235),""✔"",""-"")"),"✔")</f>
        <v>✔</v>
      </c>
      <c r="EC235" s="310" t="str">
        <f t="shared" si="58"/>
        <v>#REF!</v>
      </c>
      <c r="ED235" s="370" t="str">
        <f t="shared" si="59"/>
        <v>-</v>
      </c>
      <c r="EE235" s="340" t="str">
        <f t="shared" si="60"/>
        <v>S-gG-P-D-n-S</v>
      </c>
      <c r="EF235" s="371" t="str">
        <f>IFERROR(__xludf.DUMMYFUNCTION("CONCATENATE(JOIN("""",HC235:HO235))"),"SRgmdDS")</f>
        <v>SRgmdDS</v>
      </c>
      <c r="EG235" s="372">
        <f t="shared" si="61"/>
        <v>3</v>
      </c>
      <c r="EH235" s="373" t="str">
        <f>IFERROR(__xludf.DUMMYFUNCTION("CONCATENATE(JOIN("""",JC235:JO235))"),"Ga, Pa, ni, ")</f>
        <v>Ga, Pa, ni, </v>
      </c>
      <c r="EI235" s="322">
        <f t="shared" si="62"/>
        <v>0</v>
      </c>
      <c r="EJ235" s="374" t="str">
        <f>IFERROR(__xludf.DUMMYFUNCTION("CONCATENATE(JOIN("""",KC235:KO235))"),"")</f>
        <v/>
      </c>
      <c r="EK235" s="325" t="str">
        <f t="shared" si="63"/>
        <v>S-G2-G3-P-D2-N2-S</v>
      </c>
      <c r="EL235" s="326" t="str">
        <f t="shared" si="64"/>
        <v>1-b3-3-5-6-b7-8</v>
      </c>
      <c r="EM235" s="318" t="str">
        <f t="shared" si="65"/>
        <v>#REF!</v>
      </c>
      <c r="EN235" s="328" t="str">
        <f>IFERROR(__xludf.DUMMYFUNCTION("SUBSTITUTE(SUBSTITUTE(SUBSTITUTE(SUBSTITUTE(CONCATENATE(JOIN("" "",HP235:IB235)),""  "","" ""),""  "","" ""),""  "","" ""),""  "","" "")"),"o • • o o • • o • o o • o")</f>
        <v>o • • o o • • o • o o • o</v>
      </c>
      <c r="EO235" s="368" t="str">
        <f t="shared" si="66"/>
        <v>Sa-Pa</v>
      </c>
      <c r="EP235" s="339" t="str">
        <f t="shared" si="67"/>
        <v>-</v>
      </c>
      <c r="EQ235" s="339" t="str">
        <f t="shared" si="68"/>
        <v>Sa-Pa</v>
      </c>
      <c r="ER235" s="339" t="str">
        <f t="shared" si="69"/>
        <v>Sa-Pa</v>
      </c>
      <c r="ES235" s="340" t="str">
        <f t="shared" si="70"/>
        <v>-</v>
      </c>
      <c r="ET235" s="363"/>
      <c r="EU235" s="376" t="b">
        <f>IFERROR(__xludf.DUMMYFUNCTION("arrayformula(sum(--REGEXMATCH(""SRGMPDNS"",split(REGEXREPLACE(C235,""(.)"",""$1~""),""~""))))=len(C235)
"),FALSE)</f>
        <v>0</v>
      </c>
      <c r="EV235" s="290" t="b">
        <f>IFERROR(__xludf.DUMMYFUNCTION("arrayformula(sum(--REGEXMATCH(""SRGmPDNS"",split(REGEXREPLACE(C235,""(.)"",""$1~""),""~""))))=len(C235)"),FALSE)</f>
        <v>0</v>
      </c>
      <c r="EW235" s="290" t="b">
        <f>IFERROR(__xludf.DUMMYFUNCTION("arrayformula(sum(--REGEXMATCH(""SRGmPDnS"",split(REGEXREPLACE(C235,""(.)"",""$1~""),""~""))))=len(C235)"),FALSE)</f>
        <v>0</v>
      </c>
      <c r="EX235" s="290" t="b">
        <f>IFERROR(__xludf.DUMMYFUNCTION("arrayformula(sum(--REGEXMATCH(""SRgmPDnS"",split(REGEXREPLACE(C235,""(.)"",""$1~""),""~""))))=len(C235)"),FALSE)</f>
        <v>0</v>
      </c>
      <c r="EY235" s="290" t="b">
        <f>IFERROR(__xludf.DUMMYFUNCTION("arrayformula(sum(--REGEXMATCH(""SRgmPdnS"",split(REGEXREPLACE(C235,""(.)"",""$1~""),""~""))))=len(C235)"),FALSE)</f>
        <v>0</v>
      </c>
      <c r="EZ235" s="290" t="b">
        <f>IFERROR(__xludf.DUMMYFUNCTION("arrayformula(sum(--REGEXMATCH(""SrgmPdnS"",split(REGEXREPLACE(C235,""(.)"",""$1~""),""~""))))=len(C235)"),FALSE)</f>
        <v>0</v>
      </c>
      <c r="FA235" s="290" t="b">
        <f>IFERROR(__xludf.DUMMYFUNCTION("arrayformula(sum(--REGEXMATCH(""SrGmPdNS"",split(REGEXREPLACE(C235,""(.)"",""$1~""),""~""))))=len(C235)"),FALSE)</f>
        <v>0</v>
      </c>
      <c r="FB235" s="290" t="b">
        <f>IFERROR(__xludf.DUMMYFUNCTION("arrayformula(sum(--REGEXMATCH(""SrGMPDNS"",split(REGEXREPLACE(C235,""(.)"",""$1~""),""~""))))=len(C235)"),FALSE)</f>
        <v>0</v>
      </c>
      <c r="FC235" s="290" t="b">
        <f>IFERROR(__xludf.DUMMYFUNCTION("arrayformula(sum(--REGEXMATCH(""SrGMPdNS"",split(REGEXREPLACE(C235,""(.)"",""$1~""),""~""))))=len(C235)"),FALSE)</f>
        <v>0</v>
      </c>
      <c r="FD235" s="377" t="b">
        <f>IFERROR(__xludf.DUMMYFUNCTION("arrayformula(sum(--REGEXMATCH(""SrgMPdNS"",split(REGEXREPLACE(C235,""(.)"",""$1~""),""~""))))=len(C235)"),FALSE)</f>
        <v>0</v>
      </c>
      <c r="FE235" s="269" t="str">
        <f t="shared" si="71"/>
        <v>-</v>
      </c>
      <c r="FF235" s="269" t="str">
        <f t="shared" si="72"/>
        <v>-</v>
      </c>
      <c r="FG235" s="271" t="str">
        <f t="shared" si="73"/>
        <v>xxooxoxxoxo</v>
      </c>
      <c r="FH235" s="269" t="str">
        <f t="shared" si="74"/>
        <v>xooxoxxoxoo</v>
      </c>
      <c r="FI235" s="271" t="str">
        <f t="shared" si="75"/>
        <v>-</v>
      </c>
      <c r="FJ235" s="271" t="str">
        <f t="shared" si="76"/>
        <v>-</v>
      </c>
      <c r="FK235" s="271" t="str">
        <f t="shared" si="77"/>
        <v>xoxxoxooxxo</v>
      </c>
      <c r="FL235" s="271" t="str">
        <f t="shared" si="78"/>
        <v>-</v>
      </c>
      <c r="FM235" s="271" t="str">
        <f t="shared" si="79"/>
        <v>xxoxooxxoox</v>
      </c>
      <c r="FN235" s="271" t="str">
        <f t="shared" si="80"/>
        <v>xoxooxxooxo</v>
      </c>
      <c r="FO235" s="274" t="str">
        <f t="shared" si="81"/>
        <v>-</v>
      </c>
      <c r="FP235" s="234" t="str">
        <f t="shared" si="82"/>
        <v>|</v>
      </c>
      <c r="FQ235" s="236" t="str">
        <f t="shared" si="83"/>
        <v>-</v>
      </c>
      <c r="FR235" s="237" t="str">
        <f t="shared" si="84"/>
        <v>-</v>
      </c>
      <c r="FS235" s="236" t="str">
        <f t="shared" si="85"/>
        <v>|</v>
      </c>
      <c r="FT235" s="237" t="str">
        <f t="shared" si="86"/>
        <v>|</v>
      </c>
      <c r="FU235" s="236" t="str">
        <f t="shared" si="87"/>
        <v>-</v>
      </c>
      <c r="FV235" s="237" t="str">
        <f t="shared" si="88"/>
        <v>-</v>
      </c>
      <c r="FW235" s="236" t="str">
        <f t="shared" si="89"/>
        <v>|</v>
      </c>
      <c r="FX235" s="237" t="str">
        <f t="shared" si="90"/>
        <v>-</v>
      </c>
      <c r="FY235" s="236" t="str">
        <f t="shared" si="91"/>
        <v>|</v>
      </c>
      <c r="FZ235" s="237" t="str">
        <f t="shared" si="92"/>
        <v>|</v>
      </c>
      <c r="GA235" s="236" t="str">
        <f t="shared" si="93"/>
        <v>-</v>
      </c>
      <c r="GB235" s="238" t="str">
        <f t="shared" si="94"/>
        <v>|</v>
      </c>
      <c r="GC235" s="244" t="str">
        <f>IFERROR(__xludf.DUMMYFUNCTION("IF(REGEXMATCH(C235, ""S""), ""1"","""")"),"1")</f>
        <v>1</v>
      </c>
      <c r="GD235" s="245" t="str">
        <f>IFERROR(__xludf.DUMMYFUNCTION("IF(REGEXMATCH(C235, ""r""), ""b2"","""")"),"")</f>
        <v/>
      </c>
      <c r="GE235" s="246" t="str">
        <f>IFERROR(__xludf.DUMMYFUNCTION("IF(REGEXMATCH(C235, ""R""), ""2"","""")"),"")</f>
        <v/>
      </c>
      <c r="GF235" s="246" t="str">
        <f>IFERROR(__xludf.DUMMYFUNCTION("IF(REGEXMATCH(C235, ""g""), ""b3"","""")"),"b3")</f>
        <v>b3</v>
      </c>
      <c r="GG235" s="245" t="str">
        <f>IFERROR(__xludf.DUMMYFUNCTION("IF(REGEXMATCH(C235, ""G""), ""3"","""")"),"3")</f>
        <v>3</v>
      </c>
      <c r="GH235" s="245" t="str">
        <f>IFERROR(__xludf.DUMMYFUNCTION("IF(REGEXMATCH(C235, ""m""), ""4"","""")"),"")</f>
        <v/>
      </c>
      <c r="GI235" s="246" t="str">
        <f>IFERROR(__xludf.DUMMYFUNCTION("IF(REGEXMATCH(C235, ""M""), ""#4"","""")"),"")</f>
        <v/>
      </c>
      <c r="GJ235" s="245" t="str">
        <f>IFERROR(__xludf.DUMMYFUNCTION("IF(REGEXMATCH(C235, ""P""), ""5"","""")"),"5")</f>
        <v>5</v>
      </c>
      <c r="GK235" s="246" t="str">
        <f>IFERROR(__xludf.DUMMYFUNCTION("IF(REGEXMATCH(C235, ""d""), ""b6"","""")"),"")</f>
        <v/>
      </c>
      <c r="GL235" s="245" t="str">
        <f>IFERROR(__xludf.DUMMYFUNCTION("IF(REGEXMATCH(C235, ""D""), ""6"","""")"),"6")</f>
        <v>6</v>
      </c>
      <c r="GM235" s="245" t="str">
        <f>IFERROR(__xludf.DUMMYFUNCTION("IF(REGEXMATCH(C235, ""n""), ""b7"","""")"),"b7")</f>
        <v>b7</v>
      </c>
      <c r="GN235" s="246" t="str">
        <f>IFERROR(__xludf.DUMMYFUNCTION("IF(REGEXMATCH(C235, ""N""), ""7"","""")"),"")</f>
        <v/>
      </c>
      <c r="GO235" s="249" t="str">
        <f>IFERROR(__xludf.DUMMYFUNCTION("IF(REGEXMATCH(C235, ""S""), ""8"","""")"),"8")</f>
        <v>8</v>
      </c>
      <c r="GP235" s="244" t="str">
        <f>IFERROR(__xludf.DUMMYFUNCTION("IF(REGEXMATCH(C235, ""S""), ""S"","""")"),"S")</f>
        <v>S</v>
      </c>
      <c r="GQ235" s="294" t="str">
        <f>IFERROR(__xludf.DUMMYFUNCTION("IF(REGEXMATCH(C235, ""r""), ""R1"","""")"),"")</f>
        <v/>
      </c>
      <c r="GR235" s="295" t="str">
        <f>IFERROR(__xludf.DUMMYFUNCTION("IF(REGEXMATCH(C235, ""R""), ""R2"","""")"),"")</f>
        <v/>
      </c>
      <c r="GS235" s="295" t="str">
        <f>IFERROR(__xludf.DUMMYFUNCTION("IF(REGEXMATCH(C235, ""g""), ""G2"","""")"),"G2")</f>
        <v>G2</v>
      </c>
      <c r="GT235" s="294" t="str">
        <f>IFERROR(__xludf.DUMMYFUNCTION("IF(REGEXMATCH(C235, ""G""), ""G3"","""")"),"G3")</f>
        <v>G3</v>
      </c>
      <c r="GU235" s="294" t="str">
        <f>IFERROR(__xludf.DUMMYFUNCTION("IF(REGEXMATCH(C235, ""m""), ""M1"","""")"),"")</f>
        <v/>
      </c>
      <c r="GV235" s="295" t="str">
        <f>IFERROR(__xludf.DUMMYFUNCTION("IF(REGEXMATCH(C235, ""M""), ""M2"","""")"),"")</f>
        <v/>
      </c>
      <c r="GW235" s="294" t="str">
        <f>IFERROR(__xludf.DUMMYFUNCTION("IF(REGEXMATCH(C235, ""P""), ""P"","""")"),"P")</f>
        <v>P</v>
      </c>
      <c r="GX235" s="295" t="str">
        <f>IFERROR(__xludf.DUMMYFUNCTION("IF(REGEXMATCH(C235, ""d""), ""D1"","""")"),"")</f>
        <v/>
      </c>
      <c r="GY235" s="294" t="str">
        <f>IFERROR(__xludf.DUMMYFUNCTION("IF(REGEXMATCH(C235, ""D""), ""D2"","""")"),"D2")</f>
        <v>D2</v>
      </c>
      <c r="GZ235" s="294" t="str">
        <f>IFERROR(__xludf.DUMMYFUNCTION("IF(REGEXMATCH(C235, ""n""), ""N2"","""")"),"N2")</f>
        <v>N2</v>
      </c>
      <c r="HA235" s="295" t="str">
        <f>IFERROR(__xludf.DUMMYFUNCTION("IF(REGEXMATCH(C235, ""N""), ""N3"","""")"),"")</f>
        <v/>
      </c>
      <c r="HB235" s="249" t="str">
        <f>IFERROR(__xludf.DUMMYFUNCTION("IF(REGEXMATCH(C235, ""S""), ""S"","""")"),"S")</f>
        <v>S</v>
      </c>
      <c r="HC235" s="331" t="str">
        <f t="shared" si="95"/>
        <v>S</v>
      </c>
      <c r="HD235" s="332" t="str">
        <f t="shared" si="96"/>
        <v/>
      </c>
      <c r="HE235" s="332" t="str">
        <f t="shared" si="97"/>
        <v>R</v>
      </c>
      <c r="HF235" s="332" t="str">
        <f t="shared" si="98"/>
        <v>g</v>
      </c>
      <c r="HG235" s="332" t="str">
        <f t="shared" si="99"/>
        <v/>
      </c>
      <c r="HH235" s="332" t="str">
        <f t="shared" si="100"/>
        <v>m</v>
      </c>
      <c r="HI235" s="332" t="str">
        <f t="shared" si="101"/>
        <v/>
      </c>
      <c r="HJ235" s="332" t="str">
        <f t="shared" si="102"/>
        <v/>
      </c>
      <c r="HK235" s="332" t="str">
        <f t="shared" si="103"/>
        <v>d</v>
      </c>
      <c r="HL235" s="332" t="str">
        <f t="shared" si="104"/>
        <v>D</v>
      </c>
      <c r="HM235" s="332" t="str">
        <f t="shared" si="105"/>
        <v/>
      </c>
      <c r="HN235" s="332" t="str">
        <f t="shared" si="106"/>
        <v/>
      </c>
      <c r="HO235" s="343" t="str">
        <f t="shared" si="107"/>
        <v>S</v>
      </c>
      <c r="HP235" s="331" t="str">
        <f t="shared" si="108"/>
        <v>o</v>
      </c>
      <c r="HQ235" s="332" t="str">
        <f t="shared" si="109"/>
        <v>•</v>
      </c>
      <c r="HR235" s="332" t="str">
        <f t="shared" si="110"/>
        <v>•</v>
      </c>
      <c r="HS235" s="332" t="str">
        <f t="shared" si="111"/>
        <v>o</v>
      </c>
      <c r="HT235" s="332" t="str">
        <f t="shared" si="112"/>
        <v>o</v>
      </c>
      <c r="HU235" s="332" t="str">
        <f t="shared" si="113"/>
        <v>•</v>
      </c>
      <c r="HV235" s="332" t="str">
        <f t="shared" si="114"/>
        <v>•</v>
      </c>
      <c r="HW235" s="332" t="str">
        <f t="shared" si="115"/>
        <v>o</v>
      </c>
      <c r="HX235" s="332" t="str">
        <f t="shared" si="116"/>
        <v>•</v>
      </c>
      <c r="HY235" s="332" t="str">
        <f t="shared" si="117"/>
        <v>o</v>
      </c>
      <c r="HZ235" s="332" t="str">
        <f t="shared" si="118"/>
        <v>o</v>
      </c>
      <c r="IA235" s="332" t="str">
        <f t="shared" si="119"/>
        <v>•</v>
      </c>
      <c r="IB235" s="338" t="str">
        <f t="shared" si="120"/>
        <v>o</v>
      </c>
      <c r="IC235" s="331" t="str">
        <f t="shared" si="121"/>
        <v>•</v>
      </c>
      <c r="ID235" s="332" t="str">
        <f t="shared" si="122"/>
        <v>o</v>
      </c>
      <c r="IE235" s="332" t="str">
        <f t="shared" si="123"/>
        <v>o</v>
      </c>
      <c r="IF235" s="332" t="str">
        <f t="shared" si="124"/>
        <v>•</v>
      </c>
      <c r="IG235" s="332" t="str">
        <f t="shared" si="125"/>
        <v>•</v>
      </c>
      <c r="IH235" s="332" t="str">
        <f t="shared" si="126"/>
        <v>o</v>
      </c>
      <c r="II235" s="332" t="str">
        <f t="shared" si="127"/>
        <v>o</v>
      </c>
      <c r="IJ235" s="332" t="str">
        <f t="shared" si="128"/>
        <v>•</v>
      </c>
      <c r="IK235" s="332" t="str">
        <f t="shared" si="129"/>
        <v>o</v>
      </c>
      <c r="IL235" s="332" t="str">
        <f t="shared" si="130"/>
        <v>•</v>
      </c>
      <c r="IM235" s="332" t="str">
        <f t="shared" si="131"/>
        <v>•</v>
      </c>
      <c r="IN235" s="332" t="str">
        <f t="shared" si="132"/>
        <v>o</v>
      </c>
      <c r="IO235" s="338" t="str">
        <f t="shared" si="133"/>
        <v>•</v>
      </c>
      <c r="IP235" s="346" t="b">
        <f t="shared" si="134"/>
        <v>0</v>
      </c>
      <c r="IQ235" s="347" t="b">
        <f t="shared" si="135"/>
        <v>0</v>
      </c>
      <c r="IR235" s="347" t="b">
        <f t="shared" si="136"/>
        <v>0</v>
      </c>
      <c r="IS235" s="347" t="b">
        <f t="shared" si="137"/>
        <v>0</v>
      </c>
      <c r="IT235" s="347" t="b">
        <f t="shared" si="138"/>
        <v>1</v>
      </c>
      <c r="IU235" s="347" t="b">
        <f t="shared" si="139"/>
        <v>0</v>
      </c>
      <c r="IV235" s="347" t="b">
        <f t="shared" si="140"/>
        <v>0</v>
      </c>
      <c r="IW235" s="347" t="b">
        <f t="shared" si="141"/>
        <v>1</v>
      </c>
      <c r="IX235" s="347" t="b">
        <f t="shared" si="142"/>
        <v>0</v>
      </c>
      <c r="IY235" s="347" t="b">
        <f t="shared" si="143"/>
        <v>0</v>
      </c>
      <c r="IZ235" s="347" t="b">
        <f t="shared" si="144"/>
        <v>1</v>
      </c>
      <c r="JA235" s="347" t="b">
        <f t="shared" si="145"/>
        <v>0</v>
      </c>
      <c r="JB235" s="353" t="b">
        <f t="shared" si="146"/>
        <v>0</v>
      </c>
      <c r="JC235" s="354" t="str">
        <f t="shared" si="147"/>
        <v/>
      </c>
      <c r="JD235" s="355" t="str">
        <f t="shared" si="148"/>
        <v/>
      </c>
      <c r="JE235" s="355" t="str">
        <f t="shared" si="149"/>
        <v/>
      </c>
      <c r="JF235" s="355" t="str">
        <f t="shared" si="150"/>
        <v/>
      </c>
      <c r="JG235" s="355" t="str">
        <f t="shared" si="151"/>
        <v>Ga, </v>
      </c>
      <c r="JH235" s="355" t="str">
        <f t="shared" si="152"/>
        <v/>
      </c>
      <c r="JI235" s="355" t="str">
        <f t="shared" si="153"/>
        <v/>
      </c>
      <c r="JJ235" s="355" t="str">
        <f t="shared" si="154"/>
        <v>Pa, </v>
      </c>
      <c r="JK235" s="355" t="str">
        <f t="shared" si="155"/>
        <v/>
      </c>
      <c r="JL235" s="355" t="str">
        <f t="shared" si="156"/>
        <v/>
      </c>
      <c r="JM235" s="355" t="str">
        <f t="shared" si="157"/>
        <v>ni, </v>
      </c>
      <c r="JN235" s="355" t="str">
        <f t="shared" si="158"/>
        <v/>
      </c>
      <c r="JO235" s="359" t="str">
        <f t="shared" si="159"/>
        <v/>
      </c>
      <c r="JP235" s="346" t="b">
        <f t="shared" si="160"/>
        <v>0</v>
      </c>
      <c r="JQ235" s="347" t="b">
        <f t="shared" si="161"/>
        <v>0</v>
      </c>
      <c r="JR235" s="347" t="b">
        <f t="shared" si="162"/>
        <v>0</v>
      </c>
      <c r="JS235" s="347" t="b">
        <f t="shared" si="163"/>
        <v>0</v>
      </c>
      <c r="JT235" s="347" t="b">
        <f t="shared" si="164"/>
        <v>0</v>
      </c>
      <c r="JU235" s="347" t="b">
        <f t="shared" si="165"/>
        <v>0</v>
      </c>
      <c r="JV235" s="347" t="b">
        <f t="shared" si="166"/>
        <v>0</v>
      </c>
      <c r="JW235" s="347" t="b">
        <f t="shared" si="167"/>
        <v>0</v>
      </c>
      <c r="JX235" s="347" t="b">
        <f t="shared" si="168"/>
        <v>0</v>
      </c>
      <c r="JY235" s="347" t="b">
        <f t="shared" si="169"/>
        <v>0</v>
      </c>
      <c r="JZ235" s="347" t="b">
        <f t="shared" si="170"/>
        <v>0</v>
      </c>
      <c r="KA235" s="347" t="b">
        <f t="shared" si="171"/>
        <v>0</v>
      </c>
      <c r="KB235" s="365" t="b">
        <f t="shared" si="172"/>
        <v>0</v>
      </c>
      <c r="KC235" s="354" t="str">
        <f t="shared" si="173"/>
        <v/>
      </c>
      <c r="KD235" s="355" t="str">
        <f t="shared" si="174"/>
        <v/>
      </c>
      <c r="KE235" s="355" t="str">
        <f t="shared" si="175"/>
        <v/>
      </c>
      <c r="KF235" s="355" t="str">
        <f t="shared" si="176"/>
        <v/>
      </c>
      <c r="KG235" s="355" t="str">
        <f t="shared" si="177"/>
        <v/>
      </c>
      <c r="KH235" s="355" t="str">
        <f t="shared" si="178"/>
        <v/>
      </c>
      <c r="KI235" s="355" t="str">
        <f t="shared" si="179"/>
        <v/>
      </c>
      <c r="KJ235" s="355" t="str">
        <f t="shared" si="180"/>
        <v/>
      </c>
      <c r="KK235" s="355" t="str">
        <f t="shared" si="181"/>
        <v/>
      </c>
      <c r="KL235" s="355" t="str">
        <f t="shared" si="182"/>
        <v/>
      </c>
      <c r="KM235" s="355" t="str">
        <f t="shared" si="183"/>
        <v/>
      </c>
      <c r="KN235" s="355" t="str">
        <f t="shared" si="184"/>
        <v/>
      </c>
      <c r="KO235" s="359"/>
      <c r="KP235" s="378"/>
      <c r="KQ235" s="379" t="s">
        <v>9</v>
      </c>
      <c r="KR235" s="380" t="s">
        <v>9</v>
      </c>
      <c r="KS235" s="381" t="s">
        <v>9</v>
      </c>
      <c r="KT235" s="382">
        <f t="shared" si="186"/>
        <v>0</v>
      </c>
      <c r="KU235" s="383">
        <f t="shared" si="187"/>
        <v>0</v>
      </c>
      <c r="KV235" s="381" t="str">
        <f t="shared" si="205"/>
        <v>S</v>
      </c>
      <c r="KW235" s="382">
        <f t="shared" si="189"/>
        <v>0</v>
      </c>
      <c r="KX235" s="384">
        <f t="shared" si="190"/>
        <v>0</v>
      </c>
      <c r="KY235" s="382">
        <f t="shared" ref="KY235:KZ235" si="690">KW235-KT235</f>
        <v>0</v>
      </c>
      <c r="KZ235" s="369">
        <f t="shared" si="690"/>
        <v>0</v>
      </c>
      <c r="LA235" s="385" t="str">
        <f t="shared" si="192"/>
        <v>✔</v>
      </c>
      <c r="LB235" s="340" t="str">
        <f>IFERROR(__xludf.DUMMYFUNCTION("JOIN("""",ArrayFormula(MID(KS235,LEN(KS235)-SEQUENCE(1,LEN(KS235))+1,1)))"),"S")</f>
        <v>S</v>
      </c>
      <c r="LC235" s="373" t="str">
        <f>IFERROR(__xludf.DUMMYFUNCTION("JOIN("""",ArrayFormula(MID(KV235,LEN(KV235)-SEQUENCE(1,LEN(KV235))+1,1)))"),"S")</f>
        <v>S</v>
      </c>
      <c r="LD235" s="373" t="str">
        <f t="shared" si="193"/>
        <v>S</v>
      </c>
      <c r="LE235" s="339" t="str">
        <f t="shared" si="194"/>
        <v>S</v>
      </c>
      <c r="LF235" s="386" t="str">
        <f>IFERROR(__xludf.DUMMYFUNCTION("SUBSTITUTE(SUBSTITUTE(CONCATENATE(JOIN("""",LH235:LT235)),""1"",""""),""2"","""")"),"SS")</f>
        <v>SS</v>
      </c>
      <c r="LG235" s="369" t="str">
        <f t="shared" si="195"/>
        <v>-</v>
      </c>
      <c r="LH235" s="387" t="str">
        <f>IFERROR(__xludf.DUMMYFUNCTION("IF(REGEXMATCH(LD235, ""S""), ""S"",IF(REGEXMATCH(LE235, ""S""), ""S"",""""))"),"S")</f>
        <v>S</v>
      </c>
      <c r="LI235" s="299" t="str">
        <f>IFERROR(__xludf.DUMMYFUNCTION("IF(REGEXMATCH(LD235, ""r""), ""r1"",IF(REGEXMATCH(LE235, ""r""), ""r2"",""""))"),"")</f>
        <v/>
      </c>
      <c r="LJ235" s="299" t="str">
        <f>IFERROR(__xludf.DUMMYFUNCTION("IF(REGEXMATCH(LD235, ""R""), ""R1"",IF(REGEXMATCH(LE235, ""R""), ""R2"",""""))"),"")</f>
        <v/>
      </c>
      <c r="LK235" s="299" t="str">
        <f>IFERROR(__xludf.DUMMYFUNCTION("IF(REGEXMATCH(LD235, ""g""), ""g1"",IF(REGEXMATCH(LE235, ""g""), ""g2"",""""))"),"")</f>
        <v/>
      </c>
      <c r="LL235" s="299" t="str">
        <f>IFERROR(__xludf.DUMMYFUNCTION("IF(REGEXMATCH(LD235, ""G""), ""G1"",IF(REGEXMATCH(LE235, ""G""), ""G2"",""""))"),"")</f>
        <v/>
      </c>
      <c r="LM235" s="299" t="str">
        <f>IFERROR(__xludf.DUMMYFUNCTION("IF(REGEXMATCH(LD235, ""m""), ""m1"",IF(REGEXMATCH(LE235, ""m""), ""m2"",""""))"),"")</f>
        <v/>
      </c>
      <c r="LN235" s="299" t="str">
        <f>IFERROR(__xludf.DUMMYFUNCTION("IF(REGEXMATCH(LD235, ""M""), ""M1"",IF(REGEXMATCH(LE235, ""M""), ""M2"",""""))"),"")</f>
        <v/>
      </c>
      <c r="LO235" s="299" t="str">
        <f>IFERROR(__xludf.DUMMYFUNCTION("IF(REGEXMATCH(LD235, ""P""), ""P1"",IF(REGEXMATCH(LE235, ""P""), ""P2"",""""))"),"")</f>
        <v/>
      </c>
      <c r="LP235" s="299" t="str">
        <f>IFERROR(__xludf.DUMMYFUNCTION("IF(REGEXMATCH(LD235, ""d""), ""d1"",IF(REGEXMATCH(LE235, ""d""), ""d2"",""""))"),"")</f>
        <v/>
      </c>
      <c r="LQ235" s="299" t="str">
        <f>IFERROR(__xludf.DUMMYFUNCTION("IF(REGEXMATCH(LD235, ""D""), ""D1"",IF(REGEXMATCH(LE235, ""D""), ""D2"",""""))"),"")</f>
        <v/>
      </c>
      <c r="LR235" s="299" t="str">
        <f>IFERROR(__xludf.DUMMYFUNCTION("IF(REGEXMATCH(LD235, ""n""), ""n1"",IF(REGEXMATCH(LE235, ""n""), ""n2"",""""))"),"")</f>
        <v/>
      </c>
      <c r="LS235" s="299" t="str">
        <f>IFERROR(__xludf.DUMMYFUNCTION("IF(REGEXMATCH(LD235, ""N""), ""N1"",IF(REGEXMATCH(LE235, ""N""), ""N2"",""""))"),"")</f>
        <v/>
      </c>
      <c r="LT235" s="388" t="str">
        <f>IFERROR(__xludf.DUMMYFUNCTION("IF(REGEXMATCH(LD235, ""S""), ""S"",IF(REGEXMATCH(LE235, ""S""), ""S"",""""))"),"S")</f>
        <v>S</v>
      </c>
      <c r="LU235" s="389">
        <f t="shared" si="196"/>
        <v>1</v>
      </c>
      <c r="LV235" s="378"/>
      <c r="LW235" s="369"/>
      <c r="LX235" s="369"/>
    </row>
    <row r="236" ht="18.0" customHeight="1">
      <c r="A236" s="298" t="s">
        <v>995</v>
      </c>
      <c r="B236" s="222" t="s">
        <v>527</v>
      </c>
      <c r="C236" s="233" t="str">
        <f t="shared" si="7"/>
        <v>SRgmPDnNS</v>
      </c>
      <c r="D236" s="234" t="str">
        <f>IFERROR(__xludf.DUMMYFUNCTION("IF(REGEXMATCH(C236, ""S""), ""S"","""")"),"S")</f>
        <v>S</v>
      </c>
      <c r="E236" s="236" t="str">
        <f>IFERROR(__xludf.DUMMYFUNCTION("IF(REGEXMATCH(C236, ""r""), ""r"","""")"),"")</f>
        <v/>
      </c>
      <c r="F236" s="237" t="str">
        <f>IFERROR(__xludf.DUMMYFUNCTION("IF(REGEXMATCH(C236, ""R""), ""R"","""")"),"R")</f>
        <v>R</v>
      </c>
      <c r="G236" s="237" t="str">
        <f>IFERROR(__xludf.DUMMYFUNCTION("IF(REGEXMATCH(C236, ""g""), ""g"","""")"),"g")</f>
        <v>g</v>
      </c>
      <c r="H236" s="236" t="str">
        <f>IFERROR(__xludf.DUMMYFUNCTION("IF(REGEXMATCH(C236, ""G""), ""G"","""")"),"")</f>
        <v/>
      </c>
      <c r="I236" s="236" t="str">
        <f>IFERROR(__xludf.DUMMYFUNCTION("IF(REGEXMATCH(C236, ""m""), ""m"","""")"),"m")</f>
        <v>m</v>
      </c>
      <c r="J236" s="237" t="str">
        <f>IFERROR(__xludf.DUMMYFUNCTION("IF(REGEXMATCH(C236, ""M""), ""M"","""")"),"")</f>
        <v/>
      </c>
      <c r="K236" s="236" t="str">
        <f>IFERROR(__xludf.DUMMYFUNCTION("IF(REGEXMATCH(C236, ""P""), ""P"","""")"),"P")</f>
        <v>P</v>
      </c>
      <c r="L236" s="237" t="str">
        <f>IFERROR(__xludf.DUMMYFUNCTION("IF(REGEXMATCH(C236, ""d""), ""d"","""")"),"")</f>
        <v/>
      </c>
      <c r="M236" s="236" t="str">
        <f>IFERROR(__xludf.DUMMYFUNCTION("IF(REGEXMATCH(C236, ""D""), ""D"","""")"),"D")</f>
        <v>D</v>
      </c>
      <c r="N236" s="236" t="str">
        <f>IFERROR(__xludf.DUMMYFUNCTION("IF(REGEXMATCH(C236, ""n""), ""n"","""")"),"n")</f>
        <v>n</v>
      </c>
      <c r="O236" s="237" t="str">
        <f>IFERROR(__xludf.DUMMYFUNCTION("IF(REGEXMATCH(C236, ""N""), ""N"","""")"),"N")</f>
        <v>N</v>
      </c>
      <c r="P236" s="238" t="str">
        <f>IFERROR(__xludf.DUMMYFUNCTION("IF(REGEXMATCH(C236, ""S""), ""S"","""")"),"S")</f>
        <v>S</v>
      </c>
      <c r="Q236" s="239" t="str">
        <f>IFERROR(__xludf.DUMMYFUNCTION("SUBSTITUTE(CONCATENATE(JOIN(""-"",D236:J236)),""-"","""")"),"SRgm")</f>
        <v>SRgm</v>
      </c>
      <c r="R236" s="229" t="str">
        <f>IFERROR(__xludf.DUMMYFUNCTION("SUBSTITUTE(CONCATENATE(JOIN(""-"",K236:P236)),""-"","""")"),"PDnNS")</f>
        <v>PDnNS</v>
      </c>
      <c r="S236" s="282" t="str">
        <f t="shared" si="8"/>
        <v>S-R-G-M</v>
      </c>
      <c r="T236" s="282" t="str">
        <f t="shared" si="9"/>
        <v>P-D-N-S</v>
      </c>
      <c r="U236" s="237" t="str">
        <f>IFERROR(__xludf.DUMMYFUNCTION("SUBSTITUTE(JOIN(""-"",S236,T236),""--"",""-"")"),"S-R-G-M-P-D-N-S")</f>
        <v>S-R-G-M-P-D-N-S</v>
      </c>
      <c r="V236" s="309" t="str">
        <f t="shared" si="10"/>
        <v>RgmDnN</v>
      </c>
      <c r="W236" s="244" t="str">
        <f>IFERROR(__xludf.DUMMYFUNCTION("IF(REGEXMATCH(C236, ""S""), ""0"","""")"),"0")</f>
        <v>0</v>
      </c>
      <c r="X236" s="245" t="str">
        <f>IFERROR(__xludf.DUMMYFUNCTION("IF(REGEXMATCH(C236, ""r""), ""1"","""")"),"")</f>
        <v/>
      </c>
      <c r="Y236" s="246" t="str">
        <f>IFERROR(__xludf.DUMMYFUNCTION("IF(REGEXMATCH(C236, ""R""), ""2"","""")"),"2")</f>
        <v>2</v>
      </c>
      <c r="Z236" s="246" t="str">
        <f>IFERROR(__xludf.DUMMYFUNCTION("IF(REGEXMATCH(C236, ""g""), ""3"","""")"),"3")</f>
        <v>3</v>
      </c>
      <c r="AA236" s="245" t="str">
        <f>IFERROR(__xludf.DUMMYFUNCTION("IF(REGEXMATCH(C236, ""G""), ""4"","""")"),"")</f>
        <v/>
      </c>
      <c r="AB236" s="245" t="str">
        <f>IFERROR(__xludf.DUMMYFUNCTION("IF(REGEXMATCH(C236, ""m""), ""5"","""")"),"5")</f>
        <v>5</v>
      </c>
      <c r="AC236" s="246" t="str">
        <f>IFERROR(__xludf.DUMMYFUNCTION("IF(REGEXMATCH(C236, ""M""), ""6"","""")"),"")</f>
        <v/>
      </c>
      <c r="AD236" s="245" t="str">
        <f>IFERROR(__xludf.DUMMYFUNCTION("IF(REGEXMATCH(C236, ""P""), ""7"","""")"),"7")</f>
        <v>7</v>
      </c>
      <c r="AE236" s="246" t="str">
        <f>IFERROR(__xludf.DUMMYFUNCTION("IF(REGEXMATCH(C236, ""d""), ""8"","""")"),"")</f>
        <v/>
      </c>
      <c r="AF236" s="245" t="str">
        <f>IFERROR(__xludf.DUMMYFUNCTION("IF(REGEXMATCH(C236, ""D""), ""9"","""")"),"9")</f>
        <v>9</v>
      </c>
      <c r="AG236" s="245" t="str">
        <f>IFERROR(__xludf.DUMMYFUNCTION("IF(REGEXMATCH(C236, ""n""), ""10"","""")"),"10")</f>
        <v>10</v>
      </c>
      <c r="AH236" s="246" t="str">
        <f>IFERROR(__xludf.DUMMYFUNCTION("IF(REGEXMATCH(C236, ""N""), ""11"","""")"),"11")</f>
        <v>11</v>
      </c>
      <c r="AI236" s="249" t="str">
        <f>IFERROR(__xludf.DUMMYFUNCTION("IF(REGEXMATCH(C236, ""S""), ""0"","""")"),"0")</f>
        <v>0</v>
      </c>
      <c r="AJ236" s="313" t="str">
        <f t="shared" si="11"/>
        <v>-</v>
      </c>
      <c r="AK236" s="313" t="str">
        <f t="shared" si="12"/>
        <v>-</v>
      </c>
      <c r="AL236" s="313" t="str">
        <f t="shared" si="13"/>
        <v>-</v>
      </c>
      <c r="AM236" s="313" t="str">
        <f t="shared" si="14"/>
        <v>T</v>
      </c>
      <c r="AN236" s="313" t="str">
        <f t="shared" si="15"/>
        <v>-</v>
      </c>
      <c r="AO236" s="314" t="str">
        <f t="shared" si="16"/>
        <v>T</v>
      </c>
      <c r="AP236" s="316">
        <f t="shared" si="17"/>
        <v>2</v>
      </c>
      <c r="AQ236" s="319" t="str">
        <f t="shared" si="18"/>
        <v>#REF!</v>
      </c>
      <c r="AR236" s="320">
        <f t="shared" si="19"/>
        <v>0</v>
      </c>
      <c r="AS236" s="250" t="str">
        <f>IFERROR(__xludf.DUMMYFUNCTION("SUBSTITUTE(SUBSTITUTE(CONCATENATE(JOIN("""",FP236:GA236)),""|"",""x""),""-"",""o"")"),"xoxxoxoxoxxx")</f>
        <v>xoxxoxoxoxxx</v>
      </c>
      <c r="AT236" s="323" t="str">
        <f>IFERROR(__xludf.DUMMYFUNCTION("JOIN("""",AS236,AS236)"),"xoxxoxoxoxxxxoxxoxoxoxxx")</f>
        <v>xoxxoxoxoxxxxoxxoxoxoxxx</v>
      </c>
      <c r="AU236" s="256" t="str">
        <f>IFERROR(__xludf.DUMMYFUNCTION("JOIN("""",ArrayFormula(MID(AS236,LEN(AS236)-SEQUENCE(1,LEN(AS236))+1,1)))"),"xxxoxoxoxxox")</f>
        <v>xxxoxoxoxxox</v>
      </c>
      <c r="AV236" s="256" t="str">
        <f>IFERROR(__xludf.DUMMYFUNCTION("LEFT(CONCATENATE(""x"",JOIN("""",ArrayFormula(MID(AS236,LEN(AS236)-SEQUENCE(1,LEN(AS236))+1,1)))),12)"),"xxxxoxoxoxxo")</f>
        <v>xxxxoxoxoxxo</v>
      </c>
      <c r="AW236" s="327" t="str">
        <f>IFERROR(__xludf.DUMMYFUNCTION("JOIN("""",AU236,AU236)"),"xxxoxoxoxxoxxxxoxoxoxxox")</f>
        <v>xxxoxoxoxxoxxxxoxoxoxxox</v>
      </c>
      <c r="AX236" s="239" t="str">
        <f>IFERROR(__xludf.DUMMYFUNCTION("IF(REGEXMATCH(AW236,AS236),""✔"",""-"")"),"-")</f>
        <v>-</v>
      </c>
      <c r="AY236" s="330" t="str">
        <f t="shared" si="20"/>
        <v>-</v>
      </c>
      <c r="AZ236" s="260" t="str">
        <f t="shared" si="21"/>
        <v>#REF!</v>
      </c>
      <c r="BA236" s="333" t="str">
        <f t="shared" si="22"/>
        <v>xoxxoxo</v>
      </c>
      <c r="BB236" s="334" t="str">
        <f t="shared" si="23"/>
        <v>xoxxxx</v>
      </c>
      <c r="BC236" s="335" t="str">
        <f t="shared" si="236"/>
        <v>-</v>
      </c>
      <c r="BD236" s="336" t="str">
        <f t="shared" si="25"/>
        <v>Miyan ki Malhar: 'xoxxoxo' + 'xoxxxx'</v>
      </c>
      <c r="BE236" s="337">
        <f>IFERROR(__xludf.DUMMYFUNCTION("COUNTUNIQUE(FILTER(AT:AT,REGEXMATCH(AT:AT,AS236)))-1"),3.0)</f>
        <v>3</v>
      </c>
      <c r="BF236" s="261" t="str">
        <f>IFERROR(__xludf.DUMMYFUNCTION("IF(BI236=0,""(n/a)"",IF(BJ236=2,""(PAIR)"",IF(REGEXMATCH(AT236,""xoxoxxoxoxox""),""Bilawal"",IF(REGEXMATCH(AT236,""xoxoxooxoxoo""),""Bhupali"",IF(REGEXMATCH(AT236,""xoxoxxoxxoxo""),""Charukeshi"",IF(REGEXMATCH(AT236,""xoxoooxxoxxo""),""Kameshwari"",IF(REG"&amp;"EXMATCH(AT236,""xoxoxooxoxox""),""Shankara"",IF(REGEXMATCH(AT236,""xxooxoxxxoox""),""Basant"",IF(REGEXMATCH(AT236,""xoxoxxxxoxox""),""Bihag"",IF(REGEXMATCH(AT236,""xoxxxxoxoxxx""),""Pilu"",IF(REGEXMATCH(AT236,""xoxxoxoxxoox""),""Kirwani"",IF(REGEXMATCH(AT"&amp;"236,""xoxxoxoxoxxx""),""Mk.Malhar"",IF(REGEXMATCH(AT236,""xxooxxoxxoox""),""Bhairav"",IF(REGEXMATCH(AT236,""xxoxooxxxoox""),""Todi"",IF(REGEXMATCH(AT236,""xxooxoxooxox""),""Marwa"",IF(REGEXMATCH(AT236,""xxoooxoxxooo""),""Gunkali"",IF(REGEXMATCH(AT236,""xo"&amp;"xoxxoxxoox""),""Nat Bhairav"",IF(REGEXMATCH(AT236,""xoxxoooxoxoo""),""Shivranjani"",IF(REGEXMATCH(AT236,""xooxxxoxooxo""),""Jog"",IF(REGEXMATCH(AT236,""xxooxoxoxoox""),""Hemshri"",IF(REGEXMATCH(AT236,""xoooxooxoxxo""),""Kalavati"",IF(REGEXMATCH(AT236,""xx"&amp;"oxoxxoxoox""),""Kedar"",IF(REGEXMATCH(AT236,""xoxxxxoxooxx""),""Gara"",IF(REGEXMATCH(AT236,""xooxoxooxoox""),""Chandrakauns"",IF(REGEXMATCH(AT236,""xoxxxxoxxxox""),""Mand"",IF(REGEXMATCH(AT236,""xoxxxxoxoxox""),""Hanskinkini"",IF(REGEXMATCH(AT236,""xxooxx"&amp;"oxooxo""),""Lilavati"",IF(REGEXMATCH(AT236,""xooxoxoooxox""),""Rajeshwari"",IF(REGEXMATCH(AT236,""xoooxxoxoxxx""),""Khokar"",IF(REGEXMATCH(AT236,""xxooxoxxxxox""),""Maligoura"",""-""))))))))))))))))))))))))))))))"),"Mk.Malhar")</f>
        <v>Mk.Malhar</v>
      </c>
      <c r="BG236" s="239" t="str">
        <f t="shared" si="26"/>
        <v>#REF!</v>
      </c>
      <c r="BH236" s="239">
        <f>IFERROR(__xludf.DUMMYFUNCTION("COUNTUNIQUE(FE236:FO236)-1"),7.0)</f>
        <v>7</v>
      </c>
      <c r="BI236" s="239">
        <f>IFERROR(__xludf.DUMMYFUNCTION("COUNTUNIQUE(FILTER(AT:AT,REGEXMATCH(AT:AT,AS236)))-1"),3.0)</f>
        <v>3</v>
      </c>
      <c r="BJ236" s="239">
        <f>IFERROR(__xludf.DUMMYFUNCTION("COUNTA(FILTER(AT:AT,REGEXMATCH(AT:AT,AS236)))"),16.0)</f>
        <v>16</v>
      </c>
      <c r="BK236" s="341">
        <f>IFERROR(__xludf.DUMMYFUNCTION("COUNTA(FILTER(AT:AT,REGEXMATCH(AT:AT,AS236)))-AR236"),16.0)</f>
        <v>16</v>
      </c>
      <c r="BL236" s="276" t="str">
        <f>IFERROR(__xludf.DUMMYFUNCTION("IF(AS236=""oooooooooooo"",""-"",IF(REGEXMATCH(AT236,""xx""), ""Hemi."", ""Anhemi.""))"),"Hemi.")</f>
        <v>Hemi.</v>
      </c>
      <c r="BM236" s="282" t="str">
        <f>IFERROR(__xludf.DUMMYFUNCTION("IF(AS236=""oooooooooooo"",""-"",IF(REGEXMATCH(AT236,""xxx""), ""Cohem."", ""-""))"),"Cohem.")</f>
        <v>Cohem.</v>
      </c>
      <c r="BN236" s="282" t="str">
        <f>IFERROR(__xludf.DUMMYFUNCTION("IF(AS236=""oooooooooooo"",""-"",IF(REGEXMATCH(AT236,""xxxx""), ""Co-Co."", ""-""))"),"Co-Co.")</f>
        <v>Co-Co.</v>
      </c>
      <c r="BO236" s="342" t="str">
        <f>IFERROR(__xludf.DUMMYFUNCTION("IF(AS236=""oooooooooooo"",""-"",IF(REGEXMATCH(AT236,""xxxxx""), ""CCC."", ""-""))"),"-")</f>
        <v>-</v>
      </c>
      <c r="BP236" s="344" t="str">
        <f t="shared" si="27"/>
        <v>-</v>
      </c>
      <c r="BQ236" s="282" t="str">
        <f>IFERROR(__xludf.DUMMYFUNCTION("IF(REGEXMATCH(JOIN(""-"",EU236:FD236),""TRUE""),""✔"",""-"")"),"-")</f>
        <v>-</v>
      </c>
      <c r="BR236" s="225">
        <f t="shared" si="28"/>
        <v>0</v>
      </c>
      <c r="BS236" s="345" t="str">
        <f>IFERROR(__xludf.DUMMYFUNCTION("SUBSTITUTE(SUBSTITUTE(SUBSTITUTE(SUBSTITUTE(CONCATENATE(JOIN(""-"",GC236:GO236)),""--"",""-""),""--"",""-""),""--"",""-""),""--"",""-"")"),"1-2-b3-4-5-6-b7-7-8")</f>
        <v>1-2-b3-4-5-6-b7-7-8</v>
      </c>
      <c r="BT236" s="299" t="str">
        <f>IFERROR(__xludf.DUMMYFUNCTION("SUBSTITUTE(SUBSTITUTE(SUBSTITUTE(SUBSTITUTE(CONCATENATE(JOIN(""-"",GP236:HB236)),""--"",""-""),""--"",""-""),""--"",""-""),""--"",""-"")"),"S-R2-G2-M1-P-D2-N2-N3-S")</f>
        <v>S-R2-G2-M1-P-D2-N2-N3-S</v>
      </c>
      <c r="BU236" s="348" t="str">
        <f t="shared" si="29"/>
        <v>C-D-Eb-F-G-A-Bb-B-C</v>
      </c>
      <c r="BV236" s="349" t="str">
        <f t="shared" si="30"/>
        <v>SrGMdS</v>
      </c>
      <c r="BW236" s="350">
        <f t="shared" si="31"/>
        <v>0</v>
      </c>
      <c r="BX236" s="351">
        <f t="shared" si="32"/>
        <v>11</v>
      </c>
      <c r="BY236" s="392"/>
      <c r="BZ236" s="309" t="str">
        <f>IFERROR(__xludf.DUMMYFUNCTION("IF(REGEXMATCH(C236, ""S""), ""x"",""x"")"),"x")</f>
        <v>x</v>
      </c>
      <c r="CA236" s="245" t="str">
        <f>IFERROR(__xludf.DUMMYFUNCTION("IF(REGEXMATCH(C236, ""r""), ""o"",""x"")"),"x")</f>
        <v>x</v>
      </c>
      <c r="CB236" s="246" t="str">
        <f>IFERROR(__xludf.DUMMYFUNCTION("IF(REGEXMATCH(C236, ""R""), ""o"",""x"")"),"o")</f>
        <v>o</v>
      </c>
      <c r="CC236" s="246" t="str">
        <f>IFERROR(__xludf.DUMMYFUNCTION("IF(REGEXMATCH(C236, ""g""), ""o"",""x"")"),"o")</f>
        <v>o</v>
      </c>
      <c r="CD236" s="245" t="str">
        <f>IFERROR(__xludf.DUMMYFUNCTION("IF(REGEXMATCH(C236, ""G""), ""o"",""x"")"),"x")</f>
        <v>x</v>
      </c>
      <c r="CE236" s="245" t="str">
        <f>IFERROR(__xludf.DUMMYFUNCTION("IF(REGEXMATCH(C236, ""m""), ""o"",""x"")"),"o")</f>
        <v>o</v>
      </c>
      <c r="CF236" s="246" t="str">
        <f>IFERROR(__xludf.DUMMYFUNCTION("IF(REGEXMATCH(C236, ""M""), ""o"",""x"")"),"x")</f>
        <v>x</v>
      </c>
      <c r="CG236" s="245" t="str">
        <f>IFERROR(__xludf.DUMMYFUNCTION("IF(REGEXMATCH(C236, ""P""), ""o"",""x"")"),"o")</f>
        <v>o</v>
      </c>
      <c r="CH236" s="246" t="str">
        <f>IFERROR(__xludf.DUMMYFUNCTION("IF(REGEXMATCH(C236, ""d""), ""o"",""x"")"),"x")</f>
        <v>x</v>
      </c>
      <c r="CI236" s="245" t="str">
        <f>IFERROR(__xludf.DUMMYFUNCTION("IF(REGEXMATCH(C236, ""D""), ""o"",""x"")"),"o")</f>
        <v>o</v>
      </c>
      <c r="CJ236" s="245" t="str">
        <f>IFERROR(__xludf.DUMMYFUNCTION("IF(REGEXMATCH(C236, ""n""), ""o"",""x"")"),"o")</f>
        <v>o</v>
      </c>
      <c r="CK236" s="245" t="str">
        <f>IFERROR(__xludf.DUMMYFUNCTION("IF(REGEXMATCH(C236, ""N""), ""o"",""x"")"),"o")</f>
        <v>o</v>
      </c>
      <c r="CL236" s="356" t="str">
        <f>IFERROR(__xludf.DUMMYFUNCTION("IF(REGEXMATCH(C236, ""S""), ""x"",""x"")"),"x")</f>
        <v>x</v>
      </c>
      <c r="CM236" s="357" t="str">
        <f t="shared" si="33"/>
        <v>xxooxoxoxooo</v>
      </c>
      <c r="CN236" s="358">
        <f t="shared" si="34"/>
        <v>0</v>
      </c>
      <c r="CO236" s="246" t="str">
        <f>IFERROR(__xludf.DUMMYFUNCTION("IF(REGEXMATCH($C236, ""S""), ""S"",""S"")"),"S")</f>
        <v>S</v>
      </c>
      <c r="CP236" s="246" t="str">
        <f>IFERROR(__xludf.DUMMYFUNCTION("IF(REGEXMATCH($C236, ""r""), """",""r"")"),"r")</f>
        <v>r</v>
      </c>
      <c r="CQ236" s="246" t="str">
        <f>IFERROR(__xludf.DUMMYFUNCTION("IF(REGEXMATCH($C236, ""R""), """",""R"")"),"")</f>
        <v/>
      </c>
      <c r="CR236" s="246" t="str">
        <f>IFERROR(__xludf.DUMMYFUNCTION("IF(REGEXMATCH($C236, ""g""), """",""g"")"),"")</f>
        <v/>
      </c>
      <c r="CS236" s="246" t="str">
        <f>IFERROR(__xludf.DUMMYFUNCTION("IF(REGEXMATCH($C236, ""G""), """",""G"")"),"G")</f>
        <v>G</v>
      </c>
      <c r="CT236" s="246" t="str">
        <f>IFERROR(__xludf.DUMMYFUNCTION("IF(REGEXMATCH($C236, ""m""), """",""m"")"),"")</f>
        <v/>
      </c>
      <c r="CU236" s="246" t="str">
        <f>IFERROR(__xludf.DUMMYFUNCTION("IF(REGEXMATCH($C236, ""M""), """",""M"")"),"M")</f>
        <v>M</v>
      </c>
      <c r="CV236" s="246" t="str">
        <f>IFERROR(__xludf.DUMMYFUNCTION("IF(REGEXMATCH($C236, ""P""), """",""P"")"),"")</f>
        <v/>
      </c>
      <c r="CW236" s="246" t="str">
        <f>IFERROR(__xludf.DUMMYFUNCTION("IF(REGEXMATCH($C236, ""d""), """",""d"")"),"d")</f>
        <v>d</v>
      </c>
      <c r="CX236" s="246" t="str">
        <f>IFERROR(__xludf.DUMMYFUNCTION("IF(REGEXMATCH($C236, ""D""), """",""D"")"),"")</f>
        <v/>
      </c>
      <c r="CY236" s="246" t="str">
        <f>IFERROR(__xludf.DUMMYFUNCTION("IF(REGEXMATCH($C236, ""n""), """",""n"")"),"")</f>
        <v/>
      </c>
      <c r="CZ236" s="246" t="str">
        <f>IFERROR(__xludf.DUMMYFUNCTION("IF(REGEXMATCH($C236, ""N""), """",""N"")"),"")</f>
        <v/>
      </c>
      <c r="DA236" s="246" t="str">
        <f>IFERROR(__xludf.DUMMYFUNCTION("IF(REGEXMATCH($C236, ""S""), ""S"",""S"")"),"S")</f>
        <v>S</v>
      </c>
      <c r="DB236" s="362" t="str">
        <f>IFERROR(__xludf.DUMMYFUNCTION("JOIN("""",CO236:DA236,"""","""")"),"SrGMdS")</f>
        <v>SrGMdS</v>
      </c>
      <c r="DC236" s="363"/>
      <c r="DD236" s="301" t="str">
        <f t="shared" si="35"/>
        <v>#REF!</v>
      </c>
      <c r="DE236" s="302" t="str">
        <f t="shared" si="36"/>
        <v>#REF!</v>
      </c>
      <c r="DF236" s="301" t="str">
        <f t="shared" ref="DF236:DG236" si="691">SUBSTITUTE(S236,"-","")</f>
        <v>SRGM</v>
      </c>
      <c r="DG236" s="301" t="str">
        <f t="shared" si="691"/>
        <v>PDNS</v>
      </c>
      <c r="DH236" s="302" t="str">
        <f t="shared" si="38"/>
        <v>Mk.Malhar</v>
      </c>
      <c r="DI236" s="301" t="str">
        <f t="shared" si="39"/>
        <v>Hemi.</v>
      </c>
      <c r="DJ236" s="364" t="str">
        <f t="shared" si="40"/>
        <v>Co-Co.</v>
      </c>
      <c r="DK236" s="306" t="str">
        <f t="shared" si="41"/>
        <v>-</v>
      </c>
      <c r="DL236" s="366" t="str">
        <f t="shared" si="42"/>
        <v>-</v>
      </c>
      <c r="DM236" s="308" t="str">
        <f t="shared" si="43"/>
        <v>✔</v>
      </c>
      <c r="DN236" s="306" t="str">
        <f t="shared" si="44"/>
        <v>-</v>
      </c>
      <c r="DO236" s="306" t="str">
        <f t="shared" si="45"/>
        <v>-</v>
      </c>
      <c r="DP236" s="367" t="str">
        <f t="shared" si="46"/>
        <v>-</v>
      </c>
      <c r="DQ236" s="310" t="str">
        <f t="shared" si="47"/>
        <v>-</v>
      </c>
      <c r="DR236" s="310" t="str">
        <f t="shared" si="48"/>
        <v>-</v>
      </c>
      <c r="DS236" s="310" t="str">
        <f t="shared" si="49"/>
        <v>-</v>
      </c>
      <c r="DT236" s="310" t="str">
        <f t="shared" si="50"/>
        <v>-</v>
      </c>
      <c r="DU236" s="370" t="str">
        <f t="shared" si="51"/>
        <v>✔</v>
      </c>
      <c r="DV236" s="306" t="str">
        <f t="shared" si="52"/>
        <v>-</v>
      </c>
      <c r="DW236" s="306" t="str">
        <f t="shared" si="53"/>
        <v>-</v>
      </c>
      <c r="DX236" s="306" t="str">
        <f t="shared" si="54"/>
        <v>-</v>
      </c>
      <c r="DY236" s="306" t="str">
        <f t="shared" si="55"/>
        <v>-</v>
      </c>
      <c r="DZ236" s="306" t="str">
        <f t="shared" si="56"/>
        <v>-</v>
      </c>
      <c r="EA236" s="367" t="str">
        <f t="shared" si="57"/>
        <v>-</v>
      </c>
      <c r="EB236" s="310" t="str">
        <f>IFERROR(__xludf.DUMMYFUNCTION("IF(REGEXMATCH(AW236,AS236),""✔"",""-"")"),"-")</f>
        <v>-</v>
      </c>
      <c r="EC236" s="310" t="str">
        <f t="shared" si="58"/>
        <v>#REF!</v>
      </c>
      <c r="ED236" s="370" t="str">
        <f t="shared" si="59"/>
        <v>-</v>
      </c>
      <c r="EE236" s="340" t="str">
        <f t="shared" si="60"/>
        <v>S-R-g-m-P-D-nN-S</v>
      </c>
      <c r="EF236" s="371" t="str">
        <f>IFERROR(__xludf.DUMMYFUNCTION("CONCATENATE(JOIN("""",HC236:HO236))"),"SrRgmPDnS")</f>
        <v>SrRgmPDnS</v>
      </c>
      <c r="EG236" s="372">
        <f t="shared" si="61"/>
        <v>2</v>
      </c>
      <c r="EH236" s="373" t="str">
        <f>IFERROR(__xludf.DUMMYFUNCTION("CONCATENATE(JOIN("""",JC236:JO236))"),"Dha, Ni, ")</f>
        <v>Dha, Ni, </v>
      </c>
      <c r="EI236" s="322">
        <f t="shared" si="62"/>
        <v>1</v>
      </c>
      <c r="EJ236" s="374" t="str">
        <f>IFERROR(__xludf.DUMMYFUNCTION("CONCATENATE(JOIN("""",KC236:KO236))"),"Ni, ")</f>
        <v>Ni, </v>
      </c>
      <c r="EK236" s="325" t="str">
        <f t="shared" si="63"/>
        <v>S-R2-G2-M1-P-D2-N2-N3-S</v>
      </c>
      <c r="EL236" s="326" t="str">
        <f t="shared" si="64"/>
        <v>1-2-b3-4-5-6-b7-7-8</v>
      </c>
      <c r="EM236" s="318" t="str">
        <f t="shared" si="65"/>
        <v>#REF!</v>
      </c>
      <c r="EN236" s="328" t="str">
        <f>IFERROR(__xludf.DUMMYFUNCTION("SUBSTITUTE(SUBSTITUTE(SUBSTITUTE(SUBSTITUTE(CONCATENATE(JOIN("" "",HP236:IB236)),""  "","" ""),""  "","" ""),""  "","" ""),""  "","" "")"),"o • o o • o • o • o o o o")</f>
        <v>o • o o • o • o • o o o o</v>
      </c>
      <c r="EO236" s="368" t="str">
        <f t="shared" si="66"/>
        <v>-</v>
      </c>
      <c r="EP236" s="339" t="str">
        <f t="shared" si="67"/>
        <v>-</v>
      </c>
      <c r="EQ236" s="339" t="str">
        <f t="shared" si="68"/>
        <v>Sa-Pa</v>
      </c>
      <c r="ER236" s="339" t="str">
        <f t="shared" si="69"/>
        <v>-</v>
      </c>
      <c r="ES236" s="340" t="str">
        <f t="shared" si="70"/>
        <v>-</v>
      </c>
      <c r="ET236" s="363"/>
      <c r="EU236" s="376" t="b">
        <f>IFERROR(__xludf.DUMMYFUNCTION("arrayformula(sum(--REGEXMATCH(""SRGMPDNS"",split(REGEXREPLACE(C236,""(.)"",""$1~""),""~""))))=len(C236)
"),FALSE)</f>
        <v>0</v>
      </c>
      <c r="EV236" s="290" t="b">
        <f>IFERROR(__xludf.DUMMYFUNCTION("arrayformula(sum(--REGEXMATCH(""SRGmPDNS"",split(REGEXREPLACE(C236,""(.)"",""$1~""),""~""))))=len(C236)"),FALSE)</f>
        <v>0</v>
      </c>
      <c r="EW236" s="290" t="b">
        <f>IFERROR(__xludf.DUMMYFUNCTION("arrayformula(sum(--REGEXMATCH(""SRGmPDnS"",split(REGEXREPLACE(C236,""(.)"",""$1~""),""~""))))=len(C236)"),FALSE)</f>
        <v>0</v>
      </c>
      <c r="EX236" s="290" t="b">
        <f>IFERROR(__xludf.DUMMYFUNCTION("arrayformula(sum(--REGEXMATCH(""SRgmPDnS"",split(REGEXREPLACE(C236,""(.)"",""$1~""),""~""))))=len(C236)"),FALSE)</f>
        <v>0</v>
      </c>
      <c r="EY236" s="290" t="b">
        <f>IFERROR(__xludf.DUMMYFUNCTION("arrayformula(sum(--REGEXMATCH(""SRgmPdnS"",split(REGEXREPLACE(C236,""(.)"",""$1~""),""~""))))=len(C236)"),FALSE)</f>
        <v>0</v>
      </c>
      <c r="EZ236" s="290" t="b">
        <f>IFERROR(__xludf.DUMMYFUNCTION("arrayformula(sum(--REGEXMATCH(""SrgmPdnS"",split(REGEXREPLACE(C236,""(.)"",""$1~""),""~""))))=len(C236)"),FALSE)</f>
        <v>0</v>
      </c>
      <c r="FA236" s="290" t="b">
        <f>IFERROR(__xludf.DUMMYFUNCTION("arrayformula(sum(--REGEXMATCH(""SrGmPdNS"",split(REGEXREPLACE(C236,""(.)"",""$1~""),""~""))))=len(C236)"),FALSE)</f>
        <v>0</v>
      </c>
      <c r="FB236" s="290" t="b">
        <f>IFERROR(__xludf.DUMMYFUNCTION("arrayformula(sum(--REGEXMATCH(""SrGMPDNS"",split(REGEXREPLACE(C236,""(.)"",""$1~""),""~""))))=len(C236)"),FALSE)</f>
        <v>0</v>
      </c>
      <c r="FC236" s="290" t="b">
        <f>IFERROR(__xludf.DUMMYFUNCTION("arrayformula(sum(--REGEXMATCH(""SrGMPdNS"",split(REGEXREPLACE(C236,""(.)"",""$1~""),""~""))))=len(C236)"),FALSE)</f>
        <v>0</v>
      </c>
      <c r="FD236" s="377" t="b">
        <f>IFERROR(__xludf.DUMMYFUNCTION("arrayformula(sum(--REGEXMATCH(""SrgMPdNS"",split(REGEXREPLACE(C236,""(.)"",""$1~""),""~""))))=len(C236)"),FALSE)</f>
        <v>0</v>
      </c>
      <c r="FE236" s="269" t="str">
        <f t="shared" si="71"/>
        <v>-</v>
      </c>
      <c r="FF236" s="269" t="str">
        <f t="shared" si="72"/>
        <v>xxoxoxoxxxx</v>
      </c>
      <c r="FG236" s="271" t="str">
        <f t="shared" si="73"/>
        <v>xoxoxoxxxxo</v>
      </c>
      <c r="FH236" s="269" t="str">
        <f t="shared" si="74"/>
        <v>-</v>
      </c>
      <c r="FI236" s="271" t="str">
        <f t="shared" si="75"/>
        <v>xoxoxxxxoxx</v>
      </c>
      <c r="FJ236" s="271" t="str">
        <f t="shared" si="76"/>
        <v>-</v>
      </c>
      <c r="FK236" s="271" t="str">
        <f t="shared" si="77"/>
        <v>xoxxxxoxxox</v>
      </c>
      <c r="FL236" s="271" t="str">
        <f t="shared" si="78"/>
        <v>-</v>
      </c>
      <c r="FM236" s="271" t="str">
        <f t="shared" si="79"/>
        <v>xxxxoxxoxox</v>
      </c>
      <c r="FN236" s="271" t="str">
        <f t="shared" si="80"/>
        <v>xxxoxxoxoxo</v>
      </c>
      <c r="FO236" s="274" t="str">
        <f t="shared" si="81"/>
        <v>xxoxxoxoxox</v>
      </c>
      <c r="FP236" s="234" t="str">
        <f t="shared" si="82"/>
        <v>|</v>
      </c>
      <c r="FQ236" s="236" t="str">
        <f t="shared" si="83"/>
        <v>-</v>
      </c>
      <c r="FR236" s="237" t="str">
        <f t="shared" si="84"/>
        <v>|</v>
      </c>
      <c r="FS236" s="236" t="str">
        <f t="shared" si="85"/>
        <v>|</v>
      </c>
      <c r="FT236" s="237" t="str">
        <f t="shared" si="86"/>
        <v>-</v>
      </c>
      <c r="FU236" s="236" t="str">
        <f t="shared" si="87"/>
        <v>|</v>
      </c>
      <c r="FV236" s="237" t="str">
        <f t="shared" si="88"/>
        <v>-</v>
      </c>
      <c r="FW236" s="236" t="str">
        <f t="shared" si="89"/>
        <v>|</v>
      </c>
      <c r="FX236" s="237" t="str">
        <f t="shared" si="90"/>
        <v>-</v>
      </c>
      <c r="FY236" s="236" t="str">
        <f t="shared" si="91"/>
        <v>|</v>
      </c>
      <c r="FZ236" s="237" t="str">
        <f t="shared" si="92"/>
        <v>|</v>
      </c>
      <c r="GA236" s="236" t="str">
        <f t="shared" si="93"/>
        <v>|</v>
      </c>
      <c r="GB236" s="238" t="str">
        <f t="shared" si="94"/>
        <v>|</v>
      </c>
      <c r="GC236" s="244" t="str">
        <f>IFERROR(__xludf.DUMMYFUNCTION("IF(REGEXMATCH(C236, ""S""), ""1"","""")"),"1")</f>
        <v>1</v>
      </c>
      <c r="GD236" s="245" t="str">
        <f>IFERROR(__xludf.DUMMYFUNCTION("IF(REGEXMATCH(C236, ""r""), ""b2"","""")"),"")</f>
        <v/>
      </c>
      <c r="GE236" s="246" t="str">
        <f>IFERROR(__xludf.DUMMYFUNCTION("IF(REGEXMATCH(C236, ""R""), ""2"","""")"),"2")</f>
        <v>2</v>
      </c>
      <c r="GF236" s="246" t="str">
        <f>IFERROR(__xludf.DUMMYFUNCTION("IF(REGEXMATCH(C236, ""g""), ""b3"","""")"),"b3")</f>
        <v>b3</v>
      </c>
      <c r="GG236" s="245" t="str">
        <f>IFERROR(__xludf.DUMMYFUNCTION("IF(REGEXMATCH(C236, ""G""), ""3"","""")"),"")</f>
        <v/>
      </c>
      <c r="GH236" s="245" t="str">
        <f>IFERROR(__xludf.DUMMYFUNCTION("IF(REGEXMATCH(C236, ""m""), ""4"","""")"),"4")</f>
        <v>4</v>
      </c>
      <c r="GI236" s="246" t="str">
        <f>IFERROR(__xludf.DUMMYFUNCTION("IF(REGEXMATCH(C236, ""M""), ""#4"","""")"),"")</f>
        <v/>
      </c>
      <c r="GJ236" s="245" t="str">
        <f>IFERROR(__xludf.DUMMYFUNCTION("IF(REGEXMATCH(C236, ""P""), ""5"","""")"),"5")</f>
        <v>5</v>
      </c>
      <c r="GK236" s="246" t="str">
        <f>IFERROR(__xludf.DUMMYFUNCTION("IF(REGEXMATCH(C236, ""d""), ""b6"","""")"),"")</f>
        <v/>
      </c>
      <c r="GL236" s="245" t="str">
        <f>IFERROR(__xludf.DUMMYFUNCTION("IF(REGEXMATCH(C236, ""D""), ""6"","""")"),"6")</f>
        <v>6</v>
      </c>
      <c r="GM236" s="245" t="str">
        <f>IFERROR(__xludf.DUMMYFUNCTION("IF(REGEXMATCH(C236, ""n""), ""b7"","""")"),"b7")</f>
        <v>b7</v>
      </c>
      <c r="GN236" s="246" t="str">
        <f>IFERROR(__xludf.DUMMYFUNCTION("IF(REGEXMATCH(C236, ""N""), ""7"","""")"),"7")</f>
        <v>7</v>
      </c>
      <c r="GO236" s="249" t="str">
        <f>IFERROR(__xludf.DUMMYFUNCTION("IF(REGEXMATCH(C236, ""S""), ""8"","""")"),"8")</f>
        <v>8</v>
      </c>
      <c r="GP236" s="244" t="str">
        <f>IFERROR(__xludf.DUMMYFUNCTION("IF(REGEXMATCH(C236, ""S""), ""S"","""")"),"S")</f>
        <v>S</v>
      </c>
      <c r="GQ236" s="294" t="str">
        <f>IFERROR(__xludf.DUMMYFUNCTION("IF(REGEXMATCH(C236, ""r""), ""R1"","""")"),"")</f>
        <v/>
      </c>
      <c r="GR236" s="295" t="str">
        <f>IFERROR(__xludf.DUMMYFUNCTION("IF(REGEXMATCH(C236, ""R""), ""R2"","""")"),"R2")</f>
        <v>R2</v>
      </c>
      <c r="GS236" s="295" t="str">
        <f>IFERROR(__xludf.DUMMYFUNCTION("IF(REGEXMATCH(C236, ""g""), ""G2"","""")"),"G2")</f>
        <v>G2</v>
      </c>
      <c r="GT236" s="294" t="str">
        <f>IFERROR(__xludf.DUMMYFUNCTION("IF(REGEXMATCH(C236, ""G""), ""G3"","""")"),"")</f>
        <v/>
      </c>
      <c r="GU236" s="294" t="str">
        <f>IFERROR(__xludf.DUMMYFUNCTION("IF(REGEXMATCH(C236, ""m""), ""M1"","""")"),"M1")</f>
        <v>M1</v>
      </c>
      <c r="GV236" s="295" t="str">
        <f>IFERROR(__xludf.DUMMYFUNCTION("IF(REGEXMATCH(C236, ""M""), ""M2"","""")"),"")</f>
        <v/>
      </c>
      <c r="GW236" s="294" t="str">
        <f>IFERROR(__xludf.DUMMYFUNCTION("IF(REGEXMATCH(C236, ""P""), ""P"","""")"),"P")</f>
        <v>P</v>
      </c>
      <c r="GX236" s="295" t="str">
        <f>IFERROR(__xludf.DUMMYFUNCTION("IF(REGEXMATCH(C236, ""d""), ""D1"","""")"),"")</f>
        <v/>
      </c>
      <c r="GY236" s="294" t="str">
        <f>IFERROR(__xludf.DUMMYFUNCTION("IF(REGEXMATCH(C236, ""D""), ""D2"","""")"),"D2")</f>
        <v>D2</v>
      </c>
      <c r="GZ236" s="294" t="str">
        <f>IFERROR(__xludf.DUMMYFUNCTION("IF(REGEXMATCH(C236, ""n""), ""N2"","""")"),"N2")</f>
        <v>N2</v>
      </c>
      <c r="HA236" s="295" t="str">
        <f>IFERROR(__xludf.DUMMYFUNCTION("IF(REGEXMATCH(C236, ""N""), ""N3"","""")"),"N3")</f>
        <v>N3</v>
      </c>
      <c r="HB236" s="249" t="str">
        <f>IFERROR(__xludf.DUMMYFUNCTION("IF(REGEXMATCH(C236, ""S""), ""S"","""")"),"S")</f>
        <v>S</v>
      </c>
      <c r="HC236" s="331" t="str">
        <f t="shared" si="95"/>
        <v>S</v>
      </c>
      <c r="HD236" s="332" t="str">
        <f t="shared" si="96"/>
        <v>r</v>
      </c>
      <c r="HE236" s="332" t="str">
        <f t="shared" si="97"/>
        <v>R</v>
      </c>
      <c r="HF236" s="332" t="str">
        <f t="shared" si="98"/>
        <v>g</v>
      </c>
      <c r="HG236" s="332" t="str">
        <f t="shared" si="99"/>
        <v/>
      </c>
      <c r="HH236" s="332" t="str">
        <f t="shared" si="100"/>
        <v>m</v>
      </c>
      <c r="HI236" s="332" t="str">
        <f t="shared" si="101"/>
        <v/>
      </c>
      <c r="HJ236" s="332" t="str">
        <f t="shared" si="102"/>
        <v>P</v>
      </c>
      <c r="HK236" s="332" t="str">
        <f t="shared" si="103"/>
        <v/>
      </c>
      <c r="HL236" s="332" t="str">
        <f t="shared" si="104"/>
        <v>D</v>
      </c>
      <c r="HM236" s="332" t="str">
        <f t="shared" si="105"/>
        <v>n</v>
      </c>
      <c r="HN236" s="332" t="str">
        <f t="shared" si="106"/>
        <v/>
      </c>
      <c r="HO236" s="343" t="str">
        <f t="shared" si="107"/>
        <v>S</v>
      </c>
      <c r="HP236" s="331" t="str">
        <f t="shared" si="108"/>
        <v>o</v>
      </c>
      <c r="HQ236" s="332" t="str">
        <f t="shared" si="109"/>
        <v>•</v>
      </c>
      <c r="HR236" s="332" t="str">
        <f t="shared" si="110"/>
        <v>o</v>
      </c>
      <c r="HS236" s="332" t="str">
        <f t="shared" si="111"/>
        <v>o</v>
      </c>
      <c r="HT236" s="332" t="str">
        <f t="shared" si="112"/>
        <v>•</v>
      </c>
      <c r="HU236" s="332" t="str">
        <f t="shared" si="113"/>
        <v>o</v>
      </c>
      <c r="HV236" s="332" t="str">
        <f t="shared" si="114"/>
        <v>•</v>
      </c>
      <c r="HW236" s="332" t="str">
        <f t="shared" si="115"/>
        <v>o</v>
      </c>
      <c r="HX236" s="332" t="str">
        <f t="shared" si="116"/>
        <v>•</v>
      </c>
      <c r="HY236" s="332" t="str">
        <f t="shared" si="117"/>
        <v>o</v>
      </c>
      <c r="HZ236" s="332" t="str">
        <f t="shared" si="118"/>
        <v>o</v>
      </c>
      <c r="IA236" s="332" t="str">
        <f t="shared" si="119"/>
        <v>o</v>
      </c>
      <c r="IB236" s="338" t="str">
        <f t="shared" si="120"/>
        <v>o</v>
      </c>
      <c r="IC236" s="331" t="str">
        <f t="shared" si="121"/>
        <v>•</v>
      </c>
      <c r="ID236" s="332" t="str">
        <f t="shared" si="122"/>
        <v>o</v>
      </c>
      <c r="IE236" s="332" t="str">
        <f t="shared" si="123"/>
        <v>•</v>
      </c>
      <c r="IF236" s="332" t="str">
        <f t="shared" si="124"/>
        <v>•</v>
      </c>
      <c r="IG236" s="332" t="str">
        <f t="shared" si="125"/>
        <v>o</v>
      </c>
      <c r="IH236" s="332" t="str">
        <f t="shared" si="126"/>
        <v>•</v>
      </c>
      <c r="II236" s="332" t="str">
        <f t="shared" si="127"/>
        <v>o</v>
      </c>
      <c r="IJ236" s="332" t="str">
        <f t="shared" si="128"/>
        <v>•</v>
      </c>
      <c r="IK236" s="332" t="str">
        <f t="shared" si="129"/>
        <v>o</v>
      </c>
      <c r="IL236" s="332" t="str">
        <f t="shared" si="130"/>
        <v>•</v>
      </c>
      <c r="IM236" s="332" t="str">
        <f t="shared" si="131"/>
        <v>•</v>
      </c>
      <c r="IN236" s="332" t="str">
        <f t="shared" si="132"/>
        <v>•</v>
      </c>
      <c r="IO236" s="338" t="str">
        <f t="shared" si="133"/>
        <v>•</v>
      </c>
      <c r="IP236" s="346" t="b">
        <f t="shared" si="134"/>
        <v>0</v>
      </c>
      <c r="IQ236" s="347" t="b">
        <f t="shared" si="135"/>
        <v>0</v>
      </c>
      <c r="IR236" s="347" t="b">
        <f t="shared" si="136"/>
        <v>0</v>
      </c>
      <c r="IS236" s="347" t="b">
        <f t="shared" si="137"/>
        <v>0</v>
      </c>
      <c r="IT236" s="347" t="b">
        <f t="shared" si="138"/>
        <v>0</v>
      </c>
      <c r="IU236" s="347" t="b">
        <f t="shared" si="139"/>
        <v>0</v>
      </c>
      <c r="IV236" s="347" t="b">
        <f t="shared" si="140"/>
        <v>0</v>
      </c>
      <c r="IW236" s="347" t="b">
        <f t="shared" si="141"/>
        <v>0</v>
      </c>
      <c r="IX236" s="347" t="b">
        <f t="shared" si="142"/>
        <v>0</v>
      </c>
      <c r="IY236" s="347" t="b">
        <f t="shared" si="143"/>
        <v>1</v>
      </c>
      <c r="IZ236" s="347" t="b">
        <f t="shared" si="144"/>
        <v>0</v>
      </c>
      <c r="JA236" s="347" t="b">
        <f t="shared" si="145"/>
        <v>1</v>
      </c>
      <c r="JB236" s="353" t="b">
        <f t="shared" si="146"/>
        <v>0</v>
      </c>
      <c r="JC236" s="354" t="str">
        <f t="shared" si="147"/>
        <v/>
      </c>
      <c r="JD236" s="355" t="str">
        <f t="shared" si="148"/>
        <v/>
      </c>
      <c r="JE236" s="355" t="str">
        <f t="shared" si="149"/>
        <v/>
      </c>
      <c r="JF236" s="355" t="str">
        <f t="shared" si="150"/>
        <v/>
      </c>
      <c r="JG236" s="355" t="str">
        <f t="shared" si="151"/>
        <v/>
      </c>
      <c r="JH236" s="355" t="str">
        <f t="shared" si="152"/>
        <v/>
      </c>
      <c r="JI236" s="355" t="str">
        <f t="shared" si="153"/>
        <v/>
      </c>
      <c r="JJ236" s="355" t="str">
        <f t="shared" si="154"/>
        <v/>
      </c>
      <c r="JK236" s="355" t="str">
        <f t="shared" si="155"/>
        <v/>
      </c>
      <c r="JL236" s="355" t="str">
        <f t="shared" si="156"/>
        <v>Dha, </v>
      </c>
      <c r="JM236" s="355" t="str">
        <f t="shared" si="157"/>
        <v/>
      </c>
      <c r="JN236" s="355" t="str">
        <f t="shared" si="158"/>
        <v>Ni, </v>
      </c>
      <c r="JO236" s="359" t="str">
        <f t="shared" si="159"/>
        <v/>
      </c>
      <c r="JP236" s="346" t="b">
        <f t="shared" si="160"/>
        <v>0</v>
      </c>
      <c r="JQ236" s="347" t="b">
        <f t="shared" si="161"/>
        <v>0</v>
      </c>
      <c r="JR236" s="347" t="b">
        <f t="shared" si="162"/>
        <v>0</v>
      </c>
      <c r="JS236" s="347" t="b">
        <f t="shared" si="163"/>
        <v>0</v>
      </c>
      <c r="JT236" s="347" t="b">
        <f t="shared" si="164"/>
        <v>0</v>
      </c>
      <c r="JU236" s="347" t="b">
        <f t="shared" si="165"/>
        <v>0</v>
      </c>
      <c r="JV236" s="347" t="b">
        <f t="shared" si="166"/>
        <v>0</v>
      </c>
      <c r="JW236" s="347" t="b">
        <f t="shared" si="167"/>
        <v>0</v>
      </c>
      <c r="JX236" s="347" t="b">
        <f t="shared" si="168"/>
        <v>0</v>
      </c>
      <c r="JY236" s="347" t="b">
        <f t="shared" si="169"/>
        <v>0</v>
      </c>
      <c r="JZ236" s="347" t="b">
        <f t="shared" si="170"/>
        <v>0</v>
      </c>
      <c r="KA236" s="347" t="b">
        <f t="shared" si="171"/>
        <v>1</v>
      </c>
      <c r="KB236" s="365" t="b">
        <f t="shared" si="172"/>
        <v>0</v>
      </c>
      <c r="KC236" s="354" t="str">
        <f t="shared" si="173"/>
        <v/>
      </c>
      <c r="KD236" s="355" t="str">
        <f t="shared" si="174"/>
        <v/>
      </c>
      <c r="KE236" s="355" t="str">
        <f t="shared" si="175"/>
        <v/>
      </c>
      <c r="KF236" s="355" t="str">
        <f t="shared" si="176"/>
        <v/>
      </c>
      <c r="KG236" s="355" t="str">
        <f t="shared" si="177"/>
        <v/>
      </c>
      <c r="KH236" s="355" t="str">
        <f t="shared" si="178"/>
        <v/>
      </c>
      <c r="KI236" s="355" t="str">
        <f t="shared" si="179"/>
        <v/>
      </c>
      <c r="KJ236" s="355" t="str">
        <f t="shared" si="180"/>
        <v/>
      </c>
      <c r="KK236" s="355" t="str">
        <f t="shared" si="181"/>
        <v/>
      </c>
      <c r="KL236" s="355" t="str">
        <f t="shared" si="182"/>
        <v/>
      </c>
      <c r="KM236" s="355" t="str">
        <f t="shared" si="183"/>
        <v/>
      </c>
      <c r="KN236" s="355" t="str">
        <f t="shared" si="184"/>
        <v>Ni, </v>
      </c>
      <c r="KO236" s="359"/>
      <c r="KP236" s="378"/>
      <c r="KQ236" s="379" t="s">
        <v>997</v>
      </c>
      <c r="KR236" s="380" t="s">
        <v>1458</v>
      </c>
      <c r="KS236" s="381" t="str">
        <f>KQ236</f>
        <v>S-R-m-P-D-nN-S</v>
      </c>
      <c r="KT236" s="382">
        <f t="shared" si="186"/>
        <v>6</v>
      </c>
      <c r="KU236" s="383">
        <f t="shared" si="187"/>
        <v>7</v>
      </c>
      <c r="KV236" s="381" t="str">
        <f t="shared" si="205"/>
        <v>S-Nn-D-P-m-g-R-S</v>
      </c>
      <c r="KW236" s="382">
        <f t="shared" si="189"/>
        <v>7</v>
      </c>
      <c r="KX236" s="384">
        <f t="shared" si="190"/>
        <v>8</v>
      </c>
      <c r="KY236" s="382">
        <f t="shared" ref="KY236:KZ236" si="692">KW236-KT236</f>
        <v>1</v>
      </c>
      <c r="KZ236" s="369">
        <f t="shared" si="692"/>
        <v>1</v>
      </c>
      <c r="LA236" s="385" t="str">
        <f t="shared" si="192"/>
        <v>-</v>
      </c>
      <c r="LB236" s="340" t="str">
        <f>IFERROR(__xludf.DUMMYFUNCTION("JOIN("""",ArrayFormula(MID(KS236,LEN(KS236)-SEQUENCE(1,LEN(KS236))+1,1)))"),"S-Nn-D-P-m-R-S")</f>
        <v>S-Nn-D-P-m-R-S</v>
      </c>
      <c r="LC236" s="373" t="str">
        <f>IFERROR(__xludf.DUMMYFUNCTION("JOIN("""",ArrayFormula(MID(KV236,LEN(KV236)-SEQUENCE(1,LEN(KV236))+1,1)))"),"S-R-g-m-P-D-nN-S")</f>
        <v>S-R-g-m-P-D-nN-S</v>
      </c>
      <c r="LD236" s="373" t="str">
        <f t="shared" si="193"/>
        <v>SRmPDnNS</v>
      </c>
      <c r="LE236" s="339" t="str">
        <f t="shared" si="194"/>
        <v>SRgmPDnNS</v>
      </c>
      <c r="LF236" s="386" t="str">
        <f>IFERROR(__xludf.DUMMYFUNCTION("SUBSTITUTE(SUBSTITUTE(CONCATENATE(JOIN("""",LH236:LT236)),""1"",""""),""2"","""")"),"SRgmPDnNS")</f>
        <v>SRgmPDnNS</v>
      </c>
      <c r="LG236" s="369" t="str">
        <f t="shared" si="195"/>
        <v>✔</v>
      </c>
      <c r="LH236" s="387" t="str">
        <f>IFERROR(__xludf.DUMMYFUNCTION("IF(REGEXMATCH(LD236, ""S""), ""S"",IF(REGEXMATCH(LE236, ""S""), ""S"",""""))"),"S")</f>
        <v>S</v>
      </c>
      <c r="LI236" s="299" t="str">
        <f>IFERROR(__xludf.DUMMYFUNCTION("IF(REGEXMATCH(LD236, ""r""), ""r1"",IF(REGEXMATCH(LE236, ""r""), ""r2"",""""))"),"")</f>
        <v/>
      </c>
      <c r="LJ236" s="299" t="str">
        <f>IFERROR(__xludf.DUMMYFUNCTION("IF(REGEXMATCH(LD236, ""R""), ""R1"",IF(REGEXMATCH(LE236, ""R""), ""R2"",""""))"),"R1")</f>
        <v>R1</v>
      </c>
      <c r="LK236" s="299" t="str">
        <f>IFERROR(__xludf.DUMMYFUNCTION("IF(REGEXMATCH(LD236, ""g""), ""g1"",IF(REGEXMATCH(LE236, ""g""), ""g2"",""""))"),"g2")</f>
        <v>g2</v>
      </c>
      <c r="LL236" s="299" t="str">
        <f>IFERROR(__xludf.DUMMYFUNCTION("IF(REGEXMATCH(LD236, ""G""), ""G1"",IF(REGEXMATCH(LE236, ""G""), ""G2"",""""))"),"")</f>
        <v/>
      </c>
      <c r="LM236" s="299" t="str">
        <f>IFERROR(__xludf.DUMMYFUNCTION("IF(REGEXMATCH(LD236, ""m""), ""m1"",IF(REGEXMATCH(LE236, ""m""), ""m2"",""""))"),"m1")</f>
        <v>m1</v>
      </c>
      <c r="LN236" s="299" t="str">
        <f>IFERROR(__xludf.DUMMYFUNCTION("IF(REGEXMATCH(LD236, ""M""), ""M1"",IF(REGEXMATCH(LE236, ""M""), ""M2"",""""))"),"")</f>
        <v/>
      </c>
      <c r="LO236" s="299" t="str">
        <f>IFERROR(__xludf.DUMMYFUNCTION("IF(REGEXMATCH(LD236, ""P""), ""P1"",IF(REGEXMATCH(LE236, ""P""), ""P2"",""""))"),"P1")</f>
        <v>P1</v>
      </c>
      <c r="LP236" s="299" t="str">
        <f>IFERROR(__xludf.DUMMYFUNCTION("IF(REGEXMATCH(LD236, ""d""), ""d1"",IF(REGEXMATCH(LE236, ""d""), ""d2"",""""))"),"")</f>
        <v/>
      </c>
      <c r="LQ236" s="299" t="str">
        <f>IFERROR(__xludf.DUMMYFUNCTION("IF(REGEXMATCH(LD236, ""D""), ""D1"",IF(REGEXMATCH(LE236, ""D""), ""D2"",""""))"),"D1")</f>
        <v>D1</v>
      </c>
      <c r="LR236" s="299" t="str">
        <f>IFERROR(__xludf.DUMMYFUNCTION("IF(REGEXMATCH(LD236, ""n""), ""n1"",IF(REGEXMATCH(LE236, ""n""), ""n2"",""""))"),"n1")</f>
        <v>n1</v>
      </c>
      <c r="LS236" s="299" t="str">
        <f>IFERROR(__xludf.DUMMYFUNCTION("IF(REGEXMATCH(LD236, ""N""), ""N1"",IF(REGEXMATCH(LE236, ""N""), ""N2"",""""))"),"N1")</f>
        <v>N1</v>
      </c>
      <c r="LT236" s="388" t="str">
        <f>IFERROR(__xludf.DUMMYFUNCTION("IF(REGEXMATCH(LD236, ""S""), ""S"",IF(REGEXMATCH(LE236, ""S""), ""S"",""""))"),"S")</f>
        <v>S</v>
      </c>
      <c r="LU236" s="389">
        <f t="shared" si="196"/>
        <v>-1</v>
      </c>
      <c r="LV236" s="378"/>
      <c r="LW236" s="369"/>
      <c r="LX236" s="369"/>
    </row>
    <row r="237" ht="18.0" customHeight="1">
      <c r="A237" s="298" t="s">
        <v>996</v>
      </c>
      <c r="B237" s="222" t="s">
        <v>997</v>
      </c>
      <c r="C237" s="233" t="str">
        <f t="shared" si="7"/>
        <v>SRmPDnNS</v>
      </c>
      <c r="D237" s="234" t="str">
        <f>IFERROR(__xludf.DUMMYFUNCTION("IF(REGEXMATCH(C237, ""S""), ""S"","""")"),"S")</f>
        <v>S</v>
      </c>
      <c r="E237" s="236" t="str">
        <f>IFERROR(__xludf.DUMMYFUNCTION("IF(REGEXMATCH(C237, ""r""), ""r"","""")"),"")</f>
        <v/>
      </c>
      <c r="F237" s="237" t="str">
        <f>IFERROR(__xludf.DUMMYFUNCTION("IF(REGEXMATCH(C237, ""R""), ""R"","""")"),"R")</f>
        <v>R</v>
      </c>
      <c r="G237" s="237" t="str">
        <f>IFERROR(__xludf.DUMMYFUNCTION("IF(REGEXMATCH(C237, ""g""), ""g"","""")"),"")</f>
        <v/>
      </c>
      <c r="H237" s="236" t="str">
        <f>IFERROR(__xludf.DUMMYFUNCTION("IF(REGEXMATCH(C237, ""G""), ""G"","""")"),"")</f>
        <v/>
      </c>
      <c r="I237" s="236" t="str">
        <f>IFERROR(__xludf.DUMMYFUNCTION("IF(REGEXMATCH(C237, ""m""), ""m"","""")"),"m")</f>
        <v>m</v>
      </c>
      <c r="J237" s="237" t="str">
        <f>IFERROR(__xludf.DUMMYFUNCTION("IF(REGEXMATCH(C237, ""M""), ""M"","""")"),"")</f>
        <v/>
      </c>
      <c r="K237" s="236" t="str">
        <f>IFERROR(__xludf.DUMMYFUNCTION("IF(REGEXMATCH(C237, ""P""), ""P"","""")"),"P")</f>
        <v>P</v>
      </c>
      <c r="L237" s="237" t="str">
        <f>IFERROR(__xludf.DUMMYFUNCTION("IF(REGEXMATCH(C237, ""d""), ""d"","""")"),"")</f>
        <v/>
      </c>
      <c r="M237" s="236" t="str">
        <f>IFERROR(__xludf.DUMMYFUNCTION("IF(REGEXMATCH(C237, ""D""), ""D"","""")"),"D")</f>
        <v>D</v>
      </c>
      <c r="N237" s="236" t="str">
        <f>IFERROR(__xludf.DUMMYFUNCTION("IF(REGEXMATCH(C237, ""n""), ""n"","""")"),"n")</f>
        <v>n</v>
      </c>
      <c r="O237" s="237" t="str">
        <f>IFERROR(__xludf.DUMMYFUNCTION("IF(REGEXMATCH(C237, ""N""), ""N"","""")"),"N")</f>
        <v>N</v>
      </c>
      <c r="P237" s="238" t="str">
        <f>IFERROR(__xludf.DUMMYFUNCTION("IF(REGEXMATCH(C237, ""S""), ""S"","""")"),"S")</f>
        <v>S</v>
      </c>
      <c r="Q237" s="239" t="str">
        <f>IFERROR(__xludf.DUMMYFUNCTION("SUBSTITUTE(CONCATENATE(JOIN(""-"",D237:J237)),""-"","""")"),"SRm")</f>
        <v>SRm</v>
      </c>
      <c r="R237" s="229" t="str">
        <f>IFERROR(__xludf.DUMMYFUNCTION("SUBSTITUTE(CONCATENATE(JOIN(""-"",K237:P237)),""-"","""")"),"PDnNS")</f>
        <v>PDnNS</v>
      </c>
      <c r="S237" s="282" t="str">
        <f t="shared" si="8"/>
        <v>S-R-M</v>
      </c>
      <c r="T237" s="282" t="str">
        <f t="shared" si="9"/>
        <v>P-D-N-S</v>
      </c>
      <c r="U237" s="237" t="str">
        <f>IFERROR(__xludf.DUMMYFUNCTION("SUBSTITUTE(JOIN(""-"",S237,T237),""--"",""-"")"),"S-R-M-P-D-N-S")</f>
        <v>S-R-M-P-D-N-S</v>
      </c>
      <c r="V237" s="309" t="str">
        <f t="shared" si="10"/>
        <v>RmDnN</v>
      </c>
      <c r="W237" s="244" t="str">
        <f>IFERROR(__xludf.DUMMYFUNCTION("IF(REGEXMATCH(C237, ""S""), ""0"","""")"),"0")</f>
        <v>0</v>
      </c>
      <c r="X237" s="245" t="str">
        <f>IFERROR(__xludf.DUMMYFUNCTION("IF(REGEXMATCH(C237, ""r""), ""1"","""")"),"")</f>
        <v/>
      </c>
      <c r="Y237" s="246" t="str">
        <f>IFERROR(__xludf.DUMMYFUNCTION("IF(REGEXMATCH(C237, ""R""), ""2"","""")"),"2")</f>
        <v>2</v>
      </c>
      <c r="Z237" s="246" t="str">
        <f>IFERROR(__xludf.DUMMYFUNCTION("IF(REGEXMATCH(C237, ""g""), ""3"","""")"),"")</f>
        <v/>
      </c>
      <c r="AA237" s="245" t="str">
        <f>IFERROR(__xludf.DUMMYFUNCTION("IF(REGEXMATCH(C237, ""G""), ""4"","""")"),"")</f>
        <v/>
      </c>
      <c r="AB237" s="245" t="str">
        <f>IFERROR(__xludf.DUMMYFUNCTION("IF(REGEXMATCH(C237, ""m""), ""5"","""")"),"5")</f>
        <v>5</v>
      </c>
      <c r="AC237" s="246" t="str">
        <f>IFERROR(__xludf.DUMMYFUNCTION("IF(REGEXMATCH(C237, ""M""), ""6"","""")"),"")</f>
        <v/>
      </c>
      <c r="AD237" s="245" t="str">
        <f>IFERROR(__xludf.DUMMYFUNCTION("IF(REGEXMATCH(C237, ""P""), ""7"","""")"),"7")</f>
        <v>7</v>
      </c>
      <c r="AE237" s="246" t="str">
        <f>IFERROR(__xludf.DUMMYFUNCTION("IF(REGEXMATCH(C237, ""d""), ""8"","""")"),"")</f>
        <v/>
      </c>
      <c r="AF237" s="245" t="str">
        <f>IFERROR(__xludf.DUMMYFUNCTION("IF(REGEXMATCH(C237, ""D""), ""9"","""")"),"9")</f>
        <v>9</v>
      </c>
      <c r="AG237" s="245" t="str">
        <f>IFERROR(__xludf.DUMMYFUNCTION("IF(REGEXMATCH(C237, ""n""), ""10"","""")"),"10")</f>
        <v>10</v>
      </c>
      <c r="AH237" s="246" t="str">
        <f>IFERROR(__xludf.DUMMYFUNCTION("IF(REGEXMATCH(C237, ""N""), ""11"","""")"),"11")</f>
        <v>11</v>
      </c>
      <c r="AI237" s="249" t="str">
        <f>IFERROR(__xludf.DUMMYFUNCTION("IF(REGEXMATCH(C237, ""S""), ""0"","""")"),"0")</f>
        <v>0</v>
      </c>
      <c r="AJ237" s="313" t="str">
        <f t="shared" si="11"/>
        <v>-</v>
      </c>
      <c r="AK237" s="313" t="str">
        <f t="shared" si="12"/>
        <v>-</v>
      </c>
      <c r="AL237" s="313" t="str">
        <f t="shared" si="13"/>
        <v>-</v>
      </c>
      <c r="AM237" s="313" t="str">
        <f t="shared" si="14"/>
        <v>-</v>
      </c>
      <c r="AN237" s="313" t="str">
        <f t="shared" si="15"/>
        <v>-</v>
      </c>
      <c r="AO237" s="314" t="str">
        <f t="shared" si="16"/>
        <v>T</v>
      </c>
      <c r="AP237" s="316">
        <f t="shared" si="17"/>
        <v>1</v>
      </c>
      <c r="AQ237" s="319" t="str">
        <f t="shared" si="18"/>
        <v>#REF!</v>
      </c>
      <c r="AR237" s="320">
        <f t="shared" si="19"/>
        <v>0</v>
      </c>
      <c r="AS237" s="250" t="str">
        <f>IFERROR(__xludf.DUMMYFUNCTION("SUBSTITUTE(SUBSTITUTE(CONCATENATE(JOIN("""",FP237:GA237)),""|"",""x""),""-"",""o"")"),"xoxooxoxoxxx")</f>
        <v>xoxooxoxoxxx</v>
      </c>
      <c r="AT237" s="323" t="str">
        <f>IFERROR(__xludf.DUMMYFUNCTION("JOIN("""",AS237,AS237)"),"xoxooxoxoxxxxoxooxoxoxxx")</f>
        <v>xoxooxoxoxxxxoxooxoxoxxx</v>
      </c>
      <c r="AU237" s="256" t="str">
        <f>IFERROR(__xludf.DUMMYFUNCTION("JOIN("""",ArrayFormula(MID(AS237,LEN(AS237)-SEQUENCE(1,LEN(AS237))+1,1)))"),"xxxoxoxooxox")</f>
        <v>xxxoxoxooxox</v>
      </c>
      <c r="AV237" s="256" t="str">
        <f>IFERROR(__xludf.DUMMYFUNCTION("LEFT(CONCATENATE(""x"",JOIN("""",ArrayFormula(MID(AS237,LEN(AS237)-SEQUENCE(1,LEN(AS237))+1,1)))),12)"),"xxxxoxoxooxo")</f>
        <v>xxxxoxoxooxo</v>
      </c>
      <c r="AW237" s="327" t="str">
        <f>IFERROR(__xludf.DUMMYFUNCTION("JOIN("""",AU237,AU237)"),"xxxoxoxooxoxxxxoxoxooxox")</f>
        <v>xxxoxoxooxoxxxxoxoxooxox</v>
      </c>
      <c r="AX237" s="239" t="str">
        <f>IFERROR(__xludf.DUMMYFUNCTION("IF(REGEXMATCH(AW237,AS237),""✔"",""-"")"),"-")</f>
        <v>-</v>
      </c>
      <c r="AY237" s="330" t="str">
        <f t="shared" si="20"/>
        <v>-</v>
      </c>
      <c r="AZ237" s="260" t="str">
        <f t="shared" si="21"/>
        <v>#REF!</v>
      </c>
      <c r="BA237" s="333" t="str">
        <f t="shared" si="22"/>
        <v>xoxooxo</v>
      </c>
      <c r="BB237" s="334" t="str">
        <f t="shared" si="23"/>
        <v>xoxxxx</v>
      </c>
      <c r="BC237" s="335" t="str">
        <f t="shared" si="236"/>
        <v>-</v>
      </c>
      <c r="BD237" s="336" t="str">
        <f t="shared" si="25"/>
        <v>Miyan ki Sarang: 'xoxooxo' + 'xoxxxx'</v>
      </c>
      <c r="BE237" s="337">
        <f>IFERROR(__xludf.DUMMYFUNCTION("COUNTUNIQUE(FILTER(AT:AT,REGEXMATCH(AT:AT,AS237)))-1"),1.0)</f>
        <v>1</v>
      </c>
      <c r="BF237" s="261" t="str">
        <f>IFERROR(__xludf.DUMMYFUNCTION("IF(BI237=0,""(n/a)"",IF(BJ237=2,""(PAIR)"",IF(REGEXMATCH(AT237,""xoxoxxoxoxox""),""Bilawal"",IF(REGEXMATCH(AT237,""xoxoxooxoxoo""),""Bhupali"",IF(REGEXMATCH(AT237,""xoxoxxoxxoxo""),""Charukeshi"",IF(REGEXMATCH(AT237,""xoxoooxxoxxo""),""Kameshwari"",IF(REG"&amp;"EXMATCH(AT237,""xoxoxooxoxox""),""Shankara"",IF(REGEXMATCH(AT237,""xxooxoxxxoox""),""Basant"",IF(REGEXMATCH(AT237,""xoxoxxxxoxox""),""Bihag"",IF(REGEXMATCH(AT237,""xoxxxxoxoxxx""),""Pilu"",IF(REGEXMATCH(AT237,""xoxxoxoxxoox""),""Kirwani"",IF(REGEXMATCH(AT"&amp;"237,""xoxxoxoxoxxx""),""Mk.Malhar"",IF(REGEXMATCH(AT237,""xxooxxoxxoox""),""Bhairav"",IF(REGEXMATCH(AT237,""xxoxooxxxoox""),""Todi"",IF(REGEXMATCH(AT237,""xxooxoxooxox""),""Marwa"",IF(REGEXMATCH(AT237,""xxoooxoxxooo""),""Gunkali"",IF(REGEXMATCH(AT237,""xo"&amp;"xoxxoxxoox""),""Nat Bhairav"",IF(REGEXMATCH(AT237,""xoxxoooxoxoo""),""Shivranjani"",IF(REGEXMATCH(AT237,""xooxxxoxooxo""),""Jog"",IF(REGEXMATCH(AT237,""xxooxoxoxoox""),""Hemshri"",IF(REGEXMATCH(AT237,""xoooxooxoxxo""),""Kalavati"",IF(REGEXMATCH(AT237,""xx"&amp;"oxoxxoxoox""),""Kedar"",IF(REGEXMATCH(AT237,""xoxxxxoxooxx""),""Gara"",IF(REGEXMATCH(AT237,""xooxoxooxoox""),""Chandrakauns"",IF(REGEXMATCH(AT237,""xoxxxxoxxxox""),""Mand"",IF(REGEXMATCH(AT237,""xoxxxxoxoxox""),""Hanskinkini"",IF(REGEXMATCH(AT237,""xxooxx"&amp;"oxooxo""),""Lilavati"",IF(REGEXMATCH(AT237,""xooxoxoooxox""),""Rajeshwari"",IF(REGEXMATCH(AT237,""xoooxxoxoxxx""),""Khokar"",IF(REGEXMATCH(AT237,""xxooxoxxxxox""),""Maligoura"",""-""))))))))))))))))))))))))))))))"),"-")</f>
        <v>-</v>
      </c>
      <c r="BG237" s="239" t="str">
        <f t="shared" si="26"/>
        <v>#REF!</v>
      </c>
      <c r="BH237" s="239">
        <f>IFERROR(__xludf.DUMMYFUNCTION("COUNTUNIQUE(FE237:FO237)-1"),6.0)</f>
        <v>6</v>
      </c>
      <c r="BI237" s="239">
        <f>IFERROR(__xludf.DUMMYFUNCTION("COUNTUNIQUE(FILTER(AT:AT,REGEXMATCH(AT:AT,AS237)))-1"),1.0)</f>
        <v>1</v>
      </c>
      <c r="BJ237" s="239">
        <f>IFERROR(__xludf.DUMMYFUNCTION("COUNTA(FILTER(AT:AT,REGEXMATCH(AT:AT,AS237)))"),5.0)</f>
        <v>5</v>
      </c>
      <c r="BK237" s="341">
        <f>IFERROR(__xludf.DUMMYFUNCTION("COUNTA(FILTER(AT:AT,REGEXMATCH(AT:AT,AS237)))-AR237"),5.0)</f>
        <v>5</v>
      </c>
      <c r="BL237" s="276" t="str">
        <f>IFERROR(__xludf.DUMMYFUNCTION("IF(AS237=""oooooooooooo"",""-"",IF(REGEXMATCH(AT237,""xx""), ""Hemi."", ""Anhemi.""))"),"Hemi.")</f>
        <v>Hemi.</v>
      </c>
      <c r="BM237" s="282" t="str">
        <f>IFERROR(__xludf.DUMMYFUNCTION("IF(AS237=""oooooooooooo"",""-"",IF(REGEXMATCH(AT237,""xxx""), ""Cohem."", ""-""))"),"Cohem.")</f>
        <v>Cohem.</v>
      </c>
      <c r="BN237" s="282" t="str">
        <f>IFERROR(__xludf.DUMMYFUNCTION("IF(AS237=""oooooooooooo"",""-"",IF(REGEXMATCH(AT237,""xxxx""), ""Co-Co."", ""-""))"),"Co-Co.")</f>
        <v>Co-Co.</v>
      </c>
      <c r="BO237" s="342" t="str">
        <f>IFERROR(__xludf.DUMMYFUNCTION("IF(AS237=""oooooooooooo"",""-"",IF(REGEXMATCH(AT237,""xxxxx""), ""CCC."", ""-""))"),"-")</f>
        <v>-</v>
      </c>
      <c r="BP237" s="344" t="str">
        <f t="shared" si="27"/>
        <v>-</v>
      </c>
      <c r="BQ237" s="282" t="str">
        <f>IFERROR(__xludf.DUMMYFUNCTION("IF(REGEXMATCH(JOIN(""-"",EU237:FD237),""TRUE""),""✔"",""-"")"),"-")</f>
        <v>-</v>
      </c>
      <c r="BR237" s="225">
        <f t="shared" si="28"/>
        <v>0</v>
      </c>
      <c r="BS237" s="345" t="str">
        <f>IFERROR(__xludf.DUMMYFUNCTION("SUBSTITUTE(SUBSTITUTE(SUBSTITUTE(SUBSTITUTE(CONCATENATE(JOIN(""-"",GC237:GO237)),""--"",""-""),""--"",""-""),""--"",""-""),""--"",""-"")"),"1-2-4-5-6-b7-7-8")</f>
        <v>1-2-4-5-6-b7-7-8</v>
      </c>
      <c r="BT237" s="299" t="str">
        <f>IFERROR(__xludf.DUMMYFUNCTION("SUBSTITUTE(SUBSTITUTE(SUBSTITUTE(SUBSTITUTE(CONCATENATE(JOIN(""-"",GP237:HB237)),""--"",""-""),""--"",""-""),""--"",""-""),""--"",""-"")"),"S-R2-M1-P-D2-N2-N3-S")</f>
        <v>S-R2-M1-P-D2-N2-N3-S</v>
      </c>
      <c r="BU237" s="348" t="str">
        <f t="shared" si="29"/>
        <v>C-D-F-G-A-Bb-B-C</v>
      </c>
      <c r="BV237" s="349" t="str">
        <f t="shared" si="30"/>
        <v>SrgGMdS</v>
      </c>
      <c r="BW237" s="350">
        <f t="shared" si="31"/>
        <v>0</v>
      </c>
      <c r="BX237" s="351">
        <f t="shared" si="32"/>
        <v>4</v>
      </c>
      <c r="BY237" s="392"/>
      <c r="BZ237" s="309" t="str">
        <f>IFERROR(__xludf.DUMMYFUNCTION("IF(REGEXMATCH(C237, ""S""), ""x"",""x"")"),"x")</f>
        <v>x</v>
      </c>
      <c r="CA237" s="245" t="str">
        <f>IFERROR(__xludf.DUMMYFUNCTION("IF(REGEXMATCH(C237, ""r""), ""o"",""x"")"),"x")</f>
        <v>x</v>
      </c>
      <c r="CB237" s="246" t="str">
        <f>IFERROR(__xludf.DUMMYFUNCTION("IF(REGEXMATCH(C237, ""R""), ""o"",""x"")"),"o")</f>
        <v>o</v>
      </c>
      <c r="CC237" s="246" t="str">
        <f>IFERROR(__xludf.DUMMYFUNCTION("IF(REGEXMATCH(C237, ""g""), ""o"",""x"")"),"x")</f>
        <v>x</v>
      </c>
      <c r="CD237" s="245" t="str">
        <f>IFERROR(__xludf.DUMMYFUNCTION("IF(REGEXMATCH(C237, ""G""), ""o"",""x"")"),"x")</f>
        <v>x</v>
      </c>
      <c r="CE237" s="245" t="str">
        <f>IFERROR(__xludf.DUMMYFUNCTION("IF(REGEXMATCH(C237, ""m""), ""o"",""x"")"),"o")</f>
        <v>o</v>
      </c>
      <c r="CF237" s="246" t="str">
        <f>IFERROR(__xludf.DUMMYFUNCTION("IF(REGEXMATCH(C237, ""M""), ""o"",""x"")"),"x")</f>
        <v>x</v>
      </c>
      <c r="CG237" s="245" t="str">
        <f>IFERROR(__xludf.DUMMYFUNCTION("IF(REGEXMATCH(C237, ""P""), ""o"",""x"")"),"o")</f>
        <v>o</v>
      </c>
      <c r="CH237" s="246" t="str">
        <f>IFERROR(__xludf.DUMMYFUNCTION("IF(REGEXMATCH(C237, ""d""), ""o"",""x"")"),"x")</f>
        <v>x</v>
      </c>
      <c r="CI237" s="245" t="str">
        <f>IFERROR(__xludf.DUMMYFUNCTION("IF(REGEXMATCH(C237, ""D""), ""o"",""x"")"),"o")</f>
        <v>o</v>
      </c>
      <c r="CJ237" s="245" t="str">
        <f>IFERROR(__xludf.DUMMYFUNCTION("IF(REGEXMATCH(C237, ""n""), ""o"",""x"")"),"o")</f>
        <v>o</v>
      </c>
      <c r="CK237" s="245" t="str">
        <f>IFERROR(__xludf.DUMMYFUNCTION("IF(REGEXMATCH(C237, ""N""), ""o"",""x"")"),"o")</f>
        <v>o</v>
      </c>
      <c r="CL237" s="356" t="str">
        <f>IFERROR(__xludf.DUMMYFUNCTION("IF(REGEXMATCH(C237, ""S""), ""x"",""x"")"),"x")</f>
        <v>x</v>
      </c>
      <c r="CM237" s="357" t="str">
        <f t="shared" si="33"/>
        <v>xxoxxoxoxooo</v>
      </c>
      <c r="CN237" s="358">
        <f t="shared" si="34"/>
        <v>0</v>
      </c>
      <c r="CO237" s="246" t="str">
        <f>IFERROR(__xludf.DUMMYFUNCTION("IF(REGEXMATCH($C237, ""S""), ""S"",""S"")"),"S")</f>
        <v>S</v>
      </c>
      <c r="CP237" s="246" t="str">
        <f>IFERROR(__xludf.DUMMYFUNCTION("IF(REGEXMATCH($C237, ""r""), """",""r"")"),"r")</f>
        <v>r</v>
      </c>
      <c r="CQ237" s="246" t="str">
        <f>IFERROR(__xludf.DUMMYFUNCTION("IF(REGEXMATCH($C237, ""R""), """",""R"")"),"")</f>
        <v/>
      </c>
      <c r="CR237" s="246" t="str">
        <f>IFERROR(__xludf.DUMMYFUNCTION("IF(REGEXMATCH($C237, ""g""), """",""g"")"),"g")</f>
        <v>g</v>
      </c>
      <c r="CS237" s="246" t="str">
        <f>IFERROR(__xludf.DUMMYFUNCTION("IF(REGEXMATCH($C237, ""G""), """",""G"")"),"G")</f>
        <v>G</v>
      </c>
      <c r="CT237" s="246" t="str">
        <f>IFERROR(__xludf.DUMMYFUNCTION("IF(REGEXMATCH($C237, ""m""), """",""m"")"),"")</f>
        <v/>
      </c>
      <c r="CU237" s="246" t="str">
        <f>IFERROR(__xludf.DUMMYFUNCTION("IF(REGEXMATCH($C237, ""M""), """",""M"")"),"M")</f>
        <v>M</v>
      </c>
      <c r="CV237" s="246" t="str">
        <f>IFERROR(__xludf.DUMMYFUNCTION("IF(REGEXMATCH($C237, ""P""), """",""P"")"),"")</f>
        <v/>
      </c>
      <c r="CW237" s="246" t="str">
        <f>IFERROR(__xludf.DUMMYFUNCTION("IF(REGEXMATCH($C237, ""d""), """",""d"")"),"d")</f>
        <v>d</v>
      </c>
      <c r="CX237" s="246" t="str">
        <f>IFERROR(__xludf.DUMMYFUNCTION("IF(REGEXMATCH($C237, ""D""), """",""D"")"),"")</f>
        <v/>
      </c>
      <c r="CY237" s="246" t="str">
        <f>IFERROR(__xludf.DUMMYFUNCTION("IF(REGEXMATCH($C237, ""n""), """",""n"")"),"")</f>
        <v/>
      </c>
      <c r="CZ237" s="246" t="str">
        <f>IFERROR(__xludf.DUMMYFUNCTION("IF(REGEXMATCH($C237, ""N""), """",""N"")"),"")</f>
        <v/>
      </c>
      <c r="DA237" s="246" t="str">
        <f>IFERROR(__xludf.DUMMYFUNCTION("IF(REGEXMATCH($C237, ""S""), ""S"",""S"")"),"S")</f>
        <v>S</v>
      </c>
      <c r="DB237" s="362" t="str">
        <f>IFERROR(__xludf.DUMMYFUNCTION("JOIN("""",CO237:DA237,"""","""")"),"SrgGMdS")</f>
        <v>SrgGMdS</v>
      </c>
      <c r="DC237" s="363"/>
      <c r="DD237" s="301" t="str">
        <f t="shared" si="35"/>
        <v>#REF!</v>
      </c>
      <c r="DE237" s="302" t="str">
        <f t="shared" si="36"/>
        <v>#REF!</v>
      </c>
      <c r="DF237" s="301" t="str">
        <f t="shared" ref="DF237:DG237" si="693">SUBSTITUTE(S237,"-","")</f>
        <v>SRM</v>
      </c>
      <c r="DG237" s="301" t="str">
        <f t="shared" si="693"/>
        <v>PDNS</v>
      </c>
      <c r="DH237" s="302" t="str">
        <f t="shared" si="38"/>
        <v>-</v>
      </c>
      <c r="DI237" s="301" t="str">
        <f t="shared" si="39"/>
        <v>Hemi.</v>
      </c>
      <c r="DJ237" s="364" t="str">
        <f t="shared" si="40"/>
        <v>Co-Co.</v>
      </c>
      <c r="DK237" s="306" t="str">
        <f t="shared" si="41"/>
        <v>-</v>
      </c>
      <c r="DL237" s="366" t="str">
        <f t="shared" si="42"/>
        <v>-</v>
      </c>
      <c r="DM237" s="308" t="str">
        <f t="shared" si="43"/>
        <v>✔</v>
      </c>
      <c r="DN237" s="306" t="str">
        <f t="shared" si="44"/>
        <v>-</v>
      </c>
      <c r="DO237" s="306" t="str">
        <f t="shared" si="45"/>
        <v>-</v>
      </c>
      <c r="DP237" s="367" t="str">
        <f t="shared" si="46"/>
        <v>-</v>
      </c>
      <c r="DQ237" s="310" t="str">
        <f t="shared" si="47"/>
        <v>-</v>
      </c>
      <c r="DR237" s="310" t="str">
        <f t="shared" si="48"/>
        <v>-</v>
      </c>
      <c r="DS237" s="310" t="str">
        <f t="shared" si="49"/>
        <v>-</v>
      </c>
      <c r="DT237" s="310" t="str">
        <f t="shared" si="50"/>
        <v>-</v>
      </c>
      <c r="DU237" s="370" t="str">
        <f t="shared" si="51"/>
        <v>✔</v>
      </c>
      <c r="DV237" s="306" t="str">
        <f t="shared" si="52"/>
        <v>-</v>
      </c>
      <c r="DW237" s="306" t="str">
        <f t="shared" si="53"/>
        <v>✔</v>
      </c>
      <c r="DX237" s="306" t="str">
        <f t="shared" si="54"/>
        <v>-</v>
      </c>
      <c r="DY237" s="306" t="str">
        <f t="shared" si="55"/>
        <v>-</v>
      </c>
      <c r="DZ237" s="306" t="str">
        <f t="shared" si="56"/>
        <v>-</v>
      </c>
      <c r="EA237" s="367" t="str">
        <f t="shared" si="57"/>
        <v>-</v>
      </c>
      <c r="EB237" s="310" t="str">
        <f>IFERROR(__xludf.DUMMYFUNCTION("IF(REGEXMATCH(AW237,AS237),""✔"",""-"")"),"-")</f>
        <v>-</v>
      </c>
      <c r="EC237" s="310" t="str">
        <f t="shared" si="58"/>
        <v>#REF!</v>
      </c>
      <c r="ED237" s="370" t="str">
        <f t="shared" si="59"/>
        <v>-</v>
      </c>
      <c r="EE237" s="340" t="str">
        <f t="shared" si="60"/>
        <v>S-R-m-P-D-nN-S</v>
      </c>
      <c r="EF237" s="371" t="str">
        <f>IFERROR(__xludf.DUMMYFUNCTION("CONCATENATE(JOIN("""",HC237:HO237))"),"SrRgmPnS")</f>
        <v>SrRgmPnS</v>
      </c>
      <c r="EG237" s="372">
        <f t="shared" si="61"/>
        <v>2</v>
      </c>
      <c r="EH237" s="373" t="str">
        <f>IFERROR(__xludf.DUMMYFUNCTION("CONCATENATE(JOIN("""",JC237:JO237))"),"Dha, Ni, ")</f>
        <v>Dha, Ni, </v>
      </c>
      <c r="EI237" s="322">
        <f t="shared" si="62"/>
        <v>1</v>
      </c>
      <c r="EJ237" s="374" t="str">
        <f>IFERROR(__xludf.DUMMYFUNCTION("CONCATENATE(JOIN("""",KC237:KO237))"),"Ni, ")</f>
        <v>Ni, </v>
      </c>
      <c r="EK237" s="325" t="str">
        <f t="shared" si="63"/>
        <v>S-R2-M1-P-D2-N2-N3-S</v>
      </c>
      <c r="EL237" s="326" t="str">
        <f t="shared" si="64"/>
        <v>1-2-4-5-6-b7-7-8</v>
      </c>
      <c r="EM237" s="318" t="str">
        <f t="shared" si="65"/>
        <v>#REF!</v>
      </c>
      <c r="EN237" s="328" t="str">
        <f>IFERROR(__xludf.DUMMYFUNCTION("SUBSTITUTE(SUBSTITUTE(SUBSTITUTE(SUBSTITUTE(CONCATENATE(JOIN("" "",HP237:IB237)),""  "","" ""),""  "","" ""),""  "","" ""),""  "","" "")"),"o • o • • o • o • o o o o")</f>
        <v>o • o • • o • o • o o o o</v>
      </c>
      <c r="EO237" s="368" t="str">
        <f t="shared" si="66"/>
        <v>-</v>
      </c>
      <c r="EP237" s="339" t="str">
        <f t="shared" si="67"/>
        <v>-</v>
      </c>
      <c r="EQ237" s="339" t="str">
        <f t="shared" si="68"/>
        <v>Sa-Pa</v>
      </c>
      <c r="ER237" s="339" t="str">
        <f t="shared" si="69"/>
        <v>-</v>
      </c>
      <c r="ES237" s="340" t="str">
        <f t="shared" si="70"/>
        <v>-</v>
      </c>
      <c r="ET237" s="363"/>
      <c r="EU237" s="376" t="b">
        <f>IFERROR(__xludf.DUMMYFUNCTION("arrayformula(sum(--REGEXMATCH(""SRGMPDNS"",split(REGEXREPLACE(C237,""(.)"",""$1~""),""~""))))=len(C237)
"),FALSE)</f>
        <v>0</v>
      </c>
      <c r="EV237" s="290" t="b">
        <f>IFERROR(__xludf.DUMMYFUNCTION("arrayformula(sum(--REGEXMATCH(""SRGmPDNS"",split(REGEXREPLACE(C237,""(.)"",""$1~""),""~""))))=len(C237)"),FALSE)</f>
        <v>0</v>
      </c>
      <c r="EW237" s="290" t="b">
        <f>IFERROR(__xludf.DUMMYFUNCTION("arrayformula(sum(--REGEXMATCH(""SRGmPDnS"",split(REGEXREPLACE(C237,""(.)"",""$1~""),""~""))))=len(C237)"),FALSE)</f>
        <v>0</v>
      </c>
      <c r="EX237" s="290" t="b">
        <f>IFERROR(__xludf.DUMMYFUNCTION("arrayformula(sum(--REGEXMATCH(""SRgmPDnS"",split(REGEXREPLACE(C237,""(.)"",""$1~""),""~""))))=len(C237)"),FALSE)</f>
        <v>0</v>
      </c>
      <c r="EY237" s="290" t="b">
        <f>IFERROR(__xludf.DUMMYFUNCTION("arrayformula(sum(--REGEXMATCH(""SRgmPdnS"",split(REGEXREPLACE(C237,""(.)"",""$1~""),""~""))))=len(C237)"),FALSE)</f>
        <v>0</v>
      </c>
      <c r="EZ237" s="290" t="b">
        <f>IFERROR(__xludf.DUMMYFUNCTION("arrayformula(sum(--REGEXMATCH(""SrgmPdnS"",split(REGEXREPLACE(C237,""(.)"",""$1~""),""~""))))=len(C237)"),FALSE)</f>
        <v>0</v>
      </c>
      <c r="FA237" s="290" t="b">
        <f>IFERROR(__xludf.DUMMYFUNCTION("arrayformula(sum(--REGEXMATCH(""SrGmPdNS"",split(REGEXREPLACE(C237,""(.)"",""$1~""),""~""))))=len(C237)"),FALSE)</f>
        <v>0</v>
      </c>
      <c r="FB237" s="290" t="b">
        <f>IFERROR(__xludf.DUMMYFUNCTION("arrayformula(sum(--REGEXMATCH(""SrGMPDNS"",split(REGEXREPLACE(C237,""(.)"",""$1~""),""~""))))=len(C237)"),FALSE)</f>
        <v>0</v>
      </c>
      <c r="FC237" s="290" t="b">
        <f>IFERROR(__xludf.DUMMYFUNCTION("arrayformula(sum(--REGEXMATCH(""SrGMPdNS"",split(REGEXREPLACE(C237,""(.)"",""$1~""),""~""))))=len(C237)"),FALSE)</f>
        <v>0</v>
      </c>
      <c r="FD237" s="377" t="b">
        <f>IFERROR(__xludf.DUMMYFUNCTION("arrayformula(sum(--REGEXMATCH(""SrgMPdNS"",split(REGEXREPLACE(C237,""(.)"",""$1~""),""~""))))=len(C237)"),FALSE)</f>
        <v>0</v>
      </c>
      <c r="FE237" s="269" t="str">
        <f t="shared" si="71"/>
        <v>-</v>
      </c>
      <c r="FF237" s="269" t="str">
        <f t="shared" si="72"/>
        <v>xooxoxoxxxx</v>
      </c>
      <c r="FG237" s="271" t="str">
        <f t="shared" si="73"/>
        <v>-</v>
      </c>
      <c r="FH237" s="269" t="str">
        <f t="shared" si="74"/>
        <v>-</v>
      </c>
      <c r="FI237" s="271" t="str">
        <f t="shared" si="75"/>
        <v>xoxoxxxxoxo</v>
      </c>
      <c r="FJ237" s="271" t="str">
        <f t="shared" si="76"/>
        <v>-</v>
      </c>
      <c r="FK237" s="271" t="str">
        <f t="shared" si="77"/>
        <v>xoxxxxoxoox</v>
      </c>
      <c r="FL237" s="271" t="str">
        <f t="shared" si="78"/>
        <v>-</v>
      </c>
      <c r="FM237" s="271" t="str">
        <f t="shared" si="79"/>
        <v>xxxxoxooxox</v>
      </c>
      <c r="FN237" s="271" t="str">
        <f t="shared" si="80"/>
        <v>xxxoxooxoxo</v>
      </c>
      <c r="FO237" s="274" t="str">
        <f t="shared" si="81"/>
        <v>xxoxooxoxox</v>
      </c>
      <c r="FP237" s="234" t="str">
        <f t="shared" si="82"/>
        <v>|</v>
      </c>
      <c r="FQ237" s="236" t="str">
        <f t="shared" si="83"/>
        <v>-</v>
      </c>
      <c r="FR237" s="237" t="str">
        <f t="shared" si="84"/>
        <v>|</v>
      </c>
      <c r="FS237" s="236" t="str">
        <f t="shared" si="85"/>
        <v>-</v>
      </c>
      <c r="FT237" s="237" t="str">
        <f t="shared" si="86"/>
        <v>-</v>
      </c>
      <c r="FU237" s="236" t="str">
        <f t="shared" si="87"/>
        <v>|</v>
      </c>
      <c r="FV237" s="237" t="str">
        <f t="shared" si="88"/>
        <v>-</v>
      </c>
      <c r="FW237" s="236" t="str">
        <f t="shared" si="89"/>
        <v>|</v>
      </c>
      <c r="FX237" s="237" t="str">
        <f t="shared" si="90"/>
        <v>-</v>
      </c>
      <c r="FY237" s="236" t="str">
        <f t="shared" si="91"/>
        <v>|</v>
      </c>
      <c r="FZ237" s="237" t="str">
        <f t="shared" si="92"/>
        <v>|</v>
      </c>
      <c r="GA237" s="236" t="str">
        <f t="shared" si="93"/>
        <v>|</v>
      </c>
      <c r="GB237" s="238" t="str">
        <f t="shared" si="94"/>
        <v>|</v>
      </c>
      <c r="GC237" s="244" t="str">
        <f>IFERROR(__xludf.DUMMYFUNCTION("IF(REGEXMATCH(C237, ""S""), ""1"","""")"),"1")</f>
        <v>1</v>
      </c>
      <c r="GD237" s="245" t="str">
        <f>IFERROR(__xludf.DUMMYFUNCTION("IF(REGEXMATCH(C237, ""r""), ""b2"","""")"),"")</f>
        <v/>
      </c>
      <c r="GE237" s="246" t="str">
        <f>IFERROR(__xludf.DUMMYFUNCTION("IF(REGEXMATCH(C237, ""R""), ""2"","""")"),"2")</f>
        <v>2</v>
      </c>
      <c r="GF237" s="246" t="str">
        <f>IFERROR(__xludf.DUMMYFUNCTION("IF(REGEXMATCH(C237, ""g""), ""b3"","""")"),"")</f>
        <v/>
      </c>
      <c r="GG237" s="245" t="str">
        <f>IFERROR(__xludf.DUMMYFUNCTION("IF(REGEXMATCH(C237, ""G""), ""3"","""")"),"")</f>
        <v/>
      </c>
      <c r="GH237" s="245" t="str">
        <f>IFERROR(__xludf.DUMMYFUNCTION("IF(REGEXMATCH(C237, ""m""), ""4"","""")"),"4")</f>
        <v>4</v>
      </c>
      <c r="GI237" s="246" t="str">
        <f>IFERROR(__xludf.DUMMYFUNCTION("IF(REGEXMATCH(C237, ""M""), ""#4"","""")"),"")</f>
        <v/>
      </c>
      <c r="GJ237" s="245" t="str">
        <f>IFERROR(__xludf.DUMMYFUNCTION("IF(REGEXMATCH(C237, ""P""), ""5"","""")"),"5")</f>
        <v>5</v>
      </c>
      <c r="GK237" s="246" t="str">
        <f>IFERROR(__xludf.DUMMYFUNCTION("IF(REGEXMATCH(C237, ""d""), ""b6"","""")"),"")</f>
        <v/>
      </c>
      <c r="GL237" s="245" t="str">
        <f>IFERROR(__xludf.DUMMYFUNCTION("IF(REGEXMATCH(C237, ""D""), ""6"","""")"),"6")</f>
        <v>6</v>
      </c>
      <c r="GM237" s="245" t="str">
        <f>IFERROR(__xludf.DUMMYFUNCTION("IF(REGEXMATCH(C237, ""n""), ""b7"","""")"),"b7")</f>
        <v>b7</v>
      </c>
      <c r="GN237" s="246" t="str">
        <f>IFERROR(__xludf.DUMMYFUNCTION("IF(REGEXMATCH(C237, ""N""), ""7"","""")"),"7")</f>
        <v>7</v>
      </c>
      <c r="GO237" s="249" t="str">
        <f>IFERROR(__xludf.DUMMYFUNCTION("IF(REGEXMATCH(C237, ""S""), ""8"","""")"),"8")</f>
        <v>8</v>
      </c>
      <c r="GP237" s="244" t="str">
        <f>IFERROR(__xludf.DUMMYFUNCTION("IF(REGEXMATCH(C237, ""S""), ""S"","""")"),"S")</f>
        <v>S</v>
      </c>
      <c r="GQ237" s="294" t="str">
        <f>IFERROR(__xludf.DUMMYFUNCTION("IF(REGEXMATCH(C237, ""r""), ""R1"","""")"),"")</f>
        <v/>
      </c>
      <c r="GR237" s="295" t="str">
        <f>IFERROR(__xludf.DUMMYFUNCTION("IF(REGEXMATCH(C237, ""R""), ""R2"","""")"),"R2")</f>
        <v>R2</v>
      </c>
      <c r="GS237" s="295" t="str">
        <f>IFERROR(__xludf.DUMMYFUNCTION("IF(REGEXMATCH(C237, ""g""), ""G2"","""")"),"")</f>
        <v/>
      </c>
      <c r="GT237" s="294" t="str">
        <f>IFERROR(__xludf.DUMMYFUNCTION("IF(REGEXMATCH(C237, ""G""), ""G3"","""")"),"")</f>
        <v/>
      </c>
      <c r="GU237" s="294" t="str">
        <f>IFERROR(__xludf.DUMMYFUNCTION("IF(REGEXMATCH(C237, ""m""), ""M1"","""")"),"M1")</f>
        <v>M1</v>
      </c>
      <c r="GV237" s="295" t="str">
        <f>IFERROR(__xludf.DUMMYFUNCTION("IF(REGEXMATCH(C237, ""M""), ""M2"","""")"),"")</f>
        <v/>
      </c>
      <c r="GW237" s="294" t="str">
        <f>IFERROR(__xludf.DUMMYFUNCTION("IF(REGEXMATCH(C237, ""P""), ""P"","""")"),"P")</f>
        <v>P</v>
      </c>
      <c r="GX237" s="295" t="str">
        <f>IFERROR(__xludf.DUMMYFUNCTION("IF(REGEXMATCH(C237, ""d""), ""D1"","""")"),"")</f>
        <v/>
      </c>
      <c r="GY237" s="294" t="str">
        <f>IFERROR(__xludf.DUMMYFUNCTION("IF(REGEXMATCH(C237, ""D""), ""D2"","""")"),"D2")</f>
        <v>D2</v>
      </c>
      <c r="GZ237" s="294" t="str">
        <f>IFERROR(__xludf.DUMMYFUNCTION("IF(REGEXMATCH(C237, ""n""), ""N2"","""")"),"N2")</f>
        <v>N2</v>
      </c>
      <c r="HA237" s="295" t="str">
        <f>IFERROR(__xludf.DUMMYFUNCTION("IF(REGEXMATCH(C237, ""N""), ""N3"","""")"),"N3")</f>
        <v>N3</v>
      </c>
      <c r="HB237" s="249" t="str">
        <f>IFERROR(__xludf.DUMMYFUNCTION("IF(REGEXMATCH(C237, ""S""), ""S"","""")"),"S")</f>
        <v>S</v>
      </c>
      <c r="HC237" s="331" t="str">
        <f t="shared" si="95"/>
        <v>S</v>
      </c>
      <c r="HD237" s="332" t="str">
        <f t="shared" si="96"/>
        <v>r</v>
      </c>
      <c r="HE237" s="332" t="str">
        <f t="shared" si="97"/>
        <v>R</v>
      </c>
      <c r="HF237" s="332" t="str">
        <f t="shared" si="98"/>
        <v>g</v>
      </c>
      <c r="HG237" s="332" t="str">
        <f t="shared" si="99"/>
        <v/>
      </c>
      <c r="HH237" s="332" t="str">
        <f t="shared" si="100"/>
        <v>m</v>
      </c>
      <c r="HI237" s="332" t="str">
        <f t="shared" si="101"/>
        <v/>
      </c>
      <c r="HJ237" s="332" t="str">
        <f t="shared" si="102"/>
        <v>P</v>
      </c>
      <c r="HK237" s="332" t="str">
        <f t="shared" si="103"/>
        <v/>
      </c>
      <c r="HL237" s="332" t="str">
        <f t="shared" si="104"/>
        <v/>
      </c>
      <c r="HM237" s="332" t="str">
        <f t="shared" si="105"/>
        <v>n</v>
      </c>
      <c r="HN237" s="332" t="str">
        <f t="shared" si="106"/>
        <v/>
      </c>
      <c r="HO237" s="343" t="str">
        <f t="shared" si="107"/>
        <v>S</v>
      </c>
      <c r="HP237" s="331" t="str">
        <f t="shared" si="108"/>
        <v>o</v>
      </c>
      <c r="HQ237" s="332" t="str">
        <f t="shared" si="109"/>
        <v>•</v>
      </c>
      <c r="HR237" s="332" t="str">
        <f t="shared" si="110"/>
        <v>o</v>
      </c>
      <c r="HS237" s="332" t="str">
        <f t="shared" si="111"/>
        <v>•</v>
      </c>
      <c r="HT237" s="332" t="str">
        <f t="shared" si="112"/>
        <v>•</v>
      </c>
      <c r="HU237" s="332" t="str">
        <f t="shared" si="113"/>
        <v>o</v>
      </c>
      <c r="HV237" s="332" t="str">
        <f t="shared" si="114"/>
        <v>•</v>
      </c>
      <c r="HW237" s="332" t="str">
        <f t="shared" si="115"/>
        <v>o</v>
      </c>
      <c r="HX237" s="332" t="str">
        <f t="shared" si="116"/>
        <v>•</v>
      </c>
      <c r="HY237" s="332" t="str">
        <f t="shared" si="117"/>
        <v>o</v>
      </c>
      <c r="HZ237" s="332" t="str">
        <f t="shared" si="118"/>
        <v>o</v>
      </c>
      <c r="IA237" s="332" t="str">
        <f t="shared" si="119"/>
        <v>o</v>
      </c>
      <c r="IB237" s="338" t="str">
        <f t="shared" si="120"/>
        <v>o</v>
      </c>
      <c r="IC237" s="331" t="str">
        <f t="shared" si="121"/>
        <v>•</v>
      </c>
      <c r="ID237" s="332" t="str">
        <f t="shared" si="122"/>
        <v>o</v>
      </c>
      <c r="IE237" s="332" t="str">
        <f t="shared" si="123"/>
        <v>•</v>
      </c>
      <c r="IF237" s="332" t="str">
        <f t="shared" si="124"/>
        <v>o</v>
      </c>
      <c r="IG237" s="332" t="str">
        <f t="shared" si="125"/>
        <v>o</v>
      </c>
      <c r="IH237" s="332" t="str">
        <f t="shared" si="126"/>
        <v>•</v>
      </c>
      <c r="II237" s="332" t="str">
        <f t="shared" si="127"/>
        <v>o</v>
      </c>
      <c r="IJ237" s="332" t="str">
        <f t="shared" si="128"/>
        <v>•</v>
      </c>
      <c r="IK237" s="332" t="str">
        <f t="shared" si="129"/>
        <v>o</v>
      </c>
      <c r="IL237" s="332" t="str">
        <f t="shared" si="130"/>
        <v>•</v>
      </c>
      <c r="IM237" s="332" t="str">
        <f t="shared" si="131"/>
        <v>•</v>
      </c>
      <c r="IN237" s="332" t="str">
        <f t="shared" si="132"/>
        <v>•</v>
      </c>
      <c r="IO237" s="338" t="str">
        <f t="shared" si="133"/>
        <v>•</v>
      </c>
      <c r="IP237" s="346" t="b">
        <f t="shared" si="134"/>
        <v>0</v>
      </c>
      <c r="IQ237" s="347" t="b">
        <f t="shared" si="135"/>
        <v>0</v>
      </c>
      <c r="IR237" s="347" t="b">
        <f t="shared" si="136"/>
        <v>0</v>
      </c>
      <c r="IS237" s="347" t="b">
        <f t="shared" si="137"/>
        <v>0</v>
      </c>
      <c r="IT237" s="347" t="b">
        <f t="shared" si="138"/>
        <v>0</v>
      </c>
      <c r="IU237" s="347" t="b">
        <f t="shared" si="139"/>
        <v>0</v>
      </c>
      <c r="IV237" s="347" t="b">
        <f t="shared" si="140"/>
        <v>0</v>
      </c>
      <c r="IW237" s="347" t="b">
        <f t="shared" si="141"/>
        <v>0</v>
      </c>
      <c r="IX237" s="347" t="b">
        <f t="shared" si="142"/>
        <v>0</v>
      </c>
      <c r="IY237" s="347" t="b">
        <f t="shared" si="143"/>
        <v>1</v>
      </c>
      <c r="IZ237" s="347" t="b">
        <f t="shared" si="144"/>
        <v>0</v>
      </c>
      <c r="JA237" s="347" t="b">
        <f t="shared" si="145"/>
        <v>1</v>
      </c>
      <c r="JB237" s="353" t="b">
        <f t="shared" si="146"/>
        <v>0</v>
      </c>
      <c r="JC237" s="354" t="str">
        <f t="shared" si="147"/>
        <v/>
      </c>
      <c r="JD237" s="355" t="str">
        <f t="shared" si="148"/>
        <v/>
      </c>
      <c r="JE237" s="355" t="str">
        <f t="shared" si="149"/>
        <v/>
      </c>
      <c r="JF237" s="355" t="str">
        <f t="shared" si="150"/>
        <v/>
      </c>
      <c r="JG237" s="355" t="str">
        <f t="shared" si="151"/>
        <v/>
      </c>
      <c r="JH237" s="355" t="str">
        <f t="shared" si="152"/>
        <v/>
      </c>
      <c r="JI237" s="355" t="str">
        <f t="shared" si="153"/>
        <v/>
      </c>
      <c r="JJ237" s="355" t="str">
        <f t="shared" si="154"/>
        <v/>
      </c>
      <c r="JK237" s="355" t="str">
        <f t="shared" si="155"/>
        <v/>
      </c>
      <c r="JL237" s="355" t="str">
        <f t="shared" si="156"/>
        <v>Dha, </v>
      </c>
      <c r="JM237" s="355" t="str">
        <f t="shared" si="157"/>
        <v/>
      </c>
      <c r="JN237" s="355" t="str">
        <f t="shared" si="158"/>
        <v>Ni, </v>
      </c>
      <c r="JO237" s="359" t="str">
        <f t="shared" si="159"/>
        <v/>
      </c>
      <c r="JP237" s="346" t="b">
        <f t="shared" si="160"/>
        <v>0</v>
      </c>
      <c r="JQ237" s="347" t="b">
        <f t="shared" si="161"/>
        <v>0</v>
      </c>
      <c r="JR237" s="347" t="b">
        <f t="shared" si="162"/>
        <v>0</v>
      </c>
      <c r="JS237" s="347" t="b">
        <f t="shared" si="163"/>
        <v>0</v>
      </c>
      <c r="JT237" s="347" t="b">
        <f t="shared" si="164"/>
        <v>0</v>
      </c>
      <c r="JU237" s="347" t="b">
        <f t="shared" si="165"/>
        <v>0</v>
      </c>
      <c r="JV237" s="347" t="b">
        <f t="shared" si="166"/>
        <v>0</v>
      </c>
      <c r="JW237" s="347" t="b">
        <f t="shared" si="167"/>
        <v>0</v>
      </c>
      <c r="JX237" s="347" t="b">
        <f t="shared" si="168"/>
        <v>0</v>
      </c>
      <c r="JY237" s="347" t="b">
        <f t="shared" si="169"/>
        <v>0</v>
      </c>
      <c r="JZ237" s="347" t="b">
        <f t="shared" si="170"/>
        <v>0</v>
      </c>
      <c r="KA237" s="347" t="b">
        <f t="shared" si="171"/>
        <v>1</v>
      </c>
      <c r="KB237" s="365" t="b">
        <f t="shared" si="172"/>
        <v>0</v>
      </c>
      <c r="KC237" s="354" t="str">
        <f t="shared" si="173"/>
        <v/>
      </c>
      <c r="KD237" s="355" t="str">
        <f t="shared" si="174"/>
        <v/>
      </c>
      <c r="KE237" s="355" t="str">
        <f t="shared" si="175"/>
        <v/>
      </c>
      <c r="KF237" s="355" t="str">
        <f t="shared" si="176"/>
        <v/>
      </c>
      <c r="KG237" s="355" t="str">
        <f t="shared" si="177"/>
        <v/>
      </c>
      <c r="KH237" s="355" t="str">
        <f t="shared" si="178"/>
        <v/>
      </c>
      <c r="KI237" s="355" t="str">
        <f t="shared" si="179"/>
        <v/>
      </c>
      <c r="KJ237" s="355" t="str">
        <f t="shared" si="180"/>
        <v/>
      </c>
      <c r="KK237" s="355" t="str">
        <f t="shared" si="181"/>
        <v/>
      </c>
      <c r="KL237" s="355" t="str">
        <f t="shared" si="182"/>
        <v/>
      </c>
      <c r="KM237" s="355" t="str">
        <f t="shared" si="183"/>
        <v/>
      </c>
      <c r="KN237" s="355" t="str">
        <f t="shared" si="184"/>
        <v>Ni, </v>
      </c>
      <c r="KO237" s="359"/>
      <c r="KP237" s="378"/>
      <c r="KQ237" s="379" t="s">
        <v>9</v>
      </c>
      <c r="KR237" s="380" t="s">
        <v>1387</v>
      </c>
      <c r="KS237" s="381" t="s">
        <v>9</v>
      </c>
      <c r="KT237" s="382">
        <f t="shared" si="186"/>
        <v>0</v>
      </c>
      <c r="KU237" s="383">
        <f t="shared" si="187"/>
        <v>0</v>
      </c>
      <c r="KV237" s="381" t="str">
        <f t="shared" si="205"/>
        <v>S-n-D-P-m-R-S</v>
      </c>
      <c r="KW237" s="382">
        <f t="shared" si="189"/>
        <v>6</v>
      </c>
      <c r="KX237" s="384">
        <f t="shared" si="190"/>
        <v>6</v>
      </c>
      <c r="KY237" s="382">
        <f t="shared" ref="KY237:KZ237" si="694">KW237-KT237</f>
        <v>6</v>
      </c>
      <c r="KZ237" s="369">
        <f t="shared" si="694"/>
        <v>6</v>
      </c>
      <c r="LA237" s="385" t="str">
        <f t="shared" si="192"/>
        <v>-</v>
      </c>
      <c r="LB237" s="340" t="str">
        <f>IFERROR(__xludf.DUMMYFUNCTION("JOIN("""",ArrayFormula(MID(KS237,LEN(KS237)-SEQUENCE(1,LEN(KS237))+1,1)))"),"S")</f>
        <v>S</v>
      </c>
      <c r="LC237" s="373" t="str">
        <f>IFERROR(__xludf.DUMMYFUNCTION("JOIN("""",ArrayFormula(MID(KV237,LEN(KV237)-SEQUENCE(1,LEN(KV237))+1,1)))"),"S-R-m-P-D-n-S")</f>
        <v>S-R-m-P-D-n-S</v>
      </c>
      <c r="LD237" s="373" t="str">
        <f t="shared" si="193"/>
        <v>S</v>
      </c>
      <c r="LE237" s="339" t="str">
        <f t="shared" si="194"/>
        <v>SRmPDnS</v>
      </c>
      <c r="LF237" s="386" t="str">
        <f>IFERROR(__xludf.DUMMYFUNCTION("SUBSTITUTE(SUBSTITUTE(CONCATENATE(JOIN("""",LH237:LT237)),""1"",""""),""2"","""")"),"SRmPDnS")</f>
        <v>SRmPDnS</v>
      </c>
      <c r="LG237" s="369" t="str">
        <f t="shared" si="195"/>
        <v>-</v>
      </c>
      <c r="LH237" s="387" t="str">
        <f>IFERROR(__xludf.DUMMYFUNCTION("IF(REGEXMATCH(LD237, ""S""), ""S"",IF(REGEXMATCH(LE237, ""S""), ""S"",""""))"),"S")</f>
        <v>S</v>
      </c>
      <c r="LI237" s="299" t="str">
        <f>IFERROR(__xludf.DUMMYFUNCTION("IF(REGEXMATCH(LD237, ""r""), ""r1"",IF(REGEXMATCH(LE237, ""r""), ""r2"",""""))"),"")</f>
        <v/>
      </c>
      <c r="LJ237" s="299" t="str">
        <f>IFERROR(__xludf.DUMMYFUNCTION("IF(REGEXMATCH(LD237, ""R""), ""R1"",IF(REGEXMATCH(LE237, ""R""), ""R2"",""""))"),"R2")</f>
        <v>R2</v>
      </c>
      <c r="LK237" s="299" t="str">
        <f>IFERROR(__xludf.DUMMYFUNCTION("IF(REGEXMATCH(LD237, ""g""), ""g1"",IF(REGEXMATCH(LE237, ""g""), ""g2"",""""))"),"")</f>
        <v/>
      </c>
      <c r="LL237" s="299" t="str">
        <f>IFERROR(__xludf.DUMMYFUNCTION("IF(REGEXMATCH(LD237, ""G""), ""G1"",IF(REGEXMATCH(LE237, ""G""), ""G2"",""""))"),"")</f>
        <v/>
      </c>
      <c r="LM237" s="299" t="str">
        <f>IFERROR(__xludf.DUMMYFUNCTION("IF(REGEXMATCH(LD237, ""m""), ""m1"",IF(REGEXMATCH(LE237, ""m""), ""m2"",""""))"),"m2")</f>
        <v>m2</v>
      </c>
      <c r="LN237" s="299" t="str">
        <f>IFERROR(__xludf.DUMMYFUNCTION("IF(REGEXMATCH(LD237, ""M""), ""M1"",IF(REGEXMATCH(LE237, ""M""), ""M2"",""""))"),"")</f>
        <v/>
      </c>
      <c r="LO237" s="299" t="str">
        <f>IFERROR(__xludf.DUMMYFUNCTION("IF(REGEXMATCH(LD237, ""P""), ""P1"",IF(REGEXMATCH(LE237, ""P""), ""P2"",""""))"),"P2")</f>
        <v>P2</v>
      </c>
      <c r="LP237" s="299" t="str">
        <f>IFERROR(__xludf.DUMMYFUNCTION("IF(REGEXMATCH(LD237, ""d""), ""d1"",IF(REGEXMATCH(LE237, ""d""), ""d2"",""""))"),"")</f>
        <v/>
      </c>
      <c r="LQ237" s="299" t="str">
        <f>IFERROR(__xludf.DUMMYFUNCTION("IF(REGEXMATCH(LD237, ""D""), ""D1"",IF(REGEXMATCH(LE237, ""D""), ""D2"",""""))"),"D2")</f>
        <v>D2</v>
      </c>
      <c r="LR237" s="299" t="str">
        <f>IFERROR(__xludf.DUMMYFUNCTION("IF(REGEXMATCH(LD237, ""n""), ""n1"",IF(REGEXMATCH(LE237, ""n""), ""n2"",""""))"),"n2")</f>
        <v>n2</v>
      </c>
      <c r="LS237" s="299" t="str">
        <f>IFERROR(__xludf.DUMMYFUNCTION("IF(REGEXMATCH(LD237, ""N""), ""N1"",IF(REGEXMATCH(LE237, ""N""), ""N2"",""""))"),"")</f>
        <v/>
      </c>
      <c r="LT237" s="388" t="str">
        <f>IFERROR(__xludf.DUMMYFUNCTION("IF(REGEXMATCH(LD237, ""S""), ""S"",IF(REGEXMATCH(LE237, ""S""), ""S"",""""))"),"S")</f>
        <v>S</v>
      </c>
      <c r="LU237" s="389">
        <f t="shared" si="196"/>
        <v>-11</v>
      </c>
      <c r="LV237" s="378"/>
      <c r="LW237" s="369"/>
      <c r="LX237" s="369"/>
    </row>
    <row r="238" ht="18.0" customHeight="1">
      <c r="A238" s="298" t="s">
        <v>999</v>
      </c>
      <c r="B238" s="222" t="s">
        <v>938</v>
      </c>
      <c r="C238" s="233" t="str">
        <f t="shared" si="7"/>
        <v>SgGmdnS</v>
      </c>
      <c r="D238" s="234" t="str">
        <f>IFERROR(__xludf.DUMMYFUNCTION("IF(REGEXMATCH(C238, ""S""), ""S"","""")"),"S")</f>
        <v>S</v>
      </c>
      <c r="E238" s="236" t="str">
        <f>IFERROR(__xludf.DUMMYFUNCTION("IF(REGEXMATCH(C238, ""r""), ""r"","""")"),"")</f>
        <v/>
      </c>
      <c r="F238" s="237" t="str">
        <f>IFERROR(__xludf.DUMMYFUNCTION("IF(REGEXMATCH(C238, ""R""), ""R"","""")"),"")</f>
        <v/>
      </c>
      <c r="G238" s="237" t="str">
        <f>IFERROR(__xludf.DUMMYFUNCTION("IF(REGEXMATCH(C238, ""g""), ""g"","""")"),"g")</f>
        <v>g</v>
      </c>
      <c r="H238" s="236" t="str">
        <f>IFERROR(__xludf.DUMMYFUNCTION("IF(REGEXMATCH(C238, ""G""), ""G"","""")"),"G")</f>
        <v>G</v>
      </c>
      <c r="I238" s="236" t="str">
        <f>IFERROR(__xludf.DUMMYFUNCTION("IF(REGEXMATCH(C238, ""m""), ""m"","""")"),"m")</f>
        <v>m</v>
      </c>
      <c r="J238" s="237" t="str">
        <f>IFERROR(__xludf.DUMMYFUNCTION("IF(REGEXMATCH(C238, ""M""), ""M"","""")"),"")</f>
        <v/>
      </c>
      <c r="K238" s="236" t="str">
        <f>IFERROR(__xludf.DUMMYFUNCTION("IF(REGEXMATCH(C238, ""P""), ""P"","""")"),"")</f>
        <v/>
      </c>
      <c r="L238" s="237" t="str">
        <f>IFERROR(__xludf.DUMMYFUNCTION("IF(REGEXMATCH(C238, ""d""), ""d"","""")"),"d")</f>
        <v>d</v>
      </c>
      <c r="M238" s="236" t="str">
        <f>IFERROR(__xludf.DUMMYFUNCTION("IF(REGEXMATCH(C238, ""D""), ""D"","""")"),"")</f>
        <v/>
      </c>
      <c r="N238" s="236" t="str">
        <f>IFERROR(__xludf.DUMMYFUNCTION("IF(REGEXMATCH(C238, ""n""), ""n"","""")"),"n")</f>
        <v>n</v>
      </c>
      <c r="O238" s="237" t="str">
        <f>IFERROR(__xludf.DUMMYFUNCTION("IF(REGEXMATCH(C238, ""N""), ""N"","""")"),"")</f>
        <v/>
      </c>
      <c r="P238" s="238" t="str">
        <f>IFERROR(__xludf.DUMMYFUNCTION("IF(REGEXMATCH(C238, ""S""), ""S"","""")"),"S")</f>
        <v>S</v>
      </c>
      <c r="Q238" s="239" t="str">
        <f>IFERROR(__xludf.DUMMYFUNCTION("SUBSTITUTE(CONCATENATE(JOIN(""-"",D238:J238)),""-"","""")"),"SgGm")</f>
        <v>SgGm</v>
      </c>
      <c r="R238" s="229" t="str">
        <f>IFERROR(__xludf.DUMMYFUNCTION("SUBSTITUTE(CONCATENATE(JOIN(""-"",K238:P238)),""-"","""")"),"dnS")</f>
        <v>dnS</v>
      </c>
      <c r="S238" s="282" t="str">
        <f t="shared" si="8"/>
        <v>S-G-M</v>
      </c>
      <c r="T238" s="282" t="str">
        <f t="shared" si="9"/>
        <v>D-N-S</v>
      </c>
      <c r="U238" s="237" t="str">
        <f>IFERROR(__xludf.DUMMYFUNCTION("SUBSTITUTE(JOIN(""-"",S238,T238),""--"",""-"")"),"S-G-M-D-N-S")</f>
        <v>S-G-M-D-N-S</v>
      </c>
      <c r="V238" s="309" t="str">
        <f t="shared" si="10"/>
        <v>gGmdn</v>
      </c>
      <c r="W238" s="244" t="str">
        <f>IFERROR(__xludf.DUMMYFUNCTION("IF(REGEXMATCH(C238, ""S""), ""0"","""")"),"0")</f>
        <v>0</v>
      </c>
      <c r="X238" s="245" t="str">
        <f>IFERROR(__xludf.DUMMYFUNCTION("IF(REGEXMATCH(C238, ""r""), ""1"","""")"),"")</f>
        <v/>
      </c>
      <c r="Y238" s="246" t="str">
        <f>IFERROR(__xludf.DUMMYFUNCTION("IF(REGEXMATCH(C238, ""R""), ""2"","""")"),"")</f>
        <v/>
      </c>
      <c r="Z238" s="246" t="str">
        <f>IFERROR(__xludf.DUMMYFUNCTION("IF(REGEXMATCH(C238, ""g""), ""3"","""")"),"3")</f>
        <v>3</v>
      </c>
      <c r="AA238" s="245" t="str">
        <f>IFERROR(__xludf.DUMMYFUNCTION("IF(REGEXMATCH(C238, ""G""), ""4"","""")"),"4")</f>
        <v>4</v>
      </c>
      <c r="AB238" s="245" t="str">
        <f>IFERROR(__xludf.DUMMYFUNCTION("IF(REGEXMATCH(C238, ""m""), ""5"","""")"),"5")</f>
        <v>5</v>
      </c>
      <c r="AC238" s="246" t="str">
        <f>IFERROR(__xludf.DUMMYFUNCTION("IF(REGEXMATCH(C238, ""M""), ""6"","""")"),"")</f>
        <v/>
      </c>
      <c r="AD238" s="245" t="str">
        <f>IFERROR(__xludf.DUMMYFUNCTION("IF(REGEXMATCH(C238, ""P""), ""7"","""")"),"")</f>
        <v/>
      </c>
      <c r="AE238" s="246" t="str">
        <f>IFERROR(__xludf.DUMMYFUNCTION("IF(REGEXMATCH(C238, ""d""), ""8"","""")"),"8")</f>
        <v>8</v>
      </c>
      <c r="AF238" s="245" t="str">
        <f>IFERROR(__xludf.DUMMYFUNCTION("IF(REGEXMATCH(C238, ""D""), ""9"","""")"),"")</f>
        <v/>
      </c>
      <c r="AG238" s="245" t="str">
        <f>IFERROR(__xludf.DUMMYFUNCTION("IF(REGEXMATCH(C238, ""n""), ""10"","""")"),"10")</f>
        <v>10</v>
      </c>
      <c r="AH238" s="246" t="str">
        <f>IFERROR(__xludf.DUMMYFUNCTION("IF(REGEXMATCH(C238, ""N""), ""11"","""")"),"")</f>
        <v/>
      </c>
      <c r="AI238" s="249" t="str">
        <f>IFERROR(__xludf.DUMMYFUNCTION("IF(REGEXMATCH(C238, ""S""), ""0"","""")"),"0")</f>
        <v>0</v>
      </c>
      <c r="AJ238" s="313" t="str">
        <f t="shared" si="11"/>
        <v>-</v>
      </c>
      <c r="AK238" s="313" t="str">
        <f t="shared" si="12"/>
        <v>-</v>
      </c>
      <c r="AL238" s="313" t="str">
        <f t="shared" si="13"/>
        <v>-</v>
      </c>
      <c r="AM238" s="313" t="str">
        <f t="shared" si="14"/>
        <v>-</v>
      </c>
      <c r="AN238" s="313" t="str">
        <f t="shared" si="15"/>
        <v>T</v>
      </c>
      <c r="AO238" s="314" t="str">
        <f t="shared" si="16"/>
        <v>-</v>
      </c>
      <c r="AP238" s="316">
        <f t="shared" si="17"/>
        <v>1</v>
      </c>
      <c r="AQ238" s="319" t="str">
        <f t="shared" si="18"/>
        <v>#REF!</v>
      </c>
      <c r="AR238" s="320">
        <f t="shared" si="19"/>
        <v>0</v>
      </c>
      <c r="AS238" s="250" t="str">
        <f>IFERROR(__xludf.DUMMYFUNCTION("SUBSTITUTE(SUBSTITUTE(CONCATENATE(JOIN("""",FP238:GA238)),""|"",""x""),""-"",""o"")"),"xooxxxooxoxo")</f>
        <v>xooxxxooxoxo</v>
      </c>
      <c r="AT238" s="323" t="str">
        <f>IFERROR(__xludf.DUMMYFUNCTION("JOIN("""",AS238,AS238)"),"xooxxxooxoxoxooxxxooxoxo")</f>
        <v>xooxxxooxoxoxooxxxooxoxo</v>
      </c>
      <c r="AU238" s="256" t="str">
        <f>IFERROR(__xludf.DUMMYFUNCTION("JOIN("""",ArrayFormula(MID(AS238,LEN(AS238)-SEQUENCE(1,LEN(AS238))+1,1)))"),"oxoxooxxxoox")</f>
        <v>oxoxooxxxoox</v>
      </c>
      <c r="AV238" s="256" t="str">
        <f>IFERROR(__xludf.DUMMYFUNCTION("LEFT(CONCATENATE(""x"",JOIN("""",ArrayFormula(MID(AS238,LEN(AS238)-SEQUENCE(1,LEN(AS238))+1,1)))),12)"),"xoxoxooxxxoo")</f>
        <v>xoxoxooxxxoo</v>
      </c>
      <c r="AW238" s="327" t="str">
        <f>IFERROR(__xludf.DUMMYFUNCTION("JOIN("""",AU238,AU238)"),"oxoxooxxxooxoxoxooxxxoox")</f>
        <v>oxoxooxxxooxoxoxooxxxoox</v>
      </c>
      <c r="AX238" s="239" t="str">
        <f>IFERROR(__xludf.DUMMYFUNCTION("IF(REGEXMATCH(AW238,AS238),""✔"",""-"")"),"✔")</f>
        <v>✔</v>
      </c>
      <c r="AY238" s="330" t="str">
        <f t="shared" si="20"/>
        <v>-</v>
      </c>
      <c r="AZ238" s="260" t="str">
        <f t="shared" si="21"/>
        <v>#REF!</v>
      </c>
      <c r="BA238" s="333" t="str">
        <f t="shared" si="22"/>
        <v>xooxxxo</v>
      </c>
      <c r="BB238" s="334" t="str">
        <f t="shared" si="23"/>
        <v>oxoxox</v>
      </c>
      <c r="BC238" s="335" t="str">
        <f t="shared" si="236"/>
        <v>-</v>
      </c>
      <c r="BD238" s="336" t="str">
        <f t="shared" si="25"/>
        <v>Mohankauns: 'xooxxxo' + 'oxoxox'</v>
      </c>
      <c r="BE238" s="337">
        <f>IFERROR(__xludf.DUMMYFUNCTION("COUNTUNIQUE(FILTER(AT:AT,REGEXMATCH(AT:AT,AS238)))-1"),2.0)</f>
        <v>2</v>
      </c>
      <c r="BF238" s="261" t="str">
        <f>IFERROR(__xludf.DUMMYFUNCTION("IF(BI238=0,""(n/a)"",IF(BJ238=2,""(PAIR)"",IF(REGEXMATCH(AT238,""xoxoxxoxoxox""),""Bilawal"",IF(REGEXMATCH(AT238,""xoxoxooxoxoo""),""Bhupali"",IF(REGEXMATCH(AT238,""xoxoxxoxxoxo""),""Charukeshi"",IF(REGEXMATCH(AT238,""xoxoooxxoxxo""),""Kameshwari"",IF(REG"&amp;"EXMATCH(AT238,""xoxoxooxoxox""),""Shankara"",IF(REGEXMATCH(AT238,""xxooxoxxxoox""),""Basant"",IF(REGEXMATCH(AT238,""xoxoxxxxoxox""),""Bihag"",IF(REGEXMATCH(AT238,""xoxxxxoxoxxx""),""Pilu"",IF(REGEXMATCH(AT238,""xoxxoxoxxoox""),""Kirwani"",IF(REGEXMATCH(AT"&amp;"238,""xoxxoxoxoxxx""),""Mk.Malhar"",IF(REGEXMATCH(AT238,""xxooxxoxxoox""),""Bhairav"",IF(REGEXMATCH(AT238,""xxoxooxxxoox""),""Todi"",IF(REGEXMATCH(AT238,""xxooxoxooxox""),""Marwa"",IF(REGEXMATCH(AT238,""xxoooxoxxooo""),""Gunkali"",IF(REGEXMATCH(AT238,""xo"&amp;"xoxxoxxoox""),""Nat Bhairav"",IF(REGEXMATCH(AT238,""xoxxoooxoxoo""),""Shivranjani"",IF(REGEXMATCH(AT238,""xooxxxoxooxo""),""Jog"",IF(REGEXMATCH(AT238,""xxooxoxoxoox""),""Hemshri"",IF(REGEXMATCH(AT238,""xoooxooxoxxo""),""Kalavati"",IF(REGEXMATCH(AT238,""xx"&amp;"oxoxxoxoox""),""Kedar"",IF(REGEXMATCH(AT238,""xoxxxxoxooxx""),""Gara"",IF(REGEXMATCH(AT238,""xooxoxooxoox""),""Chandrakauns"",IF(REGEXMATCH(AT238,""xoxxxxoxxxox""),""Mand"",IF(REGEXMATCH(AT238,""xoxxxxoxoxox""),""Hanskinkini"",IF(REGEXMATCH(AT238,""xxooxx"&amp;"oxooxo""),""Lilavati"",IF(REGEXMATCH(AT238,""xooxoxoooxox""),""Rajeshwari"",IF(REGEXMATCH(AT238,""xoooxxoxoxxx""),""Khokar"",IF(REGEXMATCH(AT238,""xxooxoxxxxox""),""Maligoura"",""-""))))))))))))))))))))))))))))))"),"Hemshri")</f>
        <v>Hemshri</v>
      </c>
      <c r="BG238" s="239" t="str">
        <f t="shared" si="26"/>
        <v>#REF!</v>
      </c>
      <c r="BH238" s="239">
        <f>IFERROR(__xludf.DUMMYFUNCTION("COUNTUNIQUE(FE238:FO238)-1"),5.0)</f>
        <v>5</v>
      </c>
      <c r="BI238" s="239">
        <f>IFERROR(__xludf.DUMMYFUNCTION("COUNTUNIQUE(FILTER(AT:AT,REGEXMATCH(AT:AT,AS238)))-1"),2.0)</f>
        <v>2</v>
      </c>
      <c r="BJ238" s="239">
        <f>IFERROR(__xludf.DUMMYFUNCTION("COUNTA(FILTER(AT:AT,REGEXMATCH(AT:AT,AS238)))"),4.0)</f>
        <v>4</v>
      </c>
      <c r="BK238" s="341">
        <f>IFERROR(__xludf.DUMMYFUNCTION("COUNTA(FILTER(AT:AT,REGEXMATCH(AT:AT,AS238)))-AR238"),4.0)</f>
        <v>4</v>
      </c>
      <c r="BL238" s="276" t="str">
        <f>IFERROR(__xludf.DUMMYFUNCTION("IF(AS238=""oooooooooooo"",""-"",IF(REGEXMATCH(AT238,""xx""), ""Hemi."", ""Anhemi.""))"),"Hemi.")</f>
        <v>Hemi.</v>
      </c>
      <c r="BM238" s="282" t="str">
        <f>IFERROR(__xludf.DUMMYFUNCTION("IF(AS238=""oooooooooooo"",""-"",IF(REGEXMATCH(AT238,""xxx""), ""Cohem."", ""-""))"),"Cohem.")</f>
        <v>Cohem.</v>
      </c>
      <c r="BN238" s="282" t="str">
        <f>IFERROR(__xludf.DUMMYFUNCTION("IF(AS238=""oooooooooooo"",""-"",IF(REGEXMATCH(AT238,""xxxx""), ""Co-Co."", ""-""))"),"-")</f>
        <v>-</v>
      </c>
      <c r="BO238" s="342" t="str">
        <f>IFERROR(__xludf.DUMMYFUNCTION("IF(AS238=""oooooooooooo"",""-"",IF(REGEXMATCH(AT238,""xxxxx""), ""CCC."", ""-""))"),"-")</f>
        <v>-</v>
      </c>
      <c r="BP238" s="344" t="str">
        <f t="shared" si="27"/>
        <v>-</v>
      </c>
      <c r="BQ238" s="282" t="str">
        <f>IFERROR(__xludf.DUMMYFUNCTION("IF(REGEXMATCH(JOIN(""-"",EU238:FD238),""TRUE""),""✔"",""-"")"),"-")</f>
        <v>-</v>
      </c>
      <c r="BR238" s="225">
        <f t="shared" si="28"/>
        <v>0</v>
      </c>
      <c r="BS238" s="345" t="str">
        <f>IFERROR(__xludf.DUMMYFUNCTION("SUBSTITUTE(SUBSTITUTE(SUBSTITUTE(SUBSTITUTE(CONCATENATE(JOIN(""-"",GC238:GO238)),""--"",""-""),""--"",""-""),""--"",""-""),""--"",""-"")"),"1-b3-3-4-b6-b7-8")</f>
        <v>1-b3-3-4-b6-b7-8</v>
      </c>
      <c r="BT238" s="299" t="str">
        <f>IFERROR(__xludf.DUMMYFUNCTION("SUBSTITUTE(SUBSTITUTE(SUBSTITUTE(SUBSTITUTE(CONCATENATE(JOIN(""-"",GP238:HB238)),""--"",""-""),""--"",""-""),""--"",""-""),""--"",""-"")"),"S-G2-G3-M1-D1-N2-S")</f>
        <v>S-G2-G3-M1-D1-N2-S</v>
      </c>
      <c r="BU238" s="348" t="str">
        <f t="shared" si="29"/>
        <v>C-Eb-E-F-Ab-Bb-C</v>
      </c>
      <c r="BV238" s="349" t="str">
        <f t="shared" si="30"/>
        <v>SrRMPDNS</v>
      </c>
      <c r="BW238" s="350">
        <f t="shared" si="31"/>
        <v>0</v>
      </c>
      <c r="BX238" s="351">
        <f t="shared" si="32"/>
        <v>2</v>
      </c>
      <c r="BY238" s="392"/>
      <c r="BZ238" s="309" t="str">
        <f>IFERROR(__xludf.DUMMYFUNCTION("IF(REGEXMATCH(C238, ""S""), ""x"",""x"")"),"x")</f>
        <v>x</v>
      </c>
      <c r="CA238" s="245" t="str">
        <f>IFERROR(__xludf.DUMMYFUNCTION("IF(REGEXMATCH(C238, ""r""), ""o"",""x"")"),"x")</f>
        <v>x</v>
      </c>
      <c r="CB238" s="246" t="str">
        <f>IFERROR(__xludf.DUMMYFUNCTION("IF(REGEXMATCH(C238, ""R""), ""o"",""x"")"),"x")</f>
        <v>x</v>
      </c>
      <c r="CC238" s="246" t="str">
        <f>IFERROR(__xludf.DUMMYFUNCTION("IF(REGEXMATCH(C238, ""g""), ""o"",""x"")"),"o")</f>
        <v>o</v>
      </c>
      <c r="CD238" s="245" t="str">
        <f>IFERROR(__xludf.DUMMYFUNCTION("IF(REGEXMATCH(C238, ""G""), ""o"",""x"")"),"o")</f>
        <v>o</v>
      </c>
      <c r="CE238" s="245" t="str">
        <f>IFERROR(__xludf.DUMMYFUNCTION("IF(REGEXMATCH(C238, ""m""), ""o"",""x"")"),"o")</f>
        <v>o</v>
      </c>
      <c r="CF238" s="246" t="str">
        <f>IFERROR(__xludf.DUMMYFUNCTION("IF(REGEXMATCH(C238, ""M""), ""o"",""x"")"),"x")</f>
        <v>x</v>
      </c>
      <c r="CG238" s="245" t="str">
        <f>IFERROR(__xludf.DUMMYFUNCTION("IF(REGEXMATCH(C238, ""P""), ""o"",""x"")"),"x")</f>
        <v>x</v>
      </c>
      <c r="CH238" s="246" t="str">
        <f>IFERROR(__xludf.DUMMYFUNCTION("IF(REGEXMATCH(C238, ""d""), ""o"",""x"")"),"o")</f>
        <v>o</v>
      </c>
      <c r="CI238" s="245" t="str">
        <f>IFERROR(__xludf.DUMMYFUNCTION("IF(REGEXMATCH(C238, ""D""), ""o"",""x"")"),"x")</f>
        <v>x</v>
      </c>
      <c r="CJ238" s="245" t="str">
        <f>IFERROR(__xludf.DUMMYFUNCTION("IF(REGEXMATCH(C238, ""n""), ""o"",""x"")"),"o")</f>
        <v>o</v>
      </c>
      <c r="CK238" s="245" t="str">
        <f>IFERROR(__xludf.DUMMYFUNCTION("IF(REGEXMATCH(C238, ""N""), ""o"",""x"")"),"x")</f>
        <v>x</v>
      </c>
      <c r="CL238" s="356" t="str">
        <f>IFERROR(__xludf.DUMMYFUNCTION("IF(REGEXMATCH(C238, ""S""), ""x"",""x"")"),"x")</f>
        <v>x</v>
      </c>
      <c r="CM238" s="357" t="str">
        <f t="shared" si="33"/>
        <v>xxxoooxxoxox</v>
      </c>
      <c r="CN238" s="358">
        <f t="shared" si="34"/>
        <v>0</v>
      </c>
      <c r="CO238" s="246" t="str">
        <f>IFERROR(__xludf.DUMMYFUNCTION("IF(REGEXMATCH($C238, ""S""), ""S"",""S"")"),"S")</f>
        <v>S</v>
      </c>
      <c r="CP238" s="246" t="str">
        <f>IFERROR(__xludf.DUMMYFUNCTION("IF(REGEXMATCH($C238, ""r""), """",""r"")"),"r")</f>
        <v>r</v>
      </c>
      <c r="CQ238" s="246" t="str">
        <f>IFERROR(__xludf.DUMMYFUNCTION("IF(REGEXMATCH($C238, ""R""), """",""R"")"),"R")</f>
        <v>R</v>
      </c>
      <c r="CR238" s="246" t="str">
        <f>IFERROR(__xludf.DUMMYFUNCTION("IF(REGEXMATCH($C238, ""g""), """",""g"")"),"")</f>
        <v/>
      </c>
      <c r="CS238" s="246" t="str">
        <f>IFERROR(__xludf.DUMMYFUNCTION("IF(REGEXMATCH($C238, ""G""), """",""G"")"),"")</f>
        <v/>
      </c>
      <c r="CT238" s="246" t="str">
        <f>IFERROR(__xludf.DUMMYFUNCTION("IF(REGEXMATCH($C238, ""m""), """",""m"")"),"")</f>
        <v/>
      </c>
      <c r="CU238" s="246" t="str">
        <f>IFERROR(__xludf.DUMMYFUNCTION("IF(REGEXMATCH($C238, ""M""), """",""M"")"),"M")</f>
        <v>M</v>
      </c>
      <c r="CV238" s="246" t="str">
        <f>IFERROR(__xludf.DUMMYFUNCTION("IF(REGEXMATCH($C238, ""P""), """",""P"")"),"P")</f>
        <v>P</v>
      </c>
      <c r="CW238" s="246" t="str">
        <f>IFERROR(__xludf.DUMMYFUNCTION("IF(REGEXMATCH($C238, ""d""), """",""d"")"),"")</f>
        <v/>
      </c>
      <c r="CX238" s="246" t="str">
        <f>IFERROR(__xludf.DUMMYFUNCTION("IF(REGEXMATCH($C238, ""D""), """",""D"")"),"D")</f>
        <v>D</v>
      </c>
      <c r="CY238" s="246" t="str">
        <f>IFERROR(__xludf.DUMMYFUNCTION("IF(REGEXMATCH($C238, ""n""), """",""n"")"),"")</f>
        <v/>
      </c>
      <c r="CZ238" s="246" t="str">
        <f>IFERROR(__xludf.DUMMYFUNCTION("IF(REGEXMATCH($C238, ""N""), """",""N"")"),"N")</f>
        <v>N</v>
      </c>
      <c r="DA238" s="246" t="str">
        <f>IFERROR(__xludf.DUMMYFUNCTION("IF(REGEXMATCH($C238, ""S""), ""S"",""S"")"),"S")</f>
        <v>S</v>
      </c>
      <c r="DB238" s="362" t="str">
        <f>IFERROR(__xludf.DUMMYFUNCTION("JOIN("""",CO238:DA238,"""","""")"),"SrRMPDNS")</f>
        <v>SrRMPDNS</v>
      </c>
      <c r="DC238" s="363"/>
      <c r="DD238" s="301" t="str">
        <f t="shared" si="35"/>
        <v>#REF!</v>
      </c>
      <c r="DE238" s="302" t="str">
        <f t="shared" si="36"/>
        <v>#REF!</v>
      </c>
      <c r="DF238" s="301" t="str">
        <f t="shared" ref="DF238:DG238" si="695">SUBSTITUTE(S238,"-","")</f>
        <v>SGM</v>
      </c>
      <c r="DG238" s="301" t="str">
        <f t="shared" si="695"/>
        <v>DNS</v>
      </c>
      <c r="DH238" s="302" t="str">
        <f t="shared" si="38"/>
        <v>Hemshri</v>
      </c>
      <c r="DI238" s="301" t="str">
        <f t="shared" si="39"/>
        <v>Hemi.</v>
      </c>
      <c r="DJ238" s="364" t="str">
        <f t="shared" si="40"/>
        <v>Cohem.</v>
      </c>
      <c r="DK238" s="306" t="str">
        <f t="shared" si="41"/>
        <v>-</v>
      </c>
      <c r="DL238" s="366" t="str">
        <f t="shared" si="42"/>
        <v>-</v>
      </c>
      <c r="DM238" s="308" t="str">
        <f t="shared" si="43"/>
        <v>✔</v>
      </c>
      <c r="DN238" s="306" t="str">
        <f t="shared" si="44"/>
        <v>-</v>
      </c>
      <c r="DO238" s="306" t="str">
        <f t="shared" si="45"/>
        <v>-</v>
      </c>
      <c r="DP238" s="367" t="str">
        <f t="shared" si="46"/>
        <v>-</v>
      </c>
      <c r="DQ238" s="310" t="str">
        <f t="shared" si="47"/>
        <v>-</v>
      </c>
      <c r="DR238" s="310" t="str">
        <f t="shared" si="48"/>
        <v>✔</v>
      </c>
      <c r="DS238" s="310" t="str">
        <f t="shared" si="49"/>
        <v>-</v>
      </c>
      <c r="DT238" s="310" t="str">
        <f t="shared" si="50"/>
        <v>-</v>
      </c>
      <c r="DU238" s="370" t="str">
        <f t="shared" si="51"/>
        <v>-</v>
      </c>
      <c r="DV238" s="306" t="str">
        <f t="shared" si="52"/>
        <v>✔</v>
      </c>
      <c r="DW238" s="306" t="str">
        <f t="shared" si="53"/>
        <v>-</v>
      </c>
      <c r="DX238" s="306" t="str">
        <f t="shared" si="54"/>
        <v>-</v>
      </c>
      <c r="DY238" s="306" t="str">
        <f t="shared" si="55"/>
        <v>✔</v>
      </c>
      <c r="DZ238" s="306" t="str">
        <f t="shared" si="56"/>
        <v>-</v>
      </c>
      <c r="EA238" s="367" t="str">
        <f t="shared" si="57"/>
        <v>-</v>
      </c>
      <c r="EB238" s="310" t="str">
        <f>IFERROR(__xludf.DUMMYFUNCTION("IF(REGEXMATCH(AW238,AS238),""✔"",""-"")"),"✔")</f>
        <v>✔</v>
      </c>
      <c r="EC238" s="310" t="str">
        <f t="shared" si="58"/>
        <v>#REF!</v>
      </c>
      <c r="ED238" s="370" t="str">
        <f t="shared" si="59"/>
        <v>-</v>
      </c>
      <c r="EE238" s="340" t="str">
        <f t="shared" si="60"/>
        <v>S-gG-m-d-n-S</v>
      </c>
      <c r="EF238" s="371" t="str">
        <f>IFERROR(__xludf.DUMMYFUNCTION("CONCATENATE(JOIN("""",HC238:HO238))"),"SRGPdDS")</f>
        <v>SRGPdDS</v>
      </c>
      <c r="EG238" s="372">
        <f t="shared" si="61"/>
        <v>2</v>
      </c>
      <c r="EH238" s="373" t="str">
        <f>IFERROR(__xludf.DUMMYFUNCTION("CONCATENATE(JOIN("""",JC238:JO238))"),"Sa, Ga, ")</f>
        <v>Sa, Ga, </v>
      </c>
      <c r="EI238" s="322">
        <f t="shared" si="62"/>
        <v>1</v>
      </c>
      <c r="EJ238" s="374" t="str">
        <f>IFERROR(__xludf.DUMMYFUNCTION("CONCATENATE(JOIN("""",KC238:KO238))"),"Ga, ")</f>
        <v>Ga, </v>
      </c>
      <c r="EK238" s="325" t="str">
        <f t="shared" si="63"/>
        <v>S-G2-G3-M1-D1-N2-S</v>
      </c>
      <c r="EL238" s="326" t="str">
        <f t="shared" si="64"/>
        <v>1-b3-3-4-b6-b7-8</v>
      </c>
      <c r="EM238" s="318" t="str">
        <f t="shared" si="65"/>
        <v>#REF!</v>
      </c>
      <c r="EN238" s="328" t="str">
        <f>IFERROR(__xludf.DUMMYFUNCTION("SUBSTITUTE(SUBSTITUTE(SUBSTITUTE(SUBSTITUTE(CONCATENATE(JOIN("" "",HP238:IB238)),""  "","" ""),""  "","" ""),""  "","" ""),""  "","" "")"),"o • • o o o • • o • o • o")</f>
        <v>o • • o o o • • o • o • o</v>
      </c>
      <c r="EO238" s="368" t="str">
        <f t="shared" si="66"/>
        <v>Sa-ma</v>
      </c>
      <c r="EP238" s="339" t="str">
        <f t="shared" si="67"/>
        <v>-</v>
      </c>
      <c r="EQ238" s="339" t="str">
        <f t="shared" si="68"/>
        <v>-</v>
      </c>
      <c r="ER238" s="339" t="str">
        <f t="shared" si="69"/>
        <v>-</v>
      </c>
      <c r="ES238" s="340" t="str">
        <f t="shared" si="70"/>
        <v>Sa-ma</v>
      </c>
      <c r="ET238" s="363"/>
      <c r="EU238" s="376" t="b">
        <f>IFERROR(__xludf.DUMMYFUNCTION("arrayformula(sum(--REGEXMATCH(""SRGMPDNS"",split(REGEXREPLACE(C238,""(.)"",""$1~""),""~""))))=len(C238)
"),FALSE)</f>
        <v>0</v>
      </c>
      <c r="EV238" s="290" t="b">
        <f>IFERROR(__xludf.DUMMYFUNCTION("arrayformula(sum(--REGEXMATCH(""SRGmPDNS"",split(REGEXREPLACE(C238,""(.)"",""$1~""),""~""))))=len(C238)"),FALSE)</f>
        <v>0</v>
      </c>
      <c r="EW238" s="290" t="b">
        <f>IFERROR(__xludf.DUMMYFUNCTION("arrayformula(sum(--REGEXMATCH(""SRGmPDnS"",split(REGEXREPLACE(C238,""(.)"",""$1~""),""~""))))=len(C238)"),FALSE)</f>
        <v>0</v>
      </c>
      <c r="EX238" s="290" t="b">
        <f>IFERROR(__xludf.DUMMYFUNCTION("arrayformula(sum(--REGEXMATCH(""SRgmPDnS"",split(REGEXREPLACE(C238,""(.)"",""$1~""),""~""))))=len(C238)"),FALSE)</f>
        <v>0</v>
      </c>
      <c r="EY238" s="290" t="b">
        <f>IFERROR(__xludf.DUMMYFUNCTION("arrayformula(sum(--REGEXMATCH(""SRgmPdnS"",split(REGEXREPLACE(C238,""(.)"",""$1~""),""~""))))=len(C238)"),FALSE)</f>
        <v>0</v>
      </c>
      <c r="EZ238" s="290" t="b">
        <f>IFERROR(__xludf.DUMMYFUNCTION("arrayformula(sum(--REGEXMATCH(""SrgmPdnS"",split(REGEXREPLACE(C238,""(.)"",""$1~""),""~""))))=len(C238)"),FALSE)</f>
        <v>0</v>
      </c>
      <c r="FA238" s="290" t="b">
        <f>IFERROR(__xludf.DUMMYFUNCTION("arrayformula(sum(--REGEXMATCH(""SrGmPdNS"",split(REGEXREPLACE(C238,""(.)"",""$1~""),""~""))))=len(C238)"),FALSE)</f>
        <v>0</v>
      </c>
      <c r="FB238" s="290" t="b">
        <f>IFERROR(__xludf.DUMMYFUNCTION("arrayformula(sum(--REGEXMATCH(""SrGMPDNS"",split(REGEXREPLACE(C238,""(.)"",""$1~""),""~""))))=len(C238)"),FALSE)</f>
        <v>0</v>
      </c>
      <c r="FC238" s="290" t="b">
        <f>IFERROR(__xludf.DUMMYFUNCTION("arrayformula(sum(--REGEXMATCH(""SrGMPdNS"",split(REGEXREPLACE(C238,""(.)"",""$1~""),""~""))))=len(C238)"),FALSE)</f>
        <v>0</v>
      </c>
      <c r="FD238" s="377" t="b">
        <f>IFERROR(__xludf.DUMMYFUNCTION("arrayformula(sum(--REGEXMATCH(""SrgMPdNS"",split(REGEXREPLACE(C238,""(.)"",""$1~""),""~""))))=len(C238)"),FALSE)</f>
        <v>0</v>
      </c>
      <c r="FE238" s="269" t="str">
        <f t="shared" si="71"/>
        <v>-</v>
      </c>
      <c r="FF238" s="269" t="str">
        <f t="shared" si="72"/>
        <v>-</v>
      </c>
      <c r="FG238" s="271" t="str">
        <f t="shared" si="73"/>
        <v>xxxooxoxoxo</v>
      </c>
      <c r="FH238" s="269" t="str">
        <f t="shared" si="74"/>
        <v>xxooxoxoxoo</v>
      </c>
      <c r="FI238" s="271" t="str">
        <f t="shared" si="75"/>
        <v>xooxoxoxoox</v>
      </c>
      <c r="FJ238" s="271" t="str">
        <f t="shared" si="76"/>
        <v>-</v>
      </c>
      <c r="FK238" s="271" t="str">
        <f t="shared" si="77"/>
        <v>-</v>
      </c>
      <c r="FL238" s="271" t="str">
        <f t="shared" si="78"/>
        <v>xoxoxooxxxo</v>
      </c>
      <c r="FM238" s="271" t="str">
        <f t="shared" si="79"/>
        <v>-</v>
      </c>
      <c r="FN238" s="271" t="str">
        <f t="shared" si="80"/>
        <v>xoxooxxxoox</v>
      </c>
      <c r="FO238" s="274" t="str">
        <f t="shared" si="81"/>
        <v>-</v>
      </c>
      <c r="FP238" s="234" t="str">
        <f t="shared" si="82"/>
        <v>|</v>
      </c>
      <c r="FQ238" s="236" t="str">
        <f t="shared" si="83"/>
        <v>-</v>
      </c>
      <c r="FR238" s="237" t="str">
        <f t="shared" si="84"/>
        <v>-</v>
      </c>
      <c r="FS238" s="236" t="str">
        <f t="shared" si="85"/>
        <v>|</v>
      </c>
      <c r="FT238" s="237" t="str">
        <f t="shared" si="86"/>
        <v>|</v>
      </c>
      <c r="FU238" s="236" t="str">
        <f t="shared" si="87"/>
        <v>|</v>
      </c>
      <c r="FV238" s="237" t="str">
        <f t="shared" si="88"/>
        <v>-</v>
      </c>
      <c r="FW238" s="236" t="str">
        <f t="shared" si="89"/>
        <v>-</v>
      </c>
      <c r="FX238" s="237" t="str">
        <f t="shared" si="90"/>
        <v>|</v>
      </c>
      <c r="FY238" s="236" t="str">
        <f t="shared" si="91"/>
        <v>-</v>
      </c>
      <c r="FZ238" s="237" t="str">
        <f t="shared" si="92"/>
        <v>|</v>
      </c>
      <c r="GA238" s="236" t="str">
        <f t="shared" si="93"/>
        <v>-</v>
      </c>
      <c r="GB238" s="238" t="str">
        <f t="shared" si="94"/>
        <v>|</v>
      </c>
      <c r="GC238" s="244" t="str">
        <f>IFERROR(__xludf.DUMMYFUNCTION("IF(REGEXMATCH(C238, ""S""), ""1"","""")"),"1")</f>
        <v>1</v>
      </c>
      <c r="GD238" s="245" t="str">
        <f>IFERROR(__xludf.DUMMYFUNCTION("IF(REGEXMATCH(C238, ""r""), ""b2"","""")"),"")</f>
        <v/>
      </c>
      <c r="GE238" s="246" t="str">
        <f>IFERROR(__xludf.DUMMYFUNCTION("IF(REGEXMATCH(C238, ""R""), ""2"","""")"),"")</f>
        <v/>
      </c>
      <c r="GF238" s="246" t="str">
        <f>IFERROR(__xludf.DUMMYFUNCTION("IF(REGEXMATCH(C238, ""g""), ""b3"","""")"),"b3")</f>
        <v>b3</v>
      </c>
      <c r="GG238" s="245" t="str">
        <f>IFERROR(__xludf.DUMMYFUNCTION("IF(REGEXMATCH(C238, ""G""), ""3"","""")"),"3")</f>
        <v>3</v>
      </c>
      <c r="GH238" s="245" t="str">
        <f>IFERROR(__xludf.DUMMYFUNCTION("IF(REGEXMATCH(C238, ""m""), ""4"","""")"),"4")</f>
        <v>4</v>
      </c>
      <c r="GI238" s="246" t="str">
        <f>IFERROR(__xludf.DUMMYFUNCTION("IF(REGEXMATCH(C238, ""M""), ""#4"","""")"),"")</f>
        <v/>
      </c>
      <c r="GJ238" s="245" t="str">
        <f>IFERROR(__xludf.DUMMYFUNCTION("IF(REGEXMATCH(C238, ""P""), ""5"","""")"),"")</f>
        <v/>
      </c>
      <c r="GK238" s="246" t="str">
        <f>IFERROR(__xludf.DUMMYFUNCTION("IF(REGEXMATCH(C238, ""d""), ""b6"","""")"),"b6")</f>
        <v>b6</v>
      </c>
      <c r="GL238" s="245" t="str">
        <f>IFERROR(__xludf.DUMMYFUNCTION("IF(REGEXMATCH(C238, ""D""), ""6"","""")"),"")</f>
        <v/>
      </c>
      <c r="GM238" s="245" t="str">
        <f>IFERROR(__xludf.DUMMYFUNCTION("IF(REGEXMATCH(C238, ""n""), ""b7"","""")"),"b7")</f>
        <v>b7</v>
      </c>
      <c r="GN238" s="246" t="str">
        <f>IFERROR(__xludf.DUMMYFUNCTION("IF(REGEXMATCH(C238, ""N""), ""7"","""")"),"")</f>
        <v/>
      </c>
      <c r="GO238" s="249" t="str">
        <f>IFERROR(__xludf.DUMMYFUNCTION("IF(REGEXMATCH(C238, ""S""), ""8"","""")"),"8")</f>
        <v>8</v>
      </c>
      <c r="GP238" s="244" t="str">
        <f>IFERROR(__xludf.DUMMYFUNCTION("IF(REGEXMATCH(C238, ""S""), ""S"","""")"),"S")</f>
        <v>S</v>
      </c>
      <c r="GQ238" s="294" t="str">
        <f>IFERROR(__xludf.DUMMYFUNCTION("IF(REGEXMATCH(C238, ""r""), ""R1"","""")"),"")</f>
        <v/>
      </c>
      <c r="GR238" s="295" t="str">
        <f>IFERROR(__xludf.DUMMYFUNCTION("IF(REGEXMATCH(C238, ""R""), ""R2"","""")"),"")</f>
        <v/>
      </c>
      <c r="GS238" s="295" t="str">
        <f>IFERROR(__xludf.DUMMYFUNCTION("IF(REGEXMATCH(C238, ""g""), ""G2"","""")"),"G2")</f>
        <v>G2</v>
      </c>
      <c r="GT238" s="294" t="str">
        <f>IFERROR(__xludf.DUMMYFUNCTION("IF(REGEXMATCH(C238, ""G""), ""G3"","""")"),"G3")</f>
        <v>G3</v>
      </c>
      <c r="GU238" s="294" t="str">
        <f>IFERROR(__xludf.DUMMYFUNCTION("IF(REGEXMATCH(C238, ""m""), ""M1"","""")"),"M1")</f>
        <v>M1</v>
      </c>
      <c r="GV238" s="295" t="str">
        <f>IFERROR(__xludf.DUMMYFUNCTION("IF(REGEXMATCH(C238, ""M""), ""M2"","""")"),"")</f>
        <v/>
      </c>
      <c r="GW238" s="294" t="str">
        <f>IFERROR(__xludf.DUMMYFUNCTION("IF(REGEXMATCH(C238, ""P""), ""P"","""")"),"")</f>
        <v/>
      </c>
      <c r="GX238" s="295" t="str">
        <f>IFERROR(__xludf.DUMMYFUNCTION("IF(REGEXMATCH(C238, ""d""), ""D1"","""")"),"D1")</f>
        <v>D1</v>
      </c>
      <c r="GY238" s="294" t="str">
        <f>IFERROR(__xludf.DUMMYFUNCTION("IF(REGEXMATCH(C238, ""D""), ""D2"","""")"),"")</f>
        <v/>
      </c>
      <c r="GZ238" s="294" t="str">
        <f>IFERROR(__xludf.DUMMYFUNCTION("IF(REGEXMATCH(C238, ""n""), ""N2"","""")"),"N2")</f>
        <v>N2</v>
      </c>
      <c r="HA238" s="295" t="str">
        <f>IFERROR(__xludf.DUMMYFUNCTION("IF(REGEXMATCH(C238, ""N""), ""N3"","""")"),"")</f>
        <v/>
      </c>
      <c r="HB238" s="249" t="str">
        <f>IFERROR(__xludf.DUMMYFUNCTION("IF(REGEXMATCH(C238, ""S""), ""S"","""")"),"S")</f>
        <v>S</v>
      </c>
      <c r="HC238" s="331" t="str">
        <f t="shared" si="95"/>
        <v>S</v>
      </c>
      <c r="HD238" s="332" t="str">
        <f t="shared" si="96"/>
        <v/>
      </c>
      <c r="HE238" s="332" t="str">
        <f t="shared" si="97"/>
        <v>R</v>
      </c>
      <c r="HF238" s="332" t="str">
        <f t="shared" si="98"/>
        <v/>
      </c>
      <c r="HG238" s="332" t="str">
        <f t="shared" si="99"/>
        <v>G</v>
      </c>
      <c r="HH238" s="332" t="str">
        <f t="shared" si="100"/>
        <v/>
      </c>
      <c r="HI238" s="332" t="str">
        <f t="shared" si="101"/>
        <v/>
      </c>
      <c r="HJ238" s="332" t="str">
        <f t="shared" si="102"/>
        <v>P</v>
      </c>
      <c r="HK238" s="332" t="str">
        <f t="shared" si="103"/>
        <v>d</v>
      </c>
      <c r="HL238" s="332" t="str">
        <f t="shared" si="104"/>
        <v>D</v>
      </c>
      <c r="HM238" s="332" t="str">
        <f t="shared" si="105"/>
        <v/>
      </c>
      <c r="HN238" s="332" t="str">
        <f t="shared" si="106"/>
        <v/>
      </c>
      <c r="HO238" s="343" t="str">
        <f t="shared" si="107"/>
        <v>S</v>
      </c>
      <c r="HP238" s="331" t="str">
        <f t="shared" si="108"/>
        <v>o</v>
      </c>
      <c r="HQ238" s="332" t="str">
        <f t="shared" si="109"/>
        <v>•</v>
      </c>
      <c r="HR238" s="332" t="str">
        <f t="shared" si="110"/>
        <v>•</v>
      </c>
      <c r="HS238" s="332" t="str">
        <f t="shared" si="111"/>
        <v>o</v>
      </c>
      <c r="HT238" s="332" t="str">
        <f t="shared" si="112"/>
        <v>o</v>
      </c>
      <c r="HU238" s="332" t="str">
        <f t="shared" si="113"/>
        <v>o</v>
      </c>
      <c r="HV238" s="332" t="str">
        <f t="shared" si="114"/>
        <v>•</v>
      </c>
      <c r="HW238" s="332" t="str">
        <f t="shared" si="115"/>
        <v>•</v>
      </c>
      <c r="HX238" s="332" t="str">
        <f t="shared" si="116"/>
        <v>o</v>
      </c>
      <c r="HY238" s="332" t="str">
        <f t="shared" si="117"/>
        <v>•</v>
      </c>
      <c r="HZ238" s="332" t="str">
        <f t="shared" si="118"/>
        <v>o</v>
      </c>
      <c r="IA238" s="332" t="str">
        <f t="shared" si="119"/>
        <v>•</v>
      </c>
      <c r="IB238" s="338" t="str">
        <f t="shared" si="120"/>
        <v>o</v>
      </c>
      <c r="IC238" s="331" t="str">
        <f t="shared" si="121"/>
        <v>•</v>
      </c>
      <c r="ID238" s="332" t="str">
        <f t="shared" si="122"/>
        <v>o</v>
      </c>
      <c r="IE238" s="332" t="str">
        <f t="shared" si="123"/>
        <v>o</v>
      </c>
      <c r="IF238" s="332" t="str">
        <f t="shared" si="124"/>
        <v>•</v>
      </c>
      <c r="IG238" s="332" t="str">
        <f t="shared" si="125"/>
        <v>•</v>
      </c>
      <c r="IH238" s="332" t="str">
        <f t="shared" si="126"/>
        <v>•</v>
      </c>
      <c r="II238" s="332" t="str">
        <f t="shared" si="127"/>
        <v>o</v>
      </c>
      <c r="IJ238" s="332" t="str">
        <f t="shared" si="128"/>
        <v>o</v>
      </c>
      <c r="IK238" s="332" t="str">
        <f t="shared" si="129"/>
        <v>•</v>
      </c>
      <c r="IL238" s="332" t="str">
        <f t="shared" si="130"/>
        <v>o</v>
      </c>
      <c r="IM238" s="332" t="str">
        <f t="shared" si="131"/>
        <v>•</v>
      </c>
      <c r="IN238" s="332" t="str">
        <f t="shared" si="132"/>
        <v>o</v>
      </c>
      <c r="IO238" s="338" t="str">
        <f t="shared" si="133"/>
        <v>•</v>
      </c>
      <c r="IP238" s="346" t="b">
        <f t="shared" si="134"/>
        <v>1</v>
      </c>
      <c r="IQ238" s="347" t="b">
        <f t="shared" si="135"/>
        <v>0</v>
      </c>
      <c r="IR238" s="347" t="b">
        <f t="shared" si="136"/>
        <v>0</v>
      </c>
      <c r="IS238" s="347" t="b">
        <f t="shared" si="137"/>
        <v>0</v>
      </c>
      <c r="IT238" s="347" t="b">
        <f t="shared" si="138"/>
        <v>1</v>
      </c>
      <c r="IU238" s="347" t="b">
        <f t="shared" si="139"/>
        <v>0</v>
      </c>
      <c r="IV238" s="347" t="b">
        <f t="shared" si="140"/>
        <v>0</v>
      </c>
      <c r="IW238" s="347" t="b">
        <f t="shared" si="141"/>
        <v>0</v>
      </c>
      <c r="IX238" s="347" t="b">
        <f t="shared" si="142"/>
        <v>0</v>
      </c>
      <c r="IY238" s="347" t="b">
        <f t="shared" si="143"/>
        <v>0</v>
      </c>
      <c r="IZ238" s="347" t="b">
        <f t="shared" si="144"/>
        <v>0</v>
      </c>
      <c r="JA238" s="347" t="b">
        <f t="shared" si="145"/>
        <v>0</v>
      </c>
      <c r="JB238" s="353" t="b">
        <f t="shared" si="146"/>
        <v>1</v>
      </c>
      <c r="JC238" s="354" t="str">
        <f t="shared" si="147"/>
        <v>Sa, </v>
      </c>
      <c r="JD238" s="355" t="str">
        <f t="shared" si="148"/>
        <v/>
      </c>
      <c r="JE238" s="355" t="str">
        <f t="shared" si="149"/>
        <v/>
      </c>
      <c r="JF238" s="355" t="str">
        <f t="shared" si="150"/>
        <v/>
      </c>
      <c r="JG238" s="355" t="str">
        <f t="shared" si="151"/>
        <v>Ga, </v>
      </c>
      <c r="JH238" s="355" t="str">
        <f t="shared" si="152"/>
        <v/>
      </c>
      <c r="JI238" s="355" t="str">
        <f t="shared" si="153"/>
        <v/>
      </c>
      <c r="JJ238" s="355" t="str">
        <f t="shared" si="154"/>
        <v/>
      </c>
      <c r="JK238" s="355" t="str">
        <f t="shared" si="155"/>
        <v/>
      </c>
      <c r="JL238" s="355" t="str">
        <f t="shared" si="156"/>
        <v/>
      </c>
      <c r="JM238" s="355" t="str">
        <f t="shared" si="157"/>
        <v/>
      </c>
      <c r="JN238" s="355" t="str">
        <f t="shared" si="158"/>
        <v/>
      </c>
      <c r="JO238" s="359" t="str">
        <f t="shared" si="159"/>
        <v/>
      </c>
      <c r="JP238" s="346" t="b">
        <f t="shared" si="160"/>
        <v>0</v>
      </c>
      <c r="JQ238" s="347" t="b">
        <f t="shared" si="161"/>
        <v>0</v>
      </c>
      <c r="JR238" s="347" t="b">
        <f t="shared" si="162"/>
        <v>0</v>
      </c>
      <c r="JS238" s="347" t="b">
        <f t="shared" si="163"/>
        <v>0</v>
      </c>
      <c r="JT238" s="347" t="b">
        <f t="shared" si="164"/>
        <v>1</v>
      </c>
      <c r="JU238" s="347" t="b">
        <f t="shared" si="165"/>
        <v>0</v>
      </c>
      <c r="JV238" s="347" t="b">
        <f t="shared" si="166"/>
        <v>0</v>
      </c>
      <c r="JW238" s="347" t="b">
        <f t="shared" si="167"/>
        <v>0</v>
      </c>
      <c r="JX238" s="347" t="b">
        <f t="shared" si="168"/>
        <v>0</v>
      </c>
      <c r="JY238" s="347" t="b">
        <f t="shared" si="169"/>
        <v>0</v>
      </c>
      <c r="JZ238" s="347" t="b">
        <f t="shared" si="170"/>
        <v>0</v>
      </c>
      <c r="KA238" s="347" t="b">
        <f t="shared" si="171"/>
        <v>0</v>
      </c>
      <c r="KB238" s="365" t="b">
        <f t="shared" si="172"/>
        <v>0</v>
      </c>
      <c r="KC238" s="354" t="str">
        <f t="shared" si="173"/>
        <v/>
      </c>
      <c r="KD238" s="355" t="str">
        <f t="shared" si="174"/>
        <v/>
      </c>
      <c r="KE238" s="355" t="str">
        <f t="shared" si="175"/>
        <v/>
      </c>
      <c r="KF238" s="355" t="str">
        <f t="shared" si="176"/>
        <v/>
      </c>
      <c r="KG238" s="355" t="str">
        <f t="shared" si="177"/>
        <v>Ga, </v>
      </c>
      <c r="KH238" s="355" t="str">
        <f t="shared" si="178"/>
        <v/>
      </c>
      <c r="KI238" s="355" t="str">
        <f t="shared" si="179"/>
        <v/>
      </c>
      <c r="KJ238" s="355" t="str">
        <f t="shared" si="180"/>
        <v/>
      </c>
      <c r="KK238" s="355" t="str">
        <f t="shared" si="181"/>
        <v/>
      </c>
      <c r="KL238" s="355" t="str">
        <f t="shared" si="182"/>
        <v/>
      </c>
      <c r="KM238" s="355" t="str">
        <f t="shared" si="183"/>
        <v/>
      </c>
      <c r="KN238" s="355" t="str">
        <f t="shared" si="184"/>
        <v/>
      </c>
      <c r="KO238" s="359"/>
      <c r="KP238" s="378"/>
      <c r="KQ238" s="379" t="s">
        <v>1276</v>
      </c>
      <c r="KR238" s="380" t="s">
        <v>1405</v>
      </c>
      <c r="KS238" s="381" t="str">
        <f>KQ238</f>
        <v>S-G-m-d-n-S</v>
      </c>
      <c r="KT238" s="382">
        <f t="shared" si="186"/>
        <v>5</v>
      </c>
      <c r="KU238" s="383">
        <f t="shared" si="187"/>
        <v>5</v>
      </c>
      <c r="KV238" s="381" t="str">
        <f t="shared" si="205"/>
        <v>S-n-d-m-G-R-S</v>
      </c>
      <c r="KW238" s="382">
        <f t="shared" si="189"/>
        <v>6</v>
      </c>
      <c r="KX238" s="384">
        <f t="shared" si="190"/>
        <v>6</v>
      </c>
      <c r="KY238" s="382">
        <f t="shared" ref="KY238:KZ238" si="696">KW238-KT238</f>
        <v>1</v>
      </c>
      <c r="KZ238" s="369">
        <f t="shared" si="696"/>
        <v>1</v>
      </c>
      <c r="LA238" s="385" t="str">
        <f t="shared" si="192"/>
        <v>-</v>
      </c>
      <c r="LB238" s="340" t="str">
        <f>IFERROR(__xludf.DUMMYFUNCTION("JOIN("""",ArrayFormula(MID(KS238,LEN(KS238)-SEQUENCE(1,LEN(KS238))+1,1)))"),"S-n-d-m-G-S")</f>
        <v>S-n-d-m-G-S</v>
      </c>
      <c r="LC238" s="373" t="str">
        <f>IFERROR(__xludf.DUMMYFUNCTION("JOIN("""",ArrayFormula(MID(KV238,LEN(KV238)-SEQUENCE(1,LEN(KV238))+1,1)))"),"S-R-G-m-d-n-S")</f>
        <v>S-R-G-m-d-n-S</v>
      </c>
      <c r="LD238" s="373" t="str">
        <f t="shared" si="193"/>
        <v>SGmdnS</v>
      </c>
      <c r="LE238" s="339" t="str">
        <f t="shared" si="194"/>
        <v>SRGmdnS</v>
      </c>
      <c r="LF238" s="386" t="str">
        <f>IFERROR(__xludf.DUMMYFUNCTION("SUBSTITUTE(SUBSTITUTE(CONCATENATE(JOIN("""",LH238:LT238)),""1"",""""),""2"","""")"),"SRGmdnS")</f>
        <v>SRGmdnS</v>
      </c>
      <c r="LG238" s="369" t="str">
        <f t="shared" si="195"/>
        <v>-</v>
      </c>
      <c r="LH238" s="387" t="str">
        <f>IFERROR(__xludf.DUMMYFUNCTION("IF(REGEXMATCH(LD238, ""S""), ""S"",IF(REGEXMATCH(LE238, ""S""), ""S"",""""))"),"S")</f>
        <v>S</v>
      </c>
      <c r="LI238" s="299" t="str">
        <f>IFERROR(__xludf.DUMMYFUNCTION("IF(REGEXMATCH(LD238, ""r""), ""r1"",IF(REGEXMATCH(LE238, ""r""), ""r2"",""""))"),"")</f>
        <v/>
      </c>
      <c r="LJ238" s="299" t="str">
        <f>IFERROR(__xludf.DUMMYFUNCTION("IF(REGEXMATCH(LD238, ""R""), ""R1"",IF(REGEXMATCH(LE238, ""R""), ""R2"",""""))"),"R2")</f>
        <v>R2</v>
      </c>
      <c r="LK238" s="299" t="str">
        <f>IFERROR(__xludf.DUMMYFUNCTION("IF(REGEXMATCH(LD238, ""g""), ""g1"",IF(REGEXMATCH(LE238, ""g""), ""g2"",""""))"),"")</f>
        <v/>
      </c>
      <c r="LL238" s="299" t="str">
        <f>IFERROR(__xludf.DUMMYFUNCTION("IF(REGEXMATCH(LD238, ""G""), ""G1"",IF(REGEXMATCH(LE238, ""G""), ""G2"",""""))"),"G1")</f>
        <v>G1</v>
      </c>
      <c r="LM238" s="299" t="str">
        <f>IFERROR(__xludf.DUMMYFUNCTION("IF(REGEXMATCH(LD238, ""m""), ""m1"",IF(REGEXMATCH(LE238, ""m""), ""m2"",""""))"),"m1")</f>
        <v>m1</v>
      </c>
      <c r="LN238" s="299" t="str">
        <f>IFERROR(__xludf.DUMMYFUNCTION("IF(REGEXMATCH(LD238, ""M""), ""M1"",IF(REGEXMATCH(LE238, ""M""), ""M2"",""""))"),"")</f>
        <v/>
      </c>
      <c r="LO238" s="299" t="str">
        <f>IFERROR(__xludf.DUMMYFUNCTION("IF(REGEXMATCH(LD238, ""P""), ""P1"",IF(REGEXMATCH(LE238, ""P""), ""P2"",""""))"),"")</f>
        <v/>
      </c>
      <c r="LP238" s="299" t="str">
        <f>IFERROR(__xludf.DUMMYFUNCTION("IF(REGEXMATCH(LD238, ""d""), ""d1"",IF(REGEXMATCH(LE238, ""d""), ""d2"",""""))"),"d1")</f>
        <v>d1</v>
      </c>
      <c r="LQ238" s="299" t="str">
        <f>IFERROR(__xludf.DUMMYFUNCTION("IF(REGEXMATCH(LD238, ""D""), ""D1"",IF(REGEXMATCH(LE238, ""D""), ""D2"",""""))"),"")</f>
        <v/>
      </c>
      <c r="LR238" s="299" t="str">
        <f>IFERROR(__xludf.DUMMYFUNCTION("IF(REGEXMATCH(LD238, ""n""), ""n1"",IF(REGEXMATCH(LE238, ""n""), ""n2"",""""))"),"n1")</f>
        <v>n1</v>
      </c>
      <c r="LS238" s="299" t="str">
        <f>IFERROR(__xludf.DUMMYFUNCTION("IF(REGEXMATCH(LD238, ""N""), ""N1"",IF(REGEXMATCH(LE238, ""N""), ""N2"",""""))"),"")</f>
        <v/>
      </c>
      <c r="LT238" s="388" t="str">
        <f>IFERROR(__xludf.DUMMYFUNCTION("IF(REGEXMATCH(LD238, ""S""), ""S"",IF(REGEXMATCH(LE238, ""S""), ""S"",""""))"),"S")</f>
        <v>S</v>
      </c>
      <c r="LU238" s="389">
        <f t="shared" si="196"/>
        <v>-1</v>
      </c>
      <c r="LV238" s="378"/>
      <c r="LW238" s="369"/>
      <c r="LX238" s="369"/>
    </row>
    <row r="239" ht="18.0" customHeight="1">
      <c r="A239" s="298" t="s">
        <v>1001</v>
      </c>
      <c r="B239" s="222" t="s">
        <v>1002</v>
      </c>
      <c r="C239" s="233" t="str">
        <f t="shared" si="7"/>
        <v>SrGMPDnNS</v>
      </c>
      <c r="D239" s="234" t="str">
        <f>IFERROR(__xludf.DUMMYFUNCTION("IF(REGEXMATCH(C239, ""S""), ""S"","""")"),"S")</f>
        <v>S</v>
      </c>
      <c r="E239" s="236" t="str">
        <f>IFERROR(__xludf.DUMMYFUNCTION("IF(REGEXMATCH(C239, ""r""), ""r"","""")"),"r")</f>
        <v>r</v>
      </c>
      <c r="F239" s="237" t="str">
        <f>IFERROR(__xludf.DUMMYFUNCTION("IF(REGEXMATCH(C239, ""R""), ""R"","""")"),"")</f>
        <v/>
      </c>
      <c r="G239" s="237" t="str">
        <f>IFERROR(__xludf.DUMMYFUNCTION("IF(REGEXMATCH(C239, ""g""), ""g"","""")"),"")</f>
        <v/>
      </c>
      <c r="H239" s="236" t="str">
        <f>IFERROR(__xludf.DUMMYFUNCTION("IF(REGEXMATCH(C239, ""G""), ""G"","""")"),"G")</f>
        <v>G</v>
      </c>
      <c r="I239" s="236" t="str">
        <f>IFERROR(__xludf.DUMMYFUNCTION("IF(REGEXMATCH(C239, ""m""), ""m"","""")"),"")</f>
        <v/>
      </c>
      <c r="J239" s="237" t="str">
        <f>IFERROR(__xludf.DUMMYFUNCTION("IF(REGEXMATCH(C239, ""M""), ""M"","""")"),"M")</f>
        <v>M</v>
      </c>
      <c r="K239" s="236" t="str">
        <f>IFERROR(__xludf.DUMMYFUNCTION("IF(REGEXMATCH(C239, ""P""), ""P"","""")"),"P")</f>
        <v>P</v>
      </c>
      <c r="L239" s="237" t="str">
        <f>IFERROR(__xludf.DUMMYFUNCTION("IF(REGEXMATCH(C239, ""d""), ""d"","""")"),"")</f>
        <v/>
      </c>
      <c r="M239" s="236" t="str">
        <f>IFERROR(__xludf.DUMMYFUNCTION("IF(REGEXMATCH(C239, ""D""), ""D"","""")"),"D")</f>
        <v>D</v>
      </c>
      <c r="N239" s="236" t="str">
        <f>IFERROR(__xludf.DUMMYFUNCTION("IF(REGEXMATCH(C239, ""n""), ""n"","""")"),"n")</f>
        <v>n</v>
      </c>
      <c r="O239" s="237" t="str">
        <f>IFERROR(__xludf.DUMMYFUNCTION("IF(REGEXMATCH(C239, ""N""), ""N"","""")"),"N")</f>
        <v>N</v>
      </c>
      <c r="P239" s="238" t="str">
        <f>IFERROR(__xludf.DUMMYFUNCTION("IF(REGEXMATCH(C239, ""S""), ""S"","""")"),"S")</f>
        <v>S</v>
      </c>
      <c r="Q239" s="239" t="str">
        <f>IFERROR(__xludf.DUMMYFUNCTION("SUBSTITUTE(CONCATENATE(JOIN(""-"",D239:J239)),""-"","""")"),"SrGM")</f>
        <v>SrGM</v>
      </c>
      <c r="R239" s="229" t="str">
        <f>IFERROR(__xludf.DUMMYFUNCTION("SUBSTITUTE(CONCATENATE(JOIN(""-"",K239:P239)),""-"","""")"),"PDnNS")</f>
        <v>PDnNS</v>
      </c>
      <c r="S239" s="282" t="str">
        <f t="shared" si="8"/>
        <v>S-R-G-M</v>
      </c>
      <c r="T239" s="282" t="str">
        <f t="shared" si="9"/>
        <v>P-D-N-S</v>
      </c>
      <c r="U239" s="237" t="str">
        <f>IFERROR(__xludf.DUMMYFUNCTION("SUBSTITUTE(JOIN(""-"",S239,T239),""--"",""-"")"),"S-R-G-M-P-D-N-S")</f>
        <v>S-R-G-M-P-D-N-S</v>
      </c>
      <c r="V239" s="309" t="str">
        <f t="shared" si="10"/>
        <v>rGMDnN</v>
      </c>
      <c r="W239" s="244" t="str">
        <f>IFERROR(__xludf.DUMMYFUNCTION("IF(REGEXMATCH(C239, ""S""), ""0"","""")"),"0")</f>
        <v>0</v>
      </c>
      <c r="X239" s="245" t="str">
        <f>IFERROR(__xludf.DUMMYFUNCTION("IF(REGEXMATCH(C239, ""r""), ""1"","""")"),"1")</f>
        <v>1</v>
      </c>
      <c r="Y239" s="246" t="str">
        <f>IFERROR(__xludf.DUMMYFUNCTION("IF(REGEXMATCH(C239, ""R""), ""2"","""")"),"")</f>
        <v/>
      </c>
      <c r="Z239" s="246" t="str">
        <f>IFERROR(__xludf.DUMMYFUNCTION("IF(REGEXMATCH(C239, ""g""), ""3"","""")"),"")</f>
        <v/>
      </c>
      <c r="AA239" s="245" t="str">
        <f>IFERROR(__xludf.DUMMYFUNCTION("IF(REGEXMATCH(C239, ""G""), ""4"","""")"),"4")</f>
        <v>4</v>
      </c>
      <c r="AB239" s="245" t="str">
        <f>IFERROR(__xludf.DUMMYFUNCTION("IF(REGEXMATCH(C239, ""m""), ""5"","""")"),"")</f>
        <v/>
      </c>
      <c r="AC239" s="246" t="str">
        <f>IFERROR(__xludf.DUMMYFUNCTION("IF(REGEXMATCH(C239, ""M""), ""6"","""")"),"6")</f>
        <v>6</v>
      </c>
      <c r="AD239" s="245" t="str">
        <f>IFERROR(__xludf.DUMMYFUNCTION("IF(REGEXMATCH(C239, ""P""), ""7"","""")"),"7")</f>
        <v>7</v>
      </c>
      <c r="AE239" s="246" t="str">
        <f>IFERROR(__xludf.DUMMYFUNCTION("IF(REGEXMATCH(C239, ""d""), ""8"","""")"),"")</f>
        <v/>
      </c>
      <c r="AF239" s="245" t="str">
        <f>IFERROR(__xludf.DUMMYFUNCTION("IF(REGEXMATCH(C239, ""D""), ""9"","""")"),"9")</f>
        <v>9</v>
      </c>
      <c r="AG239" s="245" t="str">
        <f>IFERROR(__xludf.DUMMYFUNCTION("IF(REGEXMATCH(C239, ""n""), ""10"","""")"),"10")</f>
        <v>10</v>
      </c>
      <c r="AH239" s="246" t="str">
        <f>IFERROR(__xludf.DUMMYFUNCTION("IF(REGEXMATCH(C239, ""N""), ""11"","""")"),"11")</f>
        <v>11</v>
      </c>
      <c r="AI239" s="249" t="str">
        <f>IFERROR(__xludf.DUMMYFUNCTION("IF(REGEXMATCH(C239, ""S""), ""0"","""")"),"0")</f>
        <v>0</v>
      </c>
      <c r="AJ239" s="313" t="str">
        <f t="shared" si="11"/>
        <v>T</v>
      </c>
      <c r="AK239" s="313" t="str">
        <f t="shared" si="12"/>
        <v>T</v>
      </c>
      <c r="AL239" s="313" t="str">
        <f t="shared" si="13"/>
        <v>-</v>
      </c>
      <c r="AM239" s="313" t="str">
        <f t="shared" si="14"/>
        <v>-</v>
      </c>
      <c r="AN239" s="313" t="str">
        <f t="shared" si="15"/>
        <v>T</v>
      </c>
      <c r="AO239" s="314" t="str">
        <f t="shared" si="16"/>
        <v>-</v>
      </c>
      <c r="AP239" s="316">
        <f t="shared" si="17"/>
        <v>3</v>
      </c>
      <c r="AQ239" s="319" t="str">
        <f t="shared" si="18"/>
        <v>#REF!</v>
      </c>
      <c r="AR239" s="320">
        <f t="shared" si="19"/>
        <v>0</v>
      </c>
      <c r="AS239" s="250" t="str">
        <f>IFERROR(__xludf.DUMMYFUNCTION("SUBSTITUTE(SUBSTITUTE(CONCATENATE(JOIN("""",FP239:GA239)),""|"",""x""),""-"",""o"")"),"xxooxoxxoxxx")</f>
        <v>xxooxoxxoxxx</v>
      </c>
      <c r="AT239" s="323" t="str">
        <f>IFERROR(__xludf.DUMMYFUNCTION("JOIN("""",AS239,AS239)"),"xxooxoxxoxxxxxooxoxxoxxx")</f>
        <v>xxooxoxxoxxxxxooxoxxoxxx</v>
      </c>
      <c r="AU239" s="256" t="str">
        <f>IFERROR(__xludf.DUMMYFUNCTION("JOIN("""",ArrayFormula(MID(AS239,LEN(AS239)-SEQUENCE(1,LEN(AS239))+1,1)))"),"xxxoxxoxooxx")</f>
        <v>xxxoxxoxooxx</v>
      </c>
      <c r="AV239" s="256" t="str">
        <f>IFERROR(__xludf.DUMMYFUNCTION("LEFT(CONCATENATE(""x"",JOIN("""",ArrayFormula(MID(AS239,LEN(AS239)-SEQUENCE(1,LEN(AS239))+1,1)))),12)"),"xxxxoxxoxoox")</f>
        <v>xxxxoxxoxoox</v>
      </c>
      <c r="AW239" s="327" t="str">
        <f>IFERROR(__xludf.DUMMYFUNCTION("JOIN("""",AU239,AU239)"),"xxxoxxoxooxxxxxoxxoxooxx")</f>
        <v>xxxoxxoxooxxxxxoxxoxooxx</v>
      </c>
      <c r="AX239" s="239" t="str">
        <f>IFERROR(__xludf.DUMMYFUNCTION("IF(REGEXMATCH(AW239,AS239),""✔"",""-"")"),"-")</f>
        <v>-</v>
      </c>
      <c r="AY239" s="330" t="str">
        <f t="shared" si="20"/>
        <v>-</v>
      </c>
      <c r="AZ239" s="260" t="str">
        <f t="shared" si="21"/>
        <v>#REF!</v>
      </c>
      <c r="BA239" s="333" t="str">
        <f t="shared" si="22"/>
        <v>xxooxox</v>
      </c>
      <c r="BB239" s="334" t="str">
        <f t="shared" si="23"/>
        <v>xoxxxx</v>
      </c>
      <c r="BC239" s="335" t="str">
        <f t="shared" si="236"/>
        <v>-</v>
      </c>
      <c r="BD239" s="336" t="str">
        <f t="shared" si="25"/>
        <v>Monomanjari: 'xxooxox' + 'xoxxxx'</v>
      </c>
      <c r="BE239" s="337">
        <f>IFERROR(__xludf.DUMMYFUNCTION("COUNTUNIQUE(FILTER(AT:AT,REGEXMATCH(AT:AT,AS239)))-1"),0.0)</f>
        <v>0</v>
      </c>
      <c r="BF239" s="261" t="str">
        <f>IFERROR(__xludf.DUMMYFUNCTION("IF(BI239=0,""(n/a)"",IF(BJ239=2,""(PAIR)"",IF(REGEXMATCH(AT239,""xoxoxxoxoxox""),""Bilawal"",IF(REGEXMATCH(AT239,""xoxoxooxoxoo""),""Bhupali"",IF(REGEXMATCH(AT239,""xoxoxxoxxoxo""),""Charukeshi"",IF(REGEXMATCH(AT239,""xoxoooxxoxxo""),""Kameshwari"",IF(REG"&amp;"EXMATCH(AT239,""xoxoxooxoxox""),""Shankara"",IF(REGEXMATCH(AT239,""xxooxoxxxoox""),""Basant"",IF(REGEXMATCH(AT239,""xoxoxxxxoxox""),""Bihag"",IF(REGEXMATCH(AT239,""xoxxxxoxoxxx""),""Pilu"",IF(REGEXMATCH(AT239,""xoxxoxoxxoox""),""Kirwani"",IF(REGEXMATCH(AT"&amp;"239,""xoxxoxoxoxxx""),""Mk.Malhar"",IF(REGEXMATCH(AT239,""xxooxxoxxoox""),""Bhairav"",IF(REGEXMATCH(AT239,""xxoxooxxxoox""),""Todi"",IF(REGEXMATCH(AT239,""xxooxoxooxox""),""Marwa"",IF(REGEXMATCH(AT239,""xxoooxoxxooo""),""Gunkali"",IF(REGEXMATCH(AT239,""xo"&amp;"xoxxoxxoox""),""Nat Bhairav"",IF(REGEXMATCH(AT239,""xoxxoooxoxoo""),""Shivranjani"",IF(REGEXMATCH(AT239,""xooxxxoxooxo""),""Jog"",IF(REGEXMATCH(AT239,""xxooxoxoxoox""),""Hemshri"",IF(REGEXMATCH(AT239,""xoooxooxoxxo""),""Kalavati"",IF(REGEXMATCH(AT239,""xx"&amp;"oxoxxoxoox""),""Kedar"",IF(REGEXMATCH(AT239,""xoxxxxoxooxx""),""Gara"",IF(REGEXMATCH(AT239,""xooxoxooxoox""),""Chandrakauns"",IF(REGEXMATCH(AT239,""xoxxxxoxxxox""),""Mand"",IF(REGEXMATCH(AT239,""xoxxxxoxoxox""),""Hanskinkini"",IF(REGEXMATCH(AT239,""xxooxx"&amp;"oxooxo""),""Lilavati"",IF(REGEXMATCH(AT239,""xooxoxoooxox""),""Rajeshwari"",IF(REGEXMATCH(AT239,""xoooxxoxoxxx""),""Khokar"",IF(REGEXMATCH(AT239,""xxooxoxxxxox""),""Maligoura"",""-""))))))))))))))))))))))))))))))"),"(n/a)")</f>
        <v>(n/a)</v>
      </c>
      <c r="BG239" s="239" t="str">
        <f t="shared" si="26"/>
        <v>#REF!</v>
      </c>
      <c r="BH239" s="239">
        <f>IFERROR(__xludf.DUMMYFUNCTION("COUNTUNIQUE(FE239:FO239)-1"),7.0)</f>
        <v>7</v>
      </c>
      <c r="BI239" s="239">
        <f>IFERROR(__xludf.DUMMYFUNCTION("COUNTUNIQUE(FILTER(AT:AT,REGEXMATCH(AT:AT,AS239)))-1"),0.0)</f>
        <v>0</v>
      </c>
      <c r="BJ239" s="239">
        <f>IFERROR(__xludf.DUMMYFUNCTION("COUNTA(FILTER(AT:AT,REGEXMATCH(AT:AT,AS239)))"),1.0)</f>
        <v>1</v>
      </c>
      <c r="BK239" s="341">
        <f>IFERROR(__xludf.DUMMYFUNCTION("COUNTA(FILTER(AT:AT,REGEXMATCH(AT:AT,AS239)))-AR239"),1.0)</f>
        <v>1</v>
      </c>
      <c r="BL239" s="276" t="str">
        <f>IFERROR(__xludf.DUMMYFUNCTION("IF(AS239=""oooooooooooo"",""-"",IF(REGEXMATCH(AT239,""xx""), ""Hemi."", ""Anhemi.""))"),"Hemi.")</f>
        <v>Hemi.</v>
      </c>
      <c r="BM239" s="282" t="str">
        <f>IFERROR(__xludf.DUMMYFUNCTION("IF(AS239=""oooooooooooo"",""-"",IF(REGEXMATCH(AT239,""xxx""), ""Cohem."", ""-""))"),"Cohem.")</f>
        <v>Cohem.</v>
      </c>
      <c r="BN239" s="282" t="str">
        <f>IFERROR(__xludf.DUMMYFUNCTION("IF(AS239=""oooooooooooo"",""-"",IF(REGEXMATCH(AT239,""xxxx""), ""Co-Co."", ""-""))"),"Co-Co.")</f>
        <v>Co-Co.</v>
      </c>
      <c r="BO239" s="342" t="str">
        <f>IFERROR(__xludf.DUMMYFUNCTION("IF(AS239=""oooooooooooo"",""-"",IF(REGEXMATCH(AT239,""xxxxx""), ""CCC."", ""-""))"),"CCC.")</f>
        <v>CCC.</v>
      </c>
      <c r="BP239" s="344" t="str">
        <f t="shared" si="27"/>
        <v>-</v>
      </c>
      <c r="BQ239" s="282" t="str">
        <f>IFERROR(__xludf.DUMMYFUNCTION("IF(REGEXMATCH(JOIN(""-"",EU239:FD239),""TRUE""),""✔"",""-"")"),"-")</f>
        <v>-</v>
      </c>
      <c r="BR239" s="225">
        <f t="shared" si="28"/>
        <v>0</v>
      </c>
      <c r="BS239" s="345" t="str">
        <f>IFERROR(__xludf.DUMMYFUNCTION("SUBSTITUTE(SUBSTITUTE(SUBSTITUTE(SUBSTITUTE(CONCATENATE(JOIN(""-"",GC239:GO239)),""--"",""-""),""--"",""-""),""--"",""-""),""--"",""-"")"),"1-b2-3-#4-5-6-b7-7-8")</f>
        <v>1-b2-3-#4-5-6-b7-7-8</v>
      </c>
      <c r="BT239" s="299" t="str">
        <f>IFERROR(__xludf.DUMMYFUNCTION("SUBSTITUTE(SUBSTITUTE(SUBSTITUTE(SUBSTITUTE(CONCATENATE(JOIN(""-"",GP239:HB239)),""--"",""-""),""--"",""-""),""--"",""-""),""--"",""-"")"),"S-R1-G3-M2-P-D2-N2-N3-S")</f>
        <v>S-R1-G3-M2-P-D2-N2-N3-S</v>
      </c>
      <c r="BU239" s="348" t="str">
        <f t="shared" si="29"/>
        <v>C-Db-E-F#-G-A-Bb-B-C</v>
      </c>
      <c r="BV239" s="349" t="str">
        <f t="shared" si="30"/>
        <v>SRgmdS</v>
      </c>
      <c r="BW239" s="350">
        <f t="shared" si="31"/>
        <v>0</v>
      </c>
      <c r="BX239" s="351">
        <f t="shared" si="32"/>
        <v>1</v>
      </c>
      <c r="BY239" s="392"/>
      <c r="BZ239" s="309" t="str">
        <f>IFERROR(__xludf.DUMMYFUNCTION("IF(REGEXMATCH(C239, ""S""), ""x"",""x"")"),"x")</f>
        <v>x</v>
      </c>
      <c r="CA239" s="245" t="str">
        <f>IFERROR(__xludf.DUMMYFUNCTION("IF(REGEXMATCH(C239, ""r""), ""o"",""x"")"),"o")</f>
        <v>o</v>
      </c>
      <c r="CB239" s="246" t="str">
        <f>IFERROR(__xludf.DUMMYFUNCTION("IF(REGEXMATCH(C239, ""R""), ""o"",""x"")"),"x")</f>
        <v>x</v>
      </c>
      <c r="CC239" s="246" t="str">
        <f>IFERROR(__xludf.DUMMYFUNCTION("IF(REGEXMATCH(C239, ""g""), ""o"",""x"")"),"x")</f>
        <v>x</v>
      </c>
      <c r="CD239" s="245" t="str">
        <f>IFERROR(__xludf.DUMMYFUNCTION("IF(REGEXMATCH(C239, ""G""), ""o"",""x"")"),"o")</f>
        <v>o</v>
      </c>
      <c r="CE239" s="245" t="str">
        <f>IFERROR(__xludf.DUMMYFUNCTION("IF(REGEXMATCH(C239, ""m""), ""o"",""x"")"),"x")</f>
        <v>x</v>
      </c>
      <c r="CF239" s="246" t="str">
        <f>IFERROR(__xludf.DUMMYFUNCTION("IF(REGEXMATCH(C239, ""M""), ""o"",""x"")"),"o")</f>
        <v>o</v>
      </c>
      <c r="CG239" s="245" t="str">
        <f>IFERROR(__xludf.DUMMYFUNCTION("IF(REGEXMATCH(C239, ""P""), ""o"",""x"")"),"o")</f>
        <v>o</v>
      </c>
      <c r="CH239" s="246" t="str">
        <f>IFERROR(__xludf.DUMMYFUNCTION("IF(REGEXMATCH(C239, ""d""), ""o"",""x"")"),"x")</f>
        <v>x</v>
      </c>
      <c r="CI239" s="245" t="str">
        <f>IFERROR(__xludf.DUMMYFUNCTION("IF(REGEXMATCH(C239, ""D""), ""o"",""x"")"),"o")</f>
        <v>o</v>
      </c>
      <c r="CJ239" s="245" t="str">
        <f>IFERROR(__xludf.DUMMYFUNCTION("IF(REGEXMATCH(C239, ""n""), ""o"",""x"")"),"o")</f>
        <v>o</v>
      </c>
      <c r="CK239" s="245" t="str">
        <f>IFERROR(__xludf.DUMMYFUNCTION("IF(REGEXMATCH(C239, ""N""), ""o"",""x"")"),"o")</f>
        <v>o</v>
      </c>
      <c r="CL239" s="356" t="str">
        <f>IFERROR(__xludf.DUMMYFUNCTION("IF(REGEXMATCH(C239, ""S""), ""x"",""x"")"),"x")</f>
        <v>x</v>
      </c>
      <c r="CM239" s="357" t="str">
        <f t="shared" si="33"/>
        <v>xoxxoxooxooo</v>
      </c>
      <c r="CN239" s="358">
        <f t="shared" si="34"/>
        <v>0</v>
      </c>
      <c r="CO239" s="246" t="str">
        <f>IFERROR(__xludf.DUMMYFUNCTION("IF(REGEXMATCH($C239, ""S""), ""S"",""S"")"),"S")</f>
        <v>S</v>
      </c>
      <c r="CP239" s="246" t="str">
        <f>IFERROR(__xludf.DUMMYFUNCTION("IF(REGEXMATCH($C239, ""r""), """",""r"")"),"")</f>
        <v/>
      </c>
      <c r="CQ239" s="246" t="str">
        <f>IFERROR(__xludf.DUMMYFUNCTION("IF(REGEXMATCH($C239, ""R""), """",""R"")"),"R")</f>
        <v>R</v>
      </c>
      <c r="CR239" s="246" t="str">
        <f>IFERROR(__xludf.DUMMYFUNCTION("IF(REGEXMATCH($C239, ""g""), """",""g"")"),"g")</f>
        <v>g</v>
      </c>
      <c r="CS239" s="246" t="str">
        <f>IFERROR(__xludf.DUMMYFUNCTION("IF(REGEXMATCH($C239, ""G""), """",""G"")"),"")</f>
        <v/>
      </c>
      <c r="CT239" s="246" t="str">
        <f>IFERROR(__xludf.DUMMYFUNCTION("IF(REGEXMATCH($C239, ""m""), """",""m"")"),"m")</f>
        <v>m</v>
      </c>
      <c r="CU239" s="246" t="str">
        <f>IFERROR(__xludf.DUMMYFUNCTION("IF(REGEXMATCH($C239, ""M""), """",""M"")"),"")</f>
        <v/>
      </c>
      <c r="CV239" s="246" t="str">
        <f>IFERROR(__xludf.DUMMYFUNCTION("IF(REGEXMATCH($C239, ""P""), """",""P"")"),"")</f>
        <v/>
      </c>
      <c r="CW239" s="246" t="str">
        <f>IFERROR(__xludf.DUMMYFUNCTION("IF(REGEXMATCH($C239, ""d""), """",""d"")"),"d")</f>
        <v>d</v>
      </c>
      <c r="CX239" s="246" t="str">
        <f>IFERROR(__xludf.DUMMYFUNCTION("IF(REGEXMATCH($C239, ""D""), """",""D"")"),"")</f>
        <v/>
      </c>
      <c r="CY239" s="246" t="str">
        <f>IFERROR(__xludf.DUMMYFUNCTION("IF(REGEXMATCH($C239, ""n""), """",""n"")"),"")</f>
        <v/>
      </c>
      <c r="CZ239" s="246" t="str">
        <f>IFERROR(__xludf.DUMMYFUNCTION("IF(REGEXMATCH($C239, ""N""), """",""N"")"),"")</f>
        <v/>
      </c>
      <c r="DA239" s="246" t="str">
        <f>IFERROR(__xludf.DUMMYFUNCTION("IF(REGEXMATCH($C239, ""S""), ""S"",""S"")"),"S")</f>
        <v>S</v>
      </c>
      <c r="DB239" s="362" t="str">
        <f>IFERROR(__xludf.DUMMYFUNCTION("JOIN("""",CO239:DA239,"""","""")"),"SRgmdS")</f>
        <v>SRgmdS</v>
      </c>
      <c r="DC239" s="363"/>
      <c r="DD239" s="301" t="str">
        <f t="shared" si="35"/>
        <v>#REF!</v>
      </c>
      <c r="DE239" s="302" t="str">
        <f t="shared" si="36"/>
        <v>#REF!</v>
      </c>
      <c r="DF239" s="301" t="str">
        <f t="shared" ref="DF239:DG239" si="697">SUBSTITUTE(S239,"-","")</f>
        <v>SRGM</v>
      </c>
      <c r="DG239" s="301" t="str">
        <f t="shared" si="697"/>
        <v>PDNS</v>
      </c>
      <c r="DH239" s="302" t="str">
        <f t="shared" si="38"/>
        <v>(n/a)</v>
      </c>
      <c r="DI239" s="301" t="str">
        <f t="shared" si="39"/>
        <v>Hemi.</v>
      </c>
      <c r="DJ239" s="364" t="str">
        <f t="shared" si="40"/>
        <v>CCC.</v>
      </c>
      <c r="DK239" s="306" t="str">
        <f t="shared" si="41"/>
        <v>-</v>
      </c>
      <c r="DL239" s="366" t="str">
        <f t="shared" si="42"/>
        <v>-</v>
      </c>
      <c r="DM239" s="308" t="str">
        <f t="shared" si="43"/>
        <v>✔</v>
      </c>
      <c r="DN239" s="306" t="str">
        <f t="shared" si="44"/>
        <v>-</v>
      </c>
      <c r="DO239" s="306" t="str">
        <f t="shared" si="45"/>
        <v>-</v>
      </c>
      <c r="DP239" s="367" t="str">
        <f t="shared" si="46"/>
        <v>✔</v>
      </c>
      <c r="DQ239" s="310" t="str">
        <f t="shared" si="47"/>
        <v>-</v>
      </c>
      <c r="DR239" s="310" t="str">
        <f t="shared" si="48"/>
        <v>-</v>
      </c>
      <c r="DS239" s="310" t="str">
        <f t="shared" si="49"/>
        <v>-</v>
      </c>
      <c r="DT239" s="310" t="str">
        <f t="shared" si="50"/>
        <v>-</v>
      </c>
      <c r="DU239" s="370" t="str">
        <f t="shared" si="51"/>
        <v>✔</v>
      </c>
      <c r="DV239" s="306" t="str">
        <f t="shared" si="52"/>
        <v>-</v>
      </c>
      <c r="DW239" s="306" t="str">
        <f t="shared" si="53"/>
        <v>-</v>
      </c>
      <c r="DX239" s="306" t="str">
        <f t="shared" si="54"/>
        <v>-</v>
      </c>
      <c r="DY239" s="306" t="str">
        <f t="shared" si="55"/>
        <v>-</v>
      </c>
      <c r="DZ239" s="306" t="str">
        <f t="shared" si="56"/>
        <v>-</v>
      </c>
      <c r="EA239" s="367" t="str">
        <f t="shared" si="57"/>
        <v>-</v>
      </c>
      <c r="EB239" s="310" t="str">
        <f>IFERROR(__xludf.DUMMYFUNCTION("IF(REGEXMATCH(AW239,AS239),""✔"",""-"")"),"-")</f>
        <v>-</v>
      </c>
      <c r="EC239" s="310" t="str">
        <f t="shared" si="58"/>
        <v>#REF!</v>
      </c>
      <c r="ED239" s="370" t="str">
        <f t="shared" si="59"/>
        <v>-</v>
      </c>
      <c r="EE239" s="340" t="str">
        <f t="shared" si="60"/>
        <v>S-r-G-M-P-D-nN-S</v>
      </c>
      <c r="EF239" s="371" t="str">
        <f>IFERROR(__xludf.DUMMYFUNCTION("CONCATENATE(JOIN("""",HC239:HO239))"),"SrRgmMdNS")</f>
        <v>SrRgmMdNS</v>
      </c>
      <c r="EG239" s="372">
        <f t="shared" si="61"/>
        <v>3</v>
      </c>
      <c r="EH239" s="373" t="str">
        <f>IFERROR(__xludf.DUMMYFUNCTION("CONCATENATE(JOIN("""",JC239:JO239))"),"re, Pa, ni, ")</f>
        <v>re, Pa, ni, </v>
      </c>
      <c r="EI239" s="322">
        <f t="shared" si="62"/>
        <v>1</v>
      </c>
      <c r="EJ239" s="374" t="str">
        <f>IFERROR(__xludf.DUMMYFUNCTION("CONCATENATE(JOIN("""",KC239:KO239))"),"ni, ")</f>
        <v>ni, </v>
      </c>
      <c r="EK239" s="325" t="str">
        <f t="shared" si="63"/>
        <v>S-R1-G3-M2-P-D2-N2-N3-S</v>
      </c>
      <c r="EL239" s="326" t="str">
        <f t="shared" si="64"/>
        <v>1-b2-3-#4-5-6-b7-7-8</v>
      </c>
      <c r="EM239" s="318" t="str">
        <f t="shared" si="65"/>
        <v>#REF!</v>
      </c>
      <c r="EN239" s="328" t="str">
        <f>IFERROR(__xludf.DUMMYFUNCTION("SUBSTITUTE(SUBSTITUTE(SUBSTITUTE(SUBSTITUTE(CONCATENATE(JOIN("" "",HP239:IB239)),""  "","" ""),""  "","" ""),""  "","" ""),""  "","" "")"),"o o • • o • o o • o o o o")</f>
        <v>o o • • o • o o • o o o o</v>
      </c>
      <c r="EO239" s="368" t="str">
        <f t="shared" si="66"/>
        <v>Sa-Pa</v>
      </c>
      <c r="EP239" s="339" t="str">
        <f t="shared" si="67"/>
        <v>Sa-Pa</v>
      </c>
      <c r="EQ239" s="339" t="str">
        <f t="shared" si="68"/>
        <v>Sa-Pa</v>
      </c>
      <c r="ER239" s="339" t="str">
        <f t="shared" si="69"/>
        <v>-</v>
      </c>
      <c r="ES239" s="340" t="str">
        <f t="shared" si="70"/>
        <v>-</v>
      </c>
      <c r="ET239" s="363"/>
      <c r="EU239" s="376" t="b">
        <f>IFERROR(__xludf.DUMMYFUNCTION("arrayformula(sum(--REGEXMATCH(""SRGMPDNS"",split(REGEXREPLACE(C239,""(.)"",""$1~""),""~""))))=len(C239)
"),FALSE)</f>
        <v>0</v>
      </c>
      <c r="EV239" s="290" t="b">
        <f>IFERROR(__xludf.DUMMYFUNCTION("arrayformula(sum(--REGEXMATCH(""SRGmPDNS"",split(REGEXREPLACE(C239,""(.)"",""$1~""),""~""))))=len(C239)"),FALSE)</f>
        <v>0</v>
      </c>
      <c r="EW239" s="290" t="b">
        <f>IFERROR(__xludf.DUMMYFUNCTION("arrayformula(sum(--REGEXMATCH(""SRGmPDnS"",split(REGEXREPLACE(C239,""(.)"",""$1~""),""~""))))=len(C239)"),FALSE)</f>
        <v>0</v>
      </c>
      <c r="EX239" s="290" t="b">
        <f>IFERROR(__xludf.DUMMYFUNCTION("arrayformula(sum(--REGEXMATCH(""SRgmPDnS"",split(REGEXREPLACE(C239,""(.)"",""$1~""),""~""))))=len(C239)"),FALSE)</f>
        <v>0</v>
      </c>
      <c r="EY239" s="290" t="b">
        <f>IFERROR(__xludf.DUMMYFUNCTION("arrayformula(sum(--REGEXMATCH(""SRgmPdnS"",split(REGEXREPLACE(C239,""(.)"",""$1~""),""~""))))=len(C239)"),FALSE)</f>
        <v>0</v>
      </c>
      <c r="EZ239" s="290" t="b">
        <f>IFERROR(__xludf.DUMMYFUNCTION("arrayformula(sum(--REGEXMATCH(""SrgmPdnS"",split(REGEXREPLACE(C239,""(.)"",""$1~""),""~""))))=len(C239)"),FALSE)</f>
        <v>0</v>
      </c>
      <c r="FA239" s="290" t="b">
        <f>IFERROR(__xludf.DUMMYFUNCTION("arrayformula(sum(--REGEXMATCH(""SrGmPdNS"",split(REGEXREPLACE(C239,""(.)"",""$1~""),""~""))))=len(C239)"),FALSE)</f>
        <v>0</v>
      </c>
      <c r="FB239" s="290" t="b">
        <f>IFERROR(__xludf.DUMMYFUNCTION("arrayformula(sum(--REGEXMATCH(""SrGMPDNS"",split(REGEXREPLACE(C239,""(.)"",""$1~""),""~""))))=len(C239)"),FALSE)</f>
        <v>0</v>
      </c>
      <c r="FC239" s="290" t="b">
        <f>IFERROR(__xludf.DUMMYFUNCTION("arrayformula(sum(--REGEXMATCH(""SrGMPdNS"",split(REGEXREPLACE(C239,""(.)"",""$1~""),""~""))))=len(C239)"),FALSE)</f>
        <v>0</v>
      </c>
      <c r="FD239" s="377" t="b">
        <f>IFERROR(__xludf.DUMMYFUNCTION("arrayformula(sum(--REGEXMATCH(""SrgMPdNS"",split(REGEXREPLACE(C239,""(.)"",""$1~""),""~""))))=len(C239)"),FALSE)</f>
        <v>0</v>
      </c>
      <c r="FE239" s="269" t="str">
        <f t="shared" si="71"/>
        <v>xooxoxxoxxx</v>
      </c>
      <c r="FF239" s="269" t="str">
        <f t="shared" si="72"/>
        <v>-</v>
      </c>
      <c r="FG239" s="271" t="str">
        <f t="shared" si="73"/>
        <v>-</v>
      </c>
      <c r="FH239" s="269" t="str">
        <f t="shared" si="74"/>
        <v>xoxxoxxxxxo</v>
      </c>
      <c r="FI239" s="271" t="str">
        <f t="shared" si="75"/>
        <v>-</v>
      </c>
      <c r="FJ239" s="271" t="str">
        <f t="shared" si="76"/>
        <v>xxoxxxxxoox</v>
      </c>
      <c r="FK239" s="271" t="str">
        <f t="shared" si="77"/>
        <v>xoxxxxxooxo</v>
      </c>
      <c r="FL239" s="271" t="str">
        <f t="shared" si="78"/>
        <v>-</v>
      </c>
      <c r="FM239" s="271" t="str">
        <f t="shared" si="79"/>
        <v>xxxxxooxoxx</v>
      </c>
      <c r="FN239" s="271" t="str">
        <f t="shared" si="80"/>
        <v>xxxxooxoxxo</v>
      </c>
      <c r="FO239" s="274" t="str">
        <f t="shared" si="81"/>
        <v>xxxooxoxxox</v>
      </c>
      <c r="FP239" s="234" t="str">
        <f t="shared" si="82"/>
        <v>|</v>
      </c>
      <c r="FQ239" s="236" t="str">
        <f t="shared" si="83"/>
        <v>|</v>
      </c>
      <c r="FR239" s="237" t="str">
        <f t="shared" si="84"/>
        <v>-</v>
      </c>
      <c r="FS239" s="236" t="str">
        <f t="shared" si="85"/>
        <v>-</v>
      </c>
      <c r="FT239" s="237" t="str">
        <f t="shared" si="86"/>
        <v>|</v>
      </c>
      <c r="FU239" s="236" t="str">
        <f t="shared" si="87"/>
        <v>-</v>
      </c>
      <c r="FV239" s="237" t="str">
        <f t="shared" si="88"/>
        <v>|</v>
      </c>
      <c r="FW239" s="236" t="str">
        <f t="shared" si="89"/>
        <v>|</v>
      </c>
      <c r="FX239" s="237" t="str">
        <f t="shared" si="90"/>
        <v>-</v>
      </c>
      <c r="FY239" s="236" t="str">
        <f t="shared" si="91"/>
        <v>|</v>
      </c>
      <c r="FZ239" s="237" t="str">
        <f t="shared" si="92"/>
        <v>|</v>
      </c>
      <c r="GA239" s="236" t="str">
        <f t="shared" si="93"/>
        <v>|</v>
      </c>
      <c r="GB239" s="238" t="str">
        <f t="shared" si="94"/>
        <v>|</v>
      </c>
      <c r="GC239" s="244" t="str">
        <f>IFERROR(__xludf.DUMMYFUNCTION("IF(REGEXMATCH(C239, ""S""), ""1"","""")"),"1")</f>
        <v>1</v>
      </c>
      <c r="GD239" s="245" t="str">
        <f>IFERROR(__xludf.DUMMYFUNCTION("IF(REGEXMATCH(C239, ""r""), ""b2"","""")"),"b2")</f>
        <v>b2</v>
      </c>
      <c r="GE239" s="246" t="str">
        <f>IFERROR(__xludf.DUMMYFUNCTION("IF(REGEXMATCH(C239, ""R""), ""2"","""")"),"")</f>
        <v/>
      </c>
      <c r="GF239" s="246" t="str">
        <f>IFERROR(__xludf.DUMMYFUNCTION("IF(REGEXMATCH(C239, ""g""), ""b3"","""")"),"")</f>
        <v/>
      </c>
      <c r="GG239" s="245" t="str">
        <f>IFERROR(__xludf.DUMMYFUNCTION("IF(REGEXMATCH(C239, ""G""), ""3"","""")"),"3")</f>
        <v>3</v>
      </c>
      <c r="GH239" s="245" t="str">
        <f>IFERROR(__xludf.DUMMYFUNCTION("IF(REGEXMATCH(C239, ""m""), ""4"","""")"),"")</f>
        <v/>
      </c>
      <c r="GI239" s="246" t="str">
        <f>IFERROR(__xludf.DUMMYFUNCTION("IF(REGEXMATCH(C239, ""M""), ""#4"","""")"),"#4")</f>
        <v>#4</v>
      </c>
      <c r="GJ239" s="245" t="str">
        <f>IFERROR(__xludf.DUMMYFUNCTION("IF(REGEXMATCH(C239, ""P""), ""5"","""")"),"5")</f>
        <v>5</v>
      </c>
      <c r="GK239" s="246" t="str">
        <f>IFERROR(__xludf.DUMMYFUNCTION("IF(REGEXMATCH(C239, ""d""), ""b6"","""")"),"")</f>
        <v/>
      </c>
      <c r="GL239" s="245" t="str">
        <f>IFERROR(__xludf.DUMMYFUNCTION("IF(REGEXMATCH(C239, ""D""), ""6"","""")"),"6")</f>
        <v>6</v>
      </c>
      <c r="GM239" s="245" t="str">
        <f>IFERROR(__xludf.DUMMYFUNCTION("IF(REGEXMATCH(C239, ""n""), ""b7"","""")"),"b7")</f>
        <v>b7</v>
      </c>
      <c r="GN239" s="246" t="str">
        <f>IFERROR(__xludf.DUMMYFUNCTION("IF(REGEXMATCH(C239, ""N""), ""7"","""")"),"7")</f>
        <v>7</v>
      </c>
      <c r="GO239" s="249" t="str">
        <f>IFERROR(__xludf.DUMMYFUNCTION("IF(REGEXMATCH(C239, ""S""), ""8"","""")"),"8")</f>
        <v>8</v>
      </c>
      <c r="GP239" s="244" t="str">
        <f>IFERROR(__xludf.DUMMYFUNCTION("IF(REGEXMATCH(C239, ""S""), ""S"","""")"),"S")</f>
        <v>S</v>
      </c>
      <c r="GQ239" s="294" t="str">
        <f>IFERROR(__xludf.DUMMYFUNCTION("IF(REGEXMATCH(C239, ""r""), ""R1"","""")"),"R1")</f>
        <v>R1</v>
      </c>
      <c r="GR239" s="295" t="str">
        <f>IFERROR(__xludf.DUMMYFUNCTION("IF(REGEXMATCH(C239, ""R""), ""R2"","""")"),"")</f>
        <v/>
      </c>
      <c r="GS239" s="295" t="str">
        <f>IFERROR(__xludf.DUMMYFUNCTION("IF(REGEXMATCH(C239, ""g""), ""G2"","""")"),"")</f>
        <v/>
      </c>
      <c r="GT239" s="294" t="str">
        <f>IFERROR(__xludf.DUMMYFUNCTION("IF(REGEXMATCH(C239, ""G""), ""G3"","""")"),"G3")</f>
        <v>G3</v>
      </c>
      <c r="GU239" s="294" t="str">
        <f>IFERROR(__xludf.DUMMYFUNCTION("IF(REGEXMATCH(C239, ""m""), ""M1"","""")"),"")</f>
        <v/>
      </c>
      <c r="GV239" s="295" t="str">
        <f>IFERROR(__xludf.DUMMYFUNCTION("IF(REGEXMATCH(C239, ""M""), ""M2"","""")"),"M2")</f>
        <v>M2</v>
      </c>
      <c r="GW239" s="294" t="str">
        <f>IFERROR(__xludf.DUMMYFUNCTION("IF(REGEXMATCH(C239, ""P""), ""P"","""")"),"P")</f>
        <v>P</v>
      </c>
      <c r="GX239" s="295" t="str">
        <f>IFERROR(__xludf.DUMMYFUNCTION("IF(REGEXMATCH(C239, ""d""), ""D1"","""")"),"")</f>
        <v/>
      </c>
      <c r="GY239" s="294" t="str">
        <f>IFERROR(__xludf.DUMMYFUNCTION("IF(REGEXMATCH(C239, ""D""), ""D2"","""")"),"D2")</f>
        <v>D2</v>
      </c>
      <c r="GZ239" s="294" t="str">
        <f>IFERROR(__xludf.DUMMYFUNCTION("IF(REGEXMATCH(C239, ""n""), ""N2"","""")"),"N2")</f>
        <v>N2</v>
      </c>
      <c r="HA239" s="295" t="str">
        <f>IFERROR(__xludf.DUMMYFUNCTION("IF(REGEXMATCH(C239, ""N""), ""N3"","""")"),"N3")</f>
        <v>N3</v>
      </c>
      <c r="HB239" s="249" t="str">
        <f>IFERROR(__xludf.DUMMYFUNCTION("IF(REGEXMATCH(C239, ""S""), ""S"","""")"),"S")</f>
        <v>S</v>
      </c>
      <c r="HC239" s="331" t="str">
        <f t="shared" si="95"/>
        <v>S</v>
      </c>
      <c r="HD239" s="332" t="str">
        <f t="shared" si="96"/>
        <v>r</v>
      </c>
      <c r="HE239" s="332" t="str">
        <f t="shared" si="97"/>
        <v>R</v>
      </c>
      <c r="HF239" s="332" t="str">
        <f t="shared" si="98"/>
        <v>g</v>
      </c>
      <c r="HG239" s="332" t="str">
        <f t="shared" si="99"/>
        <v/>
      </c>
      <c r="HH239" s="332" t="str">
        <f t="shared" si="100"/>
        <v>m</v>
      </c>
      <c r="HI239" s="332" t="str">
        <f t="shared" si="101"/>
        <v>M</v>
      </c>
      <c r="HJ239" s="332" t="str">
        <f t="shared" si="102"/>
        <v/>
      </c>
      <c r="HK239" s="332" t="str">
        <f t="shared" si="103"/>
        <v>d</v>
      </c>
      <c r="HL239" s="332" t="str">
        <f t="shared" si="104"/>
        <v/>
      </c>
      <c r="HM239" s="332" t="str">
        <f t="shared" si="105"/>
        <v/>
      </c>
      <c r="HN239" s="332" t="str">
        <f t="shared" si="106"/>
        <v>N</v>
      </c>
      <c r="HO239" s="343" t="str">
        <f t="shared" si="107"/>
        <v>S</v>
      </c>
      <c r="HP239" s="331" t="str">
        <f t="shared" si="108"/>
        <v>o</v>
      </c>
      <c r="HQ239" s="332" t="str">
        <f t="shared" si="109"/>
        <v>o</v>
      </c>
      <c r="HR239" s="332" t="str">
        <f t="shared" si="110"/>
        <v>•</v>
      </c>
      <c r="HS239" s="332" t="str">
        <f t="shared" si="111"/>
        <v>•</v>
      </c>
      <c r="HT239" s="332" t="str">
        <f t="shared" si="112"/>
        <v>o</v>
      </c>
      <c r="HU239" s="332" t="str">
        <f t="shared" si="113"/>
        <v>•</v>
      </c>
      <c r="HV239" s="332" t="str">
        <f t="shared" si="114"/>
        <v>o</v>
      </c>
      <c r="HW239" s="332" t="str">
        <f t="shared" si="115"/>
        <v>o</v>
      </c>
      <c r="HX239" s="332" t="str">
        <f t="shared" si="116"/>
        <v>•</v>
      </c>
      <c r="HY239" s="332" t="str">
        <f t="shared" si="117"/>
        <v>o</v>
      </c>
      <c r="HZ239" s="332" t="str">
        <f t="shared" si="118"/>
        <v>o</v>
      </c>
      <c r="IA239" s="332" t="str">
        <f t="shared" si="119"/>
        <v>o</v>
      </c>
      <c r="IB239" s="338" t="str">
        <f t="shared" si="120"/>
        <v>o</v>
      </c>
      <c r="IC239" s="331" t="str">
        <f t="shared" si="121"/>
        <v>•</v>
      </c>
      <c r="ID239" s="332" t="str">
        <f t="shared" si="122"/>
        <v>•</v>
      </c>
      <c r="IE239" s="332" t="str">
        <f t="shared" si="123"/>
        <v>o</v>
      </c>
      <c r="IF239" s="332" t="str">
        <f t="shared" si="124"/>
        <v>o</v>
      </c>
      <c r="IG239" s="332" t="str">
        <f t="shared" si="125"/>
        <v>•</v>
      </c>
      <c r="IH239" s="332" t="str">
        <f t="shared" si="126"/>
        <v>o</v>
      </c>
      <c r="II239" s="332" t="str">
        <f t="shared" si="127"/>
        <v>•</v>
      </c>
      <c r="IJ239" s="332" t="str">
        <f t="shared" si="128"/>
        <v>•</v>
      </c>
      <c r="IK239" s="332" t="str">
        <f t="shared" si="129"/>
        <v>o</v>
      </c>
      <c r="IL239" s="332" t="str">
        <f t="shared" si="130"/>
        <v>•</v>
      </c>
      <c r="IM239" s="332" t="str">
        <f t="shared" si="131"/>
        <v>•</v>
      </c>
      <c r="IN239" s="332" t="str">
        <f t="shared" si="132"/>
        <v>•</v>
      </c>
      <c r="IO239" s="338" t="str">
        <f t="shared" si="133"/>
        <v>•</v>
      </c>
      <c r="IP239" s="346" t="b">
        <f t="shared" si="134"/>
        <v>0</v>
      </c>
      <c r="IQ239" s="347" t="b">
        <f t="shared" si="135"/>
        <v>1</v>
      </c>
      <c r="IR239" s="347" t="b">
        <f t="shared" si="136"/>
        <v>0</v>
      </c>
      <c r="IS239" s="347" t="b">
        <f t="shared" si="137"/>
        <v>0</v>
      </c>
      <c r="IT239" s="347" t="b">
        <f t="shared" si="138"/>
        <v>0</v>
      </c>
      <c r="IU239" s="347" t="b">
        <f t="shared" si="139"/>
        <v>0</v>
      </c>
      <c r="IV239" s="347" t="b">
        <f t="shared" si="140"/>
        <v>0</v>
      </c>
      <c r="IW239" s="347" t="b">
        <f t="shared" si="141"/>
        <v>1</v>
      </c>
      <c r="IX239" s="347" t="b">
        <f t="shared" si="142"/>
        <v>0</v>
      </c>
      <c r="IY239" s="347" t="b">
        <f t="shared" si="143"/>
        <v>0</v>
      </c>
      <c r="IZ239" s="347" t="b">
        <f t="shared" si="144"/>
        <v>1</v>
      </c>
      <c r="JA239" s="347" t="b">
        <f t="shared" si="145"/>
        <v>0</v>
      </c>
      <c r="JB239" s="353" t="b">
        <f t="shared" si="146"/>
        <v>0</v>
      </c>
      <c r="JC239" s="354" t="str">
        <f t="shared" si="147"/>
        <v/>
      </c>
      <c r="JD239" s="355" t="str">
        <f t="shared" si="148"/>
        <v>re, </v>
      </c>
      <c r="JE239" s="355" t="str">
        <f t="shared" si="149"/>
        <v/>
      </c>
      <c r="JF239" s="355" t="str">
        <f t="shared" si="150"/>
        <v/>
      </c>
      <c r="JG239" s="355" t="str">
        <f t="shared" si="151"/>
        <v/>
      </c>
      <c r="JH239" s="355" t="str">
        <f t="shared" si="152"/>
        <v/>
      </c>
      <c r="JI239" s="355" t="str">
        <f t="shared" si="153"/>
        <v/>
      </c>
      <c r="JJ239" s="355" t="str">
        <f t="shared" si="154"/>
        <v>Pa, </v>
      </c>
      <c r="JK239" s="355" t="str">
        <f t="shared" si="155"/>
        <v/>
      </c>
      <c r="JL239" s="355" t="str">
        <f t="shared" si="156"/>
        <v/>
      </c>
      <c r="JM239" s="355" t="str">
        <f t="shared" si="157"/>
        <v>ni, </v>
      </c>
      <c r="JN239" s="355" t="str">
        <f t="shared" si="158"/>
        <v/>
      </c>
      <c r="JO239" s="359" t="str">
        <f t="shared" si="159"/>
        <v/>
      </c>
      <c r="JP239" s="346" t="b">
        <f t="shared" si="160"/>
        <v>0</v>
      </c>
      <c r="JQ239" s="347" t="b">
        <f t="shared" si="161"/>
        <v>0</v>
      </c>
      <c r="JR239" s="347" t="b">
        <f t="shared" si="162"/>
        <v>0</v>
      </c>
      <c r="JS239" s="347" t="b">
        <f t="shared" si="163"/>
        <v>0</v>
      </c>
      <c r="JT239" s="347" t="b">
        <f t="shared" si="164"/>
        <v>0</v>
      </c>
      <c r="JU239" s="347" t="b">
        <f t="shared" si="165"/>
        <v>0</v>
      </c>
      <c r="JV239" s="347" t="b">
        <f t="shared" si="166"/>
        <v>0</v>
      </c>
      <c r="JW239" s="347" t="b">
        <f t="shared" si="167"/>
        <v>0</v>
      </c>
      <c r="JX239" s="347" t="b">
        <f t="shared" si="168"/>
        <v>0</v>
      </c>
      <c r="JY239" s="347" t="b">
        <f t="shared" si="169"/>
        <v>0</v>
      </c>
      <c r="JZ239" s="347" t="b">
        <f t="shared" si="170"/>
        <v>1</v>
      </c>
      <c r="KA239" s="347" t="b">
        <f t="shared" si="171"/>
        <v>0</v>
      </c>
      <c r="KB239" s="365" t="b">
        <f t="shared" si="172"/>
        <v>0</v>
      </c>
      <c r="KC239" s="354" t="str">
        <f t="shared" si="173"/>
        <v/>
      </c>
      <c r="KD239" s="355" t="str">
        <f t="shared" si="174"/>
        <v/>
      </c>
      <c r="KE239" s="355" t="str">
        <f t="shared" si="175"/>
        <v/>
      </c>
      <c r="KF239" s="355" t="str">
        <f t="shared" si="176"/>
        <v/>
      </c>
      <c r="KG239" s="355" t="str">
        <f t="shared" si="177"/>
        <v/>
      </c>
      <c r="KH239" s="355" t="str">
        <f t="shared" si="178"/>
        <v/>
      </c>
      <c r="KI239" s="355" t="str">
        <f t="shared" si="179"/>
        <v/>
      </c>
      <c r="KJ239" s="355" t="str">
        <f t="shared" si="180"/>
        <v/>
      </c>
      <c r="KK239" s="355" t="str">
        <f t="shared" si="181"/>
        <v/>
      </c>
      <c r="KL239" s="355" t="str">
        <f t="shared" si="182"/>
        <v/>
      </c>
      <c r="KM239" s="355" t="str">
        <f t="shared" si="183"/>
        <v>ni, </v>
      </c>
      <c r="KN239" s="355" t="str">
        <f t="shared" si="184"/>
        <v/>
      </c>
      <c r="KO239" s="359"/>
      <c r="KP239" s="378"/>
      <c r="KQ239" s="379" t="s">
        <v>9</v>
      </c>
      <c r="KR239" s="380" t="s">
        <v>9</v>
      </c>
      <c r="KS239" s="381" t="s">
        <v>9</v>
      </c>
      <c r="KT239" s="382">
        <f t="shared" si="186"/>
        <v>0</v>
      </c>
      <c r="KU239" s="383">
        <f t="shared" si="187"/>
        <v>0</v>
      </c>
      <c r="KV239" s="381" t="str">
        <f t="shared" si="205"/>
        <v>S</v>
      </c>
      <c r="KW239" s="382">
        <f t="shared" si="189"/>
        <v>0</v>
      </c>
      <c r="KX239" s="384">
        <f t="shared" si="190"/>
        <v>0</v>
      </c>
      <c r="KY239" s="382">
        <f t="shared" ref="KY239:KZ239" si="698">KW239-KT239</f>
        <v>0</v>
      </c>
      <c r="KZ239" s="369">
        <f t="shared" si="698"/>
        <v>0</v>
      </c>
      <c r="LA239" s="385" t="str">
        <f t="shared" si="192"/>
        <v>✔</v>
      </c>
      <c r="LB239" s="340" t="str">
        <f>IFERROR(__xludf.DUMMYFUNCTION("JOIN("""",ArrayFormula(MID(KS239,LEN(KS239)-SEQUENCE(1,LEN(KS239))+1,1)))"),"S")</f>
        <v>S</v>
      </c>
      <c r="LC239" s="373" t="str">
        <f>IFERROR(__xludf.DUMMYFUNCTION("JOIN("""",ArrayFormula(MID(KV239,LEN(KV239)-SEQUENCE(1,LEN(KV239))+1,1)))"),"S")</f>
        <v>S</v>
      </c>
      <c r="LD239" s="373" t="str">
        <f t="shared" si="193"/>
        <v>S</v>
      </c>
      <c r="LE239" s="339" t="str">
        <f t="shared" si="194"/>
        <v>S</v>
      </c>
      <c r="LF239" s="386" t="str">
        <f>IFERROR(__xludf.DUMMYFUNCTION("SUBSTITUTE(SUBSTITUTE(CONCATENATE(JOIN("""",LH239:LT239)),""1"",""""),""2"","""")"),"SS")</f>
        <v>SS</v>
      </c>
      <c r="LG239" s="369" t="str">
        <f t="shared" si="195"/>
        <v>-</v>
      </c>
      <c r="LH239" s="387" t="str">
        <f>IFERROR(__xludf.DUMMYFUNCTION("IF(REGEXMATCH(LD239, ""S""), ""S"",IF(REGEXMATCH(LE239, ""S""), ""S"",""""))"),"S")</f>
        <v>S</v>
      </c>
      <c r="LI239" s="299" t="str">
        <f>IFERROR(__xludf.DUMMYFUNCTION("IF(REGEXMATCH(LD239, ""r""), ""r1"",IF(REGEXMATCH(LE239, ""r""), ""r2"",""""))"),"")</f>
        <v/>
      </c>
      <c r="LJ239" s="299" t="str">
        <f>IFERROR(__xludf.DUMMYFUNCTION("IF(REGEXMATCH(LD239, ""R""), ""R1"",IF(REGEXMATCH(LE239, ""R""), ""R2"",""""))"),"")</f>
        <v/>
      </c>
      <c r="LK239" s="299" t="str">
        <f>IFERROR(__xludf.DUMMYFUNCTION("IF(REGEXMATCH(LD239, ""g""), ""g1"",IF(REGEXMATCH(LE239, ""g""), ""g2"",""""))"),"")</f>
        <v/>
      </c>
      <c r="LL239" s="299" t="str">
        <f>IFERROR(__xludf.DUMMYFUNCTION("IF(REGEXMATCH(LD239, ""G""), ""G1"",IF(REGEXMATCH(LE239, ""G""), ""G2"",""""))"),"")</f>
        <v/>
      </c>
      <c r="LM239" s="299" t="str">
        <f>IFERROR(__xludf.DUMMYFUNCTION("IF(REGEXMATCH(LD239, ""m""), ""m1"",IF(REGEXMATCH(LE239, ""m""), ""m2"",""""))"),"")</f>
        <v/>
      </c>
      <c r="LN239" s="299" t="str">
        <f>IFERROR(__xludf.DUMMYFUNCTION("IF(REGEXMATCH(LD239, ""M""), ""M1"",IF(REGEXMATCH(LE239, ""M""), ""M2"",""""))"),"")</f>
        <v/>
      </c>
      <c r="LO239" s="299" t="str">
        <f>IFERROR(__xludf.DUMMYFUNCTION("IF(REGEXMATCH(LD239, ""P""), ""P1"",IF(REGEXMATCH(LE239, ""P""), ""P2"",""""))"),"")</f>
        <v/>
      </c>
      <c r="LP239" s="299" t="str">
        <f>IFERROR(__xludf.DUMMYFUNCTION("IF(REGEXMATCH(LD239, ""d""), ""d1"",IF(REGEXMATCH(LE239, ""d""), ""d2"",""""))"),"")</f>
        <v/>
      </c>
      <c r="LQ239" s="299" t="str">
        <f>IFERROR(__xludf.DUMMYFUNCTION("IF(REGEXMATCH(LD239, ""D""), ""D1"",IF(REGEXMATCH(LE239, ""D""), ""D2"",""""))"),"")</f>
        <v/>
      </c>
      <c r="LR239" s="299" t="str">
        <f>IFERROR(__xludf.DUMMYFUNCTION("IF(REGEXMATCH(LD239, ""n""), ""n1"",IF(REGEXMATCH(LE239, ""n""), ""n2"",""""))"),"")</f>
        <v/>
      </c>
      <c r="LS239" s="299" t="str">
        <f>IFERROR(__xludf.DUMMYFUNCTION("IF(REGEXMATCH(LD239, ""N""), ""N1"",IF(REGEXMATCH(LE239, ""N""), ""N2"",""""))"),"")</f>
        <v/>
      </c>
      <c r="LT239" s="388" t="str">
        <f>IFERROR(__xludf.DUMMYFUNCTION("IF(REGEXMATCH(LD239, ""S""), ""S"",IF(REGEXMATCH(LE239, ""S""), ""S"",""""))"),"S")</f>
        <v>S</v>
      </c>
      <c r="LU239" s="389">
        <f t="shared" si="196"/>
        <v>1</v>
      </c>
      <c r="LV239" s="378"/>
      <c r="LW239" s="369"/>
      <c r="LX239" s="369"/>
    </row>
    <row r="240" ht="18.0" customHeight="1">
      <c r="A240" s="298" t="s">
        <v>1004</v>
      </c>
      <c r="B240" s="222" t="s">
        <v>561</v>
      </c>
      <c r="C240" s="233" t="str">
        <f t="shared" si="7"/>
        <v>SRgmPDnS</v>
      </c>
      <c r="D240" s="234" t="str">
        <f>IFERROR(__xludf.DUMMYFUNCTION("IF(REGEXMATCH(C240, ""S""), ""S"","""")"),"S")</f>
        <v>S</v>
      </c>
      <c r="E240" s="236" t="str">
        <f>IFERROR(__xludf.DUMMYFUNCTION("IF(REGEXMATCH(C240, ""r""), ""r"","""")"),"")</f>
        <v/>
      </c>
      <c r="F240" s="237" t="str">
        <f>IFERROR(__xludf.DUMMYFUNCTION("IF(REGEXMATCH(C240, ""R""), ""R"","""")"),"R")</f>
        <v>R</v>
      </c>
      <c r="G240" s="237" t="str">
        <f>IFERROR(__xludf.DUMMYFUNCTION("IF(REGEXMATCH(C240, ""g""), ""g"","""")"),"g")</f>
        <v>g</v>
      </c>
      <c r="H240" s="236" t="str">
        <f>IFERROR(__xludf.DUMMYFUNCTION("IF(REGEXMATCH(C240, ""G""), ""G"","""")"),"")</f>
        <v/>
      </c>
      <c r="I240" s="236" t="str">
        <f>IFERROR(__xludf.DUMMYFUNCTION("IF(REGEXMATCH(C240, ""m""), ""m"","""")"),"m")</f>
        <v>m</v>
      </c>
      <c r="J240" s="237" t="str">
        <f>IFERROR(__xludf.DUMMYFUNCTION("IF(REGEXMATCH(C240, ""M""), ""M"","""")"),"")</f>
        <v/>
      </c>
      <c r="K240" s="236" t="str">
        <f>IFERROR(__xludf.DUMMYFUNCTION("IF(REGEXMATCH(C240, ""P""), ""P"","""")"),"P")</f>
        <v>P</v>
      </c>
      <c r="L240" s="237" t="str">
        <f>IFERROR(__xludf.DUMMYFUNCTION("IF(REGEXMATCH(C240, ""d""), ""d"","""")"),"")</f>
        <v/>
      </c>
      <c r="M240" s="236" t="str">
        <f>IFERROR(__xludf.DUMMYFUNCTION("IF(REGEXMATCH(C240, ""D""), ""D"","""")"),"D")</f>
        <v>D</v>
      </c>
      <c r="N240" s="236" t="str">
        <f>IFERROR(__xludf.DUMMYFUNCTION("IF(REGEXMATCH(C240, ""n""), ""n"","""")"),"n")</f>
        <v>n</v>
      </c>
      <c r="O240" s="237" t="str">
        <f>IFERROR(__xludf.DUMMYFUNCTION("IF(REGEXMATCH(C240, ""N""), ""N"","""")"),"")</f>
        <v/>
      </c>
      <c r="P240" s="238" t="str">
        <f>IFERROR(__xludf.DUMMYFUNCTION("IF(REGEXMATCH(C240, ""S""), ""S"","""")"),"S")</f>
        <v>S</v>
      </c>
      <c r="Q240" s="239" t="str">
        <f>IFERROR(__xludf.DUMMYFUNCTION("SUBSTITUTE(CONCATENATE(JOIN(""-"",D240:J240)),""-"","""")"),"SRgm")</f>
        <v>SRgm</v>
      </c>
      <c r="R240" s="229" t="str">
        <f>IFERROR(__xludf.DUMMYFUNCTION("SUBSTITUTE(CONCATENATE(JOIN(""-"",K240:P240)),""-"","""")"),"PDnS")</f>
        <v>PDnS</v>
      </c>
      <c r="S240" s="282" t="str">
        <f t="shared" si="8"/>
        <v>S-R-G-M</v>
      </c>
      <c r="T240" s="282" t="str">
        <f t="shared" si="9"/>
        <v>P-D-N-S</v>
      </c>
      <c r="U240" s="237" t="str">
        <f>IFERROR(__xludf.DUMMYFUNCTION("SUBSTITUTE(JOIN(""-"",S240,T240),""--"",""-"")"),"S-R-G-M-P-D-N-S")</f>
        <v>S-R-G-M-P-D-N-S</v>
      </c>
      <c r="V240" s="309" t="str">
        <f t="shared" si="10"/>
        <v>RgmDn</v>
      </c>
      <c r="W240" s="244" t="str">
        <f>IFERROR(__xludf.DUMMYFUNCTION("IF(REGEXMATCH(C240, ""S""), ""0"","""")"),"0")</f>
        <v>0</v>
      </c>
      <c r="X240" s="245" t="str">
        <f>IFERROR(__xludf.DUMMYFUNCTION("IF(REGEXMATCH(C240, ""r""), ""1"","""")"),"")</f>
        <v/>
      </c>
      <c r="Y240" s="246" t="str">
        <f>IFERROR(__xludf.DUMMYFUNCTION("IF(REGEXMATCH(C240, ""R""), ""2"","""")"),"2")</f>
        <v>2</v>
      </c>
      <c r="Z240" s="246" t="str">
        <f>IFERROR(__xludf.DUMMYFUNCTION("IF(REGEXMATCH(C240, ""g""), ""3"","""")"),"3")</f>
        <v>3</v>
      </c>
      <c r="AA240" s="245" t="str">
        <f>IFERROR(__xludf.DUMMYFUNCTION("IF(REGEXMATCH(C240, ""G""), ""4"","""")"),"")</f>
        <v/>
      </c>
      <c r="AB240" s="245" t="str">
        <f>IFERROR(__xludf.DUMMYFUNCTION("IF(REGEXMATCH(C240, ""m""), ""5"","""")"),"5")</f>
        <v>5</v>
      </c>
      <c r="AC240" s="246" t="str">
        <f>IFERROR(__xludf.DUMMYFUNCTION("IF(REGEXMATCH(C240, ""M""), ""6"","""")"),"")</f>
        <v/>
      </c>
      <c r="AD240" s="245" t="str">
        <f>IFERROR(__xludf.DUMMYFUNCTION("IF(REGEXMATCH(C240, ""P""), ""7"","""")"),"7")</f>
        <v>7</v>
      </c>
      <c r="AE240" s="246" t="str">
        <f>IFERROR(__xludf.DUMMYFUNCTION("IF(REGEXMATCH(C240, ""d""), ""8"","""")"),"")</f>
        <v/>
      </c>
      <c r="AF240" s="245" t="str">
        <f>IFERROR(__xludf.DUMMYFUNCTION("IF(REGEXMATCH(C240, ""D""), ""9"","""")"),"9")</f>
        <v>9</v>
      </c>
      <c r="AG240" s="245" t="str">
        <f>IFERROR(__xludf.DUMMYFUNCTION("IF(REGEXMATCH(C240, ""n""), ""10"","""")"),"10")</f>
        <v>10</v>
      </c>
      <c r="AH240" s="246" t="str">
        <f>IFERROR(__xludf.DUMMYFUNCTION("IF(REGEXMATCH(C240, ""N""), ""11"","""")"),"")</f>
        <v/>
      </c>
      <c r="AI240" s="249" t="str">
        <f>IFERROR(__xludf.DUMMYFUNCTION("IF(REGEXMATCH(C240, ""S""), ""0"","""")"),"0")</f>
        <v>0</v>
      </c>
      <c r="AJ240" s="313" t="str">
        <f t="shared" si="11"/>
        <v>-</v>
      </c>
      <c r="AK240" s="313" t="str">
        <f t="shared" si="12"/>
        <v>-</v>
      </c>
      <c r="AL240" s="313" t="str">
        <f t="shared" si="13"/>
        <v>-</v>
      </c>
      <c r="AM240" s="313" t="str">
        <f t="shared" si="14"/>
        <v>T</v>
      </c>
      <c r="AN240" s="313" t="str">
        <f t="shared" si="15"/>
        <v>-</v>
      </c>
      <c r="AO240" s="314" t="str">
        <f t="shared" si="16"/>
        <v>-</v>
      </c>
      <c r="AP240" s="316">
        <f t="shared" si="17"/>
        <v>1</v>
      </c>
      <c r="AQ240" s="319" t="str">
        <f t="shared" si="18"/>
        <v>-</v>
      </c>
      <c r="AR240" s="320">
        <f t="shared" si="19"/>
        <v>0</v>
      </c>
      <c r="AS240" s="250" t="str">
        <f>IFERROR(__xludf.DUMMYFUNCTION("SUBSTITUTE(SUBSTITUTE(CONCATENATE(JOIN("""",FP240:GA240)),""|"",""x""),""-"",""o"")"),"xoxxoxoxoxxo")</f>
        <v>xoxxoxoxoxxo</v>
      </c>
      <c r="AT240" s="323" t="str">
        <f>IFERROR(__xludf.DUMMYFUNCTION("JOIN("""",AS240,AS240)"),"xoxxoxoxoxxoxoxxoxoxoxxo")</f>
        <v>xoxxoxoxoxxoxoxxoxoxoxxo</v>
      </c>
      <c r="AU240" s="256" t="str">
        <f>IFERROR(__xludf.DUMMYFUNCTION("JOIN("""",ArrayFormula(MID(AS240,LEN(AS240)-SEQUENCE(1,LEN(AS240))+1,1)))"),"oxxoxoxoxxox")</f>
        <v>oxxoxoxoxxox</v>
      </c>
      <c r="AV240" s="256" t="str">
        <f>IFERROR(__xludf.DUMMYFUNCTION("LEFT(CONCATENATE(""x"",JOIN("""",ArrayFormula(MID(AS240,LEN(AS240)-SEQUENCE(1,LEN(AS240))+1,1)))),12)"),"xoxxoxoxoxxo")</f>
        <v>xoxxoxoxoxxo</v>
      </c>
      <c r="AW240" s="327" t="str">
        <f>IFERROR(__xludf.DUMMYFUNCTION("JOIN("""",AU240,AU240)"),"oxxoxoxoxxoxoxxoxoxoxxox")</f>
        <v>oxxoxoxoxxoxoxxoxoxoxxox</v>
      </c>
      <c r="AX240" s="239" t="str">
        <f>IFERROR(__xludf.DUMMYFUNCTION("IF(REGEXMATCH(AW240,AS240),""✔"",""-"")"),"✔")</f>
        <v>✔</v>
      </c>
      <c r="AY240" s="330" t="str">
        <f t="shared" si="20"/>
        <v>✔</v>
      </c>
      <c r="AZ240" s="260" t="str">
        <f t="shared" si="21"/>
        <v>#REF!</v>
      </c>
      <c r="BA240" s="333" t="str">
        <f t="shared" si="22"/>
        <v>xoxxoxo</v>
      </c>
      <c r="BB240" s="334" t="str">
        <f t="shared" si="23"/>
        <v>xoxxox</v>
      </c>
      <c r="BC240" s="335" t="str">
        <f t="shared" si="236"/>
        <v>✔</v>
      </c>
      <c r="BD240" s="336" t="str">
        <f t="shared" si="25"/>
        <v>Mudriki Kanada: 'xoxxoxo' + 'xoxxox'</v>
      </c>
      <c r="BE240" s="337">
        <f>IFERROR(__xludf.DUMMYFUNCTION("COUNTUNIQUE(FILTER(AT:AT,REGEXMATCH(AT:AT,AS240)))-1"),6.0)</f>
        <v>6</v>
      </c>
      <c r="BF240" s="261" t="str">
        <f>IFERROR(__xludf.DUMMYFUNCTION("IF(BI240=0,""(n/a)"",IF(BJ240=2,""(PAIR)"",IF(REGEXMATCH(AT240,""xoxoxxoxoxox""),""Bilawal"",IF(REGEXMATCH(AT240,""xoxoxooxoxoo""),""Bhupali"",IF(REGEXMATCH(AT240,""xoxoxxoxxoxo""),""Charukeshi"",IF(REGEXMATCH(AT240,""xoxoooxxoxxo""),""Kameshwari"",IF(REG"&amp;"EXMATCH(AT240,""xoxoxooxoxox""),""Shankara"",IF(REGEXMATCH(AT240,""xxooxoxxxoox""),""Basant"",IF(REGEXMATCH(AT240,""xoxoxxxxoxox""),""Bihag"",IF(REGEXMATCH(AT240,""xoxxxxoxoxxx""),""Pilu"",IF(REGEXMATCH(AT240,""xoxxoxoxxoox""),""Kirwani"",IF(REGEXMATCH(AT"&amp;"240,""xoxxoxoxoxxx""),""Mk.Malhar"",IF(REGEXMATCH(AT240,""xxooxxoxxoox""),""Bhairav"",IF(REGEXMATCH(AT240,""xxoxooxxxoox""),""Todi"",IF(REGEXMATCH(AT240,""xxooxoxooxox""),""Marwa"",IF(REGEXMATCH(AT240,""xxoooxoxxooo""),""Gunkali"",IF(REGEXMATCH(AT240,""xo"&amp;"xoxxoxxoox""),""Nat Bhairav"",IF(REGEXMATCH(AT240,""xoxxoooxoxoo""),""Shivranjani"",IF(REGEXMATCH(AT240,""xooxxxoxooxo""),""Jog"",IF(REGEXMATCH(AT240,""xxooxoxoxoox""),""Hemshri"",IF(REGEXMATCH(AT240,""xoooxooxoxxo""),""Kalavati"",IF(REGEXMATCH(AT240,""xx"&amp;"oxoxxoxoox""),""Kedar"",IF(REGEXMATCH(AT240,""xoxxxxoxooxx""),""Gara"",IF(REGEXMATCH(AT240,""xooxoxooxoox""),""Chandrakauns"",IF(REGEXMATCH(AT240,""xoxxxxoxxxox""),""Mand"",IF(REGEXMATCH(AT240,""xoxxxxoxoxox""),""Hanskinkini"",IF(REGEXMATCH(AT240,""xxooxx"&amp;"oxooxo""),""Lilavati"",IF(REGEXMATCH(AT240,""xooxoxoooxox""),""Rajeshwari"",IF(REGEXMATCH(AT240,""xoooxxoxoxxx""),""Khokar"",IF(REGEXMATCH(AT240,""xxooxoxxxxox""),""Maligoura"",""-""))))))))))))))))))))))))))))))"),"Bilawal")</f>
        <v>Bilawal</v>
      </c>
      <c r="BG240" s="239" t="str">
        <f t="shared" si="26"/>
        <v>#REF!</v>
      </c>
      <c r="BH240" s="239">
        <f>IFERROR(__xludf.DUMMYFUNCTION("COUNTUNIQUE(FE240:FO240)-1"),6.0)</f>
        <v>6</v>
      </c>
      <c r="BI240" s="239">
        <f>IFERROR(__xludf.DUMMYFUNCTION("COUNTUNIQUE(FILTER(AT:AT,REGEXMATCH(AT:AT,AS240)))-1"),6.0)</f>
        <v>6</v>
      </c>
      <c r="BJ240" s="239">
        <f>IFERROR(__xludf.DUMMYFUNCTION("COUNTA(FILTER(AT:AT,REGEXMATCH(AT:AT,AS240)))"),48.0)</f>
        <v>48</v>
      </c>
      <c r="BK240" s="341">
        <f>IFERROR(__xludf.DUMMYFUNCTION("COUNTA(FILTER(AT:AT,REGEXMATCH(AT:AT,AS240)))-AR240"),48.0)</f>
        <v>48</v>
      </c>
      <c r="BL240" s="276" t="str">
        <f>IFERROR(__xludf.DUMMYFUNCTION("IF(AS240=""oooooooooooo"",""-"",IF(REGEXMATCH(AT240,""xx""), ""Hemi."", ""Anhemi.""))"),"Hemi.")</f>
        <v>Hemi.</v>
      </c>
      <c r="BM240" s="282" t="str">
        <f>IFERROR(__xludf.DUMMYFUNCTION("IF(AS240=""oooooooooooo"",""-"",IF(REGEXMATCH(AT240,""xxx""), ""Cohem."", ""-""))"),"-")</f>
        <v>-</v>
      </c>
      <c r="BN240" s="282" t="str">
        <f>IFERROR(__xludf.DUMMYFUNCTION("IF(AS240=""oooooooooooo"",""-"",IF(REGEXMATCH(AT240,""xxxx""), ""Co-Co."", ""-""))"),"-")</f>
        <v>-</v>
      </c>
      <c r="BO240" s="342" t="str">
        <f>IFERROR(__xludf.DUMMYFUNCTION("IF(AS240=""oooooooooooo"",""-"",IF(REGEXMATCH(AT240,""xxxxx""), ""CCC."", ""-""))"),"-")</f>
        <v>-</v>
      </c>
      <c r="BP240" s="344" t="str">
        <f t="shared" si="27"/>
        <v>Kafi</v>
      </c>
      <c r="BQ240" s="282" t="str">
        <f>IFERROR(__xludf.DUMMYFUNCTION("IF(REGEXMATCH(JOIN(""-"",EU240:FD240),""TRUE""),""✔"",""-"")"),"✔")</f>
        <v>✔</v>
      </c>
      <c r="BR240" s="225">
        <f t="shared" si="28"/>
        <v>1</v>
      </c>
      <c r="BS240" s="345" t="str">
        <f>IFERROR(__xludf.DUMMYFUNCTION("SUBSTITUTE(SUBSTITUTE(SUBSTITUTE(SUBSTITUTE(CONCATENATE(JOIN(""-"",GC240:GO240)),""--"",""-""),""--"",""-""),""--"",""-""),""--"",""-"")"),"1-2-b3-4-5-6-b7-8")</f>
        <v>1-2-b3-4-5-6-b7-8</v>
      </c>
      <c r="BT240" s="299" t="str">
        <f>IFERROR(__xludf.DUMMYFUNCTION("SUBSTITUTE(SUBSTITUTE(SUBSTITUTE(SUBSTITUTE(CONCATENATE(JOIN(""-"",GP240:HB240)),""--"",""-""),""--"",""-""),""--"",""-""),""--"",""-"")"),"S-R2-G2-M1-P-D2-N2-S")</f>
        <v>S-R2-G2-M1-P-D2-N2-S</v>
      </c>
      <c r="BU240" s="348" t="str">
        <f t="shared" si="29"/>
        <v>C-D-Eb-F-G-A-Bb-C</v>
      </c>
      <c r="BV240" s="349" t="str">
        <f t="shared" si="30"/>
        <v>SrGMdNS</v>
      </c>
      <c r="BW240" s="350">
        <f t="shared" si="31"/>
        <v>1</v>
      </c>
      <c r="BX240" s="351">
        <f t="shared" si="32"/>
        <v>9</v>
      </c>
      <c r="BY240" s="392"/>
      <c r="BZ240" s="309" t="str">
        <f>IFERROR(__xludf.DUMMYFUNCTION("IF(REGEXMATCH(C240, ""S""), ""x"",""x"")"),"x")</f>
        <v>x</v>
      </c>
      <c r="CA240" s="245" t="str">
        <f>IFERROR(__xludf.DUMMYFUNCTION("IF(REGEXMATCH(C240, ""r""), ""o"",""x"")"),"x")</f>
        <v>x</v>
      </c>
      <c r="CB240" s="246" t="str">
        <f>IFERROR(__xludf.DUMMYFUNCTION("IF(REGEXMATCH(C240, ""R""), ""o"",""x"")"),"o")</f>
        <v>o</v>
      </c>
      <c r="CC240" s="246" t="str">
        <f>IFERROR(__xludf.DUMMYFUNCTION("IF(REGEXMATCH(C240, ""g""), ""o"",""x"")"),"o")</f>
        <v>o</v>
      </c>
      <c r="CD240" s="245" t="str">
        <f>IFERROR(__xludf.DUMMYFUNCTION("IF(REGEXMATCH(C240, ""G""), ""o"",""x"")"),"x")</f>
        <v>x</v>
      </c>
      <c r="CE240" s="245" t="str">
        <f>IFERROR(__xludf.DUMMYFUNCTION("IF(REGEXMATCH(C240, ""m""), ""o"",""x"")"),"o")</f>
        <v>o</v>
      </c>
      <c r="CF240" s="246" t="str">
        <f>IFERROR(__xludf.DUMMYFUNCTION("IF(REGEXMATCH(C240, ""M""), ""o"",""x"")"),"x")</f>
        <v>x</v>
      </c>
      <c r="CG240" s="245" t="str">
        <f>IFERROR(__xludf.DUMMYFUNCTION("IF(REGEXMATCH(C240, ""P""), ""o"",""x"")"),"o")</f>
        <v>o</v>
      </c>
      <c r="CH240" s="246" t="str">
        <f>IFERROR(__xludf.DUMMYFUNCTION("IF(REGEXMATCH(C240, ""d""), ""o"",""x"")"),"x")</f>
        <v>x</v>
      </c>
      <c r="CI240" s="245" t="str">
        <f>IFERROR(__xludf.DUMMYFUNCTION("IF(REGEXMATCH(C240, ""D""), ""o"",""x"")"),"o")</f>
        <v>o</v>
      </c>
      <c r="CJ240" s="245" t="str">
        <f>IFERROR(__xludf.DUMMYFUNCTION("IF(REGEXMATCH(C240, ""n""), ""o"",""x"")"),"o")</f>
        <v>o</v>
      </c>
      <c r="CK240" s="245" t="str">
        <f>IFERROR(__xludf.DUMMYFUNCTION("IF(REGEXMATCH(C240, ""N""), ""o"",""x"")"),"x")</f>
        <v>x</v>
      </c>
      <c r="CL240" s="356" t="str">
        <f>IFERROR(__xludf.DUMMYFUNCTION("IF(REGEXMATCH(C240, ""S""), ""x"",""x"")"),"x")</f>
        <v>x</v>
      </c>
      <c r="CM240" s="357" t="str">
        <f t="shared" si="33"/>
        <v>xxooxoxoxoox</v>
      </c>
      <c r="CN240" s="358">
        <f t="shared" si="34"/>
        <v>1</v>
      </c>
      <c r="CO240" s="246" t="str">
        <f>IFERROR(__xludf.DUMMYFUNCTION("IF(REGEXMATCH($C240, ""S""), ""S"",""S"")"),"S")</f>
        <v>S</v>
      </c>
      <c r="CP240" s="246" t="str">
        <f>IFERROR(__xludf.DUMMYFUNCTION("IF(REGEXMATCH($C240, ""r""), """",""r"")"),"r")</f>
        <v>r</v>
      </c>
      <c r="CQ240" s="246" t="str">
        <f>IFERROR(__xludf.DUMMYFUNCTION("IF(REGEXMATCH($C240, ""R""), """",""R"")"),"")</f>
        <v/>
      </c>
      <c r="CR240" s="246" t="str">
        <f>IFERROR(__xludf.DUMMYFUNCTION("IF(REGEXMATCH($C240, ""g""), """",""g"")"),"")</f>
        <v/>
      </c>
      <c r="CS240" s="246" t="str">
        <f>IFERROR(__xludf.DUMMYFUNCTION("IF(REGEXMATCH($C240, ""G""), """",""G"")"),"G")</f>
        <v>G</v>
      </c>
      <c r="CT240" s="246" t="str">
        <f>IFERROR(__xludf.DUMMYFUNCTION("IF(REGEXMATCH($C240, ""m""), """",""m"")"),"")</f>
        <v/>
      </c>
      <c r="CU240" s="246" t="str">
        <f>IFERROR(__xludf.DUMMYFUNCTION("IF(REGEXMATCH($C240, ""M""), """",""M"")"),"M")</f>
        <v>M</v>
      </c>
      <c r="CV240" s="246" t="str">
        <f>IFERROR(__xludf.DUMMYFUNCTION("IF(REGEXMATCH($C240, ""P""), """",""P"")"),"")</f>
        <v/>
      </c>
      <c r="CW240" s="246" t="str">
        <f>IFERROR(__xludf.DUMMYFUNCTION("IF(REGEXMATCH($C240, ""d""), """",""d"")"),"d")</f>
        <v>d</v>
      </c>
      <c r="CX240" s="246" t="str">
        <f>IFERROR(__xludf.DUMMYFUNCTION("IF(REGEXMATCH($C240, ""D""), """",""D"")"),"")</f>
        <v/>
      </c>
      <c r="CY240" s="246" t="str">
        <f>IFERROR(__xludf.DUMMYFUNCTION("IF(REGEXMATCH($C240, ""n""), """",""n"")"),"")</f>
        <v/>
      </c>
      <c r="CZ240" s="246" t="str">
        <f>IFERROR(__xludf.DUMMYFUNCTION("IF(REGEXMATCH($C240, ""N""), """",""N"")"),"N")</f>
        <v>N</v>
      </c>
      <c r="DA240" s="246" t="str">
        <f>IFERROR(__xludf.DUMMYFUNCTION("IF(REGEXMATCH($C240, ""S""), ""S"",""S"")"),"S")</f>
        <v>S</v>
      </c>
      <c r="DB240" s="362" t="str">
        <f>IFERROR(__xludf.DUMMYFUNCTION("JOIN("""",CO240:DA240,"""","""")"),"SrGMdNS")</f>
        <v>SrGMdNS</v>
      </c>
      <c r="DC240" s="363"/>
      <c r="DD240" s="301" t="str">
        <f t="shared" si="35"/>
        <v>#REF!</v>
      </c>
      <c r="DE240" s="302" t="str">
        <f t="shared" si="36"/>
        <v>#REF!</v>
      </c>
      <c r="DF240" s="301" t="str">
        <f t="shared" ref="DF240:DG240" si="699">SUBSTITUTE(S240,"-","")</f>
        <v>SRGM</v>
      </c>
      <c r="DG240" s="301" t="str">
        <f t="shared" si="699"/>
        <v>PDNS</v>
      </c>
      <c r="DH240" s="302" t="str">
        <f t="shared" si="38"/>
        <v>Bilawal</v>
      </c>
      <c r="DI240" s="301" t="str">
        <f t="shared" si="39"/>
        <v>Hemi.</v>
      </c>
      <c r="DJ240" s="364" t="str">
        <f t="shared" si="40"/>
        <v>-</v>
      </c>
      <c r="DK240" s="306" t="str">
        <f t="shared" si="41"/>
        <v>Kafi</v>
      </c>
      <c r="DL240" s="366" t="str">
        <f t="shared" si="42"/>
        <v>-</v>
      </c>
      <c r="DM240" s="308" t="str">
        <f t="shared" si="43"/>
        <v>-</v>
      </c>
      <c r="DN240" s="306" t="str">
        <f t="shared" si="44"/>
        <v>-</v>
      </c>
      <c r="DO240" s="306" t="str">
        <f t="shared" si="45"/>
        <v>-</v>
      </c>
      <c r="DP240" s="367" t="str">
        <f t="shared" si="46"/>
        <v>-</v>
      </c>
      <c r="DQ240" s="310" t="str">
        <f t="shared" si="47"/>
        <v>-</v>
      </c>
      <c r="DR240" s="310" t="str">
        <f t="shared" si="48"/>
        <v>-</v>
      </c>
      <c r="DS240" s="310" t="str">
        <f t="shared" si="49"/>
        <v>-</v>
      </c>
      <c r="DT240" s="310" t="str">
        <f t="shared" si="50"/>
        <v>-</v>
      </c>
      <c r="DU240" s="370" t="str">
        <f t="shared" si="51"/>
        <v>-</v>
      </c>
      <c r="DV240" s="306" t="str">
        <f t="shared" si="52"/>
        <v>-</v>
      </c>
      <c r="DW240" s="306" t="str">
        <f t="shared" si="53"/>
        <v>-</v>
      </c>
      <c r="DX240" s="306" t="str">
        <f t="shared" si="54"/>
        <v>-</v>
      </c>
      <c r="DY240" s="306" t="str">
        <f t="shared" si="55"/>
        <v>-</v>
      </c>
      <c r="DZ240" s="306" t="str">
        <f t="shared" si="56"/>
        <v>-</v>
      </c>
      <c r="EA240" s="367" t="str">
        <f t="shared" si="57"/>
        <v>-</v>
      </c>
      <c r="EB240" s="310" t="str">
        <f>IFERROR(__xludf.DUMMYFUNCTION("IF(REGEXMATCH(AW240,AS240),""✔"",""-"")"),"✔")</f>
        <v>✔</v>
      </c>
      <c r="EC240" s="310" t="str">
        <f t="shared" si="58"/>
        <v>#REF!</v>
      </c>
      <c r="ED240" s="370" t="str">
        <f t="shared" si="59"/>
        <v>✔</v>
      </c>
      <c r="EE240" s="340" t="str">
        <f t="shared" si="60"/>
        <v>S-R-g-m-P-D-n-S</v>
      </c>
      <c r="EF240" s="371" t="str">
        <f>IFERROR(__xludf.DUMMYFUNCTION("CONCATENATE(JOIN("""",HC240:HO240))"),"SRgmPDnS")</f>
        <v>SRgmPDnS</v>
      </c>
      <c r="EG240" s="372">
        <f t="shared" si="61"/>
        <v>1</v>
      </c>
      <c r="EH240" s="373" t="str">
        <f>IFERROR(__xludf.DUMMYFUNCTION("CONCATENATE(JOIN("""",JC240:JO240))"),"Dha, ")</f>
        <v>Dha, </v>
      </c>
      <c r="EI240" s="322">
        <f t="shared" si="62"/>
        <v>0</v>
      </c>
      <c r="EJ240" s="374" t="str">
        <f>IFERROR(__xludf.DUMMYFUNCTION("CONCATENATE(JOIN("""",KC240:KO240))"),"")</f>
        <v/>
      </c>
      <c r="EK240" s="325" t="str">
        <f t="shared" si="63"/>
        <v>S-R2-G2-M1-P-D2-N2-S</v>
      </c>
      <c r="EL240" s="326" t="str">
        <f t="shared" si="64"/>
        <v>1-2-b3-4-5-6-b7-8</v>
      </c>
      <c r="EM240" s="318" t="str">
        <f t="shared" si="65"/>
        <v>#REF!</v>
      </c>
      <c r="EN240" s="328" t="str">
        <f>IFERROR(__xludf.DUMMYFUNCTION("SUBSTITUTE(SUBSTITUTE(SUBSTITUTE(SUBSTITUTE(CONCATENATE(JOIN("" "",HP240:IB240)),""  "","" ""),""  "","" ""),""  "","" ""),""  "","" "")"),"o • o o • o • o • o o • o")</f>
        <v>o • o o • o • o • o o • o</v>
      </c>
      <c r="EO240" s="368" t="str">
        <f t="shared" si="66"/>
        <v>-</v>
      </c>
      <c r="EP240" s="339" t="str">
        <f t="shared" si="67"/>
        <v>-</v>
      </c>
      <c r="EQ240" s="339" t="str">
        <f t="shared" si="68"/>
        <v>Sa-Pa</v>
      </c>
      <c r="ER240" s="339" t="str">
        <f t="shared" si="69"/>
        <v>-</v>
      </c>
      <c r="ES240" s="340" t="str">
        <f t="shared" si="70"/>
        <v>-</v>
      </c>
      <c r="ET240" s="363"/>
      <c r="EU240" s="376" t="b">
        <f>IFERROR(__xludf.DUMMYFUNCTION("arrayformula(sum(--REGEXMATCH(""SRGMPDNS"",split(REGEXREPLACE(C240,""(.)"",""$1~""),""~""))))=len(C240)
"),FALSE)</f>
        <v>0</v>
      </c>
      <c r="EV240" s="290" t="b">
        <f>IFERROR(__xludf.DUMMYFUNCTION("arrayformula(sum(--REGEXMATCH(""SRGmPDNS"",split(REGEXREPLACE(C240,""(.)"",""$1~""),""~""))))=len(C240)"),FALSE)</f>
        <v>0</v>
      </c>
      <c r="EW240" s="290" t="b">
        <f>IFERROR(__xludf.DUMMYFUNCTION("arrayformula(sum(--REGEXMATCH(""SRGmPDnS"",split(REGEXREPLACE(C240,""(.)"",""$1~""),""~""))))=len(C240)"),FALSE)</f>
        <v>0</v>
      </c>
      <c r="EX240" s="290" t="b">
        <f>IFERROR(__xludf.DUMMYFUNCTION("arrayformula(sum(--REGEXMATCH(""SRgmPDnS"",split(REGEXREPLACE(C240,""(.)"",""$1~""),""~""))))=len(C240)"),TRUE)</f>
        <v>1</v>
      </c>
      <c r="EY240" s="290" t="b">
        <f>IFERROR(__xludf.DUMMYFUNCTION("arrayformula(sum(--REGEXMATCH(""SRgmPdnS"",split(REGEXREPLACE(C240,""(.)"",""$1~""),""~""))))=len(C240)"),FALSE)</f>
        <v>0</v>
      </c>
      <c r="EZ240" s="290" t="b">
        <f>IFERROR(__xludf.DUMMYFUNCTION("arrayformula(sum(--REGEXMATCH(""SrgmPdnS"",split(REGEXREPLACE(C240,""(.)"",""$1~""),""~""))))=len(C240)"),FALSE)</f>
        <v>0</v>
      </c>
      <c r="FA240" s="290" t="b">
        <f>IFERROR(__xludf.DUMMYFUNCTION("arrayformula(sum(--REGEXMATCH(""SrGmPdNS"",split(REGEXREPLACE(C240,""(.)"",""$1~""),""~""))))=len(C240)"),FALSE)</f>
        <v>0</v>
      </c>
      <c r="FB240" s="290" t="b">
        <f>IFERROR(__xludf.DUMMYFUNCTION("arrayformula(sum(--REGEXMATCH(""SrGMPDNS"",split(REGEXREPLACE(C240,""(.)"",""$1~""),""~""))))=len(C240)"),FALSE)</f>
        <v>0</v>
      </c>
      <c r="FC240" s="290" t="b">
        <f>IFERROR(__xludf.DUMMYFUNCTION("arrayformula(sum(--REGEXMATCH(""SrGMPdNS"",split(REGEXREPLACE(C240,""(.)"",""$1~""),""~""))))=len(C240)"),FALSE)</f>
        <v>0</v>
      </c>
      <c r="FD240" s="377" t="b">
        <f>IFERROR(__xludf.DUMMYFUNCTION("arrayformula(sum(--REGEXMATCH(""SrgMPdNS"",split(REGEXREPLACE(C240,""(.)"",""$1~""),""~""))))=len(C240)"),FALSE)</f>
        <v>0</v>
      </c>
      <c r="FE240" s="269" t="str">
        <f t="shared" si="71"/>
        <v>-</v>
      </c>
      <c r="FF240" s="269" t="str">
        <f t="shared" si="72"/>
        <v>xxoxoxoxxox</v>
      </c>
      <c r="FG240" s="271" t="str">
        <f t="shared" si="73"/>
        <v>xoxoxoxxoxo</v>
      </c>
      <c r="FH240" s="269" t="str">
        <f t="shared" si="74"/>
        <v>-</v>
      </c>
      <c r="FI240" s="271" t="str">
        <f t="shared" si="75"/>
        <v>xoxoxxoxoxx</v>
      </c>
      <c r="FJ240" s="271" t="str">
        <f t="shared" si="76"/>
        <v>-</v>
      </c>
      <c r="FK240" s="271" t="str">
        <f t="shared" si="77"/>
        <v>xoxxoxoxxox</v>
      </c>
      <c r="FL240" s="271" t="str">
        <f t="shared" si="78"/>
        <v>-</v>
      </c>
      <c r="FM240" s="271" t="str">
        <f t="shared" si="79"/>
        <v>xxoxoxxoxox</v>
      </c>
      <c r="FN240" s="271" t="str">
        <f t="shared" si="80"/>
        <v>xoxoxxoxoxo</v>
      </c>
      <c r="FO240" s="274" t="str">
        <f t="shared" si="81"/>
        <v>-</v>
      </c>
      <c r="FP240" s="234" t="str">
        <f t="shared" si="82"/>
        <v>|</v>
      </c>
      <c r="FQ240" s="236" t="str">
        <f t="shared" si="83"/>
        <v>-</v>
      </c>
      <c r="FR240" s="237" t="str">
        <f t="shared" si="84"/>
        <v>|</v>
      </c>
      <c r="FS240" s="236" t="str">
        <f t="shared" si="85"/>
        <v>|</v>
      </c>
      <c r="FT240" s="237" t="str">
        <f t="shared" si="86"/>
        <v>-</v>
      </c>
      <c r="FU240" s="236" t="str">
        <f t="shared" si="87"/>
        <v>|</v>
      </c>
      <c r="FV240" s="237" t="str">
        <f t="shared" si="88"/>
        <v>-</v>
      </c>
      <c r="FW240" s="236" t="str">
        <f t="shared" si="89"/>
        <v>|</v>
      </c>
      <c r="FX240" s="237" t="str">
        <f t="shared" si="90"/>
        <v>-</v>
      </c>
      <c r="FY240" s="236" t="str">
        <f t="shared" si="91"/>
        <v>|</v>
      </c>
      <c r="FZ240" s="237" t="str">
        <f t="shared" si="92"/>
        <v>|</v>
      </c>
      <c r="GA240" s="236" t="str">
        <f t="shared" si="93"/>
        <v>-</v>
      </c>
      <c r="GB240" s="238" t="str">
        <f t="shared" si="94"/>
        <v>|</v>
      </c>
      <c r="GC240" s="244" t="str">
        <f>IFERROR(__xludf.DUMMYFUNCTION("IF(REGEXMATCH(C240, ""S""), ""1"","""")"),"1")</f>
        <v>1</v>
      </c>
      <c r="GD240" s="245" t="str">
        <f>IFERROR(__xludf.DUMMYFUNCTION("IF(REGEXMATCH(C240, ""r""), ""b2"","""")"),"")</f>
        <v/>
      </c>
      <c r="GE240" s="246" t="str">
        <f>IFERROR(__xludf.DUMMYFUNCTION("IF(REGEXMATCH(C240, ""R""), ""2"","""")"),"2")</f>
        <v>2</v>
      </c>
      <c r="GF240" s="246" t="str">
        <f>IFERROR(__xludf.DUMMYFUNCTION("IF(REGEXMATCH(C240, ""g""), ""b3"","""")"),"b3")</f>
        <v>b3</v>
      </c>
      <c r="GG240" s="245" t="str">
        <f>IFERROR(__xludf.DUMMYFUNCTION("IF(REGEXMATCH(C240, ""G""), ""3"","""")"),"")</f>
        <v/>
      </c>
      <c r="GH240" s="245" t="str">
        <f>IFERROR(__xludf.DUMMYFUNCTION("IF(REGEXMATCH(C240, ""m""), ""4"","""")"),"4")</f>
        <v>4</v>
      </c>
      <c r="GI240" s="246" t="str">
        <f>IFERROR(__xludf.DUMMYFUNCTION("IF(REGEXMATCH(C240, ""M""), ""#4"","""")"),"")</f>
        <v/>
      </c>
      <c r="GJ240" s="245" t="str">
        <f>IFERROR(__xludf.DUMMYFUNCTION("IF(REGEXMATCH(C240, ""P""), ""5"","""")"),"5")</f>
        <v>5</v>
      </c>
      <c r="GK240" s="246" t="str">
        <f>IFERROR(__xludf.DUMMYFUNCTION("IF(REGEXMATCH(C240, ""d""), ""b6"","""")"),"")</f>
        <v/>
      </c>
      <c r="GL240" s="245" t="str">
        <f>IFERROR(__xludf.DUMMYFUNCTION("IF(REGEXMATCH(C240, ""D""), ""6"","""")"),"6")</f>
        <v>6</v>
      </c>
      <c r="GM240" s="245" t="str">
        <f>IFERROR(__xludf.DUMMYFUNCTION("IF(REGEXMATCH(C240, ""n""), ""b7"","""")"),"b7")</f>
        <v>b7</v>
      </c>
      <c r="GN240" s="246" t="str">
        <f>IFERROR(__xludf.DUMMYFUNCTION("IF(REGEXMATCH(C240, ""N""), ""7"","""")"),"")</f>
        <v/>
      </c>
      <c r="GO240" s="249" t="str">
        <f>IFERROR(__xludf.DUMMYFUNCTION("IF(REGEXMATCH(C240, ""S""), ""8"","""")"),"8")</f>
        <v>8</v>
      </c>
      <c r="GP240" s="244" t="str">
        <f>IFERROR(__xludf.DUMMYFUNCTION("IF(REGEXMATCH(C240, ""S""), ""S"","""")"),"S")</f>
        <v>S</v>
      </c>
      <c r="GQ240" s="294" t="str">
        <f>IFERROR(__xludf.DUMMYFUNCTION("IF(REGEXMATCH(C240, ""r""), ""R1"","""")"),"")</f>
        <v/>
      </c>
      <c r="GR240" s="295" t="str">
        <f>IFERROR(__xludf.DUMMYFUNCTION("IF(REGEXMATCH(C240, ""R""), ""R2"","""")"),"R2")</f>
        <v>R2</v>
      </c>
      <c r="GS240" s="295" t="str">
        <f>IFERROR(__xludf.DUMMYFUNCTION("IF(REGEXMATCH(C240, ""g""), ""G2"","""")"),"G2")</f>
        <v>G2</v>
      </c>
      <c r="GT240" s="294" t="str">
        <f>IFERROR(__xludf.DUMMYFUNCTION("IF(REGEXMATCH(C240, ""G""), ""G3"","""")"),"")</f>
        <v/>
      </c>
      <c r="GU240" s="294" t="str">
        <f>IFERROR(__xludf.DUMMYFUNCTION("IF(REGEXMATCH(C240, ""m""), ""M1"","""")"),"M1")</f>
        <v>M1</v>
      </c>
      <c r="GV240" s="295" t="str">
        <f>IFERROR(__xludf.DUMMYFUNCTION("IF(REGEXMATCH(C240, ""M""), ""M2"","""")"),"")</f>
        <v/>
      </c>
      <c r="GW240" s="294" t="str">
        <f>IFERROR(__xludf.DUMMYFUNCTION("IF(REGEXMATCH(C240, ""P""), ""P"","""")"),"P")</f>
        <v>P</v>
      </c>
      <c r="GX240" s="295" t="str">
        <f>IFERROR(__xludf.DUMMYFUNCTION("IF(REGEXMATCH(C240, ""d""), ""D1"","""")"),"")</f>
        <v/>
      </c>
      <c r="GY240" s="294" t="str">
        <f>IFERROR(__xludf.DUMMYFUNCTION("IF(REGEXMATCH(C240, ""D""), ""D2"","""")"),"D2")</f>
        <v>D2</v>
      </c>
      <c r="GZ240" s="294" t="str">
        <f>IFERROR(__xludf.DUMMYFUNCTION("IF(REGEXMATCH(C240, ""n""), ""N2"","""")"),"N2")</f>
        <v>N2</v>
      </c>
      <c r="HA240" s="295" t="str">
        <f>IFERROR(__xludf.DUMMYFUNCTION("IF(REGEXMATCH(C240, ""N""), ""N3"","""")"),"")</f>
        <v/>
      </c>
      <c r="HB240" s="249" t="str">
        <f>IFERROR(__xludf.DUMMYFUNCTION("IF(REGEXMATCH(C240, ""S""), ""S"","""")"),"S")</f>
        <v>S</v>
      </c>
      <c r="HC240" s="331" t="str">
        <f t="shared" si="95"/>
        <v>S</v>
      </c>
      <c r="HD240" s="332" t="str">
        <f t="shared" si="96"/>
        <v/>
      </c>
      <c r="HE240" s="332" t="str">
        <f t="shared" si="97"/>
        <v>R</v>
      </c>
      <c r="HF240" s="332" t="str">
        <f t="shared" si="98"/>
        <v>g</v>
      </c>
      <c r="HG240" s="332" t="str">
        <f t="shared" si="99"/>
        <v/>
      </c>
      <c r="HH240" s="332" t="str">
        <f t="shared" si="100"/>
        <v>m</v>
      </c>
      <c r="HI240" s="332" t="str">
        <f t="shared" si="101"/>
        <v/>
      </c>
      <c r="HJ240" s="332" t="str">
        <f t="shared" si="102"/>
        <v>P</v>
      </c>
      <c r="HK240" s="332" t="str">
        <f t="shared" si="103"/>
        <v/>
      </c>
      <c r="HL240" s="332" t="str">
        <f t="shared" si="104"/>
        <v>D</v>
      </c>
      <c r="HM240" s="332" t="str">
        <f t="shared" si="105"/>
        <v>n</v>
      </c>
      <c r="HN240" s="332" t="str">
        <f t="shared" si="106"/>
        <v/>
      </c>
      <c r="HO240" s="343" t="str">
        <f t="shared" si="107"/>
        <v>S</v>
      </c>
      <c r="HP240" s="331" t="str">
        <f t="shared" si="108"/>
        <v>o</v>
      </c>
      <c r="HQ240" s="332" t="str">
        <f t="shared" si="109"/>
        <v>•</v>
      </c>
      <c r="HR240" s="332" t="str">
        <f t="shared" si="110"/>
        <v>o</v>
      </c>
      <c r="HS240" s="332" t="str">
        <f t="shared" si="111"/>
        <v>o</v>
      </c>
      <c r="HT240" s="332" t="str">
        <f t="shared" si="112"/>
        <v>•</v>
      </c>
      <c r="HU240" s="332" t="str">
        <f t="shared" si="113"/>
        <v>o</v>
      </c>
      <c r="HV240" s="332" t="str">
        <f t="shared" si="114"/>
        <v>•</v>
      </c>
      <c r="HW240" s="332" t="str">
        <f t="shared" si="115"/>
        <v>o</v>
      </c>
      <c r="HX240" s="332" t="str">
        <f t="shared" si="116"/>
        <v>•</v>
      </c>
      <c r="HY240" s="332" t="str">
        <f t="shared" si="117"/>
        <v>o</v>
      </c>
      <c r="HZ240" s="332" t="str">
        <f t="shared" si="118"/>
        <v>o</v>
      </c>
      <c r="IA240" s="332" t="str">
        <f t="shared" si="119"/>
        <v>•</v>
      </c>
      <c r="IB240" s="338" t="str">
        <f t="shared" si="120"/>
        <v>o</v>
      </c>
      <c r="IC240" s="331" t="str">
        <f t="shared" si="121"/>
        <v>•</v>
      </c>
      <c r="ID240" s="332" t="str">
        <f t="shared" si="122"/>
        <v>o</v>
      </c>
      <c r="IE240" s="332" t="str">
        <f t="shared" si="123"/>
        <v>•</v>
      </c>
      <c r="IF240" s="332" t="str">
        <f t="shared" si="124"/>
        <v>•</v>
      </c>
      <c r="IG240" s="332" t="str">
        <f t="shared" si="125"/>
        <v>o</v>
      </c>
      <c r="IH240" s="332" t="str">
        <f t="shared" si="126"/>
        <v>•</v>
      </c>
      <c r="II240" s="332" t="str">
        <f t="shared" si="127"/>
        <v>o</v>
      </c>
      <c r="IJ240" s="332" t="str">
        <f t="shared" si="128"/>
        <v>•</v>
      </c>
      <c r="IK240" s="332" t="str">
        <f t="shared" si="129"/>
        <v>o</v>
      </c>
      <c r="IL240" s="332" t="str">
        <f t="shared" si="130"/>
        <v>•</v>
      </c>
      <c r="IM240" s="332" t="str">
        <f t="shared" si="131"/>
        <v>•</v>
      </c>
      <c r="IN240" s="332" t="str">
        <f t="shared" si="132"/>
        <v>o</v>
      </c>
      <c r="IO240" s="338" t="str">
        <f t="shared" si="133"/>
        <v>•</v>
      </c>
      <c r="IP240" s="346" t="b">
        <f t="shared" si="134"/>
        <v>0</v>
      </c>
      <c r="IQ240" s="347" t="b">
        <f t="shared" si="135"/>
        <v>0</v>
      </c>
      <c r="IR240" s="347" t="b">
        <f t="shared" si="136"/>
        <v>0</v>
      </c>
      <c r="IS240" s="347" t="b">
        <f t="shared" si="137"/>
        <v>0</v>
      </c>
      <c r="IT240" s="347" t="b">
        <f t="shared" si="138"/>
        <v>0</v>
      </c>
      <c r="IU240" s="347" t="b">
        <f t="shared" si="139"/>
        <v>0</v>
      </c>
      <c r="IV240" s="347" t="b">
        <f t="shared" si="140"/>
        <v>0</v>
      </c>
      <c r="IW240" s="347" t="b">
        <f t="shared" si="141"/>
        <v>0</v>
      </c>
      <c r="IX240" s="347" t="b">
        <f t="shared" si="142"/>
        <v>0</v>
      </c>
      <c r="IY240" s="347" t="b">
        <f t="shared" si="143"/>
        <v>1</v>
      </c>
      <c r="IZ240" s="347" t="b">
        <f t="shared" si="144"/>
        <v>0</v>
      </c>
      <c r="JA240" s="347" t="b">
        <f t="shared" si="145"/>
        <v>0</v>
      </c>
      <c r="JB240" s="353" t="b">
        <f t="shared" si="146"/>
        <v>0</v>
      </c>
      <c r="JC240" s="354" t="str">
        <f t="shared" si="147"/>
        <v/>
      </c>
      <c r="JD240" s="355" t="str">
        <f t="shared" si="148"/>
        <v/>
      </c>
      <c r="JE240" s="355" t="str">
        <f t="shared" si="149"/>
        <v/>
      </c>
      <c r="JF240" s="355" t="str">
        <f t="shared" si="150"/>
        <v/>
      </c>
      <c r="JG240" s="355" t="str">
        <f t="shared" si="151"/>
        <v/>
      </c>
      <c r="JH240" s="355" t="str">
        <f t="shared" si="152"/>
        <v/>
      </c>
      <c r="JI240" s="355" t="str">
        <f t="shared" si="153"/>
        <v/>
      </c>
      <c r="JJ240" s="355" t="str">
        <f t="shared" si="154"/>
        <v/>
      </c>
      <c r="JK240" s="355" t="str">
        <f t="shared" si="155"/>
        <v/>
      </c>
      <c r="JL240" s="355" t="str">
        <f t="shared" si="156"/>
        <v>Dha, </v>
      </c>
      <c r="JM240" s="355" t="str">
        <f t="shared" si="157"/>
        <v/>
      </c>
      <c r="JN240" s="355" t="str">
        <f t="shared" si="158"/>
        <v/>
      </c>
      <c r="JO240" s="359" t="str">
        <f t="shared" si="159"/>
        <v/>
      </c>
      <c r="JP240" s="346" t="b">
        <f t="shared" si="160"/>
        <v>0</v>
      </c>
      <c r="JQ240" s="347" t="b">
        <f t="shared" si="161"/>
        <v>0</v>
      </c>
      <c r="JR240" s="347" t="b">
        <f t="shared" si="162"/>
        <v>0</v>
      </c>
      <c r="JS240" s="347" t="b">
        <f t="shared" si="163"/>
        <v>0</v>
      </c>
      <c r="JT240" s="347" t="b">
        <f t="shared" si="164"/>
        <v>0</v>
      </c>
      <c r="JU240" s="347" t="b">
        <f t="shared" si="165"/>
        <v>0</v>
      </c>
      <c r="JV240" s="347" t="b">
        <f t="shared" si="166"/>
        <v>0</v>
      </c>
      <c r="JW240" s="347" t="b">
        <f t="shared" si="167"/>
        <v>0</v>
      </c>
      <c r="JX240" s="347" t="b">
        <f t="shared" si="168"/>
        <v>0</v>
      </c>
      <c r="JY240" s="347" t="b">
        <f t="shared" si="169"/>
        <v>0</v>
      </c>
      <c r="JZ240" s="347" t="b">
        <f t="shared" si="170"/>
        <v>0</v>
      </c>
      <c r="KA240" s="347" t="b">
        <f t="shared" si="171"/>
        <v>0</v>
      </c>
      <c r="KB240" s="365" t="b">
        <f t="shared" si="172"/>
        <v>0</v>
      </c>
      <c r="KC240" s="354" t="str">
        <f t="shared" si="173"/>
        <v/>
      </c>
      <c r="KD240" s="355" t="str">
        <f t="shared" si="174"/>
        <v/>
      </c>
      <c r="KE240" s="355" t="str">
        <f t="shared" si="175"/>
        <v/>
      </c>
      <c r="KF240" s="355" t="str">
        <f t="shared" si="176"/>
        <v/>
      </c>
      <c r="KG240" s="355" t="str">
        <f t="shared" si="177"/>
        <v/>
      </c>
      <c r="KH240" s="355" t="str">
        <f t="shared" si="178"/>
        <v/>
      </c>
      <c r="KI240" s="355" t="str">
        <f t="shared" si="179"/>
        <v/>
      </c>
      <c r="KJ240" s="355" t="str">
        <f t="shared" si="180"/>
        <v/>
      </c>
      <c r="KK240" s="355" t="str">
        <f t="shared" si="181"/>
        <v/>
      </c>
      <c r="KL240" s="355" t="str">
        <f t="shared" si="182"/>
        <v/>
      </c>
      <c r="KM240" s="355" t="str">
        <f t="shared" si="183"/>
        <v/>
      </c>
      <c r="KN240" s="355" t="str">
        <f t="shared" si="184"/>
        <v/>
      </c>
      <c r="KO240" s="359"/>
      <c r="KP240" s="378"/>
      <c r="KQ240" s="379" t="s">
        <v>9</v>
      </c>
      <c r="KR240" s="380" t="s">
        <v>1297</v>
      </c>
      <c r="KS240" s="381" t="s">
        <v>9</v>
      </c>
      <c r="KT240" s="382">
        <f t="shared" si="186"/>
        <v>0</v>
      </c>
      <c r="KU240" s="383">
        <f t="shared" si="187"/>
        <v>0</v>
      </c>
      <c r="KV240" s="381" t="str">
        <f t="shared" si="205"/>
        <v>S-n-D-P-m-g-R-S</v>
      </c>
      <c r="KW240" s="382">
        <f t="shared" si="189"/>
        <v>7</v>
      </c>
      <c r="KX240" s="384">
        <f t="shared" si="190"/>
        <v>7</v>
      </c>
      <c r="KY240" s="382">
        <f t="shared" ref="KY240:KZ240" si="700">KW240-KT240</f>
        <v>7</v>
      </c>
      <c r="KZ240" s="369">
        <f t="shared" si="700"/>
        <v>7</v>
      </c>
      <c r="LA240" s="385" t="str">
        <f t="shared" si="192"/>
        <v>-</v>
      </c>
      <c r="LB240" s="340" t="str">
        <f>IFERROR(__xludf.DUMMYFUNCTION("JOIN("""",ArrayFormula(MID(KS240,LEN(KS240)-SEQUENCE(1,LEN(KS240))+1,1)))"),"S")</f>
        <v>S</v>
      </c>
      <c r="LC240" s="373" t="str">
        <f>IFERROR(__xludf.DUMMYFUNCTION("JOIN("""",ArrayFormula(MID(KV240,LEN(KV240)-SEQUENCE(1,LEN(KV240))+1,1)))"),"S-R-g-m-P-D-n-S")</f>
        <v>S-R-g-m-P-D-n-S</v>
      </c>
      <c r="LD240" s="373" t="str">
        <f t="shared" si="193"/>
        <v>S</v>
      </c>
      <c r="LE240" s="339" t="str">
        <f t="shared" si="194"/>
        <v>SRgmPDnS</v>
      </c>
      <c r="LF240" s="386" t="str">
        <f>IFERROR(__xludf.DUMMYFUNCTION("SUBSTITUTE(SUBSTITUTE(CONCATENATE(JOIN("""",LH240:LT240)),""1"",""""),""2"","""")"),"SRgmPDnS")</f>
        <v>SRgmPDnS</v>
      </c>
      <c r="LG240" s="369" t="str">
        <f t="shared" si="195"/>
        <v>✔</v>
      </c>
      <c r="LH240" s="387" t="str">
        <f>IFERROR(__xludf.DUMMYFUNCTION("IF(REGEXMATCH(LD240, ""S""), ""S"",IF(REGEXMATCH(LE240, ""S""), ""S"",""""))"),"S")</f>
        <v>S</v>
      </c>
      <c r="LI240" s="299" t="str">
        <f>IFERROR(__xludf.DUMMYFUNCTION("IF(REGEXMATCH(LD240, ""r""), ""r1"",IF(REGEXMATCH(LE240, ""r""), ""r2"",""""))"),"")</f>
        <v/>
      </c>
      <c r="LJ240" s="299" t="str">
        <f>IFERROR(__xludf.DUMMYFUNCTION("IF(REGEXMATCH(LD240, ""R""), ""R1"",IF(REGEXMATCH(LE240, ""R""), ""R2"",""""))"),"R2")</f>
        <v>R2</v>
      </c>
      <c r="LK240" s="299" t="str">
        <f>IFERROR(__xludf.DUMMYFUNCTION("IF(REGEXMATCH(LD240, ""g""), ""g1"",IF(REGEXMATCH(LE240, ""g""), ""g2"",""""))"),"g2")</f>
        <v>g2</v>
      </c>
      <c r="LL240" s="299" t="str">
        <f>IFERROR(__xludf.DUMMYFUNCTION("IF(REGEXMATCH(LD240, ""G""), ""G1"",IF(REGEXMATCH(LE240, ""G""), ""G2"",""""))"),"")</f>
        <v/>
      </c>
      <c r="LM240" s="299" t="str">
        <f>IFERROR(__xludf.DUMMYFUNCTION("IF(REGEXMATCH(LD240, ""m""), ""m1"",IF(REGEXMATCH(LE240, ""m""), ""m2"",""""))"),"m2")</f>
        <v>m2</v>
      </c>
      <c r="LN240" s="299" t="str">
        <f>IFERROR(__xludf.DUMMYFUNCTION("IF(REGEXMATCH(LD240, ""M""), ""M1"",IF(REGEXMATCH(LE240, ""M""), ""M2"",""""))"),"")</f>
        <v/>
      </c>
      <c r="LO240" s="299" t="str">
        <f>IFERROR(__xludf.DUMMYFUNCTION("IF(REGEXMATCH(LD240, ""P""), ""P1"",IF(REGEXMATCH(LE240, ""P""), ""P2"",""""))"),"P2")</f>
        <v>P2</v>
      </c>
      <c r="LP240" s="299" t="str">
        <f>IFERROR(__xludf.DUMMYFUNCTION("IF(REGEXMATCH(LD240, ""d""), ""d1"",IF(REGEXMATCH(LE240, ""d""), ""d2"",""""))"),"")</f>
        <v/>
      </c>
      <c r="LQ240" s="299" t="str">
        <f>IFERROR(__xludf.DUMMYFUNCTION("IF(REGEXMATCH(LD240, ""D""), ""D1"",IF(REGEXMATCH(LE240, ""D""), ""D2"",""""))"),"D2")</f>
        <v>D2</v>
      </c>
      <c r="LR240" s="299" t="str">
        <f>IFERROR(__xludf.DUMMYFUNCTION("IF(REGEXMATCH(LD240, ""n""), ""n1"",IF(REGEXMATCH(LE240, ""n""), ""n2"",""""))"),"n2")</f>
        <v>n2</v>
      </c>
      <c r="LS240" s="299" t="str">
        <f>IFERROR(__xludf.DUMMYFUNCTION("IF(REGEXMATCH(LD240, ""N""), ""N1"",IF(REGEXMATCH(LE240, ""N""), ""N2"",""""))"),"")</f>
        <v/>
      </c>
      <c r="LT240" s="388" t="str">
        <f>IFERROR(__xludf.DUMMYFUNCTION("IF(REGEXMATCH(LD240, ""S""), ""S"",IF(REGEXMATCH(LE240, ""S""), ""S"",""""))"),"S")</f>
        <v>S</v>
      </c>
      <c r="LU240" s="389">
        <f t="shared" si="196"/>
        <v>-13</v>
      </c>
      <c r="LV240" s="378"/>
      <c r="LW240" s="369"/>
      <c r="LX240" s="369"/>
    </row>
    <row r="241" ht="18.0" customHeight="1">
      <c r="A241" s="298" t="s">
        <v>1006</v>
      </c>
      <c r="B241" s="222" t="s">
        <v>401</v>
      </c>
      <c r="C241" s="233" t="str">
        <f t="shared" si="7"/>
        <v>SrgMPdNS</v>
      </c>
      <c r="D241" s="234" t="str">
        <f>IFERROR(__xludf.DUMMYFUNCTION("IF(REGEXMATCH(C241, ""S""), ""S"","""")"),"S")</f>
        <v>S</v>
      </c>
      <c r="E241" s="236" t="str">
        <f>IFERROR(__xludf.DUMMYFUNCTION("IF(REGEXMATCH(C241, ""r""), ""r"","""")"),"r")</f>
        <v>r</v>
      </c>
      <c r="F241" s="237" t="str">
        <f>IFERROR(__xludf.DUMMYFUNCTION("IF(REGEXMATCH(C241, ""R""), ""R"","""")"),"")</f>
        <v/>
      </c>
      <c r="G241" s="237" t="str">
        <f>IFERROR(__xludf.DUMMYFUNCTION("IF(REGEXMATCH(C241, ""g""), ""g"","""")"),"g")</f>
        <v>g</v>
      </c>
      <c r="H241" s="236" t="str">
        <f>IFERROR(__xludf.DUMMYFUNCTION("IF(REGEXMATCH(C241, ""G""), ""G"","""")"),"")</f>
        <v/>
      </c>
      <c r="I241" s="236" t="str">
        <f>IFERROR(__xludf.DUMMYFUNCTION("IF(REGEXMATCH(C241, ""m""), ""m"","""")"),"")</f>
        <v/>
      </c>
      <c r="J241" s="237" t="str">
        <f>IFERROR(__xludf.DUMMYFUNCTION("IF(REGEXMATCH(C241, ""M""), ""M"","""")"),"M")</f>
        <v>M</v>
      </c>
      <c r="K241" s="236" t="str">
        <f>IFERROR(__xludf.DUMMYFUNCTION("IF(REGEXMATCH(C241, ""P""), ""P"","""")"),"P")</f>
        <v>P</v>
      </c>
      <c r="L241" s="237" t="str">
        <f>IFERROR(__xludf.DUMMYFUNCTION("IF(REGEXMATCH(C241, ""d""), ""d"","""")"),"d")</f>
        <v>d</v>
      </c>
      <c r="M241" s="236" t="str">
        <f>IFERROR(__xludf.DUMMYFUNCTION("IF(REGEXMATCH(C241, ""D""), ""D"","""")"),"")</f>
        <v/>
      </c>
      <c r="N241" s="236" t="str">
        <f>IFERROR(__xludf.DUMMYFUNCTION("IF(REGEXMATCH(C241, ""n""), ""n"","""")"),"")</f>
        <v/>
      </c>
      <c r="O241" s="237" t="str">
        <f>IFERROR(__xludf.DUMMYFUNCTION("IF(REGEXMATCH(C241, ""N""), ""N"","""")"),"N")</f>
        <v>N</v>
      </c>
      <c r="P241" s="238" t="str">
        <f>IFERROR(__xludf.DUMMYFUNCTION("IF(REGEXMATCH(C241, ""S""), ""S"","""")"),"S")</f>
        <v>S</v>
      </c>
      <c r="Q241" s="239" t="str">
        <f>IFERROR(__xludf.DUMMYFUNCTION("SUBSTITUTE(CONCATENATE(JOIN(""-"",D241:J241)),""-"","""")"),"SrgM")</f>
        <v>SrgM</v>
      </c>
      <c r="R241" s="229" t="str">
        <f>IFERROR(__xludf.DUMMYFUNCTION("SUBSTITUTE(CONCATENATE(JOIN(""-"",K241:P241)),""-"","""")"),"PdNS")</f>
        <v>PdNS</v>
      </c>
      <c r="S241" s="282" t="str">
        <f t="shared" si="8"/>
        <v>S-R-G-M</v>
      </c>
      <c r="T241" s="282" t="str">
        <f t="shared" si="9"/>
        <v>P-D-N-S</v>
      </c>
      <c r="U241" s="237" t="str">
        <f>IFERROR(__xludf.DUMMYFUNCTION("SUBSTITUTE(JOIN(""-"",S241,T241),""--"",""-"")"),"S-R-G-M-P-D-N-S")</f>
        <v>S-R-G-M-P-D-N-S</v>
      </c>
      <c r="V241" s="309" t="str">
        <f t="shared" si="10"/>
        <v>rgMdN</v>
      </c>
      <c r="W241" s="244" t="str">
        <f>IFERROR(__xludf.DUMMYFUNCTION("IF(REGEXMATCH(C241, ""S""), ""0"","""")"),"0")</f>
        <v>0</v>
      </c>
      <c r="X241" s="245" t="str">
        <f>IFERROR(__xludf.DUMMYFUNCTION("IF(REGEXMATCH(C241, ""r""), ""1"","""")"),"1")</f>
        <v>1</v>
      </c>
      <c r="Y241" s="246" t="str">
        <f>IFERROR(__xludf.DUMMYFUNCTION("IF(REGEXMATCH(C241, ""R""), ""2"","""")"),"")</f>
        <v/>
      </c>
      <c r="Z241" s="246" t="str">
        <f>IFERROR(__xludf.DUMMYFUNCTION("IF(REGEXMATCH(C241, ""g""), ""3"","""")"),"3")</f>
        <v>3</v>
      </c>
      <c r="AA241" s="245" t="str">
        <f>IFERROR(__xludf.DUMMYFUNCTION("IF(REGEXMATCH(C241, ""G""), ""4"","""")"),"")</f>
        <v/>
      </c>
      <c r="AB241" s="245" t="str">
        <f>IFERROR(__xludf.DUMMYFUNCTION("IF(REGEXMATCH(C241, ""m""), ""5"","""")"),"")</f>
        <v/>
      </c>
      <c r="AC241" s="246" t="str">
        <f>IFERROR(__xludf.DUMMYFUNCTION("IF(REGEXMATCH(C241, ""M""), ""6"","""")"),"6")</f>
        <v>6</v>
      </c>
      <c r="AD241" s="245" t="str">
        <f>IFERROR(__xludf.DUMMYFUNCTION("IF(REGEXMATCH(C241, ""P""), ""7"","""")"),"7")</f>
        <v>7</v>
      </c>
      <c r="AE241" s="246" t="str">
        <f>IFERROR(__xludf.DUMMYFUNCTION("IF(REGEXMATCH(C241, ""d""), ""8"","""")"),"8")</f>
        <v>8</v>
      </c>
      <c r="AF241" s="245" t="str">
        <f>IFERROR(__xludf.DUMMYFUNCTION("IF(REGEXMATCH(C241, ""D""), ""9"","""")"),"")</f>
        <v/>
      </c>
      <c r="AG241" s="245" t="str">
        <f>IFERROR(__xludf.DUMMYFUNCTION("IF(REGEXMATCH(C241, ""n""), ""10"","""")"),"")</f>
        <v/>
      </c>
      <c r="AH241" s="246" t="str">
        <f>IFERROR(__xludf.DUMMYFUNCTION("IF(REGEXMATCH(C241, ""N""), ""11"","""")"),"11")</f>
        <v>11</v>
      </c>
      <c r="AI241" s="249" t="str">
        <f>IFERROR(__xludf.DUMMYFUNCTION("IF(REGEXMATCH(C241, ""S""), ""0"","""")"),"0")</f>
        <v>0</v>
      </c>
      <c r="AJ241" s="313" t="str">
        <f t="shared" si="11"/>
        <v>T</v>
      </c>
      <c r="AK241" s="313" t="str">
        <f t="shared" si="12"/>
        <v>T</v>
      </c>
      <c r="AL241" s="313" t="str">
        <f t="shared" si="13"/>
        <v>-</v>
      </c>
      <c r="AM241" s="313" t="str">
        <f t="shared" si="14"/>
        <v>-</v>
      </c>
      <c r="AN241" s="313" t="str">
        <f t="shared" si="15"/>
        <v>-</v>
      </c>
      <c r="AO241" s="314" t="str">
        <f t="shared" si="16"/>
        <v>-</v>
      </c>
      <c r="AP241" s="316">
        <f t="shared" si="17"/>
        <v>2</v>
      </c>
      <c r="AQ241" s="319" t="str">
        <f t="shared" si="18"/>
        <v>-</v>
      </c>
      <c r="AR241" s="320">
        <f t="shared" si="19"/>
        <v>0</v>
      </c>
      <c r="AS241" s="250" t="str">
        <f>IFERROR(__xludf.DUMMYFUNCTION("SUBSTITUTE(SUBSTITUTE(CONCATENATE(JOIN("""",FP241:GA241)),""|"",""x""),""-"",""o"")"),"xxoxooxxxoox")</f>
        <v>xxoxooxxxoox</v>
      </c>
      <c r="AT241" s="323" t="str">
        <f>IFERROR(__xludf.DUMMYFUNCTION("JOIN("""",AS241,AS241)"),"xxoxooxxxooxxxoxooxxxoox")</f>
        <v>xxoxooxxxooxxxoxooxxxoox</v>
      </c>
      <c r="AU241" s="256" t="str">
        <f>IFERROR(__xludf.DUMMYFUNCTION("JOIN("""",ArrayFormula(MID(AS241,LEN(AS241)-SEQUENCE(1,LEN(AS241))+1,1)))"),"xooxxxooxoxx")</f>
        <v>xooxxxooxoxx</v>
      </c>
      <c r="AV241" s="256" t="str">
        <f>IFERROR(__xludf.DUMMYFUNCTION("LEFT(CONCATENATE(""x"",JOIN("""",ArrayFormula(MID(AS241,LEN(AS241)-SEQUENCE(1,LEN(AS241))+1,1)))),12)"),"xxooxxxooxox")</f>
        <v>xxooxxxooxox</v>
      </c>
      <c r="AW241" s="327" t="str">
        <f>IFERROR(__xludf.DUMMYFUNCTION("JOIN("""",AU241,AU241)"),"xooxxxooxoxxxooxxxooxoxx")</f>
        <v>xooxxxooxoxxxooxxxooxoxx</v>
      </c>
      <c r="AX241" s="239" t="str">
        <f>IFERROR(__xludf.DUMMYFUNCTION("IF(REGEXMATCH(AW241,AS241),""✔"",""-"")"),"-")</f>
        <v>-</v>
      </c>
      <c r="AY241" s="330" t="str">
        <f t="shared" si="20"/>
        <v>-</v>
      </c>
      <c r="AZ241" s="260" t="str">
        <f t="shared" si="21"/>
        <v>#REF!</v>
      </c>
      <c r="BA241" s="333" t="str">
        <f t="shared" si="22"/>
        <v>xxoxoox</v>
      </c>
      <c r="BB241" s="334" t="str">
        <f t="shared" si="23"/>
        <v>xxooxx</v>
      </c>
      <c r="BC241" s="335" t="str">
        <f t="shared" si="236"/>
        <v>-</v>
      </c>
      <c r="BD241" s="336" t="str">
        <f t="shared" si="25"/>
        <v>Multani: 'xxoxoox' + 'xxooxx'</v>
      </c>
      <c r="BE241" s="337">
        <f>IFERROR(__xludf.DUMMYFUNCTION("COUNTUNIQUE(FILTER(AT:AT,REGEXMATCH(AT:AT,AS241)))-1"),3.0)</f>
        <v>3</v>
      </c>
      <c r="BF241" s="261" t="str">
        <f>IFERROR(__xludf.DUMMYFUNCTION("IF(BI241=0,""(n/a)"",IF(BJ241=2,""(PAIR)"",IF(REGEXMATCH(AT241,""xoxoxxoxoxox""),""Bilawal"",IF(REGEXMATCH(AT241,""xoxoxooxoxoo""),""Bhupali"",IF(REGEXMATCH(AT241,""xoxoxxoxxoxo""),""Charukeshi"",IF(REGEXMATCH(AT241,""xoxoooxxoxxo""),""Kameshwari"",IF(REG"&amp;"EXMATCH(AT241,""xoxoxooxoxox""),""Shankara"",IF(REGEXMATCH(AT241,""xxooxoxxxoox""),""Basant"",IF(REGEXMATCH(AT241,""xoxoxxxxoxox""),""Bihag"",IF(REGEXMATCH(AT241,""xoxxxxoxoxxx""),""Pilu"",IF(REGEXMATCH(AT241,""xoxxoxoxxoox""),""Kirwani"",IF(REGEXMATCH(AT"&amp;"241,""xoxxoxoxoxxx""),""Mk.Malhar"",IF(REGEXMATCH(AT241,""xxooxxoxxoox""),""Bhairav"",IF(REGEXMATCH(AT241,""xxoxooxxxoox""),""Todi"",IF(REGEXMATCH(AT241,""xxooxoxooxox""),""Marwa"",IF(REGEXMATCH(AT241,""xxoooxoxxooo""),""Gunkali"",IF(REGEXMATCH(AT241,""xo"&amp;"xoxxoxxoox""),""Nat Bhairav"",IF(REGEXMATCH(AT241,""xoxxoooxoxoo""),""Shivranjani"",IF(REGEXMATCH(AT241,""xooxxxoxooxo""),""Jog"",IF(REGEXMATCH(AT241,""xxooxoxoxoox""),""Hemshri"",IF(REGEXMATCH(AT241,""xoooxooxoxxo""),""Kalavati"",IF(REGEXMATCH(AT241,""xx"&amp;"oxoxxoxoox""),""Kedar"",IF(REGEXMATCH(AT241,""xoxxxxoxooxx""),""Gara"",IF(REGEXMATCH(AT241,""xooxoxooxoox""),""Chandrakauns"",IF(REGEXMATCH(AT241,""xoxxxxoxxxox""),""Mand"",IF(REGEXMATCH(AT241,""xoxxxxoxoxox""),""Hanskinkini"",IF(REGEXMATCH(AT241,""xxooxx"&amp;"oxooxo""),""Lilavati"",IF(REGEXMATCH(AT241,""xooxoxoooxox""),""Rajeshwari"",IF(REGEXMATCH(AT241,""xoooxxoxoxxx""),""Khokar"",IF(REGEXMATCH(AT241,""xxooxoxxxxox""),""Maligoura"",""-""))))))))))))))))))))))))))))))"),"Todi")</f>
        <v>Todi</v>
      </c>
      <c r="BG241" s="239" t="str">
        <f t="shared" si="26"/>
        <v>#REF!</v>
      </c>
      <c r="BH241" s="239">
        <f>IFERROR(__xludf.DUMMYFUNCTION("COUNTUNIQUE(FE241:FO241)-1"),6.0)</f>
        <v>6</v>
      </c>
      <c r="BI241" s="239">
        <f>IFERROR(__xludf.DUMMYFUNCTION("COUNTUNIQUE(FILTER(AT:AT,REGEXMATCH(AT:AT,AS241)))-1"),3.0)</f>
        <v>3</v>
      </c>
      <c r="BJ241" s="239">
        <f>IFERROR(__xludf.DUMMYFUNCTION("COUNTA(FILTER(AT:AT,REGEXMATCH(AT:AT,AS241)))"),6.0)</f>
        <v>6</v>
      </c>
      <c r="BK241" s="341">
        <f>IFERROR(__xludf.DUMMYFUNCTION("COUNTA(FILTER(AT:AT,REGEXMATCH(AT:AT,AS241)))-AR241"),6.0)</f>
        <v>6</v>
      </c>
      <c r="BL241" s="276" t="str">
        <f>IFERROR(__xludf.DUMMYFUNCTION("IF(AS241=""oooooooooooo"",""-"",IF(REGEXMATCH(AT241,""xx""), ""Hemi."", ""Anhemi.""))"),"Hemi.")</f>
        <v>Hemi.</v>
      </c>
      <c r="BM241" s="282" t="str">
        <f>IFERROR(__xludf.DUMMYFUNCTION("IF(AS241=""oooooooooooo"",""-"",IF(REGEXMATCH(AT241,""xxx""), ""Cohem."", ""-""))"),"Cohem.")</f>
        <v>Cohem.</v>
      </c>
      <c r="BN241" s="282" t="str">
        <f>IFERROR(__xludf.DUMMYFUNCTION("IF(AS241=""oooooooooooo"",""-"",IF(REGEXMATCH(AT241,""xxxx""), ""Co-Co."", ""-""))"),"-")</f>
        <v>-</v>
      </c>
      <c r="BO241" s="342" t="str">
        <f>IFERROR(__xludf.DUMMYFUNCTION("IF(AS241=""oooooooooooo"",""-"",IF(REGEXMATCH(AT241,""xxxxx""), ""CCC."", ""-""))"),"-")</f>
        <v>-</v>
      </c>
      <c r="BP241" s="344" t="str">
        <f t="shared" si="27"/>
        <v>Todi</v>
      </c>
      <c r="BQ241" s="282" t="str">
        <f>IFERROR(__xludf.DUMMYFUNCTION("IF(REGEXMATCH(JOIN(""-"",EU241:FD241),""TRUE""),""✔"",""-"")"),"✔")</f>
        <v>✔</v>
      </c>
      <c r="BR241" s="225">
        <f t="shared" si="28"/>
        <v>1</v>
      </c>
      <c r="BS241" s="345" t="str">
        <f>IFERROR(__xludf.DUMMYFUNCTION("SUBSTITUTE(SUBSTITUTE(SUBSTITUTE(SUBSTITUTE(CONCATENATE(JOIN(""-"",GC241:GO241)),""--"",""-""),""--"",""-""),""--"",""-""),""--"",""-"")"),"1-b2-b3-#4-5-b6-7-8")</f>
        <v>1-b2-b3-#4-5-b6-7-8</v>
      </c>
      <c r="BT241" s="299" t="str">
        <f>IFERROR(__xludf.DUMMYFUNCTION("SUBSTITUTE(SUBSTITUTE(SUBSTITUTE(SUBSTITUTE(CONCATENATE(JOIN(""-"",GP241:HB241)),""--"",""-""),""--"",""-""),""--"",""-""),""--"",""-"")"),"S-R1-G2-M2-P-D1-N3-S")</f>
        <v>S-R1-G2-M2-P-D1-N3-S</v>
      </c>
      <c r="BU241" s="348" t="str">
        <f t="shared" si="29"/>
        <v>C-Db-Eb-F#-G-Ab-B-C</v>
      </c>
      <c r="BV241" s="349" t="str">
        <f t="shared" si="30"/>
        <v>SRGmDnS</v>
      </c>
      <c r="BW241" s="350">
        <f t="shared" si="31"/>
        <v>1</v>
      </c>
      <c r="BX241" s="351">
        <f t="shared" si="32"/>
        <v>3</v>
      </c>
      <c r="BY241" s="352" t="s">
        <v>275</v>
      </c>
      <c r="BZ241" s="309" t="str">
        <f>IFERROR(__xludf.DUMMYFUNCTION("IF(REGEXMATCH(C241, ""S""), ""x"",""x"")"),"x")</f>
        <v>x</v>
      </c>
      <c r="CA241" s="245" t="str">
        <f>IFERROR(__xludf.DUMMYFUNCTION("IF(REGEXMATCH(C241, ""r""), ""o"",""x"")"),"o")</f>
        <v>o</v>
      </c>
      <c r="CB241" s="246" t="str">
        <f>IFERROR(__xludf.DUMMYFUNCTION("IF(REGEXMATCH(C241, ""R""), ""o"",""x"")"),"x")</f>
        <v>x</v>
      </c>
      <c r="CC241" s="246" t="str">
        <f>IFERROR(__xludf.DUMMYFUNCTION("IF(REGEXMATCH(C241, ""g""), ""o"",""x"")"),"o")</f>
        <v>o</v>
      </c>
      <c r="CD241" s="245" t="str">
        <f>IFERROR(__xludf.DUMMYFUNCTION("IF(REGEXMATCH(C241, ""G""), ""o"",""x"")"),"x")</f>
        <v>x</v>
      </c>
      <c r="CE241" s="245" t="str">
        <f>IFERROR(__xludf.DUMMYFUNCTION("IF(REGEXMATCH(C241, ""m""), ""o"",""x"")"),"x")</f>
        <v>x</v>
      </c>
      <c r="CF241" s="246" t="str">
        <f>IFERROR(__xludf.DUMMYFUNCTION("IF(REGEXMATCH(C241, ""M""), ""o"",""x"")"),"o")</f>
        <v>o</v>
      </c>
      <c r="CG241" s="245" t="str">
        <f>IFERROR(__xludf.DUMMYFUNCTION("IF(REGEXMATCH(C241, ""P""), ""o"",""x"")"),"o")</f>
        <v>o</v>
      </c>
      <c r="CH241" s="246" t="str">
        <f>IFERROR(__xludf.DUMMYFUNCTION("IF(REGEXMATCH(C241, ""d""), ""o"",""x"")"),"o")</f>
        <v>o</v>
      </c>
      <c r="CI241" s="245" t="str">
        <f>IFERROR(__xludf.DUMMYFUNCTION("IF(REGEXMATCH(C241, ""D""), ""o"",""x"")"),"x")</f>
        <v>x</v>
      </c>
      <c r="CJ241" s="245" t="str">
        <f>IFERROR(__xludf.DUMMYFUNCTION("IF(REGEXMATCH(C241, ""n""), ""o"",""x"")"),"x")</f>
        <v>x</v>
      </c>
      <c r="CK241" s="245" t="str">
        <f>IFERROR(__xludf.DUMMYFUNCTION("IF(REGEXMATCH(C241, ""N""), ""o"",""x"")"),"o")</f>
        <v>o</v>
      </c>
      <c r="CL241" s="356" t="str">
        <f>IFERROR(__xludf.DUMMYFUNCTION("IF(REGEXMATCH(C241, ""S""), ""x"",""x"")"),"x")</f>
        <v>x</v>
      </c>
      <c r="CM241" s="357" t="str">
        <f t="shared" si="33"/>
        <v>xoxoxxoooxxo</v>
      </c>
      <c r="CN241" s="358">
        <f t="shared" si="34"/>
        <v>1</v>
      </c>
      <c r="CO241" s="246" t="str">
        <f>IFERROR(__xludf.DUMMYFUNCTION("IF(REGEXMATCH($C241, ""S""), ""S"",""S"")"),"S")</f>
        <v>S</v>
      </c>
      <c r="CP241" s="246" t="str">
        <f>IFERROR(__xludf.DUMMYFUNCTION("IF(REGEXMATCH($C241, ""r""), """",""r"")"),"")</f>
        <v/>
      </c>
      <c r="CQ241" s="246" t="str">
        <f>IFERROR(__xludf.DUMMYFUNCTION("IF(REGEXMATCH($C241, ""R""), """",""R"")"),"R")</f>
        <v>R</v>
      </c>
      <c r="CR241" s="246" t="str">
        <f>IFERROR(__xludf.DUMMYFUNCTION("IF(REGEXMATCH($C241, ""g""), """",""g"")"),"")</f>
        <v/>
      </c>
      <c r="CS241" s="246" t="str">
        <f>IFERROR(__xludf.DUMMYFUNCTION("IF(REGEXMATCH($C241, ""G""), """",""G"")"),"G")</f>
        <v>G</v>
      </c>
      <c r="CT241" s="246" t="str">
        <f>IFERROR(__xludf.DUMMYFUNCTION("IF(REGEXMATCH($C241, ""m""), """",""m"")"),"m")</f>
        <v>m</v>
      </c>
      <c r="CU241" s="246" t="str">
        <f>IFERROR(__xludf.DUMMYFUNCTION("IF(REGEXMATCH($C241, ""M""), """",""M"")"),"")</f>
        <v/>
      </c>
      <c r="CV241" s="246" t="str">
        <f>IFERROR(__xludf.DUMMYFUNCTION("IF(REGEXMATCH($C241, ""P""), """",""P"")"),"")</f>
        <v/>
      </c>
      <c r="CW241" s="246" t="str">
        <f>IFERROR(__xludf.DUMMYFUNCTION("IF(REGEXMATCH($C241, ""d""), """",""d"")"),"")</f>
        <v/>
      </c>
      <c r="CX241" s="246" t="str">
        <f>IFERROR(__xludf.DUMMYFUNCTION("IF(REGEXMATCH($C241, ""D""), """",""D"")"),"D")</f>
        <v>D</v>
      </c>
      <c r="CY241" s="246" t="str">
        <f>IFERROR(__xludf.DUMMYFUNCTION("IF(REGEXMATCH($C241, ""n""), """",""n"")"),"n")</f>
        <v>n</v>
      </c>
      <c r="CZ241" s="246" t="str">
        <f>IFERROR(__xludf.DUMMYFUNCTION("IF(REGEXMATCH($C241, ""N""), """",""N"")"),"")</f>
        <v/>
      </c>
      <c r="DA241" s="246" t="str">
        <f>IFERROR(__xludf.DUMMYFUNCTION("IF(REGEXMATCH($C241, ""S""), ""S"",""S"")"),"S")</f>
        <v>S</v>
      </c>
      <c r="DB241" s="362" t="str">
        <f>IFERROR(__xludf.DUMMYFUNCTION("JOIN("""",CO241:DA241,"""","""")"),"SRGmDnS")</f>
        <v>SRGmDnS</v>
      </c>
      <c r="DC241" s="363"/>
      <c r="DD241" s="301" t="str">
        <f t="shared" si="35"/>
        <v>#REF!</v>
      </c>
      <c r="DE241" s="302" t="str">
        <f t="shared" si="36"/>
        <v>#REF!</v>
      </c>
      <c r="DF241" s="301" t="str">
        <f t="shared" ref="DF241:DG241" si="701">SUBSTITUTE(S241,"-","")</f>
        <v>SRGM</v>
      </c>
      <c r="DG241" s="301" t="str">
        <f t="shared" si="701"/>
        <v>PDNS</v>
      </c>
      <c r="DH241" s="302" t="str">
        <f t="shared" si="38"/>
        <v>Todi</v>
      </c>
      <c r="DI241" s="301" t="str">
        <f t="shared" si="39"/>
        <v>Hemi.</v>
      </c>
      <c r="DJ241" s="364" t="str">
        <f t="shared" si="40"/>
        <v>Cohem.</v>
      </c>
      <c r="DK241" s="306" t="str">
        <f t="shared" si="41"/>
        <v>Todi</v>
      </c>
      <c r="DL241" s="366" t="str">
        <f t="shared" si="42"/>
        <v>-</v>
      </c>
      <c r="DM241" s="308" t="str">
        <f t="shared" si="43"/>
        <v>-</v>
      </c>
      <c r="DN241" s="306" t="str">
        <f t="shared" si="44"/>
        <v>-</v>
      </c>
      <c r="DO241" s="306" t="str">
        <f t="shared" si="45"/>
        <v>-</v>
      </c>
      <c r="DP241" s="367" t="str">
        <f t="shared" si="46"/>
        <v>✔</v>
      </c>
      <c r="DQ241" s="310" t="str">
        <f t="shared" si="47"/>
        <v>-</v>
      </c>
      <c r="DR241" s="310" t="str">
        <f t="shared" si="48"/>
        <v>-</v>
      </c>
      <c r="DS241" s="310" t="str">
        <f t="shared" si="49"/>
        <v>-</v>
      </c>
      <c r="DT241" s="310" t="str">
        <f t="shared" si="50"/>
        <v>-</v>
      </c>
      <c r="DU241" s="370" t="str">
        <f t="shared" si="51"/>
        <v>-</v>
      </c>
      <c r="DV241" s="306" t="str">
        <f t="shared" si="52"/>
        <v>-</v>
      </c>
      <c r="DW241" s="306" t="str">
        <f t="shared" si="53"/>
        <v>-</v>
      </c>
      <c r="DX241" s="306" t="str">
        <f t="shared" si="54"/>
        <v>-</v>
      </c>
      <c r="DY241" s="306" t="str">
        <f t="shared" si="55"/>
        <v>-</v>
      </c>
      <c r="DZ241" s="306" t="str">
        <f t="shared" si="56"/>
        <v>-</v>
      </c>
      <c r="EA241" s="367" t="str">
        <f t="shared" si="57"/>
        <v>-</v>
      </c>
      <c r="EB241" s="310" t="str">
        <f>IFERROR(__xludf.DUMMYFUNCTION("IF(REGEXMATCH(AW241,AS241),""✔"",""-"")"),"-")</f>
        <v>-</v>
      </c>
      <c r="EC241" s="310" t="str">
        <f t="shared" si="58"/>
        <v>#REF!</v>
      </c>
      <c r="ED241" s="370" t="str">
        <f t="shared" si="59"/>
        <v>-</v>
      </c>
      <c r="EE241" s="340" t="str">
        <f t="shared" si="60"/>
        <v>S-r-g-M-P-d-N-S</v>
      </c>
      <c r="EF241" s="371" t="str">
        <f>IFERROR(__xludf.DUMMYFUNCTION("CONCATENATE(JOIN("""",HC241:HO241))"),"SrGmMDNS")</f>
        <v>SrGmMDNS</v>
      </c>
      <c r="EG241" s="372">
        <f t="shared" si="61"/>
        <v>2</v>
      </c>
      <c r="EH241" s="373" t="str">
        <f>IFERROR(__xludf.DUMMYFUNCTION("CONCATENATE(JOIN("""",JC241:JO241))"),"ga, Pa, ")</f>
        <v>ga, Pa, </v>
      </c>
      <c r="EI241" s="322">
        <f t="shared" si="62"/>
        <v>0</v>
      </c>
      <c r="EJ241" s="374" t="str">
        <f>IFERROR(__xludf.DUMMYFUNCTION("CONCATENATE(JOIN("""",KC241:KO241))"),"")</f>
        <v/>
      </c>
      <c r="EK241" s="325" t="str">
        <f t="shared" si="63"/>
        <v>S-R1-G2-M2-P-D1-N3-S</v>
      </c>
      <c r="EL241" s="326" t="str">
        <f t="shared" si="64"/>
        <v>1-b2-b3-#4-5-b6-7-8</v>
      </c>
      <c r="EM241" s="318" t="str">
        <f t="shared" si="65"/>
        <v>#REF!</v>
      </c>
      <c r="EN241" s="328" t="str">
        <f>IFERROR(__xludf.DUMMYFUNCTION("SUBSTITUTE(SUBSTITUTE(SUBSTITUTE(SUBSTITUTE(CONCATENATE(JOIN("" "",HP241:IB241)),""  "","" ""),""  "","" ""),""  "","" ""),""  "","" "")"),"o o • o • • o o o • • o o")</f>
        <v>o o • o • • o o o • • o o</v>
      </c>
      <c r="EO241" s="368" t="str">
        <f t="shared" si="66"/>
        <v>Sa-Pa</v>
      </c>
      <c r="EP241" s="339" t="str">
        <f t="shared" si="67"/>
        <v>Sa-Pa</v>
      </c>
      <c r="EQ241" s="339" t="str">
        <f t="shared" si="68"/>
        <v>Sa-Pa</v>
      </c>
      <c r="ER241" s="339" t="str">
        <f t="shared" si="69"/>
        <v>-</v>
      </c>
      <c r="ES241" s="340" t="str">
        <f t="shared" si="70"/>
        <v>-</v>
      </c>
      <c r="ET241" s="363"/>
      <c r="EU241" s="376" t="b">
        <f>IFERROR(__xludf.DUMMYFUNCTION("arrayformula(sum(--REGEXMATCH(""SRGMPDNS"",split(REGEXREPLACE(C241,""(.)"",""$1~""),""~""))))=len(C241)
"),FALSE)</f>
        <v>0</v>
      </c>
      <c r="EV241" s="290" t="b">
        <f>IFERROR(__xludf.DUMMYFUNCTION("arrayformula(sum(--REGEXMATCH(""SRGmPDNS"",split(REGEXREPLACE(C241,""(.)"",""$1~""),""~""))))=len(C241)"),FALSE)</f>
        <v>0</v>
      </c>
      <c r="EW241" s="290" t="b">
        <f>IFERROR(__xludf.DUMMYFUNCTION("arrayformula(sum(--REGEXMATCH(""SRGmPDnS"",split(REGEXREPLACE(C241,""(.)"",""$1~""),""~""))))=len(C241)"),FALSE)</f>
        <v>0</v>
      </c>
      <c r="EX241" s="290" t="b">
        <f>IFERROR(__xludf.DUMMYFUNCTION("arrayformula(sum(--REGEXMATCH(""SRgmPDnS"",split(REGEXREPLACE(C241,""(.)"",""$1~""),""~""))))=len(C241)"),FALSE)</f>
        <v>0</v>
      </c>
      <c r="EY241" s="290" t="b">
        <f>IFERROR(__xludf.DUMMYFUNCTION("arrayformula(sum(--REGEXMATCH(""SRgmPdnS"",split(REGEXREPLACE(C241,""(.)"",""$1~""),""~""))))=len(C241)"),FALSE)</f>
        <v>0</v>
      </c>
      <c r="EZ241" s="290" t="b">
        <f>IFERROR(__xludf.DUMMYFUNCTION("arrayformula(sum(--REGEXMATCH(""SrgmPdnS"",split(REGEXREPLACE(C241,""(.)"",""$1~""),""~""))))=len(C241)"),FALSE)</f>
        <v>0</v>
      </c>
      <c r="FA241" s="290" t="b">
        <f>IFERROR(__xludf.DUMMYFUNCTION("arrayformula(sum(--REGEXMATCH(""SrGmPdNS"",split(REGEXREPLACE(C241,""(.)"",""$1~""),""~""))))=len(C241)"),FALSE)</f>
        <v>0</v>
      </c>
      <c r="FB241" s="290" t="b">
        <f>IFERROR(__xludf.DUMMYFUNCTION("arrayformula(sum(--REGEXMATCH(""SrGMPDNS"",split(REGEXREPLACE(C241,""(.)"",""$1~""),""~""))))=len(C241)"),FALSE)</f>
        <v>0</v>
      </c>
      <c r="FC241" s="290" t="b">
        <f>IFERROR(__xludf.DUMMYFUNCTION("arrayformula(sum(--REGEXMATCH(""SrGMPdNS"",split(REGEXREPLACE(C241,""(.)"",""$1~""),""~""))))=len(C241)"),FALSE)</f>
        <v>0</v>
      </c>
      <c r="FD241" s="377" t="b">
        <f>IFERROR(__xludf.DUMMYFUNCTION("arrayformula(sum(--REGEXMATCH(""SrgMPdNS"",split(REGEXREPLACE(C241,""(.)"",""$1~""),""~""))))=len(C241)"),TRUE)</f>
        <v>1</v>
      </c>
      <c r="FE241" s="269" t="str">
        <f t="shared" si="71"/>
        <v>xoxooxxxoox</v>
      </c>
      <c r="FF241" s="269" t="str">
        <f t="shared" si="72"/>
        <v>-</v>
      </c>
      <c r="FG241" s="271" t="str">
        <f t="shared" si="73"/>
        <v>xooxxxooxxx</v>
      </c>
      <c r="FH241" s="269" t="str">
        <f t="shared" si="74"/>
        <v>-</v>
      </c>
      <c r="FI241" s="271" t="str">
        <f t="shared" si="75"/>
        <v>-</v>
      </c>
      <c r="FJ241" s="271" t="str">
        <f t="shared" si="76"/>
        <v>xxxooxxxoxo</v>
      </c>
      <c r="FK241" s="271" t="str">
        <f t="shared" si="77"/>
        <v>xxooxxxoxoo</v>
      </c>
      <c r="FL241" s="271" t="str">
        <f t="shared" si="78"/>
        <v>xooxxxoxoox</v>
      </c>
      <c r="FM241" s="271" t="str">
        <f t="shared" si="79"/>
        <v>-</v>
      </c>
      <c r="FN241" s="271" t="str">
        <f t="shared" si="80"/>
        <v>-</v>
      </c>
      <c r="FO241" s="274" t="str">
        <f t="shared" si="81"/>
        <v>xxxoxooxxxo</v>
      </c>
      <c r="FP241" s="234" t="str">
        <f t="shared" si="82"/>
        <v>|</v>
      </c>
      <c r="FQ241" s="236" t="str">
        <f t="shared" si="83"/>
        <v>|</v>
      </c>
      <c r="FR241" s="237" t="str">
        <f t="shared" si="84"/>
        <v>-</v>
      </c>
      <c r="FS241" s="236" t="str">
        <f t="shared" si="85"/>
        <v>|</v>
      </c>
      <c r="FT241" s="237" t="str">
        <f t="shared" si="86"/>
        <v>-</v>
      </c>
      <c r="FU241" s="236" t="str">
        <f t="shared" si="87"/>
        <v>-</v>
      </c>
      <c r="FV241" s="237" t="str">
        <f t="shared" si="88"/>
        <v>|</v>
      </c>
      <c r="FW241" s="236" t="str">
        <f t="shared" si="89"/>
        <v>|</v>
      </c>
      <c r="FX241" s="237" t="str">
        <f t="shared" si="90"/>
        <v>|</v>
      </c>
      <c r="FY241" s="236" t="str">
        <f t="shared" si="91"/>
        <v>-</v>
      </c>
      <c r="FZ241" s="237" t="str">
        <f t="shared" si="92"/>
        <v>-</v>
      </c>
      <c r="GA241" s="236" t="str">
        <f t="shared" si="93"/>
        <v>|</v>
      </c>
      <c r="GB241" s="238" t="str">
        <f t="shared" si="94"/>
        <v>|</v>
      </c>
      <c r="GC241" s="244" t="str">
        <f>IFERROR(__xludf.DUMMYFUNCTION("IF(REGEXMATCH(C241, ""S""), ""1"","""")"),"1")</f>
        <v>1</v>
      </c>
      <c r="GD241" s="245" t="str">
        <f>IFERROR(__xludf.DUMMYFUNCTION("IF(REGEXMATCH(C241, ""r""), ""b2"","""")"),"b2")</f>
        <v>b2</v>
      </c>
      <c r="GE241" s="246" t="str">
        <f>IFERROR(__xludf.DUMMYFUNCTION("IF(REGEXMATCH(C241, ""R""), ""2"","""")"),"")</f>
        <v/>
      </c>
      <c r="GF241" s="246" t="str">
        <f>IFERROR(__xludf.DUMMYFUNCTION("IF(REGEXMATCH(C241, ""g""), ""b3"","""")"),"b3")</f>
        <v>b3</v>
      </c>
      <c r="GG241" s="245" t="str">
        <f>IFERROR(__xludf.DUMMYFUNCTION("IF(REGEXMATCH(C241, ""G""), ""3"","""")"),"")</f>
        <v/>
      </c>
      <c r="GH241" s="245" t="str">
        <f>IFERROR(__xludf.DUMMYFUNCTION("IF(REGEXMATCH(C241, ""m""), ""4"","""")"),"")</f>
        <v/>
      </c>
      <c r="GI241" s="246" t="str">
        <f>IFERROR(__xludf.DUMMYFUNCTION("IF(REGEXMATCH(C241, ""M""), ""#4"","""")"),"#4")</f>
        <v>#4</v>
      </c>
      <c r="GJ241" s="245" t="str">
        <f>IFERROR(__xludf.DUMMYFUNCTION("IF(REGEXMATCH(C241, ""P""), ""5"","""")"),"5")</f>
        <v>5</v>
      </c>
      <c r="GK241" s="246" t="str">
        <f>IFERROR(__xludf.DUMMYFUNCTION("IF(REGEXMATCH(C241, ""d""), ""b6"","""")"),"b6")</f>
        <v>b6</v>
      </c>
      <c r="GL241" s="245" t="str">
        <f>IFERROR(__xludf.DUMMYFUNCTION("IF(REGEXMATCH(C241, ""D""), ""6"","""")"),"")</f>
        <v/>
      </c>
      <c r="GM241" s="245" t="str">
        <f>IFERROR(__xludf.DUMMYFUNCTION("IF(REGEXMATCH(C241, ""n""), ""b7"","""")"),"")</f>
        <v/>
      </c>
      <c r="GN241" s="246" t="str">
        <f>IFERROR(__xludf.DUMMYFUNCTION("IF(REGEXMATCH(C241, ""N""), ""7"","""")"),"7")</f>
        <v>7</v>
      </c>
      <c r="GO241" s="249" t="str">
        <f>IFERROR(__xludf.DUMMYFUNCTION("IF(REGEXMATCH(C241, ""S""), ""8"","""")"),"8")</f>
        <v>8</v>
      </c>
      <c r="GP241" s="244" t="str">
        <f>IFERROR(__xludf.DUMMYFUNCTION("IF(REGEXMATCH(C241, ""S""), ""S"","""")"),"S")</f>
        <v>S</v>
      </c>
      <c r="GQ241" s="294" t="str">
        <f>IFERROR(__xludf.DUMMYFUNCTION("IF(REGEXMATCH(C241, ""r""), ""R1"","""")"),"R1")</f>
        <v>R1</v>
      </c>
      <c r="GR241" s="295" t="str">
        <f>IFERROR(__xludf.DUMMYFUNCTION("IF(REGEXMATCH(C241, ""R""), ""R2"","""")"),"")</f>
        <v/>
      </c>
      <c r="GS241" s="295" t="str">
        <f>IFERROR(__xludf.DUMMYFUNCTION("IF(REGEXMATCH(C241, ""g""), ""G2"","""")"),"G2")</f>
        <v>G2</v>
      </c>
      <c r="GT241" s="294" t="str">
        <f>IFERROR(__xludf.DUMMYFUNCTION("IF(REGEXMATCH(C241, ""G""), ""G3"","""")"),"")</f>
        <v/>
      </c>
      <c r="GU241" s="294" t="str">
        <f>IFERROR(__xludf.DUMMYFUNCTION("IF(REGEXMATCH(C241, ""m""), ""M1"","""")"),"")</f>
        <v/>
      </c>
      <c r="GV241" s="295" t="str">
        <f>IFERROR(__xludf.DUMMYFUNCTION("IF(REGEXMATCH(C241, ""M""), ""M2"","""")"),"M2")</f>
        <v>M2</v>
      </c>
      <c r="GW241" s="294" t="str">
        <f>IFERROR(__xludf.DUMMYFUNCTION("IF(REGEXMATCH(C241, ""P""), ""P"","""")"),"P")</f>
        <v>P</v>
      </c>
      <c r="GX241" s="295" t="str">
        <f>IFERROR(__xludf.DUMMYFUNCTION("IF(REGEXMATCH(C241, ""d""), ""D1"","""")"),"D1")</f>
        <v>D1</v>
      </c>
      <c r="GY241" s="294" t="str">
        <f>IFERROR(__xludf.DUMMYFUNCTION("IF(REGEXMATCH(C241, ""D""), ""D2"","""")"),"")</f>
        <v/>
      </c>
      <c r="GZ241" s="294" t="str">
        <f>IFERROR(__xludf.DUMMYFUNCTION("IF(REGEXMATCH(C241, ""n""), ""N2"","""")"),"")</f>
        <v/>
      </c>
      <c r="HA241" s="295" t="str">
        <f>IFERROR(__xludf.DUMMYFUNCTION("IF(REGEXMATCH(C241, ""N""), ""N3"","""")"),"N3")</f>
        <v>N3</v>
      </c>
      <c r="HB241" s="249" t="str">
        <f>IFERROR(__xludf.DUMMYFUNCTION("IF(REGEXMATCH(C241, ""S""), ""S"","""")"),"S")</f>
        <v>S</v>
      </c>
      <c r="HC241" s="331" t="str">
        <f t="shared" si="95"/>
        <v>S</v>
      </c>
      <c r="HD241" s="332" t="str">
        <f t="shared" si="96"/>
        <v>r</v>
      </c>
      <c r="HE241" s="332" t="str">
        <f t="shared" si="97"/>
        <v/>
      </c>
      <c r="HF241" s="332" t="str">
        <f t="shared" si="98"/>
        <v/>
      </c>
      <c r="HG241" s="332" t="str">
        <f t="shared" si="99"/>
        <v>G</v>
      </c>
      <c r="HH241" s="332" t="str">
        <f t="shared" si="100"/>
        <v>m</v>
      </c>
      <c r="HI241" s="332" t="str">
        <f t="shared" si="101"/>
        <v>M</v>
      </c>
      <c r="HJ241" s="332" t="str">
        <f t="shared" si="102"/>
        <v/>
      </c>
      <c r="HK241" s="332" t="str">
        <f t="shared" si="103"/>
        <v/>
      </c>
      <c r="HL241" s="332" t="str">
        <f t="shared" si="104"/>
        <v>D</v>
      </c>
      <c r="HM241" s="332" t="str">
        <f t="shared" si="105"/>
        <v/>
      </c>
      <c r="HN241" s="332" t="str">
        <f t="shared" si="106"/>
        <v>N</v>
      </c>
      <c r="HO241" s="343" t="str">
        <f t="shared" si="107"/>
        <v>S</v>
      </c>
      <c r="HP241" s="331" t="str">
        <f t="shared" si="108"/>
        <v>o</v>
      </c>
      <c r="HQ241" s="332" t="str">
        <f t="shared" si="109"/>
        <v>o</v>
      </c>
      <c r="HR241" s="332" t="str">
        <f t="shared" si="110"/>
        <v>•</v>
      </c>
      <c r="HS241" s="332" t="str">
        <f t="shared" si="111"/>
        <v>o</v>
      </c>
      <c r="HT241" s="332" t="str">
        <f t="shared" si="112"/>
        <v>•</v>
      </c>
      <c r="HU241" s="332" t="str">
        <f t="shared" si="113"/>
        <v>•</v>
      </c>
      <c r="HV241" s="332" t="str">
        <f t="shared" si="114"/>
        <v>o</v>
      </c>
      <c r="HW241" s="332" t="str">
        <f t="shared" si="115"/>
        <v>o</v>
      </c>
      <c r="HX241" s="332" t="str">
        <f t="shared" si="116"/>
        <v>o</v>
      </c>
      <c r="HY241" s="332" t="str">
        <f t="shared" si="117"/>
        <v>•</v>
      </c>
      <c r="HZ241" s="332" t="str">
        <f t="shared" si="118"/>
        <v>•</v>
      </c>
      <c r="IA241" s="332" t="str">
        <f t="shared" si="119"/>
        <v>o</v>
      </c>
      <c r="IB241" s="338" t="str">
        <f t="shared" si="120"/>
        <v>o</v>
      </c>
      <c r="IC241" s="331" t="str">
        <f t="shared" si="121"/>
        <v>•</v>
      </c>
      <c r="ID241" s="332" t="str">
        <f t="shared" si="122"/>
        <v>•</v>
      </c>
      <c r="IE241" s="332" t="str">
        <f t="shared" si="123"/>
        <v>o</v>
      </c>
      <c r="IF241" s="332" t="str">
        <f t="shared" si="124"/>
        <v>•</v>
      </c>
      <c r="IG241" s="332" t="str">
        <f t="shared" si="125"/>
        <v>o</v>
      </c>
      <c r="IH241" s="332" t="str">
        <f t="shared" si="126"/>
        <v>o</v>
      </c>
      <c r="II241" s="332" t="str">
        <f t="shared" si="127"/>
        <v>•</v>
      </c>
      <c r="IJ241" s="332" t="str">
        <f t="shared" si="128"/>
        <v>•</v>
      </c>
      <c r="IK241" s="332" t="str">
        <f t="shared" si="129"/>
        <v>•</v>
      </c>
      <c r="IL241" s="332" t="str">
        <f t="shared" si="130"/>
        <v>o</v>
      </c>
      <c r="IM241" s="332" t="str">
        <f t="shared" si="131"/>
        <v>o</v>
      </c>
      <c r="IN241" s="332" t="str">
        <f t="shared" si="132"/>
        <v>•</v>
      </c>
      <c r="IO241" s="338" t="str">
        <f t="shared" si="133"/>
        <v>•</v>
      </c>
      <c r="IP241" s="346" t="b">
        <f t="shared" si="134"/>
        <v>0</v>
      </c>
      <c r="IQ241" s="347" t="b">
        <f t="shared" si="135"/>
        <v>0</v>
      </c>
      <c r="IR241" s="347" t="b">
        <f t="shared" si="136"/>
        <v>0</v>
      </c>
      <c r="IS241" s="347" t="b">
        <f t="shared" si="137"/>
        <v>1</v>
      </c>
      <c r="IT241" s="347" t="b">
        <f t="shared" si="138"/>
        <v>0</v>
      </c>
      <c r="IU241" s="347" t="b">
        <f t="shared" si="139"/>
        <v>0</v>
      </c>
      <c r="IV241" s="347" t="b">
        <f t="shared" si="140"/>
        <v>0</v>
      </c>
      <c r="IW241" s="347" t="b">
        <f t="shared" si="141"/>
        <v>1</v>
      </c>
      <c r="IX241" s="347" t="b">
        <f t="shared" si="142"/>
        <v>0</v>
      </c>
      <c r="IY241" s="347" t="b">
        <f t="shared" si="143"/>
        <v>0</v>
      </c>
      <c r="IZ241" s="347" t="b">
        <f t="shared" si="144"/>
        <v>0</v>
      </c>
      <c r="JA241" s="347" t="b">
        <f t="shared" si="145"/>
        <v>0</v>
      </c>
      <c r="JB241" s="353" t="b">
        <f t="shared" si="146"/>
        <v>0</v>
      </c>
      <c r="JC241" s="354" t="str">
        <f t="shared" si="147"/>
        <v/>
      </c>
      <c r="JD241" s="355" t="str">
        <f t="shared" si="148"/>
        <v/>
      </c>
      <c r="JE241" s="355" t="str">
        <f t="shared" si="149"/>
        <v/>
      </c>
      <c r="JF241" s="355" t="str">
        <f t="shared" si="150"/>
        <v>ga, </v>
      </c>
      <c r="JG241" s="355" t="str">
        <f t="shared" si="151"/>
        <v/>
      </c>
      <c r="JH241" s="355" t="str">
        <f t="shared" si="152"/>
        <v/>
      </c>
      <c r="JI241" s="355" t="str">
        <f t="shared" si="153"/>
        <v/>
      </c>
      <c r="JJ241" s="355" t="str">
        <f t="shared" si="154"/>
        <v>Pa, </v>
      </c>
      <c r="JK241" s="355" t="str">
        <f t="shared" si="155"/>
        <v/>
      </c>
      <c r="JL241" s="355" t="str">
        <f t="shared" si="156"/>
        <v/>
      </c>
      <c r="JM241" s="355" t="str">
        <f t="shared" si="157"/>
        <v/>
      </c>
      <c r="JN241" s="355" t="str">
        <f t="shared" si="158"/>
        <v/>
      </c>
      <c r="JO241" s="359" t="str">
        <f t="shared" si="159"/>
        <v/>
      </c>
      <c r="JP241" s="346" t="b">
        <f t="shared" si="160"/>
        <v>0</v>
      </c>
      <c r="JQ241" s="347" t="b">
        <f t="shared" si="161"/>
        <v>0</v>
      </c>
      <c r="JR241" s="347" t="b">
        <f t="shared" si="162"/>
        <v>0</v>
      </c>
      <c r="JS241" s="347" t="b">
        <f t="shared" si="163"/>
        <v>0</v>
      </c>
      <c r="JT241" s="347" t="b">
        <f t="shared" si="164"/>
        <v>0</v>
      </c>
      <c r="JU241" s="347" t="b">
        <f t="shared" si="165"/>
        <v>0</v>
      </c>
      <c r="JV241" s="347" t="b">
        <f t="shared" si="166"/>
        <v>0</v>
      </c>
      <c r="JW241" s="347" t="b">
        <f t="shared" si="167"/>
        <v>0</v>
      </c>
      <c r="JX241" s="347" t="b">
        <f t="shared" si="168"/>
        <v>0</v>
      </c>
      <c r="JY241" s="347" t="b">
        <f t="shared" si="169"/>
        <v>0</v>
      </c>
      <c r="JZ241" s="347" t="b">
        <f t="shared" si="170"/>
        <v>0</v>
      </c>
      <c r="KA241" s="347" t="b">
        <f t="shared" si="171"/>
        <v>0</v>
      </c>
      <c r="KB241" s="365" t="b">
        <f t="shared" si="172"/>
        <v>0</v>
      </c>
      <c r="KC241" s="354" t="str">
        <f t="shared" si="173"/>
        <v/>
      </c>
      <c r="KD241" s="355" t="str">
        <f t="shared" si="174"/>
        <v/>
      </c>
      <c r="KE241" s="355" t="str">
        <f t="shared" si="175"/>
        <v/>
      </c>
      <c r="KF241" s="355" t="str">
        <f t="shared" si="176"/>
        <v/>
      </c>
      <c r="KG241" s="355" t="str">
        <f t="shared" si="177"/>
        <v/>
      </c>
      <c r="KH241" s="355" t="str">
        <f t="shared" si="178"/>
        <v/>
      </c>
      <c r="KI241" s="355" t="str">
        <f t="shared" si="179"/>
        <v/>
      </c>
      <c r="KJ241" s="355" t="str">
        <f t="shared" si="180"/>
        <v/>
      </c>
      <c r="KK241" s="355" t="str">
        <f t="shared" si="181"/>
        <v/>
      </c>
      <c r="KL241" s="355" t="str">
        <f t="shared" si="182"/>
        <v/>
      </c>
      <c r="KM241" s="355" t="str">
        <f t="shared" si="183"/>
        <v/>
      </c>
      <c r="KN241" s="355" t="str">
        <f t="shared" si="184"/>
        <v/>
      </c>
      <c r="KO241" s="359"/>
      <c r="KP241" s="378"/>
      <c r="KQ241" s="379" t="s">
        <v>1442</v>
      </c>
      <c r="KR241" s="380" t="s">
        <v>1274</v>
      </c>
      <c r="KS241" s="381" t="str">
        <f>KQ241</f>
        <v>S-g-M-P-N-S</v>
      </c>
      <c r="KT241" s="382">
        <f t="shared" si="186"/>
        <v>5</v>
      </c>
      <c r="KU241" s="383">
        <f t="shared" si="187"/>
        <v>5</v>
      </c>
      <c r="KV241" s="381" t="str">
        <f t="shared" si="205"/>
        <v>S-N-d-P-M-g-r-S</v>
      </c>
      <c r="KW241" s="382">
        <f t="shared" si="189"/>
        <v>7</v>
      </c>
      <c r="KX241" s="384">
        <f t="shared" si="190"/>
        <v>7</v>
      </c>
      <c r="KY241" s="382">
        <f t="shared" ref="KY241:KZ241" si="702">KW241-KT241</f>
        <v>2</v>
      </c>
      <c r="KZ241" s="369">
        <f t="shared" si="702"/>
        <v>2</v>
      </c>
      <c r="LA241" s="385" t="str">
        <f t="shared" si="192"/>
        <v>-</v>
      </c>
      <c r="LB241" s="340" t="str">
        <f>IFERROR(__xludf.DUMMYFUNCTION("JOIN("""",ArrayFormula(MID(KS241,LEN(KS241)-SEQUENCE(1,LEN(KS241))+1,1)))"),"S-N-P-M-g-S")</f>
        <v>S-N-P-M-g-S</v>
      </c>
      <c r="LC241" s="373" t="str">
        <f>IFERROR(__xludf.DUMMYFUNCTION("JOIN("""",ArrayFormula(MID(KV241,LEN(KV241)-SEQUENCE(1,LEN(KV241))+1,1)))"),"S-r-g-M-P-d-N-S")</f>
        <v>S-r-g-M-P-d-N-S</v>
      </c>
      <c r="LD241" s="373" t="str">
        <f t="shared" si="193"/>
        <v>SgMPNS</v>
      </c>
      <c r="LE241" s="339" t="str">
        <f t="shared" si="194"/>
        <v>SrgMPdNS</v>
      </c>
      <c r="LF241" s="386" t="str">
        <f>IFERROR(__xludf.DUMMYFUNCTION("SUBSTITUTE(SUBSTITUTE(CONCATENATE(JOIN("""",LH241:LT241)),""1"",""""),""2"","""")"),"SrgMPdNS")</f>
        <v>SrgMPdNS</v>
      </c>
      <c r="LG241" s="369" t="str">
        <f t="shared" si="195"/>
        <v>✔</v>
      </c>
      <c r="LH241" s="387" t="str">
        <f>IFERROR(__xludf.DUMMYFUNCTION("IF(REGEXMATCH(LD241, ""S""), ""S"",IF(REGEXMATCH(LE241, ""S""), ""S"",""""))"),"S")</f>
        <v>S</v>
      </c>
      <c r="LI241" s="299" t="str">
        <f>IFERROR(__xludf.DUMMYFUNCTION("IF(REGEXMATCH(LD241, ""r""), ""r1"",IF(REGEXMATCH(LE241, ""r""), ""r2"",""""))"),"r2")</f>
        <v>r2</v>
      </c>
      <c r="LJ241" s="299" t="str">
        <f>IFERROR(__xludf.DUMMYFUNCTION("IF(REGEXMATCH(LD241, ""R""), ""R1"",IF(REGEXMATCH(LE241, ""R""), ""R2"",""""))"),"")</f>
        <v/>
      </c>
      <c r="LK241" s="299" t="str">
        <f>IFERROR(__xludf.DUMMYFUNCTION("IF(REGEXMATCH(LD241, ""g""), ""g1"",IF(REGEXMATCH(LE241, ""g""), ""g2"",""""))"),"g1")</f>
        <v>g1</v>
      </c>
      <c r="LL241" s="299" t="str">
        <f>IFERROR(__xludf.DUMMYFUNCTION("IF(REGEXMATCH(LD241, ""G""), ""G1"",IF(REGEXMATCH(LE241, ""G""), ""G2"",""""))"),"")</f>
        <v/>
      </c>
      <c r="LM241" s="299" t="str">
        <f>IFERROR(__xludf.DUMMYFUNCTION("IF(REGEXMATCH(LD241, ""m""), ""m1"",IF(REGEXMATCH(LE241, ""m""), ""m2"",""""))"),"")</f>
        <v/>
      </c>
      <c r="LN241" s="299" t="str">
        <f>IFERROR(__xludf.DUMMYFUNCTION("IF(REGEXMATCH(LD241, ""M""), ""M1"",IF(REGEXMATCH(LE241, ""M""), ""M2"",""""))"),"M1")</f>
        <v>M1</v>
      </c>
      <c r="LO241" s="299" t="str">
        <f>IFERROR(__xludf.DUMMYFUNCTION("IF(REGEXMATCH(LD241, ""P""), ""P1"",IF(REGEXMATCH(LE241, ""P""), ""P2"",""""))"),"P1")</f>
        <v>P1</v>
      </c>
      <c r="LP241" s="299" t="str">
        <f>IFERROR(__xludf.DUMMYFUNCTION("IF(REGEXMATCH(LD241, ""d""), ""d1"",IF(REGEXMATCH(LE241, ""d""), ""d2"",""""))"),"d2")</f>
        <v>d2</v>
      </c>
      <c r="LQ241" s="299" t="str">
        <f>IFERROR(__xludf.DUMMYFUNCTION("IF(REGEXMATCH(LD241, ""D""), ""D1"",IF(REGEXMATCH(LE241, ""D""), ""D2"",""""))"),"")</f>
        <v/>
      </c>
      <c r="LR241" s="299" t="str">
        <f>IFERROR(__xludf.DUMMYFUNCTION("IF(REGEXMATCH(LD241, ""n""), ""n1"",IF(REGEXMATCH(LE241, ""n""), ""n2"",""""))"),"")</f>
        <v/>
      </c>
      <c r="LS241" s="299" t="str">
        <f>IFERROR(__xludf.DUMMYFUNCTION("IF(REGEXMATCH(LD241, ""N""), ""N1"",IF(REGEXMATCH(LE241, ""N""), ""N2"",""""))"),"N1")</f>
        <v>N1</v>
      </c>
      <c r="LT241" s="388" t="str">
        <f>IFERROR(__xludf.DUMMYFUNCTION("IF(REGEXMATCH(LD241, ""S""), ""S"",IF(REGEXMATCH(LE241, ""S""), ""S"",""""))"),"S")</f>
        <v>S</v>
      </c>
      <c r="LU241" s="389">
        <f t="shared" si="196"/>
        <v>-3</v>
      </c>
      <c r="LV241" s="378"/>
      <c r="LW241" s="369"/>
      <c r="LX241" s="369"/>
    </row>
    <row r="242" ht="18.0" customHeight="1">
      <c r="A242" s="298" t="s">
        <v>1007</v>
      </c>
      <c r="B242" s="222" t="s">
        <v>741</v>
      </c>
      <c r="C242" s="233" t="str">
        <f t="shared" si="7"/>
        <v>SRgGmPDnNS</v>
      </c>
      <c r="D242" s="234" t="str">
        <f>IFERROR(__xludf.DUMMYFUNCTION("IF(REGEXMATCH(C242, ""S""), ""S"","""")"),"S")</f>
        <v>S</v>
      </c>
      <c r="E242" s="236" t="str">
        <f>IFERROR(__xludf.DUMMYFUNCTION("IF(REGEXMATCH(C242, ""r""), ""r"","""")"),"")</f>
        <v/>
      </c>
      <c r="F242" s="237" t="str">
        <f>IFERROR(__xludf.DUMMYFUNCTION("IF(REGEXMATCH(C242, ""R""), ""R"","""")"),"R")</f>
        <v>R</v>
      </c>
      <c r="G242" s="237" t="str">
        <f>IFERROR(__xludf.DUMMYFUNCTION("IF(REGEXMATCH(C242, ""g""), ""g"","""")"),"g")</f>
        <v>g</v>
      </c>
      <c r="H242" s="236" t="str">
        <f>IFERROR(__xludf.DUMMYFUNCTION("IF(REGEXMATCH(C242, ""G""), ""G"","""")"),"G")</f>
        <v>G</v>
      </c>
      <c r="I242" s="236" t="str">
        <f>IFERROR(__xludf.DUMMYFUNCTION("IF(REGEXMATCH(C242, ""m""), ""m"","""")"),"m")</f>
        <v>m</v>
      </c>
      <c r="J242" s="237" t="str">
        <f>IFERROR(__xludf.DUMMYFUNCTION("IF(REGEXMATCH(C242, ""M""), ""M"","""")"),"")</f>
        <v/>
      </c>
      <c r="K242" s="236" t="str">
        <f>IFERROR(__xludf.DUMMYFUNCTION("IF(REGEXMATCH(C242, ""P""), ""P"","""")"),"P")</f>
        <v>P</v>
      </c>
      <c r="L242" s="237" t="str">
        <f>IFERROR(__xludf.DUMMYFUNCTION("IF(REGEXMATCH(C242, ""d""), ""d"","""")"),"")</f>
        <v/>
      </c>
      <c r="M242" s="236" t="str">
        <f>IFERROR(__xludf.DUMMYFUNCTION("IF(REGEXMATCH(C242, ""D""), ""D"","""")"),"D")</f>
        <v>D</v>
      </c>
      <c r="N242" s="236" t="str">
        <f>IFERROR(__xludf.DUMMYFUNCTION("IF(REGEXMATCH(C242, ""n""), ""n"","""")"),"n")</f>
        <v>n</v>
      </c>
      <c r="O242" s="237" t="str">
        <f>IFERROR(__xludf.DUMMYFUNCTION("IF(REGEXMATCH(C242, ""N""), ""N"","""")"),"N")</f>
        <v>N</v>
      </c>
      <c r="P242" s="238" t="str">
        <f>IFERROR(__xludf.DUMMYFUNCTION("IF(REGEXMATCH(C242, ""S""), ""S"","""")"),"S")</f>
        <v>S</v>
      </c>
      <c r="Q242" s="239" t="str">
        <f>IFERROR(__xludf.DUMMYFUNCTION("SUBSTITUTE(CONCATENATE(JOIN(""-"",D242:J242)),""-"","""")"),"SRgGm")</f>
        <v>SRgGm</v>
      </c>
      <c r="R242" s="229" t="str">
        <f>IFERROR(__xludf.DUMMYFUNCTION("SUBSTITUTE(CONCATENATE(JOIN(""-"",K242:P242)),""-"","""")"),"PDnNS")</f>
        <v>PDnNS</v>
      </c>
      <c r="S242" s="282" t="str">
        <f t="shared" si="8"/>
        <v>S-R-G-M</v>
      </c>
      <c r="T242" s="282" t="str">
        <f t="shared" si="9"/>
        <v>P-D-N-S</v>
      </c>
      <c r="U242" s="237" t="str">
        <f>IFERROR(__xludf.DUMMYFUNCTION("SUBSTITUTE(JOIN(""-"",S242,T242),""--"",""-"")"),"S-R-G-M-P-D-N-S")</f>
        <v>S-R-G-M-P-D-N-S</v>
      </c>
      <c r="V242" s="309" t="str">
        <f t="shared" si="10"/>
        <v>RgGmDnN</v>
      </c>
      <c r="W242" s="244" t="str">
        <f>IFERROR(__xludf.DUMMYFUNCTION("IF(REGEXMATCH(C242, ""S""), ""0"","""")"),"0")</f>
        <v>0</v>
      </c>
      <c r="X242" s="245" t="str">
        <f>IFERROR(__xludf.DUMMYFUNCTION("IF(REGEXMATCH(C242, ""r""), ""1"","""")"),"")</f>
        <v/>
      </c>
      <c r="Y242" s="246" t="str">
        <f>IFERROR(__xludf.DUMMYFUNCTION("IF(REGEXMATCH(C242, ""R""), ""2"","""")"),"2")</f>
        <v>2</v>
      </c>
      <c r="Z242" s="246" t="str">
        <f>IFERROR(__xludf.DUMMYFUNCTION("IF(REGEXMATCH(C242, ""g""), ""3"","""")"),"3")</f>
        <v>3</v>
      </c>
      <c r="AA242" s="245" t="str">
        <f>IFERROR(__xludf.DUMMYFUNCTION("IF(REGEXMATCH(C242, ""G""), ""4"","""")"),"4")</f>
        <v>4</v>
      </c>
      <c r="AB242" s="245" t="str">
        <f>IFERROR(__xludf.DUMMYFUNCTION("IF(REGEXMATCH(C242, ""m""), ""5"","""")"),"5")</f>
        <v>5</v>
      </c>
      <c r="AC242" s="246" t="str">
        <f>IFERROR(__xludf.DUMMYFUNCTION("IF(REGEXMATCH(C242, ""M""), ""6"","""")"),"")</f>
        <v/>
      </c>
      <c r="AD242" s="245" t="str">
        <f>IFERROR(__xludf.DUMMYFUNCTION("IF(REGEXMATCH(C242, ""P""), ""7"","""")"),"7")</f>
        <v>7</v>
      </c>
      <c r="AE242" s="246" t="str">
        <f>IFERROR(__xludf.DUMMYFUNCTION("IF(REGEXMATCH(C242, ""d""), ""8"","""")"),"")</f>
        <v/>
      </c>
      <c r="AF242" s="245" t="str">
        <f>IFERROR(__xludf.DUMMYFUNCTION("IF(REGEXMATCH(C242, ""D""), ""9"","""")"),"9")</f>
        <v>9</v>
      </c>
      <c r="AG242" s="245" t="str">
        <f>IFERROR(__xludf.DUMMYFUNCTION("IF(REGEXMATCH(C242, ""n""), ""10"","""")"),"10")</f>
        <v>10</v>
      </c>
      <c r="AH242" s="246" t="str">
        <f>IFERROR(__xludf.DUMMYFUNCTION("IF(REGEXMATCH(C242, ""N""), ""11"","""")"),"11")</f>
        <v>11</v>
      </c>
      <c r="AI242" s="249" t="str">
        <f>IFERROR(__xludf.DUMMYFUNCTION("IF(REGEXMATCH(C242, ""S""), ""0"","""")"),"0")</f>
        <v>0</v>
      </c>
      <c r="AJ242" s="313" t="str">
        <f t="shared" si="11"/>
        <v>-</v>
      </c>
      <c r="AK242" s="313" t="str">
        <f t="shared" si="12"/>
        <v>-</v>
      </c>
      <c r="AL242" s="313" t="str">
        <f t="shared" si="13"/>
        <v>-</v>
      </c>
      <c r="AM242" s="313" t="str">
        <f t="shared" si="14"/>
        <v>T</v>
      </c>
      <c r="AN242" s="313" t="str">
        <f t="shared" si="15"/>
        <v>T</v>
      </c>
      <c r="AO242" s="314" t="str">
        <f t="shared" si="16"/>
        <v>T</v>
      </c>
      <c r="AP242" s="316">
        <f t="shared" si="17"/>
        <v>3</v>
      </c>
      <c r="AQ242" s="319" t="str">
        <f t="shared" si="18"/>
        <v>-</v>
      </c>
      <c r="AR242" s="320">
        <f t="shared" si="19"/>
        <v>0</v>
      </c>
      <c r="AS242" s="250" t="str">
        <f>IFERROR(__xludf.DUMMYFUNCTION("SUBSTITUTE(SUBSTITUTE(CONCATENATE(JOIN("""",FP242:GA242)),""|"",""x""),""-"",""o"")"),"xoxxxxoxoxxx")</f>
        <v>xoxxxxoxoxxx</v>
      </c>
      <c r="AT242" s="323" t="str">
        <f>IFERROR(__xludf.DUMMYFUNCTION("JOIN("""",AS242,AS242)"),"xoxxxxoxoxxxxoxxxxoxoxxx")</f>
        <v>xoxxxxoxoxxxxoxxxxoxoxxx</v>
      </c>
      <c r="AU242" s="256" t="str">
        <f>IFERROR(__xludf.DUMMYFUNCTION("JOIN("""",ArrayFormula(MID(AS242,LEN(AS242)-SEQUENCE(1,LEN(AS242))+1,1)))"),"xxxoxoxxxxox")</f>
        <v>xxxoxoxxxxox</v>
      </c>
      <c r="AV242" s="256" t="str">
        <f>IFERROR(__xludf.DUMMYFUNCTION("LEFT(CONCATENATE(""x"",JOIN("""",ArrayFormula(MID(AS242,LEN(AS242)-SEQUENCE(1,LEN(AS242))+1,1)))),12)"),"xxxxoxoxxxxo")</f>
        <v>xxxxoxoxxxxo</v>
      </c>
      <c r="AW242" s="327" t="str">
        <f>IFERROR(__xludf.DUMMYFUNCTION("JOIN("""",AU242,AU242)"),"xxxoxoxxxxoxxxxoxoxxxxox")</f>
        <v>xxxoxoxxxxoxxxxoxoxxxxox</v>
      </c>
      <c r="AX242" s="239" t="str">
        <f>IFERROR(__xludf.DUMMYFUNCTION("IF(REGEXMATCH(AW242,AS242),""✔"",""-"")"),"✔")</f>
        <v>✔</v>
      </c>
      <c r="AY242" s="330" t="str">
        <f t="shared" si="20"/>
        <v>-</v>
      </c>
      <c r="AZ242" s="260" t="str">
        <f t="shared" si="21"/>
        <v>#REF!</v>
      </c>
      <c r="BA242" s="333" t="str">
        <f t="shared" si="22"/>
        <v>xoxxxxo</v>
      </c>
      <c r="BB242" s="334" t="str">
        <f t="shared" si="23"/>
        <v>xoxxxx</v>
      </c>
      <c r="BC242" s="335" t="str">
        <f t="shared" si="236"/>
        <v>✔</v>
      </c>
      <c r="BD242" s="336" t="str">
        <f t="shared" si="25"/>
        <v>Nagadhwani Kanada: 'xoxxxxo' + 'xoxxxx'</v>
      </c>
      <c r="BE242" s="337">
        <f>IFERROR(__xludf.DUMMYFUNCTION("COUNTUNIQUE(FILTER(AT:AT,REGEXMATCH(AT:AT,AS242)))-1"),4.0)</f>
        <v>4</v>
      </c>
      <c r="BF242" s="261" t="str">
        <f>IFERROR(__xludf.DUMMYFUNCTION("IF(BI242=0,""(n/a)"",IF(BJ242=2,""(PAIR)"",IF(REGEXMATCH(AT242,""xoxoxxoxoxox""),""Bilawal"",IF(REGEXMATCH(AT242,""xoxoxooxoxoo""),""Bhupali"",IF(REGEXMATCH(AT242,""xoxoxxoxxoxo""),""Charukeshi"",IF(REGEXMATCH(AT242,""xoxoooxxoxxo""),""Kameshwari"",IF(REG"&amp;"EXMATCH(AT242,""xoxoxooxoxox""),""Shankara"",IF(REGEXMATCH(AT242,""xxooxoxxxoox""),""Basant"",IF(REGEXMATCH(AT242,""xoxoxxxxoxox""),""Bihag"",IF(REGEXMATCH(AT242,""xoxxxxoxoxxx""),""Pilu"",IF(REGEXMATCH(AT242,""xoxxoxoxxoox""),""Kirwani"",IF(REGEXMATCH(AT"&amp;"242,""xoxxoxoxoxxx""),""Mk.Malhar"",IF(REGEXMATCH(AT242,""xxooxxoxxoox""),""Bhairav"",IF(REGEXMATCH(AT242,""xxoxooxxxoox""),""Todi"",IF(REGEXMATCH(AT242,""xxooxoxooxox""),""Marwa"",IF(REGEXMATCH(AT242,""xxoooxoxxooo""),""Gunkali"",IF(REGEXMATCH(AT242,""xo"&amp;"xoxxoxxoox""),""Nat Bhairav"",IF(REGEXMATCH(AT242,""xoxxoooxoxoo""),""Shivranjani"",IF(REGEXMATCH(AT242,""xooxxxoxooxo""),""Jog"",IF(REGEXMATCH(AT242,""xxooxoxoxoox""),""Hemshri"",IF(REGEXMATCH(AT242,""xoooxooxoxxo""),""Kalavati"",IF(REGEXMATCH(AT242,""xx"&amp;"oxoxxoxoox""),""Kedar"",IF(REGEXMATCH(AT242,""xoxxxxoxooxx""),""Gara"",IF(REGEXMATCH(AT242,""xooxoxooxoox""),""Chandrakauns"",IF(REGEXMATCH(AT242,""xoxxxxoxxxox""),""Mand"",IF(REGEXMATCH(AT242,""xoxxxxoxoxox""),""Hanskinkini"",IF(REGEXMATCH(AT242,""xxooxx"&amp;"oxooxo""),""Lilavati"",IF(REGEXMATCH(AT242,""xooxoxoooxox""),""Rajeshwari"",IF(REGEXMATCH(AT242,""xoooxxoxoxxx""),""Khokar"",IF(REGEXMATCH(AT242,""xxooxoxxxxox""),""Maligoura"",""-""))))))))))))))))))))))))))))))"),"Pilu")</f>
        <v>Pilu</v>
      </c>
      <c r="BG242" s="239" t="str">
        <f t="shared" si="26"/>
        <v>#REF!</v>
      </c>
      <c r="BH242" s="239">
        <f>IFERROR(__xludf.DUMMYFUNCTION("COUNTUNIQUE(FE242:FO242)-1"),8.0)</f>
        <v>8</v>
      </c>
      <c r="BI242" s="239">
        <f>IFERROR(__xludf.DUMMYFUNCTION("COUNTUNIQUE(FILTER(AT:AT,REGEXMATCH(AT:AT,AS242)))-1"),4.0)</f>
        <v>4</v>
      </c>
      <c r="BJ242" s="239">
        <f>IFERROR(__xludf.DUMMYFUNCTION("COUNTA(FILTER(AT:AT,REGEXMATCH(AT:AT,AS242)))"),26.0)</f>
        <v>26</v>
      </c>
      <c r="BK242" s="341">
        <f>IFERROR(__xludf.DUMMYFUNCTION("COUNTA(FILTER(AT:AT,REGEXMATCH(AT:AT,AS242)))-AR242"),26.0)</f>
        <v>26</v>
      </c>
      <c r="BL242" s="276" t="str">
        <f>IFERROR(__xludf.DUMMYFUNCTION("IF(AS242=""oooooooooooo"",""-"",IF(REGEXMATCH(AT242,""xx""), ""Hemi."", ""Anhemi.""))"),"Hemi.")</f>
        <v>Hemi.</v>
      </c>
      <c r="BM242" s="282" t="str">
        <f>IFERROR(__xludf.DUMMYFUNCTION("IF(AS242=""oooooooooooo"",""-"",IF(REGEXMATCH(AT242,""xxx""), ""Cohem."", ""-""))"),"Cohem.")</f>
        <v>Cohem.</v>
      </c>
      <c r="BN242" s="282" t="str">
        <f>IFERROR(__xludf.DUMMYFUNCTION("IF(AS242=""oooooooooooo"",""-"",IF(REGEXMATCH(AT242,""xxxx""), ""Co-Co."", ""-""))"),"Co-Co.")</f>
        <v>Co-Co.</v>
      </c>
      <c r="BO242" s="342" t="str">
        <f>IFERROR(__xludf.DUMMYFUNCTION("IF(AS242=""oooooooooooo"",""-"",IF(REGEXMATCH(AT242,""xxxxx""), ""CCC."", ""-""))"),"-")</f>
        <v>-</v>
      </c>
      <c r="BP242" s="344" t="str">
        <f t="shared" si="27"/>
        <v>-</v>
      </c>
      <c r="BQ242" s="282" t="str">
        <f>IFERROR(__xludf.DUMMYFUNCTION("IF(REGEXMATCH(JOIN(""-"",EU242:FD242),""TRUE""),""✔"",""-"")"),"-")</f>
        <v>-</v>
      </c>
      <c r="BR242" s="225">
        <f t="shared" si="28"/>
        <v>0</v>
      </c>
      <c r="BS242" s="345" t="str">
        <f>IFERROR(__xludf.DUMMYFUNCTION("SUBSTITUTE(SUBSTITUTE(SUBSTITUTE(SUBSTITUTE(CONCATENATE(JOIN(""-"",GC242:GO242)),""--"",""-""),""--"",""-""),""--"",""-""),""--"",""-"")"),"1-2-b3-3-4-5-6-b7-7-8")</f>
        <v>1-2-b3-3-4-5-6-b7-7-8</v>
      </c>
      <c r="BT242" s="299" t="str">
        <f>IFERROR(__xludf.DUMMYFUNCTION("SUBSTITUTE(SUBSTITUTE(SUBSTITUTE(SUBSTITUTE(CONCATENATE(JOIN(""-"",GP242:HB242)),""--"",""-""),""--"",""-""),""--"",""-""),""--"",""-"")"),"S-R2-G2-G3-M1-P-D2-N2-N3-S")</f>
        <v>S-R2-G2-G3-M1-P-D2-N2-N3-S</v>
      </c>
      <c r="BU242" s="348" t="str">
        <f t="shared" si="29"/>
        <v>C-D-Eb-E-F-G-A-Bb-B-C</v>
      </c>
      <c r="BV242" s="349" t="str">
        <f t="shared" si="30"/>
        <v>SrMdS</v>
      </c>
      <c r="BW242" s="350">
        <f t="shared" si="31"/>
        <v>0</v>
      </c>
      <c r="BX242" s="351">
        <f t="shared" si="32"/>
        <v>11</v>
      </c>
      <c r="BY242" s="392"/>
      <c r="BZ242" s="309" t="str">
        <f>IFERROR(__xludf.DUMMYFUNCTION("IF(REGEXMATCH(C242, ""S""), ""x"",""x"")"),"x")</f>
        <v>x</v>
      </c>
      <c r="CA242" s="245" t="str">
        <f>IFERROR(__xludf.DUMMYFUNCTION("IF(REGEXMATCH(C242, ""r""), ""o"",""x"")"),"x")</f>
        <v>x</v>
      </c>
      <c r="CB242" s="246" t="str">
        <f>IFERROR(__xludf.DUMMYFUNCTION("IF(REGEXMATCH(C242, ""R""), ""o"",""x"")"),"o")</f>
        <v>o</v>
      </c>
      <c r="CC242" s="246" t="str">
        <f>IFERROR(__xludf.DUMMYFUNCTION("IF(REGEXMATCH(C242, ""g""), ""o"",""x"")"),"o")</f>
        <v>o</v>
      </c>
      <c r="CD242" s="245" t="str">
        <f>IFERROR(__xludf.DUMMYFUNCTION("IF(REGEXMATCH(C242, ""G""), ""o"",""x"")"),"o")</f>
        <v>o</v>
      </c>
      <c r="CE242" s="245" t="str">
        <f>IFERROR(__xludf.DUMMYFUNCTION("IF(REGEXMATCH(C242, ""m""), ""o"",""x"")"),"o")</f>
        <v>o</v>
      </c>
      <c r="CF242" s="246" t="str">
        <f>IFERROR(__xludf.DUMMYFUNCTION("IF(REGEXMATCH(C242, ""M""), ""o"",""x"")"),"x")</f>
        <v>x</v>
      </c>
      <c r="CG242" s="245" t="str">
        <f>IFERROR(__xludf.DUMMYFUNCTION("IF(REGEXMATCH(C242, ""P""), ""o"",""x"")"),"o")</f>
        <v>o</v>
      </c>
      <c r="CH242" s="246" t="str">
        <f>IFERROR(__xludf.DUMMYFUNCTION("IF(REGEXMATCH(C242, ""d""), ""o"",""x"")"),"x")</f>
        <v>x</v>
      </c>
      <c r="CI242" s="245" t="str">
        <f>IFERROR(__xludf.DUMMYFUNCTION("IF(REGEXMATCH(C242, ""D""), ""o"",""x"")"),"o")</f>
        <v>o</v>
      </c>
      <c r="CJ242" s="245" t="str">
        <f>IFERROR(__xludf.DUMMYFUNCTION("IF(REGEXMATCH(C242, ""n""), ""o"",""x"")"),"o")</f>
        <v>o</v>
      </c>
      <c r="CK242" s="245" t="str">
        <f>IFERROR(__xludf.DUMMYFUNCTION("IF(REGEXMATCH(C242, ""N""), ""o"",""x"")"),"o")</f>
        <v>o</v>
      </c>
      <c r="CL242" s="356" t="str">
        <f>IFERROR(__xludf.DUMMYFUNCTION("IF(REGEXMATCH(C242, ""S""), ""x"",""x"")"),"x")</f>
        <v>x</v>
      </c>
      <c r="CM242" s="357" t="str">
        <f t="shared" si="33"/>
        <v>xxooooxoxooo</v>
      </c>
      <c r="CN242" s="358">
        <f t="shared" si="34"/>
        <v>0</v>
      </c>
      <c r="CO242" s="246" t="str">
        <f>IFERROR(__xludf.DUMMYFUNCTION("IF(REGEXMATCH($C242, ""S""), ""S"",""S"")"),"S")</f>
        <v>S</v>
      </c>
      <c r="CP242" s="246" t="str">
        <f>IFERROR(__xludf.DUMMYFUNCTION("IF(REGEXMATCH($C242, ""r""), """",""r"")"),"r")</f>
        <v>r</v>
      </c>
      <c r="CQ242" s="246" t="str">
        <f>IFERROR(__xludf.DUMMYFUNCTION("IF(REGEXMATCH($C242, ""R""), """",""R"")"),"")</f>
        <v/>
      </c>
      <c r="CR242" s="246" t="str">
        <f>IFERROR(__xludf.DUMMYFUNCTION("IF(REGEXMATCH($C242, ""g""), """",""g"")"),"")</f>
        <v/>
      </c>
      <c r="CS242" s="246" t="str">
        <f>IFERROR(__xludf.DUMMYFUNCTION("IF(REGEXMATCH($C242, ""G""), """",""G"")"),"")</f>
        <v/>
      </c>
      <c r="CT242" s="246" t="str">
        <f>IFERROR(__xludf.DUMMYFUNCTION("IF(REGEXMATCH($C242, ""m""), """",""m"")"),"")</f>
        <v/>
      </c>
      <c r="CU242" s="246" t="str">
        <f>IFERROR(__xludf.DUMMYFUNCTION("IF(REGEXMATCH($C242, ""M""), """",""M"")"),"M")</f>
        <v>M</v>
      </c>
      <c r="CV242" s="246" t="str">
        <f>IFERROR(__xludf.DUMMYFUNCTION("IF(REGEXMATCH($C242, ""P""), """",""P"")"),"")</f>
        <v/>
      </c>
      <c r="CW242" s="246" t="str">
        <f>IFERROR(__xludf.DUMMYFUNCTION("IF(REGEXMATCH($C242, ""d""), """",""d"")"),"d")</f>
        <v>d</v>
      </c>
      <c r="CX242" s="246" t="str">
        <f>IFERROR(__xludf.DUMMYFUNCTION("IF(REGEXMATCH($C242, ""D""), """",""D"")"),"")</f>
        <v/>
      </c>
      <c r="CY242" s="246" t="str">
        <f>IFERROR(__xludf.DUMMYFUNCTION("IF(REGEXMATCH($C242, ""n""), """",""n"")"),"")</f>
        <v/>
      </c>
      <c r="CZ242" s="246" t="str">
        <f>IFERROR(__xludf.DUMMYFUNCTION("IF(REGEXMATCH($C242, ""N""), """",""N"")"),"")</f>
        <v/>
      </c>
      <c r="DA242" s="246" t="str">
        <f>IFERROR(__xludf.DUMMYFUNCTION("IF(REGEXMATCH($C242, ""S""), ""S"",""S"")"),"S")</f>
        <v>S</v>
      </c>
      <c r="DB242" s="362" t="str">
        <f>IFERROR(__xludf.DUMMYFUNCTION("JOIN("""",CO242:DA242,"""","""")"),"SrMdS")</f>
        <v>SrMdS</v>
      </c>
      <c r="DC242" s="363"/>
      <c r="DD242" s="301" t="str">
        <f t="shared" si="35"/>
        <v>#REF!</v>
      </c>
      <c r="DE242" s="302" t="str">
        <f t="shared" si="36"/>
        <v>#REF!</v>
      </c>
      <c r="DF242" s="301" t="str">
        <f t="shared" ref="DF242:DG242" si="703">SUBSTITUTE(S242,"-","")</f>
        <v>SRGM</v>
      </c>
      <c r="DG242" s="301" t="str">
        <f t="shared" si="703"/>
        <v>PDNS</v>
      </c>
      <c r="DH242" s="302" t="str">
        <f t="shared" si="38"/>
        <v>Pilu</v>
      </c>
      <c r="DI242" s="301" t="str">
        <f t="shared" si="39"/>
        <v>Hemi.</v>
      </c>
      <c r="DJ242" s="364" t="str">
        <f t="shared" si="40"/>
        <v>Co-Co.</v>
      </c>
      <c r="DK242" s="306" t="str">
        <f t="shared" si="41"/>
        <v>-</v>
      </c>
      <c r="DL242" s="366" t="str">
        <f t="shared" si="42"/>
        <v>-</v>
      </c>
      <c r="DM242" s="308" t="str">
        <f t="shared" si="43"/>
        <v>✔</v>
      </c>
      <c r="DN242" s="306" t="str">
        <f t="shared" si="44"/>
        <v>-</v>
      </c>
      <c r="DO242" s="306" t="str">
        <f t="shared" si="45"/>
        <v>-</v>
      </c>
      <c r="DP242" s="367" t="str">
        <f t="shared" si="46"/>
        <v>-</v>
      </c>
      <c r="DQ242" s="310" t="str">
        <f t="shared" si="47"/>
        <v>-</v>
      </c>
      <c r="DR242" s="310" t="str">
        <f t="shared" si="48"/>
        <v>✔</v>
      </c>
      <c r="DS242" s="310" t="str">
        <f t="shared" si="49"/>
        <v>-</v>
      </c>
      <c r="DT242" s="310" t="str">
        <f t="shared" si="50"/>
        <v>-</v>
      </c>
      <c r="DU242" s="370" t="str">
        <f t="shared" si="51"/>
        <v>✔</v>
      </c>
      <c r="DV242" s="306" t="str">
        <f t="shared" si="52"/>
        <v>-</v>
      </c>
      <c r="DW242" s="306" t="str">
        <f t="shared" si="53"/>
        <v>-</v>
      </c>
      <c r="DX242" s="306" t="str">
        <f t="shared" si="54"/>
        <v>-</v>
      </c>
      <c r="DY242" s="306" t="str">
        <f t="shared" si="55"/>
        <v>-</v>
      </c>
      <c r="DZ242" s="306" t="str">
        <f t="shared" si="56"/>
        <v>-</v>
      </c>
      <c r="EA242" s="367" t="str">
        <f t="shared" si="57"/>
        <v>-</v>
      </c>
      <c r="EB242" s="310" t="str">
        <f>IFERROR(__xludf.DUMMYFUNCTION("IF(REGEXMATCH(AW242,AS242),""✔"",""-"")"),"✔")</f>
        <v>✔</v>
      </c>
      <c r="EC242" s="310" t="str">
        <f t="shared" si="58"/>
        <v>#REF!</v>
      </c>
      <c r="ED242" s="370" t="str">
        <f t="shared" si="59"/>
        <v>-</v>
      </c>
      <c r="EE242" s="340" t="str">
        <f t="shared" si="60"/>
        <v>S-R-gG-m-P-D-nN-S</v>
      </c>
      <c r="EF242" s="371" t="str">
        <f>IFERROR(__xludf.DUMMYFUNCTION("CONCATENATE(JOIN("""",HC242:HO242))"),"SrRgmPdDnS")</f>
        <v>SrRgmPdDnS</v>
      </c>
      <c r="EG242" s="372">
        <f t="shared" si="61"/>
        <v>1</v>
      </c>
      <c r="EH242" s="373" t="str">
        <f>IFERROR(__xludf.DUMMYFUNCTION("CONCATENATE(JOIN("""",JC242:JO242))"),"Ni, ")</f>
        <v>Ni, </v>
      </c>
      <c r="EI242" s="322">
        <f t="shared" si="62"/>
        <v>0</v>
      </c>
      <c r="EJ242" s="374" t="str">
        <f>IFERROR(__xludf.DUMMYFUNCTION("CONCATENATE(JOIN("""",KC242:KO242))"),"")</f>
        <v/>
      </c>
      <c r="EK242" s="325" t="str">
        <f t="shared" si="63"/>
        <v>S-R2-G2-G3-M1-P-D2-N2-N3-S</v>
      </c>
      <c r="EL242" s="326" t="str">
        <f t="shared" si="64"/>
        <v>1-2-b3-3-4-5-6-b7-7-8</v>
      </c>
      <c r="EM242" s="318" t="str">
        <f t="shared" si="65"/>
        <v>#REF!</v>
      </c>
      <c r="EN242" s="328" t="str">
        <f>IFERROR(__xludf.DUMMYFUNCTION("SUBSTITUTE(SUBSTITUTE(SUBSTITUTE(SUBSTITUTE(CONCATENATE(JOIN("" "",HP242:IB242)),""  "","" ""),""  "","" ""),""  "","" ""),""  "","" "")"),"o • o o o o • o • o o o o")</f>
        <v>o • o o o o • o • o o o o</v>
      </c>
      <c r="EO242" s="368" t="str">
        <f t="shared" si="66"/>
        <v>-</v>
      </c>
      <c r="EP242" s="339" t="str">
        <f t="shared" si="67"/>
        <v>-</v>
      </c>
      <c r="EQ242" s="339" t="str">
        <f t="shared" si="68"/>
        <v>Sa-Pa</v>
      </c>
      <c r="ER242" s="339" t="str">
        <f t="shared" si="69"/>
        <v>-</v>
      </c>
      <c r="ES242" s="340" t="str">
        <f t="shared" si="70"/>
        <v>-</v>
      </c>
      <c r="ET242" s="363"/>
      <c r="EU242" s="376" t="b">
        <f>IFERROR(__xludf.DUMMYFUNCTION("arrayformula(sum(--REGEXMATCH(""SRGMPDNS"",split(REGEXREPLACE(C242,""(.)"",""$1~""),""~""))))=len(C242)
"),FALSE)</f>
        <v>0</v>
      </c>
      <c r="EV242" s="290" t="b">
        <f>IFERROR(__xludf.DUMMYFUNCTION("arrayformula(sum(--REGEXMATCH(""SRGmPDNS"",split(REGEXREPLACE(C242,""(.)"",""$1~""),""~""))))=len(C242)"),FALSE)</f>
        <v>0</v>
      </c>
      <c r="EW242" s="290" t="b">
        <f>IFERROR(__xludf.DUMMYFUNCTION("arrayformula(sum(--REGEXMATCH(""SRGmPDnS"",split(REGEXREPLACE(C242,""(.)"",""$1~""),""~""))))=len(C242)"),FALSE)</f>
        <v>0</v>
      </c>
      <c r="EX242" s="290" t="b">
        <f>IFERROR(__xludf.DUMMYFUNCTION("arrayformula(sum(--REGEXMATCH(""SRgmPDnS"",split(REGEXREPLACE(C242,""(.)"",""$1~""),""~""))))=len(C242)"),FALSE)</f>
        <v>0</v>
      </c>
      <c r="EY242" s="290" t="b">
        <f>IFERROR(__xludf.DUMMYFUNCTION("arrayformula(sum(--REGEXMATCH(""SRgmPdnS"",split(REGEXREPLACE(C242,""(.)"",""$1~""),""~""))))=len(C242)"),FALSE)</f>
        <v>0</v>
      </c>
      <c r="EZ242" s="290" t="b">
        <f>IFERROR(__xludf.DUMMYFUNCTION("arrayformula(sum(--REGEXMATCH(""SrgmPdnS"",split(REGEXREPLACE(C242,""(.)"",""$1~""),""~""))))=len(C242)"),FALSE)</f>
        <v>0</v>
      </c>
      <c r="FA242" s="290" t="b">
        <f>IFERROR(__xludf.DUMMYFUNCTION("arrayformula(sum(--REGEXMATCH(""SrGmPdNS"",split(REGEXREPLACE(C242,""(.)"",""$1~""),""~""))))=len(C242)"),FALSE)</f>
        <v>0</v>
      </c>
      <c r="FB242" s="290" t="b">
        <f>IFERROR(__xludf.DUMMYFUNCTION("arrayformula(sum(--REGEXMATCH(""SrGMPDNS"",split(REGEXREPLACE(C242,""(.)"",""$1~""),""~""))))=len(C242)"),FALSE)</f>
        <v>0</v>
      </c>
      <c r="FC242" s="290" t="b">
        <f>IFERROR(__xludf.DUMMYFUNCTION("arrayformula(sum(--REGEXMATCH(""SrGMPdNS"",split(REGEXREPLACE(C242,""(.)"",""$1~""),""~""))))=len(C242)"),FALSE)</f>
        <v>0</v>
      </c>
      <c r="FD242" s="377" t="b">
        <f>IFERROR(__xludf.DUMMYFUNCTION("arrayformula(sum(--REGEXMATCH(""SrgMPdNS"",split(REGEXREPLACE(C242,""(.)"",""$1~""),""~""))))=len(C242)"),FALSE)</f>
        <v>0</v>
      </c>
      <c r="FE242" s="269" t="str">
        <f t="shared" si="71"/>
        <v>-</v>
      </c>
      <c r="FF242" s="269" t="str">
        <f t="shared" si="72"/>
        <v>xxxxoxoxxxx</v>
      </c>
      <c r="FG242" s="271" t="str">
        <f t="shared" si="73"/>
        <v>xxxoxoxxxxo</v>
      </c>
      <c r="FH242" s="269" t="str">
        <f t="shared" si="74"/>
        <v>xxoxoxxxxox</v>
      </c>
      <c r="FI242" s="271" t="str">
        <f t="shared" si="75"/>
        <v>xoxoxxxxoxx</v>
      </c>
      <c r="FJ242" s="271" t="str">
        <f t="shared" si="76"/>
        <v>-</v>
      </c>
      <c r="FK242" s="271" t="str">
        <f t="shared" si="77"/>
        <v>xoxxxxoxxxx</v>
      </c>
      <c r="FL242" s="271" t="str">
        <f t="shared" si="78"/>
        <v>-</v>
      </c>
      <c r="FM242" s="271" t="str">
        <f t="shared" si="79"/>
        <v>xxxxoxxxxox</v>
      </c>
      <c r="FN242" s="271" t="str">
        <f t="shared" si="80"/>
        <v>xxxoxxxxoxo</v>
      </c>
      <c r="FO242" s="274" t="str">
        <f t="shared" si="81"/>
        <v>xxoxxxxoxox</v>
      </c>
      <c r="FP242" s="234" t="str">
        <f t="shared" si="82"/>
        <v>|</v>
      </c>
      <c r="FQ242" s="236" t="str">
        <f t="shared" si="83"/>
        <v>-</v>
      </c>
      <c r="FR242" s="237" t="str">
        <f t="shared" si="84"/>
        <v>|</v>
      </c>
      <c r="FS242" s="236" t="str">
        <f t="shared" si="85"/>
        <v>|</v>
      </c>
      <c r="FT242" s="237" t="str">
        <f t="shared" si="86"/>
        <v>|</v>
      </c>
      <c r="FU242" s="236" t="str">
        <f t="shared" si="87"/>
        <v>|</v>
      </c>
      <c r="FV242" s="237" t="str">
        <f t="shared" si="88"/>
        <v>-</v>
      </c>
      <c r="FW242" s="236" t="str">
        <f t="shared" si="89"/>
        <v>|</v>
      </c>
      <c r="FX242" s="237" t="str">
        <f t="shared" si="90"/>
        <v>-</v>
      </c>
      <c r="FY242" s="236" t="str">
        <f t="shared" si="91"/>
        <v>|</v>
      </c>
      <c r="FZ242" s="237" t="str">
        <f t="shared" si="92"/>
        <v>|</v>
      </c>
      <c r="GA242" s="236" t="str">
        <f t="shared" si="93"/>
        <v>|</v>
      </c>
      <c r="GB242" s="238" t="str">
        <f t="shared" si="94"/>
        <v>|</v>
      </c>
      <c r="GC242" s="244" t="str">
        <f>IFERROR(__xludf.DUMMYFUNCTION("IF(REGEXMATCH(C242, ""S""), ""1"","""")"),"1")</f>
        <v>1</v>
      </c>
      <c r="GD242" s="245" t="str">
        <f>IFERROR(__xludf.DUMMYFUNCTION("IF(REGEXMATCH(C242, ""r""), ""b2"","""")"),"")</f>
        <v/>
      </c>
      <c r="GE242" s="246" t="str">
        <f>IFERROR(__xludf.DUMMYFUNCTION("IF(REGEXMATCH(C242, ""R""), ""2"","""")"),"2")</f>
        <v>2</v>
      </c>
      <c r="GF242" s="246" t="str">
        <f>IFERROR(__xludf.DUMMYFUNCTION("IF(REGEXMATCH(C242, ""g""), ""b3"","""")"),"b3")</f>
        <v>b3</v>
      </c>
      <c r="GG242" s="245" t="str">
        <f>IFERROR(__xludf.DUMMYFUNCTION("IF(REGEXMATCH(C242, ""G""), ""3"","""")"),"3")</f>
        <v>3</v>
      </c>
      <c r="GH242" s="245" t="str">
        <f>IFERROR(__xludf.DUMMYFUNCTION("IF(REGEXMATCH(C242, ""m""), ""4"","""")"),"4")</f>
        <v>4</v>
      </c>
      <c r="GI242" s="246" t="str">
        <f>IFERROR(__xludf.DUMMYFUNCTION("IF(REGEXMATCH(C242, ""M""), ""#4"","""")"),"")</f>
        <v/>
      </c>
      <c r="GJ242" s="245" t="str">
        <f>IFERROR(__xludf.DUMMYFUNCTION("IF(REGEXMATCH(C242, ""P""), ""5"","""")"),"5")</f>
        <v>5</v>
      </c>
      <c r="GK242" s="246" t="str">
        <f>IFERROR(__xludf.DUMMYFUNCTION("IF(REGEXMATCH(C242, ""d""), ""b6"","""")"),"")</f>
        <v/>
      </c>
      <c r="GL242" s="245" t="str">
        <f>IFERROR(__xludf.DUMMYFUNCTION("IF(REGEXMATCH(C242, ""D""), ""6"","""")"),"6")</f>
        <v>6</v>
      </c>
      <c r="GM242" s="245" t="str">
        <f>IFERROR(__xludf.DUMMYFUNCTION("IF(REGEXMATCH(C242, ""n""), ""b7"","""")"),"b7")</f>
        <v>b7</v>
      </c>
      <c r="GN242" s="246" t="str">
        <f>IFERROR(__xludf.DUMMYFUNCTION("IF(REGEXMATCH(C242, ""N""), ""7"","""")"),"7")</f>
        <v>7</v>
      </c>
      <c r="GO242" s="249" t="str">
        <f>IFERROR(__xludf.DUMMYFUNCTION("IF(REGEXMATCH(C242, ""S""), ""8"","""")"),"8")</f>
        <v>8</v>
      </c>
      <c r="GP242" s="244" t="str">
        <f>IFERROR(__xludf.DUMMYFUNCTION("IF(REGEXMATCH(C242, ""S""), ""S"","""")"),"S")</f>
        <v>S</v>
      </c>
      <c r="GQ242" s="294" t="str">
        <f>IFERROR(__xludf.DUMMYFUNCTION("IF(REGEXMATCH(C242, ""r""), ""R1"","""")"),"")</f>
        <v/>
      </c>
      <c r="GR242" s="295" t="str">
        <f>IFERROR(__xludf.DUMMYFUNCTION("IF(REGEXMATCH(C242, ""R""), ""R2"","""")"),"R2")</f>
        <v>R2</v>
      </c>
      <c r="GS242" s="295" t="str">
        <f>IFERROR(__xludf.DUMMYFUNCTION("IF(REGEXMATCH(C242, ""g""), ""G2"","""")"),"G2")</f>
        <v>G2</v>
      </c>
      <c r="GT242" s="294" t="str">
        <f>IFERROR(__xludf.DUMMYFUNCTION("IF(REGEXMATCH(C242, ""G""), ""G3"","""")"),"G3")</f>
        <v>G3</v>
      </c>
      <c r="GU242" s="294" t="str">
        <f>IFERROR(__xludf.DUMMYFUNCTION("IF(REGEXMATCH(C242, ""m""), ""M1"","""")"),"M1")</f>
        <v>M1</v>
      </c>
      <c r="GV242" s="295" t="str">
        <f>IFERROR(__xludf.DUMMYFUNCTION("IF(REGEXMATCH(C242, ""M""), ""M2"","""")"),"")</f>
        <v/>
      </c>
      <c r="GW242" s="294" t="str">
        <f>IFERROR(__xludf.DUMMYFUNCTION("IF(REGEXMATCH(C242, ""P""), ""P"","""")"),"P")</f>
        <v>P</v>
      </c>
      <c r="GX242" s="295" t="str">
        <f>IFERROR(__xludf.DUMMYFUNCTION("IF(REGEXMATCH(C242, ""d""), ""D1"","""")"),"")</f>
        <v/>
      </c>
      <c r="GY242" s="294" t="str">
        <f>IFERROR(__xludf.DUMMYFUNCTION("IF(REGEXMATCH(C242, ""D""), ""D2"","""")"),"D2")</f>
        <v>D2</v>
      </c>
      <c r="GZ242" s="294" t="str">
        <f>IFERROR(__xludf.DUMMYFUNCTION("IF(REGEXMATCH(C242, ""n""), ""N2"","""")"),"N2")</f>
        <v>N2</v>
      </c>
      <c r="HA242" s="295" t="str">
        <f>IFERROR(__xludf.DUMMYFUNCTION("IF(REGEXMATCH(C242, ""N""), ""N3"","""")"),"N3")</f>
        <v>N3</v>
      </c>
      <c r="HB242" s="249" t="str">
        <f>IFERROR(__xludf.DUMMYFUNCTION("IF(REGEXMATCH(C242, ""S""), ""S"","""")"),"S")</f>
        <v>S</v>
      </c>
      <c r="HC242" s="331" t="str">
        <f t="shared" si="95"/>
        <v>S</v>
      </c>
      <c r="HD242" s="332" t="str">
        <f t="shared" si="96"/>
        <v>r</v>
      </c>
      <c r="HE242" s="332" t="str">
        <f t="shared" si="97"/>
        <v>R</v>
      </c>
      <c r="HF242" s="332" t="str">
        <f t="shared" si="98"/>
        <v>g</v>
      </c>
      <c r="HG242" s="332" t="str">
        <f t="shared" si="99"/>
        <v/>
      </c>
      <c r="HH242" s="332" t="str">
        <f t="shared" si="100"/>
        <v>m</v>
      </c>
      <c r="HI242" s="332" t="str">
        <f t="shared" si="101"/>
        <v/>
      </c>
      <c r="HJ242" s="332" t="str">
        <f t="shared" si="102"/>
        <v>P</v>
      </c>
      <c r="HK242" s="332" t="str">
        <f t="shared" si="103"/>
        <v>d</v>
      </c>
      <c r="HL242" s="332" t="str">
        <f t="shared" si="104"/>
        <v>D</v>
      </c>
      <c r="HM242" s="332" t="str">
        <f t="shared" si="105"/>
        <v>n</v>
      </c>
      <c r="HN242" s="332" t="str">
        <f t="shared" si="106"/>
        <v/>
      </c>
      <c r="HO242" s="343" t="str">
        <f t="shared" si="107"/>
        <v>S</v>
      </c>
      <c r="HP242" s="331" t="str">
        <f t="shared" si="108"/>
        <v>o</v>
      </c>
      <c r="HQ242" s="332" t="str">
        <f t="shared" si="109"/>
        <v>•</v>
      </c>
      <c r="HR242" s="332" t="str">
        <f t="shared" si="110"/>
        <v>o</v>
      </c>
      <c r="HS242" s="332" t="str">
        <f t="shared" si="111"/>
        <v>o</v>
      </c>
      <c r="HT242" s="332" t="str">
        <f t="shared" si="112"/>
        <v>o</v>
      </c>
      <c r="HU242" s="332" t="str">
        <f t="shared" si="113"/>
        <v>o</v>
      </c>
      <c r="HV242" s="332" t="str">
        <f t="shared" si="114"/>
        <v>•</v>
      </c>
      <c r="HW242" s="332" t="str">
        <f t="shared" si="115"/>
        <v>o</v>
      </c>
      <c r="HX242" s="332" t="str">
        <f t="shared" si="116"/>
        <v>•</v>
      </c>
      <c r="HY242" s="332" t="str">
        <f t="shared" si="117"/>
        <v>o</v>
      </c>
      <c r="HZ242" s="332" t="str">
        <f t="shared" si="118"/>
        <v>o</v>
      </c>
      <c r="IA242" s="332" t="str">
        <f t="shared" si="119"/>
        <v>o</v>
      </c>
      <c r="IB242" s="338" t="str">
        <f t="shared" si="120"/>
        <v>o</v>
      </c>
      <c r="IC242" s="331" t="str">
        <f t="shared" si="121"/>
        <v>•</v>
      </c>
      <c r="ID242" s="332" t="str">
        <f t="shared" si="122"/>
        <v>o</v>
      </c>
      <c r="IE242" s="332" t="str">
        <f t="shared" si="123"/>
        <v>•</v>
      </c>
      <c r="IF242" s="332" t="str">
        <f t="shared" si="124"/>
        <v>•</v>
      </c>
      <c r="IG242" s="332" t="str">
        <f t="shared" si="125"/>
        <v>•</v>
      </c>
      <c r="IH242" s="332" t="str">
        <f t="shared" si="126"/>
        <v>•</v>
      </c>
      <c r="II242" s="332" t="str">
        <f t="shared" si="127"/>
        <v>o</v>
      </c>
      <c r="IJ242" s="332" t="str">
        <f t="shared" si="128"/>
        <v>•</v>
      </c>
      <c r="IK242" s="332" t="str">
        <f t="shared" si="129"/>
        <v>o</v>
      </c>
      <c r="IL242" s="332" t="str">
        <f t="shared" si="130"/>
        <v>•</v>
      </c>
      <c r="IM242" s="332" t="str">
        <f t="shared" si="131"/>
        <v>•</v>
      </c>
      <c r="IN242" s="332" t="str">
        <f t="shared" si="132"/>
        <v>•</v>
      </c>
      <c r="IO242" s="338" t="str">
        <f t="shared" si="133"/>
        <v>•</v>
      </c>
      <c r="IP242" s="346" t="b">
        <f t="shared" si="134"/>
        <v>0</v>
      </c>
      <c r="IQ242" s="347" t="b">
        <f t="shared" si="135"/>
        <v>0</v>
      </c>
      <c r="IR242" s="347" t="b">
        <f t="shared" si="136"/>
        <v>0</v>
      </c>
      <c r="IS242" s="347" t="b">
        <f t="shared" si="137"/>
        <v>0</v>
      </c>
      <c r="IT242" s="347" t="b">
        <f t="shared" si="138"/>
        <v>0</v>
      </c>
      <c r="IU242" s="347" t="b">
        <f t="shared" si="139"/>
        <v>0</v>
      </c>
      <c r="IV242" s="347" t="b">
        <f t="shared" si="140"/>
        <v>0</v>
      </c>
      <c r="IW242" s="347" t="b">
        <f t="shared" si="141"/>
        <v>0</v>
      </c>
      <c r="IX242" s="347" t="b">
        <f t="shared" si="142"/>
        <v>0</v>
      </c>
      <c r="IY242" s="347" t="b">
        <f t="shared" si="143"/>
        <v>0</v>
      </c>
      <c r="IZ242" s="347" t="b">
        <f t="shared" si="144"/>
        <v>0</v>
      </c>
      <c r="JA242" s="347" t="b">
        <f t="shared" si="145"/>
        <v>1</v>
      </c>
      <c r="JB242" s="353" t="b">
        <f t="shared" si="146"/>
        <v>0</v>
      </c>
      <c r="JC242" s="354" t="str">
        <f t="shared" si="147"/>
        <v/>
      </c>
      <c r="JD242" s="355" t="str">
        <f t="shared" si="148"/>
        <v/>
      </c>
      <c r="JE242" s="355" t="str">
        <f t="shared" si="149"/>
        <v/>
      </c>
      <c r="JF242" s="355" t="str">
        <f t="shared" si="150"/>
        <v/>
      </c>
      <c r="JG242" s="355" t="str">
        <f t="shared" si="151"/>
        <v/>
      </c>
      <c r="JH242" s="355" t="str">
        <f t="shared" si="152"/>
        <v/>
      </c>
      <c r="JI242" s="355" t="str">
        <f t="shared" si="153"/>
        <v/>
      </c>
      <c r="JJ242" s="355" t="str">
        <f t="shared" si="154"/>
        <v/>
      </c>
      <c r="JK242" s="355" t="str">
        <f t="shared" si="155"/>
        <v/>
      </c>
      <c r="JL242" s="355" t="str">
        <f t="shared" si="156"/>
        <v/>
      </c>
      <c r="JM242" s="355" t="str">
        <f t="shared" si="157"/>
        <v/>
      </c>
      <c r="JN242" s="355" t="str">
        <f t="shared" si="158"/>
        <v>Ni, </v>
      </c>
      <c r="JO242" s="359" t="str">
        <f t="shared" si="159"/>
        <v/>
      </c>
      <c r="JP242" s="346" t="b">
        <f t="shared" si="160"/>
        <v>0</v>
      </c>
      <c r="JQ242" s="347" t="b">
        <f t="shared" si="161"/>
        <v>0</v>
      </c>
      <c r="JR242" s="347" t="b">
        <f t="shared" si="162"/>
        <v>0</v>
      </c>
      <c r="JS242" s="347" t="b">
        <f t="shared" si="163"/>
        <v>0</v>
      </c>
      <c r="JT242" s="347" t="b">
        <f t="shared" si="164"/>
        <v>0</v>
      </c>
      <c r="JU242" s="347" t="b">
        <f t="shared" si="165"/>
        <v>0</v>
      </c>
      <c r="JV242" s="347" t="b">
        <f t="shared" si="166"/>
        <v>0</v>
      </c>
      <c r="JW242" s="347" t="b">
        <f t="shared" si="167"/>
        <v>0</v>
      </c>
      <c r="JX242" s="347" t="b">
        <f t="shared" si="168"/>
        <v>0</v>
      </c>
      <c r="JY242" s="347" t="b">
        <f t="shared" si="169"/>
        <v>0</v>
      </c>
      <c r="JZ242" s="347" t="b">
        <f t="shared" si="170"/>
        <v>0</v>
      </c>
      <c r="KA242" s="347" t="b">
        <f t="shared" si="171"/>
        <v>0</v>
      </c>
      <c r="KB242" s="365" t="b">
        <f t="shared" si="172"/>
        <v>0</v>
      </c>
      <c r="KC242" s="354" t="str">
        <f t="shared" si="173"/>
        <v/>
      </c>
      <c r="KD242" s="355" t="str">
        <f t="shared" si="174"/>
        <v/>
      </c>
      <c r="KE242" s="355" t="str">
        <f t="shared" si="175"/>
        <v/>
      </c>
      <c r="KF242" s="355" t="str">
        <f t="shared" si="176"/>
        <v/>
      </c>
      <c r="KG242" s="355" t="str">
        <f t="shared" si="177"/>
        <v/>
      </c>
      <c r="KH242" s="355" t="str">
        <f t="shared" si="178"/>
        <v/>
      </c>
      <c r="KI242" s="355" t="str">
        <f t="shared" si="179"/>
        <v/>
      </c>
      <c r="KJ242" s="355" t="str">
        <f t="shared" si="180"/>
        <v/>
      </c>
      <c r="KK242" s="355" t="str">
        <f t="shared" si="181"/>
        <v/>
      </c>
      <c r="KL242" s="355" t="str">
        <f t="shared" si="182"/>
        <v/>
      </c>
      <c r="KM242" s="355" t="str">
        <f t="shared" si="183"/>
        <v/>
      </c>
      <c r="KN242" s="355" t="str">
        <f t="shared" si="184"/>
        <v/>
      </c>
      <c r="KO242" s="359"/>
      <c r="KP242" s="378"/>
      <c r="KQ242" s="379" t="s">
        <v>9</v>
      </c>
      <c r="KR242" s="380" t="s">
        <v>9</v>
      </c>
      <c r="KS242" s="381" t="s">
        <v>9</v>
      </c>
      <c r="KT242" s="382">
        <f t="shared" si="186"/>
        <v>0</v>
      </c>
      <c r="KU242" s="383">
        <f t="shared" si="187"/>
        <v>0</v>
      </c>
      <c r="KV242" s="381" t="str">
        <f t="shared" si="205"/>
        <v>S</v>
      </c>
      <c r="KW242" s="382">
        <f t="shared" si="189"/>
        <v>0</v>
      </c>
      <c r="KX242" s="384">
        <f t="shared" si="190"/>
        <v>0</v>
      </c>
      <c r="KY242" s="382">
        <f t="shared" ref="KY242:KZ242" si="704">KW242-KT242</f>
        <v>0</v>
      </c>
      <c r="KZ242" s="369">
        <f t="shared" si="704"/>
        <v>0</v>
      </c>
      <c r="LA242" s="385" t="str">
        <f t="shared" si="192"/>
        <v>✔</v>
      </c>
      <c r="LB242" s="340" t="str">
        <f>IFERROR(__xludf.DUMMYFUNCTION("JOIN("""",ArrayFormula(MID(KS242,LEN(KS242)-SEQUENCE(1,LEN(KS242))+1,1)))"),"S")</f>
        <v>S</v>
      </c>
      <c r="LC242" s="373" t="str">
        <f>IFERROR(__xludf.DUMMYFUNCTION("JOIN("""",ArrayFormula(MID(KV242,LEN(KV242)-SEQUENCE(1,LEN(KV242))+1,1)))"),"S")</f>
        <v>S</v>
      </c>
      <c r="LD242" s="373" t="str">
        <f t="shared" si="193"/>
        <v>S</v>
      </c>
      <c r="LE242" s="339" t="str">
        <f t="shared" si="194"/>
        <v>S</v>
      </c>
      <c r="LF242" s="386" t="str">
        <f>IFERROR(__xludf.DUMMYFUNCTION("SUBSTITUTE(SUBSTITUTE(CONCATENATE(JOIN("""",LH242:LT242)),""1"",""""),""2"","""")"),"SS")</f>
        <v>SS</v>
      </c>
      <c r="LG242" s="369" t="str">
        <f t="shared" si="195"/>
        <v>-</v>
      </c>
      <c r="LH242" s="387" t="str">
        <f>IFERROR(__xludf.DUMMYFUNCTION("IF(REGEXMATCH(LD242, ""S""), ""S"",IF(REGEXMATCH(LE242, ""S""), ""S"",""""))"),"S")</f>
        <v>S</v>
      </c>
      <c r="LI242" s="299" t="str">
        <f>IFERROR(__xludf.DUMMYFUNCTION("IF(REGEXMATCH(LD242, ""r""), ""r1"",IF(REGEXMATCH(LE242, ""r""), ""r2"",""""))"),"")</f>
        <v/>
      </c>
      <c r="LJ242" s="299" t="str">
        <f>IFERROR(__xludf.DUMMYFUNCTION("IF(REGEXMATCH(LD242, ""R""), ""R1"",IF(REGEXMATCH(LE242, ""R""), ""R2"",""""))"),"")</f>
        <v/>
      </c>
      <c r="LK242" s="299" t="str">
        <f>IFERROR(__xludf.DUMMYFUNCTION("IF(REGEXMATCH(LD242, ""g""), ""g1"",IF(REGEXMATCH(LE242, ""g""), ""g2"",""""))"),"")</f>
        <v/>
      </c>
      <c r="LL242" s="299" t="str">
        <f>IFERROR(__xludf.DUMMYFUNCTION("IF(REGEXMATCH(LD242, ""G""), ""G1"",IF(REGEXMATCH(LE242, ""G""), ""G2"",""""))"),"")</f>
        <v/>
      </c>
      <c r="LM242" s="299" t="str">
        <f>IFERROR(__xludf.DUMMYFUNCTION("IF(REGEXMATCH(LD242, ""m""), ""m1"",IF(REGEXMATCH(LE242, ""m""), ""m2"",""""))"),"")</f>
        <v/>
      </c>
      <c r="LN242" s="299" t="str">
        <f>IFERROR(__xludf.DUMMYFUNCTION("IF(REGEXMATCH(LD242, ""M""), ""M1"",IF(REGEXMATCH(LE242, ""M""), ""M2"",""""))"),"")</f>
        <v/>
      </c>
      <c r="LO242" s="299" t="str">
        <f>IFERROR(__xludf.DUMMYFUNCTION("IF(REGEXMATCH(LD242, ""P""), ""P1"",IF(REGEXMATCH(LE242, ""P""), ""P2"",""""))"),"")</f>
        <v/>
      </c>
      <c r="LP242" s="299" t="str">
        <f>IFERROR(__xludf.DUMMYFUNCTION("IF(REGEXMATCH(LD242, ""d""), ""d1"",IF(REGEXMATCH(LE242, ""d""), ""d2"",""""))"),"")</f>
        <v/>
      </c>
      <c r="LQ242" s="299" t="str">
        <f>IFERROR(__xludf.DUMMYFUNCTION("IF(REGEXMATCH(LD242, ""D""), ""D1"",IF(REGEXMATCH(LE242, ""D""), ""D2"",""""))"),"")</f>
        <v/>
      </c>
      <c r="LR242" s="299" t="str">
        <f>IFERROR(__xludf.DUMMYFUNCTION("IF(REGEXMATCH(LD242, ""n""), ""n1"",IF(REGEXMATCH(LE242, ""n""), ""n2"",""""))"),"")</f>
        <v/>
      </c>
      <c r="LS242" s="299" t="str">
        <f>IFERROR(__xludf.DUMMYFUNCTION("IF(REGEXMATCH(LD242, ""N""), ""N1"",IF(REGEXMATCH(LE242, ""N""), ""N2"",""""))"),"")</f>
        <v/>
      </c>
      <c r="LT242" s="388" t="str">
        <f>IFERROR(__xludf.DUMMYFUNCTION("IF(REGEXMATCH(LD242, ""S""), ""S"",IF(REGEXMATCH(LE242, ""S""), ""S"",""""))"),"S")</f>
        <v>S</v>
      </c>
      <c r="LU242" s="389">
        <f t="shared" si="196"/>
        <v>1</v>
      </c>
      <c r="LV242" s="378"/>
      <c r="LW242" s="369"/>
      <c r="LX242" s="369"/>
    </row>
    <row r="243" ht="18.0" customHeight="1">
      <c r="A243" s="447" t="s">
        <v>450</v>
      </c>
      <c r="B243" s="222" t="s">
        <v>451</v>
      </c>
      <c r="C243" s="233" t="str">
        <f t="shared" si="7"/>
        <v>SrGMPdnS</v>
      </c>
      <c r="D243" s="234" t="str">
        <f>IFERROR(__xludf.DUMMYFUNCTION("IF(REGEXMATCH(C243, ""S""), ""S"","""")"),"S")</f>
        <v>S</v>
      </c>
      <c r="E243" s="236" t="str">
        <f>IFERROR(__xludf.DUMMYFUNCTION("IF(REGEXMATCH(C243, ""r""), ""r"","""")"),"r")</f>
        <v>r</v>
      </c>
      <c r="F243" s="237" t="str">
        <f>IFERROR(__xludf.DUMMYFUNCTION("IF(REGEXMATCH(C243, ""R""), ""R"","""")"),"")</f>
        <v/>
      </c>
      <c r="G243" s="237" t="str">
        <f>IFERROR(__xludf.DUMMYFUNCTION("IF(REGEXMATCH(C243, ""g""), ""g"","""")"),"")</f>
        <v/>
      </c>
      <c r="H243" s="236" t="str">
        <f>IFERROR(__xludf.DUMMYFUNCTION("IF(REGEXMATCH(C243, ""G""), ""G"","""")"),"G")</f>
        <v>G</v>
      </c>
      <c r="I243" s="236" t="str">
        <f>IFERROR(__xludf.DUMMYFUNCTION("IF(REGEXMATCH(C243, ""m""), ""m"","""")"),"")</f>
        <v/>
      </c>
      <c r="J243" s="237" t="str">
        <f>IFERROR(__xludf.DUMMYFUNCTION("IF(REGEXMATCH(C243, ""M""), ""M"","""")"),"M")</f>
        <v>M</v>
      </c>
      <c r="K243" s="236" t="str">
        <f>IFERROR(__xludf.DUMMYFUNCTION("IF(REGEXMATCH(C243, ""P""), ""P"","""")"),"P")</f>
        <v>P</v>
      </c>
      <c r="L243" s="237" t="str">
        <f>IFERROR(__xludf.DUMMYFUNCTION("IF(REGEXMATCH(C243, ""d""), ""d"","""")"),"d")</f>
        <v>d</v>
      </c>
      <c r="M243" s="236" t="str">
        <f>IFERROR(__xludf.DUMMYFUNCTION("IF(REGEXMATCH(C243, ""D""), ""D"","""")"),"")</f>
        <v/>
      </c>
      <c r="N243" s="236" t="str">
        <f>IFERROR(__xludf.DUMMYFUNCTION("IF(REGEXMATCH(C243, ""n""), ""n"","""")"),"n")</f>
        <v>n</v>
      </c>
      <c r="O243" s="237" t="str">
        <f>IFERROR(__xludf.DUMMYFUNCTION("IF(REGEXMATCH(C243, ""N""), ""N"","""")"),"")</f>
        <v/>
      </c>
      <c r="P243" s="238" t="str">
        <f>IFERROR(__xludf.DUMMYFUNCTION("IF(REGEXMATCH(C243, ""S""), ""S"","""")"),"S")</f>
        <v>S</v>
      </c>
      <c r="Q243" s="239" t="str">
        <f>IFERROR(__xludf.DUMMYFUNCTION("SUBSTITUTE(CONCATENATE(JOIN(""-"",D243:J243)),""-"","""")"),"SrGM")</f>
        <v>SrGM</v>
      </c>
      <c r="R243" s="229" t="str">
        <f>IFERROR(__xludf.DUMMYFUNCTION("SUBSTITUTE(CONCATENATE(JOIN(""-"",K243:P243)),""-"","""")"),"PdnS")</f>
        <v>PdnS</v>
      </c>
      <c r="S243" s="282" t="str">
        <f t="shared" si="8"/>
        <v>S-R-G-M</v>
      </c>
      <c r="T243" s="282" t="str">
        <f t="shared" si="9"/>
        <v>P-D-N-S</v>
      </c>
      <c r="U243" s="237" t="str">
        <f>IFERROR(__xludf.DUMMYFUNCTION("SUBSTITUTE(JOIN(""-"",S243,T243),""--"",""-"")"),"S-R-G-M-P-D-N-S")</f>
        <v>S-R-G-M-P-D-N-S</v>
      </c>
      <c r="V243" s="309" t="str">
        <f t="shared" si="10"/>
        <v>rGMdn</v>
      </c>
      <c r="W243" s="244" t="str">
        <f>IFERROR(__xludf.DUMMYFUNCTION("IF(REGEXMATCH(C243, ""S""), ""0"","""")"),"0")</f>
        <v>0</v>
      </c>
      <c r="X243" s="245" t="str">
        <f>IFERROR(__xludf.DUMMYFUNCTION("IF(REGEXMATCH(C243, ""r""), ""1"","""")"),"1")</f>
        <v>1</v>
      </c>
      <c r="Y243" s="246" t="str">
        <f>IFERROR(__xludf.DUMMYFUNCTION("IF(REGEXMATCH(C243, ""R""), ""2"","""")"),"")</f>
        <v/>
      </c>
      <c r="Z243" s="246" t="str">
        <f>IFERROR(__xludf.DUMMYFUNCTION("IF(REGEXMATCH(C243, ""g""), ""3"","""")"),"")</f>
        <v/>
      </c>
      <c r="AA243" s="245" t="str">
        <f>IFERROR(__xludf.DUMMYFUNCTION("IF(REGEXMATCH(C243, ""G""), ""4"","""")"),"4")</f>
        <v>4</v>
      </c>
      <c r="AB243" s="245" t="str">
        <f>IFERROR(__xludf.DUMMYFUNCTION("IF(REGEXMATCH(C243, ""m""), ""5"","""")"),"")</f>
        <v/>
      </c>
      <c r="AC243" s="246" t="str">
        <f>IFERROR(__xludf.DUMMYFUNCTION("IF(REGEXMATCH(C243, ""M""), ""6"","""")"),"6")</f>
        <v>6</v>
      </c>
      <c r="AD243" s="245" t="str">
        <f>IFERROR(__xludf.DUMMYFUNCTION("IF(REGEXMATCH(C243, ""P""), ""7"","""")"),"7")</f>
        <v>7</v>
      </c>
      <c r="AE243" s="246" t="str">
        <f>IFERROR(__xludf.DUMMYFUNCTION("IF(REGEXMATCH(C243, ""d""), ""8"","""")"),"8")</f>
        <v>8</v>
      </c>
      <c r="AF243" s="245" t="str">
        <f>IFERROR(__xludf.DUMMYFUNCTION("IF(REGEXMATCH(C243, ""D""), ""9"","""")"),"")</f>
        <v/>
      </c>
      <c r="AG243" s="245" t="str">
        <f>IFERROR(__xludf.DUMMYFUNCTION("IF(REGEXMATCH(C243, ""n""), ""10"","""")"),"10")</f>
        <v>10</v>
      </c>
      <c r="AH243" s="246" t="str">
        <f>IFERROR(__xludf.DUMMYFUNCTION("IF(REGEXMATCH(C243, ""N""), ""11"","""")"),"")</f>
        <v/>
      </c>
      <c r="AI243" s="249" t="str">
        <f>IFERROR(__xludf.DUMMYFUNCTION("IF(REGEXMATCH(C243, ""S""), ""0"","""")"),"0")</f>
        <v>0</v>
      </c>
      <c r="AJ243" s="313" t="str">
        <f t="shared" si="11"/>
        <v>T</v>
      </c>
      <c r="AK243" s="313" t="str">
        <f t="shared" si="12"/>
        <v>T</v>
      </c>
      <c r="AL243" s="313" t="str">
        <f t="shared" si="13"/>
        <v>-</v>
      </c>
      <c r="AM243" s="313" t="str">
        <f t="shared" si="14"/>
        <v>-</v>
      </c>
      <c r="AN243" s="313" t="str">
        <f t="shared" si="15"/>
        <v>T</v>
      </c>
      <c r="AO243" s="314" t="str">
        <f t="shared" si="16"/>
        <v>-</v>
      </c>
      <c r="AP243" s="316">
        <f t="shared" si="17"/>
        <v>3</v>
      </c>
      <c r="AQ243" s="319" t="str">
        <f t="shared" si="18"/>
        <v>#REF!</v>
      </c>
      <c r="AR243" s="320">
        <f t="shared" si="19"/>
        <v>0</v>
      </c>
      <c r="AS243" s="250" t="str">
        <f>IFERROR(__xludf.DUMMYFUNCTION("SUBSTITUTE(SUBSTITUTE(CONCATENATE(JOIN("""",FP243:GA243)),""|"",""x""),""-"",""o"")"),"xxooxoxxxoxo")</f>
        <v>xxooxoxxxoxo</v>
      </c>
      <c r="AT243" s="323" t="str">
        <f>IFERROR(__xludf.DUMMYFUNCTION("JOIN("""",AS243,AS243)"),"xxooxoxxxoxoxxooxoxxxoxo")</f>
        <v>xxooxoxxxoxoxxooxoxxxoxo</v>
      </c>
      <c r="AU243" s="256" t="str">
        <f>IFERROR(__xludf.DUMMYFUNCTION("JOIN("""",ArrayFormula(MID(AS243,LEN(AS243)-SEQUENCE(1,LEN(AS243))+1,1)))"),"oxoxxxoxooxx")</f>
        <v>oxoxxxoxooxx</v>
      </c>
      <c r="AV243" s="256" t="str">
        <f>IFERROR(__xludf.DUMMYFUNCTION("LEFT(CONCATENATE(""x"",JOIN("""",ArrayFormula(MID(AS243,LEN(AS243)-SEQUENCE(1,LEN(AS243))+1,1)))),12)"),"xoxoxxxoxoox")</f>
        <v>xoxoxxxoxoox</v>
      </c>
      <c r="AW243" s="327" t="str">
        <f>IFERROR(__xludf.DUMMYFUNCTION("JOIN("""",AU243,AU243)"),"oxoxxxoxooxxoxoxxxoxooxx")</f>
        <v>oxoxxxoxooxxoxoxxxoxooxx</v>
      </c>
      <c r="AX243" s="239" t="str">
        <f>IFERROR(__xludf.DUMMYFUNCTION("IF(REGEXMATCH(AW243,AS243),""✔"",""-"")"),"-")</f>
        <v>-</v>
      </c>
      <c r="AY243" s="330" t="str">
        <f t="shared" si="20"/>
        <v>-</v>
      </c>
      <c r="AZ243" s="260" t="str">
        <f t="shared" si="21"/>
        <v>#REF!</v>
      </c>
      <c r="BA243" s="333" t="str">
        <f t="shared" si="22"/>
        <v>xxooxox</v>
      </c>
      <c r="BB243" s="334" t="str">
        <f t="shared" si="23"/>
        <v>xxoxox</v>
      </c>
      <c r="BC243" s="335" t="str">
        <f t="shared" si="236"/>
        <v>-</v>
      </c>
      <c r="BD243" s="336" t="str">
        <f t="shared" si="25"/>
        <v>Namanarayani: 'xxooxox' + 'xxoxox'</v>
      </c>
      <c r="BE243" s="337">
        <f>IFERROR(__xludf.DUMMYFUNCTION("COUNTUNIQUE(FILTER(AT:AT,REGEXMATCH(AT:AT,AS243)))-1"),0.0)</f>
        <v>0</v>
      </c>
      <c r="BF243" s="261" t="str">
        <f>IFERROR(__xludf.DUMMYFUNCTION("IF(BI243=0,""(n/a)"",IF(BJ243=2,""(PAIR)"",IF(REGEXMATCH(AT243,""xoxoxxoxoxox""),""Bilawal"",IF(REGEXMATCH(AT243,""xoxoxooxoxoo""),""Bhupali"",IF(REGEXMATCH(AT243,""xoxoxxoxxoxo""),""Charukeshi"",IF(REGEXMATCH(AT243,""xoxoooxxoxxo""),""Kameshwari"",IF(REG"&amp;"EXMATCH(AT243,""xoxoxooxoxox""),""Shankara"",IF(REGEXMATCH(AT243,""xxooxoxxxoox""),""Basant"",IF(REGEXMATCH(AT243,""xoxoxxxxoxox""),""Bihag"",IF(REGEXMATCH(AT243,""xoxxxxoxoxxx""),""Pilu"",IF(REGEXMATCH(AT243,""xoxxoxoxxoox""),""Kirwani"",IF(REGEXMATCH(AT"&amp;"243,""xoxxoxoxoxxx""),""Mk.Malhar"",IF(REGEXMATCH(AT243,""xxooxxoxxoox""),""Bhairav"",IF(REGEXMATCH(AT243,""xxoxooxxxoox""),""Todi"",IF(REGEXMATCH(AT243,""xxooxoxooxox""),""Marwa"",IF(REGEXMATCH(AT243,""xxoooxoxxooo""),""Gunkali"",IF(REGEXMATCH(AT243,""xo"&amp;"xoxxoxxoox""),""Nat Bhairav"",IF(REGEXMATCH(AT243,""xoxxoooxoxoo""),""Shivranjani"",IF(REGEXMATCH(AT243,""xooxxxoxooxo""),""Jog"",IF(REGEXMATCH(AT243,""xxooxoxoxoox""),""Hemshri"",IF(REGEXMATCH(AT243,""xoooxooxoxxo""),""Kalavati"",IF(REGEXMATCH(AT243,""xx"&amp;"oxoxxoxoox""),""Kedar"",IF(REGEXMATCH(AT243,""xoxxxxoxooxx""),""Gara"",IF(REGEXMATCH(AT243,""xooxoxooxoox""),""Chandrakauns"",IF(REGEXMATCH(AT243,""xoxxxxoxxxox""),""Mand"",IF(REGEXMATCH(AT243,""xoxxxxoxoxox""),""Hanskinkini"",IF(REGEXMATCH(AT243,""xxooxx"&amp;"oxooxo""),""Lilavati"",IF(REGEXMATCH(AT243,""xooxoxoooxox""),""Rajeshwari"",IF(REGEXMATCH(AT243,""xoooxxoxoxxx""),""Khokar"",IF(REGEXMATCH(AT243,""xxooxoxxxxox""),""Maligoura"",""-""))))))))))))))))))))))))))))))"),"(n/a)")</f>
        <v>(n/a)</v>
      </c>
      <c r="BG243" s="239" t="str">
        <f t="shared" si="26"/>
        <v>#REF!</v>
      </c>
      <c r="BH243" s="239">
        <f>IFERROR(__xludf.DUMMYFUNCTION("COUNTUNIQUE(FE243:FO243)-1"),6.0)</f>
        <v>6</v>
      </c>
      <c r="BI243" s="239">
        <f>IFERROR(__xludf.DUMMYFUNCTION("COUNTUNIQUE(FILTER(AT:AT,REGEXMATCH(AT:AT,AS243)))-1"),0.0)</f>
        <v>0</v>
      </c>
      <c r="BJ243" s="239">
        <f>IFERROR(__xludf.DUMMYFUNCTION("COUNTA(FILTER(AT:AT,REGEXMATCH(AT:AT,AS243)))"),1.0)</f>
        <v>1</v>
      </c>
      <c r="BK243" s="341">
        <f>IFERROR(__xludf.DUMMYFUNCTION("COUNTA(FILTER(AT:AT,REGEXMATCH(AT:AT,AS243)))-AR243"),1.0)</f>
        <v>1</v>
      </c>
      <c r="BL243" s="276" t="str">
        <f>IFERROR(__xludf.DUMMYFUNCTION("IF(AS243=""oooooooooooo"",""-"",IF(REGEXMATCH(AT243,""xx""), ""Hemi."", ""Anhemi.""))"),"Hemi.")</f>
        <v>Hemi.</v>
      </c>
      <c r="BM243" s="282" t="str">
        <f>IFERROR(__xludf.DUMMYFUNCTION("IF(AS243=""oooooooooooo"",""-"",IF(REGEXMATCH(AT243,""xxx""), ""Cohem."", ""-""))"),"Cohem.")</f>
        <v>Cohem.</v>
      </c>
      <c r="BN243" s="282" t="str">
        <f>IFERROR(__xludf.DUMMYFUNCTION("IF(AS243=""oooooooooooo"",""-"",IF(REGEXMATCH(AT243,""xxxx""), ""Co-Co."", ""-""))"),"-")</f>
        <v>-</v>
      </c>
      <c r="BO243" s="342" t="str">
        <f>IFERROR(__xludf.DUMMYFUNCTION("IF(AS243=""oooooooooooo"",""-"",IF(REGEXMATCH(AT243,""xxxxx""), ""CCC."", ""-""))"),"-")</f>
        <v>-</v>
      </c>
      <c r="BP243" s="344" t="str">
        <f t="shared" si="27"/>
        <v>-</v>
      </c>
      <c r="BQ243" s="282" t="str">
        <f>IFERROR(__xludf.DUMMYFUNCTION("IF(REGEXMATCH(JOIN(""-"",EU243:FD243),""TRUE""),""✔"",""-"")"),"-")</f>
        <v>-</v>
      </c>
      <c r="BR243" s="225">
        <f t="shared" si="28"/>
        <v>0</v>
      </c>
      <c r="BS243" s="345" t="str">
        <f>IFERROR(__xludf.DUMMYFUNCTION("SUBSTITUTE(SUBSTITUTE(SUBSTITUTE(SUBSTITUTE(CONCATENATE(JOIN(""-"",GC243:GO243)),""--"",""-""),""--"",""-""),""--"",""-""),""--"",""-"")"),"1-b2-3-#4-5-b6-b7-8")</f>
        <v>1-b2-3-#4-5-b6-b7-8</v>
      </c>
      <c r="BT243" s="299" t="str">
        <f>IFERROR(__xludf.DUMMYFUNCTION("SUBSTITUTE(SUBSTITUTE(SUBSTITUTE(SUBSTITUTE(CONCATENATE(JOIN(""-"",GP243:HB243)),""--"",""-""),""--"",""-""),""--"",""-""),""--"",""-"")"),"S-R1-G3-M2-P-D1-N2-S")</f>
        <v>S-R1-G3-M2-P-D1-N2-S</v>
      </c>
      <c r="BU243" s="348" t="str">
        <f t="shared" si="29"/>
        <v>C-Db-E-F#-G-Ab-Bb-C</v>
      </c>
      <c r="BV243" s="349" t="str">
        <f t="shared" si="30"/>
        <v>SRgmDNS</v>
      </c>
      <c r="BW243" s="350">
        <f t="shared" si="31"/>
        <v>0</v>
      </c>
      <c r="BX243" s="351">
        <f t="shared" si="32"/>
        <v>1</v>
      </c>
      <c r="BY243" s="392"/>
      <c r="BZ243" s="309" t="str">
        <f>IFERROR(__xludf.DUMMYFUNCTION("IF(REGEXMATCH(C243, ""S""), ""x"",""x"")"),"x")</f>
        <v>x</v>
      </c>
      <c r="CA243" s="245" t="str">
        <f>IFERROR(__xludf.DUMMYFUNCTION("IF(REGEXMATCH(C243, ""r""), ""o"",""x"")"),"o")</f>
        <v>o</v>
      </c>
      <c r="CB243" s="246" t="str">
        <f>IFERROR(__xludf.DUMMYFUNCTION("IF(REGEXMATCH(C243, ""R""), ""o"",""x"")"),"x")</f>
        <v>x</v>
      </c>
      <c r="CC243" s="246" t="str">
        <f>IFERROR(__xludf.DUMMYFUNCTION("IF(REGEXMATCH(C243, ""g""), ""o"",""x"")"),"x")</f>
        <v>x</v>
      </c>
      <c r="CD243" s="245" t="str">
        <f>IFERROR(__xludf.DUMMYFUNCTION("IF(REGEXMATCH(C243, ""G""), ""o"",""x"")"),"o")</f>
        <v>o</v>
      </c>
      <c r="CE243" s="245" t="str">
        <f>IFERROR(__xludf.DUMMYFUNCTION("IF(REGEXMATCH(C243, ""m""), ""o"",""x"")"),"x")</f>
        <v>x</v>
      </c>
      <c r="CF243" s="246" t="str">
        <f>IFERROR(__xludf.DUMMYFUNCTION("IF(REGEXMATCH(C243, ""M""), ""o"",""x"")"),"o")</f>
        <v>o</v>
      </c>
      <c r="CG243" s="245" t="str">
        <f>IFERROR(__xludf.DUMMYFUNCTION("IF(REGEXMATCH(C243, ""P""), ""o"",""x"")"),"o")</f>
        <v>o</v>
      </c>
      <c r="CH243" s="246" t="str">
        <f>IFERROR(__xludf.DUMMYFUNCTION("IF(REGEXMATCH(C243, ""d""), ""o"",""x"")"),"o")</f>
        <v>o</v>
      </c>
      <c r="CI243" s="245" t="str">
        <f>IFERROR(__xludf.DUMMYFUNCTION("IF(REGEXMATCH(C243, ""D""), ""o"",""x"")"),"x")</f>
        <v>x</v>
      </c>
      <c r="CJ243" s="245" t="str">
        <f>IFERROR(__xludf.DUMMYFUNCTION("IF(REGEXMATCH(C243, ""n""), ""o"",""x"")"),"o")</f>
        <v>o</v>
      </c>
      <c r="CK243" s="245" t="str">
        <f>IFERROR(__xludf.DUMMYFUNCTION("IF(REGEXMATCH(C243, ""N""), ""o"",""x"")"),"x")</f>
        <v>x</v>
      </c>
      <c r="CL243" s="356" t="str">
        <f>IFERROR(__xludf.DUMMYFUNCTION("IF(REGEXMATCH(C243, ""S""), ""x"",""x"")"),"x")</f>
        <v>x</v>
      </c>
      <c r="CM243" s="357" t="str">
        <f t="shared" si="33"/>
        <v>xoxxoxoooxox</v>
      </c>
      <c r="CN243" s="358">
        <f t="shared" si="34"/>
        <v>0</v>
      </c>
      <c r="CO243" s="246" t="str">
        <f>IFERROR(__xludf.DUMMYFUNCTION("IF(REGEXMATCH($C243, ""S""), ""S"",""S"")"),"S")</f>
        <v>S</v>
      </c>
      <c r="CP243" s="246" t="str">
        <f>IFERROR(__xludf.DUMMYFUNCTION("IF(REGEXMATCH($C243, ""r""), """",""r"")"),"")</f>
        <v/>
      </c>
      <c r="CQ243" s="246" t="str">
        <f>IFERROR(__xludf.DUMMYFUNCTION("IF(REGEXMATCH($C243, ""R""), """",""R"")"),"R")</f>
        <v>R</v>
      </c>
      <c r="CR243" s="246" t="str">
        <f>IFERROR(__xludf.DUMMYFUNCTION("IF(REGEXMATCH($C243, ""g""), """",""g"")"),"g")</f>
        <v>g</v>
      </c>
      <c r="CS243" s="246" t="str">
        <f>IFERROR(__xludf.DUMMYFUNCTION("IF(REGEXMATCH($C243, ""G""), """",""G"")"),"")</f>
        <v/>
      </c>
      <c r="CT243" s="246" t="str">
        <f>IFERROR(__xludf.DUMMYFUNCTION("IF(REGEXMATCH($C243, ""m""), """",""m"")"),"m")</f>
        <v>m</v>
      </c>
      <c r="CU243" s="246" t="str">
        <f>IFERROR(__xludf.DUMMYFUNCTION("IF(REGEXMATCH($C243, ""M""), """",""M"")"),"")</f>
        <v/>
      </c>
      <c r="CV243" s="246" t="str">
        <f>IFERROR(__xludf.DUMMYFUNCTION("IF(REGEXMATCH($C243, ""P""), """",""P"")"),"")</f>
        <v/>
      </c>
      <c r="CW243" s="246" t="str">
        <f>IFERROR(__xludf.DUMMYFUNCTION("IF(REGEXMATCH($C243, ""d""), """",""d"")"),"")</f>
        <v/>
      </c>
      <c r="CX243" s="246" t="str">
        <f>IFERROR(__xludf.DUMMYFUNCTION("IF(REGEXMATCH($C243, ""D""), """",""D"")"),"D")</f>
        <v>D</v>
      </c>
      <c r="CY243" s="246" t="str">
        <f>IFERROR(__xludf.DUMMYFUNCTION("IF(REGEXMATCH($C243, ""n""), """",""n"")"),"")</f>
        <v/>
      </c>
      <c r="CZ243" s="246" t="str">
        <f>IFERROR(__xludf.DUMMYFUNCTION("IF(REGEXMATCH($C243, ""N""), """",""N"")"),"N")</f>
        <v>N</v>
      </c>
      <c r="DA243" s="246" t="str">
        <f>IFERROR(__xludf.DUMMYFUNCTION("IF(REGEXMATCH($C243, ""S""), ""S"",""S"")"),"S")</f>
        <v>S</v>
      </c>
      <c r="DB243" s="362" t="str">
        <f>IFERROR(__xludf.DUMMYFUNCTION("JOIN("""",CO243:DA243,"""","""")"),"SRgmDNS")</f>
        <v>SRgmDNS</v>
      </c>
      <c r="DC243" s="363"/>
      <c r="DD243" s="301" t="str">
        <f t="shared" si="35"/>
        <v>#REF!</v>
      </c>
      <c r="DE243" s="302" t="str">
        <f t="shared" si="36"/>
        <v>#REF!</v>
      </c>
      <c r="DF243" s="301" t="str">
        <f t="shared" ref="DF243:DG243" si="705">SUBSTITUTE(S243,"-","")</f>
        <v>SRGM</v>
      </c>
      <c r="DG243" s="301" t="str">
        <f t="shared" si="705"/>
        <v>PDNS</v>
      </c>
      <c r="DH243" s="302" t="str">
        <f t="shared" si="38"/>
        <v>(n/a)</v>
      </c>
      <c r="DI243" s="301" t="str">
        <f t="shared" si="39"/>
        <v>Hemi.</v>
      </c>
      <c r="DJ243" s="364" t="str">
        <f t="shared" si="40"/>
        <v>Cohem.</v>
      </c>
      <c r="DK243" s="306" t="str">
        <f t="shared" si="41"/>
        <v>-</v>
      </c>
      <c r="DL243" s="366" t="str">
        <f t="shared" si="42"/>
        <v>-</v>
      </c>
      <c r="DM243" s="308" t="str">
        <f t="shared" si="43"/>
        <v>✔</v>
      </c>
      <c r="DN243" s="306" t="str">
        <f t="shared" si="44"/>
        <v>-</v>
      </c>
      <c r="DO243" s="306" t="str">
        <f t="shared" si="45"/>
        <v>-</v>
      </c>
      <c r="DP243" s="367" t="str">
        <f t="shared" si="46"/>
        <v>✔</v>
      </c>
      <c r="DQ243" s="310" t="str">
        <f t="shared" si="47"/>
        <v>-</v>
      </c>
      <c r="DR243" s="310" t="str">
        <f t="shared" si="48"/>
        <v>-</v>
      </c>
      <c r="DS243" s="310" t="str">
        <f t="shared" si="49"/>
        <v>-</v>
      </c>
      <c r="DT243" s="310" t="str">
        <f t="shared" si="50"/>
        <v>-</v>
      </c>
      <c r="DU243" s="370" t="str">
        <f t="shared" si="51"/>
        <v>-</v>
      </c>
      <c r="DV243" s="306" t="str">
        <f t="shared" si="52"/>
        <v>-</v>
      </c>
      <c r="DW243" s="306" t="str">
        <f t="shared" si="53"/>
        <v>-</v>
      </c>
      <c r="DX243" s="306" t="str">
        <f t="shared" si="54"/>
        <v>-</v>
      </c>
      <c r="DY243" s="306" t="str">
        <f t="shared" si="55"/>
        <v>-</v>
      </c>
      <c r="DZ243" s="306" t="str">
        <f t="shared" si="56"/>
        <v>-</v>
      </c>
      <c r="EA243" s="367" t="str">
        <f t="shared" si="57"/>
        <v>-</v>
      </c>
      <c r="EB243" s="310" t="str">
        <f>IFERROR(__xludf.DUMMYFUNCTION("IF(REGEXMATCH(AW243,AS243),""✔"",""-"")"),"-")</f>
        <v>-</v>
      </c>
      <c r="EC243" s="310" t="str">
        <f t="shared" si="58"/>
        <v>#REF!</v>
      </c>
      <c r="ED243" s="370" t="str">
        <f t="shared" si="59"/>
        <v>-</v>
      </c>
      <c r="EE243" s="340" t="str">
        <f t="shared" si="60"/>
        <v>S-r-G-M-P-d-n-S</v>
      </c>
      <c r="EF243" s="371" t="str">
        <f>IFERROR(__xludf.DUMMYFUNCTION("CONCATENATE(JOIN("""",HC243:HO243))"),"SRGmMdNS")</f>
        <v>SRGmMdNS</v>
      </c>
      <c r="EG243" s="372">
        <f t="shared" si="61"/>
        <v>4</v>
      </c>
      <c r="EH243" s="373" t="str">
        <f>IFERROR(__xludf.DUMMYFUNCTION("CONCATENATE(JOIN("""",JC243:JO243))"),"Ga, Pa, dha, ni, ")</f>
        <v>Ga, Pa, dha, ni, </v>
      </c>
      <c r="EI243" s="322">
        <f t="shared" si="62"/>
        <v>2</v>
      </c>
      <c r="EJ243" s="374" t="str">
        <f>IFERROR(__xludf.DUMMYFUNCTION("CONCATENATE(JOIN("""",KC243:KO243))"),"Ga, ni, ")</f>
        <v>Ga, ni, </v>
      </c>
      <c r="EK243" s="325" t="str">
        <f t="shared" si="63"/>
        <v>S-R1-G3-M2-P-D1-N2-S</v>
      </c>
      <c r="EL243" s="326" t="str">
        <f t="shared" si="64"/>
        <v>1-b2-3-#4-5-b6-b7-8</v>
      </c>
      <c r="EM243" s="318" t="str">
        <f t="shared" si="65"/>
        <v>#REF!</v>
      </c>
      <c r="EN243" s="328" t="str">
        <f>IFERROR(__xludf.DUMMYFUNCTION("SUBSTITUTE(SUBSTITUTE(SUBSTITUTE(SUBSTITUTE(CONCATENATE(JOIN("" "",HP243:IB243)),""  "","" ""),""  "","" ""),""  "","" ""),""  "","" "")"),"o o • • o • o o o • o • o")</f>
        <v>o o • • o • o o o • o • o</v>
      </c>
      <c r="EO243" s="368" t="str">
        <f t="shared" si="66"/>
        <v>Sa-Pa</v>
      </c>
      <c r="EP243" s="339" t="str">
        <f t="shared" si="67"/>
        <v>Sa-Pa</v>
      </c>
      <c r="EQ243" s="339" t="str">
        <f t="shared" si="68"/>
        <v>Sa-Pa</v>
      </c>
      <c r="ER243" s="339" t="str">
        <f t="shared" si="69"/>
        <v>-</v>
      </c>
      <c r="ES243" s="340" t="str">
        <f t="shared" si="70"/>
        <v>-</v>
      </c>
      <c r="ET243" s="363"/>
      <c r="EU243" s="376" t="b">
        <f>IFERROR(__xludf.DUMMYFUNCTION("arrayformula(sum(--REGEXMATCH(""SRGMPDNS"",split(REGEXREPLACE(C243,""(.)"",""$1~""),""~""))))=len(C243)
"),FALSE)</f>
        <v>0</v>
      </c>
      <c r="EV243" s="290" t="b">
        <f>IFERROR(__xludf.DUMMYFUNCTION("arrayformula(sum(--REGEXMATCH(""SRGmPDNS"",split(REGEXREPLACE(C243,""(.)"",""$1~""),""~""))))=len(C243)"),FALSE)</f>
        <v>0</v>
      </c>
      <c r="EW243" s="290" t="b">
        <f>IFERROR(__xludf.DUMMYFUNCTION("arrayformula(sum(--REGEXMATCH(""SRGmPDnS"",split(REGEXREPLACE(C243,""(.)"",""$1~""),""~""))))=len(C243)"),FALSE)</f>
        <v>0</v>
      </c>
      <c r="EX243" s="290" t="b">
        <f>IFERROR(__xludf.DUMMYFUNCTION("arrayformula(sum(--REGEXMATCH(""SRgmPDnS"",split(REGEXREPLACE(C243,""(.)"",""$1~""),""~""))))=len(C243)"),FALSE)</f>
        <v>0</v>
      </c>
      <c r="EY243" s="290" t="b">
        <f>IFERROR(__xludf.DUMMYFUNCTION("arrayformula(sum(--REGEXMATCH(""SRgmPdnS"",split(REGEXREPLACE(C243,""(.)"",""$1~""),""~""))))=len(C243)"),FALSE)</f>
        <v>0</v>
      </c>
      <c r="EZ243" s="290" t="b">
        <f>IFERROR(__xludf.DUMMYFUNCTION("arrayformula(sum(--REGEXMATCH(""SrgmPdnS"",split(REGEXREPLACE(C243,""(.)"",""$1~""),""~""))))=len(C243)"),FALSE)</f>
        <v>0</v>
      </c>
      <c r="FA243" s="290" t="b">
        <f>IFERROR(__xludf.DUMMYFUNCTION("arrayformula(sum(--REGEXMATCH(""SrGmPdNS"",split(REGEXREPLACE(C243,""(.)"",""$1~""),""~""))))=len(C243)"),FALSE)</f>
        <v>0</v>
      </c>
      <c r="FB243" s="290" t="b">
        <f>IFERROR(__xludf.DUMMYFUNCTION("arrayformula(sum(--REGEXMATCH(""SrGMPDNS"",split(REGEXREPLACE(C243,""(.)"",""$1~""),""~""))))=len(C243)"),FALSE)</f>
        <v>0</v>
      </c>
      <c r="FC243" s="290" t="b">
        <f>IFERROR(__xludf.DUMMYFUNCTION("arrayformula(sum(--REGEXMATCH(""SrGMPdNS"",split(REGEXREPLACE(C243,""(.)"",""$1~""),""~""))))=len(C243)"),FALSE)</f>
        <v>0</v>
      </c>
      <c r="FD243" s="377" t="b">
        <f>IFERROR(__xludf.DUMMYFUNCTION("arrayformula(sum(--REGEXMATCH(""SrgMPdNS"",split(REGEXREPLACE(C243,""(.)"",""$1~""),""~""))))=len(C243)"),FALSE)</f>
        <v>0</v>
      </c>
      <c r="FE243" s="269" t="str">
        <f t="shared" si="71"/>
        <v>xooxoxxxoxo</v>
      </c>
      <c r="FF243" s="269" t="str">
        <f t="shared" si="72"/>
        <v>-</v>
      </c>
      <c r="FG243" s="271" t="str">
        <f t="shared" si="73"/>
        <v>-</v>
      </c>
      <c r="FH243" s="269" t="str">
        <f t="shared" si="74"/>
        <v>xoxxxoxoxxo</v>
      </c>
      <c r="FI243" s="271" t="str">
        <f t="shared" si="75"/>
        <v>-</v>
      </c>
      <c r="FJ243" s="271" t="str">
        <f t="shared" si="76"/>
        <v>xxxoxoxxoox</v>
      </c>
      <c r="FK243" s="271" t="str">
        <f t="shared" si="77"/>
        <v>xxoxoxxooxo</v>
      </c>
      <c r="FL243" s="271" t="str">
        <f t="shared" si="78"/>
        <v>xoxoxxooxox</v>
      </c>
      <c r="FM243" s="271" t="str">
        <f t="shared" si="79"/>
        <v>-</v>
      </c>
      <c r="FN243" s="271" t="str">
        <f t="shared" si="80"/>
        <v>xoxxooxoxxx</v>
      </c>
      <c r="FO243" s="274" t="str">
        <f t="shared" si="81"/>
        <v>-</v>
      </c>
      <c r="FP243" s="234" t="str">
        <f t="shared" si="82"/>
        <v>|</v>
      </c>
      <c r="FQ243" s="236" t="str">
        <f t="shared" si="83"/>
        <v>|</v>
      </c>
      <c r="FR243" s="237" t="str">
        <f t="shared" si="84"/>
        <v>-</v>
      </c>
      <c r="FS243" s="236" t="str">
        <f t="shared" si="85"/>
        <v>-</v>
      </c>
      <c r="FT243" s="237" t="str">
        <f t="shared" si="86"/>
        <v>|</v>
      </c>
      <c r="FU243" s="236" t="str">
        <f t="shared" si="87"/>
        <v>-</v>
      </c>
      <c r="FV243" s="237" t="str">
        <f t="shared" si="88"/>
        <v>|</v>
      </c>
      <c r="FW243" s="236" t="str">
        <f t="shared" si="89"/>
        <v>|</v>
      </c>
      <c r="FX243" s="237" t="str">
        <f t="shared" si="90"/>
        <v>|</v>
      </c>
      <c r="FY243" s="236" t="str">
        <f t="shared" si="91"/>
        <v>-</v>
      </c>
      <c r="FZ243" s="237" t="str">
        <f t="shared" si="92"/>
        <v>|</v>
      </c>
      <c r="GA243" s="236" t="str">
        <f t="shared" si="93"/>
        <v>-</v>
      </c>
      <c r="GB243" s="238" t="str">
        <f t="shared" si="94"/>
        <v>|</v>
      </c>
      <c r="GC243" s="244" t="str">
        <f>IFERROR(__xludf.DUMMYFUNCTION("IF(REGEXMATCH(C243, ""S""), ""1"","""")"),"1")</f>
        <v>1</v>
      </c>
      <c r="GD243" s="245" t="str">
        <f>IFERROR(__xludf.DUMMYFUNCTION("IF(REGEXMATCH(C243, ""r""), ""b2"","""")"),"b2")</f>
        <v>b2</v>
      </c>
      <c r="GE243" s="246" t="str">
        <f>IFERROR(__xludf.DUMMYFUNCTION("IF(REGEXMATCH(C243, ""R""), ""2"","""")"),"")</f>
        <v/>
      </c>
      <c r="GF243" s="246" t="str">
        <f>IFERROR(__xludf.DUMMYFUNCTION("IF(REGEXMATCH(C243, ""g""), ""b3"","""")"),"")</f>
        <v/>
      </c>
      <c r="GG243" s="245" t="str">
        <f>IFERROR(__xludf.DUMMYFUNCTION("IF(REGEXMATCH(C243, ""G""), ""3"","""")"),"3")</f>
        <v>3</v>
      </c>
      <c r="GH243" s="245" t="str">
        <f>IFERROR(__xludf.DUMMYFUNCTION("IF(REGEXMATCH(C243, ""m""), ""4"","""")"),"")</f>
        <v/>
      </c>
      <c r="GI243" s="246" t="str">
        <f>IFERROR(__xludf.DUMMYFUNCTION("IF(REGEXMATCH(C243, ""M""), ""#4"","""")"),"#4")</f>
        <v>#4</v>
      </c>
      <c r="GJ243" s="245" t="str">
        <f>IFERROR(__xludf.DUMMYFUNCTION("IF(REGEXMATCH(C243, ""P""), ""5"","""")"),"5")</f>
        <v>5</v>
      </c>
      <c r="GK243" s="246" t="str">
        <f>IFERROR(__xludf.DUMMYFUNCTION("IF(REGEXMATCH(C243, ""d""), ""b6"","""")"),"b6")</f>
        <v>b6</v>
      </c>
      <c r="GL243" s="245" t="str">
        <f>IFERROR(__xludf.DUMMYFUNCTION("IF(REGEXMATCH(C243, ""D""), ""6"","""")"),"")</f>
        <v/>
      </c>
      <c r="GM243" s="245" t="str">
        <f>IFERROR(__xludf.DUMMYFUNCTION("IF(REGEXMATCH(C243, ""n""), ""b7"","""")"),"b7")</f>
        <v>b7</v>
      </c>
      <c r="GN243" s="246" t="str">
        <f>IFERROR(__xludf.DUMMYFUNCTION("IF(REGEXMATCH(C243, ""N""), ""7"","""")"),"")</f>
        <v/>
      </c>
      <c r="GO243" s="249" t="str">
        <f>IFERROR(__xludf.DUMMYFUNCTION("IF(REGEXMATCH(C243, ""S""), ""8"","""")"),"8")</f>
        <v>8</v>
      </c>
      <c r="GP243" s="244" t="str">
        <f>IFERROR(__xludf.DUMMYFUNCTION("IF(REGEXMATCH(C243, ""S""), ""S"","""")"),"S")</f>
        <v>S</v>
      </c>
      <c r="GQ243" s="294" t="str">
        <f>IFERROR(__xludf.DUMMYFUNCTION("IF(REGEXMATCH(C243, ""r""), ""R1"","""")"),"R1")</f>
        <v>R1</v>
      </c>
      <c r="GR243" s="295" t="str">
        <f>IFERROR(__xludf.DUMMYFUNCTION("IF(REGEXMATCH(C243, ""R""), ""R2"","""")"),"")</f>
        <v/>
      </c>
      <c r="GS243" s="295" t="str">
        <f>IFERROR(__xludf.DUMMYFUNCTION("IF(REGEXMATCH(C243, ""g""), ""G2"","""")"),"")</f>
        <v/>
      </c>
      <c r="GT243" s="294" t="str">
        <f>IFERROR(__xludf.DUMMYFUNCTION("IF(REGEXMATCH(C243, ""G""), ""G3"","""")"),"G3")</f>
        <v>G3</v>
      </c>
      <c r="GU243" s="294" t="str">
        <f>IFERROR(__xludf.DUMMYFUNCTION("IF(REGEXMATCH(C243, ""m""), ""M1"","""")"),"")</f>
        <v/>
      </c>
      <c r="GV243" s="295" t="str">
        <f>IFERROR(__xludf.DUMMYFUNCTION("IF(REGEXMATCH(C243, ""M""), ""M2"","""")"),"M2")</f>
        <v>M2</v>
      </c>
      <c r="GW243" s="294" t="str">
        <f>IFERROR(__xludf.DUMMYFUNCTION("IF(REGEXMATCH(C243, ""P""), ""P"","""")"),"P")</f>
        <v>P</v>
      </c>
      <c r="GX243" s="295" t="str">
        <f>IFERROR(__xludf.DUMMYFUNCTION("IF(REGEXMATCH(C243, ""d""), ""D1"","""")"),"D1")</f>
        <v>D1</v>
      </c>
      <c r="GY243" s="294" t="str">
        <f>IFERROR(__xludf.DUMMYFUNCTION("IF(REGEXMATCH(C243, ""D""), ""D2"","""")"),"")</f>
        <v/>
      </c>
      <c r="GZ243" s="294" t="str">
        <f>IFERROR(__xludf.DUMMYFUNCTION("IF(REGEXMATCH(C243, ""n""), ""N2"","""")"),"N2")</f>
        <v>N2</v>
      </c>
      <c r="HA243" s="295" t="str">
        <f>IFERROR(__xludf.DUMMYFUNCTION("IF(REGEXMATCH(C243, ""N""), ""N3"","""")"),"")</f>
        <v/>
      </c>
      <c r="HB243" s="249" t="str">
        <f>IFERROR(__xludf.DUMMYFUNCTION("IF(REGEXMATCH(C243, ""S""), ""S"","""")"),"S")</f>
        <v>S</v>
      </c>
      <c r="HC243" s="331" t="str">
        <f t="shared" si="95"/>
        <v>S</v>
      </c>
      <c r="HD243" s="332" t="str">
        <f t="shared" si="96"/>
        <v/>
      </c>
      <c r="HE243" s="332" t="str">
        <f t="shared" si="97"/>
        <v>R</v>
      </c>
      <c r="HF243" s="332" t="str">
        <f t="shared" si="98"/>
        <v/>
      </c>
      <c r="HG243" s="332" t="str">
        <f t="shared" si="99"/>
        <v>G</v>
      </c>
      <c r="HH243" s="332" t="str">
        <f t="shared" si="100"/>
        <v>m</v>
      </c>
      <c r="HI243" s="332" t="str">
        <f t="shared" si="101"/>
        <v>M</v>
      </c>
      <c r="HJ243" s="332" t="str">
        <f t="shared" si="102"/>
        <v/>
      </c>
      <c r="HK243" s="332" t="str">
        <f t="shared" si="103"/>
        <v>d</v>
      </c>
      <c r="HL243" s="332" t="str">
        <f t="shared" si="104"/>
        <v/>
      </c>
      <c r="HM243" s="332" t="str">
        <f t="shared" si="105"/>
        <v/>
      </c>
      <c r="HN243" s="332" t="str">
        <f t="shared" si="106"/>
        <v>N</v>
      </c>
      <c r="HO243" s="343" t="str">
        <f t="shared" si="107"/>
        <v>S</v>
      </c>
      <c r="HP243" s="331" t="str">
        <f t="shared" si="108"/>
        <v>o</v>
      </c>
      <c r="HQ243" s="332" t="str">
        <f t="shared" si="109"/>
        <v>o</v>
      </c>
      <c r="HR243" s="332" t="str">
        <f t="shared" si="110"/>
        <v>•</v>
      </c>
      <c r="HS243" s="332" t="str">
        <f t="shared" si="111"/>
        <v>•</v>
      </c>
      <c r="HT243" s="332" t="str">
        <f t="shared" si="112"/>
        <v>o</v>
      </c>
      <c r="HU243" s="332" t="str">
        <f t="shared" si="113"/>
        <v>•</v>
      </c>
      <c r="HV243" s="332" t="str">
        <f t="shared" si="114"/>
        <v>o</v>
      </c>
      <c r="HW243" s="332" t="str">
        <f t="shared" si="115"/>
        <v>o</v>
      </c>
      <c r="HX243" s="332" t="str">
        <f t="shared" si="116"/>
        <v>o</v>
      </c>
      <c r="HY243" s="332" t="str">
        <f t="shared" si="117"/>
        <v>•</v>
      </c>
      <c r="HZ243" s="332" t="str">
        <f t="shared" si="118"/>
        <v>o</v>
      </c>
      <c r="IA243" s="332" t="str">
        <f t="shared" si="119"/>
        <v>•</v>
      </c>
      <c r="IB243" s="338" t="str">
        <f t="shared" si="120"/>
        <v>o</v>
      </c>
      <c r="IC243" s="331" t="str">
        <f t="shared" si="121"/>
        <v>•</v>
      </c>
      <c r="ID243" s="332" t="str">
        <f t="shared" si="122"/>
        <v>•</v>
      </c>
      <c r="IE243" s="332" t="str">
        <f t="shared" si="123"/>
        <v>o</v>
      </c>
      <c r="IF243" s="332" t="str">
        <f t="shared" si="124"/>
        <v>o</v>
      </c>
      <c r="IG243" s="332" t="str">
        <f t="shared" si="125"/>
        <v>•</v>
      </c>
      <c r="IH243" s="332" t="str">
        <f t="shared" si="126"/>
        <v>o</v>
      </c>
      <c r="II243" s="332" t="str">
        <f t="shared" si="127"/>
        <v>•</v>
      </c>
      <c r="IJ243" s="332" t="str">
        <f t="shared" si="128"/>
        <v>•</v>
      </c>
      <c r="IK243" s="332" t="str">
        <f t="shared" si="129"/>
        <v>•</v>
      </c>
      <c r="IL243" s="332" t="str">
        <f t="shared" si="130"/>
        <v>o</v>
      </c>
      <c r="IM243" s="332" t="str">
        <f t="shared" si="131"/>
        <v>•</v>
      </c>
      <c r="IN243" s="332" t="str">
        <f t="shared" si="132"/>
        <v>o</v>
      </c>
      <c r="IO243" s="338" t="str">
        <f t="shared" si="133"/>
        <v>•</v>
      </c>
      <c r="IP243" s="346" t="b">
        <f t="shared" si="134"/>
        <v>0</v>
      </c>
      <c r="IQ243" s="347" t="b">
        <f t="shared" si="135"/>
        <v>0</v>
      </c>
      <c r="IR243" s="347" t="b">
        <f t="shared" si="136"/>
        <v>0</v>
      </c>
      <c r="IS243" s="347" t="b">
        <f t="shared" si="137"/>
        <v>0</v>
      </c>
      <c r="IT243" s="347" t="b">
        <f t="shared" si="138"/>
        <v>1</v>
      </c>
      <c r="IU243" s="347" t="b">
        <f t="shared" si="139"/>
        <v>0</v>
      </c>
      <c r="IV243" s="347" t="b">
        <f t="shared" si="140"/>
        <v>0</v>
      </c>
      <c r="IW243" s="347" t="b">
        <f t="shared" si="141"/>
        <v>1</v>
      </c>
      <c r="IX243" s="347" t="b">
        <f t="shared" si="142"/>
        <v>1</v>
      </c>
      <c r="IY243" s="347" t="b">
        <f t="shared" si="143"/>
        <v>0</v>
      </c>
      <c r="IZ243" s="347" t="b">
        <f t="shared" si="144"/>
        <v>1</v>
      </c>
      <c r="JA243" s="347" t="b">
        <f t="shared" si="145"/>
        <v>0</v>
      </c>
      <c r="JB243" s="353" t="b">
        <f t="shared" si="146"/>
        <v>0</v>
      </c>
      <c r="JC243" s="354" t="str">
        <f t="shared" si="147"/>
        <v/>
      </c>
      <c r="JD243" s="355" t="str">
        <f t="shared" si="148"/>
        <v/>
      </c>
      <c r="JE243" s="355" t="str">
        <f t="shared" si="149"/>
        <v/>
      </c>
      <c r="JF243" s="355" t="str">
        <f t="shared" si="150"/>
        <v/>
      </c>
      <c r="JG243" s="355" t="str">
        <f t="shared" si="151"/>
        <v>Ga, </v>
      </c>
      <c r="JH243" s="355" t="str">
        <f t="shared" si="152"/>
        <v/>
      </c>
      <c r="JI243" s="355" t="str">
        <f t="shared" si="153"/>
        <v/>
      </c>
      <c r="JJ243" s="355" t="str">
        <f t="shared" si="154"/>
        <v>Pa, </v>
      </c>
      <c r="JK243" s="355" t="str">
        <f t="shared" si="155"/>
        <v>dha, </v>
      </c>
      <c r="JL243" s="355" t="str">
        <f t="shared" si="156"/>
        <v/>
      </c>
      <c r="JM243" s="355" t="str">
        <f t="shared" si="157"/>
        <v>ni, </v>
      </c>
      <c r="JN243" s="355" t="str">
        <f t="shared" si="158"/>
        <v/>
      </c>
      <c r="JO243" s="359" t="str">
        <f t="shared" si="159"/>
        <v/>
      </c>
      <c r="JP243" s="346" t="b">
        <f t="shared" si="160"/>
        <v>0</v>
      </c>
      <c r="JQ243" s="347" t="b">
        <f t="shared" si="161"/>
        <v>0</v>
      </c>
      <c r="JR243" s="347" t="b">
        <f t="shared" si="162"/>
        <v>0</v>
      </c>
      <c r="JS243" s="347" t="b">
        <f t="shared" si="163"/>
        <v>0</v>
      </c>
      <c r="JT243" s="347" t="b">
        <f t="shared" si="164"/>
        <v>1</v>
      </c>
      <c r="JU243" s="347" t="b">
        <f t="shared" si="165"/>
        <v>0</v>
      </c>
      <c r="JV243" s="347" t="b">
        <f t="shared" si="166"/>
        <v>0</v>
      </c>
      <c r="JW243" s="347" t="b">
        <f t="shared" si="167"/>
        <v>0</v>
      </c>
      <c r="JX243" s="347" t="b">
        <f t="shared" si="168"/>
        <v>0</v>
      </c>
      <c r="JY243" s="347" t="b">
        <f t="shared" si="169"/>
        <v>0</v>
      </c>
      <c r="JZ243" s="347" t="b">
        <f t="shared" si="170"/>
        <v>1</v>
      </c>
      <c r="KA243" s="347" t="b">
        <f t="shared" si="171"/>
        <v>0</v>
      </c>
      <c r="KB243" s="365" t="b">
        <f t="shared" si="172"/>
        <v>0</v>
      </c>
      <c r="KC243" s="354" t="str">
        <f t="shared" si="173"/>
        <v/>
      </c>
      <c r="KD243" s="355" t="str">
        <f t="shared" si="174"/>
        <v/>
      </c>
      <c r="KE243" s="355" t="str">
        <f t="shared" si="175"/>
        <v/>
      </c>
      <c r="KF243" s="355" t="str">
        <f t="shared" si="176"/>
        <v/>
      </c>
      <c r="KG243" s="355" t="str">
        <f t="shared" si="177"/>
        <v>Ga, </v>
      </c>
      <c r="KH243" s="355" t="str">
        <f t="shared" si="178"/>
        <v/>
      </c>
      <c r="KI243" s="355" t="str">
        <f t="shared" si="179"/>
        <v/>
      </c>
      <c r="KJ243" s="355" t="str">
        <f t="shared" si="180"/>
        <v/>
      </c>
      <c r="KK243" s="355" t="str">
        <f t="shared" si="181"/>
        <v/>
      </c>
      <c r="KL243" s="355" t="str">
        <f t="shared" si="182"/>
        <v/>
      </c>
      <c r="KM243" s="355" t="str">
        <f t="shared" si="183"/>
        <v>ni, </v>
      </c>
      <c r="KN243" s="355" t="str">
        <f t="shared" si="184"/>
        <v/>
      </c>
      <c r="KO243" s="359"/>
      <c r="KP243" s="378"/>
      <c r="KQ243" s="379" t="s">
        <v>9</v>
      </c>
      <c r="KR243" s="380" t="s">
        <v>9</v>
      </c>
      <c r="KS243" s="381" t="s">
        <v>9</v>
      </c>
      <c r="KT243" s="382">
        <f t="shared" si="186"/>
        <v>0</v>
      </c>
      <c r="KU243" s="383">
        <f t="shared" si="187"/>
        <v>0</v>
      </c>
      <c r="KV243" s="381" t="str">
        <f t="shared" si="205"/>
        <v>S</v>
      </c>
      <c r="KW243" s="382">
        <f t="shared" si="189"/>
        <v>0</v>
      </c>
      <c r="KX243" s="384">
        <f t="shared" si="190"/>
        <v>0</v>
      </c>
      <c r="KY243" s="382">
        <f t="shared" ref="KY243:KZ243" si="706">KW243-KT243</f>
        <v>0</v>
      </c>
      <c r="KZ243" s="369">
        <f t="shared" si="706"/>
        <v>0</v>
      </c>
      <c r="LA243" s="385" t="str">
        <f t="shared" si="192"/>
        <v>✔</v>
      </c>
      <c r="LB243" s="340" t="str">
        <f>IFERROR(__xludf.DUMMYFUNCTION("JOIN("""",ArrayFormula(MID(KS243,LEN(KS243)-SEQUENCE(1,LEN(KS243))+1,1)))"),"S")</f>
        <v>S</v>
      </c>
      <c r="LC243" s="373" t="str">
        <f>IFERROR(__xludf.DUMMYFUNCTION("JOIN("""",ArrayFormula(MID(KV243,LEN(KV243)-SEQUENCE(1,LEN(KV243))+1,1)))"),"S")</f>
        <v>S</v>
      </c>
      <c r="LD243" s="373" t="str">
        <f t="shared" si="193"/>
        <v>S</v>
      </c>
      <c r="LE243" s="339" t="str">
        <f t="shared" si="194"/>
        <v>S</v>
      </c>
      <c r="LF243" s="386" t="str">
        <f>IFERROR(__xludf.DUMMYFUNCTION("SUBSTITUTE(SUBSTITUTE(CONCATENATE(JOIN("""",LH243:LT243)),""1"",""""),""2"","""")"),"SS")</f>
        <v>SS</v>
      </c>
      <c r="LG243" s="369" t="str">
        <f t="shared" si="195"/>
        <v>-</v>
      </c>
      <c r="LH243" s="387" t="str">
        <f>IFERROR(__xludf.DUMMYFUNCTION("IF(REGEXMATCH(LD243, ""S""), ""S"",IF(REGEXMATCH(LE243, ""S""), ""S"",""""))"),"S")</f>
        <v>S</v>
      </c>
      <c r="LI243" s="299" t="str">
        <f>IFERROR(__xludf.DUMMYFUNCTION("IF(REGEXMATCH(LD243, ""r""), ""r1"",IF(REGEXMATCH(LE243, ""r""), ""r2"",""""))"),"")</f>
        <v/>
      </c>
      <c r="LJ243" s="299" t="str">
        <f>IFERROR(__xludf.DUMMYFUNCTION("IF(REGEXMATCH(LD243, ""R""), ""R1"",IF(REGEXMATCH(LE243, ""R""), ""R2"",""""))"),"")</f>
        <v/>
      </c>
      <c r="LK243" s="299" t="str">
        <f>IFERROR(__xludf.DUMMYFUNCTION("IF(REGEXMATCH(LD243, ""g""), ""g1"",IF(REGEXMATCH(LE243, ""g""), ""g2"",""""))"),"")</f>
        <v/>
      </c>
      <c r="LL243" s="299" t="str">
        <f>IFERROR(__xludf.DUMMYFUNCTION("IF(REGEXMATCH(LD243, ""G""), ""G1"",IF(REGEXMATCH(LE243, ""G""), ""G2"",""""))"),"")</f>
        <v/>
      </c>
      <c r="LM243" s="299" t="str">
        <f>IFERROR(__xludf.DUMMYFUNCTION("IF(REGEXMATCH(LD243, ""m""), ""m1"",IF(REGEXMATCH(LE243, ""m""), ""m2"",""""))"),"")</f>
        <v/>
      </c>
      <c r="LN243" s="299" t="str">
        <f>IFERROR(__xludf.DUMMYFUNCTION("IF(REGEXMATCH(LD243, ""M""), ""M1"",IF(REGEXMATCH(LE243, ""M""), ""M2"",""""))"),"")</f>
        <v/>
      </c>
      <c r="LO243" s="299" t="str">
        <f>IFERROR(__xludf.DUMMYFUNCTION("IF(REGEXMATCH(LD243, ""P""), ""P1"",IF(REGEXMATCH(LE243, ""P""), ""P2"",""""))"),"")</f>
        <v/>
      </c>
      <c r="LP243" s="299" t="str">
        <f>IFERROR(__xludf.DUMMYFUNCTION("IF(REGEXMATCH(LD243, ""d""), ""d1"",IF(REGEXMATCH(LE243, ""d""), ""d2"",""""))"),"")</f>
        <v/>
      </c>
      <c r="LQ243" s="299" t="str">
        <f>IFERROR(__xludf.DUMMYFUNCTION("IF(REGEXMATCH(LD243, ""D""), ""D1"",IF(REGEXMATCH(LE243, ""D""), ""D2"",""""))"),"")</f>
        <v/>
      </c>
      <c r="LR243" s="299" t="str">
        <f>IFERROR(__xludf.DUMMYFUNCTION("IF(REGEXMATCH(LD243, ""n""), ""n1"",IF(REGEXMATCH(LE243, ""n""), ""n2"",""""))"),"")</f>
        <v/>
      </c>
      <c r="LS243" s="299" t="str">
        <f>IFERROR(__xludf.DUMMYFUNCTION("IF(REGEXMATCH(LD243, ""N""), ""N1"",IF(REGEXMATCH(LE243, ""N""), ""N2"",""""))"),"")</f>
        <v/>
      </c>
      <c r="LT243" s="388" t="str">
        <f>IFERROR(__xludf.DUMMYFUNCTION("IF(REGEXMATCH(LD243, ""S""), ""S"",IF(REGEXMATCH(LE243, ""S""), ""S"",""""))"),"S")</f>
        <v>S</v>
      </c>
      <c r="LU243" s="389">
        <f t="shared" si="196"/>
        <v>1</v>
      </c>
      <c r="LV243" s="378"/>
      <c r="LW243" s="369"/>
      <c r="LX243" s="369"/>
    </row>
    <row r="244" ht="18.0" customHeight="1">
      <c r="A244" s="298" t="s">
        <v>1009</v>
      </c>
      <c r="B244" s="222" t="s">
        <v>632</v>
      </c>
      <c r="C244" s="233" t="str">
        <f t="shared" si="7"/>
        <v>SRGmMPDNS</v>
      </c>
      <c r="D244" s="234" t="str">
        <f>IFERROR(__xludf.DUMMYFUNCTION("IF(REGEXMATCH(C244, ""S""), ""S"","""")"),"S")</f>
        <v>S</v>
      </c>
      <c r="E244" s="236" t="str">
        <f>IFERROR(__xludf.DUMMYFUNCTION("IF(REGEXMATCH(C244, ""r""), ""r"","""")"),"")</f>
        <v/>
      </c>
      <c r="F244" s="237" t="str">
        <f>IFERROR(__xludf.DUMMYFUNCTION("IF(REGEXMATCH(C244, ""R""), ""R"","""")"),"R")</f>
        <v>R</v>
      </c>
      <c r="G244" s="237" t="str">
        <f>IFERROR(__xludf.DUMMYFUNCTION("IF(REGEXMATCH(C244, ""g""), ""g"","""")"),"")</f>
        <v/>
      </c>
      <c r="H244" s="236" t="str">
        <f>IFERROR(__xludf.DUMMYFUNCTION("IF(REGEXMATCH(C244, ""G""), ""G"","""")"),"G")</f>
        <v>G</v>
      </c>
      <c r="I244" s="236" t="str">
        <f>IFERROR(__xludf.DUMMYFUNCTION("IF(REGEXMATCH(C244, ""m""), ""m"","""")"),"m")</f>
        <v>m</v>
      </c>
      <c r="J244" s="237" t="str">
        <f>IFERROR(__xludf.DUMMYFUNCTION("IF(REGEXMATCH(C244, ""M""), ""M"","""")"),"M")</f>
        <v>M</v>
      </c>
      <c r="K244" s="236" t="str">
        <f>IFERROR(__xludf.DUMMYFUNCTION("IF(REGEXMATCH(C244, ""P""), ""P"","""")"),"P")</f>
        <v>P</v>
      </c>
      <c r="L244" s="237" t="str">
        <f>IFERROR(__xludf.DUMMYFUNCTION("IF(REGEXMATCH(C244, ""d""), ""d"","""")"),"")</f>
        <v/>
      </c>
      <c r="M244" s="236" t="str">
        <f>IFERROR(__xludf.DUMMYFUNCTION("IF(REGEXMATCH(C244, ""D""), ""D"","""")"),"D")</f>
        <v>D</v>
      </c>
      <c r="N244" s="236" t="str">
        <f>IFERROR(__xludf.DUMMYFUNCTION("IF(REGEXMATCH(C244, ""n""), ""n"","""")"),"")</f>
        <v/>
      </c>
      <c r="O244" s="237" t="str">
        <f>IFERROR(__xludf.DUMMYFUNCTION("IF(REGEXMATCH(C244, ""N""), ""N"","""")"),"N")</f>
        <v>N</v>
      </c>
      <c r="P244" s="238" t="str">
        <f>IFERROR(__xludf.DUMMYFUNCTION("IF(REGEXMATCH(C244, ""S""), ""S"","""")"),"S")</f>
        <v>S</v>
      </c>
      <c r="Q244" s="239" t="str">
        <f>IFERROR(__xludf.DUMMYFUNCTION("SUBSTITUTE(CONCATENATE(JOIN(""-"",D244:J244)),""-"","""")"),"SRGmM")</f>
        <v>SRGmM</v>
      </c>
      <c r="R244" s="229" t="str">
        <f>IFERROR(__xludf.DUMMYFUNCTION("SUBSTITUTE(CONCATENATE(JOIN(""-"",K244:P244)),""-"","""")"),"PDNS")</f>
        <v>PDNS</v>
      </c>
      <c r="S244" s="282" t="str">
        <f t="shared" si="8"/>
        <v>S-R-G-M</v>
      </c>
      <c r="T244" s="282" t="str">
        <f t="shared" si="9"/>
        <v>P-D-N-S</v>
      </c>
      <c r="U244" s="237" t="str">
        <f>IFERROR(__xludf.DUMMYFUNCTION("SUBSTITUTE(JOIN(""-"",S244,T244),""--"",""-"")"),"S-R-G-M-P-D-N-S")</f>
        <v>S-R-G-M-P-D-N-S</v>
      </c>
      <c r="V244" s="309" t="str">
        <f t="shared" si="10"/>
        <v>RGmMDN</v>
      </c>
      <c r="W244" s="244" t="str">
        <f>IFERROR(__xludf.DUMMYFUNCTION("IF(REGEXMATCH(C244, ""S""), ""0"","""")"),"0")</f>
        <v>0</v>
      </c>
      <c r="X244" s="245" t="str">
        <f>IFERROR(__xludf.DUMMYFUNCTION("IF(REGEXMATCH(C244, ""r""), ""1"","""")"),"")</f>
        <v/>
      </c>
      <c r="Y244" s="246" t="str">
        <f>IFERROR(__xludf.DUMMYFUNCTION("IF(REGEXMATCH(C244, ""R""), ""2"","""")"),"2")</f>
        <v>2</v>
      </c>
      <c r="Z244" s="246" t="str">
        <f>IFERROR(__xludf.DUMMYFUNCTION("IF(REGEXMATCH(C244, ""g""), ""3"","""")"),"")</f>
        <v/>
      </c>
      <c r="AA244" s="245" t="str">
        <f>IFERROR(__xludf.DUMMYFUNCTION("IF(REGEXMATCH(C244, ""G""), ""4"","""")"),"4")</f>
        <v>4</v>
      </c>
      <c r="AB244" s="245" t="str">
        <f>IFERROR(__xludf.DUMMYFUNCTION("IF(REGEXMATCH(C244, ""m""), ""5"","""")"),"5")</f>
        <v>5</v>
      </c>
      <c r="AC244" s="246" t="str">
        <f>IFERROR(__xludf.DUMMYFUNCTION("IF(REGEXMATCH(C244, ""M""), ""6"","""")"),"6")</f>
        <v>6</v>
      </c>
      <c r="AD244" s="245" t="str">
        <f>IFERROR(__xludf.DUMMYFUNCTION("IF(REGEXMATCH(C244, ""P""), ""7"","""")"),"7")</f>
        <v>7</v>
      </c>
      <c r="AE244" s="246" t="str">
        <f>IFERROR(__xludf.DUMMYFUNCTION("IF(REGEXMATCH(C244, ""d""), ""8"","""")"),"")</f>
        <v/>
      </c>
      <c r="AF244" s="245" t="str">
        <f>IFERROR(__xludf.DUMMYFUNCTION("IF(REGEXMATCH(C244, ""D""), ""9"","""")"),"9")</f>
        <v>9</v>
      </c>
      <c r="AG244" s="245" t="str">
        <f>IFERROR(__xludf.DUMMYFUNCTION("IF(REGEXMATCH(C244, ""n""), ""10"","""")"),"")</f>
        <v/>
      </c>
      <c r="AH244" s="246" t="str">
        <f>IFERROR(__xludf.DUMMYFUNCTION("IF(REGEXMATCH(C244, ""N""), ""11"","""")"),"11")</f>
        <v>11</v>
      </c>
      <c r="AI244" s="249" t="str">
        <f>IFERROR(__xludf.DUMMYFUNCTION("IF(REGEXMATCH(C244, ""S""), ""0"","""")"),"0")</f>
        <v>0</v>
      </c>
      <c r="AJ244" s="313" t="str">
        <f t="shared" si="11"/>
        <v>T</v>
      </c>
      <c r="AK244" s="313" t="str">
        <f t="shared" si="12"/>
        <v>-</v>
      </c>
      <c r="AL244" s="313" t="str">
        <f t="shared" si="13"/>
        <v>-</v>
      </c>
      <c r="AM244" s="313" t="str">
        <f t="shared" si="14"/>
        <v>-</v>
      </c>
      <c r="AN244" s="313" t="str">
        <f t="shared" si="15"/>
        <v>-</v>
      </c>
      <c r="AO244" s="314" t="str">
        <f t="shared" si="16"/>
        <v>T</v>
      </c>
      <c r="AP244" s="316">
        <f t="shared" si="17"/>
        <v>2</v>
      </c>
      <c r="AQ244" s="319" t="str">
        <f t="shared" si="18"/>
        <v>-</v>
      </c>
      <c r="AR244" s="320">
        <f t="shared" si="19"/>
        <v>0</v>
      </c>
      <c r="AS244" s="250" t="str">
        <f>IFERROR(__xludf.DUMMYFUNCTION("SUBSTITUTE(SUBSTITUTE(CONCATENATE(JOIN("""",FP244:GA244)),""|"",""x""),""-"",""o"")"),"xoxoxxxxoxox")</f>
        <v>xoxoxxxxoxox</v>
      </c>
      <c r="AT244" s="323" t="str">
        <f>IFERROR(__xludf.DUMMYFUNCTION("JOIN("""",AS244,AS244)"),"xoxoxxxxoxoxxoxoxxxxoxox")</f>
        <v>xoxoxxxxoxoxxoxoxxxxoxox</v>
      </c>
      <c r="AU244" s="256" t="str">
        <f>IFERROR(__xludf.DUMMYFUNCTION("JOIN("""",ArrayFormula(MID(AS244,LEN(AS244)-SEQUENCE(1,LEN(AS244))+1,1)))"),"xoxoxxxxoxox")</f>
        <v>xoxoxxxxoxox</v>
      </c>
      <c r="AV244" s="256" t="str">
        <f>IFERROR(__xludf.DUMMYFUNCTION("LEFT(CONCATENATE(""x"",JOIN("""",ArrayFormula(MID(AS244,LEN(AS244)-SEQUENCE(1,LEN(AS244))+1,1)))),12)"),"xxoxoxxxxoxo")</f>
        <v>xxoxoxxxxoxo</v>
      </c>
      <c r="AW244" s="327" t="str">
        <f>IFERROR(__xludf.DUMMYFUNCTION("JOIN("""",AU244,AU244)"),"xoxoxxxxoxoxxoxoxxxxoxox")</f>
        <v>xoxoxxxxoxoxxoxoxxxxoxox</v>
      </c>
      <c r="AX244" s="239" t="str">
        <f>IFERROR(__xludf.DUMMYFUNCTION("IF(REGEXMATCH(AW244,AS244),""✔"",""-"")"),"✔")</f>
        <v>✔</v>
      </c>
      <c r="AY244" s="330" t="str">
        <f t="shared" si="20"/>
        <v>-</v>
      </c>
      <c r="AZ244" s="260" t="str">
        <f t="shared" si="21"/>
        <v>#REF!</v>
      </c>
      <c r="BA244" s="333" t="str">
        <f t="shared" si="22"/>
        <v>xoxoxxx</v>
      </c>
      <c r="BB244" s="334" t="str">
        <f t="shared" si="23"/>
        <v>xoxoxx</v>
      </c>
      <c r="BC244" s="335" t="str">
        <f t="shared" si="236"/>
        <v>✔</v>
      </c>
      <c r="BD244" s="336" t="str">
        <f t="shared" si="25"/>
        <v>Nand: 'xoxoxxx' + 'xoxoxx'</v>
      </c>
      <c r="BE244" s="337">
        <f>IFERROR(__xludf.DUMMYFUNCTION("COUNTUNIQUE(FILTER(AT:AT,REGEXMATCH(AT:AT,AS244)))-1"),3.0)</f>
        <v>3</v>
      </c>
      <c r="BF244" s="261" t="str">
        <f>IFERROR(__xludf.DUMMYFUNCTION("IF(BI244=0,""(n/a)"",IF(BJ244=2,""(PAIR)"",IF(REGEXMATCH(AT244,""xoxoxxoxoxox""),""Bilawal"",IF(REGEXMATCH(AT244,""xoxoxooxoxoo""),""Bhupali"",IF(REGEXMATCH(AT244,""xoxoxxoxxoxo""),""Charukeshi"",IF(REGEXMATCH(AT244,""xoxoooxxoxxo""),""Kameshwari"",IF(REG"&amp;"EXMATCH(AT244,""xoxoxooxoxox""),""Shankara"",IF(REGEXMATCH(AT244,""xxooxoxxxoox""),""Basant"",IF(REGEXMATCH(AT244,""xoxoxxxxoxox""),""Bihag"",IF(REGEXMATCH(AT244,""xoxxxxoxoxxx""),""Pilu"",IF(REGEXMATCH(AT244,""xoxxoxoxxoox""),""Kirwani"",IF(REGEXMATCH(AT"&amp;"244,""xoxxoxoxoxxx""),""Mk.Malhar"",IF(REGEXMATCH(AT244,""xxooxxoxxoox""),""Bhairav"",IF(REGEXMATCH(AT244,""xxoxooxxxoox""),""Todi"",IF(REGEXMATCH(AT244,""xxooxoxooxox""),""Marwa"",IF(REGEXMATCH(AT244,""xxoooxoxxooo""),""Gunkali"",IF(REGEXMATCH(AT244,""xo"&amp;"xoxxoxxoox""),""Nat Bhairav"",IF(REGEXMATCH(AT244,""xoxxoooxoxoo""),""Shivranjani"",IF(REGEXMATCH(AT244,""xooxxxoxooxo""),""Jog"",IF(REGEXMATCH(AT244,""xxooxoxoxoox""),""Hemshri"",IF(REGEXMATCH(AT244,""xoooxooxoxxo""),""Kalavati"",IF(REGEXMATCH(AT244,""xx"&amp;"oxoxxoxoox""),""Kedar"",IF(REGEXMATCH(AT244,""xoxxxxoxooxx""),""Gara"",IF(REGEXMATCH(AT244,""xooxoxooxoox""),""Chandrakauns"",IF(REGEXMATCH(AT244,""xoxxxxoxxxox""),""Mand"",IF(REGEXMATCH(AT244,""xoxxxxoxoxox""),""Hanskinkini"",IF(REGEXMATCH(AT244,""xxooxx"&amp;"oxooxo""),""Lilavati"",IF(REGEXMATCH(AT244,""xooxoxoooxox""),""Rajeshwari"",IF(REGEXMATCH(AT244,""xoooxxoxoxxx""),""Khokar"",IF(REGEXMATCH(AT244,""xxooxoxxxxox""),""Maligoura"",""-""))))))))))))))))))))))))))))))"),"Bihag")</f>
        <v>Bihag</v>
      </c>
      <c r="BG244" s="239" t="str">
        <f t="shared" si="26"/>
        <v>#REF!</v>
      </c>
      <c r="BH244" s="239">
        <f>IFERROR(__xludf.DUMMYFUNCTION("COUNTUNIQUE(FE244:FO244)-1"),7.0)</f>
        <v>7</v>
      </c>
      <c r="BI244" s="239">
        <f>IFERROR(__xludf.DUMMYFUNCTION("COUNTUNIQUE(FILTER(AT:AT,REGEXMATCH(AT:AT,AS244)))-1"),3.0)</f>
        <v>3</v>
      </c>
      <c r="BJ244" s="239">
        <f>IFERROR(__xludf.DUMMYFUNCTION("COUNTA(FILTER(AT:AT,REGEXMATCH(AT:AT,AS244)))"),36.0)</f>
        <v>36</v>
      </c>
      <c r="BK244" s="341">
        <f>IFERROR(__xludf.DUMMYFUNCTION("COUNTA(FILTER(AT:AT,REGEXMATCH(AT:AT,AS244)))-AR244"),36.0)</f>
        <v>36</v>
      </c>
      <c r="BL244" s="276" t="str">
        <f>IFERROR(__xludf.DUMMYFUNCTION("IF(AS244=""oooooooooooo"",""-"",IF(REGEXMATCH(AT244,""xx""), ""Hemi."", ""Anhemi.""))"),"Hemi.")</f>
        <v>Hemi.</v>
      </c>
      <c r="BM244" s="282" t="str">
        <f>IFERROR(__xludf.DUMMYFUNCTION("IF(AS244=""oooooooooooo"",""-"",IF(REGEXMATCH(AT244,""xxx""), ""Cohem."", ""-""))"),"Cohem.")</f>
        <v>Cohem.</v>
      </c>
      <c r="BN244" s="282" t="str">
        <f>IFERROR(__xludf.DUMMYFUNCTION("IF(AS244=""oooooooooooo"",""-"",IF(REGEXMATCH(AT244,""xxxx""), ""Co-Co."", ""-""))"),"Co-Co.")</f>
        <v>Co-Co.</v>
      </c>
      <c r="BO244" s="342" t="str">
        <f>IFERROR(__xludf.DUMMYFUNCTION("IF(AS244=""oooooooooooo"",""-"",IF(REGEXMATCH(AT244,""xxxxx""), ""CCC."", ""-""))"),"-")</f>
        <v>-</v>
      </c>
      <c r="BP244" s="344" t="str">
        <f t="shared" si="27"/>
        <v>-</v>
      </c>
      <c r="BQ244" s="282" t="str">
        <f>IFERROR(__xludf.DUMMYFUNCTION("IF(REGEXMATCH(JOIN(""-"",EU244:FD244),""TRUE""),""✔"",""-"")"),"-")</f>
        <v>-</v>
      </c>
      <c r="BR244" s="225">
        <f t="shared" si="28"/>
        <v>0</v>
      </c>
      <c r="BS244" s="345" t="str">
        <f>IFERROR(__xludf.DUMMYFUNCTION("SUBSTITUTE(SUBSTITUTE(SUBSTITUTE(SUBSTITUTE(CONCATENATE(JOIN(""-"",GC244:GO244)),""--"",""-""),""--"",""-""),""--"",""-""),""--"",""-"")"),"1-2-3-4-#4-5-6-7-8")</f>
        <v>1-2-3-4-#4-5-6-7-8</v>
      </c>
      <c r="BT244" s="299" t="str">
        <f>IFERROR(__xludf.DUMMYFUNCTION("SUBSTITUTE(SUBSTITUTE(SUBSTITUTE(SUBSTITUTE(CONCATENATE(JOIN(""-"",GP244:HB244)),""--"",""-""),""--"",""-""),""--"",""-""),""--"",""-"")"),"S-R2-G3-M1-M2-P-D2-N3-S")</f>
        <v>S-R2-G3-M1-M2-P-D2-N3-S</v>
      </c>
      <c r="BU244" s="348" t="str">
        <f t="shared" si="29"/>
        <v>C-D-E-F-F#-G-A-B-C</v>
      </c>
      <c r="BV244" s="349" t="str">
        <f t="shared" si="30"/>
        <v>SrgdnS</v>
      </c>
      <c r="BW244" s="350">
        <f t="shared" si="31"/>
        <v>0</v>
      </c>
      <c r="BX244" s="351">
        <f t="shared" si="32"/>
        <v>13</v>
      </c>
      <c r="BY244" s="392"/>
      <c r="BZ244" s="309" t="str">
        <f>IFERROR(__xludf.DUMMYFUNCTION("IF(REGEXMATCH(C244, ""S""), ""x"",""x"")"),"x")</f>
        <v>x</v>
      </c>
      <c r="CA244" s="245" t="str">
        <f>IFERROR(__xludf.DUMMYFUNCTION("IF(REGEXMATCH(C244, ""r""), ""o"",""x"")"),"x")</f>
        <v>x</v>
      </c>
      <c r="CB244" s="246" t="str">
        <f>IFERROR(__xludf.DUMMYFUNCTION("IF(REGEXMATCH(C244, ""R""), ""o"",""x"")"),"o")</f>
        <v>o</v>
      </c>
      <c r="CC244" s="246" t="str">
        <f>IFERROR(__xludf.DUMMYFUNCTION("IF(REGEXMATCH(C244, ""g""), ""o"",""x"")"),"x")</f>
        <v>x</v>
      </c>
      <c r="CD244" s="245" t="str">
        <f>IFERROR(__xludf.DUMMYFUNCTION("IF(REGEXMATCH(C244, ""G""), ""o"",""x"")"),"o")</f>
        <v>o</v>
      </c>
      <c r="CE244" s="245" t="str">
        <f>IFERROR(__xludf.DUMMYFUNCTION("IF(REGEXMATCH(C244, ""m""), ""o"",""x"")"),"o")</f>
        <v>o</v>
      </c>
      <c r="CF244" s="246" t="str">
        <f>IFERROR(__xludf.DUMMYFUNCTION("IF(REGEXMATCH(C244, ""M""), ""o"",""x"")"),"o")</f>
        <v>o</v>
      </c>
      <c r="CG244" s="245" t="str">
        <f>IFERROR(__xludf.DUMMYFUNCTION("IF(REGEXMATCH(C244, ""P""), ""o"",""x"")"),"o")</f>
        <v>o</v>
      </c>
      <c r="CH244" s="246" t="str">
        <f>IFERROR(__xludf.DUMMYFUNCTION("IF(REGEXMATCH(C244, ""d""), ""o"",""x"")"),"x")</f>
        <v>x</v>
      </c>
      <c r="CI244" s="245" t="str">
        <f>IFERROR(__xludf.DUMMYFUNCTION("IF(REGEXMATCH(C244, ""D""), ""o"",""x"")"),"o")</f>
        <v>o</v>
      </c>
      <c r="CJ244" s="245" t="str">
        <f>IFERROR(__xludf.DUMMYFUNCTION("IF(REGEXMATCH(C244, ""n""), ""o"",""x"")"),"x")</f>
        <v>x</v>
      </c>
      <c r="CK244" s="245" t="str">
        <f>IFERROR(__xludf.DUMMYFUNCTION("IF(REGEXMATCH(C244, ""N""), ""o"",""x"")"),"o")</f>
        <v>o</v>
      </c>
      <c r="CL244" s="356" t="str">
        <f>IFERROR(__xludf.DUMMYFUNCTION("IF(REGEXMATCH(C244, ""S""), ""x"",""x"")"),"x")</f>
        <v>x</v>
      </c>
      <c r="CM244" s="357" t="str">
        <f t="shared" si="33"/>
        <v>xxoxooooxoxo</v>
      </c>
      <c r="CN244" s="358">
        <f t="shared" si="34"/>
        <v>0</v>
      </c>
      <c r="CO244" s="246" t="str">
        <f>IFERROR(__xludf.DUMMYFUNCTION("IF(REGEXMATCH($C244, ""S""), ""S"",""S"")"),"S")</f>
        <v>S</v>
      </c>
      <c r="CP244" s="246" t="str">
        <f>IFERROR(__xludf.DUMMYFUNCTION("IF(REGEXMATCH($C244, ""r""), """",""r"")"),"r")</f>
        <v>r</v>
      </c>
      <c r="CQ244" s="246" t="str">
        <f>IFERROR(__xludf.DUMMYFUNCTION("IF(REGEXMATCH($C244, ""R""), """",""R"")"),"")</f>
        <v/>
      </c>
      <c r="CR244" s="246" t="str">
        <f>IFERROR(__xludf.DUMMYFUNCTION("IF(REGEXMATCH($C244, ""g""), """",""g"")"),"g")</f>
        <v>g</v>
      </c>
      <c r="CS244" s="246" t="str">
        <f>IFERROR(__xludf.DUMMYFUNCTION("IF(REGEXMATCH($C244, ""G""), """",""G"")"),"")</f>
        <v/>
      </c>
      <c r="CT244" s="246" t="str">
        <f>IFERROR(__xludf.DUMMYFUNCTION("IF(REGEXMATCH($C244, ""m""), """",""m"")"),"")</f>
        <v/>
      </c>
      <c r="CU244" s="246" t="str">
        <f>IFERROR(__xludf.DUMMYFUNCTION("IF(REGEXMATCH($C244, ""M""), """",""M"")"),"")</f>
        <v/>
      </c>
      <c r="CV244" s="246" t="str">
        <f>IFERROR(__xludf.DUMMYFUNCTION("IF(REGEXMATCH($C244, ""P""), """",""P"")"),"")</f>
        <v/>
      </c>
      <c r="CW244" s="246" t="str">
        <f>IFERROR(__xludf.DUMMYFUNCTION("IF(REGEXMATCH($C244, ""d""), """",""d"")"),"d")</f>
        <v>d</v>
      </c>
      <c r="CX244" s="246" t="str">
        <f>IFERROR(__xludf.DUMMYFUNCTION("IF(REGEXMATCH($C244, ""D""), """",""D"")"),"")</f>
        <v/>
      </c>
      <c r="CY244" s="246" t="str">
        <f>IFERROR(__xludf.DUMMYFUNCTION("IF(REGEXMATCH($C244, ""n""), """",""n"")"),"n")</f>
        <v>n</v>
      </c>
      <c r="CZ244" s="246" t="str">
        <f>IFERROR(__xludf.DUMMYFUNCTION("IF(REGEXMATCH($C244, ""N""), """",""N"")"),"")</f>
        <v/>
      </c>
      <c r="DA244" s="246" t="str">
        <f>IFERROR(__xludf.DUMMYFUNCTION("IF(REGEXMATCH($C244, ""S""), ""S"",""S"")"),"S")</f>
        <v>S</v>
      </c>
      <c r="DB244" s="362" t="str">
        <f>IFERROR(__xludf.DUMMYFUNCTION("JOIN("""",CO244:DA244,"""","""")"),"SrgdnS")</f>
        <v>SrgdnS</v>
      </c>
      <c r="DC244" s="363"/>
      <c r="DD244" s="301" t="str">
        <f t="shared" si="35"/>
        <v>#REF!</v>
      </c>
      <c r="DE244" s="302" t="str">
        <f t="shared" si="36"/>
        <v>#REF!</v>
      </c>
      <c r="DF244" s="301" t="str">
        <f t="shared" ref="DF244:DG244" si="707">SUBSTITUTE(S244,"-","")</f>
        <v>SRGM</v>
      </c>
      <c r="DG244" s="301" t="str">
        <f t="shared" si="707"/>
        <v>PDNS</v>
      </c>
      <c r="DH244" s="302" t="str">
        <f t="shared" si="38"/>
        <v>Bihag</v>
      </c>
      <c r="DI244" s="301" t="str">
        <f t="shared" si="39"/>
        <v>Hemi.</v>
      </c>
      <c r="DJ244" s="364" t="str">
        <f t="shared" si="40"/>
        <v>Co-Co.</v>
      </c>
      <c r="DK244" s="306" t="str">
        <f t="shared" si="41"/>
        <v>-</v>
      </c>
      <c r="DL244" s="366" t="str">
        <f t="shared" si="42"/>
        <v>-</v>
      </c>
      <c r="DM244" s="308" t="str">
        <f t="shared" si="43"/>
        <v>✔</v>
      </c>
      <c r="DN244" s="306" t="str">
        <f t="shared" si="44"/>
        <v>-</v>
      </c>
      <c r="DO244" s="306" t="str">
        <f t="shared" si="45"/>
        <v>-</v>
      </c>
      <c r="DP244" s="367" t="str">
        <f t="shared" si="46"/>
        <v>-</v>
      </c>
      <c r="DQ244" s="310" t="str">
        <f t="shared" si="47"/>
        <v>-</v>
      </c>
      <c r="DR244" s="310" t="str">
        <f t="shared" si="48"/>
        <v>-</v>
      </c>
      <c r="DS244" s="310" t="str">
        <f t="shared" si="49"/>
        <v>✔</v>
      </c>
      <c r="DT244" s="310" t="str">
        <f t="shared" si="50"/>
        <v>-</v>
      </c>
      <c r="DU244" s="370" t="str">
        <f t="shared" si="51"/>
        <v>-</v>
      </c>
      <c r="DV244" s="306" t="str">
        <f t="shared" si="52"/>
        <v>-</v>
      </c>
      <c r="DW244" s="306" t="str">
        <f t="shared" si="53"/>
        <v>-</v>
      </c>
      <c r="DX244" s="306" t="str">
        <f t="shared" si="54"/>
        <v>-</v>
      </c>
      <c r="DY244" s="306" t="str">
        <f t="shared" si="55"/>
        <v>-</v>
      </c>
      <c r="DZ244" s="306" t="str">
        <f t="shared" si="56"/>
        <v>-</v>
      </c>
      <c r="EA244" s="367" t="str">
        <f t="shared" si="57"/>
        <v>-</v>
      </c>
      <c r="EB244" s="310" t="str">
        <f>IFERROR(__xludf.DUMMYFUNCTION("IF(REGEXMATCH(AW244,AS244),""✔"",""-"")"),"✔")</f>
        <v>✔</v>
      </c>
      <c r="EC244" s="310" t="str">
        <f t="shared" si="58"/>
        <v>#REF!</v>
      </c>
      <c r="ED244" s="370" t="str">
        <f t="shared" si="59"/>
        <v>-</v>
      </c>
      <c r="EE244" s="340" t="str">
        <f t="shared" si="60"/>
        <v>S-R-G-mM-P-D-N-S</v>
      </c>
      <c r="EF244" s="371" t="str">
        <f>IFERROR(__xludf.DUMMYFUNCTION("CONCATENATE(JOIN("""",HC244:HO244))"),"SrgmMPdnS")</f>
        <v>SrgmMPdnS</v>
      </c>
      <c r="EG244" s="372">
        <f t="shared" si="61"/>
        <v>1</v>
      </c>
      <c r="EH244" s="373" t="str">
        <f>IFERROR(__xludf.DUMMYFUNCTION("CONCATENATE(JOIN("""",JC244:JO244))"),"Ma, ")</f>
        <v>Ma, </v>
      </c>
      <c r="EI244" s="322">
        <f t="shared" si="62"/>
        <v>0</v>
      </c>
      <c r="EJ244" s="374" t="str">
        <f>IFERROR(__xludf.DUMMYFUNCTION("CONCATENATE(JOIN("""",KC244:KO244))"),"")</f>
        <v/>
      </c>
      <c r="EK244" s="325" t="str">
        <f t="shared" si="63"/>
        <v>S-R2-G3-M1-M2-P-D2-N3-S</v>
      </c>
      <c r="EL244" s="326" t="str">
        <f t="shared" si="64"/>
        <v>1-2-3-4-#4-5-6-7-8</v>
      </c>
      <c r="EM244" s="318" t="str">
        <f t="shared" si="65"/>
        <v>#REF!</v>
      </c>
      <c r="EN244" s="328" t="str">
        <f>IFERROR(__xludf.DUMMYFUNCTION("SUBSTITUTE(SUBSTITUTE(SUBSTITUTE(SUBSTITUTE(CONCATENATE(JOIN("" "",HP244:IB244)),""  "","" ""),""  "","" ""),""  "","" ""),""  "","" "")"),"o • o • o o o o • o • o o")</f>
        <v>o • o • o o o o • o • o o</v>
      </c>
      <c r="EO244" s="368" t="str">
        <f t="shared" si="66"/>
        <v>-</v>
      </c>
      <c r="EP244" s="339" t="str">
        <f t="shared" si="67"/>
        <v>-</v>
      </c>
      <c r="EQ244" s="339" t="str">
        <f t="shared" si="68"/>
        <v>Sa-Pa</v>
      </c>
      <c r="ER244" s="339" t="str">
        <f t="shared" si="69"/>
        <v>-</v>
      </c>
      <c r="ES244" s="340" t="str">
        <f t="shared" si="70"/>
        <v>-</v>
      </c>
      <c r="ET244" s="363"/>
      <c r="EU244" s="376" t="b">
        <f>IFERROR(__xludf.DUMMYFUNCTION("arrayformula(sum(--REGEXMATCH(""SRGMPDNS"",split(REGEXREPLACE(C244,""(.)"",""$1~""),""~""))))=len(C244)
"),FALSE)</f>
        <v>0</v>
      </c>
      <c r="EV244" s="290" t="b">
        <f>IFERROR(__xludf.DUMMYFUNCTION("arrayformula(sum(--REGEXMATCH(""SRGmPDNS"",split(REGEXREPLACE(C244,""(.)"",""$1~""),""~""))))=len(C244)"),FALSE)</f>
        <v>0</v>
      </c>
      <c r="EW244" s="290" t="b">
        <f>IFERROR(__xludf.DUMMYFUNCTION("arrayformula(sum(--REGEXMATCH(""SRGmPDnS"",split(REGEXREPLACE(C244,""(.)"",""$1~""),""~""))))=len(C244)"),FALSE)</f>
        <v>0</v>
      </c>
      <c r="EX244" s="290" t="b">
        <f>IFERROR(__xludf.DUMMYFUNCTION("arrayformula(sum(--REGEXMATCH(""SRgmPDnS"",split(REGEXREPLACE(C244,""(.)"",""$1~""),""~""))))=len(C244)"),FALSE)</f>
        <v>0</v>
      </c>
      <c r="EY244" s="290" t="b">
        <f>IFERROR(__xludf.DUMMYFUNCTION("arrayformula(sum(--REGEXMATCH(""SRgmPdnS"",split(REGEXREPLACE(C244,""(.)"",""$1~""),""~""))))=len(C244)"),FALSE)</f>
        <v>0</v>
      </c>
      <c r="EZ244" s="290" t="b">
        <f>IFERROR(__xludf.DUMMYFUNCTION("arrayformula(sum(--REGEXMATCH(""SrgmPdnS"",split(REGEXREPLACE(C244,""(.)"",""$1~""),""~""))))=len(C244)"),FALSE)</f>
        <v>0</v>
      </c>
      <c r="FA244" s="290" t="b">
        <f>IFERROR(__xludf.DUMMYFUNCTION("arrayformula(sum(--REGEXMATCH(""SrGmPdNS"",split(REGEXREPLACE(C244,""(.)"",""$1~""),""~""))))=len(C244)"),FALSE)</f>
        <v>0</v>
      </c>
      <c r="FB244" s="290" t="b">
        <f>IFERROR(__xludf.DUMMYFUNCTION("arrayformula(sum(--REGEXMATCH(""SrGMPDNS"",split(REGEXREPLACE(C244,""(.)"",""$1~""),""~""))))=len(C244)"),FALSE)</f>
        <v>0</v>
      </c>
      <c r="FC244" s="290" t="b">
        <f>IFERROR(__xludf.DUMMYFUNCTION("arrayformula(sum(--REGEXMATCH(""SrGMPdNS"",split(REGEXREPLACE(C244,""(.)"",""$1~""),""~""))))=len(C244)"),FALSE)</f>
        <v>0</v>
      </c>
      <c r="FD244" s="377" t="b">
        <f>IFERROR(__xludf.DUMMYFUNCTION("arrayformula(sum(--REGEXMATCH(""SrgMPdNS"",split(REGEXREPLACE(C244,""(.)"",""$1~""),""~""))))=len(C244)"),FALSE)</f>
        <v>0</v>
      </c>
      <c r="FE244" s="269" t="str">
        <f t="shared" si="71"/>
        <v>-</v>
      </c>
      <c r="FF244" s="269" t="str">
        <f t="shared" si="72"/>
        <v>xoxxxxoxoxx</v>
      </c>
      <c r="FG244" s="271" t="str">
        <f t="shared" si="73"/>
        <v>-</v>
      </c>
      <c r="FH244" s="269" t="str">
        <f t="shared" si="74"/>
        <v>xxxxoxoxxox</v>
      </c>
      <c r="FI244" s="271" t="str">
        <f t="shared" si="75"/>
        <v>xxxoxoxxoxo</v>
      </c>
      <c r="FJ244" s="271" t="str">
        <f t="shared" si="76"/>
        <v>xxoxoxxoxox</v>
      </c>
      <c r="FK244" s="271" t="str">
        <f t="shared" si="77"/>
        <v>xoxoxxoxoxx</v>
      </c>
      <c r="FL244" s="271" t="str">
        <f t="shared" si="78"/>
        <v>-</v>
      </c>
      <c r="FM244" s="271" t="str">
        <f t="shared" si="79"/>
        <v>xoxxoxoxxxx</v>
      </c>
      <c r="FN244" s="271" t="str">
        <f t="shared" si="80"/>
        <v>-</v>
      </c>
      <c r="FO244" s="274" t="str">
        <f t="shared" si="81"/>
        <v>xxoxoxxxxox</v>
      </c>
      <c r="FP244" s="234" t="str">
        <f t="shared" si="82"/>
        <v>|</v>
      </c>
      <c r="FQ244" s="236" t="str">
        <f t="shared" si="83"/>
        <v>-</v>
      </c>
      <c r="FR244" s="237" t="str">
        <f t="shared" si="84"/>
        <v>|</v>
      </c>
      <c r="FS244" s="236" t="str">
        <f t="shared" si="85"/>
        <v>-</v>
      </c>
      <c r="FT244" s="237" t="str">
        <f t="shared" si="86"/>
        <v>|</v>
      </c>
      <c r="FU244" s="236" t="str">
        <f t="shared" si="87"/>
        <v>|</v>
      </c>
      <c r="FV244" s="237" t="str">
        <f t="shared" si="88"/>
        <v>|</v>
      </c>
      <c r="FW244" s="236" t="str">
        <f t="shared" si="89"/>
        <v>|</v>
      </c>
      <c r="FX244" s="237" t="str">
        <f t="shared" si="90"/>
        <v>-</v>
      </c>
      <c r="FY244" s="236" t="str">
        <f t="shared" si="91"/>
        <v>|</v>
      </c>
      <c r="FZ244" s="237" t="str">
        <f t="shared" si="92"/>
        <v>-</v>
      </c>
      <c r="GA244" s="236" t="str">
        <f t="shared" si="93"/>
        <v>|</v>
      </c>
      <c r="GB244" s="238" t="str">
        <f t="shared" si="94"/>
        <v>|</v>
      </c>
      <c r="GC244" s="244" t="str">
        <f>IFERROR(__xludf.DUMMYFUNCTION("IF(REGEXMATCH(C244, ""S""), ""1"","""")"),"1")</f>
        <v>1</v>
      </c>
      <c r="GD244" s="245" t="str">
        <f>IFERROR(__xludf.DUMMYFUNCTION("IF(REGEXMATCH(C244, ""r""), ""b2"","""")"),"")</f>
        <v/>
      </c>
      <c r="GE244" s="246" t="str">
        <f>IFERROR(__xludf.DUMMYFUNCTION("IF(REGEXMATCH(C244, ""R""), ""2"","""")"),"2")</f>
        <v>2</v>
      </c>
      <c r="GF244" s="246" t="str">
        <f>IFERROR(__xludf.DUMMYFUNCTION("IF(REGEXMATCH(C244, ""g""), ""b3"","""")"),"")</f>
        <v/>
      </c>
      <c r="GG244" s="245" t="str">
        <f>IFERROR(__xludf.DUMMYFUNCTION("IF(REGEXMATCH(C244, ""G""), ""3"","""")"),"3")</f>
        <v>3</v>
      </c>
      <c r="GH244" s="245" t="str">
        <f>IFERROR(__xludf.DUMMYFUNCTION("IF(REGEXMATCH(C244, ""m""), ""4"","""")"),"4")</f>
        <v>4</v>
      </c>
      <c r="GI244" s="246" t="str">
        <f>IFERROR(__xludf.DUMMYFUNCTION("IF(REGEXMATCH(C244, ""M""), ""#4"","""")"),"#4")</f>
        <v>#4</v>
      </c>
      <c r="GJ244" s="245" t="str">
        <f>IFERROR(__xludf.DUMMYFUNCTION("IF(REGEXMATCH(C244, ""P""), ""5"","""")"),"5")</f>
        <v>5</v>
      </c>
      <c r="GK244" s="246" t="str">
        <f>IFERROR(__xludf.DUMMYFUNCTION("IF(REGEXMATCH(C244, ""d""), ""b6"","""")"),"")</f>
        <v/>
      </c>
      <c r="GL244" s="245" t="str">
        <f>IFERROR(__xludf.DUMMYFUNCTION("IF(REGEXMATCH(C244, ""D""), ""6"","""")"),"6")</f>
        <v>6</v>
      </c>
      <c r="GM244" s="245" t="str">
        <f>IFERROR(__xludf.DUMMYFUNCTION("IF(REGEXMATCH(C244, ""n""), ""b7"","""")"),"")</f>
        <v/>
      </c>
      <c r="GN244" s="246" t="str">
        <f>IFERROR(__xludf.DUMMYFUNCTION("IF(REGEXMATCH(C244, ""N""), ""7"","""")"),"7")</f>
        <v>7</v>
      </c>
      <c r="GO244" s="249" t="str">
        <f>IFERROR(__xludf.DUMMYFUNCTION("IF(REGEXMATCH(C244, ""S""), ""8"","""")"),"8")</f>
        <v>8</v>
      </c>
      <c r="GP244" s="244" t="str">
        <f>IFERROR(__xludf.DUMMYFUNCTION("IF(REGEXMATCH(C244, ""S""), ""S"","""")"),"S")</f>
        <v>S</v>
      </c>
      <c r="GQ244" s="294" t="str">
        <f>IFERROR(__xludf.DUMMYFUNCTION("IF(REGEXMATCH(C244, ""r""), ""R1"","""")"),"")</f>
        <v/>
      </c>
      <c r="GR244" s="295" t="str">
        <f>IFERROR(__xludf.DUMMYFUNCTION("IF(REGEXMATCH(C244, ""R""), ""R2"","""")"),"R2")</f>
        <v>R2</v>
      </c>
      <c r="GS244" s="295" t="str">
        <f>IFERROR(__xludf.DUMMYFUNCTION("IF(REGEXMATCH(C244, ""g""), ""G2"","""")"),"")</f>
        <v/>
      </c>
      <c r="GT244" s="294" t="str">
        <f>IFERROR(__xludf.DUMMYFUNCTION("IF(REGEXMATCH(C244, ""G""), ""G3"","""")"),"G3")</f>
        <v>G3</v>
      </c>
      <c r="GU244" s="294" t="str">
        <f>IFERROR(__xludf.DUMMYFUNCTION("IF(REGEXMATCH(C244, ""m""), ""M1"","""")"),"M1")</f>
        <v>M1</v>
      </c>
      <c r="GV244" s="295" t="str">
        <f>IFERROR(__xludf.DUMMYFUNCTION("IF(REGEXMATCH(C244, ""M""), ""M2"","""")"),"M2")</f>
        <v>M2</v>
      </c>
      <c r="GW244" s="294" t="str">
        <f>IFERROR(__xludf.DUMMYFUNCTION("IF(REGEXMATCH(C244, ""P""), ""P"","""")"),"P")</f>
        <v>P</v>
      </c>
      <c r="GX244" s="295" t="str">
        <f>IFERROR(__xludf.DUMMYFUNCTION("IF(REGEXMATCH(C244, ""d""), ""D1"","""")"),"")</f>
        <v/>
      </c>
      <c r="GY244" s="294" t="str">
        <f>IFERROR(__xludf.DUMMYFUNCTION("IF(REGEXMATCH(C244, ""D""), ""D2"","""")"),"D2")</f>
        <v>D2</v>
      </c>
      <c r="GZ244" s="294" t="str">
        <f>IFERROR(__xludf.DUMMYFUNCTION("IF(REGEXMATCH(C244, ""n""), ""N2"","""")"),"")</f>
        <v/>
      </c>
      <c r="HA244" s="295" t="str">
        <f>IFERROR(__xludf.DUMMYFUNCTION("IF(REGEXMATCH(C244, ""N""), ""N3"","""")"),"N3")</f>
        <v>N3</v>
      </c>
      <c r="HB244" s="249" t="str">
        <f>IFERROR(__xludf.DUMMYFUNCTION("IF(REGEXMATCH(C244, ""S""), ""S"","""")"),"S")</f>
        <v>S</v>
      </c>
      <c r="HC244" s="331" t="str">
        <f t="shared" si="95"/>
        <v>S</v>
      </c>
      <c r="HD244" s="332" t="str">
        <f t="shared" si="96"/>
        <v>r</v>
      </c>
      <c r="HE244" s="332" t="str">
        <f t="shared" si="97"/>
        <v/>
      </c>
      <c r="HF244" s="332" t="str">
        <f t="shared" si="98"/>
        <v>g</v>
      </c>
      <c r="HG244" s="332" t="str">
        <f t="shared" si="99"/>
        <v/>
      </c>
      <c r="HH244" s="332" t="str">
        <f t="shared" si="100"/>
        <v>m</v>
      </c>
      <c r="HI244" s="332" t="str">
        <f t="shared" si="101"/>
        <v>M</v>
      </c>
      <c r="HJ244" s="332" t="str">
        <f t="shared" si="102"/>
        <v>P</v>
      </c>
      <c r="HK244" s="332" t="str">
        <f t="shared" si="103"/>
        <v>d</v>
      </c>
      <c r="HL244" s="332" t="str">
        <f t="shared" si="104"/>
        <v/>
      </c>
      <c r="HM244" s="332" t="str">
        <f t="shared" si="105"/>
        <v>n</v>
      </c>
      <c r="HN244" s="332" t="str">
        <f t="shared" si="106"/>
        <v/>
      </c>
      <c r="HO244" s="343" t="str">
        <f t="shared" si="107"/>
        <v>S</v>
      </c>
      <c r="HP244" s="331" t="str">
        <f t="shared" si="108"/>
        <v>o</v>
      </c>
      <c r="HQ244" s="332" t="str">
        <f t="shared" si="109"/>
        <v>•</v>
      </c>
      <c r="HR244" s="332" t="str">
        <f t="shared" si="110"/>
        <v>o</v>
      </c>
      <c r="HS244" s="332" t="str">
        <f t="shared" si="111"/>
        <v>•</v>
      </c>
      <c r="HT244" s="332" t="str">
        <f t="shared" si="112"/>
        <v>o</v>
      </c>
      <c r="HU244" s="332" t="str">
        <f t="shared" si="113"/>
        <v>o</v>
      </c>
      <c r="HV244" s="332" t="str">
        <f t="shared" si="114"/>
        <v>o</v>
      </c>
      <c r="HW244" s="332" t="str">
        <f t="shared" si="115"/>
        <v>o</v>
      </c>
      <c r="HX244" s="332" t="str">
        <f t="shared" si="116"/>
        <v>•</v>
      </c>
      <c r="HY244" s="332" t="str">
        <f t="shared" si="117"/>
        <v>o</v>
      </c>
      <c r="HZ244" s="332" t="str">
        <f t="shared" si="118"/>
        <v>•</v>
      </c>
      <c r="IA244" s="332" t="str">
        <f t="shared" si="119"/>
        <v>o</v>
      </c>
      <c r="IB244" s="338" t="str">
        <f t="shared" si="120"/>
        <v>o</v>
      </c>
      <c r="IC244" s="331" t="str">
        <f t="shared" si="121"/>
        <v>•</v>
      </c>
      <c r="ID244" s="332" t="str">
        <f t="shared" si="122"/>
        <v>o</v>
      </c>
      <c r="IE244" s="332" t="str">
        <f t="shared" si="123"/>
        <v>•</v>
      </c>
      <c r="IF244" s="332" t="str">
        <f t="shared" si="124"/>
        <v>o</v>
      </c>
      <c r="IG244" s="332" t="str">
        <f t="shared" si="125"/>
        <v>•</v>
      </c>
      <c r="IH244" s="332" t="str">
        <f t="shared" si="126"/>
        <v>•</v>
      </c>
      <c r="II244" s="332" t="str">
        <f t="shared" si="127"/>
        <v>•</v>
      </c>
      <c r="IJ244" s="332" t="str">
        <f t="shared" si="128"/>
        <v>•</v>
      </c>
      <c r="IK244" s="332" t="str">
        <f t="shared" si="129"/>
        <v>o</v>
      </c>
      <c r="IL244" s="332" t="str">
        <f t="shared" si="130"/>
        <v>•</v>
      </c>
      <c r="IM244" s="332" t="str">
        <f t="shared" si="131"/>
        <v>o</v>
      </c>
      <c r="IN244" s="332" t="str">
        <f t="shared" si="132"/>
        <v>•</v>
      </c>
      <c r="IO244" s="338" t="str">
        <f t="shared" si="133"/>
        <v>•</v>
      </c>
      <c r="IP244" s="346" t="b">
        <f t="shared" si="134"/>
        <v>0</v>
      </c>
      <c r="IQ244" s="347" t="b">
        <f t="shared" si="135"/>
        <v>0</v>
      </c>
      <c r="IR244" s="347" t="b">
        <f t="shared" si="136"/>
        <v>0</v>
      </c>
      <c r="IS244" s="347" t="b">
        <f t="shared" si="137"/>
        <v>0</v>
      </c>
      <c r="IT244" s="347" t="b">
        <f t="shared" si="138"/>
        <v>0</v>
      </c>
      <c r="IU244" s="347" t="b">
        <f t="shared" si="139"/>
        <v>0</v>
      </c>
      <c r="IV244" s="347" t="b">
        <f t="shared" si="140"/>
        <v>1</v>
      </c>
      <c r="IW244" s="347" t="b">
        <f t="shared" si="141"/>
        <v>0</v>
      </c>
      <c r="IX244" s="347" t="b">
        <f t="shared" si="142"/>
        <v>0</v>
      </c>
      <c r="IY244" s="347" t="b">
        <f t="shared" si="143"/>
        <v>0</v>
      </c>
      <c r="IZ244" s="347" t="b">
        <f t="shared" si="144"/>
        <v>0</v>
      </c>
      <c r="JA244" s="347" t="b">
        <f t="shared" si="145"/>
        <v>0</v>
      </c>
      <c r="JB244" s="353" t="b">
        <f t="shared" si="146"/>
        <v>0</v>
      </c>
      <c r="JC244" s="354" t="str">
        <f t="shared" si="147"/>
        <v/>
      </c>
      <c r="JD244" s="355" t="str">
        <f t="shared" si="148"/>
        <v/>
      </c>
      <c r="JE244" s="355" t="str">
        <f t="shared" si="149"/>
        <v/>
      </c>
      <c r="JF244" s="355" t="str">
        <f t="shared" si="150"/>
        <v/>
      </c>
      <c r="JG244" s="355" t="str">
        <f t="shared" si="151"/>
        <v/>
      </c>
      <c r="JH244" s="355" t="str">
        <f t="shared" si="152"/>
        <v/>
      </c>
      <c r="JI244" s="355" t="str">
        <f t="shared" si="153"/>
        <v>Ma, </v>
      </c>
      <c r="JJ244" s="355" t="str">
        <f t="shared" si="154"/>
        <v/>
      </c>
      <c r="JK244" s="355" t="str">
        <f t="shared" si="155"/>
        <v/>
      </c>
      <c r="JL244" s="355" t="str">
        <f t="shared" si="156"/>
        <v/>
      </c>
      <c r="JM244" s="355" t="str">
        <f t="shared" si="157"/>
        <v/>
      </c>
      <c r="JN244" s="355" t="str">
        <f t="shared" si="158"/>
        <v/>
      </c>
      <c r="JO244" s="359" t="str">
        <f t="shared" si="159"/>
        <v/>
      </c>
      <c r="JP244" s="346" t="b">
        <f t="shared" si="160"/>
        <v>0</v>
      </c>
      <c r="JQ244" s="347" t="b">
        <f t="shared" si="161"/>
        <v>0</v>
      </c>
      <c r="JR244" s="347" t="b">
        <f t="shared" si="162"/>
        <v>0</v>
      </c>
      <c r="JS244" s="347" t="b">
        <f t="shared" si="163"/>
        <v>0</v>
      </c>
      <c r="JT244" s="347" t="b">
        <f t="shared" si="164"/>
        <v>0</v>
      </c>
      <c r="JU244" s="347" t="b">
        <f t="shared" si="165"/>
        <v>0</v>
      </c>
      <c r="JV244" s="347" t="b">
        <f t="shared" si="166"/>
        <v>0</v>
      </c>
      <c r="JW244" s="347" t="b">
        <f t="shared" si="167"/>
        <v>0</v>
      </c>
      <c r="JX244" s="347" t="b">
        <f t="shared" si="168"/>
        <v>0</v>
      </c>
      <c r="JY244" s="347" t="b">
        <f t="shared" si="169"/>
        <v>0</v>
      </c>
      <c r="JZ244" s="347" t="b">
        <f t="shared" si="170"/>
        <v>0</v>
      </c>
      <c r="KA244" s="347" t="b">
        <f t="shared" si="171"/>
        <v>0</v>
      </c>
      <c r="KB244" s="365" t="b">
        <f t="shared" si="172"/>
        <v>0</v>
      </c>
      <c r="KC244" s="354" t="str">
        <f t="shared" si="173"/>
        <v/>
      </c>
      <c r="KD244" s="355" t="str">
        <f t="shared" si="174"/>
        <v/>
      </c>
      <c r="KE244" s="355" t="str">
        <f t="shared" si="175"/>
        <v/>
      </c>
      <c r="KF244" s="355" t="str">
        <f t="shared" si="176"/>
        <v/>
      </c>
      <c r="KG244" s="355" t="str">
        <f t="shared" si="177"/>
        <v/>
      </c>
      <c r="KH244" s="355" t="str">
        <f t="shared" si="178"/>
        <v/>
      </c>
      <c r="KI244" s="355" t="str">
        <f t="shared" si="179"/>
        <v/>
      </c>
      <c r="KJ244" s="355" t="str">
        <f t="shared" si="180"/>
        <v/>
      </c>
      <c r="KK244" s="355" t="str">
        <f t="shared" si="181"/>
        <v/>
      </c>
      <c r="KL244" s="355" t="str">
        <f t="shared" si="182"/>
        <v/>
      </c>
      <c r="KM244" s="355" t="str">
        <f t="shared" si="183"/>
        <v/>
      </c>
      <c r="KN244" s="355" t="str">
        <f t="shared" si="184"/>
        <v/>
      </c>
      <c r="KO244" s="359"/>
      <c r="KP244" s="378"/>
      <c r="KQ244" s="379" t="s">
        <v>554</v>
      </c>
      <c r="KR244" s="380" t="s">
        <v>1353</v>
      </c>
      <c r="KS244" s="381" t="str">
        <f t="shared" ref="KS244:KS246" si="710">KQ244</f>
        <v>S-R-G-m-P-D-N-S</v>
      </c>
      <c r="KT244" s="382">
        <f t="shared" si="186"/>
        <v>7</v>
      </c>
      <c r="KU244" s="383">
        <f t="shared" si="187"/>
        <v>7</v>
      </c>
      <c r="KV244" s="381" t="str">
        <f t="shared" si="205"/>
        <v>S-N-D-P-Mm-G-R-S</v>
      </c>
      <c r="KW244" s="382">
        <f t="shared" si="189"/>
        <v>7</v>
      </c>
      <c r="KX244" s="384">
        <f t="shared" si="190"/>
        <v>8</v>
      </c>
      <c r="KY244" s="382">
        <f t="shared" ref="KY244:KZ244" si="708">KW244-KT244</f>
        <v>0</v>
      </c>
      <c r="KZ244" s="369">
        <f t="shared" si="708"/>
        <v>1</v>
      </c>
      <c r="LA244" s="385" t="str">
        <f t="shared" si="192"/>
        <v>-</v>
      </c>
      <c r="LB244" s="340" t="str">
        <f>IFERROR(__xludf.DUMMYFUNCTION("JOIN("""",ArrayFormula(MID(KS244,LEN(KS244)-SEQUENCE(1,LEN(KS244))+1,1)))"),"S-N-D-P-m-G-R-S")</f>
        <v>S-N-D-P-m-G-R-S</v>
      </c>
      <c r="LC244" s="373" t="str">
        <f>IFERROR(__xludf.DUMMYFUNCTION("JOIN("""",ArrayFormula(MID(KV244,LEN(KV244)-SEQUENCE(1,LEN(KV244))+1,1)))"),"S-R-G-mM-P-D-N-S")</f>
        <v>S-R-G-mM-P-D-N-S</v>
      </c>
      <c r="LD244" s="373" t="str">
        <f t="shared" si="193"/>
        <v>SRGmPDNS</v>
      </c>
      <c r="LE244" s="339" t="str">
        <f t="shared" si="194"/>
        <v>SRGmMPDNS</v>
      </c>
      <c r="LF244" s="386" t="str">
        <f>IFERROR(__xludf.DUMMYFUNCTION("SUBSTITUTE(SUBSTITUTE(CONCATENATE(JOIN("""",LH244:LT244)),""1"",""""),""2"","""")"),"SRGmMPDNS")</f>
        <v>SRGmMPDNS</v>
      </c>
      <c r="LG244" s="369" t="str">
        <f t="shared" si="195"/>
        <v>✔</v>
      </c>
      <c r="LH244" s="387" t="str">
        <f>IFERROR(__xludf.DUMMYFUNCTION("IF(REGEXMATCH(LD244, ""S""), ""S"",IF(REGEXMATCH(LE244, ""S""), ""S"",""""))"),"S")</f>
        <v>S</v>
      </c>
      <c r="LI244" s="299" t="str">
        <f>IFERROR(__xludf.DUMMYFUNCTION("IF(REGEXMATCH(LD244, ""r""), ""r1"",IF(REGEXMATCH(LE244, ""r""), ""r2"",""""))"),"")</f>
        <v/>
      </c>
      <c r="LJ244" s="299" t="str">
        <f>IFERROR(__xludf.DUMMYFUNCTION("IF(REGEXMATCH(LD244, ""R""), ""R1"",IF(REGEXMATCH(LE244, ""R""), ""R2"",""""))"),"R1")</f>
        <v>R1</v>
      </c>
      <c r="LK244" s="299" t="str">
        <f>IFERROR(__xludf.DUMMYFUNCTION("IF(REGEXMATCH(LD244, ""g""), ""g1"",IF(REGEXMATCH(LE244, ""g""), ""g2"",""""))"),"")</f>
        <v/>
      </c>
      <c r="LL244" s="299" t="str">
        <f>IFERROR(__xludf.DUMMYFUNCTION("IF(REGEXMATCH(LD244, ""G""), ""G1"",IF(REGEXMATCH(LE244, ""G""), ""G2"",""""))"),"G1")</f>
        <v>G1</v>
      </c>
      <c r="LM244" s="299" t="str">
        <f>IFERROR(__xludf.DUMMYFUNCTION("IF(REGEXMATCH(LD244, ""m""), ""m1"",IF(REGEXMATCH(LE244, ""m""), ""m2"",""""))"),"m1")</f>
        <v>m1</v>
      </c>
      <c r="LN244" s="299" t="str">
        <f>IFERROR(__xludf.DUMMYFUNCTION("IF(REGEXMATCH(LD244, ""M""), ""M1"",IF(REGEXMATCH(LE244, ""M""), ""M2"",""""))"),"M2")</f>
        <v>M2</v>
      </c>
      <c r="LO244" s="299" t="str">
        <f>IFERROR(__xludf.DUMMYFUNCTION("IF(REGEXMATCH(LD244, ""P""), ""P1"",IF(REGEXMATCH(LE244, ""P""), ""P2"",""""))"),"P1")</f>
        <v>P1</v>
      </c>
      <c r="LP244" s="299" t="str">
        <f>IFERROR(__xludf.DUMMYFUNCTION("IF(REGEXMATCH(LD244, ""d""), ""d1"",IF(REGEXMATCH(LE244, ""d""), ""d2"",""""))"),"")</f>
        <v/>
      </c>
      <c r="LQ244" s="299" t="str">
        <f>IFERROR(__xludf.DUMMYFUNCTION("IF(REGEXMATCH(LD244, ""D""), ""D1"",IF(REGEXMATCH(LE244, ""D""), ""D2"",""""))"),"D1")</f>
        <v>D1</v>
      </c>
      <c r="LR244" s="299" t="str">
        <f>IFERROR(__xludf.DUMMYFUNCTION("IF(REGEXMATCH(LD244, ""n""), ""n1"",IF(REGEXMATCH(LE244, ""n""), ""n2"",""""))"),"")</f>
        <v/>
      </c>
      <c r="LS244" s="299" t="str">
        <f>IFERROR(__xludf.DUMMYFUNCTION("IF(REGEXMATCH(LD244, ""N""), ""N1"",IF(REGEXMATCH(LE244, ""N""), ""N2"",""""))"),"N1")</f>
        <v>N1</v>
      </c>
      <c r="LT244" s="388" t="str">
        <f>IFERROR(__xludf.DUMMYFUNCTION("IF(REGEXMATCH(LD244, ""S""), ""S"",IF(REGEXMATCH(LE244, ""S""), ""S"",""""))"),"S")</f>
        <v>S</v>
      </c>
      <c r="LU244" s="389">
        <f t="shared" si="196"/>
        <v>0</v>
      </c>
      <c r="LV244" s="378"/>
      <c r="LW244" s="369"/>
      <c r="LX244" s="369"/>
    </row>
    <row r="245" ht="18.0" customHeight="1">
      <c r="A245" s="298" t="s">
        <v>488</v>
      </c>
      <c r="B245" s="222" t="s">
        <v>489</v>
      </c>
      <c r="C245" s="233" t="str">
        <f t="shared" si="7"/>
        <v>SgGmPdnS</v>
      </c>
      <c r="D245" s="234" t="str">
        <f>IFERROR(__xludf.DUMMYFUNCTION("IF(REGEXMATCH(C245, ""S""), ""S"","""")"),"S")</f>
        <v>S</v>
      </c>
      <c r="E245" s="236" t="str">
        <f>IFERROR(__xludf.DUMMYFUNCTION("IF(REGEXMATCH(C245, ""r""), ""r"","""")"),"")</f>
        <v/>
      </c>
      <c r="F245" s="237" t="str">
        <f>IFERROR(__xludf.DUMMYFUNCTION("IF(REGEXMATCH(C245, ""R""), ""R"","""")"),"")</f>
        <v/>
      </c>
      <c r="G245" s="237" t="str">
        <f>IFERROR(__xludf.DUMMYFUNCTION("IF(REGEXMATCH(C245, ""g""), ""g"","""")"),"g")</f>
        <v>g</v>
      </c>
      <c r="H245" s="236" t="str">
        <f>IFERROR(__xludf.DUMMYFUNCTION("IF(REGEXMATCH(C245, ""G""), ""G"","""")"),"G")</f>
        <v>G</v>
      </c>
      <c r="I245" s="236" t="str">
        <f>IFERROR(__xludf.DUMMYFUNCTION("IF(REGEXMATCH(C245, ""m""), ""m"","""")"),"m")</f>
        <v>m</v>
      </c>
      <c r="J245" s="237" t="str">
        <f>IFERROR(__xludf.DUMMYFUNCTION("IF(REGEXMATCH(C245, ""M""), ""M"","""")"),"")</f>
        <v/>
      </c>
      <c r="K245" s="236" t="str">
        <f>IFERROR(__xludf.DUMMYFUNCTION("IF(REGEXMATCH(C245, ""P""), ""P"","""")"),"P")</f>
        <v>P</v>
      </c>
      <c r="L245" s="237" t="str">
        <f>IFERROR(__xludf.DUMMYFUNCTION("IF(REGEXMATCH(C245, ""d""), ""d"","""")"),"d")</f>
        <v>d</v>
      </c>
      <c r="M245" s="236" t="str">
        <f>IFERROR(__xludf.DUMMYFUNCTION("IF(REGEXMATCH(C245, ""D""), ""D"","""")"),"")</f>
        <v/>
      </c>
      <c r="N245" s="236" t="str">
        <f>IFERROR(__xludf.DUMMYFUNCTION("IF(REGEXMATCH(C245, ""n""), ""n"","""")"),"n")</f>
        <v>n</v>
      </c>
      <c r="O245" s="237" t="str">
        <f>IFERROR(__xludf.DUMMYFUNCTION("IF(REGEXMATCH(C245, ""N""), ""N"","""")"),"")</f>
        <v/>
      </c>
      <c r="P245" s="238" t="str">
        <f>IFERROR(__xludf.DUMMYFUNCTION("IF(REGEXMATCH(C245, ""S""), ""S"","""")"),"S")</f>
        <v>S</v>
      </c>
      <c r="Q245" s="239" t="str">
        <f>IFERROR(__xludf.DUMMYFUNCTION("SUBSTITUTE(CONCATENATE(JOIN(""-"",D245:J245)),""-"","""")"),"SgGm")</f>
        <v>SgGm</v>
      </c>
      <c r="R245" s="229" t="str">
        <f>IFERROR(__xludf.DUMMYFUNCTION("SUBSTITUTE(CONCATENATE(JOIN(""-"",K245:P245)),""-"","""")"),"PdnS")</f>
        <v>PdnS</v>
      </c>
      <c r="S245" s="282" t="str">
        <f t="shared" si="8"/>
        <v>S-G-M</v>
      </c>
      <c r="T245" s="282" t="str">
        <f t="shared" si="9"/>
        <v>P-D-N-S</v>
      </c>
      <c r="U245" s="237" t="str">
        <f>IFERROR(__xludf.DUMMYFUNCTION("SUBSTITUTE(JOIN(""-"",S245,T245),""--"",""-"")"),"S-G-M-P-D-N-S")</f>
        <v>S-G-M-P-D-N-S</v>
      </c>
      <c r="V245" s="309" t="str">
        <f t="shared" si="10"/>
        <v>gGmdn</v>
      </c>
      <c r="W245" s="244" t="str">
        <f>IFERROR(__xludf.DUMMYFUNCTION("IF(REGEXMATCH(C245, ""S""), ""0"","""")"),"0")</f>
        <v>0</v>
      </c>
      <c r="X245" s="245" t="str">
        <f>IFERROR(__xludf.DUMMYFUNCTION("IF(REGEXMATCH(C245, ""r""), ""1"","""")"),"")</f>
        <v/>
      </c>
      <c r="Y245" s="246" t="str">
        <f>IFERROR(__xludf.DUMMYFUNCTION("IF(REGEXMATCH(C245, ""R""), ""2"","""")"),"")</f>
        <v/>
      </c>
      <c r="Z245" s="246" t="str">
        <f>IFERROR(__xludf.DUMMYFUNCTION("IF(REGEXMATCH(C245, ""g""), ""3"","""")"),"3")</f>
        <v>3</v>
      </c>
      <c r="AA245" s="245" t="str">
        <f>IFERROR(__xludf.DUMMYFUNCTION("IF(REGEXMATCH(C245, ""G""), ""4"","""")"),"4")</f>
        <v>4</v>
      </c>
      <c r="AB245" s="245" t="str">
        <f>IFERROR(__xludf.DUMMYFUNCTION("IF(REGEXMATCH(C245, ""m""), ""5"","""")"),"5")</f>
        <v>5</v>
      </c>
      <c r="AC245" s="246" t="str">
        <f>IFERROR(__xludf.DUMMYFUNCTION("IF(REGEXMATCH(C245, ""M""), ""6"","""")"),"")</f>
        <v/>
      </c>
      <c r="AD245" s="245" t="str">
        <f>IFERROR(__xludf.DUMMYFUNCTION("IF(REGEXMATCH(C245, ""P""), ""7"","""")"),"7")</f>
        <v>7</v>
      </c>
      <c r="AE245" s="246" t="str">
        <f>IFERROR(__xludf.DUMMYFUNCTION("IF(REGEXMATCH(C245, ""d""), ""8"","""")"),"8")</f>
        <v>8</v>
      </c>
      <c r="AF245" s="245" t="str">
        <f>IFERROR(__xludf.DUMMYFUNCTION("IF(REGEXMATCH(C245, ""D""), ""9"","""")"),"")</f>
        <v/>
      </c>
      <c r="AG245" s="245" t="str">
        <f>IFERROR(__xludf.DUMMYFUNCTION("IF(REGEXMATCH(C245, ""n""), ""10"","""")"),"10")</f>
        <v>10</v>
      </c>
      <c r="AH245" s="246" t="str">
        <f>IFERROR(__xludf.DUMMYFUNCTION("IF(REGEXMATCH(C245, ""N""), ""11"","""")"),"")</f>
        <v/>
      </c>
      <c r="AI245" s="249" t="str">
        <f>IFERROR(__xludf.DUMMYFUNCTION("IF(REGEXMATCH(C245, ""S""), ""0"","""")"),"0")</f>
        <v>0</v>
      </c>
      <c r="AJ245" s="313" t="str">
        <f t="shared" si="11"/>
        <v>-</v>
      </c>
      <c r="AK245" s="313" t="str">
        <f t="shared" si="12"/>
        <v>-</v>
      </c>
      <c r="AL245" s="313" t="str">
        <f t="shared" si="13"/>
        <v>-</v>
      </c>
      <c r="AM245" s="313" t="str">
        <f t="shared" si="14"/>
        <v>-</v>
      </c>
      <c r="AN245" s="313" t="str">
        <f t="shared" si="15"/>
        <v>T</v>
      </c>
      <c r="AO245" s="314" t="str">
        <f t="shared" si="16"/>
        <v>-</v>
      </c>
      <c r="AP245" s="316">
        <f t="shared" si="17"/>
        <v>1</v>
      </c>
      <c r="AQ245" s="319" t="str">
        <f t="shared" si="18"/>
        <v>#REF!</v>
      </c>
      <c r="AR245" s="320">
        <f t="shared" si="19"/>
        <v>0</v>
      </c>
      <c r="AS245" s="250" t="str">
        <f>IFERROR(__xludf.DUMMYFUNCTION("SUBSTITUTE(SUBSTITUTE(CONCATENATE(JOIN("""",FP245:GA245)),""|"",""x""),""-"",""o"")"),"xooxxxoxxoxo")</f>
        <v>xooxxxoxxoxo</v>
      </c>
      <c r="AT245" s="323" t="str">
        <f>IFERROR(__xludf.DUMMYFUNCTION("JOIN("""",AS245,AS245)"),"xooxxxoxxoxoxooxxxoxxoxo")</f>
        <v>xooxxxoxxoxoxooxxxoxxoxo</v>
      </c>
      <c r="AU245" s="256" t="str">
        <f>IFERROR(__xludf.DUMMYFUNCTION("JOIN("""",ArrayFormula(MID(AS245,LEN(AS245)-SEQUENCE(1,LEN(AS245))+1,1)))"),"oxoxxoxxxoox")</f>
        <v>oxoxxoxxxoox</v>
      </c>
      <c r="AV245" s="256" t="str">
        <f>IFERROR(__xludf.DUMMYFUNCTION("LEFT(CONCATENATE(""x"",JOIN("""",ArrayFormula(MID(AS245,LEN(AS245)-SEQUENCE(1,LEN(AS245))+1,1)))),12)"),"xoxoxxoxxxoo")</f>
        <v>xoxoxxoxxxoo</v>
      </c>
      <c r="AW245" s="327" t="str">
        <f>IFERROR(__xludf.DUMMYFUNCTION("JOIN("""",AU245,AU245)"),"oxoxxoxxxooxoxoxxoxxxoox")</f>
        <v>oxoxxoxxxooxoxoxxoxxxoox</v>
      </c>
      <c r="AX245" s="239" t="str">
        <f>IFERROR(__xludf.DUMMYFUNCTION("IF(REGEXMATCH(AW245,AS245),""✔"",""-"")"),"-")</f>
        <v>-</v>
      </c>
      <c r="AY245" s="330" t="str">
        <f t="shared" si="20"/>
        <v>-</v>
      </c>
      <c r="AZ245" s="260" t="str">
        <f t="shared" si="21"/>
        <v>#REF!</v>
      </c>
      <c r="BA245" s="333" t="str">
        <f t="shared" si="22"/>
        <v>xooxxxo</v>
      </c>
      <c r="BB245" s="334" t="str">
        <f t="shared" si="23"/>
        <v>xxoxox</v>
      </c>
      <c r="BC245" s="335" t="str">
        <f t="shared" si="236"/>
        <v>-</v>
      </c>
      <c r="BD245" s="336" t="str">
        <f t="shared" si="25"/>
        <v>Nandkauns: 'xooxxxo' + 'xxoxox'</v>
      </c>
      <c r="BE245" s="337">
        <f>IFERROR(__xludf.DUMMYFUNCTION("COUNTUNIQUE(FILTER(AT:AT,REGEXMATCH(AT:AT,AS245)))-1"),1.0)</f>
        <v>1</v>
      </c>
      <c r="BF245" s="261" t="str">
        <f>IFERROR(__xludf.DUMMYFUNCTION("IF(BI245=0,""(n/a)"",IF(BJ245=2,""(PAIR)"",IF(REGEXMATCH(AT245,""xoxoxxoxoxox""),""Bilawal"",IF(REGEXMATCH(AT245,""xoxoxooxoxoo""),""Bhupali"",IF(REGEXMATCH(AT245,""xoxoxxoxxoxo""),""Charukeshi"",IF(REGEXMATCH(AT245,""xoxoooxxoxxo""),""Kameshwari"",IF(REG"&amp;"EXMATCH(AT245,""xoxoxooxoxox""),""Shankara"",IF(REGEXMATCH(AT245,""xxooxoxxxoox""),""Basant"",IF(REGEXMATCH(AT245,""xoxoxxxxoxox""),""Bihag"",IF(REGEXMATCH(AT245,""xoxxxxoxoxxx""),""Pilu"",IF(REGEXMATCH(AT245,""xoxxoxoxxoox""),""Kirwani"",IF(REGEXMATCH(AT"&amp;"245,""xoxxoxoxoxxx""),""Mk.Malhar"",IF(REGEXMATCH(AT245,""xxooxxoxxoox""),""Bhairav"",IF(REGEXMATCH(AT245,""xxoxooxxxoox""),""Todi"",IF(REGEXMATCH(AT245,""xxooxoxooxox""),""Marwa"",IF(REGEXMATCH(AT245,""xxoooxoxxooo""),""Gunkali"",IF(REGEXMATCH(AT245,""xo"&amp;"xoxxoxxoox""),""Nat Bhairav"",IF(REGEXMATCH(AT245,""xoxxoooxoxoo""),""Shivranjani"",IF(REGEXMATCH(AT245,""xooxxxoxooxo""),""Jog"",IF(REGEXMATCH(AT245,""xxooxoxoxoox""),""Hemshri"",IF(REGEXMATCH(AT245,""xoooxooxoxxo""),""Kalavati"",IF(REGEXMATCH(AT245,""xx"&amp;"oxoxxoxoox""),""Kedar"",IF(REGEXMATCH(AT245,""xoxxxxoxooxx""),""Gara"",IF(REGEXMATCH(AT245,""xooxoxooxoox""),""Chandrakauns"",IF(REGEXMATCH(AT245,""xoxxxxoxxxox""),""Mand"",IF(REGEXMATCH(AT245,""xoxxxxoxoxox""),""Hanskinkini"",IF(REGEXMATCH(AT245,""xxooxx"&amp;"oxooxo""),""Lilavati"",IF(REGEXMATCH(AT245,""xooxoxoooxox""),""Rajeshwari"",IF(REGEXMATCH(AT245,""xoooxxoxoxxx""),""Khokar"",IF(REGEXMATCH(AT245,""xxooxoxxxxox""),""Maligoura"",""-""))))))))))))))))))))))))))))))"),"-")</f>
        <v>-</v>
      </c>
      <c r="BG245" s="239" t="str">
        <f t="shared" si="26"/>
        <v>#REF!</v>
      </c>
      <c r="BH245" s="239">
        <f>IFERROR(__xludf.DUMMYFUNCTION("COUNTUNIQUE(FE245:FO245)-1"),6.0)</f>
        <v>6</v>
      </c>
      <c r="BI245" s="239">
        <f>IFERROR(__xludf.DUMMYFUNCTION("COUNTUNIQUE(FILTER(AT:AT,REGEXMATCH(AT:AT,AS245)))-1"),1.0)</f>
        <v>1</v>
      </c>
      <c r="BJ245" s="239">
        <f>IFERROR(__xludf.DUMMYFUNCTION("COUNTA(FILTER(AT:AT,REGEXMATCH(AT:AT,AS245)))"),3.0)</f>
        <v>3</v>
      </c>
      <c r="BK245" s="341">
        <f>IFERROR(__xludf.DUMMYFUNCTION("COUNTA(FILTER(AT:AT,REGEXMATCH(AT:AT,AS245)))-AR245"),3.0)</f>
        <v>3</v>
      </c>
      <c r="BL245" s="276" t="str">
        <f>IFERROR(__xludf.DUMMYFUNCTION("IF(AS245=""oooooooooooo"",""-"",IF(REGEXMATCH(AT245,""xx""), ""Hemi."", ""Anhemi.""))"),"Hemi.")</f>
        <v>Hemi.</v>
      </c>
      <c r="BM245" s="282" t="str">
        <f>IFERROR(__xludf.DUMMYFUNCTION("IF(AS245=""oooooooooooo"",""-"",IF(REGEXMATCH(AT245,""xxx""), ""Cohem."", ""-""))"),"Cohem.")</f>
        <v>Cohem.</v>
      </c>
      <c r="BN245" s="282" t="str">
        <f>IFERROR(__xludf.DUMMYFUNCTION("IF(AS245=""oooooooooooo"",""-"",IF(REGEXMATCH(AT245,""xxxx""), ""Co-Co."", ""-""))"),"-")</f>
        <v>-</v>
      </c>
      <c r="BO245" s="342" t="str">
        <f>IFERROR(__xludf.DUMMYFUNCTION("IF(AS245=""oooooooooooo"",""-"",IF(REGEXMATCH(AT245,""xxxxx""), ""CCC."", ""-""))"),"-")</f>
        <v>-</v>
      </c>
      <c r="BP245" s="344" t="str">
        <f t="shared" si="27"/>
        <v>-</v>
      </c>
      <c r="BQ245" s="282" t="str">
        <f>IFERROR(__xludf.DUMMYFUNCTION("IF(REGEXMATCH(JOIN(""-"",EU245:FD245),""TRUE""),""✔"",""-"")"),"-")</f>
        <v>-</v>
      </c>
      <c r="BR245" s="225">
        <f t="shared" si="28"/>
        <v>0</v>
      </c>
      <c r="BS245" s="345" t="str">
        <f>IFERROR(__xludf.DUMMYFUNCTION("SUBSTITUTE(SUBSTITUTE(SUBSTITUTE(SUBSTITUTE(CONCATENATE(JOIN(""-"",GC245:GO245)),""--"",""-""),""--"",""-""),""--"",""-""),""--"",""-"")"),"1-b3-3-4-5-b6-b7-8")</f>
        <v>1-b3-3-4-5-b6-b7-8</v>
      </c>
      <c r="BT245" s="299" t="str">
        <f>IFERROR(__xludf.DUMMYFUNCTION("SUBSTITUTE(SUBSTITUTE(SUBSTITUTE(SUBSTITUTE(CONCATENATE(JOIN(""-"",GP245:HB245)),""--"",""-""),""--"",""-""),""--"",""-""),""--"",""-"")"),"S-G2-G3-M1-P-D1-N2-S")</f>
        <v>S-G2-G3-M1-P-D1-N2-S</v>
      </c>
      <c r="BU245" s="348" t="str">
        <f t="shared" si="29"/>
        <v>C-Eb-E-F-G-Ab-Bb-C</v>
      </c>
      <c r="BV245" s="349" t="str">
        <f t="shared" si="30"/>
        <v>SrRMDNS</v>
      </c>
      <c r="BW245" s="350">
        <f t="shared" si="31"/>
        <v>0</v>
      </c>
      <c r="BX245" s="351">
        <f t="shared" si="32"/>
        <v>2</v>
      </c>
      <c r="BY245" s="392"/>
      <c r="BZ245" s="309" t="str">
        <f>IFERROR(__xludf.DUMMYFUNCTION("IF(REGEXMATCH(C245, ""S""), ""x"",""x"")"),"x")</f>
        <v>x</v>
      </c>
      <c r="CA245" s="245" t="str">
        <f>IFERROR(__xludf.DUMMYFUNCTION("IF(REGEXMATCH(C245, ""r""), ""o"",""x"")"),"x")</f>
        <v>x</v>
      </c>
      <c r="CB245" s="246" t="str">
        <f>IFERROR(__xludf.DUMMYFUNCTION("IF(REGEXMATCH(C245, ""R""), ""o"",""x"")"),"x")</f>
        <v>x</v>
      </c>
      <c r="CC245" s="246" t="str">
        <f>IFERROR(__xludf.DUMMYFUNCTION("IF(REGEXMATCH(C245, ""g""), ""o"",""x"")"),"o")</f>
        <v>o</v>
      </c>
      <c r="CD245" s="245" t="str">
        <f>IFERROR(__xludf.DUMMYFUNCTION("IF(REGEXMATCH(C245, ""G""), ""o"",""x"")"),"o")</f>
        <v>o</v>
      </c>
      <c r="CE245" s="245" t="str">
        <f>IFERROR(__xludf.DUMMYFUNCTION("IF(REGEXMATCH(C245, ""m""), ""o"",""x"")"),"o")</f>
        <v>o</v>
      </c>
      <c r="CF245" s="246" t="str">
        <f>IFERROR(__xludf.DUMMYFUNCTION("IF(REGEXMATCH(C245, ""M""), ""o"",""x"")"),"x")</f>
        <v>x</v>
      </c>
      <c r="CG245" s="245" t="str">
        <f>IFERROR(__xludf.DUMMYFUNCTION("IF(REGEXMATCH(C245, ""P""), ""o"",""x"")"),"o")</f>
        <v>o</v>
      </c>
      <c r="CH245" s="246" t="str">
        <f>IFERROR(__xludf.DUMMYFUNCTION("IF(REGEXMATCH(C245, ""d""), ""o"",""x"")"),"o")</f>
        <v>o</v>
      </c>
      <c r="CI245" s="245" t="str">
        <f>IFERROR(__xludf.DUMMYFUNCTION("IF(REGEXMATCH(C245, ""D""), ""o"",""x"")"),"x")</f>
        <v>x</v>
      </c>
      <c r="CJ245" s="245" t="str">
        <f>IFERROR(__xludf.DUMMYFUNCTION("IF(REGEXMATCH(C245, ""n""), ""o"",""x"")"),"o")</f>
        <v>o</v>
      </c>
      <c r="CK245" s="245" t="str">
        <f>IFERROR(__xludf.DUMMYFUNCTION("IF(REGEXMATCH(C245, ""N""), ""o"",""x"")"),"x")</f>
        <v>x</v>
      </c>
      <c r="CL245" s="356" t="str">
        <f>IFERROR(__xludf.DUMMYFUNCTION("IF(REGEXMATCH(C245, ""S""), ""x"",""x"")"),"x")</f>
        <v>x</v>
      </c>
      <c r="CM245" s="357" t="str">
        <f t="shared" si="33"/>
        <v>xxxoooxooxox</v>
      </c>
      <c r="CN245" s="358">
        <f t="shared" si="34"/>
        <v>0</v>
      </c>
      <c r="CO245" s="246" t="str">
        <f>IFERROR(__xludf.DUMMYFUNCTION("IF(REGEXMATCH($C245, ""S""), ""S"",""S"")"),"S")</f>
        <v>S</v>
      </c>
      <c r="CP245" s="246" t="str">
        <f>IFERROR(__xludf.DUMMYFUNCTION("IF(REGEXMATCH($C245, ""r""), """",""r"")"),"r")</f>
        <v>r</v>
      </c>
      <c r="CQ245" s="246" t="str">
        <f>IFERROR(__xludf.DUMMYFUNCTION("IF(REGEXMATCH($C245, ""R""), """",""R"")"),"R")</f>
        <v>R</v>
      </c>
      <c r="CR245" s="246" t="str">
        <f>IFERROR(__xludf.DUMMYFUNCTION("IF(REGEXMATCH($C245, ""g""), """",""g"")"),"")</f>
        <v/>
      </c>
      <c r="CS245" s="246" t="str">
        <f>IFERROR(__xludf.DUMMYFUNCTION("IF(REGEXMATCH($C245, ""G""), """",""G"")"),"")</f>
        <v/>
      </c>
      <c r="CT245" s="246" t="str">
        <f>IFERROR(__xludf.DUMMYFUNCTION("IF(REGEXMATCH($C245, ""m""), """",""m"")"),"")</f>
        <v/>
      </c>
      <c r="CU245" s="246" t="str">
        <f>IFERROR(__xludf.DUMMYFUNCTION("IF(REGEXMATCH($C245, ""M""), """",""M"")"),"M")</f>
        <v>M</v>
      </c>
      <c r="CV245" s="246" t="str">
        <f>IFERROR(__xludf.DUMMYFUNCTION("IF(REGEXMATCH($C245, ""P""), """",""P"")"),"")</f>
        <v/>
      </c>
      <c r="CW245" s="246" t="str">
        <f>IFERROR(__xludf.DUMMYFUNCTION("IF(REGEXMATCH($C245, ""d""), """",""d"")"),"")</f>
        <v/>
      </c>
      <c r="CX245" s="246" t="str">
        <f>IFERROR(__xludf.DUMMYFUNCTION("IF(REGEXMATCH($C245, ""D""), """",""D"")"),"D")</f>
        <v>D</v>
      </c>
      <c r="CY245" s="246" t="str">
        <f>IFERROR(__xludf.DUMMYFUNCTION("IF(REGEXMATCH($C245, ""n""), """",""n"")"),"")</f>
        <v/>
      </c>
      <c r="CZ245" s="246" t="str">
        <f>IFERROR(__xludf.DUMMYFUNCTION("IF(REGEXMATCH($C245, ""N""), """",""N"")"),"N")</f>
        <v>N</v>
      </c>
      <c r="DA245" s="246" t="str">
        <f>IFERROR(__xludf.DUMMYFUNCTION("IF(REGEXMATCH($C245, ""S""), ""S"",""S"")"),"S")</f>
        <v>S</v>
      </c>
      <c r="DB245" s="362" t="str">
        <f>IFERROR(__xludf.DUMMYFUNCTION("JOIN("""",CO245:DA245,"""","""")"),"SrRMDNS")</f>
        <v>SrRMDNS</v>
      </c>
      <c r="DC245" s="363"/>
      <c r="DD245" s="301" t="str">
        <f t="shared" si="35"/>
        <v>#REF!</v>
      </c>
      <c r="DE245" s="302" t="str">
        <f t="shared" si="36"/>
        <v>#REF!</v>
      </c>
      <c r="DF245" s="301" t="str">
        <f t="shared" ref="DF245:DG245" si="709">SUBSTITUTE(S245,"-","")</f>
        <v>SGM</v>
      </c>
      <c r="DG245" s="301" t="str">
        <f t="shared" si="709"/>
        <v>PDNS</v>
      </c>
      <c r="DH245" s="302" t="str">
        <f t="shared" si="38"/>
        <v>-</v>
      </c>
      <c r="DI245" s="301" t="str">
        <f t="shared" si="39"/>
        <v>Hemi.</v>
      </c>
      <c r="DJ245" s="364" t="str">
        <f t="shared" si="40"/>
        <v>Cohem.</v>
      </c>
      <c r="DK245" s="306" t="str">
        <f t="shared" si="41"/>
        <v>-</v>
      </c>
      <c r="DL245" s="366" t="str">
        <f t="shared" si="42"/>
        <v>-</v>
      </c>
      <c r="DM245" s="308" t="str">
        <f t="shared" si="43"/>
        <v>✔</v>
      </c>
      <c r="DN245" s="306" t="str">
        <f t="shared" si="44"/>
        <v>-</v>
      </c>
      <c r="DO245" s="306" t="str">
        <f t="shared" si="45"/>
        <v>-</v>
      </c>
      <c r="DP245" s="367" t="str">
        <f t="shared" si="46"/>
        <v>-</v>
      </c>
      <c r="DQ245" s="310" t="str">
        <f t="shared" si="47"/>
        <v>-</v>
      </c>
      <c r="DR245" s="310" t="str">
        <f t="shared" si="48"/>
        <v>✔</v>
      </c>
      <c r="DS245" s="310" t="str">
        <f t="shared" si="49"/>
        <v>-</v>
      </c>
      <c r="DT245" s="310" t="str">
        <f t="shared" si="50"/>
        <v>-</v>
      </c>
      <c r="DU245" s="370" t="str">
        <f t="shared" si="51"/>
        <v>-</v>
      </c>
      <c r="DV245" s="306" t="str">
        <f t="shared" si="52"/>
        <v>✔</v>
      </c>
      <c r="DW245" s="306" t="str">
        <f t="shared" si="53"/>
        <v>-</v>
      </c>
      <c r="DX245" s="306" t="str">
        <f t="shared" si="54"/>
        <v>-</v>
      </c>
      <c r="DY245" s="306" t="str">
        <f t="shared" si="55"/>
        <v>-</v>
      </c>
      <c r="DZ245" s="306" t="str">
        <f t="shared" si="56"/>
        <v>-</v>
      </c>
      <c r="EA245" s="367" t="str">
        <f t="shared" si="57"/>
        <v>-</v>
      </c>
      <c r="EB245" s="310" t="str">
        <f>IFERROR(__xludf.DUMMYFUNCTION("IF(REGEXMATCH(AW245,AS245),""✔"",""-"")"),"-")</f>
        <v>-</v>
      </c>
      <c r="EC245" s="310" t="str">
        <f t="shared" si="58"/>
        <v>#REF!</v>
      </c>
      <c r="ED245" s="370" t="str">
        <f t="shared" si="59"/>
        <v>-</v>
      </c>
      <c r="EE245" s="340" t="str">
        <f t="shared" si="60"/>
        <v>S-gG-m-P-d-n-S</v>
      </c>
      <c r="EF245" s="371" t="str">
        <f>IFERROR(__xludf.DUMMYFUNCTION("CONCATENATE(JOIN("""",HC245:HO245))"),"SRGmPdDS")</f>
        <v>SRGmPdDS</v>
      </c>
      <c r="EG245" s="372">
        <f t="shared" si="61"/>
        <v>2</v>
      </c>
      <c r="EH245" s="373" t="str">
        <f>IFERROR(__xludf.DUMMYFUNCTION("CONCATENATE(JOIN("""",JC245:JO245))"),"Ga, Pa, ")</f>
        <v>Ga, Pa, </v>
      </c>
      <c r="EI245" s="322">
        <f t="shared" si="62"/>
        <v>1</v>
      </c>
      <c r="EJ245" s="374" t="str">
        <f>IFERROR(__xludf.DUMMYFUNCTION("CONCATENATE(JOIN("""",KC245:KO245))"),"Ga, ")</f>
        <v>Ga, </v>
      </c>
      <c r="EK245" s="325" t="str">
        <f t="shared" si="63"/>
        <v>S-G2-G3-M1-P-D1-N2-S</v>
      </c>
      <c r="EL245" s="326" t="str">
        <f t="shared" si="64"/>
        <v>1-b3-3-4-5-b6-b7-8</v>
      </c>
      <c r="EM245" s="318" t="str">
        <f t="shared" si="65"/>
        <v>#REF!</v>
      </c>
      <c r="EN245" s="328" t="str">
        <f>IFERROR(__xludf.DUMMYFUNCTION("SUBSTITUTE(SUBSTITUTE(SUBSTITUTE(SUBSTITUTE(CONCATENATE(JOIN("" "",HP245:IB245)),""  "","" ""),""  "","" ""),""  "","" ""),""  "","" "")"),"o • • o o o • o o • o • o")</f>
        <v>o • • o o o • o o • o • o</v>
      </c>
      <c r="EO245" s="368" t="str">
        <f t="shared" si="66"/>
        <v>-</v>
      </c>
      <c r="EP245" s="339" t="str">
        <f t="shared" si="67"/>
        <v>-</v>
      </c>
      <c r="EQ245" s="339" t="str">
        <f t="shared" si="68"/>
        <v>Sa-Pa</v>
      </c>
      <c r="ER245" s="339" t="str">
        <f t="shared" si="69"/>
        <v>-</v>
      </c>
      <c r="ES245" s="340" t="str">
        <f t="shared" si="70"/>
        <v>-</v>
      </c>
      <c r="ET245" s="363"/>
      <c r="EU245" s="376" t="b">
        <f>IFERROR(__xludf.DUMMYFUNCTION("arrayformula(sum(--REGEXMATCH(""SRGMPDNS"",split(REGEXREPLACE(C245,""(.)"",""$1~""),""~""))))=len(C245)
"),FALSE)</f>
        <v>0</v>
      </c>
      <c r="EV245" s="290" t="b">
        <f>IFERROR(__xludf.DUMMYFUNCTION("arrayformula(sum(--REGEXMATCH(""SRGmPDNS"",split(REGEXREPLACE(C245,""(.)"",""$1~""),""~""))))=len(C245)"),FALSE)</f>
        <v>0</v>
      </c>
      <c r="EW245" s="290" t="b">
        <f>IFERROR(__xludf.DUMMYFUNCTION("arrayformula(sum(--REGEXMATCH(""SRGmPDnS"",split(REGEXREPLACE(C245,""(.)"",""$1~""),""~""))))=len(C245)"),FALSE)</f>
        <v>0</v>
      </c>
      <c r="EX245" s="290" t="b">
        <f>IFERROR(__xludf.DUMMYFUNCTION("arrayformula(sum(--REGEXMATCH(""SRgmPDnS"",split(REGEXREPLACE(C245,""(.)"",""$1~""),""~""))))=len(C245)"),FALSE)</f>
        <v>0</v>
      </c>
      <c r="EY245" s="290" t="b">
        <f>IFERROR(__xludf.DUMMYFUNCTION("arrayformula(sum(--REGEXMATCH(""SRgmPdnS"",split(REGEXREPLACE(C245,""(.)"",""$1~""),""~""))))=len(C245)"),FALSE)</f>
        <v>0</v>
      </c>
      <c r="EZ245" s="290" t="b">
        <f>IFERROR(__xludf.DUMMYFUNCTION("arrayformula(sum(--REGEXMATCH(""SrgmPdnS"",split(REGEXREPLACE(C245,""(.)"",""$1~""),""~""))))=len(C245)"),FALSE)</f>
        <v>0</v>
      </c>
      <c r="FA245" s="290" t="b">
        <f>IFERROR(__xludf.DUMMYFUNCTION("arrayformula(sum(--REGEXMATCH(""SrGmPdNS"",split(REGEXREPLACE(C245,""(.)"",""$1~""),""~""))))=len(C245)"),FALSE)</f>
        <v>0</v>
      </c>
      <c r="FB245" s="290" t="b">
        <f>IFERROR(__xludf.DUMMYFUNCTION("arrayformula(sum(--REGEXMATCH(""SrGMPDNS"",split(REGEXREPLACE(C245,""(.)"",""$1~""),""~""))))=len(C245)"),FALSE)</f>
        <v>0</v>
      </c>
      <c r="FC245" s="290" t="b">
        <f>IFERROR(__xludf.DUMMYFUNCTION("arrayformula(sum(--REGEXMATCH(""SrGMPdNS"",split(REGEXREPLACE(C245,""(.)"",""$1~""),""~""))))=len(C245)"),FALSE)</f>
        <v>0</v>
      </c>
      <c r="FD245" s="377" t="b">
        <f>IFERROR(__xludf.DUMMYFUNCTION("arrayformula(sum(--REGEXMATCH(""SrgMPdNS"",split(REGEXREPLACE(C245,""(.)"",""$1~""),""~""))))=len(C245)"),FALSE)</f>
        <v>0</v>
      </c>
      <c r="FE245" s="269" t="str">
        <f t="shared" si="71"/>
        <v>-</v>
      </c>
      <c r="FF245" s="269" t="str">
        <f t="shared" si="72"/>
        <v>-</v>
      </c>
      <c r="FG245" s="271" t="str">
        <f t="shared" si="73"/>
        <v>xxxoxxoxoxo</v>
      </c>
      <c r="FH245" s="269" t="str">
        <f t="shared" si="74"/>
        <v>xxoxxoxoxoo</v>
      </c>
      <c r="FI245" s="271" t="str">
        <f t="shared" si="75"/>
        <v>xoxxoxoxoox</v>
      </c>
      <c r="FJ245" s="271" t="str">
        <f t="shared" si="76"/>
        <v>-</v>
      </c>
      <c r="FK245" s="271" t="str">
        <f t="shared" si="77"/>
        <v>xxoxoxooxxx</v>
      </c>
      <c r="FL245" s="271" t="str">
        <f t="shared" si="78"/>
        <v>xoxoxooxxxo</v>
      </c>
      <c r="FM245" s="271" t="str">
        <f t="shared" si="79"/>
        <v>-</v>
      </c>
      <c r="FN245" s="271" t="str">
        <f t="shared" si="80"/>
        <v>xoxooxxxoxx</v>
      </c>
      <c r="FO245" s="274" t="str">
        <f t="shared" si="81"/>
        <v>-</v>
      </c>
      <c r="FP245" s="234" t="str">
        <f t="shared" si="82"/>
        <v>|</v>
      </c>
      <c r="FQ245" s="236" t="str">
        <f t="shared" si="83"/>
        <v>-</v>
      </c>
      <c r="FR245" s="237" t="str">
        <f t="shared" si="84"/>
        <v>-</v>
      </c>
      <c r="FS245" s="236" t="str">
        <f t="shared" si="85"/>
        <v>|</v>
      </c>
      <c r="FT245" s="237" t="str">
        <f t="shared" si="86"/>
        <v>|</v>
      </c>
      <c r="FU245" s="236" t="str">
        <f t="shared" si="87"/>
        <v>|</v>
      </c>
      <c r="FV245" s="237" t="str">
        <f t="shared" si="88"/>
        <v>-</v>
      </c>
      <c r="FW245" s="236" t="str">
        <f t="shared" si="89"/>
        <v>|</v>
      </c>
      <c r="FX245" s="237" t="str">
        <f t="shared" si="90"/>
        <v>|</v>
      </c>
      <c r="FY245" s="236" t="str">
        <f t="shared" si="91"/>
        <v>-</v>
      </c>
      <c r="FZ245" s="237" t="str">
        <f t="shared" si="92"/>
        <v>|</v>
      </c>
      <c r="GA245" s="236" t="str">
        <f t="shared" si="93"/>
        <v>-</v>
      </c>
      <c r="GB245" s="238" t="str">
        <f t="shared" si="94"/>
        <v>|</v>
      </c>
      <c r="GC245" s="244" t="str">
        <f>IFERROR(__xludf.DUMMYFUNCTION("IF(REGEXMATCH(C245, ""S""), ""1"","""")"),"1")</f>
        <v>1</v>
      </c>
      <c r="GD245" s="245" t="str">
        <f>IFERROR(__xludf.DUMMYFUNCTION("IF(REGEXMATCH(C245, ""r""), ""b2"","""")"),"")</f>
        <v/>
      </c>
      <c r="GE245" s="246" t="str">
        <f>IFERROR(__xludf.DUMMYFUNCTION("IF(REGEXMATCH(C245, ""R""), ""2"","""")"),"")</f>
        <v/>
      </c>
      <c r="GF245" s="246" t="str">
        <f>IFERROR(__xludf.DUMMYFUNCTION("IF(REGEXMATCH(C245, ""g""), ""b3"","""")"),"b3")</f>
        <v>b3</v>
      </c>
      <c r="GG245" s="245" t="str">
        <f>IFERROR(__xludf.DUMMYFUNCTION("IF(REGEXMATCH(C245, ""G""), ""3"","""")"),"3")</f>
        <v>3</v>
      </c>
      <c r="GH245" s="245" t="str">
        <f>IFERROR(__xludf.DUMMYFUNCTION("IF(REGEXMATCH(C245, ""m""), ""4"","""")"),"4")</f>
        <v>4</v>
      </c>
      <c r="GI245" s="246" t="str">
        <f>IFERROR(__xludf.DUMMYFUNCTION("IF(REGEXMATCH(C245, ""M""), ""#4"","""")"),"")</f>
        <v/>
      </c>
      <c r="GJ245" s="245" t="str">
        <f>IFERROR(__xludf.DUMMYFUNCTION("IF(REGEXMATCH(C245, ""P""), ""5"","""")"),"5")</f>
        <v>5</v>
      </c>
      <c r="GK245" s="246" t="str">
        <f>IFERROR(__xludf.DUMMYFUNCTION("IF(REGEXMATCH(C245, ""d""), ""b6"","""")"),"b6")</f>
        <v>b6</v>
      </c>
      <c r="GL245" s="245" t="str">
        <f>IFERROR(__xludf.DUMMYFUNCTION("IF(REGEXMATCH(C245, ""D""), ""6"","""")"),"")</f>
        <v/>
      </c>
      <c r="GM245" s="245" t="str">
        <f>IFERROR(__xludf.DUMMYFUNCTION("IF(REGEXMATCH(C245, ""n""), ""b7"","""")"),"b7")</f>
        <v>b7</v>
      </c>
      <c r="GN245" s="246" t="str">
        <f>IFERROR(__xludf.DUMMYFUNCTION("IF(REGEXMATCH(C245, ""N""), ""7"","""")"),"")</f>
        <v/>
      </c>
      <c r="GO245" s="249" t="str">
        <f>IFERROR(__xludf.DUMMYFUNCTION("IF(REGEXMATCH(C245, ""S""), ""8"","""")"),"8")</f>
        <v>8</v>
      </c>
      <c r="GP245" s="244" t="str">
        <f>IFERROR(__xludf.DUMMYFUNCTION("IF(REGEXMATCH(C245, ""S""), ""S"","""")"),"S")</f>
        <v>S</v>
      </c>
      <c r="GQ245" s="294" t="str">
        <f>IFERROR(__xludf.DUMMYFUNCTION("IF(REGEXMATCH(C245, ""r""), ""R1"","""")"),"")</f>
        <v/>
      </c>
      <c r="GR245" s="295" t="str">
        <f>IFERROR(__xludf.DUMMYFUNCTION("IF(REGEXMATCH(C245, ""R""), ""R2"","""")"),"")</f>
        <v/>
      </c>
      <c r="GS245" s="295" t="str">
        <f>IFERROR(__xludf.DUMMYFUNCTION("IF(REGEXMATCH(C245, ""g""), ""G2"","""")"),"G2")</f>
        <v>G2</v>
      </c>
      <c r="GT245" s="294" t="str">
        <f>IFERROR(__xludf.DUMMYFUNCTION("IF(REGEXMATCH(C245, ""G""), ""G3"","""")"),"G3")</f>
        <v>G3</v>
      </c>
      <c r="GU245" s="294" t="str">
        <f>IFERROR(__xludf.DUMMYFUNCTION("IF(REGEXMATCH(C245, ""m""), ""M1"","""")"),"M1")</f>
        <v>M1</v>
      </c>
      <c r="GV245" s="295" t="str">
        <f>IFERROR(__xludf.DUMMYFUNCTION("IF(REGEXMATCH(C245, ""M""), ""M2"","""")"),"")</f>
        <v/>
      </c>
      <c r="GW245" s="294" t="str">
        <f>IFERROR(__xludf.DUMMYFUNCTION("IF(REGEXMATCH(C245, ""P""), ""P"","""")"),"P")</f>
        <v>P</v>
      </c>
      <c r="GX245" s="295" t="str">
        <f>IFERROR(__xludf.DUMMYFUNCTION("IF(REGEXMATCH(C245, ""d""), ""D1"","""")"),"D1")</f>
        <v>D1</v>
      </c>
      <c r="GY245" s="294" t="str">
        <f>IFERROR(__xludf.DUMMYFUNCTION("IF(REGEXMATCH(C245, ""D""), ""D2"","""")"),"")</f>
        <v/>
      </c>
      <c r="GZ245" s="294" t="str">
        <f>IFERROR(__xludf.DUMMYFUNCTION("IF(REGEXMATCH(C245, ""n""), ""N2"","""")"),"N2")</f>
        <v>N2</v>
      </c>
      <c r="HA245" s="295" t="str">
        <f>IFERROR(__xludf.DUMMYFUNCTION("IF(REGEXMATCH(C245, ""N""), ""N3"","""")"),"")</f>
        <v/>
      </c>
      <c r="HB245" s="249" t="str">
        <f>IFERROR(__xludf.DUMMYFUNCTION("IF(REGEXMATCH(C245, ""S""), ""S"","""")"),"S")</f>
        <v>S</v>
      </c>
      <c r="HC245" s="331" t="str">
        <f t="shared" si="95"/>
        <v>S</v>
      </c>
      <c r="HD245" s="332" t="str">
        <f t="shared" si="96"/>
        <v/>
      </c>
      <c r="HE245" s="332" t="str">
        <f t="shared" si="97"/>
        <v>R</v>
      </c>
      <c r="HF245" s="332" t="str">
        <f t="shared" si="98"/>
        <v/>
      </c>
      <c r="HG245" s="332" t="str">
        <f t="shared" si="99"/>
        <v>G</v>
      </c>
      <c r="HH245" s="332" t="str">
        <f t="shared" si="100"/>
        <v>m</v>
      </c>
      <c r="HI245" s="332" t="str">
        <f t="shared" si="101"/>
        <v/>
      </c>
      <c r="HJ245" s="332" t="str">
        <f t="shared" si="102"/>
        <v>P</v>
      </c>
      <c r="HK245" s="332" t="str">
        <f t="shared" si="103"/>
        <v>d</v>
      </c>
      <c r="HL245" s="332" t="str">
        <f t="shared" si="104"/>
        <v>D</v>
      </c>
      <c r="HM245" s="332" t="str">
        <f t="shared" si="105"/>
        <v/>
      </c>
      <c r="HN245" s="332" t="str">
        <f t="shared" si="106"/>
        <v/>
      </c>
      <c r="HO245" s="343" t="str">
        <f t="shared" si="107"/>
        <v>S</v>
      </c>
      <c r="HP245" s="331" t="str">
        <f t="shared" si="108"/>
        <v>o</v>
      </c>
      <c r="HQ245" s="332" t="str">
        <f t="shared" si="109"/>
        <v>•</v>
      </c>
      <c r="HR245" s="332" t="str">
        <f t="shared" si="110"/>
        <v>•</v>
      </c>
      <c r="HS245" s="332" t="str">
        <f t="shared" si="111"/>
        <v>o</v>
      </c>
      <c r="HT245" s="332" t="str">
        <f t="shared" si="112"/>
        <v>o</v>
      </c>
      <c r="HU245" s="332" t="str">
        <f t="shared" si="113"/>
        <v>o</v>
      </c>
      <c r="HV245" s="332" t="str">
        <f t="shared" si="114"/>
        <v>•</v>
      </c>
      <c r="HW245" s="332" t="str">
        <f t="shared" si="115"/>
        <v>o</v>
      </c>
      <c r="HX245" s="332" t="str">
        <f t="shared" si="116"/>
        <v>o</v>
      </c>
      <c r="HY245" s="332" t="str">
        <f t="shared" si="117"/>
        <v>•</v>
      </c>
      <c r="HZ245" s="332" t="str">
        <f t="shared" si="118"/>
        <v>o</v>
      </c>
      <c r="IA245" s="332" t="str">
        <f t="shared" si="119"/>
        <v>•</v>
      </c>
      <c r="IB245" s="338" t="str">
        <f t="shared" si="120"/>
        <v>o</v>
      </c>
      <c r="IC245" s="331" t="str">
        <f t="shared" si="121"/>
        <v>•</v>
      </c>
      <c r="ID245" s="332" t="str">
        <f t="shared" si="122"/>
        <v>o</v>
      </c>
      <c r="IE245" s="332" t="str">
        <f t="shared" si="123"/>
        <v>o</v>
      </c>
      <c r="IF245" s="332" t="str">
        <f t="shared" si="124"/>
        <v>•</v>
      </c>
      <c r="IG245" s="332" t="str">
        <f t="shared" si="125"/>
        <v>•</v>
      </c>
      <c r="IH245" s="332" t="str">
        <f t="shared" si="126"/>
        <v>•</v>
      </c>
      <c r="II245" s="332" t="str">
        <f t="shared" si="127"/>
        <v>o</v>
      </c>
      <c r="IJ245" s="332" t="str">
        <f t="shared" si="128"/>
        <v>•</v>
      </c>
      <c r="IK245" s="332" t="str">
        <f t="shared" si="129"/>
        <v>•</v>
      </c>
      <c r="IL245" s="332" t="str">
        <f t="shared" si="130"/>
        <v>o</v>
      </c>
      <c r="IM245" s="332" t="str">
        <f t="shared" si="131"/>
        <v>•</v>
      </c>
      <c r="IN245" s="332" t="str">
        <f t="shared" si="132"/>
        <v>o</v>
      </c>
      <c r="IO245" s="338" t="str">
        <f t="shared" si="133"/>
        <v>•</v>
      </c>
      <c r="IP245" s="346" t="b">
        <f t="shared" si="134"/>
        <v>0</v>
      </c>
      <c r="IQ245" s="347" t="b">
        <f t="shared" si="135"/>
        <v>0</v>
      </c>
      <c r="IR245" s="347" t="b">
        <f t="shared" si="136"/>
        <v>0</v>
      </c>
      <c r="IS245" s="347" t="b">
        <f t="shared" si="137"/>
        <v>0</v>
      </c>
      <c r="IT245" s="347" t="b">
        <f t="shared" si="138"/>
        <v>1</v>
      </c>
      <c r="IU245" s="347" t="b">
        <f t="shared" si="139"/>
        <v>0</v>
      </c>
      <c r="IV245" s="347" t="b">
        <f t="shared" si="140"/>
        <v>0</v>
      </c>
      <c r="IW245" s="347" t="b">
        <f t="shared" si="141"/>
        <v>1</v>
      </c>
      <c r="IX245" s="347" t="b">
        <f t="shared" si="142"/>
        <v>0</v>
      </c>
      <c r="IY245" s="347" t="b">
        <f t="shared" si="143"/>
        <v>0</v>
      </c>
      <c r="IZ245" s="347" t="b">
        <f t="shared" si="144"/>
        <v>0</v>
      </c>
      <c r="JA245" s="347" t="b">
        <f t="shared" si="145"/>
        <v>0</v>
      </c>
      <c r="JB245" s="353" t="b">
        <f t="shared" si="146"/>
        <v>0</v>
      </c>
      <c r="JC245" s="354" t="str">
        <f t="shared" si="147"/>
        <v/>
      </c>
      <c r="JD245" s="355" t="str">
        <f t="shared" si="148"/>
        <v/>
      </c>
      <c r="JE245" s="355" t="str">
        <f t="shared" si="149"/>
        <v/>
      </c>
      <c r="JF245" s="355" t="str">
        <f t="shared" si="150"/>
        <v/>
      </c>
      <c r="JG245" s="355" t="str">
        <f t="shared" si="151"/>
        <v>Ga, </v>
      </c>
      <c r="JH245" s="355" t="str">
        <f t="shared" si="152"/>
        <v/>
      </c>
      <c r="JI245" s="355" t="str">
        <f t="shared" si="153"/>
        <v/>
      </c>
      <c r="JJ245" s="355" t="str">
        <f t="shared" si="154"/>
        <v>Pa, </v>
      </c>
      <c r="JK245" s="355" t="str">
        <f t="shared" si="155"/>
        <v/>
      </c>
      <c r="JL245" s="355" t="str">
        <f t="shared" si="156"/>
        <v/>
      </c>
      <c r="JM245" s="355" t="str">
        <f t="shared" si="157"/>
        <v/>
      </c>
      <c r="JN245" s="355" t="str">
        <f t="shared" si="158"/>
        <v/>
      </c>
      <c r="JO245" s="359" t="str">
        <f t="shared" si="159"/>
        <v/>
      </c>
      <c r="JP245" s="346" t="b">
        <f t="shared" si="160"/>
        <v>0</v>
      </c>
      <c r="JQ245" s="347" t="b">
        <f t="shared" si="161"/>
        <v>0</v>
      </c>
      <c r="JR245" s="347" t="b">
        <f t="shared" si="162"/>
        <v>0</v>
      </c>
      <c r="JS245" s="347" t="b">
        <f t="shared" si="163"/>
        <v>0</v>
      </c>
      <c r="JT245" s="347" t="b">
        <f t="shared" si="164"/>
        <v>1</v>
      </c>
      <c r="JU245" s="347" t="b">
        <f t="shared" si="165"/>
        <v>0</v>
      </c>
      <c r="JV245" s="347" t="b">
        <f t="shared" si="166"/>
        <v>0</v>
      </c>
      <c r="JW245" s="347" t="b">
        <f t="shared" si="167"/>
        <v>0</v>
      </c>
      <c r="JX245" s="347" t="b">
        <f t="shared" si="168"/>
        <v>0</v>
      </c>
      <c r="JY245" s="347" t="b">
        <f t="shared" si="169"/>
        <v>0</v>
      </c>
      <c r="JZ245" s="347" t="b">
        <f t="shared" si="170"/>
        <v>0</v>
      </c>
      <c r="KA245" s="347" t="b">
        <f t="shared" si="171"/>
        <v>0</v>
      </c>
      <c r="KB245" s="365" t="b">
        <f t="shared" si="172"/>
        <v>0</v>
      </c>
      <c r="KC245" s="354" t="str">
        <f t="shared" si="173"/>
        <v/>
      </c>
      <c r="KD245" s="355" t="str">
        <f t="shared" si="174"/>
        <v/>
      </c>
      <c r="KE245" s="355" t="str">
        <f t="shared" si="175"/>
        <v/>
      </c>
      <c r="KF245" s="355" t="str">
        <f t="shared" si="176"/>
        <v/>
      </c>
      <c r="KG245" s="355" t="str">
        <f t="shared" si="177"/>
        <v>Ga, </v>
      </c>
      <c r="KH245" s="355" t="str">
        <f t="shared" si="178"/>
        <v/>
      </c>
      <c r="KI245" s="355" t="str">
        <f t="shared" si="179"/>
        <v/>
      </c>
      <c r="KJ245" s="355" t="str">
        <f t="shared" si="180"/>
        <v/>
      </c>
      <c r="KK245" s="355" t="str">
        <f t="shared" si="181"/>
        <v/>
      </c>
      <c r="KL245" s="355" t="str">
        <f t="shared" si="182"/>
        <v/>
      </c>
      <c r="KM245" s="355" t="str">
        <f t="shared" si="183"/>
        <v/>
      </c>
      <c r="KN245" s="355" t="str">
        <f t="shared" si="184"/>
        <v/>
      </c>
      <c r="KO245" s="359"/>
      <c r="KP245" s="378"/>
      <c r="KQ245" s="379" t="s">
        <v>1276</v>
      </c>
      <c r="KR245" s="380" t="s">
        <v>1459</v>
      </c>
      <c r="KS245" s="381" t="str">
        <f t="shared" si="710"/>
        <v>S-G-m-d-n-S</v>
      </c>
      <c r="KT245" s="382">
        <f t="shared" si="186"/>
        <v>5</v>
      </c>
      <c r="KU245" s="383">
        <f t="shared" si="187"/>
        <v>5</v>
      </c>
      <c r="KV245" s="381" t="str">
        <f t="shared" si="205"/>
        <v>S-n-d-P-m-Gg-S</v>
      </c>
      <c r="KW245" s="382">
        <f t="shared" si="189"/>
        <v>6</v>
      </c>
      <c r="KX245" s="384">
        <f t="shared" si="190"/>
        <v>7</v>
      </c>
      <c r="KY245" s="382">
        <f t="shared" ref="KY245:KZ245" si="711">KW245-KT245</f>
        <v>1</v>
      </c>
      <c r="KZ245" s="369">
        <f t="shared" si="711"/>
        <v>2</v>
      </c>
      <c r="LA245" s="385" t="str">
        <f t="shared" si="192"/>
        <v>-</v>
      </c>
      <c r="LB245" s="340" t="str">
        <f>IFERROR(__xludf.DUMMYFUNCTION("JOIN("""",ArrayFormula(MID(KS245,LEN(KS245)-SEQUENCE(1,LEN(KS245))+1,1)))"),"S-n-d-m-G-S")</f>
        <v>S-n-d-m-G-S</v>
      </c>
      <c r="LC245" s="373" t="str">
        <f>IFERROR(__xludf.DUMMYFUNCTION("JOIN("""",ArrayFormula(MID(KV245,LEN(KV245)-SEQUENCE(1,LEN(KV245))+1,1)))"),"S-gG-m-P-d-n-S")</f>
        <v>S-gG-m-P-d-n-S</v>
      </c>
      <c r="LD245" s="373" t="str">
        <f t="shared" si="193"/>
        <v>SGmdnS</v>
      </c>
      <c r="LE245" s="339" t="str">
        <f t="shared" si="194"/>
        <v>SgGmPdnS</v>
      </c>
      <c r="LF245" s="386" t="str">
        <f>IFERROR(__xludf.DUMMYFUNCTION("SUBSTITUTE(SUBSTITUTE(CONCATENATE(JOIN("""",LH245:LT245)),""1"",""""),""2"","""")"),"SgGmPdnS")</f>
        <v>SgGmPdnS</v>
      </c>
      <c r="LG245" s="369" t="str">
        <f t="shared" si="195"/>
        <v>✔</v>
      </c>
      <c r="LH245" s="387" t="str">
        <f>IFERROR(__xludf.DUMMYFUNCTION("IF(REGEXMATCH(LD245, ""S""), ""S"",IF(REGEXMATCH(LE245, ""S""), ""S"",""""))"),"S")</f>
        <v>S</v>
      </c>
      <c r="LI245" s="299" t="str">
        <f>IFERROR(__xludf.DUMMYFUNCTION("IF(REGEXMATCH(LD245, ""r""), ""r1"",IF(REGEXMATCH(LE245, ""r""), ""r2"",""""))"),"")</f>
        <v/>
      </c>
      <c r="LJ245" s="299" t="str">
        <f>IFERROR(__xludf.DUMMYFUNCTION("IF(REGEXMATCH(LD245, ""R""), ""R1"",IF(REGEXMATCH(LE245, ""R""), ""R2"",""""))"),"")</f>
        <v/>
      </c>
      <c r="LK245" s="299" t="str">
        <f>IFERROR(__xludf.DUMMYFUNCTION("IF(REGEXMATCH(LD245, ""g""), ""g1"",IF(REGEXMATCH(LE245, ""g""), ""g2"",""""))"),"g2")</f>
        <v>g2</v>
      </c>
      <c r="LL245" s="299" t="str">
        <f>IFERROR(__xludf.DUMMYFUNCTION("IF(REGEXMATCH(LD245, ""G""), ""G1"",IF(REGEXMATCH(LE245, ""G""), ""G2"",""""))"),"G1")</f>
        <v>G1</v>
      </c>
      <c r="LM245" s="299" t="str">
        <f>IFERROR(__xludf.DUMMYFUNCTION("IF(REGEXMATCH(LD245, ""m""), ""m1"",IF(REGEXMATCH(LE245, ""m""), ""m2"",""""))"),"m1")</f>
        <v>m1</v>
      </c>
      <c r="LN245" s="299" t="str">
        <f>IFERROR(__xludf.DUMMYFUNCTION("IF(REGEXMATCH(LD245, ""M""), ""M1"",IF(REGEXMATCH(LE245, ""M""), ""M2"",""""))"),"")</f>
        <v/>
      </c>
      <c r="LO245" s="299" t="str">
        <f>IFERROR(__xludf.DUMMYFUNCTION("IF(REGEXMATCH(LD245, ""P""), ""P1"",IF(REGEXMATCH(LE245, ""P""), ""P2"",""""))"),"P2")</f>
        <v>P2</v>
      </c>
      <c r="LP245" s="299" t="str">
        <f>IFERROR(__xludf.DUMMYFUNCTION("IF(REGEXMATCH(LD245, ""d""), ""d1"",IF(REGEXMATCH(LE245, ""d""), ""d2"",""""))"),"d1")</f>
        <v>d1</v>
      </c>
      <c r="LQ245" s="299" t="str">
        <f>IFERROR(__xludf.DUMMYFUNCTION("IF(REGEXMATCH(LD245, ""D""), ""D1"",IF(REGEXMATCH(LE245, ""D""), ""D2"",""""))"),"")</f>
        <v/>
      </c>
      <c r="LR245" s="299" t="str">
        <f>IFERROR(__xludf.DUMMYFUNCTION("IF(REGEXMATCH(LD245, ""n""), ""n1"",IF(REGEXMATCH(LE245, ""n""), ""n2"",""""))"),"n1")</f>
        <v>n1</v>
      </c>
      <c r="LS245" s="299" t="str">
        <f>IFERROR(__xludf.DUMMYFUNCTION("IF(REGEXMATCH(LD245, ""N""), ""N1"",IF(REGEXMATCH(LE245, ""N""), ""N2"",""""))"),"")</f>
        <v/>
      </c>
      <c r="LT245" s="388" t="str">
        <f>IFERROR(__xludf.DUMMYFUNCTION("IF(REGEXMATCH(LD245, ""S""), ""S"",IF(REGEXMATCH(LE245, ""S""), ""S"",""""))"),"S")</f>
        <v>S</v>
      </c>
      <c r="LU245" s="389">
        <f t="shared" si="196"/>
        <v>-2</v>
      </c>
      <c r="LV245" s="378"/>
      <c r="LW245" s="369"/>
      <c r="LX245" s="369"/>
    </row>
    <row r="246" ht="18.0" customHeight="1">
      <c r="A246" s="298" t="s">
        <v>1012</v>
      </c>
      <c r="B246" s="222" t="s">
        <v>721</v>
      </c>
      <c r="C246" s="233" t="str">
        <f t="shared" si="7"/>
        <v>SRmPDnS</v>
      </c>
      <c r="D246" s="234" t="str">
        <f>IFERROR(__xludf.DUMMYFUNCTION("IF(REGEXMATCH(C246, ""S""), ""S"","""")"),"S")</f>
        <v>S</v>
      </c>
      <c r="E246" s="236" t="str">
        <f>IFERROR(__xludf.DUMMYFUNCTION("IF(REGEXMATCH(C246, ""r""), ""r"","""")"),"")</f>
        <v/>
      </c>
      <c r="F246" s="237" t="str">
        <f>IFERROR(__xludf.DUMMYFUNCTION("IF(REGEXMATCH(C246, ""R""), ""R"","""")"),"R")</f>
        <v>R</v>
      </c>
      <c r="G246" s="237" t="str">
        <f>IFERROR(__xludf.DUMMYFUNCTION("IF(REGEXMATCH(C246, ""g""), ""g"","""")"),"")</f>
        <v/>
      </c>
      <c r="H246" s="236" t="str">
        <f>IFERROR(__xludf.DUMMYFUNCTION("IF(REGEXMATCH(C246, ""G""), ""G"","""")"),"")</f>
        <v/>
      </c>
      <c r="I246" s="236" t="str">
        <f>IFERROR(__xludf.DUMMYFUNCTION("IF(REGEXMATCH(C246, ""m""), ""m"","""")"),"m")</f>
        <v>m</v>
      </c>
      <c r="J246" s="237" t="str">
        <f>IFERROR(__xludf.DUMMYFUNCTION("IF(REGEXMATCH(C246, ""M""), ""M"","""")"),"")</f>
        <v/>
      </c>
      <c r="K246" s="236" t="str">
        <f>IFERROR(__xludf.DUMMYFUNCTION("IF(REGEXMATCH(C246, ""P""), ""P"","""")"),"P")</f>
        <v>P</v>
      </c>
      <c r="L246" s="237" t="str">
        <f>IFERROR(__xludf.DUMMYFUNCTION("IF(REGEXMATCH(C246, ""d""), ""d"","""")"),"")</f>
        <v/>
      </c>
      <c r="M246" s="236" t="str">
        <f>IFERROR(__xludf.DUMMYFUNCTION("IF(REGEXMATCH(C246, ""D""), ""D"","""")"),"D")</f>
        <v>D</v>
      </c>
      <c r="N246" s="236" t="str">
        <f>IFERROR(__xludf.DUMMYFUNCTION("IF(REGEXMATCH(C246, ""n""), ""n"","""")"),"n")</f>
        <v>n</v>
      </c>
      <c r="O246" s="237" t="str">
        <f>IFERROR(__xludf.DUMMYFUNCTION("IF(REGEXMATCH(C246, ""N""), ""N"","""")"),"")</f>
        <v/>
      </c>
      <c r="P246" s="238" t="str">
        <f>IFERROR(__xludf.DUMMYFUNCTION("IF(REGEXMATCH(C246, ""S""), ""S"","""")"),"S")</f>
        <v>S</v>
      </c>
      <c r="Q246" s="239" t="str">
        <f>IFERROR(__xludf.DUMMYFUNCTION("SUBSTITUTE(CONCATENATE(JOIN(""-"",D246:J246)),""-"","""")"),"SRm")</f>
        <v>SRm</v>
      </c>
      <c r="R246" s="229" t="str">
        <f>IFERROR(__xludf.DUMMYFUNCTION("SUBSTITUTE(CONCATENATE(JOIN(""-"",K246:P246)),""-"","""")"),"PDnS")</f>
        <v>PDnS</v>
      </c>
      <c r="S246" s="282" t="str">
        <f t="shared" si="8"/>
        <v>S-R-M</v>
      </c>
      <c r="T246" s="282" t="str">
        <f t="shared" si="9"/>
        <v>P-D-N-S</v>
      </c>
      <c r="U246" s="237" t="str">
        <f>IFERROR(__xludf.DUMMYFUNCTION("SUBSTITUTE(JOIN(""-"",S246,T246),""--"",""-"")"),"S-R-M-P-D-N-S")</f>
        <v>S-R-M-P-D-N-S</v>
      </c>
      <c r="V246" s="309" t="str">
        <f t="shared" si="10"/>
        <v>RmDn</v>
      </c>
      <c r="W246" s="244" t="str">
        <f>IFERROR(__xludf.DUMMYFUNCTION("IF(REGEXMATCH(C246, ""S""), ""0"","""")"),"0")</f>
        <v>0</v>
      </c>
      <c r="X246" s="245" t="str">
        <f>IFERROR(__xludf.DUMMYFUNCTION("IF(REGEXMATCH(C246, ""r""), ""1"","""")"),"")</f>
        <v/>
      </c>
      <c r="Y246" s="246" t="str">
        <f>IFERROR(__xludf.DUMMYFUNCTION("IF(REGEXMATCH(C246, ""R""), ""2"","""")"),"2")</f>
        <v>2</v>
      </c>
      <c r="Z246" s="246" t="str">
        <f>IFERROR(__xludf.DUMMYFUNCTION("IF(REGEXMATCH(C246, ""g""), ""3"","""")"),"")</f>
        <v/>
      </c>
      <c r="AA246" s="245" t="str">
        <f>IFERROR(__xludf.DUMMYFUNCTION("IF(REGEXMATCH(C246, ""G""), ""4"","""")"),"")</f>
        <v/>
      </c>
      <c r="AB246" s="245" t="str">
        <f>IFERROR(__xludf.DUMMYFUNCTION("IF(REGEXMATCH(C246, ""m""), ""5"","""")"),"5")</f>
        <v>5</v>
      </c>
      <c r="AC246" s="246" t="str">
        <f>IFERROR(__xludf.DUMMYFUNCTION("IF(REGEXMATCH(C246, ""M""), ""6"","""")"),"")</f>
        <v/>
      </c>
      <c r="AD246" s="245" t="str">
        <f>IFERROR(__xludf.DUMMYFUNCTION("IF(REGEXMATCH(C246, ""P""), ""7"","""")"),"7")</f>
        <v>7</v>
      </c>
      <c r="AE246" s="246" t="str">
        <f>IFERROR(__xludf.DUMMYFUNCTION("IF(REGEXMATCH(C246, ""d""), ""8"","""")"),"")</f>
        <v/>
      </c>
      <c r="AF246" s="245" t="str">
        <f>IFERROR(__xludf.DUMMYFUNCTION("IF(REGEXMATCH(C246, ""D""), ""9"","""")"),"9")</f>
        <v>9</v>
      </c>
      <c r="AG246" s="245" t="str">
        <f>IFERROR(__xludf.DUMMYFUNCTION("IF(REGEXMATCH(C246, ""n""), ""10"","""")"),"10")</f>
        <v>10</v>
      </c>
      <c r="AH246" s="246" t="str">
        <f>IFERROR(__xludf.DUMMYFUNCTION("IF(REGEXMATCH(C246, ""N""), ""11"","""")"),"")</f>
        <v/>
      </c>
      <c r="AI246" s="249" t="str">
        <f>IFERROR(__xludf.DUMMYFUNCTION("IF(REGEXMATCH(C246, ""S""), ""0"","""")"),"0")</f>
        <v>0</v>
      </c>
      <c r="AJ246" s="313" t="str">
        <f t="shared" si="11"/>
        <v>-</v>
      </c>
      <c r="AK246" s="313" t="str">
        <f t="shared" si="12"/>
        <v>-</v>
      </c>
      <c r="AL246" s="313" t="str">
        <f t="shared" si="13"/>
        <v>-</v>
      </c>
      <c r="AM246" s="313" t="str">
        <f t="shared" si="14"/>
        <v>-</v>
      </c>
      <c r="AN246" s="313" t="str">
        <f t="shared" si="15"/>
        <v>-</v>
      </c>
      <c r="AO246" s="314" t="str">
        <f t="shared" si="16"/>
        <v>-</v>
      </c>
      <c r="AP246" s="316">
        <f t="shared" si="17"/>
        <v>0</v>
      </c>
      <c r="AQ246" s="319" t="str">
        <f t="shared" si="18"/>
        <v>-</v>
      </c>
      <c r="AR246" s="320">
        <f t="shared" si="19"/>
        <v>0</v>
      </c>
      <c r="AS246" s="250" t="str">
        <f>IFERROR(__xludf.DUMMYFUNCTION("SUBSTITUTE(SUBSTITUTE(CONCATENATE(JOIN("""",FP246:GA246)),""|"",""x""),""-"",""o"")"),"xoxooxoxoxxo")</f>
        <v>xoxooxoxoxxo</v>
      </c>
      <c r="AT246" s="323" t="str">
        <f>IFERROR(__xludf.DUMMYFUNCTION("JOIN("""",AS246,AS246)"),"xoxooxoxoxxoxoxooxoxoxxo")</f>
        <v>xoxooxoxoxxoxoxooxoxoxxo</v>
      </c>
      <c r="AU246" s="256" t="str">
        <f>IFERROR(__xludf.DUMMYFUNCTION("JOIN("""",ArrayFormula(MID(AS246,LEN(AS246)-SEQUENCE(1,LEN(AS246))+1,1)))"),"oxxoxoxooxox")</f>
        <v>oxxoxoxooxox</v>
      </c>
      <c r="AV246" s="256" t="str">
        <f>IFERROR(__xludf.DUMMYFUNCTION("LEFT(CONCATENATE(""x"",JOIN("""",ArrayFormula(MID(AS246,LEN(AS246)-SEQUENCE(1,LEN(AS246))+1,1)))),12)"),"xoxxoxoxooxo")</f>
        <v>xoxxoxoxooxo</v>
      </c>
      <c r="AW246" s="327" t="str">
        <f>IFERROR(__xludf.DUMMYFUNCTION("JOIN("""",AU246,AU246)"),"oxxoxoxooxoxoxxoxoxooxox")</f>
        <v>oxxoxoxooxoxoxxoxoxooxox</v>
      </c>
      <c r="AX246" s="239" t="str">
        <f>IFERROR(__xludf.DUMMYFUNCTION("IF(REGEXMATCH(AW246,AS246),""✔"",""-"")"),"✔")</f>
        <v>✔</v>
      </c>
      <c r="AY246" s="330" t="str">
        <f t="shared" si="20"/>
        <v>-</v>
      </c>
      <c r="AZ246" s="260" t="str">
        <f t="shared" si="21"/>
        <v>#REF!</v>
      </c>
      <c r="BA246" s="333" t="str">
        <f t="shared" si="22"/>
        <v>xoxooxo</v>
      </c>
      <c r="BB246" s="334" t="str">
        <f t="shared" si="23"/>
        <v>xoxxox</v>
      </c>
      <c r="BC246" s="335" t="str">
        <f t="shared" si="236"/>
        <v>-</v>
      </c>
      <c r="BD246" s="336" t="str">
        <f t="shared" si="25"/>
        <v>Narayani: 'xoxooxo' + 'xoxxox'</v>
      </c>
      <c r="BE246" s="337">
        <f>IFERROR(__xludf.DUMMYFUNCTION("COUNTUNIQUE(FILTER(AT:AT,REGEXMATCH(AT:AT,AS246)))-1"),3.0)</f>
        <v>3</v>
      </c>
      <c r="BF246" s="261" t="str">
        <f>IFERROR(__xludf.DUMMYFUNCTION("IF(BI246=0,""(n/a)"",IF(BJ246=2,""(PAIR)"",IF(REGEXMATCH(AT246,""xoxoxxoxoxox""),""Bilawal"",IF(REGEXMATCH(AT246,""xoxoxooxoxoo""),""Bhupali"",IF(REGEXMATCH(AT246,""xoxoxxoxxoxo""),""Charukeshi"",IF(REGEXMATCH(AT246,""xoxoooxxoxxo""),""Kameshwari"",IF(REG"&amp;"EXMATCH(AT246,""xoxoxooxoxox""),""Shankara"",IF(REGEXMATCH(AT246,""xxooxoxxxoox""),""Basant"",IF(REGEXMATCH(AT246,""xoxoxxxxoxox""),""Bihag"",IF(REGEXMATCH(AT246,""xoxxxxoxoxxx""),""Pilu"",IF(REGEXMATCH(AT246,""xoxxoxoxxoox""),""Kirwani"",IF(REGEXMATCH(AT"&amp;"246,""xoxxoxoxoxxx""),""Mk.Malhar"",IF(REGEXMATCH(AT246,""xxooxxoxxoox""),""Bhairav"",IF(REGEXMATCH(AT246,""xxoxooxxxoox""),""Todi"",IF(REGEXMATCH(AT246,""xxooxoxooxox""),""Marwa"",IF(REGEXMATCH(AT246,""xxoooxoxxooo""),""Gunkali"",IF(REGEXMATCH(AT246,""xo"&amp;"xoxxoxxoox""),""Nat Bhairav"",IF(REGEXMATCH(AT246,""xoxxoooxoxoo""),""Shivranjani"",IF(REGEXMATCH(AT246,""xooxxxoxooxo""),""Jog"",IF(REGEXMATCH(AT246,""xxooxoxoxoox""),""Hemshri"",IF(REGEXMATCH(AT246,""xoooxooxoxxo""),""Kalavati"",IF(REGEXMATCH(AT246,""xx"&amp;"oxoxxoxoox""),""Kedar"",IF(REGEXMATCH(AT246,""xoxxxxoxooxx""),""Gara"",IF(REGEXMATCH(AT246,""xooxoxooxoox""),""Chandrakauns"",IF(REGEXMATCH(AT246,""xoxxxxoxxxox""),""Mand"",IF(REGEXMATCH(AT246,""xoxxxxoxoxox""),""Hanskinkini"",IF(REGEXMATCH(AT246,""xxooxx"&amp;"oxooxo""),""Lilavati"",IF(REGEXMATCH(AT246,""xooxoxoooxox""),""Rajeshwari"",IF(REGEXMATCH(AT246,""xoooxxoxoxxx""),""Khokar"",IF(REGEXMATCH(AT246,""xxooxoxxxxox""),""Maligoura"",""-""))))))))))))))))))))))))))))))"),"Shankara")</f>
        <v>Shankara</v>
      </c>
      <c r="BG246" s="239" t="str">
        <f t="shared" si="26"/>
        <v>#REF!</v>
      </c>
      <c r="BH246" s="239">
        <f>IFERROR(__xludf.DUMMYFUNCTION("COUNTUNIQUE(FE246:FO246)-1"),5.0)</f>
        <v>5</v>
      </c>
      <c r="BI246" s="239">
        <f>IFERROR(__xludf.DUMMYFUNCTION("COUNTUNIQUE(FILTER(AT:AT,REGEXMATCH(AT:AT,AS246)))-1"),3.0)</f>
        <v>3</v>
      </c>
      <c r="BJ246" s="239">
        <f>IFERROR(__xludf.DUMMYFUNCTION("COUNTA(FILTER(AT:AT,REGEXMATCH(AT:AT,AS246)))"),11.0)</f>
        <v>11</v>
      </c>
      <c r="BK246" s="341">
        <f>IFERROR(__xludf.DUMMYFUNCTION("COUNTA(FILTER(AT:AT,REGEXMATCH(AT:AT,AS246)))-AR246"),11.0)</f>
        <v>11</v>
      </c>
      <c r="BL246" s="276" t="str">
        <f>IFERROR(__xludf.DUMMYFUNCTION("IF(AS246=""oooooooooooo"",""-"",IF(REGEXMATCH(AT246,""xx""), ""Hemi."", ""Anhemi.""))"),"Hemi.")</f>
        <v>Hemi.</v>
      </c>
      <c r="BM246" s="282" t="str">
        <f>IFERROR(__xludf.DUMMYFUNCTION("IF(AS246=""oooooooooooo"",""-"",IF(REGEXMATCH(AT246,""xxx""), ""Cohem."", ""-""))"),"-")</f>
        <v>-</v>
      </c>
      <c r="BN246" s="282" t="str">
        <f>IFERROR(__xludf.DUMMYFUNCTION("IF(AS246=""oooooooooooo"",""-"",IF(REGEXMATCH(AT246,""xxxx""), ""Co-Co."", ""-""))"),"-")</f>
        <v>-</v>
      </c>
      <c r="BO246" s="342" t="str">
        <f>IFERROR(__xludf.DUMMYFUNCTION("IF(AS246=""oooooooooooo"",""-"",IF(REGEXMATCH(AT246,""xxxxx""), ""CCC."", ""-""))"),"-")</f>
        <v>-</v>
      </c>
      <c r="BP246" s="344" t="str">
        <f t="shared" si="27"/>
        <v>-</v>
      </c>
      <c r="BQ246" s="282" t="str">
        <f>IFERROR(__xludf.DUMMYFUNCTION("IF(REGEXMATCH(JOIN(""-"",EU246:FD246),""TRUE""),""✔"",""-"")"),"✔")</f>
        <v>✔</v>
      </c>
      <c r="BR246" s="225">
        <f t="shared" si="28"/>
        <v>2</v>
      </c>
      <c r="BS246" s="345" t="str">
        <f>IFERROR(__xludf.DUMMYFUNCTION("SUBSTITUTE(SUBSTITUTE(SUBSTITUTE(SUBSTITUTE(CONCATENATE(JOIN(""-"",GC246:GO246)),""--"",""-""),""--"",""-""),""--"",""-""),""--"",""-"")"),"1-2-4-5-6-b7-8")</f>
        <v>1-2-4-5-6-b7-8</v>
      </c>
      <c r="BT246" s="299" t="str">
        <f>IFERROR(__xludf.DUMMYFUNCTION("SUBSTITUTE(SUBSTITUTE(SUBSTITUTE(SUBSTITUTE(CONCATENATE(JOIN(""-"",GP246:HB246)),""--"",""-""),""--"",""-""),""--"",""-""),""--"",""-"")"),"S-R2-M1-P-D2-N2-S")</f>
        <v>S-R2-M1-P-D2-N2-S</v>
      </c>
      <c r="BU246" s="348" t="str">
        <f t="shared" si="29"/>
        <v>C-D-F-G-A-Bb-C</v>
      </c>
      <c r="BV246" s="349" t="str">
        <f t="shared" si="30"/>
        <v>SrgGMdNS</v>
      </c>
      <c r="BW246" s="350">
        <f t="shared" si="31"/>
        <v>0</v>
      </c>
      <c r="BX246" s="351">
        <f t="shared" si="32"/>
        <v>3</v>
      </c>
      <c r="BY246" s="392"/>
      <c r="BZ246" s="309" t="str">
        <f>IFERROR(__xludf.DUMMYFUNCTION("IF(REGEXMATCH(C246, ""S""), ""x"",""x"")"),"x")</f>
        <v>x</v>
      </c>
      <c r="CA246" s="245" t="str">
        <f>IFERROR(__xludf.DUMMYFUNCTION("IF(REGEXMATCH(C246, ""r""), ""o"",""x"")"),"x")</f>
        <v>x</v>
      </c>
      <c r="CB246" s="246" t="str">
        <f>IFERROR(__xludf.DUMMYFUNCTION("IF(REGEXMATCH(C246, ""R""), ""o"",""x"")"),"o")</f>
        <v>o</v>
      </c>
      <c r="CC246" s="246" t="str">
        <f>IFERROR(__xludf.DUMMYFUNCTION("IF(REGEXMATCH(C246, ""g""), ""o"",""x"")"),"x")</f>
        <v>x</v>
      </c>
      <c r="CD246" s="245" t="str">
        <f>IFERROR(__xludf.DUMMYFUNCTION("IF(REGEXMATCH(C246, ""G""), ""o"",""x"")"),"x")</f>
        <v>x</v>
      </c>
      <c r="CE246" s="245" t="str">
        <f>IFERROR(__xludf.DUMMYFUNCTION("IF(REGEXMATCH(C246, ""m""), ""o"",""x"")"),"o")</f>
        <v>o</v>
      </c>
      <c r="CF246" s="246" t="str">
        <f>IFERROR(__xludf.DUMMYFUNCTION("IF(REGEXMATCH(C246, ""M""), ""o"",""x"")"),"x")</f>
        <v>x</v>
      </c>
      <c r="CG246" s="245" t="str">
        <f>IFERROR(__xludf.DUMMYFUNCTION("IF(REGEXMATCH(C246, ""P""), ""o"",""x"")"),"o")</f>
        <v>o</v>
      </c>
      <c r="CH246" s="246" t="str">
        <f>IFERROR(__xludf.DUMMYFUNCTION("IF(REGEXMATCH(C246, ""d""), ""o"",""x"")"),"x")</f>
        <v>x</v>
      </c>
      <c r="CI246" s="245" t="str">
        <f>IFERROR(__xludf.DUMMYFUNCTION("IF(REGEXMATCH(C246, ""D""), ""o"",""x"")"),"o")</f>
        <v>o</v>
      </c>
      <c r="CJ246" s="245" t="str">
        <f>IFERROR(__xludf.DUMMYFUNCTION("IF(REGEXMATCH(C246, ""n""), ""o"",""x"")"),"o")</f>
        <v>o</v>
      </c>
      <c r="CK246" s="245" t="str">
        <f>IFERROR(__xludf.DUMMYFUNCTION("IF(REGEXMATCH(C246, ""N""), ""o"",""x"")"),"x")</f>
        <v>x</v>
      </c>
      <c r="CL246" s="356" t="str">
        <f>IFERROR(__xludf.DUMMYFUNCTION("IF(REGEXMATCH(C246, ""S""), ""x"",""x"")"),"x")</f>
        <v>x</v>
      </c>
      <c r="CM246" s="357" t="str">
        <f t="shared" si="33"/>
        <v>xxoxxoxoxoox</v>
      </c>
      <c r="CN246" s="358">
        <f t="shared" si="34"/>
        <v>0</v>
      </c>
      <c r="CO246" s="246" t="str">
        <f>IFERROR(__xludf.DUMMYFUNCTION("IF(REGEXMATCH($C246, ""S""), ""S"",""S"")"),"S")</f>
        <v>S</v>
      </c>
      <c r="CP246" s="246" t="str">
        <f>IFERROR(__xludf.DUMMYFUNCTION("IF(REGEXMATCH($C246, ""r""), """",""r"")"),"r")</f>
        <v>r</v>
      </c>
      <c r="CQ246" s="246" t="str">
        <f>IFERROR(__xludf.DUMMYFUNCTION("IF(REGEXMATCH($C246, ""R""), """",""R"")"),"")</f>
        <v/>
      </c>
      <c r="CR246" s="246" t="str">
        <f>IFERROR(__xludf.DUMMYFUNCTION("IF(REGEXMATCH($C246, ""g""), """",""g"")"),"g")</f>
        <v>g</v>
      </c>
      <c r="CS246" s="246" t="str">
        <f>IFERROR(__xludf.DUMMYFUNCTION("IF(REGEXMATCH($C246, ""G""), """",""G"")"),"G")</f>
        <v>G</v>
      </c>
      <c r="CT246" s="246" t="str">
        <f>IFERROR(__xludf.DUMMYFUNCTION("IF(REGEXMATCH($C246, ""m""), """",""m"")"),"")</f>
        <v/>
      </c>
      <c r="CU246" s="246" t="str">
        <f>IFERROR(__xludf.DUMMYFUNCTION("IF(REGEXMATCH($C246, ""M""), """",""M"")"),"M")</f>
        <v>M</v>
      </c>
      <c r="CV246" s="246" t="str">
        <f>IFERROR(__xludf.DUMMYFUNCTION("IF(REGEXMATCH($C246, ""P""), """",""P"")"),"")</f>
        <v/>
      </c>
      <c r="CW246" s="246" t="str">
        <f>IFERROR(__xludf.DUMMYFUNCTION("IF(REGEXMATCH($C246, ""d""), """",""d"")"),"d")</f>
        <v>d</v>
      </c>
      <c r="CX246" s="246" t="str">
        <f>IFERROR(__xludf.DUMMYFUNCTION("IF(REGEXMATCH($C246, ""D""), """",""D"")"),"")</f>
        <v/>
      </c>
      <c r="CY246" s="246" t="str">
        <f>IFERROR(__xludf.DUMMYFUNCTION("IF(REGEXMATCH($C246, ""n""), """",""n"")"),"")</f>
        <v/>
      </c>
      <c r="CZ246" s="246" t="str">
        <f>IFERROR(__xludf.DUMMYFUNCTION("IF(REGEXMATCH($C246, ""N""), """",""N"")"),"N")</f>
        <v>N</v>
      </c>
      <c r="DA246" s="246" t="str">
        <f>IFERROR(__xludf.DUMMYFUNCTION("IF(REGEXMATCH($C246, ""S""), ""S"",""S"")"),"S")</f>
        <v>S</v>
      </c>
      <c r="DB246" s="362" t="str">
        <f>IFERROR(__xludf.DUMMYFUNCTION("JOIN("""",CO246:DA246,"""","""")"),"SrgGMdNS")</f>
        <v>SrgGMdNS</v>
      </c>
      <c r="DC246" s="363"/>
      <c r="DD246" s="301" t="str">
        <f t="shared" si="35"/>
        <v>#REF!</v>
      </c>
      <c r="DE246" s="302" t="str">
        <f t="shared" si="36"/>
        <v>#REF!</v>
      </c>
      <c r="DF246" s="301" t="str">
        <f t="shared" ref="DF246:DG246" si="712">SUBSTITUTE(S246,"-","")</f>
        <v>SRM</v>
      </c>
      <c r="DG246" s="301" t="str">
        <f t="shared" si="712"/>
        <v>PDNS</v>
      </c>
      <c r="DH246" s="302" t="str">
        <f t="shared" si="38"/>
        <v>Shankara</v>
      </c>
      <c r="DI246" s="301" t="str">
        <f t="shared" si="39"/>
        <v>Hemi.</v>
      </c>
      <c r="DJ246" s="364" t="str">
        <f t="shared" si="40"/>
        <v>-</v>
      </c>
      <c r="DK246" s="306" t="str">
        <f t="shared" si="41"/>
        <v>-</v>
      </c>
      <c r="DL246" s="366" t="str">
        <f t="shared" si="42"/>
        <v>✔</v>
      </c>
      <c r="DM246" s="308" t="str">
        <f t="shared" si="43"/>
        <v>-</v>
      </c>
      <c r="DN246" s="306" t="str">
        <f t="shared" si="44"/>
        <v>-</v>
      </c>
      <c r="DO246" s="306" t="str">
        <f t="shared" si="45"/>
        <v>-</v>
      </c>
      <c r="DP246" s="367" t="str">
        <f t="shared" si="46"/>
        <v>-</v>
      </c>
      <c r="DQ246" s="310" t="str">
        <f t="shared" si="47"/>
        <v>-</v>
      </c>
      <c r="DR246" s="310" t="str">
        <f t="shared" si="48"/>
        <v>-</v>
      </c>
      <c r="DS246" s="310" t="str">
        <f t="shared" si="49"/>
        <v>-</v>
      </c>
      <c r="DT246" s="310" t="str">
        <f t="shared" si="50"/>
        <v>-</v>
      </c>
      <c r="DU246" s="370" t="str">
        <f t="shared" si="51"/>
        <v>-</v>
      </c>
      <c r="DV246" s="306" t="str">
        <f t="shared" si="52"/>
        <v>-</v>
      </c>
      <c r="DW246" s="306" t="str">
        <f t="shared" si="53"/>
        <v>✔</v>
      </c>
      <c r="DX246" s="306" t="str">
        <f t="shared" si="54"/>
        <v>-</v>
      </c>
      <c r="DY246" s="306" t="str">
        <f t="shared" si="55"/>
        <v>-</v>
      </c>
      <c r="DZ246" s="306" t="str">
        <f t="shared" si="56"/>
        <v>-</v>
      </c>
      <c r="EA246" s="367" t="str">
        <f t="shared" si="57"/>
        <v>-</v>
      </c>
      <c r="EB246" s="310" t="str">
        <f>IFERROR(__xludf.DUMMYFUNCTION("IF(REGEXMATCH(AW246,AS246),""✔"",""-"")"),"✔")</f>
        <v>✔</v>
      </c>
      <c r="EC246" s="310" t="str">
        <f t="shared" si="58"/>
        <v>#REF!</v>
      </c>
      <c r="ED246" s="370" t="str">
        <f t="shared" si="59"/>
        <v>-</v>
      </c>
      <c r="EE246" s="340" t="str">
        <f t="shared" si="60"/>
        <v>S-R-m-P-D-n-S</v>
      </c>
      <c r="EF246" s="371" t="str">
        <f>IFERROR(__xludf.DUMMYFUNCTION("CONCATENATE(JOIN("""",HC246:HO246))"),"SRgmPnS")</f>
        <v>SRgmPnS</v>
      </c>
      <c r="EG246" s="372">
        <f t="shared" si="61"/>
        <v>1</v>
      </c>
      <c r="EH246" s="373" t="str">
        <f>IFERROR(__xludf.DUMMYFUNCTION("CONCATENATE(JOIN("""",JC246:JO246))"),"Dha, ")</f>
        <v>Dha, </v>
      </c>
      <c r="EI246" s="322">
        <f t="shared" si="62"/>
        <v>0</v>
      </c>
      <c r="EJ246" s="374" t="str">
        <f>IFERROR(__xludf.DUMMYFUNCTION("CONCATENATE(JOIN("""",KC246:KO246))"),"")</f>
        <v/>
      </c>
      <c r="EK246" s="325" t="str">
        <f t="shared" si="63"/>
        <v>S-R2-M1-P-D2-N2-S</v>
      </c>
      <c r="EL246" s="326" t="str">
        <f t="shared" si="64"/>
        <v>1-2-4-5-6-b7-8</v>
      </c>
      <c r="EM246" s="318" t="str">
        <f t="shared" si="65"/>
        <v>#REF!</v>
      </c>
      <c r="EN246" s="328" t="str">
        <f>IFERROR(__xludf.DUMMYFUNCTION("SUBSTITUTE(SUBSTITUTE(SUBSTITUTE(SUBSTITUTE(CONCATENATE(JOIN("" "",HP246:IB246)),""  "","" ""),""  "","" ""),""  "","" ""),""  "","" "")"),"o • o • • o • o • o o • o")</f>
        <v>o • o • • o • o • o o • o</v>
      </c>
      <c r="EO246" s="368" t="str">
        <f t="shared" si="66"/>
        <v>-</v>
      </c>
      <c r="EP246" s="339" t="str">
        <f t="shared" si="67"/>
        <v>-</v>
      </c>
      <c r="EQ246" s="339" t="str">
        <f t="shared" si="68"/>
        <v>Sa-Pa</v>
      </c>
      <c r="ER246" s="339" t="str">
        <f t="shared" si="69"/>
        <v>-</v>
      </c>
      <c r="ES246" s="340" t="str">
        <f t="shared" si="70"/>
        <v>-</v>
      </c>
      <c r="ET246" s="363"/>
      <c r="EU246" s="376" t="b">
        <f>IFERROR(__xludf.DUMMYFUNCTION("arrayformula(sum(--REGEXMATCH(""SRGMPDNS"",split(REGEXREPLACE(C246,""(.)"",""$1~""),""~""))))=len(C246)
"),FALSE)</f>
        <v>0</v>
      </c>
      <c r="EV246" s="290" t="b">
        <f>IFERROR(__xludf.DUMMYFUNCTION("arrayformula(sum(--REGEXMATCH(""SRGmPDNS"",split(REGEXREPLACE(C246,""(.)"",""$1~""),""~""))))=len(C246)"),FALSE)</f>
        <v>0</v>
      </c>
      <c r="EW246" s="290" t="b">
        <f>IFERROR(__xludf.DUMMYFUNCTION("arrayformula(sum(--REGEXMATCH(""SRGmPDnS"",split(REGEXREPLACE(C246,""(.)"",""$1~""),""~""))))=len(C246)"),TRUE)</f>
        <v>1</v>
      </c>
      <c r="EX246" s="290" t="b">
        <f>IFERROR(__xludf.DUMMYFUNCTION("arrayformula(sum(--REGEXMATCH(""SRgmPDnS"",split(REGEXREPLACE(C246,""(.)"",""$1~""),""~""))))=len(C246)"),TRUE)</f>
        <v>1</v>
      </c>
      <c r="EY246" s="290" t="b">
        <f>IFERROR(__xludf.DUMMYFUNCTION("arrayformula(sum(--REGEXMATCH(""SRgmPdnS"",split(REGEXREPLACE(C246,""(.)"",""$1~""),""~""))))=len(C246)"),FALSE)</f>
        <v>0</v>
      </c>
      <c r="EZ246" s="290" t="b">
        <f>IFERROR(__xludf.DUMMYFUNCTION("arrayformula(sum(--REGEXMATCH(""SrgmPdnS"",split(REGEXREPLACE(C246,""(.)"",""$1~""),""~""))))=len(C246)"),FALSE)</f>
        <v>0</v>
      </c>
      <c r="FA246" s="290" t="b">
        <f>IFERROR(__xludf.DUMMYFUNCTION("arrayformula(sum(--REGEXMATCH(""SrGmPdNS"",split(REGEXREPLACE(C246,""(.)"",""$1~""),""~""))))=len(C246)"),FALSE)</f>
        <v>0</v>
      </c>
      <c r="FB246" s="290" t="b">
        <f>IFERROR(__xludf.DUMMYFUNCTION("arrayformula(sum(--REGEXMATCH(""SrGMPDNS"",split(REGEXREPLACE(C246,""(.)"",""$1~""),""~""))))=len(C246)"),FALSE)</f>
        <v>0</v>
      </c>
      <c r="FC246" s="290" t="b">
        <f>IFERROR(__xludf.DUMMYFUNCTION("arrayformula(sum(--REGEXMATCH(""SrGMPdNS"",split(REGEXREPLACE(C246,""(.)"",""$1~""),""~""))))=len(C246)"),FALSE)</f>
        <v>0</v>
      </c>
      <c r="FD246" s="377" t="b">
        <f>IFERROR(__xludf.DUMMYFUNCTION("arrayformula(sum(--REGEXMATCH(""SrgMPdNS"",split(REGEXREPLACE(C246,""(.)"",""$1~""),""~""))))=len(C246)"),FALSE)</f>
        <v>0</v>
      </c>
      <c r="FE246" s="269" t="str">
        <f t="shared" si="71"/>
        <v>-</v>
      </c>
      <c r="FF246" s="269" t="str">
        <f t="shared" si="72"/>
        <v>xooxoxoxxox</v>
      </c>
      <c r="FG246" s="271" t="str">
        <f t="shared" si="73"/>
        <v>-</v>
      </c>
      <c r="FH246" s="269" t="str">
        <f t="shared" si="74"/>
        <v>-</v>
      </c>
      <c r="FI246" s="271" t="str">
        <f t="shared" si="75"/>
        <v>xoxoxxoxoxo</v>
      </c>
      <c r="FJ246" s="271" t="str">
        <f t="shared" si="76"/>
        <v>-</v>
      </c>
      <c r="FK246" s="271" t="str">
        <f t="shared" si="77"/>
        <v>xoxxoxoxoox</v>
      </c>
      <c r="FL246" s="271" t="str">
        <f t="shared" si="78"/>
        <v>-</v>
      </c>
      <c r="FM246" s="271" t="str">
        <f t="shared" si="79"/>
        <v>xxoxoxooxox</v>
      </c>
      <c r="FN246" s="271" t="str">
        <f t="shared" si="80"/>
        <v>xoxoxooxoxo</v>
      </c>
      <c r="FO246" s="274" t="str">
        <f t="shared" si="81"/>
        <v>-</v>
      </c>
      <c r="FP246" s="234" t="str">
        <f t="shared" si="82"/>
        <v>|</v>
      </c>
      <c r="FQ246" s="236" t="str">
        <f t="shared" si="83"/>
        <v>-</v>
      </c>
      <c r="FR246" s="237" t="str">
        <f t="shared" si="84"/>
        <v>|</v>
      </c>
      <c r="FS246" s="236" t="str">
        <f t="shared" si="85"/>
        <v>-</v>
      </c>
      <c r="FT246" s="237" t="str">
        <f t="shared" si="86"/>
        <v>-</v>
      </c>
      <c r="FU246" s="236" t="str">
        <f t="shared" si="87"/>
        <v>|</v>
      </c>
      <c r="FV246" s="237" t="str">
        <f t="shared" si="88"/>
        <v>-</v>
      </c>
      <c r="FW246" s="236" t="str">
        <f t="shared" si="89"/>
        <v>|</v>
      </c>
      <c r="FX246" s="237" t="str">
        <f t="shared" si="90"/>
        <v>-</v>
      </c>
      <c r="FY246" s="236" t="str">
        <f t="shared" si="91"/>
        <v>|</v>
      </c>
      <c r="FZ246" s="237" t="str">
        <f t="shared" si="92"/>
        <v>|</v>
      </c>
      <c r="GA246" s="236" t="str">
        <f t="shared" si="93"/>
        <v>-</v>
      </c>
      <c r="GB246" s="238" t="str">
        <f t="shared" si="94"/>
        <v>|</v>
      </c>
      <c r="GC246" s="244" t="str">
        <f>IFERROR(__xludf.DUMMYFUNCTION("IF(REGEXMATCH(C246, ""S""), ""1"","""")"),"1")</f>
        <v>1</v>
      </c>
      <c r="GD246" s="245" t="str">
        <f>IFERROR(__xludf.DUMMYFUNCTION("IF(REGEXMATCH(C246, ""r""), ""b2"","""")"),"")</f>
        <v/>
      </c>
      <c r="GE246" s="246" t="str">
        <f>IFERROR(__xludf.DUMMYFUNCTION("IF(REGEXMATCH(C246, ""R""), ""2"","""")"),"2")</f>
        <v>2</v>
      </c>
      <c r="GF246" s="246" t="str">
        <f>IFERROR(__xludf.DUMMYFUNCTION("IF(REGEXMATCH(C246, ""g""), ""b3"","""")"),"")</f>
        <v/>
      </c>
      <c r="GG246" s="245" t="str">
        <f>IFERROR(__xludf.DUMMYFUNCTION("IF(REGEXMATCH(C246, ""G""), ""3"","""")"),"")</f>
        <v/>
      </c>
      <c r="GH246" s="245" t="str">
        <f>IFERROR(__xludf.DUMMYFUNCTION("IF(REGEXMATCH(C246, ""m""), ""4"","""")"),"4")</f>
        <v>4</v>
      </c>
      <c r="GI246" s="246" t="str">
        <f>IFERROR(__xludf.DUMMYFUNCTION("IF(REGEXMATCH(C246, ""M""), ""#4"","""")"),"")</f>
        <v/>
      </c>
      <c r="GJ246" s="245" t="str">
        <f>IFERROR(__xludf.DUMMYFUNCTION("IF(REGEXMATCH(C246, ""P""), ""5"","""")"),"5")</f>
        <v>5</v>
      </c>
      <c r="GK246" s="246" t="str">
        <f>IFERROR(__xludf.DUMMYFUNCTION("IF(REGEXMATCH(C246, ""d""), ""b6"","""")"),"")</f>
        <v/>
      </c>
      <c r="GL246" s="245" t="str">
        <f>IFERROR(__xludf.DUMMYFUNCTION("IF(REGEXMATCH(C246, ""D""), ""6"","""")"),"6")</f>
        <v>6</v>
      </c>
      <c r="GM246" s="245" t="str">
        <f>IFERROR(__xludf.DUMMYFUNCTION("IF(REGEXMATCH(C246, ""n""), ""b7"","""")"),"b7")</f>
        <v>b7</v>
      </c>
      <c r="GN246" s="246" t="str">
        <f>IFERROR(__xludf.DUMMYFUNCTION("IF(REGEXMATCH(C246, ""N""), ""7"","""")"),"")</f>
        <v/>
      </c>
      <c r="GO246" s="249" t="str">
        <f>IFERROR(__xludf.DUMMYFUNCTION("IF(REGEXMATCH(C246, ""S""), ""8"","""")"),"8")</f>
        <v>8</v>
      </c>
      <c r="GP246" s="244" t="str">
        <f>IFERROR(__xludf.DUMMYFUNCTION("IF(REGEXMATCH(C246, ""S""), ""S"","""")"),"S")</f>
        <v>S</v>
      </c>
      <c r="GQ246" s="294" t="str">
        <f>IFERROR(__xludf.DUMMYFUNCTION("IF(REGEXMATCH(C246, ""r""), ""R1"","""")"),"")</f>
        <v/>
      </c>
      <c r="GR246" s="295" t="str">
        <f>IFERROR(__xludf.DUMMYFUNCTION("IF(REGEXMATCH(C246, ""R""), ""R2"","""")"),"R2")</f>
        <v>R2</v>
      </c>
      <c r="GS246" s="295" t="str">
        <f>IFERROR(__xludf.DUMMYFUNCTION("IF(REGEXMATCH(C246, ""g""), ""G2"","""")"),"")</f>
        <v/>
      </c>
      <c r="GT246" s="294" t="str">
        <f>IFERROR(__xludf.DUMMYFUNCTION("IF(REGEXMATCH(C246, ""G""), ""G3"","""")"),"")</f>
        <v/>
      </c>
      <c r="GU246" s="294" t="str">
        <f>IFERROR(__xludf.DUMMYFUNCTION("IF(REGEXMATCH(C246, ""m""), ""M1"","""")"),"M1")</f>
        <v>M1</v>
      </c>
      <c r="GV246" s="295" t="str">
        <f>IFERROR(__xludf.DUMMYFUNCTION("IF(REGEXMATCH(C246, ""M""), ""M2"","""")"),"")</f>
        <v/>
      </c>
      <c r="GW246" s="294" t="str">
        <f>IFERROR(__xludf.DUMMYFUNCTION("IF(REGEXMATCH(C246, ""P""), ""P"","""")"),"P")</f>
        <v>P</v>
      </c>
      <c r="GX246" s="295" t="str">
        <f>IFERROR(__xludf.DUMMYFUNCTION("IF(REGEXMATCH(C246, ""d""), ""D1"","""")"),"")</f>
        <v/>
      </c>
      <c r="GY246" s="294" t="str">
        <f>IFERROR(__xludf.DUMMYFUNCTION("IF(REGEXMATCH(C246, ""D""), ""D2"","""")"),"D2")</f>
        <v>D2</v>
      </c>
      <c r="GZ246" s="294" t="str">
        <f>IFERROR(__xludf.DUMMYFUNCTION("IF(REGEXMATCH(C246, ""n""), ""N2"","""")"),"N2")</f>
        <v>N2</v>
      </c>
      <c r="HA246" s="295" t="str">
        <f>IFERROR(__xludf.DUMMYFUNCTION("IF(REGEXMATCH(C246, ""N""), ""N3"","""")"),"")</f>
        <v/>
      </c>
      <c r="HB246" s="249" t="str">
        <f>IFERROR(__xludf.DUMMYFUNCTION("IF(REGEXMATCH(C246, ""S""), ""S"","""")"),"S")</f>
        <v>S</v>
      </c>
      <c r="HC246" s="331" t="str">
        <f t="shared" si="95"/>
        <v>S</v>
      </c>
      <c r="HD246" s="332" t="str">
        <f t="shared" si="96"/>
        <v/>
      </c>
      <c r="HE246" s="332" t="str">
        <f t="shared" si="97"/>
        <v>R</v>
      </c>
      <c r="HF246" s="332" t="str">
        <f t="shared" si="98"/>
        <v>g</v>
      </c>
      <c r="HG246" s="332" t="str">
        <f t="shared" si="99"/>
        <v/>
      </c>
      <c r="HH246" s="332" t="str">
        <f t="shared" si="100"/>
        <v>m</v>
      </c>
      <c r="HI246" s="332" t="str">
        <f t="shared" si="101"/>
        <v/>
      </c>
      <c r="HJ246" s="332" t="str">
        <f t="shared" si="102"/>
        <v>P</v>
      </c>
      <c r="HK246" s="332" t="str">
        <f t="shared" si="103"/>
        <v/>
      </c>
      <c r="HL246" s="332" t="str">
        <f t="shared" si="104"/>
        <v/>
      </c>
      <c r="HM246" s="332" t="str">
        <f t="shared" si="105"/>
        <v>n</v>
      </c>
      <c r="HN246" s="332" t="str">
        <f t="shared" si="106"/>
        <v/>
      </c>
      <c r="HO246" s="343" t="str">
        <f t="shared" si="107"/>
        <v>S</v>
      </c>
      <c r="HP246" s="331" t="str">
        <f t="shared" si="108"/>
        <v>o</v>
      </c>
      <c r="HQ246" s="332" t="str">
        <f t="shared" si="109"/>
        <v>•</v>
      </c>
      <c r="HR246" s="332" t="str">
        <f t="shared" si="110"/>
        <v>o</v>
      </c>
      <c r="HS246" s="332" t="str">
        <f t="shared" si="111"/>
        <v>•</v>
      </c>
      <c r="HT246" s="332" t="str">
        <f t="shared" si="112"/>
        <v>•</v>
      </c>
      <c r="HU246" s="332" t="str">
        <f t="shared" si="113"/>
        <v>o</v>
      </c>
      <c r="HV246" s="332" t="str">
        <f t="shared" si="114"/>
        <v>•</v>
      </c>
      <c r="HW246" s="332" t="str">
        <f t="shared" si="115"/>
        <v>o</v>
      </c>
      <c r="HX246" s="332" t="str">
        <f t="shared" si="116"/>
        <v>•</v>
      </c>
      <c r="HY246" s="332" t="str">
        <f t="shared" si="117"/>
        <v>o</v>
      </c>
      <c r="HZ246" s="332" t="str">
        <f t="shared" si="118"/>
        <v>o</v>
      </c>
      <c r="IA246" s="332" t="str">
        <f t="shared" si="119"/>
        <v>•</v>
      </c>
      <c r="IB246" s="338" t="str">
        <f t="shared" si="120"/>
        <v>o</v>
      </c>
      <c r="IC246" s="331" t="str">
        <f t="shared" si="121"/>
        <v>•</v>
      </c>
      <c r="ID246" s="332" t="str">
        <f t="shared" si="122"/>
        <v>o</v>
      </c>
      <c r="IE246" s="332" t="str">
        <f t="shared" si="123"/>
        <v>•</v>
      </c>
      <c r="IF246" s="332" t="str">
        <f t="shared" si="124"/>
        <v>o</v>
      </c>
      <c r="IG246" s="332" t="str">
        <f t="shared" si="125"/>
        <v>o</v>
      </c>
      <c r="IH246" s="332" t="str">
        <f t="shared" si="126"/>
        <v>•</v>
      </c>
      <c r="II246" s="332" t="str">
        <f t="shared" si="127"/>
        <v>o</v>
      </c>
      <c r="IJ246" s="332" t="str">
        <f t="shared" si="128"/>
        <v>•</v>
      </c>
      <c r="IK246" s="332" t="str">
        <f t="shared" si="129"/>
        <v>o</v>
      </c>
      <c r="IL246" s="332" t="str">
        <f t="shared" si="130"/>
        <v>•</v>
      </c>
      <c r="IM246" s="332" t="str">
        <f t="shared" si="131"/>
        <v>•</v>
      </c>
      <c r="IN246" s="332" t="str">
        <f t="shared" si="132"/>
        <v>o</v>
      </c>
      <c r="IO246" s="338" t="str">
        <f t="shared" si="133"/>
        <v>•</v>
      </c>
      <c r="IP246" s="346" t="b">
        <f t="shared" si="134"/>
        <v>0</v>
      </c>
      <c r="IQ246" s="347" t="b">
        <f t="shared" si="135"/>
        <v>0</v>
      </c>
      <c r="IR246" s="347" t="b">
        <f t="shared" si="136"/>
        <v>0</v>
      </c>
      <c r="IS246" s="347" t="b">
        <f t="shared" si="137"/>
        <v>0</v>
      </c>
      <c r="IT246" s="347" t="b">
        <f t="shared" si="138"/>
        <v>0</v>
      </c>
      <c r="IU246" s="347" t="b">
        <f t="shared" si="139"/>
        <v>0</v>
      </c>
      <c r="IV246" s="347" t="b">
        <f t="shared" si="140"/>
        <v>0</v>
      </c>
      <c r="IW246" s="347" t="b">
        <f t="shared" si="141"/>
        <v>0</v>
      </c>
      <c r="IX246" s="347" t="b">
        <f t="shared" si="142"/>
        <v>0</v>
      </c>
      <c r="IY246" s="347" t="b">
        <f t="shared" si="143"/>
        <v>1</v>
      </c>
      <c r="IZ246" s="347" t="b">
        <f t="shared" si="144"/>
        <v>0</v>
      </c>
      <c r="JA246" s="347" t="b">
        <f t="shared" si="145"/>
        <v>0</v>
      </c>
      <c r="JB246" s="353" t="b">
        <f t="shared" si="146"/>
        <v>0</v>
      </c>
      <c r="JC246" s="354" t="str">
        <f t="shared" si="147"/>
        <v/>
      </c>
      <c r="JD246" s="355" t="str">
        <f t="shared" si="148"/>
        <v/>
      </c>
      <c r="JE246" s="355" t="str">
        <f t="shared" si="149"/>
        <v/>
      </c>
      <c r="JF246" s="355" t="str">
        <f t="shared" si="150"/>
        <v/>
      </c>
      <c r="JG246" s="355" t="str">
        <f t="shared" si="151"/>
        <v/>
      </c>
      <c r="JH246" s="355" t="str">
        <f t="shared" si="152"/>
        <v/>
      </c>
      <c r="JI246" s="355" t="str">
        <f t="shared" si="153"/>
        <v/>
      </c>
      <c r="JJ246" s="355" t="str">
        <f t="shared" si="154"/>
        <v/>
      </c>
      <c r="JK246" s="355" t="str">
        <f t="shared" si="155"/>
        <v/>
      </c>
      <c r="JL246" s="355" t="str">
        <f t="shared" si="156"/>
        <v>Dha, </v>
      </c>
      <c r="JM246" s="355" t="str">
        <f t="shared" si="157"/>
        <v/>
      </c>
      <c r="JN246" s="355" t="str">
        <f t="shared" si="158"/>
        <v/>
      </c>
      <c r="JO246" s="359" t="str">
        <f t="shared" si="159"/>
        <v/>
      </c>
      <c r="JP246" s="346" t="b">
        <f t="shared" si="160"/>
        <v>0</v>
      </c>
      <c r="JQ246" s="347" t="b">
        <f t="shared" si="161"/>
        <v>0</v>
      </c>
      <c r="JR246" s="347" t="b">
        <f t="shared" si="162"/>
        <v>0</v>
      </c>
      <c r="JS246" s="347" t="b">
        <f t="shared" si="163"/>
        <v>0</v>
      </c>
      <c r="JT246" s="347" t="b">
        <f t="shared" si="164"/>
        <v>0</v>
      </c>
      <c r="JU246" s="347" t="b">
        <f t="shared" si="165"/>
        <v>0</v>
      </c>
      <c r="JV246" s="347" t="b">
        <f t="shared" si="166"/>
        <v>0</v>
      </c>
      <c r="JW246" s="347" t="b">
        <f t="shared" si="167"/>
        <v>0</v>
      </c>
      <c r="JX246" s="347" t="b">
        <f t="shared" si="168"/>
        <v>0</v>
      </c>
      <c r="JY246" s="347" t="b">
        <f t="shared" si="169"/>
        <v>0</v>
      </c>
      <c r="JZ246" s="347" t="b">
        <f t="shared" si="170"/>
        <v>0</v>
      </c>
      <c r="KA246" s="347" t="b">
        <f t="shared" si="171"/>
        <v>0</v>
      </c>
      <c r="KB246" s="365" t="b">
        <f t="shared" si="172"/>
        <v>0</v>
      </c>
      <c r="KC246" s="354" t="str">
        <f t="shared" si="173"/>
        <v/>
      </c>
      <c r="KD246" s="355" t="str">
        <f t="shared" si="174"/>
        <v/>
      </c>
      <c r="KE246" s="355" t="str">
        <f t="shared" si="175"/>
        <v/>
      </c>
      <c r="KF246" s="355" t="str">
        <f t="shared" si="176"/>
        <v/>
      </c>
      <c r="KG246" s="355" t="str">
        <f t="shared" si="177"/>
        <v/>
      </c>
      <c r="KH246" s="355" t="str">
        <f t="shared" si="178"/>
        <v/>
      </c>
      <c r="KI246" s="355" t="str">
        <f t="shared" si="179"/>
        <v/>
      </c>
      <c r="KJ246" s="355" t="str">
        <f t="shared" si="180"/>
        <v/>
      </c>
      <c r="KK246" s="355" t="str">
        <f t="shared" si="181"/>
        <v/>
      </c>
      <c r="KL246" s="355" t="str">
        <f t="shared" si="182"/>
        <v/>
      </c>
      <c r="KM246" s="355" t="str">
        <f t="shared" si="183"/>
        <v/>
      </c>
      <c r="KN246" s="355" t="str">
        <f t="shared" si="184"/>
        <v/>
      </c>
      <c r="KO246" s="359"/>
      <c r="KP246" s="378"/>
      <c r="KQ246" s="379" t="s">
        <v>719</v>
      </c>
      <c r="KR246" s="380" t="s">
        <v>1387</v>
      </c>
      <c r="KS246" s="381" t="str">
        <f t="shared" si="710"/>
        <v>S-R-m-P-D-S</v>
      </c>
      <c r="KT246" s="382">
        <f t="shared" si="186"/>
        <v>5</v>
      </c>
      <c r="KU246" s="383">
        <f t="shared" si="187"/>
        <v>5</v>
      </c>
      <c r="KV246" s="381" t="str">
        <f t="shared" si="205"/>
        <v>S-n-D-P-m-R-S</v>
      </c>
      <c r="KW246" s="382">
        <f t="shared" si="189"/>
        <v>6</v>
      </c>
      <c r="KX246" s="384">
        <f t="shared" si="190"/>
        <v>6</v>
      </c>
      <c r="KY246" s="382">
        <f t="shared" ref="KY246:KZ246" si="713">KW246-KT246</f>
        <v>1</v>
      </c>
      <c r="KZ246" s="369">
        <f t="shared" si="713"/>
        <v>1</v>
      </c>
      <c r="LA246" s="385" t="str">
        <f t="shared" si="192"/>
        <v>-</v>
      </c>
      <c r="LB246" s="340" t="str">
        <f>IFERROR(__xludf.DUMMYFUNCTION("JOIN("""",ArrayFormula(MID(KS246,LEN(KS246)-SEQUENCE(1,LEN(KS246))+1,1)))"),"S-D-P-m-R-S")</f>
        <v>S-D-P-m-R-S</v>
      </c>
      <c r="LC246" s="373" t="str">
        <f>IFERROR(__xludf.DUMMYFUNCTION("JOIN("""",ArrayFormula(MID(KV246,LEN(KV246)-SEQUENCE(1,LEN(KV246))+1,1)))"),"S-R-m-P-D-n-S")</f>
        <v>S-R-m-P-D-n-S</v>
      </c>
      <c r="LD246" s="373" t="str">
        <f t="shared" si="193"/>
        <v>SRmPDS</v>
      </c>
      <c r="LE246" s="339" t="str">
        <f t="shared" si="194"/>
        <v>SRmPDnS</v>
      </c>
      <c r="LF246" s="386" t="str">
        <f>IFERROR(__xludf.DUMMYFUNCTION("SUBSTITUTE(SUBSTITUTE(CONCATENATE(JOIN("""",LH246:LT246)),""1"",""""),""2"","""")"),"SRmPDnS")</f>
        <v>SRmPDnS</v>
      </c>
      <c r="LG246" s="369" t="str">
        <f t="shared" si="195"/>
        <v>✔</v>
      </c>
      <c r="LH246" s="387" t="str">
        <f>IFERROR(__xludf.DUMMYFUNCTION("IF(REGEXMATCH(LD246, ""S""), ""S"",IF(REGEXMATCH(LE246, ""S""), ""S"",""""))"),"S")</f>
        <v>S</v>
      </c>
      <c r="LI246" s="299" t="str">
        <f>IFERROR(__xludf.DUMMYFUNCTION("IF(REGEXMATCH(LD246, ""r""), ""r1"",IF(REGEXMATCH(LE246, ""r""), ""r2"",""""))"),"")</f>
        <v/>
      </c>
      <c r="LJ246" s="299" t="str">
        <f>IFERROR(__xludf.DUMMYFUNCTION("IF(REGEXMATCH(LD246, ""R""), ""R1"",IF(REGEXMATCH(LE246, ""R""), ""R2"",""""))"),"R1")</f>
        <v>R1</v>
      </c>
      <c r="LK246" s="299" t="str">
        <f>IFERROR(__xludf.DUMMYFUNCTION("IF(REGEXMATCH(LD246, ""g""), ""g1"",IF(REGEXMATCH(LE246, ""g""), ""g2"",""""))"),"")</f>
        <v/>
      </c>
      <c r="LL246" s="299" t="str">
        <f>IFERROR(__xludf.DUMMYFUNCTION("IF(REGEXMATCH(LD246, ""G""), ""G1"",IF(REGEXMATCH(LE246, ""G""), ""G2"",""""))"),"")</f>
        <v/>
      </c>
      <c r="LM246" s="299" t="str">
        <f>IFERROR(__xludf.DUMMYFUNCTION("IF(REGEXMATCH(LD246, ""m""), ""m1"",IF(REGEXMATCH(LE246, ""m""), ""m2"",""""))"),"m1")</f>
        <v>m1</v>
      </c>
      <c r="LN246" s="299" t="str">
        <f>IFERROR(__xludf.DUMMYFUNCTION("IF(REGEXMATCH(LD246, ""M""), ""M1"",IF(REGEXMATCH(LE246, ""M""), ""M2"",""""))"),"")</f>
        <v/>
      </c>
      <c r="LO246" s="299" t="str">
        <f>IFERROR(__xludf.DUMMYFUNCTION("IF(REGEXMATCH(LD246, ""P""), ""P1"",IF(REGEXMATCH(LE246, ""P""), ""P2"",""""))"),"P1")</f>
        <v>P1</v>
      </c>
      <c r="LP246" s="299" t="str">
        <f>IFERROR(__xludf.DUMMYFUNCTION("IF(REGEXMATCH(LD246, ""d""), ""d1"",IF(REGEXMATCH(LE246, ""d""), ""d2"",""""))"),"")</f>
        <v/>
      </c>
      <c r="LQ246" s="299" t="str">
        <f>IFERROR(__xludf.DUMMYFUNCTION("IF(REGEXMATCH(LD246, ""D""), ""D1"",IF(REGEXMATCH(LE246, ""D""), ""D2"",""""))"),"D1")</f>
        <v>D1</v>
      </c>
      <c r="LR246" s="299" t="str">
        <f>IFERROR(__xludf.DUMMYFUNCTION("IF(REGEXMATCH(LD246, ""n""), ""n1"",IF(REGEXMATCH(LE246, ""n""), ""n2"",""""))"),"n2")</f>
        <v>n2</v>
      </c>
      <c r="LS246" s="299" t="str">
        <f>IFERROR(__xludf.DUMMYFUNCTION("IF(REGEXMATCH(LD246, ""N""), ""N1"",IF(REGEXMATCH(LE246, ""N""), ""N2"",""""))"),"")</f>
        <v/>
      </c>
      <c r="LT246" s="388" t="str">
        <f>IFERROR(__xludf.DUMMYFUNCTION("IF(REGEXMATCH(LD246, ""S""), ""S"",IF(REGEXMATCH(LE246, ""S""), ""S"",""""))"),"S")</f>
        <v>S</v>
      </c>
      <c r="LU246" s="389">
        <f t="shared" si="196"/>
        <v>-1</v>
      </c>
      <c r="LV246" s="378"/>
      <c r="LW246" s="369"/>
      <c r="LX246" s="369"/>
    </row>
    <row r="247" ht="18.0" customHeight="1">
      <c r="A247" s="298" t="s">
        <v>1016</v>
      </c>
      <c r="B247" s="222" t="s">
        <v>554</v>
      </c>
      <c r="C247" s="233" t="str">
        <f t="shared" si="7"/>
        <v>SRGmPDNS</v>
      </c>
      <c r="D247" s="234" t="str">
        <f>IFERROR(__xludf.DUMMYFUNCTION("IF(REGEXMATCH(C247, ""S""), ""S"","""")"),"S")</f>
        <v>S</v>
      </c>
      <c r="E247" s="236" t="str">
        <f>IFERROR(__xludf.DUMMYFUNCTION("IF(REGEXMATCH(C247, ""r""), ""r"","""")"),"")</f>
        <v/>
      </c>
      <c r="F247" s="237" t="str">
        <f>IFERROR(__xludf.DUMMYFUNCTION("IF(REGEXMATCH(C247, ""R""), ""R"","""")"),"R")</f>
        <v>R</v>
      </c>
      <c r="G247" s="237" t="str">
        <f>IFERROR(__xludf.DUMMYFUNCTION("IF(REGEXMATCH(C247, ""g""), ""g"","""")"),"")</f>
        <v/>
      </c>
      <c r="H247" s="236" t="str">
        <f>IFERROR(__xludf.DUMMYFUNCTION("IF(REGEXMATCH(C247, ""G""), ""G"","""")"),"G")</f>
        <v>G</v>
      </c>
      <c r="I247" s="236" t="str">
        <f>IFERROR(__xludf.DUMMYFUNCTION("IF(REGEXMATCH(C247, ""m""), ""m"","""")"),"m")</f>
        <v>m</v>
      </c>
      <c r="J247" s="237" t="str">
        <f>IFERROR(__xludf.DUMMYFUNCTION("IF(REGEXMATCH(C247, ""M""), ""M"","""")"),"")</f>
        <v/>
      </c>
      <c r="K247" s="236" t="str">
        <f>IFERROR(__xludf.DUMMYFUNCTION("IF(REGEXMATCH(C247, ""P""), ""P"","""")"),"P")</f>
        <v>P</v>
      </c>
      <c r="L247" s="237" t="str">
        <f>IFERROR(__xludf.DUMMYFUNCTION("IF(REGEXMATCH(C247, ""d""), ""d"","""")"),"")</f>
        <v/>
      </c>
      <c r="M247" s="236" t="str">
        <f>IFERROR(__xludf.DUMMYFUNCTION("IF(REGEXMATCH(C247, ""D""), ""D"","""")"),"D")</f>
        <v>D</v>
      </c>
      <c r="N247" s="236" t="str">
        <f>IFERROR(__xludf.DUMMYFUNCTION("IF(REGEXMATCH(C247, ""n""), ""n"","""")"),"")</f>
        <v/>
      </c>
      <c r="O247" s="237" t="str">
        <f>IFERROR(__xludf.DUMMYFUNCTION("IF(REGEXMATCH(C247, ""N""), ""N"","""")"),"N")</f>
        <v>N</v>
      </c>
      <c r="P247" s="238" t="str">
        <f>IFERROR(__xludf.DUMMYFUNCTION("IF(REGEXMATCH(C247, ""S""), ""S"","""")"),"S")</f>
        <v>S</v>
      </c>
      <c r="Q247" s="239" t="str">
        <f>IFERROR(__xludf.DUMMYFUNCTION("SUBSTITUTE(CONCATENATE(JOIN(""-"",D247:J247)),""-"","""")"),"SRGm")</f>
        <v>SRGm</v>
      </c>
      <c r="R247" s="229" t="str">
        <f>IFERROR(__xludf.DUMMYFUNCTION("SUBSTITUTE(CONCATENATE(JOIN(""-"",K247:P247)),""-"","""")"),"PDNS")</f>
        <v>PDNS</v>
      </c>
      <c r="S247" s="282" t="str">
        <f t="shared" si="8"/>
        <v>S-R-G-M</v>
      </c>
      <c r="T247" s="282" t="str">
        <f t="shared" si="9"/>
        <v>P-D-N-S</v>
      </c>
      <c r="U247" s="237" t="str">
        <f>IFERROR(__xludf.DUMMYFUNCTION("SUBSTITUTE(JOIN(""-"",S247,T247),""--"",""-"")"),"S-R-G-M-P-D-N-S")</f>
        <v>S-R-G-M-P-D-N-S</v>
      </c>
      <c r="V247" s="309" t="str">
        <f t="shared" si="10"/>
        <v>RGmDN</v>
      </c>
      <c r="W247" s="244" t="str">
        <f>IFERROR(__xludf.DUMMYFUNCTION("IF(REGEXMATCH(C247, ""S""), ""0"","""")"),"0")</f>
        <v>0</v>
      </c>
      <c r="X247" s="245" t="str">
        <f>IFERROR(__xludf.DUMMYFUNCTION("IF(REGEXMATCH(C247, ""r""), ""1"","""")"),"")</f>
        <v/>
      </c>
      <c r="Y247" s="246" t="str">
        <f>IFERROR(__xludf.DUMMYFUNCTION("IF(REGEXMATCH(C247, ""R""), ""2"","""")"),"2")</f>
        <v>2</v>
      </c>
      <c r="Z247" s="246" t="str">
        <f>IFERROR(__xludf.DUMMYFUNCTION("IF(REGEXMATCH(C247, ""g""), ""3"","""")"),"")</f>
        <v/>
      </c>
      <c r="AA247" s="245" t="str">
        <f>IFERROR(__xludf.DUMMYFUNCTION("IF(REGEXMATCH(C247, ""G""), ""4"","""")"),"4")</f>
        <v>4</v>
      </c>
      <c r="AB247" s="245" t="str">
        <f>IFERROR(__xludf.DUMMYFUNCTION("IF(REGEXMATCH(C247, ""m""), ""5"","""")"),"5")</f>
        <v>5</v>
      </c>
      <c r="AC247" s="246" t="str">
        <f>IFERROR(__xludf.DUMMYFUNCTION("IF(REGEXMATCH(C247, ""M""), ""6"","""")"),"")</f>
        <v/>
      </c>
      <c r="AD247" s="245" t="str">
        <f>IFERROR(__xludf.DUMMYFUNCTION("IF(REGEXMATCH(C247, ""P""), ""7"","""")"),"7")</f>
        <v>7</v>
      </c>
      <c r="AE247" s="246" t="str">
        <f>IFERROR(__xludf.DUMMYFUNCTION("IF(REGEXMATCH(C247, ""d""), ""8"","""")"),"")</f>
        <v/>
      </c>
      <c r="AF247" s="245" t="str">
        <f>IFERROR(__xludf.DUMMYFUNCTION("IF(REGEXMATCH(C247, ""D""), ""9"","""")"),"9")</f>
        <v>9</v>
      </c>
      <c r="AG247" s="245" t="str">
        <f>IFERROR(__xludf.DUMMYFUNCTION("IF(REGEXMATCH(C247, ""n""), ""10"","""")"),"")</f>
        <v/>
      </c>
      <c r="AH247" s="246" t="str">
        <f>IFERROR(__xludf.DUMMYFUNCTION("IF(REGEXMATCH(C247, ""N""), ""11"","""")"),"11")</f>
        <v>11</v>
      </c>
      <c r="AI247" s="249" t="str">
        <f>IFERROR(__xludf.DUMMYFUNCTION("IF(REGEXMATCH(C247, ""S""), ""0"","""")"),"0")</f>
        <v>0</v>
      </c>
      <c r="AJ247" s="313" t="str">
        <f t="shared" si="11"/>
        <v>-</v>
      </c>
      <c r="AK247" s="313" t="str">
        <f t="shared" si="12"/>
        <v>-</v>
      </c>
      <c r="AL247" s="313" t="str">
        <f t="shared" si="13"/>
        <v>-</v>
      </c>
      <c r="AM247" s="313" t="str">
        <f t="shared" si="14"/>
        <v>-</v>
      </c>
      <c r="AN247" s="313" t="str">
        <f t="shared" si="15"/>
        <v>-</v>
      </c>
      <c r="AO247" s="314" t="str">
        <f t="shared" si="16"/>
        <v>T</v>
      </c>
      <c r="AP247" s="316">
        <f t="shared" si="17"/>
        <v>1</v>
      </c>
      <c r="AQ247" s="319" t="str">
        <f t="shared" si="18"/>
        <v>-</v>
      </c>
      <c r="AR247" s="320">
        <f t="shared" si="19"/>
        <v>0</v>
      </c>
      <c r="AS247" s="250" t="str">
        <f>IFERROR(__xludf.DUMMYFUNCTION("SUBSTITUTE(SUBSTITUTE(CONCATENATE(JOIN("""",FP247:GA247)),""|"",""x""),""-"",""o"")"),"xoxoxxoxoxox")</f>
        <v>xoxoxxoxoxox</v>
      </c>
      <c r="AT247" s="323" t="str">
        <f>IFERROR(__xludf.DUMMYFUNCTION("JOIN("""",AS247,AS247)"),"xoxoxxoxoxoxxoxoxxoxoxox")</f>
        <v>xoxoxxoxoxoxxoxoxxoxoxox</v>
      </c>
      <c r="AU247" s="256" t="str">
        <f>IFERROR(__xludf.DUMMYFUNCTION("JOIN("""",ArrayFormula(MID(AS247,LEN(AS247)-SEQUENCE(1,LEN(AS247))+1,1)))"),"xoxoxoxxoxox")</f>
        <v>xoxoxoxxoxox</v>
      </c>
      <c r="AV247" s="256" t="str">
        <f>IFERROR(__xludf.DUMMYFUNCTION("LEFT(CONCATENATE(""x"",JOIN("""",ArrayFormula(MID(AS247,LEN(AS247)-SEQUENCE(1,LEN(AS247))+1,1)))),12)"),"xxoxoxoxxoxo")</f>
        <v>xxoxoxoxxoxo</v>
      </c>
      <c r="AW247" s="327" t="str">
        <f>IFERROR(__xludf.DUMMYFUNCTION("JOIN("""",AU247,AU247)"),"xoxoxoxxoxoxxoxoxoxxoxox")</f>
        <v>xoxoxoxxoxoxxoxoxoxxoxox</v>
      </c>
      <c r="AX247" s="239" t="str">
        <f>IFERROR(__xludf.DUMMYFUNCTION("IF(REGEXMATCH(AW247,AS247),""✔"",""-"")"),"✔")</f>
        <v>✔</v>
      </c>
      <c r="AY247" s="330" t="str">
        <f t="shared" si="20"/>
        <v>-</v>
      </c>
      <c r="AZ247" s="260" t="str">
        <f t="shared" si="21"/>
        <v>#REF!</v>
      </c>
      <c r="BA247" s="333" t="str">
        <f t="shared" si="22"/>
        <v>xoxoxxo</v>
      </c>
      <c r="BB247" s="334" t="str">
        <f t="shared" si="23"/>
        <v>xoxoxx</v>
      </c>
      <c r="BC247" s="335" t="str">
        <f t="shared" si="236"/>
        <v>✔</v>
      </c>
      <c r="BD247" s="336" t="str">
        <f t="shared" si="25"/>
        <v>Nat: 'xoxoxxo' + 'xoxoxx'</v>
      </c>
      <c r="BE247" s="337">
        <f>IFERROR(__xludf.DUMMYFUNCTION("COUNTUNIQUE(FILTER(AT:AT,REGEXMATCH(AT:AT,AS247)))-1"),6.0)</f>
        <v>6</v>
      </c>
      <c r="BF247" s="261" t="str">
        <f>IFERROR(__xludf.DUMMYFUNCTION("IF(BI247=0,""(n/a)"",IF(BJ247=2,""(PAIR)"",IF(REGEXMATCH(AT247,""xoxoxxoxoxox""),""Bilawal"",IF(REGEXMATCH(AT247,""xoxoxooxoxoo""),""Bhupali"",IF(REGEXMATCH(AT247,""xoxoxxoxxoxo""),""Charukeshi"",IF(REGEXMATCH(AT247,""xoxoooxxoxxo""),""Kameshwari"",IF(REG"&amp;"EXMATCH(AT247,""xoxoxooxoxox""),""Shankara"",IF(REGEXMATCH(AT247,""xxooxoxxxoox""),""Basant"",IF(REGEXMATCH(AT247,""xoxoxxxxoxox""),""Bihag"",IF(REGEXMATCH(AT247,""xoxxxxoxoxxx""),""Pilu"",IF(REGEXMATCH(AT247,""xoxxoxoxxoox""),""Kirwani"",IF(REGEXMATCH(AT"&amp;"247,""xoxxoxoxoxxx""),""Mk.Malhar"",IF(REGEXMATCH(AT247,""xxooxxoxxoox""),""Bhairav"",IF(REGEXMATCH(AT247,""xxoxooxxxoox""),""Todi"",IF(REGEXMATCH(AT247,""xxooxoxooxox""),""Marwa"",IF(REGEXMATCH(AT247,""xxoooxoxxooo""),""Gunkali"",IF(REGEXMATCH(AT247,""xo"&amp;"xoxxoxxoox""),""Nat Bhairav"",IF(REGEXMATCH(AT247,""xoxxoooxoxoo""),""Shivranjani"",IF(REGEXMATCH(AT247,""xooxxxoxooxo""),""Jog"",IF(REGEXMATCH(AT247,""xxooxoxoxoox""),""Hemshri"",IF(REGEXMATCH(AT247,""xoooxooxoxxo""),""Kalavati"",IF(REGEXMATCH(AT247,""xx"&amp;"oxoxxoxoox""),""Kedar"",IF(REGEXMATCH(AT247,""xoxxxxoxooxx""),""Gara"",IF(REGEXMATCH(AT247,""xooxoxooxoox""),""Chandrakauns"",IF(REGEXMATCH(AT247,""xoxxxxoxxxox""),""Mand"",IF(REGEXMATCH(AT247,""xoxxxxoxoxox""),""Hanskinkini"",IF(REGEXMATCH(AT247,""xxooxx"&amp;"oxooxo""),""Lilavati"",IF(REGEXMATCH(AT247,""xooxoxoooxox""),""Rajeshwari"",IF(REGEXMATCH(AT247,""xoooxxoxoxxx""),""Khokar"",IF(REGEXMATCH(AT247,""xxooxoxxxxox""),""Maligoura"",""-""))))))))))))))))))))))))))))))"),"Bilawal")</f>
        <v>Bilawal</v>
      </c>
      <c r="BG247" s="239" t="str">
        <f t="shared" si="26"/>
        <v>#REF!</v>
      </c>
      <c r="BH247" s="239">
        <f>IFERROR(__xludf.DUMMYFUNCTION("COUNTUNIQUE(FE247:FO247)-1"),6.0)</f>
        <v>6</v>
      </c>
      <c r="BI247" s="239">
        <f>IFERROR(__xludf.DUMMYFUNCTION("COUNTUNIQUE(FILTER(AT:AT,REGEXMATCH(AT:AT,AS247)))-1"),6.0)</f>
        <v>6</v>
      </c>
      <c r="BJ247" s="239">
        <f>IFERROR(__xludf.DUMMYFUNCTION("COUNTA(FILTER(AT:AT,REGEXMATCH(AT:AT,AS247)))"),48.0)</f>
        <v>48</v>
      </c>
      <c r="BK247" s="341">
        <f>IFERROR(__xludf.DUMMYFUNCTION("COUNTA(FILTER(AT:AT,REGEXMATCH(AT:AT,AS247)))-AR247"),48.0)</f>
        <v>48</v>
      </c>
      <c r="BL247" s="276" t="str">
        <f>IFERROR(__xludf.DUMMYFUNCTION("IF(AS247=""oooooooooooo"",""-"",IF(REGEXMATCH(AT247,""xx""), ""Hemi."", ""Anhemi.""))"),"Hemi.")</f>
        <v>Hemi.</v>
      </c>
      <c r="BM247" s="282" t="str">
        <f>IFERROR(__xludf.DUMMYFUNCTION("IF(AS247=""oooooooooooo"",""-"",IF(REGEXMATCH(AT247,""xxx""), ""Cohem."", ""-""))"),"-")</f>
        <v>-</v>
      </c>
      <c r="BN247" s="282" t="str">
        <f>IFERROR(__xludf.DUMMYFUNCTION("IF(AS247=""oooooooooooo"",""-"",IF(REGEXMATCH(AT247,""xxxx""), ""Co-Co."", ""-""))"),"-")</f>
        <v>-</v>
      </c>
      <c r="BO247" s="342" t="str">
        <f>IFERROR(__xludf.DUMMYFUNCTION("IF(AS247=""oooooooooooo"",""-"",IF(REGEXMATCH(AT247,""xxxxx""), ""CCC."", ""-""))"),"-")</f>
        <v>-</v>
      </c>
      <c r="BP247" s="344" t="str">
        <f t="shared" si="27"/>
        <v>Bilawal</v>
      </c>
      <c r="BQ247" s="282" t="str">
        <f>IFERROR(__xludf.DUMMYFUNCTION("IF(REGEXMATCH(JOIN(""-"",EU247:FD247),""TRUE""),""✔"",""-"")"),"✔")</f>
        <v>✔</v>
      </c>
      <c r="BR247" s="225">
        <f t="shared" si="28"/>
        <v>1</v>
      </c>
      <c r="BS247" s="345" t="str">
        <f>IFERROR(__xludf.DUMMYFUNCTION("SUBSTITUTE(SUBSTITUTE(SUBSTITUTE(SUBSTITUTE(CONCATENATE(JOIN(""-"",GC247:GO247)),""--"",""-""),""--"",""-""),""--"",""-""),""--"",""-"")"),"1-2-3-4-5-6-7-8")</f>
        <v>1-2-3-4-5-6-7-8</v>
      </c>
      <c r="BT247" s="299" t="str">
        <f>IFERROR(__xludf.DUMMYFUNCTION("SUBSTITUTE(SUBSTITUTE(SUBSTITUTE(SUBSTITUTE(CONCATENATE(JOIN(""-"",GP247:HB247)),""--"",""-""),""--"",""-""),""--"",""-""),""--"",""-"")"),"S-R2-G3-M1-P-D2-N3-S")</f>
        <v>S-R2-G3-M1-P-D2-N3-S</v>
      </c>
      <c r="BU247" s="348" t="str">
        <f t="shared" si="29"/>
        <v>C-D-E-F-G-A-B-C</v>
      </c>
      <c r="BV247" s="349" t="str">
        <f t="shared" si="30"/>
        <v>SrgMdnS</v>
      </c>
      <c r="BW247" s="350">
        <f t="shared" si="31"/>
        <v>1</v>
      </c>
      <c r="BX247" s="351">
        <f t="shared" si="32"/>
        <v>17</v>
      </c>
      <c r="BY247" s="392"/>
      <c r="BZ247" s="309" t="str">
        <f>IFERROR(__xludf.DUMMYFUNCTION("IF(REGEXMATCH(C247, ""S""), ""x"",""x"")"),"x")</f>
        <v>x</v>
      </c>
      <c r="CA247" s="245" t="str">
        <f>IFERROR(__xludf.DUMMYFUNCTION("IF(REGEXMATCH(C247, ""r""), ""o"",""x"")"),"x")</f>
        <v>x</v>
      </c>
      <c r="CB247" s="246" t="str">
        <f>IFERROR(__xludf.DUMMYFUNCTION("IF(REGEXMATCH(C247, ""R""), ""o"",""x"")"),"o")</f>
        <v>o</v>
      </c>
      <c r="CC247" s="246" t="str">
        <f>IFERROR(__xludf.DUMMYFUNCTION("IF(REGEXMATCH(C247, ""g""), ""o"",""x"")"),"x")</f>
        <v>x</v>
      </c>
      <c r="CD247" s="245" t="str">
        <f>IFERROR(__xludf.DUMMYFUNCTION("IF(REGEXMATCH(C247, ""G""), ""o"",""x"")"),"o")</f>
        <v>o</v>
      </c>
      <c r="CE247" s="245" t="str">
        <f>IFERROR(__xludf.DUMMYFUNCTION("IF(REGEXMATCH(C247, ""m""), ""o"",""x"")"),"o")</f>
        <v>o</v>
      </c>
      <c r="CF247" s="246" t="str">
        <f>IFERROR(__xludf.DUMMYFUNCTION("IF(REGEXMATCH(C247, ""M""), ""o"",""x"")"),"x")</f>
        <v>x</v>
      </c>
      <c r="CG247" s="245" t="str">
        <f>IFERROR(__xludf.DUMMYFUNCTION("IF(REGEXMATCH(C247, ""P""), ""o"",""x"")"),"o")</f>
        <v>o</v>
      </c>
      <c r="CH247" s="246" t="str">
        <f>IFERROR(__xludf.DUMMYFUNCTION("IF(REGEXMATCH(C247, ""d""), ""o"",""x"")"),"x")</f>
        <v>x</v>
      </c>
      <c r="CI247" s="245" t="str">
        <f>IFERROR(__xludf.DUMMYFUNCTION("IF(REGEXMATCH(C247, ""D""), ""o"",""x"")"),"o")</f>
        <v>o</v>
      </c>
      <c r="CJ247" s="245" t="str">
        <f>IFERROR(__xludf.DUMMYFUNCTION("IF(REGEXMATCH(C247, ""n""), ""o"",""x"")"),"x")</f>
        <v>x</v>
      </c>
      <c r="CK247" s="245" t="str">
        <f>IFERROR(__xludf.DUMMYFUNCTION("IF(REGEXMATCH(C247, ""N""), ""o"",""x"")"),"o")</f>
        <v>o</v>
      </c>
      <c r="CL247" s="356" t="str">
        <f>IFERROR(__xludf.DUMMYFUNCTION("IF(REGEXMATCH(C247, ""S""), ""x"",""x"")"),"x")</f>
        <v>x</v>
      </c>
      <c r="CM247" s="357" t="str">
        <f t="shared" si="33"/>
        <v>xxoxooxoxoxo</v>
      </c>
      <c r="CN247" s="358">
        <f t="shared" si="34"/>
        <v>1</v>
      </c>
      <c r="CO247" s="246" t="str">
        <f>IFERROR(__xludf.DUMMYFUNCTION("IF(REGEXMATCH($C247, ""S""), ""S"",""S"")"),"S")</f>
        <v>S</v>
      </c>
      <c r="CP247" s="246" t="str">
        <f>IFERROR(__xludf.DUMMYFUNCTION("IF(REGEXMATCH($C247, ""r""), """",""r"")"),"r")</f>
        <v>r</v>
      </c>
      <c r="CQ247" s="246" t="str">
        <f>IFERROR(__xludf.DUMMYFUNCTION("IF(REGEXMATCH($C247, ""R""), """",""R"")"),"")</f>
        <v/>
      </c>
      <c r="CR247" s="246" t="str">
        <f>IFERROR(__xludf.DUMMYFUNCTION("IF(REGEXMATCH($C247, ""g""), """",""g"")"),"g")</f>
        <v>g</v>
      </c>
      <c r="CS247" s="246" t="str">
        <f>IFERROR(__xludf.DUMMYFUNCTION("IF(REGEXMATCH($C247, ""G""), """",""G"")"),"")</f>
        <v/>
      </c>
      <c r="CT247" s="246" t="str">
        <f>IFERROR(__xludf.DUMMYFUNCTION("IF(REGEXMATCH($C247, ""m""), """",""m"")"),"")</f>
        <v/>
      </c>
      <c r="CU247" s="246" t="str">
        <f>IFERROR(__xludf.DUMMYFUNCTION("IF(REGEXMATCH($C247, ""M""), """",""M"")"),"M")</f>
        <v>M</v>
      </c>
      <c r="CV247" s="246" t="str">
        <f>IFERROR(__xludf.DUMMYFUNCTION("IF(REGEXMATCH($C247, ""P""), """",""P"")"),"")</f>
        <v/>
      </c>
      <c r="CW247" s="246" t="str">
        <f>IFERROR(__xludf.DUMMYFUNCTION("IF(REGEXMATCH($C247, ""d""), """",""d"")"),"d")</f>
        <v>d</v>
      </c>
      <c r="CX247" s="246" t="str">
        <f>IFERROR(__xludf.DUMMYFUNCTION("IF(REGEXMATCH($C247, ""D""), """",""D"")"),"")</f>
        <v/>
      </c>
      <c r="CY247" s="246" t="str">
        <f>IFERROR(__xludf.DUMMYFUNCTION("IF(REGEXMATCH($C247, ""n""), """",""n"")"),"n")</f>
        <v>n</v>
      </c>
      <c r="CZ247" s="246" t="str">
        <f>IFERROR(__xludf.DUMMYFUNCTION("IF(REGEXMATCH($C247, ""N""), """",""N"")"),"")</f>
        <v/>
      </c>
      <c r="DA247" s="246" t="str">
        <f>IFERROR(__xludf.DUMMYFUNCTION("IF(REGEXMATCH($C247, ""S""), ""S"",""S"")"),"S")</f>
        <v>S</v>
      </c>
      <c r="DB247" s="362" t="str">
        <f>IFERROR(__xludf.DUMMYFUNCTION("JOIN("""",CO247:DA247,"""","""")"),"SrgMdnS")</f>
        <v>SrgMdnS</v>
      </c>
      <c r="DC247" s="363"/>
      <c r="DD247" s="301" t="str">
        <f t="shared" si="35"/>
        <v>#REF!</v>
      </c>
      <c r="DE247" s="302" t="str">
        <f t="shared" si="36"/>
        <v>#REF!</v>
      </c>
      <c r="DF247" s="301" t="str">
        <f t="shared" ref="DF247:DG247" si="714">SUBSTITUTE(S247,"-","")</f>
        <v>SRGM</v>
      </c>
      <c r="DG247" s="301" t="str">
        <f t="shared" si="714"/>
        <v>PDNS</v>
      </c>
      <c r="DH247" s="302" t="str">
        <f t="shared" si="38"/>
        <v>Bilawal</v>
      </c>
      <c r="DI247" s="301" t="str">
        <f t="shared" si="39"/>
        <v>Hemi.</v>
      </c>
      <c r="DJ247" s="364" t="str">
        <f t="shared" si="40"/>
        <v>-</v>
      </c>
      <c r="DK247" s="306" t="str">
        <f t="shared" si="41"/>
        <v>Bilawal</v>
      </c>
      <c r="DL247" s="366" t="str">
        <f t="shared" si="42"/>
        <v>-</v>
      </c>
      <c r="DM247" s="308" t="str">
        <f t="shared" si="43"/>
        <v>-</v>
      </c>
      <c r="DN247" s="306" t="str">
        <f t="shared" si="44"/>
        <v>✔</v>
      </c>
      <c r="DO247" s="306" t="str">
        <f t="shared" si="45"/>
        <v>-</v>
      </c>
      <c r="DP247" s="367" t="str">
        <f t="shared" si="46"/>
        <v>-</v>
      </c>
      <c r="DQ247" s="310" t="str">
        <f t="shared" si="47"/>
        <v>-</v>
      </c>
      <c r="DR247" s="310" t="str">
        <f t="shared" si="48"/>
        <v>-</v>
      </c>
      <c r="DS247" s="310" t="str">
        <f t="shared" si="49"/>
        <v>-</v>
      </c>
      <c r="DT247" s="310" t="str">
        <f t="shared" si="50"/>
        <v>-</v>
      </c>
      <c r="DU247" s="370" t="str">
        <f t="shared" si="51"/>
        <v>-</v>
      </c>
      <c r="DV247" s="306" t="str">
        <f t="shared" si="52"/>
        <v>-</v>
      </c>
      <c r="DW247" s="306" t="str">
        <f t="shared" si="53"/>
        <v>-</v>
      </c>
      <c r="DX247" s="306" t="str">
        <f t="shared" si="54"/>
        <v>-</v>
      </c>
      <c r="DY247" s="306" t="str">
        <f t="shared" si="55"/>
        <v>-</v>
      </c>
      <c r="DZ247" s="306" t="str">
        <f t="shared" si="56"/>
        <v>-</v>
      </c>
      <c r="EA247" s="367" t="str">
        <f t="shared" si="57"/>
        <v>-</v>
      </c>
      <c r="EB247" s="310" t="str">
        <f>IFERROR(__xludf.DUMMYFUNCTION("IF(REGEXMATCH(AW247,AS247),""✔"",""-"")"),"✔")</f>
        <v>✔</v>
      </c>
      <c r="EC247" s="310" t="str">
        <f t="shared" si="58"/>
        <v>#REF!</v>
      </c>
      <c r="ED247" s="370" t="str">
        <f t="shared" si="59"/>
        <v>-</v>
      </c>
      <c r="EE247" s="340" t="str">
        <f t="shared" si="60"/>
        <v>S-R-G-m-P-D-N-S</v>
      </c>
      <c r="EF247" s="371" t="str">
        <f>IFERROR(__xludf.DUMMYFUNCTION("CONCATENATE(JOIN("""",HC247:HO247))"),"SrgmPdnS")</f>
        <v>SrgmPdnS</v>
      </c>
      <c r="EG247" s="372">
        <f t="shared" si="61"/>
        <v>1</v>
      </c>
      <c r="EH247" s="373" t="str">
        <f>IFERROR(__xludf.DUMMYFUNCTION("CONCATENATE(JOIN("""",JC247:JO247))"),"Ni, ")</f>
        <v>Ni, </v>
      </c>
      <c r="EI247" s="322">
        <f t="shared" si="62"/>
        <v>0</v>
      </c>
      <c r="EJ247" s="374" t="str">
        <f>IFERROR(__xludf.DUMMYFUNCTION("CONCATENATE(JOIN("""",KC247:KO247))"),"")</f>
        <v/>
      </c>
      <c r="EK247" s="325" t="str">
        <f t="shared" si="63"/>
        <v>S-R2-G3-M1-P-D2-N3-S</v>
      </c>
      <c r="EL247" s="326" t="str">
        <f t="shared" si="64"/>
        <v>1-2-3-4-5-6-7-8</v>
      </c>
      <c r="EM247" s="318" t="str">
        <f t="shared" si="65"/>
        <v>#REF!</v>
      </c>
      <c r="EN247" s="328" t="str">
        <f>IFERROR(__xludf.DUMMYFUNCTION("SUBSTITUTE(SUBSTITUTE(SUBSTITUTE(SUBSTITUTE(CONCATENATE(JOIN("" "",HP247:IB247)),""  "","" ""),""  "","" ""),""  "","" ""),""  "","" "")"),"o • o • o o • o • o • o o")</f>
        <v>o • o • o o • o • o • o o</v>
      </c>
      <c r="EO247" s="368" t="str">
        <f t="shared" si="66"/>
        <v>-</v>
      </c>
      <c r="EP247" s="339" t="str">
        <f t="shared" si="67"/>
        <v>-</v>
      </c>
      <c r="EQ247" s="339" t="str">
        <f t="shared" si="68"/>
        <v>Sa-Pa</v>
      </c>
      <c r="ER247" s="339" t="str">
        <f t="shared" si="69"/>
        <v>-</v>
      </c>
      <c r="ES247" s="340" t="str">
        <f t="shared" si="70"/>
        <v>-</v>
      </c>
      <c r="ET247" s="363"/>
      <c r="EU247" s="376" t="b">
        <f>IFERROR(__xludf.DUMMYFUNCTION("arrayformula(sum(--REGEXMATCH(""SRGMPDNS"",split(REGEXREPLACE(C247,""(.)"",""$1~""),""~""))))=len(C247)
"),FALSE)</f>
        <v>0</v>
      </c>
      <c r="EV247" s="290" t="b">
        <f>IFERROR(__xludf.DUMMYFUNCTION("arrayformula(sum(--REGEXMATCH(""SRGmPDNS"",split(REGEXREPLACE(C247,""(.)"",""$1~""),""~""))))=len(C247)"),TRUE)</f>
        <v>1</v>
      </c>
      <c r="EW247" s="290" t="b">
        <f>IFERROR(__xludf.DUMMYFUNCTION("arrayformula(sum(--REGEXMATCH(""SRGmPDnS"",split(REGEXREPLACE(C247,""(.)"",""$1~""),""~""))))=len(C247)"),FALSE)</f>
        <v>0</v>
      </c>
      <c r="EX247" s="290" t="b">
        <f>IFERROR(__xludf.DUMMYFUNCTION("arrayformula(sum(--REGEXMATCH(""SRgmPDnS"",split(REGEXREPLACE(C247,""(.)"",""$1~""),""~""))))=len(C247)"),FALSE)</f>
        <v>0</v>
      </c>
      <c r="EY247" s="290" t="b">
        <f>IFERROR(__xludf.DUMMYFUNCTION("arrayformula(sum(--REGEXMATCH(""SRgmPdnS"",split(REGEXREPLACE(C247,""(.)"",""$1~""),""~""))))=len(C247)"),FALSE)</f>
        <v>0</v>
      </c>
      <c r="EZ247" s="290" t="b">
        <f>IFERROR(__xludf.DUMMYFUNCTION("arrayformula(sum(--REGEXMATCH(""SrgmPdnS"",split(REGEXREPLACE(C247,""(.)"",""$1~""),""~""))))=len(C247)"),FALSE)</f>
        <v>0</v>
      </c>
      <c r="FA247" s="290" t="b">
        <f>IFERROR(__xludf.DUMMYFUNCTION("arrayformula(sum(--REGEXMATCH(""SrGmPdNS"",split(REGEXREPLACE(C247,""(.)"",""$1~""),""~""))))=len(C247)"),FALSE)</f>
        <v>0</v>
      </c>
      <c r="FB247" s="290" t="b">
        <f>IFERROR(__xludf.DUMMYFUNCTION("arrayformula(sum(--REGEXMATCH(""SrGMPDNS"",split(REGEXREPLACE(C247,""(.)"",""$1~""),""~""))))=len(C247)"),FALSE)</f>
        <v>0</v>
      </c>
      <c r="FC247" s="290" t="b">
        <f>IFERROR(__xludf.DUMMYFUNCTION("arrayformula(sum(--REGEXMATCH(""SrGMPdNS"",split(REGEXREPLACE(C247,""(.)"",""$1~""),""~""))))=len(C247)"),FALSE)</f>
        <v>0</v>
      </c>
      <c r="FD247" s="377" t="b">
        <f>IFERROR(__xludf.DUMMYFUNCTION("arrayformula(sum(--REGEXMATCH(""SrgMPdNS"",split(REGEXREPLACE(C247,""(.)"",""$1~""),""~""))))=len(C247)"),FALSE)</f>
        <v>0</v>
      </c>
      <c r="FE247" s="269" t="str">
        <f t="shared" si="71"/>
        <v>-</v>
      </c>
      <c r="FF247" s="269" t="str">
        <f t="shared" si="72"/>
        <v>xoxxoxoxoxx</v>
      </c>
      <c r="FG247" s="271" t="str">
        <f t="shared" si="73"/>
        <v>-</v>
      </c>
      <c r="FH247" s="269" t="str">
        <f t="shared" si="74"/>
        <v>xxoxoxoxxox</v>
      </c>
      <c r="FI247" s="271" t="str">
        <f t="shared" si="75"/>
        <v>xoxoxoxxoxo</v>
      </c>
      <c r="FJ247" s="271" t="str">
        <f t="shared" si="76"/>
        <v>-</v>
      </c>
      <c r="FK247" s="271" t="str">
        <f t="shared" si="77"/>
        <v>xoxoxxoxoxx</v>
      </c>
      <c r="FL247" s="271" t="str">
        <f t="shared" si="78"/>
        <v>-</v>
      </c>
      <c r="FM247" s="271" t="str">
        <f t="shared" si="79"/>
        <v>xoxxoxoxxox</v>
      </c>
      <c r="FN247" s="271" t="str">
        <f t="shared" si="80"/>
        <v>-</v>
      </c>
      <c r="FO247" s="274" t="str">
        <f t="shared" si="81"/>
        <v>xxoxoxxoxox</v>
      </c>
      <c r="FP247" s="234" t="str">
        <f t="shared" si="82"/>
        <v>|</v>
      </c>
      <c r="FQ247" s="236" t="str">
        <f t="shared" si="83"/>
        <v>-</v>
      </c>
      <c r="FR247" s="237" t="str">
        <f t="shared" si="84"/>
        <v>|</v>
      </c>
      <c r="FS247" s="236" t="str">
        <f t="shared" si="85"/>
        <v>-</v>
      </c>
      <c r="FT247" s="237" t="str">
        <f t="shared" si="86"/>
        <v>|</v>
      </c>
      <c r="FU247" s="236" t="str">
        <f t="shared" si="87"/>
        <v>|</v>
      </c>
      <c r="FV247" s="237" t="str">
        <f t="shared" si="88"/>
        <v>-</v>
      </c>
      <c r="FW247" s="236" t="str">
        <f t="shared" si="89"/>
        <v>|</v>
      </c>
      <c r="FX247" s="237" t="str">
        <f t="shared" si="90"/>
        <v>-</v>
      </c>
      <c r="FY247" s="236" t="str">
        <f t="shared" si="91"/>
        <v>|</v>
      </c>
      <c r="FZ247" s="237" t="str">
        <f t="shared" si="92"/>
        <v>-</v>
      </c>
      <c r="GA247" s="236" t="str">
        <f t="shared" si="93"/>
        <v>|</v>
      </c>
      <c r="GB247" s="238" t="str">
        <f t="shared" si="94"/>
        <v>|</v>
      </c>
      <c r="GC247" s="244" t="str">
        <f>IFERROR(__xludf.DUMMYFUNCTION("IF(REGEXMATCH(C247, ""S""), ""1"","""")"),"1")</f>
        <v>1</v>
      </c>
      <c r="GD247" s="245" t="str">
        <f>IFERROR(__xludf.DUMMYFUNCTION("IF(REGEXMATCH(C247, ""r""), ""b2"","""")"),"")</f>
        <v/>
      </c>
      <c r="GE247" s="246" t="str">
        <f>IFERROR(__xludf.DUMMYFUNCTION("IF(REGEXMATCH(C247, ""R""), ""2"","""")"),"2")</f>
        <v>2</v>
      </c>
      <c r="GF247" s="246" t="str">
        <f>IFERROR(__xludf.DUMMYFUNCTION("IF(REGEXMATCH(C247, ""g""), ""b3"","""")"),"")</f>
        <v/>
      </c>
      <c r="GG247" s="245" t="str">
        <f>IFERROR(__xludf.DUMMYFUNCTION("IF(REGEXMATCH(C247, ""G""), ""3"","""")"),"3")</f>
        <v>3</v>
      </c>
      <c r="GH247" s="245" t="str">
        <f>IFERROR(__xludf.DUMMYFUNCTION("IF(REGEXMATCH(C247, ""m""), ""4"","""")"),"4")</f>
        <v>4</v>
      </c>
      <c r="GI247" s="246" t="str">
        <f>IFERROR(__xludf.DUMMYFUNCTION("IF(REGEXMATCH(C247, ""M""), ""#4"","""")"),"")</f>
        <v/>
      </c>
      <c r="GJ247" s="245" t="str">
        <f>IFERROR(__xludf.DUMMYFUNCTION("IF(REGEXMATCH(C247, ""P""), ""5"","""")"),"5")</f>
        <v>5</v>
      </c>
      <c r="GK247" s="246" t="str">
        <f>IFERROR(__xludf.DUMMYFUNCTION("IF(REGEXMATCH(C247, ""d""), ""b6"","""")"),"")</f>
        <v/>
      </c>
      <c r="GL247" s="245" t="str">
        <f>IFERROR(__xludf.DUMMYFUNCTION("IF(REGEXMATCH(C247, ""D""), ""6"","""")"),"6")</f>
        <v>6</v>
      </c>
      <c r="GM247" s="245" t="str">
        <f>IFERROR(__xludf.DUMMYFUNCTION("IF(REGEXMATCH(C247, ""n""), ""b7"","""")"),"")</f>
        <v/>
      </c>
      <c r="GN247" s="246" t="str">
        <f>IFERROR(__xludf.DUMMYFUNCTION("IF(REGEXMATCH(C247, ""N""), ""7"","""")"),"7")</f>
        <v>7</v>
      </c>
      <c r="GO247" s="249" t="str">
        <f>IFERROR(__xludf.DUMMYFUNCTION("IF(REGEXMATCH(C247, ""S""), ""8"","""")"),"8")</f>
        <v>8</v>
      </c>
      <c r="GP247" s="244" t="str">
        <f>IFERROR(__xludf.DUMMYFUNCTION("IF(REGEXMATCH(C247, ""S""), ""S"","""")"),"S")</f>
        <v>S</v>
      </c>
      <c r="GQ247" s="294" t="str">
        <f>IFERROR(__xludf.DUMMYFUNCTION("IF(REGEXMATCH(C247, ""r""), ""R1"","""")"),"")</f>
        <v/>
      </c>
      <c r="GR247" s="295" t="str">
        <f>IFERROR(__xludf.DUMMYFUNCTION("IF(REGEXMATCH(C247, ""R""), ""R2"","""")"),"R2")</f>
        <v>R2</v>
      </c>
      <c r="GS247" s="295" t="str">
        <f>IFERROR(__xludf.DUMMYFUNCTION("IF(REGEXMATCH(C247, ""g""), ""G2"","""")"),"")</f>
        <v/>
      </c>
      <c r="GT247" s="294" t="str">
        <f>IFERROR(__xludf.DUMMYFUNCTION("IF(REGEXMATCH(C247, ""G""), ""G3"","""")"),"G3")</f>
        <v>G3</v>
      </c>
      <c r="GU247" s="294" t="str">
        <f>IFERROR(__xludf.DUMMYFUNCTION("IF(REGEXMATCH(C247, ""m""), ""M1"","""")"),"M1")</f>
        <v>M1</v>
      </c>
      <c r="GV247" s="295" t="str">
        <f>IFERROR(__xludf.DUMMYFUNCTION("IF(REGEXMATCH(C247, ""M""), ""M2"","""")"),"")</f>
        <v/>
      </c>
      <c r="GW247" s="294" t="str">
        <f>IFERROR(__xludf.DUMMYFUNCTION("IF(REGEXMATCH(C247, ""P""), ""P"","""")"),"P")</f>
        <v>P</v>
      </c>
      <c r="GX247" s="295" t="str">
        <f>IFERROR(__xludf.DUMMYFUNCTION("IF(REGEXMATCH(C247, ""d""), ""D1"","""")"),"")</f>
        <v/>
      </c>
      <c r="GY247" s="294" t="str">
        <f>IFERROR(__xludf.DUMMYFUNCTION("IF(REGEXMATCH(C247, ""D""), ""D2"","""")"),"D2")</f>
        <v>D2</v>
      </c>
      <c r="GZ247" s="294" t="str">
        <f>IFERROR(__xludf.DUMMYFUNCTION("IF(REGEXMATCH(C247, ""n""), ""N2"","""")"),"")</f>
        <v/>
      </c>
      <c r="HA247" s="295" t="str">
        <f>IFERROR(__xludf.DUMMYFUNCTION("IF(REGEXMATCH(C247, ""N""), ""N3"","""")"),"N3")</f>
        <v>N3</v>
      </c>
      <c r="HB247" s="249" t="str">
        <f>IFERROR(__xludf.DUMMYFUNCTION("IF(REGEXMATCH(C247, ""S""), ""S"","""")"),"S")</f>
        <v>S</v>
      </c>
      <c r="HC247" s="331" t="str">
        <f t="shared" si="95"/>
        <v>S</v>
      </c>
      <c r="HD247" s="332" t="str">
        <f t="shared" si="96"/>
        <v>r</v>
      </c>
      <c r="HE247" s="332" t="str">
        <f t="shared" si="97"/>
        <v/>
      </c>
      <c r="HF247" s="332" t="str">
        <f t="shared" si="98"/>
        <v>g</v>
      </c>
      <c r="HG247" s="332" t="str">
        <f t="shared" si="99"/>
        <v/>
      </c>
      <c r="HH247" s="332" t="str">
        <f t="shared" si="100"/>
        <v>m</v>
      </c>
      <c r="HI247" s="332" t="str">
        <f t="shared" si="101"/>
        <v/>
      </c>
      <c r="HJ247" s="332" t="str">
        <f t="shared" si="102"/>
        <v>P</v>
      </c>
      <c r="HK247" s="332" t="str">
        <f t="shared" si="103"/>
        <v>d</v>
      </c>
      <c r="HL247" s="332" t="str">
        <f t="shared" si="104"/>
        <v/>
      </c>
      <c r="HM247" s="332" t="str">
        <f t="shared" si="105"/>
        <v>n</v>
      </c>
      <c r="HN247" s="332" t="str">
        <f t="shared" si="106"/>
        <v/>
      </c>
      <c r="HO247" s="343" t="str">
        <f t="shared" si="107"/>
        <v>S</v>
      </c>
      <c r="HP247" s="331" t="str">
        <f t="shared" si="108"/>
        <v>o</v>
      </c>
      <c r="HQ247" s="332" t="str">
        <f t="shared" si="109"/>
        <v>•</v>
      </c>
      <c r="HR247" s="332" t="str">
        <f t="shared" si="110"/>
        <v>o</v>
      </c>
      <c r="HS247" s="332" t="str">
        <f t="shared" si="111"/>
        <v>•</v>
      </c>
      <c r="HT247" s="332" t="str">
        <f t="shared" si="112"/>
        <v>o</v>
      </c>
      <c r="HU247" s="332" t="str">
        <f t="shared" si="113"/>
        <v>o</v>
      </c>
      <c r="HV247" s="332" t="str">
        <f t="shared" si="114"/>
        <v>•</v>
      </c>
      <c r="HW247" s="332" t="str">
        <f t="shared" si="115"/>
        <v>o</v>
      </c>
      <c r="HX247" s="332" t="str">
        <f t="shared" si="116"/>
        <v>•</v>
      </c>
      <c r="HY247" s="332" t="str">
        <f t="shared" si="117"/>
        <v>o</v>
      </c>
      <c r="HZ247" s="332" t="str">
        <f t="shared" si="118"/>
        <v>•</v>
      </c>
      <c r="IA247" s="332" t="str">
        <f t="shared" si="119"/>
        <v>o</v>
      </c>
      <c r="IB247" s="338" t="str">
        <f t="shared" si="120"/>
        <v>o</v>
      </c>
      <c r="IC247" s="331" t="str">
        <f t="shared" si="121"/>
        <v>•</v>
      </c>
      <c r="ID247" s="332" t="str">
        <f t="shared" si="122"/>
        <v>o</v>
      </c>
      <c r="IE247" s="332" t="str">
        <f t="shared" si="123"/>
        <v>•</v>
      </c>
      <c r="IF247" s="332" t="str">
        <f t="shared" si="124"/>
        <v>o</v>
      </c>
      <c r="IG247" s="332" t="str">
        <f t="shared" si="125"/>
        <v>•</v>
      </c>
      <c r="IH247" s="332" t="str">
        <f t="shared" si="126"/>
        <v>•</v>
      </c>
      <c r="II247" s="332" t="str">
        <f t="shared" si="127"/>
        <v>o</v>
      </c>
      <c r="IJ247" s="332" t="str">
        <f t="shared" si="128"/>
        <v>•</v>
      </c>
      <c r="IK247" s="332" t="str">
        <f t="shared" si="129"/>
        <v>o</v>
      </c>
      <c r="IL247" s="332" t="str">
        <f t="shared" si="130"/>
        <v>•</v>
      </c>
      <c r="IM247" s="332" t="str">
        <f t="shared" si="131"/>
        <v>o</v>
      </c>
      <c r="IN247" s="332" t="str">
        <f t="shared" si="132"/>
        <v>•</v>
      </c>
      <c r="IO247" s="338" t="str">
        <f t="shared" si="133"/>
        <v>•</v>
      </c>
      <c r="IP247" s="346" t="b">
        <f t="shared" si="134"/>
        <v>0</v>
      </c>
      <c r="IQ247" s="347" t="b">
        <f t="shared" si="135"/>
        <v>0</v>
      </c>
      <c r="IR247" s="347" t="b">
        <f t="shared" si="136"/>
        <v>0</v>
      </c>
      <c r="IS247" s="347" t="b">
        <f t="shared" si="137"/>
        <v>0</v>
      </c>
      <c r="IT247" s="347" t="b">
        <f t="shared" si="138"/>
        <v>0</v>
      </c>
      <c r="IU247" s="347" t="b">
        <f t="shared" si="139"/>
        <v>0</v>
      </c>
      <c r="IV247" s="347" t="b">
        <f t="shared" si="140"/>
        <v>0</v>
      </c>
      <c r="IW247" s="347" t="b">
        <f t="shared" si="141"/>
        <v>0</v>
      </c>
      <c r="IX247" s="347" t="b">
        <f t="shared" si="142"/>
        <v>0</v>
      </c>
      <c r="IY247" s="347" t="b">
        <f t="shared" si="143"/>
        <v>0</v>
      </c>
      <c r="IZ247" s="347" t="b">
        <f t="shared" si="144"/>
        <v>0</v>
      </c>
      <c r="JA247" s="347" t="b">
        <f t="shared" si="145"/>
        <v>1</v>
      </c>
      <c r="JB247" s="353" t="b">
        <f t="shared" si="146"/>
        <v>0</v>
      </c>
      <c r="JC247" s="354" t="str">
        <f t="shared" si="147"/>
        <v/>
      </c>
      <c r="JD247" s="355" t="str">
        <f t="shared" si="148"/>
        <v/>
      </c>
      <c r="JE247" s="355" t="str">
        <f t="shared" si="149"/>
        <v/>
      </c>
      <c r="JF247" s="355" t="str">
        <f t="shared" si="150"/>
        <v/>
      </c>
      <c r="JG247" s="355" t="str">
        <f t="shared" si="151"/>
        <v/>
      </c>
      <c r="JH247" s="355" t="str">
        <f t="shared" si="152"/>
        <v/>
      </c>
      <c r="JI247" s="355" t="str">
        <f t="shared" si="153"/>
        <v/>
      </c>
      <c r="JJ247" s="355" t="str">
        <f t="shared" si="154"/>
        <v/>
      </c>
      <c r="JK247" s="355" t="str">
        <f t="shared" si="155"/>
        <v/>
      </c>
      <c r="JL247" s="355" t="str">
        <f t="shared" si="156"/>
        <v/>
      </c>
      <c r="JM247" s="355" t="str">
        <f t="shared" si="157"/>
        <v/>
      </c>
      <c r="JN247" s="355" t="str">
        <f t="shared" si="158"/>
        <v>Ni, </v>
      </c>
      <c r="JO247" s="359" t="str">
        <f t="shared" si="159"/>
        <v/>
      </c>
      <c r="JP247" s="346" t="b">
        <f t="shared" si="160"/>
        <v>0</v>
      </c>
      <c r="JQ247" s="347" t="b">
        <f t="shared" si="161"/>
        <v>0</v>
      </c>
      <c r="JR247" s="347" t="b">
        <f t="shared" si="162"/>
        <v>0</v>
      </c>
      <c r="JS247" s="347" t="b">
        <f t="shared" si="163"/>
        <v>0</v>
      </c>
      <c r="JT247" s="347" t="b">
        <f t="shared" si="164"/>
        <v>0</v>
      </c>
      <c r="JU247" s="347" t="b">
        <f t="shared" si="165"/>
        <v>0</v>
      </c>
      <c r="JV247" s="347" t="b">
        <f t="shared" si="166"/>
        <v>0</v>
      </c>
      <c r="JW247" s="347" t="b">
        <f t="shared" si="167"/>
        <v>0</v>
      </c>
      <c r="JX247" s="347" t="b">
        <f t="shared" si="168"/>
        <v>0</v>
      </c>
      <c r="JY247" s="347" t="b">
        <f t="shared" si="169"/>
        <v>0</v>
      </c>
      <c r="JZ247" s="347" t="b">
        <f t="shared" si="170"/>
        <v>0</v>
      </c>
      <c r="KA247" s="347" t="b">
        <f t="shared" si="171"/>
        <v>0</v>
      </c>
      <c r="KB247" s="365" t="b">
        <f t="shared" si="172"/>
        <v>0</v>
      </c>
      <c r="KC247" s="354" t="str">
        <f t="shared" si="173"/>
        <v/>
      </c>
      <c r="KD247" s="355" t="str">
        <f t="shared" si="174"/>
        <v/>
      </c>
      <c r="KE247" s="355" t="str">
        <f t="shared" si="175"/>
        <v/>
      </c>
      <c r="KF247" s="355" t="str">
        <f t="shared" si="176"/>
        <v/>
      </c>
      <c r="KG247" s="355" t="str">
        <f t="shared" si="177"/>
        <v/>
      </c>
      <c r="KH247" s="355" t="str">
        <f t="shared" si="178"/>
        <v/>
      </c>
      <c r="KI247" s="355" t="str">
        <f t="shared" si="179"/>
        <v/>
      </c>
      <c r="KJ247" s="355" t="str">
        <f t="shared" si="180"/>
        <v/>
      </c>
      <c r="KK247" s="355" t="str">
        <f t="shared" si="181"/>
        <v/>
      </c>
      <c r="KL247" s="355" t="str">
        <f t="shared" si="182"/>
        <v/>
      </c>
      <c r="KM247" s="355" t="str">
        <f t="shared" si="183"/>
        <v/>
      </c>
      <c r="KN247" s="355" t="str">
        <f t="shared" si="184"/>
        <v/>
      </c>
      <c r="KO247" s="359"/>
      <c r="KP247" s="378"/>
      <c r="KQ247" s="379" t="s">
        <v>9</v>
      </c>
      <c r="KR247" s="380" t="s">
        <v>1357</v>
      </c>
      <c r="KS247" s="381" t="s">
        <v>9</v>
      </c>
      <c r="KT247" s="382">
        <f t="shared" si="186"/>
        <v>0</v>
      </c>
      <c r="KU247" s="383">
        <f t="shared" si="187"/>
        <v>0</v>
      </c>
      <c r="KV247" s="381" t="str">
        <f t="shared" si="205"/>
        <v>S-N-D-P-m-G-R-S</v>
      </c>
      <c r="KW247" s="382">
        <f t="shared" si="189"/>
        <v>7</v>
      </c>
      <c r="KX247" s="384">
        <f t="shared" si="190"/>
        <v>7</v>
      </c>
      <c r="KY247" s="382">
        <f t="shared" ref="KY247:KZ247" si="715">KW247-KT247</f>
        <v>7</v>
      </c>
      <c r="KZ247" s="369">
        <f t="shared" si="715"/>
        <v>7</v>
      </c>
      <c r="LA247" s="385" t="str">
        <f t="shared" si="192"/>
        <v>-</v>
      </c>
      <c r="LB247" s="340" t="str">
        <f>IFERROR(__xludf.DUMMYFUNCTION("JOIN("""",ArrayFormula(MID(KS247,LEN(KS247)-SEQUENCE(1,LEN(KS247))+1,1)))"),"S")</f>
        <v>S</v>
      </c>
      <c r="LC247" s="373" t="str">
        <f>IFERROR(__xludf.DUMMYFUNCTION("JOIN("""",ArrayFormula(MID(KV247,LEN(KV247)-SEQUENCE(1,LEN(KV247))+1,1)))"),"S-R-G-m-P-D-N-S")</f>
        <v>S-R-G-m-P-D-N-S</v>
      </c>
      <c r="LD247" s="373" t="str">
        <f t="shared" si="193"/>
        <v>S</v>
      </c>
      <c r="LE247" s="339" t="str">
        <f t="shared" si="194"/>
        <v>SRGmPDNS</v>
      </c>
      <c r="LF247" s="386" t="str">
        <f>IFERROR(__xludf.DUMMYFUNCTION("SUBSTITUTE(SUBSTITUTE(CONCATENATE(JOIN("""",LH247:LT247)),""1"",""""),""2"","""")"),"SRGmPDNS")</f>
        <v>SRGmPDNS</v>
      </c>
      <c r="LG247" s="369" t="str">
        <f t="shared" si="195"/>
        <v>✔</v>
      </c>
      <c r="LH247" s="387" t="str">
        <f>IFERROR(__xludf.DUMMYFUNCTION("IF(REGEXMATCH(LD247, ""S""), ""S"",IF(REGEXMATCH(LE247, ""S""), ""S"",""""))"),"S")</f>
        <v>S</v>
      </c>
      <c r="LI247" s="299" t="str">
        <f>IFERROR(__xludf.DUMMYFUNCTION("IF(REGEXMATCH(LD247, ""r""), ""r1"",IF(REGEXMATCH(LE247, ""r""), ""r2"",""""))"),"")</f>
        <v/>
      </c>
      <c r="LJ247" s="299" t="str">
        <f>IFERROR(__xludf.DUMMYFUNCTION("IF(REGEXMATCH(LD247, ""R""), ""R1"",IF(REGEXMATCH(LE247, ""R""), ""R2"",""""))"),"R2")</f>
        <v>R2</v>
      </c>
      <c r="LK247" s="299" t="str">
        <f>IFERROR(__xludf.DUMMYFUNCTION("IF(REGEXMATCH(LD247, ""g""), ""g1"",IF(REGEXMATCH(LE247, ""g""), ""g2"",""""))"),"")</f>
        <v/>
      </c>
      <c r="LL247" s="299" t="str">
        <f>IFERROR(__xludf.DUMMYFUNCTION("IF(REGEXMATCH(LD247, ""G""), ""G1"",IF(REGEXMATCH(LE247, ""G""), ""G2"",""""))"),"G2")</f>
        <v>G2</v>
      </c>
      <c r="LM247" s="299" t="str">
        <f>IFERROR(__xludf.DUMMYFUNCTION("IF(REGEXMATCH(LD247, ""m""), ""m1"",IF(REGEXMATCH(LE247, ""m""), ""m2"",""""))"),"m2")</f>
        <v>m2</v>
      </c>
      <c r="LN247" s="299" t="str">
        <f>IFERROR(__xludf.DUMMYFUNCTION("IF(REGEXMATCH(LD247, ""M""), ""M1"",IF(REGEXMATCH(LE247, ""M""), ""M2"",""""))"),"")</f>
        <v/>
      </c>
      <c r="LO247" s="299" t="str">
        <f>IFERROR(__xludf.DUMMYFUNCTION("IF(REGEXMATCH(LD247, ""P""), ""P1"",IF(REGEXMATCH(LE247, ""P""), ""P2"",""""))"),"P2")</f>
        <v>P2</v>
      </c>
      <c r="LP247" s="299" t="str">
        <f>IFERROR(__xludf.DUMMYFUNCTION("IF(REGEXMATCH(LD247, ""d""), ""d1"",IF(REGEXMATCH(LE247, ""d""), ""d2"",""""))"),"")</f>
        <v/>
      </c>
      <c r="LQ247" s="299" t="str">
        <f>IFERROR(__xludf.DUMMYFUNCTION("IF(REGEXMATCH(LD247, ""D""), ""D1"",IF(REGEXMATCH(LE247, ""D""), ""D2"",""""))"),"D2")</f>
        <v>D2</v>
      </c>
      <c r="LR247" s="299" t="str">
        <f>IFERROR(__xludf.DUMMYFUNCTION("IF(REGEXMATCH(LD247, ""n""), ""n1"",IF(REGEXMATCH(LE247, ""n""), ""n2"",""""))"),"")</f>
        <v/>
      </c>
      <c r="LS247" s="299" t="str">
        <f>IFERROR(__xludf.DUMMYFUNCTION("IF(REGEXMATCH(LD247, ""N""), ""N1"",IF(REGEXMATCH(LE247, ""N""), ""N2"",""""))"),"N2")</f>
        <v>N2</v>
      </c>
      <c r="LT247" s="388" t="str">
        <f>IFERROR(__xludf.DUMMYFUNCTION("IF(REGEXMATCH(LD247, ""S""), ""S"",IF(REGEXMATCH(LE247, ""S""), ""S"",""""))"),"S")</f>
        <v>S</v>
      </c>
      <c r="LU247" s="389">
        <f t="shared" si="196"/>
        <v>-13</v>
      </c>
      <c r="LV247" s="378"/>
      <c r="LW247" s="369"/>
      <c r="LX247" s="369"/>
    </row>
    <row r="248" ht="18.0" customHeight="1">
      <c r="A248" s="298" t="s">
        <v>699</v>
      </c>
      <c r="B248" s="222" t="s">
        <v>700</v>
      </c>
      <c r="C248" s="233" t="str">
        <f t="shared" si="7"/>
        <v>SRGmPdNS</v>
      </c>
      <c r="D248" s="234" t="str">
        <f>IFERROR(__xludf.DUMMYFUNCTION("IF(REGEXMATCH(C248, ""S""), ""S"","""")"),"S")</f>
        <v>S</v>
      </c>
      <c r="E248" s="236" t="str">
        <f>IFERROR(__xludf.DUMMYFUNCTION("IF(REGEXMATCH(C248, ""r""), ""r"","""")"),"")</f>
        <v/>
      </c>
      <c r="F248" s="237" t="str">
        <f>IFERROR(__xludf.DUMMYFUNCTION("IF(REGEXMATCH(C248, ""R""), ""R"","""")"),"R")</f>
        <v>R</v>
      </c>
      <c r="G248" s="237" t="str">
        <f>IFERROR(__xludf.DUMMYFUNCTION("IF(REGEXMATCH(C248, ""g""), ""g"","""")"),"")</f>
        <v/>
      </c>
      <c r="H248" s="236" t="str">
        <f>IFERROR(__xludf.DUMMYFUNCTION("IF(REGEXMATCH(C248, ""G""), ""G"","""")"),"G")</f>
        <v>G</v>
      </c>
      <c r="I248" s="236" t="str">
        <f>IFERROR(__xludf.DUMMYFUNCTION("IF(REGEXMATCH(C248, ""m""), ""m"","""")"),"m")</f>
        <v>m</v>
      </c>
      <c r="J248" s="237" t="str">
        <f>IFERROR(__xludf.DUMMYFUNCTION("IF(REGEXMATCH(C248, ""M""), ""M"","""")"),"")</f>
        <v/>
      </c>
      <c r="K248" s="236" t="str">
        <f>IFERROR(__xludf.DUMMYFUNCTION("IF(REGEXMATCH(C248, ""P""), ""P"","""")"),"P")</f>
        <v>P</v>
      </c>
      <c r="L248" s="237" t="str">
        <f>IFERROR(__xludf.DUMMYFUNCTION("IF(REGEXMATCH(C248, ""d""), ""d"","""")"),"d")</f>
        <v>d</v>
      </c>
      <c r="M248" s="236" t="str">
        <f>IFERROR(__xludf.DUMMYFUNCTION("IF(REGEXMATCH(C248, ""D""), ""D"","""")"),"")</f>
        <v/>
      </c>
      <c r="N248" s="236" t="str">
        <f>IFERROR(__xludf.DUMMYFUNCTION("IF(REGEXMATCH(C248, ""n""), ""n"","""")"),"")</f>
        <v/>
      </c>
      <c r="O248" s="237" t="str">
        <f>IFERROR(__xludf.DUMMYFUNCTION("IF(REGEXMATCH(C248, ""N""), ""N"","""")"),"N")</f>
        <v>N</v>
      </c>
      <c r="P248" s="238" t="str">
        <f>IFERROR(__xludf.DUMMYFUNCTION("IF(REGEXMATCH(C248, ""S""), ""S"","""")"),"S")</f>
        <v>S</v>
      </c>
      <c r="Q248" s="239" t="str">
        <f>IFERROR(__xludf.DUMMYFUNCTION("SUBSTITUTE(CONCATENATE(JOIN(""-"",D248:J248)),""-"","""")"),"SRGm")</f>
        <v>SRGm</v>
      </c>
      <c r="R248" s="229" t="str">
        <f>IFERROR(__xludf.DUMMYFUNCTION("SUBSTITUTE(CONCATENATE(JOIN(""-"",K248:P248)),""-"","""")"),"PdNS")</f>
        <v>PdNS</v>
      </c>
      <c r="S248" s="282" t="str">
        <f t="shared" si="8"/>
        <v>S-R-G-M</v>
      </c>
      <c r="T248" s="282" t="str">
        <f t="shared" si="9"/>
        <v>P-D-N-S</v>
      </c>
      <c r="U248" s="237" t="str">
        <f>IFERROR(__xludf.DUMMYFUNCTION("SUBSTITUTE(JOIN(""-"",S248,T248),""--"",""-"")"),"S-R-G-M-P-D-N-S")</f>
        <v>S-R-G-M-P-D-N-S</v>
      </c>
      <c r="V248" s="309" t="str">
        <f t="shared" si="10"/>
        <v>RGmdN</v>
      </c>
      <c r="W248" s="244" t="str">
        <f>IFERROR(__xludf.DUMMYFUNCTION("IF(REGEXMATCH(C248, ""S""), ""0"","""")"),"0")</f>
        <v>0</v>
      </c>
      <c r="X248" s="245" t="str">
        <f>IFERROR(__xludf.DUMMYFUNCTION("IF(REGEXMATCH(C248, ""r""), ""1"","""")"),"")</f>
        <v/>
      </c>
      <c r="Y248" s="246" t="str">
        <f>IFERROR(__xludf.DUMMYFUNCTION("IF(REGEXMATCH(C248, ""R""), ""2"","""")"),"2")</f>
        <v>2</v>
      </c>
      <c r="Z248" s="246" t="str">
        <f>IFERROR(__xludf.DUMMYFUNCTION("IF(REGEXMATCH(C248, ""g""), ""3"","""")"),"")</f>
        <v/>
      </c>
      <c r="AA248" s="245" t="str">
        <f>IFERROR(__xludf.DUMMYFUNCTION("IF(REGEXMATCH(C248, ""G""), ""4"","""")"),"4")</f>
        <v>4</v>
      </c>
      <c r="AB248" s="245" t="str">
        <f>IFERROR(__xludf.DUMMYFUNCTION("IF(REGEXMATCH(C248, ""m""), ""5"","""")"),"5")</f>
        <v>5</v>
      </c>
      <c r="AC248" s="246" t="str">
        <f>IFERROR(__xludf.DUMMYFUNCTION("IF(REGEXMATCH(C248, ""M""), ""6"","""")"),"")</f>
        <v/>
      </c>
      <c r="AD248" s="245" t="str">
        <f>IFERROR(__xludf.DUMMYFUNCTION("IF(REGEXMATCH(C248, ""P""), ""7"","""")"),"7")</f>
        <v>7</v>
      </c>
      <c r="AE248" s="246" t="str">
        <f>IFERROR(__xludf.DUMMYFUNCTION("IF(REGEXMATCH(C248, ""d""), ""8"","""")"),"8")</f>
        <v>8</v>
      </c>
      <c r="AF248" s="245" t="str">
        <f>IFERROR(__xludf.DUMMYFUNCTION("IF(REGEXMATCH(C248, ""D""), ""9"","""")"),"")</f>
        <v/>
      </c>
      <c r="AG248" s="245" t="str">
        <f>IFERROR(__xludf.DUMMYFUNCTION("IF(REGEXMATCH(C248, ""n""), ""10"","""")"),"")</f>
        <v/>
      </c>
      <c r="AH248" s="246" t="str">
        <f>IFERROR(__xludf.DUMMYFUNCTION("IF(REGEXMATCH(C248, ""N""), ""11"","""")"),"11")</f>
        <v>11</v>
      </c>
      <c r="AI248" s="249" t="str">
        <f>IFERROR(__xludf.DUMMYFUNCTION("IF(REGEXMATCH(C248, ""S""), ""0"","""")"),"0")</f>
        <v>0</v>
      </c>
      <c r="AJ248" s="313" t="str">
        <f t="shared" si="11"/>
        <v>-</v>
      </c>
      <c r="AK248" s="313" t="str">
        <f t="shared" si="12"/>
        <v>-</v>
      </c>
      <c r="AL248" s="313" t="str">
        <f t="shared" si="13"/>
        <v>T</v>
      </c>
      <c r="AM248" s="313" t="str">
        <f t="shared" si="14"/>
        <v>-</v>
      </c>
      <c r="AN248" s="313" t="str">
        <f t="shared" si="15"/>
        <v>-</v>
      </c>
      <c r="AO248" s="314" t="str">
        <f t="shared" si="16"/>
        <v>T</v>
      </c>
      <c r="AP248" s="316">
        <f t="shared" si="17"/>
        <v>2</v>
      </c>
      <c r="AQ248" s="319" t="str">
        <f t="shared" si="18"/>
        <v>#REF!</v>
      </c>
      <c r="AR248" s="320">
        <f t="shared" si="19"/>
        <v>0</v>
      </c>
      <c r="AS248" s="250" t="str">
        <f>IFERROR(__xludf.DUMMYFUNCTION("SUBSTITUTE(SUBSTITUTE(CONCATENATE(JOIN("""",FP248:GA248)),""|"",""x""),""-"",""o"")"),"xoxoxxoxxoox")</f>
        <v>xoxoxxoxxoox</v>
      </c>
      <c r="AT248" s="323" t="str">
        <f>IFERROR(__xludf.DUMMYFUNCTION("JOIN("""",AS248,AS248)"),"xoxoxxoxxooxxoxoxxoxxoox")</f>
        <v>xoxoxxoxxooxxoxoxxoxxoox</v>
      </c>
      <c r="AU248" s="256" t="str">
        <f>IFERROR(__xludf.DUMMYFUNCTION("JOIN("""",ArrayFormula(MID(AS248,LEN(AS248)-SEQUENCE(1,LEN(AS248))+1,1)))"),"xooxxoxxoxox")</f>
        <v>xooxxoxxoxox</v>
      </c>
      <c r="AV248" s="256" t="str">
        <f>IFERROR(__xludf.DUMMYFUNCTION("LEFT(CONCATENATE(""x"",JOIN("""",ArrayFormula(MID(AS248,LEN(AS248)-SEQUENCE(1,LEN(AS248))+1,1)))),12)"),"xxooxxoxxoxo")</f>
        <v>xxooxxoxxoxo</v>
      </c>
      <c r="AW248" s="327" t="str">
        <f>IFERROR(__xludf.DUMMYFUNCTION("JOIN("""",AU248,AU248)"),"xooxxoxxoxoxxooxxoxxoxox")</f>
        <v>xooxxoxxoxoxxooxxoxxoxox</v>
      </c>
      <c r="AX248" s="239" t="str">
        <f>IFERROR(__xludf.DUMMYFUNCTION("IF(REGEXMATCH(AW248,AS248),""✔"",""-"")"),"-")</f>
        <v>-</v>
      </c>
      <c r="AY248" s="330" t="str">
        <f t="shared" si="20"/>
        <v>-</v>
      </c>
      <c r="AZ248" s="260" t="str">
        <f t="shared" si="21"/>
        <v>#REF!</v>
      </c>
      <c r="BA248" s="333" t="str">
        <f t="shared" si="22"/>
        <v>xoxoxxo</v>
      </c>
      <c r="BB248" s="334" t="str">
        <f t="shared" si="23"/>
        <v>xxooxx</v>
      </c>
      <c r="BC248" s="335" t="str">
        <f t="shared" si="236"/>
        <v>-</v>
      </c>
      <c r="BD248" s="336" t="str">
        <f t="shared" si="25"/>
        <v>Nat Bhairav: 'xoxoxxo' + 'xxooxx'</v>
      </c>
      <c r="BE248" s="337">
        <f>IFERROR(__xludf.DUMMYFUNCTION("COUNTUNIQUE(FILTER(AT:AT,REGEXMATCH(AT:AT,AS248)))-1"),2.0)</f>
        <v>2</v>
      </c>
      <c r="BF248" s="261" t="str">
        <f>IFERROR(__xludf.DUMMYFUNCTION("IF(BI248=0,""(n/a)"",IF(BJ248=2,""(PAIR)"",IF(REGEXMATCH(AT248,""xoxoxxoxoxox""),""Bilawal"",IF(REGEXMATCH(AT248,""xoxoxooxoxoo""),""Bhupali"",IF(REGEXMATCH(AT248,""xoxoxxoxxoxo""),""Charukeshi"",IF(REGEXMATCH(AT248,""xoxoooxxoxxo""),""Kameshwari"",IF(REG"&amp;"EXMATCH(AT248,""xoxoxooxoxox""),""Shankara"",IF(REGEXMATCH(AT248,""xxooxoxxxoox""),""Basant"",IF(REGEXMATCH(AT248,""xoxoxxxxoxox""),""Bihag"",IF(REGEXMATCH(AT248,""xoxxxxoxoxxx""),""Pilu"",IF(REGEXMATCH(AT248,""xoxxoxoxxoox""),""Kirwani"",IF(REGEXMATCH(AT"&amp;"248,""xoxxoxoxoxxx""),""Mk.Malhar"",IF(REGEXMATCH(AT248,""xxooxxoxxoox""),""Bhairav"",IF(REGEXMATCH(AT248,""xxoxooxxxoox""),""Todi"",IF(REGEXMATCH(AT248,""xxooxoxooxox""),""Marwa"",IF(REGEXMATCH(AT248,""xxoooxoxxooo""),""Gunkali"",IF(REGEXMATCH(AT248,""xo"&amp;"xoxxoxxoox""),""Nat Bhairav"",IF(REGEXMATCH(AT248,""xoxxoooxoxoo""),""Shivranjani"",IF(REGEXMATCH(AT248,""xooxxxoxooxo""),""Jog"",IF(REGEXMATCH(AT248,""xxooxoxoxoox""),""Hemshri"",IF(REGEXMATCH(AT248,""xoooxooxoxxo""),""Kalavati"",IF(REGEXMATCH(AT248,""xx"&amp;"oxoxxoxoox""),""Kedar"",IF(REGEXMATCH(AT248,""xoxxxxoxooxx""),""Gara"",IF(REGEXMATCH(AT248,""xooxoxooxoox""),""Chandrakauns"",IF(REGEXMATCH(AT248,""xoxxxxoxxxox""),""Mand"",IF(REGEXMATCH(AT248,""xoxxxxoxoxox""),""Hanskinkini"",IF(REGEXMATCH(AT248,""xxooxx"&amp;"oxooxo""),""Lilavati"",IF(REGEXMATCH(AT248,""xooxoxoooxox""),""Rajeshwari"",IF(REGEXMATCH(AT248,""xoooxxoxoxxx""),""Khokar"",IF(REGEXMATCH(AT248,""xxooxoxxxxox""),""Maligoura"",""-""))))))))))))))))))))))))))))))"),"Nat Bhairav")</f>
        <v>Nat Bhairav</v>
      </c>
      <c r="BG248" s="239" t="str">
        <f t="shared" si="26"/>
        <v>#REF!</v>
      </c>
      <c r="BH248" s="239">
        <f>IFERROR(__xludf.DUMMYFUNCTION("COUNTUNIQUE(FE248:FO248)-1"),6.0)</f>
        <v>6</v>
      </c>
      <c r="BI248" s="239">
        <f>IFERROR(__xludf.DUMMYFUNCTION("COUNTUNIQUE(FILTER(AT:AT,REGEXMATCH(AT:AT,AS248)))-1"),2.0)</f>
        <v>2</v>
      </c>
      <c r="BJ248" s="239">
        <f>IFERROR(__xludf.DUMMYFUNCTION("COUNTA(FILTER(AT:AT,REGEXMATCH(AT:AT,AS248)))"),4.0)</f>
        <v>4</v>
      </c>
      <c r="BK248" s="341">
        <f>IFERROR(__xludf.DUMMYFUNCTION("COUNTA(FILTER(AT:AT,REGEXMATCH(AT:AT,AS248)))-AR248"),4.0)</f>
        <v>4</v>
      </c>
      <c r="BL248" s="276" t="str">
        <f>IFERROR(__xludf.DUMMYFUNCTION("IF(AS248=""oooooooooooo"",""-"",IF(REGEXMATCH(AT248,""xx""), ""Hemi."", ""Anhemi.""))"),"Hemi.")</f>
        <v>Hemi.</v>
      </c>
      <c r="BM248" s="282" t="str">
        <f>IFERROR(__xludf.DUMMYFUNCTION("IF(AS248=""oooooooooooo"",""-"",IF(REGEXMATCH(AT248,""xxx""), ""Cohem."", ""-""))"),"-")</f>
        <v>-</v>
      </c>
      <c r="BN248" s="282" t="str">
        <f>IFERROR(__xludf.DUMMYFUNCTION("IF(AS248=""oooooooooooo"",""-"",IF(REGEXMATCH(AT248,""xxxx""), ""Co-Co."", ""-""))"),"-")</f>
        <v>-</v>
      </c>
      <c r="BO248" s="342" t="str">
        <f>IFERROR(__xludf.DUMMYFUNCTION("IF(AS248=""oooooooooooo"",""-"",IF(REGEXMATCH(AT248,""xxxxx""), ""CCC."", ""-""))"),"-")</f>
        <v>-</v>
      </c>
      <c r="BP248" s="344" t="str">
        <f t="shared" si="27"/>
        <v>-</v>
      </c>
      <c r="BQ248" s="282" t="str">
        <f>IFERROR(__xludf.DUMMYFUNCTION("IF(REGEXMATCH(JOIN(""-"",EU248:FD248),""TRUE""),""✔"",""-"")"),"-")</f>
        <v>-</v>
      </c>
      <c r="BR248" s="225">
        <f t="shared" si="28"/>
        <v>0</v>
      </c>
      <c r="BS248" s="345" t="str">
        <f>IFERROR(__xludf.DUMMYFUNCTION("SUBSTITUTE(SUBSTITUTE(SUBSTITUTE(SUBSTITUTE(CONCATENATE(JOIN(""-"",GC248:GO248)),""--"",""-""),""--"",""-""),""--"",""-""),""--"",""-"")"),"1-2-3-4-5-b6-7-8")</f>
        <v>1-2-3-4-5-b6-7-8</v>
      </c>
      <c r="BT248" s="299" t="str">
        <f>IFERROR(__xludf.DUMMYFUNCTION("SUBSTITUTE(SUBSTITUTE(SUBSTITUTE(SUBSTITUTE(CONCATENATE(JOIN(""-"",GP248:HB248)),""--"",""-""),""--"",""-""),""--"",""-""),""--"",""-"")"),"S-R2-G3-M1-P-D1-N3-S")</f>
        <v>S-R2-G3-M1-P-D1-N3-S</v>
      </c>
      <c r="BU248" s="348" t="str">
        <f t="shared" si="29"/>
        <v>C-D-E-F-G-Ab-B-C</v>
      </c>
      <c r="BV248" s="349" t="str">
        <f t="shared" si="30"/>
        <v>SrgMDnS</v>
      </c>
      <c r="BW248" s="350">
        <f t="shared" si="31"/>
        <v>0</v>
      </c>
      <c r="BX248" s="351">
        <f t="shared" si="32"/>
        <v>1</v>
      </c>
      <c r="BY248" s="392"/>
      <c r="BZ248" s="309" t="str">
        <f>IFERROR(__xludf.DUMMYFUNCTION("IF(REGEXMATCH(C248, ""S""), ""x"",""x"")"),"x")</f>
        <v>x</v>
      </c>
      <c r="CA248" s="245" t="str">
        <f>IFERROR(__xludf.DUMMYFUNCTION("IF(REGEXMATCH(C248, ""r""), ""o"",""x"")"),"x")</f>
        <v>x</v>
      </c>
      <c r="CB248" s="246" t="str">
        <f>IFERROR(__xludf.DUMMYFUNCTION("IF(REGEXMATCH(C248, ""R""), ""o"",""x"")"),"o")</f>
        <v>o</v>
      </c>
      <c r="CC248" s="246" t="str">
        <f>IFERROR(__xludf.DUMMYFUNCTION("IF(REGEXMATCH(C248, ""g""), ""o"",""x"")"),"x")</f>
        <v>x</v>
      </c>
      <c r="CD248" s="245" t="str">
        <f>IFERROR(__xludf.DUMMYFUNCTION("IF(REGEXMATCH(C248, ""G""), ""o"",""x"")"),"o")</f>
        <v>o</v>
      </c>
      <c r="CE248" s="245" t="str">
        <f>IFERROR(__xludf.DUMMYFUNCTION("IF(REGEXMATCH(C248, ""m""), ""o"",""x"")"),"o")</f>
        <v>o</v>
      </c>
      <c r="CF248" s="246" t="str">
        <f>IFERROR(__xludf.DUMMYFUNCTION("IF(REGEXMATCH(C248, ""M""), ""o"",""x"")"),"x")</f>
        <v>x</v>
      </c>
      <c r="CG248" s="245" t="str">
        <f>IFERROR(__xludf.DUMMYFUNCTION("IF(REGEXMATCH(C248, ""P""), ""o"",""x"")"),"o")</f>
        <v>o</v>
      </c>
      <c r="CH248" s="246" t="str">
        <f>IFERROR(__xludf.DUMMYFUNCTION("IF(REGEXMATCH(C248, ""d""), ""o"",""x"")"),"o")</f>
        <v>o</v>
      </c>
      <c r="CI248" s="245" t="str">
        <f>IFERROR(__xludf.DUMMYFUNCTION("IF(REGEXMATCH(C248, ""D""), ""o"",""x"")"),"x")</f>
        <v>x</v>
      </c>
      <c r="CJ248" s="245" t="str">
        <f>IFERROR(__xludf.DUMMYFUNCTION("IF(REGEXMATCH(C248, ""n""), ""o"",""x"")"),"x")</f>
        <v>x</v>
      </c>
      <c r="CK248" s="245" t="str">
        <f>IFERROR(__xludf.DUMMYFUNCTION("IF(REGEXMATCH(C248, ""N""), ""o"",""x"")"),"o")</f>
        <v>o</v>
      </c>
      <c r="CL248" s="356" t="str">
        <f>IFERROR(__xludf.DUMMYFUNCTION("IF(REGEXMATCH(C248, ""S""), ""x"",""x"")"),"x")</f>
        <v>x</v>
      </c>
      <c r="CM248" s="357" t="str">
        <f t="shared" si="33"/>
        <v>xxoxooxooxxo</v>
      </c>
      <c r="CN248" s="358">
        <f t="shared" si="34"/>
        <v>0</v>
      </c>
      <c r="CO248" s="246" t="str">
        <f>IFERROR(__xludf.DUMMYFUNCTION("IF(REGEXMATCH($C248, ""S""), ""S"",""S"")"),"S")</f>
        <v>S</v>
      </c>
      <c r="CP248" s="246" t="str">
        <f>IFERROR(__xludf.DUMMYFUNCTION("IF(REGEXMATCH($C248, ""r""), """",""r"")"),"r")</f>
        <v>r</v>
      </c>
      <c r="CQ248" s="246" t="str">
        <f>IFERROR(__xludf.DUMMYFUNCTION("IF(REGEXMATCH($C248, ""R""), """",""R"")"),"")</f>
        <v/>
      </c>
      <c r="CR248" s="246" t="str">
        <f>IFERROR(__xludf.DUMMYFUNCTION("IF(REGEXMATCH($C248, ""g""), """",""g"")"),"g")</f>
        <v>g</v>
      </c>
      <c r="CS248" s="246" t="str">
        <f>IFERROR(__xludf.DUMMYFUNCTION("IF(REGEXMATCH($C248, ""G""), """",""G"")"),"")</f>
        <v/>
      </c>
      <c r="CT248" s="246" t="str">
        <f>IFERROR(__xludf.DUMMYFUNCTION("IF(REGEXMATCH($C248, ""m""), """",""m"")"),"")</f>
        <v/>
      </c>
      <c r="CU248" s="246" t="str">
        <f>IFERROR(__xludf.DUMMYFUNCTION("IF(REGEXMATCH($C248, ""M""), """",""M"")"),"M")</f>
        <v>M</v>
      </c>
      <c r="CV248" s="246" t="str">
        <f>IFERROR(__xludf.DUMMYFUNCTION("IF(REGEXMATCH($C248, ""P""), """",""P"")"),"")</f>
        <v/>
      </c>
      <c r="CW248" s="246" t="str">
        <f>IFERROR(__xludf.DUMMYFUNCTION("IF(REGEXMATCH($C248, ""d""), """",""d"")"),"")</f>
        <v/>
      </c>
      <c r="CX248" s="246" t="str">
        <f>IFERROR(__xludf.DUMMYFUNCTION("IF(REGEXMATCH($C248, ""D""), """",""D"")"),"D")</f>
        <v>D</v>
      </c>
      <c r="CY248" s="246" t="str">
        <f>IFERROR(__xludf.DUMMYFUNCTION("IF(REGEXMATCH($C248, ""n""), """",""n"")"),"n")</f>
        <v>n</v>
      </c>
      <c r="CZ248" s="246" t="str">
        <f>IFERROR(__xludf.DUMMYFUNCTION("IF(REGEXMATCH($C248, ""N""), """",""N"")"),"")</f>
        <v/>
      </c>
      <c r="DA248" s="246" t="str">
        <f>IFERROR(__xludf.DUMMYFUNCTION("IF(REGEXMATCH($C248, ""S""), ""S"",""S"")"),"S")</f>
        <v>S</v>
      </c>
      <c r="DB248" s="362" t="str">
        <f>IFERROR(__xludf.DUMMYFUNCTION("JOIN("""",CO248:DA248,"""","""")"),"SrgMDnS")</f>
        <v>SrgMDnS</v>
      </c>
      <c r="DC248" s="363"/>
      <c r="DD248" s="301" t="str">
        <f t="shared" si="35"/>
        <v>#REF!</v>
      </c>
      <c r="DE248" s="302" t="str">
        <f t="shared" si="36"/>
        <v>#REF!</v>
      </c>
      <c r="DF248" s="301" t="str">
        <f t="shared" ref="DF248:DG248" si="716">SUBSTITUTE(S248,"-","")</f>
        <v>SRGM</v>
      </c>
      <c r="DG248" s="301" t="str">
        <f t="shared" si="716"/>
        <v>PDNS</v>
      </c>
      <c r="DH248" s="302" t="str">
        <f t="shared" si="38"/>
        <v>Nat Bhairav</v>
      </c>
      <c r="DI248" s="301" t="str">
        <f t="shared" si="39"/>
        <v>Hemi.</v>
      </c>
      <c r="DJ248" s="364" t="str">
        <f t="shared" si="40"/>
        <v>-</v>
      </c>
      <c r="DK248" s="306" t="str">
        <f t="shared" si="41"/>
        <v>-</v>
      </c>
      <c r="DL248" s="366" t="str">
        <f t="shared" si="42"/>
        <v>-</v>
      </c>
      <c r="DM248" s="308" t="str">
        <f t="shared" si="43"/>
        <v>✔</v>
      </c>
      <c r="DN248" s="306" t="str">
        <f t="shared" si="44"/>
        <v>-</v>
      </c>
      <c r="DO248" s="306" t="str">
        <f t="shared" si="45"/>
        <v>-</v>
      </c>
      <c r="DP248" s="367" t="str">
        <f t="shared" si="46"/>
        <v>-</v>
      </c>
      <c r="DQ248" s="310" t="str">
        <f t="shared" si="47"/>
        <v>-</v>
      </c>
      <c r="DR248" s="310" t="str">
        <f t="shared" si="48"/>
        <v>-</v>
      </c>
      <c r="DS248" s="310" t="str">
        <f t="shared" si="49"/>
        <v>-</v>
      </c>
      <c r="DT248" s="310" t="str">
        <f t="shared" si="50"/>
        <v>-</v>
      </c>
      <c r="DU248" s="370" t="str">
        <f t="shared" si="51"/>
        <v>-</v>
      </c>
      <c r="DV248" s="306" t="str">
        <f t="shared" si="52"/>
        <v>-</v>
      </c>
      <c r="DW248" s="306" t="str">
        <f t="shared" si="53"/>
        <v>-</v>
      </c>
      <c r="DX248" s="306" t="str">
        <f t="shared" si="54"/>
        <v>-</v>
      </c>
      <c r="DY248" s="306" t="str">
        <f t="shared" si="55"/>
        <v>-</v>
      </c>
      <c r="DZ248" s="306" t="str">
        <f t="shared" si="56"/>
        <v>-</v>
      </c>
      <c r="EA248" s="367" t="str">
        <f t="shared" si="57"/>
        <v>-</v>
      </c>
      <c r="EB248" s="310" t="str">
        <f>IFERROR(__xludf.DUMMYFUNCTION("IF(REGEXMATCH(AW248,AS248),""✔"",""-"")"),"-")</f>
        <v>-</v>
      </c>
      <c r="EC248" s="310" t="str">
        <f t="shared" si="58"/>
        <v>#REF!</v>
      </c>
      <c r="ED248" s="370" t="str">
        <f t="shared" si="59"/>
        <v>-</v>
      </c>
      <c r="EE248" s="340" t="str">
        <f t="shared" si="60"/>
        <v>S-R-G-m-P-d-N-S</v>
      </c>
      <c r="EF248" s="371" t="str">
        <f>IFERROR(__xludf.DUMMYFUNCTION("CONCATENATE(JOIN("""",HC248:HO248))"),"SrGmPdnS")</f>
        <v>SrGmPdnS</v>
      </c>
      <c r="EG248" s="372">
        <f t="shared" si="61"/>
        <v>3</v>
      </c>
      <c r="EH248" s="373" t="str">
        <f>IFERROR(__xludf.DUMMYFUNCTION("CONCATENATE(JOIN("""",JC248:JO248))"),"Re, dha, Ni, ")</f>
        <v>Re, dha, Ni, </v>
      </c>
      <c r="EI248" s="322">
        <f t="shared" si="62"/>
        <v>1</v>
      </c>
      <c r="EJ248" s="374" t="str">
        <f>IFERROR(__xludf.DUMMYFUNCTION("CONCATENATE(JOIN("""",KC248:KO248))"),"dha, ")</f>
        <v>dha, </v>
      </c>
      <c r="EK248" s="325" t="str">
        <f t="shared" si="63"/>
        <v>S-R2-G3-M1-P-D1-N3-S</v>
      </c>
      <c r="EL248" s="326" t="str">
        <f t="shared" si="64"/>
        <v>1-2-3-4-5-b6-7-8</v>
      </c>
      <c r="EM248" s="318" t="str">
        <f t="shared" si="65"/>
        <v>#REF!</v>
      </c>
      <c r="EN248" s="328" t="str">
        <f>IFERROR(__xludf.DUMMYFUNCTION("SUBSTITUTE(SUBSTITUTE(SUBSTITUTE(SUBSTITUTE(CONCATENATE(JOIN("" "",HP248:IB248)),""  "","" ""),""  "","" ""),""  "","" ""),""  "","" "")"),"o • o • o o • o o • • o o")</f>
        <v>o • o • o o • o o • • o o</v>
      </c>
      <c r="EO248" s="368" t="str">
        <f t="shared" si="66"/>
        <v>-</v>
      </c>
      <c r="EP248" s="339" t="str">
        <f t="shared" si="67"/>
        <v>-</v>
      </c>
      <c r="EQ248" s="339" t="str">
        <f t="shared" si="68"/>
        <v>Sa-Pa</v>
      </c>
      <c r="ER248" s="339" t="str">
        <f t="shared" si="69"/>
        <v>-</v>
      </c>
      <c r="ES248" s="340" t="str">
        <f t="shared" si="70"/>
        <v>-</v>
      </c>
      <c r="ET248" s="363"/>
      <c r="EU248" s="376" t="b">
        <f>IFERROR(__xludf.DUMMYFUNCTION("arrayformula(sum(--REGEXMATCH(""SRGMPDNS"",split(REGEXREPLACE(C248,""(.)"",""$1~""),""~""))))=len(C248)
"),FALSE)</f>
        <v>0</v>
      </c>
      <c r="EV248" s="290" t="b">
        <f>IFERROR(__xludf.DUMMYFUNCTION("arrayformula(sum(--REGEXMATCH(""SRGmPDNS"",split(REGEXREPLACE(C248,""(.)"",""$1~""),""~""))))=len(C248)"),FALSE)</f>
        <v>0</v>
      </c>
      <c r="EW248" s="290" t="b">
        <f>IFERROR(__xludf.DUMMYFUNCTION("arrayformula(sum(--REGEXMATCH(""SRGmPDnS"",split(REGEXREPLACE(C248,""(.)"",""$1~""),""~""))))=len(C248)"),FALSE)</f>
        <v>0</v>
      </c>
      <c r="EX248" s="290" t="b">
        <f>IFERROR(__xludf.DUMMYFUNCTION("arrayformula(sum(--REGEXMATCH(""SRgmPDnS"",split(REGEXREPLACE(C248,""(.)"",""$1~""),""~""))))=len(C248)"),FALSE)</f>
        <v>0</v>
      </c>
      <c r="EY248" s="290" t="b">
        <f>IFERROR(__xludf.DUMMYFUNCTION("arrayformula(sum(--REGEXMATCH(""SRgmPdnS"",split(REGEXREPLACE(C248,""(.)"",""$1~""),""~""))))=len(C248)"),FALSE)</f>
        <v>0</v>
      </c>
      <c r="EZ248" s="290" t="b">
        <f>IFERROR(__xludf.DUMMYFUNCTION("arrayformula(sum(--REGEXMATCH(""SrgmPdnS"",split(REGEXREPLACE(C248,""(.)"",""$1~""),""~""))))=len(C248)"),FALSE)</f>
        <v>0</v>
      </c>
      <c r="FA248" s="290" t="b">
        <f>IFERROR(__xludf.DUMMYFUNCTION("arrayformula(sum(--REGEXMATCH(""SrGmPdNS"",split(REGEXREPLACE(C248,""(.)"",""$1~""),""~""))))=len(C248)"),FALSE)</f>
        <v>0</v>
      </c>
      <c r="FB248" s="290" t="b">
        <f>IFERROR(__xludf.DUMMYFUNCTION("arrayformula(sum(--REGEXMATCH(""SrGMPDNS"",split(REGEXREPLACE(C248,""(.)"",""$1~""),""~""))))=len(C248)"),FALSE)</f>
        <v>0</v>
      </c>
      <c r="FC248" s="290" t="b">
        <f>IFERROR(__xludf.DUMMYFUNCTION("arrayformula(sum(--REGEXMATCH(""SrGMPdNS"",split(REGEXREPLACE(C248,""(.)"",""$1~""),""~""))))=len(C248)"),FALSE)</f>
        <v>0</v>
      </c>
      <c r="FD248" s="377" t="b">
        <f>IFERROR(__xludf.DUMMYFUNCTION("arrayformula(sum(--REGEXMATCH(""SrgMPdNS"",split(REGEXREPLACE(C248,""(.)"",""$1~""),""~""))))=len(C248)"),FALSE)</f>
        <v>0</v>
      </c>
      <c r="FE248" s="269" t="str">
        <f t="shared" si="71"/>
        <v>-</v>
      </c>
      <c r="FF248" s="269" t="str">
        <f t="shared" si="72"/>
        <v>xoxxoxxooxx</v>
      </c>
      <c r="FG248" s="271" t="str">
        <f t="shared" si="73"/>
        <v>-</v>
      </c>
      <c r="FH248" s="269" t="str">
        <f t="shared" si="74"/>
        <v>xxoxxooxxox</v>
      </c>
      <c r="FI248" s="271" t="str">
        <f t="shared" si="75"/>
        <v>xoxxooxxoxo</v>
      </c>
      <c r="FJ248" s="271" t="str">
        <f t="shared" si="76"/>
        <v>-</v>
      </c>
      <c r="FK248" s="271" t="str">
        <f t="shared" si="77"/>
        <v>xxooxxoxoxx</v>
      </c>
      <c r="FL248" s="271" t="str">
        <f t="shared" si="78"/>
        <v>xooxxoxoxxo</v>
      </c>
      <c r="FM248" s="271" t="str">
        <f t="shared" si="79"/>
        <v>-</v>
      </c>
      <c r="FN248" s="271" t="str">
        <f t="shared" si="80"/>
        <v>-</v>
      </c>
      <c r="FO248" s="274" t="str">
        <f t="shared" si="81"/>
        <v>xxoxoxxoxxo</v>
      </c>
      <c r="FP248" s="234" t="str">
        <f t="shared" si="82"/>
        <v>|</v>
      </c>
      <c r="FQ248" s="236" t="str">
        <f t="shared" si="83"/>
        <v>-</v>
      </c>
      <c r="FR248" s="237" t="str">
        <f t="shared" si="84"/>
        <v>|</v>
      </c>
      <c r="FS248" s="236" t="str">
        <f t="shared" si="85"/>
        <v>-</v>
      </c>
      <c r="FT248" s="237" t="str">
        <f t="shared" si="86"/>
        <v>|</v>
      </c>
      <c r="FU248" s="236" t="str">
        <f t="shared" si="87"/>
        <v>|</v>
      </c>
      <c r="FV248" s="237" t="str">
        <f t="shared" si="88"/>
        <v>-</v>
      </c>
      <c r="FW248" s="236" t="str">
        <f t="shared" si="89"/>
        <v>|</v>
      </c>
      <c r="FX248" s="237" t="str">
        <f t="shared" si="90"/>
        <v>|</v>
      </c>
      <c r="FY248" s="236" t="str">
        <f t="shared" si="91"/>
        <v>-</v>
      </c>
      <c r="FZ248" s="237" t="str">
        <f t="shared" si="92"/>
        <v>-</v>
      </c>
      <c r="GA248" s="236" t="str">
        <f t="shared" si="93"/>
        <v>|</v>
      </c>
      <c r="GB248" s="238" t="str">
        <f t="shared" si="94"/>
        <v>|</v>
      </c>
      <c r="GC248" s="244" t="str">
        <f>IFERROR(__xludf.DUMMYFUNCTION("IF(REGEXMATCH(C248, ""S""), ""1"","""")"),"1")</f>
        <v>1</v>
      </c>
      <c r="GD248" s="245" t="str">
        <f>IFERROR(__xludf.DUMMYFUNCTION("IF(REGEXMATCH(C248, ""r""), ""b2"","""")"),"")</f>
        <v/>
      </c>
      <c r="GE248" s="246" t="str">
        <f>IFERROR(__xludf.DUMMYFUNCTION("IF(REGEXMATCH(C248, ""R""), ""2"","""")"),"2")</f>
        <v>2</v>
      </c>
      <c r="GF248" s="246" t="str">
        <f>IFERROR(__xludf.DUMMYFUNCTION("IF(REGEXMATCH(C248, ""g""), ""b3"","""")"),"")</f>
        <v/>
      </c>
      <c r="GG248" s="245" t="str">
        <f>IFERROR(__xludf.DUMMYFUNCTION("IF(REGEXMATCH(C248, ""G""), ""3"","""")"),"3")</f>
        <v>3</v>
      </c>
      <c r="GH248" s="245" t="str">
        <f>IFERROR(__xludf.DUMMYFUNCTION("IF(REGEXMATCH(C248, ""m""), ""4"","""")"),"4")</f>
        <v>4</v>
      </c>
      <c r="GI248" s="246" t="str">
        <f>IFERROR(__xludf.DUMMYFUNCTION("IF(REGEXMATCH(C248, ""M""), ""#4"","""")"),"")</f>
        <v/>
      </c>
      <c r="GJ248" s="245" t="str">
        <f>IFERROR(__xludf.DUMMYFUNCTION("IF(REGEXMATCH(C248, ""P""), ""5"","""")"),"5")</f>
        <v>5</v>
      </c>
      <c r="GK248" s="246" t="str">
        <f>IFERROR(__xludf.DUMMYFUNCTION("IF(REGEXMATCH(C248, ""d""), ""b6"","""")"),"b6")</f>
        <v>b6</v>
      </c>
      <c r="GL248" s="245" t="str">
        <f>IFERROR(__xludf.DUMMYFUNCTION("IF(REGEXMATCH(C248, ""D""), ""6"","""")"),"")</f>
        <v/>
      </c>
      <c r="GM248" s="245" t="str">
        <f>IFERROR(__xludf.DUMMYFUNCTION("IF(REGEXMATCH(C248, ""n""), ""b7"","""")"),"")</f>
        <v/>
      </c>
      <c r="GN248" s="246" t="str">
        <f>IFERROR(__xludf.DUMMYFUNCTION("IF(REGEXMATCH(C248, ""N""), ""7"","""")"),"7")</f>
        <v>7</v>
      </c>
      <c r="GO248" s="249" t="str">
        <f>IFERROR(__xludf.DUMMYFUNCTION("IF(REGEXMATCH(C248, ""S""), ""8"","""")"),"8")</f>
        <v>8</v>
      </c>
      <c r="GP248" s="244" t="str">
        <f>IFERROR(__xludf.DUMMYFUNCTION("IF(REGEXMATCH(C248, ""S""), ""S"","""")"),"S")</f>
        <v>S</v>
      </c>
      <c r="GQ248" s="294" t="str">
        <f>IFERROR(__xludf.DUMMYFUNCTION("IF(REGEXMATCH(C248, ""r""), ""R1"","""")"),"")</f>
        <v/>
      </c>
      <c r="GR248" s="295" t="str">
        <f>IFERROR(__xludf.DUMMYFUNCTION("IF(REGEXMATCH(C248, ""R""), ""R2"","""")"),"R2")</f>
        <v>R2</v>
      </c>
      <c r="GS248" s="295" t="str">
        <f>IFERROR(__xludf.DUMMYFUNCTION("IF(REGEXMATCH(C248, ""g""), ""G2"","""")"),"")</f>
        <v/>
      </c>
      <c r="GT248" s="294" t="str">
        <f>IFERROR(__xludf.DUMMYFUNCTION("IF(REGEXMATCH(C248, ""G""), ""G3"","""")"),"G3")</f>
        <v>G3</v>
      </c>
      <c r="GU248" s="294" t="str">
        <f>IFERROR(__xludf.DUMMYFUNCTION("IF(REGEXMATCH(C248, ""m""), ""M1"","""")"),"M1")</f>
        <v>M1</v>
      </c>
      <c r="GV248" s="295" t="str">
        <f>IFERROR(__xludf.DUMMYFUNCTION("IF(REGEXMATCH(C248, ""M""), ""M2"","""")"),"")</f>
        <v/>
      </c>
      <c r="GW248" s="294" t="str">
        <f>IFERROR(__xludf.DUMMYFUNCTION("IF(REGEXMATCH(C248, ""P""), ""P"","""")"),"P")</f>
        <v>P</v>
      </c>
      <c r="GX248" s="295" t="str">
        <f>IFERROR(__xludf.DUMMYFUNCTION("IF(REGEXMATCH(C248, ""d""), ""D1"","""")"),"D1")</f>
        <v>D1</v>
      </c>
      <c r="GY248" s="294" t="str">
        <f>IFERROR(__xludf.DUMMYFUNCTION("IF(REGEXMATCH(C248, ""D""), ""D2"","""")"),"")</f>
        <v/>
      </c>
      <c r="GZ248" s="294" t="str">
        <f>IFERROR(__xludf.DUMMYFUNCTION("IF(REGEXMATCH(C248, ""n""), ""N2"","""")"),"")</f>
        <v/>
      </c>
      <c r="HA248" s="295" t="str">
        <f>IFERROR(__xludf.DUMMYFUNCTION("IF(REGEXMATCH(C248, ""N""), ""N3"","""")"),"N3")</f>
        <v>N3</v>
      </c>
      <c r="HB248" s="249" t="str">
        <f>IFERROR(__xludf.DUMMYFUNCTION("IF(REGEXMATCH(C248, ""S""), ""S"","""")"),"S")</f>
        <v>S</v>
      </c>
      <c r="HC248" s="331" t="str">
        <f t="shared" si="95"/>
        <v>S</v>
      </c>
      <c r="HD248" s="332" t="str">
        <f t="shared" si="96"/>
        <v>r</v>
      </c>
      <c r="HE248" s="332" t="str">
        <f t="shared" si="97"/>
        <v/>
      </c>
      <c r="HF248" s="332" t="str">
        <f t="shared" si="98"/>
        <v/>
      </c>
      <c r="HG248" s="332" t="str">
        <f t="shared" si="99"/>
        <v>G</v>
      </c>
      <c r="HH248" s="332" t="str">
        <f t="shared" si="100"/>
        <v>m</v>
      </c>
      <c r="HI248" s="332" t="str">
        <f t="shared" si="101"/>
        <v/>
      </c>
      <c r="HJ248" s="332" t="str">
        <f t="shared" si="102"/>
        <v>P</v>
      </c>
      <c r="HK248" s="332" t="str">
        <f t="shared" si="103"/>
        <v>d</v>
      </c>
      <c r="HL248" s="332" t="str">
        <f t="shared" si="104"/>
        <v/>
      </c>
      <c r="HM248" s="332" t="str">
        <f t="shared" si="105"/>
        <v>n</v>
      </c>
      <c r="HN248" s="332" t="str">
        <f t="shared" si="106"/>
        <v/>
      </c>
      <c r="HO248" s="343" t="str">
        <f t="shared" si="107"/>
        <v>S</v>
      </c>
      <c r="HP248" s="331" t="str">
        <f t="shared" si="108"/>
        <v>o</v>
      </c>
      <c r="HQ248" s="332" t="str">
        <f t="shared" si="109"/>
        <v>•</v>
      </c>
      <c r="HR248" s="332" t="str">
        <f t="shared" si="110"/>
        <v>o</v>
      </c>
      <c r="HS248" s="332" t="str">
        <f t="shared" si="111"/>
        <v>•</v>
      </c>
      <c r="HT248" s="332" t="str">
        <f t="shared" si="112"/>
        <v>o</v>
      </c>
      <c r="HU248" s="332" t="str">
        <f t="shared" si="113"/>
        <v>o</v>
      </c>
      <c r="HV248" s="332" t="str">
        <f t="shared" si="114"/>
        <v>•</v>
      </c>
      <c r="HW248" s="332" t="str">
        <f t="shared" si="115"/>
        <v>o</v>
      </c>
      <c r="HX248" s="332" t="str">
        <f t="shared" si="116"/>
        <v>o</v>
      </c>
      <c r="HY248" s="332" t="str">
        <f t="shared" si="117"/>
        <v>•</v>
      </c>
      <c r="HZ248" s="332" t="str">
        <f t="shared" si="118"/>
        <v>•</v>
      </c>
      <c r="IA248" s="332" t="str">
        <f t="shared" si="119"/>
        <v>o</v>
      </c>
      <c r="IB248" s="338" t="str">
        <f t="shared" si="120"/>
        <v>o</v>
      </c>
      <c r="IC248" s="331" t="str">
        <f t="shared" si="121"/>
        <v>•</v>
      </c>
      <c r="ID248" s="332" t="str">
        <f t="shared" si="122"/>
        <v>o</v>
      </c>
      <c r="IE248" s="332" t="str">
        <f t="shared" si="123"/>
        <v>•</v>
      </c>
      <c r="IF248" s="332" t="str">
        <f t="shared" si="124"/>
        <v>o</v>
      </c>
      <c r="IG248" s="332" t="str">
        <f t="shared" si="125"/>
        <v>•</v>
      </c>
      <c r="IH248" s="332" t="str">
        <f t="shared" si="126"/>
        <v>•</v>
      </c>
      <c r="II248" s="332" t="str">
        <f t="shared" si="127"/>
        <v>o</v>
      </c>
      <c r="IJ248" s="332" t="str">
        <f t="shared" si="128"/>
        <v>•</v>
      </c>
      <c r="IK248" s="332" t="str">
        <f t="shared" si="129"/>
        <v>•</v>
      </c>
      <c r="IL248" s="332" t="str">
        <f t="shared" si="130"/>
        <v>o</v>
      </c>
      <c r="IM248" s="332" t="str">
        <f t="shared" si="131"/>
        <v>o</v>
      </c>
      <c r="IN248" s="332" t="str">
        <f t="shared" si="132"/>
        <v>•</v>
      </c>
      <c r="IO248" s="338" t="str">
        <f t="shared" si="133"/>
        <v>•</v>
      </c>
      <c r="IP248" s="346" t="b">
        <f t="shared" si="134"/>
        <v>0</v>
      </c>
      <c r="IQ248" s="347" t="b">
        <f t="shared" si="135"/>
        <v>0</v>
      </c>
      <c r="IR248" s="347" t="b">
        <f t="shared" si="136"/>
        <v>1</v>
      </c>
      <c r="IS248" s="347" t="b">
        <f t="shared" si="137"/>
        <v>0</v>
      </c>
      <c r="IT248" s="347" t="b">
        <f t="shared" si="138"/>
        <v>0</v>
      </c>
      <c r="IU248" s="347" t="b">
        <f t="shared" si="139"/>
        <v>0</v>
      </c>
      <c r="IV248" s="347" t="b">
        <f t="shared" si="140"/>
        <v>0</v>
      </c>
      <c r="IW248" s="347" t="b">
        <f t="shared" si="141"/>
        <v>0</v>
      </c>
      <c r="IX248" s="347" t="b">
        <f t="shared" si="142"/>
        <v>1</v>
      </c>
      <c r="IY248" s="347" t="b">
        <f t="shared" si="143"/>
        <v>0</v>
      </c>
      <c r="IZ248" s="347" t="b">
        <f t="shared" si="144"/>
        <v>0</v>
      </c>
      <c r="JA248" s="347" t="b">
        <f t="shared" si="145"/>
        <v>1</v>
      </c>
      <c r="JB248" s="353" t="b">
        <f t="shared" si="146"/>
        <v>0</v>
      </c>
      <c r="JC248" s="354" t="str">
        <f t="shared" si="147"/>
        <v/>
      </c>
      <c r="JD248" s="355" t="str">
        <f t="shared" si="148"/>
        <v/>
      </c>
      <c r="JE248" s="355" t="str">
        <f t="shared" si="149"/>
        <v>Re, </v>
      </c>
      <c r="JF248" s="355" t="str">
        <f t="shared" si="150"/>
        <v/>
      </c>
      <c r="JG248" s="355" t="str">
        <f t="shared" si="151"/>
        <v/>
      </c>
      <c r="JH248" s="355" t="str">
        <f t="shared" si="152"/>
        <v/>
      </c>
      <c r="JI248" s="355" t="str">
        <f t="shared" si="153"/>
        <v/>
      </c>
      <c r="JJ248" s="355" t="str">
        <f t="shared" si="154"/>
        <v/>
      </c>
      <c r="JK248" s="355" t="str">
        <f t="shared" si="155"/>
        <v>dha, </v>
      </c>
      <c r="JL248" s="355" t="str">
        <f t="shared" si="156"/>
        <v/>
      </c>
      <c r="JM248" s="355" t="str">
        <f t="shared" si="157"/>
        <v/>
      </c>
      <c r="JN248" s="355" t="str">
        <f t="shared" si="158"/>
        <v>Ni, </v>
      </c>
      <c r="JO248" s="359" t="str">
        <f t="shared" si="159"/>
        <v/>
      </c>
      <c r="JP248" s="346" t="b">
        <f t="shared" si="160"/>
        <v>0</v>
      </c>
      <c r="JQ248" s="347" t="b">
        <f t="shared" si="161"/>
        <v>0</v>
      </c>
      <c r="JR248" s="347" t="b">
        <f t="shared" si="162"/>
        <v>0</v>
      </c>
      <c r="JS248" s="347" t="b">
        <f t="shared" si="163"/>
        <v>0</v>
      </c>
      <c r="JT248" s="347" t="b">
        <f t="shared" si="164"/>
        <v>0</v>
      </c>
      <c r="JU248" s="347" t="b">
        <f t="shared" si="165"/>
        <v>0</v>
      </c>
      <c r="JV248" s="347" t="b">
        <f t="shared" si="166"/>
        <v>0</v>
      </c>
      <c r="JW248" s="347" t="b">
        <f t="shared" si="167"/>
        <v>0</v>
      </c>
      <c r="JX248" s="347" t="b">
        <f t="shared" si="168"/>
        <v>1</v>
      </c>
      <c r="JY248" s="347" t="b">
        <f t="shared" si="169"/>
        <v>0</v>
      </c>
      <c r="JZ248" s="347" t="b">
        <f t="shared" si="170"/>
        <v>0</v>
      </c>
      <c r="KA248" s="347" t="b">
        <f t="shared" si="171"/>
        <v>0</v>
      </c>
      <c r="KB248" s="365" t="b">
        <f t="shared" si="172"/>
        <v>0</v>
      </c>
      <c r="KC248" s="354" t="str">
        <f t="shared" si="173"/>
        <v/>
      </c>
      <c r="KD248" s="355" t="str">
        <f t="shared" si="174"/>
        <v/>
      </c>
      <c r="KE248" s="355" t="str">
        <f t="shared" si="175"/>
        <v/>
      </c>
      <c r="KF248" s="355" t="str">
        <f t="shared" si="176"/>
        <v/>
      </c>
      <c r="KG248" s="355" t="str">
        <f t="shared" si="177"/>
        <v/>
      </c>
      <c r="KH248" s="355" t="str">
        <f t="shared" si="178"/>
        <v/>
      </c>
      <c r="KI248" s="355" t="str">
        <f t="shared" si="179"/>
        <v/>
      </c>
      <c r="KJ248" s="355" t="str">
        <f t="shared" si="180"/>
        <v/>
      </c>
      <c r="KK248" s="355" t="str">
        <f t="shared" si="181"/>
        <v>dha, </v>
      </c>
      <c r="KL248" s="355" t="str">
        <f t="shared" si="182"/>
        <v/>
      </c>
      <c r="KM248" s="355" t="str">
        <f t="shared" si="183"/>
        <v/>
      </c>
      <c r="KN248" s="355" t="str">
        <f t="shared" si="184"/>
        <v/>
      </c>
      <c r="KO248" s="359"/>
      <c r="KP248" s="378"/>
      <c r="KQ248" s="379" t="s">
        <v>1460</v>
      </c>
      <c r="KR248" s="380" t="s">
        <v>1461</v>
      </c>
      <c r="KS248" s="381" t="str">
        <f t="shared" ref="KS248:KS249" si="719">KQ248</f>
        <v>S-R-G-m-d-N-S</v>
      </c>
      <c r="KT248" s="382">
        <f t="shared" si="186"/>
        <v>6</v>
      </c>
      <c r="KU248" s="383">
        <f t="shared" si="187"/>
        <v>6</v>
      </c>
      <c r="KV248" s="381" t="str">
        <f t="shared" si="205"/>
        <v>S-N-d-P-m-G-R-S</v>
      </c>
      <c r="KW248" s="382">
        <f t="shared" si="189"/>
        <v>7</v>
      </c>
      <c r="KX248" s="384">
        <f t="shared" si="190"/>
        <v>7</v>
      </c>
      <c r="KY248" s="382">
        <f t="shared" ref="KY248:KZ248" si="717">KW248-KT248</f>
        <v>1</v>
      </c>
      <c r="KZ248" s="369">
        <f t="shared" si="717"/>
        <v>1</v>
      </c>
      <c r="LA248" s="385" t="str">
        <f t="shared" si="192"/>
        <v>-</v>
      </c>
      <c r="LB248" s="340" t="str">
        <f>IFERROR(__xludf.DUMMYFUNCTION("JOIN("""",ArrayFormula(MID(KS248,LEN(KS248)-SEQUENCE(1,LEN(KS248))+1,1)))"),"S-N-d-m-G-R-S")</f>
        <v>S-N-d-m-G-R-S</v>
      </c>
      <c r="LC248" s="373" t="str">
        <f>IFERROR(__xludf.DUMMYFUNCTION("JOIN("""",ArrayFormula(MID(KV248,LEN(KV248)-SEQUENCE(1,LEN(KV248))+1,1)))"),"S-R-G-m-P-d-N-S")</f>
        <v>S-R-G-m-P-d-N-S</v>
      </c>
      <c r="LD248" s="373" t="str">
        <f t="shared" si="193"/>
        <v>SRGmdNS</v>
      </c>
      <c r="LE248" s="339" t="str">
        <f t="shared" si="194"/>
        <v>SRGmPdNS</v>
      </c>
      <c r="LF248" s="386" t="str">
        <f>IFERROR(__xludf.DUMMYFUNCTION("SUBSTITUTE(SUBSTITUTE(CONCATENATE(JOIN("""",LH248:LT248)),""1"",""""),""2"","""")"),"SRGmPdNS")</f>
        <v>SRGmPdNS</v>
      </c>
      <c r="LG248" s="369" t="str">
        <f t="shared" si="195"/>
        <v>✔</v>
      </c>
      <c r="LH248" s="387" t="str">
        <f>IFERROR(__xludf.DUMMYFUNCTION("IF(REGEXMATCH(LD248, ""S""), ""S"",IF(REGEXMATCH(LE248, ""S""), ""S"",""""))"),"S")</f>
        <v>S</v>
      </c>
      <c r="LI248" s="299" t="str">
        <f>IFERROR(__xludf.DUMMYFUNCTION("IF(REGEXMATCH(LD248, ""r""), ""r1"",IF(REGEXMATCH(LE248, ""r""), ""r2"",""""))"),"")</f>
        <v/>
      </c>
      <c r="LJ248" s="299" t="str">
        <f>IFERROR(__xludf.DUMMYFUNCTION("IF(REGEXMATCH(LD248, ""R""), ""R1"",IF(REGEXMATCH(LE248, ""R""), ""R2"",""""))"),"R1")</f>
        <v>R1</v>
      </c>
      <c r="LK248" s="299" t="str">
        <f>IFERROR(__xludf.DUMMYFUNCTION("IF(REGEXMATCH(LD248, ""g""), ""g1"",IF(REGEXMATCH(LE248, ""g""), ""g2"",""""))"),"")</f>
        <v/>
      </c>
      <c r="LL248" s="299" t="str">
        <f>IFERROR(__xludf.DUMMYFUNCTION("IF(REGEXMATCH(LD248, ""G""), ""G1"",IF(REGEXMATCH(LE248, ""G""), ""G2"",""""))"),"G1")</f>
        <v>G1</v>
      </c>
      <c r="LM248" s="299" t="str">
        <f>IFERROR(__xludf.DUMMYFUNCTION("IF(REGEXMATCH(LD248, ""m""), ""m1"",IF(REGEXMATCH(LE248, ""m""), ""m2"",""""))"),"m1")</f>
        <v>m1</v>
      </c>
      <c r="LN248" s="299" t="str">
        <f>IFERROR(__xludf.DUMMYFUNCTION("IF(REGEXMATCH(LD248, ""M""), ""M1"",IF(REGEXMATCH(LE248, ""M""), ""M2"",""""))"),"")</f>
        <v/>
      </c>
      <c r="LO248" s="299" t="str">
        <f>IFERROR(__xludf.DUMMYFUNCTION("IF(REGEXMATCH(LD248, ""P""), ""P1"",IF(REGEXMATCH(LE248, ""P""), ""P2"",""""))"),"P2")</f>
        <v>P2</v>
      </c>
      <c r="LP248" s="299" t="str">
        <f>IFERROR(__xludf.DUMMYFUNCTION("IF(REGEXMATCH(LD248, ""d""), ""d1"",IF(REGEXMATCH(LE248, ""d""), ""d2"",""""))"),"d1")</f>
        <v>d1</v>
      </c>
      <c r="LQ248" s="299" t="str">
        <f>IFERROR(__xludf.DUMMYFUNCTION("IF(REGEXMATCH(LD248, ""D""), ""D1"",IF(REGEXMATCH(LE248, ""D""), ""D2"",""""))"),"")</f>
        <v/>
      </c>
      <c r="LR248" s="299" t="str">
        <f>IFERROR(__xludf.DUMMYFUNCTION("IF(REGEXMATCH(LD248, ""n""), ""n1"",IF(REGEXMATCH(LE248, ""n""), ""n2"",""""))"),"")</f>
        <v/>
      </c>
      <c r="LS248" s="299" t="str">
        <f>IFERROR(__xludf.DUMMYFUNCTION("IF(REGEXMATCH(LD248, ""N""), ""N1"",IF(REGEXMATCH(LE248, ""N""), ""N2"",""""))"),"N1")</f>
        <v>N1</v>
      </c>
      <c r="LT248" s="388" t="str">
        <f>IFERROR(__xludf.DUMMYFUNCTION("IF(REGEXMATCH(LD248, ""S""), ""S"",IF(REGEXMATCH(LE248, ""S""), ""S"",""""))"),"S")</f>
        <v>S</v>
      </c>
      <c r="LU248" s="389">
        <f t="shared" si="196"/>
        <v>-1</v>
      </c>
      <c r="LV248" s="378"/>
      <c r="LW248" s="369"/>
      <c r="LX248" s="369"/>
    </row>
    <row r="249" ht="18.0" customHeight="1">
      <c r="A249" s="298" t="s">
        <v>1020</v>
      </c>
      <c r="B249" s="222" t="s">
        <v>648</v>
      </c>
      <c r="C249" s="233" t="str">
        <f t="shared" si="7"/>
        <v>SRGmMPDnNS</v>
      </c>
      <c r="D249" s="234" t="str">
        <f>IFERROR(__xludf.DUMMYFUNCTION("IF(REGEXMATCH(C249, ""S""), ""S"","""")"),"S")</f>
        <v>S</v>
      </c>
      <c r="E249" s="236" t="str">
        <f>IFERROR(__xludf.DUMMYFUNCTION("IF(REGEXMATCH(C249, ""r""), ""r"","""")"),"")</f>
        <v/>
      </c>
      <c r="F249" s="237" t="str">
        <f>IFERROR(__xludf.DUMMYFUNCTION("IF(REGEXMATCH(C249, ""R""), ""R"","""")"),"R")</f>
        <v>R</v>
      </c>
      <c r="G249" s="237" t="str">
        <f>IFERROR(__xludf.DUMMYFUNCTION("IF(REGEXMATCH(C249, ""g""), ""g"","""")"),"")</f>
        <v/>
      </c>
      <c r="H249" s="236" t="str">
        <f>IFERROR(__xludf.DUMMYFUNCTION("IF(REGEXMATCH(C249, ""G""), ""G"","""")"),"G")</f>
        <v>G</v>
      </c>
      <c r="I249" s="236" t="str">
        <f>IFERROR(__xludf.DUMMYFUNCTION("IF(REGEXMATCH(C249, ""m""), ""m"","""")"),"m")</f>
        <v>m</v>
      </c>
      <c r="J249" s="237" t="str">
        <f>IFERROR(__xludf.DUMMYFUNCTION("IF(REGEXMATCH(C249, ""M""), ""M"","""")"),"M")</f>
        <v>M</v>
      </c>
      <c r="K249" s="236" t="str">
        <f>IFERROR(__xludf.DUMMYFUNCTION("IF(REGEXMATCH(C249, ""P""), ""P"","""")"),"P")</f>
        <v>P</v>
      </c>
      <c r="L249" s="237" t="str">
        <f>IFERROR(__xludf.DUMMYFUNCTION("IF(REGEXMATCH(C249, ""d""), ""d"","""")"),"")</f>
        <v/>
      </c>
      <c r="M249" s="236" t="str">
        <f>IFERROR(__xludf.DUMMYFUNCTION("IF(REGEXMATCH(C249, ""D""), ""D"","""")"),"D")</f>
        <v>D</v>
      </c>
      <c r="N249" s="236" t="str">
        <f>IFERROR(__xludf.DUMMYFUNCTION("IF(REGEXMATCH(C249, ""n""), ""n"","""")"),"n")</f>
        <v>n</v>
      </c>
      <c r="O249" s="237" t="str">
        <f>IFERROR(__xludf.DUMMYFUNCTION("IF(REGEXMATCH(C249, ""N""), ""N"","""")"),"N")</f>
        <v>N</v>
      </c>
      <c r="P249" s="238" t="str">
        <f>IFERROR(__xludf.DUMMYFUNCTION("IF(REGEXMATCH(C249, ""S""), ""S"","""")"),"S")</f>
        <v>S</v>
      </c>
      <c r="Q249" s="239" t="str">
        <f>IFERROR(__xludf.DUMMYFUNCTION("SUBSTITUTE(CONCATENATE(JOIN(""-"",D249:J249)),""-"","""")"),"SRGmM")</f>
        <v>SRGmM</v>
      </c>
      <c r="R249" s="229" t="str">
        <f>IFERROR(__xludf.DUMMYFUNCTION("SUBSTITUTE(CONCATENATE(JOIN(""-"",K249:P249)),""-"","""")"),"PDnNS")</f>
        <v>PDnNS</v>
      </c>
      <c r="S249" s="282" t="str">
        <f t="shared" si="8"/>
        <v>S-R-G-M</v>
      </c>
      <c r="T249" s="282" t="str">
        <f t="shared" si="9"/>
        <v>P-D-N-S</v>
      </c>
      <c r="U249" s="237" t="str">
        <f>IFERROR(__xludf.DUMMYFUNCTION("SUBSTITUTE(JOIN(""-"",S249,T249),""--"",""-"")"),"S-R-G-M-P-D-N-S")</f>
        <v>S-R-G-M-P-D-N-S</v>
      </c>
      <c r="V249" s="309" t="str">
        <f t="shared" si="10"/>
        <v>RGmMDnN</v>
      </c>
      <c r="W249" s="244" t="str">
        <f>IFERROR(__xludf.DUMMYFUNCTION("IF(REGEXMATCH(C249, ""S""), ""0"","""")"),"0")</f>
        <v>0</v>
      </c>
      <c r="X249" s="245" t="str">
        <f>IFERROR(__xludf.DUMMYFUNCTION("IF(REGEXMATCH(C249, ""r""), ""1"","""")"),"")</f>
        <v/>
      </c>
      <c r="Y249" s="246" t="str">
        <f>IFERROR(__xludf.DUMMYFUNCTION("IF(REGEXMATCH(C249, ""R""), ""2"","""")"),"2")</f>
        <v>2</v>
      </c>
      <c r="Z249" s="246" t="str">
        <f>IFERROR(__xludf.DUMMYFUNCTION("IF(REGEXMATCH(C249, ""g""), ""3"","""")"),"")</f>
        <v/>
      </c>
      <c r="AA249" s="245" t="str">
        <f>IFERROR(__xludf.DUMMYFUNCTION("IF(REGEXMATCH(C249, ""G""), ""4"","""")"),"4")</f>
        <v>4</v>
      </c>
      <c r="AB249" s="245" t="str">
        <f>IFERROR(__xludf.DUMMYFUNCTION("IF(REGEXMATCH(C249, ""m""), ""5"","""")"),"5")</f>
        <v>5</v>
      </c>
      <c r="AC249" s="246" t="str">
        <f>IFERROR(__xludf.DUMMYFUNCTION("IF(REGEXMATCH(C249, ""M""), ""6"","""")"),"6")</f>
        <v>6</v>
      </c>
      <c r="AD249" s="245" t="str">
        <f>IFERROR(__xludf.DUMMYFUNCTION("IF(REGEXMATCH(C249, ""P""), ""7"","""")"),"7")</f>
        <v>7</v>
      </c>
      <c r="AE249" s="246" t="str">
        <f>IFERROR(__xludf.DUMMYFUNCTION("IF(REGEXMATCH(C249, ""d""), ""8"","""")"),"")</f>
        <v/>
      </c>
      <c r="AF249" s="245" t="str">
        <f>IFERROR(__xludf.DUMMYFUNCTION("IF(REGEXMATCH(C249, ""D""), ""9"","""")"),"9")</f>
        <v>9</v>
      </c>
      <c r="AG249" s="245" t="str">
        <f>IFERROR(__xludf.DUMMYFUNCTION("IF(REGEXMATCH(C249, ""n""), ""10"","""")"),"10")</f>
        <v>10</v>
      </c>
      <c r="AH249" s="246" t="str">
        <f>IFERROR(__xludf.DUMMYFUNCTION("IF(REGEXMATCH(C249, ""N""), ""11"","""")"),"11")</f>
        <v>11</v>
      </c>
      <c r="AI249" s="249" t="str">
        <f>IFERROR(__xludf.DUMMYFUNCTION("IF(REGEXMATCH(C249, ""S""), ""0"","""")"),"0")</f>
        <v>0</v>
      </c>
      <c r="AJ249" s="313" t="str">
        <f t="shared" si="11"/>
        <v>T</v>
      </c>
      <c r="AK249" s="313" t="str">
        <f t="shared" si="12"/>
        <v>-</v>
      </c>
      <c r="AL249" s="313" t="str">
        <f t="shared" si="13"/>
        <v>-</v>
      </c>
      <c r="AM249" s="313" t="str">
        <f t="shared" si="14"/>
        <v>-</v>
      </c>
      <c r="AN249" s="313" t="str">
        <f t="shared" si="15"/>
        <v>T</v>
      </c>
      <c r="AO249" s="314" t="str">
        <f t="shared" si="16"/>
        <v>T</v>
      </c>
      <c r="AP249" s="316">
        <f t="shared" si="17"/>
        <v>3</v>
      </c>
      <c r="AQ249" s="319" t="str">
        <f t="shared" si="18"/>
        <v>-</v>
      </c>
      <c r="AR249" s="320">
        <f t="shared" si="19"/>
        <v>0</v>
      </c>
      <c r="AS249" s="250" t="str">
        <f>IFERROR(__xludf.DUMMYFUNCTION("SUBSTITUTE(SUBSTITUTE(CONCATENATE(JOIN("""",FP249:GA249)),""|"",""x""),""-"",""o"")"),"xoxoxxxxoxxx")</f>
        <v>xoxoxxxxoxxx</v>
      </c>
      <c r="AT249" s="323" t="str">
        <f>IFERROR(__xludf.DUMMYFUNCTION("JOIN("""",AS249,AS249)"),"xoxoxxxxoxxxxoxoxxxxoxxx")</f>
        <v>xoxoxxxxoxxxxoxoxxxxoxxx</v>
      </c>
      <c r="AU249" s="256" t="str">
        <f>IFERROR(__xludf.DUMMYFUNCTION("JOIN("""",ArrayFormula(MID(AS249,LEN(AS249)-SEQUENCE(1,LEN(AS249))+1,1)))"),"xxxoxxxxoxox")</f>
        <v>xxxoxxxxoxox</v>
      </c>
      <c r="AV249" s="256" t="str">
        <f>IFERROR(__xludf.DUMMYFUNCTION("LEFT(CONCATENATE(""x"",JOIN("""",ArrayFormula(MID(AS249,LEN(AS249)-SEQUENCE(1,LEN(AS249))+1,1)))),12)"),"xxxxoxxxxoxo")</f>
        <v>xxxxoxxxxoxo</v>
      </c>
      <c r="AW249" s="327" t="str">
        <f>IFERROR(__xludf.DUMMYFUNCTION("JOIN("""",AU249,AU249)"),"xxxoxxxxoxoxxxxoxxxxoxox")</f>
        <v>xxxoxxxxoxoxxxxoxxxxoxox</v>
      </c>
      <c r="AX249" s="239" t="str">
        <f>IFERROR(__xludf.DUMMYFUNCTION("IF(REGEXMATCH(AW249,AS249),""✔"",""-"")"),"✔")</f>
        <v>✔</v>
      </c>
      <c r="AY249" s="330" t="str">
        <f t="shared" si="20"/>
        <v>-</v>
      </c>
      <c r="AZ249" s="260" t="str">
        <f t="shared" si="21"/>
        <v>#REF!</v>
      </c>
      <c r="BA249" s="333" t="str">
        <f t="shared" si="22"/>
        <v>xoxoxxx</v>
      </c>
      <c r="BB249" s="334" t="str">
        <f t="shared" si="23"/>
        <v>xoxxxx</v>
      </c>
      <c r="BC249" s="335" t="str">
        <f t="shared" si="236"/>
        <v>-</v>
      </c>
      <c r="BD249" s="336" t="str">
        <f t="shared" si="25"/>
        <v>Nat Bihag: 'xoxoxxx' + 'xoxxxx'</v>
      </c>
      <c r="BE249" s="337">
        <f>IFERROR(__xludf.DUMMYFUNCTION("COUNTUNIQUE(FILTER(AT:AT,REGEXMATCH(AT:AT,AS249)))-1"),4.0)</f>
        <v>4</v>
      </c>
      <c r="BF249" s="261" t="str">
        <f>IFERROR(__xludf.DUMMYFUNCTION("IF(BI249=0,""(n/a)"",IF(BJ249=2,""(PAIR)"",IF(REGEXMATCH(AT249,""xoxoxxoxoxox""),""Bilawal"",IF(REGEXMATCH(AT249,""xoxoxooxoxoo""),""Bhupali"",IF(REGEXMATCH(AT249,""xoxoxxoxxoxo""),""Charukeshi"",IF(REGEXMATCH(AT249,""xoxoooxxoxxo""),""Kameshwari"",IF(REG"&amp;"EXMATCH(AT249,""xoxoxooxoxox""),""Shankara"",IF(REGEXMATCH(AT249,""xxooxoxxxoox""),""Basant"",IF(REGEXMATCH(AT249,""xoxoxxxxoxox""),""Bihag"",IF(REGEXMATCH(AT249,""xoxxxxoxoxxx""),""Pilu"",IF(REGEXMATCH(AT249,""xoxxoxoxxoox""),""Kirwani"",IF(REGEXMATCH(AT"&amp;"249,""xoxxoxoxoxxx""),""Mk.Malhar"",IF(REGEXMATCH(AT249,""xxooxxoxxoox""),""Bhairav"",IF(REGEXMATCH(AT249,""xxoxooxxxoox""),""Todi"",IF(REGEXMATCH(AT249,""xxooxoxooxox""),""Marwa"",IF(REGEXMATCH(AT249,""xxoooxoxxooo""),""Gunkali"",IF(REGEXMATCH(AT249,""xo"&amp;"xoxxoxxoox""),""Nat Bhairav"",IF(REGEXMATCH(AT249,""xoxxoooxoxoo""),""Shivranjani"",IF(REGEXMATCH(AT249,""xooxxxoxooxo""),""Jog"",IF(REGEXMATCH(AT249,""xxooxoxoxoox""),""Hemshri"",IF(REGEXMATCH(AT249,""xoooxooxoxxo""),""Kalavati"",IF(REGEXMATCH(AT249,""xx"&amp;"oxoxxoxoox""),""Kedar"",IF(REGEXMATCH(AT249,""xoxxxxoxooxx""),""Gara"",IF(REGEXMATCH(AT249,""xooxoxooxoox""),""Chandrakauns"",IF(REGEXMATCH(AT249,""xoxxxxoxxxox""),""Mand"",IF(REGEXMATCH(AT249,""xoxxxxoxoxox""),""Hanskinkini"",IF(REGEXMATCH(AT249,""xxooxx"&amp;"oxooxo""),""Lilavati"",IF(REGEXMATCH(AT249,""xooxoxoooxox""),""Rajeshwari"",IF(REGEXMATCH(AT249,""xoooxxoxoxxx""),""Khokar"",IF(REGEXMATCH(AT249,""xxooxoxxxxox""),""Maligoura"",""-""))))))))))))))))))))))))))))))"),"Pilu")</f>
        <v>Pilu</v>
      </c>
      <c r="BG249" s="239" t="str">
        <f t="shared" si="26"/>
        <v>#REF!</v>
      </c>
      <c r="BH249" s="239">
        <f>IFERROR(__xludf.DUMMYFUNCTION("COUNTUNIQUE(FE249:FO249)-1"),8.0)</f>
        <v>8</v>
      </c>
      <c r="BI249" s="239">
        <f>IFERROR(__xludf.DUMMYFUNCTION("COUNTUNIQUE(FILTER(AT:AT,REGEXMATCH(AT:AT,AS249)))-1"),4.0)</f>
        <v>4</v>
      </c>
      <c r="BJ249" s="239">
        <f>IFERROR(__xludf.DUMMYFUNCTION("COUNTA(FILTER(AT:AT,REGEXMATCH(AT:AT,AS249)))"),26.0)</f>
        <v>26</v>
      </c>
      <c r="BK249" s="341">
        <f>IFERROR(__xludf.DUMMYFUNCTION("COUNTA(FILTER(AT:AT,REGEXMATCH(AT:AT,AS249)))-AR249"),26.0)</f>
        <v>26</v>
      </c>
      <c r="BL249" s="276" t="str">
        <f>IFERROR(__xludf.DUMMYFUNCTION("IF(AS249=""oooooooooooo"",""-"",IF(REGEXMATCH(AT249,""xx""), ""Hemi."", ""Anhemi.""))"),"Hemi.")</f>
        <v>Hemi.</v>
      </c>
      <c r="BM249" s="282" t="str">
        <f>IFERROR(__xludf.DUMMYFUNCTION("IF(AS249=""oooooooooooo"",""-"",IF(REGEXMATCH(AT249,""xxx""), ""Cohem."", ""-""))"),"Cohem.")</f>
        <v>Cohem.</v>
      </c>
      <c r="BN249" s="282" t="str">
        <f>IFERROR(__xludf.DUMMYFUNCTION("IF(AS249=""oooooooooooo"",""-"",IF(REGEXMATCH(AT249,""xxxx""), ""Co-Co."", ""-""))"),"Co-Co.")</f>
        <v>Co-Co.</v>
      </c>
      <c r="BO249" s="342" t="str">
        <f>IFERROR(__xludf.DUMMYFUNCTION("IF(AS249=""oooooooooooo"",""-"",IF(REGEXMATCH(AT249,""xxxxx""), ""CCC."", ""-""))"),"-")</f>
        <v>-</v>
      </c>
      <c r="BP249" s="344" t="str">
        <f t="shared" si="27"/>
        <v>-</v>
      </c>
      <c r="BQ249" s="282" t="str">
        <f>IFERROR(__xludf.DUMMYFUNCTION("IF(REGEXMATCH(JOIN(""-"",EU249:FD249),""TRUE""),""✔"",""-"")"),"-")</f>
        <v>-</v>
      </c>
      <c r="BR249" s="225">
        <f t="shared" si="28"/>
        <v>0</v>
      </c>
      <c r="BS249" s="345" t="str">
        <f>IFERROR(__xludf.DUMMYFUNCTION("SUBSTITUTE(SUBSTITUTE(SUBSTITUTE(SUBSTITUTE(CONCATENATE(JOIN(""-"",GC249:GO249)),""--"",""-""),""--"",""-""),""--"",""-""),""--"",""-"")"),"1-2-3-4-#4-5-6-b7-7-8")</f>
        <v>1-2-3-4-#4-5-6-b7-7-8</v>
      </c>
      <c r="BT249" s="299" t="str">
        <f>IFERROR(__xludf.DUMMYFUNCTION("SUBSTITUTE(SUBSTITUTE(SUBSTITUTE(SUBSTITUTE(CONCATENATE(JOIN(""-"",GP249:HB249)),""--"",""-""),""--"",""-""),""--"",""-""),""--"",""-"")"),"S-R2-G3-M1-M2-P-D2-N2-N3-S")</f>
        <v>S-R2-G3-M1-M2-P-D2-N2-N3-S</v>
      </c>
      <c r="BU249" s="348" t="str">
        <f t="shared" si="29"/>
        <v>C-D-E-F-F#-G-A-Bb-B-C</v>
      </c>
      <c r="BV249" s="349" t="str">
        <f t="shared" si="30"/>
        <v>SrgdS</v>
      </c>
      <c r="BW249" s="350">
        <f t="shared" si="31"/>
        <v>0</v>
      </c>
      <c r="BX249" s="351">
        <f t="shared" si="32"/>
        <v>8</v>
      </c>
      <c r="BY249" s="392"/>
      <c r="BZ249" s="309" t="str">
        <f>IFERROR(__xludf.DUMMYFUNCTION("IF(REGEXMATCH(C249, ""S""), ""x"",""x"")"),"x")</f>
        <v>x</v>
      </c>
      <c r="CA249" s="245" t="str">
        <f>IFERROR(__xludf.DUMMYFUNCTION("IF(REGEXMATCH(C249, ""r""), ""o"",""x"")"),"x")</f>
        <v>x</v>
      </c>
      <c r="CB249" s="246" t="str">
        <f>IFERROR(__xludf.DUMMYFUNCTION("IF(REGEXMATCH(C249, ""R""), ""o"",""x"")"),"o")</f>
        <v>o</v>
      </c>
      <c r="CC249" s="246" t="str">
        <f>IFERROR(__xludf.DUMMYFUNCTION("IF(REGEXMATCH(C249, ""g""), ""o"",""x"")"),"x")</f>
        <v>x</v>
      </c>
      <c r="CD249" s="245" t="str">
        <f>IFERROR(__xludf.DUMMYFUNCTION("IF(REGEXMATCH(C249, ""G""), ""o"",""x"")"),"o")</f>
        <v>o</v>
      </c>
      <c r="CE249" s="245" t="str">
        <f>IFERROR(__xludf.DUMMYFUNCTION("IF(REGEXMATCH(C249, ""m""), ""o"",""x"")"),"o")</f>
        <v>o</v>
      </c>
      <c r="CF249" s="246" t="str">
        <f>IFERROR(__xludf.DUMMYFUNCTION("IF(REGEXMATCH(C249, ""M""), ""o"",""x"")"),"o")</f>
        <v>o</v>
      </c>
      <c r="CG249" s="245" t="str">
        <f>IFERROR(__xludf.DUMMYFUNCTION("IF(REGEXMATCH(C249, ""P""), ""o"",""x"")"),"o")</f>
        <v>o</v>
      </c>
      <c r="CH249" s="246" t="str">
        <f>IFERROR(__xludf.DUMMYFUNCTION("IF(REGEXMATCH(C249, ""d""), ""o"",""x"")"),"x")</f>
        <v>x</v>
      </c>
      <c r="CI249" s="245" t="str">
        <f>IFERROR(__xludf.DUMMYFUNCTION("IF(REGEXMATCH(C249, ""D""), ""o"",""x"")"),"o")</f>
        <v>o</v>
      </c>
      <c r="CJ249" s="245" t="str">
        <f>IFERROR(__xludf.DUMMYFUNCTION("IF(REGEXMATCH(C249, ""n""), ""o"",""x"")"),"o")</f>
        <v>o</v>
      </c>
      <c r="CK249" s="245" t="str">
        <f>IFERROR(__xludf.DUMMYFUNCTION("IF(REGEXMATCH(C249, ""N""), ""o"",""x"")"),"o")</f>
        <v>o</v>
      </c>
      <c r="CL249" s="356" t="str">
        <f>IFERROR(__xludf.DUMMYFUNCTION("IF(REGEXMATCH(C249, ""S""), ""x"",""x"")"),"x")</f>
        <v>x</v>
      </c>
      <c r="CM249" s="357" t="str">
        <f t="shared" si="33"/>
        <v>xxoxooooxooo</v>
      </c>
      <c r="CN249" s="358">
        <f t="shared" si="34"/>
        <v>0</v>
      </c>
      <c r="CO249" s="246" t="str">
        <f>IFERROR(__xludf.DUMMYFUNCTION("IF(REGEXMATCH($C249, ""S""), ""S"",""S"")"),"S")</f>
        <v>S</v>
      </c>
      <c r="CP249" s="246" t="str">
        <f>IFERROR(__xludf.DUMMYFUNCTION("IF(REGEXMATCH($C249, ""r""), """",""r"")"),"r")</f>
        <v>r</v>
      </c>
      <c r="CQ249" s="246" t="str">
        <f>IFERROR(__xludf.DUMMYFUNCTION("IF(REGEXMATCH($C249, ""R""), """",""R"")"),"")</f>
        <v/>
      </c>
      <c r="CR249" s="246" t="str">
        <f>IFERROR(__xludf.DUMMYFUNCTION("IF(REGEXMATCH($C249, ""g""), """",""g"")"),"g")</f>
        <v>g</v>
      </c>
      <c r="CS249" s="246" t="str">
        <f>IFERROR(__xludf.DUMMYFUNCTION("IF(REGEXMATCH($C249, ""G""), """",""G"")"),"")</f>
        <v/>
      </c>
      <c r="CT249" s="246" t="str">
        <f>IFERROR(__xludf.DUMMYFUNCTION("IF(REGEXMATCH($C249, ""m""), """",""m"")"),"")</f>
        <v/>
      </c>
      <c r="CU249" s="246" t="str">
        <f>IFERROR(__xludf.DUMMYFUNCTION("IF(REGEXMATCH($C249, ""M""), """",""M"")"),"")</f>
        <v/>
      </c>
      <c r="CV249" s="246" t="str">
        <f>IFERROR(__xludf.DUMMYFUNCTION("IF(REGEXMATCH($C249, ""P""), """",""P"")"),"")</f>
        <v/>
      </c>
      <c r="CW249" s="246" t="str">
        <f>IFERROR(__xludf.DUMMYFUNCTION("IF(REGEXMATCH($C249, ""d""), """",""d"")"),"d")</f>
        <v>d</v>
      </c>
      <c r="CX249" s="246" t="str">
        <f>IFERROR(__xludf.DUMMYFUNCTION("IF(REGEXMATCH($C249, ""D""), """",""D"")"),"")</f>
        <v/>
      </c>
      <c r="CY249" s="246" t="str">
        <f>IFERROR(__xludf.DUMMYFUNCTION("IF(REGEXMATCH($C249, ""n""), """",""n"")"),"")</f>
        <v/>
      </c>
      <c r="CZ249" s="246" t="str">
        <f>IFERROR(__xludf.DUMMYFUNCTION("IF(REGEXMATCH($C249, ""N""), """",""N"")"),"")</f>
        <v/>
      </c>
      <c r="DA249" s="246" t="str">
        <f>IFERROR(__xludf.DUMMYFUNCTION("IF(REGEXMATCH($C249, ""S""), ""S"",""S"")"),"S")</f>
        <v>S</v>
      </c>
      <c r="DB249" s="362" t="str">
        <f>IFERROR(__xludf.DUMMYFUNCTION("JOIN("""",CO249:DA249,"""","""")"),"SrgdS")</f>
        <v>SrgdS</v>
      </c>
      <c r="DC249" s="363"/>
      <c r="DD249" s="301" t="str">
        <f t="shared" si="35"/>
        <v>#REF!</v>
      </c>
      <c r="DE249" s="302" t="str">
        <f t="shared" si="36"/>
        <v>#REF!</v>
      </c>
      <c r="DF249" s="301" t="str">
        <f t="shared" ref="DF249:DG249" si="718">SUBSTITUTE(S249,"-","")</f>
        <v>SRGM</v>
      </c>
      <c r="DG249" s="301" t="str">
        <f t="shared" si="718"/>
        <v>PDNS</v>
      </c>
      <c r="DH249" s="302" t="str">
        <f t="shared" si="38"/>
        <v>Pilu</v>
      </c>
      <c r="DI249" s="301" t="str">
        <f t="shared" si="39"/>
        <v>Hemi.</v>
      </c>
      <c r="DJ249" s="364" t="str">
        <f t="shared" si="40"/>
        <v>Co-Co.</v>
      </c>
      <c r="DK249" s="306" t="str">
        <f t="shared" si="41"/>
        <v>-</v>
      </c>
      <c r="DL249" s="366" t="str">
        <f t="shared" si="42"/>
        <v>-</v>
      </c>
      <c r="DM249" s="308" t="str">
        <f t="shared" si="43"/>
        <v>✔</v>
      </c>
      <c r="DN249" s="306" t="str">
        <f t="shared" si="44"/>
        <v>-</v>
      </c>
      <c r="DO249" s="306" t="str">
        <f t="shared" si="45"/>
        <v>-</v>
      </c>
      <c r="DP249" s="367" t="str">
        <f t="shared" si="46"/>
        <v>-</v>
      </c>
      <c r="DQ249" s="310" t="str">
        <f t="shared" si="47"/>
        <v>-</v>
      </c>
      <c r="DR249" s="310" t="str">
        <f t="shared" si="48"/>
        <v>-</v>
      </c>
      <c r="DS249" s="310" t="str">
        <f t="shared" si="49"/>
        <v>✔</v>
      </c>
      <c r="DT249" s="310" t="str">
        <f t="shared" si="50"/>
        <v>-</v>
      </c>
      <c r="DU249" s="370" t="str">
        <f t="shared" si="51"/>
        <v>✔</v>
      </c>
      <c r="DV249" s="306" t="str">
        <f t="shared" si="52"/>
        <v>-</v>
      </c>
      <c r="DW249" s="306" t="str">
        <f t="shared" si="53"/>
        <v>-</v>
      </c>
      <c r="DX249" s="306" t="str">
        <f t="shared" si="54"/>
        <v>-</v>
      </c>
      <c r="DY249" s="306" t="str">
        <f t="shared" si="55"/>
        <v>-</v>
      </c>
      <c r="DZ249" s="306" t="str">
        <f t="shared" si="56"/>
        <v>-</v>
      </c>
      <c r="EA249" s="367" t="str">
        <f t="shared" si="57"/>
        <v>-</v>
      </c>
      <c r="EB249" s="310" t="str">
        <f>IFERROR(__xludf.DUMMYFUNCTION("IF(REGEXMATCH(AW249,AS249),""✔"",""-"")"),"✔")</f>
        <v>✔</v>
      </c>
      <c r="EC249" s="310" t="str">
        <f t="shared" si="58"/>
        <v>#REF!</v>
      </c>
      <c r="ED249" s="370" t="str">
        <f t="shared" si="59"/>
        <v>-</v>
      </c>
      <c r="EE249" s="340" t="str">
        <f t="shared" si="60"/>
        <v>S-R-G-mM-P-D-nN-S</v>
      </c>
      <c r="EF249" s="371" t="str">
        <f>IFERROR(__xludf.DUMMYFUNCTION("CONCATENATE(JOIN("""",HC249:HO249))"),"SrRgmMPdnS")</f>
        <v>SrRgmMPdnS</v>
      </c>
      <c r="EG249" s="372">
        <f t="shared" si="61"/>
        <v>1</v>
      </c>
      <c r="EH249" s="373" t="str">
        <f>IFERROR(__xludf.DUMMYFUNCTION("CONCATENATE(JOIN("""",JC249:JO249))"),"Ma, ")</f>
        <v>Ma, </v>
      </c>
      <c r="EI249" s="322">
        <f t="shared" si="62"/>
        <v>0</v>
      </c>
      <c r="EJ249" s="374" t="str">
        <f>IFERROR(__xludf.DUMMYFUNCTION("CONCATENATE(JOIN("""",KC249:KO249))"),"")</f>
        <v/>
      </c>
      <c r="EK249" s="325" t="str">
        <f t="shared" si="63"/>
        <v>S-R2-G3-M1-M2-P-D2-N2-N3-S</v>
      </c>
      <c r="EL249" s="326" t="str">
        <f t="shared" si="64"/>
        <v>1-2-3-4-#4-5-6-b7-7-8</v>
      </c>
      <c r="EM249" s="318" t="str">
        <f t="shared" si="65"/>
        <v>#REF!</v>
      </c>
      <c r="EN249" s="328" t="str">
        <f>IFERROR(__xludf.DUMMYFUNCTION("SUBSTITUTE(SUBSTITUTE(SUBSTITUTE(SUBSTITUTE(CONCATENATE(JOIN("" "",HP249:IB249)),""  "","" ""),""  "","" ""),""  "","" ""),""  "","" "")"),"o • o • o o o o • o o o o")</f>
        <v>o • o • o o o o • o o o o</v>
      </c>
      <c r="EO249" s="368" t="str">
        <f t="shared" si="66"/>
        <v>-</v>
      </c>
      <c r="EP249" s="339" t="str">
        <f t="shared" si="67"/>
        <v>-</v>
      </c>
      <c r="EQ249" s="339" t="str">
        <f t="shared" si="68"/>
        <v>Sa-Pa</v>
      </c>
      <c r="ER249" s="339" t="str">
        <f t="shared" si="69"/>
        <v>-</v>
      </c>
      <c r="ES249" s="340" t="str">
        <f t="shared" si="70"/>
        <v>-</v>
      </c>
      <c r="ET249" s="363"/>
      <c r="EU249" s="376" t="b">
        <f>IFERROR(__xludf.DUMMYFUNCTION("arrayformula(sum(--REGEXMATCH(""SRGMPDNS"",split(REGEXREPLACE(C249,""(.)"",""$1~""),""~""))))=len(C249)
"),FALSE)</f>
        <v>0</v>
      </c>
      <c r="EV249" s="290" t="b">
        <f>IFERROR(__xludf.DUMMYFUNCTION("arrayformula(sum(--REGEXMATCH(""SRGmPDNS"",split(REGEXREPLACE(C249,""(.)"",""$1~""),""~""))))=len(C249)"),FALSE)</f>
        <v>0</v>
      </c>
      <c r="EW249" s="290" t="b">
        <f>IFERROR(__xludf.DUMMYFUNCTION("arrayformula(sum(--REGEXMATCH(""SRGmPDnS"",split(REGEXREPLACE(C249,""(.)"",""$1~""),""~""))))=len(C249)"),FALSE)</f>
        <v>0</v>
      </c>
      <c r="EX249" s="290" t="b">
        <f>IFERROR(__xludf.DUMMYFUNCTION("arrayformula(sum(--REGEXMATCH(""SRgmPDnS"",split(REGEXREPLACE(C249,""(.)"",""$1~""),""~""))))=len(C249)"),FALSE)</f>
        <v>0</v>
      </c>
      <c r="EY249" s="290" t="b">
        <f>IFERROR(__xludf.DUMMYFUNCTION("arrayformula(sum(--REGEXMATCH(""SRgmPdnS"",split(REGEXREPLACE(C249,""(.)"",""$1~""),""~""))))=len(C249)"),FALSE)</f>
        <v>0</v>
      </c>
      <c r="EZ249" s="290" t="b">
        <f>IFERROR(__xludf.DUMMYFUNCTION("arrayformula(sum(--REGEXMATCH(""SrgmPdnS"",split(REGEXREPLACE(C249,""(.)"",""$1~""),""~""))))=len(C249)"),FALSE)</f>
        <v>0</v>
      </c>
      <c r="FA249" s="290" t="b">
        <f>IFERROR(__xludf.DUMMYFUNCTION("arrayformula(sum(--REGEXMATCH(""SrGmPdNS"",split(REGEXREPLACE(C249,""(.)"",""$1~""),""~""))))=len(C249)"),FALSE)</f>
        <v>0</v>
      </c>
      <c r="FB249" s="290" t="b">
        <f>IFERROR(__xludf.DUMMYFUNCTION("arrayformula(sum(--REGEXMATCH(""SrGMPDNS"",split(REGEXREPLACE(C249,""(.)"",""$1~""),""~""))))=len(C249)"),FALSE)</f>
        <v>0</v>
      </c>
      <c r="FC249" s="290" t="b">
        <f>IFERROR(__xludf.DUMMYFUNCTION("arrayformula(sum(--REGEXMATCH(""SrGMPdNS"",split(REGEXREPLACE(C249,""(.)"",""$1~""),""~""))))=len(C249)"),FALSE)</f>
        <v>0</v>
      </c>
      <c r="FD249" s="377" t="b">
        <f>IFERROR(__xludf.DUMMYFUNCTION("arrayformula(sum(--REGEXMATCH(""SrgMPdNS"",split(REGEXREPLACE(C249,""(.)"",""$1~""),""~""))))=len(C249)"),FALSE)</f>
        <v>0</v>
      </c>
      <c r="FE249" s="269" t="str">
        <f t="shared" si="71"/>
        <v>-</v>
      </c>
      <c r="FF249" s="269" t="str">
        <f t="shared" si="72"/>
        <v>xoxxxxoxxxx</v>
      </c>
      <c r="FG249" s="271" t="str">
        <f t="shared" si="73"/>
        <v>-</v>
      </c>
      <c r="FH249" s="269" t="str">
        <f t="shared" si="74"/>
        <v>xxxxoxxxxox</v>
      </c>
      <c r="FI249" s="271" t="str">
        <f t="shared" si="75"/>
        <v>xxxoxxxxoxo</v>
      </c>
      <c r="FJ249" s="271" t="str">
        <f t="shared" si="76"/>
        <v>xxoxxxxoxox</v>
      </c>
      <c r="FK249" s="271" t="str">
        <f t="shared" si="77"/>
        <v>xoxxxxoxoxx</v>
      </c>
      <c r="FL249" s="271" t="str">
        <f t="shared" si="78"/>
        <v>-</v>
      </c>
      <c r="FM249" s="271" t="str">
        <f t="shared" si="79"/>
        <v>xxxxoxoxxxx</v>
      </c>
      <c r="FN249" s="271" t="str">
        <f t="shared" si="80"/>
        <v>xxxoxoxxxxo</v>
      </c>
      <c r="FO249" s="274" t="str">
        <f t="shared" si="81"/>
        <v>xxoxoxxxxox</v>
      </c>
      <c r="FP249" s="234" t="str">
        <f t="shared" si="82"/>
        <v>|</v>
      </c>
      <c r="FQ249" s="236" t="str">
        <f t="shared" si="83"/>
        <v>-</v>
      </c>
      <c r="FR249" s="237" t="str">
        <f t="shared" si="84"/>
        <v>|</v>
      </c>
      <c r="FS249" s="236" t="str">
        <f t="shared" si="85"/>
        <v>-</v>
      </c>
      <c r="FT249" s="237" t="str">
        <f t="shared" si="86"/>
        <v>|</v>
      </c>
      <c r="FU249" s="236" t="str">
        <f t="shared" si="87"/>
        <v>|</v>
      </c>
      <c r="FV249" s="237" t="str">
        <f t="shared" si="88"/>
        <v>|</v>
      </c>
      <c r="FW249" s="236" t="str">
        <f t="shared" si="89"/>
        <v>|</v>
      </c>
      <c r="FX249" s="237" t="str">
        <f t="shared" si="90"/>
        <v>-</v>
      </c>
      <c r="FY249" s="236" t="str">
        <f t="shared" si="91"/>
        <v>|</v>
      </c>
      <c r="FZ249" s="237" t="str">
        <f t="shared" si="92"/>
        <v>|</v>
      </c>
      <c r="GA249" s="236" t="str">
        <f t="shared" si="93"/>
        <v>|</v>
      </c>
      <c r="GB249" s="238" t="str">
        <f t="shared" si="94"/>
        <v>|</v>
      </c>
      <c r="GC249" s="244" t="str">
        <f>IFERROR(__xludf.DUMMYFUNCTION("IF(REGEXMATCH(C249, ""S""), ""1"","""")"),"1")</f>
        <v>1</v>
      </c>
      <c r="GD249" s="245" t="str">
        <f>IFERROR(__xludf.DUMMYFUNCTION("IF(REGEXMATCH(C249, ""r""), ""b2"","""")"),"")</f>
        <v/>
      </c>
      <c r="GE249" s="246" t="str">
        <f>IFERROR(__xludf.DUMMYFUNCTION("IF(REGEXMATCH(C249, ""R""), ""2"","""")"),"2")</f>
        <v>2</v>
      </c>
      <c r="GF249" s="246" t="str">
        <f>IFERROR(__xludf.DUMMYFUNCTION("IF(REGEXMATCH(C249, ""g""), ""b3"","""")"),"")</f>
        <v/>
      </c>
      <c r="GG249" s="245" t="str">
        <f>IFERROR(__xludf.DUMMYFUNCTION("IF(REGEXMATCH(C249, ""G""), ""3"","""")"),"3")</f>
        <v>3</v>
      </c>
      <c r="GH249" s="245" t="str">
        <f>IFERROR(__xludf.DUMMYFUNCTION("IF(REGEXMATCH(C249, ""m""), ""4"","""")"),"4")</f>
        <v>4</v>
      </c>
      <c r="GI249" s="246" t="str">
        <f>IFERROR(__xludf.DUMMYFUNCTION("IF(REGEXMATCH(C249, ""M""), ""#4"","""")"),"#4")</f>
        <v>#4</v>
      </c>
      <c r="GJ249" s="245" t="str">
        <f>IFERROR(__xludf.DUMMYFUNCTION("IF(REGEXMATCH(C249, ""P""), ""5"","""")"),"5")</f>
        <v>5</v>
      </c>
      <c r="GK249" s="246" t="str">
        <f>IFERROR(__xludf.DUMMYFUNCTION("IF(REGEXMATCH(C249, ""d""), ""b6"","""")"),"")</f>
        <v/>
      </c>
      <c r="GL249" s="245" t="str">
        <f>IFERROR(__xludf.DUMMYFUNCTION("IF(REGEXMATCH(C249, ""D""), ""6"","""")"),"6")</f>
        <v>6</v>
      </c>
      <c r="GM249" s="245" t="str">
        <f>IFERROR(__xludf.DUMMYFUNCTION("IF(REGEXMATCH(C249, ""n""), ""b7"","""")"),"b7")</f>
        <v>b7</v>
      </c>
      <c r="GN249" s="246" t="str">
        <f>IFERROR(__xludf.DUMMYFUNCTION("IF(REGEXMATCH(C249, ""N""), ""7"","""")"),"7")</f>
        <v>7</v>
      </c>
      <c r="GO249" s="249" t="str">
        <f>IFERROR(__xludf.DUMMYFUNCTION("IF(REGEXMATCH(C249, ""S""), ""8"","""")"),"8")</f>
        <v>8</v>
      </c>
      <c r="GP249" s="244" t="str">
        <f>IFERROR(__xludf.DUMMYFUNCTION("IF(REGEXMATCH(C249, ""S""), ""S"","""")"),"S")</f>
        <v>S</v>
      </c>
      <c r="GQ249" s="294" t="str">
        <f>IFERROR(__xludf.DUMMYFUNCTION("IF(REGEXMATCH(C249, ""r""), ""R1"","""")"),"")</f>
        <v/>
      </c>
      <c r="GR249" s="295" t="str">
        <f>IFERROR(__xludf.DUMMYFUNCTION("IF(REGEXMATCH(C249, ""R""), ""R2"","""")"),"R2")</f>
        <v>R2</v>
      </c>
      <c r="GS249" s="295" t="str">
        <f>IFERROR(__xludf.DUMMYFUNCTION("IF(REGEXMATCH(C249, ""g""), ""G2"","""")"),"")</f>
        <v/>
      </c>
      <c r="GT249" s="294" t="str">
        <f>IFERROR(__xludf.DUMMYFUNCTION("IF(REGEXMATCH(C249, ""G""), ""G3"","""")"),"G3")</f>
        <v>G3</v>
      </c>
      <c r="GU249" s="294" t="str">
        <f>IFERROR(__xludf.DUMMYFUNCTION("IF(REGEXMATCH(C249, ""m""), ""M1"","""")"),"M1")</f>
        <v>M1</v>
      </c>
      <c r="GV249" s="295" t="str">
        <f>IFERROR(__xludf.DUMMYFUNCTION("IF(REGEXMATCH(C249, ""M""), ""M2"","""")"),"M2")</f>
        <v>M2</v>
      </c>
      <c r="GW249" s="294" t="str">
        <f>IFERROR(__xludf.DUMMYFUNCTION("IF(REGEXMATCH(C249, ""P""), ""P"","""")"),"P")</f>
        <v>P</v>
      </c>
      <c r="GX249" s="295" t="str">
        <f>IFERROR(__xludf.DUMMYFUNCTION("IF(REGEXMATCH(C249, ""d""), ""D1"","""")"),"")</f>
        <v/>
      </c>
      <c r="GY249" s="294" t="str">
        <f>IFERROR(__xludf.DUMMYFUNCTION("IF(REGEXMATCH(C249, ""D""), ""D2"","""")"),"D2")</f>
        <v>D2</v>
      </c>
      <c r="GZ249" s="294" t="str">
        <f>IFERROR(__xludf.DUMMYFUNCTION("IF(REGEXMATCH(C249, ""n""), ""N2"","""")"),"N2")</f>
        <v>N2</v>
      </c>
      <c r="HA249" s="295" t="str">
        <f>IFERROR(__xludf.DUMMYFUNCTION("IF(REGEXMATCH(C249, ""N""), ""N3"","""")"),"N3")</f>
        <v>N3</v>
      </c>
      <c r="HB249" s="249" t="str">
        <f>IFERROR(__xludf.DUMMYFUNCTION("IF(REGEXMATCH(C249, ""S""), ""S"","""")"),"S")</f>
        <v>S</v>
      </c>
      <c r="HC249" s="331" t="str">
        <f t="shared" si="95"/>
        <v>S</v>
      </c>
      <c r="HD249" s="332" t="str">
        <f t="shared" si="96"/>
        <v>r</v>
      </c>
      <c r="HE249" s="332" t="str">
        <f t="shared" si="97"/>
        <v>R</v>
      </c>
      <c r="HF249" s="332" t="str">
        <f t="shared" si="98"/>
        <v>g</v>
      </c>
      <c r="HG249" s="332" t="str">
        <f t="shared" si="99"/>
        <v/>
      </c>
      <c r="HH249" s="332" t="str">
        <f t="shared" si="100"/>
        <v>m</v>
      </c>
      <c r="HI249" s="332" t="str">
        <f t="shared" si="101"/>
        <v>M</v>
      </c>
      <c r="HJ249" s="332" t="str">
        <f t="shared" si="102"/>
        <v>P</v>
      </c>
      <c r="HK249" s="332" t="str">
        <f t="shared" si="103"/>
        <v>d</v>
      </c>
      <c r="HL249" s="332" t="str">
        <f t="shared" si="104"/>
        <v/>
      </c>
      <c r="HM249" s="332" t="str">
        <f t="shared" si="105"/>
        <v>n</v>
      </c>
      <c r="HN249" s="332" t="str">
        <f t="shared" si="106"/>
        <v/>
      </c>
      <c r="HO249" s="343" t="str">
        <f t="shared" si="107"/>
        <v>S</v>
      </c>
      <c r="HP249" s="331" t="str">
        <f t="shared" si="108"/>
        <v>o</v>
      </c>
      <c r="HQ249" s="332" t="str">
        <f t="shared" si="109"/>
        <v>•</v>
      </c>
      <c r="HR249" s="332" t="str">
        <f t="shared" si="110"/>
        <v>o</v>
      </c>
      <c r="HS249" s="332" t="str">
        <f t="shared" si="111"/>
        <v>•</v>
      </c>
      <c r="HT249" s="332" t="str">
        <f t="shared" si="112"/>
        <v>o</v>
      </c>
      <c r="HU249" s="332" t="str">
        <f t="shared" si="113"/>
        <v>o</v>
      </c>
      <c r="HV249" s="332" t="str">
        <f t="shared" si="114"/>
        <v>o</v>
      </c>
      <c r="HW249" s="332" t="str">
        <f t="shared" si="115"/>
        <v>o</v>
      </c>
      <c r="HX249" s="332" t="str">
        <f t="shared" si="116"/>
        <v>•</v>
      </c>
      <c r="HY249" s="332" t="str">
        <f t="shared" si="117"/>
        <v>o</v>
      </c>
      <c r="HZ249" s="332" t="str">
        <f t="shared" si="118"/>
        <v>o</v>
      </c>
      <c r="IA249" s="332" t="str">
        <f t="shared" si="119"/>
        <v>o</v>
      </c>
      <c r="IB249" s="338" t="str">
        <f t="shared" si="120"/>
        <v>o</v>
      </c>
      <c r="IC249" s="331" t="str">
        <f t="shared" si="121"/>
        <v>•</v>
      </c>
      <c r="ID249" s="332" t="str">
        <f t="shared" si="122"/>
        <v>o</v>
      </c>
      <c r="IE249" s="332" t="str">
        <f t="shared" si="123"/>
        <v>•</v>
      </c>
      <c r="IF249" s="332" t="str">
        <f t="shared" si="124"/>
        <v>o</v>
      </c>
      <c r="IG249" s="332" t="str">
        <f t="shared" si="125"/>
        <v>•</v>
      </c>
      <c r="IH249" s="332" t="str">
        <f t="shared" si="126"/>
        <v>•</v>
      </c>
      <c r="II249" s="332" t="str">
        <f t="shared" si="127"/>
        <v>•</v>
      </c>
      <c r="IJ249" s="332" t="str">
        <f t="shared" si="128"/>
        <v>•</v>
      </c>
      <c r="IK249" s="332" t="str">
        <f t="shared" si="129"/>
        <v>o</v>
      </c>
      <c r="IL249" s="332" t="str">
        <f t="shared" si="130"/>
        <v>•</v>
      </c>
      <c r="IM249" s="332" t="str">
        <f t="shared" si="131"/>
        <v>•</v>
      </c>
      <c r="IN249" s="332" t="str">
        <f t="shared" si="132"/>
        <v>•</v>
      </c>
      <c r="IO249" s="338" t="str">
        <f t="shared" si="133"/>
        <v>•</v>
      </c>
      <c r="IP249" s="346" t="b">
        <f t="shared" si="134"/>
        <v>0</v>
      </c>
      <c r="IQ249" s="347" t="b">
        <f t="shared" si="135"/>
        <v>0</v>
      </c>
      <c r="IR249" s="347" t="b">
        <f t="shared" si="136"/>
        <v>0</v>
      </c>
      <c r="IS249" s="347" t="b">
        <f t="shared" si="137"/>
        <v>0</v>
      </c>
      <c r="IT249" s="347" t="b">
        <f t="shared" si="138"/>
        <v>0</v>
      </c>
      <c r="IU249" s="347" t="b">
        <f t="shared" si="139"/>
        <v>0</v>
      </c>
      <c r="IV249" s="347" t="b">
        <f t="shared" si="140"/>
        <v>1</v>
      </c>
      <c r="IW249" s="347" t="b">
        <f t="shared" si="141"/>
        <v>0</v>
      </c>
      <c r="IX249" s="347" t="b">
        <f t="shared" si="142"/>
        <v>0</v>
      </c>
      <c r="IY249" s="347" t="b">
        <f t="shared" si="143"/>
        <v>0</v>
      </c>
      <c r="IZ249" s="347" t="b">
        <f t="shared" si="144"/>
        <v>0</v>
      </c>
      <c r="JA249" s="347" t="b">
        <f t="shared" si="145"/>
        <v>0</v>
      </c>
      <c r="JB249" s="353" t="b">
        <f t="shared" si="146"/>
        <v>0</v>
      </c>
      <c r="JC249" s="354" t="str">
        <f t="shared" si="147"/>
        <v/>
      </c>
      <c r="JD249" s="355" t="str">
        <f t="shared" si="148"/>
        <v/>
      </c>
      <c r="JE249" s="355" t="str">
        <f t="shared" si="149"/>
        <v/>
      </c>
      <c r="JF249" s="355" t="str">
        <f t="shared" si="150"/>
        <v/>
      </c>
      <c r="JG249" s="355" t="str">
        <f t="shared" si="151"/>
        <v/>
      </c>
      <c r="JH249" s="355" t="str">
        <f t="shared" si="152"/>
        <v/>
      </c>
      <c r="JI249" s="355" t="str">
        <f t="shared" si="153"/>
        <v>Ma, </v>
      </c>
      <c r="JJ249" s="355" t="str">
        <f t="shared" si="154"/>
        <v/>
      </c>
      <c r="JK249" s="355" t="str">
        <f t="shared" si="155"/>
        <v/>
      </c>
      <c r="JL249" s="355" t="str">
        <f t="shared" si="156"/>
        <v/>
      </c>
      <c r="JM249" s="355" t="str">
        <f t="shared" si="157"/>
        <v/>
      </c>
      <c r="JN249" s="355" t="str">
        <f t="shared" si="158"/>
        <v/>
      </c>
      <c r="JO249" s="359" t="str">
        <f t="shared" si="159"/>
        <v/>
      </c>
      <c r="JP249" s="346" t="b">
        <f t="shared" si="160"/>
        <v>0</v>
      </c>
      <c r="JQ249" s="347" t="b">
        <f t="shared" si="161"/>
        <v>0</v>
      </c>
      <c r="JR249" s="347" t="b">
        <f t="shared" si="162"/>
        <v>0</v>
      </c>
      <c r="JS249" s="347" t="b">
        <f t="shared" si="163"/>
        <v>0</v>
      </c>
      <c r="JT249" s="347" t="b">
        <f t="shared" si="164"/>
        <v>0</v>
      </c>
      <c r="JU249" s="347" t="b">
        <f t="shared" si="165"/>
        <v>0</v>
      </c>
      <c r="JV249" s="347" t="b">
        <f t="shared" si="166"/>
        <v>0</v>
      </c>
      <c r="JW249" s="347" t="b">
        <f t="shared" si="167"/>
        <v>0</v>
      </c>
      <c r="JX249" s="347" t="b">
        <f t="shared" si="168"/>
        <v>0</v>
      </c>
      <c r="JY249" s="347" t="b">
        <f t="shared" si="169"/>
        <v>0</v>
      </c>
      <c r="JZ249" s="347" t="b">
        <f t="shared" si="170"/>
        <v>0</v>
      </c>
      <c r="KA249" s="347" t="b">
        <f t="shared" si="171"/>
        <v>0</v>
      </c>
      <c r="KB249" s="365" t="b">
        <f t="shared" si="172"/>
        <v>0</v>
      </c>
      <c r="KC249" s="354" t="str">
        <f t="shared" si="173"/>
        <v/>
      </c>
      <c r="KD249" s="355" t="str">
        <f t="shared" si="174"/>
        <v/>
      </c>
      <c r="KE249" s="355" t="str">
        <f t="shared" si="175"/>
        <v/>
      </c>
      <c r="KF249" s="355" t="str">
        <f t="shared" si="176"/>
        <v/>
      </c>
      <c r="KG249" s="355" t="str">
        <f t="shared" si="177"/>
        <v/>
      </c>
      <c r="KH249" s="355" t="str">
        <f t="shared" si="178"/>
        <v/>
      </c>
      <c r="KI249" s="355" t="str">
        <f t="shared" si="179"/>
        <v/>
      </c>
      <c r="KJ249" s="355" t="str">
        <f t="shared" si="180"/>
        <v/>
      </c>
      <c r="KK249" s="355" t="str">
        <f t="shared" si="181"/>
        <v/>
      </c>
      <c r="KL249" s="355" t="str">
        <f t="shared" si="182"/>
        <v/>
      </c>
      <c r="KM249" s="355" t="str">
        <f t="shared" si="183"/>
        <v/>
      </c>
      <c r="KN249" s="355" t="str">
        <f t="shared" si="184"/>
        <v/>
      </c>
      <c r="KO249" s="359"/>
      <c r="KP249" s="378"/>
      <c r="KQ249" s="379" t="s">
        <v>530</v>
      </c>
      <c r="KR249" s="380" t="s">
        <v>1462</v>
      </c>
      <c r="KS249" s="381" t="str">
        <f t="shared" si="719"/>
        <v>S-R-G-m-P-D-nN-S</v>
      </c>
      <c r="KT249" s="382">
        <f t="shared" si="186"/>
        <v>7</v>
      </c>
      <c r="KU249" s="383">
        <f t="shared" si="187"/>
        <v>8</v>
      </c>
      <c r="KV249" s="381" t="str">
        <f t="shared" si="205"/>
        <v>S-Nn-D-P-Mm-G-R-S</v>
      </c>
      <c r="KW249" s="382">
        <f t="shared" si="189"/>
        <v>7</v>
      </c>
      <c r="KX249" s="384">
        <f t="shared" si="190"/>
        <v>9</v>
      </c>
      <c r="KY249" s="382">
        <f t="shared" ref="KY249:KZ249" si="720">KW249-KT249</f>
        <v>0</v>
      </c>
      <c r="KZ249" s="369">
        <f t="shared" si="720"/>
        <v>1</v>
      </c>
      <c r="LA249" s="385" t="str">
        <f t="shared" si="192"/>
        <v>-</v>
      </c>
      <c r="LB249" s="340" t="str">
        <f>IFERROR(__xludf.DUMMYFUNCTION("JOIN("""",ArrayFormula(MID(KS249,LEN(KS249)-SEQUENCE(1,LEN(KS249))+1,1)))"),"S-Nn-D-P-m-G-R-S")</f>
        <v>S-Nn-D-P-m-G-R-S</v>
      </c>
      <c r="LC249" s="373" t="str">
        <f>IFERROR(__xludf.DUMMYFUNCTION("JOIN("""",ArrayFormula(MID(KV249,LEN(KV249)-SEQUENCE(1,LEN(KV249))+1,1)))"),"S-R-G-mM-P-D-nN-S")</f>
        <v>S-R-G-mM-P-D-nN-S</v>
      </c>
      <c r="LD249" s="373" t="str">
        <f t="shared" si="193"/>
        <v>SRGmPDnNS</v>
      </c>
      <c r="LE249" s="339" t="str">
        <f t="shared" si="194"/>
        <v>SRGmMPDnNS</v>
      </c>
      <c r="LF249" s="386" t="str">
        <f>IFERROR(__xludf.DUMMYFUNCTION("SUBSTITUTE(SUBSTITUTE(CONCATENATE(JOIN("""",LH249:LT249)),""1"",""""),""2"","""")"),"SRGmMPDnNS")</f>
        <v>SRGmMPDnNS</v>
      </c>
      <c r="LG249" s="369" t="str">
        <f t="shared" si="195"/>
        <v>✔</v>
      </c>
      <c r="LH249" s="387" t="str">
        <f>IFERROR(__xludf.DUMMYFUNCTION("IF(REGEXMATCH(LD249, ""S""), ""S"",IF(REGEXMATCH(LE249, ""S""), ""S"",""""))"),"S")</f>
        <v>S</v>
      </c>
      <c r="LI249" s="299" t="str">
        <f>IFERROR(__xludf.DUMMYFUNCTION("IF(REGEXMATCH(LD249, ""r""), ""r1"",IF(REGEXMATCH(LE249, ""r""), ""r2"",""""))"),"")</f>
        <v/>
      </c>
      <c r="LJ249" s="299" t="str">
        <f>IFERROR(__xludf.DUMMYFUNCTION("IF(REGEXMATCH(LD249, ""R""), ""R1"",IF(REGEXMATCH(LE249, ""R""), ""R2"",""""))"),"R1")</f>
        <v>R1</v>
      </c>
      <c r="LK249" s="299" t="str">
        <f>IFERROR(__xludf.DUMMYFUNCTION("IF(REGEXMATCH(LD249, ""g""), ""g1"",IF(REGEXMATCH(LE249, ""g""), ""g2"",""""))"),"")</f>
        <v/>
      </c>
      <c r="LL249" s="299" t="str">
        <f>IFERROR(__xludf.DUMMYFUNCTION("IF(REGEXMATCH(LD249, ""G""), ""G1"",IF(REGEXMATCH(LE249, ""G""), ""G2"",""""))"),"G1")</f>
        <v>G1</v>
      </c>
      <c r="LM249" s="299" t="str">
        <f>IFERROR(__xludf.DUMMYFUNCTION("IF(REGEXMATCH(LD249, ""m""), ""m1"",IF(REGEXMATCH(LE249, ""m""), ""m2"",""""))"),"m1")</f>
        <v>m1</v>
      </c>
      <c r="LN249" s="299" t="str">
        <f>IFERROR(__xludf.DUMMYFUNCTION("IF(REGEXMATCH(LD249, ""M""), ""M1"",IF(REGEXMATCH(LE249, ""M""), ""M2"",""""))"),"M2")</f>
        <v>M2</v>
      </c>
      <c r="LO249" s="299" t="str">
        <f>IFERROR(__xludf.DUMMYFUNCTION("IF(REGEXMATCH(LD249, ""P""), ""P1"",IF(REGEXMATCH(LE249, ""P""), ""P2"",""""))"),"P1")</f>
        <v>P1</v>
      </c>
      <c r="LP249" s="299" t="str">
        <f>IFERROR(__xludf.DUMMYFUNCTION("IF(REGEXMATCH(LD249, ""d""), ""d1"",IF(REGEXMATCH(LE249, ""d""), ""d2"",""""))"),"")</f>
        <v/>
      </c>
      <c r="LQ249" s="299" t="str">
        <f>IFERROR(__xludf.DUMMYFUNCTION("IF(REGEXMATCH(LD249, ""D""), ""D1"",IF(REGEXMATCH(LE249, ""D""), ""D2"",""""))"),"D1")</f>
        <v>D1</v>
      </c>
      <c r="LR249" s="299" t="str">
        <f>IFERROR(__xludf.DUMMYFUNCTION("IF(REGEXMATCH(LD249, ""n""), ""n1"",IF(REGEXMATCH(LE249, ""n""), ""n2"",""""))"),"n1")</f>
        <v>n1</v>
      </c>
      <c r="LS249" s="299" t="str">
        <f>IFERROR(__xludf.DUMMYFUNCTION("IF(REGEXMATCH(LD249, ""N""), ""N1"",IF(REGEXMATCH(LE249, ""N""), ""N2"",""""))"),"N1")</f>
        <v>N1</v>
      </c>
      <c r="LT249" s="388" t="str">
        <f>IFERROR(__xludf.DUMMYFUNCTION("IF(REGEXMATCH(LD249, ""S""), ""S"",IF(REGEXMATCH(LE249, ""S""), ""S"",""""))"),"S")</f>
        <v>S</v>
      </c>
      <c r="LU249" s="389">
        <f t="shared" si="196"/>
        <v>0</v>
      </c>
      <c r="LV249" s="378"/>
      <c r="LW249" s="369"/>
      <c r="LX249" s="369"/>
    </row>
    <row r="250" ht="18.0" customHeight="1">
      <c r="A250" s="298" t="s">
        <v>1022</v>
      </c>
      <c r="B250" s="222" t="s">
        <v>530</v>
      </c>
      <c r="C250" s="233" t="str">
        <f t="shared" si="7"/>
        <v>SRGmPDnNS</v>
      </c>
      <c r="D250" s="234" t="str">
        <f>IFERROR(__xludf.DUMMYFUNCTION("IF(REGEXMATCH(C250, ""S""), ""S"","""")"),"S")</f>
        <v>S</v>
      </c>
      <c r="E250" s="236" t="str">
        <f>IFERROR(__xludf.DUMMYFUNCTION("IF(REGEXMATCH(C250, ""r""), ""r"","""")"),"")</f>
        <v/>
      </c>
      <c r="F250" s="237" t="str">
        <f>IFERROR(__xludf.DUMMYFUNCTION("IF(REGEXMATCH(C250, ""R""), ""R"","""")"),"R")</f>
        <v>R</v>
      </c>
      <c r="G250" s="237" t="str">
        <f>IFERROR(__xludf.DUMMYFUNCTION("IF(REGEXMATCH(C250, ""g""), ""g"","""")"),"")</f>
        <v/>
      </c>
      <c r="H250" s="236" t="str">
        <f>IFERROR(__xludf.DUMMYFUNCTION("IF(REGEXMATCH(C250, ""G""), ""G"","""")"),"G")</f>
        <v>G</v>
      </c>
      <c r="I250" s="236" t="str">
        <f>IFERROR(__xludf.DUMMYFUNCTION("IF(REGEXMATCH(C250, ""m""), ""m"","""")"),"m")</f>
        <v>m</v>
      </c>
      <c r="J250" s="237" t="str">
        <f>IFERROR(__xludf.DUMMYFUNCTION("IF(REGEXMATCH(C250, ""M""), ""M"","""")"),"")</f>
        <v/>
      </c>
      <c r="K250" s="236" t="str">
        <f>IFERROR(__xludf.DUMMYFUNCTION("IF(REGEXMATCH(C250, ""P""), ""P"","""")"),"P")</f>
        <v>P</v>
      </c>
      <c r="L250" s="237" t="str">
        <f>IFERROR(__xludf.DUMMYFUNCTION("IF(REGEXMATCH(C250, ""d""), ""d"","""")"),"")</f>
        <v/>
      </c>
      <c r="M250" s="236" t="str">
        <f>IFERROR(__xludf.DUMMYFUNCTION("IF(REGEXMATCH(C250, ""D""), ""D"","""")"),"D")</f>
        <v>D</v>
      </c>
      <c r="N250" s="236" t="str">
        <f>IFERROR(__xludf.DUMMYFUNCTION("IF(REGEXMATCH(C250, ""n""), ""n"","""")"),"n")</f>
        <v>n</v>
      </c>
      <c r="O250" s="237" t="str">
        <f>IFERROR(__xludf.DUMMYFUNCTION("IF(REGEXMATCH(C250, ""N""), ""N"","""")"),"N")</f>
        <v>N</v>
      </c>
      <c r="P250" s="238" t="str">
        <f>IFERROR(__xludf.DUMMYFUNCTION("IF(REGEXMATCH(C250, ""S""), ""S"","""")"),"S")</f>
        <v>S</v>
      </c>
      <c r="Q250" s="239" t="str">
        <f>IFERROR(__xludf.DUMMYFUNCTION("SUBSTITUTE(CONCATENATE(JOIN(""-"",D250:J250)),""-"","""")"),"SRGm")</f>
        <v>SRGm</v>
      </c>
      <c r="R250" s="229" t="str">
        <f>IFERROR(__xludf.DUMMYFUNCTION("SUBSTITUTE(CONCATENATE(JOIN(""-"",K250:P250)),""-"","""")"),"PDnNS")</f>
        <v>PDnNS</v>
      </c>
      <c r="S250" s="282" t="str">
        <f t="shared" si="8"/>
        <v>S-R-G-M</v>
      </c>
      <c r="T250" s="282" t="str">
        <f t="shared" si="9"/>
        <v>P-D-N-S</v>
      </c>
      <c r="U250" s="237" t="str">
        <f>IFERROR(__xludf.DUMMYFUNCTION("SUBSTITUTE(JOIN(""-"",S250,T250),""--"",""-"")"),"S-R-G-M-P-D-N-S")</f>
        <v>S-R-G-M-P-D-N-S</v>
      </c>
      <c r="V250" s="309" t="str">
        <f t="shared" si="10"/>
        <v>RGmDnN</v>
      </c>
      <c r="W250" s="244" t="str">
        <f>IFERROR(__xludf.DUMMYFUNCTION("IF(REGEXMATCH(C250, ""S""), ""0"","""")"),"0")</f>
        <v>0</v>
      </c>
      <c r="X250" s="245" t="str">
        <f>IFERROR(__xludf.DUMMYFUNCTION("IF(REGEXMATCH(C250, ""r""), ""1"","""")"),"")</f>
        <v/>
      </c>
      <c r="Y250" s="246" t="str">
        <f>IFERROR(__xludf.DUMMYFUNCTION("IF(REGEXMATCH(C250, ""R""), ""2"","""")"),"2")</f>
        <v>2</v>
      </c>
      <c r="Z250" s="246" t="str">
        <f>IFERROR(__xludf.DUMMYFUNCTION("IF(REGEXMATCH(C250, ""g""), ""3"","""")"),"")</f>
        <v/>
      </c>
      <c r="AA250" s="245" t="str">
        <f>IFERROR(__xludf.DUMMYFUNCTION("IF(REGEXMATCH(C250, ""G""), ""4"","""")"),"4")</f>
        <v>4</v>
      </c>
      <c r="AB250" s="245" t="str">
        <f>IFERROR(__xludf.DUMMYFUNCTION("IF(REGEXMATCH(C250, ""m""), ""5"","""")"),"5")</f>
        <v>5</v>
      </c>
      <c r="AC250" s="246" t="str">
        <f>IFERROR(__xludf.DUMMYFUNCTION("IF(REGEXMATCH(C250, ""M""), ""6"","""")"),"")</f>
        <v/>
      </c>
      <c r="AD250" s="245" t="str">
        <f>IFERROR(__xludf.DUMMYFUNCTION("IF(REGEXMATCH(C250, ""P""), ""7"","""")"),"7")</f>
        <v>7</v>
      </c>
      <c r="AE250" s="246" t="str">
        <f>IFERROR(__xludf.DUMMYFUNCTION("IF(REGEXMATCH(C250, ""d""), ""8"","""")"),"")</f>
        <v/>
      </c>
      <c r="AF250" s="245" t="str">
        <f>IFERROR(__xludf.DUMMYFUNCTION("IF(REGEXMATCH(C250, ""D""), ""9"","""")"),"9")</f>
        <v>9</v>
      </c>
      <c r="AG250" s="245" t="str">
        <f>IFERROR(__xludf.DUMMYFUNCTION("IF(REGEXMATCH(C250, ""n""), ""10"","""")"),"10")</f>
        <v>10</v>
      </c>
      <c r="AH250" s="246" t="str">
        <f>IFERROR(__xludf.DUMMYFUNCTION("IF(REGEXMATCH(C250, ""N""), ""11"","""")"),"11")</f>
        <v>11</v>
      </c>
      <c r="AI250" s="249" t="str">
        <f>IFERROR(__xludf.DUMMYFUNCTION("IF(REGEXMATCH(C250, ""S""), ""0"","""")"),"0")</f>
        <v>0</v>
      </c>
      <c r="AJ250" s="313" t="str">
        <f t="shared" si="11"/>
        <v>-</v>
      </c>
      <c r="AK250" s="313" t="str">
        <f t="shared" si="12"/>
        <v>-</v>
      </c>
      <c r="AL250" s="313" t="str">
        <f t="shared" si="13"/>
        <v>-</v>
      </c>
      <c r="AM250" s="313" t="str">
        <f t="shared" si="14"/>
        <v>-</v>
      </c>
      <c r="AN250" s="313" t="str">
        <f t="shared" si="15"/>
        <v>T</v>
      </c>
      <c r="AO250" s="314" t="str">
        <f t="shared" si="16"/>
        <v>T</v>
      </c>
      <c r="AP250" s="316">
        <f t="shared" si="17"/>
        <v>2</v>
      </c>
      <c r="AQ250" s="319" t="str">
        <f t="shared" si="18"/>
        <v>-</v>
      </c>
      <c r="AR250" s="320">
        <f t="shared" si="19"/>
        <v>0</v>
      </c>
      <c r="AS250" s="250" t="str">
        <f>IFERROR(__xludf.DUMMYFUNCTION("SUBSTITUTE(SUBSTITUTE(CONCATENATE(JOIN("""",FP250:GA250)),""|"",""x""),""-"",""o"")"),"xoxoxxoxoxxx")</f>
        <v>xoxoxxoxoxxx</v>
      </c>
      <c r="AT250" s="323" t="str">
        <f>IFERROR(__xludf.DUMMYFUNCTION("JOIN("""",AS250,AS250)"),"xoxoxxoxoxxxxoxoxxoxoxxx")</f>
        <v>xoxoxxoxoxxxxoxoxxoxoxxx</v>
      </c>
      <c r="AU250" s="256" t="str">
        <f>IFERROR(__xludf.DUMMYFUNCTION("JOIN("""",ArrayFormula(MID(AS250,LEN(AS250)-SEQUENCE(1,LEN(AS250))+1,1)))"),"xxxoxoxxoxox")</f>
        <v>xxxoxoxxoxox</v>
      </c>
      <c r="AV250" s="256" t="str">
        <f>IFERROR(__xludf.DUMMYFUNCTION("LEFT(CONCATENATE(""x"",JOIN("""",ArrayFormula(MID(AS250,LEN(AS250)-SEQUENCE(1,LEN(AS250))+1,1)))),12)"),"xxxxoxoxxoxo")</f>
        <v>xxxxoxoxxoxo</v>
      </c>
      <c r="AW250" s="327" t="str">
        <f>IFERROR(__xludf.DUMMYFUNCTION("JOIN("""",AU250,AU250)"),"xxxoxoxxoxoxxxxoxoxxoxox")</f>
        <v>xxxoxoxxoxoxxxxoxoxxoxox</v>
      </c>
      <c r="AX250" s="239" t="str">
        <f>IFERROR(__xludf.DUMMYFUNCTION("IF(REGEXMATCH(AW250,AS250),""✔"",""-"")"),"✔")</f>
        <v>✔</v>
      </c>
      <c r="AY250" s="330" t="str">
        <f t="shared" si="20"/>
        <v>-</v>
      </c>
      <c r="AZ250" s="260" t="str">
        <f t="shared" si="21"/>
        <v>#REF!</v>
      </c>
      <c r="BA250" s="333" t="str">
        <f t="shared" si="22"/>
        <v>xoxoxxo</v>
      </c>
      <c r="BB250" s="334" t="str">
        <f t="shared" si="23"/>
        <v>xoxxxx</v>
      </c>
      <c r="BC250" s="335" t="str">
        <f t="shared" si="236"/>
        <v>-</v>
      </c>
      <c r="BD250" s="336" t="str">
        <f t="shared" si="25"/>
        <v>Nat Kamod: 'xoxoxxo' + 'xoxxxx'</v>
      </c>
      <c r="BE250" s="337">
        <f>IFERROR(__xludf.DUMMYFUNCTION("COUNTUNIQUE(FILTER(AT:AT,REGEXMATCH(AT:AT,AS250)))-1"),3.0)</f>
        <v>3</v>
      </c>
      <c r="BF250" s="261" t="str">
        <f>IFERROR(__xludf.DUMMYFUNCTION("IF(BI250=0,""(n/a)"",IF(BJ250=2,""(PAIR)"",IF(REGEXMATCH(AT250,""xoxoxxoxoxox""),""Bilawal"",IF(REGEXMATCH(AT250,""xoxoxooxoxoo""),""Bhupali"",IF(REGEXMATCH(AT250,""xoxoxxoxxoxo""),""Charukeshi"",IF(REGEXMATCH(AT250,""xoxoooxxoxxo""),""Kameshwari"",IF(REG"&amp;"EXMATCH(AT250,""xoxoxooxoxox""),""Shankara"",IF(REGEXMATCH(AT250,""xxooxoxxxoox""),""Basant"",IF(REGEXMATCH(AT250,""xoxoxxxxoxox""),""Bihag"",IF(REGEXMATCH(AT250,""xoxxxxoxoxxx""),""Pilu"",IF(REGEXMATCH(AT250,""xoxxoxoxxoox""),""Kirwani"",IF(REGEXMATCH(AT"&amp;"250,""xoxxoxoxoxxx""),""Mk.Malhar"",IF(REGEXMATCH(AT250,""xxooxxoxxoox""),""Bhairav"",IF(REGEXMATCH(AT250,""xxoxooxxxoox""),""Todi"",IF(REGEXMATCH(AT250,""xxooxoxooxox""),""Marwa"",IF(REGEXMATCH(AT250,""xxoooxoxxooo""),""Gunkali"",IF(REGEXMATCH(AT250,""xo"&amp;"xoxxoxxoox""),""Nat Bhairav"",IF(REGEXMATCH(AT250,""xoxxoooxoxoo""),""Shivranjani"",IF(REGEXMATCH(AT250,""xooxxxoxooxo""),""Jog"",IF(REGEXMATCH(AT250,""xxooxoxoxoox""),""Hemshri"",IF(REGEXMATCH(AT250,""xoooxooxoxxo""),""Kalavati"",IF(REGEXMATCH(AT250,""xx"&amp;"oxoxxoxoox""),""Kedar"",IF(REGEXMATCH(AT250,""xoxxxxoxooxx""),""Gara"",IF(REGEXMATCH(AT250,""xooxoxooxoox""),""Chandrakauns"",IF(REGEXMATCH(AT250,""xoxxxxoxxxox""),""Mand"",IF(REGEXMATCH(AT250,""xoxxxxoxoxox""),""Hanskinkini"",IF(REGEXMATCH(AT250,""xxooxx"&amp;"oxooxo""),""Lilavati"",IF(REGEXMATCH(AT250,""xooxoxoooxox""),""Rajeshwari"",IF(REGEXMATCH(AT250,""xoooxxoxoxxx""),""Khokar"",IF(REGEXMATCH(AT250,""xxooxoxxxxox""),""Maligoura"",""-""))))))))))))))))))))))))))))))"),"Bihag")</f>
        <v>Bihag</v>
      </c>
      <c r="BG250" s="239" t="str">
        <f t="shared" si="26"/>
        <v>#REF!</v>
      </c>
      <c r="BH250" s="239">
        <f>IFERROR(__xludf.DUMMYFUNCTION("COUNTUNIQUE(FE250:FO250)-1"),7.0)</f>
        <v>7</v>
      </c>
      <c r="BI250" s="239">
        <f>IFERROR(__xludf.DUMMYFUNCTION("COUNTUNIQUE(FILTER(AT:AT,REGEXMATCH(AT:AT,AS250)))-1"),3.0)</f>
        <v>3</v>
      </c>
      <c r="BJ250" s="239">
        <f>IFERROR(__xludf.DUMMYFUNCTION("COUNTA(FILTER(AT:AT,REGEXMATCH(AT:AT,AS250)))"),36.0)</f>
        <v>36</v>
      </c>
      <c r="BK250" s="341">
        <f>IFERROR(__xludf.DUMMYFUNCTION("COUNTA(FILTER(AT:AT,REGEXMATCH(AT:AT,AS250)))-AR250"),36.0)</f>
        <v>36</v>
      </c>
      <c r="BL250" s="276" t="str">
        <f>IFERROR(__xludf.DUMMYFUNCTION("IF(AS250=""oooooooooooo"",""-"",IF(REGEXMATCH(AT250,""xx""), ""Hemi."", ""Anhemi.""))"),"Hemi.")</f>
        <v>Hemi.</v>
      </c>
      <c r="BM250" s="282" t="str">
        <f>IFERROR(__xludf.DUMMYFUNCTION("IF(AS250=""oooooooooooo"",""-"",IF(REGEXMATCH(AT250,""xxx""), ""Cohem."", ""-""))"),"Cohem.")</f>
        <v>Cohem.</v>
      </c>
      <c r="BN250" s="282" t="str">
        <f>IFERROR(__xludf.DUMMYFUNCTION("IF(AS250=""oooooooooooo"",""-"",IF(REGEXMATCH(AT250,""xxxx""), ""Co-Co."", ""-""))"),"Co-Co.")</f>
        <v>Co-Co.</v>
      </c>
      <c r="BO250" s="342" t="str">
        <f>IFERROR(__xludf.DUMMYFUNCTION("IF(AS250=""oooooooooooo"",""-"",IF(REGEXMATCH(AT250,""xxxxx""), ""CCC."", ""-""))"),"-")</f>
        <v>-</v>
      </c>
      <c r="BP250" s="344" t="str">
        <f t="shared" si="27"/>
        <v>-</v>
      </c>
      <c r="BQ250" s="282" t="str">
        <f>IFERROR(__xludf.DUMMYFUNCTION("IF(REGEXMATCH(JOIN(""-"",EU250:FD250),""TRUE""),""✔"",""-"")"),"-")</f>
        <v>-</v>
      </c>
      <c r="BR250" s="225">
        <f t="shared" si="28"/>
        <v>0</v>
      </c>
      <c r="BS250" s="345" t="str">
        <f>IFERROR(__xludf.DUMMYFUNCTION("SUBSTITUTE(SUBSTITUTE(SUBSTITUTE(SUBSTITUTE(CONCATENATE(JOIN(""-"",GC250:GO250)),""--"",""-""),""--"",""-""),""--"",""-""),""--"",""-"")"),"1-2-3-4-5-6-b7-7-8")</f>
        <v>1-2-3-4-5-6-b7-7-8</v>
      </c>
      <c r="BT250" s="299" t="str">
        <f>IFERROR(__xludf.DUMMYFUNCTION("SUBSTITUTE(SUBSTITUTE(SUBSTITUTE(SUBSTITUTE(CONCATENATE(JOIN(""-"",GP250:HB250)),""--"",""-""),""--"",""-""),""--"",""-""),""--"",""-"")"),"S-R2-G3-M1-P-D2-N2-N3-S")</f>
        <v>S-R2-G3-M1-P-D2-N2-N3-S</v>
      </c>
      <c r="BU250" s="348" t="str">
        <f t="shared" si="29"/>
        <v>C-D-E-F-G-A-Bb-B-C</v>
      </c>
      <c r="BV250" s="349" t="str">
        <f t="shared" si="30"/>
        <v>SrgMdS</v>
      </c>
      <c r="BW250" s="350">
        <f t="shared" si="31"/>
        <v>1</v>
      </c>
      <c r="BX250" s="351">
        <f t="shared" si="32"/>
        <v>15</v>
      </c>
      <c r="BY250" s="392"/>
      <c r="BZ250" s="309" t="str">
        <f>IFERROR(__xludf.DUMMYFUNCTION("IF(REGEXMATCH(C250, ""S""), ""x"",""x"")"),"x")</f>
        <v>x</v>
      </c>
      <c r="CA250" s="245" t="str">
        <f>IFERROR(__xludf.DUMMYFUNCTION("IF(REGEXMATCH(C250, ""r""), ""o"",""x"")"),"x")</f>
        <v>x</v>
      </c>
      <c r="CB250" s="246" t="str">
        <f>IFERROR(__xludf.DUMMYFUNCTION("IF(REGEXMATCH(C250, ""R""), ""o"",""x"")"),"o")</f>
        <v>o</v>
      </c>
      <c r="CC250" s="246" t="str">
        <f>IFERROR(__xludf.DUMMYFUNCTION("IF(REGEXMATCH(C250, ""g""), ""o"",""x"")"),"x")</f>
        <v>x</v>
      </c>
      <c r="CD250" s="245" t="str">
        <f>IFERROR(__xludf.DUMMYFUNCTION("IF(REGEXMATCH(C250, ""G""), ""o"",""x"")"),"o")</f>
        <v>o</v>
      </c>
      <c r="CE250" s="245" t="str">
        <f>IFERROR(__xludf.DUMMYFUNCTION("IF(REGEXMATCH(C250, ""m""), ""o"",""x"")"),"o")</f>
        <v>o</v>
      </c>
      <c r="CF250" s="246" t="str">
        <f>IFERROR(__xludf.DUMMYFUNCTION("IF(REGEXMATCH(C250, ""M""), ""o"",""x"")"),"x")</f>
        <v>x</v>
      </c>
      <c r="CG250" s="245" t="str">
        <f>IFERROR(__xludf.DUMMYFUNCTION("IF(REGEXMATCH(C250, ""P""), ""o"",""x"")"),"o")</f>
        <v>o</v>
      </c>
      <c r="CH250" s="246" t="str">
        <f>IFERROR(__xludf.DUMMYFUNCTION("IF(REGEXMATCH(C250, ""d""), ""o"",""x"")"),"x")</f>
        <v>x</v>
      </c>
      <c r="CI250" s="245" t="str">
        <f>IFERROR(__xludf.DUMMYFUNCTION("IF(REGEXMATCH(C250, ""D""), ""o"",""x"")"),"o")</f>
        <v>o</v>
      </c>
      <c r="CJ250" s="245" t="str">
        <f>IFERROR(__xludf.DUMMYFUNCTION("IF(REGEXMATCH(C250, ""n""), ""o"",""x"")"),"o")</f>
        <v>o</v>
      </c>
      <c r="CK250" s="245" t="str">
        <f>IFERROR(__xludf.DUMMYFUNCTION("IF(REGEXMATCH(C250, ""N""), ""o"",""x"")"),"o")</f>
        <v>o</v>
      </c>
      <c r="CL250" s="356" t="str">
        <f>IFERROR(__xludf.DUMMYFUNCTION("IF(REGEXMATCH(C250, ""S""), ""x"",""x"")"),"x")</f>
        <v>x</v>
      </c>
      <c r="CM250" s="357" t="str">
        <f t="shared" si="33"/>
        <v>xxoxooxoxooo</v>
      </c>
      <c r="CN250" s="358">
        <f t="shared" si="34"/>
        <v>1</v>
      </c>
      <c r="CO250" s="246" t="str">
        <f>IFERROR(__xludf.DUMMYFUNCTION("IF(REGEXMATCH($C250, ""S""), ""S"",""S"")"),"S")</f>
        <v>S</v>
      </c>
      <c r="CP250" s="246" t="str">
        <f>IFERROR(__xludf.DUMMYFUNCTION("IF(REGEXMATCH($C250, ""r""), """",""r"")"),"r")</f>
        <v>r</v>
      </c>
      <c r="CQ250" s="246" t="str">
        <f>IFERROR(__xludf.DUMMYFUNCTION("IF(REGEXMATCH($C250, ""R""), """",""R"")"),"")</f>
        <v/>
      </c>
      <c r="CR250" s="246" t="str">
        <f>IFERROR(__xludf.DUMMYFUNCTION("IF(REGEXMATCH($C250, ""g""), """",""g"")"),"g")</f>
        <v>g</v>
      </c>
      <c r="CS250" s="246" t="str">
        <f>IFERROR(__xludf.DUMMYFUNCTION("IF(REGEXMATCH($C250, ""G""), """",""G"")"),"")</f>
        <v/>
      </c>
      <c r="CT250" s="246" t="str">
        <f>IFERROR(__xludf.DUMMYFUNCTION("IF(REGEXMATCH($C250, ""m""), """",""m"")"),"")</f>
        <v/>
      </c>
      <c r="CU250" s="246" t="str">
        <f>IFERROR(__xludf.DUMMYFUNCTION("IF(REGEXMATCH($C250, ""M""), """",""M"")"),"M")</f>
        <v>M</v>
      </c>
      <c r="CV250" s="246" t="str">
        <f>IFERROR(__xludf.DUMMYFUNCTION("IF(REGEXMATCH($C250, ""P""), """",""P"")"),"")</f>
        <v/>
      </c>
      <c r="CW250" s="246" t="str">
        <f>IFERROR(__xludf.DUMMYFUNCTION("IF(REGEXMATCH($C250, ""d""), """",""d"")"),"d")</f>
        <v>d</v>
      </c>
      <c r="CX250" s="246" t="str">
        <f>IFERROR(__xludf.DUMMYFUNCTION("IF(REGEXMATCH($C250, ""D""), """",""D"")"),"")</f>
        <v/>
      </c>
      <c r="CY250" s="246" t="str">
        <f>IFERROR(__xludf.DUMMYFUNCTION("IF(REGEXMATCH($C250, ""n""), """",""n"")"),"")</f>
        <v/>
      </c>
      <c r="CZ250" s="246" t="str">
        <f>IFERROR(__xludf.DUMMYFUNCTION("IF(REGEXMATCH($C250, ""N""), """",""N"")"),"")</f>
        <v/>
      </c>
      <c r="DA250" s="246" t="str">
        <f>IFERROR(__xludf.DUMMYFUNCTION("IF(REGEXMATCH($C250, ""S""), ""S"",""S"")"),"S")</f>
        <v>S</v>
      </c>
      <c r="DB250" s="362" t="str">
        <f>IFERROR(__xludf.DUMMYFUNCTION("JOIN("""",CO250:DA250,"""","""")"),"SrgMdS")</f>
        <v>SrgMdS</v>
      </c>
      <c r="DC250" s="363"/>
      <c r="DD250" s="301" t="str">
        <f t="shared" si="35"/>
        <v>#REF!</v>
      </c>
      <c r="DE250" s="302" t="str">
        <f t="shared" si="36"/>
        <v>#REF!</v>
      </c>
      <c r="DF250" s="301" t="str">
        <f t="shared" ref="DF250:DG250" si="721">SUBSTITUTE(S250,"-","")</f>
        <v>SRGM</v>
      </c>
      <c r="DG250" s="301" t="str">
        <f t="shared" si="721"/>
        <v>PDNS</v>
      </c>
      <c r="DH250" s="302" t="str">
        <f t="shared" si="38"/>
        <v>Bihag</v>
      </c>
      <c r="DI250" s="301" t="str">
        <f t="shared" si="39"/>
        <v>Hemi.</v>
      </c>
      <c r="DJ250" s="364" t="str">
        <f t="shared" si="40"/>
        <v>Co-Co.</v>
      </c>
      <c r="DK250" s="306" t="str">
        <f t="shared" si="41"/>
        <v>-</v>
      </c>
      <c r="DL250" s="366" t="str">
        <f t="shared" si="42"/>
        <v>-</v>
      </c>
      <c r="DM250" s="308" t="str">
        <f t="shared" si="43"/>
        <v>✔</v>
      </c>
      <c r="DN250" s="306" t="str">
        <f t="shared" si="44"/>
        <v>-</v>
      </c>
      <c r="DO250" s="306" t="str">
        <f t="shared" si="45"/>
        <v>-</v>
      </c>
      <c r="DP250" s="367" t="str">
        <f t="shared" si="46"/>
        <v>-</v>
      </c>
      <c r="DQ250" s="310" t="str">
        <f t="shared" si="47"/>
        <v>-</v>
      </c>
      <c r="DR250" s="310" t="str">
        <f t="shared" si="48"/>
        <v>-</v>
      </c>
      <c r="DS250" s="310" t="str">
        <f t="shared" si="49"/>
        <v>-</v>
      </c>
      <c r="DT250" s="310" t="str">
        <f t="shared" si="50"/>
        <v>-</v>
      </c>
      <c r="DU250" s="370" t="str">
        <f t="shared" si="51"/>
        <v>✔</v>
      </c>
      <c r="DV250" s="306" t="str">
        <f t="shared" si="52"/>
        <v>-</v>
      </c>
      <c r="DW250" s="306" t="str">
        <f t="shared" si="53"/>
        <v>-</v>
      </c>
      <c r="DX250" s="306" t="str">
        <f t="shared" si="54"/>
        <v>-</v>
      </c>
      <c r="DY250" s="306" t="str">
        <f t="shared" si="55"/>
        <v>-</v>
      </c>
      <c r="DZ250" s="306" t="str">
        <f t="shared" si="56"/>
        <v>-</v>
      </c>
      <c r="EA250" s="367" t="str">
        <f t="shared" si="57"/>
        <v>-</v>
      </c>
      <c r="EB250" s="310" t="str">
        <f>IFERROR(__xludf.DUMMYFUNCTION("IF(REGEXMATCH(AW250,AS250),""✔"",""-"")"),"✔")</f>
        <v>✔</v>
      </c>
      <c r="EC250" s="310" t="str">
        <f t="shared" si="58"/>
        <v>#REF!</v>
      </c>
      <c r="ED250" s="370" t="str">
        <f t="shared" si="59"/>
        <v>-</v>
      </c>
      <c r="EE250" s="340" t="str">
        <f t="shared" si="60"/>
        <v>S-R-G-m-P-D-nN-S</v>
      </c>
      <c r="EF250" s="371" t="str">
        <f>IFERROR(__xludf.DUMMYFUNCTION("CONCATENATE(JOIN("""",HC250:HO250))"),"SrRgmPdnS")</f>
        <v>SrRgmPdnS</v>
      </c>
      <c r="EG250" s="372">
        <f t="shared" si="61"/>
        <v>1</v>
      </c>
      <c r="EH250" s="373" t="str">
        <f>IFERROR(__xludf.DUMMYFUNCTION("CONCATENATE(JOIN("""",JC250:JO250))"),"Ni, ")</f>
        <v>Ni, </v>
      </c>
      <c r="EI250" s="322">
        <f t="shared" si="62"/>
        <v>0</v>
      </c>
      <c r="EJ250" s="374" t="str">
        <f>IFERROR(__xludf.DUMMYFUNCTION("CONCATENATE(JOIN("""",KC250:KO250))"),"")</f>
        <v/>
      </c>
      <c r="EK250" s="325" t="str">
        <f t="shared" si="63"/>
        <v>S-R2-G3-M1-P-D2-N2-N3-S</v>
      </c>
      <c r="EL250" s="326" t="str">
        <f t="shared" si="64"/>
        <v>1-2-3-4-5-6-b7-7-8</v>
      </c>
      <c r="EM250" s="318" t="str">
        <f t="shared" si="65"/>
        <v>#REF!</v>
      </c>
      <c r="EN250" s="328" t="str">
        <f>IFERROR(__xludf.DUMMYFUNCTION("SUBSTITUTE(SUBSTITUTE(SUBSTITUTE(SUBSTITUTE(CONCATENATE(JOIN("" "",HP250:IB250)),""  "","" ""),""  "","" ""),""  "","" ""),""  "","" "")"),"o • o • o o • o • o o o o")</f>
        <v>o • o • o o • o • o o o o</v>
      </c>
      <c r="EO250" s="368" t="str">
        <f t="shared" si="66"/>
        <v>-</v>
      </c>
      <c r="EP250" s="339" t="str">
        <f t="shared" si="67"/>
        <v>-</v>
      </c>
      <c r="EQ250" s="339" t="str">
        <f t="shared" si="68"/>
        <v>Sa-Pa</v>
      </c>
      <c r="ER250" s="339" t="str">
        <f t="shared" si="69"/>
        <v>-</v>
      </c>
      <c r="ES250" s="340" t="str">
        <f t="shared" si="70"/>
        <v>-</v>
      </c>
      <c r="ET250" s="363"/>
      <c r="EU250" s="376" t="b">
        <f>IFERROR(__xludf.DUMMYFUNCTION("arrayformula(sum(--REGEXMATCH(""SRGMPDNS"",split(REGEXREPLACE(C250,""(.)"",""$1~""),""~""))))=len(C250)
"),FALSE)</f>
        <v>0</v>
      </c>
      <c r="EV250" s="290" t="b">
        <f>IFERROR(__xludf.DUMMYFUNCTION("arrayformula(sum(--REGEXMATCH(""SRGmPDNS"",split(REGEXREPLACE(C250,""(.)"",""$1~""),""~""))))=len(C250)"),FALSE)</f>
        <v>0</v>
      </c>
      <c r="EW250" s="290" t="b">
        <f>IFERROR(__xludf.DUMMYFUNCTION("arrayformula(sum(--REGEXMATCH(""SRGmPDnS"",split(REGEXREPLACE(C250,""(.)"",""$1~""),""~""))))=len(C250)"),FALSE)</f>
        <v>0</v>
      </c>
      <c r="EX250" s="290" t="b">
        <f>IFERROR(__xludf.DUMMYFUNCTION("arrayformula(sum(--REGEXMATCH(""SRgmPDnS"",split(REGEXREPLACE(C250,""(.)"",""$1~""),""~""))))=len(C250)"),FALSE)</f>
        <v>0</v>
      </c>
      <c r="EY250" s="290" t="b">
        <f>IFERROR(__xludf.DUMMYFUNCTION("arrayformula(sum(--REGEXMATCH(""SRgmPdnS"",split(REGEXREPLACE(C250,""(.)"",""$1~""),""~""))))=len(C250)"),FALSE)</f>
        <v>0</v>
      </c>
      <c r="EZ250" s="290" t="b">
        <f>IFERROR(__xludf.DUMMYFUNCTION("arrayformula(sum(--REGEXMATCH(""SrgmPdnS"",split(REGEXREPLACE(C250,""(.)"",""$1~""),""~""))))=len(C250)"),FALSE)</f>
        <v>0</v>
      </c>
      <c r="FA250" s="290" t="b">
        <f>IFERROR(__xludf.DUMMYFUNCTION("arrayformula(sum(--REGEXMATCH(""SrGmPdNS"",split(REGEXREPLACE(C250,""(.)"",""$1~""),""~""))))=len(C250)"),FALSE)</f>
        <v>0</v>
      </c>
      <c r="FB250" s="290" t="b">
        <f>IFERROR(__xludf.DUMMYFUNCTION("arrayformula(sum(--REGEXMATCH(""SrGMPDNS"",split(REGEXREPLACE(C250,""(.)"",""$1~""),""~""))))=len(C250)"),FALSE)</f>
        <v>0</v>
      </c>
      <c r="FC250" s="290" t="b">
        <f>IFERROR(__xludf.DUMMYFUNCTION("arrayformula(sum(--REGEXMATCH(""SrGMPdNS"",split(REGEXREPLACE(C250,""(.)"",""$1~""),""~""))))=len(C250)"),FALSE)</f>
        <v>0</v>
      </c>
      <c r="FD250" s="377" t="b">
        <f>IFERROR(__xludf.DUMMYFUNCTION("arrayformula(sum(--REGEXMATCH(""SrgMPdNS"",split(REGEXREPLACE(C250,""(.)"",""$1~""),""~""))))=len(C250)"),FALSE)</f>
        <v>0</v>
      </c>
      <c r="FE250" s="269" t="str">
        <f t="shared" si="71"/>
        <v>-</v>
      </c>
      <c r="FF250" s="269" t="str">
        <f t="shared" si="72"/>
        <v>xoxxoxoxxxx</v>
      </c>
      <c r="FG250" s="271" t="str">
        <f t="shared" si="73"/>
        <v>-</v>
      </c>
      <c r="FH250" s="269" t="str">
        <f t="shared" si="74"/>
        <v>xxoxoxxxxox</v>
      </c>
      <c r="FI250" s="271" t="str">
        <f t="shared" si="75"/>
        <v>xoxoxxxxoxo</v>
      </c>
      <c r="FJ250" s="271" t="str">
        <f t="shared" si="76"/>
        <v>-</v>
      </c>
      <c r="FK250" s="271" t="str">
        <f t="shared" si="77"/>
        <v>xoxxxxoxoxx</v>
      </c>
      <c r="FL250" s="271" t="str">
        <f t="shared" si="78"/>
        <v>-</v>
      </c>
      <c r="FM250" s="271" t="str">
        <f t="shared" si="79"/>
        <v>xxxxoxoxxox</v>
      </c>
      <c r="FN250" s="271" t="str">
        <f t="shared" si="80"/>
        <v>xxxoxoxxoxo</v>
      </c>
      <c r="FO250" s="274" t="str">
        <f t="shared" si="81"/>
        <v>xxoxoxxoxox</v>
      </c>
      <c r="FP250" s="234" t="str">
        <f t="shared" si="82"/>
        <v>|</v>
      </c>
      <c r="FQ250" s="236" t="str">
        <f t="shared" si="83"/>
        <v>-</v>
      </c>
      <c r="FR250" s="237" t="str">
        <f t="shared" si="84"/>
        <v>|</v>
      </c>
      <c r="FS250" s="236" t="str">
        <f t="shared" si="85"/>
        <v>-</v>
      </c>
      <c r="FT250" s="237" t="str">
        <f t="shared" si="86"/>
        <v>|</v>
      </c>
      <c r="FU250" s="236" t="str">
        <f t="shared" si="87"/>
        <v>|</v>
      </c>
      <c r="FV250" s="237" t="str">
        <f t="shared" si="88"/>
        <v>-</v>
      </c>
      <c r="FW250" s="236" t="str">
        <f t="shared" si="89"/>
        <v>|</v>
      </c>
      <c r="FX250" s="237" t="str">
        <f t="shared" si="90"/>
        <v>-</v>
      </c>
      <c r="FY250" s="236" t="str">
        <f t="shared" si="91"/>
        <v>|</v>
      </c>
      <c r="FZ250" s="237" t="str">
        <f t="shared" si="92"/>
        <v>|</v>
      </c>
      <c r="GA250" s="236" t="str">
        <f t="shared" si="93"/>
        <v>|</v>
      </c>
      <c r="GB250" s="238" t="str">
        <f t="shared" si="94"/>
        <v>|</v>
      </c>
      <c r="GC250" s="244" t="str">
        <f>IFERROR(__xludf.DUMMYFUNCTION("IF(REGEXMATCH(C250, ""S""), ""1"","""")"),"1")</f>
        <v>1</v>
      </c>
      <c r="GD250" s="245" t="str">
        <f>IFERROR(__xludf.DUMMYFUNCTION("IF(REGEXMATCH(C250, ""r""), ""b2"","""")"),"")</f>
        <v/>
      </c>
      <c r="GE250" s="246" t="str">
        <f>IFERROR(__xludf.DUMMYFUNCTION("IF(REGEXMATCH(C250, ""R""), ""2"","""")"),"2")</f>
        <v>2</v>
      </c>
      <c r="GF250" s="246" t="str">
        <f>IFERROR(__xludf.DUMMYFUNCTION("IF(REGEXMATCH(C250, ""g""), ""b3"","""")"),"")</f>
        <v/>
      </c>
      <c r="GG250" s="245" t="str">
        <f>IFERROR(__xludf.DUMMYFUNCTION("IF(REGEXMATCH(C250, ""G""), ""3"","""")"),"3")</f>
        <v>3</v>
      </c>
      <c r="GH250" s="245" t="str">
        <f>IFERROR(__xludf.DUMMYFUNCTION("IF(REGEXMATCH(C250, ""m""), ""4"","""")"),"4")</f>
        <v>4</v>
      </c>
      <c r="GI250" s="246" t="str">
        <f>IFERROR(__xludf.DUMMYFUNCTION("IF(REGEXMATCH(C250, ""M""), ""#4"","""")"),"")</f>
        <v/>
      </c>
      <c r="GJ250" s="245" t="str">
        <f>IFERROR(__xludf.DUMMYFUNCTION("IF(REGEXMATCH(C250, ""P""), ""5"","""")"),"5")</f>
        <v>5</v>
      </c>
      <c r="GK250" s="246" t="str">
        <f>IFERROR(__xludf.DUMMYFUNCTION("IF(REGEXMATCH(C250, ""d""), ""b6"","""")"),"")</f>
        <v/>
      </c>
      <c r="GL250" s="245" t="str">
        <f>IFERROR(__xludf.DUMMYFUNCTION("IF(REGEXMATCH(C250, ""D""), ""6"","""")"),"6")</f>
        <v>6</v>
      </c>
      <c r="GM250" s="245" t="str">
        <f>IFERROR(__xludf.DUMMYFUNCTION("IF(REGEXMATCH(C250, ""n""), ""b7"","""")"),"b7")</f>
        <v>b7</v>
      </c>
      <c r="GN250" s="246" t="str">
        <f>IFERROR(__xludf.DUMMYFUNCTION("IF(REGEXMATCH(C250, ""N""), ""7"","""")"),"7")</f>
        <v>7</v>
      </c>
      <c r="GO250" s="249" t="str">
        <f>IFERROR(__xludf.DUMMYFUNCTION("IF(REGEXMATCH(C250, ""S""), ""8"","""")"),"8")</f>
        <v>8</v>
      </c>
      <c r="GP250" s="244" t="str">
        <f>IFERROR(__xludf.DUMMYFUNCTION("IF(REGEXMATCH(C250, ""S""), ""S"","""")"),"S")</f>
        <v>S</v>
      </c>
      <c r="GQ250" s="294" t="str">
        <f>IFERROR(__xludf.DUMMYFUNCTION("IF(REGEXMATCH(C250, ""r""), ""R1"","""")"),"")</f>
        <v/>
      </c>
      <c r="GR250" s="295" t="str">
        <f>IFERROR(__xludf.DUMMYFUNCTION("IF(REGEXMATCH(C250, ""R""), ""R2"","""")"),"R2")</f>
        <v>R2</v>
      </c>
      <c r="GS250" s="295" t="str">
        <f>IFERROR(__xludf.DUMMYFUNCTION("IF(REGEXMATCH(C250, ""g""), ""G2"","""")"),"")</f>
        <v/>
      </c>
      <c r="GT250" s="294" t="str">
        <f>IFERROR(__xludf.DUMMYFUNCTION("IF(REGEXMATCH(C250, ""G""), ""G3"","""")"),"G3")</f>
        <v>G3</v>
      </c>
      <c r="GU250" s="294" t="str">
        <f>IFERROR(__xludf.DUMMYFUNCTION("IF(REGEXMATCH(C250, ""m""), ""M1"","""")"),"M1")</f>
        <v>M1</v>
      </c>
      <c r="GV250" s="295" t="str">
        <f>IFERROR(__xludf.DUMMYFUNCTION("IF(REGEXMATCH(C250, ""M""), ""M2"","""")"),"")</f>
        <v/>
      </c>
      <c r="GW250" s="294" t="str">
        <f>IFERROR(__xludf.DUMMYFUNCTION("IF(REGEXMATCH(C250, ""P""), ""P"","""")"),"P")</f>
        <v>P</v>
      </c>
      <c r="GX250" s="295" t="str">
        <f>IFERROR(__xludf.DUMMYFUNCTION("IF(REGEXMATCH(C250, ""d""), ""D1"","""")"),"")</f>
        <v/>
      </c>
      <c r="GY250" s="294" t="str">
        <f>IFERROR(__xludf.DUMMYFUNCTION("IF(REGEXMATCH(C250, ""D""), ""D2"","""")"),"D2")</f>
        <v>D2</v>
      </c>
      <c r="GZ250" s="294" t="str">
        <f>IFERROR(__xludf.DUMMYFUNCTION("IF(REGEXMATCH(C250, ""n""), ""N2"","""")"),"N2")</f>
        <v>N2</v>
      </c>
      <c r="HA250" s="295" t="str">
        <f>IFERROR(__xludf.DUMMYFUNCTION("IF(REGEXMATCH(C250, ""N""), ""N3"","""")"),"N3")</f>
        <v>N3</v>
      </c>
      <c r="HB250" s="249" t="str">
        <f>IFERROR(__xludf.DUMMYFUNCTION("IF(REGEXMATCH(C250, ""S""), ""S"","""")"),"S")</f>
        <v>S</v>
      </c>
      <c r="HC250" s="331" t="str">
        <f t="shared" si="95"/>
        <v>S</v>
      </c>
      <c r="HD250" s="332" t="str">
        <f t="shared" si="96"/>
        <v>r</v>
      </c>
      <c r="HE250" s="332" t="str">
        <f t="shared" si="97"/>
        <v>R</v>
      </c>
      <c r="HF250" s="332" t="str">
        <f t="shared" si="98"/>
        <v>g</v>
      </c>
      <c r="HG250" s="332" t="str">
        <f t="shared" si="99"/>
        <v/>
      </c>
      <c r="HH250" s="332" t="str">
        <f t="shared" si="100"/>
        <v>m</v>
      </c>
      <c r="HI250" s="332" t="str">
        <f t="shared" si="101"/>
        <v/>
      </c>
      <c r="HJ250" s="332" t="str">
        <f t="shared" si="102"/>
        <v>P</v>
      </c>
      <c r="HK250" s="332" t="str">
        <f t="shared" si="103"/>
        <v>d</v>
      </c>
      <c r="HL250" s="332" t="str">
        <f t="shared" si="104"/>
        <v/>
      </c>
      <c r="HM250" s="332" t="str">
        <f t="shared" si="105"/>
        <v>n</v>
      </c>
      <c r="HN250" s="332" t="str">
        <f t="shared" si="106"/>
        <v/>
      </c>
      <c r="HO250" s="343" t="str">
        <f t="shared" si="107"/>
        <v>S</v>
      </c>
      <c r="HP250" s="331" t="str">
        <f t="shared" si="108"/>
        <v>o</v>
      </c>
      <c r="HQ250" s="332" t="str">
        <f t="shared" si="109"/>
        <v>•</v>
      </c>
      <c r="HR250" s="332" t="str">
        <f t="shared" si="110"/>
        <v>o</v>
      </c>
      <c r="HS250" s="332" t="str">
        <f t="shared" si="111"/>
        <v>•</v>
      </c>
      <c r="HT250" s="332" t="str">
        <f t="shared" si="112"/>
        <v>o</v>
      </c>
      <c r="HU250" s="332" t="str">
        <f t="shared" si="113"/>
        <v>o</v>
      </c>
      <c r="HV250" s="332" t="str">
        <f t="shared" si="114"/>
        <v>•</v>
      </c>
      <c r="HW250" s="332" t="str">
        <f t="shared" si="115"/>
        <v>o</v>
      </c>
      <c r="HX250" s="332" t="str">
        <f t="shared" si="116"/>
        <v>•</v>
      </c>
      <c r="HY250" s="332" t="str">
        <f t="shared" si="117"/>
        <v>o</v>
      </c>
      <c r="HZ250" s="332" t="str">
        <f t="shared" si="118"/>
        <v>o</v>
      </c>
      <c r="IA250" s="332" t="str">
        <f t="shared" si="119"/>
        <v>o</v>
      </c>
      <c r="IB250" s="338" t="str">
        <f t="shared" si="120"/>
        <v>o</v>
      </c>
      <c r="IC250" s="331" t="str">
        <f t="shared" si="121"/>
        <v>•</v>
      </c>
      <c r="ID250" s="332" t="str">
        <f t="shared" si="122"/>
        <v>o</v>
      </c>
      <c r="IE250" s="332" t="str">
        <f t="shared" si="123"/>
        <v>•</v>
      </c>
      <c r="IF250" s="332" t="str">
        <f t="shared" si="124"/>
        <v>o</v>
      </c>
      <c r="IG250" s="332" t="str">
        <f t="shared" si="125"/>
        <v>•</v>
      </c>
      <c r="IH250" s="332" t="str">
        <f t="shared" si="126"/>
        <v>•</v>
      </c>
      <c r="II250" s="332" t="str">
        <f t="shared" si="127"/>
        <v>o</v>
      </c>
      <c r="IJ250" s="332" t="str">
        <f t="shared" si="128"/>
        <v>•</v>
      </c>
      <c r="IK250" s="332" t="str">
        <f t="shared" si="129"/>
        <v>o</v>
      </c>
      <c r="IL250" s="332" t="str">
        <f t="shared" si="130"/>
        <v>•</v>
      </c>
      <c r="IM250" s="332" t="str">
        <f t="shared" si="131"/>
        <v>•</v>
      </c>
      <c r="IN250" s="332" t="str">
        <f t="shared" si="132"/>
        <v>•</v>
      </c>
      <c r="IO250" s="338" t="str">
        <f t="shared" si="133"/>
        <v>•</v>
      </c>
      <c r="IP250" s="346" t="b">
        <f t="shared" si="134"/>
        <v>0</v>
      </c>
      <c r="IQ250" s="347" t="b">
        <f t="shared" si="135"/>
        <v>0</v>
      </c>
      <c r="IR250" s="347" t="b">
        <f t="shared" si="136"/>
        <v>0</v>
      </c>
      <c r="IS250" s="347" t="b">
        <f t="shared" si="137"/>
        <v>0</v>
      </c>
      <c r="IT250" s="347" t="b">
        <f t="shared" si="138"/>
        <v>0</v>
      </c>
      <c r="IU250" s="347" t="b">
        <f t="shared" si="139"/>
        <v>0</v>
      </c>
      <c r="IV250" s="347" t="b">
        <f t="shared" si="140"/>
        <v>0</v>
      </c>
      <c r="IW250" s="347" t="b">
        <f t="shared" si="141"/>
        <v>0</v>
      </c>
      <c r="IX250" s="347" t="b">
        <f t="shared" si="142"/>
        <v>0</v>
      </c>
      <c r="IY250" s="347" t="b">
        <f t="shared" si="143"/>
        <v>0</v>
      </c>
      <c r="IZ250" s="347" t="b">
        <f t="shared" si="144"/>
        <v>0</v>
      </c>
      <c r="JA250" s="347" t="b">
        <f t="shared" si="145"/>
        <v>1</v>
      </c>
      <c r="JB250" s="353" t="b">
        <f t="shared" si="146"/>
        <v>0</v>
      </c>
      <c r="JC250" s="354" t="str">
        <f t="shared" si="147"/>
        <v/>
      </c>
      <c r="JD250" s="355" t="str">
        <f t="shared" si="148"/>
        <v/>
      </c>
      <c r="JE250" s="355" t="str">
        <f t="shared" si="149"/>
        <v/>
      </c>
      <c r="JF250" s="355" t="str">
        <f t="shared" si="150"/>
        <v/>
      </c>
      <c r="JG250" s="355" t="str">
        <f t="shared" si="151"/>
        <v/>
      </c>
      <c r="JH250" s="355" t="str">
        <f t="shared" si="152"/>
        <v/>
      </c>
      <c r="JI250" s="355" t="str">
        <f t="shared" si="153"/>
        <v/>
      </c>
      <c r="JJ250" s="355" t="str">
        <f t="shared" si="154"/>
        <v/>
      </c>
      <c r="JK250" s="355" t="str">
        <f t="shared" si="155"/>
        <v/>
      </c>
      <c r="JL250" s="355" t="str">
        <f t="shared" si="156"/>
        <v/>
      </c>
      <c r="JM250" s="355" t="str">
        <f t="shared" si="157"/>
        <v/>
      </c>
      <c r="JN250" s="355" t="str">
        <f t="shared" si="158"/>
        <v>Ni, </v>
      </c>
      <c r="JO250" s="359" t="str">
        <f t="shared" si="159"/>
        <v/>
      </c>
      <c r="JP250" s="346" t="b">
        <f t="shared" si="160"/>
        <v>0</v>
      </c>
      <c r="JQ250" s="347" t="b">
        <f t="shared" si="161"/>
        <v>0</v>
      </c>
      <c r="JR250" s="347" t="b">
        <f t="shared" si="162"/>
        <v>0</v>
      </c>
      <c r="JS250" s="347" t="b">
        <f t="shared" si="163"/>
        <v>0</v>
      </c>
      <c r="JT250" s="347" t="b">
        <f t="shared" si="164"/>
        <v>0</v>
      </c>
      <c r="JU250" s="347" t="b">
        <f t="shared" si="165"/>
        <v>0</v>
      </c>
      <c r="JV250" s="347" t="b">
        <f t="shared" si="166"/>
        <v>0</v>
      </c>
      <c r="JW250" s="347" t="b">
        <f t="shared" si="167"/>
        <v>0</v>
      </c>
      <c r="JX250" s="347" t="b">
        <f t="shared" si="168"/>
        <v>0</v>
      </c>
      <c r="JY250" s="347" t="b">
        <f t="shared" si="169"/>
        <v>0</v>
      </c>
      <c r="JZ250" s="347" t="b">
        <f t="shared" si="170"/>
        <v>0</v>
      </c>
      <c r="KA250" s="347" t="b">
        <f t="shared" si="171"/>
        <v>0</v>
      </c>
      <c r="KB250" s="365" t="b">
        <f t="shared" si="172"/>
        <v>0</v>
      </c>
      <c r="KC250" s="354" t="str">
        <f t="shared" si="173"/>
        <v/>
      </c>
      <c r="KD250" s="355" t="str">
        <f t="shared" si="174"/>
        <v/>
      </c>
      <c r="KE250" s="355" t="str">
        <f t="shared" si="175"/>
        <v/>
      </c>
      <c r="KF250" s="355" t="str">
        <f t="shared" si="176"/>
        <v/>
      </c>
      <c r="KG250" s="355" t="str">
        <f t="shared" si="177"/>
        <v/>
      </c>
      <c r="KH250" s="355" t="str">
        <f t="shared" si="178"/>
        <v/>
      </c>
      <c r="KI250" s="355" t="str">
        <f t="shared" si="179"/>
        <v/>
      </c>
      <c r="KJ250" s="355" t="str">
        <f t="shared" si="180"/>
        <v/>
      </c>
      <c r="KK250" s="355" t="str">
        <f t="shared" si="181"/>
        <v/>
      </c>
      <c r="KL250" s="355" t="str">
        <f t="shared" si="182"/>
        <v/>
      </c>
      <c r="KM250" s="355" t="str">
        <f t="shared" si="183"/>
        <v/>
      </c>
      <c r="KN250" s="355" t="str">
        <f t="shared" si="184"/>
        <v/>
      </c>
      <c r="KO250" s="359"/>
      <c r="KP250" s="378"/>
      <c r="KQ250" s="379" t="s">
        <v>9</v>
      </c>
      <c r="KR250" s="380" t="s">
        <v>1357</v>
      </c>
      <c r="KS250" s="381" t="s">
        <v>9</v>
      </c>
      <c r="KT250" s="382">
        <f t="shared" si="186"/>
        <v>0</v>
      </c>
      <c r="KU250" s="383">
        <f t="shared" si="187"/>
        <v>0</v>
      </c>
      <c r="KV250" s="381" t="str">
        <f t="shared" si="205"/>
        <v>S-N-D-P-m-G-R-S</v>
      </c>
      <c r="KW250" s="382">
        <f t="shared" si="189"/>
        <v>7</v>
      </c>
      <c r="KX250" s="384">
        <f t="shared" si="190"/>
        <v>7</v>
      </c>
      <c r="KY250" s="382">
        <f t="shared" ref="KY250:KZ250" si="722">KW250-KT250</f>
        <v>7</v>
      </c>
      <c r="KZ250" s="369">
        <f t="shared" si="722"/>
        <v>7</v>
      </c>
      <c r="LA250" s="385" t="str">
        <f t="shared" si="192"/>
        <v>-</v>
      </c>
      <c r="LB250" s="340" t="str">
        <f>IFERROR(__xludf.DUMMYFUNCTION("JOIN("""",ArrayFormula(MID(KS250,LEN(KS250)-SEQUENCE(1,LEN(KS250))+1,1)))"),"S")</f>
        <v>S</v>
      </c>
      <c r="LC250" s="373" t="str">
        <f>IFERROR(__xludf.DUMMYFUNCTION("JOIN("""",ArrayFormula(MID(KV250,LEN(KV250)-SEQUENCE(1,LEN(KV250))+1,1)))"),"S-R-G-m-P-D-N-S")</f>
        <v>S-R-G-m-P-D-N-S</v>
      </c>
      <c r="LD250" s="373" t="str">
        <f t="shared" si="193"/>
        <v>S</v>
      </c>
      <c r="LE250" s="339" t="str">
        <f t="shared" si="194"/>
        <v>SRGmPDNS</v>
      </c>
      <c r="LF250" s="386" t="str">
        <f>IFERROR(__xludf.DUMMYFUNCTION("SUBSTITUTE(SUBSTITUTE(CONCATENATE(JOIN("""",LH250:LT250)),""1"",""""),""2"","""")"),"SRGmPDNS")</f>
        <v>SRGmPDNS</v>
      </c>
      <c r="LG250" s="369" t="str">
        <f t="shared" si="195"/>
        <v>-</v>
      </c>
      <c r="LH250" s="387" t="str">
        <f>IFERROR(__xludf.DUMMYFUNCTION("IF(REGEXMATCH(LD250, ""S""), ""S"",IF(REGEXMATCH(LE250, ""S""), ""S"",""""))"),"S")</f>
        <v>S</v>
      </c>
      <c r="LI250" s="299" t="str">
        <f>IFERROR(__xludf.DUMMYFUNCTION("IF(REGEXMATCH(LD250, ""r""), ""r1"",IF(REGEXMATCH(LE250, ""r""), ""r2"",""""))"),"")</f>
        <v/>
      </c>
      <c r="LJ250" s="299" t="str">
        <f>IFERROR(__xludf.DUMMYFUNCTION("IF(REGEXMATCH(LD250, ""R""), ""R1"",IF(REGEXMATCH(LE250, ""R""), ""R2"",""""))"),"R2")</f>
        <v>R2</v>
      </c>
      <c r="LK250" s="299" t="str">
        <f>IFERROR(__xludf.DUMMYFUNCTION("IF(REGEXMATCH(LD250, ""g""), ""g1"",IF(REGEXMATCH(LE250, ""g""), ""g2"",""""))"),"")</f>
        <v/>
      </c>
      <c r="LL250" s="299" t="str">
        <f>IFERROR(__xludf.DUMMYFUNCTION("IF(REGEXMATCH(LD250, ""G""), ""G1"",IF(REGEXMATCH(LE250, ""G""), ""G2"",""""))"),"G2")</f>
        <v>G2</v>
      </c>
      <c r="LM250" s="299" t="str">
        <f>IFERROR(__xludf.DUMMYFUNCTION("IF(REGEXMATCH(LD250, ""m""), ""m1"",IF(REGEXMATCH(LE250, ""m""), ""m2"",""""))"),"m2")</f>
        <v>m2</v>
      </c>
      <c r="LN250" s="299" t="str">
        <f>IFERROR(__xludf.DUMMYFUNCTION("IF(REGEXMATCH(LD250, ""M""), ""M1"",IF(REGEXMATCH(LE250, ""M""), ""M2"",""""))"),"")</f>
        <v/>
      </c>
      <c r="LO250" s="299" t="str">
        <f>IFERROR(__xludf.DUMMYFUNCTION("IF(REGEXMATCH(LD250, ""P""), ""P1"",IF(REGEXMATCH(LE250, ""P""), ""P2"",""""))"),"P2")</f>
        <v>P2</v>
      </c>
      <c r="LP250" s="299" t="str">
        <f>IFERROR(__xludf.DUMMYFUNCTION("IF(REGEXMATCH(LD250, ""d""), ""d1"",IF(REGEXMATCH(LE250, ""d""), ""d2"",""""))"),"")</f>
        <v/>
      </c>
      <c r="LQ250" s="299" t="str">
        <f>IFERROR(__xludf.DUMMYFUNCTION("IF(REGEXMATCH(LD250, ""D""), ""D1"",IF(REGEXMATCH(LE250, ""D""), ""D2"",""""))"),"D2")</f>
        <v>D2</v>
      </c>
      <c r="LR250" s="299" t="str">
        <f>IFERROR(__xludf.DUMMYFUNCTION("IF(REGEXMATCH(LD250, ""n""), ""n1"",IF(REGEXMATCH(LE250, ""n""), ""n2"",""""))"),"")</f>
        <v/>
      </c>
      <c r="LS250" s="299" t="str">
        <f>IFERROR(__xludf.DUMMYFUNCTION("IF(REGEXMATCH(LD250, ""N""), ""N1"",IF(REGEXMATCH(LE250, ""N""), ""N2"",""""))"),"N2")</f>
        <v>N2</v>
      </c>
      <c r="LT250" s="388" t="str">
        <f>IFERROR(__xludf.DUMMYFUNCTION("IF(REGEXMATCH(LD250, ""S""), ""S"",IF(REGEXMATCH(LE250, ""S""), ""S"",""""))"),"S")</f>
        <v>S</v>
      </c>
      <c r="LU250" s="389">
        <f t="shared" si="196"/>
        <v>-13</v>
      </c>
      <c r="LV250" s="378"/>
      <c r="LW250" s="369"/>
      <c r="LX250" s="369"/>
    </row>
    <row r="251" ht="18.0" customHeight="1">
      <c r="A251" s="298" t="s">
        <v>1024</v>
      </c>
      <c r="B251" s="222" t="s">
        <v>748</v>
      </c>
      <c r="C251" s="233" t="str">
        <f t="shared" si="7"/>
        <v>SRgmPnS</v>
      </c>
      <c r="D251" s="234" t="str">
        <f>IFERROR(__xludf.DUMMYFUNCTION("IF(REGEXMATCH(C251, ""S""), ""S"","""")"),"S")</f>
        <v>S</v>
      </c>
      <c r="E251" s="236" t="str">
        <f>IFERROR(__xludf.DUMMYFUNCTION("IF(REGEXMATCH(C251, ""r""), ""r"","""")"),"")</f>
        <v/>
      </c>
      <c r="F251" s="237" t="str">
        <f>IFERROR(__xludf.DUMMYFUNCTION("IF(REGEXMATCH(C251, ""R""), ""R"","""")"),"R")</f>
        <v>R</v>
      </c>
      <c r="G251" s="237" t="str">
        <f>IFERROR(__xludf.DUMMYFUNCTION("IF(REGEXMATCH(C251, ""g""), ""g"","""")"),"g")</f>
        <v>g</v>
      </c>
      <c r="H251" s="236" t="str">
        <f>IFERROR(__xludf.DUMMYFUNCTION("IF(REGEXMATCH(C251, ""G""), ""G"","""")"),"")</f>
        <v/>
      </c>
      <c r="I251" s="236" t="str">
        <f>IFERROR(__xludf.DUMMYFUNCTION("IF(REGEXMATCH(C251, ""m""), ""m"","""")"),"m")</f>
        <v>m</v>
      </c>
      <c r="J251" s="237" t="str">
        <f>IFERROR(__xludf.DUMMYFUNCTION("IF(REGEXMATCH(C251, ""M""), ""M"","""")"),"")</f>
        <v/>
      </c>
      <c r="K251" s="236" t="str">
        <f>IFERROR(__xludf.DUMMYFUNCTION("IF(REGEXMATCH(C251, ""P""), ""P"","""")"),"P")</f>
        <v>P</v>
      </c>
      <c r="L251" s="237" t="str">
        <f>IFERROR(__xludf.DUMMYFUNCTION("IF(REGEXMATCH(C251, ""d""), ""d"","""")"),"")</f>
        <v/>
      </c>
      <c r="M251" s="236" t="str">
        <f>IFERROR(__xludf.DUMMYFUNCTION("IF(REGEXMATCH(C251, ""D""), ""D"","""")"),"")</f>
        <v/>
      </c>
      <c r="N251" s="236" t="str">
        <f>IFERROR(__xludf.DUMMYFUNCTION("IF(REGEXMATCH(C251, ""n""), ""n"","""")"),"n")</f>
        <v>n</v>
      </c>
      <c r="O251" s="237" t="str">
        <f>IFERROR(__xludf.DUMMYFUNCTION("IF(REGEXMATCH(C251, ""N""), ""N"","""")"),"")</f>
        <v/>
      </c>
      <c r="P251" s="238" t="str">
        <f>IFERROR(__xludf.DUMMYFUNCTION("IF(REGEXMATCH(C251, ""S""), ""S"","""")"),"S")</f>
        <v>S</v>
      </c>
      <c r="Q251" s="239" t="str">
        <f>IFERROR(__xludf.DUMMYFUNCTION("SUBSTITUTE(CONCATENATE(JOIN(""-"",D251:J251)),""-"","""")"),"SRgm")</f>
        <v>SRgm</v>
      </c>
      <c r="R251" s="229" t="str">
        <f>IFERROR(__xludf.DUMMYFUNCTION("SUBSTITUTE(CONCATENATE(JOIN(""-"",K251:P251)),""-"","""")"),"PnS")</f>
        <v>PnS</v>
      </c>
      <c r="S251" s="282" t="str">
        <f t="shared" si="8"/>
        <v>S-R-G-M</v>
      </c>
      <c r="T251" s="282" t="str">
        <f t="shared" si="9"/>
        <v>P-N-S</v>
      </c>
      <c r="U251" s="237" t="str">
        <f>IFERROR(__xludf.DUMMYFUNCTION("SUBSTITUTE(JOIN(""-"",S251,T251),""--"",""-"")"),"S-R-G-M-P-N-S")</f>
        <v>S-R-G-M-P-N-S</v>
      </c>
      <c r="V251" s="309" t="str">
        <f t="shared" si="10"/>
        <v>Rgmn</v>
      </c>
      <c r="W251" s="244" t="str">
        <f>IFERROR(__xludf.DUMMYFUNCTION("IF(REGEXMATCH(C251, ""S""), ""0"","""")"),"0")</f>
        <v>0</v>
      </c>
      <c r="X251" s="245" t="str">
        <f>IFERROR(__xludf.DUMMYFUNCTION("IF(REGEXMATCH(C251, ""r""), ""1"","""")"),"")</f>
        <v/>
      </c>
      <c r="Y251" s="246" t="str">
        <f>IFERROR(__xludf.DUMMYFUNCTION("IF(REGEXMATCH(C251, ""R""), ""2"","""")"),"2")</f>
        <v>2</v>
      </c>
      <c r="Z251" s="246" t="str">
        <f>IFERROR(__xludf.DUMMYFUNCTION("IF(REGEXMATCH(C251, ""g""), ""3"","""")"),"3")</f>
        <v>3</v>
      </c>
      <c r="AA251" s="245" t="str">
        <f>IFERROR(__xludf.DUMMYFUNCTION("IF(REGEXMATCH(C251, ""G""), ""4"","""")"),"")</f>
        <v/>
      </c>
      <c r="AB251" s="245" t="str">
        <f>IFERROR(__xludf.DUMMYFUNCTION("IF(REGEXMATCH(C251, ""m""), ""5"","""")"),"5")</f>
        <v>5</v>
      </c>
      <c r="AC251" s="246" t="str">
        <f>IFERROR(__xludf.DUMMYFUNCTION("IF(REGEXMATCH(C251, ""M""), ""6"","""")"),"")</f>
        <v/>
      </c>
      <c r="AD251" s="245" t="str">
        <f>IFERROR(__xludf.DUMMYFUNCTION("IF(REGEXMATCH(C251, ""P""), ""7"","""")"),"7")</f>
        <v>7</v>
      </c>
      <c r="AE251" s="246" t="str">
        <f>IFERROR(__xludf.DUMMYFUNCTION("IF(REGEXMATCH(C251, ""d""), ""8"","""")"),"")</f>
        <v/>
      </c>
      <c r="AF251" s="245" t="str">
        <f>IFERROR(__xludf.DUMMYFUNCTION("IF(REGEXMATCH(C251, ""D""), ""9"","""")"),"")</f>
        <v/>
      </c>
      <c r="AG251" s="245" t="str">
        <f>IFERROR(__xludf.DUMMYFUNCTION("IF(REGEXMATCH(C251, ""n""), ""10"","""")"),"10")</f>
        <v>10</v>
      </c>
      <c r="AH251" s="246" t="str">
        <f>IFERROR(__xludf.DUMMYFUNCTION("IF(REGEXMATCH(C251, ""N""), ""11"","""")"),"")</f>
        <v/>
      </c>
      <c r="AI251" s="249" t="str">
        <f>IFERROR(__xludf.DUMMYFUNCTION("IF(REGEXMATCH(C251, ""S""), ""0"","""")"),"0")</f>
        <v>0</v>
      </c>
      <c r="AJ251" s="313" t="str">
        <f t="shared" si="11"/>
        <v>-</v>
      </c>
      <c r="AK251" s="313" t="str">
        <f t="shared" si="12"/>
        <v>-</v>
      </c>
      <c r="AL251" s="313" t="str">
        <f t="shared" si="13"/>
        <v>-</v>
      </c>
      <c r="AM251" s="313" t="str">
        <f t="shared" si="14"/>
        <v>-</v>
      </c>
      <c r="AN251" s="313" t="str">
        <f t="shared" si="15"/>
        <v>-</v>
      </c>
      <c r="AO251" s="314" t="str">
        <f t="shared" si="16"/>
        <v>-</v>
      </c>
      <c r="AP251" s="316">
        <f t="shared" si="17"/>
        <v>0</v>
      </c>
      <c r="AQ251" s="319" t="str">
        <f t="shared" si="18"/>
        <v>-</v>
      </c>
      <c r="AR251" s="320">
        <f t="shared" si="19"/>
        <v>0</v>
      </c>
      <c r="AS251" s="250" t="str">
        <f>IFERROR(__xludf.DUMMYFUNCTION("SUBSTITUTE(SUBSTITUTE(CONCATENATE(JOIN("""",FP251:GA251)),""|"",""x""),""-"",""o"")"),"xoxxoxoxooxo")</f>
        <v>xoxxoxoxooxo</v>
      </c>
      <c r="AT251" s="323" t="str">
        <f>IFERROR(__xludf.DUMMYFUNCTION("JOIN("""",AS251,AS251)"),"xoxxoxoxooxoxoxxoxoxooxo")</f>
        <v>xoxxoxoxooxoxoxxoxoxooxo</v>
      </c>
      <c r="AU251" s="256" t="str">
        <f>IFERROR(__xludf.DUMMYFUNCTION("JOIN("""",ArrayFormula(MID(AS251,LEN(AS251)-SEQUENCE(1,LEN(AS251))+1,1)))"),"oxooxoxoxxox")</f>
        <v>oxooxoxoxxox</v>
      </c>
      <c r="AV251" s="256" t="str">
        <f>IFERROR(__xludf.DUMMYFUNCTION("LEFT(CONCATENATE(""x"",JOIN("""",ArrayFormula(MID(AS251,LEN(AS251)-SEQUENCE(1,LEN(AS251))+1,1)))),12)"),"xoxooxoxoxxo")</f>
        <v>xoxooxoxoxxo</v>
      </c>
      <c r="AW251" s="327" t="str">
        <f>IFERROR(__xludf.DUMMYFUNCTION("JOIN("""",AU251,AU251)"),"oxooxoxoxxoxoxooxoxoxxox")</f>
        <v>oxooxoxoxxoxoxooxoxoxxox</v>
      </c>
      <c r="AX251" s="239" t="str">
        <f>IFERROR(__xludf.DUMMYFUNCTION("IF(REGEXMATCH(AW251,AS251),""✔"",""-"")"),"✔")</f>
        <v>✔</v>
      </c>
      <c r="AY251" s="330" t="str">
        <f t="shared" si="20"/>
        <v>-</v>
      </c>
      <c r="AZ251" s="260" t="str">
        <f t="shared" si="21"/>
        <v>#REF!</v>
      </c>
      <c r="BA251" s="333" t="str">
        <f t="shared" si="22"/>
        <v>xoxxoxo</v>
      </c>
      <c r="BB251" s="334" t="str">
        <f t="shared" si="23"/>
        <v>xooxox</v>
      </c>
      <c r="BC251" s="335" t="str">
        <f t="shared" si="236"/>
        <v>-</v>
      </c>
      <c r="BD251" s="336" t="str">
        <f t="shared" si="25"/>
        <v>Nayaki Kanada: 'xoxxoxo' + 'xooxox'</v>
      </c>
      <c r="BE251" s="337">
        <f>IFERROR(__xludf.DUMMYFUNCTION("COUNTUNIQUE(FILTER(AT:AT,REGEXMATCH(AT:AT,AS251)))-1"),3.0)</f>
        <v>3</v>
      </c>
      <c r="BF251" s="261" t="str">
        <f>IFERROR(__xludf.DUMMYFUNCTION("IF(BI251=0,""(n/a)"",IF(BJ251=2,""(PAIR)"",IF(REGEXMATCH(AT251,""xoxoxxoxoxox""),""Bilawal"",IF(REGEXMATCH(AT251,""xoxoxooxoxoo""),""Bhupali"",IF(REGEXMATCH(AT251,""xoxoxxoxxoxo""),""Charukeshi"",IF(REGEXMATCH(AT251,""xoxoooxxoxxo""),""Kameshwari"",IF(REG"&amp;"EXMATCH(AT251,""xoxoxooxoxox""),""Shankara"",IF(REGEXMATCH(AT251,""xxooxoxxxoox""),""Basant"",IF(REGEXMATCH(AT251,""xoxoxxxxoxox""),""Bihag"",IF(REGEXMATCH(AT251,""xoxxxxoxoxxx""),""Pilu"",IF(REGEXMATCH(AT251,""xoxxoxoxxoox""),""Kirwani"",IF(REGEXMATCH(AT"&amp;"251,""xoxxoxoxoxxx""),""Mk.Malhar"",IF(REGEXMATCH(AT251,""xxooxxoxxoox""),""Bhairav"",IF(REGEXMATCH(AT251,""xxoxooxxxoox""),""Todi"",IF(REGEXMATCH(AT251,""xxooxoxooxox""),""Marwa"",IF(REGEXMATCH(AT251,""xxoooxoxxooo""),""Gunkali"",IF(REGEXMATCH(AT251,""xo"&amp;"xoxxoxxoox""),""Nat Bhairav"",IF(REGEXMATCH(AT251,""xoxxoooxoxoo""),""Shivranjani"",IF(REGEXMATCH(AT251,""xooxxxoxooxo""),""Jog"",IF(REGEXMATCH(AT251,""xxooxoxoxoox""),""Hemshri"",IF(REGEXMATCH(AT251,""xoooxooxoxxo""),""Kalavati"",IF(REGEXMATCH(AT251,""xx"&amp;"oxoxxoxoox""),""Kedar"",IF(REGEXMATCH(AT251,""xoxxxxoxooxx""),""Gara"",IF(REGEXMATCH(AT251,""xooxoxooxoox""),""Chandrakauns"",IF(REGEXMATCH(AT251,""xoxxxxoxxxox""),""Mand"",IF(REGEXMATCH(AT251,""xoxxxxoxoxox""),""Hanskinkini"",IF(REGEXMATCH(AT251,""xxooxx"&amp;"oxooxo""),""Lilavati"",IF(REGEXMATCH(AT251,""xooxoxoooxox""),""Rajeshwari"",IF(REGEXMATCH(AT251,""xoooxxoxoxxx""),""Khokar"",IF(REGEXMATCH(AT251,""xxooxoxxxxox""),""Maligoura"",""-""))))))))))))))))))))))))))))))"),"Shankara")</f>
        <v>Shankara</v>
      </c>
      <c r="BG251" s="239" t="str">
        <f t="shared" si="26"/>
        <v>#REF!</v>
      </c>
      <c r="BH251" s="239">
        <f>IFERROR(__xludf.DUMMYFUNCTION("COUNTUNIQUE(FE251:FO251)-1"),5.0)</f>
        <v>5</v>
      </c>
      <c r="BI251" s="239">
        <f>IFERROR(__xludf.DUMMYFUNCTION("COUNTUNIQUE(FILTER(AT:AT,REGEXMATCH(AT:AT,AS251)))-1"),3.0)</f>
        <v>3</v>
      </c>
      <c r="BJ251" s="239">
        <f>IFERROR(__xludf.DUMMYFUNCTION("COUNTA(FILTER(AT:AT,REGEXMATCH(AT:AT,AS251)))"),11.0)</f>
        <v>11</v>
      </c>
      <c r="BK251" s="341">
        <f>IFERROR(__xludf.DUMMYFUNCTION("COUNTA(FILTER(AT:AT,REGEXMATCH(AT:AT,AS251)))-AR251"),11.0)</f>
        <v>11</v>
      </c>
      <c r="BL251" s="276" t="str">
        <f>IFERROR(__xludf.DUMMYFUNCTION("IF(AS251=""oooooooooooo"",""-"",IF(REGEXMATCH(AT251,""xx""), ""Hemi."", ""Anhemi.""))"),"Hemi.")</f>
        <v>Hemi.</v>
      </c>
      <c r="BM251" s="282" t="str">
        <f>IFERROR(__xludf.DUMMYFUNCTION("IF(AS251=""oooooooooooo"",""-"",IF(REGEXMATCH(AT251,""xxx""), ""Cohem."", ""-""))"),"-")</f>
        <v>-</v>
      </c>
      <c r="BN251" s="282" t="str">
        <f>IFERROR(__xludf.DUMMYFUNCTION("IF(AS251=""oooooooooooo"",""-"",IF(REGEXMATCH(AT251,""xxxx""), ""Co-Co."", ""-""))"),"-")</f>
        <v>-</v>
      </c>
      <c r="BO251" s="342" t="str">
        <f>IFERROR(__xludf.DUMMYFUNCTION("IF(AS251=""oooooooooooo"",""-"",IF(REGEXMATCH(AT251,""xxxxx""), ""CCC."", ""-""))"),"-")</f>
        <v>-</v>
      </c>
      <c r="BP251" s="344" t="str">
        <f t="shared" si="27"/>
        <v>-</v>
      </c>
      <c r="BQ251" s="282" t="str">
        <f>IFERROR(__xludf.DUMMYFUNCTION("IF(REGEXMATCH(JOIN(""-"",EU251:FD251),""TRUE""),""✔"",""-"")"),"✔")</f>
        <v>✔</v>
      </c>
      <c r="BR251" s="225">
        <f t="shared" si="28"/>
        <v>2</v>
      </c>
      <c r="BS251" s="345" t="str">
        <f>IFERROR(__xludf.DUMMYFUNCTION("SUBSTITUTE(SUBSTITUTE(SUBSTITUTE(SUBSTITUTE(CONCATENATE(JOIN(""-"",GC251:GO251)),""--"",""-""),""--"",""-""),""--"",""-""),""--"",""-"")"),"1-2-b3-4-5-b7-8")</f>
        <v>1-2-b3-4-5-b7-8</v>
      </c>
      <c r="BT251" s="299" t="str">
        <f>IFERROR(__xludf.DUMMYFUNCTION("SUBSTITUTE(SUBSTITUTE(SUBSTITUTE(SUBSTITUTE(CONCATENATE(JOIN(""-"",GP251:HB251)),""--"",""-""),""--"",""-""),""--"",""-""),""--"",""-"")"),"S-R2-G2-M1-P-N2-S")</f>
        <v>S-R2-G2-M1-P-N2-S</v>
      </c>
      <c r="BU251" s="348" t="str">
        <f t="shared" si="29"/>
        <v>C-D-Eb-F-G-Bb-C</v>
      </c>
      <c r="BV251" s="349" t="str">
        <f t="shared" si="30"/>
        <v>SrGMdDNS</v>
      </c>
      <c r="BW251" s="350">
        <f t="shared" si="31"/>
        <v>0</v>
      </c>
      <c r="BX251" s="351">
        <f t="shared" si="32"/>
        <v>4</v>
      </c>
      <c r="BY251" s="392"/>
      <c r="BZ251" s="309" t="str">
        <f>IFERROR(__xludf.DUMMYFUNCTION("IF(REGEXMATCH(C251, ""S""), ""x"",""x"")"),"x")</f>
        <v>x</v>
      </c>
      <c r="CA251" s="245" t="str">
        <f>IFERROR(__xludf.DUMMYFUNCTION("IF(REGEXMATCH(C251, ""r""), ""o"",""x"")"),"x")</f>
        <v>x</v>
      </c>
      <c r="CB251" s="246" t="str">
        <f>IFERROR(__xludf.DUMMYFUNCTION("IF(REGEXMATCH(C251, ""R""), ""o"",""x"")"),"o")</f>
        <v>o</v>
      </c>
      <c r="CC251" s="246" t="str">
        <f>IFERROR(__xludf.DUMMYFUNCTION("IF(REGEXMATCH(C251, ""g""), ""o"",""x"")"),"o")</f>
        <v>o</v>
      </c>
      <c r="CD251" s="245" t="str">
        <f>IFERROR(__xludf.DUMMYFUNCTION("IF(REGEXMATCH(C251, ""G""), ""o"",""x"")"),"x")</f>
        <v>x</v>
      </c>
      <c r="CE251" s="245" t="str">
        <f>IFERROR(__xludf.DUMMYFUNCTION("IF(REGEXMATCH(C251, ""m""), ""o"",""x"")"),"o")</f>
        <v>o</v>
      </c>
      <c r="CF251" s="246" t="str">
        <f>IFERROR(__xludf.DUMMYFUNCTION("IF(REGEXMATCH(C251, ""M""), ""o"",""x"")"),"x")</f>
        <v>x</v>
      </c>
      <c r="CG251" s="245" t="str">
        <f>IFERROR(__xludf.DUMMYFUNCTION("IF(REGEXMATCH(C251, ""P""), ""o"",""x"")"),"o")</f>
        <v>o</v>
      </c>
      <c r="CH251" s="246" t="str">
        <f>IFERROR(__xludf.DUMMYFUNCTION("IF(REGEXMATCH(C251, ""d""), ""o"",""x"")"),"x")</f>
        <v>x</v>
      </c>
      <c r="CI251" s="245" t="str">
        <f>IFERROR(__xludf.DUMMYFUNCTION("IF(REGEXMATCH(C251, ""D""), ""o"",""x"")"),"x")</f>
        <v>x</v>
      </c>
      <c r="CJ251" s="245" t="str">
        <f>IFERROR(__xludf.DUMMYFUNCTION("IF(REGEXMATCH(C251, ""n""), ""o"",""x"")"),"o")</f>
        <v>o</v>
      </c>
      <c r="CK251" s="245" t="str">
        <f>IFERROR(__xludf.DUMMYFUNCTION("IF(REGEXMATCH(C251, ""N""), ""o"",""x"")"),"x")</f>
        <v>x</v>
      </c>
      <c r="CL251" s="356" t="str">
        <f>IFERROR(__xludf.DUMMYFUNCTION("IF(REGEXMATCH(C251, ""S""), ""x"",""x"")"),"x")</f>
        <v>x</v>
      </c>
      <c r="CM251" s="357" t="str">
        <f t="shared" si="33"/>
        <v>xxooxoxoxxox</v>
      </c>
      <c r="CN251" s="358">
        <f t="shared" si="34"/>
        <v>0</v>
      </c>
      <c r="CO251" s="246" t="str">
        <f>IFERROR(__xludf.DUMMYFUNCTION("IF(REGEXMATCH($C251, ""S""), ""S"",""S"")"),"S")</f>
        <v>S</v>
      </c>
      <c r="CP251" s="246" t="str">
        <f>IFERROR(__xludf.DUMMYFUNCTION("IF(REGEXMATCH($C251, ""r""), """",""r"")"),"r")</f>
        <v>r</v>
      </c>
      <c r="CQ251" s="246" t="str">
        <f>IFERROR(__xludf.DUMMYFUNCTION("IF(REGEXMATCH($C251, ""R""), """",""R"")"),"")</f>
        <v/>
      </c>
      <c r="CR251" s="246" t="str">
        <f>IFERROR(__xludf.DUMMYFUNCTION("IF(REGEXMATCH($C251, ""g""), """",""g"")"),"")</f>
        <v/>
      </c>
      <c r="CS251" s="246" t="str">
        <f>IFERROR(__xludf.DUMMYFUNCTION("IF(REGEXMATCH($C251, ""G""), """",""G"")"),"G")</f>
        <v>G</v>
      </c>
      <c r="CT251" s="246" t="str">
        <f>IFERROR(__xludf.DUMMYFUNCTION("IF(REGEXMATCH($C251, ""m""), """",""m"")"),"")</f>
        <v/>
      </c>
      <c r="CU251" s="246" t="str">
        <f>IFERROR(__xludf.DUMMYFUNCTION("IF(REGEXMATCH($C251, ""M""), """",""M"")"),"M")</f>
        <v>M</v>
      </c>
      <c r="CV251" s="246" t="str">
        <f>IFERROR(__xludf.DUMMYFUNCTION("IF(REGEXMATCH($C251, ""P""), """",""P"")"),"")</f>
        <v/>
      </c>
      <c r="CW251" s="246" t="str">
        <f>IFERROR(__xludf.DUMMYFUNCTION("IF(REGEXMATCH($C251, ""d""), """",""d"")"),"d")</f>
        <v>d</v>
      </c>
      <c r="CX251" s="246" t="str">
        <f>IFERROR(__xludf.DUMMYFUNCTION("IF(REGEXMATCH($C251, ""D""), """",""D"")"),"D")</f>
        <v>D</v>
      </c>
      <c r="CY251" s="246" t="str">
        <f>IFERROR(__xludf.DUMMYFUNCTION("IF(REGEXMATCH($C251, ""n""), """",""n"")"),"")</f>
        <v/>
      </c>
      <c r="CZ251" s="246" t="str">
        <f>IFERROR(__xludf.DUMMYFUNCTION("IF(REGEXMATCH($C251, ""N""), """",""N"")"),"N")</f>
        <v>N</v>
      </c>
      <c r="DA251" s="246" t="str">
        <f>IFERROR(__xludf.DUMMYFUNCTION("IF(REGEXMATCH($C251, ""S""), ""S"",""S"")"),"S")</f>
        <v>S</v>
      </c>
      <c r="DB251" s="362" t="str">
        <f>IFERROR(__xludf.DUMMYFUNCTION("JOIN("""",CO251:DA251,"""","""")"),"SrGMdDNS")</f>
        <v>SrGMdDNS</v>
      </c>
      <c r="DC251" s="363"/>
      <c r="DD251" s="301" t="str">
        <f t="shared" si="35"/>
        <v>#REF!</v>
      </c>
      <c r="DE251" s="302" t="str">
        <f t="shared" si="36"/>
        <v>#REF!</v>
      </c>
      <c r="DF251" s="301" t="str">
        <f t="shared" ref="DF251:DG251" si="723">SUBSTITUTE(S251,"-","")</f>
        <v>SRGM</v>
      </c>
      <c r="DG251" s="301" t="str">
        <f t="shared" si="723"/>
        <v>PNS</v>
      </c>
      <c r="DH251" s="302" t="str">
        <f t="shared" si="38"/>
        <v>Shankara</v>
      </c>
      <c r="DI251" s="301" t="str">
        <f t="shared" si="39"/>
        <v>Hemi.</v>
      </c>
      <c r="DJ251" s="364" t="str">
        <f t="shared" si="40"/>
        <v>-</v>
      </c>
      <c r="DK251" s="306" t="str">
        <f t="shared" si="41"/>
        <v>-</v>
      </c>
      <c r="DL251" s="366" t="str">
        <f t="shared" si="42"/>
        <v>✔</v>
      </c>
      <c r="DM251" s="308" t="str">
        <f t="shared" si="43"/>
        <v>-</v>
      </c>
      <c r="DN251" s="306" t="str">
        <f t="shared" si="44"/>
        <v>-</v>
      </c>
      <c r="DO251" s="306" t="str">
        <f t="shared" si="45"/>
        <v>-</v>
      </c>
      <c r="DP251" s="367" t="str">
        <f t="shared" si="46"/>
        <v>-</v>
      </c>
      <c r="DQ251" s="310" t="str">
        <f t="shared" si="47"/>
        <v>-</v>
      </c>
      <c r="DR251" s="310" t="str">
        <f t="shared" si="48"/>
        <v>-</v>
      </c>
      <c r="DS251" s="310" t="str">
        <f t="shared" si="49"/>
        <v>-</v>
      </c>
      <c r="DT251" s="310" t="str">
        <f t="shared" si="50"/>
        <v>-</v>
      </c>
      <c r="DU251" s="370" t="str">
        <f t="shared" si="51"/>
        <v>-</v>
      </c>
      <c r="DV251" s="306" t="str">
        <f t="shared" si="52"/>
        <v>-</v>
      </c>
      <c r="DW251" s="306" t="str">
        <f t="shared" si="53"/>
        <v>-</v>
      </c>
      <c r="DX251" s="306" t="str">
        <f t="shared" si="54"/>
        <v>-</v>
      </c>
      <c r="DY251" s="306" t="str">
        <f t="shared" si="55"/>
        <v>-</v>
      </c>
      <c r="DZ251" s="306" t="str">
        <f t="shared" si="56"/>
        <v>✔</v>
      </c>
      <c r="EA251" s="367" t="str">
        <f t="shared" si="57"/>
        <v>-</v>
      </c>
      <c r="EB251" s="310" t="str">
        <f>IFERROR(__xludf.DUMMYFUNCTION("IF(REGEXMATCH(AW251,AS251),""✔"",""-"")"),"✔")</f>
        <v>✔</v>
      </c>
      <c r="EC251" s="310" t="str">
        <f t="shared" si="58"/>
        <v>#REF!</v>
      </c>
      <c r="ED251" s="370" t="str">
        <f t="shared" si="59"/>
        <v>-</v>
      </c>
      <c r="EE251" s="340" t="str">
        <f t="shared" si="60"/>
        <v>S-R-g-m-P-n-S</v>
      </c>
      <c r="EF251" s="371" t="str">
        <f>IFERROR(__xludf.DUMMYFUNCTION("CONCATENATE(JOIN("""",HC251:HO251))"),"SRmPDnS")</f>
        <v>SRmPDnS</v>
      </c>
      <c r="EG251" s="372">
        <f t="shared" si="61"/>
        <v>1</v>
      </c>
      <c r="EH251" s="373" t="str">
        <f>IFERROR(__xludf.DUMMYFUNCTION("CONCATENATE(JOIN("""",JC251:JO251))"),"Re, ")</f>
        <v>Re, </v>
      </c>
      <c r="EI251" s="322">
        <f t="shared" si="62"/>
        <v>0</v>
      </c>
      <c r="EJ251" s="374" t="str">
        <f>IFERROR(__xludf.DUMMYFUNCTION("CONCATENATE(JOIN("""",KC251:KO251))"),"")</f>
        <v/>
      </c>
      <c r="EK251" s="325" t="str">
        <f t="shared" si="63"/>
        <v>S-R2-G2-M1-P-N2-S</v>
      </c>
      <c r="EL251" s="326" t="str">
        <f t="shared" si="64"/>
        <v>1-2-b3-4-5-b7-8</v>
      </c>
      <c r="EM251" s="318" t="str">
        <f t="shared" si="65"/>
        <v>#REF!</v>
      </c>
      <c r="EN251" s="328" t="str">
        <f>IFERROR(__xludf.DUMMYFUNCTION("SUBSTITUTE(SUBSTITUTE(SUBSTITUTE(SUBSTITUTE(CONCATENATE(JOIN("" "",HP251:IB251)),""  "","" ""),""  "","" ""),""  "","" ""),""  "","" "")"),"o • o o • o • o • • o • o")</f>
        <v>o • o o • o • o • • o • o</v>
      </c>
      <c r="EO251" s="368" t="str">
        <f t="shared" si="66"/>
        <v>-</v>
      </c>
      <c r="EP251" s="339" t="str">
        <f t="shared" si="67"/>
        <v>-</v>
      </c>
      <c r="EQ251" s="339" t="str">
        <f t="shared" si="68"/>
        <v>Sa-Pa</v>
      </c>
      <c r="ER251" s="339" t="str">
        <f t="shared" si="69"/>
        <v>-</v>
      </c>
      <c r="ES251" s="340" t="str">
        <f t="shared" si="70"/>
        <v>-</v>
      </c>
      <c r="ET251" s="363"/>
      <c r="EU251" s="376" t="b">
        <f>IFERROR(__xludf.DUMMYFUNCTION("arrayformula(sum(--REGEXMATCH(""SRGMPDNS"",split(REGEXREPLACE(C251,""(.)"",""$1~""),""~""))))=len(C251)
"),FALSE)</f>
        <v>0</v>
      </c>
      <c r="EV251" s="290" t="b">
        <f>IFERROR(__xludf.DUMMYFUNCTION("arrayformula(sum(--REGEXMATCH(""SRGmPDNS"",split(REGEXREPLACE(C251,""(.)"",""$1~""),""~""))))=len(C251)"),FALSE)</f>
        <v>0</v>
      </c>
      <c r="EW251" s="290" t="b">
        <f>IFERROR(__xludf.DUMMYFUNCTION("arrayformula(sum(--REGEXMATCH(""SRGmPDnS"",split(REGEXREPLACE(C251,""(.)"",""$1~""),""~""))))=len(C251)"),FALSE)</f>
        <v>0</v>
      </c>
      <c r="EX251" s="290" t="b">
        <f>IFERROR(__xludf.DUMMYFUNCTION("arrayformula(sum(--REGEXMATCH(""SRgmPDnS"",split(REGEXREPLACE(C251,""(.)"",""$1~""),""~""))))=len(C251)"),TRUE)</f>
        <v>1</v>
      </c>
      <c r="EY251" s="290" t="b">
        <f>IFERROR(__xludf.DUMMYFUNCTION("arrayformula(sum(--REGEXMATCH(""SRgmPdnS"",split(REGEXREPLACE(C251,""(.)"",""$1~""),""~""))))=len(C251)"),TRUE)</f>
        <v>1</v>
      </c>
      <c r="EZ251" s="290" t="b">
        <f>IFERROR(__xludf.DUMMYFUNCTION("arrayformula(sum(--REGEXMATCH(""SrgmPdnS"",split(REGEXREPLACE(C251,""(.)"",""$1~""),""~""))))=len(C251)"),FALSE)</f>
        <v>0</v>
      </c>
      <c r="FA251" s="290" t="b">
        <f>IFERROR(__xludf.DUMMYFUNCTION("arrayformula(sum(--REGEXMATCH(""SrGmPdNS"",split(REGEXREPLACE(C251,""(.)"",""$1~""),""~""))))=len(C251)"),FALSE)</f>
        <v>0</v>
      </c>
      <c r="FB251" s="290" t="b">
        <f>IFERROR(__xludf.DUMMYFUNCTION("arrayformula(sum(--REGEXMATCH(""SrGMPDNS"",split(REGEXREPLACE(C251,""(.)"",""$1~""),""~""))))=len(C251)"),FALSE)</f>
        <v>0</v>
      </c>
      <c r="FC251" s="290" t="b">
        <f>IFERROR(__xludf.DUMMYFUNCTION("arrayformula(sum(--REGEXMATCH(""SrGMPdNS"",split(REGEXREPLACE(C251,""(.)"",""$1~""),""~""))))=len(C251)"),FALSE)</f>
        <v>0</v>
      </c>
      <c r="FD251" s="377" t="b">
        <f>IFERROR(__xludf.DUMMYFUNCTION("arrayformula(sum(--REGEXMATCH(""SrgMPdNS"",split(REGEXREPLACE(C251,""(.)"",""$1~""),""~""))))=len(C251)"),FALSE)</f>
        <v>0</v>
      </c>
      <c r="FE251" s="269" t="str">
        <f t="shared" si="71"/>
        <v>-</v>
      </c>
      <c r="FF251" s="269" t="str">
        <f t="shared" si="72"/>
        <v>xxoxoxooxox</v>
      </c>
      <c r="FG251" s="271" t="str">
        <f t="shared" si="73"/>
        <v>xoxoxooxoxo</v>
      </c>
      <c r="FH251" s="269" t="str">
        <f t="shared" si="74"/>
        <v>-</v>
      </c>
      <c r="FI251" s="271" t="str">
        <f t="shared" si="75"/>
        <v>xoxooxoxoxx</v>
      </c>
      <c r="FJ251" s="271" t="str">
        <f t="shared" si="76"/>
        <v>-</v>
      </c>
      <c r="FK251" s="271" t="str">
        <f t="shared" si="77"/>
        <v>xooxoxoxxox</v>
      </c>
      <c r="FL251" s="271" t="str">
        <f t="shared" si="78"/>
        <v>-</v>
      </c>
      <c r="FM251" s="271" t="str">
        <f t="shared" si="79"/>
        <v>-</v>
      </c>
      <c r="FN251" s="271" t="str">
        <f t="shared" si="80"/>
        <v>xoxoxxoxoxo</v>
      </c>
      <c r="FO251" s="274" t="str">
        <f t="shared" si="81"/>
        <v>-</v>
      </c>
      <c r="FP251" s="234" t="str">
        <f t="shared" si="82"/>
        <v>|</v>
      </c>
      <c r="FQ251" s="236" t="str">
        <f t="shared" si="83"/>
        <v>-</v>
      </c>
      <c r="FR251" s="237" t="str">
        <f t="shared" si="84"/>
        <v>|</v>
      </c>
      <c r="FS251" s="236" t="str">
        <f t="shared" si="85"/>
        <v>|</v>
      </c>
      <c r="FT251" s="237" t="str">
        <f t="shared" si="86"/>
        <v>-</v>
      </c>
      <c r="FU251" s="236" t="str">
        <f t="shared" si="87"/>
        <v>|</v>
      </c>
      <c r="FV251" s="237" t="str">
        <f t="shared" si="88"/>
        <v>-</v>
      </c>
      <c r="FW251" s="236" t="str">
        <f t="shared" si="89"/>
        <v>|</v>
      </c>
      <c r="FX251" s="237" t="str">
        <f t="shared" si="90"/>
        <v>-</v>
      </c>
      <c r="FY251" s="236" t="str">
        <f t="shared" si="91"/>
        <v>-</v>
      </c>
      <c r="FZ251" s="237" t="str">
        <f t="shared" si="92"/>
        <v>|</v>
      </c>
      <c r="GA251" s="236" t="str">
        <f t="shared" si="93"/>
        <v>-</v>
      </c>
      <c r="GB251" s="238" t="str">
        <f t="shared" si="94"/>
        <v>|</v>
      </c>
      <c r="GC251" s="244" t="str">
        <f>IFERROR(__xludf.DUMMYFUNCTION("IF(REGEXMATCH(C251, ""S""), ""1"","""")"),"1")</f>
        <v>1</v>
      </c>
      <c r="GD251" s="245" t="str">
        <f>IFERROR(__xludf.DUMMYFUNCTION("IF(REGEXMATCH(C251, ""r""), ""b2"","""")"),"")</f>
        <v/>
      </c>
      <c r="GE251" s="246" t="str">
        <f>IFERROR(__xludf.DUMMYFUNCTION("IF(REGEXMATCH(C251, ""R""), ""2"","""")"),"2")</f>
        <v>2</v>
      </c>
      <c r="GF251" s="246" t="str">
        <f>IFERROR(__xludf.DUMMYFUNCTION("IF(REGEXMATCH(C251, ""g""), ""b3"","""")"),"b3")</f>
        <v>b3</v>
      </c>
      <c r="GG251" s="245" t="str">
        <f>IFERROR(__xludf.DUMMYFUNCTION("IF(REGEXMATCH(C251, ""G""), ""3"","""")"),"")</f>
        <v/>
      </c>
      <c r="GH251" s="245" t="str">
        <f>IFERROR(__xludf.DUMMYFUNCTION("IF(REGEXMATCH(C251, ""m""), ""4"","""")"),"4")</f>
        <v>4</v>
      </c>
      <c r="GI251" s="246" t="str">
        <f>IFERROR(__xludf.DUMMYFUNCTION("IF(REGEXMATCH(C251, ""M""), ""#4"","""")"),"")</f>
        <v/>
      </c>
      <c r="GJ251" s="245" t="str">
        <f>IFERROR(__xludf.DUMMYFUNCTION("IF(REGEXMATCH(C251, ""P""), ""5"","""")"),"5")</f>
        <v>5</v>
      </c>
      <c r="GK251" s="246" t="str">
        <f>IFERROR(__xludf.DUMMYFUNCTION("IF(REGEXMATCH(C251, ""d""), ""b6"","""")"),"")</f>
        <v/>
      </c>
      <c r="GL251" s="245" t="str">
        <f>IFERROR(__xludf.DUMMYFUNCTION("IF(REGEXMATCH(C251, ""D""), ""6"","""")"),"")</f>
        <v/>
      </c>
      <c r="GM251" s="245" t="str">
        <f>IFERROR(__xludf.DUMMYFUNCTION("IF(REGEXMATCH(C251, ""n""), ""b7"","""")"),"b7")</f>
        <v>b7</v>
      </c>
      <c r="GN251" s="246" t="str">
        <f>IFERROR(__xludf.DUMMYFUNCTION("IF(REGEXMATCH(C251, ""N""), ""7"","""")"),"")</f>
        <v/>
      </c>
      <c r="GO251" s="249" t="str">
        <f>IFERROR(__xludf.DUMMYFUNCTION("IF(REGEXMATCH(C251, ""S""), ""8"","""")"),"8")</f>
        <v>8</v>
      </c>
      <c r="GP251" s="244" t="str">
        <f>IFERROR(__xludf.DUMMYFUNCTION("IF(REGEXMATCH(C251, ""S""), ""S"","""")"),"S")</f>
        <v>S</v>
      </c>
      <c r="GQ251" s="294" t="str">
        <f>IFERROR(__xludf.DUMMYFUNCTION("IF(REGEXMATCH(C251, ""r""), ""R1"","""")"),"")</f>
        <v/>
      </c>
      <c r="GR251" s="295" t="str">
        <f>IFERROR(__xludf.DUMMYFUNCTION("IF(REGEXMATCH(C251, ""R""), ""R2"","""")"),"R2")</f>
        <v>R2</v>
      </c>
      <c r="GS251" s="295" t="str">
        <f>IFERROR(__xludf.DUMMYFUNCTION("IF(REGEXMATCH(C251, ""g""), ""G2"","""")"),"G2")</f>
        <v>G2</v>
      </c>
      <c r="GT251" s="294" t="str">
        <f>IFERROR(__xludf.DUMMYFUNCTION("IF(REGEXMATCH(C251, ""G""), ""G3"","""")"),"")</f>
        <v/>
      </c>
      <c r="GU251" s="294" t="str">
        <f>IFERROR(__xludf.DUMMYFUNCTION("IF(REGEXMATCH(C251, ""m""), ""M1"","""")"),"M1")</f>
        <v>M1</v>
      </c>
      <c r="GV251" s="295" t="str">
        <f>IFERROR(__xludf.DUMMYFUNCTION("IF(REGEXMATCH(C251, ""M""), ""M2"","""")"),"")</f>
        <v/>
      </c>
      <c r="GW251" s="294" t="str">
        <f>IFERROR(__xludf.DUMMYFUNCTION("IF(REGEXMATCH(C251, ""P""), ""P"","""")"),"P")</f>
        <v>P</v>
      </c>
      <c r="GX251" s="295" t="str">
        <f>IFERROR(__xludf.DUMMYFUNCTION("IF(REGEXMATCH(C251, ""d""), ""D1"","""")"),"")</f>
        <v/>
      </c>
      <c r="GY251" s="294" t="str">
        <f>IFERROR(__xludf.DUMMYFUNCTION("IF(REGEXMATCH(C251, ""D""), ""D2"","""")"),"")</f>
        <v/>
      </c>
      <c r="GZ251" s="294" t="str">
        <f>IFERROR(__xludf.DUMMYFUNCTION("IF(REGEXMATCH(C251, ""n""), ""N2"","""")"),"N2")</f>
        <v>N2</v>
      </c>
      <c r="HA251" s="295" t="str">
        <f>IFERROR(__xludf.DUMMYFUNCTION("IF(REGEXMATCH(C251, ""N""), ""N3"","""")"),"")</f>
        <v/>
      </c>
      <c r="HB251" s="249" t="str">
        <f>IFERROR(__xludf.DUMMYFUNCTION("IF(REGEXMATCH(C251, ""S""), ""S"","""")"),"S")</f>
        <v>S</v>
      </c>
      <c r="HC251" s="331" t="str">
        <f t="shared" si="95"/>
        <v>S</v>
      </c>
      <c r="HD251" s="332" t="str">
        <f t="shared" si="96"/>
        <v/>
      </c>
      <c r="HE251" s="332" t="str">
        <f t="shared" si="97"/>
        <v>R</v>
      </c>
      <c r="HF251" s="332" t="str">
        <f t="shared" si="98"/>
        <v/>
      </c>
      <c r="HG251" s="332" t="str">
        <f t="shared" si="99"/>
        <v/>
      </c>
      <c r="HH251" s="332" t="str">
        <f t="shared" si="100"/>
        <v>m</v>
      </c>
      <c r="HI251" s="332" t="str">
        <f t="shared" si="101"/>
        <v/>
      </c>
      <c r="HJ251" s="332" t="str">
        <f t="shared" si="102"/>
        <v>P</v>
      </c>
      <c r="HK251" s="332" t="str">
        <f t="shared" si="103"/>
        <v/>
      </c>
      <c r="HL251" s="332" t="str">
        <f t="shared" si="104"/>
        <v>D</v>
      </c>
      <c r="HM251" s="332" t="str">
        <f t="shared" si="105"/>
        <v>n</v>
      </c>
      <c r="HN251" s="332" t="str">
        <f t="shared" si="106"/>
        <v/>
      </c>
      <c r="HO251" s="343" t="str">
        <f t="shared" si="107"/>
        <v>S</v>
      </c>
      <c r="HP251" s="331" t="str">
        <f t="shared" si="108"/>
        <v>o</v>
      </c>
      <c r="HQ251" s="332" t="str">
        <f t="shared" si="109"/>
        <v>•</v>
      </c>
      <c r="HR251" s="332" t="str">
        <f t="shared" si="110"/>
        <v>o</v>
      </c>
      <c r="HS251" s="332" t="str">
        <f t="shared" si="111"/>
        <v>o</v>
      </c>
      <c r="HT251" s="332" t="str">
        <f t="shared" si="112"/>
        <v>•</v>
      </c>
      <c r="HU251" s="332" t="str">
        <f t="shared" si="113"/>
        <v>o</v>
      </c>
      <c r="HV251" s="332" t="str">
        <f t="shared" si="114"/>
        <v>•</v>
      </c>
      <c r="HW251" s="332" t="str">
        <f t="shared" si="115"/>
        <v>o</v>
      </c>
      <c r="HX251" s="332" t="str">
        <f t="shared" si="116"/>
        <v>•</v>
      </c>
      <c r="HY251" s="332" t="str">
        <f t="shared" si="117"/>
        <v>•</v>
      </c>
      <c r="HZ251" s="332" t="str">
        <f t="shared" si="118"/>
        <v>o</v>
      </c>
      <c r="IA251" s="332" t="str">
        <f t="shared" si="119"/>
        <v>•</v>
      </c>
      <c r="IB251" s="338" t="str">
        <f t="shared" si="120"/>
        <v>o</v>
      </c>
      <c r="IC251" s="331" t="str">
        <f t="shared" si="121"/>
        <v>•</v>
      </c>
      <c r="ID251" s="332" t="str">
        <f t="shared" si="122"/>
        <v>o</v>
      </c>
      <c r="IE251" s="332" t="str">
        <f t="shared" si="123"/>
        <v>•</v>
      </c>
      <c r="IF251" s="332" t="str">
        <f t="shared" si="124"/>
        <v>•</v>
      </c>
      <c r="IG251" s="332" t="str">
        <f t="shared" si="125"/>
        <v>o</v>
      </c>
      <c r="IH251" s="332" t="str">
        <f t="shared" si="126"/>
        <v>•</v>
      </c>
      <c r="II251" s="332" t="str">
        <f t="shared" si="127"/>
        <v>o</v>
      </c>
      <c r="IJ251" s="332" t="str">
        <f t="shared" si="128"/>
        <v>•</v>
      </c>
      <c r="IK251" s="332" t="str">
        <f t="shared" si="129"/>
        <v>o</v>
      </c>
      <c r="IL251" s="332" t="str">
        <f t="shared" si="130"/>
        <v>o</v>
      </c>
      <c r="IM251" s="332" t="str">
        <f t="shared" si="131"/>
        <v>•</v>
      </c>
      <c r="IN251" s="332" t="str">
        <f t="shared" si="132"/>
        <v>o</v>
      </c>
      <c r="IO251" s="338" t="str">
        <f t="shared" si="133"/>
        <v>•</v>
      </c>
      <c r="IP251" s="346" t="b">
        <f t="shared" si="134"/>
        <v>0</v>
      </c>
      <c r="IQ251" s="347" t="b">
        <f t="shared" si="135"/>
        <v>0</v>
      </c>
      <c r="IR251" s="347" t="b">
        <f t="shared" si="136"/>
        <v>1</v>
      </c>
      <c r="IS251" s="347" t="b">
        <f t="shared" si="137"/>
        <v>0</v>
      </c>
      <c r="IT251" s="347" t="b">
        <f t="shared" si="138"/>
        <v>0</v>
      </c>
      <c r="IU251" s="347" t="b">
        <f t="shared" si="139"/>
        <v>0</v>
      </c>
      <c r="IV251" s="347" t="b">
        <f t="shared" si="140"/>
        <v>0</v>
      </c>
      <c r="IW251" s="347" t="b">
        <f t="shared" si="141"/>
        <v>0</v>
      </c>
      <c r="IX251" s="347" t="b">
        <f t="shared" si="142"/>
        <v>0</v>
      </c>
      <c r="IY251" s="347" t="b">
        <f t="shared" si="143"/>
        <v>0</v>
      </c>
      <c r="IZ251" s="347" t="b">
        <f t="shared" si="144"/>
        <v>0</v>
      </c>
      <c r="JA251" s="347" t="b">
        <f t="shared" si="145"/>
        <v>0</v>
      </c>
      <c r="JB251" s="353" t="b">
        <f t="shared" si="146"/>
        <v>0</v>
      </c>
      <c r="JC251" s="354" t="str">
        <f t="shared" si="147"/>
        <v/>
      </c>
      <c r="JD251" s="355" t="str">
        <f t="shared" si="148"/>
        <v/>
      </c>
      <c r="JE251" s="355" t="str">
        <f t="shared" si="149"/>
        <v>Re, </v>
      </c>
      <c r="JF251" s="355" t="str">
        <f t="shared" si="150"/>
        <v/>
      </c>
      <c r="JG251" s="355" t="str">
        <f t="shared" si="151"/>
        <v/>
      </c>
      <c r="JH251" s="355" t="str">
        <f t="shared" si="152"/>
        <v/>
      </c>
      <c r="JI251" s="355" t="str">
        <f t="shared" si="153"/>
        <v/>
      </c>
      <c r="JJ251" s="355" t="str">
        <f t="shared" si="154"/>
        <v/>
      </c>
      <c r="JK251" s="355" t="str">
        <f t="shared" si="155"/>
        <v/>
      </c>
      <c r="JL251" s="355" t="str">
        <f t="shared" si="156"/>
        <v/>
      </c>
      <c r="JM251" s="355" t="str">
        <f t="shared" si="157"/>
        <v/>
      </c>
      <c r="JN251" s="355" t="str">
        <f t="shared" si="158"/>
        <v/>
      </c>
      <c r="JO251" s="359" t="str">
        <f t="shared" si="159"/>
        <v/>
      </c>
      <c r="JP251" s="346" t="b">
        <f t="shared" si="160"/>
        <v>0</v>
      </c>
      <c r="JQ251" s="347" t="b">
        <f t="shared" si="161"/>
        <v>0</v>
      </c>
      <c r="JR251" s="347" t="b">
        <f t="shared" si="162"/>
        <v>0</v>
      </c>
      <c r="JS251" s="347" t="b">
        <f t="shared" si="163"/>
        <v>0</v>
      </c>
      <c r="JT251" s="347" t="b">
        <f t="shared" si="164"/>
        <v>0</v>
      </c>
      <c r="JU251" s="347" t="b">
        <f t="shared" si="165"/>
        <v>0</v>
      </c>
      <c r="JV251" s="347" t="b">
        <f t="shared" si="166"/>
        <v>0</v>
      </c>
      <c r="JW251" s="347" t="b">
        <f t="shared" si="167"/>
        <v>0</v>
      </c>
      <c r="JX251" s="347" t="b">
        <f t="shared" si="168"/>
        <v>0</v>
      </c>
      <c r="JY251" s="347" t="b">
        <f t="shared" si="169"/>
        <v>0</v>
      </c>
      <c r="JZ251" s="347" t="b">
        <f t="shared" si="170"/>
        <v>0</v>
      </c>
      <c r="KA251" s="347" t="b">
        <f t="shared" si="171"/>
        <v>0</v>
      </c>
      <c r="KB251" s="365" t="b">
        <f t="shared" si="172"/>
        <v>0</v>
      </c>
      <c r="KC251" s="354" t="str">
        <f t="shared" si="173"/>
        <v/>
      </c>
      <c r="KD251" s="355" t="str">
        <f t="shared" si="174"/>
        <v/>
      </c>
      <c r="KE251" s="355" t="str">
        <f t="shared" si="175"/>
        <v/>
      </c>
      <c r="KF251" s="355" t="str">
        <f t="shared" si="176"/>
        <v/>
      </c>
      <c r="KG251" s="355" t="str">
        <f t="shared" si="177"/>
        <v/>
      </c>
      <c r="KH251" s="355" t="str">
        <f t="shared" si="178"/>
        <v/>
      </c>
      <c r="KI251" s="355" t="str">
        <f t="shared" si="179"/>
        <v/>
      </c>
      <c r="KJ251" s="355" t="str">
        <f t="shared" si="180"/>
        <v/>
      </c>
      <c r="KK251" s="355" t="str">
        <f t="shared" si="181"/>
        <v/>
      </c>
      <c r="KL251" s="355" t="str">
        <f t="shared" si="182"/>
        <v/>
      </c>
      <c r="KM251" s="355" t="str">
        <f t="shared" si="183"/>
        <v/>
      </c>
      <c r="KN251" s="355" t="str">
        <f t="shared" si="184"/>
        <v/>
      </c>
      <c r="KO251" s="359"/>
      <c r="KP251" s="378"/>
      <c r="KQ251" s="379" t="s">
        <v>748</v>
      </c>
      <c r="KR251" s="380" t="s">
        <v>1303</v>
      </c>
      <c r="KS251" s="381" t="str">
        <f>KQ251</f>
        <v>S-R-g-m-P-n-S</v>
      </c>
      <c r="KT251" s="382">
        <f t="shared" si="186"/>
        <v>6</v>
      </c>
      <c r="KU251" s="383">
        <f t="shared" si="187"/>
        <v>6</v>
      </c>
      <c r="KV251" s="381" t="str">
        <f t="shared" si="205"/>
        <v>S-n-P-m-g-R-S</v>
      </c>
      <c r="KW251" s="382">
        <f t="shared" si="189"/>
        <v>6</v>
      </c>
      <c r="KX251" s="384">
        <f t="shared" si="190"/>
        <v>6</v>
      </c>
      <c r="KY251" s="382">
        <f t="shared" ref="KY251:KZ251" si="724">KW251-KT251</f>
        <v>0</v>
      </c>
      <c r="KZ251" s="369">
        <f t="shared" si="724"/>
        <v>0</v>
      </c>
      <c r="LA251" s="385" t="str">
        <f t="shared" si="192"/>
        <v>✔</v>
      </c>
      <c r="LB251" s="340" t="str">
        <f>IFERROR(__xludf.DUMMYFUNCTION("JOIN("""",ArrayFormula(MID(KS251,LEN(KS251)-SEQUENCE(1,LEN(KS251))+1,1)))"),"S-n-P-m-g-R-S")</f>
        <v>S-n-P-m-g-R-S</v>
      </c>
      <c r="LC251" s="373" t="str">
        <f>IFERROR(__xludf.DUMMYFUNCTION("JOIN("""",ArrayFormula(MID(KV251,LEN(KV251)-SEQUENCE(1,LEN(KV251))+1,1)))"),"S-R-g-m-P-n-S")</f>
        <v>S-R-g-m-P-n-S</v>
      </c>
      <c r="LD251" s="373" t="str">
        <f t="shared" si="193"/>
        <v>SRgmPnS</v>
      </c>
      <c r="LE251" s="339" t="str">
        <f t="shared" si="194"/>
        <v>SRgmPnS</v>
      </c>
      <c r="LF251" s="386" t="str">
        <f>IFERROR(__xludf.DUMMYFUNCTION("SUBSTITUTE(SUBSTITUTE(CONCATENATE(JOIN("""",LH251:LT251)),""1"",""""),""2"","""")"),"SRgmPnS")</f>
        <v>SRgmPnS</v>
      </c>
      <c r="LG251" s="369" t="str">
        <f t="shared" si="195"/>
        <v>✔</v>
      </c>
      <c r="LH251" s="387" t="str">
        <f>IFERROR(__xludf.DUMMYFUNCTION("IF(REGEXMATCH(LD251, ""S""), ""S"",IF(REGEXMATCH(LE251, ""S""), ""S"",""""))"),"S")</f>
        <v>S</v>
      </c>
      <c r="LI251" s="299" t="str">
        <f>IFERROR(__xludf.DUMMYFUNCTION("IF(REGEXMATCH(LD251, ""r""), ""r1"",IF(REGEXMATCH(LE251, ""r""), ""r2"",""""))"),"")</f>
        <v/>
      </c>
      <c r="LJ251" s="299" t="str">
        <f>IFERROR(__xludf.DUMMYFUNCTION("IF(REGEXMATCH(LD251, ""R""), ""R1"",IF(REGEXMATCH(LE251, ""R""), ""R2"",""""))"),"R1")</f>
        <v>R1</v>
      </c>
      <c r="LK251" s="299" t="str">
        <f>IFERROR(__xludf.DUMMYFUNCTION("IF(REGEXMATCH(LD251, ""g""), ""g1"",IF(REGEXMATCH(LE251, ""g""), ""g2"",""""))"),"g1")</f>
        <v>g1</v>
      </c>
      <c r="LL251" s="299" t="str">
        <f>IFERROR(__xludf.DUMMYFUNCTION("IF(REGEXMATCH(LD251, ""G""), ""G1"",IF(REGEXMATCH(LE251, ""G""), ""G2"",""""))"),"")</f>
        <v/>
      </c>
      <c r="LM251" s="299" t="str">
        <f>IFERROR(__xludf.DUMMYFUNCTION("IF(REGEXMATCH(LD251, ""m""), ""m1"",IF(REGEXMATCH(LE251, ""m""), ""m2"",""""))"),"m1")</f>
        <v>m1</v>
      </c>
      <c r="LN251" s="299" t="str">
        <f>IFERROR(__xludf.DUMMYFUNCTION("IF(REGEXMATCH(LD251, ""M""), ""M1"",IF(REGEXMATCH(LE251, ""M""), ""M2"",""""))"),"")</f>
        <v/>
      </c>
      <c r="LO251" s="299" t="str">
        <f>IFERROR(__xludf.DUMMYFUNCTION("IF(REGEXMATCH(LD251, ""P""), ""P1"",IF(REGEXMATCH(LE251, ""P""), ""P2"",""""))"),"P1")</f>
        <v>P1</v>
      </c>
      <c r="LP251" s="299" t="str">
        <f>IFERROR(__xludf.DUMMYFUNCTION("IF(REGEXMATCH(LD251, ""d""), ""d1"",IF(REGEXMATCH(LE251, ""d""), ""d2"",""""))"),"")</f>
        <v/>
      </c>
      <c r="LQ251" s="299" t="str">
        <f>IFERROR(__xludf.DUMMYFUNCTION("IF(REGEXMATCH(LD251, ""D""), ""D1"",IF(REGEXMATCH(LE251, ""D""), ""D2"",""""))"),"")</f>
        <v/>
      </c>
      <c r="LR251" s="299" t="str">
        <f>IFERROR(__xludf.DUMMYFUNCTION("IF(REGEXMATCH(LD251, ""n""), ""n1"",IF(REGEXMATCH(LE251, ""n""), ""n2"",""""))"),"n1")</f>
        <v>n1</v>
      </c>
      <c r="LS251" s="299" t="str">
        <f>IFERROR(__xludf.DUMMYFUNCTION("IF(REGEXMATCH(LD251, ""N""), ""N1"",IF(REGEXMATCH(LE251, ""N""), ""N2"",""""))"),"")</f>
        <v/>
      </c>
      <c r="LT251" s="388" t="str">
        <f>IFERROR(__xludf.DUMMYFUNCTION("IF(REGEXMATCH(LD251, ""S""), ""S"",IF(REGEXMATCH(LE251, ""S""), ""S"",""""))"),"S")</f>
        <v>S</v>
      </c>
      <c r="LU251" s="389">
        <f t="shared" si="196"/>
        <v>1</v>
      </c>
      <c r="LV251" s="378"/>
      <c r="LW251" s="369"/>
      <c r="LX251" s="369"/>
    </row>
    <row r="252" ht="18.0" customHeight="1">
      <c r="A252" s="298" t="s">
        <v>1026</v>
      </c>
      <c r="B252" s="222" t="s">
        <v>612</v>
      </c>
      <c r="C252" s="233" t="str">
        <f t="shared" si="7"/>
        <v>SRgGmPDnS</v>
      </c>
      <c r="D252" s="234" t="str">
        <f>IFERROR(__xludf.DUMMYFUNCTION("IF(REGEXMATCH(C252, ""S""), ""S"","""")"),"S")</f>
        <v>S</v>
      </c>
      <c r="E252" s="236" t="str">
        <f>IFERROR(__xludf.DUMMYFUNCTION("IF(REGEXMATCH(C252, ""r""), ""r"","""")"),"")</f>
        <v/>
      </c>
      <c r="F252" s="237" t="str">
        <f>IFERROR(__xludf.DUMMYFUNCTION("IF(REGEXMATCH(C252, ""R""), ""R"","""")"),"R")</f>
        <v>R</v>
      </c>
      <c r="G252" s="237" t="str">
        <f>IFERROR(__xludf.DUMMYFUNCTION("IF(REGEXMATCH(C252, ""g""), ""g"","""")"),"g")</f>
        <v>g</v>
      </c>
      <c r="H252" s="236" t="str">
        <f>IFERROR(__xludf.DUMMYFUNCTION("IF(REGEXMATCH(C252, ""G""), ""G"","""")"),"G")</f>
        <v>G</v>
      </c>
      <c r="I252" s="236" t="str">
        <f>IFERROR(__xludf.DUMMYFUNCTION("IF(REGEXMATCH(C252, ""m""), ""m"","""")"),"m")</f>
        <v>m</v>
      </c>
      <c r="J252" s="237" t="str">
        <f>IFERROR(__xludf.DUMMYFUNCTION("IF(REGEXMATCH(C252, ""M""), ""M"","""")"),"")</f>
        <v/>
      </c>
      <c r="K252" s="236" t="str">
        <f>IFERROR(__xludf.DUMMYFUNCTION("IF(REGEXMATCH(C252, ""P""), ""P"","""")"),"P")</f>
        <v>P</v>
      </c>
      <c r="L252" s="237" t="str">
        <f>IFERROR(__xludf.DUMMYFUNCTION("IF(REGEXMATCH(C252, ""d""), ""d"","""")"),"")</f>
        <v/>
      </c>
      <c r="M252" s="236" t="str">
        <f>IFERROR(__xludf.DUMMYFUNCTION("IF(REGEXMATCH(C252, ""D""), ""D"","""")"),"D")</f>
        <v>D</v>
      </c>
      <c r="N252" s="236" t="str">
        <f>IFERROR(__xludf.DUMMYFUNCTION("IF(REGEXMATCH(C252, ""n""), ""n"","""")"),"n")</f>
        <v>n</v>
      </c>
      <c r="O252" s="237" t="str">
        <f>IFERROR(__xludf.DUMMYFUNCTION("IF(REGEXMATCH(C252, ""N""), ""N"","""")"),"")</f>
        <v/>
      </c>
      <c r="P252" s="238" t="str">
        <f>IFERROR(__xludf.DUMMYFUNCTION("IF(REGEXMATCH(C252, ""S""), ""S"","""")"),"S")</f>
        <v>S</v>
      </c>
      <c r="Q252" s="239" t="str">
        <f>IFERROR(__xludf.DUMMYFUNCTION("SUBSTITUTE(CONCATENATE(JOIN(""-"",D252:J252)),""-"","""")"),"SRgGm")</f>
        <v>SRgGm</v>
      </c>
      <c r="R252" s="229" t="str">
        <f>IFERROR(__xludf.DUMMYFUNCTION("SUBSTITUTE(CONCATENATE(JOIN(""-"",K252:P252)),""-"","""")"),"PDnS")</f>
        <v>PDnS</v>
      </c>
      <c r="S252" s="282" t="str">
        <f t="shared" si="8"/>
        <v>S-R-G-M</v>
      </c>
      <c r="T252" s="282" t="str">
        <f t="shared" si="9"/>
        <v>P-D-N-S</v>
      </c>
      <c r="U252" s="237" t="str">
        <f>IFERROR(__xludf.DUMMYFUNCTION("SUBSTITUTE(JOIN(""-"",S252,T252),""--"",""-"")"),"S-R-G-M-P-D-N-S")</f>
        <v>S-R-G-M-P-D-N-S</v>
      </c>
      <c r="V252" s="309" t="str">
        <f t="shared" si="10"/>
        <v>RgGmDn</v>
      </c>
      <c r="W252" s="244" t="str">
        <f>IFERROR(__xludf.DUMMYFUNCTION("IF(REGEXMATCH(C252, ""S""), ""0"","""")"),"0")</f>
        <v>0</v>
      </c>
      <c r="X252" s="245" t="str">
        <f>IFERROR(__xludf.DUMMYFUNCTION("IF(REGEXMATCH(C252, ""r""), ""1"","""")"),"")</f>
        <v/>
      </c>
      <c r="Y252" s="246" t="str">
        <f>IFERROR(__xludf.DUMMYFUNCTION("IF(REGEXMATCH(C252, ""R""), ""2"","""")"),"2")</f>
        <v>2</v>
      </c>
      <c r="Z252" s="246" t="str">
        <f>IFERROR(__xludf.DUMMYFUNCTION("IF(REGEXMATCH(C252, ""g""), ""3"","""")"),"3")</f>
        <v>3</v>
      </c>
      <c r="AA252" s="245" t="str">
        <f>IFERROR(__xludf.DUMMYFUNCTION("IF(REGEXMATCH(C252, ""G""), ""4"","""")"),"4")</f>
        <v>4</v>
      </c>
      <c r="AB252" s="245" t="str">
        <f>IFERROR(__xludf.DUMMYFUNCTION("IF(REGEXMATCH(C252, ""m""), ""5"","""")"),"5")</f>
        <v>5</v>
      </c>
      <c r="AC252" s="246" t="str">
        <f>IFERROR(__xludf.DUMMYFUNCTION("IF(REGEXMATCH(C252, ""M""), ""6"","""")"),"")</f>
        <v/>
      </c>
      <c r="AD252" s="245" t="str">
        <f>IFERROR(__xludf.DUMMYFUNCTION("IF(REGEXMATCH(C252, ""P""), ""7"","""")"),"7")</f>
        <v>7</v>
      </c>
      <c r="AE252" s="246" t="str">
        <f>IFERROR(__xludf.DUMMYFUNCTION("IF(REGEXMATCH(C252, ""d""), ""8"","""")"),"")</f>
        <v/>
      </c>
      <c r="AF252" s="245" t="str">
        <f>IFERROR(__xludf.DUMMYFUNCTION("IF(REGEXMATCH(C252, ""D""), ""9"","""")"),"9")</f>
        <v>9</v>
      </c>
      <c r="AG252" s="245" t="str">
        <f>IFERROR(__xludf.DUMMYFUNCTION("IF(REGEXMATCH(C252, ""n""), ""10"","""")"),"10")</f>
        <v>10</v>
      </c>
      <c r="AH252" s="246" t="str">
        <f>IFERROR(__xludf.DUMMYFUNCTION("IF(REGEXMATCH(C252, ""N""), ""11"","""")"),"")</f>
        <v/>
      </c>
      <c r="AI252" s="249" t="str">
        <f>IFERROR(__xludf.DUMMYFUNCTION("IF(REGEXMATCH(C252, ""S""), ""0"","""")"),"0")</f>
        <v>0</v>
      </c>
      <c r="AJ252" s="313" t="str">
        <f t="shared" si="11"/>
        <v>-</v>
      </c>
      <c r="AK252" s="313" t="str">
        <f t="shared" si="12"/>
        <v>-</v>
      </c>
      <c r="AL252" s="313" t="str">
        <f t="shared" si="13"/>
        <v>-</v>
      </c>
      <c r="AM252" s="313" t="str">
        <f t="shared" si="14"/>
        <v>T</v>
      </c>
      <c r="AN252" s="313" t="str">
        <f t="shared" si="15"/>
        <v>T</v>
      </c>
      <c r="AO252" s="314" t="str">
        <f t="shared" si="16"/>
        <v>-</v>
      </c>
      <c r="AP252" s="316">
        <f t="shared" si="17"/>
        <v>2</v>
      </c>
      <c r="AQ252" s="319" t="str">
        <f t="shared" si="18"/>
        <v>-</v>
      </c>
      <c r="AR252" s="320">
        <f t="shared" si="19"/>
        <v>0</v>
      </c>
      <c r="AS252" s="250" t="str">
        <f>IFERROR(__xludf.DUMMYFUNCTION("SUBSTITUTE(SUBSTITUTE(CONCATENATE(JOIN("""",FP252:GA252)),""|"",""x""),""-"",""o"")"),"xoxxxxoxoxxo")</f>
        <v>xoxxxxoxoxxo</v>
      </c>
      <c r="AT252" s="323" t="str">
        <f>IFERROR(__xludf.DUMMYFUNCTION("JOIN("""",AS252,AS252)"),"xoxxxxoxoxxoxoxxxxoxoxxo")</f>
        <v>xoxxxxoxoxxoxoxxxxoxoxxo</v>
      </c>
      <c r="AU252" s="256" t="str">
        <f>IFERROR(__xludf.DUMMYFUNCTION("JOIN("""",ArrayFormula(MID(AS252,LEN(AS252)-SEQUENCE(1,LEN(AS252))+1,1)))"),"oxxoxoxxxxox")</f>
        <v>oxxoxoxxxxox</v>
      </c>
      <c r="AV252" s="256" t="str">
        <f>IFERROR(__xludf.DUMMYFUNCTION("LEFT(CONCATENATE(""x"",JOIN("""",ArrayFormula(MID(AS252,LEN(AS252)-SEQUENCE(1,LEN(AS252))+1,1)))),12)"),"xoxxoxoxxxxo")</f>
        <v>xoxxoxoxxxxo</v>
      </c>
      <c r="AW252" s="327" t="str">
        <f>IFERROR(__xludf.DUMMYFUNCTION("JOIN("""",AU252,AU252)"),"oxxoxoxxxxoxoxxoxoxxxxox")</f>
        <v>oxxoxoxxxxoxoxxoxoxxxxox</v>
      </c>
      <c r="AX252" s="239" t="str">
        <f>IFERROR(__xludf.DUMMYFUNCTION("IF(REGEXMATCH(AW252,AS252),""✔"",""-"")"),"✔")</f>
        <v>✔</v>
      </c>
      <c r="AY252" s="330" t="str">
        <f t="shared" si="20"/>
        <v>-</v>
      </c>
      <c r="AZ252" s="260" t="str">
        <f t="shared" si="21"/>
        <v>#REF!</v>
      </c>
      <c r="BA252" s="333" t="str">
        <f t="shared" si="22"/>
        <v>xoxxxxo</v>
      </c>
      <c r="BB252" s="334" t="str">
        <f t="shared" si="23"/>
        <v>xoxxox</v>
      </c>
      <c r="BC252" s="335" t="str">
        <f t="shared" si="236"/>
        <v>-</v>
      </c>
      <c r="BD252" s="336" t="str">
        <f t="shared" si="25"/>
        <v>Neelambari: 'xoxxxxo' + 'xoxxox'</v>
      </c>
      <c r="BE252" s="337">
        <f>IFERROR(__xludf.DUMMYFUNCTION("COUNTUNIQUE(FILTER(AT:AT,REGEXMATCH(AT:AT,AS252)))-1"),3.0)</f>
        <v>3</v>
      </c>
      <c r="BF252" s="261" t="str">
        <f>IFERROR(__xludf.DUMMYFUNCTION("IF(BI252=0,""(n/a)"",IF(BJ252=2,""(PAIR)"",IF(REGEXMATCH(AT252,""xoxoxxoxoxox""),""Bilawal"",IF(REGEXMATCH(AT252,""xoxoxooxoxoo""),""Bhupali"",IF(REGEXMATCH(AT252,""xoxoxxoxxoxo""),""Charukeshi"",IF(REGEXMATCH(AT252,""xoxoooxxoxxo""),""Kameshwari"",IF(REG"&amp;"EXMATCH(AT252,""xoxoxooxoxox""),""Shankara"",IF(REGEXMATCH(AT252,""xxooxoxxxoox""),""Basant"",IF(REGEXMATCH(AT252,""xoxoxxxxoxox""),""Bihag"",IF(REGEXMATCH(AT252,""xoxxxxoxoxxx""),""Pilu"",IF(REGEXMATCH(AT252,""xoxxoxoxxoox""),""Kirwani"",IF(REGEXMATCH(AT"&amp;"252,""xoxxoxoxoxxx""),""Mk.Malhar"",IF(REGEXMATCH(AT252,""xxooxxoxxoox""),""Bhairav"",IF(REGEXMATCH(AT252,""xxoxooxxxoox""),""Todi"",IF(REGEXMATCH(AT252,""xxooxoxooxox""),""Marwa"",IF(REGEXMATCH(AT252,""xxoooxoxxooo""),""Gunkali"",IF(REGEXMATCH(AT252,""xo"&amp;"xoxxoxxoox""),""Nat Bhairav"",IF(REGEXMATCH(AT252,""xoxxoooxoxoo""),""Shivranjani"",IF(REGEXMATCH(AT252,""xooxxxoxooxo""),""Jog"",IF(REGEXMATCH(AT252,""xxooxoxoxoox""),""Hemshri"",IF(REGEXMATCH(AT252,""xoooxooxoxxo""),""Kalavati"",IF(REGEXMATCH(AT252,""xx"&amp;"oxoxxoxoox""),""Kedar"",IF(REGEXMATCH(AT252,""xoxxxxoxooxx""),""Gara"",IF(REGEXMATCH(AT252,""xooxoxooxoox""),""Chandrakauns"",IF(REGEXMATCH(AT252,""xoxxxxoxxxox""),""Mand"",IF(REGEXMATCH(AT252,""xoxxxxoxoxox""),""Hanskinkini"",IF(REGEXMATCH(AT252,""xxooxx"&amp;"oxooxo""),""Lilavati"",IF(REGEXMATCH(AT252,""xooxoxoooxox""),""Rajeshwari"",IF(REGEXMATCH(AT252,""xoooxxoxoxxx""),""Khokar"",IF(REGEXMATCH(AT252,""xxooxoxxxxox""),""Maligoura"",""-""))))))))))))))))))))))))))))))"),"Bihag")</f>
        <v>Bihag</v>
      </c>
      <c r="BG252" s="239" t="str">
        <f t="shared" si="26"/>
        <v>#REF!</v>
      </c>
      <c r="BH252" s="239">
        <f>IFERROR(__xludf.DUMMYFUNCTION("COUNTUNIQUE(FE252:FO252)-1"),7.0)</f>
        <v>7</v>
      </c>
      <c r="BI252" s="239">
        <f>IFERROR(__xludf.DUMMYFUNCTION("COUNTUNIQUE(FILTER(AT:AT,REGEXMATCH(AT:AT,AS252)))-1"),3.0)</f>
        <v>3</v>
      </c>
      <c r="BJ252" s="239">
        <f>IFERROR(__xludf.DUMMYFUNCTION("COUNTA(FILTER(AT:AT,REGEXMATCH(AT:AT,AS252)))"),36.0)</f>
        <v>36</v>
      </c>
      <c r="BK252" s="341">
        <f>IFERROR(__xludf.DUMMYFUNCTION("COUNTA(FILTER(AT:AT,REGEXMATCH(AT:AT,AS252)))-AR252"),36.0)</f>
        <v>36</v>
      </c>
      <c r="BL252" s="276" t="str">
        <f>IFERROR(__xludf.DUMMYFUNCTION("IF(AS252=""oooooooooooo"",""-"",IF(REGEXMATCH(AT252,""xx""), ""Hemi."", ""Anhemi.""))"),"Hemi.")</f>
        <v>Hemi.</v>
      </c>
      <c r="BM252" s="282" t="str">
        <f>IFERROR(__xludf.DUMMYFUNCTION("IF(AS252=""oooooooooooo"",""-"",IF(REGEXMATCH(AT252,""xxx""), ""Cohem."", ""-""))"),"Cohem.")</f>
        <v>Cohem.</v>
      </c>
      <c r="BN252" s="282" t="str">
        <f>IFERROR(__xludf.DUMMYFUNCTION("IF(AS252=""oooooooooooo"",""-"",IF(REGEXMATCH(AT252,""xxxx""), ""Co-Co."", ""-""))"),"Co-Co.")</f>
        <v>Co-Co.</v>
      </c>
      <c r="BO252" s="342" t="str">
        <f>IFERROR(__xludf.DUMMYFUNCTION("IF(AS252=""oooooooooooo"",""-"",IF(REGEXMATCH(AT252,""xxxxx""), ""CCC."", ""-""))"),"-")</f>
        <v>-</v>
      </c>
      <c r="BP252" s="344" t="str">
        <f t="shared" si="27"/>
        <v>-</v>
      </c>
      <c r="BQ252" s="282" t="str">
        <f>IFERROR(__xludf.DUMMYFUNCTION("IF(REGEXMATCH(JOIN(""-"",EU252:FD252),""TRUE""),""✔"",""-"")"),"-")</f>
        <v>-</v>
      </c>
      <c r="BR252" s="225">
        <f t="shared" si="28"/>
        <v>0</v>
      </c>
      <c r="BS252" s="345" t="str">
        <f>IFERROR(__xludf.DUMMYFUNCTION("SUBSTITUTE(SUBSTITUTE(SUBSTITUTE(SUBSTITUTE(CONCATENATE(JOIN(""-"",GC252:GO252)),""--"",""-""),""--"",""-""),""--"",""-""),""--"",""-"")"),"1-2-b3-3-4-5-6-b7-8")</f>
        <v>1-2-b3-3-4-5-6-b7-8</v>
      </c>
      <c r="BT252" s="299" t="str">
        <f>IFERROR(__xludf.DUMMYFUNCTION("SUBSTITUTE(SUBSTITUTE(SUBSTITUTE(SUBSTITUTE(CONCATENATE(JOIN(""-"",GP252:HB252)),""--"",""-""),""--"",""-""),""--"",""-""),""--"",""-"")"),"S-R2-G2-G3-M1-P-D2-N2-S")</f>
        <v>S-R2-G2-G3-M1-P-D2-N2-S</v>
      </c>
      <c r="BU252" s="348" t="str">
        <f t="shared" si="29"/>
        <v>C-D-Eb-E-F-G-A-Bb-C</v>
      </c>
      <c r="BV252" s="349" t="str">
        <f t="shared" si="30"/>
        <v>SrMdNS</v>
      </c>
      <c r="BW252" s="350">
        <f t="shared" si="31"/>
        <v>0</v>
      </c>
      <c r="BX252" s="351">
        <f t="shared" si="32"/>
        <v>5</v>
      </c>
      <c r="BY252" s="392"/>
      <c r="BZ252" s="309" t="str">
        <f>IFERROR(__xludf.DUMMYFUNCTION("IF(REGEXMATCH(C252, ""S""), ""x"",""x"")"),"x")</f>
        <v>x</v>
      </c>
      <c r="CA252" s="245" t="str">
        <f>IFERROR(__xludf.DUMMYFUNCTION("IF(REGEXMATCH(C252, ""r""), ""o"",""x"")"),"x")</f>
        <v>x</v>
      </c>
      <c r="CB252" s="246" t="str">
        <f>IFERROR(__xludf.DUMMYFUNCTION("IF(REGEXMATCH(C252, ""R""), ""o"",""x"")"),"o")</f>
        <v>o</v>
      </c>
      <c r="CC252" s="246" t="str">
        <f>IFERROR(__xludf.DUMMYFUNCTION("IF(REGEXMATCH(C252, ""g""), ""o"",""x"")"),"o")</f>
        <v>o</v>
      </c>
      <c r="CD252" s="245" t="str">
        <f>IFERROR(__xludf.DUMMYFUNCTION("IF(REGEXMATCH(C252, ""G""), ""o"",""x"")"),"o")</f>
        <v>o</v>
      </c>
      <c r="CE252" s="245" t="str">
        <f>IFERROR(__xludf.DUMMYFUNCTION("IF(REGEXMATCH(C252, ""m""), ""o"",""x"")"),"o")</f>
        <v>o</v>
      </c>
      <c r="CF252" s="246" t="str">
        <f>IFERROR(__xludf.DUMMYFUNCTION("IF(REGEXMATCH(C252, ""M""), ""o"",""x"")"),"x")</f>
        <v>x</v>
      </c>
      <c r="CG252" s="245" t="str">
        <f>IFERROR(__xludf.DUMMYFUNCTION("IF(REGEXMATCH(C252, ""P""), ""o"",""x"")"),"o")</f>
        <v>o</v>
      </c>
      <c r="CH252" s="246" t="str">
        <f>IFERROR(__xludf.DUMMYFUNCTION("IF(REGEXMATCH(C252, ""d""), ""o"",""x"")"),"x")</f>
        <v>x</v>
      </c>
      <c r="CI252" s="245" t="str">
        <f>IFERROR(__xludf.DUMMYFUNCTION("IF(REGEXMATCH(C252, ""D""), ""o"",""x"")"),"o")</f>
        <v>o</v>
      </c>
      <c r="CJ252" s="245" t="str">
        <f>IFERROR(__xludf.DUMMYFUNCTION("IF(REGEXMATCH(C252, ""n""), ""o"",""x"")"),"o")</f>
        <v>o</v>
      </c>
      <c r="CK252" s="245" t="str">
        <f>IFERROR(__xludf.DUMMYFUNCTION("IF(REGEXMATCH(C252, ""N""), ""o"",""x"")"),"x")</f>
        <v>x</v>
      </c>
      <c r="CL252" s="356" t="str">
        <f>IFERROR(__xludf.DUMMYFUNCTION("IF(REGEXMATCH(C252, ""S""), ""x"",""x"")"),"x")</f>
        <v>x</v>
      </c>
      <c r="CM252" s="357" t="str">
        <f t="shared" si="33"/>
        <v>xxooooxoxoox</v>
      </c>
      <c r="CN252" s="358">
        <f t="shared" si="34"/>
        <v>0</v>
      </c>
      <c r="CO252" s="246" t="str">
        <f>IFERROR(__xludf.DUMMYFUNCTION("IF(REGEXMATCH($C252, ""S""), ""S"",""S"")"),"S")</f>
        <v>S</v>
      </c>
      <c r="CP252" s="246" t="str">
        <f>IFERROR(__xludf.DUMMYFUNCTION("IF(REGEXMATCH($C252, ""r""), """",""r"")"),"r")</f>
        <v>r</v>
      </c>
      <c r="CQ252" s="246" t="str">
        <f>IFERROR(__xludf.DUMMYFUNCTION("IF(REGEXMATCH($C252, ""R""), """",""R"")"),"")</f>
        <v/>
      </c>
      <c r="CR252" s="246" t="str">
        <f>IFERROR(__xludf.DUMMYFUNCTION("IF(REGEXMATCH($C252, ""g""), """",""g"")"),"")</f>
        <v/>
      </c>
      <c r="CS252" s="246" t="str">
        <f>IFERROR(__xludf.DUMMYFUNCTION("IF(REGEXMATCH($C252, ""G""), """",""G"")"),"")</f>
        <v/>
      </c>
      <c r="CT252" s="246" t="str">
        <f>IFERROR(__xludf.DUMMYFUNCTION("IF(REGEXMATCH($C252, ""m""), """",""m"")"),"")</f>
        <v/>
      </c>
      <c r="CU252" s="246" t="str">
        <f>IFERROR(__xludf.DUMMYFUNCTION("IF(REGEXMATCH($C252, ""M""), """",""M"")"),"M")</f>
        <v>M</v>
      </c>
      <c r="CV252" s="246" t="str">
        <f>IFERROR(__xludf.DUMMYFUNCTION("IF(REGEXMATCH($C252, ""P""), """",""P"")"),"")</f>
        <v/>
      </c>
      <c r="CW252" s="246" t="str">
        <f>IFERROR(__xludf.DUMMYFUNCTION("IF(REGEXMATCH($C252, ""d""), """",""d"")"),"d")</f>
        <v>d</v>
      </c>
      <c r="CX252" s="246" t="str">
        <f>IFERROR(__xludf.DUMMYFUNCTION("IF(REGEXMATCH($C252, ""D""), """",""D"")"),"")</f>
        <v/>
      </c>
      <c r="CY252" s="246" t="str">
        <f>IFERROR(__xludf.DUMMYFUNCTION("IF(REGEXMATCH($C252, ""n""), """",""n"")"),"")</f>
        <v/>
      </c>
      <c r="CZ252" s="246" t="str">
        <f>IFERROR(__xludf.DUMMYFUNCTION("IF(REGEXMATCH($C252, ""N""), """",""N"")"),"N")</f>
        <v>N</v>
      </c>
      <c r="DA252" s="246" t="str">
        <f>IFERROR(__xludf.DUMMYFUNCTION("IF(REGEXMATCH($C252, ""S""), ""S"",""S"")"),"S")</f>
        <v>S</v>
      </c>
      <c r="DB252" s="362" t="str">
        <f>IFERROR(__xludf.DUMMYFUNCTION("JOIN("""",CO252:DA252,"""","""")"),"SrMdNS")</f>
        <v>SrMdNS</v>
      </c>
      <c r="DC252" s="363"/>
      <c r="DD252" s="301" t="str">
        <f t="shared" si="35"/>
        <v>#REF!</v>
      </c>
      <c r="DE252" s="302" t="str">
        <f t="shared" si="36"/>
        <v>#REF!</v>
      </c>
      <c r="DF252" s="301" t="str">
        <f t="shared" ref="DF252:DG252" si="725">SUBSTITUTE(S252,"-","")</f>
        <v>SRGM</v>
      </c>
      <c r="DG252" s="301" t="str">
        <f t="shared" si="725"/>
        <v>PDNS</v>
      </c>
      <c r="DH252" s="302" t="str">
        <f t="shared" si="38"/>
        <v>Bihag</v>
      </c>
      <c r="DI252" s="301" t="str">
        <f t="shared" si="39"/>
        <v>Hemi.</v>
      </c>
      <c r="DJ252" s="364" t="str">
        <f t="shared" si="40"/>
        <v>Co-Co.</v>
      </c>
      <c r="DK252" s="306" t="str">
        <f t="shared" si="41"/>
        <v>-</v>
      </c>
      <c r="DL252" s="366" t="str">
        <f t="shared" si="42"/>
        <v>-</v>
      </c>
      <c r="DM252" s="308" t="str">
        <f t="shared" si="43"/>
        <v>✔</v>
      </c>
      <c r="DN252" s="306" t="str">
        <f t="shared" si="44"/>
        <v>-</v>
      </c>
      <c r="DO252" s="306" t="str">
        <f t="shared" si="45"/>
        <v>-</v>
      </c>
      <c r="DP252" s="367" t="str">
        <f t="shared" si="46"/>
        <v>-</v>
      </c>
      <c r="DQ252" s="310" t="str">
        <f t="shared" si="47"/>
        <v>-</v>
      </c>
      <c r="DR252" s="310" t="str">
        <f t="shared" si="48"/>
        <v>✔</v>
      </c>
      <c r="DS252" s="310" t="str">
        <f t="shared" si="49"/>
        <v>-</v>
      </c>
      <c r="DT252" s="310" t="str">
        <f t="shared" si="50"/>
        <v>-</v>
      </c>
      <c r="DU252" s="370" t="str">
        <f t="shared" si="51"/>
        <v>-</v>
      </c>
      <c r="DV252" s="306" t="str">
        <f t="shared" si="52"/>
        <v>-</v>
      </c>
      <c r="DW252" s="306" t="str">
        <f t="shared" si="53"/>
        <v>-</v>
      </c>
      <c r="DX252" s="306" t="str">
        <f t="shared" si="54"/>
        <v>-</v>
      </c>
      <c r="DY252" s="306" t="str">
        <f t="shared" si="55"/>
        <v>-</v>
      </c>
      <c r="DZ252" s="306" t="str">
        <f t="shared" si="56"/>
        <v>-</v>
      </c>
      <c r="EA252" s="367" t="str">
        <f t="shared" si="57"/>
        <v>-</v>
      </c>
      <c r="EB252" s="310" t="str">
        <f>IFERROR(__xludf.DUMMYFUNCTION("IF(REGEXMATCH(AW252,AS252),""✔"",""-"")"),"✔")</f>
        <v>✔</v>
      </c>
      <c r="EC252" s="310" t="str">
        <f t="shared" si="58"/>
        <v>#REF!</v>
      </c>
      <c r="ED252" s="370" t="str">
        <f t="shared" si="59"/>
        <v>-</v>
      </c>
      <c r="EE252" s="340" t="str">
        <f t="shared" si="60"/>
        <v>S-R-gG-m-P-D-n-S</v>
      </c>
      <c r="EF252" s="371" t="str">
        <f>IFERROR(__xludf.DUMMYFUNCTION("CONCATENATE(JOIN("""",HC252:HO252))"),"SRgmPdDnS")</f>
        <v>SRgmPdDnS</v>
      </c>
      <c r="EG252" s="372">
        <f t="shared" si="61"/>
        <v>1</v>
      </c>
      <c r="EH252" s="373" t="str">
        <f>IFERROR(__xludf.DUMMYFUNCTION("CONCATENATE(JOIN("""",JC252:JO252))"),"Ga, ")</f>
        <v>Ga, </v>
      </c>
      <c r="EI252" s="322">
        <f t="shared" si="62"/>
        <v>0</v>
      </c>
      <c r="EJ252" s="374" t="str">
        <f>IFERROR(__xludf.DUMMYFUNCTION("CONCATENATE(JOIN("""",KC252:KO252))"),"")</f>
        <v/>
      </c>
      <c r="EK252" s="325" t="str">
        <f t="shared" si="63"/>
        <v>S-R2-G2-G3-M1-P-D2-N2-S</v>
      </c>
      <c r="EL252" s="326" t="str">
        <f t="shared" si="64"/>
        <v>1-2-b3-3-4-5-6-b7-8</v>
      </c>
      <c r="EM252" s="318" t="str">
        <f t="shared" si="65"/>
        <v>#REF!</v>
      </c>
      <c r="EN252" s="328" t="str">
        <f>IFERROR(__xludf.DUMMYFUNCTION("SUBSTITUTE(SUBSTITUTE(SUBSTITUTE(SUBSTITUTE(CONCATENATE(JOIN("" "",HP252:IB252)),""  "","" ""),""  "","" ""),""  "","" ""),""  "","" "")"),"o • o o o o • o • o o • o")</f>
        <v>o • o o o o • o • o o • o</v>
      </c>
      <c r="EO252" s="368" t="str">
        <f t="shared" si="66"/>
        <v>-</v>
      </c>
      <c r="EP252" s="339" t="str">
        <f t="shared" si="67"/>
        <v>-</v>
      </c>
      <c r="EQ252" s="339" t="str">
        <f t="shared" si="68"/>
        <v>Sa-Pa</v>
      </c>
      <c r="ER252" s="339" t="str">
        <f t="shared" si="69"/>
        <v>-</v>
      </c>
      <c r="ES252" s="340" t="str">
        <f t="shared" si="70"/>
        <v>-</v>
      </c>
      <c r="ET252" s="363"/>
      <c r="EU252" s="376" t="b">
        <f>IFERROR(__xludf.DUMMYFUNCTION("arrayformula(sum(--REGEXMATCH(""SRGMPDNS"",split(REGEXREPLACE(C252,""(.)"",""$1~""),""~""))))=len(C252)
"),FALSE)</f>
        <v>0</v>
      </c>
      <c r="EV252" s="290" t="b">
        <f>IFERROR(__xludf.DUMMYFUNCTION("arrayformula(sum(--REGEXMATCH(""SRGmPDNS"",split(REGEXREPLACE(C252,""(.)"",""$1~""),""~""))))=len(C252)"),FALSE)</f>
        <v>0</v>
      </c>
      <c r="EW252" s="290" t="b">
        <f>IFERROR(__xludf.DUMMYFUNCTION("arrayformula(sum(--REGEXMATCH(""SRGmPDnS"",split(REGEXREPLACE(C252,""(.)"",""$1~""),""~""))))=len(C252)"),FALSE)</f>
        <v>0</v>
      </c>
      <c r="EX252" s="290" t="b">
        <f>IFERROR(__xludf.DUMMYFUNCTION("arrayformula(sum(--REGEXMATCH(""SRgmPDnS"",split(REGEXREPLACE(C252,""(.)"",""$1~""),""~""))))=len(C252)"),FALSE)</f>
        <v>0</v>
      </c>
      <c r="EY252" s="290" t="b">
        <f>IFERROR(__xludf.DUMMYFUNCTION("arrayformula(sum(--REGEXMATCH(""SRgmPdnS"",split(REGEXREPLACE(C252,""(.)"",""$1~""),""~""))))=len(C252)"),FALSE)</f>
        <v>0</v>
      </c>
      <c r="EZ252" s="290" t="b">
        <f>IFERROR(__xludf.DUMMYFUNCTION("arrayformula(sum(--REGEXMATCH(""SrgmPdnS"",split(REGEXREPLACE(C252,""(.)"",""$1~""),""~""))))=len(C252)"),FALSE)</f>
        <v>0</v>
      </c>
      <c r="FA252" s="290" t="b">
        <f>IFERROR(__xludf.DUMMYFUNCTION("arrayformula(sum(--REGEXMATCH(""SrGmPdNS"",split(REGEXREPLACE(C252,""(.)"",""$1~""),""~""))))=len(C252)"),FALSE)</f>
        <v>0</v>
      </c>
      <c r="FB252" s="290" t="b">
        <f>IFERROR(__xludf.DUMMYFUNCTION("arrayformula(sum(--REGEXMATCH(""SrGMPDNS"",split(REGEXREPLACE(C252,""(.)"",""$1~""),""~""))))=len(C252)"),FALSE)</f>
        <v>0</v>
      </c>
      <c r="FC252" s="290" t="b">
        <f>IFERROR(__xludf.DUMMYFUNCTION("arrayformula(sum(--REGEXMATCH(""SrGMPdNS"",split(REGEXREPLACE(C252,""(.)"",""$1~""),""~""))))=len(C252)"),FALSE)</f>
        <v>0</v>
      </c>
      <c r="FD252" s="377" t="b">
        <f>IFERROR(__xludf.DUMMYFUNCTION("arrayformula(sum(--REGEXMATCH(""SrgMPdNS"",split(REGEXREPLACE(C252,""(.)"",""$1~""),""~""))))=len(C252)"),FALSE)</f>
        <v>0</v>
      </c>
      <c r="FE252" s="269" t="str">
        <f t="shared" si="71"/>
        <v>-</v>
      </c>
      <c r="FF252" s="269" t="str">
        <f t="shared" si="72"/>
        <v>xxxxoxoxxox</v>
      </c>
      <c r="FG252" s="271" t="str">
        <f t="shared" si="73"/>
        <v>xxxoxoxxoxo</v>
      </c>
      <c r="FH252" s="269" t="str">
        <f t="shared" si="74"/>
        <v>xxoxoxxoxox</v>
      </c>
      <c r="FI252" s="271" t="str">
        <f t="shared" si="75"/>
        <v>xoxoxxoxoxx</v>
      </c>
      <c r="FJ252" s="271" t="str">
        <f t="shared" si="76"/>
        <v>-</v>
      </c>
      <c r="FK252" s="271" t="str">
        <f t="shared" si="77"/>
        <v>xoxxoxoxxxx</v>
      </c>
      <c r="FL252" s="271" t="str">
        <f t="shared" si="78"/>
        <v>-</v>
      </c>
      <c r="FM252" s="271" t="str">
        <f t="shared" si="79"/>
        <v>xxoxoxxxxox</v>
      </c>
      <c r="FN252" s="271" t="str">
        <f t="shared" si="80"/>
        <v>xoxoxxxxoxo</v>
      </c>
      <c r="FO252" s="274" t="str">
        <f t="shared" si="81"/>
        <v>-</v>
      </c>
      <c r="FP252" s="234" t="str">
        <f t="shared" si="82"/>
        <v>|</v>
      </c>
      <c r="FQ252" s="236" t="str">
        <f t="shared" si="83"/>
        <v>-</v>
      </c>
      <c r="FR252" s="237" t="str">
        <f t="shared" si="84"/>
        <v>|</v>
      </c>
      <c r="FS252" s="236" t="str">
        <f t="shared" si="85"/>
        <v>|</v>
      </c>
      <c r="FT252" s="237" t="str">
        <f t="shared" si="86"/>
        <v>|</v>
      </c>
      <c r="FU252" s="236" t="str">
        <f t="shared" si="87"/>
        <v>|</v>
      </c>
      <c r="FV252" s="237" t="str">
        <f t="shared" si="88"/>
        <v>-</v>
      </c>
      <c r="FW252" s="236" t="str">
        <f t="shared" si="89"/>
        <v>|</v>
      </c>
      <c r="FX252" s="237" t="str">
        <f t="shared" si="90"/>
        <v>-</v>
      </c>
      <c r="FY252" s="236" t="str">
        <f t="shared" si="91"/>
        <v>|</v>
      </c>
      <c r="FZ252" s="237" t="str">
        <f t="shared" si="92"/>
        <v>|</v>
      </c>
      <c r="GA252" s="236" t="str">
        <f t="shared" si="93"/>
        <v>-</v>
      </c>
      <c r="GB252" s="238" t="str">
        <f t="shared" si="94"/>
        <v>|</v>
      </c>
      <c r="GC252" s="244" t="str">
        <f>IFERROR(__xludf.DUMMYFUNCTION("IF(REGEXMATCH(C252, ""S""), ""1"","""")"),"1")</f>
        <v>1</v>
      </c>
      <c r="GD252" s="245" t="str">
        <f>IFERROR(__xludf.DUMMYFUNCTION("IF(REGEXMATCH(C252, ""r""), ""b2"","""")"),"")</f>
        <v/>
      </c>
      <c r="GE252" s="246" t="str">
        <f>IFERROR(__xludf.DUMMYFUNCTION("IF(REGEXMATCH(C252, ""R""), ""2"","""")"),"2")</f>
        <v>2</v>
      </c>
      <c r="GF252" s="246" t="str">
        <f>IFERROR(__xludf.DUMMYFUNCTION("IF(REGEXMATCH(C252, ""g""), ""b3"","""")"),"b3")</f>
        <v>b3</v>
      </c>
      <c r="GG252" s="245" t="str">
        <f>IFERROR(__xludf.DUMMYFUNCTION("IF(REGEXMATCH(C252, ""G""), ""3"","""")"),"3")</f>
        <v>3</v>
      </c>
      <c r="GH252" s="245" t="str">
        <f>IFERROR(__xludf.DUMMYFUNCTION("IF(REGEXMATCH(C252, ""m""), ""4"","""")"),"4")</f>
        <v>4</v>
      </c>
      <c r="GI252" s="246" t="str">
        <f>IFERROR(__xludf.DUMMYFUNCTION("IF(REGEXMATCH(C252, ""M""), ""#4"","""")"),"")</f>
        <v/>
      </c>
      <c r="GJ252" s="245" t="str">
        <f>IFERROR(__xludf.DUMMYFUNCTION("IF(REGEXMATCH(C252, ""P""), ""5"","""")"),"5")</f>
        <v>5</v>
      </c>
      <c r="GK252" s="246" t="str">
        <f>IFERROR(__xludf.DUMMYFUNCTION("IF(REGEXMATCH(C252, ""d""), ""b6"","""")"),"")</f>
        <v/>
      </c>
      <c r="GL252" s="245" t="str">
        <f>IFERROR(__xludf.DUMMYFUNCTION("IF(REGEXMATCH(C252, ""D""), ""6"","""")"),"6")</f>
        <v>6</v>
      </c>
      <c r="GM252" s="245" t="str">
        <f>IFERROR(__xludf.DUMMYFUNCTION("IF(REGEXMATCH(C252, ""n""), ""b7"","""")"),"b7")</f>
        <v>b7</v>
      </c>
      <c r="GN252" s="246" t="str">
        <f>IFERROR(__xludf.DUMMYFUNCTION("IF(REGEXMATCH(C252, ""N""), ""7"","""")"),"")</f>
        <v/>
      </c>
      <c r="GO252" s="249" t="str">
        <f>IFERROR(__xludf.DUMMYFUNCTION("IF(REGEXMATCH(C252, ""S""), ""8"","""")"),"8")</f>
        <v>8</v>
      </c>
      <c r="GP252" s="244" t="str">
        <f>IFERROR(__xludf.DUMMYFUNCTION("IF(REGEXMATCH(C252, ""S""), ""S"","""")"),"S")</f>
        <v>S</v>
      </c>
      <c r="GQ252" s="294" t="str">
        <f>IFERROR(__xludf.DUMMYFUNCTION("IF(REGEXMATCH(C252, ""r""), ""R1"","""")"),"")</f>
        <v/>
      </c>
      <c r="GR252" s="295" t="str">
        <f>IFERROR(__xludf.DUMMYFUNCTION("IF(REGEXMATCH(C252, ""R""), ""R2"","""")"),"R2")</f>
        <v>R2</v>
      </c>
      <c r="GS252" s="295" t="str">
        <f>IFERROR(__xludf.DUMMYFUNCTION("IF(REGEXMATCH(C252, ""g""), ""G2"","""")"),"G2")</f>
        <v>G2</v>
      </c>
      <c r="GT252" s="294" t="str">
        <f>IFERROR(__xludf.DUMMYFUNCTION("IF(REGEXMATCH(C252, ""G""), ""G3"","""")"),"G3")</f>
        <v>G3</v>
      </c>
      <c r="GU252" s="294" t="str">
        <f>IFERROR(__xludf.DUMMYFUNCTION("IF(REGEXMATCH(C252, ""m""), ""M1"","""")"),"M1")</f>
        <v>M1</v>
      </c>
      <c r="GV252" s="295" t="str">
        <f>IFERROR(__xludf.DUMMYFUNCTION("IF(REGEXMATCH(C252, ""M""), ""M2"","""")"),"")</f>
        <v/>
      </c>
      <c r="GW252" s="294" t="str">
        <f>IFERROR(__xludf.DUMMYFUNCTION("IF(REGEXMATCH(C252, ""P""), ""P"","""")"),"P")</f>
        <v>P</v>
      </c>
      <c r="GX252" s="295" t="str">
        <f>IFERROR(__xludf.DUMMYFUNCTION("IF(REGEXMATCH(C252, ""d""), ""D1"","""")"),"")</f>
        <v/>
      </c>
      <c r="GY252" s="294" t="str">
        <f>IFERROR(__xludf.DUMMYFUNCTION("IF(REGEXMATCH(C252, ""D""), ""D2"","""")"),"D2")</f>
        <v>D2</v>
      </c>
      <c r="GZ252" s="294" t="str">
        <f>IFERROR(__xludf.DUMMYFUNCTION("IF(REGEXMATCH(C252, ""n""), ""N2"","""")"),"N2")</f>
        <v>N2</v>
      </c>
      <c r="HA252" s="295" t="str">
        <f>IFERROR(__xludf.DUMMYFUNCTION("IF(REGEXMATCH(C252, ""N""), ""N3"","""")"),"")</f>
        <v/>
      </c>
      <c r="HB252" s="249" t="str">
        <f>IFERROR(__xludf.DUMMYFUNCTION("IF(REGEXMATCH(C252, ""S""), ""S"","""")"),"S")</f>
        <v>S</v>
      </c>
      <c r="HC252" s="331" t="str">
        <f t="shared" si="95"/>
        <v>S</v>
      </c>
      <c r="HD252" s="332" t="str">
        <f t="shared" si="96"/>
        <v/>
      </c>
      <c r="HE252" s="332" t="str">
        <f t="shared" si="97"/>
        <v>R</v>
      </c>
      <c r="HF252" s="332" t="str">
        <f t="shared" si="98"/>
        <v>g</v>
      </c>
      <c r="HG252" s="332" t="str">
        <f t="shared" si="99"/>
        <v/>
      </c>
      <c r="HH252" s="332" t="str">
        <f t="shared" si="100"/>
        <v>m</v>
      </c>
      <c r="HI252" s="332" t="str">
        <f t="shared" si="101"/>
        <v/>
      </c>
      <c r="HJ252" s="332" t="str">
        <f t="shared" si="102"/>
        <v>P</v>
      </c>
      <c r="HK252" s="332" t="str">
        <f t="shared" si="103"/>
        <v>d</v>
      </c>
      <c r="HL252" s="332" t="str">
        <f t="shared" si="104"/>
        <v>D</v>
      </c>
      <c r="HM252" s="332" t="str">
        <f t="shared" si="105"/>
        <v>n</v>
      </c>
      <c r="HN252" s="332" t="str">
        <f t="shared" si="106"/>
        <v/>
      </c>
      <c r="HO252" s="343" t="str">
        <f t="shared" si="107"/>
        <v>S</v>
      </c>
      <c r="HP252" s="331" t="str">
        <f t="shared" si="108"/>
        <v>o</v>
      </c>
      <c r="HQ252" s="332" t="str">
        <f t="shared" si="109"/>
        <v>•</v>
      </c>
      <c r="HR252" s="332" t="str">
        <f t="shared" si="110"/>
        <v>o</v>
      </c>
      <c r="HS252" s="332" t="str">
        <f t="shared" si="111"/>
        <v>o</v>
      </c>
      <c r="HT252" s="332" t="str">
        <f t="shared" si="112"/>
        <v>o</v>
      </c>
      <c r="HU252" s="332" t="str">
        <f t="shared" si="113"/>
        <v>o</v>
      </c>
      <c r="HV252" s="332" t="str">
        <f t="shared" si="114"/>
        <v>•</v>
      </c>
      <c r="HW252" s="332" t="str">
        <f t="shared" si="115"/>
        <v>o</v>
      </c>
      <c r="HX252" s="332" t="str">
        <f t="shared" si="116"/>
        <v>•</v>
      </c>
      <c r="HY252" s="332" t="str">
        <f t="shared" si="117"/>
        <v>o</v>
      </c>
      <c r="HZ252" s="332" t="str">
        <f t="shared" si="118"/>
        <v>o</v>
      </c>
      <c r="IA252" s="332" t="str">
        <f t="shared" si="119"/>
        <v>•</v>
      </c>
      <c r="IB252" s="338" t="str">
        <f t="shared" si="120"/>
        <v>o</v>
      </c>
      <c r="IC252" s="331" t="str">
        <f t="shared" si="121"/>
        <v>•</v>
      </c>
      <c r="ID252" s="332" t="str">
        <f t="shared" si="122"/>
        <v>o</v>
      </c>
      <c r="IE252" s="332" t="str">
        <f t="shared" si="123"/>
        <v>•</v>
      </c>
      <c r="IF252" s="332" t="str">
        <f t="shared" si="124"/>
        <v>•</v>
      </c>
      <c r="IG252" s="332" t="str">
        <f t="shared" si="125"/>
        <v>•</v>
      </c>
      <c r="IH252" s="332" t="str">
        <f t="shared" si="126"/>
        <v>•</v>
      </c>
      <c r="II252" s="332" t="str">
        <f t="shared" si="127"/>
        <v>o</v>
      </c>
      <c r="IJ252" s="332" t="str">
        <f t="shared" si="128"/>
        <v>•</v>
      </c>
      <c r="IK252" s="332" t="str">
        <f t="shared" si="129"/>
        <v>o</v>
      </c>
      <c r="IL252" s="332" t="str">
        <f t="shared" si="130"/>
        <v>•</v>
      </c>
      <c r="IM252" s="332" t="str">
        <f t="shared" si="131"/>
        <v>•</v>
      </c>
      <c r="IN252" s="332" t="str">
        <f t="shared" si="132"/>
        <v>o</v>
      </c>
      <c r="IO252" s="338" t="str">
        <f t="shared" si="133"/>
        <v>•</v>
      </c>
      <c r="IP252" s="346" t="b">
        <f t="shared" si="134"/>
        <v>0</v>
      </c>
      <c r="IQ252" s="347" t="b">
        <f t="shared" si="135"/>
        <v>0</v>
      </c>
      <c r="IR252" s="347" t="b">
        <f t="shared" si="136"/>
        <v>0</v>
      </c>
      <c r="IS252" s="347" t="b">
        <f t="shared" si="137"/>
        <v>0</v>
      </c>
      <c r="IT252" s="347" t="b">
        <f t="shared" si="138"/>
        <v>1</v>
      </c>
      <c r="IU252" s="347" t="b">
        <f t="shared" si="139"/>
        <v>0</v>
      </c>
      <c r="IV252" s="347" t="b">
        <f t="shared" si="140"/>
        <v>0</v>
      </c>
      <c r="IW252" s="347" t="b">
        <f t="shared" si="141"/>
        <v>0</v>
      </c>
      <c r="IX252" s="347" t="b">
        <f t="shared" si="142"/>
        <v>0</v>
      </c>
      <c r="IY252" s="347" t="b">
        <f t="shared" si="143"/>
        <v>0</v>
      </c>
      <c r="IZ252" s="347" t="b">
        <f t="shared" si="144"/>
        <v>0</v>
      </c>
      <c r="JA252" s="347" t="b">
        <f t="shared" si="145"/>
        <v>0</v>
      </c>
      <c r="JB252" s="353" t="b">
        <f t="shared" si="146"/>
        <v>0</v>
      </c>
      <c r="JC252" s="354" t="str">
        <f t="shared" si="147"/>
        <v/>
      </c>
      <c r="JD252" s="355" t="str">
        <f t="shared" si="148"/>
        <v/>
      </c>
      <c r="JE252" s="355" t="str">
        <f t="shared" si="149"/>
        <v/>
      </c>
      <c r="JF252" s="355" t="str">
        <f t="shared" si="150"/>
        <v/>
      </c>
      <c r="JG252" s="355" t="str">
        <f t="shared" si="151"/>
        <v>Ga, </v>
      </c>
      <c r="JH252" s="355" t="str">
        <f t="shared" si="152"/>
        <v/>
      </c>
      <c r="JI252" s="355" t="str">
        <f t="shared" si="153"/>
        <v/>
      </c>
      <c r="JJ252" s="355" t="str">
        <f t="shared" si="154"/>
        <v/>
      </c>
      <c r="JK252" s="355" t="str">
        <f t="shared" si="155"/>
        <v/>
      </c>
      <c r="JL252" s="355" t="str">
        <f t="shared" si="156"/>
        <v/>
      </c>
      <c r="JM252" s="355" t="str">
        <f t="shared" si="157"/>
        <v/>
      </c>
      <c r="JN252" s="355" t="str">
        <f t="shared" si="158"/>
        <v/>
      </c>
      <c r="JO252" s="359" t="str">
        <f t="shared" si="159"/>
        <v/>
      </c>
      <c r="JP252" s="346" t="b">
        <f t="shared" si="160"/>
        <v>0</v>
      </c>
      <c r="JQ252" s="347" t="b">
        <f t="shared" si="161"/>
        <v>0</v>
      </c>
      <c r="JR252" s="347" t="b">
        <f t="shared" si="162"/>
        <v>0</v>
      </c>
      <c r="JS252" s="347" t="b">
        <f t="shared" si="163"/>
        <v>0</v>
      </c>
      <c r="JT252" s="347" t="b">
        <f t="shared" si="164"/>
        <v>0</v>
      </c>
      <c r="JU252" s="347" t="b">
        <f t="shared" si="165"/>
        <v>0</v>
      </c>
      <c r="JV252" s="347" t="b">
        <f t="shared" si="166"/>
        <v>0</v>
      </c>
      <c r="JW252" s="347" t="b">
        <f t="shared" si="167"/>
        <v>0</v>
      </c>
      <c r="JX252" s="347" t="b">
        <f t="shared" si="168"/>
        <v>0</v>
      </c>
      <c r="JY252" s="347" t="b">
        <f t="shared" si="169"/>
        <v>0</v>
      </c>
      <c r="JZ252" s="347" t="b">
        <f t="shared" si="170"/>
        <v>0</v>
      </c>
      <c r="KA252" s="347" t="b">
        <f t="shared" si="171"/>
        <v>0</v>
      </c>
      <c r="KB252" s="365" t="b">
        <f t="shared" si="172"/>
        <v>0</v>
      </c>
      <c r="KC252" s="354" t="str">
        <f t="shared" si="173"/>
        <v/>
      </c>
      <c r="KD252" s="355" t="str">
        <f t="shared" si="174"/>
        <v/>
      </c>
      <c r="KE252" s="355" t="str">
        <f t="shared" si="175"/>
        <v/>
      </c>
      <c r="KF252" s="355" t="str">
        <f t="shared" si="176"/>
        <v/>
      </c>
      <c r="KG252" s="355" t="str">
        <f t="shared" si="177"/>
        <v/>
      </c>
      <c r="KH252" s="355" t="str">
        <f t="shared" si="178"/>
        <v/>
      </c>
      <c r="KI252" s="355" t="str">
        <f t="shared" si="179"/>
        <v/>
      </c>
      <c r="KJ252" s="355" t="str">
        <f t="shared" si="180"/>
        <v/>
      </c>
      <c r="KK252" s="355" t="str">
        <f t="shared" si="181"/>
        <v/>
      </c>
      <c r="KL252" s="355" t="str">
        <f t="shared" si="182"/>
        <v/>
      </c>
      <c r="KM252" s="355" t="str">
        <f t="shared" si="183"/>
        <v/>
      </c>
      <c r="KN252" s="355" t="str">
        <f t="shared" si="184"/>
        <v/>
      </c>
      <c r="KO252" s="359"/>
      <c r="KP252" s="378"/>
      <c r="KQ252" s="379" t="s">
        <v>9</v>
      </c>
      <c r="KR252" s="380" t="s">
        <v>9</v>
      </c>
      <c r="KS252" s="381" t="s">
        <v>9</v>
      </c>
      <c r="KT252" s="382">
        <f t="shared" si="186"/>
        <v>0</v>
      </c>
      <c r="KU252" s="383">
        <f t="shared" si="187"/>
        <v>0</v>
      </c>
      <c r="KV252" s="381" t="str">
        <f t="shared" si="205"/>
        <v>S</v>
      </c>
      <c r="KW252" s="382">
        <f t="shared" si="189"/>
        <v>0</v>
      </c>
      <c r="KX252" s="384">
        <f t="shared" si="190"/>
        <v>0</v>
      </c>
      <c r="KY252" s="382">
        <f t="shared" ref="KY252:KZ252" si="726">KW252-KT252</f>
        <v>0</v>
      </c>
      <c r="KZ252" s="369">
        <f t="shared" si="726"/>
        <v>0</v>
      </c>
      <c r="LA252" s="385" t="str">
        <f t="shared" si="192"/>
        <v>✔</v>
      </c>
      <c r="LB252" s="340" t="str">
        <f>IFERROR(__xludf.DUMMYFUNCTION("JOIN("""",ArrayFormula(MID(KS252,LEN(KS252)-SEQUENCE(1,LEN(KS252))+1,1)))"),"S")</f>
        <v>S</v>
      </c>
      <c r="LC252" s="373" t="str">
        <f>IFERROR(__xludf.DUMMYFUNCTION("JOIN("""",ArrayFormula(MID(KV252,LEN(KV252)-SEQUENCE(1,LEN(KV252))+1,1)))"),"S")</f>
        <v>S</v>
      </c>
      <c r="LD252" s="373" t="str">
        <f t="shared" si="193"/>
        <v>S</v>
      </c>
      <c r="LE252" s="339" t="str">
        <f t="shared" si="194"/>
        <v>S</v>
      </c>
      <c r="LF252" s="386" t="str">
        <f>IFERROR(__xludf.DUMMYFUNCTION("SUBSTITUTE(SUBSTITUTE(CONCATENATE(JOIN("""",LH252:LT252)),""1"",""""),""2"","""")"),"SS")</f>
        <v>SS</v>
      </c>
      <c r="LG252" s="369" t="str">
        <f t="shared" si="195"/>
        <v>-</v>
      </c>
      <c r="LH252" s="387" t="str">
        <f>IFERROR(__xludf.DUMMYFUNCTION("IF(REGEXMATCH(LD252, ""S""), ""S"",IF(REGEXMATCH(LE252, ""S""), ""S"",""""))"),"S")</f>
        <v>S</v>
      </c>
      <c r="LI252" s="299" t="str">
        <f>IFERROR(__xludf.DUMMYFUNCTION("IF(REGEXMATCH(LD252, ""r""), ""r1"",IF(REGEXMATCH(LE252, ""r""), ""r2"",""""))"),"")</f>
        <v/>
      </c>
      <c r="LJ252" s="299" t="str">
        <f>IFERROR(__xludf.DUMMYFUNCTION("IF(REGEXMATCH(LD252, ""R""), ""R1"",IF(REGEXMATCH(LE252, ""R""), ""R2"",""""))"),"")</f>
        <v/>
      </c>
      <c r="LK252" s="299" t="str">
        <f>IFERROR(__xludf.DUMMYFUNCTION("IF(REGEXMATCH(LD252, ""g""), ""g1"",IF(REGEXMATCH(LE252, ""g""), ""g2"",""""))"),"")</f>
        <v/>
      </c>
      <c r="LL252" s="299" t="str">
        <f>IFERROR(__xludf.DUMMYFUNCTION("IF(REGEXMATCH(LD252, ""G""), ""G1"",IF(REGEXMATCH(LE252, ""G""), ""G2"",""""))"),"")</f>
        <v/>
      </c>
      <c r="LM252" s="299" t="str">
        <f>IFERROR(__xludf.DUMMYFUNCTION("IF(REGEXMATCH(LD252, ""m""), ""m1"",IF(REGEXMATCH(LE252, ""m""), ""m2"",""""))"),"")</f>
        <v/>
      </c>
      <c r="LN252" s="299" t="str">
        <f>IFERROR(__xludf.DUMMYFUNCTION("IF(REGEXMATCH(LD252, ""M""), ""M1"",IF(REGEXMATCH(LE252, ""M""), ""M2"",""""))"),"")</f>
        <v/>
      </c>
      <c r="LO252" s="299" t="str">
        <f>IFERROR(__xludf.DUMMYFUNCTION("IF(REGEXMATCH(LD252, ""P""), ""P1"",IF(REGEXMATCH(LE252, ""P""), ""P2"",""""))"),"")</f>
        <v/>
      </c>
      <c r="LP252" s="299" t="str">
        <f>IFERROR(__xludf.DUMMYFUNCTION("IF(REGEXMATCH(LD252, ""d""), ""d1"",IF(REGEXMATCH(LE252, ""d""), ""d2"",""""))"),"")</f>
        <v/>
      </c>
      <c r="LQ252" s="299" t="str">
        <f>IFERROR(__xludf.DUMMYFUNCTION("IF(REGEXMATCH(LD252, ""D""), ""D1"",IF(REGEXMATCH(LE252, ""D""), ""D2"",""""))"),"")</f>
        <v/>
      </c>
      <c r="LR252" s="299" t="str">
        <f>IFERROR(__xludf.DUMMYFUNCTION("IF(REGEXMATCH(LD252, ""n""), ""n1"",IF(REGEXMATCH(LE252, ""n""), ""n2"",""""))"),"")</f>
        <v/>
      </c>
      <c r="LS252" s="299" t="str">
        <f>IFERROR(__xludf.DUMMYFUNCTION("IF(REGEXMATCH(LD252, ""N""), ""N1"",IF(REGEXMATCH(LE252, ""N""), ""N2"",""""))"),"")</f>
        <v/>
      </c>
      <c r="LT252" s="388" t="str">
        <f>IFERROR(__xludf.DUMMYFUNCTION("IF(REGEXMATCH(LD252, ""S""), ""S"",IF(REGEXMATCH(LE252, ""S""), ""S"",""""))"),"S")</f>
        <v>S</v>
      </c>
      <c r="LU252" s="389">
        <f t="shared" si="196"/>
        <v>1</v>
      </c>
      <c r="LV252" s="378"/>
      <c r="LW252" s="369"/>
      <c r="LX252" s="369"/>
    </row>
    <row r="253" ht="18.0" customHeight="1">
      <c r="A253" s="298" t="s">
        <v>1028</v>
      </c>
      <c r="B253" s="222" t="s">
        <v>1029</v>
      </c>
      <c r="C253" s="233" t="str">
        <f t="shared" si="7"/>
        <v>SrgmMPDnNS</v>
      </c>
      <c r="D253" s="234" t="str">
        <f>IFERROR(__xludf.DUMMYFUNCTION("IF(REGEXMATCH(C253, ""S""), ""S"","""")"),"S")</f>
        <v>S</v>
      </c>
      <c r="E253" s="236" t="str">
        <f>IFERROR(__xludf.DUMMYFUNCTION("IF(REGEXMATCH(C253, ""r""), ""r"","""")"),"r")</f>
        <v>r</v>
      </c>
      <c r="F253" s="237" t="str">
        <f>IFERROR(__xludf.DUMMYFUNCTION("IF(REGEXMATCH(C253, ""R""), ""R"","""")"),"")</f>
        <v/>
      </c>
      <c r="G253" s="237" t="str">
        <f>IFERROR(__xludf.DUMMYFUNCTION("IF(REGEXMATCH(C253, ""g""), ""g"","""")"),"g")</f>
        <v>g</v>
      </c>
      <c r="H253" s="236" t="str">
        <f>IFERROR(__xludf.DUMMYFUNCTION("IF(REGEXMATCH(C253, ""G""), ""G"","""")"),"")</f>
        <v/>
      </c>
      <c r="I253" s="236" t="str">
        <f>IFERROR(__xludf.DUMMYFUNCTION("IF(REGEXMATCH(C253, ""m""), ""m"","""")"),"m")</f>
        <v>m</v>
      </c>
      <c r="J253" s="237" t="str">
        <f>IFERROR(__xludf.DUMMYFUNCTION("IF(REGEXMATCH(C253, ""M""), ""M"","""")"),"M")</f>
        <v>M</v>
      </c>
      <c r="K253" s="236" t="str">
        <f>IFERROR(__xludf.DUMMYFUNCTION("IF(REGEXMATCH(C253, ""P""), ""P"","""")"),"P")</f>
        <v>P</v>
      </c>
      <c r="L253" s="237" t="str">
        <f>IFERROR(__xludf.DUMMYFUNCTION("IF(REGEXMATCH(C253, ""d""), ""d"","""")"),"")</f>
        <v/>
      </c>
      <c r="M253" s="236" t="str">
        <f>IFERROR(__xludf.DUMMYFUNCTION("IF(REGEXMATCH(C253, ""D""), ""D"","""")"),"D")</f>
        <v>D</v>
      </c>
      <c r="N253" s="236" t="str">
        <f>IFERROR(__xludf.DUMMYFUNCTION("IF(REGEXMATCH(C253, ""n""), ""n"","""")"),"n")</f>
        <v>n</v>
      </c>
      <c r="O253" s="237" t="str">
        <f>IFERROR(__xludf.DUMMYFUNCTION("IF(REGEXMATCH(C253, ""N""), ""N"","""")"),"N")</f>
        <v>N</v>
      </c>
      <c r="P253" s="238" t="str">
        <f>IFERROR(__xludf.DUMMYFUNCTION("IF(REGEXMATCH(C253, ""S""), ""S"","""")"),"S")</f>
        <v>S</v>
      </c>
      <c r="Q253" s="239" t="str">
        <f>IFERROR(__xludf.DUMMYFUNCTION("SUBSTITUTE(CONCATENATE(JOIN(""-"",D253:J253)),""-"","""")"),"SrgmM")</f>
        <v>SrgmM</v>
      </c>
      <c r="R253" s="229" t="str">
        <f>IFERROR(__xludf.DUMMYFUNCTION("SUBSTITUTE(CONCATENATE(JOIN(""-"",K253:P253)),""-"","""")"),"PDnNS")</f>
        <v>PDnNS</v>
      </c>
      <c r="S253" s="282" t="str">
        <f t="shared" si="8"/>
        <v>S-R-G-M</v>
      </c>
      <c r="T253" s="282" t="str">
        <f t="shared" si="9"/>
        <v>P-D-N-S</v>
      </c>
      <c r="U253" s="237" t="str">
        <f>IFERROR(__xludf.DUMMYFUNCTION("SUBSTITUTE(JOIN(""-"",S253,T253),""--"",""-"")"),"S-R-G-M-P-D-N-S")</f>
        <v>S-R-G-M-P-D-N-S</v>
      </c>
      <c r="V253" s="309" t="str">
        <f t="shared" si="10"/>
        <v>rgmMDnN</v>
      </c>
      <c r="W253" s="244" t="str">
        <f>IFERROR(__xludf.DUMMYFUNCTION("IF(REGEXMATCH(C253, ""S""), ""0"","""")"),"0")</f>
        <v>0</v>
      </c>
      <c r="X253" s="245" t="str">
        <f>IFERROR(__xludf.DUMMYFUNCTION("IF(REGEXMATCH(C253, ""r""), ""1"","""")"),"1")</f>
        <v>1</v>
      </c>
      <c r="Y253" s="246" t="str">
        <f>IFERROR(__xludf.DUMMYFUNCTION("IF(REGEXMATCH(C253, ""R""), ""2"","""")"),"")</f>
        <v/>
      </c>
      <c r="Z253" s="246" t="str">
        <f>IFERROR(__xludf.DUMMYFUNCTION("IF(REGEXMATCH(C253, ""g""), ""3"","""")"),"3")</f>
        <v>3</v>
      </c>
      <c r="AA253" s="245" t="str">
        <f>IFERROR(__xludf.DUMMYFUNCTION("IF(REGEXMATCH(C253, ""G""), ""4"","""")"),"")</f>
        <v/>
      </c>
      <c r="AB253" s="245" t="str">
        <f>IFERROR(__xludf.DUMMYFUNCTION("IF(REGEXMATCH(C253, ""m""), ""5"","""")"),"5")</f>
        <v>5</v>
      </c>
      <c r="AC253" s="246" t="str">
        <f>IFERROR(__xludf.DUMMYFUNCTION("IF(REGEXMATCH(C253, ""M""), ""6"","""")"),"6")</f>
        <v>6</v>
      </c>
      <c r="AD253" s="245" t="str">
        <f>IFERROR(__xludf.DUMMYFUNCTION("IF(REGEXMATCH(C253, ""P""), ""7"","""")"),"7")</f>
        <v>7</v>
      </c>
      <c r="AE253" s="246" t="str">
        <f>IFERROR(__xludf.DUMMYFUNCTION("IF(REGEXMATCH(C253, ""d""), ""8"","""")"),"")</f>
        <v/>
      </c>
      <c r="AF253" s="245" t="str">
        <f>IFERROR(__xludf.DUMMYFUNCTION("IF(REGEXMATCH(C253, ""D""), ""9"","""")"),"9")</f>
        <v>9</v>
      </c>
      <c r="AG253" s="245" t="str">
        <f>IFERROR(__xludf.DUMMYFUNCTION("IF(REGEXMATCH(C253, ""n""), ""10"","""")"),"10")</f>
        <v>10</v>
      </c>
      <c r="AH253" s="246" t="str">
        <f>IFERROR(__xludf.DUMMYFUNCTION("IF(REGEXMATCH(C253, ""N""), ""11"","""")"),"11")</f>
        <v>11</v>
      </c>
      <c r="AI253" s="249" t="str">
        <f>IFERROR(__xludf.DUMMYFUNCTION("IF(REGEXMATCH(C253, ""S""), ""0"","""")"),"0")</f>
        <v>0</v>
      </c>
      <c r="AJ253" s="313" t="str">
        <f t="shared" si="11"/>
        <v>T</v>
      </c>
      <c r="AK253" s="313" t="str">
        <f t="shared" si="12"/>
        <v>T</v>
      </c>
      <c r="AL253" s="313" t="str">
        <f t="shared" si="13"/>
        <v>-</v>
      </c>
      <c r="AM253" s="313" t="str">
        <f t="shared" si="14"/>
        <v>T</v>
      </c>
      <c r="AN253" s="313" t="str">
        <f t="shared" si="15"/>
        <v>-</v>
      </c>
      <c r="AO253" s="314" t="str">
        <f t="shared" si="16"/>
        <v>T</v>
      </c>
      <c r="AP253" s="316">
        <f t="shared" si="17"/>
        <v>4</v>
      </c>
      <c r="AQ253" s="319" t="str">
        <f t="shared" si="18"/>
        <v>#REF!</v>
      </c>
      <c r="AR253" s="320">
        <f t="shared" si="19"/>
        <v>0</v>
      </c>
      <c r="AS253" s="250" t="str">
        <f>IFERROR(__xludf.DUMMYFUNCTION("SUBSTITUTE(SUBSTITUTE(CONCATENATE(JOIN("""",FP253:GA253)),""|"",""x""),""-"",""o"")"),"xxoxoxxxoxxx")</f>
        <v>xxoxoxxxoxxx</v>
      </c>
      <c r="AT253" s="323" t="str">
        <f>IFERROR(__xludf.DUMMYFUNCTION("JOIN("""",AS253,AS253)"),"xxoxoxxxoxxxxxoxoxxxoxxx")</f>
        <v>xxoxoxxxoxxxxxoxoxxxoxxx</v>
      </c>
      <c r="AU253" s="256" t="str">
        <f>IFERROR(__xludf.DUMMYFUNCTION("JOIN("""",ArrayFormula(MID(AS253,LEN(AS253)-SEQUENCE(1,LEN(AS253))+1,1)))"),"xxxoxxxoxoxx")</f>
        <v>xxxoxxxoxoxx</v>
      </c>
      <c r="AV253" s="256" t="str">
        <f>IFERROR(__xludf.DUMMYFUNCTION("LEFT(CONCATENATE(""x"",JOIN("""",ArrayFormula(MID(AS253,LEN(AS253)-SEQUENCE(1,LEN(AS253))+1,1)))),12)"),"xxxxoxxxoxox")</f>
        <v>xxxxoxxxoxox</v>
      </c>
      <c r="AW253" s="327" t="str">
        <f>IFERROR(__xludf.DUMMYFUNCTION("JOIN("""",AU253,AU253)"),"xxxoxxxoxoxxxxxoxxxoxoxx")</f>
        <v>xxxoxxxoxoxxxxxoxxxoxoxx</v>
      </c>
      <c r="AX253" s="239" t="str">
        <f>IFERROR(__xludf.DUMMYFUNCTION("IF(REGEXMATCH(AW253,AS253),""✔"",""-"")"),"-")</f>
        <v>-</v>
      </c>
      <c r="AY253" s="330" t="str">
        <f t="shared" si="20"/>
        <v>-</v>
      </c>
      <c r="AZ253" s="260" t="str">
        <f t="shared" si="21"/>
        <v>#REF!</v>
      </c>
      <c r="BA253" s="333" t="str">
        <f t="shared" si="22"/>
        <v>xxoxoxx</v>
      </c>
      <c r="BB253" s="334" t="str">
        <f t="shared" si="23"/>
        <v>xoxxxx</v>
      </c>
      <c r="BC253" s="335" t="str">
        <f t="shared" si="236"/>
        <v>-</v>
      </c>
      <c r="BD253" s="336" t="str">
        <f t="shared" si="25"/>
        <v>Niranjani Todi: 'xxoxoxx' + 'xoxxxx'</v>
      </c>
      <c r="BE253" s="337">
        <f>IFERROR(__xludf.DUMMYFUNCTION("COUNTUNIQUE(FILTER(AT:AT,REGEXMATCH(AT:AT,AS253)))-1"),0.0)</f>
        <v>0</v>
      </c>
      <c r="BF253" s="261" t="str">
        <f>IFERROR(__xludf.DUMMYFUNCTION("IF(BI253=0,""(n/a)"",IF(BJ253=2,""(PAIR)"",IF(REGEXMATCH(AT253,""xoxoxxoxoxox""),""Bilawal"",IF(REGEXMATCH(AT253,""xoxoxooxoxoo""),""Bhupali"",IF(REGEXMATCH(AT253,""xoxoxxoxxoxo""),""Charukeshi"",IF(REGEXMATCH(AT253,""xoxoooxxoxxo""),""Kameshwari"",IF(REG"&amp;"EXMATCH(AT253,""xoxoxooxoxox""),""Shankara"",IF(REGEXMATCH(AT253,""xxooxoxxxoox""),""Basant"",IF(REGEXMATCH(AT253,""xoxoxxxxoxox""),""Bihag"",IF(REGEXMATCH(AT253,""xoxxxxoxoxxx""),""Pilu"",IF(REGEXMATCH(AT253,""xoxxoxoxxoox""),""Kirwani"",IF(REGEXMATCH(AT"&amp;"253,""xoxxoxoxoxxx""),""Mk.Malhar"",IF(REGEXMATCH(AT253,""xxooxxoxxoox""),""Bhairav"",IF(REGEXMATCH(AT253,""xxoxooxxxoox""),""Todi"",IF(REGEXMATCH(AT253,""xxooxoxooxox""),""Marwa"",IF(REGEXMATCH(AT253,""xxoooxoxxooo""),""Gunkali"",IF(REGEXMATCH(AT253,""xo"&amp;"xoxxoxxoox""),""Nat Bhairav"",IF(REGEXMATCH(AT253,""xoxxoooxoxoo""),""Shivranjani"",IF(REGEXMATCH(AT253,""xooxxxoxooxo""),""Jog"",IF(REGEXMATCH(AT253,""xxooxoxoxoox""),""Hemshri"",IF(REGEXMATCH(AT253,""xoooxooxoxxo""),""Kalavati"",IF(REGEXMATCH(AT253,""xx"&amp;"oxoxxoxoox""),""Kedar"",IF(REGEXMATCH(AT253,""xoxxxxoxooxx""),""Gara"",IF(REGEXMATCH(AT253,""xooxoxooxoox""),""Chandrakauns"",IF(REGEXMATCH(AT253,""xoxxxxoxxxox""),""Mand"",IF(REGEXMATCH(AT253,""xoxxxxoxoxox""),""Hanskinkini"",IF(REGEXMATCH(AT253,""xxooxx"&amp;"oxooxo""),""Lilavati"",IF(REGEXMATCH(AT253,""xooxoxoooxox""),""Rajeshwari"",IF(REGEXMATCH(AT253,""xoooxxoxoxxx""),""Khokar"",IF(REGEXMATCH(AT253,""xxooxoxxxxox""),""Maligoura"",""-""))))))))))))))))))))))))))))))"),"(n/a)")</f>
        <v>(n/a)</v>
      </c>
      <c r="BG253" s="239" t="str">
        <f t="shared" si="26"/>
        <v>#REF!</v>
      </c>
      <c r="BH253" s="239">
        <f>IFERROR(__xludf.DUMMYFUNCTION("COUNTUNIQUE(FE253:FO253)-1"),8.0)</f>
        <v>8</v>
      </c>
      <c r="BI253" s="239">
        <f>IFERROR(__xludf.DUMMYFUNCTION("COUNTUNIQUE(FILTER(AT:AT,REGEXMATCH(AT:AT,AS253)))-1"),0.0)</f>
        <v>0</v>
      </c>
      <c r="BJ253" s="239">
        <f>IFERROR(__xludf.DUMMYFUNCTION("COUNTA(FILTER(AT:AT,REGEXMATCH(AT:AT,AS253)))"),1.0)</f>
        <v>1</v>
      </c>
      <c r="BK253" s="341">
        <f>IFERROR(__xludf.DUMMYFUNCTION("COUNTA(FILTER(AT:AT,REGEXMATCH(AT:AT,AS253)))-AR253"),1.0)</f>
        <v>1</v>
      </c>
      <c r="BL253" s="276" t="str">
        <f>IFERROR(__xludf.DUMMYFUNCTION("IF(AS253=""oooooooooooo"",""-"",IF(REGEXMATCH(AT253,""xx""), ""Hemi."", ""Anhemi.""))"),"Hemi.")</f>
        <v>Hemi.</v>
      </c>
      <c r="BM253" s="282" t="str">
        <f>IFERROR(__xludf.DUMMYFUNCTION("IF(AS253=""oooooooooooo"",""-"",IF(REGEXMATCH(AT253,""xxx""), ""Cohem."", ""-""))"),"Cohem.")</f>
        <v>Cohem.</v>
      </c>
      <c r="BN253" s="282" t="str">
        <f>IFERROR(__xludf.DUMMYFUNCTION("IF(AS253=""oooooooooooo"",""-"",IF(REGEXMATCH(AT253,""xxxx""), ""Co-Co."", ""-""))"),"Co-Co.")</f>
        <v>Co-Co.</v>
      </c>
      <c r="BO253" s="342" t="str">
        <f>IFERROR(__xludf.DUMMYFUNCTION("IF(AS253=""oooooooooooo"",""-"",IF(REGEXMATCH(AT253,""xxxxx""), ""CCC."", ""-""))"),"CCC.")</f>
        <v>CCC.</v>
      </c>
      <c r="BP253" s="344" t="str">
        <f t="shared" si="27"/>
        <v>-</v>
      </c>
      <c r="BQ253" s="282" t="str">
        <f>IFERROR(__xludf.DUMMYFUNCTION("IF(REGEXMATCH(JOIN(""-"",EU253:FD253),""TRUE""),""✔"",""-"")"),"-")</f>
        <v>-</v>
      </c>
      <c r="BR253" s="225">
        <f t="shared" si="28"/>
        <v>0</v>
      </c>
      <c r="BS253" s="345" t="str">
        <f>IFERROR(__xludf.DUMMYFUNCTION("SUBSTITUTE(SUBSTITUTE(SUBSTITUTE(SUBSTITUTE(CONCATENATE(JOIN(""-"",GC253:GO253)),""--"",""-""),""--"",""-""),""--"",""-""),""--"",""-"")"),"1-b2-b3-4-#4-5-6-b7-7-8")</f>
        <v>1-b2-b3-4-#4-5-6-b7-7-8</v>
      </c>
      <c r="BT253" s="299" t="str">
        <f>IFERROR(__xludf.DUMMYFUNCTION("SUBSTITUTE(SUBSTITUTE(SUBSTITUTE(SUBSTITUTE(CONCATENATE(JOIN(""-"",GP253:HB253)),""--"",""-""),""--"",""-""),""--"",""-""),""--"",""-"")"),"S-R1-G2-M1-M2-P-D2-N2-N3-S")</f>
        <v>S-R1-G2-M1-M2-P-D2-N2-N3-S</v>
      </c>
      <c r="BU253" s="348" t="str">
        <f t="shared" si="29"/>
        <v>C-Db-Eb-F-F#-G-A-Bb-B-C</v>
      </c>
      <c r="BV253" s="349" t="str">
        <f t="shared" si="30"/>
        <v>SRGdS</v>
      </c>
      <c r="BW253" s="350">
        <f t="shared" si="31"/>
        <v>0</v>
      </c>
      <c r="BX253" s="351">
        <f t="shared" si="32"/>
        <v>1</v>
      </c>
      <c r="BY253" s="352" t="s">
        <v>275</v>
      </c>
      <c r="BZ253" s="309" t="str">
        <f>IFERROR(__xludf.DUMMYFUNCTION("IF(REGEXMATCH(C253, ""S""), ""x"",""x"")"),"x")</f>
        <v>x</v>
      </c>
      <c r="CA253" s="245" t="str">
        <f>IFERROR(__xludf.DUMMYFUNCTION("IF(REGEXMATCH(C253, ""r""), ""o"",""x"")"),"o")</f>
        <v>o</v>
      </c>
      <c r="CB253" s="246" t="str">
        <f>IFERROR(__xludf.DUMMYFUNCTION("IF(REGEXMATCH(C253, ""R""), ""o"",""x"")"),"x")</f>
        <v>x</v>
      </c>
      <c r="CC253" s="246" t="str">
        <f>IFERROR(__xludf.DUMMYFUNCTION("IF(REGEXMATCH(C253, ""g""), ""o"",""x"")"),"o")</f>
        <v>o</v>
      </c>
      <c r="CD253" s="245" t="str">
        <f>IFERROR(__xludf.DUMMYFUNCTION("IF(REGEXMATCH(C253, ""G""), ""o"",""x"")"),"x")</f>
        <v>x</v>
      </c>
      <c r="CE253" s="245" t="str">
        <f>IFERROR(__xludf.DUMMYFUNCTION("IF(REGEXMATCH(C253, ""m""), ""o"",""x"")"),"o")</f>
        <v>o</v>
      </c>
      <c r="CF253" s="246" t="str">
        <f>IFERROR(__xludf.DUMMYFUNCTION("IF(REGEXMATCH(C253, ""M""), ""o"",""x"")"),"o")</f>
        <v>o</v>
      </c>
      <c r="CG253" s="245" t="str">
        <f>IFERROR(__xludf.DUMMYFUNCTION("IF(REGEXMATCH(C253, ""P""), ""o"",""x"")"),"o")</f>
        <v>o</v>
      </c>
      <c r="CH253" s="246" t="str">
        <f>IFERROR(__xludf.DUMMYFUNCTION("IF(REGEXMATCH(C253, ""d""), ""o"",""x"")"),"x")</f>
        <v>x</v>
      </c>
      <c r="CI253" s="245" t="str">
        <f>IFERROR(__xludf.DUMMYFUNCTION("IF(REGEXMATCH(C253, ""D""), ""o"",""x"")"),"o")</f>
        <v>o</v>
      </c>
      <c r="CJ253" s="245" t="str">
        <f>IFERROR(__xludf.DUMMYFUNCTION("IF(REGEXMATCH(C253, ""n""), ""o"",""x"")"),"o")</f>
        <v>o</v>
      </c>
      <c r="CK253" s="245" t="str">
        <f>IFERROR(__xludf.DUMMYFUNCTION("IF(REGEXMATCH(C253, ""N""), ""o"",""x"")"),"o")</f>
        <v>o</v>
      </c>
      <c r="CL253" s="356" t="str">
        <f>IFERROR(__xludf.DUMMYFUNCTION("IF(REGEXMATCH(C253, ""S""), ""x"",""x"")"),"x")</f>
        <v>x</v>
      </c>
      <c r="CM253" s="357" t="str">
        <f t="shared" si="33"/>
        <v>xoxoxoooxooo</v>
      </c>
      <c r="CN253" s="358">
        <f t="shared" si="34"/>
        <v>0</v>
      </c>
      <c r="CO253" s="246" t="str">
        <f>IFERROR(__xludf.DUMMYFUNCTION("IF(REGEXMATCH($C253, ""S""), ""S"",""S"")"),"S")</f>
        <v>S</v>
      </c>
      <c r="CP253" s="246" t="str">
        <f>IFERROR(__xludf.DUMMYFUNCTION("IF(REGEXMATCH($C253, ""r""), """",""r"")"),"")</f>
        <v/>
      </c>
      <c r="CQ253" s="246" t="str">
        <f>IFERROR(__xludf.DUMMYFUNCTION("IF(REGEXMATCH($C253, ""R""), """",""R"")"),"R")</f>
        <v>R</v>
      </c>
      <c r="CR253" s="246" t="str">
        <f>IFERROR(__xludf.DUMMYFUNCTION("IF(REGEXMATCH($C253, ""g""), """",""g"")"),"")</f>
        <v/>
      </c>
      <c r="CS253" s="246" t="str">
        <f>IFERROR(__xludf.DUMMYFUNCTION("IF(REGEXMATCH($C253, ""G""), """",""G"")"),"G")</f>
        <v>G</v>
      </c>
      <c r="CT253" s="246" t="str">
        <f>IFERROR(__xludf.DUMMYFUNCTION("IF(REGEXMATCH($C253, ""m""), """",""m"")"),"")</f>
        <v/>
      </c>
      <c r="CU253" s="246" t="str">
        <f>IFERROR(__xludf.DUMMYFUNCTION("IF(REGEXMATCH($C253, ""M""), """",""M"")"),"")</f>
        <v/>
      </c>
      <c r="CV253" s="246" t="str">
        <f>IFERROR(__xludf.DUMMYFUNCTION("IF(REGEXMATCH($C253, ""P""), """",""P"")"),"")</f>
        <v/>
      </c>
      <c r="CW253" s="246" t="str">
        <f>IFERROR(__xludf.DUMMYFUNCTION("IF(REGEXMATCH($C253, ""d""), """",""d"")"),"d")</f>
        <v>d</v>
      </c>
      <c r="CX253" s="246" t="str">
        <f>IFERROR(__xludf.DUMMYFUNCTION("IF(REGEXMATCH($C253, ""D""), """",""D"")"),"")</f>
        <v/>
      </c>
      <c r="CY253" s="246" t="str">
        <f>IFERROR(__xludf.DUMMYFUNCTION("IF(REGEXMATCH($C253, ""n""), """",""n"")"),"")</f>
        <v/>
      </c>
      <c r="CZ253" s="246" t="str">
        <f>IFERROR(__xludf.DUMMYFUNCTION("IF(REGEXMATCH($C253, ""N""), """",""N"")"),"")</f>
        <v/>
      </c>
      <c r="DA253" s="246" t="str">
        <f>IFERROR(__xludf.DUMMYFUNCTION("IF(REGEXMATCH($C253, ""S""), ""S"",""S"")"),"S")</f>
        <v>S</v>
      </c>
      <c r="DB253" s="362" t="str">
        <f>IFERROR(__xludf.DUMMYFUNCTION("JOIN("""",CO253:DA253,"""","""")"),"SRGdS")</f>
        <v>SRGdS</v>
      </c>
      <c r="DC253" s="363"/>
      <c r="DD253" s="301" t="str">
        <f t="shared" si="35"/>
        <v>#REF!</v>
      </c>
      <c r="DE253" s="302" t="str">
        <f t="shared" si="36"/>
        <v>#REF!</v>
      </c>
      <c r="DF253" s="301" t="str">
        <f t="shared" ref="DF253:DG253" si="727">SUBSTITUTE(S253,"-","")</f>
        <v>SRGM</v>
      </c>
      <c r="DG253" s="301" t="str">
        <f t="shared" si="727"/>
        <v>PDNS</v>
      </c>
      <c r="DH253" s="302" t="str">
        <f t="shared" si="38"/>
        <v>(n/a)</v>
      </c>
      <c r="DI253" s="301" t="str">
        <f t="shared" si="39"/>
        <v>Hemi.</v>
      </c>
      <c r="DJ253" s="364" t="str">
        <f t="shared" si="40"/>
        <v>CCC.</v>
      </c>
      <c r="DK253" s="306" t="str">
        <f t="shared" si="41"/>
        <v>-</v>
      </c>
      <c r="DL253" s="366" t="str">
        <f t="shared" si="42"/>
        <v>-</v>
      </c>
      <c r="DM253" s="308" t="str">
        <f t="shared" si="43"/>
        <v>✔</v>
      </c>
      <c r="DN253" s="306" t="str">
        <f t="shared" si="44"/>
        <v>-</v>
      </c>
      <c r="DO253" s="306" t="str">
        <f t="shared" si="45"/>
        <v>-</v>
      </c>
      <c r="DP253" s="367" t="str">
        <f t="shared" si="46"/>
        <v>-</v>
      </c>
      <c r="DQ253" s="310" t="str">
        <f t="shared" si="47"/>
        <v>-</v>
      </c>
      <c r="DR253" s="310" t="str">
        <f t="shared" si="48"/>
        <v>-</v>
      </c>
      <c r="DS253" s="310" t="str">
        <f t="shared" si="49"/>
        <v>✔</v>
      </c>
      <c r="DT253" s="310" t="str">
        <f t="shared" si="50"/>
        <v>-</v>
      </c>
      <c r="DU253" s="370" t="str">
        <f t="shared" si="51"/>
        <v>✔</v>
      </c>
      <c r="DV253" s="306" t="str">
        <f t="shared" si="52"/>
        <v>-</v>
      </c>
      <c r="DW253" s="306" t="str">
        <f t="shared" si="53"/>
        <v>-</v>
      </c>
      <c r="DX253" s="306" t="str">
        <f t="shared" si="54"/>
        <v>-</v>
      </c>
      <c r="DY253" s="306" t="str">
        <f t="shared" si="55"/>
        <v>-</v>
      </c>
      <c r="DZ253" s="306" t="str">
        <f t="shared" si="56"/>
        <v>-</v>
      </c>
      <c r="EA253" s="367" t="str">
        <f t="shared" si="57"/>
        <v>-</v>
      </c>
      <c r="EB253" s="310" t="str">
        <f>IFERROR(__xludf.DUMMYFUNCTION("IF(REGEXMATCH(AW253,AS253),""✔"",""-"")"),"-")</f>
        <v>-</v>
      </c>
      <c r="EC253" s="310" t="str">
        <f t="shared" si="58"/>
        <v>#REF!</v>
      </c>
      <c r="ED253" s="370" t="str">
        <f t="shared" si="59"/>
        <v>-</v>
      </c>
      <c r="EE253" s="340" t="str">
        <f t="shared" si="60"/>
        <v>S-r-g-mM-P-D-nN-S</v>
      </c>
      <c r="EF253" s="371" t="str">
        <f>IFERROR(__xludf.DUMMYFUNCTION("CONCATENATE(JOIN("""",HC253:HO253))"),"SrRgmMPDNS")</f>
        <v>SrRgmMPDNS</v>
      </c>
      <c r="EG253" s="372">
        <f t="shared" si="61"/>
        <v>3</v>
      </c>
      <c r="EH253" s="373" t="str">
        <f>IFERROR(__xludf.DUMMYFUNCTION("CONCATENATE(JOIN("""",JC253:JO253))"),"re, Pa, Dha, ")</f>
        <v>re, Pa, Dha, </v>
      </c>
      <c r="EI253" s="322">
        <f t="shared" si="62"/>
        <v>1</v>
      </c>
      <c r="EJ253" s="374" t="str">
        <f>IFERROR(__xludf.DUMMYFUNCTION("CONCATENATE(JOIN("""",KC253:KO253))"),"Dha, ")</f>
        <v>Dha, </v>
      </c>
      <c r="EK253" s="325" t="str">
        <f t="shared" si="63"/>
        <v>S-R1-G2-M1-M2-P-D2-N2-N3-S</v>
      </c>
      <c r="EL253" s="326" t="str">
        <f t="shared" si="64"/>
        <v>1-b2-b3-4-#4-5-6-b7-7-8</v>
      </c>
      <c r="EM253" s="318" t="str">
        <f t="shared" si="65"/>
        <v>#REF!</v>
      </c>
      <c r="EN253" s="328" t="str">
        <f>IFERROR(__xludf.DUMMYFUNCTION("SUBSTITUTE(SUBSTITUTE(SUBSTITUTE(SUBSTITUTE(CONCATENATE(JOIN("" "",HP253:IB253)),""  "","" ""),""  "","" ""),""  "","" ""),""  "","" "")"),"o o • o • o o o • o o o o")</f>
        <v>o o • o • o o o • o o o o</v>
      </c>
      <c r="EO253" s="368" t="str">
        <f t="shared" si="66"/>
        <v>-</v>
      </c>
      <c r="EP253" s="339" t="str">
        <f t="shared" si="67"/>
        <v>-</v>
      </c>
      <c r="EQ253" s="339" t="str">
        <f t="shared" si="68"/>
        <v>Sa-Pa</v>
      </c>
      <c r="ER253" s="339" t="str">
        <f t="shared" si="69"/>
        <v>-</v>
      </c>
      <c r="ES253" s="340" t="str">
        <f t="shared" si="70"/>
        <v>-</v>
      </c>
      <c r="ET253" s="363"/>
      <c r="EU253" s="376" t="b">
        <f>IFERROR(__xludf.DUMMYFUNCTION("arrayformula(sum(--REGEXMATCH(""SRGMPDNS"",split(REGEXREPLACE(C253,""(.)"",""$1~""),""~""))))=len(C253)
"),FALSE)</f>
        <v>0</v>
      </c>
      <c r="EV253" s="290" t="b">
        <f>IFERROR(__xludf.DUMMYFUNCTION("arrayformula(sum(--REGEXMATCH(""SRGmPDNS"",split(REGEXREPLACE(C253,""(.)"",""$1~""),""~""))))=len(C253)"),FALSE)</f>
        <v>0</v>
      </c>
      <c r="EW253" s="290" t="b">
        <f>IFERROR(__xludf.DUMMYFUNCTION("arrayformula(sum(--REGEXMATCH(""SRGmPDnS"",split(REGEXREPLACE(C253,""(.)"",""$1~""),""~""))))=len(C253)"),FALSE)</f>
        <v>0</v>
      </c>
      <c r="EX253" s="290" t="b">
        <f>IFERROR(__xludf.DUMMYFUNCTION("arrayformula(sum(--REGEXMATCH(""SRgmPDnS"",split(REGEXREPLACE(C253,""(.)"",""$1~""),""~""))))=len(C253)"),FALSE)</f>
        <v>0</v>
      </c>
      <c r="EY253" s="290" t="b">
        <f>IFERROR(__xludf.DUMMYFUNCTION("arrayformula(sum(--REGEXMATCH(""SRgmPdnS"",split(REGEXREPLACE(C253,""(.)"",""$1~""),""~""))))=len(C253)"),FALSE)</f>
        <v>0</v>
      </c>
      <c r="EZ253" s="290" t="b">
        <f>IFERROR(__xludf.DUMMYFUNCTION("arrayformula(sum(--REGEXMATCH(""SrgmPdnS"",split(REGEXREPLACE(C253,""(.)"",""$1~""),""~""))))=len(C253)"),FALSE)</f>
        <v>0</v>
      </c>
      <c r="FA253" s="290" t="b">
        <f>IFERROR(__xludf.DUMMYFUNCTION("arrayformula(sum(--REGEXMATCH(""SrGmPdNS"",split(REGEXREPLACE(C253,""(.)"",""$1~""),""~""))))=len(C253)"),FALSE)</f>
        <v>0</v>
      </c>
      <c r="FB253" s="290" t="b">
        <f>IFERROR(__xludf.DUMMYFUNCTION("arrayformula(sum(--REGEXMATCH(""SrGMPDNS"",split(REGEXREPLACE(C253,""(.)"",""$1~""),""~""))))=len(C253)"),FALSE)</f>
        <v>0</v>
      </c>
      <c r="FC253" s="290" t="b">
        <f>IFERROR(__xludf.DUMMYFUNCTION("arrayformula(sum(--REGEXMATCH(""SrGMPdNS"",split(REGEXREPLACE(C253,""(.)"",""$1~""),""~""))))=len(C253)"),FALSE)</f>
        <v>0</v>
      </c>
      <c r="FD253" s="377" t="b">
        <f>IFERROR(__xludf.DUMMYFUNCTION("arrayformula(sum(--REGEXMATCH(""SrgMPdNS"",split(REGEXREPLACE(C253,""(.)"",""$1~""),""~""))))=len(C253)"),FALSE)</f>
        <v>0</v>
      </c>
      <c r="FE253" s="269" t="str">
        <f t="shared" si="71"/>
        <v>xoxoxxxoxxx</v>
      </c>
      <c r="FF253" s="269" t="str">
        <f t="shared" si="72"/>
        <v>-</v>
      </c>
      <c r="FG253" s="271" t="str">
        <f t="shared" si="73"/>
        <v>xoxxxoxxxxx</v>
      </c>
      <c r="FH253" s="269" t="str">
        <f t="shared" si="74"/>
        <v>-</v>
      </c>
      <c r="FI253" s="271" t="str">
        <f t="shared" si="75"/>
        <v>xxxoxxxxxox</v>
      </c>
      <c r="FJ253" s="271" t="str">
        <f t="shared" si="76"/>
        <v>xxoxxxxxoxo</v>
      </c>
      <c r="FK253" s="271" t="str">
        <f t="shared" si="77"/>
        <v>xoxxxxxoxox</v>
      </c>
      <c r="FL253" s="271" t="str">
        <f t="shared" si="78"/>
        <v>-</v>
      </c>
      <c r="FM253" s="271" t="str">
        <f t="shared" si="79"/>
        <v>xxxxxoxoxxx</v>
      </c>
      <c r="FN253" s="271" t="str">
        <f t="shared" si="80"/>
        <v>xxxxoxoxxxo</v>
      </c>
      <c r="FO253" s="274" t="str">
        <f t="shared" si="81"/>
        <v>xxxoxoxxxox</v>
      </c>
      <c r="FP253" s="234" t="str">
        <f t="shared" si="82"/>
        <v>|</v>
      </c>
      <c r="FQ253" s="236" t="str">
        <f t="shared" si="83"/>
        <v>|</v>
      </c>
      <c r="FR253" s="237" t="str">
        <f t="shared" si="84"/>
        <v>-</v>
      </c>
      <c r="FS253" s="236" t="str">
        <f t="shared" si="85"/>
        <v>|</v>
      </c>
      <c r="FT253" s="237" t="str">
        <f t="shared" si="86"/>
        <v>-</v>
      </c>
      <c r="FU253" s="236" t="str">
        <f t="shared" si="87"/>
        <v>|</v>
      </c>
      <c r="FV253" s="237" t="str">
        <f t="shared" si="88"/>
        <v>|</v>
      </c>
      <c r="FW253" s="236" t="str">
        <f t="shared" si="89"/>
        <v>|</v>
      </c>
      <c r="FX253" s="237" t="str">
        <f t="shared" si="90"/>
        <v>-</v>
      </c>
      <c r="FY253" s="236" t="str">
        <f t="shared" si="91"/>
        <v>|</v>
      </c>
      <c r="FZ253" s="237" t="str">
        <f t="shared" si="92"/>
        <v>|</v>
      </c>
      <c r="GA253" s="236" t="str">
        <f t="shared" si="93"/>
        <v>|</v>
      </c>
      <c r="GB253" s="238" t="str">
        <f t="shared" si="94"/>
        <v>|</v>
      </c>
      <c r="GC253" s="244" t="str">
        <f>IFERROR(__xludf.DUMMYFUNCTION("IF(REGEXMATCH(C253, ""S""), ""1"","""")"),"1")</f>
        <v>1</v>
      </c>
      <c r="GD253" s="245" t="str">
        <f>IFERROR(__xludf.DUMMYFUNCTION("IF(REGEXMATCH(C253, ""r""), ""b2"","""")"),"b2")</f>
        <v>b2</v>
      </c>
      <c r="GE253" s="246" t="str">
        <f>IFERROR(__xludf.DUMMYFUNCTION("IF(REGEXMATCH(C253, ""R""), ""2"","""")"),"")</f>
        <v/>
      </c>
      <c r="GF253" s="246" t="str">
        <f>IFERROR(__xludf.DUMMYFUNCTION("IF(REGEXMATCH(C253, ""g""), ""b3"","""")"),"b3")</f>
        <v>b3</v>
      </c>
      <c r="GG253" s="245" t="str">
        <f>IFERROR(__xludf.DUMMYFUNCTION("IF(REGEXMATCH(C253, ""G""), ""3"","""")"),"")</f>
        <v/>
      </c>
      <c r="GH253" s="245" t="str">
        <f>IFERROR(__xludf.DUMMYFUNCTION("IF(REGEXMATCH(C253, ""m""), ""4"","""")"),"4")</f>
        <v>4</v>
      </c>
      <c r="GI253" s="246" t="str">
        <f>IFERROR(__xludf.DUMMYFUNCTION("IF(REGEXMATCH(C253, ""M""), ""#4"","""")"),"#4")</f>
        <v>#4</v>
      </c>
      <c r="GJ253" s="245" t="str">
        <f>IFERROR(__xludf.DUMMYFUNCTION("IF(REGEXMATCH(C253, ""P""), ""5"","""")"),"5")</f>
        <v>5</v>
      </c>
      <c r="GK253" s="246" t="str">
        <f>IFERROR(__xludf.DUMMYFUNCTION("IF(REGEXMATCH(C253, ""d""), ""b6"","""")"),"")</f>
        <v/>
      </c>
      <c r="GL253" s="245" t="str">
        <f>IFERROR(__xludf.DUMMYFUNCTION("IF(REGEXMATCH(C253, ""D""), ""6"","""")"),"6")</f>
        <v>6</v>
      </c>
      <c r="GM253" s="245" t="str">
        <f>IFERROR(__xludf.DUMMYFUNCTION("IF(REGEXMATCH(C253, ""n""), ""b7"","""")"),"b7")</f>
        <v>b7</v>
      </c>
      <c r="GN253" s="246" t="str">
        <f>IFERROR(__xludf.DUMMYFUNCTION("IF(REGEXMATCH(C253, ""N""), ""7"","""")"),"7")</f>
        <v>7</v>
      </c>
      <c r="GO253" s="249" t="str">
        <f>IFERROR(__xludf.DUMMYFUNCTION("IF(REGEXMATCH(C253, ""S""), ""8"","""")"),"8")</f>
        <v>8</v>
      </c>
      <c r="GP253" s="244" t="str">
        <f>IFERROR(__xludf.DUMMYFUNCTION("IF(REGEXMATCH(C253, ""S""), ""S"","""")"),"S")</f>
        <v>S</v>
      </c>
      <c r="GQ253" s="294" t="str">
        <f>IFERROR(__xludf.DUMMYFUNCTION("IF(REGEXMATCH(C253, ""r""), ""R1"","""")"),"R1")</f>
        <v>R1</v>
      </c>
      <c r="GR253" s="295" t="str">
        <f>IFERROR(__xludf.DUMMYFUNCTION("IF(REGEXMATCH(C253, ""R""), ""R2"","""")"),"")</f>
        <v/>
      </c>
      <c r="GS253" s="295" t="str">
        <f>IFERROR(__xludf.DUMMYFUNCTION("IF(REGEXMATCH(C253, ""g""), ""G2"","""")"),"G2")</f>
        <v>G2</v>
      </c>
      <c r="GT253" s="294" t="str">
        <f>IFERROR(__xludf.DUMMYFUNCTION("IF(REGEXMATCH(C253, ""G""), ""G3"","""")"),"")</f>
        <v/>
      </c>
      <c r="GU253" s="294" t="str">
        <f>IFERROR(__xludf.DUMMYFUNCTION("IF(REGEXMATCH(C253, ""m""), ""M1"","""")"),"M1")</f>
        <v>M1</v>
      </c>
      <c r="GV253" s="295" t="str">
        <f>IFERROR(__xludf.DUMMYFUNCTION("IF(REGEXMATCH(C253, ""M""), ""M2"","""")"),"M2")</f>
        <v>M2</v>
      </c>
      <c r="GW253" s="294" t="str">
        <f>IFERROR(__xludf.DUMMYFUNCTION("IF(REGEXMATCH(C253, ""P""), ""P"","""")"),"P")</f>
        <v>P</v>
      </c>
      <c r="GX253" s="295" t="str">
        <f>IFERROR(__xludf.DUMMYFUNCTION("IF(REGEXMATCH(C253, ""d""), ""D1"","""")"),"")</f>
        <v/>
      </c>
      <c r="GY253" s="294" t="str">
        <f>IFERROR(__xludf.DUMMYFUNCTION("IF(REGEXMATCH(C253, ""D""), ""D2"","""")"),"D2")</f>
        <v>D2</v>
      </c>
      <c r="GZ253" s="294" t="str">
        <f>IFERROR(__xludf.DUMMYFUNCTION("IF(REGEXMATCH(C253, ""n""), ""N2"","""")"),"N2")</f>
        <v>N2</v>
      </c>
      <c r="HA253" s="295" t="str">
        <f>IFERROR(__xludf.DUMMYFUNCTION("IF(REGEXMATCH(C253, ""N""), ""N3"","""")"),"N3")</f>
        <v>N3</v>
      </c>
      <c r="HB253" s="249" t="str">
        <f>IFERROR(__xludf.DUMMYFUNCTION("IF(REGEXMATCH(C253, ""S""), ""S"","""")"),"S")</f>
        <v>S</v>
      </c>
      <c r="HC253" s="331" t="str">
        <f t="shared" si="95"/>
        <v>S</v>
      </c>
      <c r="HD253" s="332" t="str">
        <f t="shared" si="96"/>
        <v>r</v>
      </c>
      <c r="HE253" s="332" t="str">
        <f t="shared" si="97"/>
        <v>R</v>
      </c>
      <c r="HF253" s="332" t="str">
        <f t="shared" si="98"/>
        <v>g</v>
      </c>
      <c r="HG253" s="332" t="str">
        <f t="shared" si="99"/>
        <v/>
      </c>
      <c r="HH253" s="332" t="str">
        <f t="shared" si="100"/>
        <v>m</v>
      </c>
      <c r="HI253" s="332" t="str">
        <f t="shared" si="101"/>
        <v>M</v>
      </c>
      <c r="HJ253" s="332" t="str">
        <f t="shared" si="102"/>
        <v>P</v>
      </c>
      <c r="HK253" s="332" t="str">
        <f t="shared" si="103"/>
        <v/>
      </c>
      <c r="HL253" s="332" t="str">
        <f t="shared" si="104"/>
        <v>D</v>
      </c>
      <c r="HM253" s="332" t="str">
        <f t="shared" si="105"/>
        <v/>
      </c>
      <c r="HN253" s="332" t="str">
        <f t="shared" si="106"/>
        <v>N</v>
      </c>
      <c r="HO253" s="343" t="str">
        <f t="shared" si="107"/>
        <v>S</v>
      </c>
      <c r="HP253" s="331" t="str">
        <f t="shared" si="108"/>
        <v>o</v>
      </c>
      <c r="HQ253" s="332" t="str">
        <f t="shared" si="109"/>
        <v>o</v>
      </c>
      <c r="HR253" s="332" t="str">
        <f t="shared" si="110"/>
        <v>•</v>
      </c>
      <c r="HS253" s="332" t="str">
        <f t="shared" si="111"/>
        <v>o</v>
      </c>
      <c r="HT253" s="332" t="str">
        <f t="shared" si="112"/>
        <v>•</v>
      </c>
      <c r="HU253" s="332" t="str">
        <f t="shared" si="113"/>
        <v>o</v>
      </c>
      <c r="HV253" s="332" t="str">
        <f t="shared" si="114"/>
        <v>o</v>
      </c>
      <c r="HW253" s="332" t="str">
        <f t="shared" si="115"/>
        <v>o</v>
      </c>
      <c r="HX253" s="332" t="str">
        <f t="shared" si="116"/>
        <v>•</v>
      </c>
      <c r="HY253" s="332" t="str">
        <f t="shared" si="117"/>
        <v>o</v>
      </c>
      <c r="HZ253" s="332" t="str">
        <f t="shared" si="118"/>
        <v>o</v>
      </c>
      <c r="IA253" s="332" t="str">
        <f t="shared" si="119"/>
        <v>o</v>
      </c>
      <c r="IB253" s="338" t="str">
        <f t="shared" si="120"/>
        <v>o</v>
      </c>
      <c r="IC253" s="331" t="str">
        <f t="shared" si="121"/>
        <v>•</v>
      </c>
      <c r="ID253" s="332" t="str">
        <f t="shared" si="122"/>
        <v>•</v>
      </c>
      <c r="IE253" s="332" t="str">
        <f t="shared" si="123"/>
        <v>o</v>
      </c>
      <c r="IF253" s="332" t="str">
        <f t="shared" si="124"/>
        <v>•</v>
      </c>
      <c r="IG253" s="332" t="str">
        <f t="shared" si="125"/>
        <v>o</v>
      </c>
      <c r="IH253" s="332" t="str">
        <f t="shared" si="126"/>
        <v>•</v>
      </c>
      <c r="II253" s="332" t="str">
        <f t="shared" si="127"/>
        <v>•</v>
      </c>
      <c r="IJ253" s="332" t="str">
        <f t="shared" si="128"/>
        <v>•</v>
      </c>
      <c r="IK253" s="332" t="str">
        <f t="shared" si="129"/>
        <v>o</v>
      </c>
      <c r="IL253" s="332" t="str">
        <f t="shared" si="130"/>
        <v>•</v>
      </c>
      <c r="IM253" s="332" t="str">
        <f t="shared" si="131"/>
        <v>•</v>
      </c>
      <c r="IN253" s="332" t="str">
        <f t="shared" si="132"/>
        <v>•</v>
      </c>
      <c r="IO253" s="338" t="str">
        <f t="shared" si="133"/>
        <v>•</v>
      </c>
      <c r="IP253" s="346" t="b">
        <f t="shared" si="134"/>
        <v>0</v>
      </c>
      <c r="IQ253" s="347" t="b">
        <f t="shared" si="135"/>
        <v>1</v>
      </c>
      <c r="IR253" s="347" t="b">
        <f t="shared" si="136"/>
        <v>0</v>
      </c>
      <c r="IS253" s="347" t="b">
        <f t="shared" si="137"/>
        <v>0</v>
      </c>
      <c r="IT253" s="347" t="b">
        <f t="shared" si="138"/>
        <v>0</v>
      </c>
      <c r="IU253" s="347" t="b">
        <f t="shared" si="139"/>
        <v>0</v>
      </c>
      <c r="IV253" s="347" t="b">
        <f t="shared" si="140"/>
        <v>0</v>
      </c>
      <c r="IW253" s="347" t="b">
        <f t="shared" si="141"/>
        <v>1</v>
      </c>
      <c r="IX253" s="347" t="b">
        <f t="shared" si="142"/>
        <v>0</v>
      </c>
      <c r="IY253" s="347" t="b">
        <f t="shared" si="143"/>
        <v>1</v>
      </c>
      <c r="IZ253" s="347" t="b">
        <f t="shared" si="144"/>
        <v>0</v>
      </c>
      <c r="JA253" s="347" t="b">
        <f t="shared" si="145"/>
        <v>0</v>
      </c>
      <c r="JB253" s="353" t="b">
        <f t="shared" si="146"/>
        <v>0</v>
      </c>
      <c r="JC253" s="354" t="str">
        <f t="shared" si="147"/>
        <v/>
      </c>
      <c r="JD253" s="355" t="str">
        <f t="shared" si="148"/>
        <v>re, </v>
      </c>
      <c r="JE253" s="355" t="str">
        <f t="shared" si="149"/>
        <v/>
      </c>
      <c r="JF253" s="355" t="str">
        <f t="shared" si="150"/>
        <v/>
      </c>
      <c r="JG253" s="355" t="str">
        <f t="shared" si="151"/>
        <v/>
      </c>
      <c r="JH253" s="355" t="str">
        <f t="shared" si="152"/>
        <v/>
      </c>
      <c r="JI253" s="355" t="str">
        <f t="shared" si="153"/>
        <v/>
      </c>
      <c r="JJ253" s="355" t="str">
        <f t="shared" si="154"/>
        <v>Pa, </v>
      </c>
      <c r="JK253" s="355" t="str">
        <f t="shared" si="155"/>
        <v/>
      </c>
      <c r="JL253" s="355" t="str">
        <f t="shared" si="156"/>
        <v>Dha, </v>
      </c>
      <c r="JM253" s="355" t="str">
        <f t="shared" si="157"/>
        <v/>
      </c>
      <c r="JN253" s="355" t="str">
        <f t="shared" si="158"/>
        <v/>
      </c>
      <c r="JO253" s="359" t="str">
        <f t="shared" si="159"/>
        <v/>
      </c>
      <c r="JP253" s="346" t="b">
        <f t="shared" si="160"/>
        <v>0</v>
      </c>
      <c r="JQ253" s="347" t="b">
        <f t="shared" si="161"/>
        <v>0</v>
      </c>
      <c r="JR253" s="347" t="b">
        <f t="shared" si="162"/>
        <v>0</v>
      </c>
      <c r="JS253" s="347" t="b">
        <f t="shared" si="163"/>
        <v>0</v>
      </c>
      <c r="JT253" s="347" t="b">
        <f t="shared" si="164"/>
        <v>0</v>
      </c>
      <c r="JU253" s="347" t="b">
        <f t="shared" si="165"/>
        <v>0</v>
      </c>
      <c r="JV253" s="347" t="b">
        <f t="shared" si="166"/>
        <v>0</v>
      </c>
      <c r="JW253" s="347" t="b">
        <f t="shared" si="167"/>
        <v>0</v>
      </c>
      <c r="JX253" s="347" t="b">
        <f t="shared" si="168"/>
        <v>0</v>
      </c>
      <c r="JY253" s="347" t="b">
        <f t="shared" si="169"/>
        <v>1</v>
      </c>
      <c r="JZ253" s="347" t="b">
        <f t="shared" si="170"/>
        <v>0</v>
      </c>
      <c r="KA253" s="347" t="b">
        <f t="shared" si="171"/>
        <v>0</v>
      </c>
      <c r="KB253" s="365" t="b">
        <f t="shared" si="172"/>
        <v>0</v>
      </c>
      <c r="KC253" s="354" t="str">
        <f t="shared" si="173"/>
        <v/>
      </c>
      <c r="KD253" s="355" t="str">
        <f t="shared" si="174"/>
        <v/>
      </c>
      <c r="KE253" s="355" t="str">
        <f t="shared" si="175"/>
        <v/>
      </c>
      <c r="KF253" s="355" t="str">
        <f t="shared" si="176"/>
        <v/>
      </c>
      <c r="KG253" s="355" t="str">
        <f t="shared" si="177"/>
        <v/>
      </c>
      <c r="KH253" s="355" t="str">
        <f t="shared" si="178"/>
        <v/>
      </c>
      <c r="KI253" s="355" t="str">
        <f t="shared" si="179"/>
        <v/>
      </c>
      <c r="KJ253" s="355" t="str">
        <f t="shared" si="180"/>
        <v/>
      </c>
      <c r="KK253" s="355" t="str">
        <f t="shared" si="181"/>
        <v/>
      </c>
      <c r="KL253" s="355" t="str">
        <f t="shared" si="182"/>
        <v>Dha, </v>
      </c>
      <c r="KM253" s="355" t="str">
        <f t="shared" si="183"/>
        <v/>
      </c>
      <c r="KN253" s="355" t="str">
        <f t="shared" si="184"/>
        <v/>
      </c>
      <c r="KO253" s="359"/>
      <c r="KP253" s="378"/>
      <c r="KQ253" s="379" t="s">
        <v>1463</v>
      </c>
      <c r="KR253" s="380" t="s">
        <v>1464</v>
      </c>
      <c r="KS253" s="381" t="str">
        <f>KQ253</f>
        <v>S-r-g-M-P-D-nN-S</v>
      </c>
      <c r="KT253" s="382">
        <f t="shared" si="186"/>
        <v>7</v>
      </c>
      <c r="KU253" s="383">
        <f t="shared" si="187"/>
        <v>8</v>
      </c>
      <c r="KV253" s="381" t="str">
        <f t="shared" si="205"/>
        <v>S-n-D-P-M-g-r-S</v>
      </c>
      <c r="KW253" s="382">
        <f t="shared" si="189"/>
        <v>7</v>
      </c>
      <c r="KX253" s="384">
        <f t="shared" si="190"/>
        <v>7</v>
      </c>
      <c r="KY253" s="382">
        <f t="shared" ref="KY253:KZ253" si="728">KW253-KT253</f>
        <v>0</v>
      </c>
      <c r="KZ253" s="369">
        <f t="shared" si="728"/>
        <v>-1</v>
      </c>
      <c r="LA253" s="385" t="str">
        <f t="shared" si="192"/>
        <v>-</v>
      </c>
      <c r="LB253" s="340" t="str">
        <f>IFERROR(__xludf.DUMMYFUNCTION("JOIN("""",ArrayFormula(MID(KS253,LEN(KS253)-SEQUENCE(1,LEN(KS253))+1,1)))"),"S-Nn-D-P-M-g-r-S")</f>
        <v>S-Nn-D-P-M-g-r-S</v>
      </c>
      <c r="LC253" s="373" t="str">
        <f>IFERROR(__xludf.DUMMYFUNCTION("JOIN("""",ArrayFormula(MID(KV253,LEN(KV253)-SEQUENCE(1,LEN(KV253))+1,1)))"),"S-r-g-M-P-D-n-S")</f>
        <v>S-r-g-M-P-D-n-S</v>
      </c>
      <c r="LD253" s="373" t="str">
        <f t="shared" si="193"/>
        <v>SrgMPDnNS</v>
      </c>
      <c r="LE253" s="339" t="str">
        <f t="shared" si="194"/>
        <v>SrgMPDnS</v>
      </c>
      <c r="LF253" s="386" t="str">
        <f>IFERROR(__xludf.DUMMYFUNCTION("SUBSTITUTE(SUBSTITUTE(CONCATENATE(JOIN("""",LH253:LT253)),""1"",""""),""2"","""")"),"SrgMPDnNS")</f>
        <v>SrgMPDnNS</v>
      </c>
      <c r="LG253" s="369" t="str">
        <f t="shared" si="195"/>
        <v>-</v>
      </c>
      <c r="LH253" s="387" t="str">
        <f>IFERROR(__xludf.DUMMYFUNCTION("IF(REGEXMATCH(LD253, ""S""), ""S"",IF(REGEXMATCH(LE253, ""S""), ""S"",""""))"),"S")</f>
        <v>S</v>
      </c>
      <c r="LI253" s="299" t="str">
        <f>IFERROR(__xludf.DUMMYFUNCTION("IF(REGEXMATCH(LD253, ""r""), ""r1"",IF(REGEXMATCH(LE253, ""r""), ""r2"",""""))"),"r1")</f>
        <v>r1</v>
      </c>
      <c r="LJ253" s="299" t="str">
        <f>IFERROR(__xludf.DUMMYFUNCTION("IF(REGEXMATCH(LD253, ""R""), ""R1"",IF(REGEXMATCH(LE253, ""R""), ""R2"",""""))"),"")</f>
        <v/>
      </c>
      <c r="LK253" s="299" t="str">
        <f>IFERROR(__xludf.DUMMYFUNCTION("IF(REGEXMATCH(LD253, ""g""), ""g1"",IF(REGEXMATCH(LE253, ""g""), ""g2"",""""))"),"g1")</f>
        <v>g1</v>
      </c>
      <c r="LL253" s="299" t="str">
        <f>IFERROR(__xludf.DUMMYFUNCTION("IF(REGEXMATCH(LD253, ""G""), ""G1"",IF(REGEXMATCH(LE253, ""G""), ""G2"",""""))"),"")</f>
        <v/>
      </c>
      <c r="LM253" s="299" t="str">
        <f>IFERROR(__xludf.DUMMYFUNCTION("IF(REGEXMATCH(LD253, ""m""), ""m1"",IF(REGEXMATCH(LE253, ""m""), ""m2"",""""))"),"")</f>
        <v/>
      </c>
      <c r="LN253" s="299" t="str">
        <f>IFERROR(__xludf.DUMMYFUNCTION("IF(REGEXMATCH(LD253, ""M""), ""M1"",IF(REGEXMATCH(LE253, ""M""), ""M2"",""""))"),"M1")</f>
        <v>M1</v>
      </c>
      <c r="LO253" s="299" t="str">
        <f>IFERROR(__xludf.DUMMYFUNCTION("IF(REGEXMATCH(LD253, ""P""), ""P1"",IF(REGEXMATCH(LE253, ""P""), ""P2"",""""))"),"P1")</f>
        <v>P1</v>
      </c>
      <c r="LP253" s="299" t="str">
        <f>IFERROR(__xludf.DUMMYFUNCTION("IF(REGEXMATCH(LD253, ""d""), ""d1"",IF(REGEXMATCH(LE253, ""d""), ""d2"",""""))"),"")</f>
        <v/>
      </c>
      <c r="LQ253" s="299" t="str">
        <f>IFERROR(__xludf.DUMMYFUNCTION("IF(REGEXMATCH(LD253, ""D""), ""D1"",IF(REGEXMATCH(LE253, ""D""), ""D2"",""""))"),"D1")</f>
        <v>D1</v>
      </c>
      <c r="LR253" s="299" t="str">
        <f>IFERROR(__xludf.DUMMYFUNCTION("IF(REGEXMATCH(LD253, ""n""), ""n1"",IF(REGEXMATCH(LE253, ""n""), ""n2"",""""))"),"n1")</f>
        <v>n1</v>
      </c>
      <c r="LS253" s="299" t="str">
        <f>IFERROR(__xludf.DUMMYFUNCTION("IF(REGEXMATCH(LD253, ""N""), ""N1"",IF(REGEXMATCH(LE253, ""N""), ""N2"",""""))"),"N1")</f>
        <v>N1</v>
      </c>
      <c r="LT253" s="388" t="str">
        <f>IFERROR(__xludf.DUMMYFUNCTION("IF(REGEXMATCH(LD253, ""S""), ""S"",IF(REGEXMATCH(LE253, ""S""), ""S"",""""))"),"S")</f>
        <v>S</v>
      </c>
      <c r="LU253" s="389">
        <f t="shared" si="196"/>
        <v>2</v>
      </c>
      <c r="LV253" s="378"/>
      <c r="LW253" s="369"/>
      <c r="LX253" s="369"/>
    </row>
    <row r="254" ht="18.0" customHeight="1">
      <c r="A254" s="298" t="s">
        <v>1031</v>
      </c>
      <c r="B254" s="222" t="s">
        <v>867</v>
      </c>
      <c r="C254" s="233" t="str">
        <f t="shared" si="7"/>
        <v>SRmMPDNS</v>
      </c>
      <c r="D254" s="234" t="str">
        <f>IFERROR(__xludf.DUMMYFUNCTION("IF(REGEXMATCH(C254, ""S""), ""S"","""")"),"S")</f>
        <v>S</v>
      </c>
      <c r="E254" s="236" t="str">
        <f>IFERROR(__xludf.DUMMYFUNCTION("IF(REGEXMATCH(C254, ""r""), ""r"","""")"),"")</f>
        <v/>
      </c>
      <c r="F254" s="237" t="str">
        <f>IFERROR(__xludf.DUMMYFUNCTION("IF(REGEXMATCH(C254, ""R""), ""R"","""")"),"R")</f>
        <v>R</v>
      </c>
      <c r="G254" s="237" t="str">
        <f>IFERROR(__xludf.DUMMYFUNCTION("IF(REGEXMATCH(C254, ""g""), ""g"","""")"),"")</f>
        <v/>
      </c>
      <c r="H254" s="236" t="str">
        <f>IFERROR(__xludf.DUMMYFUNCTION("IF(REGEXMATCH(C254, ""G""), ""G"","""")"),"")</f>
        <v/>
      </c>
      <c r="I254" s="236" t="str">
        <f>IFERROR(__xludf.DUMMYFUNCTION("IF(REGEXMATCH(C254, ""m""), ""m"","""")"),"m")</f>
        <v>m</v>
      </c>
      <c r="J254" s="237" t="str">
        <f>IFERROR(__xludf.DUMMYFUNCTION("IF(REGEXMATCH(C254, ""M""), ""M"","""")"),"M")</f>
        <v>M</v>
      </c>
      <c r="K254" s="236" t="str">
        <f>IFERROR(__xludf.DUMMYFUNCTION("IF(REGEXMATCH(C254, ""P""), ""P"","""")"),"P")</f>
        <v>P</v>
      </c>
      <c r="L254" s="237" t="str">
        <f>IFERROR(__xludf.DUMMYFUNCTION("IF(REGEXMATCH(C254, ""d""), ""d"","""")"),"")</f>
        <v/>
      </c>
      <c r="M254" s="236" t="str">
        <f>IFERROR(__xludf.DUMMYFUNCTION("IF(REGEXMATCH(C254, ""D""), ""D"","""")"),"D")</f>
        <v>D</v>
      </c>
      <c r="N254" s="236" t="str">
        <f>IFERROR(__xludf.DUMMYFUNCTION("IF(REGEXMATCH(C254, ""n""), ""n"","""")"),"")</f>
        <v/>
      </c>
      <c r="O254" s="237" t="str">
        <f>IFERROR(__xludf.DUMMYFUNCTION("IF(REGEXMATCH(C254, ""N""), ""N"","""")"),"N")</f>
        <v>N</v>
      </c>
      <c r="P254" s="238" t="str">
        <f>IFERROR(__xludf.DUMMYFUNCTION("IF(REGEXMATCH(C254, ""S""), ""S"","""")"),"S")</f>
        <v>S</v>
      </c>
      <c r="Q254" s="239" t="str">
        <f>IFERROR(__xludf.DUMMYFUNCTION("SUBSTITUTE(CONCATENATE(JOIN(""-"",D254:J254)),""-"","""")"),"SRmM")</f>
        <v>SRmM</v>
      </c>
      <c r="R254" s="229" t="str">
        <f>IFERROR(__xludf.DUMMYFUNCTION("SUBSTITUTE(CONCATENATE(JOIN(""-"",K254:P254)),""-"","""")"),"PDNS")</f>
        <v>PDNS</v>
      </c>
      <c r="S254" s="282" t="str">
        <f t="shared" si="8"/>
        <v>S-R-M</v>
      </c>
      <c r="T254" s="282" t="str">
        <f t="shared" si="9"/>
        <v>P-D-N-S</v>
      </c>
      <c r="U254" s="237" t="str">
        <f>IFERROR(__xludf.DUMMYFUNCTION("SUBSTITUTE(JOIN(""-"",S254,T254),""--"",""-"")"),"S-R-M-P-D-N-S")</f>
        <v>S-R-M-P-D-N-S</v>
      </c>
      <c r="V254" s="309" t="str">
        <f t="shared" si="10"/>
        <v>RmMDN</v>
      </c>
      <c r="W254" s="244" t="str">
        <f>IFERROR(__xludf.DUMMYFUNCTION("IF(REGEXMATCH(C254, ""S""), ""0"","""")"),"0")</f>
        <v>0</v>
      </c>
      <c r="X254" s="245" t="str">
        <f>IFERROR(__xludf.DUMMYFUNCTION("IF(REGEXMATCH(C254, ""r""), ""1"","""")"),"")</f>
        <v/>
      </c>
      <c r="Y254" s="246" t="str">
        <f>IFERROR(__xludf.DUMMYFUNCTION("IF(REGEXMATCH(C254, ""R""), ""2"","""")"),"2")</f>
        <v>2</v>
      </c>
      <c r="Z254" s="246" t="str">
        <f>IFERROR(__xludf.DUMMYFUNCTION("IF(REGEXMATCH(C254, ""g""), ""3"","""")"),"")</f>
        <v/>
      </c>
      <c r="AA254" s="245" t="str">
        <f>IFERROR(__xludf.DUMMYFUNCTION("IF(REGEXMATCH(C254, ""G""), ""4"","""")"),"")</f>
        <v/>
      </c>
      <c r="AB254" s="245" t="str">
        <f>IFERROR(__xludf.DUMMYFUNCTION("IF(REGEXMATCH(C254, ""m""), ""5"","""")"),"5")</f>
        <v>5</v>
      </c>
      <c r="AC254" s="246" t="str">
        <f>IFERROR(__xludf.DUMMYFUNCTION("IF(REGEXMATCH(C254, ""M""), ""6"","""")"),"6")</f>
        <v>6</v>
      </c>
      <c r="AD254" s="245" t="str">
        <f>IFERROR(__xludf.DUMMYFUNCTION("IF(REGEXMATCH(C254, ""P""), ""7"","""")"),"7")</f>
        <v>7</v>
      </c>
      <c r="AE254" s="246" t="str">
        <f>IFERROR(__xludf.DUMMYFUNCTION("IF(REGEXMATCH(C254, ""d""), ""8"","""")"),"")</f>
        <v/>
      </c>
      <c r="AF254" s="245" t="str">
        <f>IFERROR(__xludf.DUMMYFUNCTION("IF(REGEXMATCH(C254, ""D""), ""9"","""")"),"9")</f>
        <v>9</v>
      </c>
      <c r="AG254" s="245" t="str">
        <f>IFERROR(__xludf.DUMMYFUNCTION("IF(REGEXMATCH(C254, ""n""), ""10"","""")"),"")</f>
        <v/>
      </c>
      <c r="AH254" s="246" t="str">
        <f>IFERROR(__xludf.DUMMYFUNCTION("IF(REGEXMATCH(C254, ""N""), ""11"","""")"),"11")</f>
        <v>11</v>
      </c>
      <c r="AI254" s="249" t="str">
        <f>IFERROR(__xludf.DUMMYFUNCTION("IF(REGEXMATCH(C254, ""S""), ""0"","""")"),"0")</f>
        <v>0</v>
      </c>
      <c r="AJ254" s="313" t="str">
        <f t="shared" si="11"/>
        <v>T</v>
      </c>
      <c r="AK254" s="313" t="str">
        <f t="shared" si="12"/>
        <v>-</v>
      </c>
      <c r="AL254" s="313" t="str">
        <f t="shared" si="13"/>
        <v>-</v>
      </c>
      <c r="AM254" s="313" t="str">
        <f t="shared" si="14"/>
        <v>-</v>
      </c>
      <c r="AN254" s="313" t="str">
        <f t="shared" si="15"/>
        <v>-</v>
      </c>
      <c r="AO254" s="314" t="str">
        <f t="shared" si="16"/>
        <v>T</v>
      </c>
      <c r="AP254" s="316">
        <f t="shared" si="17"/>
        <v>2</v>
      </c>
      <c r="AQ254" s="319" t="str">
        <f t="shared" si="18"/>
        <v>-</v>
      </c>
      <c r="AR254" s="320">
        <f t="shared" si="19"/>
        <v>0</v>
      </c>
      <c r="AS254" s="250" t="str">
        <f>IFERROR(__xludf.DUMMYFUNCTION("SUBSTITUTE(SUBSTITUTE(CONCATENATE(JOIN("""",FP254:GA254)),""|"",""x""),""-"",""o"")"),"xoxooxxxoxox")</f>
        <v>xoxooxxxoxox</v>
      </c>
      <c r="AT254" s="323" t="str">
        <f>IFERROR(__xludf.DUMMYFUNCTION("JOIN("""",AS254,AS254)"),"xoxooxxxoxoxxoxooxxxoxox")</f>
        <v>xoxooxxxoxoxxoxooxxxoxox</v>
      </c>
      <c r="AU254" s="256" t="str">
        <f>IFERROR(__xludf.DUMMYFUNCTION("JOIN("""",ArrayFormula(MID(AS254,LEN(AS254)-SEQUENCE(1,LEN(AS254))+1,1)))"),"xoxoxxxooxox")</f>
        <v>xoxoxxxooxox</v>
      </c>
      <c r="AV254" s="256" t="str">
        <f>IFERROR(__xludf.DUMMYFUNCTION("LEFT(CONCATENATE(""x"",JOIN("""",ArrayFormula(MID(AS254,LEN(AS254)-SEQUENCE(1,LEN(AS254))+1,1)))),12)"),"xxoxoxxxooxo")</f>
        <v>xxoxoxxxooxo</v>
      </c>
      <c r="AW254" s="327" t="str">
        <f>IFERROR(__xludf.DUMMYFUNCTION("JOIN("""",AU254,AU254)"),"xoxoxxxooxoxxoxoxxxooxox")</f>
        <v>xoxoxxxooxoxxoxoxxxooxox</v>
      </c>
      <c r="AX254" s="239" t="str">
        <f>IFERROR(__xludf.DUMMYFUNCTION("IF(REGEXMATCH(AW254,AS254),""✔"",""-"")"),"-")</f>
        <v>-</v>
      </c>
      <c r="AY254" s="330" t="str">
        <f t="shared" si="20"/>
        <v>-</v>
      </c>
      <c r="AZ254" s="260" t="str">
        <f t="shared" si="21"/>
        <v>#REF!</v>
      </c>
      <c r="BA254" s="333" t="str">
        <f t="shared" si="22"/>
        <v>xoxooxx</v>
      </c>
      <c r="BB254" s="334" t="str">
        <f t="shared" si="23"/>
        <v>xoxoxx</v>
      </c>
      <c r="BC254" s="335" t="str">
        <f t="shared" si="236"/>
        <v>-</v>
      </c>
      <c r="BD254" s="336" t="str">
        <f t="shared" si="25"/>
        <v>Noor Sarang: 'xoxooxx' + 'xoxoxx'</v>
      </c>
      <c r="BE254" s="337">
        <f>IFERROR(__xludf.DUMMYFUNCTION("COUNTUNIQUE(FILTER(AT:AT,REGEXMATCH(AT:AT,AS254)))-1"),2.0)</f>
        <v>2</v>
      </c>
      <c r="BF254" s="261" t="str">
        <f>IFERROR(__xludf.DUMMYFUNCTION("IF(BI254=0,""(n/a)"",IF(BJ254=2,""(PAIR)"",IF(REGEXMATCH(AT254,""xoxoxxoxoxox""),""Bilawal"",IF(REGEXMATCH(AT254,""xoxoxooxoxoo""),""Bhupali"",IF(REGEXMATCH(AT254,""xoxoxxoxxoxo""),""Charukeshi"",IF(REGEXMATCH(AT254,""xoxoooxxoxxo""),""Kameshwari"",IF(REG"&amp;"EXMATCH(AT254,""xoxoxooxoxox""),""Shankara"",IF(REGEXMATCH(AT254,""xxooxoxxxoox""),""Basant"",IF(REGEXMATCH(AT254,""xoxoxxxxoxox""),""Bihag"",IF(REGEXMATCH(AT254,""xoxxxxoxoxxx""),""Pilu"",IF(REGEXMATCH(AT254,""xoxxoxoxxoox""),""Kirwani"",IF(REGEXMATCH(AT"&amp;"254,""xoxxoxoxoxxx""),""Mk.Malhar"",IF(REGEXMATCH(AT254,""xxooxxoxxoox""),""Bhairav"",IF(REGEXMATCH(AT254,""xxoxooxxxoox""),""Todi"",IF(REGEXMATCH(AT254,""xxooxoxooxox""),""Marwa"",IF(REGEXMATCH(AT254,""xxoooxoxxooo""),""Gunkali"",IF(REGEXMATCH(AT254,""xo"&amp;"xoxxoxxoox""),""Nat Bhairav"",IF(REGEXMATCH(AT254,""xoxxoooxoxoo""),""Shivranjani"",IF(REGEXMATCH(AT254,""xooxxxoxooxo""),""Jog"",IF(REGEXMATCH(AT254,""xxooxoxoxoox""),""Hemshri"",IF(REGEXMATCH(AT254,""xoooxooxoxxo""),""Kalavati"",IF(REGEXMATCH(AT254,""xx"&amp;"oxoxxoxoox""),""Kedar"",IF(REGEXMATCH(AT254,""xoxxxxoxooxx""),""Gara"",IF(REGEXMATCH(AT254,""xooxoxooxoox""),""Chandrakauns"",IF(REGEXMATCH(AT254,""xoxxxxoxxxox""),""Mand"",IF(REGEXMATCH(AT254,""xoxxxxoxoxox""),""Hanskinkini"",IF(REGEXMATCH(AT254,""xxooxx"&amp;"oxooxo""),""Lilavati"",IF(REGEXMATCH(AT254,""xooxoxoooxox""),""Rajeshwari"",IF(REGEXMATCH(AT254,""xoooxxoxoxxx""),""Khokar"",IF(REGEXMATCH(AT254,""xxooxoxxxxox""),""Maligoura"",""-""))))))))))))))))))))))))))))))"),"Kedar")</f>
        <v>Kedar</v>
      </c>
      <c r="BG254" s="239" t="str">
        <f t="shared" si="26"/>
        <v>#REF!</v>
      </c>
      <c r="BH254" s="239">
        <f>IFERROR(__xludf.DUMMYFUNCTION("COUNTUNIQUE(FE254:FO254)-1"),6.0)</f>
        <v>6</v>
      </c>
      <c r="BI254" s="239">
        <f>IFERROR(__xludf.DUMMYFUNCTION("COUNTUNIQUE(FILTER(AT:AT,REGEXMATCH(AT:AT,AS254)))-1"),2.0)</f>
        <v>2</v>
      </c>
      <c r="BJ254" s="239">
        <f>IFERROR(__xludf.DUMMYFUNCTION("COUNTA(FILTER(AT:AT,REGEXMATCH(AT:AT,AS254)))"),5.0)</f>
        <v>5</v>
      </c>
      <c r="BK254" s="341">
        <f>IFERROR(__xludf.DUMMYFUNCTION("COUNTA(FILTER(AT:AT,REGEXMATCH(AT:AT,AS254)))-AR254"),5.0)</f>
        <v>5</v>
      </c>
      <c r="BL254" s="276" t="str">
        <f>IFERROR(__xludf.DUMMYFUNCTION("IF(AS254=""oooooooooooo"",""-"",IF(REGEXMATCH(AT254,""xx""), ""Hemi."", ""Anhemi.""))"),"Hemi.")</f>
        <v>Hemi.</v>
      </c>
      <c r="BM254" s="282" t="str">
        <f>IFERROR(__xludf.DUMMYFUNCTION("IF(AS254=""oooooooooooo"",""-"",IF(REGEXMATCH(AT254,""xxx""), ""Cohem."", ""-""))"),"Cohem.")</f>
        <v>Cohem.</v>
      </c>
      <c r="BN254" s="282" t="str">
        <f>IFERROR(__xludf.DUMMYFUNCTION("IF(AS254=""oooooooooooo"",""-"",IF(REGEXMATCH(AT254,""xxxx""), ""Co-Co."", ""-""))"),"-")</f>
        <v>-</v>
      </c>
      <c r="BO254" s="342" t="str">
        <f>IFERROR(__xludf.DUMMYFUNCTION("IF(AS254=""oooooooooooo"",""-"",IF(REGEXMATCH(AT254,""xxxxx""), ""CCC."", ""-""))"),"-")</f>
        <v>-</v>
      </c>
      <c r="BP254" s="344" t="str">
        <f t="shared" si="27"/>
        <v>-</v>
      </c>
      <c r="BQ254" s="282" t="str">
        <f>IFERROR(__xludf.DUMMYFUNCTION("IF(REGEXMATCH(JOIN(""-"",EU254:FD254),""TRUE""),""✔"",""-"")"),"-")</f>
        <v>-</v>
      </c>
      <c r="BR254" s="225">
        <f t="shared" si="28"/>
        <v>0</v>
      </c>
      <c r="BS254" s="345" t="str">
        <f>IFERROR(__xludf.DUMMYFUNCTION("SUBSTITUTE(SUBSTITUTE(SUBSTITUTE(SUBSTITUTE(CONCATENATE(JOIN(""-"",GC254:GO254)),""--"",""-""),""--"",""-""),""--"",""-""),""--"",""-"")"),"1-2-4-#4-5-6-7-8")</f>
        <v>1-2-4-#4-5-6-7-8</v>
      </c>
      <c r="BT254" s="299" t="str">
        <f>IFERROR(__xludf.DUMMYFUNCTION("SUBSTITUTE(SUBSTITUTE(SUBSTITUTE(SUBSTITUTE(CONCATENATE(JOIN(""-"",GP254:HB254)),""--"",""-""),""--"",""-""),""--"",""-""),""--"",""-"")"),"S-R2-M1-M2-P-D2-N3-S")</f>
        <v>S-R2-M1-M2-P-D2-N3-S</v>
      </c>
      <c r="BU254" s="348" t="str">
        <f t="shared" si="29"/>
        <v>C-D-F-F#-G-A-B-C</v>
      </c>
      <c r="BV254" s="349" t="str">
        <f t="shared" si="30"/>
        <v>SrgGdnS</v>
      </c>
      <c r="BW254" s="350">
        <f t="shared" si="31"/>
        <v>0</v>
      </c>
      <c r="BX254" s="351">
        <f t="shared" si="32"/>
        <v>3</v>
      </c>
      <c r="BY254" s="392"/>
      <c r="BZ254" s="309" t="str">
        <f>IFERROR(__xludf.DUMMYFUNCTION("IF(REGEXMATCH(C254, ""S""), ""x"",""x"")"),"x")</f>
        <v>x</v>
      </c>
      <c r="CA254" s="245" t="str">
        <f>IFERROR(__xludf.DUMMYFUNCTION("IF(REGEXMATCH(C254, ""r""), ""o"",""x"")"),"x")</f>
        <v>x</v>
      </c>
      <c r="CB254" s="246" t="str">
        <f>IFERROR(__xludf.DUMMYFUNCTION("IF(REGEXMATCH(C254, ""R""), ""o"",""x"")"),"o")</f>
        <v>o</v>
      </c>
      <c r="CC254" s="246" t="str">
        <f>IFERROR(__xludf.DUMMYFUNCTION("IF(REGEXMATCH(C254, ""g""), ""o"",""x"")"),"x")</f>
        <v>x</v>
      </c>
      <c r="CD254" s="245" t="str">
        <f>IFERROR(__xludf.DUMMYFUNCTION("IF(REGEXMATCH(C254, ""G""), ""o"",""x"")"),"x")</f>
        <v>x</v>
      </c>
      <c r="CE254" s="245" t="str">
        <f>IFERROR(__xludf.DUMMYFUNCTION("IF(REGEXMATCH(C254, ""m""), ""o"",""x"")"),"o")</f>
        <v>o</v>
      </c>
      <c r="CF254" s="246" t="str">
        <f>IFERROR(__xludf.DUMMYFUNCTION("IF(REGEXMATCH(C254, ""M""), ""o"",""x"")"),"o")</f>
        <v>o</v>
      </c>
      <c r="CG254" s="245" t="str">
        <f>IFERROR(__xludf.DUMMYFUNCTION("IF(REGEXMATCH(C254, ""P""), ""o"",""x"")"),"o")</f>
        <v>o</v>
      </c>
      <c r="CH254" s="246" t="str">
        <f>IFERROR(__xludf.DUMMYFUNCTION("IF(REGEXMATCH(C254, ""d""), ""o"",""x"")"),"x")</f>
        <v>x</v>
      </c>
      <c r="CI254" s="245" t="str">
        <f>IFERROR(__xludf.DUMMYFUNCTION("IF(REGEXMATCH(C254, ""D""), ""o"",""x"")"),"o")</f>
        <v>o</v>
      </c>
      <c r="CJ254" s="245" t="str">
        <f>IFERROR(__xludf.DUMMYFUNCTION("IF(REGEXMATCH(C254, ""n""), ""o"",""x"")"),"x")</f>
        <v>x</v>
      </c>
      <c r="CK254" s="245" t="str">
        <f>IFERROR(__xludf.DUMMYFUNCTION("IF(REGEXMATCH(C254, ""N""), ""o"",""x"")"),"o")</f>
        <v>o</v>
      </c>
      <c r="CL254" s="356" t="str">
        <f>IFERROR(__xludf.DUMMYFUNCTION("IF(REGEXMATCH(C254, ""S""), ""x"",""x"")"),"x")</f>
        <v>x</v>
      </c>
      <c r="CM254" s="357" t="str">
        <f t="shared" si="33"/>
        <v>xxoxxoooxoxo</v>
      </c>
      <c r="CN254" s="358">
        <f t="shared" si="34"/>
        <v>0</v>
      </c>
      <c r="CO254" s="246" t="str">
        <f>IFERROR(__xludf.DUMMYFUNCTION("IF(REGEXMATCH($C254, ""S""), ""S"",""S"")"),"S")</f>
        <v>S</v>
      </c>
      <c r="CP254" s="246" t="str">
        <f>IFERROR(__xludf.DUMMYFUNCTION("IF(REGEXMATCH($C254, ""r""), """",""r"")"),"r")</f>
        <v>r</v>
      </c>
      <c r="CQ254" s="246" t="str">
        <f>IFERROR(__xludf.DUMMYFUNCTION("IF(REGEXMATCH($C254, ""R""), """",""R"")"),"")</f>
        <v/>
      </c>
      <c r="CR254" s="246" t="str">
        <f>IFERROR(__xludf.DUMMYFUNCTION("IF(REGEXMATCH($C254, ""g""), """",""g"")"),"g")</f>
        <v>g</v>
      </c>
      <c r="CS254" s="246" t="str">
        <f>IFERROR(__xludf.DUMMYFUNCTION("IF(REGEXMATCH($C254, ""G""), """",""G"")"),"G")</f>
        <v>G</v>
      </c>
      <c r="CT254" s="246" t="str">
        <f>IFERROR(__xludf.DUMMYFUNCTION("IF(REGEXMATCH($C254, ""m""), """",""m"")"),"")</f>
        <v/>
      </c>
      <c r="CU254" s="246" t="str">
        <f>IFERROR(__xludf.DUMMYFUNCTION("IF(REGEXMATCH($C254, ""M""), """",""M"")"),"")</f>
        <v/>
      </c>
      <c r="CV254" s="246" t="str">
        <f>IFERROR(__xludf.DUMMYFUNCTION("IF(REGEXMATCH($C254, ""P""), """",""P"")"),"")</f>
        <v/>
      </c>
      <c r="CW254" s="246" t="str">
        <f>IFERROR(__xludf.DUMMYFUNCTION("IF(REGEXMATCH($C254, ""d""), """",""d"")"),"d")</f>
        <v>d</v>
      </c>
      <c r="CX254" s="246" t="str">
        <f>IFERROR(__xludf.DUMMYFUNCTION("IF(REGEXMATCH($C254, ""D""), """",""D"")"),"")</f>
        <v/>
      </c>
      <c r="CY254" s="246" t="str">
        <f>IFERROR(__xludf.DUMMYFUNCTION("IF(REGEXMATCH($C254, ""n""), """",""n"")"),"n")</f>
        <v>n</v>
      </c>
      <c r="CZ254" s="246" t="str">
        <f>IFERROR(__xludf.DUMMYFUNCTION("IF(REGEXMATCH($C254, ""N""), """",""N"")"),"")</f>
        <v/>
      </c>
      <c r="DA254" s="246" t="str">
        <f>IFERROR(__xludf.DUMMYFUNCTION("IF(REGEXMATCH($C254, ""S""), ""S"",""S"")"),"S")</f>
        <v>S</v>
      </c>
      <c r="DB254" s="362" t="str">
        <f>IFERROR(__xludf.DUMMYFUNCTION("JOIN("""",CO254:DA254,"""","""")"),"SrgGdnS")</f>
        <v>SrgGdnS</v>
      </c>
      <c r="DC254" s="363"/>
      <c r="DD254" s="301" t="str">
        <f t="shared" si="35"/>
        <v>#REF!</v>
      </c>
      <c r="DE254" s="302" t="str">
        <f t="shared" si="36"/>
        <v>#REF!</v>
      </c>
      <c r="DF254" s="301" t="str">
        <f t="shared" ref="DF254:DG254" si="729">SUBSTITUTE(S254,"-","")</f>
        <v>SRM</v>
      </c>
      <c r="DG254" s="301" t="str">
        <f t="shared" si="729"/>
        <v>PDNS</v>
      </c>
      <c r="DH254" s="302" t="str">
        <f t="shared" si="38"/>
        <v>Kedar</v>
      </c>
      <c r="DI254" s="301" t="str">
        <f t="shared" si="39"/>
        <v>Hemi.</v>
      </c>
      <c r="DJ254" s="364" t="str">
        <f t="shared" si="40"/>
        <v>Cohem.</v>
      </c>
      <c r="DK254" s="306" t="str">
        <f t="shared" si="41"/>
        <v>-</v>
      </c>
      <c r="DL254" s="366" t="str">
        <f t="shared" si="42"/>
        <v>-</v>
      </c>
      <c r="DM254" s="308" t="str">
        <f t="shared" si="43"/>
        <v>✔</v>
      </c>
      <c r="DN254" s="306" t="str">
        <f t="shared" si="44"/>
        <v>-</v>
      </c>
      <c r="DO254" s="306" t="str">
        <f t="shared" si="45"/>
        <v>-</v>
      </c>
      <c r="DP254" s="367" t="str">
        <f t="shared" si="46"/>
        <v>-</v>
      </c>
      <c r="DQ254" s="310" t="str">
        <f t="shared" si="47"/>
        <v>-</v>
      </c>
      <c r="DR254" s="310" t="str">
        <f t="shared" si="48"/>
        <v>-</v>
      </c>
      <c r="DS254" s="310" t="str">
        <f t="shared" si="49"/>
        <v>✔</v>
      </c>
      <c r="DT254" s="310" t="str">
        <f t="shared" si="50"/>
        <v>-</v>
      </c>
      <c r="DU254" s="370" t="str">
        <f t="shared" si="51"/>
        <v>-</v>
      </c>
      <c r="DV254" s="306" t="str">
        <f t="shared" si="52"/>
        <v>-</v>
      </c>
      <c r="DW254" s="306" t="str">
        <f t="shared" si="53"/>
        <v>✔</v>
      </c>
      <c r="DX254" s="306" t="str">
        <f t="shared" si="54"/>
        <v>-</v>
      </c>
      <c r="DY254" s="306" t="str">
        <f t="shared" si="55"/>
        <v>-</v>
      </c>
      <c r="DZ254" s="306" t="str">
        <f t="shared" si="56"/>
        <v>-</v>
      </c>
      <c r="EA254" s="367" t="str">
        <f t="shared" si="57"/>
        <v>-</v>
      </c>
      <c r="EB254" s="310" t="str">
        <f>IFERROR(__xludf.DUMMYFUNCTION("IF(REGEXMATCH(AW254,AS254),""✔"",""-"")"),"-")</f>
        <v>-</v>
      </c>
      <c r="EC254" s="310" t="str">
        <f t="shared" si="58"/>
        <v>#REF!</v>
      </c>
      <c r="ED254" s="370" t="str">
        <f t="shared" si="59"/>
        <v>-</v>
      </c>
      <c r="EE254" s="340" t="str">
        <f t="shared" si="60"/>
        <v>S-R-mM-P-D-N-S</v>
      </c>
      <c r="EF254" s="371" t="str">
        <f>IFERROR(__xludf.DUMMYFUNCTION("CONCATENATE(JOIN("""",HC254:HO254))"),"SrgmMPnS")</f>
        <v>SrgmMPnS</v>
      </c>
      <c r="EG254" s="372">
        <f t="shared" si="61"/>
        <v>2</v>
      </c>
      <c r="EH254" s="373" t="str">
        <f>IFERROR(__xludf.DUMMYFUNCTION("CONCATENATE(JOIN("""",JC254:JO254))"),"Ma, Dha, ")</f>
        <v>Ma, Dha, </v>
      </c>
      <c r="EI254" s="322">
        <f t="shared" si="62"/>
        <v>0</v>
      </c>
      <c r="EJ254" s="374" t="str">
        <f>IFERROR(__xludf.DUMMYFUNCTION("CONCATENATE(JOIN("""",KC254:KO254))"),"")</f>
        <v/>
      </c>
      <c r="EK254" s="325" t="str">
        <f t="shared" si="63"/>
        <v>S-R2-M1-M2-P-D2-N3-S</v>
      </c>
      <c r="EL254" s="326" t="str">
        <f t="shared" si="64"/>
        <v>1-2-4-#4-5-6-7-8</v>
      </c>
      <c r="EM254" s="318" t="str">
        <f t="shared" si="65"/>
        <v>#REF!</v>
      </c>
      <c r="EN254" s="328" t="str">
        <f>IFERROR(__xludf.DUMMYFUNCTION("SUBSTITUTE(SUBSTITUTE(SUBSTITUTE(SUBSTITUTE(CONCATENATE(JOIN("" "",HP254:IB254)),""  "","" ""),""  "","" ""),""  "","" ""),""  "","" "")"),"o • o • • o o o • o • o o")</f>
        <v>o • o • • o o o • o • o o</v>
      </c>
      <c r="EO254" s="368" t="str">
        <f t="shared" si="66"/>
        <v>-</v>
      </c>
      <c r="EP254" s="339" t="str">
        <f t="shared" si="67"/>
        <v>-</v>
      </c>
      <c r="EQ254" s="339" t="str">
        <f t="shared" si="68"/>
        <v>Sa-Pa</v>
      </c>
      <c r="ER254" s="339" t="str">
        <f t="shared" si="69"/>
        <v>-</v>
      </c>
      <c r="ES254" s="340" t="str">
        <f t="shared" si="70"/>
        <v>-</v>
      </c>
      <c r="ET254" s="363"/>
      <c r="EU254" s="376" t="b">
        <f>IFERROR(__xludf.DUMMYFUNCTION("arrayformula(sum(--REGEXMATCH(""SRGMPDNS"",split(REGEXREPLACE(C254,""(.)"",""$1~""),""~""))))=len(C254)
"),FALSE)</f>
        <v>0</v>
      </c>
      <c r="EV254" s="290" t="b">
        <f>IFERROR(__xludf.DUMMYFUNCTION("arrayformula(sum(--REGEXMATCH(""SRGmPDNS"",split(REGEXREPLACE(C254,""(.)"",""$1~""),""~""))))=len(C254)"),FALSE)</f>
        <v>0</v>
      </c>
      <c r="EW254" s="290" t="b">
        <f>IFERROR(__xludf.DUMMYFUNCTION("arrayformula(sum(--REGEXMATCH(""SRGmPDnS"",split(REGEXREPLACE(C254,""(.)"",""$1~""),""~""))))=len(C254)"),FALSE)</f>
        <v>0</v>
      </c>
      <c r="EX254" s="290" t="b">
        <f>IFERROR(__xludf.DUMMYFUNCTION("arrayformula(sum(--REGEXMATCH(""SRgmPDnS"",split(REGEXREPLACE(C254,""(.)"",""$1~""),""~""))))=len(C254)"),FALSE)</f>
        <v>0</v>
      </c>
      <c r="EY254" s="290" t="b">
        <f>IFERROR(__xludf.DUMMYFUNCTION("arrayformula(sum(--REGEXMATCH(""SRgmPdnS"",split(REGEXREPLACE(C254,""(.)"",""$1~""),""~""))))=len(C254)"),FALSE)</f>
        <v>0</v>
      </c>
      <c r="EZ254" s="290" t="b">
        <f>IFERROR(__xludf.DUMMYFUNCTION("arrayformula(sum(--REGEXMATCH(""SrgmPdnS"",split(REGEXREPLACE(C254,""(.)"",""$1~""),""~""))))=len(C254)"),FALSE)</f>
        <v>0</v>
      </c>
      <c r="FA254" s="290" t="b">
        <f>IFERROR(__xludf.DUMMYFUNCTION("arrayformula(sum(--REGEXMATCH(""SrGmPdNS"",split(REGEXREPLACE(C254,""(.)"",""$1~""),""~""))))=len(C254)"),FALSE)</f>
        <v>0</v>
      </c>
      <c r="FB254" s="290" t="b">
        <f>IFERROR(__xludf.DUMMYFUNCTION("arrayformula(sum(--REGEXMATCH(""SrGMPDNS"",split(REGEXREPLACE(C254,""(.)"",""$1~""),""~""))))=len(C254)"),FALSE)</f>
        <v>0</v>
      </c>
      <c r="FC254" s="290" t="b">
        <f>IFERROR(__xludf.DUMMYFUNCTION("arrayformula(sum(--REGEXMATCH(""SrGMPdNS"",split(REGEXREPLACE(C254,""(.)"",""$1~""),""~""))))=len(C254)"),FALSE)</f>
        <v>0</v>
      </c>
      <c r="FD254" s="377" t="b">
        <f>IFERROR(__xludf.DUMMYFUNCTION("arrayformula(sum(--REGEXMATCH(""SrgMPdNS"",split(REGEXREPLACE(C254,""(.)"",""$1~""),""~""))))=len(C254)"),FALSE)</f>
        <v>0</v>
      </c>
      <c r="FE254" s="269" t="str">
        <f t="shared" si="71"/>
        <v>-</v>
      </c>
      <c r="FF254" s="269" t="str">
        <f t="shared" si="72"/>
        <v>xooxxxoxoxx</v>
      </c>
      <c r="FG254" s="271" t="str">
        <f t="shared" si="73"/>
        <v>-</v>
      </c>
      <c r="FH254" s="269" t="str">
        <f t="shared" si="74"/>
        <v>-</v>
      </c>
      <c r="FI254" s="271" t="str">
        <f t="shared" si="75"/>
        <v>xxxoxoxxoxo</v>
      </c>
      <c r="FJ254" s="271" t="str">
        <f t="shared" si="76"/>
        <v>xxoxoxxoxoo</v>
      </c>
      <c r="FK254" s="271" t="str">
        <f t="shared" si="77"/>
        <v>xoxoxxoxoox</v>
      </c>
      <c r="FL254" s="271" t="str">
        <f t="shared" si="78"/>
        <v>-</v>
      </c>
      <c r="FM254" s="271" t="str">
        <f t="shared" si="79"/>
        <v>xoxxoxooxxx</v>
      </c>
      <c r="FN254" s="271" t="str">
        <f t="shared" si="80"/>
        <v>-</v>
      </c>
      <c r="FO254" s="274" t="str">
        <f t="shared" si="81"/>
        <v>xxoxooxxxox</v>
      </c>
      <c r="FP254" s="234" t="str">
        <f t="shared" si="82"/>
        <v>|</v>
      </c>
      <c r="FQ254" s="236" t="str">
        <f t="shared" si="83"/>
        <v>-</v>
      </c>
      <c r="FR254" s="237" t="str">
        <f t="shared" si="84"/>
        <v>|</v>
      </c>
      <c r="FS254" s="236" t="str">
        <f t="shared" si="85"/>
        <v>-</v>
      </c>
      <c r="FT254" s="237" t="str">
        <f t="shared" si="86"/>
        <v>-</v>
      </c>
      <c r="FU254" s="236" t="str">
        <f t="shared" si="87"/>
        <v>|</v>
      </c>
      <c r="FV254" s="237" t="str">
        <f t="shared" si="88"/>
        <v>|</v>
      </c>
      <c r="FW254" s="236" t="str">
        <f t="shared" si="89"/>
        <v>|</v>
      </c>
      <c r="FX254" s="237" t="str">
        <f t="shared" si="90"/>
        <v>-</v>
      </c>
      <c r="FY254" s="236" t="str">
        <f t="shared" si="91"/>
        <v>|</v>
      </c>
      <c r="FZ254" s="237" t="str">
        <f t="shared" si="92"/>
        <v>-</v>
      </c>
      <c r="GA254" s="236" t="str">
        <f t="shared" si="93"/>
        <v>|</v>
      </c>
      <c r="GB254" s="238" t="str">
        <f t="shared" si="94"/>
        <v>|</v>
      </c>
      <c r="GC254" s="244" t="str">
        <f>IFERROR(__xludf.DUMMYFUNCTION("IF(REGEXMATCH(C254, ""S""), ""1"","""")"),"1")</f>
        <v>1</v>
      </c>
      <c r="GD254" s="245" t="str">
        <f>IFERROR(__xludf.DUMMYFUNCTION("IF(REGEXMATCH(C254, ""r""), ""b2"","""")"),"")</f>
        <v/>
      </c>
      <c r="GE254" s="246" t="str">
        <f>IFERROR(__xludf.DUMMYFUNCTION("IF(REGEXMATCH(C254, ""R""), ""2"","""")"),"2")</f>
        <v>2</v>
      </c>
      <c r="GF254" s="246" t="str">
        <f>IFERROR(__xludf.DUMMYFUNCTION("IF(REGEXMATCH(C254, ""g""), ""b3"","""")"),"")</f>
        <v/>
      </c>
      <c r="GG254" s="245" t="str">
        <f>IFERROR(__xludf.DUMMYFUNCTION("IF(REGEXMATCH(C254, ""G""), ""3"","""")"),"")</f>
        <v/>
      </c>
      <c r="GH254" s="245" t="str">
        <f>IFERROR(__xludf.DUMMYFUNCTION("IF(REGEXMATCH(C254, ""m""), ""4"","""")"),"4")</f>
        <v>4</v>
      </c>
      <c r="GI254" s="246" t="str">
        <f>IFERROR(__xludf.DUMMYFUNCTION("IF(REGEXMATCH(C254, ""M""), ""#4"","""")"),"#4")</f>
        <v>#4</v>
      </c>
      <c r="GJ254" s="245" t="str">
        <f>IFERROR(__xludf.DUMMYFUNCTION("IF(REGEXMATCH(C254, ""P""), ""5"","""")"),"5")</f>
        <v>5</v>
      </c>
      <c r="GK254" s="246" t="str">
        <f>IFERROR(__xludf.DUMMYFUNCTION("IF(REGEXMATCH(C254, ""d""), ""b6"","""")"),"")</f>
        <v/>
      </c>
      <c r="GL254" s="245" t="str">
        <f>IFERROR(__xludf.DUMMYFUNCTION("IF(REGEXMATCH(C254, ""D""), ""6"","""")"),"6")</f>
        <v>6</v>
      </c>
      <c r="GM254" s="245" t="str">
        <f>IFERROR(__xludf.DUMMYFUNCTION("IF(REGEXMATCH(C254, ""n""), ""b7"","""")"),"")</f>
        <v/>
      </c>
      <c r="GN254" s="246" t="str">
        <f>IFERROR(__xludf.DUMMYFUNCTION("IF(REGEXMATCH(C254, ""N""), ""7"","""")"),"7")</f>
        <v>7</v>
      </c>
      <c r="GO254" s="249" t="str">
        <f>IFERROR(__xludf.DUMMYFUNCTION("IF(REGEXMATCH(C254, ""S""), ""8"","""")"),"8")</f>
        <v>8</v>
      </c>
      <c r="GP254" s="244" t="str">
        <f>IFERROR(__xludf.DUMMYFUNCTION("IF(REGEXMATCH(C254, ""S""), ""S"","""")"),"S")</f>
        <v>S</v>
      </c>
      <c r="GQ254" s="294" t="str">
        <f>IFERROR(__xludf.DUMMYFUNCTION("IF(REGEXMATCH(C254, ""r""), ""R1"","""")"),"")</f>
        <v/>
      </c>
      <c r="GR254" s="295" t="str">
        <f>IFERROR(__xludf.DUMMYFUNCTION("IF(REGEXMATCH(C254, ""R""), ""R2"","""")"),"R2")</f>
        <v>R2</v>
      </c>
      <c r="GS254" s="295" t="str">
        <f>IFERROR(__xludf.DUMMYFUNCTION("IF(REGEXMATCH(C254, ""g""), ""G2"","""")"),"")</f>
        <v/>
      </c>
      <c r="GT254" s="294" t="str">
        <f>IFERROR(__xludf.DUMMYFUNCTION("IF(REGEXMATCH(C254, ""G""), ""G3"","""")"),"")</f>
        <v/>
      </c>
      <c r="GU254" s="294" t="str">
        <f>IFERROR(__xludf.DUMMYFUNCTION("IF(REGEXMATCH(C254, ""m""), ""M1"","""")"),"M1")</f>
        <v>M1</v>
      </c>
      <c r="GV254" s="295" t="str">
        <f>IFERROR(__xludf.DUMMYFUNCTION("IF(REGEXMATCH(C254, ""M""), ""M2"","""")"),"M2")</f>
        <v>M2</v>
      </c>
      <c r="GW254" s="294" t="str">
        <f>IFERROR(__xludf.DUMMYFUNCTION("IF(REGEXMATCH(C254, ""P""), ""P"","""")"),"P")</f>
        <v>P</v>
      </c>
      <c r="GX254" s="295" t="str">
        <f>IFERROR(__xludf.DUMMYFUNCTION("IF(REGEXMATCH(C254, ""d""), ""D1"","""")"),"")</f>
        <v/>
      </c>
      <c r="GY254" s="294" t="str">
        <f>IFERROR(__xludf.DUMMYFUNCTION("IF(REGEXMATCH(C254, ""D""), ""D2"","""")"),"D2")</f>
        <v>D2</v>
      </c>
      <c r="GZ254" s="294" t="str">
        <f>IFERROR(__xludf.DUMMYFUNCTION("IF(REGEXMATCH(C254, ""n""), ""N2"","""")"),"")</f>
        <v/>
      </c>
      <c r="HA254" s="295" t="str">
        <f>IFERROR(__xludf.DUMMYFUNCTION("IF(REGEXMATCH(C254, ""N""), ""N3"","""")"),"N3")</f>
        <v>N3</v>
      </c>
      <c r="HB254" s="249" t="str">
        <f>IFERROR(__xludf.DUMMYFUNCTION("IF(REGEXMATCH(C254, ""S""), ""S"","""")"),"S")</f>
        <v>S</v>
      </c>
      <c r="HC254" s="331" t="str">
        <f t="shared" si="95"/>
        <v>S</v>
      </c>
      <c r="HD254" s="332" t="str">
        <f t="shared" si="96"/>
        <v>r</v>
      </c>
      <c r="HE254" s="332" t="str">
        <f t="shared" si="97"/>
        <v/>
      </c>
      <c r="HF254" s="332" t="str">
        <f t="shared" si="98"/>
        <v>g</v>
      </c>
      <c r="HG254" s="332" t="str">
        <f t="shared" si="99"/>
        <v/>
      </c>
      <c r="HH254" s="332" t="str">
        <f t="shared" si="100"/>
        <v>m</v>
      </c>
      <c r="HI254" s="332" t="str">
        <f t="shared" si="101"/>
        <v>M</v>
      </c>
      <c r="HJ254" s="332" t="str">
        <f t="shared" si="102"/>
        <v>P</v>
      </c>
      <c r="HK254" s="332" t="str">
        <f t="shared" si="103"/>
        <v/>
      </c>
      <c r="HL254" s="332" t="str">
        <f t="shared" si="104"/>
        <v/>
      </c>
      <c r="HM254" s="332" t="str">
        <f t="shared" si="105"/>
        <v>n</v>
      </c>
      <c r="HN254" s="332" t="str">
        <f t="shared" si="106"/>
        <v/>
      </c>
      <c r="HO254" s="343" t="str">
        <f t="shared" si="107"/>
        <v>S</v>
      </c>
      <c r="HP254" s="331" t="str">
        <f t="shared" si="108"/>
        <v>o</v>
      </c>
      <c r="HQ254" s="332" t="str">
        <f t="shared" si="109"/>
        <v>•</v>
      </c>
      <c r="HR254" s="332" t="str">
        <f t="shared" si="110"/>
        <v>o</v>
      </c>
      <c r="HS254" s="332" t="str">
        <f t="shared" si="111"/>
        <v>•</v>
      </c>
      <c r="HT254" s="332" t="str">
        <f t="shared" si="112"/>
        <v>•</v>
      </c>
      <c r="HU254" s="332" t="str">
        <f t="shared" si="113"/>
        <v>o</v>
      </c>
      <c r="HV254" s="332" t="str">
        <f t="shared" si="114"/>
        <v>o</v>
      </c>
      <c r="HW254" s="332" t="str">
        <f t="shared" si="115"/>
        <v>o</v>
      </c>
      <c r="HX254" s="332" t="str">
        <f t="shared" si="116"/>
        <v>•</v>
      </c>
      <c r="HY254" s="332" t="str">
        <f t="shared" si="117"/>
        <v>o</v>
      </c>
      <c r="HZ254" s="332" t="str">
        <f t="shared" si="118"/>
        <v>•</v>
      </c>
      <c r="IA254" s="332" t="str">
        <f t="shared" si="119"/>
        <v>o</v>
      </c>
      <c r="IB254" s="338" t="str">
        <f t="shared" si="120"/>
        <v>o</v>
      </c>
      <c r="IC254" s="331" t="str">
        <f t="shared" si="121"/>
        <v>•</v>
      </c>
      <c r="ID254" s="332" t="str">
        <f t="shared" si="122"/>
        <v>o</v>
      </c>
      <c r="IE254" s="332" t="str">
        <f t="shared" si="123"/>
        <v>•</v>
      </c>
      <c r="IF254" s="332" t="str">
        <f t="shared" si="124"/>
        <v>o</v>
      </c>
      <c r="IG254" s="332" t="str">
        <f t="shared" si="125"/>
        <v>o</v>
      </c>
      <c r="IH254" s="332" t="str">
        <f t="shared" si="126"/>
        <v>•</v>
      </c>
      <c r="II254" s="332" t="str">
        <f t="shared" si="127"/>
        <v>•</v>
      </c>
      <c r="IJ254" s="332" t="str">
        <f t="shared" si="128"/>
        <v>•</v>
      </c>
      <c r="IK254" s="332" t="str">
        <f t="shared" si="129"/>
        <v>o</v>
      </c>
      <c r="IL254" s="332" t="str">
        <f t="shared" si="130"/>
        <v>•</v>
      </c>
      <c r="IM254" s="332" t="str">
        <f t="shared" si="131"/>
        <v>o</v>
      </c>
      <c r="IN254" s="332" t="str">
        <f t="shared" si="132"/>
        <v>•</v>
      </c>
      <c r="IO254" s="338" t="str">
        <f t="shared" si="133"/>
        <v>•</v>
      </c>
      <c r="IP254" s="346" t="b">
        <f t="shared" si="134"/>
        <v>0</v>
      </c>
      <c r="IQ254" s="347" t="b">
        <f t="shared" si="135"/>
        <v>0</v>
      </c>
      <c r="IR254" s="347" t="b">
        <f t="shared" si="136"/>
        <v>0</v>
      </c>
      <c r="IS254" s="347" t="b">
        <f t="shared" si="137"/>
        <v>0</v>
      </c>
      <c r="IT254" s="347" t="b">
        <f t="shared" si="138"/>
        <v>0</v>
      </c>
      <c r="IU254" s="347" t="b">
        <f t="shared" si="139"/>
        <v>0</v>
      </c>
      <c r="IV254" s="347" t="b">
        <f t="shared" si="140"/>
        <v>1</v>
      </c>
      <c r="IW254" s="347" t="b">
        <f t="shared" si="141"/>
        <v>0</v>
      </c>
      <c r="IX254" s="347" t="b">
        <f t="shared" si="142"/>
        <v>0</v>
      </c>
      <c r="IY254" s="347" t="b">
        <f t="shared" si="143"/>
        <v>1</v>
      </c>
      <c r="IZ254" s="347" t="b">
        <f t="shared" si="144"/>
        <v>0</v>
      </c>
      <c r="JA254" s="347" t="b">
        <f t="shared" si="145"/>
        <v>0</v>
      </c>
      <c r="JB254" s="353" t="b">
        <f t="shared" si="146"/>
        <v>0</v>
      </c>
      <c r="JC254" s="354" t="str">
        <f t="shared" si="147"/>
        <v/>
      </c>
      <c r="JD254" s="355" t="str">
        <f t="shared" si="148"/>
        <v/>
      </c>
      <c r="JE254" s="355" t="str">
        <f t="shared" si="149"/>
        <v/>
      </c>
      <c r="JF254" s="355" t="str">
        <f t="shared" si="150"/>
        <v/>
      </c>
      <c r="JG254" s="355" t="str">
        <f t="shared" si="151"/>
        <v/>
      </c>
      <c r="JH254" s="355" t="str">
        <f t="shared" si="152"/>
        <v/>
      </c>
      <c r="JI254" s="355" t="str">
        <f t="shared" si="153"/>
        <v>Ma, </v>
      </c>
      <c r="JJ254" s="355" t="str">
        <f t="shared" si="154"/>
        <v/>
      </c>
      <c r="JK254" s="355" t="str">
        <f t="shared" si="155"/>
        <v/>
      </c>
      <c r="JL254" s="355" t="str">
        <f t="shared" si="156"/>
        <v>Dha, </v>
      </c>
      <c r="JM254" s="355" t="str">
        <f t="shared" si="157"/>
        <v/>
      </c>
      <c r="JN254" s="355" t="str">
        <f t="shared" si="158"/>
        <v/>
      </c>
      <c r="JO254" s="359" t="str">
        <f t="shared" si="159"/>
        <v/>
      </c>
      <c r="JP254" s="346" t="b">
        <f t="shared" si="160"/>
        <v>0</v>
      </c>
      <c r="JQ254" s="347" t="b">
        <f t="shared" si="161"/>
        <v>0</v>
      </c>
      <c r="JR254" s="347" t="b">
        <f t="shared" si="162"/>
        <v>0</v>
      </c>
      <c r="JS254" s="347" t="b">
        <f t="shared" si="163"/>
        <v>0</v>
      </c>
      <c r="JT254" s="347" t="b">
        <f t="shared" si="164"/>
        <v>0</v>
      </c>
      <c r="JU254" s="347" t="b">
        <f t="shared" si="165"/>
        <v>0</v>
      </c>
      <c r="JV254" s="347" t="b">
        <f t="shared" si="166"/>
        <v>0</v>
      </c>
      <c r="JW254" s="347" t="b">
        <f t="shared" si="167"/>
        <v>0</v>
      </c>
      <c r="JX254" s="347" t="b">
        <f t="shared" si="168"/>
        <v>0</v>
      </c>
      <c r="JY254" s="347" t="b">
        <f t="shared" si="169"/>
        <v>0</v>
      </c>
      <c r="JZ254" s="347" t="b">
        <f t="shared" si="170"/>
        <v>0</v>
      </c>
      <c r="KA254" s="347" t="b">
        <f t="shared" si="171"/>
        <v>0</v>
      </c>
      <c r="KB254" s="365" t="b">
        <f t="shared" si="172"/>
        <v>0</v>
      </c>
      <c r="KC254" s="354" t="str">
        <f t="shared" si="173"/>
        <v/>
      </c>
      <c r="KD254" s="355" t="str">
        <f t="shared" si="174"/>
        <v/>
      </c>
      <c r="KE254" s="355" t="str">
        <f t="shared" si="175"/>
        <v/>
      </c>
      <c r="KF254" s="355" t="str">
        <f t="shared" si="176"/>
        <v/>
      </c>
      <c r="KG254" s="355" t="str">
        <f t="shared" si="177"/>
        <v/>
      </c>
      <c r="KH254" s="355" t="str">
        <f t="shared" si="178"/>
        <v/>
      </c>
      <c r="KI254" s="355" t="str">
        <f t="shared" si="179"/>
        <v/>
      </c>
      <c r="KJ254" s="355" t="str">
        <f t="shared" si="180"/>
        <v/>
      </c>
      <c r="KK254" s="355" t="str">
        <f t="shared" si="181"/>
        <v/>
      </c>
      <c r="KL254" s="355" t="str">
        <f t="shared" si="182"/>
        <v/>
      </c>
      <c r="KM254" s="355" t="str">
        <f t="shared" si="183"/>
        <v/>
      </c>
      <c r="KN254" s="355" t="str">
        <f t="shared" si="184"/>
        <v/>
      </c>
      <c r="KO254" s="359"/>
      <c r="KP254" s="378"/>
      <c r="KQ254" s="379" t="s">
        <v>9</v>
      </c>
      <c r="KR254" s="380" t="s">
        <v>9</v>
      </c>
      <c r="KS254" s="381" t="s">
        <v>9</v>
      </c>
      <c r="KT254" s="382">
        <f t="shared" si="186"/>
        <v>0</v>
      </c>
      <c r="KU254" s="383">
        <f t="shared" si="187"/>
        <v>0</v>
      </c>
      <c r="KV254" s="381" t="str">
        <f t="shared" si="205"/>
        <v>S</v>
      </c>
      <c r="KW254" s="382">
        <f t="shared" si="189"/>
        <v>0</v>
      </c>
      <c r="KX254" s="384">
        <f t="shared" si="190"/>
        <v>0</v>
      </c>
      <c r="KY254" s="382">
        <f t="shared" ref="KY254:KZ254" si="730">KW254-KT254</f>
        <v>0</v>
      </c>
      <c r="KZ254" s="369">
        <f t="shared" si="730"/>
        <v>0</v>
      </c>
      <c r="LA254" s="385" t="str">
        <f t="shared" si="192"/>
        <v>✔</v>
      </c>
      <c r="LB254" s="340" t="str">
        <f>IFERROR(__xludf.DUMMYFUNCTION("JOIN("""",ArrayFormula(MID(KS254,LEN(KS254)-SEQUENCE(1,LEN(KS254))+1,1)))"),"S")</f>
        <v>S</v>
      </c>
      <c r="LC254" s="373" t="str">
        <f>IFERROR(__xludf.DUMMYFUNCTION("JOIN("""",ArrayFormula(MID(KV254,LEN(KV254)-SEQUENCE(1,LEN(KV254))+1,1)))"),"S")</f>
        <v>S</v>
      </c>
      <c r="LD254" s="373" t="str">
        <f t="shared" si="193"/>
        <v>S</v>
      </c>
      <c r="LE254" s="339" t="str">
        <f t="shared" si="194"/>
        <v>S</v>
      </c>
      <c r="LF254" s="386" t="str">
        <f>IFERROR(__xludf.DUMMYFUNCTION("SUBSTITUTE(SUBSTITUTE(CONCATENATE(JOIN("""",LH254:LT254)),""1"",""""),""2"","""")"),"SS")</f>
        <v>SS</v>
      </c>
      <c r="LG254" s="369" t="str">
        <f t="shared" si="195"/>
        <v>-</v>
      </c>
      <c r="LH254" s="387" t="str">
        <f>IFERROR(__xludf.DUMMYFUNCTION("IF(REGEXMATCH(LD254, ""S""), ""S"",IF(REGEXMATCH(LE254, ""S""), ""S"",""""))"),"S")</f>
        <v>S</v>
      </c>
      <c r="LI254" s="299" t="str">
        <f>IFERROR(__xludf.DUMMYFUNCTION("IF(REGEXMATCH(LD254, ""r""), ""r1"",IF(REGEXMATCH(LE254, ""r""), ""r2"",""""))"),"")</f>
        <v/>
      </c>
      <c r="LJ254" s="299" t="str">
        <f>IFERROR(__xludf.DUMMYFUNCTION("IF(REGEXMATCH(LD254, ""R""), ""R1"",IF(REGEXMATCH(LE254, ""R""), ""R2"",""""))"),"")</f>
        <v/>
      </c>
      <c r="LK254" s="299" t="str">
        <f>IFERROR(__xludf.DUMMYFUNCTION("IF(REGEXMATCH(LD254, ""g""), ""g1"",IF(REGEXMATCH(LE254, ""g""), ""g2"",""""))"),"")</f>
        <v/>
      </c>
      <c r="LL254" s="299" t="str">
        <f>IFERROR(__xludf.DUMMYFUNCTION("IF(REGEXMATCH(LD254, ""G""), ""G1"",IF(REGEXMATCH(LE254, ""G""), ""G2"",""""))"),"")</f>
        <v/>
      </c>
      <c r="LM254" s="299" t="str">
        <f>IFERROR(__xludf.DUMMYFUNCTION("IF(REGEXMATCH(LD254, ""m""), ""m1"",IF(REGEXMATCH(LE254, ""m""), ""m2"",""""))"),"")</f>
        <v/>
      </c>
      <c r="LN254" s="299" t="str">
        <f>IFERROR(__xludf.DUMMYFUNCTION("IF(REGEXMATCH(LD254, ""M""), ""M1"",IF(REGEXMATCH(LE254, ""M""), ""M2"",""""))"),"")</f>
        <v/>
      </c>
      <c r="LO254" s="299" t="str">
        <f>IFERROR(__xludf.DUMMYFUNCTION("IF(REGEXMATCH(LD254, ""P""), ""P1"",IF(REGEXMATCH(LE254, ""P""), ""P2"",""""))"),"")</f>
        <v/>
      </c>
      <c r="LP254" s="299" t="str">
        <f>IFERROR(__xludf.DUMMYFUNCTION("IF(REGEXMATCH(LD254, ""d""), ""d1"",IF(REGEXMATCH(LE254, ""d""), ""d2"",""""))"),"")</f>
        <v/>
      </c>
      <c r="LQ254" s="299" t="str">
        <f>IFERROR(__xludf.DUMMYFUNCTION("IF(REGEXMATCH(LD254, ""D""), ""D1"",IF(REGEXMATCH(LE254, ""D""), ""D2"",""""))"),"")</f>
        <v/>
      </c>
      <c r="LR254" s="299" t="str">
        <f>IFERROR(__xludf.DUMMYFUNCTION("IF(REGEXMATCH(LD254, ""n""), ""n1"",IF(REGEXMATCH(LE254, ""n""), ""n2"",""""))"),"")</f>
        <v/>
      </c>
      <c r="LS254" s="299" t="str">
        <f>IFERROR(__xludf.DUMMYFUNCTION("IF(REGEXMATCH(LD254, ""N""), ""N1"",IF(REGEXMATCH(LE254, ""N""), ""N2"",""""))"),"")</f>
        <v/>
      </c>
      <c r="LT254" s="388" t="str">
        <f>IFERROR(__xludf.DUMMYFUNCTION("IF(REGEXMATCH(LD254, ""S""), ""S"",IF(REGEXMATCH(LE254, ""S""), ""S"",""""))"),"S")</f>
        <v>S</v>
      </c>
      <c r="LU254" s="389">
        <f t="shared" si="196"/>
        <v>1</v>
      </c>
      <c r="LV254" s="378"/>
      <c r="LW254" s="369"/>
      <c r="LX254" s="369"/>
    </row>
    <row r="255" ht="18.0" customHeight="1">
      <c r="A255" s="298" t="s">
        <v>1033</v>
      </c>
      <c r="B255" s="222" t="s">
        <v>619</v>
      </c>
      <c r="C255" s="233" t="str">
        <f t="shared" si="7"/>
        <v>SRGPDS</v>
      </c>
      <c r="D255" s="234" t="str">
        <f>IFERROR(__xludf.DUMMYFUNCTION("IF(REGEXMATCH(C255, ""S""), ""S"","""")"),"S")</f>
        <v>S</v>
      </c>
      <c r="E255" s="236" t="str">
        <f>IFERROR(__xludf.DUMMYFUNCTION("IF(REGEXMATCH(C255, ""r""), ""r"","""")"),"")</f>
        <v/>
      </c>
      <c r="F255" s="237" t="str">
        <f>IFERROR(__xludf.DUMMYFUNCTION("IF(REGEXMATCH(C255, ""R""), ""R"","""")"),"R")</f>
        <v>R</v>
      </c>
      <c r="G255" s="237" t="str">
        <f>IFERROR(__xludf.DUMMYFUNCTION("IF(REGEXMATCH(C255, ""g""), ""g"","""")"),"")</f>
        <v/>
      </c>
      <c r="H255" s="236" t="str">
        <f>IFERROR(__xludf.DUMMYFUNCTION("IF(REGEXMATCH(C255, ""G""), ""G"","""")"),"G")</f>
        <v>G</v>
      </c>
      <c r="I255" s="236" t="str">
        <f>IFERROR(__xludf.DUMMYFUNCTION("IF(REGEXMATCH(C255, ""m""), ""m"","""")"),"")</f>
        <v/>
      </c>
      <c r="J255" s="237" t="str">
        <f>IFERROR(__xludf.DUMMYFUNCTION("IF(REGEXMATCH(C255, ""M""), ""M"","""")"),"")</f>
        <v/>
      </c>
      <c r="K255" s="236" t="str">
        <f>IFERROR(__xludf.DUMMYFUNCTION("IF(REGEXMATCH(C255, ""P""), ""P"","""")"),"P")</f>
        <v>P</v>
      </c>
      <c r="L255" s="237" t="str">
        <f>IFERROR(__xludf.DUMMYFUNCTION("IF(REGEXMATCH(C255, ""d""), ""d"","""")"),"")</f>
        <v/>
      </c>
      <c r="M255" s="236" t="str">
        <f>IFERROR(__xludf.DUMMYFUNCTION("IF(REGEXMATCH(C255, ""D""), ""D"","""")"),"D")</f>
        <v>D</v>
      </c>
      <c r="N255" s="236" t="str">
        <f>IFERROR(__xludf.DUMMYFUNCTION("IF(REGEXMATCH(C255, ""n""), ""n"","""")"),"")</f>
        <v/>
      </c>
      <c r="O255" s="237" t="str">
        <f>IFERROR(__xludf.DUMMYFUNCTION("IF(REGEXMATCH(C255, ""N""), ""N"","""")"),"")</f>
        <v/>
      </c>
      <c r="P255" s="238" t="str">
        <f>IFERROR(__xludf.DUMMYFUNCTION("IF(REGEXMATCH(C255, ""S""), ""S"","""")"),"S")</f>
        <v>S</v>
      </c>
      <c r="Q255" s="239" t="str">
        <f>IFERROR(__xludf.DUMMYFUNCTION("SUBSTITUTE(CONCATENATE(JOIN(""-"",D255:J255)),""-"","""")"),"SRG")</f>
        <v>SRG</v>
      </c>
      <c r="R255" s="229" t="str">
        <f>IFERROR(__xludf.DUMMYFUNCTION("SUBSTITUTE(CONCATENATE(JOIN(""-"",K255:P255)),""-"","""")"),"PDS")</f>
        <v>PDS</v>
      </c>
      <c r="S255" s="282" t="str">
        <f t="shared" si="8"/>
        <v>S-R-G-</v>
      </c>
      <c r="T255" s="282" t="str">
        <f t="shared" si="9"/>
        <v>P-D-S</v>
      </c>
      <c r="U255" s="237" t="str">
        <f>IFERROR(__xludf.DUMMYFUNCTION("SUBSTITUTE(JOIN(""-"",S255,T255),""--"",""-"")"),"S-R-G-P-D-S")</f>
        <v>S-R-G-P-D-S</v>
      </c>
      <c r="V255" s="309" t="str">
        <f t="shared" si="10"/>
        <v>RGD</v>
      </c>
      <c r="W255" s="244" t="str">
        <f>IFERROR(__xludf.DUMMYFUNCTION("IF(REGEXMATCH(C255, ""S""), ""0"","""")"),"0")</f>
        <v>0</v>
      </c>
      <c r="X255" s="245" t="str">
        <f>IFERROR(__xludf.DUMMYFUNCTION("IF(REGEXMATCH(C255, ""r""), ""1"","""")"),"")</f>
        <v/>
      </c>
      <c r="Y255" s="246" t="str">
        <f>IFERROR(__xludf.DUMMYFUNCTION("IF(REGEXMATCH(C255, ""R""), ""2"","""")"),"2")</f>
        <v>2</v>
      </c>
      <c r="Z255" s="246" t="str">
        <f>IFERROR(__xludf.DUMMYFUNCTION("IF(REGEXMATCH(C255, ""g""), ""3"","""")"),"")</f>
        <v/>
      </c>
      <c r="AA255" s="245" t="str">
        <f>IFERROR(__xludf.DUMMYFUNCTION("IF(REGEXMATCH(C255, ""G""), ""4"","""")"),"4")</f>
        <v>4</v>
      </c>
      <c r="AB255" s="245" t="str">
        <f>IFERROR(__xludf.DUMMYFUNCTION("IF(REGEXMATCH(C255, ""m""), ""5"","""")"),"")</f>
        <v/>
      </c>
      <c r="AC255" s="246" t="str">
        <f>IFERROR(__xludf.DUMMYFUNCTION("IF(REGEXMATCH(C255, ""M""), ""6"","""")"),"")</f>
        <v/>
      </c>
      <c r="AD255" s="245" t="str">
        <f>IFERROR(__xludf.DUMMYFUNCTION("IF(REGEXMATCH(C255, ""P""), ""7"","""")"),"7")</f>
        <v>7</v>
      </c>
      <c r="AE255" s="246" t="str">
        <f>IFERROR(__xludf.DUMMYFUNCTION("IF(REGEXMATCH(C255, ""d""), ""8"","""")"),"")</f>
        <v/>
      </c>
      <c r="AF255" s="245" t="str">
        <f>IFERROR(__xludf.DUMMYFUNCTION("IF(REGEXMATCH(C255, ""D""), ""9"","""")"),"9")</f>
        <v>9</v>
      </c>
      <c r="AG255" s="245" t="str">
        <f>IFERROR(__xludf.DUMMYFUNCTION("IF(REGEXMATCH(C255, ""n""), ""10"","""")"),"")</f>
        <v/>
      </c>
      <c r="AH255" s="246" t="str">
        <f>IFERROR(__xludf.DUMMYFUNCTION("IF(REGEXMATCH(C255, ""N""), ""11"","""")"),"")</f>
        <v/>
      </c>
      <c r="AI255" s="249" t="str">
        <f>IFERROR(__xludf.DUMMYFUNCTION("IF(REGEXMATCH(C255, ""S""), ""0"","""")"),"0")</f>
        <v>0</v>
      </c>
      <c r="AJ255" s="313" t="str">
        <f t="shared" si="11"/>
        <v>-</v>
      </c>
      <c r="AK255" s="313" t="str">
        <f t="shared" si="12"/>
        <v>-</v>
      </c>
      <c r="AL255" s="313" t="str">
        <f t="shared" si="13"/>
        <v>-</v>
      </c>
      <c r="AM255" s="313" t="str">
        <f t="shared" si="14"/>
        <v>-</v>
      </c>
      <c r="AN255" s="313" t="str">
        <f t="shared" si="15"/>
        <v>-</v>
      </c>
      <c r="AO255" s="314" t="str">
        <f t="shared" si="16"/>
        <v>-</v>
      </c>
      <c r="AP255" s="316">
        <f t="shared" si="17"/>
        <v>0</v>
      </c>
      <c r="AQ255" s="319" t="str">
        <f t="shared" si="18"/>
        <v>-</v>
      </c>
      <c r="AR255" s="320">
        <f t="shared" si="19"/>
        <v>0</v>
      </c>
      <c r="AS255" s="250" t="str">
        <f>IFERROR(__xludf.DUMMYFUNCTION("SUBSTITUTE(SUBSTITUTE(CONCATENATE(JOIN("""",FP255:GA255)),""|"",""x""),""-"",""o"")"),"xoxoxooxoxoo")</f>
        <v>xoxoxooxoxoo</v>
      </c>
      <c r="AT255" s="323" t="str">
        <f>IFERROR(__xludf.DUMMYFUNCTION("JOIN("""",AS255,AS255)"),"xoxoxooxoxooxoxoxooxoxoo")</f>
        <v>xoxoxooxoxooxoxoxooxoxoo</v>
      </c>
      <c r="AU255" s="256" t="str">
        <f>IFERROR(__xludf.DUMMYFUNCTION("JOIN("""",ArrayFormula(MID(AS255,LEN(AS255)-SEQUENCE(1,LEN(AS255))+1,1)))"),"ooxoxooxoxox")</f>
        <v>ooxoxooxoxox</v>
      </c>
      <c r="AV255" s="256" t="str">
        <f>IFERROR(__xludf.DUMMYFUNCTION("LEFT(CONCATENATE(""x"",JOIN("""",ArrayFormula(MID(AS255,LEN(AS255)-SEQUENCE(1,LEN(AS255))+1,1)))),12)"),"xooxoxooxoxo")</f>
        <v>xooxoxooxoxo</v>
      </c>
      <c r="AW255" s="327" t="str">
        <f>IFERROR(__xludf.DUMMYFUNCTION("JOIN("""",AU255,AU255)"),"ooxoxooxoxoxooxoxooxoxox")</f>
        <v>ooxoxooxoxoxooxoxooxoxox</v>
      </c>
      <c r="AX255" s="239" t="str">
        <f>IFERROR(__xludf.DUMMYFUNCTION("IF(REGEXMATCH(AW255,AS255),""✔"",""-"")"),"✔")</f>
        <v>✔</v>
      </c>
      <c r="AY255" s="330" t="str">
        <f t="shared" si="20"/>
        <v>-</v>
      </c>
      <c r="AZ255" s="260" t="str">
        <f t="shared" si="21"/>
        <v>#REF!</v>
      </c>
      <c r="BA255" s="333" t="str">
        <f t="shared" si="22"/>
        <v>xoxoxoo</v>
      </c>
      <c r="BB255" s="334" t="str">
        <f t="shared" si="23"/>
        <v>xoxoox</v>
      </c>
      <c r="BC255" s="335" t="str">
        <f t="shared" si="236"/>
        <v>-</v>
      </c>
      <c r="BD255" s="336" t="str">
        <f t="shared" si="25"/>
        <v>Pahadi: 'xoxoxoo' + 'xoxoox'</v>
      </c>
      <c r="BE255" s="337">
        <f>IFERROR(__xludf.DUMMYFUNCTION("COUNTUNIQUE(FILTER(AT:AT,REGEXMATCH(AT:AT,AS255)))-1"),4.0)</f>
        <v>4</v>
      </c>
      <c r="BF255" s="261" t="str">
        <f>IFERROR(__xludf.DUMMYFUNCTION("IF(BI255=0,""(n/a)"",IF(BJ255=2,""(PAIR)"",IF(REGEXMATCH(AT255,""xoxoxxoxoxox""),""Bilawal"",IF(REGEXMATCH(AT255,""xoxoxooxoxoo""),""Bhupali"",IF(REGEXMATCH(AT255,""xoxoxxoxxoxo""),""Charukeshi"",IF(REGEXMATCH(AT255,""xoxoooxxoxxo""),""Kameshwari"",IF(REG"&amp;"EXMATCH(AT255,""xoxoxooxoxox""),""Shankara"",IF(REGEXMATCH(AT255,""xxooxoxxxoox""),""Basant"",IF(REGEXMATCH(AT255,""xoxoxxxxoxox""),""Bihag"",IF(REGEXMATCH(AT255,""xoxxxxoxoxxx""),""Pilu"",IF(REGEXMATCH(AT255,""xoxxoxoxxoox""),""Kirwani"",IF(REGEXMATCH(AT"&amp;"255,""xoxxoxoxoxxx""),""Mk.Malhar"",IF(REGEXMATCH(AT255,""xxooxxoxxoox""),""Bhairav"",IF(REGEXMATCH(AT255,""xxoxooxxxoox""),""Todi"",IF(REGEXMATCH(AT255,""xxooxoxooxox""),""Marwa"",IF(REGEXMATCH(AT255,""xxoooxoxxooo""),""Gunkali"",IF(REGEXMATCH(AT255,""xo"&amp;"xoxxoxxoox""),""Nat Bhairav"",IF(REGEXMATCH(AT255,""xoxxoooxoxoo""),""Shivranjani"",IF(REGEXMATCH(AT255,""xooxxxoxooxo""),""Jog"",IF(REGEXMATCH(AT255,""xxooxoxoxoox""),""Hemshri"",IF(REGEXMATCH(AT255,""xoooxooxoxxo""),""Kalavati"",IF(REGEXMATCH(AT255,""xx"&amp;"oxoxxoxoox""),""Kedar"",IF(REGEXMATCH(AT255,""xoxxxxoxooxx""),""Gara"",IF(REGEXMATCH(AT255,""xooxoxooxoox""),""Chandrakauns"",IF(REGEXMATCH(AT255,""xoxxxxoxxxox""),""Mand"",IF(REGEXMATCH(AT255,""xoxxxxoxoxox""),""Hanskinkini"",IF(REGEXMATCH(AT255,""xxooxx"&amp;"oxooxo""),""Lilavati"",IF(REGEXMATCH(AT255,""xooxoxoooxox""),""Rajeshwari"",IF(REGEXMATCH(AT255,""xoooxxoxoxxx""),""Khokar"",IF(REGEXMATCH(AT255,""xxooxoxxxxox""),""Maligoura"",""-""))))))))))))))))))))))))))))))"),"Bhupali")</f>
        <v>Bhupali</v>
      </c>
      <c r="BG255" s="239" t="str">
        <f t="shared" si="26"/>
        <v>#REF!</v>
      </c>
      <c r="BH255" s="239">
        <f>IFERROR(__xludf.DUMMYFUNCTION("COUNTUNIQUE(FE255:FO255)-1"),4.0)</f>
        <v>4</v>
      </c>
      <c r="BI255" s="239">
        <f>IFERROR(__xludf.DUMMYFUNCTION("COUNTUNIQUE(FILTER(AT:AT,REGEXMATCH(AT:AT,AS255)))-1"),4.0)</f>
        <v>4</v>
      </c>
      <c r="BJ255" s="239">
        <f>IFERROR(__xludf.DUMMYFUNCTION("COUNTA(FILTER(AT:AT,REGEXMATCH(AT:AT,AS255)))"),11.0)</f>
        <v>11</v>
      </c>
      <c r="BK255" s="341">
        <f>IFERROR(__xludf.DUMMYFUNCTION("COUNTA(FILTER(AT:AT,REGEXMATCH(AT:AT,AS255)))-AR255"),11.0)</f>
        <v>11</v>
      </c>
      <c r="BL255" s="276" t="str">
        <f>IFERROR(__xludf.DUMMYFUNCTION("IF(AS255=""oooooooooooo"",""-"",IF(REGEXMATCH(AT255,""xx""), ""Hemi."", ""Anhemi.""))"),"Anhemi.")</f>
        <v>Anhemi.</v>
      </c>
      <c r="BM255" s="282" t="str">
        <f>IFERROR(__xludf.DUMMYFUNCTION("IF(AS255=""oooooooooooo"",""-"",IF(REGEXMATCH(AT255,""xxx""), ""Cohem."", ""-""))"),"-")</f>
        <v>-</v>
      </c>
      <c r="BN255" s="282" t="str">
        <f>IFERROR(__xludf.DUMMYFUNCTION("IF(AS255=""oooooooooooo"",""-"",IF(REGEXMATCH(AT255,""xxxx""), ""Co-Co."", ""-""))"),"-")</f>
        <v>-</v>
      </c>
      <c r="BO255" s="342" t="str">
        <f>IFERROR(__xludf.DUMMYFUNCTION("IF(AS255=""oooooooooooo"",""-"",IF(REGEXMATCH(AT255,""xxxxx""), ""CCC."", ""-""))"),"-")</f>
        <v>-</v>
      </c>
      <c r="BP255" s="344" t="str">
        <f t="shared" si="27"/>
        <v>-</v>
      </c>
      <c r="BQ255" s="282" t="str">
        <f>IFERROR(__xludf.DUMMYFUNCTION("IF(REGEXMATCH(JOIN(""-"",EU255:FD255),""TRUE""),""✔"",""-"")"),"✔")</f>
        <v>✔</v>
      </c>
      <c r="BR255" s="225">
        <f t="shared" si="28"/>
        <v>3</v>
      </c>
      <c r="BS255" s="345" t="str">
        <f>IFERROR(__xludf.DUMMYFUNCTION("SUBSTITUTE(SUBSTITUTE(SUBSTITUTE(SUBSTITUTE(CONCATENATE(JOIN(""-"",GC255:GO255)),""--"",""-""),""--"",""-""),""--"",""-""),""--"",""-"")"),"1-2-3-5-6-8")</f>
        <v>1-2-3-5-6-8</v>
      </c>
      <c r="BT255" s="299" t="str">
        <f>IFERROR(__xludf.DUMMYFUNCTION("SUBSTITUTE(SUBSTITUTE(SUBSTITUTE(SUBSTITUTE(CONCATENATE(JOIN(""-"",GP255:HB255)),""--"",""-""),""--"",""-""),""--"",""-""),""--"",""-"")"),"S-R2-G3-P-D2-S")</f>
        <v>S-R2-G3-P-D2-S</v>
      </c>
      <c r="BU255" s="348" t="str">
        <f t="shared" si="29"/>
        <v>C-D-E-G-A-C</v>
      </c>
      <c r="BV255" s="349" t="str">
        <f t="shared" si="30"/>
        <v>SrgmMdnNS</v>
      </c>
      <c r="BW255" s="350">
        <f t="shared" si="31"/>
        <v>0</v>
      </c>
      <c r="BX255" s="351">
        <f t="shared" si="32"/>
        <v>4</v>
      </c>
      <c r="BY255" s="392"/>
      <c r="BZ255" s="309" t="str">
        <f>IFERROR(__xludf.DUMMYFUNCTION("IF(REGEXMATCH(C255, ""S""), ""x"",""x"")"),"x")</f>
        <v>x</v>
      </c>
      <c r="CA255" s="245" t="str">
        <f>IFERROR(__xludf.DUMMYFUNCTION("IF(REGEXMATCH(C255, ""r""), ""o"",""x"")"),"x")</f>
        <v>x</v>
      </c>
      <c r="CB255" s="246" t="str">
        <f>IFERROR(__xludf.DUMMYFUNCTION("IF(REGEXMATCH(C255, ""R""), ""o"",""x"")"),"o")</f>
        <v>o</v>
      </c>
      <c r="CC255" s="246" t="str">
        <f>IFERROR(__xludf.DUMMYFUNCTION("IF(REGEXMATCH(C255, ""g""), ""o"",""x"")"),"x")</f>
        <v>x</v>
      </c>
      <c r="CD255" s="245" t="str">
        <f>IFERROR(__xludf.DUMMYFUNCTION("IF(REGEXMATCH(C255, ""G""), ""o"",""x"")"),"o")</f>
        <v>o</v>
      </c>
      <c r="CE255" s="245" t="str">
        <f>IFERROR(__xludf.DUMMYFUNCTION("IF(REGEXMATCH(C255, ""m""), ""o"",""x"")"),"x")</f>
        <v>x</v>
      </c>
      <c r="CF255" s="246" t="str">
        <f>IFERROR(__xludf.DUMMYFUNCTION("IF(REGEXMATCH(C255, ""M""), ""o"",""x"")"),"x")</f>
        <v>x</v>
      </c>
      <c r="CG255" s="245" t="str">
        <f>IFERROR(__xludf.DUMMYFUNCTION("IF(REGEXMATCH(C255, ""P""), ""o"",""x"")"),"o")</f>
        <v>o</v>
      </c>
      <c r="CH255" s="246" t="str">
        <f>IFERROR(__xludf.DUMMYFUNCTION("IF(REGEXMATCH(C255, ""d""), ""o"",""x"")"),"x")</f>
        <v>x</v>
      </c>
      <c r="CI255" s="245" t="str">
        <f>IFERROR(__xludf.DUMMYFUNCTION("IF(REGEXMATCH(C255, ""D""), ""o"",""x"")"),"o")</f>
        <v>o</v>
      </c>
      <c r="CJ255" s="245" t="str">
        <f>IFERROR(__xludf.DUMMYFUNCTION("IF(REGEXMATCH(C255, ""n""), ""o"",""x"")"),"x")</f>
        <v>x</v>
      </c>
      <c r="CK255" s="245" t="str">
        <f>IFERROR(__xludf.DUMMYFUNCTION("IF(REGEXMATCH(C255, ""N""), ""o"",""x"")"),"x")</f>
        <v>x</v>
      </c>
      <c r="CL255" s="356" t="str">
        <f>IFERROR(__xludf.DUMMYFUNCTION("IF(REGEXMATCH(C255, ""S""), ""x"",""x"")"),"x")</f>
        <v>x</v>
      </c>
      <c r="CM255" s="357" t="str">
        <f t="shared" si="33"/>
        <v>xxoxoxxoxoxx</v>
      </c>
      <c r="CN255" s="358">
        <f t="shared" si="34"/>
        <v>0</v>
      </c>
      <c r="CO255" s="246" t="str">
        <f>IFERROR(__xludf.DUMMYFUNCTION("IF(REGEXMATCH($C255, ""S""), ""S"",""S"")"),"S")</f>
        <v>S</v>
      </c>
      <c r="CP255" s="246" t="str">
        <f>IFERROR(__xludf.DUMMYFUNCTION("IF(REGEXMATCH($C255, ""r""), """",""r"")"),"r")</f>
        <v>r</v>
      </c>
      <c r="CQ255" s="246" t="str">
        <f>IFERROR(__xludf.DUMMYFUNCTION("IF(REGEXMATCH($C255, ""R""), """",""R"")"),"")</f>
        <v/>
      </c>
      <c r="CR255" s="246" t="str">
        <f>IFERROR(__xludf.DUMMYFUNCTION("IF(REGEXMATCH($C255, ""g""), """",""g"")"),"g")</f>
        <v>g</v>
      </c>
      <c r="CS255" s="246" t="str">
        <f>IFERROR(__xludf.DUMMYFUNCTION("IF(REGEXMATCH($C255, ""G""), """",""G"")"),"")</f>
        <v/>
      </c>
      <c r="CT255" s="246" t="str">
        <f>IFERROR(__xludf.DUMMYFUNCTION("IF(REGEXMATCH($C255, ""m""), """",""m"")"),"m")</f>
        <v>m</v>
      </c>
      <c r="CU255" s="246" t="str">
        <f>IFERROR(__xludf.DUMMYFUNCTION("IF(REGEXMATCH($C255, ""M""), """",""M"")"),"M")</f>
        <v>M</v>
      </c>
      <c r="CV255" s="246" t="str">
        <f>IFERROR(__xludf.DUMMYFUNCTION("IF(REGEXMATCH($C255, ""P""), """",""P"")"),"")</f>
        <v/>
      </c>
      <c r="CW255" s="246" t="str">
        <f>IFERROR(__xludf.DUMMYFUNCTION("IF(REGEXMATCH($C255, ""d""), """",""d"")"),"d")</f>
        <v>d</v>
      </c>
      <c r="CX255" s="246" t="str">
        <f>IFERROR(__xludf.DUMMYFUNCTION("IF(REGEXMATCH($C255, ""D""), """",""D"")"),"")</f>
        <v/>
      </c>
      <c r="CY255" s="246" t="str">
        <f>IFERROR(__xludf.DUMMYFUNCTION("IF(REGEXMATCH($C255, ""n""), """",""n"")"),"n")</f>
        <v>n</v>
      </c>
      <c r="CZ255" s="246" t="str">
        <f>IFERROR(__xludf.DUMMYFUNCTION("IF(REGEXMATCH($C255, ""N""), """",""N"")"),"N")</f>
        <v>N</v>
      </c>
      <c r="DA255" s="246" t="str">
        <f>IFERROR(__xludf.DUMMYFUNCTION("IF(REGEXMATCH($C255, ""S""), ""S"",""S"")"),"S")</f>
        <v>S</v>
      </c>
      <c r="DB255" s="362" t="str">
        <f>IFERROR(__xludf.DUMMYFUNCTION("JOIN("""",CO255:DA255,"""","""")"),"SrgmMdnNS")</f>
        <v>SrgmMdnNS</v>
      </c>
      <c r="DC255" s="363"/>
      <c r="DD255" s="301" t="str">
        <f t="shared" si="35"/>
        <v>#REF!</v>
      </c>
      <c r="DE255" s="302" t="str">
        <f t="shared" si="36"/>
        <v>#REF!</v>
      </c>
      <c r="DF255" s="301" t="str">
        <f t="shared" ref="DF255:DG255" si="731">SUBSTITUTE(S255,"-","")</f>
        <v>SRG</v>
      </c>
      <c r="DG255" s="301" t="str">
        <f t="shared" si="731"/>
        <v>PDS</v>
      </c>
      <c r="DH255" s="302" t="str">
        <f t="shared" si="38"/>
        <v>Bhupali</v>
      </c>
      <c r="DI255" s="301" t="str">
        <f t="shared" si="39"/>
        <v>Anhemi.</v>
      </c>
      <c r="DJ255" s="364" t="str">
        <f t="shared" si="40"/>
        <v>-</v>
      </c>
      <c r="DK255" s="306" t="str">
        <f t="shared" si="41"/>
        <v>-</v>
      </c>
      <c r="DL255" s="366" t="str">
        <f t="shared" si="42"/>
        <v>✔</v>
      </c>
      <c r="DM255" s="308" t="str">
        <f t="shared" si="43"/>
        <v>-</v>
      </c>
      <c r="DN255" s="306" t="str">
        <f t="shared" si="44"/>
        <v>✔</v>
      </c>
      <c r="DO255" s="306" t="str">
        <f t="shared" si="45"/>
        <v>-</v>
      </c>
      <c r="DP255" s="367" t="str">
        <f t="shared" si="46"/>
        <v>-</v>
      </c>
      <c r="DQ255" s="310" t="str">
        <f t="shared" si="47"/>
        <v>-</v>
      </c>
      <c r="DR255" s="310" t="str">
        <f t="shared" si="48"/>
        <v>-</v>
      </c>
      <c r="DS255" s="310" t="str">
        <f t="shared" si="49"/>
        <v>-</v>
      </c>
      <c r="DT255" s="310" t="str">
        <f t="shared" si="50"/>
        <v>-</v>
      </c>
      <c r="DU255" s="370" t="str">
        <f t="shared" si="51"/>
        <v>-</v>
      </c>
      <c r="DV255" s="306" t="str">
        <f t="shared" si="52"/>
        <v>-</v>
      </c>
      <c r="DW255" s="306" t="str">
        <f t="shared" si="53"/>
        <v>-</v>
      </c>
      <c r="DX255" s="306" t="str">
        <f t="shared" si="54"/>
        <v>✔</v>
      </c>
      <c r="DY255" s="306" t="str">
        <f t="shared" si="55"/>
        <v>-</v>
      </c>
      <c r="DZ255" s="306" t="str">
        <f t="shared" si="56"/>
        <v>-</v>
      </c>
      <c r="EA255" s="367" t="str">
        <f t="shared" si="57"/>
        <v>✔</v>
      </c>
      <c r="EB255" s="310" t="str">
        <f>IFERROR(__xludf.DUMMYFUNCTION("IF(REGEXMATCH(AW255,AS255),""✔"",""-"")"),"✔")</f>
        <v>✔</v>
      </c>
      <c r="EC255" s="310" t="str">
        <f t="shared" si="58"/>
        <v>#REF!</v>
      </c>
      <c r="ED255" s="370" t="str">
        <f t="shared" si="59"/>
        <v>-</v>
      </c>
      <c r="EE255" s="340" t="str">
        <f t="shared" si="60"/>
        <v>S-R-G-P-D-S</v>
      </c>
      <c r="EF255" s="371" t="str">
        <f>IFERROR(__xludf.DUMMYFUNCTION("CONCATENATE(JOIN("""",HC255:HO255))"),"SgmdnS")</f>
        <v>SgmdnS</v>
      </c>
      <c r="EG255" s="372">
        <f t="shared" si="61"/>
        <v>1</v>
      </c>
      <c r="EH255" s="373" t="str">
        <f>IFERROR(__xludf.DUMMYFUNCTION("CONCATENATE(JOIN("""",JC255:JO255))"),"Ga, ")</f>
        <v>Ga, </v>
      </c>
      <c r="EI255" s="322">
        <f t="shared" si="62"/>
        <v>0</v>
      </c>
      <c r="EJ255" s="374" t="str">
        <f>IFERROR(__xludf.DUMMYFUNCTION("CONCATENATE(JOIN("""",KC255:KO255))"),"")</f>
        <v/>
      </c>
      <c r="EK255" s="325" t="str">
        <f t="shared" si="63"/>
        <v>S-R2-G3-P-D2-S</v>
      </c>
      <c r="EL255" s="326" t="str">
        <f t="shared" si="64"/>
        <v>1-2-3-5-6-8</v>
      </c>
      <c r="EM255" s="318" t="str">
        <f t="shared" si="65"/>
        <v>#REF!</v>
      </c>
      <c r="EN255" s="328" t="str">
        <f>IFERROR(__xludf.DUMMYFUNCTION("SUBSTITUTE(SUBSTITUTE(SUBSTITUTE(SUBSTITUTE(CONCATENATE(JOIN("" "",HP255:IB255)),""  "","" ""),""  "","" ""),""  "","" ""),""  "","" "")"),"o • o • o • • o • o • • o")</f>
        <v>o • o • o • • o • o • • o</v>
      </c>
      <c r="EO255" s="368" t="str">
        <f t="shared" si="66"/>
        <v>Sa-Pa</v>
      </c>
      <c r="EP255" s="339" t="str">
        <f t="shared" si="67"/>
        <v>-</v>
      </c>
      <c r="EQ255" s="339" t="str">
        <f t="shared" si="68"/>
        <v>Sa-Pa</v>
      </c>
      <c r="ER255" s="339" t="str">
        <f t="shared" si="69"/>
        <v>Sa-Pa</v>
      </c>
      <c r="ES255" s="340" t="str">
        <f t="shared" si="70"/>
        <v>-</v>
      </c>
      <c r="ET255" s="363"/>
      <c r="EU255" s="376" t="b">
        <f>IFERROR(__xludf.DUMMYFUNCTION("arrayformula(sum(--REGEXMATCH(""SRGMPDNS"",split(REGEXREPLACE(C255,""(.)"",""$1~""),""~""))))=len(C255)
"),TRUE)</f>
        <v>1</v>
      </c>
      <c r="EV255" s="290" t="b">
        <f>IFERROR(__xludf.DUMMYFUNCTION("arrayformula(sum(--REGEXMATCH(""SRGmPDNS"",split(REGEXREPLACE(C255,""(.)"",""$1~""),""~""))))=len(C255)"),TRUE)</f>
        <v>1</v>
      </c>
      <c r="EW255" s="290" t="b">
        <f>IFERROR(__xludf.DUMMYFUNCTION("arrayformula(sum(--REGEXMATCH(""SRGmPDnS"",split(REGEXREPLACE(C255,""(.)"",""$1~""),""~""))))=len(C255)"),TRUE)</f>
        <v>1</v>
      </c>
      <c r="EX255" s="290" t="b">
        <f>IFERROR(__xludf.DUMMYFUNCTION("arrayformula(sum(--REGEXMATCH(""SRgmPDnS"",split(REGEXREPLACE(C255,""(.)"",""$1~""),""~""))))=len(C255)"),FALSE)</f>
        <v>0</v>
      </c>
      <c r="EY255" s="290" t="b">
        <f>IFERROR(__xludf.DUMMYFUNCTION("arrayformula(sum(--REGEXMATCH(""SRgmPdnS"",split(REGEXREPLACE(C255,""(.)"",""$1~""),""~""))))=len(C255)"),FALSE)</f>
        <v>0</v>
      </c>
      <c r="EZ255" s="290" t="b">
        <f>IFERROR(__xludf.DUMMYFUNCTION("arrayformula(sum(--REGEXMATCH(""SrgmPdnS"",split(REGEXREPLACE(C255,""(.)"",""$1~""),""~""))))=len(C255)"),FALSE)</f>
        <v>0</v>
      </c>
      <c r="FA255" s="290" t="b">
        <f>IFERROR(__xludf.DUMMYFUNCTION("arrayformula(sum(--REGEXMATCH(""SrGmPdNS"",split(REGEXREPLACE(C255,""(.)"",""$1~""),""~""))))=len(C255)"),FALSE)</f>
        <v>0</v>
      </c>
      <c r="FB255" s="290" t="b">
        <f>IFERROR(__xludf.DUMMYFUNCTION("arrayformula(sum(--REGEXMATCH(""SrGMPDNS"",split(REGEXREPLACE(C255,""(.)"",""$1~""),""~""))))=len(C255)"),FALSE)</f>
        <v>0</v>
      </c>
      <c r="FC255" s="290" t="b">
        <f>IFERROR(__xludf.DUMMYFUNCTION("arrayformula(sum(--REGEXMATCH(""SrGMPdNS"",split(REGEXREPLACE(C255,""(.)"",""$1~""),""~""))))=len(C255)"),FALSE)</f>
        <v>0</v>
      </c>
      <c r="FD255" s="377" t="b">
        <f>IFERROR(__xludf.DUMMYFUNCTION("arrayformula(sum(--REGEXMATCH(""SrgMPdNS"",split(REGEXREPLACE(C255,""(.)"",""$1~""),""~""))))=len(C255)"),FALSE)</f>
        <v>0</v>
      </c>
      <c r="FE255" s="269" t="str">
        <f t="shared" si="71"/>
        <v>-</v>
      </c>
      <c r="FF255" s="269" t="str">
        <f t="shared" si="72"/>
        <v>xoxooxoxoox</v>
      </c>
      <c r="FG255" s="271" t="str">
        <f t="shared" si="73"/>
        <v>-</v>
      </c>
      <c r="FH255" s="269" t="str">
        <f t="shared" si="74"/>
        <v>xooxoxooxox</v>
      </c>
      <c r="FI255" s="271" t="str">
        <f t="shared" si="75"/>
        <v>-</v>
      </c>
      <c r="FJ255" s="271" t="str">
        <f t="shared" si="76"/>
        <v>-</v>
      </c>
      <c r="FK255" s="271" t="str">
        <f t="shared" si="77"/>
        <v>xoxooxoxoxo</v>
      </c>
      <c r="FL255" s="271" t="str">
        <f t="shared" si="78"/>
        <v>-</v>
      </c>
      <c r="FM255" s="271" t="str">
        <f t="shared" si="79"/>
        <v>xooxoxoxoox</v>
      </c>
      <c r="FN255" s="271" t="str">
        <f t="shared" si="80"/>
        <v>-</v>
      </c>
      <c r="FO255" s="274" t="str">
        <f t="shared" si="81"/>
        <v>-</v>
      </c>
      <c r="FP255" s="234" t="str">
        <f t="shared" si="82"/>
        <v>|</v>
      </c>
      <c r="FQ255" s="236" t="str">
        <f t="shared" si="83"/>
        <v>-</v>
      </c>
      <c r="FR255" s="237" t="str">
        <f t="shared" si="84"/>
        <v>|</v>
      </c>
      <c r="FS255" s="236" t="str">
        <f t="shared" si="85"/>
        <v>-</v>
      </c>
      <c r="FT255" s="237" t="str">
        <f t="shared" si="86"/>
        <v>|</v>
      </c>
      <c r="FU255" s="236" t="str">
        <f t="shared" si="87"/>
        <v>-</v>
      </c>
      <c r="FV255" s="237" t="str">
        <f t="shared" si="88"/>
        <v>-</v>
      </c>
      <c r="FW255" s="236" t="str">
        <f t="shared" si="89"/>
        <v>|</v>
      </c>
      <c r="FX255" s="237" t="str">
        <f t="shared" si="90"/>
        <v>-</v>
      </c>
      <c r="FY255" s="236" t="str">
        <f t="shared" si="91"/>
        <v>|</v>
      </c>
      <c r="FZ255" s="237" t="str">
        <f t="shared" si="92"/>
        <v>-</v>
      </c>
      <c r="GA255" s="236" t="str">
        <f t="shared" si="93"/>
        <v>-</v>
      </c>
      <c r="GB255" s="238" t="str">
        <f t="shared" si="94"/>
        <v>|</v>
      </c>
      <c r="GC255" s="244" t="str">
        <f>IFERROR(__xludf.DUMMYFUNCTION("IF(REGEXMATCH(C255, ""S""), ""1"","""")"),"1")</f>
        <v>1</v>
      </c>
      <c r="GD255" s="245" t="str">
        <f>IFERROR(__xludf.DUMMYFUNCTION("IF(REGEXMATCH(C255, ""r""), ""b2"","""")"),"")</f>
        <v/>
      </c>
      <c r="GE255" s="246" t="str">
        <f>IFERROR(__xludf.DUMMYFUNCTION("IF(REGEXMATCH(C255, ""R""), ""2"","""")"),"2")</f>
        <v>2</v>
      </c>
      <c r="GF255" s="246" t="str">
        <f>IFERROR(__xludf.DUMMYFUNCTION("IF(REGEXMATCH(C255, ""g""), ""b3"","""")"),"")</f>
        <v/>
      </c>
      <c r="GG255" s="245" t="str">
        <f>IFERROR(__xludf.DUMMYFUNCTION("IF(REGEXMATCH(C255, ""G""), ""3"","""")"),"3")</f>
        <v>3</v>
      </c>
      <c r="GH255" s="245" t="str">
        <f>IFERROR(__xludf.DUMMYFUNCTION("IF(REGEXMATCH(C255, ""m""), ""4"","""")"),"")</f>
        <v/>
      </c>
      <c r="GI255" s="246" t="str">
        <f>IFERROR(__xludf.DUMMYFUNCTION("IF(REGEXMATCH(C255, ""M""), ""#4"","""")"),"")</f>
        <v/>
      </c>
      <c r="GJ255" s="245" t="str">
        <f>IFERROR(__xludf.DUMMYFUNCTION("IF(REGEXMATCH(C255, ""P""), ""5"","""")"),"5")</f>
        <v>5</v>
      </c>
      <c r="GK255" s="246" t="str">
        <f>IFERROR(__xludf.DUMMYFUNCTION("IF(REGEXMATCH(C255, ""d""), ""b6"","""")"),"")</f>
        <v/>
      </c>
      <c r="GL255" s="245" t="str">
        <f>IFERROR(__xludf.DUMMYFUNCTION("IF(REGEXMATCH(C255, ""D""), ""6"","""")"),"6")</f>
        <v>6</v>
      </c>
      <c r="GM255" s="245" t="str">
        <f>IFERROR(__xludf.DUMMYFUNCTION("IF(REGEXMATCH(C255, ""n""), ""b7"","""")"),"")</f>
        <v/>
      </c>
      <c r="GN255" s="246" t="str">
        <f>IFERROR(__xludf.DUMMYFUNCTION("IF(REGEXMATCH(C255, ""N""), ""7"","""")"),"")</f>
        <v/>
      </c>
      <c r="GO255" s="249" t="str">
        <f>IFERROR(__xludf.DUMMYFUNCTION("IF(REGEXMATCH(C255, ""S""), ""8"","""")"),"8")</f>
        <v>8</v>
      </c>
      <c r="GP255" s="244" t="str">
        <f>IFERROR(__xludf.DUMMYFUNCTION("IF(REGEXMATCH(C255, ""S""), ""S"","""")"),"S")</f>
        <v>S</v>
      </c>
      <c r="GQ255" s="294" t="str">
        <f>IFERROR(__xludf.DUMMYFUNCTION("IF(REGEXMATCH(C255, ""r""), ""R1"","""")"),"")</f>
        <v/>
      </c>
      <c r="GR255" s="295" t="str">
        <f>IFERROR(__xludf.DUMMYFUNCTION("IF(REGEXMATCH(C255, ""R""), ""R2"","""")"),"R2")</f>
        <v>R2</v>
      </c>
      <c r="GS255" s="295" t="str">
        <f>IFERROR(__xludf.DUMMYFUNCTION("IF(REGEXMATCH(C255, ""g""), ""G2"","""")"),"")</f>
        <v/>
      </c>
      <c r="GT255" s="294" t="str">
        <f>IFERROR(__xludf.DUMMYFUNCTION("IF(REGEXMATCH(C255, ""G""), ""G3"","""")"),"G3")</f>
        <v>G3</v>
      </c>
      <c r="GU255" s="294" t="str">
        <f>IFERROR(__xludf.DUMMYFUNCTION("IF(REGEXMATCH(C255, ""m""), ""M1"","""")"),"")</f>
        <v/>
      </c>
      <c r="GV255" s="295" t="str">
        <f>IFERROR(__xludf.DUMMYFUNCTION("IF(REGEXMATCH(C255, ""M""), ""M2"","""")"),"")</f>
        <v/>
      </c>
      <c r="GW255" s="294" t="str">
        <f>IFERROR(__xludf.DUMMYFUNCTION("IF(REGEXMATCH(C255, ""P""), ""P"","""")"),"P")</f>
        <v>P</v>
      </c>
      <c r="GX255" s="295" t="str">
        <f>IFERROR(__xludf.DUMMYFUNCTION("IF(REGEXMATCH(C255, ""d""), ""D1"","""")"),"")</f>
        <v/>
      </c>
      <c r="GY255" s="294" t="str">
        <f>IFERROR(__xludf.DUMMYFUNCTION("IF(REGEXMATCH(C255, ""D""), ""D2"","""")"),"D2")</f>
        <v>D2</v>
      </c>
      <c r="GZ255" s="294" t="str">
        <f>IFERROR(__xludf.DUMMYFUNCTION("IF(REGEXMATCH(C255, ""n""), ""N2"","""")"),"")</f>
        <v/>
      </c>
      <c r="HA255" s="295" t="str">
        <f>IFERROR(__xludf.DUMMYFUNCTION("IF(REGEXMATCH(C255, ""N""), ""N3"","""")"),"")</f>
        <v/>
      </c>
      <c r="HB255" s="249" t="str">
        <f>IFERROR(__xludf.DUMMYFUNCTION("IF(REGEXMATCH(C255, ""S""), ""S"","""")"),"S")</f>
        <v>S</v>
      </c>
      <c r="HC255" s="331" t="str">
        <f t="shared" si="95"/>
        <v>S</v>
      </c>
      <c r="HD255" s="332" t="str">
        <f t="shared" si="96"/>
        <v/>
      </c>
      <c r="HE255" s="332" t="str">
        <f t="shared" si="97"/>
        <v/>
      </c>
      <c r="HF255" s="332" t="str">
        <f t="shared" si="98"/>
        <v>g</v>
      </c>
      <c r="HG255" s="332" t="str">
        <f t="shared" si="99"/>
        <v/>
      </c>
      <c r="HH255" s="332" t="str">
        <f t="shared" si="100"/>
        <v>m</v>
      </c>
      <c r="HI255" s="332" t="str">
        <f t="shared" si="101"/>
        <v/>
      </c>
      <c r="HJ255" s="332" t="str">
        <f t="shared" si="102"/>
        <v/>
      </c>
      <c r="HK255" s="332" t="str">
        <f t="shared" si="103"/>
        <v>d</v>
      </c>
      <c r="HL255" s="332" t="str">
        <f t="shared" si="104"/>
        <v/>
      </c>
      <c r="HM255" s="332" t="str">
        <f t="shared" si="105"/>
        <v>n</v>
      </c>
      <c r="HN255" s="332" t="str">
        <f t="shared" si="106"/>
        <v/>
      </c>
      <c r="HO255" s="343" t="str">
        <f t="shared" si="107"/>
        <v>S</v>
      </c>
      <c r="HP255" s="331" t="str">
        <f t="shared" si="108"/>
        <v>o</v>
      </c>
      <c r="HQ255" s="332" t="str">
        <f t="shared" si="109"/>
        <v>•</v>
      </c>
      <c r="HR255" s="332" t="str">
        <f t="shared" si="110"/>
        <v>o</v>
      </c>
      <c r="HS255" s="332" t="str">
        <f t="shared" si="111"/>
        <v>•</v>
      </c>
      <c r="HT255" s="332" t="str">
        <f t="shared" si="112"/>
        <v>o</v>
      </c>
      <c r="HU255" s="332" t="str">
        <f t="shared" si="113"/>
        <v>•</v>
      </c>
      <c r="HV255" s="332" t="str">
        <f t="shared" si="114"/>
        <v>•</v>
      </c>
      <c r="HW255" s="332" t="str">
        <f t="shared" si="115"/>
        <v>o</v>
      </c>
      <c r="HX255" s="332" t="str">
        <f t="shared" si="116"/>
        <v>•</v>
      </c>
      <c r="HY255" s="332" t="str">
        <f t="shared" si="117"/>
        <v>o</v>
      </c>
      <c r="HZ255" s="332" t="str">
        <f t="shared" si="118"/>
        <v>•</v>
      </c>
      <c r="IA255" s="332" t="str">
        <f t="shared" si="119"/>
        <v>•</v>
      </c>
      <c r="IB255" s="338" t="str">
        <f t="shared" si="120"/>
        <v>o</v>
      </c>
      <c r="IC255" s="331" t="str">
        <f t="shared" si="121"/>
        <v>•</v>
      </c>
      <c r="ID255" s="332" t="str">
        <f t="shared" si="122"/>
        <v>o</v>
      </c>
      <c r="IE255" s="332" t="str">
        <f t="shared" si="123"/>
        <v>•</v>
      </c>
      <c r="IF255" s="332" t="str">
        <f t="shared" si="124"/>
        <v>o</v>
      </c>
      <c r="IG255" s="332" t="str">
        <f t="shared" si="125"/>
        <v>•</v>
      </c>
      <c r="IH255" s="332" t="str">
        <f t="shared" si="126"/>
        <v>o</v>
      </c>
      <c r="II255" s="332" t="str">
        <f t="shared" si="127"/>
        <v>o</v>
      </c>
      <c r="IJ255" s="332" t="str">
        <f t="shared" si="128"/>
        <v>•</v>
      </c>
      <c r="IK255" s="332" t="str">
        <f t="shared" si="129"/>
        <v>o</v>
      </c>
      <c r="IL255" s="332" t="str">
        <f t="shared" si="130"/>
        <v>•</v>
      </c>
      <c r="IM255" s="332" t="str">
        <f t="shared" si="131"/>
        <v>o</v>
      </c>
      <c r="IN255" s="332" t="str">
        <f t="shared" si="132"/>
        <v>o</v>
      </c>
      <c r="IO255" s="338" t="str">
        <f t="shared" si="133"/>
        <v>•</v>
      </c>
      <c r="IP255" s="346" t="b">
        <f t="shared" si="134"/>
        <v>0</v>
      </c>
      <c r="IQ255" s="347" t="b">
        <f t="shared" si="135"/>
        <v>0</v>
      </c>
      <c r="IR255" s="347" t="b">
        <f t="shared" si="136"/>
        <v>0</v>
      </c>
      <c r="IS255" s="347" t="b">
        <f t="shared" si="137"/>
        <v>0</v>
      </c>
      <c r="IT255" s="347" t="b">
        <f t="shared" si="138"/>
        <v>1</v>
      </c>
      <c r="IU255" s="347" t="b">
        <f t="shared" si="139"/>
        <v>0</v>
      </c>
      <c r="IV255" s="347" t="b">
        <f t="shared" si="140"/>
        <v>0</v>
      </c>
      <c r="IW255" s="347" t="b">
        <f t="shared" si="141"/>
        <v>0</v>
      </c>
      <c r="IX255" s="347" t="b">
        <f t="shared" si="142"/>
        <v>0</v>
      </c>
      <c r="IY255" s="347" t="b">
        <f t="shared" si="143"/>
        <v>0</v>
      </c>
      <c r="IZ255" s="347" t="b">
        <f t="shared" si="144"/>
        <v>0</v>
      </c>
      <c r="JA255" s="347" t="b">
        <f t="shared" si="145"/>
        <v>0</v>
      </c>
      <c r="JB255" s="353" t="b">
        <f t="shared" si="146"/>
        <v>0</v>
      </c>
      <c r="JC255" s="354" t="str">
        <f t="shared" si="147"/>
        <v/>
      </c>
      <c r="JD255" s="355" t="str">
        <f t="shared" si="148"/>
        <v/>
      </c>
      <c r="JE255" s="355" t="str">
        <f t="shared" si="149"/>
        <v/>
      </c>
      <c r="JF255" s="355" t="str">
        <f t="shared" si="150"/>
        <v/>
      </c>
      <c r="JG255" s="355" t="str">
        <f t="shared" si="151"/>
        <v>Ga, </v>
      </c>
      <c r="JH255" s="355" t="str">
        <f t="shared" si="152"/>
        <v/>
      </c>
      <c r="JI255" s="355" t="str">
        <f t="shared" si="153"/>
        <v/>
      </c>
      <c r="JJ255" s="355" t="str">
        <f t="shared" si="154"/>
        <v/>
      </c>
      <c r="JK255" s="355" t="str">
        <f t="shared" si="155"/>
        <v/>
      </c>
      <c r="JL255" s="355" t="str">
        <f t="shared" si="156"/>
        <v/>
      </c>
      <c r="JM255" s="355" t="str">
        <f t="shared" si="157"/>
        <v/>
      </c>
      <c r="JN255" s="355" t="str">
        <f t="shared" si="158"/>
        <v/>
      </c>
      <c r="JO255" s="359" t="str">
        <f t="shared" si="159"/>
        <v/>
      </c>
      <c r="JP255" s="346" t="b">
        <f t="shared" si="160"/>
        <v>0</v>
      </c>
      <c r="JQ255" s="347" t="b">
        <f t="shared" si="161"/>
        <v>0</v>
      </c>
      <c r="JR255" s="347" t="b">
        <f t="shared" si="162"/>
        <v>0</v>
      </c>
      <c r="JS255" s="347" t="b">
        <f t="shared" si="163"/>
        <v>0</v>
      </c>
      <c r="JT255" s="347" t="b">
        <f t="shared" si="164"/>
        <v>0</v>
      </c>
      <c r="JU255" s="347" t="b">
        <f t="shared" si="165"/>
        <v>0</v>
      </c>
      <c r="JV255" s="347" t="b">
        <f t="shared" si="166"/>
        <v>0</v>
      </c>
      <c r="JW255" s="347" t="b">
        <f t="shared" si="167"/>
        <v>0</v>
      </c>
      <c r="JX255" s="347" t="b">
        <f t="shared" si="168"/>
        <v>0</v>
      </c>
      <c r="JY255" s="347" t="b">
        <f t="shared" si="169"/>
        <v>0</v>
      </c>
      <c r="JZ255" s="347" t="b">
        <f t="shared" si="170"/>
        <v>0</v>
      </c>
      <c r="KA255" s="347" t="b">
        <f t="shared" si="171"/>
        <v>0</v>
      </c>
      <c r="KB255" s="365" t="b">
        <f t="shared" si="172"/>
        <v>0</v>
      </c>
      <c r="KC255" s="354" t="str">
        <f t="shared" si="173"/>
        <v/>
      </c>
      <c r="KD255" s="355" t="str">
        <f t="shared" si="174"/>
        <v/>
      </c>
      <c r="KE255" s="355" t="str">
        <f t="shared" si="175"/>
        <v/>
      </c>
      <c r="KF255" s="355" t="str">
        <f t="shared" si="176"/>
        <v/>
      </c>
      <c r="KG255" s="355" t="str">
        <f t="shared" si="177"/>
        <v/>
      </c>
      <c r="KH255" s="355" t="str">
        <f t="shared" si="178"/>
        <v/>
      </c>
      <c r="KI255" s="355" t="str">
        <f t="shared" si="179"/>
        <v/>
      </c>
      <c r="KJ255" s="355" t="str">
        <f t="shared" si="180"/>
        <v/>
      </c>
      <c r="KK255" s="355" t="str">
        <f t="shared" si="181"/>
        <v/>
      </c>
      <c r="KL255" s="355" t="str">
        <f t="shared" si="182"/>
        <v/>
      </c>
      <c r="KM255" s="355" t="str">
        <f t="shared" si="183"/>
        <v/>
      </c>
      <c r="KN255" s="355" t="str">
        <f t="shared" si="184"/>
        <v/>
      </c>
      <c r="KO255" s="359"/>
      <c r="KP255" s="378"/>
      <c r="KQ255" s="379" t="s">
        <v>619</v>
      </c>
      <c r="KR255" s="380" t="s">
        <v>1343</v>
      </c>
      <c r="KS255" s="381" t="str">
        <f>KQ255</f>
        <v>S-R-G-P-D-S</v>
      </c>
      <c r="KT255" s="382">
        <f t="shared" si="186"/>
        <v>5</v>
      </c>
      <c r="KU255" s="383">
        <f t="shared" si="187"/>
        <v>5</v>
      </c>
      <c r="KV255" s="381" t="str">
        <f t="shared" si="205"/>
        <v>S-D-P-G-R-S</v>
      </c>
      <c r="KW255" s="382">
        <f t="shared" si="189"/>
        <v>5</v>
      </c>
      <c r="KX255" s="384">
        <f t="shared" si="190"/>
        <v>5</v>
      </c>
      <c r="KY255" s="382">
        <f t="shared" ref="KY255:KZ255" si="732">KW255-KT255</f>
        <v>0</v>
      </c>
      <c r="KZ255" s="369">
        <f t="shared" si="732"/>
        <v>0</v>
      </c>
      <c r="LA255" s="385" t="str">
        <f t="shared" si="192"/>
        <v>✔</v>
      </c>
      <c r="LB255" s="340" t="str">
        <f>IFERROR(__xludf.DUMMYFUNCTION("JOIN("""",ArrayFormula(MID(KS255,LEN(KS255)-SEQUENCE(1,LEN(KS255))+1,1)))"),"S-D-P-G-R-S")</f>
        <v>S-D-P-G-R-S</v>
      </c>
      <c r="LC255" s="373" t="str">
        <f>IFERROR(__xludf.DUMMYFUNCTION("JOIN("""",ArrayFormula(MID(KV255,LEN(KV255)-SEQUENCE(1,LEN(KV255))+1,1)))"),"S-R-G-P-D-S")</f>
        <v>S-R-G-P-D-S</v>
      </c>
      <c r="LD255" s="373" t="str">
        <f t="shared" si="193"/>
        <v>SRGPDS</v>
      </c>
      <c r="LE255" s="339" t="str">
        <f t="shared" si="194"/>
        <v>SRGPDS</v>
      </c>
      <c r="LF255" s="386" t="str">
        <f>IFERROR(__xludf.DUMMYFUNCTION("SUBSTITUTE(SUBSTITUTE(CONCATENATE(JOIN("""",LH255:LT255)),""1"",""""),""2"","""")"),"SRGPDS")</f>
        <v>SRGPDS</v>
      </c>
      <c r="LG255" s="369" t="str">
        <f t="shared" si="195"/>
        <v>✔</v>
      </c>
      <c r="LH255" s="387" t="str">
        <f>IFERROR(__xludf.DUMMYFUNCTION("IF(REGEXMATCH(LD255, ""S""), ""S"",IF(REGEXMATCH(LE255, ""S""), ""S"",""""))"),"S")</f>
        <v>S</v>
      </c>
      <c r="LI255" s="299" t="str">
        <f>IFERROR(__xludf.DUMMYFUNCTION("IF(REGEXMATCH(LD255, ""r""), ""r1"",IF(REGEXMATCH(LE255, ""r""), ""r2"",""""))"),"")</f>
        <v/>
      </c>
      <c r="LJ255" s="299" t="str">
        <f>IFERROR(__xludf.DUMMYFUNCTION("IF(REGEXMATCH(LD255, ""R""), ""R1"",IF(REGEXMATCH(LE255, ""R""), ""R2"",""""))"),"R1")</f>
        <v>R1</v>
      </c>
      <c r="LK255" s="299" t="str">
        <f>IFERROR(__xludf.DUMMYFUNCTION("IF(REGEXMATCH(LD255, ""g""), ""g1"",IF(REGEXMATCH(LE255, ""g""), ""g2"",""""))"),"")</f>
        <v/>
      </c>
      <c r="LL255" s="299" t="str">
        <f>IFERROR(__xludf.DUMMYFUNCTION("IF(REGEXMATCH(LD255, ""G""), ""G1"",IF(REGEXMATCH(LE255, ""G""), ""G2"",""""))"),"G1")</f>
        <v>G1</v>
      </c>
      <c r="LM255" s="299" t="str">
        <f>IFERROR(__xludf.DUMMYFUNCTION("IF(REGEXMATCH(LD255, ""m""), ""m1"",IF(REGEXMATCH(LE255, ""m""), ""m2"",""""))"),"")</f>
        <v/>
      </c>
      <c r="LN255" s="299" t="str">
        <f>IFERROR(__xludf.DUMMYFUNCTION("IF(REGEXMATCH(LD255, ""M""), ""M1"",IF(REGEXMATCH(LE255, ""M""), ""M2"",""""))"),"")</f>
        <v/>
      </c>
      <c r="LO255" s="299" t="str">
        <f>IFERROR(__xludf.DUMMYFUNCTION("IF(REGEXMATCH(LD255, ""P""), ""P1"",IF(REGEXMATCH(LE255, ""P""), ""P2"",""""))"),"P1")</f>
        <v>P1</v>
      </c>
      <c r="LP255" s="299" t="str">
        <f>IFERROR(__xludf.DUMMYFUNCTION("IF(REGEXMATCH(LD255, ""d""), ""d1"",IF(REGEXMATCH(LE255, ""d""), ""d2"",""""))"),"")</f>
        <v/>
      </c>
      <c r="LQ255" s="299" t="str">
        <f>IFERROR(__xludf.DUMMYFUNCTION("IF(REGEXMATCH(LD255, ""D""), ""D1"",IF(REGEXMATCH(LE255, ""D""), ""D2"",""""))"),"D1")</f>
        <v>D1</v>
      </c>
      <c r="LR255" s="299" t="str">
        <f>IFERROR(__xludf.DUMMYFUNCTION("IF(REGEXMATCH(LD255, ""n""), ""n1"",IF(REGEXMATCH(LE255, ""n""), ""n2"",""""))"),"")</f>
        <v/>
      </c>
      <c r="LS255" s="299" t="str">
        <f>IFERROR(__xludf.DUMMYFUNCTION("IF(REGEXMATCH(LD255, ""N""), ""N1"",IF(REGEXMATCH(LE255, ""N""), ""N2"",""""))"),"")</f>
        <v/>
      </c>
      <c r="LT255" s="388" t="str">
        <f>IFERROR(__xludf.DUMMYFUNCTION("IF(REGEXMATCH(LD255, ""S""), ""S"",IF(REGEXMATCH(LE255, ""S""), ""S"",""""))"),"S")</f>
        <v>S</v>
      </c>
      <c r="LU255" s="389">
        <f t="shared" si="196"/>
        <v>1</v>
      </c>
      <c r="LV255" s="378"/>
      <c r="LW255" s="369"/>
      <c r="LX255" s="369"/>
    </row>
    <row r="256" ht="18.0" customHeight="1">
      <c r="A256" s="298" t="s">
        <v>1465</v>
      </c>
      <c r="B256" s="222" t="s">
        <v>748</v>
      </c>
      <c r="C256" s="233" t="str">
        <f t="shared" si="7"/>
        <v>SRgmPnS</v>
      </c>
      <c r="D256" s="234" t="str">
        <f>IFERROR(__xludf.DUMMYFUNCTION("IF(REGEXMATCH(C256, ""S""), ""S"","""")"),"S")</f>
        <v>S</v>
      </c>
      <c r="E256" s="236" t="str">
        <f>IFERROR(__xludf.DUMMYFUNCTION("IF(REGEXMATCH(C256, ""r""), ""r"","""")"),"")</f>
        <v/>
      </c>
      <c r="F256" s="237" t="str">
        <f>IFERROR(__xludf.DUMMYFUNCTION("IF(REGEXMATCH(C256, ""R""), ""R"","""")"),"R")</f>
        <v>R</v>
      </c>
      <c r="G256" s="237" t="str">
        <f>IFERROR(__xludf.DUMMYFUNCTION("IF(REGEXMATCH(C256, ""g""), ""g"","""")"),"g")</f>
        <v>g</v>
      </c>
      <c r="H256" s="236" t="str">
        <f>IFERROR(__xludf.DUMMYFUNCTION("IF(REGEXMATCH(C256, ""G""), ""G"","""")"),"")</f>
        <v/>
      </c>
      <c r="I256" s="236" t="str">
        <f>IFERROR(__xludf.DUMMYFUNCTION("IF(REGEXMATCH(C256, ""m""), ""m"","""")"),"m")</f>
        <v>m</v>
      </c>
      <c r="J256" s="237" t="str">
        <f>IFERROR(__xludf.DUMMYFUNCTION("IF(REGEXMATCH(C256, ""M""), ""M"","""")"),"")</f>
        <v/>
      </c>
      <c r="K256" s="236" t="str">
        <f>IFERROR(__xludf.DUMMYFUNCTION("IF(REGEXMATCH(C256, ""P""), ""P"","""")"),"P")</f>
        <v>P</v>
      </c>
      <c r="L256" s="237" t="str">
        <f>IFERROR(__xludf.DUMMYFUNCTION("IF(REGEXMATCH(C256, ""d""), ""d"","""")"),"")</f>
        <v/>
      </c>
      <c r="M256" s="236" t="str">
        <f>IFERROR(__xludf.DUMMYFUNCTION("IF(REGEXMATCH(C256, ""D""), ""D"","""")"),"")</f>
        <v/>
      </c>
      <c r="N256" s="236" t="str">
        <f>IFERROR(__xludf.DUMMYFUNCTION("IF(REGEXMATCH(C256, ""n""), ""n"","""")"),"n")</f>
        <v>n</v>
      </c>
      <c r="O256" s="237" t="str">
        <f>IFERROR(__xludf.DUMMYFUNCTION("IF(REGEXMATCH(C256, ""N""), ""N"","""")"),"")</f>
        <v/>
      </c>
      <c r="P256" s="238" t="str">
        <f>IFERROR(__xludf.DUMMYFUNCTION("IF(REGEXMATCH(C256, ""S""), ""S"","""")"),"S")</f>
        <v>S</v>
      </c>
      <c r="Q256" s="239" t="str">
        <f>IFERROR(__xludf.DUMMYFUNCTION("SUBSTITUTE(CONCATENATE(JOIN(""-"",D256:J256)),""-"","""")"),"SRgm")</f>
        <v>SRgm</v>
      </c>
      <c r="R256" s="229" t="str">
        <f>IFERROR(__xludf.DUMMYFUNCTION("SUBSTITUTE(CONCATENATE(JOIN(""-"",K256:P256)),""-"","""")"),"PnS")</f>
        <v>PnS</v>
      </c>
      <c r="S256" s="282" t="str">
        <f t="shared" si="8"/>
        <v>S-R-G-M</v>
      </c>
      <c r="T256" s="282" t="str">
        <f t="shared" si="9"/>
        <v>P-N-S</v>
      </c>
      <c r="U256" s="237" t="str">
        <f>IFERROR(__xludf.DUMMYFUNCTION("SUBSTITUTE(JOIN(""-"",S256,T256),""--"",""-"")"),"S-R-G-M-P-N-S")</f>
        <v>S-R-G-M-P-N-S</v>
      </c>
      <c r="V256" s="309" t="str">
        <f t="shared" si="10"/>
        <v>Rgmn</v>
      </c>
      <c r="W256" s="244" t="str">
        <f>IFERROR(__xludf.DUMMYFUNCTION("IF(REGEXMATCH(C256, ""S""), ""0"","""")"),"0")</f>
        <v>0</v>
      </c>
      <c r="X256" s="245" t="str">
        <f>IFERROR(__xludf.DUMMYFUNCTION("IF(REGEXMATCH(C256, ""r""), ""1"","""")"),"")</f>
        <v/>
      </c>
      <c r="Y256" s="246" t="str">
        <f>IFERROR(__xludf.DUMMYFUNCTION("IF(REGEXMATCH(C256, ""R""), ""2"","""")"),"2")</f>
        <v>2</v>
      </c>
      <c r="Z256" s="246" t="str">
        <f>IFERROR(__xludf.DUMMYFUNCTION("IF(REGEXMATCH(C256, ""g""), ""3"","""")"),"3")</f>
        <v>3</v>
      </c>
      <c r="AA256" s="245" t="str">
        <f>IFERROR(__xludf.DUMMYFUNCTION("IF(REGEXMATCH(C256, ""G""), ""4"","""")"),"")</f>
        <v/>
      </c>
      <c r="AB256" s="245" t="str">
        <f>IFERROR(__xludf.DUMMYFUNCTION("IF(REGEXMATCH(C256, ""m""), ""5"","""")"),"5")</f>
        <v>5</v>
      </c>
      <c r="AC256" s="246" t="str">
        <f>IFERROR(__xludf.DUMMYFUNCTION("IF(REGEXMATCH(C256, ""M""), ""6"","""")"),"")</f>
        <v/>
      </c>
      <c r="AD256" s="245" t="str">
        <f>IFERROR(__xludf.DUMMYFUNCTION("IF(REGEXMATCH(C256, ""P""), ""7"","""")"),"7")</f>
        <v>7</v>
      </c>
      <c r="AE256" s="246" t="str">
        <f>IFERROR(__xludf.DUMMYFUNCTION("IF(REGEXMATCH(C256, ""d""), ""8"","""")"),"")</f>
        <v/>
      </c>
      <c r="AF256" s="245" t="str">
        <f>IFERROR(__xludf.DUMMYFUNCTION("IF(REGEXMATCH(C256, ""D""), ""9"","""")"),"")</f>
        <v/>
      </c>
      <c r="AG256" s="245" t="str">
        <f>IFERROR(__xludf.DUMMYFUNCTION("IF(REGEXMATCH(C256, ""n""), ""10"","""")"),"10")</f>
        <v>10</v>
      </c>
      <c r="AH256" s="246" t="str">
        <f>IFERROR(__xludf.DUMMYFUNCTION("IF(REGEXMATCH(C256, ""N""), ""11"","""")"),"")</f>
        <v/>
      </c>
      <c r="AI256" s="249" t="str">
        <f>IFERROR(__xludf.DUMMYFUNCTION("IF(REGEXMATCH(C256, ""S""), ""0"","""")"),"0")</f>
        <v>0</v>
      </c>
      <c r="AJ256" s="313" t="str">
        <f t="shared" si="11"/>
        <v>-</v>
      </c>
      <c r="AK256" s="313" t="str">
        <f t="shared" si="12"/>
        <v>-</v>
      </c>
      <c r="AL256" s="313" t="str">
        <f t="shared" si="13"/>
        <v>-</v>
      </c>
      <c r="AM256" s="313" t="str">
        <f t="shared" si="14"/>
        <v>-</v>
      </c>
      <c r="AN256" s="313" t="str">
        <f t="shared" si="15"/>
        <v>-</v>
      </c>
      <c r="AO256" s="314" t="str">
        <f t="shared" si="16"/>
        <v>-</v>
      </c>
      <c r="AP256" s="316">
        <f t="shared" si="17"/>
        <v>0</v>
      </c>
      <c r="AQ256" s="319" t="str">
        <f t="shared" si="18"/>
        <v>-</v>
      </c>
      <c r="AR256" s="320">
        <f t="shared" si="19"/>
        <v>0</v>
      </c>
      <c r="AS256" s="250" t="str">
        <f>IFERROR(__xludf.DUMMYFUNCTION("SUBSTITUTE(SUBSTITUTE(CONCATENATE(JOIN("""",FP256:GA256)),""|"",""x""),""-"",""o"")"),"xoxxoxoxooxo")</f>
        <v>xoxxoxoxooxo</v>
      </c>
      <c r="AT256" s="323" t="str">
        <f>IFERROR(__xludf.DUMMYFUNCTION("JOIN("""",AS256,AS256)"),"xoxxoxoxooxoxoxxoxoxooxo")</f>
        <v>xoxxoxoxooxoxoxxoxoxooxo</v>
      </c>
      <c r="AU256" s="256" t="str">
        <f>IFERROR(__xludf.DUMMYFUNCTION("JOIN("""",ArrayFormula(MID(AS256,LEN(AS256)-SEQUENCE(1,LEN(AS256))+1,1)))"),"oxooxoxoxxox")</f>
        <v>oxooxoxoxxox</v>
      </c>
      <c r="AV256" s="256" t="str">
        <f>IFERROR(__xludf.DUMMYFUNCTION("LEFT(CONCATENATE(""x"",JOIN("""",ArrayFormula(MID(AS256,LEN(AS256)-SEQUENCE(1,LEN(AS256))+1,1)))),12)"),"xoxooxoxoxxo")</f>
        <v>xoxooxoxoxxo</v>
      </c>
      <c r="AW256" s="327" t="str">
        <f>IFERROR(__xludf.DUMMYFUNCTION("JOIN("""",AU256,AU256)"),"oxooxoxoxxoxoxooxoxoxxox")</f>
        <v>oxooxoxoxxoxoxooxoxoxxox</v>
      </c>
      <c r="AX256" s="239" t="str">
        <f>IFERROR(__xludf.DUMMYFUNCTION("IF(REGEXMATCH(AW256,AS256),""✔"",""-"")"),"✔")</f>
        <v>✔</v>
      </c>
      <c r="AY256" s="330" t="str">
        <f t="shared" si="20"/>
        <v>-</v>
      </c>
      <c r="AZ256" s="260" t="str">
        <f t="shared" si="21"/>
        <v>#REF!</v>
      </c>
      <c r="BA256" s="333" t="str">
        <f t="shared" si="22"/>
        <v>xoxxoxo</v>
      </c>
      <c r="BB256" s="334" t="str">
        <f t="shared" si="23"/>
        <v>xooxox</v>
      </c>
      <c r="BC256" s="335" t="str">
        <f t="shared" si="236"/>
        <v>-</v>
      </c>
      <c r="BD256" s="336" t="str">
        <f t="shared" si="25"/>
        <v>Palas: 'xoxxoxo' + 'xooxox'</v>
      </c>
      <c r="BE256" s="337">
        <f>IFERROR(__xludf.DUMMYFUNCTION("COUNTUNIQUE(FILTER(AT:AT,REGEXMATCH(AT:AT,AS256)))-1"),3.0)</f>
        <v>3</v>
      </c>
      <c r="BF256" s="261" t="str">
        <f>IFERROR(__xludf.DUMMYFUNCTION("IF(BI256=0,""(n/a)"",IF(BJ256=2,""(PAIR)"",IF(REGEXMATCH(AT256,""xoxoxxoxoxox""),""Bilawal"",IF(REGEXMATCH(AT256,""xoxoxooxoxoo""),""Bhupali"",IF(REGEXMATCH(AT256,""xoxoxxoxxoxo""),""Charukeshi"",IF(REGEXMATCH(AT256,""xoxoooxxoxxo""),""Kameshwari"",IF(REG"&amp;"EXMATCH(AT256,""xoxoxooxoxox""),""Shankara"",IF(REGEXMATCH(AT256,""xxooxoxxxoox""),""Basant"",IF(REGEXMATCH(AT256,""xoxoxxxxoxox""),""Bihag"",IF(REGEXMATCH(AT256,""xoxxxxoxoxxx""),""Pilu"",IF(REGEXMATCH(AT256,""xoxxoxoxxoox""),""Kirwani"",IF(REGEXMATCH(AT"&amp;"256,""xoxxoxoxoxxx""),""Mk.Malhar"",IF(REGEXMATCH(AT256,""xxooxxoxxoox""),""Bhairav"",IF(REGEXMATCH(AT256,""xxoxooxxxoox""),""Todi"",IF(REGEXMATCH(AT256,""xxooxoxooxox""),""Marwa"",IF(REGEXMATCH(AT256,""xxoooxoxxooo""),""Gunkali"",IF(REGEXMATCH(AT256,""xo"&amp;"xoxxoxxoox""),""Nat Bhairav"",IF(REGEXMATCH(AT256,""xoxxoooxoxoo""),""Shivranjani"",IF(REGEXMATCH(AT256,""xooxxxoxooxo""),""Jog"",IF(REGEXMATCH(AT256,""xxooxoxoxoox""),""Hemshri"",IF(REGEXMATCH(AT256,""xoooxooxoxxo""),""Kalavati"",IF(REGEXMATCH(AT256,""xx"&amp;"oxoxxoxoox""),""Kedar"",IF(REGEXMATCH(AT256,""xoxxxxoxooxx""),""Gara"",IF(REGEXMATCH(AT256,""xooxoxooxoox""),""Chandrakauns"",IF(REGEXMATCH(AT256,""xoxxxxoxxxox""),""Mand"",IF(REGEXMATCH(AT256,""xoxxxxoxoxox""),""Hanskinkini"",IF(REGEXMATCH(AT256,""xxooxx"&amp;"oxooxo""),""Lilavati"",IF(REGEXMATCH(AT256,""xooxoxoooxox""),""Rajeshwari"",IF(REGEXMATCH(AT256,""xoooxxoxoxxx""),""Khokar"",IF(REGEXMATCH(AT256,""xxooxoxxxxox""),""Maligoura"",""-""))))))))))))))))))))))))))))))"),"Shankara")</f>
        <v>Shankara</v>
      </c>
      <c r="BG256" s="239" t="str">
        <f t="shared" si="26"/>
        <v>#REF!</v>
      </c>
      <c r="BH256" s="239">
        <f>IFERROR(__xludf.DUMMYFUNCTION("COUNTUNIQUE(FE256:FO256)-1"),5.0)</f>
        <v>5</v>
      </c>
      <c r="BI256" s="239">
        <f>IFERROR(__xludf.DUMMYFUNCTION("COUNTUNIQUE(FILTER(AT:AT,REGEXMATCH(AT:AT,AS256)))-1"),3.0)</f>
        <v>3</v>
      </c>
      <c r="BJ256" s="239">
        <f>IFERROR(__xludf.DUMMYFUNCTION("COUNTA(FILTER(AT:AT,REGEXMATCH(AT:AT,AS256)))"),11.0)</f>
        <v>11</v>
      </c>
      <c r="BK256" s="341">
        <f>IFERROR(__xludf.DUMMYFUNCTION("COUNTA(FILTER(AT:AT,REGEXMATCH(AT:AT,AS256)))-AR256"),11.0)</f>
        <v>11</v>
      </c>
      <c r="BL256" s="276" t="str">
        <f>IFERROR(__xludf.DUMMYFUNCTION("IF(AS256=""oooooooooooo"",""-"",IF(REGEXMATCH(AT256,""xx""), ""Hemi."", ""Anhemi.""))"),"Hemi.")</f>
        <v>Hemi.</v>
      </c>
      <c r="BM256" s="282" t="str">
        <f>IFERROR(__xludf.DUMMYFUNCTION("IF(AS256=""oooooooooooo"",""-"",IF(REGEXMATCH(AT256,""xxx""), ""Cohem."", ""-""))"),"-")</f>
        <v>-</v>
      </c>
      <c r="BN256" s="282" t="str">
        <f>IFERROR(__xludf.DUMMYFUNCTION("IF(AS256=""oooooooooooo"",""-"",IF(REGEXMATCH(AT256,""xxxx""), ""Co-Co."", ""-""))"),"-")</f>
        <v>-</v>
      </c>
      <c r="BO256" s="342" t="str">
        <f>IFERROR(__xludf.DUMMYFUNCTION("IF(AS256=""oooooooooooo"",""-"",IF(REGEXMATCH(AT256,""xxxxx""), ""CCC."", ""-""))"),"-")</f>
        <v>-</v>
      </c>
      <c r="BP256" s="344" t="str">
        <f t="shared" si="27"/>
        <v>-</v>
      </c>
      <c r="BQ256" s="282" t="str">
        <f>IFERROR(__xludf.DUMMYFUNCTION("IF(REGEXMATCH(JOIN(""-"",EU256:FD256),""TRUE""),""✔"",""-"")"),"✔")</f>
        <v>✔</v>
      </c>
      <c r="BR256" s="225">
        <f t="shared" si="28"/>
        <v>2</v>
      </c>
      <c r="BS256" s="345" t="str">
        <f>IFERROR(__xludf.DUMMYFUNCTION("SUBSTITUTE(SUBSTITUTE(SUBSTITUTE(SUBSTITUTE(CONCATENATE(JOIN(""-"",GC256:GO256)),""--"",""-""),""--"",""-""),""--"",""-""),""--"",""-"")"),"1-2-b3-4-5-b7-8")</f>
        <v>1-2-b3-4-5-b7-8</v>
      </c>
      <c r="BT256" s="299" t="str">
        <f>IFERROR(__xludf.DUMMYFUNCTION("SUBSTITUTE(SUBSTITUTE(SUBSTITUTE(SUBSTITUTE(CONCATENATE(JOIN(""-"",GP256:HB256)),""--"",""-""),""--"",""-""),""--"",""-""),""--"",""-"")"),"S-R2-G2-M1-P-N2-S")</f>
        <v>S-R2-G2-M1-P-N2-S</v>
      </c>
      <c r="BU256" s="348" t="str">
        <f t="shared" si="29"/>
        <v>C-D-Eb-F-G-Bb-C</v>
      </c>
      <c r="BV256" s="349" t="str">
        <f t="shared" si="30"/>
        <v>SrGMdDNS</v>
      </c>
      <c r="BW256" s="350">
        <f t="shared" si="31"/>
        <v>0</v>
      </c>
      <c r="BX256" s="351">
        <f t="shared" si="32"/>
        <v>4</v>
      </c>
      <c r="BY256" s="392"/>
      <c r="BZ256" s="309" t="str">
        <f>IFERROR(__xludf.DUMMYFUNCTION("IF(REGEXMATCH(C256, ""S""), ""x"",""x"")"),"x")</f>
        <v>x</v>
      </c>
      <c r="CA256" s="245" t="str">
        <f>IFERROR(__xludf.DUMMYFUNCTION("IF(REGEXMATCH(C256, ""r""), ""o"",""x"")"),"x")</f>
        <v>x</v>
      </c>
      <c r="CB256" s="246" t="str">
        <f>IFERROR(__xludf.DUMMYFUNCTION("IF(REGEXMATCH(C256, ""R""), ""o"",""x"")"),"o")</f>
        <v>o</v>
      </c>
      <c r="CC256" s="246" t="str">
        <f>IFERROR(__xludf.DUMMYFUNCTION("IF(REGEXMATCH(C256, ""g""), ""o"",""x"")"),"o")</f>
        <v>o</v>
      </c>
      <c r="CD256" s="245" t="str">
        <f>IFERROR(__xludf.DUMMYFUNCTION("IF(REGEXMATCH(C256, ""G""), ""o"",""x"")"),"x")</f>
        <v>x</v>
      </c>
      <c r="CE256" s="245" t="str">
        <f>IFERROR(__xludf.DUMMYFUNCTION("IF(REGEXMATCH(C256, ""m""), ""o"",""x"")"),"o")</f>
        <v>o</v>
      </c>
      <c r="CF256" s="246" t="str">
        <f>IFERROR(__xludf.DUMMYFUNCTION("IF(REGEXMATCH(C256, ""M""), ""o"",""x"")"),"x")</f>
        <v>x</v>
      </c>
      <c r="CG256" s="245" t="str">
        <f>IFERROR(__xludf.DUMMYFUNCTION("IF(REGEXMATCH(C256, ""P""), ""o"",""x"")"),"o")</f>
        <v>o</v>
      </c>
      <c r="CH256" s="246" t="str">
        <f>IFERROR(__xludf.DUMMYFUNCTION("IF(REGEXMATCH(C256, ""d""), ""o"",""x"")"),"x")</f>
        <v>x</v>
      </c>
      <c r="CI256" s="245" t="str">
        <f>IFERROR(__xludf.DUMMYFUNCTION("IF(REGEXMATCH(C256, ""D""), ""o"",""x"")"),"x")</f>
        <v>x</v>
      </c>
      <c r="CJ256" s="245" t="str">
        <f>IFERROR(__xludf.DUMMYFUNCTION("IF(REGEXMATCH(C256, ""n""), ""o"",""x"")"),"o")</f>
        <v>o</v>
      </c>
      <c r="CK256" s="245" t="str">
        <f>IFERROR(__xludf.DUMMYFUNCTION("IF(REGEXMATCH(C256, ""N""), ""o"",""x"")"),"x")</f>
        <v>x</v>
      </c>
      <c r="CL256" s="356" t="str">
        <f>IFERROR(__xludf.DUMMYFUNCTION("IF(REGEXMATCH(C256, ""S""), ""x"",""x"")"),"x")</f>
        <v>x</v>
      </c>
      <c r="CM256" s="357" t="str">
        <f t="shared" si="33"/>
        <v>xxooxoxoxxox</v>
      </c>
      <c r="CN256" s="358">
        <f t="shared" si="34"/>
        <v>0</v>
      </c>
      <c r="CO256" s="246" t="str">
        <f>IFERROR(__xludf.DUMMYFUNCTION("IF(REGEXMATCH($C256, ""S""), ""S"",""S"")"),"S")</f>
        <v>S</v>
      </c>
      <c r="CP256" s="246" t="str">
        <f>IFERROR(__xludf.DUMMYFUNCTION("IF(REGEXMATCH($C256, ""r""), """",""r"")"),"r")</f>
        <v>r</v>
      </c>
      <c r="CQ256" s="246" t="str">
        <f>IFERROR(__xludf.DUMMYFUNCTION("IF(REGEXMATCH($C256, ""R""), """",""R"")"),"")</f>
        <v/>
      </c>
      <c r="CR256" s="246" t="str">
        <f>IFERROR(__xludf.DUMMYFUNCTION("IF(REGEXMATCH($C256, ""g""), """",""g"")"),"")</f>
        <v/>
      </c>
      <c r="CS256" s="246" t="str">
        <f>IFERROR(__xludf.DUMMYFUNCTION("IF(REGEXMATCH($C256, ""G""), """",""G"")"),"G")</f>
        <v>G</v>
      </c>
      <c r="CT256" s="246" t="str">
        <f>IFERROR(__xludf.DUMMYFUNCTION("IF(REGEXMATCH($C256, ""m""), """",""m"")"),"")</f>
        <v/>
      </c>
      <c r="CU256" s="246" t="str">
        <f>IFERROR(__xludf.DUMMYFUNCTION("IF(REGEXMATCH($C256, ""M""), """",""M"")"),"M")</f>
        <v>M</v>
      </c>
      <c r="CV256" s="246" t="str">
        <f>IFERROR(__xludf.DUMMYFUNCTION("IF(REGEXMATCH($C256, ""P""), """",""P"")"),"")</f>
        <v/>
      </c>
      <c r="CW256" s="246" t="str">
        <f>IFERROR(__xludf.DUMMYFUNCTION("IF(REGEXMATCH($C256, ""d""), """",""d"")"),"d")</f>
        <v>d</v>
      </c>
      <c r="CX256" s="246" t="str">
        <f>IFERROR(__xludf.DUMMYFUNCTION("IF(REGEXMATCH($C256, ""D""), """",""D"")"),"D")</f>
        <v>D</v>
      </c>
      <c r="CY256" s="246" t="str">
        <f>IFERROR(__xludf.DUMMYFUNCTION("IF(REGEXMATCH($C256, ""n""), """",""n"")"),"")</f>
        <v/>
      </c>
      <c r="CZ256" s="246" t="str">
        <f>IFERROR(__xludf.DUMMYFUNCTION("IF(REGEXMATCH($C256, ""N""), """",""N"")"),"N")</f>
        <v>N</v>
      </c>
      <c r="DA256" s="246" t="str">
        <f>IFERROR(__xludf.DUMMYFUNCTION("IF(REGEXMATCH($C256, ""S""), ""S"",""S"")"),"S")</f>
        <v>S</v>
      </c>
      <c r="DB256" s="362" t="str">
        <f>IFERROR(__xludf.DUMMYFUNCTION("JOIN("""",CO256:DA256,"""","""")"),"SrGMdDNS")</f>
        <v>SrGMdDNS</v>
      </c>
      <c r="DC256" s="363"/>
      <c r="DD256" s="301" t="str">
        <f t="shared" si="35"/>
        <v>#REF!</v>
      </c>
      <c r="DE256" s="302" t="str">
        <f t="shared" si="36"/>
        <v>#REF!</v>
      </c>
      <c r="DF256" s="301" t="str">
        <f t="shared" ref="DF256:DG256" si="733">SUBSTITUTE(S256,"-","")</f>
        <v>SRGM</v>
      </c>
      <c r="DG256" s="301" t="str">
        <f t="shared" si="733"/>
        <v>PNS</v>
      </c>
      <c r="DH256" s="302" t="str">
        <f t="shared" si="38"/>
        <v>Shankara</v>
      </c>
      <c r="DI256" s="301" t="str">
        <f t="shared" si="39"/>
        <v>Hemi.</v>
      </c>
      <c r="DJ256" s="364" t="str">
        <f t="shared" si="40"/>
        <v>-</v>
      </c>
      <c r="DK256" s="306" t="str">
        <f t="shared" si="41"/>
        <v>-</v>
      </c>
      <c r="DL256" s="366" t="str">
        <f t="shared" si="42"/>
        <v>✔</v>
      </c>
      <c r="DM256" s="308" t="str">
        <f t="shared" si="43"/>
        <v>-</v>
      </c>
      <c r="DN256" s="306" t="str">
        <f t="shared" si="44"/>
        <v>-</v>
      </c>
      <c r="DO256" s="306" t="str">
        <f t="shared" si="45"/>
        <v>-</v>
      </c>
      <c r="DP256" s="367" t="str">
        <f t="shared" si="46"/>
        <v>-</v>
      </c>
      <c r="DQ256" s="310" t="str">
        <f t="shared" si="47"/>
        <v>-</v>
      </c>
      <c r="DR256" s="310" t="str">
        <f t="shared" si="48"/>
        <v>-</v>
      </c>
      <c r="DS256" s="310" t="str">
        <f t="shared" si="49"/>
        <v>-</v>
      </c>
      <c r="DT256" s="310" t="str">
        <f t="shared" si="50"/>
        <v>-</v>
      </c>
      <c r="DU256" s="370" t="str">
        <f t="shared" si="51"/>
        <v>-</v>
      </c>
      <c r="DV256" s="306" t="str">
        <f t="shared" si="52"/>
        <v>-</v>
      </c>
      <c r="DW256" s="306" t="str">
        <f t="shared" si="53"/>
        <v>-</v>
      </c>
      <c r="DX256" s="306" t="str">
        <f t="shared" si="54"/>
        <v>-</v>
      </c>
      <c r="DY256" s="306" t="str">
        <f t="shared" si="55"/>
        <v>-</v>
      </c>
      <c r="DZ256" s="306" t="str">
        <f t="shared" si="56"/>
        <v>✔</v>
      </c>
      <c r="EA256" s="367" t="str">
        <f t="shared" si="57"/>
        <v>-</v>
      </c>
      <c r="EB256" s="310" t="str">
        <f>IFERROR(__xludf.DUMMYFUNCTION("IF(REGEXMATCH(AW256,AS256),""✔"",""-"")"),"✔")</f>
        <v>✔</v>
      </c>
      <c r="EC256" s="310" t="str">
        <f t="shared" si="58"/>
        <v>#REF!</v>
      </c>
      <c r="ED256" s="370" t="str">
        <f t="shared" si="59"/>
        <v>-</v>
      </c>
      <c r="EE256" s="340" t="str">
        <f t="shared" si="60"/>
        <v>S-R-g-m-P-n-S</v>
      </c>
      <c r="EF256" s="371" t="str">
        <f>IFERROR(__xludf.DUMMYFUNCTION("CONCATENATE(JOIN("""",HC256:HO256))"),"SRmPDnS")</f>
        <v>SRmPDnS</v>
      </c>
      <c r="EG256" s="372">
        <f t="shared" si="61"/>
        <v>1</v>
      </c>
      <c r="EH256" s="373" t="str">
        <f>IFERROR(__xludf.DUMMYFUNCTION("CONCATENATE(JOIN("""",JC256:JO256))"),"Re, ")</f>
        <v>Re, </v>
      </c>
      <c r="EI256" s="322">
        <f t="shared" si="62"/>
        <v>0</v>
      </c>
      <c r="EJ256" s="374" t="str">
        <f>IFERROR(__xludf.DUMMYFUNCTION("CONCATENATE(JOIN("""",KC256:KO256))"),"")</f>
        <v/>
      </c>
      <c r="EK256" s="325" t="str">
        <f t="shared" si="63"/>
        <v>S-R2-G2-M1-P-N2-S</v>
      </c>
      <c r="EL256" s="326" t="str">
        <f t="shared" si="64"/>
        <v>1-2-b3-4-5-b7-8</v>
      </c>
      <c r="EM256" s="318" t="str">
        <f t="shared" si="65"/>
        <v>#REF!</v>
      </c>
      <c r="EN256" s="328" t="str">
        <f>IFERROR(__xludf.DUMMYFUNCTION("SUBSTITUTE(SUBSTITUTE(SUBSTITUTE(SUBSTITUTE(CONCATENATE(JOIN("" "",HP256:IB256)),""  "","" ""),""  "","" ""),""  "","" ""),""  "","" "")"),"o • o o • o • o • • o • o")</f>
        <v>o • o o • o • o • • o • o</v>
      </c>
      <c r="EO256" s="368" t="str">
        <f t="shared" si="66"/>
        <v>-</v>
      </c>
      <c r="EP256" s="339" t="str">
        <f t="shared" si="67"/>
        <v>-</v>
      </c>
      <c r="EQ256" s="339" t="str">
        <f t="shared" si="68"/>
        <v>Sa-Pa</v>
      </c>
      <c r="ER256" s="339" t="str">
        <f t="shared" si="69"/>
        <v>-</v>
      </c>
      <c r="ES256" s="340" t="str">
        <f t="shared" si="70"/>
        <v>-</v>
      </c>
      <c r="ET256" s="363"/>
      <c r="EU256" s="376" t="b">
        <f>IFERROR(__xludf.DUMMYFUNCTION("arrayformula(sum(--REGEXMATCH(""SRGMPDNS"",split(REGEXREPLACE(C256,""(.)"",""$1~""),""~""))))=len(C256)
"),FALSE)</f>
        <v>0</v>
      </c>
      <c r="EV256" s="290" t="b">
        <f>IFERROR(__xludf.DUMMYFUNCTION("arrayformula(sum(--REGEXMATCH(""SRGmPDNS"",split(REGEXREPLACE(C256,""(.)"",""$1~""),""~""))))=len(C256)"),FALSE)</f>
        <v>0</v>
      </c>
      <c r="EW256" s="290" t="b">
        <f>IFERROR(__xludf.DUMMYFUNCTION("arrayformula(sum(--REGEXMATCH(""SRGmPDnS"",split(REGEXREPLACE(C256,""(.)"",""$1~""),""~""))))=len(C256)"),FALSE)</f>
        <v>0</v>
      </c>
      <c r="EX256" s="290" t="b">
        <f>IFERROR(__xludf.DUMMYFUNCTION("arrayformula(sum(--REGEXMATCH(""SRgmPDnS"",split(REGEXREPLACE(C256,""(.)"",""$1~""),""~""))))=len(C256)"),TRUE)</f>
        <v>1</v>
      </c>
      <c r="EY256" s="290" t="b">
        <f>IFERROR(__xludf.DUMMYFUNCTION("arrayformula(sum(--REGEXMATCH(""SRgmPdnS"",split(REGEXREPLACE(C256,""(.)"",""$1~""),""~""))))=len(C256)"),TRUE)</f>
        <v>1</v>
      </c>
      <c r="EZ256" s="290" t="b">
        <f>IFERROR(__xludf.DUMMYFUNCTION("arrayformula(sum(--REGEXMATCH(""SrgmPdnS"",split(REGEXREPLACE(C256,""(.)"",""$1~""),""~""))))=len(C256)"),FALSE)</f>
        <v>0</v>
      </c>
      <c r="FA256" s="290" t="b">
        <f>IFERROR(__xludf.DUMMYFUNCTION("arrayformula(sum(--REGEXMATCH(""SrGmPdNS"",split(REGEXREPLACE(C256,""(.)"",""$1~""),""~""))))=len(C256)"),FALSE)</f>
        <v>0</v>
      </c>
      <c r="FB256" s="290" t="b">
        <f>IFERROR(__xludf.DUMMYFUNCTION("arrayformula(sum(--REGEXMATCH(""SrGMPDNS"",split(REGEXREPLACE(C256,""(.)"",""$1~""),""~""))))=len(C256)"),FALSE)</f>
        <v>0</v>
      </c>
      <c r="FC256" s="290" t="b">
        <f>IFERROR(__xludf.DUMMYFUNCTION("arrayformula(sum(--REGEXMATCH(""SrGMPdNS"",split(REGEXREPLACE(C256,""(.)"",""$1~""),""~""))))=len(C256)"),FALSE)</f>
        <v>0</v>
      </c>
      <c r="FD256" s="377" t="b">
        <f>IFERROR(__xludf.DUMMYFUNCTION("arrayformula(sum(--REGEXMATCH(""SrgMPdNS"",split(REGEXREPLACE(C256,""(.)"",""$1~""),""~""))))=len(C256)"),FALSE)</f>
        <v>0</v>
      </c>
      <c r="FE256" s="269" t="str">
        <f t="shared" si="71"/>
        <v>-</v>
      </c>
      <c r="FF256" s="269" t="str">
        <f t="shared" si="72"/>
        <v>xxoxoxooxox</v>
      </c>
      <c r="FG256" s="271" t="str">
        <f t="shared" si="73"/>
        <v>xoxoxooxoxo</v>
      </c>
      <c r="FH256" s="269" t="str">
        <f t="shared" si="74"/>
        <v>-</v>
      </c>
      <c r="FI256" s="271" t="str">
        <f t="shared" si="75"/>
        <v>xoxooxoxoxx</v>
      </c>
      <c r="FJ256" s="271" t="str">
        <f t="shared" si="76"/>
        <v>-</v>
      </c>
      <c r="FK256" s="271" t="str">
        <f t="shared" si="77"/>
        <v>xooxoxoxxox</v>
      </c>
      <c r="FL256" s="271" t="str">
        <f t="shared" si="78"/>
        <v>-</v>
      </c>
      <c r="FM256" s="271" t="str">
        <f t="shared" si="79"/>
        <v>-</v>
      </c>
      <c r="FN256" s="271" t="str">
        <f t="shared" si="80"/>
        <v>xoxoxxoxoxo</v>
      </c>
      <c r="FO256" s="274" t="str">
        <f t="shared" si="81"/>
        <v>-</v>
      </c>
      <c r="FP256" s="234" t="str">
        <f t="shared" si="82"/>
        <v>|</v>
      </c>
      <c r="FQ256" s="236" t="str">
        <f t="shared" si="83"/>
        <v>-</v>
      </c>
      <c r="FR256" s="237" t="str">
        <f t="shared" si="84"/>
        <v>|</v>
      </c>
      <c r="FS256" s="236" t="str">
        <f t="shared" si="85"/>
        <v>|</v>
      </c>
      <c r="FT256" s="237" t="str">
        <f t="shared" si="86"/>
        <v>-</v>
      </c>
      <c r="FU256" s="236" t="str">
        <f t="shared" si="87"/>
        <v>|</v>
      </c>
      <c r="FV256" s="237" t="str">
        <f t="shared" si="88"/>
        <v>-</v>
      </c>
      <c r="FW256" s="236" t="str">
        <f t="shared" si="89"/>
        <v>|</v>
      </c>
      <c r="FX256" s="237" t="str">
        <f t="shared" si="90"/>
        <v>-</v>
      </c>
      <c r="FY256" s="236" t="str">
        <f t="shared" si="91"/>
        <v>-</v>
      </c>
      <c r="FZ256" s="237" t="str">
        <f t="shared" si="92"/>
        <v>|</v>
      </c>
      <c r="GA256" s="236" t="str">
        <f t="shared" si="93"/>
        <v>-</v>
      </c>
      <c r="GB256" s="238" t="str">
        <f t="shared" si="94"/>
        <v>|</v>
      </c>
      <c r="GC256" s="244" t="str">
        <f>IFERROR(__xludf.DUMMYFUNCTION("IF(REGEXMATCH(C256, ""S""), ""1"","""")"),"1")</f>
        <v>1</v>
      </c>
      <c r="GD256" s="245" t="str">
        <f>IFERROR(__xludf.DUMMYFUNCTION("IF(REGEXMATCH(C256, ""r""), ""b2"","""")"),"")</f>
        <v/>
      </c>
      <c r="GE256" s="246" t="str">
        <f>IFERROR(__xludf.DUMMYFUNCTION("IF(REGEXMATCH(C256, ""R""), ""2"","""")"),"2")</f>
        <v>2</v>
      </c>
      <c r="GF256" s="246" t="str">
        <f>IFERROR(__xludf.DUMMYFUNCTION("IF(REGEXMATCH(C256, ""g""), ""b3"","""")"),"b3")</f>
        <v>b3</v>
      </c>
      <c r="GG256" s="245" t="str">
        <f>IFERROR(__xludf.DUMMYFUNCTION("IF(REGEXMATCH(C256, ""G""), ""3"","""")"),"")</f>
        <v/>
      </c>
      <c r="GH256" s="245" t="str">
        <f>IFERROR(__xludf.DUMMYFUNCTION("IF(REGEXMATCH(C256, ""m""), ""4"","""")"),"4")</f>
        <v>4</v>
      </c>
      <c r="GI256" s="246" t="str">
        <f>IFERROR(__xludf.DUMMYFUNCTION("IF(REGEXMATCH(C256, ""M""), ""#4"","""")"),"")</f>
        <v/>
      </c>
      <c r="GJ256" s="245" t="str">
        <f>IFERROR(__xludf.DUMMYFUNCTION("IF(REGEXMATCH(C256, ""P""), ""5"","""")"),"5")</f>
        <v>5</v>
      </c>
      <c r="GK256" s="246" t="str">
        <f>IFERROR(__xludf.DUMMYFUNCTION("IF(REGEXMATCH(C256, ""d""), ""b6"","""")"),"")</f>
        <v/>
      </c>
      <c r="GL256" s="245" t="str">
        <f>IFERROR(__xludf.DUMMYFUNCTION("IF(REGEXMATCH(C256, ""D""), ""6"","""")"),"")</f>
        <v/>
      </c>
      <c r="GM256" s="245" t="str">
        <f>IFERROR(__xludf.DUMMYFUNCTION("IF(REGEXMATCH(C256, ""n""), ""b7"","""")"),"b7")</f>
        <v>b7</v>
      </c>
      <c r="GN256" s="246" t="str">
        <f>IFERROR(__xludf.DUMMYFUNCTION("IF(REGEXMATCH(C256, ""N""), ""7"","""")"),"")</f>
        <v/>
      </c>
      <c r="GO256" s="249" t="str">
        <f>IFERROR(__xludf.DUMMYFUNCTION("IF(REGEXMATCH(C256, ""S""), ""8"","""")"),"8")</f>
        <v>8</v>
      </c>
      <c r="GP256" s="244" t="str">
        <f>IFERROR(__xludf.DUMMYFUNCTION("IF(REGEXMATCH(C256, ""S""), ""S"","""")"),"S")</f>
        <v>S</v>
      </c>
      <c r="GQ256" s="294" t="str">
        <f>IFERROR(__xludf.DUMMYFUNCTION("IF(REGEXMATCH(C256, ""r""), ""R1"","""")"),"")</f>
        <v/>
      </c>
      <c r="GR256" s="295" t="str">
        <f>IFERROR(__xludf.DUMMYFUNCTION("IF(REGEXMATCH(C256, ""R""), ""R2"","""")"),"R2")</f>
        <v>R2</v>
      </c>
      <c r="GS256" s="295" t="str">
        <f>IFERROR(__xludf.DUMMYFUNCTION("IF(REGEXMATCH(C256, ""g""), ""G2"","""")"),"G2")</f>
        <v>G2</v>
      </c>
      <c r="GT256" s="294" t="str">
        <f>IFERROR(__xludf.DUMMYFUNCTION("IF(REGEXMATCH(C256, ""G""), ""G3"","""")"),"")</f>
        <v/>
      </c>
      <c r="GU256" s="294" t="str">
        <f>IFERROR(__xludf.DUMMYFUNCTION("IF(REGEXMATCH(C256, ""m""), ""M1"","""")"),"M1")</f>
        <v>M1</v>
      </c>
      <c r="GV256" s="295" t="str">
        <f>IFERROR(__xludf.DUMMYFUNCTION("IF(REGEXMATCH(C256, ""M""), ""M2"","""")"),"")</f>
        <v/>
      </c>
      <c r="GW256" s="294" t="str">
        <f>IFERROR(__xludf.DUMMYFUNCTION("IF(REGEXMATCH(C256, ""P""), ""P"","""")"),"P")</f>
        <v>P</v>
      </c>
      <c r="GX256" s="295" t="str">
        <f>IFERROR(__xludf.DUMMYFUNCTION("IF(REGEXMATCH(C256, ""d""), ""D1"","""")"),"")</f>
        <v/>
      </c>
      <c r="GY256" s="294" t="str">
        <f>IFERROR(__xludf.DUMMYFUNCTION("IF(REGEXMATCH(C256, ""D""), ""D2"","""")"),"")</f>
        <v/>
      </c>
      <c r="GZ256" s="294" t="str">
        <f>IFERROR(__xludf.DUMMYFUNCTION("IF(REGEXMATCH(C256, ""n""), ""N2"","""")"),"N2")</f>
        <v>N2</v>
      </c>
      <c r="HA256" s="295" t="str">
        <f>IFERROR(__xludf.DUMMYFUNCTION("IF(REGEXMATCH(C256, ""N""), ""N3"","""")"),"")</f>
        <v/>
      </c>
      <c r="HB256" s="249" t="str">
        <f>IFERROR(__xludf.DUMMYFUNCTION("IF(REGEXMATCH(C256, ""S""), ""S"","""")"),"S")</f>
        <v>S</v>
      </c>
      <c r="HC256" s="331" t="str">
        <f t="shared" si="95"/>
        <v>S</v>
      </c>
      <c r="HD256" s="332" t="str">
        <f t="shared" si="96"/>
        <v/>
      </c>
      <c r="HE256" s="332" t="str">
        <f t="shared" si="97"/>
        <v>R</v>
      </c>
      <c r="HF256" s="332" t="str">
        <f t="shared" si="98"/>
        <v/>
      </c>
      <c r="HG256" s="332" t="str">
        <f t="shared" si="99"/>
        <v/>
      </c>
      <c r="HH256" s="332" t="str">
        <f t="shared" si="100"/>
        <v>m</v>
      </c>
      <c r="HI256" s="332" t="str">
        <f t="shared" si="101"/>
        <v/>
      </c>
      <c r="HJ256" s="332" t="str">
        <f t="shared" si="102"/>
        <v>P</v>
      </c>
      <c r="HK256" s="332" t="str">
        <f t="shared" si="103"/>
        <v/>
      </c>
      <c r="HL256" s="332" t="str">
        <f t="shared" si="104"/>
        <v>D</v>
      </c>
      <c r="HM256" s="332" t="str">
        <f t="shared" si="105"/>
        <v>n</v>
      </c>
      <c r="HN256" s="332" t="str">
        <f t="shared" si="106"/>
        <v/>
      </c>
      <c r="HO256" s="343" t="str">
        <f t="shared" si="107"/>
        <v>S</v>
      </c>
      <c r="HP256" s="331" t="str">
        <f t="shared" si="108"/>
        <v>o</v>
      </c>
      <c r="HQ256" s="332" t="str">
        <f t="shared" si="109"/>
        <v>•</v>
      </c>
      <c r="HR256" s="332" t="str">
        <f t="shared" si="110"/>
        <v>o</v>
      </c>
      <c r="HS256" s="332" t="str">
        <f t="shared" si="111"/>
        <v>o</v>
      </c>
      <c r="HT256" s="332" t="str">
        <f t="shared" si="112"/>
        <v>•</v>
      </c>
      <c r="HU256" s="332" t="str">
        <f t="shared" si="113"/>
        <v>o</v>
      </c>
      <c r="HV256" s="332" t="str">
        <f t="shared" si="114"/>
        <v>•</v>
      </c>
      <c r="HW256" s="332" t="str">
        <f t="shared" si="115"/>
        <v>o</v>
      </c>
      <c r="HX256" s="332" t="str">
        <f t="shared" si="116"/>
        <v>•</v>
      </c>
      <c r="HY256" s="332" t="str">
        <f t="shared" si="117"/>
        <v>•</v>
      </c>
      <c r="HZ256" s="332" t="str">
        <f t="shared" si="118"/>
        <v>o</v>
      </c>
      <c r="IA256" s="332" t="str">
        <f t="shared" si="119"/>
        <v>•</v>
      </c>
      <c r="IB256" s="338" t="str">
        <f t="shared" si="120"/>
        <v>o</v>
      </c>
      <c r="IC256" s="331" t="str">
        <f t="shared" si="121"/>
        <v>•</v>
      </c>
      <c r="ID256" s="332" t="str">
        <f t="shared" si="122"/>
        <v>o</v>
      </c>
      <c r="IE256" s="332" t="str">
        <f t="shared" si="123"/>
        <v>•</v>
      </c>
      <c r="IF256" s="332" t="str">
        <f t="shared" si="124"/>
        <v>•</v>
      </c>
      <c r="IG256" s="332" t="str">
        <f t="shared" si="125"/>
        <v>o</v>
      </c>
      <c r="IH256" s="332" t="str">
        <f t="shared" si="126"/>
        <v>•</v>
      </c>
      <c r="II256" s="332" t="str">
        <f t="shared" si="127"/>
        <v>o</v>
      </c>
      <c r="IJ256" s="332" t="str">
        <f t="shared" si="128"/>
        <v>•</v>
      </c>
      <c r="IK256" s="332" t="str">
        <f t="shared" si="129"/>
        <v>o</v>
      </c>
      <c r="IL256" s="332" t="str">
        <f t="shared" si="130"/>
        <v>o</v>
      </c>
      <c r="IM256" s="332" t="str">
        <f t="shared" si="131"/>
        <v>•</v>
      </c>
      <c r="IN256" s="332" t="str">
        <f t="shared" si="132"/>
        <v>o</v>
      </c>
      <c r="IO256" s="338" t="str">
        <f t="shared" si="133"/>
        <v>•</v>
      </c>
      <c r="IP256" s="346" t="b">
        <f t="shared" si="134"/>
        <v>0</v>
      </c>
      <c r="IQ256" s="347" t="b">
        <f t="shared" si="135"/>
        <v>0</v>
      </c>
      <c r="IR256" s="347" t="b">
        <f t="shared" si="136"/>
        <v>1</v>
      </c>
      <c r="IS256" s="347" t="b">
        <f t="shared" si="137"/>
        <v>0</v>
      </c>
      <c r="IT256" s="347" t="b">
        <f t="shared" si="138"/>
        <v>0</v>
      </c>
      <c r="IU256" s="347" t="b">
        <f t="shared" si="139"/>
        <v>0</v>
      </c>
      <c r="IV256" s="347" t="b">
        <f t="shared" si="140"/>
        <v>0</v>
      </c>
      <c r="IW256" s="347" t="b">
        <f t="shared" si="141"/>
        <v>0</v>
      </c>
      <c r="IX256" s="347" t="b">
        <f t="shared" si="142"/>
        <v>0</v>
      </c>
      <c r="IY256" s="347" t="b">
        <f t="shared" si="143"/>
        <v>0</v>
      </c>
      <c r="IZ256" s="347" t="b">
        <f t="shared" si="144"/>
        <v>0</v>
      </c>
      <c r="JA256" s="347" t="b">
        <f t="shared" si="145"/>
        <v>0</v>
      </c>
      <c r="JB256" s="353" t="b">
        <f t="shared" si="146"/>
        <v>0</v>
      </c>
      <c r="JC256" s="354" t="str">
        <f t="shared" si="147"/>
        <v/>
      </c>
      <c r="JD256" s="355" t="str">
        <f t="shared" si="148"/>
        <v/>
      </c>
      <c r="JE256" s="355" t="str">
        <f t="shared" si="149"/>
        <v>Re, </v>
      </c>
      <c r="JF256" s="355" t="str">
        <f t="shared" si="150"/>
        <v/>
      </c>
      <c r="JG256" s="355" t="str">
        <f t="shared" si="151"/>
        <v/>
      </c>
      <c r="JH256" s="355" t="str">
        <f t="shared" si="152"/>
        <v/>
      </c>
      <c r="JI256" s="355" t="str">
        <f t="shared" si="153"/>
        <v/>
      </c>
      <c r="JJ256" s="355" t="str">
        <f t="shared" si="154"/>
        <v/>
      </c>
      <c r="JK256" s="355" t="str">
        <f t="shared" si="155"/>
        <v/>
      </c>
      <c r="JL256" s="355" t="str">
        <f t="shared" si="156"/>
        <v/>
      </c>
      <c r="JM256" s="355" t="str">
        <f t="shared" si="157"/>
        <v/>
      </c>
      <c r="JN256" s="355" t="str">
        <f t="shared" si="158"/>
        <v/>
      </c>
      <c r="JO256" s="359" t="str">
        <f t="shared" si="159"/>
        <v/>
      </c>
      <c r="JP256" s="346" t="b">
        <f t="shared" si="160"/>
        <v>0</v>
      </c>
      <c r="JQ256" s="347" t="b">
        <f t="shared" si="161"/>
        <v>0</v>
      </c>
      <c r="JR256" s="347" t="b">
        <f t="shared" si="162"/>
        <v>0</v>
      </c>
      <c r="JS256" s="347" t="b">
        <f t="shared" si="163"/>
        <v>0</v>
      </c>
      <c r="JT256" s="347" t="b">
        <f t="shared" si="164"/>
        <v>0</v>
      </c>
      <c r="JU256" s="347" t="b">
        <f t="shared" si="165"/>
        <v>0</v>
      </c>
      <c r="JV256" s="347" t="b">
        <f t="shared" si="166"/>
        <v>0</v>
      </c>
      <c r="JW256" s="347" t="b">
        <f t="shared" si="167"/>
        <v>0</v>
      </c>
      <c r="JX256" s="347" t="b">
        <f t="shared" si="168"/>
        <v>0</v>
      </c>
      <c r="JY256" s="347" t="b">
        <f t="shared" si="169"/>
        <v>0</v>
      </c>
      <c r="JZ256" s="347" t="b">
        <f t="shared" si="170"/>
        <v>0</v>
      </c>
      <c r="KA256" s="347" t="b">
        <f t="shared" si="171"/>
        <v>0</v>
      </c>
      <c r="KB256" s="365" t="b">
        <f t="shared" si="172"/>
        <v>0</v>
      </c>
      <c r="KC256" s="354" t="str">
        <f t="shared" si="173"/>
        <v/>
      </c>
      <c r="KD256" s="355" t="str">
        <f t="shared" si="174"/>
        <v/>
      </c>
      <c r="KE256" s="355" t="str">
        <f t="shared" si="175"/>
        <v/>
      </c>
      <c r="KF256" s="355" t="str">
        <f t="shared" si="176"/>
        <v/>
      </c>
      <c r="KG256" s="355" t="str">
        <f t="shared" si="177"/>
        <v/>
      </c>
      <c r="KH256" s="355" t="str">
        <f t="shared" si="178"/>
        <v/>
      </c>
      <c r="KI256" s="355" t="str">
        <f t="shared" si="179"/>
        <v/>
      </c>
      <c r="KJ256" s="355" t="str">
        <f t="shared" si="180"/>
        <v/>
      </c>
      <c r="KK256" s="355" t="str">
        <f t="shared" si="181"/>
        <v/>
      </c>
      <c r="KL256" s="355" t="str">
        <f t="shared" si="182"/>
        <v/>
      </c>
      <c r="KM256" s="355" t="str">
        <f t="shared" si="183"/>
        <v/>
      </c>
      <c r="KN256" s="355" t="str">
        <f t="shared" si="184"/>
        <v/>
      </c>
      <c r="KO256" s="359"/>
      <c r="KP256" s="378"/>
      <c r="KQ256" s="379" t="s">
        <v>9</v>
      </c>
      <c r="KR256" s="380" t="s">
        <v>9</v>
      </c>
      <c r="KS256" s="381" t="s">
        <v>9</v>
      </c>
      <c r="KT256" s="382">
        <f t="shared" si="186"/>
        <v>0</v>
      </c>
      <c r="KU256" s="383">
        <f t="shared" si="187"/>
        <v>0</v>
      </c>
      <c r="KV256" s="381" t="str">
        <f t="shared" si="205"/>
        <v>S</v>
      </c>
      <c r="KW256" s="382">
        <f t="shared" si="189"/>
        <v>0</v>
      </c>
      <c r="KX256" s="384">
        <f t="shared" si="190"/>
        <v>0</v>
      </c>
      <c r="KY256" s="382">
        <f t="shared" ref="KY256:KZ256" si="734">KW256-KT256</f>
        <v>0</v>
      </c>
      <c r="KZ256" s="369">
        <f t="shared" si="734"/>
        <v>0</v>
      </c>
      <c r="LA256" s="385" t="str">
        <f t="shared" si="192"/>
        <v>✔</v>
      </c>
      <c r="LB256" s="340" t="str">
        <f>IFERROR(__xludf.DUMMYFUNCTION("JOIN("""",ArrayFormula(MID(KS256,LEN(KS256)-SEQUENCE(1,LEN(KS256))+1,1)))"),"S")</f>
        <v>S</v>
      </c>
      <c r="LC256" s="373" t="str">
        <f>IFERROR(__xludf.DUMMYFUNCTION("JOIN("""",ArrayFormula(MID(KV256,LEN(KV256)-SEQUENCE(1,LEN(KV256))+1,1)))"),"S")</f>
        <v>S</v>
      </c>
      <c r="LD256" s="373" t="str">
        <f t="shared" si="193"/>
        <v>S</v>
      </c>
      <c r="LE256" s="339" t="str">
        <f t="shared" si="194"/>
        <v>S</v>
      </c>
      <c r="LF256" s="386" t="str">
        <f>IFERROR(__xludf.DUMMYFUNCTION("SUBSTITUTE(SUBSTITUTE(CONCATENATE(JOIN("""",LH256:LT256)),""1"",""""),""2"","""")"),"SS")</f>
        <v>SS</v>
      </c>
      <c r="LG256" s="369" t="str">
        <f t="shared" si="195"/>
        <v>-</v>
      </c>
      <c r="LH256" s="387" t="str">
        <f>IFERROR(__xludf.DUMMYFUNCTION("IF(REGEXMATCH(LD256, ""S""), ""S"",IF(REGEXMATCH(LE256, ""S""), ""S"",""""))"),"S")</f>
        <v>S</v>
      </c>
      <c r="LI256" s="299" t="str">
        <f>IFERROR(__xludf.DUMMYFUNCTION("IF(REGEXMATCH(LD256, ""r""), ""r1"",IF(REGEXMATCH(LE256, ""r""), ""r2"",""""))"),"")</f>
        <v/>
      </c>
      <c r="LJ256" s="299" t="str">
        <f>IFERROR(__xludf.DUMMYFUNCTION("IF(REGEXMATCH(LD256, ""R""), ""R1"",IF(REGEXMATCH(LE256, ""R""), ""R2"",""""))"),"")</f>
        <v/>
      </c>
      <c r="LK256" s="299" t="str">
        <f>IFERROR(__xludf.DUMMYFUNCTION("IF(REGEXMATCH(LD256, ""g""), ""g1"",IF(REGEXMATCH(LE256, ""g""), ""g2"",""""))"),"")</f>
        <v/>
      </c>
      <c r="LL256" s="299" t="str">
        <f>IFERROR(__xludf.DUMMYFUNCTION("IF(REGEXMATCH(LD256, ""G""), ""G1"",IF(REGEXMATCH(LE256, ""G""), ""G2"",""""))"),"")</f>
        <v/>
      </c>
      <c r="LM256" s="299" t="str">
        <f>IFERROR(__xludf.DUMMYFUNCTION("IF(REGEXMATCH(LD256, ""m""), ""m1"",IF(REGEXMATCH(LE256, ""m""), ""m2"",""""))"),"")</f>
        <v/>
      </c>
      <c r="LN256" s="299" t="str">
        <f>IFERROR(__xludf.DUMMYFUNCTION("IF(REGEXMATCH(LD256, ""M""), ""M1"",IF(REGEXMATCH(LE256, ""M""), ""M2"",""""))"),"")</f>
        <v/>
      </c>
      <c r="LO256" s="299" t="str">
        <f>IFERROR(__xludf.DUMMYFUNCTION("IF(REGEXMATCH(LD256, ""P""), ""P1"",IF(REGEXMATCH(LE256, ""P""), ""P2"",""""))"),"")</f>
        <v/>
      </c>
      <c r="LP256" s="299" t="str">
        <f>IFERROR(__xludf.DUMMYFUNCTION("IF(REGEXMATCH(LD256, ""d""), ""d1"",IF(REGEXMATCH(LE256, ""d""), ""d2"",""""))"),"")</f>
        <v/>
      </c>
      <c r="LQ256" s="299" t="str">
        <f>IFERROR(__xludf.DUMMYFUNCTION("IF(REGEXMATCH(LD256, ""D""), ""D1"",IF(REGEXMATCH(LE256, ""D""), ""D2"",""""))"),"")</f>
        <v/>
      </c>
      <c r="LR256" s="299" t="str">
        <f>IFERROR(__xludf.DUMMYFUNCTION("IF(REGEXMATCH(LD256, ""n""), ""n1"",IF(REGEXMATCH(LE256, ""n""), ""n2"",""""))"),"")</f>
        <v/>
      </c>
      <c r="LS256" s="299" t="str">
        <f>IFERROR(__xludf.DUMMYFUNCTION("IF(REGEXMATCH(LD256, ""N""), ""N1"",IF(REGEXMATCH(LE256, ""N""), ""N2"",""""))"),"")</f>
        <v/>
      </c>
      <c r="LT256" s="388" t="str">
        <f>IFERROR(__xludf.DUMMYFUNCTION("IF(REGEXMATCH(LD256, ""S""), ""S"",IF(REGEXMATCH(LE256, ""S""), ""S"",""""))"),"S")</f>
        <v>S</v>
      </c>
      <c r="LU256" s="389">
        <f t="shared" si="196"/>
        <v>1</v>
      </c>
      <c r="LV256" s="378"/>
      <c r="LW256" s="369"/>
      <c r="LX256" s="369"/>
    </row>
    <row r="257" ht="18.0" customHeight="1">
      <c r="A257" s="298" t="s">
        <v>1036</v>
      </c>
      <c r="B257" s="222" t="s">
        <v>597</v>
      </c>
      <c r="C257" s="233" t="str">
        <f t="shared" si="7"/>
        <v>SrGmMPDNS</v>
      </c>
      <c r="D257" s="234" t="str">
        <f>IFERROR(__xludf.DUMMYFUNCTION("IF(REGEXMATCH(C257, ""S""), ""S"","""")"),"S")</f>
        <v>S</v>
      </c>
      <c r="E257" s="236" t="str">
        <f>IFERROR(__xludf.DUMMYFUNCTION("IF(REGEXMATCH(C257, ""r""), ""r"","""")"),"r")</f>
        <v>r</v>
      </c>
      <c r="F257" s="237" t="str">
        <f>IFERROR(__xludf.DUMMYFUNCTION("IF(REGEXMATCH(C257, ""R""), ""R"","""")"),"")</f>
        <v/>
      </c>
      <c r="G257" s="237" t="str">
        <f>IFERROR(__xludf.DUMMYFUNCTION("IF(REGEXMATCH(C257, ""g""), ""g"","""")"),"")</f>
        <v/>
      </c>
      <c r="H257" s="236" t="str">
        <f>IFERROR(__xludf.DUMMYFUNCTION("IF(REGEXMATCH(C257, ""G""), ""G"","""")"),"G")</f>
        <v>G</v>
      </c>
      <c r="I257" s="236" t="str">
        <f>IFERROR(__xludf.DUMMYFUNCTION("IF(REGEXMATCH(C257, ""m""), ""m"","""")"),"m")</f>
        <v>m</v>
      </c>
      <c r="J257" s="237" t="str">
        <f>IFERROR(__xludf.DUMMYFUNCTION("IF(REGEXMATCH(C257, ""M""), ""M"","""")"),"M")</f>
        <v>M</v>
      </c>
      <c r="K257" s="236" t="str">
        <f>IFERROR(__xludf.DUMMYFUNCTION("IF(REGEXMATCH(C257, ""P""), ""P"","""")"),"P")</f>
        <v>P</v>
      </c>
      <c r="L257" s="237" t="str">
        <f>IFERROR(__xludf.DUMMYFUNCTION("IF(REGEXMATCH(C257, ""d""), ""d"","""")"),"")</f>
        <v/>
      </c>
      <c r="M257" s="236" t="str">
        <f>IFERROR(__xludf.DUMMYFUNCTION("IF(REGEXMATCH(C257, ""D""), ""D"","""")"),"D")</f>
        <v>D</v>
      </c>
      <c r="N257" s="236" t="str">
        <f>IFERROR(__xludf.DUMMYFUNCTION("IF(REGEXMATCH(C257, ""n""), ""n"","""")"),"")</f>
        <v/>
      </c>
      <c r="O257" s="237" t="str">
        <f>IFERROR(__xludf.DUMMYFUNCTION("IF(REGEXMATCH(C257, ""N""), ""N"","""")"),"N")</f>
        <v>N</v>
      </c>
      <c r="P257" s="238" t="str">
        <f>IFERROR(__xludf.DUMMYFUNCTION("IF(REGEXMATCH(C257, ""S""), ""S"","""")"),"S")</f>
        <v>S</v>
      </c>
      <c r="Q257" s="239" t="str">
        <f>IFERROR(__xludf.DUMMYFUNCTION("SUBSTITUTE(CONCATENATE(JOIN(""-"",D257:J257)),""-"","""")"),"SrGmM")</f>
        <v>SrGmM</v>
      </c>
      <c r="R257" s="229" t="str">
        <f>IFERROR(__xludf.DUMMYFUNCTION("SUBSTITUTE(CONCATENATE(JOIN(""-"",K257:P257)),""-"","""")"),"PDNS")</f>
        <v>PDNS</v>
      </c>
      <c r="S257" s="282" t="str">
        <f t="shared" si="8"/>
        <v>S-R-G-M</v>
      </c>
      <c r="T257" s="282" t="str">
        <f t="shared" si="9"/>
        <v>P-D-N-S</v>
      </c>
      <c r="U257" s="237" t="str">
        <f>IFERROR(__xludf.DUMMYFUNCTION("SUBSTITUTE(JOIN(""-"",S257,T257),""--"",""-"")"),"S-R-G-M-P-D-N-S")</f>
        <v>S-R-G-M-P-D-N-S</v>
      </c>
      <c r="V257" s="309" t="str">
        <f t="shared" si="10"/>
        <v>rGmMDN</v>
      </c>
      <c r="W257" s="244" t="str">
        <f>IFERROR(__xludf.DUMMYFUNCTION("IF(REGEXMATCH(C257, ""S""), ""0"","""")"),"0")</f>
        <v>0</v>
      </c>
      <c r="X257" s="245" t="str">
        <f>IFERROR(__xludf.DUMMYFUNCTION("IF(REGEXMATCH(C257, ""r""), ""1"","""")"),"1")</f>
        <v>1</v>
      </c>
      <c r="Y257" s="246" t="str">
        <f>IFERROR(__xludf.DUMMYFUNCTION("IF(REGEXMATCH(C257, ""R""), ""2"","""")"),"")</f>
        <v/>
      </c>
      <c r="Z257" s="246" t="str">
        <f>IFERROR(__xludf.DUMMYFUNCTION("IF(REGEXMATCH(C257, ""g""), ""3"","""")"),"")</f>
        <v/>
      </c>
      <c r="AA257" s="245" t="str">
        <f>IFERROR(__xludf.DUMMYFUNCTION("IF(REGEXMATCH(C257, ""G""), ""4"","""")"),"4")</f>
        <v>4</v>
      </c>
      <c r="AB257" s="245" t="str">
        <f>IFERROR(__xludf.DUMMYFUNCTION("IF(REGEXMATCH(C257, ""m""), ""5"","""")"),"5")</f>
        <v>5</v>
      </c>
      <c r="AC257" s="246" t="str">
        <f>IFERROR(__xludf.DUMMYFUNCTION("IF(REGEXMATCH(C257, ""M""), ""6"","""")"),"6")</f>
        <v>6</v>
      </c>
      <c r="AD257" s="245" t="str">
        <f>IFERROR(__xludf.DUMMYFUNCTION("IF(REGEXMATCH(C257, ""P""), ""7"","""")"),"7")</f>
        <v>7</v>
      </c>
      <c r="AE257" s="246" t="str">
        <f>IFERROR(__xludf.DUMMYFUNCTION("IF(REGEXMATCH(C257, ""d""), ""8"","""")"),"")</f>
        <v/>
      </c>
      <c r="AF257" s="245" t="str">
        <f>IFERROR(__xludf.DUMMYFUNCTION("IF(REGEXMATCH(C257, ""D""), ""9"","""")"),"9")</f>
        <v>9</v>
      </c>
      <c r="AG257" s="245" t="str">
        <f>IFERROR(__xludf.DUMMYFUNCTION("IF(REGEXMATCH(C257, ""n""), ""10"","""")"),"")</f>
        <v/>
      </c>
      <c r="AH257" s="246" t="str">
        <f>IFERROR(__xludf.DUMMYFUNCTION("IF(REGEXMATCH(C257, ""N""), ""11"","""")"),"11")</f>
        <v>11</v>
      </c>
      <c r="AI257" s="249" t="str">
        <f>IFERROR(__xludf.DUMMYFUNCTION("IF(REGEXMATCH(C257, ""S""), ""0"","""")"),"0")</f>
        <v>0</v>
      </c>
      <c r="AJ257" s="313" t="str">
        <f t="shared" si="11"/>
        <v>T</v>
      </c>
      <c r="AK257" s="313" t="str">
        <f t="shared" si="12"/>
        <v>T</v>
      </c>
      <c r="AL257" s="313" t="str">
        <f t="shared" si="13"/>
        <v>-</v>
      </c>
      <c r="AM257" s="313" t="str">
        <f t="shared" si="14"/>
        <v>-</v>
      </c>
      <c r="AN257" s="313" t="str">
        <f t="shared" si="15"/>
        <v>-</v>
      </c>
      <c r="AO257" s="314" t="str">
        <f t="shared" si="16"/>
        <v>T</v>
      </c>
      <c r="AP257" s="316">
        <f t="shared" si="17"/>
        <v>3</v>
      </c>
      <c r="AQ257" s="319" t="str">
        <f t="shared" si="18"/>
        <v>-</v>
      </c>
      <c r="AR257" s="320">
        <f t="shared" si="19"/>
        <v>0</v>
      </c>
      <c r="AS257" s="250" t="str">
        <f>IFERROR(__xludf.DUMMYFUNCTION("SUBSTITUTE(SUBSTITUTE(CONCATENATE(JOIN("""",FP257:GA257)),""|"",""x""),""-"",""o"")"),"xxooxxxxoxox")</f>
        <v>xxooxxxxoxox</v>
      </c>
      <c r="AT257" s="323" t="str">
        <f>IFERROR(__xludf.DUMMYFUNCTION("JOIN("""",AS257,AS257)"),"xxooxxxxoxoxxxooxxxxoxox")</f>
        <v>xxooxxxxoxoxxxooxxxxoxox</v>
      </c>
      <c r="AU257" s="256" t="str">
        <f>IFERROR(__xludf.DUMMYFUNCTION("JOIN("""",ArrayFormula(MID(AS257,LEN(AS257)-SEQUENCE(1,LEN(AS257))+1,1)))"),"xoxoxxxxooxx")</f>
        <v>xoxoxxxxooxx</v>
      </c>
      <c r="AV257" s="256" t="str">
        <f>IFERROR(__xludf.DUMMYFUNCTION("LEFT(CONCATENATE(""x"",JOIN("""",ArrayFormula(MID(AS257,LEN(AS257)-SEQUENCE(1,LEN(AS257))+1,1)))),12)"),"xxoxoxxxxoox")</f>
        <v>xxoxoxxxxoox</v>
      </c>
      <c r="AW257" s="327" t="str">
        <f>IFERROR(__xludf.DUMMYFUNCTION("JOIN("""",AU257,AU257)"),"xoxoxxxxooxxxoxoxxxxooxx")</f>
        <v>xoxoxxxxooxxxoxoxxxxooxx</v>
      </c>
      <c r="AX257" s="239" t="str">
        <f>IFERROR(__xludf.DUMMYFUNCTION("IF(REGEXMATCH(AW257,AS257),""✔"",""-"")"),"-")</f>
        <v>-</v>
      </c>
      <c r="AY257" s="330" t="str">
        <f t="shared" si="20"/>
        <v>-</v>
      </c>
      <c r="AZ257" s="260" t="str">
        <f t="shared" si="21"/>
        <v>#REF!</v>
      </c>
      <c r="BA257" s="333" t="str">
        <f t="shared" si="22"/>
        <v>xxooxxx</v>
      </c>
      <c r="BB257" s="334" t="str">
        <f t="shared" si="23"/>
        <v>xoxoxx</v>
      </c>
      <c r="BC257" s="335" t="str">
        <f t="shared" si="236"/>
        <v>-</v>
      </c>
      <c r="BD257" s="336" t="str">
        <f t="shared" si="25"/>
        <v>Pancham: 'xxooxxx' + 'xoxoxx'</v>
      </c>
      <c r="BE257" s="337">
        <f>IFERROR(__xludf.DUMMYFUNCTION("COUNTUNIQUE(FILTER(AT:AT,REGEXMATCH(AT:AT,AS257)))-1"),0.0)</f>
        <v>0</v>
      </c>
      <c r="BF257" s="261" t="str">
        <f>IFERROR(__xludf.DUMMYFUNCTION("IF(BI257=0,""(n/a)"",IF(BJ257=2,""(PAIR)"",IF(REGEXMATCH(AT257,""xoxoxxoxoxox""),""Bilawal"",IF(REGEXMATCH(AT257,""xoxoxooxoxoo""),""Bhupali"",IF(REGEXMATCH(AT257,""xoxoxxoxxoxo""),""Charukeshi"",IF(REGEXMATCH(AT257,""xoxoooxxoxxo""),""Kameshwari"",IF(REG"&amp;"EXMATCH(AT257,""xoxoxooxoxox""),""Shankara"",IF(REGEXMATCH(AT257,""xxooxoxxxoox""),""Basant"",IF(REGEXMATCH(AT257,""xoxoxxxxoxox""),""Bihag"",IF(REGEXMATCH(AT257,""xoxxxxoxoxxx""),""Pilu"",IF(REGEXMATCH(AT257,""xoxxoxoxxoox""),""Kirwani"",IF(REGEXMATCH(AT"&amp;"257,""xoxxoxoxoxxx""),""Mk.Malhar"",IF(REGEXMATCH(AT257,""xxooxxoxxoox""),""Bhairav"",IF(REGEXMATCH(AT257,""xxoxooxxxoox""),""Todi"",IF(REGEXMATCH(AT257,""xxooxoxooxox""),""Marwa"",IF(REGEXMATCH(AT257,""xxoooxoxxooo""),""Gunkali"",IF(REGEXMATCH(AT257,""xo"&amp;"xoxxoxxoox""),""Nat Bhairav"",IF(REGEXMATCH(AT257,""xoxxoooxoxoo""),""Shivranjani"",IF(REGEXMATCH(AT257,""xooxxxoxooxo""),""Jog"",IF(REGEXMATCH(AT257,""xxooxoxoxoox""),""Hemshri"",IF(REGEXMATCH(AT257,""xoooxooxoxxo""),""Kalavati"",IF(REGEXMATCH(AT257,""xx"&amp;"oxoxxoxoox""),""Kedar"",IF(REGEXMATCH(AT257,""xoxxxxoxooxx""),""Gara"",IF(REGEXMATCH(AT257,""xooxoxooxoox""),""Chandrakauns"",IF(REGEXMATCH(AT257,""xoxxxxoxxxox""),""Mand"",IF(REGEXMATCH(AT257,""xoxxxxoxoxox""),""Hanskinkini"",IF(REGEXMATCH(AT257,""xxooxx"&amp;"oxooxo""),""Lilavati"",IF(REGEXMATCH(AT257,""xooxoxoooxox""),""Rajeshwari"",IF(REGEXMATCH(AT257,""xoooxxoxoxxx""),""Khokar"",IF(REGEXMATCH(AT257,""xxooxoxxxxox""),""Maligoura"",""-""))))))))))))))))))))))))))))))"),"(n/a)")</f>
        <v>(n/a)</v>
      </c>
      <c r="BG257" s="239" t="str">
        <f t="shared" si="26"/>
        <v>#REF!</v>
      </c>
      <c r="BH257" s="239">
        <f>IFERROR(__xludf.DUMMYFUNCTION("COUNTUNIQUE(FE257:FO257)-1"),7.0)</f>
        <v>7</v>
      </c>
      <c r="BI257" s="239">
        <f>IFERROR(__xludf.DUMMYFUNCTION("COUNTUNIQUE(FILTER(AT:AT,REGEXMATCH(AT:AT,AS257)))-1"),0.0)</f>
        <v>0</v>
      </c>
      <c r="BJ257" s="239">
        <f>IFERROR(__xludf.DUMMYFUNCTION("COUNTA(FILTER(AT:AT,REGEXMATCH(AT:AT,AS257)))"),7.0)</f>
        <v>7</v>
      </c>
      <c r="BK257" s="341">
        <f>IFERROR(__xludf.DUMMYFUNCTION("COUNTA(FILTER(AT:AT,REGEXMATCH(AT:AT,AS257)))-AR257"),7.0)</f>
        <v>7</v>
      </c>
      <c r="BL257" s="276" t="str">
        <f>IFERROR(__xludf.DUMMYFUNCTION("IF(AS257=""oooooooooooo"",""-"",IF(REGEXMATCH(AT257,""xx""), ""Hemi."", ""Anhemi.""))"),"Hemi.")</f>
        <v>Hemi.</v>
      </c>
      <c r="BM257" s="282" t="str">
        <f>IFERROR(__xludf.DUMMYFUNCTION("IF(AS257=""oooooooooooo"",""-"",IF(REGEXMATCH(AT257,""xxx""), ""Cohem."", ""-""))"),"Cohem.")</f>
        <v>Cohem.</v>
      </c>
      <c r="BN257" s="282" t="str">
        <f>IFERROR(__xludf.DUMMYFUNCTION("IF(AS257=""oooooooooooo"",""-"",IF(REGEXMATCH(AT257,""xxxx""), ""Co-Co."", ""-""))"),"Co-Co.")</f>
        <v>Co-Co.</v>
      </c>
      <c r="BO257" s="342" t="str">
        <f>IFERROR(__xludf.DUMMYFUNCTION("IF(AS257=""oooooooooooo"",""-"",IF(REGEXMATCH(AT257,""xxxxx""), ""CCC."", ""-""))"),"-")</f>
        <v>-</v>
      </c>
      <c r="BP257" s="344" t="str">
        <f t="shared" si="27"/>
        <v>-</v>
      </c>
      <c r="BQ257" s="282" t="str">
        <f>IFERROR(__xludf.DUMMYFUNCTION("IF(REGEXMATCH(JOIN(""-"",EU257:FD257),""TRUE""),""✔"",""-"")"),"-")</f>
        <v>-</v>
      </c>
      <c r="BR257" s="225">
        <f t="shared" si="28"/>
        <v>0</v>
      </c>
      <c r="BS257" s="345" t="str">
        <f>IFERROR(__xludf.DUMMYFUNCTION("SUBSTITUTE(SUBSTITUTE(SUBSTITUTE(SUBSTITUTE(CONCATENATE(JOIN(""-"",GC257:GO257)),""--"",""-""),""--"",""-""),""--"",""-""),""--"",""-"")"),"1-b2-3-4-#4-5-6-7-8")</f>
        <v>1-b2-3-4-#4-5-6-7-8</v>
      </c>
      <c r="BT257" s="299" t="str">
        <f>IFERROR(__xludf.DUMMYFUNCTION("SUBSTITUTE(SUBSTITUTE(SUBSTITUTE(SUBSTITUTE(CONCATENATE(JOIN(""-"",GP257:HB257)),""--"",""-""),""--"",""-""),""--"",""-""),""--"",""-"")"),"S-R1-G3-M1-M2-P-D2-N3-S")</f>
        <v>S-R1-G3-M1-M2-P-D2-N3-S</v>
      </c>
      <c r="BU257" s="348" t="str">
        <f t="shared" si="29"/>
        <v>C-Db-E-F-F#-G-A-B-C</v>
      </c>
      <c r="BV257" s="349" t="str">
        <f t="shared" si="30"/>
        <v>SRgdnS</v>
      </c>
      <c r="BW257" s="350">
        <f t="shared" si="31"/>
        <v>0</v>
      </c>
      <c r="BX257" s="351">
        <f t="shared" si="32"/>
        <v>7</v>
      </c>
      <c r="BY257" s="352" t="s">
        <v>275</v>
      </c>
      <c r="BZ257" s="309" t="str">
        <f>IFERROR(__xludf.DUMMYFUNCTION("IF(REGEXMATCH(C257, ""S""), ""x"",""x"")"),"x")</f>
        <v>x</v>
      </c>
      <c r="CA257" s="245" t="str">
        <f>IFERROR(__xludf.DUMMYFUNCTION("IF(REGEXMATCH(C257, ""r""), ""o"",""x"")"),"o")</f>
        <v>o</v>
      </c>
      <c r="CB257" s="246" t="str">
        <f>IFERROR(__xludf.DUMMYFUNCTION("IF(REGEXMATCH(C257, ""R""), ""o"",""x"")"),"x")</f>
        <v>x</v>
      </c>
      <c r="CC257" s="246" t="str">
        <f>IFERROR(__xludf.DUMMYFUNCTION("IF(REGEXMATCH(C257, ""g""), ""o"",""x"")"),"x")</f>
        <v>x</v>
      </c>
      <c r="CD257" s="245" t="str">
        <f>IFERROR(__xludf.DUMMYFUNCTION("IF(REGEXMATCH(C257, ""G""), ""o"",""x"")"),"o")</f>
        <v>o</v>
      </c>
      <c r="CE257" s="245" t="str">
        <f>IFERROR(__xludf.DUMMYFUNCTION("IF(REGEXMATCH(C257, ""m""), ""o"",""x"")"),"o")</f>
        <v>o</v>
      </c>
      <c r="CF257" s="246" t="str">
        <f>IFERROR(__xludf.DUMMYFUNCTION("IF(REGEXMATCH(C257, ""M""), ""o"",""x"")"),"o")</f>
        <v>o</v>
      </c>
      <c r="CG257" s="245" t="str">
        <f>IFERROR(__xludf.DUMMYFUNCTION("IF(REGEXMATCH(C257, ""P""), ""o"",""x"")"),"o")</f>
        <v>o</v>
      </c>
      <c r="CH257" s="246" t="str">
        <f>IFERROR(__xludf.DUMMYFUNCTION("IF(REGEXMATCH(C257, ""d""), ""o"",""x"")"),"x")</f>
        <v>x</v>
      </c>
      <c r="CI257" s="245" t="str">
        <f>IFERROR(__xludf.DUMMYFUNCTION("IF(REGEXMATCH(C257, ""D""), ""o"",""x"")"),"o")</f>
        <v>o</v>
      </c>
      <c r="CJ257" s="245" t="str">
        <f>IFERROR(__xludf.DUMMYFUNCTION("IF(REGEXMATCH(C257, ""n""), ""o"",""x"")"),"x")</f>
        <v>x</v>
      </c>
      <c r="CK257" s="245" t="str">
        <f>IFERROR(__xludf.DUMMYFUNCTION("IF(REGEXMATCH(C257, ""N""), ""o"",""x"")"),"o")</f>
        <v>o</v>
      </c>
      <c r="CL257" s="356" t="str">
        <f>IFERROR(__xludf.DUMMYFUNCTION("IF(REGEXMATCH(C257, ""S""), ""x"",""x"")"),"x")</f>
        <v>x</v>
      </c>
      <c r="CM257" s="357" t="str">
        <f t="shared" si="33"/>
        <v>xoxxooooxoxo</v>
      </c>
      <c r="CN257" s="358">
        <f t="shared" si="34"/>
        <v>0</v>
      </c>
      <c r="CO257" s="246" t="str">
        <f>IFERROR(__xludf.DUMMYFUNCTION("IF(REGEXMATCH($C257, ""S""), ""S"",""S"")"),"S")</f>
        <v>S</v>
      </c>
      <c r="CP257" s="246" t="str">
        <f>IFERROR(__xludf.DUMMYFUNCTION("IF(REGEXMATCH($C257, ""r""), """",""r"")"),"")</f>
        <v/>
      </c>
      <c r="CQ257" s="246" t="str">
        <f>IFERROR(__xludf.DUMMYFUNCTION("IF(REGEXMATCH($C257, ""R""), """",""R"")"),"R")</f>
        <v>R</v>
      </c>
      <c r="CR257" s="246" t="str">
        <f>IFERROR(__xludf.DUMMYFUNCTION("IF(REGEXMATCH($C257, ""g""), """",""g"")"),"g")</f>
        <v>g</v>
      </c>
      <c r="CS257" s="246" t="str">
        <f>IFERROR(__xludf.DUMMYFUNCTION("IF(REGEXMATCH($C257, ""G""), """",""G"")"),"")</f>
        <v/>
      </c>
      <c r="CT257" s="246" t="str">
        <f>IFERROR(__xludf.DUMMYFUNCTION("IF(REGEXMATCH($C257, ""m""), """",""m"")"),"")</f>
        <v/>
      </c>
      <c r="CU257" s="246" t="str">
        <f>IFERROR(__xludf.DUMMYFUNCTION("IF(REGEXMATCH($C257, ""M""), """",""M"")"),"")</f>
        <v/>
      </c>
      <c r="CV257" s="246" t="str">
        <f>IFERROR(__xludf.DUMMYFUNCTION("IF(REGEXMATCH($C257, ""P""), """",""P"")"),"")</f>
        <v/>
      </c>
      <c r="CW257" s="246" t="str">
        <f>IFERROR(__xludf.DUMMYFUNCTION("IF(REGEXMATCH($C257, ""d""), """",""d"")"),"d")</f>
        <v>d</v>
      </c>
      <c r="CX257" s="246" t="str">
        <f>IFERROR(__xludf.DUMMYFUNCTION("IF(REGEXMATCH($C257, ""D""), """",""D"")"),"")</f>
        <v/>
      </c>
      <c r="CY257" s="246" t="str">
        <f>IFERROR(__xludf.DUMMYFUNCTION("IF(REGEXMATCH($C257, ""n""), """",""n"")"),"n")</f>
        <v>n</v>
      </c>
      <c r="CZ257" s="246" t="str">
        <f>IFERROR(__xludf.DUMMYFUNCTION("IF(REGEXMATCH($C257, ""N""), """",""N"")"),"")</f>
        <v/>
      </c>
      <c r="DA257" s="246" t="str">
        <f>IFERROR(__xludf.DUMMYFUNCTION("IF(REGEXMATCH($C257, ""S""), ""S"",""S"")"),"S")</f>
        <v>S</v>
      </c>
      <c r="DB257" s="362" t="str">
        <f>IFERROR(__xludf.DUMMYFUNCTION("JOIN("""",CO257:DA257,"""","""")"),"SRgdnS")</f>
        <v>SRgdnS</v>
      </c>
      <c r="DC257" s="363"/>
      <c r="DD257" s="301" t="str">
        <f t="shared" si="35"/>
        <v>#REF!</v>
      </c>
      <c r="DE257" s="302" t="str">
        <f t="shared" si="36"/>
        <v>#REF!</v>
      </c>
      <c r="DF257" s="301" t="str">
        <f t="shared" ref="DF257:DG257" si="735">SUBSTITUTE(S257,"-","")</f>
        <v>SRGM</v>
      </c>
      <c r="DG257" s="301" t="str">
        <f t="shared" si="735"/>
        <v>PDNS</v>
      </c>
      <c r="DH257" s="302" t="str">
        <f t="shared" si="38"/>
        <v>(n/a)</v>
      </c>
      <c r="DI257" s="301" t="str">
        <f t="shared" si="39"/>
        <v>Hemi.</v>
      </c>
      <c r="DJ257" s="364" t="str">
        <f t="shared" si="40"/>
        <v>Co-Co.</v>
      </c>
      <c r="DK257" s="306" t="str">
        <f t="shared" si="41"/>
        <v>-</v>
      </c>
      <c r="DL257" s="366" t="str">
        <f t="shared" si="42"/>
        <v>-</v>
      </c>
      <c r="DM257" s="308" t="str">
        <f t="shared" si="43"/>
        <v>✔</v>
      </c>
      <c r="DN257" s="306" t="str">
        <f t="shared" si="44"/>
        <v>-</v>
      </c>
      <c r="DO257" s="306" t="str">
        <f t="shared" si="45"/>
        <v>-</v>
      </c>
      <c r="DP257" s="367" t="str">
        <f t="shared" si="46"/>
        <v>-</v>
      </c>
      <c r="DQ257" s="310" t="str">
        <f t="shared" si="47"/>
        <v>-</v>
      </c>
      <c r="DR257" s="310" t="str">
        <f t="shared" si="48"/>
        <v>-</v>
      </c>
      <c r="DS257" s="310" t="str">
        <f t="shared" si="49"/>
        <v>✔</v>
      </c>
      <c r="DT257" s="310" t="str">
        <f t="shared" si="50"/>
        <v>-</v>
      </c>
      <c r="DU257" s="370" t="str">
        <f t="shared" si="51"/>
        <v>-</v>
      </c>
      <c r="DV257" s="306" t="str">
        <f t="shared" si="52"/>
        <v>-</v>
      </c>
      <c r="DW257" s="306" t="str">
        <f t="shared" si="53"/>
        <v>-</v>
      </c>
      <c r="DX257" s="306" t="str">
        <f t="shared" si="54"/>
        <v>-</v>
      </c>
      <c r="DY257" s="306" t="str">
        <f t="shared" si="55"/>
        <v>-</v>
      </c>
      <c r="DZ257" s="306" t="str">
        <f t="shared" si="56"/>
        <v>-</v>
      </c>
      <c r="EA257" s="367" t="str">
        <f t="shared" si="57"/>
        <v>-</v>
      </c>
      <c r="EB257" s="310" t="str">
        <f>IFERROR(__xludf.DUMMYFUNCTION("IF(REGEXMATCH(AW257,AS257),""✔"",""-"")"),"-")</f>
        <v>-</v>
      </c>
      <c r="EC257" s="310" t="str">
        <f t="shared" si="58"/>
        <v>#REF!</v>
      </c>
      <c r="ED257" s="370" t="str">
        <f t="shared" si="59"/>
        <v>-</v>
      </c>
      <c r="EE257" s="340" t="str">
        <f t="shared" si="60"/>
        <v>S-r-G-mM-P-D-N-S</v>
      </c>
      <c r="EF257" s="371" t="str">
        <f>IFERROR(__xludf.DUMMYFUNCTION("CONCATENATE(JOIN("""",HC257:HO257))"),"SrgmMPdNS")</f>
        <v>SrgmMPdNS</v>
      </c>
      <c r="EG257" s="372">
        <f t="shared" si="61"/>
        <v>2</v>
      </c>
      <c r="EH257" s="373" t="str">
        <f>IFERROR(__xludf.DUMMYFUNCTION("CONCATENATE(JOIN("""",JC257:JO257))"),"re, Pa, ")</f>
        <v>re, Pa, </v>
      </c>
      <c r="EI257" s="322">
        <f t="shared" si="62"/>
        <v>0</v>
      </c>
      <c r="EJ257" s="374" t="str">
        <f>IFERROR(__xludf.DUMMYFUNCTION("CONCATENATE(JOIN("""",KC257:KO257))"),"")</f>
        <v/>
      </c>
      <c r="EK257" s="325" t="str">
        <f t="shared" si="63"/>
        <v>S-R1-G3-M1-M2-P-D2-N3-S</v>
      </c>
      <c r="EL257" s="326" t="str">
        <f t="shared" si="64"/>
        <v>1-b2-3-4-#4-5-6-7-8</v>
      </c>
      <c r="EM257" s="318" t="str">
        <f t="shared" si="65"/>
        <v>#REF!</v>
      </c>
      <c r="EN257" s="328" t="str">
        <f>IFERROR(__xludf.DUMMYFUNCTION("SUBSTITUTE(SUBSTITUTE(SUBSTITUTE(SUBSTITUTE(CONCATENATE(JOIN("" "",HP257:IB257)),""  "","" ""),""  "","" ""),""  "","" ""),""  "","" "")"),"o o • • o o o o • o • o o")</f>
        <v>o o • • o o o o • o • o o</v>
      </c>
      <c r="EO257" s="368" t="str">
        <f t="shared" si="66"/>
        <v>-</v>
      </c>
      <c r="EP257" s="339" t="str">
        <f t="shared" si="67"/>
        <v>-</v>
      </c>
      <c r="EQ257" s="339" t="str">
        <f t="shared" si="68"/>
        <v>Sa-Pa</v>
      </c>
      <c r="ER257" s="339" t="str">
        <f t="shared" si="69"/>
        <v>-</v>
      </c>
      <c r="ES257" s="340" t="str">
        <f t="shared" si="70"/>
        <v>-</v>
      </c>
      <c r="ET257" s="363"/>
      <c r="EU257" s="376" t="b">
        <f>IFERROR(__xludf.DUMMYFUNCTION("arrayformula(sum(--REGEXMATCH(""SRGMPDNS"",split(REGEXREPLACE(C257,""(.)"",""$1~""),""~""))))=len(C257)
"),FALSE)</f>
        <v>0</v>
      </c>
      <c r="EV257" s="290" t="b">
        <f>IFERROR(__xludf.DUMMYFUNCTION("arrayformula(sum(--REGEXMATCH(""SRGmPDNS"",split(REGEXREPLACE(C257,""(.)"",""$1~""),""~""))))=len(C257)"),FALSE)</f>
        <v>0</v>
      </c>
      <c r="EW257" s="290" t="b">
        <f>IFERROR(__xludf.DUMMYFUNCTION("arrayformula(sum(--REGEXMATCH(""SRGmPDnS"",split(REGEXREPLACE(C257,""(.)"",""$1~""),""~""))))=len(C257)"),FALSE)</f>
        <v>0</v>
      </c>
      <c r="EX257" s="290" t="b">
        <f>IFERROR(__xludf.DUMMYFUNCTION("arrayformula(sum(--REGEXMATCH(""SRgmPDnS"",split(REGEXREPLACE(C257,""(.)"",""$1~""),""~""))))=len(C257)"),FALSE)</f>
        <v>0</v>
      </c>
      <c r="EY257" s="290" t="b">
        <f>IFERROR(__xludf.DUMMYFUNCTION("arrayformula(sum(--REGEXMATCH(""SRgmPdnS"",split(REGEXREPLACE(C257,""(.)"",""$1~""),""~""))))=len(C257)"),FALSE)</f>
        <v>0</v>
      </c>
      <c r="EZ257" s="290" t="b">
        <f>IFERROR(__xludf.DUMMYFUNCTION("arrayformula(sum(--REGEXMATCH(""SrgmPdnS"",split(REGEXREPLACE(C257,""(.)"",""$1~""),""~""))))=len(C257)"),FALSE)</f>
        <v>0</v>
      </c>
      <c r="FA257" s="290" t="b">
        <f>IFERROR(__xludf.DUMMYFUNCTION("arrayformula(sum(--REGEXMATCH(""SrGmPdNS"",split(REGEXREPLACE(C257,""(.)"",""$1~""),""~""))))=len(C257)"),FALSE)</f>
        <v>0</v>
      </c>
      <c r="FB257" s="290" t="b">
        <f>IFERROR(__xludf.DUMMYFUNCTION("arrayformula(sum(--REGEXMATCH(""SrGMPDNS"",split(REGEXREPLACE(C257,""(.)"",""$1~""),""~""))))=len(C257)"),FALSE)</f>
        <v>0</v>
      </c>
      <c r="FC257" s="290" t="b">
        <f>IFERROR(__xludf.DUMMYFUNCTION("arrayformula(sum(--REGEXMATCH(""SrGMPdNS"",split(REGEXREPLACE(C257,""(.)"",""$1~""),""~""))))=len(C257)"),FALSE)</f>
        <v>0</v>
      </c>
      <c r="FD257" s="377" t="b">
        <f>IFERROR(__xludf.DUMMYFUNCTION("arrayformula(sum(--REGEXMATCH(""SrgMPdNS"",split(REGEXREPLACE(C257,""(.)"",""$1~""),""~""))))=len(C257)"),FALSE)</f>
        <v>0</v>
      </c>
      <c r="FE257" s="269" t="str">
        <f t="shared" si="71"/>
        <v>xooxxxxoxox</v>
      </c>
      <c r="FF257" s="269" t="str">
        <f t="shared" si="72"/>
        <v>-</v>
      </c>
      <c r="FG257" s="271" t="str">
        <f t="shared" si="73"/>
        <v>-</v>
      </c>
      <c r="FH257" s="269" t="str">
        <f t="shared" si="74"/>
        <v>xxxxoxoxxxo</v>
      </c>
      <c r="FI257" s="271" t="str">
        <f t="shared" si="75"/>
        <v>xxxoxoxxxoo</v>
      </c>
      <c r="FJ257" s="271" t="str">
        <f t="shared" si="76"/>
        <v>xxoxoxxxoox</v>
      </c>
      <c r="FK257" s="271" t="str">
        <f t="shared" si="77"/>
        <v>xoxoxxxooxx</v>
      </c>
      <c r="FL257" s="271" t="str">
        <f t="shared" si="78"/>
        <v>-</v>
      </c>
      <c r="FM257" s="271" t="str">
        <f t="shared" si="79"/>
        <v>xoxxxooxxxx</v>
      </c>
      <c r="FN257" s="271" t="str">
        <f t="shared" si="80"/>
        <v>-</v>
      </c>
      <c r="FO257" s="274" t="str">
        <f t="shared" si="81"/>
        <v>xxxooxxxxox</v>
      </c>
      <c r="FP257" s="234" t="str">
        <f t="shared" si="82"/>
        <v>|</v>
      </c>
      <c r="FQ257" s="236" t="str">
        <f t="shared" si="83"/>
        <v>|</v>
      </c>
      <c r="FR257" s="237" t="str">
        <f t="shared" si="84"/>
        <v>-</v>
      </c>
      <c r="FS257" s="236" t="str">
        <f t="shared" si="85"/>
        <v>-</v>
      </c>
      <c r="FT257" s="237" t="str">
        <f t="shared" si="86"/>
        <v>|</v>
      </c>
      <c r="FU257" s="236" t="str">
        <f t="shared" si="87"/>
        <v>|</v>
      </c>
      <c r="FV257" s="237" t="str">
        <f t="shared" si="88"/>
        <v>|</v>
      </c>
      <c r="FW257" s="236" t="str">
        <f t="shared" si="89"/>
        <v>|</v>
      </c>
      <c r="FX257" s="237" t="str">
        <f t="shared" si="90"/>
        <v>-</v>
      </c>
      <c r="FY257" s="236" t="str">
        <f t="shared" si="91"/>
        <v>|</v>
      </c>
      <c r="FZ257" s="237" t="str">
        <f t="shared" si="92"/>
        <v>-</v>
      </c>
      <c r="GA257" s="236" t="str">
        <f t="shared" si="93"/>
        <v>|</v>
      </c>
      <c r="GB257" s="238" t="str">
        <f t="shared" si="94"/>
        <v>|</v>
      </c>
      <c r="GC257" s="244" t="str">
        <f>IFERROR(__xludf.DUMMYFUNCTION("IF(REGEXMATCH(C257, ""S""), ""1"","""")"),"1")</f>
        <v>1</v>
      </c>
      <c r="GD257" s="245" t="str">
        <f>IFERROR(__xludf.DUMMYFUNCTION("IF(REGEXMATCH(C257, ""r""), ""b2"","""")"),"b2")</f>
        <v>b2</v>
      </c>
      <c r="GE257" s="246" t="str">
        <f>IFERROR(__xludf.DUMMYFUNCTION("IF(REGEXMATCH(C257, ""R""), ""2"","""")"),"")</f>
        <v/>
      </c>
      <c r="GF257" s="246" t="str">
        <f>IFERROR(__xludf.DUMMYFUNCTION("IF(REGEXMATCH(C257, ""g""), ""b3"","""")"),"")</f>
        <v/>
      </c>
      <c r="GG257" s="245" t="str">
        <f>IFERROR(__xludf.DUMMYFUNCTION("IF(REGEXMATCH(C257, ""G""), ""3"","""")"),"3")</f>
        <v>3</v>
      </c>
      <c r="GH257" s="245" t="str">
        <f>IFERROR(__xludf.DUMMYFUNCTION("IF(REGEXMATCH(C257, ""m""), ""4"","""")"),"4")</f>
        <v>4</v>
      </c>
      <c r="GI257" s="246" t="str">
        <f>IFERROR(__xludf.DUMMYFUNCTION("IF(REGEXMATCH(C257, ""M""), ""#4"","""")"),"#4")</f>
        <v>#4</v>
      </c>
      <c r="GJ257" s="245" t="str">
        <f>IFERROR(__xludf.DUMMYFUNCTION("IF(REGEXMATCH(C257, ""P""), ""5"","""")"),"5")</f>
        <v>5</v>
      </c>
      <c r="GK257" s="246" t="str">
        <f>IFERROR(__xludf.DUMMYFUNCTION("IF(REGEXMATCH(C257, ""d""), ""b6"","""")"),"")</f>
        <v/>
      </c>
      <c r="GL257" s="245" t="str">
        <f>IFERROR(__xludf.DUMMYFUNCTION("IF(REGEXMATCH(C257, ""D""), ""6"","""")"),"6")</f>
        <v>6</v>
      </c>
      <c r="GM257" s="245" t="str">
        <f>IFERROR(__xludf.DUMMYFUNCTION("IF(REGEXMATCH(C257, ""n""), ""b7"","""")"),"")</f>
        <v/>
      </c>
      <c r="GN257" s="246" t="str">
        <f>IFERROR(__xludf.DUMMYFUNCTION("IF(REGEXMATCH(C257, ""N""), ""7"","""")"),"7")</f>
        <v>7</v>
      </c>
      <c r="GO257" s="249" t="str">
        <f>IFERROR(__xludf.DUMMYFUNCTION("IF(REGEXMATCH(C257, ""S""), ""8"","""")"),"8")</f>
        <v>8</v>
      </c>
      <c r="GP257" s="244" t="str">
        <f>IFERROR(__xludf.DUMMYFUNCTION("IF(REGEXMATCH(C257, ""S""), ""S"","""")"),"S")</f>
        <v>S</v>
      </c>
      <c r="GQ257" s="294" t="str">
        <f>IFERROR(__xludf.DUMMYFUNCTION("IF(REGEXMATCH(C257, ""r""), ""R1"","""")"),"R1")</f>
        <v>R1</v>
      </c>
      <c r="GR257" s="295" t="str">
        <f>IFERROR(__xludf.DUMMYFUNCTION("IF(REGEXMATCH(C257, ""R""), ""R2"","""")"),"")</f>
        <v/>
      </c>
      <c r="GS257" s="295" t="str">
        <f>IFERROR(__xludf.DUMMYFUNCTION("IF(REGEXMATCH(C257, ""g""), ""G2"","""")"),"")</f>
        <v/>
      </c>
      <c r="GT257" s="294" t="str">
        <f>IFERROR(__xludf.DUMMYFUNCTION("IF(REGEXMATCH(C257, ""G""), ""G3"","""")"),"G3")</f>
        <v>G3</v>
      </c>
      <c r="GU257" s="294" t="str">
        <f>IFERROR(__xludf.DUMMYFUNCTION("IF(REGEXMATCH(C257, ""m""), ""M1"","""")"),"M1")</f>
        <v>M1</v>
      </c>
      <c r="GV257" s="295" t="str">
        <f>IFERROR(__xludf.DUMMYFUNCTION("IF(REGEXMATCH(C257, ""M""), ""M2"","""")"),"M2")</f>
        <v>M2</v>
      </c>
      <c r="GW257" s="294" t="str">
        <f>IFERROR(__xludf.DUMMYFUNCTION("IF(REGEXMATCH(C257, ""P""), ""P"","""")"),"P")</f>
        <v>P</v>
      </c>
      <c r="GX257" s="295" t="str">
        <f>IFERROR(__xludf.DUMMYFUNCTION("IF(REGEXMATCH(C257, ""d""), ""D1"","""")"),"")</f>
        <v/>
      </c>
      <c r="GY257" s="294" t="str">
        <f>IFERROR(__xludf.DUMMYFUNCTION("IF(REGEXMATCH(C257, ""D""), ""D2"","""")"),"D2")</f>
        <v>D2</v>
      </c>
      <c r="GZ257" s="294" t="str">
        <f>IFERROR(__xludf.DUMMYFUNCTION("IF(REGEXMATCH(C257, ""n""), ""N2"","""")"),"")</f>
        <v/>
      </c>
      <c r="HA257" s="295" t="str">
        <f>IFERROR(__xludf.DUMMYFUNCTION("IF(REGEXMATCH(C257, ""N""), ""N3"","""")"),"N3")</f>
        <v>N3</v>
      </c>
      <c r="HB257" s="249" t="str">
        <f>IFERROR(__xludf.DUMMYFUNCTION("IF(REGEXMATCH(C257, ""S""), ""S"","""")"),"S")</f>
        <v>S</v>
      </c>
      <c r="HC257" s="331" t="str">
        <f t="shared" si="95"/>
        <v>S</v>
      </c>
      <c r="HD257" s="332" t="str">
        <f t="shared" si="96"/>
        <v>r</v>
      </c>
      <c r="HE257" s="332" t="str">
        <f t="shared" si="97"/>
        <v/>
      </c>
      <c r="HF257" s="332" t="str">
        <f t="shared" si="98"/>
        <v>g</v>
      </c>
      <c r="HG257" s="332" t="str">
        <f t="shared" si="99"/>
        <v/>
      </c>
      <c r="HH257" s="332" t="str">
        <f t="shared" si="100"/>
        <v>m</v>
      </c>
      <c r="HI257" s="332" t="str">
        <f t="shared" si="101"/>
        <v>M</v>
      </c>
      <c r="HJ257" s="332" t="str">
        <f t="shared" si="102"/>
        <v>P</v>
      </c>
      <c r="HK257" s="332" t="str">
        <f t="shared" si="103"/>
        <v>d</v>
      </c>
      <c r="HL257" s="332" t="str">
        <f t="shared" si="104"/>
        <v/>
      </c>
      <c r="HM257" s="332" t="str">
        <f t="shared" si="105"/>
        <v/>
      </c>
      <c r="HN257" s="332" t="str">
        <f t="shared" si="106"/>
        <v>N</v>
      </c>
      <c r="HO257" s="343" t="str">
        <f t="shared" si="107"/>
        <v>S</v>
      </c>
      <c r="HP257" s="331" t="str">
        <f t="shared" si="108"/>
        <v>o</v>
      </c>
      <c r="HQ257" s="332" t="str">
        <f t="shared" si="109"/>
        <v>o</v>
      </c>
      <c r="HR257" s="332" t="str">
        <f t="shared" si="110"/>
        <v>•</v>
      </c>
      <c r="HS257" s="332" t="str">
        <f t="shared" si="111"/>
        <v>•</v>
      </c>
      <c r="HT257" s="332" t="str">
        <f t="shared" si="112"/>
        <v>o</v>
      </c>
      <c r="HU257" s="332" t="str">
        <f t="shared" si="113"/>
        <v>o</v>
      </c>
      <c r="HV257" s="332" t="str">
        <f t="shared" si="114"/>
        <v>o</v>
      </c>
      <c r="HW257" s="332" t="str">
        <f t="shared" si="115"/>
        <v>o</v>
      </c>
      <c r="HX257" s="332" t="str">
        <f t="shared" si="116"/>
        <v>•</v>
      </c>
      <c r="HY257" s="332" t="str">
        <f t="shared" si="117"/>
        <v>o</v>
      </c>
      <c r="HZ257" s="332" t="str">
        <f t="shared" si="118"/>
        <v>•</v>
      </c>
      <c r="IA257" s="332" t="str">
        <f t="shared" si="119"/>
        <v>o</v>
      </c>
      <c r="IB257" s="338" t="str">
        <f t="shared" si="120"/>
        <v>o</v>
      </c>
      <c r="IC257" s="331" t="str">
        <f t="shared" si="121"/>
        <v>•</v>
      </c>
      <c r="ID257" s="332" t="str">
        <f t="shared" si="122"/>
        <v>•</v>
      </c>
      <c r="IE257" s="332" t="str">
        <f t="shared" si="123"/>
        <v>o</v>
      </c>
      <c r="IF257" s="332" t="str">
        <f t="shared" si="124"/>
        <v>o</v>
      </c>
      <c r="IG257" s="332" t="str">
        <f t="shared" si="125"/>
        <v>•</v>
      </c>
      <c r="IH257" s="332" t="str">
        <f t="shared" si="126"/>
        <v>•</v>
      </c>
      <c r="II257" s="332" t="str">
        <f t="shared" si="127"/>
        <v>•</v>
      </c>
      <c r="IJ257" s="332" t="str">
        <f t="shared" si="128"/>
        <v>•</v>
      </c>
      <c r="IK257" s="332" t="str">
        <f t="shared" si="129"/>
        <v>o</v>
      </c>
      <c r="IL257" s="332" t="str">
        <f t="shared" si="130"/>
        <v>•</v>
      </c>
      <c r="IM257" s="332" t="str">
        <f t="shared" si="131"/>
        <v>o</v>
      </c>
      <c r="IN257" s="332" t="str">
        <f t="shared" si="132"/>
        <v>•</v>
      </c>
      <c r="IO257" s="338" t="str">
        <f t="shared" si="133"/>
        <v>•</v>
      </c>
      <c r="IP257" s="346" t="b">
        <f t="shared" si="134"/>
        <v>0</v>
      </c>
      <c r="IQ257" s="347" t="b">
        <f t="shared" si="135"/>
        <v>1</v>
      </c>
      <c r="IR257" s="347" t="b">
        <f t="shared" si="136"/>
        <v>0</v>
      </c>
      <c r="IS257" s="347" t="b">
        <f t="shared" si="137"/>
        <v>0</v>
      </c>
      <c r="IT257" s="347" t="b">
        <f t="shared" si="138"/>
        <v>0</v>
      </c>
      <c r="IU257" s="347" t="b">
        <f t="shared" si="139"/>
        <v>0</v>
      </c>
      <c r="IV257" s="347" t="b">
        <f t="shared" si="140"/>
        <v>0</v>
      </c>
      <c r="IW257" s="347" t="b">
        <f t="shared" si="141"/>
        <v>1</v>
      </c>
      <c r="IX257" s="347" t="b">
        <f t="shared" si="142"/>
        <v>0</v>
      </c>
      <c r="IY257" s="347" t="b">
        <f t="shared" si="143"/>
        <v>0</v>
      </c>
      <c r="IZ257" s="347" t="b">
        <f t="shared" si="144"/>
        <v>0</v>
      </c>
      <c r="JA257" s="347" t="b">
        <f t="shared" si="145"/>
        <v>0</v>
      </c>
      <c r="JB257" s="353" t="b">
        <f t="shared" si="146"/>
        <v>0</v>
      </c>
      <c r="JC257" s="354" t="str">
        <f t="shared" si="147"/>
        <v/>
      </c>
      <c r="JD257" s="355" t="str">
        <f t="shared" si="148"/>
        <v>re, </v>
      </c>
      <c r="JE257" s="355" t="str">
        <f t="shared" si="149"/>
        <v/>
      </c>
      <c r="JF257" s="355" t="str">
        <f t="shared" si="150"/>
        <v/>
      </c>
      <c r="JG257" s="355" t="str">
        <f t="shared" si="151"/>
        <v/>
      </c>
      <c r="JH257" s="355" t="str">
        <f t="shared" si="152"/>
        <v/>
      </c>
      <c r="JI257" s="355" t="str">
        <f t="shared" si="153"/>
        <v/>
      </c>
      <c r="JJ257" s="355" t="str">
        <f t="shared" si="154"/>
        <v>Pa, </v>
      </c>
      <c r="JK257" s="355" t="str">
        <f t="shared" si="155"/>
        <v/>
      </c>
      <c r="JL257" s="355" t="str">
        <f t="shared" si="156"/>
        <v/>
      </c>
      <c r="JM257" s="355" t="str">
        <f t="shared" si="157"/>
        <v/>
      </c>
      <c r="JN257" s="355" t="str">
        <f t="shared" si="158"/>
        <v/>
      </c>
      <c r="JO257" s="359" t="str">
        <f t="shared" si="159"/>
        <v/>
      </c>
      <c r="JP257" s="346" t="b">
        <f t="shared" si="160"/>
        <v>0</v>
      </c>
      <c r="JQ257" s="347" t="b">
        <f t="shared" si="161"/>
        <v>0</v>
      </c>
      <c r="JR257" s="347" t="b">
        <f t="shared" si="162"/>
        <v>0</v>
      </c>
      <c r="JS257" s="347" t="b">
        <f t="shared" si="163"/>
        <v>0</v>
      </c>
      <c r="JT257" s="347" t="b">
        <f t="shared" si="164"/>
        <v>0</v>
      </c>
      <c r="JU257" s="347" t="b">
        <f t="shared" si="165"/>
        <v>0</v>
      </c>
      <c r="JV257" s="347" t="b">
        <f t="shared" si="166"/>
        <v>0</v>
      </c>
      <c r="JW257" s="347" t="b">
        <f t="shared" si="167"/>
        <v>0</v>
      </c>
      <c r="JX257" s="347" t="b">
        <f t="shared" si="168"/>
        <v>0</v>
      </c>
      <c r="JY257" s="347" t="b">
        <f t="shared" si="169"/>
        <v>0</v>
      </c>
      <c r="JZ257" s="347" t="b">
        <f t="shared" si="170"/>
        <v>0</v>
      </c>
      <c r="KA257" s="347" t="b">
        <f t="shared" si="171"/>
        <v>0</v>
      </c>
      <c r="KB257" s="365" t="b">
        <f t="shared" si="172"/>
        <v>0</v>
      </c>
      <c r="KC257" s="354" t="str">
        <f t="shared" si="173"/>
        <v/>
      </c>
      <c r="KD257" s="355" t="str">
        <f t="shared" si="174"/>
        <v/>
      </c>
      <c r="KE257" s="355" t="str">
        <f t="shared" si="175"/>
        <v/>
      </c>
      <c r="KF257" s="355" t="str">
        <f t="shared" si="176"/>
        <v/>
      </c>
      <c r="KG257" s="355" t="str">
        <f t="shared" si="177"/>
        <v/>
      </c>
      <c r="KH257" s="355" t="str">
        <f t="shared" si="178"/>
        <v/>
      </c>
      <c r="KI257" s="355" t="str">
        <f t="shared" si="179"/>
        <v/>
      </c>
      <c r="KJ257" s="355" t="str">
        <f t="shared" si="180"/>
        <v/>
      </c>
      <c r="KK257" s="355" t="str">
        <f t="shared" si="181"/>
        <v/>
      </c>
      <c r="KL257" s="355" t="str">
        <f t="shared" si="182"/>
        <v/>
      </c>
      <c r="KM257" s="355" t="str">
        <f t="shared" si="183"/>
        <v/>
      </c>
      <c r="KN257" s="355" t="str">
        <f t="shared" si="184"/>
        <v/>
      </c>
      <c r="KO257" s="359"/>
      <c r="KP257" s="378"/>
      <c r="KQ257" s="379" t="s">
        <v>9</v>
      </c>
      <c r="KR257" s="380" t="s">
        <v>9</v>
      </c>
      <c r="KS257" s="381" t="s">
        <v>9</v>
      </c>
      <c r="KT257" s="382">
        <f t="shared" si="186"/>
        <v>0</v>
      </c>
      <c r="KU257" s="383">
        <f t="shared" si="187"/>
        <v>0</v>
      </c>
      <c r="KV257" s="381" t="str">
        <f t="shared" si="205"/>
        <v>S</v>
      </c>
      <c r="KW257" s="382">
        <f t="shared" si="189"/>
        <v>0</v>
      </c>
      <c r="KX257" s="384">
        <f t="shared" si="190"/>
        <v>0</v>
      </c>
      <c r="KY257" s="382">
        <f t="shared" ref="KY257:KZ257" si="736">KW257-KT257</f>
        <v>0</v>
      </c>
      <c r="KZ257" s="369">
        <f t="shared" si="736"/>
        <v>0</v>
      </c>
      <c r="LA257" s="385" t="str">
        <f t="shared" si="192"/>
        <v>✔</v>
      </c>
      <c r="LB257" s="340" t="str">
        <f>IFERROR(__xludf.DUMMYFUNCTION("JOIN("""",ArrayFormula(MID(KS257,LEN(KS257)-SEQUENCE(1,LEN(KS257))+1,1)))"),"S")</f>
        <v>S</v>
      </c>
      <c r="LC257" s="373" t="str">
        <f>IFERROR(__xludf.DUMMYFUNCTION("JOIN("""",ArrayFormula(MID(KV257,LEN(KV257)-SEQUENCE(1,LEN(KV257))+1,1)))"),"S")</f>
        <v>S</v>
      </c>
      <c r="LD257" s="373" t="str">
        <f t="shared" si="193"/>
        <v>S</v>
      </c>
      <c r="LE257" s="339" t="str">
        <f t="shared" si="194"/>
        <v>S</v>
      </c>
      <c r="LF257" s="386" t="str">
        <f>IFERROR(__xludf.DUMMYFUNCTION("SUBSTITUTE(SUBSTITUTE(CONCATENATE(JOIN("""",LH257:LT257)),""1"",""""),""2"","""")"),"SS")</f>
        <v>SS</v>
      </c>
      <c r="LG257" s="369" t="str">
        <f t="shared" si="195"/>
        <v>-</v>
      </c>
      <c r="LH257" s="387" t="str">
        <f>IFERROR(__xludf.DUMMYFUNCTION("IF(REGEXMATCH(LD257, ""S""), ""S"",IF(REGEXMATCH(LE257, ""S""), ""S"",""""))"),"S")</f>
        <v>S</v>
      </c>
      <c r="LI257" s="299" t="str">
        <f>IFERROR(__xludf.DUMMYFUNCTION("IF(REGEXMATCH(LD257, ""r""), ""r1"",IF(REGEXMATCH(LE257, ""r""), ""r2"",""""))"),"")</f>
        <v/>
      </c>
      <c r="LJ257" s="299" t="str">
        <f>IFERROR(__xludf.DUMMYFUNCTION("IF(REGEXMATCH(LD257, ""R""), ""R1"",IF(REGEXMATCH(LE257, ""R""), ""R2"",""""))"),"")</f>
        <v/>
      </c>
      <c r="LK257" s="299" t="str">
        <f>IFERROR(__xludf.DUMMYFUNCTION("IF(REGEXMATCH(LD257, ""g""), ""g1"",IF(REGEXMATCH(LE257, ""g""), ""g2"",""""))"),"")</f>
        <v/>
      </c>
      <c r="LL257" s="299" t="str">
        <f>IFERROR(__xludf.DUMMYFUNCTION("IF(REGEXMATCH(LD257, ""G""), ""G1"",IF(REGEXMATCH(LE257, ""G""), ""G2"",""""))"),"")</f>
        <v/>
      </c>
      <c r="LM257" s="299" t="str">
        <f>IFERROR(__xludf.DUMMYFUNCTION("IF(REGEXMATCH(LD257, ""m""), ""m1"",IF(REGEXMATCH(LE257, ""m""), ""m2"",""""))"),"")</f>
        <v/>
      </c>
      <c r="LN257" s="299" t="str">
        <f>IFERROR(__xludf.DUMMYFUNCTION("IF(REGEXMATCH(LD257, ""M""), ""M1"",IF(REGEXMATCH(LE257, ""M""), ""M2"",""""))"),"")</f>
        <v/>
      </c>
      <c r="LO257" s="299" t="str">
        <f>IFERROR(__xludf.DUMMYFUNCTION("IF(REGEXMATCH(LD257, ""P""), ""P1"",IF(REGEXMATCH(LE257, ""P""), ""P2"",""""))"),"")</f>
        <v/>
      </c>
      <c r="LP257" s="299" t="str">
        <f>IFERROR(__xludf.DUMMYFUNCTION("IF(REGEXMATCH(LD257, ""d""), ""d1"",IF(REGEXMATCH(LE257, ""d""), ""d2"",""""))"),"")</f>
        <v/>
      </c>
      <c r="LQ257" s="299" t="str">
        <f>IFERROR(__xludf.DUMMYFUNCTION("IF(REGEXMATCH(LD257, ""D""), ""D1"",IF(REGEXMATCH(LE257, ""D""), ""D2"",""""))"),"")</f>
        <v/>
      </c>
      <c r="LR257" s="299" t="str">
        <f>IFERROR(__xludf.DUMMYFUNCTION("IF(REGEXMATCH(LD257, ""n""), ""n1"",IF(REGEXMATCH(LE257, ""n""), ""n2"",""""))"),"")</f>
        <v/>
      </c>
      <c r="LS257" s="299" t="str">
        <f>IFERROR(__xludf.DUMMYFUNCTION("IF(REGEXMATCH(LD257, ""N""), ""N1"",IF(REGEXMATCH(LE257, ""N""), ""N2"",""""))"),"")</f>
        <v/>
      </c>
      <c r="LT257" s="388" t="str">
        <f>IFERROR(__xludf.DUMMYFUNCTION("IF(REGEXMATCH(LD257, ""S""), ""S"",IF(REGEXMATCH(LE257, ""S""), ""S"",""""))"),"S")</f>
        <v>S</v>
      </c>
      <c r="LU257" s="389">
        <f t="shared" si="196"/>
        <v>1</v>
      </c>
      <c r="LV257" s="378"/>
      <c r="LW257" s="369"/>
      <c r="LX257" s="369"/>
    </row>
    <row r="258" ht="18.0" customHeight="1">
      <c r="A258" s="298" t="s">
        <v>669</v>
      </c>
      <c r="B258" s="222" t="s">
        <v>671</v>
      </c>
      <c r="C258" s="233" t="str">
        <f t="shared" si="7"/>
        <v>SgmPdnS</v>
      </c>
      <c r="D258" s="234" t="str">
        <f>IFERROR(__xludf.DUMMYFUNCTION("IF(REGEXMATCH(C258, ""S""), ""S"","""")"),"S")</f>
        <v>S</v>
      </c>
      <c r="E258" s="236" t="str">
        <f>IFERROR(__xludf.DUMMYFUNCTION("IF(REGEXMATCH(C258, ""r""), ""r"","""")"),"")</f>
        <v/>
      </c>
      <c r="F258" s="237" t="str">
        <f>IFERROR(__xludf.DUMMYFUNCTION("IF(REGEXMATCH(C258, ""R""), ""R"","""")"),"")</f>
        <v/>
      </c>
      <c r="G258" s="237" t="str">
        <f>IFERROR(__xludf.DUMMYFUNCTION("IF(REGEXMATCH(C258, ""g""), ""g"","""")"),"g")</f>
        <v>g</v>
      </c>
      <c r="H258" s="236" t="str">
        <f>IFERROR(__xludf.DUMMYFUNCTION("IF(REGEXMATCH(C258, ""G""), ""G"","""")"),"")</f>
        <v/>
      </c>
      <c r="I258" s="236" t="str">
        <f>IFERROR(__xludf.DUMMYFUNCTION("IF(REGEXMATCH(C258, ""m""), ""m"","""")"),"m")</f>
        <v>m</v>
      </c>
      <c r="J258" s="237" t="str">
        <f>IFERROR(__xludf.DUMMYFUNCTION("IF(REGEXMATCH(C258, ""M""), ""M"","""")"),"")</f>
        <v/>
      </c>
      <c r="K258" s="236" t="str">
        <f>IFERROR(__xludf.DUMMYFUNCTION("IF(REGEXMATCH(C258, ""P""), ""P"","""")"),"P")</f>
        <v>P</v>
      </c>
      <c r="L258" s="237" t="str">
        <f>IFERROR(__xludf.DUMMYFUNCTION("IF(REGEXMATCH(C258, ""d""), ""d"","""")"),"d")</f>
        <v>d</v>
      </c>
      <c r="M258" s="236" t="str">
        <f>IFERROR(__xludf.DUMMYFUNCTION("IF(REGEXMATCH(C258, ""D""), ""D"","""")"),"")</f>
        <v/>
      </c>
      <c r="N258" s="236" t="str">
        <f>IFERROR(__xludf.DUMMYFUNCTION("IF(REGEXMATCH(C258, ""n""), ""n"","""")"),"n")</f>
        <v>n</v>
      </c>
      <c r="O258" s="237" t="str">
        <f>IFERROR(__xludf.DUMMYFUNCTION("IF(REGEXMATCH(C258, ""N""), ""N"","""")"),"")</f>
        <v/>
      </c>
      <c r="P258" s="238" t="str">
        <f>IFERROR(__xludf.DUMMYFUNCTION("IF(REGEXMATCH(C258, ""S""), ""S"","""")"),"S")</f>
        <v>S</v>
      </c>
      <c r="Q258" s="239" t="str">
        <f>IFERROR(__xludf.DUMMYFUNCTION("SUBSTITUTE(CONCATENATE(JOIN(""-"",D258:J258)),""-"","""")"),"Sgm")</f>
        <v>Sgm</v>
      </c>
      <c r="R258" s="229" t="str">
        <f>IFERROR(__xludf.DUMMYFUNCTION("SUBSTITUTE(CONCATENATE(JOIN(""-"",K258:P258)),""-"","""")"),"PdnS")</f>
        <v>PdnS</v>
      </c>
      <c r="S258" s="282" t="str">
        <f t="shared" si="8"/>
        <v>S-G-M</v>
      </c>
      <c r="T258" s="282" t="str">
        <f t="shared" si="9"/>
        <v>P-D-N-S</v>
      </c>
      <c r="U258" s="237" t="str">
        <f>IFERROR(__xludf.DUMMYFUNCTION("SUBSTITUTE(JOIN(""-"",S258,T258),""--"",""-"")"),"S-G-M-P-D-N-S")</f>
        <v>S-G-M-P-D-N-S</v>
      </c>
      <c r="V258" s="309" t="str">
        <f t="shared" si="10"/>
        <v>gmdn</v>
      </c>
      <c r="W258" s="244" t="str">
        <f>IFERROR(__xludf.DUMMYFUNCTION("IF(REGEXMATCH(C258, ""S""), ""0"","""")"),"0")</f>
        <v>0</v>
      </c>
      <c r="X258" s="245" t="str">
        <f>IFERROR(__xludf.DUMMYFUNCTION("IF(REGEXMATCH(C258, ""r""), ""1"","""")"),"")</f>
        <v/>
      </c>
      <c r="Y258" s="246" t="str">
        <f>IFERROR(__xludf.DUMMYFUNCTION("IF(REGEXMATCH(C258, ""R""), ""2"","""")"),"")</f>
        <v/>
      </c>
      <c r="Z258" s="246" t="str">
        <f>IFERROR(__xludf.DUMMYFUNCTION("IF(REGEXMATCH(C258, ""g""), ""3"","""")"),"3")</f>
        <v>3</v>
      </c>
      <c r="AA258" s="245" t="str">
        <f>IFERROR(__xludf.DUMMYFUNCTION("IF(REGEXMATCH(C258, ""G""), ""4"","""")"),"")</f>
        <v/>
      </c>
      <c r="AB258" s="245" t="str">
        <f>IFERROR(__xludf.DUMMYFUNCTION("IF(REGEXMATCH(C258, ""m""), ""5"","""")"),"5")</f>
        <v>5</v>
      </c>
      <c r="AC258" s="246" t="str">
        <f>IFERROR(__xludf.DUMMYFUNCTION("IF(REGEXMATCH(C258, ""M""), ""6"","""")"),"")</f>
        <v/>
      </c>
      <c r="AD258" s="245" t="str">
        <f>IFERROR(__xludf.DUMMYFUNCTION("IF(REGEXMATCH(C258, ""P""), ""7"","""")"),"7")</f>
        <v>7</v>
      </c>
      <c r="AE258" s="246" t="str">
        <f>IFERROR(__xludf.DUMMYFUNCTION("IF(REGEXMATCH(C258, ""d""), ""8"","""")"),"8")</f>
        <v>8</v>
      </c>
      <c r="AF258" s="245" t="str">
        <f>IFERROR(__xludf.DUMMYFUNCTION("IF(REGEXMATCH(C258, ""D""), ""9"","""")"),"")</f>
        <v/>
      </c>
      <c r="AG258" s="245" t="str">
        <f>IFERROR(__xludf.DUMMYFUNCTION("IF(REGEXMATCH(C258, ""n""), ""10"","""")"),"10")</f>
        <v>10</v>
      </c>
      <c r="AH258" s="246" t="str">
        <f>IFERROR(__xludf.DUMMYFUNCTION("IF(REGEXMATCH(C258, ""N""), ""11"","""")"),"")</f>
        <v/>
      </c>
      <c r="AI258" s="249" t="str">
        <f>IFERROR(__xludf.DUMMYFUNCTION("IF(REGEXMATCH(C258, ""S""), ""0"","""")"),"0")</f>
        <v>0</v>
      </c>
      <c r="AJ258" s="313" t="str">
        <f t="shared" si="11"/>
        <v>-</v>
      </c>
      <c r="AK258" s="313" t="str">
        <f t="shared" si="12"/>
        <v>-</v>
      </c>
      <c r="AL258" s="313" t="str">
        <f t="shared" si="13"/>
        <v>-</v>
      </c>
      <c r="AM258" s="313" t="str">
        <f t="shared" si="14"/>
        <v>-</v>
      </c>
      <c r="AN258" s="313" t="str">
        <f t="shared" si="15"/>
        <v>-</v>
      </c>
      <c r="AO258" s="314" t="str">
        <f t="shared" si="16"/>
        <v>-</v>
      </c>
      <c r="AP258" s="316">
        <f t="shared" si="17"/>
        <v>0</v>
      </c>
      <c r="AQ258" s="319" t="str">
        <f t="shared" si="18"/>
        <v>-</v>
      </c>
      <c r="AR258" s="320">
        <f t="shared" si="19"/>
        <v>0</v>
      </c>
      <c r="AS258" s="250" t="str">
        <f>IFERROR(__xludf.DUMMYFUNCTION("SUBSTITUTE(SUBSTITUTE(CONCATENATE(JOIN("""",FP258:GA258)),""|"",""x""),""-"",""o"")"),"xooxoxoxxoxo")</f>
        <v>xooxoxoxxoxo</v>
      </c>
      <c r="AT258" s="323" t="str">
        <f>IFERROR(__xludf.DUMMYFUNCTION("JOIN("""",AS258,AS258)"),"xooxoxoxxoxoxooxoxoxxoxo")</f>
        <v>xooxoxoxxoxoxooxoxoxxoxo</v>
      </c>
      <c r="AU258" s="256" t="str">
        <f>IFERROR(__xludf.DUMMYFUNCTION("JOIN("""",ArrayFormula(MID(AS258,LEN(AS258)-SEQUENCE(1,LEN(AS258))+1,1)))"),"oxoxxoxoxoox")</f>
        <v>oxoxxoxoxoox</v>
      </c>
      <c r="AV258" s="256" t="str">
        <f>IFERROR(__xludf.DUMMYFUNCTION("LEFT(CONCATENATE(""x"",JOIN("""",ArrayFormula(MID(AS258,LEN(AS258)-SEQUENCE(1,LEN(AS258))+1,1)))),12)"),"xoxoxxoxoxoo")</f>
        <v>xoxoxxoxoxoo</v>
      </c>
      <c r="AW258" s="327" t="str">
        <f>IFERROR(__xludf.DUMMYFUNCTION("JOIN("""",AU258,AU258)"),"oxoxxoxoxooxoxoxxoxoxoox")</f>
        <v>oxoxxoxoxooxoxoxxoxoxoox</v>
      </c>
      <c r="AX258" s="239" t="str">
        <f>IFERROR(__xludf.DUMMYFUNCTION("IF(REGEXMATCH(AW258,AS258),""✔"",""-"")"),"✔")</f>
        <v>✔</v>
      </c>
      <c r="AY258" s="330" t="str">
        <f t="shared" si="20"/>
        <v>-</v>
      </c>
      <c r="AZ258" s="260" t="str">
        <f t="shared" si="21"/>
        <v>#REF!</v>
      </c>
      <c r="BA258" s="333" t="str">
        <f t="shared" si="22"/>
        <v>xooxoxo</v>
      </c>
      <c r="BB258" s="334" t="str">
        <f t="shared" si="23"/>
        <v>xxoxox</v>
      </c>
      <c r="BC258" s="335" t="str">
        <f t="shared" si="236"/>
        <v>-</v>
      </c>
      <c r="BD258" s="336" t="str">
        <f t="shared" si="25"/>
        <v>Pancham Malkauns: 'xooxoxo' + 'xxoxox'</v>
      </c>
      <c r="BE258" s="337">
        <f>IFERROR(__xludf.DUMMYFUNCTION("COUNTUNIQUE(FILTER(AT:AT,REGEXMATCH(AT:AT,AS258)))-1"),3.0)</f>
        <v>3</v>
      </c>
      <c r="BF258" s="261" t="str">
        <f>IFERROR(__xludf.DUMMYFUNCTION("IF(BI258=0,""(n/a)"",IF(BJ258=2,""(PAIR)"",IF(REGEXMATCH(AT258,""xoxoxxoxoxox""),""Bilawal"",IF(REGEXMATCH(AT258,""xoxoxooxoxoo""),""Bhupali"",IF(REGEXMATCH(AT258,""xoxoxxoxxoxo""),""Charukeshi"",IF(REGEXMATCH(AT258,""xoxoooxxoxxo""),""Kameshwari"",IF(REG"&amp;"EXMATCH(AT258,""xoxoxooxoxox""),""Shankara"",IF(REGEXMATCH(AT258,""xxooxoxxxoox""),""Basant"",IF(REGEXMATCH(AT258,""xoxoxxxxoxox""),""Bihag"",IF(REGEXMATCH(AT258,""xoxxxxoxoxxx""),""Pilu"",IF(REGEXMATCH(AT258,""xoxxoxoxxoox""),""Kirwani"",IF(REGEXMATCH(AT"&amp;"258,""xoxxoxoxoxxx""),""Mk.Malhar"",IF(REGEXMATCH(AT258,""xxooxxoxxoox""),""Bhairav"",IF(REGEXMATCH(AT258,""xxoxooxxxoox""),""Todi"",IF(REGEXMATCH(AT258,""xxooxoxooxox""),""Marwa"",IF(REGEXMATCH(AT258,""xxoooxoxxooo""),""Gunkali"",IF(REGEXMATCH(AT258,""xo"&amp;"xoxxoxxoox""),""Nat Bhairav"",IF(REGEXMATCH(AT258,""xoxxoooxoxoo""),""Shivranjani"",IF(REGEXMATCH(AT258,""xooxxxoxooxo""),""Jog"",IF(REGEXMATCH(AT258,""xxooxoxoxoox""),""Hemshri"",IF(REGEXMATCH(AT258,""xoooxooxoxxo""),""Kalavati"",IF(REGEXMATCH(AT258,""xx"&amp;"oxoxxoxoox""),""Kedar"",IF(REGEXMATCH(AT258,""xoxxxxoxooxx""),""Gara"",IF(REGEXMATCH(AT258,""xooxoxooxoox""),""Chandrakauns"",IF(REGEXMATCH(AT258,""xoxxxxoxxxox""),""Mand"",IF(REGEXMATCH(AT258,""xoxxxxoxoxox""),""Hanskinkini"",IF(REGEXMATCH(AT258,""xxooxx"&amp;"oxooxo""),""Lilavati"",IF(REGEXMATCH(AT258,""xooxoxoooxox""),""Rajeshwari"",IF(REGEXMATCH(AT258,""xoooxxoxoxxx""),""Khokar"",IF(REGEXMATCH(AT258,""xxooxoxxxxox""),""Maligoura"",""-""))))))))))))))))))))))))))))))"),"Shankara")</f>
        <v>Shankara</v>
      </c>
      <c r="BG258" s="239" t="str">
        <f t="shared" si="26"/>
        <v>#REF!</v>
      </c>
      <c r="BH258" s="239">
        <f>IFERROR(__xludf.DUMMYFUNCTION("COUNTUNIQUE(FE258:FO258)-1"),5.0)</f>
        <v>5</v>
      </c>
      <c r="BI258" s="239">
        <f>IFERROR(__xludf.DUMMYFUNCTION("COUNTUNIQUE(FILTER(AT:AT,REGEXMATCH(AT:AT,AS258)))-1"),3.0)</f>
        <v>3</v>
      </c>
      <c r="BJ258" s="239">
        <f>IFERROR(__xludf.DUMMYFUNCTION("COUNTA(FILTER(AT:AT,REGEXMATCH(AT:AT,AS258)))"),11.0)</f>
        <v>11</v>
      </c>
      <c r="BK258" s="341">
        <f>IFERROR(__xludf.DUMMYFUNCTION("COUNTA(FILTER(AT:AT,REGEXMATCH(AT:AT,AS258)))-AR258"),11.0)</f>
        <v>11</v>
      </c>
      <c r="BL258" s="276" t="str">
        <f>IFERROR(__xludf.DUMMYFUNCTION("IF(AS258=""oooooooooooo"",""-"",IF(REGEXMATCH(AT258,""xx""), ""Hemi."", ""Anhemi.""))"),"Hemi.")</f>
        <v>Hemi.</v>
      </c>
      <c r="BM258" s="282" t="str">
        <f>IFERROR(__xludf.DUMMYFUNCTION("IF(AS258=""oooooooooooo"",""-"",IF(REGEXMATCH(AT258,""xxx""), ""Cohem."", ""-""))"),"-")</f>
        <v>-</v>
      </c>
      <c r="BN258" s="282" t="str">
        <f>IFERROR(__xludf.DUMMYFUNCTION("IF(AS258=""oooooooooooo"",""-"",IF(REGEXMATCH(AT258,""xxxx""), ""Co-Co."", ""-""))"),"-")</f>
        <v>-</v>
      </c>
      <c r="BO258" s="342" t="str">
        <f>IFERROR(__xludf.DUMMYFUNCTION("IF(AS258=""oooooooooooo"",""-"",IF(REGEXMATCH(AT258,""xxxxx""), ""CCC."", ""-""))"),"-")</f>
        <v>-</v>
      </c>
      <c r="BP258" s="344" t="str">
        <f t="shared" si="27"/>
        <v>-</v>
      </c>
      <c r="BQ258" s="282" t="str">
        <f>IFERROR(__xludf.DUMMYFUNCTION("IF(REGEXMATCH(JOIN(""-"",EU258:FD258),""TRUE""),""✔"",""-"")"),"✔")</f>
        <v>✔</v>
      </c>
      <c r="BR258" s="225">
        <f t="shared" si="28"/>
        <v>2</v>
      </c>
      <c r="BS258" s="345" t="str">
        <f>IFERROR(__xludf.DUMMYFUNCTION("SUBSTITUTE(SUBSTITUTE(SUBSTITUTE(SUBSTITUTE(CONCATENATE(JOIN(""-"",GC258:GO258)),""--"",""-""),""--"",""-""),""--"",""-""),""--"",""-"")"),"1-b3-4-5-b6-b7-8")</f>
        <v>1-b3-4-5-b6-b7-8</v>
      </c>
      <c r="BT258" s="299" t="str">
        <f>IFERROR(__xludf.DUMMYFUNCTION("SUBSTITUTE(SUBSTITUTE(SUBSTITUTE(SUBSTITUTE(CONCATENATE(JOIN(""-"",GP258:HB258)),""--"",""-""),""--"",""-""),""--"",""-""),""--"",""-"")"),"S-G2-M1-P-D1-N2-S")</f>
        <v>S-G2-M1-P-D1-N2-S</v>
      </c>
      <c r="BU258" s="348" t="str">
        <f t="shared" si="29"/>
        <v>C-Eb-F-G-Ab-Bb-C</v>
      </c>
      <c r="BV258" s="349" t="str">
        <f t="shared" si="30"/>
        <v>SrRGMDNS</v>
      </c>
      <c r="BW258" s="350">
        <f t="shared" si="31"/>
        <v>0</v>
      </c>
      <c r="BX258" s="351">
        <f t="shared" si="32"/>
        <v>2</v>
      </c>
      <c r="BY258" s="392"/>
      <c r="BZ258" s="309" t="str">
        <f>IFERROR(__xludf.DUMMYFUNCTION("IF(REGEXMATCH(C258, ""S""), ""x"",""x"")"),"x")</f>
        <v>x</v>
      </c>
      <c r="CA258" s="245" t="str">
        <f>IFERROR(__xludf.DUMMYFUNCTION("IF(REGEXMATCH(C258, ""r""), ""o"",""x"")"),"x")</f>
        <v>x</v>
      </c>
      <c r="CB258" s="246" t="str">
        <f>IFERROR(__xludf.DUMMYFUNCTION("IF(REGEXMATCH(C258, ""R""), ""o"",""x"")"),"x")</f>
        <v>x</v>
      </c>
      <c r="CC258" s="246" t="str">
        <f>IFERROR(__xludf.DUMMYFUNCTION("IF(REGEXMATCH(C258, ""g""), ""o"",""x"")"),"o")</f>
        <v>o</v>
      </c>
      <c r="CD258" s="245" t="str">
        <f>IFERROR(__xludf.DUMMYFUNCTION("IF(REGEXMATCH(C258, ""G""), ""o"",""x"")"),"x")</f>
        <v>x</v>
      </c>
      <c r="CE258" s="245" t="str">
        <f>IFERROR(__xludf.DUMMYFUNCTION("IF(REGEXMATCH(C258, ""m""), ""o"",""x"")"),"o")</f>
        <v>o</v>
      </c>
      <c r="CF258" s="246" t="str">
        <f>IFERROR(__xludf.DUMMYFUNCTION("IF(REGEXMATCH(C258, ""M""), ""o"",""x"")"),"x")</f>
        <v>x</v>
      </c>
      <c r="CG258" s="245" t="str">
        <f>IFERROR(__xludf.DUMMYFUNCTION("IF(REGEXMATCH(C258, ""P""), ""o"",""x"")"),"o")</f>
        <v>o</v>
      </c>
      <c r="CH258" s="246" t="str">
        <f>IFERROR(__xludf.DUMMYFUNCTION("IF(REGEXMATCH(C258, ""d""), ""o"",""x"")"),"o")</f>
        <v>o</v>
      </c>
      <c r="CI258" s="245" t="str">
        <f>IFERROR(__xludf.DUMMYFUNCTION("IF(REGEXMATCH(C258, ""D""), ""o"",""x"")"),"x")</f>
        <v>x</v>
      </c>
      <c r="CJ258" s="245" t="str">
        <f>IFERROR(__xludf.DUMMYFUNCTION("IF(REGEXMATCH(C258, ""n""), ""o"",""x"")"),"o")</f>
        <v>o</v>
      </c>
      <c r="CK258" s="245" t="str">
        <f>IFERROR(__xludf.DUMMYFUNCTION("IF(REGEXMATCH(C258, ""N""), ""o"",""x"")"),"x")</f>
        <v>x</v>
      </c>
      <c r="CL258" s="356" t="str">
        <f>IFERROR(__xludf.DUMMYFUNCTION("IF(REGEXMATCH(C258, ""S""), ""x"",""x"")"),"x")</f>
        <v>x</v>
      </c>
      <c r="CM258" s="357" t="str">
        <f t="shared" si="33"/>
        <v>xxxoxoxooxox</v>
      </c>
      <c r="CN258" s="358">
        <f t="shared" si="34"/>
        <v>0</v>
      </c>
      <c r="CO258" s="246" t="str">
        <f>IFERROR(__xludf.DUMMYFUNCTION("IF(REGEXMATCH($C258, ""S""), ""S"",""S"")"),"S")</f>
        <v>S</v>
      </c>
      <c r="CP258" s="246" t="str">
        <f>IFERROR(__xludf.DUMMYFUNCTION("IF(REGEXMATCH($C258, ""r""), """",""r"")"),"r")</f>
        <v>r</v>
      </c>
      <c r="CQ258" s="246" t="str">
        <f>IFERROR(__xludf.DUMMYFUNCTION("IF(REGEXMATCH($C258, ""R""), """",""R"")"),"R")</f>
        <v>R</v>
      </c>
      <c r="CR258" s="246" t="str">
        <f>IFERROR(__xludf.DUMMYFUNCTION("IF(REGEXMATCH($C258, ""g""), """",""g"")"),"")</f>
        <v/>
      </c>
      <c r="CS258" s="246" t="str">
        <f>IFERROR(__xludf.DUMMYFUNCTION("IF(REGEXMATCH($C258, ""G""), """",""G"")"),"G")</f>
        <v>G</v>
      </c>
      <c r="CT258" s="246" t="str">
        <f>IFERROR(__xludf.DUMMYFUNCTION("IF(REGEXMATCH($C258, ""m""), """",""m"")"),"")</f>
        <v/>
      </c>
      <c r="CU258" s="246" t="str">
        <f>IFERROR(__xludf.DUMMYFUNCTION("IF(REGEXMATCH($C258, ""M""), """",""M"")"),"M")</f>
        <v>M</v>
      </c>
      <c r="CV258" s="246" t="str">
        <f>IFERROR(__xludf.DUMMYFUNCTION("IF(REGEXMATCH($C258, ""P""), """",""P"")"),"")</f>
        <v/>
      </c>
      <c r="CW258" s="246" t="str">
        <f>IFERROR(__xludf.DUMMYFUNCTION("IF(REGEXMATCH($C258, ""d""), """",""d"")"),"")</f>
        <v/>
      </c>
      <c r="CX258" s="246" t="str">
        <f>IFERROR(__xludf.DUMMYFUNCTION("IF(REGEXMATCH($C258, ""D""), """",""D"")"),"D")</f>
        <v>D</v>
      </c>
      <c r="CY258" s="246" t="str">
        <f>IFERROR(__xludf.DUMMYFUNCTION("IF(REGEXMATCH($C258, ""n""), """",""n"")"),"")</f>
        <v/>
      </c>
      <c r="CZ258" s="246" t="str">
        <f>IFERROR(__xludf.DUMMYFUNCTION("IF(REGEXMATCH($C258, ""N""), """",""N"")"),"N")</f>
        <v>N</v>
      </c>
      <c r="DA258" s="246" t="str">
        <f>IFERROR(__xludf.DUMMYFUNCTION("IF(REGEXMATCH($C258, ""S""), ""S"",""S"")"),"S")</f>
        <v>S</v>
      </c>
      <c r="DB258" s="362" t="str">
        <f>IFERROR(__xludf.DUMMYFUNCTION("JOIN("""",CO258:DA258,"""","""")"),"SrRGMDNS")</f>
        <v>SrRGMDNS</v>
      </c>
      <c r="DC258" s="363"/>
      <c r="DD258" s="301" t="str">
        <f t="shared" si="35"/>
        <v>#REF!</v>
      </c>
      <c r="DE258" s="302" t="str">
        <f t="shared" si="36"/>
        <v>#REF!</v>
      </c>
      <c r="DF258" s="301" t="str">
        <f t="shared" ref="DF258:DG258" si="737">SUBSTITUTE(S258,"-","")</f>
        <v>SGM</v>
      </c>
      <c r="DG258" s="301" t="str">
        <f t="shared" si="737"/>
        <v>PDNS</v>
      </c>
      <c r="DH258" s="302" t="str">
        <f t="shared" si="38"/>
        <v>Shankara</v>
      </c>
      <c r="DI258" s="301" t="str">
        <f t="shared" si="39"/>
        <v>Hemi.</v>
      </c>
      <c r="DJ258" s="364" t="str">
        <f t="shared" si="40"/>
        <v>-</v>
      </c>
      <c r="DK258" s="306" t="str">
        <f t="shared" si="41"/>
        <v>-</v>
      </c>
      <c r="DL258" s="366" t="str">
        <f t="shared" si="42"/>
        <v>✔</v>
      </c>
      <c r="DM258" s="308" t="str">
        <f t="shared" si="43"/>
        <v>-</v>
      </c>
      <c r="DN258" s="306" t="str">
        <f t="shared" si="44"/>
        <v>-</v>
      </c>
      <c r="DO258" s="306" t="str">
        <f t="shared" si="45"/>
        <v>✔</v>
      </c>
      <c r="DP258" s="367" t="str">
        <f t="shared" si="46"/>
        <v>-</v>
      </c>
      <c r="DQ258" s="310" t="str">
        <f t="shared" si="47"/>
        <v>-</v>
      </c>
      <c r="DR258" s="310" t="str">
        <f t="shared" si="48"/>
        <v>-</v>
      </c>
      <c r="DS258" s="310" t="str">
        <f t="shared" si="49"/>
        <v>-</v>
      </c>
      <c r="DT258" s="310" t="str">
        <f t="shared" si="50"/>
        <v>-</v>
      </c>
      <c r="DU258" s="370" t="str">
        <f t="shared" si="51"/>
        <v>-</v>
      </c>
      <c r="DV258" s="306" t="str">
        <f t="shared" si="52"/>
        <v>✔</v>
      </c>
      <c r="DW258" s="306" t="str">
        <f t="shared" si="53"/>
        <v>-</v>
      </c>
      <c r="DX258" s="306" t="str">
        <f t="shared" si="54"/>
        <v>-</v>
      </c>
      <c r="DY258" s="306" t="str">
        <f t="shared" si="55"/>
        <v>-</v>
      </c>
      <c r="DZ258" s="306" t="str">
        <f t="shared" si="56"/>
        <v>-</v>
      </c>
      <c r="EA258" s="367" t="str">
        <f t="shared" si="57"/>
        <v>-</v>
      </c>
      <c r="EB258" s="310" t="str">
        <f>IFERROR(__xludf.DUMMYFUNCTION("IF(REGEXMATCH(AW258,AS258),""✔"",""-"")"),"✔")</f>
        <v>✔</v>
      </c>
      <c r="EC258" s="310" t="str">
        <f t="shared" si="58"/>
        <v>#REF!</v>
      </c>
      <c r="ED258" s="370" t="str">
        <f t="shared" si="59"/>
        <v>-</v>
      </c>
      <c r="EE258" s="340" t="str">
        <f t="shared" si="60"/>
        <v>S-g-m-P-d-n-S</v>
      </c>
      <c r="EF258" s="371" t="str">
        <f>IFERROR(__xludf.DUMMYFUNCTION("CONCATENATE(JOIN("""",HC258:HO258))"),"SRGmPDS")</f>
        <v>SRGmPDS</v>
      </c>
      <c r="EG258" s="372">
        <f t="shared" si="61"/>
        <v>1</v>
      </c>
      <c r="EH258" s="373" t="str">
        <f>IFERROR(__xludf.DUMMYFUNCTION("CONCATENATE(JOIN("""",JC258:JO258))"),"Pa, ")</f>
        <v>Pa, </v>
      </c>
      <c r="EI258" s="322">
        <f t="shared" si="62"/>
        <v>0</v>
      </c>
      <c r="EJ258" s="374" t="str">
        <f>IFERROR(__xludf.DUMMYFUNCTION("CONCATENATE(JOIN("""",KC258:KO258))"),"")</f>
        <v/>
      </c>
      <c r="EK258" s="325" t="str">
        <f t="shared" si="63"/>
        <v>S-G2-M1-P-D1-N2-S</v>
      </c>
      <c r="EL258" s="326" t="str">
        <f t="shared" si="64"/>
        <v>1-b3-4-5-b6-b7-8</v>
      </c>
      <c r="EM258" s="318" t="str">
        <f t="shared" si="65"/>
        <v>#REF!</v>
      </c>
      <c r="EN258" s="328" t="str">
        <f>IFERROR(__xludf.DUMMYFUNCTION("SUBSTITUTE(SUBSTITUTE(SUBSTITUTE(SUBSTITUTE(CONCATENATE(JOIN("" "",HP258:IB258)),""  "","" ""),""  "","" ""),""  "","" ""),""  "","" "")"),"o • • o • o • o o • o • o")</f>
        <v>o • • o • o • o o • o • o</v>
      </c>
      <c r="EO258" s="368" t="str">
        <f t="shared" si="66"/>
        <v>-</v>
      </c>
      <c r="EP258" s="339" t="str">
        <f t="shared" si="67"/>
        <v>-</v>
      </c>
      <c r="EQ258" s="339" t="str">
        <f t="shared" si="68"/>
        <v>Sa-Pa</v>
      </c>
      <c r="ER258" s="339" t="str">
        <f t="shared" si="69"/>
        <v>-</v>
      </c>
      <c r="ES258" s="340" t="str">
        <f t="shared" si="70"/>
        <v>-</v>
      </c>
      <c r="ET258" s="363"/>
      <c r="EU258" s="376" t="b">
        <f>IFERROR(__xludf.DUMMYFUNCTION("arrayformula(sum(--REGEXMATCH(""SRGMPDNS"",split(REGEXREPLACE(C258,""(.)"",""$1~""),""~""))))=len(C258)
"),FALSE)</f>
        <v>0</v>
      </c>
      <c r="EV258" s="290" t="b">
        <f>IFERROR(__xludf.DUMMYFUNCTION("arrayformula(sum(--REGEXMATCH(""SRGmPDNS"",split(REGEXREPLACE(C258,""(.)"",""$1~""),""~""))))=len(C258)"),FALSE)</f>
        <v>0</v>
      </c>
      <c r="EW258" s="290" t="b">
        <f>IFERROR(__xludf.DUMMYFUNCTION("arrayformula(sum(--REGEXMATCH(""SRGmPDnS"",split(REGEXREPLACE(C258,""(.)"",""$1~""),""~""))))=len(C258)"),FALSE)</f>
        <v>0</v>
      </c>
      <c r="EX258" s="290" t="b">
        <f>IFERROR(__xludf.DUMMYFUNCTION("arrayformula(sum(--REGEXMATCH(""SRgmPDnS"",split(REGEXREPLACE(C258,""(.)"",""$1~""),""~""))))=len(C258)"),FALSE)</f>
        <v>0</v>
      </c>
      <c r="EY258" s="290" t="b">
        <f>IFERROR(__xludf.DUMMYFUNCTION("arrayformula(sum(--REGEXMATCH(""SRgmPdnS"",split(REGEXREPLACE(C258,""(.)"",""$1~""),""~""))))=len(C258)"),TRUE)</f>
        <v>1</v>
      </c>
      <c r="EZ258" s="290" t="b">
        <f>IFERROR(__xludf.DUMMYFUNCTION("arrayformula(sum(--REGEXMATCH(""SrgmPdnS"",split(REGEXREPLACE(C258,""(.)"",""$1~""),""~""))))=len(C258)"),TRUE)</f>
        <v>1</v>
      </c>
      <c r="FA258" s="290" t="b">
        <f>IFERROR(__xludf.DUMMYFUNCTION("arrayformula(sum(--REGEXMATCH(""SrGmPdNS"",split(REGEXREPLACE(C258,""(.)"",""$1~""),""~""))))=len(C258)"),FALSE)</f>
        <v>0</v>
      </c>
      <c r="FB258" s="290" t="b">
        <f>IFERROR(__xludf.DUMMYFUNCTION("arrayformula(sum(--REGEXMATCH(""SrGMPDNS"",split(REGEXREPLACE(C258,""(.)"",""$1~""),""~""))))=len(C258)"),FALSE)</f>
        <v>0</v>
      </c>
      <c r="FC258" s="290" t="b">
        <f>IFERROR(__xludf.DUMMYFUNCTION("arrayformula(sum(--REGEXMATCH(""SrGMPdNS"",split(REGEXREPLACE(C258,""(.)"",""$1~""),""~""))))=len(C258)"),FALSE)</f>
        <v>0</v>
      </c>
      <c r="FD258" s="377" t="b">
        <f>IFERROR(__xludf.DUMMYFUNCTION("arrayformula(sum(--REGEXMATCH(""SrgMPdNS"",split(REGEXREPLACE(C258,""(.)"",""$1~""),""~""))))=len(C258)"),FALSE)</f>
        <v>0</v>
      </c>
      <c r="FE258" s="269" t="str">
        <f t="shared" si="71"/>
        <v>-</v>
      </c>
      <c r="FF258" s="269" t="str">
        <f t="shared" si="72"/>
        <v>-</v>
      </c>
      <c r="FG258" s="271" t="str">
        <f t="shared" si="73"/>
        <v>xoxoxxoxoxo</v>
      </c>
      <c r="FH258" s="269" t="str">
        <f t="shared" si="74"/>
        <v>-</v>
      </c>
      <c r="FI258" s="271" t="str">
        <f t="shared" si="75"/>
        <v>xoxxoxoxoox</v>
      </c>
      <c r="FJ258" s="271" t="str">
        <f t="shared" si="76"/>
        <v>-</v>
      </c>
      <c r="FK258" s="271" t="str">
        <f t="shared" si="77"/>
        <v>xxoxoxooxox</v>
      </c>
      <c r="FL258" s="271" t="str">
        <f t="shared" si="78"/>
        <v>xoxoxooxoxo</v>
      </c>
      <c r="FM258" s="271" t="str">
        <f t="shared" si="79"/>
        <v>-</v>
      </c>
      <c r="FN258" s="271" t="str">
        <f t="shared" si="80"/>
        <v>xoxooxoxoxx</v>
      </c>
      <c r="FO258" s="274" t="str">
        <f t="shared" si="81"/>
        <v>-</v>
      </c>
      <c r="FP258" s="234" t="str">
        <f t="shared" si="82"/>
        <v>|</v>
      </c>
      <c r="FQ258" s="236" t="str">
        <f t="shared" si="83"/>
        <v>-</v>
      </c>
      <c r="FR258" s="237" t="str">
        <f t="shared" si="84"/>
        <v>-</v>
      </c>
      <c r="FS258" s="236" t="str">
        <f t="shared" si="85"/>
        <v>|</v>
      </c>
      <c r="FT258" s="237" t="str">
        <f t="shared" si="86"/>
        <v>-</v>
      </c>
      <c r="FU258" s="236" t="str">
        <f t="shared" si="87"/>
        <v>|</v>
      </c>
      <c r="FV258" s="237" t="str">
        <f t="shared" si="88"/>
        <v>-</v>
      </c>
      <c r="FW258" s="236" t="str">
        <f t="shared" si="89"/>
        <v>|</v>
      </c>
      <c r="FX258" s="237" t="str">
        <f t="shared" si="90"/>
        <v>|</v>
      </c>
      <c r="FY258" s="236" t="str">
        <f t="shared" si="91"/>
        <v>-</v>
      </c>
      <c r="FZ258" s="237" t="str">
        <f t="shared" si="92"/>
        <v>|</v>
      </c>
      <c r="GA258" s="236" t="str">
        <f t="shared" si="93"/>
        <v>-</v>
      </c>
      <c r="GB258" s="238" t="str">
        <f t="shared" si="94"/>
        <v>|</v>
      </c>
      <c r="GC258" s="244" t="str">
        <f>IFERROR(__xludf.DUMMYFUNCTION("IF(REGEXMATCH(C258, ""S""), ""1"","""")"),"1")</f>
        <v>1</v>
      </c>
      <c r="GD258" s="245" t="str">
        <f>IFERROR(__xludf.DUMMYFUNCTION("IF(REGEXMATCH(C258, ""r""), ""b2"","""")"),"")</f>
        <v/>
      </c>
      <c r="GE258" s="246" t="str">
        <f>IFERROR(__xludf.DUMMYFUNCTION("IF(REGEXMATCH(C258, ""R""), ""2"","""")"),"")</f>
        <v/>
      </c>
      <c r="GF258" s="246" t="str">
        <f>IFERROR(__xludf.DUMMYFUNCTION("IF(REGEXMATCH(C258, ""g""), ""b3"","""")"),"b3")</f>
        <v>b3</v>
      </c>
      <c r="GG258" s="245" t="str">
        <f>IFERROR(__xludf.DUMMYFUNCTION("IF(REGEXMATCH(C258, ""G""), ""3"","""")"),"")</f>
        <v/>
      </c>
      <c r="GH258" s="245" t="str">
        <f>IFERROR(__xludf.DUMMYFUNCTION("IF(REGEXMATCH(C258, ""m""), ""4"","""")"),"4")</f>
        <v>4</v>
      </c>
      <c r="GI258" s="246" t="str">
        <f>IFERROR(__xludf.DUMMYFUNCTION("IF(REGEXMATCH(C258, ""M""), ""#4"","""")"),"")</f>
        <v/>
      </c>
      <c r="GJ258" s="245" t="str">
        <f>IFERROR(__xludf.DUMMYFUNCTION("IF(REGEXMATCH(C258, ""P""), ""5"","""")"),"5")</f>
        <v>5</v>
      </c>
      <c r="GK258" s="246" t="str">
        <f>IFERROR(__xludf.DUMMYFUNCTION("IF(REGEXMATCH(C258, ""d""), ""b6"","""")"),"b6")</f>
        <v>b6</v>
      </c>
      <c r="GL258" s="245" t="str">
        <f>IFERROR(__xludf.DUMMYFUNCTION("IF(REGEXMATCH(C258, ""D""), ""6"","""")"),"")</f>
        <v/>
      </c>
      <c r="GM258" s="245" t="str">
        <f>IFERROR(__xludf.DUMMYFUNCTION("IF(REGEXMATCH(C258, ""n""), ""b7"","""")"),"b7")</f>
        <v>b7</v>
      </c>
      <c r="GN258" s="246" t="str">
        <f>IFERROR(__xludf.DUMMYFUNCTION("IF(REGEXMATCH(C258, ""N""), ""7"","""")"),"")</f>
        <v/>
      </c>
      <c r="GO258" s="249" t="str">
        <f>IFERROR(__xludf.DUMMYFUNCTION("IF(REGEXMATCH(C258, ""S""), ""8"","""")"),"8")</f>
        <v>8</v>
      </c>
      <c r="GP258" s="244" t="str">
        <f>IFERROR(__xludf.DUMMYFUNCTION("IF(REGEXMATCH(C258, ""S""), ""S"","""")"),"S")</f>
        <v>S</v>
      </c>
      <c r="GQ258" s="294" t="str">
        <f>IFERROR(__xludf.DUMMYFUNCTION("IF(REGEXMATCH(C258, ""r""), ""R1"","""")"),"")</f>
        <v/>
      </c>
      <c r="GR258" s="295" t="str">
        <f>IFERROR(__xludf.DUMMYFUNCTION("IF(REGEXMATCH(C258, ""R""), ""R2"","""")"),"")</f>
        <v/>
      </c>
      <c r="GS258" s="295" t="str">
        <f>IFERROR(__xludf.DUMMYFUNCTION("IF(REGEXMATCH(C258, ""g""), ""G2"","""")"),"G2")</f>
        <v>G2</v>
      </c>
      <c r="GT258" s="294" t="str">
        <f>IFERROR(__xludf.DUMMYFUNCTION("IF(REGEXMATCH(C258, ""G""), ""G3"","""")"),"")</f>
        <v/>
      </c>
      <c r="GU258" s="294" t="str">
        <f>IFERROR(__xludf.DUMMYFUNCTION("IF(REGEXMATCH(C258, ""m""), ""M1"","""")"),"M1")</f>
        <v>M1</v>
      </c>
      <c r="GV258" s="295" t="str">
        <f>IFERROR(__xludf.DUMMYFUNCTION("IF(REGEXMATCH(C258, ""M""), ""M2"","""")"),"")</f>
        <v/>
      </c>
      <c r="GW258" s="294" t="str">
        <f>IFERROR(__xludf.DUMMYFUNCTION("IF(REGEXMATCH(C258, ""P""), ""P"","""")"),"P")</f>
        <v>P</v>
      </c>
      <c r="GX258" s="295" t="str">
        <f>IFERROR(__xludf.DUMMYFUNCTION("IF(REGEXMATCH(C258, ""d""), ""D1"","""")"),"D1")</f>
        <v>D1</v>
      </c>
      <c r="GY258" s="294" t="str">
        <f>IFERROR(__xludf.DUMMYFUNCTION("IF(REGEXMATCH(C258, ""D""), ""D2"","""")"),"")</f>
        <v/>
      </c>
      <c r="GZ258" s="294" t="str">
        <f>IFERROR(__xludf.DUMMYFUNCTION("IF(REGEXMATCH(C258, ""n""), ""N2"","""")"),"N2")</f>
        <v>N2</v>
      </c>
      <c r="HA258" s="295" t="str">
        <f>IFERROR(__xludf.DUMMYFUNCTION("IF(REGEXMATCH(C258, ""N""), ""N3"","""")"),"")</f>
        <v/>
      </c>
      <c r="HB258" s="249" t="str">
        <f>IFERROR(__xludf.DUMMYFUNCTION("IF(REGEXMATCH(C258, ""S""), ""S"","""")"),"S")</f>
        <v>S</v>
      </c>
      <c r="HC258" s="331" t="str">
        <f t="shared" si="95"/>
        <v>S</v>
      </c>
      <c r="HD258" s="332" t="str">
        <f t="shared" si="96"/>
        <v/>
      </c>
      <c r="HE258" s="332" t="str">
        <f t="shared" si="97"/>
        <v>R</v>
      </c>
      <c r="HF258" s="332" t="str">
        <f t="shared" si="98"/>
        <v/>
      </c>
      <c r="HG258" s="332" t="str">
        <f t="shared" si="99"/>
        <v>G</v>
      </c>
      <c r="HH258" s="332" t="str">
        <f t="shared" si="100"/>
        <v>m</v>
      </c>
      <c r="HI258" s="332" t="str">
        <f t="shared" si="101"/>
        <v/>
      </c>
      <c r="HJ258" s="332" t="str">
        <f t="shared" si="102"/>
        <v>P</v>
      </c>
      <c r="HK258" s="332" t="str">
        <f t="shared" si="103"/>
        <v/>
      </c>
      <c r="HL258" s="332" t="str">
        <f t="shared" si="104"/>
        <v>D</v>
      </c>
      <c r="HM258" s="332" t="str">
        <f t="shared" si="105"/>
        <v/>
      </c>
      <c r="HN258" s="332" t="str">
        <f t="shared" si="106"/>
        <v/>
      </c>
      <c r="HO258" s="343" t="str">
        <f t="shared" si="107"/>
        <v>S</v>
      </c>
      <c r="HP258" s="331" t="str">
        <f t="shared" si="108"/>
        <v>o</v>
      </c>
      <c r="HQ258" s="332" t="str">
        <f t="shared" si="109"/>
        <v>•</v>
      </c>
      <c r="HR258" s="332" t="str">
        <f t="shared" si="110"/>
        <v>•</v>
      </c>
      <c r="HS258" s="332" t="str">
        <f t="shared" si="111"/>
        <v>o</v>
      </c>
      <c r="HT258" s="332" t="str">
        <f t="shared" si="112"/>
        <v>•</v>
      </c>
      <c r="HU258" s="332" t="str">
        <f t="shared" si="113"/>
        <v>o</v>
      </c>
      <c r="HV258" s="332" t="str">
        <f t="shared" si="114"/>
        <v>•</v>
      </c>
      <c r="HW258" s="332" t="str">
        <f t="shared" si="115"/>
        <v>o</v>
      </c>
      <c r="HX258" s="332" t="str">
        <f t="shared" si="116"/>
        <v>o</v>
      </c>
      <c r="HY258" s="332" t="str">
        <f t="shared" si="117"/>
        <v>•</v>
      </c>
      <c r="HZ258" s="332" t="str">
        <f t="shared" si="118"/>
        <v>o</v>
      </c>
      <c r="IA258" s="332" t="str">
        <f t="shared" si="119"/>
        <v>•</v>
      </c>
      <c r="IB258" s="338" t="str">
        <f t="shared" si="120"/>
        <v>o</v>
      </c>
      <c r="IC258" s="331" t="str">
        <f t="shared" si="121"/>
        <v>•</v>
      </c>
      <c r="ID258" s="332" t="str">
        <f t="shared" si="122"/>
        <v>o</v>
      </c>
      <c r="IE258" s="332" t="str">
        <f t="shared" si="123"/>
        <v>o</v>
      </c>
      <c r="IF258" s="332" t="str">
        <f t="shared" si="124"/>
        <v>•</v>
      </c>
      <c r="IG258" s="332" t="str">
        <f t="shared" si="125"/>
        <v>o</v>
      </c>
      <c r="IH258" s="332" t="str">
        <f t="shared" si="126"/>
        <v>•</v>
      </c>
      <c r="II258" s="332" t="str">
        <f t="shared" si="127"/>
        <v>o</v>
      </c>
      <c r="IJ258" s="332" t="str">
        <f t="shared" si="128"/>
        <v>•</v>
      </c>
      <c r="IK258" s="332" t="str">
        <f t="shared" si="129"/>
        <v>•</v>
      </c>
      <c r="IL258" s="332" t="str">
        <f t="shared" si="130"/>
        <v>o</v>
      </c>
      <c r="IM258" s="332" t="str">
        <f t="shared" si="131"/>
        <v>•</v>
      </c>
      <c r="IN258" s="332" t="str">
        <f t="shared" si="132"/>
        <v>o</v>
      </c>
      <c r="IO258" s="338" t="str">
        <f t="shared" si="133"/>
        <v>•</v>
      </c>
      <c r="IP258" s="346" t="b">
        <f t="shared" si="134"/>
        <v>0</v>
      </c>
      <c r="IQ258" s="347" t="b">
        <f t="shared" si="135"/>
        <v>0</v>
      </c>
      <c r="IR258" s="347" t="b">
        <f t="shared" si="136"/>
        <v>0</v>
      </c>
      <c r="IS258" s="347" t="b">
        <f t="shared" si="137"/>
        <v>0</v>
      </c>
      <c r="IT258" s="347" t="b">
        <f t="shared" si="138"/>
        <v>0</v>
      </c>
      <c r="IU258" s="347" t="b">
        <f t="shared" si="139"/>
        <v>0</v>
      </c>
      <c r="IV258" s="347" t="b">
        <f t="shared" si="140"/>
        <v>0</v>
      </c>
      <c r="IW258" s="347" t="b">
        <f t="shared" si="141"/>
        <v>1</v>
      </c>
      <c r="IX258" s="347" t="b">
        <f t="shared" si="142"/>
        <v>0</v>
      </c>
      <c r="IY258" s="347" t="b">
        <f t="shared" si="143"/>
        <v>0</v>
      </c>
      <c r="IZ258" s="347" t="b">
        <f t="shared" si="144"/>
        <v>0</v>
      </c>
      <c r="JA258" s="347" t="b">
        <f t="shared" si="145"/>
        <v>0</v>
      </c>
      <c r="JB258" s="353" t="b">
        <f t="shared" si="146"/>
        <v>0</v>
      </c>
      <c r="JC258" s="354" t="str">
        <f t="shared" si="147"/>
        <v/>
      </c>
      <c r="JD258" s="355" t="str">
        <f t="shared" si="148"/>
        <v/>
      </c>
      <c r="JE258" s="355" t="str">
        <f t="shared" si="149"/>
        <v/>
      </c>
      <c r="JF258" s="355" t="str">
        <f t="shared" si="150"/>
        <v/>
      </c>
      <c r="JG258" s="355" t="str">
        <f t="shared" si="151"/>
        <v/>
      </c>
      <c r="JH258" s="355" t="str">
        <f t="shared" si="152"/>
        <v/>
      </c>
      <c r="JI258" s="355" t="str">
        <f t="shared" si="153"/>
        <v/>
      </c>
      <c r="JJ258" s="355" t="str">
        <f t="shared" si="154"/>
        <v>Pa, </v>
      </c>
      <c r="JK258" s="355" t="str">
        <f t="shared" si="155"/>
        <v/>
      </c>
      <c r="JL258" s="355" t="str">
        <f t="shared" si="156"/>
        <v/>
      </c>
      <c r="JM258" s="355" t="str">
        <f t="shared" si="157"/>
        <v/>
      </c>
      <c r="JN258" s="355" t="str">
        <f t="shared" si="158"/>
        <v/>
      </c>
      <c r="JO258" s="359" t="str">
        <f t="shared" si="159"/>
        <v/>
      </c>
      <c r="JP258" s="346" t="b">
        <f t="shared" si="160"/>
        <v>0</v>
      </c>
      <c r="JQ258" s="347" t="b">
        <f t="shared" si="161"/>
        <v>0</v>
      </c>
      <c r="JR258" s="347" t="b">
        <f t="shared" si="162"/>
        <v>0</v>
      </c>
      <c r="JS258" s="347" t="b">
        <f t="shared" si="163"/>
        <v>0</v>
      </c>
      <c r="JT258" s="347" t="b">
        <f t="shared" si="164"/>
        <v>0</v>
      </c>
      <c r="JU258" s="347" t="b">
        <f t="shared" si="165"/>
        <v>0</v>
      </c>
      <c r="JV258" s="347" t="b">
        <f t="shared" si="166"/>
        <v>0</v>
      </c>
      <c r="JW258" s="347" t="b">
        <f t="shared" si="167"/>
        <v>0</v>
      </c>
      <c r="JX258" s="347" t="b">
        <f t="shared" si="168"/>
        <v>0</v>
      </c>
      <c r="JY258" s="347" t="b">
        <f t="shared" si="169"/>
        <v>0</v>
      </c>
      <c r="JZ258" s="347" t="b">
        <f t="shared" si="170"/>
        <v>0</v>
      </c>
      <c r="KA258" s="347" t="b">
        <f t="shared" si="171"/>
        <v>0</v>
      </c>
      <c r="KB258" s="365" t="b">
        <f t="shared" si="172"/>
        <v>0</v>
      </c>
      <c r="KC258" s="354" t="str">
        <f t="shared" si="173"/>
        <v/>
      </c>
      <c r="KD258" s="355" t="str">
        <f t="shared" si="174"/>
        <v/>
      </c>
      <c r="KE258" s="355" t="str">
        <f t="shared" si="175"/>
        <v/>
      </c>
      <c r="KF258" s="355" t="str">
        <f t="shared" si="176"/>
        <v/>
      </c>
      <c r="KG258" s="355" t="str">
        <f t="shared" si="177"/>
        <v/>
      </c>
      <c r="KH258" s="355" t="str">
        <f t="shared" si="178"/>
        <v/>
      </c>
      <c r="KI258" s="355" t="str">
        <f t="shared" si="179"/>
        <v/>
      </c>
      <c r="KJ258" s="355" t="str">
        <f t="shared" si="180"/>
        <v/>
      </c>
      <c r="KK258" s="355" t="str">
        <f t="shared" si="181"/>
        <v/>
      </c>
      <c r="KL258" s="355" t="str">
        <f t="shared" si="182"/>
        <v/>
      </c>
      <c r="KM258" s="355" t="str">
        <f t="shared" si="183"/>
        <v/>
      </c>
      <c r="KN258" s="355" t="str">
        <f t="shared" si="184"/>
        <v/>
      </c>
      <c r="KO258" s="359"/>
      <c r="KP258" s="378"/>
      <c r="KQ258" s="379" t="s">
        <v>9</v>
      </c>
      <c r="KR258" s="380" t="s">
        <v>1394</v>
      </c>
      <c r="KS258" s="381" t="s">
        <v>9</v>
      </c>
      <c r="KT258" s="382">
        <f t="shared" si="186"/>
        <v>0</v>
      </c>
      <c r="KU258" s="383">
        <f t="shared" si="187"/>
        <v>0</v>
      </c>
      <c r="KV258" s="381" t="str">
        <f t="shared" si="205"/>
        <v>S-n-d-P-m-g-S</v>
      </c>
      <c r="KW258" s="382">
        <f t="shared" si="189"/>
        <v>6</v>
      </c>
      <c r="KX258" s="384">
        <f t="shared" si="190"/>
        <v>6</v>
      </c>
      <c r="KY258" s="382">
        <f t="shared" ref="KY258:KZ258" si="738">KW258-KT258</f>
        <v>6</v>
      </c>
      <c r="KZ258" s="369">
        <f t="shared" si="738"/>
        <v>6</v>
      </c>
      <c r="LA258" s="385" t="str">
        <f t="shared" si="192"/>
        <v>-</v>
      </c>
      <c r="LB258" s="340" t="str">
        <f>IFERROR(__xludf.DUMMYFUNCTION("JOIN("""",ArrayFormula(MID(KS258,LEN(KS258)-SEQUENCE(1,LEN(KS258))+1,1)))"),"S")</f>
        <v>S</v>
      </c>
      <c r="LC258" s="373" t="str">
        <f>IFERROR(__xludf.DUMMYFUNCTION("JOIN("""",ArrayFormula(MID(KV258,LEN(KV258)-SEQUENCE(1,LEN(KV258))+1,1)))"),"S-g-m-P-d-n-S")</f>
        <v>S-g-m-P-d-n-S</v>
      </c>
      <c r="LD258" s="373" t="str">
        <f t="shared" si="193"/>
        <v>S</v>
      </c>
      <c r="LE258" s="339" t="str">
        <f t="shared" si="194"/>
        <v>SgmPdnS</v>
      </c>
      <c r="LF258" s="386" t="str">
        <f>IFERROR(__xludf.DUMMYFUNCTION("SUBSTITUTE(SUBSTITUTE(CONCATENATE(JOIN("""",LH258:LT258)),""1"",""""),""2"","""")"),"SgmPdnS")</f>
        <v>SgmPdnS</v>
      </c>
      <c r="LG258" s="369" t="str">
        <f t="shared" si="195"/>
        <v>✔</v>
      </c>
      <c r="LH258" s="387" t="str">
        <f>IFERROR(__xludf.DUMMYFUNCTION("IF(REGEXMATCH(LD258, ""S""), ""S"",IF(REGEXMATCH(LE258, ""S""), ""S"",""""))"),"S")</f>
        <v>S</v>
      </c>
      <c r="LI258" s="299" t="str">
        <f>IFERROR(__xludf.DUMMYFUNCTION("IF(REGEXMATCH(LD258, ""r""), ""r1"",IF(REGEXMATCH(LE258, ""r""), ""r2"",""""))"),"")</f>
        <v/>
      </c>
      <c r="LJ258" s="299" t="str">
        <f>IFERROR(__xludf.DUMMYFUNCTION("IF(REGEXMATCH(LD258, ""R""), ""R1"",IF(REGEXMATCH(LE258, ""R""), ""R2"",""""))"),"")</f>
        <v/>
      </c>
      <c r="LK258" s="299" t="str">
        <f>IFERROR(__xludf.DUMMYFUNCTION("IF(REGEXMATCH(LD258, ""g""), ""g1"",IF(REGEXMATCH(LE258, ""g""), ""g2"",""""))"),"g2")</f>
        <v>g2</v>
      </c>
      <c r="LL258" s="299" t="str">
        <f>IFERROR(__xludf.DUMMYFUNCTION("IF(REGEXMATCH(LD258, ""G""), ""G1"",IF(REGEXMATCH(LE258, ""G""), ""G2"",""""))"),"")</f>
        <v/>
      </c>
      <c r="LM258" s="299" t="str">
        <f>IFERROR(__xludf.DUMMYFUNCTION("IF(REGEXMATCH(LD258, ""m""), ""m1"",IF(REGEXMATCH(LE258, ""m""), ""m2"",""""))"),"m2")</f>
        <v>m2</v>
      </c>
      <c r="LN258" s="299" t="str">
        <f>IFERROR(__xludf.DUMMYFUNCTION("IF(REGEXMATCH(LD258, ""M""), ""M1"",IF(REGEXMATCH(LE258, ""M""), ""M2"",""""))"),"")</f>
        <v/>
      </c>
      <c r="LO258" s="299" t="str">
        <f>IFERROR(__xludf.DUMMYFUNCTION("IF(REGEXMATCH(LD258, ""P""), ""P1"",IF(REGEXMATCH(LE258, ""P""), ""P2"",""""))"),"P2")</f>
        <v>P2</v>
      </c>
      <c r="LP258" s="299" t="str">
        <f>IFERROR(__xludf.DUMMYFUNCTION("IF(REGEXMATCH(LD258, ""d""), ""d1"",IF(REGEXMATCH(LE258, ""d""), ""d2"",""""))"),"d2")</f>
        <v>d2</v>
      </c>
      <c r="LQ258" s="299" t="str">
        <f>IFERROR(__xludf.DUMMYFUNCTION("IF(REGEXMATCH(LD258, ""D""), ""D1"",IF(REGEXMATCH(LE258, ""D""), ""D2"",""""))"),"")</f>
        <v/>
      </c>
      <c r="LR258" s="299" t="str">
        <f>IFERROR(__xludf.DUMMYFUNCTION("IF(REGEXMATCH(LD258, ""n""), ""n1"",IF(REGEXMATCH(LE258, ""n""), ""n2"",""""))"),"n2")</f>
        <v>n2</v>
      </c>
      <c r="LS258" s="299" t="str">
        <f>IFERROR(__xludf.DUMMYFUNCTION("IF(REGEXMATCH(LD258, ""N""), ""N1"",IF(REGEXMATCH(LE258, ""N""), ""N2"",""""))"),"")</f>
        <v/>
      </c>
      <c r="LT258" s="388" t="str">
        <f>IFERROR(__xludf.DUMMYFUNCTION("IF(REGEXMATCH(LD258, ""S""), ""S"",IF(REGEXMATCH(LE258, ""S""), ""S"",""""))"),"S")</f>
        <v>S</v>
      </c>
      <c r="LU258" s="389">
        <f t="shared" si="196"/>
        <v>-11</v>
      </c>
      <c r="LV258" s="378"/>
      <c r="LW258" s="369"/>
      <c r="LX258" s="369"/>
    </row>
    <row r="259" ht="18.0" customHeight="1">
      <c r="A259" s="298" t="s">
        <v>1039</v>
      </c>
      <c r="B259" s="222" t="s">
        <v>648</v>
      </c>
      <c r="C259" s="233" t="str">
        <f t="shared" si="7"/>
        <v>SRGmMPDnNS</v>
      </c>
      <c r="D259" s="234" t="str">
        <f>IFERROR(__xludf.DUMMYFUNCTION("IF(REGEXMATCH(C259, ""S""), ""S"","""")"),"S")</f>
        <v>S</v>
      </c>
      <c r="E259" s="236" t="str">
        <f>IFERROR(__xludf.DUMMYFUNCTION("IF(REGEXMATCH(C259, ""r""), ""r"","""")"),"")</f>
        <v/>
      </c>
      <c r="F259" s="237" t="str">
        <f>IFERROR(__xludf.DUMMYFUNCTION("IF(REGEXMATCH(C259, ""R""), ""R"","""")"),"R")</f>
        <v>R</v>
      </c>
      <c r="G259" s="237" t="str">
        <f>IFERROR(__xludf.DUMMYFUNCTION("IF(REGEXMATCH(C259, ""g""), ""g"","""")"),"")</f>
        <v/>
      </c>
      <c r="H259" s="236" t="str">
        <f>IFERROR(__xludf.DUMMYFUNCTION("IF(REGEXMATCH(C259, ""G""), ""G"","""")"),"G")</f>
        <v>G</v>
      </c>
      <c r="I259" s="236" t="str">
        <f>IFERROR(__xludf.DUMMYFUNCTION("IF(REGEXMATCH(C259, ""m""), ""m"","""")"),"m")</f>
        <v>m</v>
      </c>
      <c r="J259" s="237" t="str">
        <f>IFERROR(__xludf.DUMMYFUNCTION("IF(REGEXMATCH(C259, ""M""), ""M"","""")"),"M")</f>
        <v>M</v>
      </c>
      <c r="K259" s="236" t="str">
        <f>IFERROR(__xludf.DUMMYFUNCTION("IF(REGEXMATCH(C259, ""P""), ""P"","""")"),"P")</f>
        <v>P</v>
      </c>
      <c r="L259" s="237" t="str">
        <f>IFERROR(__xludf.DUMMYFUNCTION("IF(REGEXMATCH(C259, ""d""), ""d"","""")"),"")</f>
        <v/>
      </c>
      <c r="M259" s="236" t="str">
        <f>IFERROR(__xludf.DUMMYFUNCTION("IF(REGEXMATCH(C259, ""D""), ""D"","""")"),"D")</f>
        <v>D</v>
      </c>
      <c r="N259" s="236" t="str">
        <f>IFERROR(__xludf.DUMMYFUNCTION("IF(REGEXMATCH(C259, ""n""), ""n"","""")"),"n")</f>
        <v>n</v>
      </c>
      <c r="O259" s="237" t="str">
        <f>IFERROR(__xludf.DUMMYFUNCTION("IF(REGEXMATCH(C259, ""N""), ""N"","""")"),"N")</f>
        <v>N</v>
      </c>
      <c r="P259" s="238" t="str">
        <f>IFERROR(__xludf.DUMMYFUNCTION("IF(REGEXMATCH(C259, ""S""), ""S"","""")"),"S")</f>
        <v>S</v>
      </c>
      <c r="Q259" s="239" t="str">
        <f>IFERROR(__xludf.DUMMYFUNCTION("SUBSTITUTE(CONCATENATE(JOIN(""-"",D259:J259)),""-"","""")"),"SRGmM")</f>
        <v>SRGmM</v>
      </c>
      <c r="R259" s="229" t="str">
        <f>IFERROR(__xludf.DUMMYFUNCTION("SUBSTITUTE(CONCATENATE(JOIN(""-"",K259:P259)),""-"","""")"),"PDnNS")</f>
        <v>PDnNS</v>
      </c>
      <c r="S259" s="282" t="str">
        <f t="shared" si="8"/>
        <v>S-R-G-M</v>
      </c>
      <c r="T259" s="282" t="str">
        <f t="shared" si="9"/>
        <v>P-D-N-S</v>
      </c>
      <c r="U259" s="237" t="str">
        <f>IFERROR(__xludf.DUMMYFUNCTION("SUBSTITUTE(JOIN(""-"",S259,T259),""--"",""-"")"),"S-R-G-M-P-D-N-S")</f>
        <v>S-R-G-M-P-D-N-S</v>
      </c>
      <c r="V259" s="309" t="str">
        <f t="shared" si="10"/>
        <v>RGmMDnN</v>
      </c>
      <c r="W259" s="244" t="str">
        <f>IFERROR(__xludf.DUMMYFUNCTION("IF(REGEXMATCH(C259, ""S""), ""0"","""")"),"0")</f>
        <v>0</v>
      </c>
      <c r="X259" s="245" t="str">
        <f>IFERROR(__xludf.DUMMYFUNCTION("IF(REGEXMATCH(C259, ""r""), ""1"","""")"),"")</f>
        <v/>
      </c>
      <c r="Y259" s="246" t="str">
        <f>IFERROR(__xludf.DUMMYFUNCTION("IF(REGEXMATCH(C259, ""R""), ""2"","""")"),"2")</f>
        <v>2</v>
      </c>
      <c r="Z259" s="246" t="str">
        <f>IFERROR(__xludf.DUMMYFUNCTION("IF(REGEXMATCH(C259, ""g""), ""3"","""")"),"")</f>
        <v/>
      </c>
      <c r="AA259" s="245" t="str">
        <f>IFERROR(__xludf.DUMMYFUNCTION("IF(REGEXMATCH(C259, ""G""), ""4"","""")"),"4")</f>
        <v>4</v>
      </c>
      <c r="AB259" s="245" t="str">
        <f>IFERROR(__xludf.DUMMYFUNCTION("IF(REGEXMATCH(C259, ""m""), ""5"","""")"),"5")</f>
        <v>5</v>
      </c>
      <c r="AC259" s="246" t="str">
        <f>IFERROR(__xludf.DUMMYFUNCTION("IF(REGEXMATCH(C259, ""M""), ""6"","""")"),"6")</f>
        <v>6</v>
      </c>
      <c r="AD259" s="245" t="str">
        <f>IFERROR(__xludf.DUMMYFUNCTION("IF(REGEXMATCH(C259, ""P""), ""7"","""")"),"7")</f>
        <v>7</v>
      </c>
      <c r="AE259" s="246" t="str">
        <f>IFERROR(__xludf.DUMMYFUNCTION("IF(REGEXMATCH(C259, ""d""), ""8"","""")"),"")</f>
        <v/>
      </c>
      <c r="AF259" s="245" t="str">
        <f>IFERROR(__xludf.DUMMYFUNCTION("IF(REGEXMATCH(C259, ""D""), ""9"","""")"),"9")</f>
        <v>9</v>
      </c>
      <c r="AG259" s="245" t="str">
        <f>IFERROR(__xludf.DUMMYFUNCTION("IF(REGEXMATCH(C259, ""n""), ""10"","""")"),"10")</f>
        <v>10</v>
      </c>
      <c r="AH259" s="246" t="str">
        <f>IFERROR(__xludf.DUMMYFUNCTION("IF(REGEXMATCH(C259, ""N""), ""11"","""")"),"11")</f>
        <v>11</v>
      </c>
      <c r="AI259" s="249" t="str">
        <f>IFERROR(__xludf.DUMMYFUNCTION("IF(REGEXMATCH(C259, ""S""), ""0"","""")"),"0")</f>
        <v>0</v>
      </c>
      <c r="AJ259" s="313" t="str">
        <f t="shared" si="11"/>
        <v>T</v>
      </c>
      <c r="AK259" s="313" t="str">
        <f t="shared" si="12"/>
        <v>-</v>
      </c>
      <c r="AL259" s="313" t="str">
        <f t="shared" si="13"/>
        <v>-</v>
      </c>
      <c r="AM259" s="313" t="str">
        <f t="shared" si="14"/>
        <v>-</v>
      </c>
      <c r="AN259" s="313" t="str">
        <f t="shared" si="15"/>
        <v>T</v>
      </c>
      <c r="AO259" s="314" t="str">
        <f t="shared" si="16"/>
        <v>T</v>
      </c>
      <c r="AP259" s="316">
        <f t="shared" si="17"/>
        <v>3</v>
      </c>
      <c r="AQ259" s="319" t="str">
        <f t="shared" si="18"/>
        <v>-</v>
      </c>
      <c r="AR259" s="320">
        <f t="shared" si="19"/>
        <v>0</v>
      </c>
      <c r="AS259" s="250" t="str">
        <f>IFERROR(__xludf.DUMMYFUNCTION("SUBSTITUTE(SUBSTITUTE(CONCATENATE(JOIN("""",FP259:GA259)),""|"",""x""),""-"",""o"")"),"xoxoxxxxoxxx")</f>
        <v>xoxoxxxxoxxx</v>
      </c>
      <c r="AT259" s="323" t="str">
        <f>IFERROR(__xludf.DUMMYFUNCTION("JOIN("""",AS259,AS259)"),"xoxoxxxxoxxxxoxoxxxxoxxx")</f>
        <v>xoxoxxxxoxxxxoxoxxxxoxxx</v>
      </c>
      <c r="AU259" s="256" t="str">
        <f>IFERROR(__xludf.DUMMYFUNCTION("JOIN("""",ArrayFormula(MID(AS259,LEN(AS259)-SEQUENCE(1,LEN(AS259))+1,1)))"),"xxxoxxxxoxox")</f>
        <v>xxxoxxxxoxox</v>
      </c>
      <c r="AV259" s="256" t="str">
        <f>IFERROR(__xludf.DUMMYFUNCTION("LEFT(CONCATENATE(""x"",JOIN("""",ArrayFormula(MID(AS259,LEN(AS259)-SEQUENCE(1,LEN(AS259))+1,1)))),12)"),"xxxxoxxxxoxo")</f>
        <v>xxxxoxxxxoxo</v>
      </c>
      <c r="AW259" s="327" t="str">
        <f>IFERROR(__xludf.DUMMYFUNCTION("JOIN("""",AU259,AU259)"),"xxxoxxxxoxoxxxxoxxxxoxox")</f>
        <v>xxxoxxxxoxoxxxxoxxxxoxox</v>
      </c>
      <c r="AX259" s="239" t="str">
        <f>IFERROR(__xludf.DUMMYFUNCTION("IF(REGEXMATCH(AW259,AS259),""✔"",""-"")"),"✔")</f>
        <v>✔</v>
      </c>
      <c r="AY259" s="330" t="str">
        <f t="shared" si="20"/>
        <v>-</v>
      </c>
      <c r="AZ259" s="260" t="str">
        <f t="shared" si="21"/>
        <v>#REF!</v>
      </c>
      <c r="BA259" s="333" t="str">
        <f t="shared" si="22"/>
        <v>xoxoxxx</v>
      </c>
      <c r="BB259" s="334" t="str">
        <f t="shared" si="23"/>
        <v>xoxxxx</v>
      </c>
      <c r="BC259" s="335" t="str">
        <f t="shared" si="236"/>
        <v>-</v>
      </c>
      <c r="BD259" s="336" t="str">
        <f t="shared" si="25"/>
        <v>Pancham se Gara: 'xoxoxxx' + 'xoxxxx'</v>
      </c>
      <c r="BE259" s="337">
        <f>IFERROR(__xludf.DUMMYFUNCTION("COUNTUNIQUE(FILTER(AT:AT,REGEXMATCH(AT:AT,AS259)))-1"),4.0)</f>
        <v>4</v>
      </c>
      <c r="BF259" s="261" t="str">
        <f>IFERROR(__xludf.DUMMYFUNCTION("IF(BI259=0,""(n/a)"",IF(BJ259=2,""(PAIR)"",IF(REGEXMATCH(AT259,""xoxoxxoxoxox""),""Bilawal"",IF(REGEXMATCH(AT259,""xoxoxooxoxoo""),""Bhupali"",IF(REGEXMATCH(AT259,""xoxoxxoxxoxo""),""Charukeshi"",IF(REGEXMATCH(AT259,""xoxoooxxoxxo""),""Kameshwari"",IF(REG"&amp;"EXMATCH(AT259,""xoxoxooxoxox""),""Shankara"",IF(REGEXMATCH(AT259,""xxooxoxxxoox""),""Basant"",IF(REGEXMATCH(AT259,""xoxoxxxxoxox""),""Bihag"",IF(REGEXMATCH(AT259,""xoxxxxoxoxxx""),""Pilu"",IF(REGEXMATCH(AT259,""xoxxoxoxxoox""),""Kirwani"",IF(REGEXMATCH(AT"&amp;"259,""xoxxoxoxoxxx""),""Mk.Malhar"",IF(REGEXMATCH(AT259,""xxooxxoxxoox""),""Bhairav"",IF(REGEXMATCH(AT259,""xxoxooxxxoox""),""Todi"",IF(REGEXMATCH(AT259,""xxooxoxooxox""),""Marwa"",IF(REGEXMATCH(AT259,""xxoooxoxxooo""),""Gunkali"",IF(REGEXMATCH(AT259,""xo"&amp;"xoxxoxxoox""),""Nat Bhairav"",IF(REGEXMATCH(AT259,""xoxxoooxoxoo""),""Shivranjani"",IF(REGEXMATCH(AT259,""xooxxxoxooxo""),""Jog"",IF(REGEXMATCH(AT259,""xxooxoxoxoox""),""Hemshri"",IF(REGEXMATCH(AT259,""xoooxooxoxxo""),""Kalavati"",IF(REGEXMATCH(AT259,""xx"&amp;"oxoxxoxoox""),""Kedar"",IF(REGEXMATCH(AT259,""xoxxxxoxooxx""),""Gara"",IF(REGEXMATCH(AT259,""xooxoxooxoox""),""Chandrakauns"",IF(REGEXMATCH(AT259,""xoxxxxoxxxox""),""Mand"",IF(REGEXMATCH(AT259,""xoxxxxoxoxox""),""Hanskinkini"",IF(REGEXMATCH(AT259,""xxooxx"&amp;"oxooxo""),""Lilavati"",IF(REGEXMATCH(AT259,""xooxoxoooxox""),""Rajeshwari"",IF(REGEXMATCH(AT259,""xoooxxoxoxxx""),""Khokar"",IF(REGEXMATCH(AT259,""xxooxoxxxxox""),""Maligoura"",""-""))))))))))))))))))))))))))))))"),"Pilu")</f>
        <v>Pilu</v>
      </c>
      <c r="BG259" s="239" t="str">
        <f t="shared" si="26"/>
        <v>#REF!</v>
      </c>
      <c r="BH259" s="239">
        <f>IFERROR(__xludf.DUMMYFUNCTION("COUNTUNIQUE(FE259:FO259)-1"),8.0)</f>
        <v>8</v>
      </c>
      <c r="BI259" s="239">
        <f>IFERROR(__xludf.DUMMYFUNCTION("COUNTUNIQUE(FILTER(AT:AT,REGEXMATCH(AT:AT,AS259)))-1"),4.0)</f>
        <v>4</v>
      </c>
      <c r="BJ259" s="239">
        <f>IFERROR(__xludf.DUMMYFUNCTION("COUNTA(FILTER(AT:AT,REGEXMATCH(AT:AT,AS259)))"),26.0)</f>
        <v>26</v>
      </c>
      <c r="BK259" s="341">
        <f>IFERROR(__xludf.DUMMYFUNCTION("COUNTA(FILTER(AT:AT,REGEXMATCH(AT:AT,AS259)))-AR259"),26.0)</f>
        <v>26</v>
      </c>
      <c r="BL259" s="276" t="str">
        <f>IFERROR(__xludf.DUMMYFUNCTION("IF(AS259=""oooooooooooo"",""-"",IF(REGEXMATCH(AT259,""xx""), ""Hemi."", ""Anhemi.""))"),"Hemi.")</f>
        <v>Hemi.</v>
      </c>
      <c r="BM259" s="282" t="str">
        <f>IFERROR(__xludf.DUMMYFUNCTION("IF(AS259=""oooooooooooo"",""-"",IF(REGEXMATCH(AT259,""xxx""), ""Cohem."", ""-""))"),"Cohem.")</f>
        <v>Cohem.</v>
      </c>
      <c r="BN259" s="282" t="str">
        <f>IFERROR(__xludf.DUMMYFUNCTION("IF(AS259=""oooooooooooo"",""-"",IF(REGEXMATCH(AT259,""xxxx""), ""Co-Co."", ""-""))"),"Co-Co.")</f>
        <v>Co-Co.</v>
      </c>
      <c r="BO259" s="342" t="str">
        <f>IFERROR(__xludf.DUMMYFUNCTION("IF(AS259=""oooooooooooo"",""-"",IF(REGEXMATCH(AT259,""xxxxx""), ""CCC."", ""-""))"),"-")</f>
        <v>-</v>
      </c>
      <c r="BP259" s="344" t="str">
        <f t="shared" si="27"/>
        <v>-</v>
      </c>
      <c r="BQ259" s="282" t="str">
        <f>IFERROR(__xludf.DUMMYFUNCTION("IF(REGEXMATCH(JOIN(""-"",EU259:FD259),""TRUE""),""✔"",""-"")"),"-")</f>
        <v>-</v>
      </c>
      <c r="BR259" s="225">
        <f t="shared" si="28"/>
        <v>0</v>
      </c>
      <c r="BS259" s="345" t="str">
        <f>IFERROR(__xludf.DUMMYFUNCTION("SUBSTITUTE(SUBSTITUTE(SUBSTITUTE(SUBSTITUTE(CONCATENATE(JOIN(""-"",GC259:GO259)),""--"",""-""),""--"",""-""),""--"",""-""),""--"",""-"")"),"1-2-3-4-#4-5-6-b7-7-8")</f>
        <v>1-2-3-4-#4-5-6-b7-7-8</v>
      </c>
      <c r="BT259" s="299" t="str">
        <f>IFERROR(__xludf.DUMMYFUNCTION("SUBSTITUTE(SUBSTITUTE(SUBSTITUTE(SUBSTITUTE(CONCATENATE(JOIN(""-"",GP259:HB259)),""--"",""-""),""--"",""-""),""--"",""-""),""--"",""-"")"),"S-R2-G3-M1-M2-P-D2-N2-N3-S")</f>
        <v>S-R2-G3-M1-M2-P-D2-N2-N3-S</v>
      </c>
      <c r="BU259" s="348" t="str">
        <f t="shared" si="29"/>
        <v>C-D-E-F-F#-G-A-Bb-B-C</v>
      </c>
      <c r="BV259" s="349" t="str">
        <f t="shared" si="30"/>
        <v>SrgdS</v>
      </c>
      <c r="BW259" s="350">
        <f t="shared" si="31"/>
        <v>0</v>
      </c>
      <c r="BX259" s="351">
        <f t="shared" si="32"/>
        <v>8</v>
      </c>
      <c r="BY259" s="392"/>
      <c r="BZ259" s="309" t="str">
        <f>IFERROR(__xludf.DUMMYFUNCTION("IF(REGEXMATCH(C259, ""S""), ""x"",""x"")"),"x")</f>
        <v>x</v>
      </c>
      <c r="CA259" s="245" t="str">
        <f>IFERROR(__xludf.DUMMYFUNCTION("IF(REGEXMATCH(C259, ""r""), ""o"",""x"")"),"x")</f>
        <v>x</v>
      </c>
      <c r="CB259" s="246" t="str">
        <f>IFERROR(__xludf.DUMMYFUNCTION("IF(REGEXMATCH(C259, ""R""), ""o"",""x"")"),"o")</f>
        <v>o</v>
      </c>
      <c r="CC259" s="246" t="str">
        <f>IFERROR(__xludf.DUMMYFUNCTION("IF(REGEXMATCH(C259, ""g""), ""o"",""x"")"),"x")</f>
        <v>x</v>
      </c>
      <c r="CD259" s="245" t="str">
        <f>IFERROR(__xludf.DUMMYFUNCTION("IF(REGEXMATCH(C259, ""G""), ""o"",""x"")"),"o")</f>
        <v>o</v>
      </c>
      <c r="CE259" s="245" t="str">
        <f>IFERROR(__xludf.DUMMYFUNCTION("IF(REGEXMATCH(C259, ""m""), ""o"",""x"")"),"o")</f>
        <v>o</v>
      </c>
      <c r="CF259" s="246" t="str">
        <f>IFERROR(__xludf.DUMMYFUNCTION("IF(REGEXMATCH(C259, ""M""), ""o"",""x"")"),"o")</f>
        <v>o</v>
      </c>
      <c r="CG259" s="245" t="str">
        <f>IFERROR(__xludf.DUMMYFUNCTION("IF(REGEXMATCH(C259, ""P""), ""o"",""x"")"),"o")</f>
        <v>o</v>
      </c>
      <c r="CH259" s="246" t="str">
        <f>IFERROR(__xludf.DUMMYFUNCTION("IF(REGEXMATCH(C259, ""d""), ""o"",""x"")"),"x")</f>
        <v>x</v>
      </c>
      <c r="CI259" s="245" t="str">
        <f>IFERROR(__xludf.DUMMYFUNCTION("IF(REGEXMATCH(C259, ""D""), ""o"",""x"")"),"o")</f>
        <v>o</v>
      </c>
      <c r="CJ259" s="245" t="str">
        <f>IFERROR(__xludf.DUMMYFUNCTION("IF(REGEXMATCH(C259, ""n""), ""o"",""x"")"),"o")</f>
        <v>o</v>
      </c>
      <c r="CK259" s="245" t="str">
        <f>IFERROR(__xludf.DUMMYFUNCTION("IF(REGEXMATCH(C259, ""N""), ""o"",""x"")"),"o")</f>
        <v>o</v>
      </c>
      <c r="CL259" s="356" t="str">
        <f>IFERROR(__xludf.DUMMYFUNCTION("IF(REGEXMATCH(C259, ""S""), ""x"",""x"")"),"x")</f>
        <v>x</v>
      </c>
      <c r="CM259" s="357" t="str">
        <f t="shared" si="33"/>
        <v>xxoxooooxooo</v>
      </c>
      <c r="CN259" s="358">
        <f t="shared" si="34"/>
        <v>0</v>
      </c>
      <c r="CO259" s="246" t="str">
        <f>IFERROR(__xludf.DUMMYFUNCTION("IF(REGEXMATCH($C259, ""S""), ""S"",""S"")"),"S")</f>
        <v>S</v>
      </c>
      <c r="CP259" s="246" t="str">
        <f>IFERROR(__xludf.DUMMYFUNCTION("IF(REGEXMATCH($C259, ""r""), """",""r"")"),"r")</f>
        <v>r</v>
      </c>
      <c r="CQ259" s="246" t="str">
        <f>IFERROR(__xludf.DUMMYFUNCTION("IF(REGEXMATCH($C259, ""R""), """",""R"")"),"")</f>
        <v/>
      </c>
      <c r="CR259" s="246" t="str">
        <f>IFERROR(__xludf.DUMMYFUNCTION("IF(REGEXMATCH($C259, ""g""), """",""g"")"),"g")</f>
        <v>g</v>
      </c>
      <c r="CS259" s="246" t="str">
        <f>IFERROR(__xludf.DUMMYFUNCTION("IF(REGEXMATCH($C259, ""G""), """",""G"")"),"")</f>
        <v/>
      </c>
      <c r="CT259" s="246" t="str">
        <f>IFERROR(__xludf.DUMMYFUNCTION("IF(REGEXMATCH($C259, ""m""), """",""m"")"),"")</f>
        <v/>
      </c>
      <c r="CU259" s="246" t="str">
        <f>IFERROR(__xludf.DUMMYFUNCTION("IF(REGEXMATCH($C259, ""M""), """",""M"")"),"")</f>
        <v/>
      </c>
      <c r="CV259" s="246" t="str">
        <f>IFERROR(__xludf.DUMMYFUNCTION("IF(REGEXMATCH($C259, ""P""), """",""P"")"),"")</f>
        <v/>
      </c>
      <c r="CW259" s="246" t="str">
        <f>IFERROR(__xludf.DUMMYFUNCTION("IF(REGEXMATCH($C259, ""d""), """",""d"")"),"d")</f>
        <v>d</v>
      </c>
      <c r="CX259" s="246" t="str">
        <f>IFERROR(__xludf.DUMMYFUNCTION("IF(REGEXMATCH($C259, ""D""), """",""D"")"),"")</f>
        <v/>
      </c>
      <c r="CY259" s="246" t="str">
        <f>IFERROR(__xludf.DUMMYFUNCTION("IF(REGEXMATCH($C259, ""n""), """",""n"")"),"")</f>
        <v/>
      </c>
      <c r="CZ259" s="246" t="str">
        <f>IFERROR(__xludf.DUMMYFUNCTION("IF(REGEXMATCH($C259, ""N""), """",""N"")"),"")</f>
        <v/>
      </c>
      <c r="DA259" s="246" t="str">
        <f>IFERROR(__xludf.DUMMYFUNCTION("IF(REGEXMATCH($C259, ""S""), ""S"",""S"")"),"S")</f>
        <v>S</v>
      </c>
      <c r="DB259" s="362" t="str">
        <f>IFERROR(__xludf.DUMMYFUNCTION("JOIN("""",CO259:DA259,"""","""")"),"SrgdS")</f>
        <v>SrgdS</v>
      </c>
      <c r="DC259" s="363"/>
      <c r="DD259" s="301" t="str">
        <f t="shared" si="35"/>
        <v>#REF!</v>
      </c>
      <c r="DE259" s="302" t="str">
        <f t="shared" si="36"/>
        <v>#REF!</v>
      </c>
      <c r="DF259" s="301" t="str">
        <f t="shared" ref="DF259:DG259" si="739">SUBSTITUTE(S259,"-","")</f>
        <v>SRGM</v>
      </c>
      <c r="DG259" s="301" t="str">
        <f t="shared" si="739"/>
        <v>PDNS</v>
      </c>
      <c r="DH259" s="302" t="str">
        <f t="shared" si="38"/>
        <v>Pilu</v>
      </c>
      <c r="DI259" s="301" t="str">
        <f t="shared" si="39"/>
        <v>Hemi.</v>
      </c>
      <c r="DJ259" s="364" t="str">
        <f t="shared" si="40"/>
        <v>Co-Co.</v>
      </c>
      <c r="DK259" s="306" t="str">
        <f t="shared" si="41"/>
        <v>-</v>
      </c>
      <c r="DL259" s="366" t="str">
        <f t="shared" si="42"/>
        <v>-</v>
      </c>
      <c r="DM259" s="308" t="str">
        <f t="shared" si="43"/>
        <v>✔</v>
      </c>
      <c r="DN259" s="306" t="str">
        <f t="shared" si="44"/>
        <v>-</v>
      </c>
      <c r="DO259" s="306" t="str">
        <f t="shared" si="45"/>
        <v>-</v>
      </c>
      <c r="DP259" s="367" t="str">
        <f t="shared" si="46"/>
        <v>-</v>
      </c>
      <c r="DQ259" s="310" t="str">
        <f t="shared" si="47"/>
        <v>-</v>
      </c>
      <c r="DR259" s="310" t="str">
        <f t="shared" si="48"/>
        <v>-</v>
      </c>
      <c r="DS259" s="310" t="str">
        <f t="shared" si="49"/>
        <v>✔</v>
      </c>
      <c r="DT259" s="310" t="str">
        <f t="shared" si="50"/>
        <v>-</v>
      </c>
      <c r="DU259" s="370" t="str">
        <f t="shared" si="51"/>
        <v>✔</v>
      </c>
      <c r="DV259" s="306" t="str">
        <f t="shared" si="52"/>
        <v>-</v>
      </c>
      <c r="DW259" s="306" t="str">
        <f t="shared" si="53"/>
        <v>-</v>
      </c>
      <c r="DX259" s="306" t="str">
        <f t="shared" si="54"/>
        <v>-</v>
      </c>
      <c r="DY259" s="306" t="str">
        <f t="shared" si="55"/>
        <v>-</v>
      </c>
      <c r="DZ259" s="306" t="str">
        <f t="shared" si="56"/>
        <v>-</v>
      </c>
      <c r="EA259" s="367" t="str">
        <f t="shared" si="57"/>
        <v>-</v>
      </c>
      <c r="EB259" s="310" t="str">
        <f>IFERROR(__xludf.DUMMYFUNCTION("IF(REGEXMATCH(AW259,AS259),""✔"",""-"")"),"✔")</f>
        <v>✔</v>
      </c>
      <c r="EC259" s="310" t="str">
        <f t="shared" si="58"/>
        <v>#REF!</v>
      </c>
      <c r="ED259" s="370" t="str">
        <f t="shared" si="59"/>
        <v>-</v>
      </c>
      <c r="EE259" s="340" t="str">
        <f t="shared" si="60"/>
        <v>S-R-G-mM-P-D-nN-S</v>
      </c>
      <c r="EF259" s="371" t="str">
        <f>IFERROR(__xludf.DUMMYFUNCTION("CONCATENATE(JOIN("""",HC259:HO259))"),"SrRgmMPdnS")</f>
        <v>SrRgmMPdnS</v>
      </c>
      <c r="EG259" s="372">
        <f t="shared" si="61"/>
        <v>1</v>
      </c>
      <c r="EH259" s="373" t="str">
        <f>IFERROR(__xludf.DUMMYFUNCTION("CONCATENATE(JOIN("""",JC259:JO259))"),"Ma, ")</f>
        <v>Ma, </v>
      </c>
      <c r="EI259" s="322">
        <f t="shared" si="62"/>
        <v>0</v>
      </c>
      <c r="EJ259" s="374" t="str">
        <f>IFERROR(__xludf.DUMMYFUNCTION("CONCATENATE(JOIN("""",KC259:KO259))"),"")</f>
        <v/>
      </c>
      <c r="EK259" s="325" t="str">
        <f t="shared" si="63"/>
        <v>S-R2-G3-M1-M2-P-D2-N2-N3-S</v>
      </c>
      <c r="EL259" s="326" t="str">
        <f t="shared" si="64"/>
        <v>1-2-3-4-#4-5-6-b7-7-8</v>
      </c>
      <c r="EM259" s="318" t="str">
        <f t="shared" si="65"/>
        <v>#REF!</v>
      </c>
      <c r="EN259" s="328" t="str">
        <f>IFERROR(__xludf.DUMMYFUNCTION("SUBSTITUTE(SUBSTITUTE(SUBSTITUTE(SUBSTITUTE(CONCATENATE(JOIN("" "",HP259:IB259)),""  "","" ""),""  "","" ""),""  "","" ""),""  "","" "")"),"o • o • o o o o • o o o o")</f>
        <v>o • o • o o o o • o o o o</v>
      </c>
      <c r="EO259" s="368" t="str">
        <f t="shared" si="66"/>
        <v>-</v>
      </c>
      <c r="EP259" s="339" t="str">
        <f t="shared" si="67"/>
        <v>-</v>
      </c>
      <c r="EQ259" s="339" t="str">
        <f t="shared" si="68"/>
        <v>Sa-Pa</v>
      </c>
      <c r="ER259" s="339" t="str">
        <f t="shared" si="69"/>
        <v>-</v>
      </c>
      <c r="ES259" s="340" t="str">
        <f t="shared" si="70"/>
        <v>-</v>
      </c>
      <c r="ET259" s="363"/>
      <c r="EU259" s="376" t="b">
        <f>IFERROR(__xludf.DUMMYFUNCTION("arrayformula(sum(--REGEXMATCH(""SRGMPDNS"",split(REGEXREPLACE(C259,""(.)"",""$1~""),""~""))))=len(C259)
"),FALSE)</f>
        <v>0</v>
      </c>
      <c r="EV259" s="290" t="b">
        <f>IFERROR(__xludf.DUMMYFUNCTION("arrayformula(sum(--REGEXMATCH(""SRGmPDNS"",split(REGEXREPLACE(C259,""(.)"",""$1~""),""~""))))=len(C259)"),FALSE)</f>
        <v>0</v>
      </c>
      <c r="EW259" s="290" t="b">
        <f>IFERROR(__xludf.DUMMYFUNCTION("arrayformula(sum(--REGEXMATCH(""SRGmPDnS"",split(REGEXREPLACE(C259,""(.)"",""$1~""),""~""))))=len(C259)"),FALSE)</f>
        <v>0</v>
      </c>
      <c r="EX259" s="290" t="b">
        <f>IFERROR(__xludf.DUMMYFUNCTION("arrayformula(sum(--REGEXMATCH(""SRgmPDnS"",split(REGEXREPLACE(C259,""(.)"",""$1~""),""~""))))=len(C259)"),FALSE)</f>
        <v>0</v>
      </c>
      <c r="EY259" s="290" t="b">
        <f>IFERROR(__xludf.DUMMYFUNCTION("arrayformula(sum(--REGEXMATCH(""SRgmPdnS"",split(REGEXREPLACE(C259,""(.)"",""$1~""),""~""))))=len(C259)"),FALSE)</f>
        <v>0</v>
      </c>
      <c r="EZ259" s="290" t="b">
        <f>IFERROR(__xludf.DUMMYFUNCTION("arrayformula(sum(--REGEXMATCH(""SrgmPdnS"",split(REGEXREPLACE(C259,""(.)"",""$1~""),""~""))))=len(C259)"),FALSE)</f>
        <v>0</v>
      </c>
      <c r="FA259" s="290" t="b">
        <f>IFERROR(__xludf.DUMMYFUNCTION("arrayformula(sum(--REGEXMATCH(""SrGmPdNS"",split(REGEXREPLACE(C259,""(.)"",""$1~""),""~""))))=len(C259)"),FALSE)</f>
        <v>0</v>
      </c>
      <c r="FB259" s="290" t="b">
        <f>IFERROR(__xludf.DUMMYFUNCTION("arrayformula(sum(--REGEXMATCH(""SrGMPDNS"",split(REGEXREPLACE(C259,""(.)"",""$1~""),""~""))))=len(C259)"),FALSE)</f>
        <v>0</v>
      </c>
      <c r="FC259" s="290" t="b">
        <f>IFERROR(__xludf.DUMMYFUNCTION("arrayformula(sum(--REGEXMATCH(""SrGMPdNS"",split(REGEXREPLACE(C259,""(.)"",""$1~""),""~""))))=len(C259)"),FALSE)</f>
        <v>0</v>
      </c>
      <c r="FD259" s="377" t="b">
        <f>IFERROR(__xludf.DUMMYFUNCTION("arrayformula(sum(--REGEXMATCH(""SrgMPdNS"",split(REGEXREPLACE(C259,""(.)"",""$1~""),""~""))))=len(C259)"),FALSE)</f>
        <v>0</v>
      </c>
      <c r="FE259" s="269" t="str">
        <f t="shared" si="71"/>
        <v>-</v>
      </c>
      <c r="FF259" s="269" t="str">
        <f t="shared" si="72"/>
        <v>xoxxxxoxxxx</v>
      </c>
      <c r="FG259" s="271" t="str">
        <f t="shared" si="73"/>
        <v>-</v>
      </c>
      <c r="FH259" s="269" t="str">
        <f t="shared" si="74"/>
        <v>xxxxoxxxxox</v>
      </c>
      <c r="FI259" s="271" t="str">
        <f t="shared" si="75"/>
        <v>xxxoxxxxoxo</v>
      </c>
      <c r="FJ259" s="271" t="str">
        <f t="shared" si="76"/>
        <v>xxoxxxxoxox</v>
      </c>
      <c r="FK259" s="271" t="str">
        <f t="shared" si="77"/>
        <v>xoxxxxoxoxx</v>
      </c>
      <c r="FL259" s="271" t="str">
        <f t="shared" si="78"/>
        <v>-</v>
      </c>
      <c r="FM259" s="271" t="str">
        <f t="shared" si="79"/>
        <v>xxxxoxoxxxx</v>
      </c>
      <c r="FN259" s="271" t="str">
        <f t="shared" si="80"/>
        <v>xxxoxoxxxxo</v>
      </c>
      <c r="FO259" s="274" t="str">
        <f t="shared" si="81"/>
        <v>xxoxoxxxxox</v>
      </c>
      <c r="FP259" s="234" t="str">
        <f t="shared" si="82"/>
        <v>|</v>
      </c>
      <c r="FQ259" s="236" t="str">
        <f t="shared" si="83"/>
        <v>-</v>
      </c>
      <c r="FR259" s="237" t="str">
        <f t="shared" si="84"/>
        <v>|</v>
      </c>
      <c r="FS259" s="236" t="str">
        <f t="shared" si="85"/>
        <v>-</v>
      </c>
      <c r="FT259" s="237" t="str">
        <f t="shared" si="86"/>
        <v>|</v>
      </c>
      <c r="FU259" s="236" t="str">
        <f t="shared" si="87"/>
        <v>|</v>
      </c>
      <c r="FV259" s="237" t="str">
        <f t="shared" si="88"/>
        <v>|</v>
      </c>
      <c r="FW259" s="236" t="str">
        <f t="shared" si="89"/>
        <v>|</v>
      </c>
      <c r="FX259" s="237" t="str">
        <f t="shared" si="90"/>
        <v>-</v>
      </c>
      <c r="FY259" s="236" t="str">
        <f t="shared" si="91"/>
        <v>|</v>
      </c>
      <c r="FZ259" s="237" t="str">
        <f t="shared" si="92"/>
        <v>|</v>
      </c>
      <c r="GA259" s="236" t="str">
        <f t="shared" si="93"/>
        <v>|</v>
      </c>
      <c r="GB259" s="238" t="str">
        <f t="shared" si="94"/>
        <v>|</v>
      </c>
      <c r="GC259" s="244" t="str">
        <f>IFERROR(__xludf.DUMMYFUNCTION("IF(REGEXMATCH(C259, ""S""), ""1"","""")"),"1")</f>
        <v>1</v>
      </c>
      <c r="GD259" s="245" t="str">
        <f>IFERROR(__xludf.DUMMYFUNCTION("IF(REGEXMATCH(C259, ""r""), ""b2"","""")"),"")</f>
        <v/>
      </c>
      <c r="GE259" s="246" t="str">
        <f>IFERROR(__xludf.DUMMYFUNCTION("IF(REGEXMATCH(C259, ""R""), ""2"","""")"),"2")</f>
        <v>2</v>
      </c>
      <c r="GF259" s="246" t="str">
        <f>IFERROR(__xludf.DUMMYFUNCTION("IF(REGEXMATCH(C259, ""g""), ""b3"","""")"),"")</f>
        <v/>
      </c>
      <c r="GG259" s="245" t="str">
        <f>IFERROR(__xludf.DUMMYFUNCTION("IF(REGEXMATCH(C259, ""G""), ""3"","""")"),"3")</f>
        <v>3</v>
      </c>
      <c r="GH259" s="245" t="str">
        <f>IFERROR(__xludf.DUMMYFUNCTION("IF(REGEXMATCH(C259, ""m""), ""4"","""")"),"4")</f>
        <v>4</v>
      </c>
      <c r="GI259" s="246" t="str">
        <f>IFERROR(__xludf.DUMMYFUNCTION("IF(REGEXMATCH(C259, ""M""), ""#4"","""")"),"#4")</f>
        <v>#4</v>
      </c>
      <c r="GJ259" s="245" t="str">
        <f>IFERROR(__xludf.DUMMYFUNCTION("IF(REGEXMATCH(C259, ""P""), ""5"","""")"),"5")</f>
        <v>5</v>
      </c>
      <c r="GK259" s="246" t="str">
        <f>IFERROR(__xludf.DUMMYFUNCTION("IF(REGEXMATCH(C259, ""d""), ""b6"","""")"),"")</f>
        <v/>
      </c>
      <c r="GL259" s="245" t="str">
        <f>IFERROR(__xludf.DUMMYFUNCTION("IF(REGEXMATCH(C259, ""D""), ""6"","""")"),"6")</f>
        <v>6</v>
      </c>
      <c r="GM259" s="245" t="str">
        <f>IFERROR(__xludf.DUMMYFUNCTION("IF(REGEXMATCH(C259, ""n""), ""b7"","""")"),"b7")</f>
        <v>b7</v>
      </c>
      <c r="GN259" s="246" t="str">
        <f>IFERROR(__xludf.DUMMYFUNCTION("IF(REGEXMATCH(C259, ""N""), ""7"","""")"),"7")</f>
        <v>7</v>
      </c>
      <c r="GO259" s="249" t="str">
        <f>IFERROR(__xludf.DUMMYFUNCTION("IF(REGEXMATCH(C259, ""S""), ""8"","""")"),"8")</f>
        <v>8</v>
      </c>
      <c r="GP259" s="244" t="str">
        <f>IFERROR(__xludf.DUMMYFUNCTION("IF(REGEXMATCH(C259, ""S""), ""S"","""")"),"S")</f>
        <v>S</v>
      </c>
      <c r="GQ259" s="294" t="str">
        <f>IFERROR(__xludf.DUMMYFUNCTION("IF(REGEXMATCH(C259, ""r""), ""R1"","""")"),"")</f>
        <v/>
      </c>
      <c r="GR259" s="295" t="str">
        <f>IFERROR(__xludf.DUMMYFUNCTION("IF(REGEXMATCH(C259, ""R""), ""R2"","""")"),"R2")</f>
        <v>R2</v>
      </c>
      <c r="GS259" s="295" t="str">
        <f>IFERROR(__xludf.DUMMYFUNCTION("IF(REGEXMATCH(C259, ""g""), ""G2"","""")"),"")</f>
        <v/>
      </c>
      <c r="GT259" s="294" t="str">
        <f>IFERROR(__xludf.DUMMYFUNCTION("IF(REGEXMATCH(C259, ""G""), ""G3"","""")"),"G3")</f>
        <v>G3</v>
      </c>
      <c r="GU259" s="294" t="str">
        <f>IFERROR(__xludf.DUMMYFUNCTION("IF(REGEXMATCH(C259, ""m""), ""M1"","""")"),"M1")</f>
        <v>M1</v>
      </c>
      <c r="GV259" s="295" t="str">
        <f>IFERROR(__xludf.DUMMYFUNCTION("IF(REGEXMATCH(C259, ""M""), ""M2"","""")"),"M2")</f>
        <v>M2</v>
      </c>
      <c r="GW259" s="294" t="str">
        <f>IFERROR(__xludf.DUMMYFUNCTION("IF(REGEXMATCH(C259, ""P""), ""P"","""")"),"P")</f>
        <v>P</v>
      </c>
      <c r="GX259" s="295" t="str">
        <f>IFERROR(__xludf.DUMMYFUNCTION("IF(REGEXMATCH(C259, ""d""), ""D1"","""")"),"")</f>
        <v/>
      </c>
      <c r="GY259" s="294" t="str">
        <f>IFERROR(__xludf.DUMMYFUNCTION("IF(REGEXMATCH(C259, ""D""), ""D2"","""")"),"D2")</f>
        <v>D2</v>
      </c>
      <c r="GZ259" s="294" t="str">
        <f>IFERROR(__xludf.DUMMYFUNCTION("IF(REGEXMATCH(C259, ""n""), ""N2"","""")"),"N2")</f>
        <v>N2</v>
      </c>
      <c r="HA259" s="295" t="str">
        <f>IFERROR(__xludf.DUMMYFUNCTION("IF(REGEXMATCH(C259, ""N""), ""N3"","""")"),"N3")</f>
        <v>N3</v>
      </c>
      <c r="HB259" s="249" t="str">
        <f>IFERROR(__xludf.DUMMYFUNCTION("IF(REGEXMATCH(C259, ""S""), ""S"","""")"),"S")</f>
        <v>S</v>
      </c>
      <c r="HC259" s="331" t="str">
        <f t="shared" si="95"/>
        <v>S</v>
      </c>
      <c r="HD259" s="332" t="str">
        <f t="shared" si="96"/>
        <v>r</v>
      </c>
      <c r="HE259" s="332" t="str">
        <f t="shared" si="97"/>
        <v>R</v>
      </c>
      <c r="HF259" s="332" t="str">
        <f t="shared" si="98"/>
        <v>g</v>
      </c>
      <c r="HG259" s="332" t="str">
        <f t="shared" si="99"/>
        <v/>
      </c>
      <c r="HH259" s="332" t="str">
        <f t="shared" si="100"/>
        <v>m</v>
      </c>
      <c r="HI259" s="332" t="str">
        <f t="shared" si="101"/>
        <v>M</v>
      </c>
      <c r="HJ259" s="332" t="str">
        <f t="shared" si="102"/>
        <v>P</v>
      </c>
      <c r="HK259" s="332" t="str">
        <f t="shared" si="103"/>
        <v>d</v>
      </c>
      <c r="HL259" s="332" t="str">
        <f t="shared" si="104"/>
        <v/>
      </c>
      <c r="HM259" s="332" t="str">
        <f t="shared" si="105"/>
        <v>n</v>
      </c>
      <c r="HN259" s="332" t="str">
        <f t="shared" si="106"/>
        <v/>
      </c>
      <c r="HO259" s="343" t="str">
        <f t="shared" si="107"/>
        <v>S</v>
      </c>
      <c r="HP259" s="331" t="str">
        <f t="shared" si="108"/>
        <v>o</v>
      </c>
      <c r="HQ259" s="332" t="str">
        <f t="shared" si="109"/>
        <v>•</v>
      </c>
      <c r="HR259" s="332" t="str">
        <f t="shared" si="110"/>
        <v>o</v>
      </c>
      <c r="HS259" s="332" t="str">
        <f t="shared" si="111"/>
        <v>•</v>
      </c>
      <c r="HT259" s="332" t="str">
        <f t="shared" si="112"/>
        <v>o</v>
      </c>
      <c r="HU259" s="332" t="str">
        <f t="shared" si="113"/>
        <v>o</v>
      </c>
      <c r="HV259" s="332" t="str">
        <f t="shared" si="114"/>
        <v>o</v>
      </c>
      <c r="HW259" s="332" t="str">
        <f t="shared" si="115"/>
        <v>o</v>
      </c>
      <c r="HX259" s="332" t="str">
        <f t="shared" si="116"/>
        <v>•</v>
      </c>
      <c r="HY259" s="332" t="str">
        <f t="shared" si="117"/>
        <v>o</v>
      </c>
      <c r="HZ259" s="332" t="str">
        <f t="shared" si="118"/>
        <v>o</v>
      </c>
      <c r="IA259" s="332" t="str">
        <f t="shared" si="119"/>
        <v>o</v>
      </c>
      <c r="IB259" s="338" t="str">
        <f t="shared" si="120"/>
        <v>o</v>
      </c>
      <c r="IC259" s="331" t="str">
        <f t="shared" si="121"/>
        <v>•</v>
      </c>
      <c r="ID259" s="332" t="str">
        <f t="shared" si="122"/>
        <v>o</v>
      </c>
      <c r="IE259" s="332" t="str">
        <f t="shared" si="123"/>
        <v>•</v>
      </c>
      <c r="IF259" s="332" t="str">
        <f t="shared" si="124"/>
        <v>o</v>
      </c>
      <c r="IG259" s="332" t="str">
        <f t="shared" si="125"/>
        <v>•</v>
      </c>
      <c r="IH259" s="332" t="str">
        <f t="shared" si="126"/>
        <v>•</v>
      </c>
      <c r="II259" s="332" t="str">
        <f t="shared" si="127"/>
        <v>•</v>
      </c>
      <c r="IJ259" s="332" t="str">
        <f t="shared" si="128"/>
        <v>•</v>
      </c>
      <c r="IK259" s="332" t="str">
        <f t="shared" si="129"/>
        <v>o</v>
      </c>
      <c r="IL259" s="332" t="str">
        <f t="shared" si="130"/>
        <v>•</v>
      </c>
      <c r="IM259" s="332" t="str">
        <f t="shared" si="131"/>
        <v>•</v>
      </c>
      <c r="IN259" s="332" t="str">
        <f t="shared" si="132"/>
        <v>•</v>
      </c>
      <c r="IO259" s="338" t="str">
        <f t="shared" si="133"/>
        <v>•</v>
      </c>
      <c r="IP259" s="346" t="b">
        <f t="shared" si="134"/>
        <v>0</v>
      </c>
      <c r="IQ259" s="347" t="b">
        <f t="shared" si="135"/>
        <v>0</v>
      </c>
      <c r="IR259" s="347" t="b">
        <f t="shared" si="136"/>
        <v>0</v>
      </c>
      <c r="IS259" s="347" t="b">
        <f t="shared" si="137"/>
        <v>0</v>
      </c>
      <c r="IT259" s="347" t="b">
        <f t="shared" si="138"/>
        <v>0</v>
      </c>
      <c r="IU259" s="347" t="b">
        <f t="shared" si="139"/>
        <v>0</v>
      </c>
      <c r="IV259" s="347" t="b">
        <f t="shared" si="140"/>
        <v>1</v>
      </c>
      <c r="IW259" s="347" t="b">
        <f t="shared" si="141"/>
        <v>0</v>
      </c>
      <c r="IX259" s="347" t="b">
        <f t="shared" si="142"/>
        <v>0</v>
      </c>
      <c r="IY259" s="347" t="b">
        <f t="shared" si="143"/>
        <v>0</v>
      </c>
      <c r="IZ259" s="347" t="b">
        <f t="shared" si="144"/>
        <v>0</v>
      </c>
      <c r="JA259" s="347" t="b">
        <f t="shared" si="145"/>
        <v>0</v>
      </c>
      <c r="JB259" s="353" t="b">
        <f t="shared" si="146"/>
        <v>0</v>
      </c>
      <c r="JC259" s="354" t="str">
        <f t="shared" si="147"/>
        <v/>
      </c>
      <c r="JD259" s="355" t="str">
        <f t="shared" si="148"/>
        <v/>
      </c>
      <c r="JE259" s="355" t="str">
        <f t="shared" si="149"/>
        <v/>
      </c>
      <c r="JF259" s="355" t="str">
        <f t="shared" si="150"/>
        <v/>
      </c>
      <c r="JG259" s="355" t="str">
        <f t="shared" si="151"/>
        <v/>
      </c>
      <c r="JH259" s="355" t="str">
        <f t="shared" si="152"/>
        <v/>
      </c>
      <c r="JI259" s="355" t="str">
        <f t="shared" si="153"/>
        <v>Ma, </v>
      </c>
      <c r="JJ259" s="355" t="str">
        <f t="shared" si="154"/>
        <v/>
      </c>
      <c r="JK259" s="355" t="str">
        <f t="shared" si="155"/>
        <v/>
      </c>
      <c r="JL259" s="355" t="str">
        <f t="shared" si="156"/>
        <v/>
      </c>
      <c r="JM259" s="355" t="str">
        <f t="shared" si="157"/>
        <v/>
      </c>
      <c r="JN259" s="355" t="str">
        <f t="shared" si="158"/>
        <v/>
      </c>
      <c r="JO259" s="359" t="str">
        <f t="shared" si="159"/>
        <v/>
      </c>
      <c r="JP259" s="346" t="b">
        <f t="shared" si="160"/>
        <v>0</v>
      </c>
      <c r="JQ259" s="347" t="b">
        <f t="shared" si="161"/>
        <v>0</v>
      </c>
      <c r="JR259" s="347" t="b">
        <f t="shared" si="162"/>
        <v>0</v>
      </c>
      <c r="JS259" s="347" t="b">
        <f t="shared" si="163"/>
        <v>0</v>
      </c>
      <c r="JT259" s="347" t="b">
        <f t="shared" si="164"/>
        <v>0</v>
      </c>
      <c r="JU259" s="347" t="b">
        <f t="shared" si="165"/>
        <v>0</v>
      </c>
      <c r="JV259" s="347" t="b">
        <f t="shared" si="166"/>
        <v>0</v>
      </c>
      <c r="JW259" s="347" t="b">
        <f t="shared" si="167"/>
        <v>0</v>
      </c>
      <c r="JX259" s="347" t="b">
        <f t="shared" si="168"/>
        <v>0</v>
      </c>
      <c r="JY259" s="347" t="b">
        <f t="shared" si="169"/>
        <v>0</v>
      </c>
      <c r="JZ259" s="347" t="b">
        <f t="shared" si="170"/>
        <v>0</v>
      </c>
      <c r="KA259" s="347" t="b">
        <f t="shared" si="171"/>
        <v>0</v>
      </c>
      <c r="KB259" s="365" t="b">
        <f t="shared" si="172"/>
        <v>0</v>
      </c>
      <c r="KC259" s="354" t="str">
        <f t="shared" si="173"/>
        <v/>
      </c>
      <c r="KD259" s="355" t="str">
        <f t="shared" si="174"/>
        <v/>
      </c>
      <c r="KE259" s="355" t="str">
        <f t="shared" si="175"/>
        <v/>
      </c>
      <c r="KF259" s="355" t="str">
        <f t="shared" si="176"/>
        <v/>
      </c>
      <c r="KG259" s="355" t="str">
        <f t="shared" si="177"/>
        <v/>
      </c>
      <c r="KH259" s="355" t="str">
        <f t="shared" si="178"/>
        <v/>
      </c>
      <c r="KI259" s="355" t="str">
        <f t="shared" si="179"/>
        <v/>
      </c>
      <c r="KJ259" s="355" t="str">
        <f t="shared" si="180"/>
        <v/>
      </c>
      <c r="KK259" s="355" t="str">
        <f t="shared" si="181"/>
        <v/>
      </c>
      <c r="KL259" s="355" t="str">
        <f t="shared" si="182"/>
        <v/>
      </c>
      <c r="KM259" s="355" t="str">
        <f t="shared" si="183"/>
        <v/>
      </c>
      <c r="KN259" s="355" t="str">
        <f t="shared" si="184"/>
        <v/>
      </c>
      <c r="KO259" s="359"/>
      <c r="KP259" s="378"/>
      <c r="KQ259" s="379" t="s">
        <v>9</v>
      </c>
      <c r="KR259" s="380" t="s">
        <v>9</v>
      </c>
      <c r="KS259" s="381" t="s">
        <v>9</v>
      </c>
      <c r="KT259" s="382">
        <f t="shared" si="186"/>
        <v>0</v>
      </c>
      <c r="KU259" s="383">
        <f t="shared" si="187"/>
        <v>0</v>
      </c>
      <c r="KV259" s="381" t="str">
        <f t="shared" si="205"/>
        <v>S</v>
      </c>
      <c r="KW259" s="382">
        <f t="shared" si="189"/>
        <v>0</v>
      </c>
      <c r="KX259" s="384">
        <f t="shared" si="190"/>
        <v>0</v>
      </c>
      <c r="KY259" s="382">
        <f t="shared" ref="KY259:KZ259" si="740">KW259-KT259</f>
        <v>0</v>
      </c>
      <c r="KZ259" s="369">
        <f t="shared" si="740"/>
        <v>0</v>
      </c>
      <c r="LA259" s="385" t="str">
        <f t="shared" si="192"/>
        <v>✔</v>
      </c>
      <c r="LB259" s="340" t="str">
        <f>IFERROR(__xludf.DUMMYFUNCTION("JOIN("""",ArrayFormula(MID(KS259,LEN(KS259)-SEQUENCE(1,LEN(KS259))+1,1)))"),"S")</f>
        <v>S</v>
      </c>
      <c r="LC259" s="373" t="str">
        <f>IFERROR(__xludf.DUMMYFUNCTION("JOIN("""",ArrayFormula(MID(KV259,LEN(KV259)-SEQUENCE(1,LEN(KV259))+1,1)))"),"S")</f>
        <v>S</v>
      </c>
      <c r="LD259" s="373" t="str">
        <f t="shared" si="193"/>
        <v>S</v>
      </c>
      <c r="LE259" s="339" t="str">
        <f t="shared" si="194"/>
        <v>S</v>
      </c>
      <c r="LF259" s="386" t="str">
        <f>IFERROR(__xludf.DUMMYFUNCTION("SUBSTITUTE(SUBSTITUTE(CONCATENATE(JOIN("""",LH259:LT259)),""1"",""""),""2"","""")"),"SS")</f>
        <v>SS</v>
      </c>
      <c r="LG259" s="369" t="str">
        <f t="shared" si="195"/>
        <v>-</v>
      </c>
      <c r="LH259" s="387" t="str">
        <f>IFERROR(__xludf.DUMMYFUNCTION("IF(REGEXMATCH(LD259, ""S""), ""S"",IF(REGEXMATCH(LE259, ""S""), ""S"",""""))"),"S")</f>
        <v>S</v>
      </c>
      <c r="LI259" s="299" t="str">
        <f>IFERROR(__xludf.DUMMYFUNCTION("IF(REGEXMATCH(LD259, ""r""), ""r1"",IF(REGEXMATCH(LE259, ""r""), ""r2"",""""))"),"")</f>
        <v/>
      </c>
      <c r="LJ259" s="299" t="str">
        <f>IFERROR(__xludf.DUMMYFUNCTION("IF(REGEXMATCH(LD259, ""R""), ""R1"",IF(REGEXMATCH(LE259, ""R""), ""R2"",""""))"),"")</f>
        <v/>
      </c>
      <c r="LK259" s="299" t="str">
        <f>IFERROR(__xludf.DUMMYFUNCTION("IF(REGEXMATCH(LD259, ""g""), ""g1"",IF(REGEXMATCH(LE259, ""g""), ""g2"",""""))"),"")</f>
        <v/>
      </c>
      <c r="LL259" s="299" t="str">
        <f>IFERROR(__xludf.DUMMYFUNCTION("IF(REGEXMATCH(LD259, ""G""), ""G1"",IF(REGEXMATCH(LE259, ""G""), ""G2"",""""))"),"")</f>
        <v/>
      </c>
      <c r="LM259" s="299" t="str">
        <f>IFERROR(__xludf.DUMMYFUNCTION("IF(REGEXMATCH(LD259, ""m""), ""m1"",IF(REGEXMATCH(LE259, ""m""), ""m2"",""""))"),"")</f>
        <v/>
      </c>
      <c r="LN259" s="299" t="str">
        <f>IFERROR(__xludf.DUMMYFUNCTION("IF(REGEXMATCH(LD259, ""M""), ""M1"",IF(REGEXMATCH(LE259, ""M""), ""M2"",""""))"),"")</f>
        <v/>
      </c>
      <c r="LO259" s="299" t="str">
        <f>IFERROR(__xludf.DUMMYFUNCTION("IF(REGEXMATCH(LD259, ""P""), ""P1"",IF(REGEXMATCH(LE259, ""P""), ""P2"",""""))"),"")</f>
        <v/>
      </c>
      <c r="LP259" s="299" t="str">
        <f>IFERROR(__xludf.DUMMYFUNCTION("IF(REGEXMATCH(LD259, ""d""), ""d1"",IF(REGEXMATCH(LE259, ""d""), ""d2"",""""))"),"")</f>
        <v/>
      </c>
      <c r="LQ259" s="299" t="str">
        <f>IFERROR(__xludf.DUMMYFUNCTION("IF(REGEXMATCH(LD259, ""D""), ""D1"",IF(REGEXMATCH(LE259, ""D""), ""D2"",""""))"),"")</f>
        <v/>
      </c>
      <c r="LR259" s="299" t="str">
        <f>IFERROR(__xludf.DUMMYFUNCTION("IF(REGEXMATCH(LD259, ""n""), ""n1"",IF(REGEXMATCH(LE259, ""n""), ""n2"",""""))"),"")</f>
        <v/>
      </c>
      <c r="LS259" s="299" t="str">
        <f>IFERROR(__xludf.DUMMYFUNCTION("IF(REGEXMATCH(LD259, ""N""), ""N1"",IF(REGEXMATCH(LE259, ""N""), ""N2"",""""))"),"")</f>
        <v/>
      </c>
      <c r="LT259" s="388" t="str">
        <f>IFERROR(__xludf.DUMMYFUNCTION("IF(REGEXMATCH(LD259, ""S""), ""S"",IF(REGEXMATCH(LE259, ""S""), ""S"",""""))"),"S")</f>
        <v>S</v>
      </c>
      <c r="LU259" s="389">
        <f t="shared" si="196"/>
        <v>1</v>
      </c>
      <c r="LV259" s="378"/>
      <c r="LW259" s="369"/>
      <c r="LX259" s="369"/>
    </row>
    <row r="260" ht="18.0" customHeight="1">
      <c r="A260" s="298" t="s">
        <v>1041</v>
      </c>
      <c r="B260" s="222" t="s">
        <v>648</v>
      </c>
      <c r="C260" s="233" t="str">
        <f t="shared" si="7"/>
        <v>SRGmMPDnNS</v>
      </c>
      <c r="D260" s="234" t="str">
        <f>IFERROR(__xludf.DUMMYFUNCTION("IF(REGEXMATCH(C260, ""S""), ""S"","""")"),"S")</f>
        <v>S</v>
      </c>
      <c r="E260" s="236" t="str">
        <f>IFERROR(__xludf.DUMMYFUNCTION("IF(REGEXMATCH(C260, ""r""), ""r"","""")"),"")</f>
        <v/>
      </c>
      <c r="F260" s="237" t="str">
        <f>IFERROR(__xludf.DUMMYFUNCTION("IF(REGEXMATCH(C260, ""R""), ""R"","""")"),"R")</f>
        <v>R</v>
      </c>
      <c r="G260" s="237" t="str">
        <f>IFERROR(__xludf.DUMMYFUNCTION("IF(REGEXMATCH(C260, ""g""), ""g"","""")"),"")</f>
        <v/>
      </c>
      <c r="H260" s="236" t="str">
        <f>IFERROR(__xludf.DUMMYFUNCTION("IF(REGEXMATCH(C260, ""G""), ""G"","""")"),"G")</f>
        <v>G</v>
      </c>
      <c r="I260" s="236" t="str">
        <f>IFERROR(__xludf.DUMMYFUNCTION("IF(REGEXMATCH(C260, ""m""), ""m"","""")"),"m")</f>
        <v>m</v>
      </c>
      <c r="J260" s="237" t="str">
        <f>IFERROR(__xludf.DUMMYFUNCTION("IF(REGEXMATCH(C260, ""M""), ""M"","""")"),"M")</f>
        <v>M</v>
      </c>
      <c r="K260" s="236" t="str">
        <f>IFERROR(__xludf.DUMMYFUNCTION("IF(REGEXMATCH(C260, ""P""), ""P"","""")"),"P")</f>
        <v>P</v>
      </c>
      <c r="L260" s="237" t="str">
        <f>IFERROR(__xludf.DUMMYFUNCTION("IF(REGEXMATCH(C260, ""d""), ""d"","""")"),"")</f>
        <v/>
      </c>
      <c r="M260" s="236" t="str">
        <f>IFERROR(__xludf.DUMMYFUNCTION("IF(REGEXMATCH(C260, ""D""), ""D"","""")"),"D")</f>
        <v>D</v>
      </c>
      <c r="N260" s="236" t="str">
        <f>IFERROR(__xludf.DUMMYFUNCTION("IF(REGEXMATCH(C260, ""n""), ""n"","""")"),"n")</f>
        <v>n</v>
      </c>
      <c r="O260" s="237" t="str">
        <f>IFERROR(__xludf.DUMMYFUNCTION("IF(REGEXMATCH(C260, ""N""), ""N"","""")"),"N")</f>
        <v>N</v>
      </c>
      <c r="P260" s="238" t="str">
        <f>IFERROR(__xludf.DUMMYFUNCTION("IF(REGEXMATCH(C260, ""S""), ""S"","""")"),"S")</f>
        <v>S</v>
      </c>
      <c r="Q260" s="239" t="str">
        <f>IFERROR(__xludf.DUMMYFUNCTION("SUBSTITUTE(CONCATENATE(JOIN(""-"",D260:J260)),""-"","""")"),"SRGmM")</f>
        <v>SRGmM</v>
      </c>
      <c r="R260" s="229" t="str">
        <f>IFERROR(__xludf.DUMMYFUNCTION("SUBSTITUTE(CONCATENATE(JOIN(""-"",K260:P260)),""-"","""")"),"PDnNS")</f>
        <v>PDnNS</v>
      </c>
      <c r="S260" s="282" t="str">
        <f t="shared" si="8"/>
        <v>S-R-G-M</v>
      </c>
      <c r="T260" s="282" t="str">
        <f t="shared" si="9"/>
        <v>P-D-N-S</v>
      </c>
      <c r="U260" s="237" t="str">
        <f>IFERROR(__xludf.DUMMYFUNCTION("SUBSTITUTE(JOIN(""-"",S260,T260),""--"",""-"")"),"S-R-G-M-P-D-N-S")</f>
        <v>S-R-G-M-P-D-N-S</v>
      </c>
      <c r="V260" s="309" t="str">
        <f t="shared" si="10"/>
        <v>RGmMDnN</v>
      </c>
      <c r="W260" s="244" t="str">
        <f>IFERROR(__xludf.DUMMYFUNCTION("IF(REGEXMATCH(C260, ""S""), ""0"","""")"),"0")</f>
        <v>0</v>
      </c>
      <c r="X260" s="245" t="str">
        <f>IFERROR(__xludf.DUMMYFUNCTION("IF(REGEXMATCH(C260, ""r""), ""1"","""")"),"")</f>
        <v/>
      </c>
      <c r="Y260" s="246" t="str">
        <f>IFERROR(__xludf.DUMMYFUNCTION("IF(REGEXMATCH(C260, ""R""), ""2"","""")"),"2")</f>
        <v>2</v>
      </c>
      <c r="Z260" s="246" t="str">
        <f>IFERROR(__xludf.DUMMYFUNCTION("IF(REGEXMATCH(C260, ""g""), ""3"","""")"),"")</f>
        <v/>
      </c>
      <c r="AA260" s="245" t="str">
        <f>IFERROR(__xludf.DUMMYFUNCTION("IF(REGEXMATCH(C260, ""G""), ""4"","""")"),"4")</f>
        <v>4</v>
      </c>
      <c r="AB260" s="245" t="str">
        <f>IFERROR(__xludf.DUMMYFUNCTION("IF(REGEXMATCH(C260, ""m""), ""5"","""")"),"5")</f>
        <v>5</v>
      </c>
      <c r="AC260" s="246" t="str">
        <f>IFERROR(__xludf.DUMMYFUNCTION("IF(REGEXMATCH(C260, ""M""), ""6"","""")"),"6")</f>
        <v>6</v>
      </c>
      <c r="AD260" s="245" t="str">
        <f>IFERROR(__xludf.DUMMYFUNCTION("IF(REGEXMATCH(C260, ""P""), ""7"","""")"),"7")</f>
        <v>7</v>
      </c>
      <c r="AE260" s="246" t="str">
        <f>IFERROR(__xludf.DUMMYFUNCTION("IF(REGEXMATCH(C260, ""d""), ""8"","""")"),"")</f>
        <v/>
      </c>
      <c r="AF260" s="245" t="str">
        <f>IFERROR(__xludf.DUMMYFUNCTION("IF(REGEXMATCH(C260, ""D""), ""9"","""")"),"9")</f>
        <v>9</v>
      </c>
      <c r="AG260" s="245" t="str">
        <f>IFERROR(__xludf.DUMMYFUNCTION("IF(REGEXMATCH(C260, ""n""), ""10"","""")"),"10")</f>
        <v>10</v>
      </c>
      <c r="AH260" s="246" t="str">
        <f>IFERROR(__xludf.DUMMYFUNCTION("IF(REGEXMATCH(C260, ""N""), ""11"","""")"),"11")</f>
        <v>11</v>
      </c>
      <c r="AI260" s="249" t="str">
        <f>IFERROR(__xludf.DUMMYFUNCTION("IF(REGEXMATCH(C260, ""S""), ""0"","""")"),"0")</f>
        <v>0</v>
      </c>
      <c r="AJ260" s="313" t="str">
        <f t="shared" si="11"/>
        <v>T</v>
      </c>
      <c r="AK260" s="313" t="str">
        <f t="shared" si="12"/>
        <v>-</v>
      </c>
      <c r="AL260" s="313" t="str">
        <f t="shared" si="13"/>
        <v>-</v>
      </c>
      <c r="AM260" s="313" t="str">
        <f t="shared" si="14"/>
        <v>-</v>
      </c>
      <c r="AN260" s="313" t="str">
        <f t="shared" si="15"/>
        <v>T</v>
      </c>
      <c r="AO260" s="314" t="str">
        <f t="shared" si="16"/>
        <v>T</v>
      </c>
      <c r="AP260" s="316">
        <f t="shared" si="17"/>
        <v>3</v>
      </c>
      <c r="AQ260" s="319" t="str">
        <f t="shared" si="18"/>
        <v>-</v>
      </c>
      <c r="AR260" s="320">
        <f t="shared" si="19"/>
        <v>0</v>
      </c>
      <c r="AS260" s="250" t="str">
        <f>IFERROR(__xludf.DUMMYFUNCTION("SUBSTITUTE(SUBSTITUTE(CONCATENATE(JOIN("""",FP260:GA260)),""|"",""x""),""-"",""o"")"),"xoxoxxxxoxxx")</f>
        <v>xoxoxxxxoxxx</v>
      </c>
      <c r="AT260" s="323" t="str">
        <f>IFERROR(__xludf.DUMMYFUNCTION("JOIN("""",AS260,AS260)"),"xoxoxxxxoxxxxoxoxxxxoxxx")</f>
        <v>xoxoxxxxoxxxxoxoxxxxoxxx</v>
      </c>
      <c r="AU260" s="256" t="str">
        <f>IFERROR(__xludf.DUMMYFUNCTION("JOIN("""",ArrayFormula(MID(AS260,LEN(AS260)-SEQUENCE(1,LEN(AS260))+1,1)))"),"xxxoxxxxoxox")</f>
        <v>xxxoxxxxoxox</v>
      </c>
      <c r="AV260" s="256" t="str">
        <f>IFERROR(__xludf.DUMMYFUNCTION("LEFT(CONCATENATE(""x"",JOIN("""",ArrayFormula(MID(AS260,LEN(AS260)-SEQUENCE(1,LEN(AS260))+1,1)))),12)"),"xxxxoxxxxoxo")</f>
        <v>xxxxoxxxxoxo</v>
      </c>
      <c r="AW260" s="327" t="str">
        <f>IFERROR(__xludf.DUMMYFUNCTION("JOIN("""",AU260,AU260)"),"xxxoxxxxoxoxxxxoxxxxoxox")</f>
        <v>xxxoxxxxoxoxxxxoxxxxoxox</v>
      </c>
      <c r="AX260" s="239" t="str">
        <f>IFERROR(__xludf.DUMMYFUNCTION("IF(REGEXMATCH(AW260,AS260),""✔"",""-"")"),"✔")</f>
        <v>✔</v>
      </c>
      <c r="AY260" s="330" t="str">
        <f t="shared" si="20"/>
        <v>-</v>
      </c>
      <c r="AZ260" s="260" t="str">
        <f t="shared" si="21"/>
        <v>#REF!</v>
      </c>
      <c r="BA260" s="333" t="str">
        <f t="shared" si="22"/>
        <v>xoxoxxx</v>
      </c>
      <c r="BB260" s="334" t="str">
        <f t="shared" si="23"/>
        <v>xoxxxx</v>
      </c>
      <c r="BC260" s="335" t="str">
        <f t="shared" si="236"/>
        <v>-</v>
      </c>
      <c r="BD260" s="336" t="str">
        <f t="shared" si="25"/>
        <v>Pancham se Pilu: 'xoxoxxx' + 'xoxxxx'</v>
      </c>
      <c r="BE260" s="337">
        <f>IFERROR(__xludf.DUMMYFUNCTION("COUNTUNIQUE(FILTER(AT:AT,REGEXMATCH(AT:AT,AS260)))-1"),4.0)</f>
        <v>4</v>
      </c>
      <c r="BF260" s="261" t="str">
        <f>IFERROR(__xludf.DUMMYFUNCTION("IF(BI260=0,""(n/a)"",IF(BJ260=2,""(PAIR)"",IF(REGEXMATCH(AT260,""xoxoxxoxoxox""),""Bilawal"",IF(REGEXMATCH(AT260,""xoxoxooxoxoo""),""Bhupali"",IF(REGEXMATCH(AT260,""xoxoxxoxxoxo""),""Charukeshi"",IF(REGEXMATCH(AT260,""xoxoooxxoxxo""),""Kameshwari"",IF(REG"&amp;"EXMATCH(AT260,""xoxoxooxoxox""),""Shankara"",IF(REGEXMATCH(AT260,""xxooxoxxxoox""),""Basant"",IF(REGEXMATCH(AT260,""xoxoxxxxoxox""),""Bihag"",IF(REGEXMATCH(AT260,""xoxxxxoxoxxx""),""Pilu"",IF(REGEXMATCH(AT260,""xoxxoxoxxoox""),""Kirwani"",IF(REGEXMATCH(AT"&amp;"260,""xoxxoxoxoxxx""),""Mk.Malhar"",IF(REGEXMATCH(AT260,""xxooxxoxxoox""),""Bhairav"",IF(REGEXMATCH(AT260,""xxoxooxxxoox""),""Todi"",IF(REGEXMATCH(AT260,""xxooxoxooxox""),""Marwa"",IF(REGEXMATCH(AT260,""xxoooxoxxooo""),""Gunkali"",IF(REGEXMATCH(AT260,""xo"&amp;"xoxxoxxoox""),""Nat Bhairav"",IF(REGEXMATCH(AT260,""xoxxoooxoxoo""),""Shivranjani"",IF(REGEXMATCH(AT260,""xooxxxoxooxo""),""Jog"",IF(REGEXMATCH(AT260,""xxooxoxoxoox""),""Hemshri"",IF(REGEXMATCH(AT260,""xoooxooxoxxo""),""Kalavati"",IF(REGEXMATCH(AT260,""xx"&amp;"oxoxxoxoox""),""Kedar"",IF(REGEXMATCH(AT260,""xoxxxxoxooxx""),""Gara"",IF(REGEXMATCH(AT260,""xooxoxooxoox""),""Chandrakauns"",IF(REGEXMATCH(AT260,""xoxxxxoxxxox""),""Mand"",IF(REGEXMATCH(AT260,""xoxxxxoxoxox""),""Hanskinkini"",IF(REGEXMATCH(AT260,""xxooxx"&amp;"oxooxo""),""Lilavati"",IF(REGEXMATCH(AT260,""xooxoxoooxox""),""Rajeshwari"",IF(REGEXMATCH(AT260,""xoooxxoxoxxx""),""Khokar"",IF(REGEXMATCH(AT260,""xxooxoxxxxox""),""Maligoura"",""-""))))))))))))))))))))))))))))))"),"Pilu")</f>
        <v>Pilu</v>
      </c>
      <c r="BG260" s="239" t="str">
        <f t="shared" si="26"/>
        <v>#REF!</v>
      </c>
      <c r="BH260" s="239">
        <f>IFERROR(__xludf.DUMMYFUNCTION("COUNTUNIQUE(FE260:FO260)-1"),8.0)</f>
        <v>8</v>
      </c>
      <c r="BI260" s="239">
        <f>IFERROR(__xludf.DUMMYFUNCTION("COUNTUNIQUE(FILTER(AT:AT,REGEXMATCH(AT:AT,AS260)))-1"),4.0)</f>
        <v>4</v>
      </c>
      <c r="BJ260" s="239">
        <f>IFERROR(__xludf.DUMMYFUNCTION("COUNTA(FILTER(AT:AT,REGEXMATCH(AT:AT,AS260)))"),26.0)</f>
        <v>26</v>
      </c>
      <c r="BK260" s="341">
        <f>IFERROR(__xludf.DUMMYFUNCTION("COUNTA(FILTER(AT:AT,REGEXMATCH(AT:AT,AS260)))-AR260"),26.0)</f>
        <v>26</v>
      </c>
      <c r="BL260" s="276" t="str">
        <f>IFERROR(__xludf.DUMMYFUNCTION("IF(AS260=""oooooooooooo"",""-"",IF(REGEXMATCH(AT260,""xx""), ""Hemi."", ""Anhemi.""))"),"Hemi.")</f>
        <v>Hemi.</v>
      </c>
      <c r="BM260" s="282" t="str">
        <f>IFERROR(__xludf.DUMMYFUNCTION("IF(AS260=""oooooooooooo"",""-"",IF(REGEXMATCH(AT260,""xxx""), ""Cohem."", ""-""))"),"Cohem.")</f>
        <v>Cohem.</v>
      </c>
      <c r="BN260" s="282" t="str">
        <f>IFERROR(__xludf.DUMMYFUNCTION("IF(AS260=""oooooooooooo"",""-"",IF(REGEXMATCH(AT260,""xxxx""), ""Co-Co."", ""-""))"),"Co-Co.")</f>
        <v>Co-Co.</v>
      </c>
      <c r="BO260" s="342" t="str">
        <f>IFERROR(__xludf.DUMMYFUNCTION("IF(AS260=""oooooooooooo"",""-"",IF(REGEXMATCH(AT260,""xxxxx""), ""CCC."", ""-""))"),"-")</f>
        <v>-</v>
      </c>
      <c r="BP260" s="344" t="str">
        <f t="shared" si="27"/>
        <v>-</v>
      </c>
      <c r="BQ260" s="282" t="str">
        <f>IFERROR(__xludf.DUMMYFUNCTION("IF(REGEXMATCH(JOIN(""-"",EU260:FD260),""TRUE""),""✔"",""-"")"),"-")</f>
        <v>-</v>
      </c>
      <c r="BR260" s="225">
        <f t="shared" si="28"/>
        <v>0</v>
      </c>
      <c r="BS260" s="345" t="str">
        <f>IFERROR(__xludf.DUMMYFUNCTION("SUBSTITUTE(SUBSTITUTE(SUBSTITUTE(SUBSTITUTE(CONCATENATE(JOIN(""-"",GC260:GO260)),""--"",""-""),""--"",""-""),""--"",""-""),""--"",""-"")"),"1-2-3-4-#4-5-6-b7-7-8")</f>
        <v>1-2-3-4-#4-5-6-b7-7-8</v>
      </c>
      <c r="BT260" s="299" t="str">
        <f>IFERROR(__xludf.DUMMYFUNCTION("SUBSTITUTE(SUBSTITUTE(SUBSTITUTE(SUBSTITUTE(CONCATENATE(JOIN(""-"",GP260:HB260)),""--"",""-""),""--"",""-""),""--"",""-""),""--"",""-"")"),"S-R2-G3-M1-M2-P-D2-N2-N3-S")</f>
        <v>S-R2-G3-M1-M2-P-D2-N2-N3-S</v>
      </c>
      <c r="BU260" s="348" t="str">
        <f t="shared" si="29"/>
        <v>C-D-E-F-F#-G-A-Bb-B-C</v>
      </c>
      <c r="BV260" s="349" t="str">
        <f t="shared" si="30"/>
        <v>SrgdS</v>
      </c>
      <c r="BW260" s="350">
        <f t="shared" si="31"/>
        <v>0</v>
      </c>
      <c r="BX260" s="351">
        <f t="shared" si="32"/>
        <v>8</v>
      </c>
      <c r="BY260" s="392"/>
      <c r="BZ260" s="309" t="str">
        <f>IFERROR(__xludf.DUMMYFUNCTION("IF(REGEXMATCH(C260, ""S""), ""x"",""x"")"),"x")</f>
        <v>x</v>
      </c>
      <c r="CA260" s="245" t="str">
        <f>IFERROR(__xludf.DUMMYFUNCTION("IF(REGEXMATCH(C260, ""r""), ""o"",""x"")"),"x")</f>
        <v>x</v>
      </c>
      <c r="CB260" s="246" t="str">
        <f>IFERROR(__xludf.DUMMYFUNCTION("IF(REGEXMATCH(C260, ""R""), ""o"",""x"")"),"o")</f>
        <v>o</v>
      </c>
      <c r="CC260" s="246" t="str">
        <f>IFERROR(__xludf.DUMMYFUNCTION("IF(REGEXMATCH(C260, ""g""), ""o"",""x"")"),"x")</f>
        <v>x</v>
      </c>
      <c r="CD260" s="245" t="str">
        <f>IFERROR(__xludf.DUMMYFUNCTION("IF(REGEXMATCH(C260, ""G""), ""o"",""x"")"),"o")</f>
        <v>o</v>
      </c>
      <c r="CE260" s="245" t="str">
        <f>IFERROR(__xludf.DUMMYFUNCTION("IF(REGEXMATCH(C260, ""m""), ""o"",""x"")"),"o")</f>
        <v>o</v>
      </c>
      <c r="CF260" s="246" t="str">
        <f>IFERROR(__xludf.DUMMYFUNCTION("IF(REGEXMATCH(C260, ""M""), ""o"",""x"")"),"o")</f>
        <v>o</v>
      </c>
      <c r="CG260" s="245" t="str">
        <f>IFERROR(__xludf.DUMMYFUNCTION("IF(REGEXMATCH(C260, ""P""), ""o"",""x"")"),"o")</f>
        <v>o</v>
      </c>
      <c r="CH260" s="246" t="str">
        <f>IFERROR(__xludf.DUMMYFUNCTION("IF(REGEXMATCH(C260, ""d""), ""o"",""x"")"),"x")</f>
        <v>x</v>
      </c>
      <c r="CI260" s="245" t="str">
        <f>IFERROR(__xludf.DUMMYFUNCTION("IF(REGEXMATCH(C260, ""D""), ""o"",""x"")"),"o")</f>
        <v>o</v>
      </c>
      <c r="CJ260" s="245" t="str">
        <f>IFERROR(__xludf.DUMMYFUNCTION("IF(REGEXMATCH(C260, ""n""), ""o"",""x"")"),"o")</f>
        <v>o</v>
      </c>
      <c r="CK260" s="245" t="str">
        <f>IFERROR(__xludf.DUMMYFUNCTION("IF(REGEXMATCH(C260, ""N""), ""o"",""x"")"),"o")</f>
        <v>o</v>
      </c>
      <c r="CL260" s="356" t="str">
        <f>IFERROR(__xludf.DUMMYFUNCTION("IF(REGEXMATCH(C260, ""S""), ""x"",""x"")"),"x")</f>
        <v>x</v>
      </c>
      <c r="CM260" s="357" t="str">
        <f t="shared" si="33"/>
        <v>xxoxooooxooo</v>
      </c>
      <c r="CN260" s="358">
        <f t="shared" si="34"/>
        <v>0</v>
      </c>
      <c r="CO260" s="246" t="str">
        <f>IFERROR(__xludf.DUMMYFUNCTION("IF(REGEXMATCH($C260, ""S""), ""S"",""S"")"),"S")</f>
        <v>S</v>
      </c>
      <c r="CP260" s="246" t="str">
        <f>IFERROR(__xludf.DUMMYFUNCTION("IF(REGEXMATCH($C260, ""r""), """",""r"")"),"r")</f>
        <v>r</v>
      </c>
      <c r="CQ260" s="246" t="str">
        <f>IFERROR(__xludf.DUMMYFUNCTION("IF(REGEXMATCH($C260, ""R""), """",""R"")"),"")</f>
        <v/>
      </c>
      <c r="CR260" s="246" t="str">
        <f>IFERROR(__xludf.DUMMYFUNCTION("IF(REGEXMATCH($C260, ""g""), """",""g"")"),"g")</f>
        <v>g</v>
      </c>
      <c r="CS260" s="246" t="str">
        <f>IFERROR(__xludf.DUMMYFUNCTION("IF(REGEXMATCH($C260, ""G""), """",""G"")"),"")</f>
        <v/>
      </c>
      <c r="CT260" s="246" t="str">
        <f>IFERROR(__xludf.DUMMYFUNCTION("IF(REGEXMATCH($C260, ""m""), """",""m"")"),"")</f>
        <v/>
      </c>
      <c r="CU260" s="246" t="str">
        <f>IFERROR(__xludf.DUMMYFUNCTION("IF(REGEXMATCH($C260, ""M""), """",""M"")"),"")</f>
        <v/>
      </c>
      <c r="CV260" s="246" t="str">
        <f>IFERROR(__xludf.DUMMYFUNCTION("IF(REGEXMATCH($C260, ""P""), """",""P"")"),"")</f>
        <v/>
      </c>
      <c r="CW260" s="246" t="str">
        <f>IFERROR(__xludf.DUMMYFUNCTION("IF(REGEXMATCH($C260, ""d""), """",""d"")"),"d")</f>
        <v>d</v>
      </c>
      <c r="CX260" s="246" t="str">
        <f>IFERROR(__xludf.DUMMYFUNCTION("IF(REGEXMATCH($C260, ""D""), """",""D"")"),"")</f>
        <v/>
      </c>
      <c r="CY260" s="246" t="str">
        <f>IFERROR(__xludf.DUMMYFUNCTION("IF(REGEXMATCH($C260, ""n""), """",""n"")"),"")</f>
        <v/>
      </c>
      <c r="CZ260" s="246" t="str">
        <f>IFERROR(__xludf.DUMMYFUNCTION("IF(REGEXMATCH($C260, ""N""), """",""N"")"),"")</f>
        <v/>
      </c>
      <c r="DA260" s="246" t="str">
        <f>IFERROR(__xludf.DUMMYFUNCTION("IF(REGEXMATCH($C260, ""S""), ""S"",""S"")"),"S")</f>
        <v>S</v>
      </c>
      <c r="DB260" s="362" t="str">
        <f>IFERROR(__xludf.DUMMYFUNCTION("JOIN("""",CO260:DA260,"""","""")"),"SrgdS")</f>
        <v>SrgdS</v>
      </c>
      <c r="DC260" s="363"/>
      <c r="DD260" s="301" t="str">
        <f t="shared" si="35"/>
        <v>#REF!</v>
      </c>
      <c r="DE260" s="302" t="str">
        <f t="shared" si="36"/>
        <v>#REF!</v>
      </c>
      <c r="DF260" s="301" t="str">
        <f t="shared" ref="DF260:DG260" si="741">SUBSTITUTE(S260,"-","")</f>
        <v>SRGM</v>
      </c>
      <c r="DG260" s="301" t="str">
        <f t="shared" si="741"/>
        <v>PDNS</v>
      </c>
      <c r="DH260" s="302" t="str">
        <f t="shared" si="38"/>
        <v>Pilu</v>
      </c>
      <c r="DI260" s="301" t="str">
        <f t="shared" si="39"/>
        <v>Hemi.</v>
      </c>
      <c r="DJ260" s="364" t="str">
        <f t="shared" si="40"/>
        <v>Co-Co.</v>
      </c>
      <c r="DK260" s="306" t="str">
        <f t="shared" si="41"/>
        <v>-</v>
      </c>
      <c r="DL260" s="366" t="str">
        <f t="shared" si="42"/>
        <v>-</v>
      </c>
      <c r="DM260" s="308" t="str">
        <f t="shared" si="43"/>
        <v>✔</v>
      </c>
      <c r="DN260" s="306" t="str">
        <f t="shared" si="44"/>
        <v>-</v>
      </c>
      <c r="DO260" s="306" t="str">
        <f t="shared" si="45"/>
        <v>-</v>
      </c>
      <c r="DP260" s="367" t="str">
        <f t="shared" si="46"/>
        <v>-</v>
      </c>
      <c r="DQ260" s="310" t="str">
        <f t="shared" si="47"/>
        <v>-</v>
      </c>
      <c r="DR260" s="310" t="str">
        <f t="shared" si="48"/>
        <v>-</v>
      </c>
      <c r="DS260" s="310" t="str">
        <f t="shared" si="49"/>
        <v>✔</v>
      </c>
      <c r="DT260" s="310" t="str">
        <f t="shared" si="50"/>
        <v>-</v>
      </c>
      <c r="DU260" s="370" t="str">
        <f t="shared" si="51"/>
        <v>✔</v>
      </c>
      <c r="DV260" s="306" t="str">
        <f t="shared" si="52"/>
        <v>-</v>
      </c>
      <c r="DW260" s="306" t="str">
        <f t="shared" si="53"/>
        <v>-</v>
      </c>
      <c r="DX260" s="306" t="str">
        <f t="shared" si="54"/>
        <v>-</v>
      </c>
      <c r="DY260" s="306" t="str">
        <f t="shared" si="55"/>
        <v>-</v>
      </c>
      <c r="DZ260" s="306" t="str">
        <f t="shared" si="56"/>
        <v>-</v>
      </c>
      <c r="EA260" s="367" t="str">
        <f t="shared" si="57"/>
        <v>-</v>
      </c>
      <c r="EB260" s="310" t="str">
        <f>IFERROR(__xludf.DUMMYFUNCTION("IF(REGEXMATCH(AW260,AS260),""✔"",""-"")"),"✔")</f>
        <v>✔</v>
      </c>
      <c r="EC260" s="310" t="str">
        <f t="shared" si="58"/>
        <v>#REF!</v>
      </c>
      <c r="ED260" s="370" t="str">
        <f t="shared" si="59"/>
        <v>-</v>
      </c>
      <c r="EE260" s="340" t="str">
        <f t="shared" si="60"/>
        <v>S-R-G-mM-P-D-nN-S</v>
      </c>
      <c r="EF260" s="371" t="str">
        <f>IFERROR(__xludf.DUMMYFUNCTION("CONCATENATE(JOIN("""",HC260:HO260))"),"SrRgmMPdnS")</f>
        <v>SrRgmMPdnS</v>
      </c>
      <c r="EG260" s="372">
        <f t="shared" si="61"/>
        <v>1</v>
      </c>
      <c r="EH260" s="373" t="str">
        <f>IFERROR(__xludf.DUMMYFUNCTION("CONCATENATE(JOIN("""",JC260:JO260))"),"Ma, ")</f>
        <v>Ma, </v>
      </c>
      <c r="EI260" s="322">
        <f t="shared" si="62"/>
        <v>0</v>
      </c>
      <c r="EJ260" s="374" t="str">
        <f>IFERROR(__xludf.DUMMYFUNCTION("CONCATENATE(JOIN("""",KC260:KO260))"),"")</f>
        <v/>
      </c>
      <c r="EK260" s="325" t="str">
        <f t="shared" si="63"/>
        <v>S-R2-G3-M1-M2-P-D2-N2-N3-S</v>
      </c>
      <c r="EL260" s="326" t="str">
        <f t="shared" si="64"/>
        <v>1-2-3-4-#4-5-6-b7-7-8</v>
      </c>
      <c r="EM260" s="318" t="str">
        <f t="shared" si="65"/>
        <v>#REF!</v>
      </c>
      <c r="EN260" s="328" t="str">
        <f>IFERROR(__xludf.DUMMYFUNCTION("SUBSTITUTE(SUBSTITUTE(SUBSTITUTE(SUBSTITUTE(CONCATENATE(JOIN("" "",HP260:IB260)),""  "","" ""),""  "","" ""),""  "","" ""),""  "","" "")"),"o • o • o o o o • o o o o")</f>
        <v>o • o • o o o o • o o o o</v>
      </c>
      <c r="EO260" s="368" t="str">
        <f t="shared" si="66"/>
        <v>-</v>
      </c>
      <c r="EP260" s="339" t="str">
        <f t="shared" si="67"/>
        <v>-</v>
      </c>
      <c r="EQ260" s="339" t="str">
        <f t="shared" si="68"/>
        <v>Sa-Pa</v>
      </c>
      <c r="ER260" s="339" t="str">
        <f t="shared" si="69"/>
        <v>-</v>
      </c>
      <c r="ES260" s="340" t="str">
        <f t="shared" si="70"/>
        <v>-</v>
      </c>
      <c r="ET260" s="363"/>
      <c r="EU260" s="376" t="b">
        <f>IFERROR(__xludf.DUMMYFUNCTION("arrayformula(sum(--REGEXMATCH(""SRGMPDNS"",split(REGEXREPLACE(C260,""(.)"",""$1~""),""~""))))=len(C260)
"),FALSE)</f>
        <v>0</v>
      </c>
      <c r="EV260" s="290" t="b">
        <f>IFERROR(__xludf.DUMMYFUNCTION("arrayformula(sum(--REGEXMATCH(""SRGmPDNS"",split(REGEXREPLACE(C260,""(.)"",""$1~""),""~""))))=len(C260)"),FALSE)</f>
        <v>0</v>
      </c>
      <c r="EW260" s="290" t="b">
        <f>IFERROR(__xludf.DUMMYFUNCTION("arrayformula(sum(--REGEXMATCH(""SRGmPDnS"",split(REGEXREPLACE(C260,""(.)"",""$1~""),""~""))))=len(C260)"),FALSE)</f>
        <v>0</v>
      </c>
      <c r="EX260" s="290" t="b">
        <f>IFERROR(__xludf.DUMMYFUNCTION("arrayformula(sum(--REGEXMATCH(""SRgmPDnS"",split(REGEXREPLACE(C260,""(.)"",""$1~""),""~""))))=len(C260)"),FALSE)</f>
        <v>0</v>
      </c>
      <c r="EY260" s="290" t="b">
        <f>IFERROR(__xludf.DUMMYFUNCTION("arrayformula(sum(--REGEXMATCH(""SRgmPdnS"",split(REGEXREPLACE(C260,""(.)"",""$1~""),""~""))))=len(C260)"),FALSE)</f>
        <v>0</v>
      </c>
      <c r="EZ260" s="290" t="b">
        <f>IFERROR(__xludf.DUMMYFUNCTION("arrayformula(sum(--REGEXMATCH(""SrgmPdnS"",split(REGEXREPLACE(C260,""(.)"",""$1~""),""~""))))=len(C260)"),FALSE)</f>
        <v>0</v>
      </c>
      <c r="FA260" s="290" t="b">
        <f>IFERROR(__xludf.DUMMYFUNCTION("arrayformula(sum(--REGEXMATCH(""SrGmPdNS"",split(REGEXREPLACE(C260,""(.)"",""$1~""),""~""))))=len(C260)"),FALSE)</f>
        <v>0</v>
      </c>
      <c r="FB260" s="290" t="b">
        <f>IFERROR(__xludf.DUMMYFUNCTION("arrayformula(sum(--REGEXMATCH(""SrGMPDNS"",split(REGEXREPLACE(C260,""(.)"",""$1~""),""~""))))=len(C260)"),FALSE)</f>
        <v>0</v>
      </c>
      <c r="FC260" s="290" t="b">
        <f>IFERROR(__xludf.DUMMYFUNCTION("arrayformula(sum(--REGEXMATCH(""SrGMPdNS"",split(REGEXREPLACE(C260,""(.)"",""$1~""),""~""))))=len(C260)"),FALSE)</f>
        <v>0</v>
      </c>
      <c r="FD260" s="377" t="b">
        <f>IFERROR(__xludf.DUMMYFUNCTION("arrayformula(sum(--REGEXMATCH(""SrgMPdNS"",split(REGEXREPLACE(C260,""(.)"",""$1~""),""~""))))=len(C260)"),FALSE)</f>
        <v>0</v>
      </c>
      <c r="FE260" s="269" t="str">
        <f t="shared" si="71"/>
        <v>-</v>
      </c>
      <c r="FF260" s="269" t="str">
        <f t="shared" si="72"/>
        <v>xoxxxxoxxxx</v>
      </c>
      <c r="FG260" s="271" t="str">
        <f t="shared" si="73"/>
        <v>-</v>
      </c>
      <c r="FH260" s="269" t="str">
        <f t="shared" si="74"/>
        <v>xxxxoxxxxox</v>
      </c>
      <c r="FI260" s="271" t="str">
        <f t="shared" si="75"/>
        <v>xxxoxxxxoxo</v>
      </c>
      <c r="FJ260" s="271" t="str">
        <f t="shared" si="76"/>
        <v>xxoxxxxoxox</v>
      </c>
      <c r="FK260" s="271" t="str">
        <f t="shared" si="77"/>
        <v>xoxxxxoxoxx</v>
      </c>
      <c r="FL260" s="271" t="str">
        <f t="shared" si="78"/>
        <v>-</v>
      </c>
      <c r="FM260" s="271" t="str">
        <f t="shared" si="79"/>
        <v>xxxxoxoxxxx</v>
      </c>
      <c r="FN260" s="271" t="str">
        <f t="shared" si="80"/>
        <v>xxxoxoxxxxo</v>
      </c>
      <c r="FO260" s="274" t="str">
        <f t="shared" si="81"/>
        <v>xxoxoxxxxox</v>
      </c>
      <c r="FP260" s="234" t="str">
        <f t="shared" si="82"/>
        <v>|</v>
      </c>
      <c r="FQ260" s="236" t="str">
        <f t="shared" si="83"/>
        <v>-</v>
      </c>
      <c r="FR260" s="237" t="str">
        <f t="shared" si="84"/>
        <v>|</v>
      </c>
      <c r="FS260" s="236" t="str">
        <f t="shared" si="85"/>
        <v>-</v>
      </c>
      <c r="FT260" s="237" t="str">
        <f t="shared" si="86"/>
        <v>|</v>
      </c>
      <c r="FU260" s="236" t="str">
        <f t="shared" si="87"/>
        <v>|</v>
      </c>
      <c r="FV260" s="237" t="str">
        <f t="shared" si="88"/>
        <v>|</v>
      </c>
      <c r="FW260" s="236" t="str">
        <f t="shared" si="89"/>
        <v>|</v>
      </c>
      <c r="FX260" s="237" t="str">
        <f t="shared" si="90"/>
        <v>-</v>
      </c>
      <c r="FY260" s="236" t="str">
        <f t="shared" si="91"/>
        <v>|</v>
      </c>
      <c r="FZ260" s="237" t="str">
        <f t="shared" si="92"/>
        <v>|</v>
      </c>
      <c r="GA260" s="236" t="str">
        <f t="shared" si="93"/>
        <v>|</v>
      </c>
      <c r="GB260" s="238" t="str">
        <f t="shared" si="94"/>
        <v>|</v>
      </c>
      <c r="GC260" s="244" t="str">
        <f>IFERROR(__xludf.DUMMYFUNCTION("IF(REGEXMATCH(C260, ""S""), ""1"","""")"),"1")</f>
        <v>1</v>
      </c>
      <c r="GD260" s="245" t="str">
        <f>IFERROR(__xludf.DUMMYFUNCTION("IF(REGEXMATCH(C260, ""r""), ""b2"","""")"),"")</f>
        <v/>
      </c>
      <c r="GE260" s="246" t="str">
        <f>IFERROR(__xludf.DUMMYFUNCTION("IF(REGEXMATCH(C260, ""R""), ""2"","""")"),"2")</f>
        <v>2</v>
      </c>
      <c r="GF260" s="246" t="str">
        <f>IFERROR(__xludf.DUMMYFUNCTION("IF(REGEXMATCH(C260, ""g""), ""b3"","""")"),"")</f>
        <v/>
      </c>
      <c r="GG260" s="245" t="str">
        <f>IFERROR(__xludf.DUMMYFUNCTION("IF(REGEXMATCH(C260, ""G""), ""3"","""")"),"3")</f>
        <v>3</v>
      </c>
      <c r="GH260" s="245" t="str">
        <f>IFERROR(__xludf.DUMMYFUNCTION("IF(REGEXMATCH(C260, ""m""), ""4"","""")"),"4")</f>
        <v>4</v>
      </c>
      <c r="GI260" s="246" t="str">
        <f>IFERROR(__xludf.DUMMYFUNCTION("IF(REGEXMATCH(C260, ""M""), ""#4"","""")"),"#4")</f>
        <v>#4</v>
      </c>
      <c r="GJ260" s="245" t="str">
        <f>IFERROR(__xludf.DUMMYFUNCTION("IF(REGEXMATCH(C260, ""P""), ""5"","""")"),"5")</f>
        <v>5</v>
      </c>
      <c r="GK260" s="246" t="str">
        <f>IFERROR(__xludf.DUMMYFUNCTION("IF(REGEXMATCH(C260, ""d""), ""b6"","""")"),"")</f>
        <v/>
      </c>
      <c r="GL260" s="245" t="str">
        <f>IFERROR(__xludf.DUMMYFUNCTION("IF(REGEXMATCH(C260, ""D""), ""6"","""")"),"6")</f>
        <v>6</v>
      </c>
      <c r="GM260" s="245" t="str">
        <f>IFERROR(__xludf.DUMMYFUNCTION("IF(REGEXMATCH(C260, ""n""), ""b7"","""")"),"b7")</f>
        <v>b7</v>
      </c>
      <c r="GN260" s="246" t="str">
        <f>IFERROR(__xludf.DUMMYFUNCTION("IF(REGEXMATCH(C260, ""N""), ""7"","""")"),"7")</f>
        <v>7</v>
      </c>
      <c r="GO260" s="249" t="str">
        <f>IFERROR(__xludf.DUMMYFUNCTION("IF(REGEXMATCH(C260, ""S""), ""8"","""")"),"8")</f>
        <v>8</v>
      </c>
      <c r="GP260" s="244" t="str">
        <f>IFERROR(__xludf.DUMMYFUNCTION("IF(REGEXMATCH(C260, ""S""), ""S"","""")"),"S")</f>
        <v>S</v>
      </c>
      <c r="GQ260" s="294" t="str">
        <f>IFERROR(__xludf.DUMMYFUNCTION("IF(REGEXMATCH(C260, ""r""), ""R1"","""")"),"")</f>
        <v/>
      </c>
      <c r="GR260" s="295" t="str">
        <f>IFERROR(__xludf.DUMMYFUNCTION("IF(REGEXMATCH(C260, ""R""), ""R2"","""")"),"R2")</f>
        <v>R2</v>
      </c>
      <c r="GS260" s="295" t="str">
        <f>IFERROR(__xludf.DUMMYFUNCTION("IF(REGEXMATCH(C260, ""g""), ""G2"","""")"),"")</f>
        <v/>
      </c>
      <c r="GT260" s="294" t="str">
        <f>IFERROR(__xludf.DUMMYFUNCTION("IF(REGEXMATCH(C260, ""G""), ""G3"","""")"),"G3")</f>
        <v>G3</v>
      </c>
      <c r="GU260" s="294" t="str">
        <f>IFERROR(__xludf.DUMMYFUNCTION("IF(REGEXMATCH(C260, ""m""), ""M1"","""")"),"M1")</f>
        <v>M1</v>
      </c>
      <c r="GV260" s="295" t="str">
        <f>IFERROR(__xludf.DUMMYFUNCTION("IF(REGEXMATCH(C260, ""M""), ""M2"","""")"),"M2")</f>
        <v>M2</v>
      </c>
      <c r="GW260" s="294" t="str">
        <f>IFERROR(__xludf.DUMMYFUNCTION("IF(REGEXMATCH(C260, ""P""), ""P"","""")"),"P")</f>
        <v>P</v>
      </c>
      <c r="GX260" s="295" t="str">
        <f>IFERROR(__xludf.DUMMYFUNCTION("IF(REGEXMATCH(C260, ""d""), ""D1"","""")"),"")</f>
        <v/>
      </c>
      <c r="GY260" s="294" t="str">
        <f>IFERROR(__xludf.DUMMYFUNCTION("IF(REGEXMATCH(C260, ""D""), ""D2"","""")"),"D2")</f>
        <v>D2</v>
      </c>
      <c r="GZ260" s="294" t="str">
        <f>IFERROR(__xludf.DUMMYFUNCTION("IF(REGEXMATCH(C260, ""n""), ""N2"","""")"),"N2")</f>
        <v>N2</v>
      </c>
      <c r="HA260" s="295" t="str">
        <f>IFERROR(__xludf.DUMMYFUNCTION("IF(REGEXMATCH(C260, ""N""), ""N3"","""")"),"N3")</f>
        <v>N3</v>
      </c>
      <c r="HB260" s="249" t="str">
        <f>IFERROR(__xludf.DUMMYFUNCTION("IF(REGEXMATCH(C260, ""S""), ""S"","""")"),"S")</f>
        <v>S</v>
      </c>
      <c r="HC260" s="331" t="str">
        <f t="shared" si="95"/>
        <v>S</v>
      </c>
      <c r="HD260" s="332" t="str">
        <f t="shared" si="96"/>
        <v>r</v>
      </c>
      <c r="HE260" s="332" t="str">
        <f t="shared" si="97"/>
        <v>R</v>
      </c>
      <c r="HF260" s="332" t="str">
        <f t="shared" si="98"/>
        <v>g</v>
      </c>
      <c r="HG260" s="332" t="str">
        <f t="shared" si="99"/>
        <v/>
      </c>
      <c r="HH260" s="332" t="str">
        <f t="shared" si="100"/>
        <v>m</v>
      </c>
      <c r="HI260" s="332" t="str">
        <f t="shared" si="101"/>
        <v>M</v>
      </c>
      <c r="HJ260" s="332" t="str">
        <f t="shared" si="102"/>
        <v>P</v>
      </c>
      <c r="HK260" s="332" t="str">
        <f t="shared" si="103"/>
        <v>d</v>
      </c>
      <c r="HL260" s="332" t="str">
        <f t="shared" si="104"/>
        <v/>
      </c>
      <c r="HM260" s="332" t="str">
        <f t="shared" si="105"/>
        <v>n</v>
      </c>
      <c r="HN260" s="332" t="str">
        <f t="shared" si="106"/>
        <v/>
      </c>
      <c r="HO260" s="343" t="str">
        <f t="shared" si="107"/>
        <v>S</v>
      </c>
      <c r="HP260" s="331" t="str">
        <f t="shared" si="108"/>
        <v>o</v>
      </c>
      <c r="HQ260" s="332" t="str">
        <f t="shared" si="109"/>
        <v>•</v>
      </c>
      <c r="HR260" s="332" t="str">
        <f t="shared" si="110"/>
        <v>o</v>
      </c>
      <c r="HS260" s="332" t="str">
        <f t="shared" si="111"/>
        <v>•</v>
      </c>
      <c r="HT260" s="332" t="str">
        <f t="shared" si="112"/>
        <v>o</v>
      </c>
      <c r="HU260" s="332" t="str">
        <f t="shared" si="113"/>
        <v>o</v>
      </c>
      <c r="HV260" s="332" t="str">
        <f t="shared" si="114"/>
        <v>o</v>
      </c>
      <c r="HW260" s="332" t="str">
        <f t="shared" si="115"/>
        <v>o</v>
      </c>
      <c r="HX260" s="332" t="str">
        <f t="shared" si="116"/>
        <v>•</v>
      </c>
      <c r="HY260" s="332" t="str">
        <f t="shared" si="117"/>
        <v>o</v>
      </c>
      <c r="HZ260" s="332" t="str">
        <f t="shared" si="118"/>
        <v>o</v>
      </c>
      <c r="IA260" s="332" t="str">
        <f t="shared" si="119"/>
        <v>o</v>
      </c>
      <c r="IB260" s="338" t="str">
        <f t="shared" si="120"/>
        <v>o</v>
      </c>
      <c r="IC260" s="331" t="str">
        <f t="shared" si="121"/>
        <v>•</v>
      </c>
      <c r="ID260" s="332" t="str">
        <f t="shared" si="122"/>
        <v>o</v>
      </c>
      <c r="IE260" s="332" t="str">
        <f t="shared" si="123"/>
        <v>•</v>
      </c>
      <c r="IF260" s="332" t="str">
        <f t="shared" si="124"/>
        <v>o</v>
      </c>
      <c r="IG260" s="332" t="str">
        <f t="shared" si="125"/>
        <v>•</v>
      </c>
      <c r="IH260" s="332" t="str">
        <f t="shared" si="126"/>
        <v>•</v>
      </c>
      <c r="II260" s="332" t="str">
        <f t="shared" si="127"/>
        <v>•</v>
      </c>
      <c r="IJ260" s="332" t="str">
        <f t="shared" si="128"/>
        <v>•</v>
      </c>
      <c r="IK260" s="332" t="str">
        <f t="shared" si="129"/>
        <v>o</v>
      </c>
      <c r="IL260" s="332" t="str">
        <f t="shared" si="130"/>
        <v>•</v>
      </c>
      <c r="IM260" s="332" t="str">
        <f t="shared" si="131"/>
        <v>•</v>
      </c>
      <c r="IN260" s="332" t="str">
        <f t="shared" si="132"/>
        <v>•</v>
      </c>
      <c r="IO260" s="338" t="str">
        <f t="shared" si="133"/>
        <v>•</v>
      </c>
      <c r="IP260" s="346" t="b">
        <f t="shared" si="134"/>
        <v>0</v>
      </c>
      <c r="IQ260" s="347" t="b">
        <f t="shared" si="135"/>
        <v>0</v>
      </c>
      <c r="IR260" s="347" t="b">
        <f t="shared" si="136"/>
        <v>0</v>
      </c>
      <c r="IS260" s="347" t="b">
        <f t="shared" si="137"/>
        <v>0</v>
      </c>
      <c r="IT260" s="347" t="b">
        <f t="shared" si="138"/>
        <v>0</v>
      </c>
      <c r="IU260" s="347" t="b">
        <f t="shared" si="139"/>
        <v>0</v>
      </c>
      <c r="IV260" s="347" t="b">
        <f t="shared" si="140"/>
        <v>1</v>
      </c>
      <c r="IW260" s="347" t="b">
        <f t="shared" si="141"/>
        <v>0</v>
      </c>
      <c r="IX260" s="347" t="b">
        <f t="shared" si="142"/>
        <v>0</v>
      </c>
      <c r="IY260" s="347" t="b">
        <f t="shared" si="143"/>
        <v>0</v>
      </c>
      <c r="IZ260" s="347" t="b">
        <f t="shared" si="144"/>
        <v>0</v>
      </c>
      <c r="JA260" s="347" t="b">
        <f t="shared" si="145"/>
        <v>0</v>
      </c>
      <c r="JB260" s="353" t="b">
        <f t="shared" si="146"/>
        <v>0</v>
      </c>
      <c r="JC260" s="354" t="str">
        <f t="shared" si="147"/>
        <v/>
      </c>
      <c r="JD260" s="355" t="str">
        <f t="shared" si="148"/>
        <v/>
      </c>
      <c r="JE260" s="355" t="str">
        <f t="shared" si="149"/>
        <v/>
      </c>
      <c r="JF260" s="355" t="str">
        <f t="shared" si="150"/>
        <v/>
      </c>
      <c r="JG260" s="355" t="str">
        <f t="shared" si="151"/>
        <v/>
      </c>
      <c r="JH260" s="355" t="str">
        <f t="shared" si="152"/>
        <v/>
      </c>
      <c r="JI260" s="355" t="str">
        <f t="shared" si="153"/>
        <v>Ma, </v>
      </c>
      <c r="JJ260" s="355" t="str">
        <f t="shared" si="154"/>
        <v/>
      </c>
      <c r="JK260" s="355" t="str">
        <f t="shared" si="155"/>
        <v/>
      </c>
      <c r="JL260" s="355" t="str">
        <f t="shared" si="156"/>
        <v/>
      </c>
      <c r="JM260" s="355" t="str">
        <f t="shared" si="157"/>
        <v/>
      </c>
      <c r="JN260" s="355" t="str">
        <f t="shared" si="158"/>
        <v/>
      </c>
      <c r="JO260" s="359" t="str">
        <f t="shared" si="159"/>
        <v/>
      </c>
      <c r="JP260" s="346" t="b">
        <f t="shared" si="160"/>
        <v>0</v>
      </c>
      <c r="JQ260" s="347" t="b">
        <f t="shared" si="161"/>
        <v>0</v>
      </c>
      <c r="JR260" s="347" t="b">
        <f t="shared" si="162"/>
        <v>0</v>
      </c>
      <c r="JS260" s="347" t="b">
        <f t="shared" si="163"/>
        <v>0</v>
      </c>
      <c r="JT260" s="347" t="b">
        <f t="shared" si="164"/>
        <v>0</v>
      </c>
      <c r="JU260" s="347" t="b">
        <f t="shared" si="165"/>
        <v>0</v>
      </c>
      <c r="JV260" s="347" t="b">
        <f t="shared" si="166"/>
        <v>0</v>
      </c>
      <c r="JW260" s="347" t="b">
        <f t="shared" si="167"/>
        <v>0</v>
      </c>
      <c r="JX260" s="347" t="b">
        <f t="shared" si="168"/>
        <v>0</v>
      </c>
      <c r="JY260" s="347" t="b">
        <f t="shared" si="169"/>
        <v>0</v>
      </c>
      <c r="JZ260" s="347" t="b">
        <f t="shared" si="170"/>
        <v>0</v>
      </c>
      <c r="KA260" s="347" t="b">
        <f t="shared" si="171"/>
        <v>0</v>
      </c>
      <c r="KB260" s="365" t="b">
        <f t="shared" si="172"/>
        <v>0</v>
      </c>
      <c r="KC260" s="354" t="str">
        <f t="shared" si="173"/>
        <v/>
      </c>
      <c r="KD260" s="355" t="str">
        <f t="shared" si="174"/>
        <v/>
      </c>
      <c r="KE260" s="355" t="str">
        <f t="shared" si="175"/>
        <v/>
      </c>
      <c r="KF260" s="355" t="str">
        <f t="shared" si="176"/>
        <v/>
      </c>
      <c r="KG260" s="355" t="str">
        <f t="shared" si="177"/>
        <v/>
      </c>
      <c r="KH260" s="355" t="str">
        <f t="shared" si="178"/>
        <v/>
      </c>
      <c r="KI260" s="355" t="str">
        <f t="shared" si="179"/>
        <v/>
      </c>
      <c r="KJ260" s="355" t="str">
        <f t="shared" si="180"/>
        <v/>
      </c>
      <c r="KK260" s="355" t="str">
        <f t="shared" si="181"/>
        <v/>
      </c>
      <c r="KL260" s="355" t="str">
        <f t="shared" si="182"/>
        <v/>
      </c>
      <c r="KM260" s="355" t="str">
        <f t="shared" si="183"/>
        <v/>
      </c>
      <c r="KN260" s="355" t="str">
        <f t="shared" si="184"/>
        <v/>
      </c>
      <c r="KO260" s="359"/>
      <c r="KP260" s="378"/>
      <c r="KQ260" s="379" t="s">
        <v>9</v>
      </c>
      <c r="KR260" s="380" t="s">
        <v>9</v>
      </c>
      <c r="KS260" s="381" t="s">
        <v>9</v>
      </c>
      <c r="KT260" s="382">
        <f t="shared" si="186"/>
        <v>0</v>
      </c>
      <c r="KU260" s="383">
        <f t="shared" si="187"/>
        <v>0</v>
      </c>
      <c r="KV260" s="381" t="str">
        <f t="shared" si="205"/>
        <v>S</v>
      </c>
      <c r="KW260" s="382">
        <f t="shared" si="189"/>
        <v>0</v>
      </c>
      <c r="KX260" s="384">
        <f t="shared" si="190"/>
        <v>0</v>
      </c>
      <c r="KY260" s="382">
        <f t="shared" ref="KY260:KZ260" si="742">KW260-KT260</f>
        <v>0</v>
      </c>
      <c r="KZ260" s="369">
        <f t="shared" si="742"/>
        <v>0</v>
      </c>
      <c r="LA260" s="385" t="str">
        <f t="shared" si="192"/>
        <v>✔</v>
      </c>
      <c r="LB260" s="340" t="str">
        <f>IFERROR(__xludf.DUMMYFUNCTION("JOIN("""",ArrayFormula(MID(KS260,LEN(KS260)-SEQUENCE(1,LEN(KS260))+1,1)))"),"S")</f>
        <v>S</v>
      </c>
      <c r="LC260" s="373" t="str">
        <f>IFERROR(__xludf.DUMMYFUNCTION("JOIN("""",ArrayFormula(MID(KV260,LEN(KV260)-SEQUENCE(1,LEN(KV260))+1,1)))"),"S")</f>
        <v>S</v>
      </c>
      <c r="LD260" s="373" t="str">
        <f t="shared" si="193"/>
        <v>S</v>
      </c>
      <c r="LE260" s="339" t="str">
        <f t="shared" si="194"/>
        <v>S</v>
      </c>
      <c r="LF260" s="386" t="str">
        <f>IFERROR(__xludf.DUMMYFUNCTION("SUBSTITUTE(SUBSTITUTE(CONCATENATE(JOIN("""",LH260:LT260)),""1"",""""),""2"","""")"),"SS")</f>
        <v>SS</v>
      </c>
      <c r="LG260" s="369" t="str">
        <f t="shared" si="195"/>
        <v>-</v>
      </c>
      <c r="LH260" s="387" t="str">
        <f>IFERROR(__xludf.DUMMYFUNCTION("IF(REGEXMATCH(LD260, ""S""), ""S"",IF(REGEXMATCH(LE260, ""S""), ""S"",""""))"),"S")</f>
        <v>S</v>
      </c>
      <c r="LI260" s="299" t="str">
        <f>IFERROR(__xludf.DUMMYFUNCTION("IF(REGEXMATCH(LD260, ""r""), ""r1"",IF(REGEXMATCH(LE260, ""r""), ""r2"",""""))"),"")</f>
        <v/>
      </c>
      <c r="LJ260" s="299" t="str">
        <f>IFERROR(__xludf.DUMMYFUNCTION("IF(REGEXMATCH(LD260, ""R""), ""R1"",IF(REGEXMATCH(LE260, ""R""), ""R2"",""""))"),"")</f>
        <v/>
      </c>
      <c r="LK260" s="299" t="str">
        <f>IFERROR(__xludf.DUMMYFUNCTION("IF(REGEXMATCH(LD260, ""g""), ""g1"",IF(REGEXMATCH(LE260, ""g""), ""g2"",""""))"),"")</f>
        <v/>
      </c>
      <c r="LL260" s="299" t="str">
        <f>IFERROR(__xludf.DUMMYFUNCTION("IF(REGEXMATCH(LD260, ""G""), ""G1"",IF(REGEXMATCH(LE260, ""G""), ""G2"",""""))"),"")</f>
        <v/>
      </c>
      <c r="LM260" s="299" t="str">
        <f>IFERROR(__xludf.DUMMYFUNCTION("IF(REGEXMATCH(LD260, ""m""), ""m1"",IF(REGEXMATCH(LE260, ""m""), ""m2"",""""))"),"")</f>
        <v/>
      </c>
      <c r="LN260" s="299" t="str">
        <f>IFERROR(__xludf.DUMMYFUNCTION("IF(REGEXMATCH(LD260, ""M""), ""M1"",IF(REGEXMATCH(LE260, ""M""), ""M2"",""""))"),"")</f>
        <v/>
      </c>
      <c r="LO260" s="299" t="str">
        <f>IFERROR(__xludf.DUMMYFUNCTION("IF(REGEXMATCH(LD260, ""P""), ""P1"",IF(REGEXMATCH(LE260, ""P""), ""P2"",""""))"),"")</f>
        <v/>
      </c>
      <c r="LP260" s="299" t="str">
        <f>IFERROR(__xludf.DUMMYFUNCTION("IF(REGEXMATCH(LD260, ""d""), ""d1"",IF(REGEXMATCH(LE260, ""d""), ""d2"",""""))"),"")</f>
        <v/>
      </c>
      <c r="LQ260" s="299" t="str">
        <f>IFERROR(__xludf.DUMMYFUNCTION("IF(REGEXMATCH(LD260, ""D""), ""D1"",IF(REGEXMATCH(LE260, ""D""), ""D2"",""""))"),"")</f>
        <v/>
      </c>
      <c r="LR260" s="299" t="str">
        <f>IFERROR(__xludf.DUMMYFUNCTION("IF(REGEXMATCH(LD260, ""n""), ""n1"",IF(REGEXMATCH(LE260, ""n""), ""n2"",""""))"),"")</f>
        <v/>
      </c>
      <c r="LS260" s="299" t="str">
        <f>IFERROR(__xludf.DUMMYFUNCTION("IF(REGEXMATCH(LD260, ""N""), ""N1"",IF(REGEXMATCH(LE260, ""N""), ""N2"",""""))"),"")</f>
        <v/>
      </c>
      <c r="LT260" s="388" t="str">
        <f>IFERROR(__xludf.DUMMYFUNCTION("IF(REGEXMATCH(LD260, ""S""), ""S"",IF(REGEXMATCH(LE260, ""S""), ""S"",""""))"),"S")</f>
        <v>S</v>
      </c>
      <c r="LU260" s="389">
        <f t="shared" si="196"/>
        <v>1</v>
      </c>
      <c r="LV260" s="378"/>
      <c r="LW260" s="369"/>
      <c r="LX260" s="369"/>
    </row>
    <row r="261" ht="18.0" customHeight="1">
      <c r="A261" s="298" t="s">
        <v>1043</v>
      </c>
      <c r="B261" s="222" t="s">
        <v>1044</v>
      </c>
      <c r="C261" s="233" t="str">
        <f t="shared" si="7"/>
        <v>SrGmMPdNS</v>
      </c>
      <c r="D261" s="234" t="str">
        <f>IFERROR(__xludf.DUMMYFUNCTION("IF(REGEXMATCH(C261, ""S""), ""S"","""")"),"S")</f>
        <v>S</v>
      </c>
      <c r="E261" s="236" t="str">
        <f>IFERROR(__xludf.DUMMYFUNCTION("IF(REGEXMATCH(C261, ""r""), ""r"","""")"),"r")</f>
        <v>r</v>
      </c>
      <c r="F261" s="237" t="str">
        <f>IFERROR(__xludf.DUMMYFUNCTION("IF(REGEXMATCH(C261, ""R""), ""R"","""")"),"")</f>
        <v/>
      </c>
      <c r="G261" s="237" t="str">
        <f>IFERROR(__xludf.DUMMYFUNCTION("IF(REGEXMATCH(C261, ""g""), ""g"","""")"),"")</f>
        <v/>
      </c>
      <c r="H261" s="236" t="str">
        <f>IFERROR(__xludf.DUMMYFUNCTION("IF(REGEXMATCH(C261, ""G""), ""G"","""")"),"G")</f>
        <v>G</v>
      </c>
      <c r="I261" s="236" t="str">
        <f>IFERROR(__xludf.DUMMYFUNCTION("IF(REGEXMATCH(C261, ""m""), ""m"","""")"),"m")</f>
        <v>m</v>
      </c>
      <c r="J261" s="237" t="str">
        <f>IFERROR(__xludf.DUMMYFUNCTION("IF(REGEXMATCH(C261, ""M""), ""M"","""")"),"M")</f>
        <v>M</v>
      </c>
      <c r="K261" s="236" t="str">
        <f>IFERROR(__xludf.DUMMYFUNCTION("IF(REGEXMATCH(C261, ""P""), ""P"","""")"),"P")</f>
        <v>P</v>
      </c>
      <c r="L261" s="237" t="str">
        <f>IFERROR(__xludf.DUMMYFUNCTION("IF(REGEXMATCH(C261, ""d""), ""d"","""")"),"d")</f>
        <v>d</v>
      </c>
      <c r="M261" s="236" t="str">
        <f>IFERROR(__xludf.DUMMYFUNCTION("IF(REGEXMATCH(C261, ""D""), ""D"","""")"),"")</f>
        <v/>
      </c>
      <c r="N261" s="236" t="str">
        <f>IFERROR(__xludf.DUMMYFUNCTION("IF(REGEXMATCH(C261, ""n""), ""n"","""")"),"")</f>
        <v/>
      </c>
      <c r="O261" s="237" t="str">
        <f>IFERROR(__xludf.DUMMYFUNCTION("IF(REGEXMATCH(C261, ""N""), ""N"","""")"),"N")</f>
        <v>N</v>
      </c>
      <c r="P261" s="238" t="str">
        <f>IFERROR(__xludf.DUMMYFUNCTION("IF(REGEXMATCH(C261, ""S""), ""S"","""")"),"S")</f>
        <v>S</v>
      </c>
      <c r="Q261" s="239" t="str">
        <f>IFERROR(__xludf.DUMMYFUNCTION("SUBSTITUTE(CONCATENATE(JOIN(""-"",D261:J261)),""-"","""")"),"SrGmM")</f>
        <v>SrGmM</v>
      </c>
      <c r="R261" s="229" t="str">
        <f>IFERROR(__xludf.DUMMYFUNCTION("SUBSTITUTE(CONCATENATE(JOIN(""-"",K261:P261)),""-"","""")"),"PdNS")</f>
        <v>PdNS</v>
      </c>
      <c r="S261" s="282" t="str">
        <f t="shared" si="8"/>
        <v>S-R-G-M</v>
      </c>
      <c r="T261" s="282" t="str">
        <f t="shared" si="9"/>
        <v>P-D-N-S</v>
      </c>
      <c r="U261" s="237" t="str">
        <f>IFERROR(__xludf.DUMMYFUNCTION("SUBSTITUTE(JOIN(""-"",S261,T261),""--"",""-"")"),"S-R-G-M-P-D-N-S")</f>
        <v>S-R-G-M-P-D-N-S</v>
      </c>
      <c r="V261" s="309" t="str">
        <f t="shared" si="10"/>
        <v>rGmMdN</v>
      </c>
      <c r="W261" s="244" t="str">
        <f>IFERROR(__xludf.DUMMYFUNCTION("IF(REGEXMATCH(C261, ""S""), ""0"","""")"),"0")</f>
        <v>0</v>
      </c>
      <c r="X261" s="245" t="str">
        <f>IFERROR(__xludf.DUMMYFUNCTION("IF(REGEXMATCH(C261, ""r""), ""1"","""")"),"1")</f>
        <v>1</v>
      </c>
      <c r="Y261" s="246" t="str">
        <f>IFERROR(__xludf.DUMMYFUNCTION("IF(REGEXMATCH(C261, ""R""), ""2"","""")"),"")</f>
        <v/>
      </c>
      <c r="Z261" s="246" t="str">
        <f>IFERROR(__xludf.DUMMYFUNCTION("IF(REGEXMATCH(C261, ""g""), ""3"","""")"),"")</f>
        <v/>
      </c>
      <c r="AA261" s="245" t="str">
        <f>IFERROR(__xludf.DUMMYFUNCTION("IF(REGEXMATCH(C261, ""G""), ""4"","""")"),"4")</f>
        <v>4</v>
      </c>
      <c r="AB261" s="245" t="str">
        <f>IFERROR(__xludf.DUMMYFUNCTION("IF(REGEXMATCH(C261, ""m""), ""5"","""")"),"5")</f>
        <v>5</v>
      </c>
      <c r="AC261" s="246" t="str">
        <f>IFERROR(__xludf.DUMMYFUNCTION("IF(REGEXMATCH(C261, ""M""), ""6"","""")"),"6")</f>
        <v>6</v>
      </c>
      <c r="AD261" s="245" t="str">
        <f>IFERROR(__xludf.DUMMYFUNCTION("IF(REGEXMATCH(C261, ""P""), ""7"","""")"),"7")</f>
        <v>7</v>
      </c>
      <c r="AE261" s="246" t="str">
        <f>IFERROR(__xludf.DUMMYFUNCTION("IF(REGEXMATCH(C261, ""d""), ""8"","""")"),"8")</f>
        <v>8</v>
      </c>
      <c r="AF261" s="245" t="str">
        <f>IFERROR(__xludf.DUMMYFUNCTION("IF(REGEXMATCH(C261, ""D""), ""9"","""")"),"")</f>
        <v/>
      </c>
      <c r="AG261" s="245" t="str">
        <f>IFERROR(__xludf.DUMMYFUNCTION("IF(REGEXMATCH(C261, ""n""), ""10"","""")"),"")</f>
        <v/>
      </c>
      <c r="AH261" s="246" t="str">
        <f>IFERROR(__xludf.DUMMYFUNCTION("IF(REGEXMATCH(C261, ""N""), ""11"","""")"),"11")</f>
        <v>11</v>
      </c>
      <c r="AI261" s="249" t="str">
        <f>IFERROR(__xludf.DUMMYFUNCTION("IF(REGEXMATCH(C261, ""S""), ""0"","""")"),"0")</f>
        <v>0</v>
      </c>
      <c r="AJ261" s="313" t="str">
        <f t="shared" si="11"/>
        <v>T</v>
      </c>
      <c r="AK261" s="313" t="str">
        <f t="shared" si="12"/>
        <v>T</v>
      </c>
      <c r="AL261" s="313" t="str">
        <f t="shared" si="13"/>
        <v>-</v>
      </c>
      <c r="AM261" s="313" t="str">
        <f t="shared" si="14"/>
        <v>-</v>
      </c>
      <c r="AN261" s="313" t="str">
        <f t="shared" si="15"/>
        <v>-</v>
      </c>
      <c r="AO261" s="314" t="str">
        <f t="shared" si="16"/>
        <v>T</v>
      </c>
      <c r="AP261" s="316">
        <f t="shared" si="17"/>
        <v>3</v>
      </c>
      <c r="AQ261" s="319" t="str">
        <f t="shared" si="18"/>
        <v>-</v>
      </c>
      <c r="AR261" s="320">
        <f t="shared" si="19"/>
        <v>0</v>
      </c>
      <c r="AS261" s="250" t="str">
        <f>IFERROR(__xludf.DUMMYFUNCTION("SUBSTITUTE(SUBSTITUTE(CONCATENATE(JOIN("""",FP261:GA261)),""|"",""x""),""-"",""o"")"),"xxooxxxxxoox")</f>
        <v>xxooxxxxxoox</v>
      </c>
      <c r="AT261" s="323" t="str">
        <f>IFERROR(__xludf.DUMMYFUNCTION("JOIN("""",AS261,AS261)"),"xxooxxxxxooxxxooxxxxxoox")</f>
        <v>xxooxxxxxooxxxooxxxxxoox</v>
      </c>
      <c r="AU261" s="256" t="str">
        <f>IFERROR(__xludf.DUMMYFUNCTION("JOIN("""",ArrayFormula(MID(AS261,LEN(AS261)-SEQUENCE(1,LEN(AS261))+1,1)))"),"xooxxxxxooxx")</f>
        <v>xooxxxxxooxx</v>
      </c>
      <c r="AV261" s="256" t="str">
        <f>IFERROR(__xludf.DUMMYFUNCTION("LEFT(CONCATENATE(""x"",JOIN("""",ArrayFormula(MID(AS261,LEN(AS261)-SEQUENCE(1,LEN(AS261))+1,1)))),12)"),"xxooxxxxxoox")</f>
        <v>xxooxxxxxoox</v>
      </c>
      <c r="AW261" s="327" t="str">
        <f>IFERROR(__xludf.DUMMYFUNCTION("JOIN("""",AU261,AU261)"),"xooxxxxxooxxxooxxxxxooxx")</f>
        <v>xooxxxxxooxxxooxxxxxooxx</v>
      </c>
      <c r="AX261" s="239" t="str">
        <f>IFERROR(__xludf.DUMMYFUNCTION("IF(REGEXMATCH(AW261,AS261),""✔"",""-"")"),"✔")</f>
        <v>✔</v>
      </c>
      <c r="AY261" s="330" t="str">
        <f t="shared" si="20"/>
        <v>✔</v>
      </c>
      <c r="AZ261" s="260" t="str">
        <f t="shared" si="21"/>
        <v>#REF!</v>
      </c>
      <c r="BA261" s="333" t="str">
        <f t="shared" si="22"/>
        <v>xxooxxx</v>
      </c>
      <c r="BB261" s="334" t="str">
        <f t="shared" si="23"/>
        <v>xxooxx</v>
      </c>
      <c r="BC261" s="335" t="str">
        <f t="shared" si="236"/>
        <v>✔</v>
      </c>
      <c r="BD261" s="336" t="str">
        <f t="shared" si="25"/>
        <v>Paraj: 'xxooxxx' + 'xxooxx'</v>
      </c>
      <c r="BE261" s="337">
        <f>IFERROR(__xludf.DUMMYFUNCTION("COUNTUNIQUE(FILTER(AT:AT,REGEXMATCH(AT:AT,AS261)))-1"),0.0)</f>
        <v>0</v>
      </c>
      <c r="BF261" s="261" t="str">
        <f>IFERROR(__xludf.DUMMYFUNCTION("IF(BI261=0,""(n/a)"",IF(BJ261=2,""(PAIR)"",IF(REGEXMATCH(AT261,""xoxoxxoxoxox""),""Bilawal"",IF(REGEXMATCH(AT261,""xoxoxooxoxoo""),""Bhupali"",IF(REGEXMATCH(AT261,""xoxoxxoxxoxo""),""Charukeshi"",IF(REGEXMATCH(AT261,""xoxoooxxoxxo""),""Kameshwari"",IF(REG"&amp;"EXMATCH(AT261,""xoxoxooxoxox""),""Shankara"",IF(REGEXMATCH(AT261,""xxooxoxxxoox""),""Basant"",IF(REGEXMATCH(AT261,""xoxoxxxxoxox""),""Bihag"",IF(REGEXMATCH(AT261,""xoxxxxoxoxxx""),""Pilu"",IF(REGEXMATCH(AT261,""xoxxoxoxxoox""),""Kirwani"",IF(REGEXMATCH(AT"&amp;"261,""xoxxoxoxoxxx""),""Mk.Malhar"",IF(REGEXMATCH(AT261,""xxooxxoxxoox""),""Bhairav"",IF(REGEXMATCH(AT261,""xxoxooxxxoox""),""Todi"",IF(REGEXMATCH(AT261,""xxooxoxooxox""),""Marwa"",IF(REGEXMATCH(AT261,""xxoooxoxxooo""),""Gunkali"",IF(REGEXMATCH(AT261,""xo"&amp;"xoxxoxxoox""),""Nat Bhairav"",IF(REGEXMATCH(AT261,""xoxxoooxoxoo""),""Shivranjani"",IF(REGEXMATCH(AT261,""xooxxxoxooxo""),""Jog"",IF(REGEXMATCH(AT261,""xxooxoxoxoox""),""Hemshri"",IF(REGEXMATCH(AT261,""xoooxooxoxxo""),""Kalavati"",IF(REGEXMATCH(AT261,""xx"&amp;"oxoxxoxoox""),""Kedar"",IF(REGEXMATCH(AT261,""xoxxxxoxooxx""),""Gara"",IF(REGEXMATCH(AT261,""xooxoxooxoox""),""Chandrakauns"",IF(REGEXMATCH(AT261,""xoxxxxoxxxox""),""Mand"",IF(REGEXMATCH(AT261,""xoxxxxoxoxox""),""Hanskinkini"",IF(REGEXMATCH(AT261,""xxooxx"&amp;"oxooxo""),""Lilavati"",IF(REGEXMATCH(AT261,""xooxoxoooxox""),""Rajeshwari"",IF(REGEXMATCH(AT261,""xoooxxoxoxxx""),""Khokar"",IF(REGEXMATCH(AT261,""xxooxoxxxxox""),""Maligoura"",""-""))))))))))))))))))))))))))))))"),"(n/a)")</f>
        <v>(n/a)</v>
      </c>
      <c r="BG261" s="239" t="str">
        <f t="shared" si="26"/>
        <v>#REF!</v>
      </c>
      <c r="BH261" s="239">
        <f>IFERROR(__xludf.DUMMYFUNCTION("COUNTUNIQUE(FE261:FO261)-1"),7.0)</f>
        <v>7</v>
      </c>
      <c r="BI261" s="239">
        <f>IFERROR(__xludf.DUMMYFUNCTION("COUNTUNIQUE(FILTER(AT:AT,REGEXMATCH(AT:AT,AS261)))-1"),0.0)</f>
        <v>0</v>
      </c>
      <c r="BJ261" s="239">
        <f>IFERROR(__xludf.DUMMYFUNCTION("COUNTA(FILTER(AT:AT,REGEXMATCH(AT:AT,AS261)))"),4.0)</f>
        <v>4</v>
      </c>
      <c r="BK261" s="341">
        <f>IFERROR(__xludf.DUMMYFUNCTION("COUNTA(FILTER(AT:AT,REGEXMATCH(AT:AT,AS261)))-AR261"),4.0)</f>
        <v>4</v>
      </c>
      <c r="BL261" s="276" t="str">
        <f>IFERROR(__xludf.DUMMYFUNCTION("IF(AS261=""oooooooooooo"",""-"",IF(REGEXMATCH(AT261,""xx""), ""Hemi."", ""Anhemi.""))"),"Hemi.")</f>
        <v>Hemi.</v>
      </c>
      <c r="BM261" s="282" t="str">
        <f>IFERROR(__xludf.DUMMYFUNCTION("IF(AS261=""oooooooooooo"",""-"",IF(REGEXMATCH(AT261,""xxx""), ""Cohem."", ""-""))"),"Cohem.")</f>
        <v>Cohem.</v>
      </c>
      <c r="BN261" s="282" t="str">
        <f>IFERROR(__xludf.DUMMYFUNCTION("IF(AS261=""oooooooooooo"",""-"",IF(REGEXMATCH(AT261,""xxxx""), ""Co-Co."", ""-""))"),"Co-Co.")</f>
        <v>Co-Co.</v>
      </c>
      <c r="BO261" s="342" t="str">
        <f>IFERROR(__xludf.DUMMYFUNCTION("IF(AS261=""oooooooooooo"",""-"",IF(REGEXMATCH(AT261,""xxxxx""), ""CCC."", ""-""))"),"CCC.")</f>
        <v>CCC.</v>
      </c>
      <c r="BP261" s="344" t="str">
        <f t="shared" si="27"/>
        <v>-</v>
      </c>
      <c r="BQ261" s="282" t="str">
        <f>IFERROR(__xludf.DUMMYFUNCTION("IF(REGEXMATCH(JOIN(""-"",EU261:FD261),""TRUE""),""✔"",""-"")"),"-")</f>
        <v>-</v>
      </c>
      <c r="BR261" s="225">
        <f t="shared" si="28"/>
        <v>0</v>
      </c>
      <c r="BS261" s="345" t="str">
        <f>IFERROR(__xludf.DUMMYFUNCTION("SUBSTITUTE(SUBSTITUTE(SUBSTITUTE(SUBSTITUTE(CONCATENATE(JOIN(""-"",GC261:GO261)),""--"",""-""),""--"",""-""),""--"",""-""),""--"",""-"")"),"1-b2-3-4-#4-5-b6-7-8")</f>
        <v>1-b2-3-4-#4-5-b6-7-8</v>
      </c>
      <c r="BT261" s="299" t="str">
        <f>IFERROR(__xludf.DUMMYFUNCTION("SUBSTITUTE(SUBSTITUTE(SUBSTITUTE(SUBSTITUTE(CONCATENATE(JOIN(""-"",GP261:HB261)),""--"",""-""),""--"",""-""),""--"",""-""),""--"",""-"")"),"S-R1-G3-M1-M2-P-D1-N3-S")</f>
        <v>S-R1-G3-M1-M2-P-D1-N3-S</v>
      </c>
      <c r="BU261" s="348" t="str">
        <f t="shared" si="29"/>
        <v>C-Db-E-F-F#-G-Ab-B-C</v>
      </c>
      <c r="BV261" s="349" t="str">
        <f t="shared" si="30"/>
        <v>SRgDnS</v>
      </c>
      <c r="BW261" s="350">
        <f t="shared" si="31"/>
        <v>0</v>
      </c>
      <c r="BX261" s="351">
        <f t="shared" si="32"/>
        <v>4</v>
      </c>
      <c r="BY261" s="352" t="s">
        <v>275</v>
      </c>
      <c r="BZ261" s="309" t="str">
        <f>IFERROR(__xludf.DUMMYFUNCTION("IF(REGEXMATCH(C261, ""S""), ""x"",""x"")"),"x")</f>
        <v>x</v>
      </c>
      <c r="CA261" s="245" t="str">
        <f>IFERROR(__xludf.DUMMYFUNCTION("IF(REGEXMATCH(C261, ""r""), ""o"",""x"")"),"o")</f>
        <v>o</v>
      </c>
      <c r="CB261" s="246" t="str">
        <f>IFERROR(__xludf.DUMMYFUNCTION("IF(REGEXMATCH(C261, ""R""), ""o"",""x"")"),"x")</f>
        <v>x</v>
      </c>
      <c r="CC261" s="246" t="str">
        <f>IFERROR(__xludf.DUMMYFUNCTION("IF(REGEXMATCH(C261, ""g""), ""o"",""x"")"),"x")</f>
        <v>x</v>
      </c>
      <c r="CD261" s="245" t="str">
        <f>IFERROR(__xludf.DUMMYFUNCTION("IF(REGEXMATCH(C261, ""G""), ""o"",""x"")"),"o")</f>
        <v>o</v>
      </c>
      <c r="CE261" s="245" t="str">
        <f>IFERROR(__xludf.DUMMYFUNCTION("IF(REGEXMATCH(C261, ""m""), ""o"",""x"")"),"o")</f>
        <v>o</v>
      </c>
      <c r="CF261" s="246" t="str">
        <f>IFERROR(__xludf.DUMMYFUNCTION("IF(REGEXMATCH(C261, ""M""), ""o"",""x"")"),"o")</f>
        <v>o</v>
      </c>
      <c r="CG261" s="245" t="str">
        <f>IFERROR(__xludf.DUMMYFUNCTION("IF(REGEXMATCH(C261, ""P""), ""o"",""x"")"),"o")</f>
        <v>o</v>
      </c>
      <c r="CH261" s="246" t="str">
        <f>IFERROR(__xludf.DUMMYFUNCTION("IF(REGEXMATCH(C261, ""d""), ""o"",""x"")"),"o")</f>
        <v>o</v>
      </c>
      <c r="CI261" s="245" t="str">
        <f>IFERROR(__xludf.DUMMYFUNCTION("IF(REGEXMATCH(C261, ""D""), ""o"",""x"")"),"x")</f>
        <v>x</v>
      </c>
      <c r="CJ261" s="245" t="str">
        <f>IFERROR(__xludf.DUMMYFUNCTION("IF(REGEXMATCH(C261, ""n""), ""o"",""x"")"),"x")</f>
        <v>x</v>
      </c>
      <c r="CK261" s="245" t="str">
        <f>IFERROR(__xludf.DUMMYFUNCTION("IF(REGEXMATCH(C261, ""N""), ""o"",""x"")"),"o")</f>
        <v>o</v>
      </c>
      <c r="CL261" s="356" t="str">
        <f>IFERROR(__xludf.DUMMYFUNCTION("IF(REGEXMATCH(C261, ""S""), ""x"",""x"")"),"x")</f>
        <v>x</v>
      </c>
      <c r="CM261" s="357" t="str">
        <f t="shared" si="33"/>
        <v>xoxxoooooxxo</v>
      </c>
      <c r="CN261" s="358">
        <f t="shared" si="34"/>
        <v>0</v>
      </c>
      <c r="CO261" s="246" t="str">
        <f>IFERROR(__xludf.DUMMYFUNCTION("IF(REGEXMATCH($C261, ""S""), ""S"",""S"")"),"S")</f>
        <v>S</v>
      </c>
      <c r="CP261" s="246" t="str">
        <f>IFERROR(__xludf.DUMMYFUNCTION("IF(REGEXMATCH($C261, ""r""), """",""r"")"),"")</f>
        <v/>
      </c>
      <c r="CQ261" s="246" t="str">
        <f>IFERROR(__xludf.DUMMYFUNCTION("IF(REGEXMATCH($C261, ""R""), """",""R"")"),"R")</f>
        <v>R</v>
      </c>
      <c r="CR261" s="246" t="str">
        <f>IFERROR(__xludf.DUMMYFUNCTION("IF(REGEXMATCH($C261, ""g""), """",""g"")"),"g")</f>
        <v>g</v>
      </c>
      <c r="CS261" s="246" t="str">
        <f>IFERROR(__xludf.DUMMYFUNCTION("IF(REGEXMATCH($C261, ""G""), """",""G"")"),"")</f>
        <v/>
      </c>
      <c r="CT261" s="246" t="str">
        <f>IFERROR(__xludf.DUMMYFUNCTION("IF(REGEXMATCH($C261, ""m""), """",""m"")"),"")</f>
        <v/>
      </c>
      <c r="CU261" s="246" t="str">
        <f>IFERROR(__xludf.DUMMYFUNCTION("IF(REGEXMATCH($C261, ""M""), """",""M"")"),"")</f>
        <v/>
      </c>
      <c r="CV261" s="246" t="str">
        <f>IFERROR(__xludf.DUMMYFUNCTION("IF(REGEXMATCH($C261, ""P""), """",""P"")"),"")</f>
        <v/>
      </c>
      <c r="CW261" s="246" t="str">
        <f>IFERROR(__xludf.DUMMYFUNCTION("IF(REGEXMATCH($C261, ""d""), """",""d"")"),"")</f>
        <v/>
      </c>
      <c r="CX261" s="246" t="str">
        <f>IFERROR(__xludf.DUMMYFUNCTION("IF(REGEXMATCH($C261, ""D""), """",""D"")"),"D")</f>
        <v>D</v>
      </c>
      <c r="CY261" s="246" t="str">
        <f>IFERROR(__xludf.DUMMYFUNCTION("IF(REGEXMATCH($C261, ""n""), """",""n"")"),"n")</f>
        <v>n</v>
      </c>
      <c r="CZ261" s="246" t="str">
        <f>IFERROR(__xludf.DUMMYFUNCTION("IF(REGEXMATCH($C261, ""N""), """",""N"")"),"")</f>
        <v/>
      </c>
      <c r="DA261" s="246" t="str">
        <f>IFERROR(__xludf.DUMMYFUNCTION("IF(REGEXMATCH($C261, ""S""), ""S"",""S"")"),"S")</f>
        <v>S</v>
      </c>
      <c r="DB261" s="362" t="str">
        <f>IFERROR(__xludf.DUMMYFUNCTION("JOIN("""",CO261:DA261,"""","""")"),"SRgDnS")</f>
        <v>SRgDnS</v>
      </c>
      <c r="DC261" s="363"/>
      <c r="DD261" s="301" t="str">
        <f t="shared" si="35"/>
        <v>#REF!</v>
      </c>
      <c r="DE261" s="302" t="str">
        <f t="shared" si="36"/>
        <v>#REF!</v>
      </c>
      <c r="DF261" s="301" t="str">
        <f t="shared" ref="DF261:DG261" si="743">SUBSTITUTE(S261,"-","")</f>
        <v>SRGM</v>
      </c>
      <c r="DG261" s="301" t="str">
        <f t="shared" si="743"/>
        <v>PDNS</v>
      </c>
      <c r="DH261" s="302" t="str">
        <f t="shared" si="38"/>
        <v>(n/a)</v>
      </c>
      <c r="DI261" s="301" t="str">
        <f t="shared" si="39"/>
        <v>Hemi.</v>
      </c>
      <c r="DJ261" s="364" t="str">
        <f t="shared" si="40"/>
        <v>CCC.</v>
      </c>
      <c r="DK261" s="306" t="str">
        <f t="shared" si="41"/>
        <v>-</v>
      </c>
      <c r="DL261" s="366" t="str">
        <f t="shared" si="42"/>
        <v>-</v>
      </c>
      <c r="DM261" s="308" t="str">
        <f t="shared" si="43"/>
        <v>✔</v>
      </c>
      <c r="DN261" s="306" t="str">
        <f t="shared" si="44"/>
        <v>-</v>
      </c>
      <c r="DO261" s="306" t="str">
        <f t="shared" si="45"/>
        <v>-</v>
      </c>
      <c r="DP261" s="367" t="str">
        <f t="shared" si="46"/>
        <v>-</v>
      </c>
      <c r="DQ261" s="310" t="str">
        <f t="shared" si="47"/>
        <v>-</v>
      </c>
      <c r="DR261" s="310" t="str">
        <f t="shared" si="48"/>
        <v>-</v>
      </c>
      <c r="DS261" s="310" t="str">
        <f t="shared" si="49"/>
        <v>✔</v>
      </c>
      <c r="DT261" s="310" t="str">
        <f t="shared" si="50"/>
        <v>-</v>
      </c>
      <c r="DU261" s="370" t="str">
        <f t="shared" si="51"/>
        <v>-</v>
      </c>
      <c r="DV261" s="306" t="str">
        <f t="shared" si="52"/>
        <v>-</v>
      </c>
      <c r="DW261" s="306" t="str">
        <f t="shared" si="53"/>
        <v>-</v>
      </c>
      <c r="DX261" s="306" t="str">
        <f t="shared" si="54"/>
        <v>-</v>
      </c>
      <c r="DY261" s="306" t="str">
        <f t="shared" si="55"/>
        <v>-</v>
      </c>
      <c r="DZ261" s="306" t="str">
        <f t="shared" si="56"/>
        <v>-</v>
      </c>
      <c r="EA261" s="367" t="str">
        <f t="shared" si="57"/>
        <v>-</v>
      </c>
      <c r="EB261" s="310" t="str">
        <f>IFERROR(__xludf.DUMMYFUNCTION("IF(REGEXMATCH(AW261,AS261),""✔"",""-"")"),"✔")</f>
        <v>✔</v>
      </c>
      <c r="EC261" s="310" t="str">
        <f t="shared" si="58"/>
        <v>#REF!</v>
      </c>
      <c r="ED261" s="370" t="str">
        <f t="shared" si="59"/>
        <v>✔</v>
      </c>
      <c r="EE261" s="340" t="str">
        <f t="shared" si="60"/>
        <v>S-r-G-mM-P-d-N-S</v>
      </c>
      <c r="EF261" s="371" t="str">
        <f>IFERROR(__xludf.DUMMYFUNCTION("CONCATENATE(JOIN("""",HC261:HO261))"),"SrGmMPdNS")</f>
        <v>SrGmMPdNS</v>
      </c>
      <c r="EG261" s="372">
        <f t="shared" si="61"/>
        <v>2</v>
      </c>
      <c r="EH261" s="373" t="str">
        <f>IFERROR(__xludf.DUMMYFUNCTION("CONCATENATE(JOIN("""",JC261:JO261))"),"Pa, dha, ")</f>
        <v>Pa, dha, </v>
      </c>
      <c r="EI261" s="322">
        <f t="shared" si="62"/>
        <v>0</v>
      </c>
      <c r="EJ261" s="374" t="str">
        <f>IFERROR(__xludf.DUMMYFUNCTION("CONCATENATE(JOIN("""",KC261:KO261))"),"")</f>
        <v/>
      </c>
      <c r="EK261" s="325" t="str">
        <f t="shared" si="63"/>
        <v>S-R1-G3-M1-M2-P-D1-N3-S</v>
      </c>
      <c r="EL261" s="326" t="str">
        <f t="shared" si="64"/>
        <v>1-b2-3-4-#4-5-b6-7-8</v>
      </c>
      <c r="EM261" s="318" t="str">
        <f t="shared" si="65"/>
        <v>#REF!</v>
      </c>
      <c r="EN261" s="328" t="str">
        <f>IFERROR(__xludf.DUMMYFUNCTION("SUBSTITUTE(SUBSTITUTE(SUBSTITUTE(SUBSTITUTE(CONCATENATE(JOIN("" "",HP261:IB261)),""  "","" ""),""  "","" ""),""  "","" ""),""  "","" "")"),"o o • • o o o o o • • o o")</f>
        <v>o o • • o o o o o • • o o</v>
      </c>
      <c r="EO261" s="368" t="str">
        <f t="shared" si="66"/>
        <v>-</v>
      </c>
      <c r="EP261" s="339" t="str">
        <f t="shared" si="67"/>
        <v>-</v>
      </c>
      <c r="EQ261" s="339" t="str">
        <f t="shared" si="68"/>
        <v>Sa-Pa</v>
      </c>
      <c r="ER261" s="339" t="str">
        <f t="shared" si="69"/>
        <v>-</v>
      </c>
      <c r="ES261" s="340" t="str">
        <f t="shared" si="70"/>
        <v>-</v>
      </c>
      <c r="ET261" s="363"/>
      <c r="EU261" s="376" t="b">
        <f>IFERROR(__xludf.DUMMYFUNCTION("arrayformula(sum(--REGEXMATCH(""SRGMPDNS"",split(REGEXREPLACE(C261,""(.)"",""$1~""),""~""))))=len(C261)
"),FALSE)</f>
        <v>0</v>
      </c>
      <c r="EV261" s="290" t="b">
        <f>IFERROR(__xludf.DUMMYFUNCTION("arrayformula(sum(--REGEXMATCH(""SRGmPDNS"",split(REGEXREPLACE(C261,""(.)"",""$1~""),""~""))))=len(C261)"),FALSE)</f>
        <v>0</v>
      </c>
      <c r="EW261" s="290" t="b">
        <f>IFERROR(__xludf.DUMMYFUNCTION("arrayformula(sum(--REGEXMATCH(""SRGmPDnS"",split(REGEXREPLACE(C261,""(.)"",""$1~""),""~""))))=len(C261)"),FALSE)</f>
        <v>0</v>
      </c>
      <c r="EX261" s="290" t="b">
        <f>IFERROR(__xludf.DUMMYFUNCTION("arrayformula(sum(--REGEXMATCH(""SRgmPDnS"",split(REGEXREPLACE(C261,""(.)"",""$1~""),""~""))))=len(C261)"),FALSE)</f>
        <v>0</v>
      </c>
      <c r="EY261" s="290" t="b">
        <f>IFERROR(__xludf.DUMMYFUNCTION("arrayformula(sum(--REGEXMATCH(""SRgmPdnS"",split(REGEXREPLACE(C261,""(.)"",""$1~""),""~""))))=len(C261)"),FALSE)</f>
        <v>0</v>
      </c>
      <c r="EZ261" s="290" t="b">
        <f>IFERROR(__xludf.DUMMYFUNCTION("arrayformula(sum(--REGEXMATCH(""SrgmPdnS"",split(REGEXREPLACE(C261,""(.)"",""$1~""),""~""))))=len(C261)"),FALSE)</f>
        <v>0</v>
      </c>
      <c r="FA261" s="290" t="b">
        <f>IFERROR(__xludf.DUMMYFUNCTION("arrayformula(sum(--REGEXMATCH(""SrGmPdNS"",split(REGEXREPLACE(C261,""(.)"",""$1~""),""~""))))=len(C261)"),FALSE)</f>
        <v>0</v>
      </c>
      <c r="FB261" s="290" t="b">
        <f>IFERROR(__xludf.DUMMYFUNCTION("arrayformula(sum(--REGEXMATCH(""SrGMPDNS"",split(REGEXREPLACE(C261,""(.)"",""$1~""),""~""))))=len(C261)"),FALSE)</f>
        <v>0</v>
      </c>
      <c r="FC261" s="290" t="b">
        <f>IFERROR(__xludf.DUMMYFUNCTION("arrayformula(sum(--REGEXMATCH(""SrGMPdNS"",split(REGEXREPLACE(C261,""(.)"",""$1~""),""~""))))=len(C261)"),FALSE)</f>
        <v>0</v>
      </c>
      <c r="FD261" s="377" t="b">
        <f>IFERROR(__xludf.DUMMYFUNCTION("arrayformula(sum(--REGEXMATCH(""SrgMPdNS"",split(REGEXREPLACE(C261,""(.)"",""$1~""),""~""))))=len(C261)"),FALSE)</f>
        <v>0</v>
      </c>
      <c r="FE261" s="269" t="str">
        <f t="shared" si="71"/>
        <v>xooxxxxxoox</v>
      </c>
      <c r="FF261" s="269" t="str">
        <f t="shared" si="72"/>
        <v>-</v>
      </c>
      <c r="FG261" s="271" t="str">
        <f t="shared" si="73"/>
        <v>-</v>
      </c>
      <c r="FH261" s="269" t="str">
        <f t="shared" si="74"/>
        <v>xxxxxooxxxo</v>
      </c>
      <c r="FI261" s="271" t="str">
        <f t="shared" si="75"/>
        <v>xxxxooxxxoo</v>
      </c>
      <c r="FJ261" s="271" t="str">
        <f t="shared" si="76"/>
        <v>xxxooxxxoox</v>
      </c>
      <c r="FK261" s="271" t="str">
        <f t="shared" si="77"/>
        <v>xxooxxxooxx</v>
      </c>
      <c r="FL261" s="271" t="str">
        <f t="shared" si="78"/>
        <v>xooxxxooxxx</v>
      </c>
      <c r="FM261" s="271" t="str">
        <f t="shared" si="79"/>
        <v>-</v>
      </c>
      <c r="FN261" s="271" t="str">
        <f t="shared" si="80"/>
        <v>-</v>
      </c>
      <c r="FO261" s="274" t="str">
        <f t="shared" si="81"/>
        <v>xxxooxxxxxo</v>
      </c>
      <c r="FP261" s="234" t="str">
        <f t="shared" si="82"/>
        <v>|</v>
      </c>
      <c r="FQ261" s="236" t="str">
        <f t="shared" si="83"/>
        <v>|</v>
      </c>
      <c r="FR261" s="237" t="str">
        <f t="shared" si="84"/>
        <v>-</v>
      </c>
      <c r="FS261" s="236" t="str">
        <f t="shared" si="85"/>
        <v>-</v>
      </c>
      <c r="FT261" s="237" t="str">
        <f t="shared" si="86"/>
        <v>|</v>
      </c>
      <c r="FU261" s="236" t="str">
        <f t="shared" si="87"/>
        <v>|</v>
      </c>
      <c r="FV261" s="237" t="str">
        <f t="shared" si="88"/>
        <v>|</v>
      </c>
      <c r="FW261" s="236" t="str">
        <f t="shared" si="89"/>
        <v>|</v>
      </c>
      <c r="FX261" s="237" t="str">
        <f t="shared" si="90"/>
        <v>|</v>
      </c>
      <c r="FY261" s="236" t="str">
        <f t="shared" si="91"/>
        <v>-</v>
      </c>
      <c r="FZ261" s="237" t="str">
        <f t="shared" si="92"/>
        <v>-</v>
      </c>
      <c r="GA261" s="236" t="str">
        <f t="shared" si="93"/>
        <v>|</v>
      </c>
      <c r="GB261" s="238" t="str">
        <f t="shared" si="94"/>
        <v>|</v>
      </c>
      <c r="GC261" s="244" t="str">
        <f>IFERROR(__xludf.DUMMYFUNCTION("IF(REGEXMATCH(C261, ""S""), ""1"","""")"),"1")</f>
        <v>1</v>
      </c>
      <c r="GD261" s="245" t="str">
        <f>IFERROR(__xludf.DUMMYFUNCTION("IF(REGEXMATCH(C261, ""r""), ""b2"","""")"),"b2")</f>
        <v>b2</v>
      </c>
      <c r="GE261" s="246" t="str">
        <f>IFERROR(__xludf.DUMMYFUNCTION("IF(REGEXMATCH(C261, ""R""), ""2"","""")"),"")</f>
        <v/>
      </c>
      <c r="GF261" s="246" t="str">
        <f>IFERROR(__xludf.DUMMYFUNCTION("IF(REGEXMATCH(C261, ""g""), ""b3"","""")"),"")</f>
        <v/>
      </c>
      <c r="GG261" s="245" t="str">
        <f>IFERROR(__xludf.DUMMYFUNCTION("IF(REGEXMATCH(C261, ""G""), ""3"","""")"),"3")</f>
        <v>3</v>
      </c>
      <c r="GH261" s="245" t="str">
        <f>IFERROR(__xludf.DUMMYFUNCTION("IF(REGEXMATCH(C261, ""m""), ""4"","""")"),"4")</f>
        <v>4</v>
      </c>
      <c r="GI261" s="246" t="str">
        <f>IFERROR(__xludf.DUMMYFUNCTION("IF(REGEXMATCH(C261, ""M""), ""#4"","""")"),"#4")</f>
        <v>#4</v>
      </c>
      <c r="GJ261" s="245" t="str">
        <f>IFERROR(__xludf.DUMMYFUNCTION("IF(REGEXMATCH(C261, ""P""), ""5"","""")"),"5")</f>
        <v>5</v>
      </c>
      <c r="GK261" s="246" t="str">
        <f>IFERROR(__xludf.DUMMYFUNCTION("IF(REGEXMATCH(C261, ""d""), ""b6"","""")"),"b6")</f>
        <v>b6</v>
      </c>
      <c r="GL261" s="245" t="str">
        <f>IFERROR(__xludf.DUMMYFUNCTION("IF(REGEXMATCH(C261, ""D""), ""6"","""")"),"")</f>
        <v/>
      </c>
      <c r="GM261" s="245" t="str">
        <f>IFERROR(__xludf.DUMMYFUNCTION("IF(REGEXMATCH(C261, ""n""), ""b7"","""")"),"")</f>
        <v/>
      </c>
      <c r="GN261" s="246" t="str">
        <f>IFERROR(__xludf.DUMMYFUNCTION("IF(REGEXMATCH(C261, ""N""), ""7"","""")"),"7")</f>
        <v>7</v>
      </c>
      <c r="GO261" s="249" t="str">
        <f>IFERROR(__xludf.DUMMYFUNCTION("IF(REGEXMATCH(C261, ""S""), ""8"","""")"),"8")</f>
        <v>8</v>
      </c>
      <c r="GP261" s="244" t="str">
        <f>IFERROR(__xludf.DUMMYFUNCTION("IF(REGEXMATCH(C261, ""S""), ""S"","""")"),"S")</f>
        <v>S</v>
      </c>
      <c r="GQ261" s="294" t="str">
        <f>IFERROR(__xludf.DUMMYFUNCTION("IF(REGEXMATCH(C261, ""r""), ""R1"","""")"),"R1")</f>
        <v>R1</v>
      </c>
      <c r="GR261" s="295" t="str">
        <f>IFERROR(__xludf.DUMMYFUNCTION("IF(REGEXMATCH(C261, ""R""), ""R2"","""")"),"")</f>
        <v/>
      </c>
      <c r="GS261" s="295" t="str">
        <f>IFERROR(__xludf.DUMMYFUNCTION("IF(REGEXMATCH(C261, ""g""), ""G2"","""")"),"")</f>
        <v/>
      </c>
      <c r="GT261" s="294" t="str">
        <f>IFERROR(__xludf.DUMMYFUNCTION("IF(REGEXMATCH(C261, ""G""), ""G3"","""")"),"G3")</f>
        <v>G3</v>
      </c>
      <c r="GU261" s="294" t="str">
        <f>IFERROR(__xludf.DUMMYFUNCTION("IF(REGEXMATCH(C261, ""m""), ""M1"","""")"),"M1")</f>
        <v>M1</v>
      </c>
      <c r="GV261" s="295" t="str">
        <f>IFERROR(__xludf.DUMMYFUNCTION("IF(REGEXMATCH(C261, ""M""), ""M2"","""")"),"M2")</f>
        <v>M2</v>
      </c>
      <c r="GW261" s="294" t="str">
        <f>IFERROR(__xludf.DUMMYFUNCTION("IF(REGEXMATCH(C261, ""P""), ""P"","""")"),"P")</f>
        <v>P</v>
      </c>
      <c r="GX261" s="295" t="str">
        <f>IFERROR(__xludf.DUMMYFUNCTION("IF(REGEXMATCH(C261, ""d""), ""D1"","""")"),"D1")</f>
        <v>D1</v>
      </c>
      <c r="GY261" s="294" t="str">
        <f>IFERROR(__xludf.DUMMYFUNCTION("IF(REGEXMATCH(C261, ""D""), ""D2"","""")"),"")</f>
        <v/>
      </c>
      <c r="GZ261" s="294" t="str">
        <f>IFERROR(__xludf.DUMMYFUNCTION("IF(REGEXMATCH(C261, ""n""), ""N2"","""")"),"")</f>
        <v/>
      </c>
      <c r="HA261" s="295" t="str">
        <f>IFERROR(__xludf.DUMMYFUNCTION("IF(REGEXMATCH(C261, ""N""), ""N3"","""")"),"N3")</f>
        <v>N3</v>
      </c>
      <c r="HB261" s="249" t="str">
        <f>IFERROR(__xludf.DUMMYFUNCTION("IF(REGEXMATCH(C261, ""S""), ""S"","""")"),"S")</f>
        <v>S</v>
      </c>
      <c r="HC261" s="331" t="str">
        <f t="shared" si="95"/>
        <v>S</v>
      </c>
      <c r="HD261" s="332" t="str">
        <f t="shared" si="96"/>
        <v>r</v>
      </c>
      <c r="HE261" s="332" t="str">
        <f t="shared" si="97"/>
        <v/>
      </c>
      <c r="HF261" s="332" t="str">
        <f t="shared" si="98"/>
        <v/>
      </c>
      <c r="HG261" s="332" t="str">
        <f t="shared" si="99"/>
        <v>G</v>
      </c>
      <c r="HH261" s="332" t="str">
        <f t="shared" si="100"/>
        <v>m</v>
      </c>
      <c r="HI261" s="332" t="str">
        <f t="shared" si="101"/>
        <v>M</v>
      </c>
      <c r="HJ261" s="332" t="str">
        <f t="shared" si="102"/>
        <v>P</v>
      </c>
      <c r="HK261" s="332" t="str">
        <f t="shared" si="103"/>
        <v>d</v>
      </c>
      <c r="HL261" s="332" t="str">
        <f t="shared" si="104"/>
        <v/>
      </c>
      <c r="HM261" s="332" t="str">
        <f t="shared" si="105"/>
        <v/>
      </c>
      <c r="HN261" s="332" t="str">
        <f t="shared" si="106"/>
        <v>N</v>
      </c>
      <c r="HO261" s="343" t="str">
        <f t="shared" si="107"/>
        <v>S</v>
      </c>
      <c r="HP261" s="331" t="str">
        <f t="shared" si="108"/>
        <v>o</v>
      </c>
      <c r="HQ261" s="332" t="str">
        <f t="shared" si="109"/>
        <v>o</v>
      </c>
      <c r="HR261" s="332" t="str">
        <f t="shared" si="110"/>
        <v>•</v>
      </c>
      <c r="HS261" s="332" t="str">
        <f t="shared" si="111"/>
        <v>•</v>
      </c>
      <c r="HT261" s="332" t="str">
        <f t="shared" si="112"/>
        <v>o</v>
      </c>
      <c r="HU261" s="332" t="str">
        <f t="shared" si="113"/>
        <v>o</v>
      </c>
      <c r="HV261" s="332" t="str">
        <f t="shared" si="114"/>
        <v>o</v>
      </c>
      <c r="HW261" s="332" t="str">
        <f t="shared" si="115"/>
        <v>o</v>
      </c>
      <c r="HX261" s="332" t="str">
        <f t="shared" si="116"/>
        <v>o</v>
      </c>
      <c r="HY261" s="332" t="str">
        <f t="shared" si="117"/>
        <v>•</v>
      </c>
      <c r="HZ261" s="332" t="str">
        <f t="shared" si="118"/>
        <v>•</v>
      </c>
      <c r="IA261" s="332" t="str">
        <f t="shared" si="119"/>
        <v>o</v>
      </c>
      <c r="IB261" s="338" t="str">
        <f t="shared" si="120"/>
        <v>o</v>
      </c>
      <c r="IC261" s="331" t="str">
        <f t="shared" si="121"/>
        <v>•</v>
      </c>
      <c r="ID261" s="332" t="str">
        <f t="shared" si="122"/>
        <v>•</v>
      </c>
      <c r="IE261" s="332" t="str">
        <f t="shared" si="123"/>
        <v>o</v>
      </c>
      <c r="IF261" s="332" t="str">
        <f t="shared" si="124"/>
        <v>o</v>
      </c>
      <c r="IG261" s="332" t="str">
        <f t="shared" si="125"/>
        <v>•</v>
      </c>
      <c r="IH261" s="332" t="str">
        <f t="shared" si="126"/>
        <v>•</v>
      </c>
      <c r="II261" s="332" t="str">
        <f t="shared" si="127"/>
        <v>•</v>
      </c>
      <c r="IJ261" s="332" t="str">
        <f t="shared" si="128"/>
        <v>•</v>
      </c>
      <c r="IK261" s="332" t="str">
        <f t="shared" si="129"/>
        <v>•</v>
      </c>
      <c r="IL261" s="332" t="str">
        <f t="shared" si="130"/>
        <v>o</v>
      </c>
      <c r="IM261" s="332" t="str">
        <f t="shared" si="131"/>
        <v>o</v>
      </c>
      <c r="IN261" s="332" t="str">
        <f t="shared" si="132"/>
        <v>•</v>
      </c>
      <c r="IO261" s="338" t="str">
        <f t="shared" si="133"/>
        <v>•</v>
      </c>
      <c r="IP261" s="346" t="b">
        <f t="shared" si="134"/>
        <v>0</v>
      </c>
      <c r="IQ261" s="347" t="b">
        <f t="shared" si="135"/>
        <v>0</v>
      </c>
      <c r="IR261" s="347" t="b">
        <f t="shared" si="136"/>
        <v>0</v>
      </c>
      <c r="IS261" s="347" t="b">
        <f t="shared" si="137"/>
        <v>0</v>
      </c>
      <c r="IT261" s="347" t="b">
        <f t="shared" si="138"/>
        <v>0</v>
      </c>
      <c r="IU261" s="347" t="b">
        <f t="shared" si="139"/>
        <v>0</v>
      </c>
      <c r="IV261" s="347" t="b">
        <f t="shared" si="140"/>
        <v>0</v>
      </c>
      <c r="IW261" s="347" t="b">
        <f t="shared" si="141"/>
        <v>1</v>
      </c>
      <c r="IX261" s="347" t="b">
        <f t="shared" si="142"/>
        <v>1</v>
      </c>
      <c r="IY261" s="347" t="b">
        <f t="shared" si="143"/>
        <v>0</v>
      </c>
      <c r="IZ261" s="347" t="b">
        <f t="shared" si="144"/>
        <v>0</v>
      </c>
      <c r="JA261" s="347" t="b">
        <f t="shared" si="145"/>
        <v>0</v>
      </c>
      <c r="JB261" s="353" t="b">
        <f t="shared" si="146"/>
        <v>0</v>
      </c>
      <c r="JC261" s="354" t="str">
        <f t="shared" si="147"/>
        <v/>
      </c>
      <c r="JD261" s="355" t="str">
        <f t="shared" si="148"/>
        <v/>
      </c>
      <c r="JE261" s="355" t="str">
        <f t="shared" si="149"/>
        <v/>
      </c>
      <c r="JF261" s="355" t="str">
        <f t="shared" si="150"/>
        <v/>
      </c>
      <c r="JG261" s="355" t="str">
        <f t="shared" si="151"/>
        <v/>
      </c>
      <c r="JH261" s="355" t="str">
        <f t="shared" si="152"/>
        <v/>
      </c>
      <c r="JI261" s="355" t="str">
        <f t="shared" si="153"/>
        <v/>
      </c>
      <c r="JJ261" s="355" t="str">
        <f t="shared" si="154"/>
        <v>Pa, </v>
      </c>
      <c r="JK261" s="355" t="str">
        <f t="shared" si="155"/>
        <v>dha, </v>
      </c>
      <c r="JL261" s="355" t="str">
        <f t="shared" si="156"/>
        <v/>
      </c>
      <c r="JM261" s="355" t="str">
        <f t="shared" si="157"/>
        <v/>
      </c>
      <c r="JN261" s="355" t="str">
        <f t="shared" si="158"/>
        <v/>
      </c>
      <c r="JO261" s="359" t="str">
        <f t="shared" si="159"/>
        <v/>
      </c>
      <c r="JP261" s="346" t="b">
        <f t="shared" si="160"/>
        <v>0</v>
      </c>
      <c r="JQ261" s="347" t="b">
        <f t="shared" si="161"/>
        <v>0</v>
      </c>
      <c r="JR261" s="347" t="b">
        <f t="shared" si="162"/>
        <v>0</v>
      </c>
      <c r="JS261" s="347" t="b">
        <f t="shared" si="163"/>
        <v>0</v>
      </c>
      <c r="JT261" s="347" t="b">
        <f t="shared" si="164"/>
        <v>0</v>
      </c>
      <c r="JU261" s="347" t="b">
        <f t="shared" si="165"/>
        <v>0</v>
      </c>
      <c r="JV261" s="347" t="b">
        <f t="shared" si="166"/>
        <v>0</v>
      </c>
      <c r="JW261" s="347" t="b">
        <f t="shared" si="167"/>
        <v>0</v>
      </c>
      <c r="JX261" s="347" t="b">
        <f t="shared" si="168"/>
        <v>0</v>
      </c>
      <c r="JY261" s="347" t="b">
        <f t="shared" si="169"/>
        <v>0</v>
      </c>
      <c r="JZ261" s="347" t="b">
        <f t="shared" si="170"/>
        <v>0</v>
      </c>
      <c r="KA261" s="347" t="b">
        <f t="shared" si="171"/>
        <v>0</v>
      </c>
      <c r="KB261" s="365" t="b">
        <f t="shared" si="172"/>
        <v>0</v>
      </c>
      <c r="KC261" s="354" t="str">
        <f t="shared" si="173"/>
        <v/>
      </c>
      <c r="KD261" s="355" t="str">
        <f t="shared" si="174"/>
        <v/>
      </c>
      <c r="KE261" s="355" t="str">
        <f t="shared" si="175"/>
        <v/>
      </c>
      <c r="KF261" s="355" t="str">
        <f t="shared" si="176"/>
        <v/>
      </c>
      <c r="KG261" s="355" t="str">
        <f t="shared" si="177"/>
        <v/>
      </c>
      <c r="KH261" s="355" t="str">
        <f t="shared" si="178"/>
        <v/>
      </c>
      <c r="KI261" s="355" t="str">
        <f t="shared" si="179"/>
        <v/>
      </c>
      <c r="KJ261" s="355" t="str">
        <f t="shared" si="180"/>
        <v/>
      </c>
      <c r="KK261" s="355" t="str">
        <f t="shared" si="181"/>
        <v/>
      </c>
      <c r="KL261" s="355" t="str">
        <f t="shared" si="182"/>
        <v/>
      </c>
      <c r="KM261" s="355" t="str">
        <f t="shared" si="183"/>
        <v/>
      </c>
      <c r="KN261" s="355" t="str">
        <f t="shared" si="184"/>
        <v/>
      </c>
      <c r="KO261" s="359"/>
      <c r="KP261" s="378"/>
      <c r="KQ261" s="379" t="s">
        <v>1314</v>
      </c>
      <c r="KR261" s="380" t="s">
        <v>1466</v>
      </c>
      <c r="KS261" s="381" t="str">
        <f>KQ261</f>
        <v>S-G-M-d-N-S</v>
      </c>
      <c r="KT261" s="382">
        <f t="shared" si="186"/>
        <v>5</v>
      </c>
      <c r="KU261" s="383">
        <f t="shared" si="187"/>
        <v>5</v>
      </c>
      <c r="KV261" s="381" t="str">
        <f t="shared" si="205"/>
        <v>S-N-d-P-Mm-G-r-S</v>
      </c>
      <c r="KW261" s="382">
        <f t="shared" si="189"/>
        <v>7</v>
      </c>
      <c r="KX261" s="384">
        <f t="shared" si="190"/>
        <v>8</v>
      </c>
      <c r="KY261" s="382">
        <f t="shared" ref="KY261:KZ261" si="744">KW261-KT261</f>
        <v>2</v>
      </c>
      <c r="KZ261" s="369">
        <f t="shared" si="744"/>
        <v>3</v>
      </c>
      <c r="LA261" s="385" t="str">
        <f t="shared" si="192"/>
        <v>-</v>
      </c>
      <c r="LB261" s="340" t="str">
        <f>IFERROR(__xludf.DUMMYFUNCTION("JOIN("""",ArrayFormula(MID(KS261,LEN(KS261)-SEQUENCE(1,LEN(KS261))+1,1)))"),"S-N-d-M-G-S")</f>
        <v>S-N-d-M-G-S</v>
      </c>
      <c r="LC261" s="373" t="str">
        <f>IFERROR(__xludf.DUMMYFUNCTION("JOIN("""",ArrayFormula(MID(KV261,LEN(KV261)-SEQUENCE(1,LEN(KV261))+1,1)))"),"S-r-G-mM-P-d-N-S")</f>
        <v>S-r-G-mM-P-d-N-S</v>
      </c>
      <c r="LD261" s="373" t="str">
        <f t="shared" si="193"/>
        <v>SGMdNS</v>
      </c>
      <c r="LE261" s="339" t="str">
        <f t="shared" si="194"/>
        <v>SrGmMPdNS</v>
      </c>
      <c r="LF261" s="386" t="str">
        <f>IFERROR(__xludf.DUMMYFUNCTION("SUBSTITUTE(SUBSTITUTE(CONCATENATE(JOIN("""",LH261:LT261)),""1"",""""),""2"","""")"),"SrGmMPdNS")</f>
        <v>SrGmMPdNS</v>
      </c>
      <c r="LG261" s="369" t="str">
        <f t="shared" si="195"/>
        <v>✔</v>
      </c>
      <c r="LH261" s="387" t="str">
        <f>IFERROR(__xludf.DUMMYFUNCTION("IF(REGEXMATCH(LD261, ""S""), ""S"",IF(REGEXMATCH(LE261, ""S""), ""S"",""""))"),"S")</f>
        <v>S</v>
      </c>
      <c r="LI261" s="299" t="str">
        <f>IFERROR(__xludf.DUMMYFUNCTION("IF(REGEXMATCH(LD261, ""r""), ""r1"",IF(REGEXMATCH(LE261, ""r""), ""r2"",""""))"),"r2")</f>
        <v>r2</v>
      </c>
      <c r="LJ261" s="299" t="str">
        <f>IFERROR(__xludf.DUMMYFUNCTION("IF(REGEXMATCH(LD261, ""R""), ""R1"",IF(REGEXMATCH(LE261, ""R""), ""R2"",""""))"),"")</f>
        <v/>
      </c>
      <c r="LK261" s="299" t="str">
        <f>IFERROR(__xludf.DUMMYFUNCTION("IF(REGEXMATCH(LD261, ""g""), ""g1"",IF(REGEXMATCH(LE261, ""g""), ""g2"",""""))"),"")</f>
        <v/>
      </c>
      <c r="LL261" s="299" t="str">
        <f>IFERROR(__xludf.DUMMYFUNCTION("IF(REGEXMATCH(LD261, ""G""), ""G1"",IF(REGEXMATCH(LE261, ""G""), ""G2"",""""))"),"G1")</f>
        <v>G1</v>
      </c>
      <c r="LM261" s="299" t="str">
        <f>IFERROR(__xludf.DUMMYFUNCTION("IF(REGEXMATCH(LD261, ""m""), ""m1"",IF(REGEXMATCH(LE261, ""m""), ""m2"",""""))"),"m2")</f>
        <v>m2</v>
      </c>
      <c r="LN261" s="299" t="str">
        <f>IFERROR(__xludf.DUMMYFUNCTION("IF(REGEXMATCH(LD261, ""M""), ""M1"",IF(REGEXMATCH(LE261, ""M""), ""M2"",""""))"),"M1")</f>
        <v>M1</v>
      </c>
      <c r="LO261" s="299" t="str">
        <f>IFERROR(__xludf.DUMMYFUNCTION("IF(REGEXMATCH(LD261, ""P""), ""P1"",IF(REGEXMATCH(LE261, ""P""), ""P2"",""""))"),"P2")</f>
        <v>P2</v>
      </c>
      <c r="LP261" s="299" t="str">
        <f>IFERROR(__xludf.DUMMYFUNCTION("IF(REGEXMATCH(LD261, ""d""), ""d1"",IF(REGEXMATCH(LE261, ""d""), ""d2"",""""))"),"d1")</f>
        <v>d1</v>
      </c>
      <c r="LQ261" s="299" t="str">
        <f>IFERROR(__xludf.DUMMYFUNCTION("IF(REGEXMATCH(LD261, ""D""), ""D1"",IF(REGEXMATCH(LE261, ""D""), ""D2"",""""))"),"")</f>
        <v/>
      </c>
      <c r="LR261" s="299" t="str">
        <f>IFERROR(__xludf.DUMMYFUNCTION("IF(REGEXMATCH(LD261, ""n""), ""n1"",IF(REGEXMATCH(LE261, ""n""), ""n2"",""""))"),"")</f>
        <v/>
      </c>
      <c r="LS261" s="299" t="str">
        <f>IFERROR(__xludf.DUMMYFUNCTION("IF(REGEXMATCH(LD261, ""N""), ""N1"",IF(REGEXMATCH(LE261, ""N""), ""N2"",""""))"),"N1")</f>
        <v>N1</v>
      </c>
      <c r="LT261" s="388" t="str">
        <f>IFERROR(__xludf.DUMMYFUNCTION("IF(REGEXMATCH(LD261, ""S""), ""S"",IF(REGEXMATCH(LE261, ""S""), ""S"",""""))"),"S")</f>
        <v>S</v>
      </c>
      <c r="LU261" s="389">
        <f t="shared" si="196"/>
        <v>-4</v>
      </c>
      <c r="LV261" s="378"/>
      <c r="LW261" s="369"/>
      <c r="LX261" s="369"/>
    </row>
    <row r="262" ht="18.0" customHeight="1">
      <c r="A262" s="298" t="s">
        <v>1046</v>
      </c>
      <c r="B262" s="222" t="s">
        <v>1044</v>
      </c>
      <c r="C262" s="233" t="str">
        <f t="shared" si="7"/>
        <v>SrGmMPdNS</v>
      </c>
      <c r="D262" s="234" t="str">
        <f>IFERROR(__xludf.DUMMYFUNCTION("IF(REGEXMATCH(C262, ""S""), ""S"","""")"),"S")</f>
        <v>S</v>
      </c>
      <c r="E262" s="236" t="str">
        <f>IFERROR(__xludf.DUMMYFUNCTION("IF(REGEXMATCH(C262, ""r""), ""r"","""")"),"r")</f>
        <v>r</v>
      </c>
      <c r="F262" s="237" t="str">
        <f>IFERROR(__xludf.DUMMYFUNCTION("IF(REGEXMATCH(C262, ""R""), ""R"","""")"),"")</f>
        <v/>
      </c>
      <c r="G262" s="237" t="str">
        <f>IFERROR(__xludf.DUMMYFUNCTION("IF(REGEXMATCH(C262, ""g""), ""g"","""")"),"")</f>
        <v/>
      </c>
      <c r="H262" s="236" t="str">
        <f>IFERROR(__xludf.DUMMYFUNCTION("IF(REGEXMATCH(C262, ""G""), ""G"","""")"),"G")</f>
        <v>G</v>
      </c>
      <c r="I262" s="236" t="str">
        <f>IFERROR(__xludf.DUMMYFUNCTION("IF(REGEXMATCH(C262, ""m""), ""m"","""")"),"m")</f>
        <v>m</v>
      </c>
      <c r="J262" s="237" t="str">
        <f>IFERROR(__xludf.DUMMYFUNCTION("IF(REGEXMATCH(C262, ""M""), ""M"","""")"),"M")</f>
        <v>M</v>
      </c>
      <c r="K262" s="236" t="str">
        <f>IFERROR(__xludf.DUMMYFUNCTION("IF(REGEXMATCH(C262, ""P""), ""P"","""")"),"P")</f>
        <v>P</v>
      </c>
      <c r="L262" s="237" t="str">
        <f>IFERROR(__xludf.DUMMYFUNCTION("IF(REGEXMATCH(C262, ""d""), ""d"","""")"),"d")</f>
        <v>d</v>
      </c>
      <c r="M262" s="236" t="str">
        <f>IFERROR(__xludf.DUMMYFUNCTION("IF(REGEXMATCH(C262, ""D""), ""D"","""")"),"")</f>
        <v/>
      </c>
      <c r="N262" s="236" t="str">
        <f>IFERROR(__xludf.DUMMYFUNCTION("IF(REGEXMATCH(C262, ""n""), ""n"","""")"),"")</f>
        <v/>
      </c>
      <c r="O262" s="237" t="str">
        <f>IFERROR(__xludf.DUMMYFUNCTION("IF(REGEXMATCH(C262, ""N""), ""N"","""")"),"N")</f>
        <v>N</v>
      </c>
      <c r="P262" s="238" t="str">
        <f>IFERROR(__xludf.DUMMYFUNCTION("IF(REGEXMATCH(C262, ""S""), ""S"","""")"),"S")</f>
        <v>S</v>
      </c>
      <c r="Q262" s="239" t="str">
        <f>IFERROR(__xludf.DUMMYFUNCTION("SUBSTITUTE(CONCATENATE(JOIN(""-"",D262:J262)),""-"","""")"),"SrGmM")</f>
        <v>SrGmM</v>
      </c>
      <c r="R262" s="229" t="str">
        <f>IFERROR(__xludf.DUMMYFUNCTION("SUBSTITUTE(CONCATENATE(JOIN(""-"",K262:P262)),""-"","""")"),"PdNS")</f>
        <v>PdNS</v>
      </c>
      <c r="S262" s="282" t="str">
        <f t="shared" si="8"/>
        <v>S-R-G-M</v>
      </c>
      <c r="T262" s="282" t="str">
        <f t="shared" si="9"/>
        <v>P-D-N-S</v>
      </c>
      <c r="U262" s="237" t="str">
        <f>IFERROR(__xludf.DUMMYFUNCTION("SUBSTITUTE(JOIN(""-"",S262,T262),""--"",""-"")"),"S-R-G-M-P-D-N-S")</f>
        <v>S-R-G-M-P-D-N-S</v>
      </c>
      <c r="V262" s="309" t="str">
        <f t="shared" si="10"/>
        <v>rGmMdN</v>
      </c>
      <c r="W262" s="244" t="str">
        <f>IFERROR(__xludf.DUMMYFUNCTION("IF(REGEXMATCH(C262, ""S""), ""0"","""")"),"0")</f>
        <v>0</v>
      </c>
      <c r="X262" s="245" t="str">
        <f>IFERROR(__xludf.DUMMYFUNCTION("IF(REGEXMATCH(C262, ""r""), ""1"","""")"),"1")</f>
        <v>1</v>
      </c>
      <c r="Y262" s="246" t="str">
        <f>IFERROR(__xludf.DUMMYFUNCTION("IF(REGEXMATCH(C262, ""R""), ""2"","""")"),"")</f>
        <v/>
      </c>
      <c r="Z262" s="246" t="str">
        <f>IFERROR(__xludf.DUMMYFUNCTION("IF(REGEXMATCH(C262, ""g""), ""3"","""")"),"")</f>
        <v/>
      </c>
      <c r="AA262" s="245" t="str">
        <f>IFERROR(__xludf.DUMMYFUNCTION("IF(REGEXMATCH(C262, ""G""), ""4"","""")"),"4")</f>
        <v>4</v>
      </c>
      <c r="AB262" s="245" t="str">
        <f>IFERROR(__xludf.DUMMYFUNCTION("IF(REGEXMATCH(C262, ""m""), ""5"","""")"),"5")</f>
        <v>5</v>
      </c>
      <c r="AC262" s="246" t="str">
        <f>IFERROR(__xludf.DUMMYFUNCTION("IF(REGEXMATCH(C262, ""M""), ""6"","""")"),"6")</f>
        <v>6</v>
      </c>
      <c r="AD262" s="245" t="str">
        <f>IFERROR(__xludf.DUMMYFUNCTION("IF(REGEXMATCH(C262, ""P""), ""7"","""")"),"7")</f>
        <v>7</v>
      </c>
      <c r="AE262" s="246" t="str">
        <f>IFERROR(__xludf.DUMMYFUNCTION("IF(REGEXMATCH(C262, ""d""), ""8"","""")"),"8")</f>
        <v>8</v>
      </c>
      <c r="AF262" s="245" t="str">
        <f>IFERROR(__xludf.DUMMYFUNCTION("IF(REGEXMATCH(C262, ""D""), ""9"","""")"),"")</f>
        <v/>
      </c>
      <c r="AG262" s="245" t="str">
        <f>IFERROR(__xludf.DUMMYFUNCTION("IF(REGEXMATCH(C262, ""n""), ""10"","""")"),"")</f>
        <v/>
      </c>
      <c r="AH262" s="246" t="str">
        <f>IFERROR(__xludf.DUMMYFUNCTION("IF(REGEXMATCH(C262, ""N""), ""11"","""")"),"11")</f>
        <v>11</v>
      </c>
      <c r="AI262" s="249" t="str">
        <f>IFERROR(__xludf.DUMMYFUNCTION("IF(REGEXMATCH(C262, ""S""), ""0"","""")"),"0")</f>
        <v>0</v>
      </c>
      <c r="AJ262" s="313" t="str">
        <f t="shared" si="11"/>
        <v>T</v>
      </c>
      <c r="AK262" s="313" t="str">
        <f t="shared" si="12"/>
        <v>T</v>
      </c>
      <c r="AL262" s="313" t="str">
        <f t="shared" si="13"/>
        <v>-</v>
      </c>
      <c r="AM262" s="313" t="str">
        <f t="shared" si="14"/>
        <v>-</v>
      </c>
      <c r="AN262" s="313" t="str">
        <f t="shared" si="15"/>
        <v>-</v>
      </c>
      <c r="AO262" s="314" t="str">
        <f t="shared" si="16"/>
        <v>T</v>
      </c>
      <c r="AP262" s="316">
        <f t="shared" si="17"/>
        <v>3</v>
      </c>
      <c r="AQ262" s="319" t="str">
        <f t="shared" si="18"/>
        <v>-</v>
      </c>
      <c r="AR262" s="320">
        <f t="shared" si="19"/>
        <v>0</v>
      </c>
      <c r="AS262" s="250" t="str">
        <f>IFERROR(__xludf.DUMMYFUNCTION("SUBSTITUTE(SUBSTITUTE(CONCATENATE(JOIN("""",FP262:GA262)),""|"",""x""),""-"",""o"")"),"xxooxxxxxoox")</f>
        <v>xxooxxxxxoox</v>
      </c>
      <c r="AT262" s="323" t="str">
        <f>IFERROR(__xludf.DUMMYFUNCTION("JOIN("""",AS262,AS262)"),"xxooxxxxxooxxxooxxxxxoox")</f>
        <v>xxooxxxxxooxxxooxxxxxoox</v>
      </c>
      <c r="AU262" s="256" t="str">
        <f>IFERROR(__xludf.DUMMYFUNCTION("JOIN("""",ArrayFormula(MID(AS262,LEN(AS262)-SEQUENCE(1,LEN(AS262))+1,1)))"),"xooxxxxxooxx")</f>
        <v>xooxxxxxooxx</v>
      </c>
      <c r="AV262" s="256" t="str">
        <f>IFERROR(__xludf.DUMMYFUNCTION("LEFT(CONCATENATE(""x"",JOIN("""",ArrayFormula(MID(AS262,LEN(AS262)-SEQUENCE(1,LEN(AS262))+1,1)))),12)"),"xxooxxxxxoox")</f>
        <v>xxooxxxxxoox</v>
      </c>
      <c r="AW262" s="327" t="str">
        <f>IFERROR(__xludf.DUMMYFUNCTION("JOIN("""",AU262,AU262)"),"xooxxxxxooxxxooxxxxxooxx")</f>
        <v>xooxxxxxooxxxooxxxxxooxx</v>
      </c>
      <c r="AX262" s="239" t="str">
        <f>IFERROR(__xludf.DUMMYFUNCTION("IF(REGEXMATCH(AW262,AS262),""✔"",""-"")"),"✔")</f>
        <v>✔</v>
      </c>
      <c r="AY262" s="330" t="str">
        <f t="shared" si="20"/>
        <v>✔</v>
      </c>
      <c r="AZ262" s="260" t="str">
        <f t="shared" si="21"/>
        <v>#REF!</v>
      </c>
      <c r="BA262" s="333" t="str">
        <f t="shared" si="22"/>
        <v>xxooxxx</v>
      </c>
      <c r="BB262" s="334" t="str">
        <f t="shared" si="23"/>
        <v>xxooxx</v>
      </c>
      <c r="BC262" s="335" t="str">
        <f t="shared" si="236"/>
        <v>✔</v>
      </c>
      <c r="BD262" s="336" t="str">
        <f t="shared" si="25"/>
        <v>Paraj Kalingada: 'xxooxxx' + 'xxooxx'</v>
      </c>
      <c r="BE262" s="337">
        <f>IFERROR(__xludf.DUMMYFUNCTION("COUNTUNIQUE(FILTER(AT:AT,REGEXMATCH(AT:AT,AS262)))-1"),0.0)</f>
        <v>0</v>
      </c>
      <c r="BF262" s="261" t="str">
        <f>IFERROR(__xludf.DUMMYFUNCTION("IF(BI262=0,""(n/a)"",IF(BJ262=2,""(PAIR)"",IF(REGEXMATCH(AT262,""xoxoxxoxoxox""),""Bilawal"",IF(REGEXMATCH(AT262,""xoxoxooxoxoo""),""Bhupali"",IF(REGEXMATCH(AT262,""xoxoxxoxxoxo""),""Charukeshi"",IF(REGEXMATCH(AT262,""xoxoooxxoxxo""),""Kameshwari"",IF(REG"&amp;"EXMATCH(AT262,""xoxoxooxoxox""),""Shankara"",IF(REGEXMATCH(AT262,""xxooxoxxxoox""),""Basant"",IF(REGEXMATCH(AT262,""xoxoxxxxoxox""),""Bihag"",IF(REGEXMATCH(AT262,""xoxxxxoxoxxx""),""Pilu"",IF(REGEXMATCH(AT262,""xoxxoxoxxoox""),""Kirwani"",IF(REGEXMATCH(AT"&amp;"262,""xoxxoxoxoxxx""),""Mk.Malhar"",IF(REGEXMATCH(AT262,""xxooxxoxxoox""),""Bhairav"",IF(REGEXMATCH(AT262,""xxoxooxxxoox""),""Todi"",IF(REGEXMATCH(AT262,""xxooxoxooxox""),""Marwa"",IF(REGEXMATCH(AT262,""xxoooxoxxooo""),""Gunkali"",IF(REGEXMATCH(AT262,""xo"&amp;"xoxxoxxoox""),""Nat Bhairav"",IF(REGEXMATCH(AT262,""xoxxoooxoxoo""),""Shivranjani"",IF(REGEXMATCH(AT262,""xooxxxoxooxo""),""Jog"",IF(REGEXMATCH(AT262,""xxooxoxoxoox""),""Hemshri"",IF(REGEXMATCH(AT262,""xoooxooxoxxo""),""Kalavati"",IF(REGEXMATCH(AT262,""xx"&amp;"oxoxxoxoox""),""Kedar"",IF(REGEXMATCH(AT262,""xoxxxxoxooxx""),""Gara"",IF(REGEXMATCH(AT262,""xooxoxooxoox""),""Chandrakauns"",IF(REGEXMATCH(AT262,""xoxxxxoxxxox""),""Mand"",IF(REGEXMATCH(AT262,""xoxxxxoxoxox""),""Hanskinkini"",IF(REGEXMATCH(AT262,""xxooxx"&amp;"oxooxo""),""Lilavati"",IF(REGEXMATCH(AT262,""xooxoxoooxox""),""Rajeshwari"",IF(REGEXMATCH(AT262,""xoooxxoxoxxx""),""Khokar"",IF(REGEXMATCH(AT262,""xxooxoxxxxox""),""Maligoura"",""-""))))))))))))))))))))))))))))))"),"(n/a)")</f>
        <v>(n/a)</v>
      </c>
      <c r="BG262" s="239" t="str">
        <f t="shared" si="26"/>
        <v>#REF!</v>
      </c>
      <c r="BH262" s="239">
        <f>IFERROR(__xludf.DUMMYFUNCTION("COUNTUNIQUE(FE262:FO262)-1"),7.0)</f>
        <v>7</v>
      </c>
      <c r="BI262" s="239">
        <f>IFERROR(__xludf.DUMMYFUNCTION("COUNTUNIQUE(FILTER(AT:AT,REGEXMATCH(AT:AT,AS262)))-1"),0.0)</f>
        <v>0</v>
      </c>
      <c r="BJ262" s="239">
        <f>IFERROR(__xludf.DUMMYFUNCTION("COUNTA(FILTER(AT:AT,REGEXMATCH(AT:AT,AS262)))"),4.0)</f>
        <v>4</v>
      </c>
      <c r="BK262" s="341">
        <f>IFERROR(__xludf.DUMMYFUNCTION("COUNTA(FILTER(AT:AT,REGEXMATCH(AT:AT,AS262)))-AR262"),4.0)</f>
        <v>4</v>
      </c>
      <c r="BL262" s="276" t="str">
        <f>IFERROR(__xludf.DUMMYFUNCTION("IF(AS262=""oooooooooooo"",""-"",IF(REGEXMATCH(AT262,""xx""), ""Hemi."", ""Anhemi.""))"),"Hemi.")</f>
        <v>Hemi.</v>
      </c>
      <c r="BM262" s="282" t="str">
        <f>IFERROR(__xludf.DUMMYFUNCTION("IF(AS262=""oooooooooooo"",""-"",IF(REGEXMATCH(AT262,""xxx""), ""Cohem."", ""-""))"),"Cohem.")</f>
        <v>Cohem.</v>
      </c>
      <c r="BN262" s="282" t="str">
        <f>IFERROR(__xludf.DUMMYFUNCTION("IF(AS262=""oooooooooooo"",""-"",IF(REGEXMATCH(AT262,""xxxx""), ""Co-Co."", ""-""))"),"Co-Co.")</f>
        <v>Co-Co.</v>
      </c>
      <c r="BO262" s="342" t="str">
        <f>IFERROR(__xludf.DUMMYFUNCTION("IF(AS262=""oooooooooooo"",""-"",IF(REGEXMATCH(AT262,""xxxxx""), ""CCC."", ""-""))"),"CCC.")</f>
        <v>CCC.</v>
      </c>
      <c r="BP262" s="344" t="str">
        <f t="shared" si="27"/>
        <v>-</v>
      </c>
      <c r="BQ262" s="282" t="str">
        <f>IFERROR(__xludf.DUMMYFUNCTION("IF(REGEXMATCH(JOIN(""-"",EU262:FD262),""TRUE""),""✔"",""-"")"),"-")</f>
        <v>-</v>
      </c>
      <c r="BR262" s="225">
        <f t="shared" si="28"/>
        <v>0</v>
      </c>
      <c r="BS262" s="345" t="str">
        <f>IFERROR(__xludf.DUMMYFUNCTION("SUBSTITUTE(SUBSTITUTE(SUBSTITUTE(SUBSTITUTE(CONCATENATE(JOIN(""-"",GC262:GO262)),""--"",""-""),""--"",""-""),""--"",""-""),""--"",""-"")"),"1-b2-3-4-#4-5-b6-7-8")</f>
        <v>1-b2-3-4-#4-5-b6-7-8</v>
      </c>
      <c r="BT262" s="299" t="str">
        <f>IFERROR(__xludf.DUMMYFUNCTION("SUBSTITUTE(SUBSTITUTE(SUBSTITUTE(SUBSTITUTE(CONCATENATE(JOIN(""-"",GP262:HB262)),""--"",""-""),""--"",""-""),""--"",""-""),""--"",""-"")"),"S-R1-G3-M1-M2-P-D1-N3-S")</f>
        <v>S-R1-G3-M1-M2-P-D1-N3-S</v>
      </c>
      <c r="BU262" s="348" t="str">
        <f t="shared" si="29"/>
        <v>C-Db-E-F-F#-G-Ab-B-C</v>
      </c>
      <c r="BV262" s="349" t="str">
        <f t="shared" si="30"/>
        <v>SRgDnS</v>
      </c>
      <c r="BW262" s="350">
        <f t="shared" si="31"/>
        <v>0</v>
      </c>
      <c r="BX262" s="351">
        <f t="shared" si="32"/>
        <v>4</v>
      </c>
      <c r="BY262" s="352" t="s">
        <v>275</v>
      </c>
      <c r="BZ262" s="309" t="str">
        <f>IFERROR(__xludf.DUMMYFUNCTION("IF(REGEXMATCH(C262, ""S""), ""x"",""x"")"),"x")</f>
        <v>x</v>
      </c>
      <c r="CA262" s="245" t="str">
        <f>IFERROR(__xludf.DUMMYFUNCTION("IF(REGEXMATCH(C262, ""r""), ""o"",""x"")"),"o")</f>
        <v>o</v>
      </c>
      <c r="CB262" s="246" t="str">
        <f>IFERROR(__xludf.DUMMYFUNCTION("IF(REGEXMATCH(C262, ""R""), ""o"",""x"")"),"x")</f>
        <v>x</v>
      </c>
      <c r="CC262" s="246" t="str">
        <f>IFERROR(__xludf.DUMMYFUNCTION("IF(REGEXMATCH(C262, ""g""), ""o"",""x"")"),"x")</f>
        <v>x</v>
      </c>
      <c r="CD262" s="245" t="str">
        <f>IFERROR(__xludf.DUMMYFUNCTION("IF(REGEXMATCH(C262, ""G""), ""o"",""x"")"),"o")</f>
        <v>o</v>
      </c>
      <c r="CE262" s="245" t="str">
        <f>IFERROR(__xludf.DUMMYFUNCTION("IF(REGEXMATCH(C262, ""m""), ""o"",""x"")"),"o")</f>
        <v>o</v>
      </c>
      <c r="CF262" s="246" t="str">
        <f>IFERROR(__xludf.DUMMYFUNCTION("IF(REGEXMATCH(C262, ""M""), ""o"",""x"")"),"o")</f>
        <v>o</v>
      </c>
      <c r="CG262" s="245" t="str">
        <f>IFERROR(__xludf.DUMMYFUNCTION("IF(REGEXMATCH(C262, ""P""), ""o"",""x"")"),"o")</f>
        <v>o</v>
      </c>
      <c r="CH262" s="246" t="str">
        <f>IFERROR(__xludf.DUMMYFUNCTION("IF(REGEXMATCH(C262, ""d""), ""o"",""x"")"),"o")</f>
        <v>o</v>
      </c>
      <c r="CI262" s="245" t="str">
        <f>IFERROR(__xludf.DUMMYFUNCTION("IF(REGEXMATCH(C262, ""D""), ""o"",""x"")"),"x")</f>
        <v>x</v>
      </c>
      <c r="CJ262" s="245" t="str">
        <f>IFERROR(__xludf.DUMMYFUNCTION("IF(REGEXMATCH(C262, ""n""), ""o"",""x"")"),"x")</f>
        <v>x</v>
      </c>
      <c r="CK262" s="245" t="str">
        <f>IFERROR(__xludf.DUMMYFUNCTION("IF(REGEXMATCH(C262, ""N""), ""o"",""x"")"),"o")</f>
        <v>o</v>
      </c>
      <c r="CL262" s="356" t="str">
        <f>IFERROR(__xludf.DUMMYFUNCTION("IF(REGEXMATCH(C262, ""S""), ""x"",""x"")"),"x")</f>
        <v>x</v>
      </c>
      <c r="CM262" s="357" t="str">
        <f t="shared" si="33"/>
        <v>xoxxoooooxxo</v>
      </c>
      <c r="CN262" s="358">
        <f t="shared" si="34"/>
        <v>0</v>
      </c>
      <c r="CO262" s="246" t="str">
        <f>IFERROR(__xludf.DUMMYFUNCTION("IF(REGEXMATCH($C262, ""S""), ""S"",""S"")"),"S")</f>
        <v>S</v>
      </c>
      <c r="CP262" s="246" t="str">
        <f>IFERROR(__xludf.DUMMYFUNCTION("IF(REGEXMATCH($C262, ""r""), """",""r"")"),"")</f>
        <v/>
      </c>
      <c r="CQ262" s="246" t="str">
        <f>IFERROR(__xludf.DUMMYFUNCTION("IF(REGEXMATCH($C262, ""R""), """",""R"")"),"R")</f>
        <v>R</v>
      </c>
      <c r="CR262" s="246" t="str">
        <f>IFERROR(__xludf.DUMMYFUNCTION("IF(REGEXMATCH($C262, ""g""), """",""g"")"),"g")</f>
        <v>g</v>
      </c>
      <c r="CS262" s="246" t="str">
        <f>IFERROR(__xludf.DUMMYFUNCTION("IF(REGEXMATCH($C262, ""G""), """",""G"")"),"")</f>
        <v/>
      </c>
      <c r="CT262" s="246" t="str">
        <f>IFERROR(__xludf.DUMMYFUNCTION("IF(REGEXMATCH($C262, ""m""), """",""m"")"),"")</f>
        <v/>
      </c>
      <c r="CU262" s="246" t="str">
        <f>IFERROR(__xludf.DUMMYFUNCTION("IF(REGEXMATCH($C262, ""M""), """",""M"")"),"")</f>
        <v/>
      </c>
      <c r="CV262" s="246" t="str">
        <f>IFERROR(__xludf.DUMMYFUNCTION("IF(REGEXMATCH($C262, ""P""), """",""P"")"),"")</f>
        <v/>
      </c>
      <c r="CW262" s="246" t="str">
        <f>IFERROR(__xludf.DUMMYFUNCTION("IF(REGEXMATCH($C262, ""d""), """",""d"")"),"")</f>
        <v/>
      </c>
      <c r="CX262" s="246" t="str">
        <f>IFERROR(__xludf.DUMMYFUNCTION("IF(REGEXMATCH($C262, ""D""), """",""D"")"),"D")</f>
        <v>D</v>
      </c>
      <c r="CY262" s="246" t="str">
        <f>IFERROR(__xludf.DUMMYFUNCTION("IF(REGEXMATCH($C262, ""n""), """",""n"")"),"n")</f>
        <v>n</v>
      </c>
      <c r="CZ262" s="246" t="str">
        <f>IFERROR(__xludf.DUMMYFUNCTION("IF(REGEXMATCH($C262, ""N""), """",""N"")"),"")</f>
        <v/>
      </c>
      <c r="DA262" s="246" t="str">
        <f>IFERROR(__xludf.DUMMYFUNCTION("IF(REGEXMATCH($C262, ""S""), ""S"",""S"")"),"S")</f>
        <v>S</v>
      </c>
      <c r="DB262" s="362" t="str">
        <f>IFERROR(__xludf.DUMMYFUNCTION("JOIN("""",CO262:DA262,"""","""")"),"SRgDnS")</f>
        <v>SRgDnS</v>
      </c>
      <c r="DC262" s="363"/>
      <c r="DD262" s="301" t="str">
        <f t="shared" si="35"/>
        <v>#REF!</v>
      </c>
      <c r="DE262" s="302" t="str">
        <f t="shared" si="36"/>
        <v>#REF!</v>
      </c>
      <c r="DF262" s="301" t="str">
        <f t="shared" ref="DF262:DG262" si="745">SUBSTITUTE(S262,"-","")</f>
        <v>SRGM</v>
      </c>
      <c r="DG262" s="301" t="str">
        <f t="shared" si="745"/>
        <v>PDNS</v>
      </c>
      <c r="DH262" s="302" t="str">
        <f t="shared" si="38"/>
        <v>(n/a)</v>
      </c>
      <c r="DI262" s="301" t="str">
        <f t="shared" si="39"/>
        <v>Hemi.</v>
      </c>
      <c r="DJ262" s="364" t="str">
        <f t="shared" si="40"/>
        <v>CCC.</v>
      </c>
      <c r="DK262" s="306" t="str">
        <f t="shared" si="41"/>
        <v>-</v>
      </c>
      <c r="DL262" s="366" t="str">
        <f t="shared" si="42"/>
        <v>-</v>
      </c>
      <c r="DM262" s="308" t="str">
        <f t="shared" si="43"/>
        <v>✔</v>
      </c>
      <c r="DN262" s="306" t="str">
        <f t="shared" si="44"/>
        <v>-</v>
      </c>
      <c r="DO262" s="306" t="str">
        <f t="shared" si="45"/>
        <v>-</v>
      </c>
      <c r="DP262" s="367" t="str">
        <f t="shared" si="46"/>
        <v>-</v>
      </c>
      <c r="DQ262" s="310" t="str">
        <f t="shared" si="47"/>
        <v>-</v>
      </c>
      <c r="DR262" s="310" t="str">
        <f t="shared" si="48"/>
        <v>-</v>
      </c>
      <c r="DS262" s="310" t="str">
        <f t="shared" si="49"/>
        <v>✔</v>
      </c>
      <c r="DT262" s="310" t="str">
        <f t="shared" si="50"/>
        <v>-</v>
      </c>
      <c r="DU262" s="370" t="str">
        <f t="shared" si="51"/>
        <v>-</v>
      </c>
      <c r="DV262" s="306" t="str">
        <f t="shared" si="52"/>
        <v>-</v>
      </c>
      <c r="DW262" s="306" t="str">
        <f t="shared" si="53"/>
        <v>-</v>
      </c>
      <c r="DX262" s="306" t="str">
        <f t="shared" si="54"/>
        <v>-</v>
      </c>
      <c r="DY262" s="306" t="str">
        <f t="shared" si="55"/>
        <v>-</v>
      </c>
      <c r="DZ262" s="306" t="str">
        <f t="shared" si="56"/>
        <v>-</v>
      </c>
      <c r="EA262" s="367" t="str">
        <f t="shared" si="57"/>
        <v>-</v>
      </c>
      <c r="EB262" s="310" t="str">
        <f>IFERROR(__xludf.DUMMYFUNCTION("IF(REGEXMATCH(AW262,AS262),""✔"",""-"")"),"✔")</f>
        <v>✔</v>
      </c>
      <c r="EC262" s="310" t="str">
        <f t="shared" si="58"/>
        <v>#REF!</v>
      </c>
      <c r="ED262" s="370" t="str">
        <f t="shared" si="59"/>
        <v>✔</v>
      </c>
      <c r="EE262" s="340" t="str">
        <f t="shared" si="60"/>
        <v>S-r-G-mM-P-d-N-S</v>
      </c>
      <c r="EF262" s="371" t="str">
        <f>IFERROR(__xludf.DUMMYFUNCTION("CONCATENATE(JOIN("""",HC262:HO262))"),"SrGmMPdNS")</f>
        <v>SrGmMPdNS</v>
      </c>
      <c r="EG262" s="372">
        <f t="shared" si="61"/>
        <v>2</v>
      </c>
      <c r="EH262" s="373" t="str">
        <f>IFERROR(__xludf.DUMMYFUNCTION("CONCATENATE(JOIN("""",JC262:JO262))"),"Pa, dha, ")</f>
        <v>Pa, dha, </v>
      </c>
      <c r="EI262" s="322">
        <f t="shared" si="62"/>
        <v>0</v>
      </c>
      <c r="EJ262" s="374" t="str">
        <f>IFERROR(__xludf.DUMMYFUNCTION("CONCATENATE(JOIN("""",KC262:KO262))"),"")</f>
        <v/>
      </c>
      <c r="EK262" s="325" t="str">
        <f t="shared" si="63"/>
        <v>S-R1-G3-M1-M2-P-D1-N3-S</v>
      </c>
      <c r="EL262" s="326" t="str">
        <f t="shared" si="64"/>
        <v>1-b2-3-4-#4-5-b6-7-8</v>
      </c>
      <c r="EM262" s="318" t="str">
        <f t="shared" si="65"/>
        <v>#REF!</v>
      </c>
      <c r="EN262" s="328" t="str">
        <f>IFERROR(__xludf.DUMMYFUNCTION("SUBSTITUTE(SUBSTITUTE(SUBSTITUTE(SUBSTITUTE(CONCATENATE(JOIN("" "",HP262:IB262)),""  "","" ""),""  "","" ""),""  "","" ""),""  "","" "")"),"o o • • o o o o o • • o o")</f>
        <v>o o • • o o o o o • • o o</v>
      </c>
      <c r="EO262" s="368" t="str">
        <f t="shared" si="66"/>
        <v>-</v>
      </c>
      <c r="EP262" s="339" t="str">
        <f t="shared" si="67"/>
        <v>-</v>
      </c>
      <c r="EQ262" s="339" t="str">
        <f t="shared" si="68"/>
        <v>Sa-Pa</v>
      </c>
      <c r="ER262" s="339" t="str">
        <f t="shared" si="69"/>
        <v>-</v>
      </c>
      <c r="ES262" s="340" t="str">
        <f t="shared" si="70"/>
        <v>-</v>
      </c>
      <c r="ET262" s="363"/>
      <c r="EU262" s="376" t="b">
        <f>IFERROR(__xludf.DUMMYFUNCTION("arrayformula(sum(--REGEXMATCH(""SRGMPDNS"",split(REGEXREPLACE(C262,""(.)"",""$1~""),""~""))))=len(C262)
"),FALSE)</f>
        <v>0</v>
      </c>
      <c r="EV262" s="290" t="b">
        <f>IFERROR(__xludf.DUMMYFUNCTION("arrayformula(sum(--REGEXMATCH(""SRGmPDNS"",split(REGEXREPLACE(C262,""(.)"",""$1~""),""~""))))=len(C262)"),FALSE)</f>
        <v>0</v>
      </c>
      <c r="EW262" s="290" t="b">
        <f>IFERROR(__xludf.DUMMYFUNCTION("arrayformula(sum(--REGEXMATCH(""SRGmPDnS"",split(REGEXREPLACE(C262,""(.)"",""$1~""),""~""))))=len(C262)"),FALSE)</f>
        <v>0</v>
      </c>
      <c r="EX262" s="290" t="b">
        <f>IFERROR(__xludf.DUMMYFUNCTION("arrayformula(sum(--REGEXMATCH(""SRgmPDnS"",split(REGEXREPLACE(C262,""(.)"",""$1~""),""~""))))=len(C262)"),FALSE)</f>
        <v>0</v>
      </c>
      <c r="EY262" s="290" t="b">
        <f>IFERROR(__xludf.DUMMYFUNCTION("arrayformula(sum(--REGEXMATCH(""SRgmPdnS"",split(REGEXREPLACE(C262,""(.)"",""$1~""),""~""))))=len(C262)"),FALSE)</f>
        <v>0</v>
      </c>
      <c r="EZ262" s="290" t="b">
        <f>IFERROR(__xludf.DUMMYFUNCTION("arrayformula(sum(--REGEXMATCH(""SrgmPdnS"",split(REGEXREPLACE(C262,""(.)"",""$1~""),""~""))))=len(C262)"),FALSE)</f>
        <v>0</v>
      </c>
      <c r="FA262" s="290" t="b">
        <f>IFERROR(__xludf.DUMMYFUNCTION("arrayformula(sum(--REGEXMATCH(""SrGmPdNS"",split(REGEXREPLACE(C262,""(.)"",""$1~""),""~""))))=len(C262)"),FALSE)</f>
        <v>0</v>
      </c>
      <c r="FB262" s="290" t="b">
        <f>IFERROR(__xludf.DUMMYFUNCTION("arrayformula(sum(--REGEXMATCH(""SrGMPDNS"",split(REGEXREPLACE(C262,""(.)"",""$1~""),""~""))))=len(C262)"),FALSE)</f>
        <v>0</v>
      </c>
      <c r="FC262" s="290" t="b">
        <f>IFERROR(__xludf.DUMMYFUNCTION("arrayformula(sum(--REGEXMATCH(""SrGMPdNS"",split(REGEXREPLACE(C262,""(.)"",""$1~""),""~""))))=len(C262)"),FALSE)</f>
        <v>0</v>
      </c>
      <c r="FD262" s="377" t="b">
        <f>IFERROR(__xludf.DUMMYFUNCTION("arrayformula(sum(--REGEXMATCH(""SrgMPdNS"",split(REGEXREPLACE(C262,""(.)"",""$1~""),""~""))))=len(C262)"),FALSE)</f>
        <v>0</v>
      </c>
      <c r="FE262" s="269" t="str">
        <f t="shared" si="71"/>
        <v>xooxxxxxoox</v>
      </c>
      <c r="FF262" s="269" t="str">
        <f t="shared" si="72"/>
        <v>-</v>
      </c>
      <c r="FG262" s="271" t="str">
        <f t="shared" si="73"/>
        <v>-</v>
      </c>
      <c r="FH262" s="269" t="str">
        <f t="shared" si="74"/>
        <v>xxxxxooxxxo</v>
      </c>
      <c r="FI262" s="271" t="str">
        <f t="shared" si="75"/>
        <v>xxxxooxxxoo</v>
      </c>
      <c r="FJ262" s="271" t="str">
        <f t="shared" si="76"/>
        <v>xxxooxxxoox</v>
      </c>
      <c r="FK262" s="271" t="str">
        <f t="shared" si="77"/>
        <v>xxooxxxooxx</v>
      </c>
      <c r="FL262" s="271" t="str">
        <f t="shared" si="78"/>
        <v>xooxxxooxxx</v>
      </c>
      <c r="FM262" s="271" t="str">
        <f t="shared" si="79"/>
        <v>-</v>
      </c>
      <c r="FN262" s="271" t="str">
        <f t="shared" si="80"/>
        <v>-</v>
      </c>
      <c r="FO262" s="274" t="str">
        <f t="shared" si="81"/>
        <v>xxxooxxxxxo</v>
      </c>
      <c r="FP262" s="234" t="str">
        <f t="shared" si="82"/>
        <v>|</v>
      </c>
      <c r="FQ262" s="236" t="str">
        <f t="shared" si="83"/>
        <v>|</v>
      </c>
      <c r="FR262" s="237" t="str">
        <f t="shared" si="84"/>
        <v>-</v>
      </c>
      <c r="FS262" s="236" t="str">
        <f t="shared" si="85"/>
        <v>-</v>
      </c>
      <c r="FT262" s="237" t="str">
        <f t="shared" si="86"/>
        <v>|</v>
      </c>
      <c r="FU262" s="236" t="str">
        <f t="shared" si="87"/>
        <v>|</v>
      </c>
      <c r="FV262" s="237" t="str">
        <f t="shared" si="88"/>
        <v>|</v>
      </c>
      <c r="FW262" s="236" t="str">
        <f t="shared" si="89"/>
        <v>|</v>
      </c>
      <c r="FX262" s="237" t="str">
        <f t="shared" si="90"/>
        <v>|</v>
      </c>
      <c r="FY262" s="236" t="str">
        <f t="shared" si="91"/>
        <v>-</v>
      </c>
      <c r="FZ262" s="237" t="str">
        <f t="shared" si="92"/>
        <v>-</v>
      </c>
      <c r="GA262" s="236" t="str">
        <f t="shared" si="93"/>
        <v>|</v>
      </c>
      <c r="GB262" s="238" t="str">
        <f t="shared" si="94"/>
        <v>|</v>
      </c>
      <c r="GC262" s="244" t="str">
        <f>IFERROR(__xludf.DUMMYFUNCTION("IF(REGEXMATCH(C262, ""S""), ""1"","""")"),"1")</f>
        <v>1</v>
      </c>
      <c r="GD262" s="245" t="str">
        <f>IFERROR(__xludf.DUMMYFUNCTION("IF(REGEXMATCH(C262, ""r""), ""b2"","""")"),"b2")</f>
        <v>b2</v>
      </c>
      <c r="GE262" s="246" t="str">
        <f>IFERROR(__xludf.DUMMYFUNCTION("IF(REGEXMATCH(C262, ""R""), ""2"","""")"),"")</f>
        <v/>
      </c>
      <c r="GF262" s="246" t="str">
        <f>IFERROR(__xludf.DUMMYFUNCTION("IF(REGEXMATCH(C262, ""g""), ""b3"","""")"),"")</f>
        <v/>
      </c>
      <c r="GG262" s="245" t="str">
        <f>IFERROR(__xludf.DUMMYFUNCTION("IF(REGEXMATCH(C262, ""G""), ""3"","""")"),"3")</f>
        <v>3</v>
      </c>
      <c r="GH262" s="245" t="str">
        <f>IFERROR(__xludf.DUMMYFUNCTION("IF(REGEXMATCH(C262, ""m""), ""4"","""")"),"4")</f>
        <v>4</v>
      </c>
      <c r="GI262" s="246" t="str">
        <f>IFERROR(__xludf.DUMMYFUNCTION("IF(REGEXMATCH(C262, ""M""), ""#4"","""")"),"#4")</f>
        <v>#4</v>
      </c>
      <c r="GJ262" s="245" t="str">
        <f>IFERROR(__xludf.DUMMYFUNCTION("IF(REGEXMATCH(C262, ""P""), ""5"","""")"),"5")</f>
        <v>5</v>
      </c>
      <c r="GK262" s="246" t="str">
        <f>IFERROR(__xludf.DUMMYFUNCTION("IF(REGEXMATCH(C262, ""d""), ""b6"","""")"),"b6")</f>
        <v>b6</v>
      </c>
      <c r="GL262" s="245" t="str">
        <f>IFERROR(__xludf.DUMMYFUNCTION("IF(REGEXMATCH(C262, ""D""), ""6"","""")"),"")</f>
        <v/>
      </c>
      <c r="GM262" s="245" t="str">
        <f>IFERROR(__xludf.DUMMYFUNCTION("IF(REGEXMATCH(C262, ""n""), ""b7"","""")"),"")</f>
        <v/>
      </c>
      <c r="GN262" s="246" t="str">
        <f>IFERROR(__xludf.DUMMYFUNCTION("IF(REGEXMATCH(C262, ""N""), ""7"","""")"),"7")</f>
        <v>7</v>
      </c>
      <c r="GO262" s="249" t="str">
        <f>IFERROR(__xludf.DUMMYFUNCTION("IF(REGEXMATCH(C262, ""S""), ""8"","""")"),"8")</f>
        <v>8</v>
      </c>
      <c r="GP262" s="244" t="str">
        <f>IFERROR(__xludf.DUMMYFUNCTION("IF(REGEXMATCH(C262, ""S""), ""S"","""")"),"S")</f>
        <v>S</v>
      </c>
      <c r="GQ262" s="294" t="str">
        <f>IFERROR(__xludf.DUMMYFUNCTION("IF(REGEXMATCH(C262, ""r""), ""R1"","""")"),"R1")</f>
        <v>R1</v>
      </c>
      <c r="GR262" s="295" t="str">
        <f>IFERROR(__xludf.DUMMYFUNCTION("IF(REGEXMATCH(C262, ""R""), ""R2"","""")"),"")</f>
        <v/>
      </c>
      <c r="GS262" s="295" t="str">
        <f>IFERROR(__xludf.DUMMYFUNCTION("IF(REGEXMATCH(C262, ""g""), ""G2"","""")"),"")</f>
        <v/>
      </c>
      <c r="GT262" s="294" t="str">
        <f>IFERROR(__xludf.DUMMYFUNCTION("IF(REGEXMATCH(C262, ""G""), ""G3"","""")"),"G3")</f>
        <v>G3</v>
      </c>
      <c r="GU262" s="294" t="str">
        <f>IFERROR(__xludf.DUMMYFUNCTION("IF(REGEXMATCH(C262, ""m""), ""M1"","""")"),"M1")</f>
        <v>M1</v>
      </c>
      <c r="GV262" s="295" t="str">
        <f>IFERROR(__xludf.DUMMYFUNCTION("IF(REGEXMATCH(C262, ""M""), ""M2"","""")"),"M2")</f>
        <v>M2</v>
      </c>
      <c r="GW262" s="294" t="str">
        <f>IFERROR(__xludf.DUMMYFUNCTION("IF(REGEXMATCH(C262, ""P""), ""P"","""")"),"P")</f>
        <v>P</v>
      </c>
      <c r="GX262" s="295" t="str">
        <f>IFERROR(__xludf.DUMMYFUNCTION("IF(REGEXMATCH(C262, ""d""), ""D1"","""")"),"D1")</f>
        <v>D1</v>
      </c>
      <c r="GY262" s="294" t="str">
        <f>IFERROR(__xludf.DUMMYFUNCTION("IF(REGEXMATCH(C262, ""D""), ""D2"","""")"),"")</f>
        <v/>
      </c>
      <c r="GZ262" s="294" t="str">
        <f>IFERROR(__xludf.DUMMYFUNCTION("IF(REGEXMATCH(C262, ""n""), ""N2"","""")"),"")</f>
        <v/>
      </c>
      <c r="HA262" s="295" t="str">
        <f>IFERROR(__xludf.DUMMYFUNCTION("IF(REGEXMATCH(C262, ""N""), ""N3"","""")"),"N3")</f>
        <v>N3</v>
      </c>
      <c r="HB262" s="249" t="str">
        <f>IFERROR(__xludf.DUMMYFUNCTION("IF(REGEXMATCH(C262, ""S""), ""S"","""")"),"S")</f>
        <v>S</v>
      </c>
      <c r="HC262" s="331" t="str">
        <f t="shared" si="95"/>
        <v>S</v>
      </c>
      <c r="HD262" s="332" t="str">
        <f t="shared" si="96"/>
        <v>r</v>
      </c>
      <c r="HE262" s="332" t="str">
        <f t="shared" si="97"/>
        <v/>
      </c>
      <c r="HF262" s="332" t="str">
        <f t="shared" si="98"/>
        <v/>
      </c>
      <c r="HG262" s="332" t="str">
        <f t="shared" si="99"/>
        <v>G</v>
      </c>
      <c r="HH262" s="332" t="str">
        <f t="shared" si="100"/>
        <v>m</v>
      </c>
      <c r="HI262" s="332" t="str">
        <f t="shared" si="101"/>
        <v>M</v>
      </c>
      <c r="HJ262" s="332" t="str">
        <f t="shared" si="102"/>
        <v>P</v>
      </c>
      <c r="HK262" s="332" t="str">
        <f t="shared" si="103"/>
        <v>d</v>
      </c>
      <c r="HL262" s="332" t="str">
        <f t="shared" si="104"/>
        <v/>
      </c>
      <c r="HM262" s="332" t="str">
        <f t="shared" si="105"/>
        <v/>
      </c>
      <c r="HN262" s="332" t="str">
        <f t="shared" si="106"/>
        <v>N</v>
      </c>
      <c r="HO262" s="343" t="str">
        <f t="shared" si="107"/>
        <v>S</v>
      </c>
      <c r="HP262" s="331" t="str">
        <f t="shared" si="108"/>
        <v>o</v>
      </c>
      <c r="HQ262" s="332" t="str">
        <f t="shared" si="109"/>
        <v>o</v>
      </c>
      <c r="HR262" s="332" t="str">
        <f t="shared" si="110"/>
        <v>•</v>
      </c>
      <c r="HS262" s="332" t="str">
        <f t="shared" si="111"/>
        <v>•</v>
      </c>
      <c r="HT262" s="332" t="str">
        <f t="shared" si="112"/>
        <v>o</v>
      </c>
      <c r="HU262" s="332" t="str">
        <f t="shared" si="113"/>
        <v>o</v>
      </c>
      <c r="HV262" s="332" t="str">
        <f t="shared" si="114"/>
        <v>o</v>
      </c>
      <c r="HW262" s="332" t="str">
        <f t="shared" si="115"/>
        <v>o</v>
      </c>
      <c r="HX262" s="332" t="str">
        <f t="shared" si="116"/>
        <v>o</v>
      </c>
      <c r="HY262" s="332" t="str">
        <f t="shared" si="117"/>
        <v>•</v>
      </c>
      <c r="HZ262" s="332" t="str">
        <f t="shared" si="118"/>
        <v>•</v>
      </c>
      <c r="IA262" s="332" t="str">
        <f t="shared" si="119"/>
        <v>o</v>
      </c>
      <c r="IB262" s="338" t="str">
        <f t="shared" si="120"/>
        <v>o</v>
      </c>
      <c r="IC262" s="331" t="str">
        <f t="shared" si="121"/>
        <v>•</v>
      </c>
      <c r="ID262" s="332" t="str">
        <f t="shared" si="122"/>
        <v>•</v>
      </c>
      <c r="IE262" s="332" t="str">
        <f t="shared" si="123"/>
        <v>o</v>
      </c>
      <c r="IF262" s="332" t="str">
        <f t="shared" si="124"/>
        <v>o</v>
      </c>
      <c r="IG262" s="332" t="str">
        <f t="shared" si="125"/>
        <v>•</v>
      </c>
      <c r="IH262" s="332" t="str">
        <f t="shared" si="126"/>
        <v>•</v>
      </c>
      <c r="II262" s="332" t="str">
        <f t="shared" si="127"/>
        <v>•</v>
      </c>
      <c r="IJ262" s="332" t="str">
        <f t="shared" si="128"/>
        <v>•</v>
      </c>
      <c r="IK262" s="332" t="str">
        <f t="shared" si="129"/>
        <v>•</v>
      </c>
      <c r="IL262" s="332" t="str">
        <f t="shared" si="130"/>
        <v>o</v>
      </c>
      <c r="IM262" s="332" t="str">
        <f t="shared" si="131"/>
        <v>o</v>
      </c>
      <c r="IN262" s="332" t="str">
        <f t="shared" si="132"/>
        <v>•</v>
      </c>
      <c r="IO262" s="338" t="str">
        <f t="shared" si="133"/>
        <v>•</v>
      </c>
      <c r="IP262" s="346" t="b">
        <f t="shared" si="134"/>
        <v>0</v>
      </c>
      <c r="IQ262" s="347" t="b">
        <f t="shared" si="135"/>
        <v>0</v>
      </c>
      <c r="IR262" s="347" t="b">
        <f t="shared" si="136"/>
        <v>0</v>
      </c>
      <c r="IS262" s="347" t="b">
        <f t="shared" si="137"/>
        <v>0</v>
      </c>
      <c r="IT262" s="347" t="b">
        <f t="shared" si="138"/>
        <v>0</v>
      </c>
      <c r="IU262" s="347" t="b">
        <f t="shared" si="139"/>
        <v>0</v>
      </c>
      <c r="IV262" s="347" t="b">
        <f t="shared" si="140"/>
        <v>0</v>
      </c>
      <c r="IW262" s="347" t="b">
        <f t="shared" si="141"/>
        <v>1</v>
      </c>
      <c r="IX262" s="347" t="b">
        <f t="shared" si="142"/>
        <v>1</v>
      </c>
      <c r="IY262" s="347" t="b">
        <f t="shared" si="143"/>
        <v>0</v>
      </c>
      <c r="IZ262" s="347" t="b">
        <f t="shared" si="144"/>
        <v>0</v>
      </c>
      <c r="JA262" s="347" t="b">
        <f t="shared" si="145"/>
        <v>0</v>
      </c>
      <c r="JB262" s="353" t="b">
        <f t="shared" si="146"/>
        <v>0</v>
      </c>
      <c r="JC262" s="354" t="str">
        <f t="shared" si="147"/>
        <v/>
      </c>
      <c r="JD262" s="355" t="str">
        <f t="shared" si="148"/>
        <v/>
      </c>
      <c r="JE262" s="355" t="str">
        <f t="shared" si="149"/>
        <v/>
      </c>
      <c r="JF262" s="355" t="str">
        <f t="shared" si="150"/>
        <v/>
      </c>
      <c r="JG262" s="355" t="str">
        <f t="shared" si="151"/>
        <v/>
      </c>
      <c r="JH262" s="355" t="str">
        <f t="shared" si="152"/>
        <v/>
      </c>
      <c r="JI262" s="355" t="str">
        <f t="shared" si="153"/>
        <v/>
      </c>
      <c r="JJ262" s="355" t="str">
        <f t="shared" si="154"/>
        <v>Pa, </v>
      </c>
      <c r="JK262" s="355" t="str">
        <f t="shared" si="155"/>
        <v>dha, </v>
      </c>
      <c r="JL262" s="355" t="str">
        <f t="shared" si="156"/>
        <v/>
      </c>
      <c r="JM262" s="355" t="str">
        <f t="shared" si="157"/>
        <v/>
      </c>
      <c r="JN262" s="355" t="str">
        <f t="shared" si="158"/>
        <v/>
      </c>
      <c r="JO262" s="359" t="str">
        <f t="shared" si="159"/>
        <v/>
      </c>
      <c r="JP262" s="346" t="b">
        <f t="shared" si="160"/>
        <v>0</v>
      </c>
      <c r="JQ262" s="347" t="b">
        <f t="shared" si="161"/>
        <v>0</v>
      </c>
      <c r="JR262" s="347" t="b">
        <f t="shared" si="162"/>
        <v>0</v>
      </c>
      <c r="JS262" s="347" t="b">
        <f t="shared" si="163"/>
        <v>0</v>
      </c>
      <c r="JT262" s="347" t="b">
        <f t="shared" si="164"/>
        <v>0</v>
      </c>
      <c r="JU262" s="347" t="b">
        <f t="shared" si="165"/>
        <v>0</v>
      </c>
      <c r="JV262" s="347" t="b">
        <f t="shared" si="166"/>
        <v>0</v>
      </c>
      <c r="JW262" s="347" t="b">
        <f t="shared" si="167"/>
        <v>0</v>
      </c>
      <c r="JX262" s="347" t="b">
        <f t="shared" si="168"/>
        <v>0</v>
      </c>
      <c r="JY262" s="347" t="b">
        <f t="shared" si="169"/>
        <v>0</v>
      </c>
      <c r="JZ262" s="347" t="b">
        <f t="shared" si="170"/>
        <v>0</v>
      </c>
      <c r="KA262" s="347" t="b">
        <f t="shared" si="171"/>
        <v>0</v>
      </c>
      <c r="KB262" s="365" t="b">
        <f t="shared" si="172"/>
        <v>0</v>
      </c>
      <c r="KC262" s="354" t="str">
        <f t="shared" si="173"/>
        <v/>
      </c>
      <c r="KD262" s="355" t="str">
        <f t="shared" si="174"/>
        <v/>
      </c>
      <c r="KE262" s="355" t="str">
        <f t="shared" si="175"/>
        <v/>
      </c>
      <c r="KF262" s="355" t="str">
        <f t="shared" si="176"/>
        <v/>
      </c>
      <c r="KG262" s="355" t="str">
        <f t="shared" si="177"/>
        <v/>
      </c>
      <c r="KH262" s="355" t="str">
        <f t="shared" si="178"/>
        <v/>
      </c>
      <c r="KI262" s="355" t="str">
        <f t="shared" si="179"/>
        <v/>
      </c>
      <c r="KJ262" s="355" t="str">
        <f t="shared" si="180"/>
        <v/>
      </c>
      <c r="KK262" s="355" t="str">
        <f t="shared" si="181"/>
        <v/>
      </c>
      <c r="KL262" s="355" t="str">
        <f t="shared" si="182"/>
        <v/>
      </c>
      <c r="KM262" s="355" t="str">
        <f t="shared" si="183"/>
        <v/>
      </c>
      <c r="KN262" s="355" t="str">
        <f t="shared" si="184"/>
        <v/>
      </c>
      <c r="KO262" s="359"/>
      <c r="KP262" s="378"/>
      <c r="KQ262" s="379" t="s">
        <v>9</v>
      </c>
      <c r="KR262" s="380" t="s">
        <v>9</v>
      </c>
      <c r="KS262" s="381" t="s">
        <v>9</v>
      </c>
      <c r="KT262" s="382">
        <f t="shared" si="186"/>
        <v>0</v>
      </c>
      <c r="KU262" s="383">
        <f t="shared" si="187"/>
        <v>0</v>
      </c>
      <c r="KV262" s="381" t="str">
        <f t="shared" si="205"/>
        <v>S</v>
      </c>
      <c r="KW262" s="382">
        <f t="shared" si="189"/>
        <v>0</v>
      </c>
      <c r="KX262" s="384">
        <f t="shared" si="190"/>
        <v>0</v>
      </c>
      <c r="KY262" s="382">
        <f t="shared" ref="KY262:KZ262" si="746">KW262-KT262</f>
        <v>0</v>
      </c>
      <c r="KZ262" s="369">
        <f t="shared" si="746"/>
        <v>0</v>
      </c>
      <c r="LA262" s="385" t="str">
        <f t="shared" si="192"/>
        <v>✔</v>
      </c>
      <c r="LB262" s="340" t="str">
        <f>IFERROR(__xludf.DUMMYFUNCTION("JOIN("""",ArrayFormula(MID(KS262,LEN(KS262)-SEQUENCE(1,LEN(KS262))+1,1)))"),"S")</f>
        <v>S</v>
      </c>
      <c r="LC262" s="373" t="str">
        <f>IFERROR(__xludf.DUMMYFUNCTION("JOIN("""",ArrayFormula(MID(KV262,LEN(KV262)-SEQUENCE(1,LEN(KV262))+1,1)))"),"S")</f>
        <v>S</v>
      </c>
      <c r="LD262" s="373" t="str">
        <f t="shared" si="193"/>
        <v>S</v>
      </c>
      <c r="LE262" s="339" t="str">
        <f t="shared" si="194"/>
        <v>S</v>
      </c>
      <c r="LF262" s="386" t="str">
        <f>IFERROR(__xludf.DUMMYFUNCTION("SUBSTITUTE(SUBSTITUTE(CONCATENATE(JOIN("""",LH262:LT262)),""1"",""""),""2"","""")"),"SS")</f>
        <v>SS</v>
      </c>
      <c r="LG262" s="369" t="str">
        <f t="shared" si="195"/>
        <v>-</v>
      </c>
      <c r="LH262" s="387" t="str">
        <f>IFERROR(__xludf.DUMMYFUNCTION("IF(REGEXMATCH(LD262, ""S""), ""S"",IF(REGEXMATCH(LE262, ""S""), ""S"",""""))"),"S")</f>
        <v>S</v>
      </c>
      <c r="LI262" s="299" t="str">
        <f>IFERROR(__xludf.DUMMYFUNCTION("IF(REGEXMATCH(LD262, ""r""), ""r1"",IF(REGEXMATCH(LE262, ""r""), ""r2"",""""))"),"")</f>
        <v/>
      </c>
      <c r="LJ262" s="299" t="str">
        <f>IFERROR(__xludf.DUMMYFUNCTION("IF(REGEXMATCH(LD262, ""R""), ""R1"",IF(REGEXMATCH(LE262, ""R""), ""R2"",""""))"),"")</f>
        <v/>
      </c>
      <c r="LK262" s="299" t="str">
        <f>IFERROR(__xludf.DUMMYFUNCTION("IF(REGEXMATCH(LD262, ""g""), ""g1"",IF(REGEXMATCH(LE262, ""g""), ""g2"",""""))"),"")</f>
        <v/>
      </c>
      <c r="LL262" s="299" t="str">
        <f>IFERROR(__xludf.DUMMYFUNCTION("IF(REGEXMATCH(LD262, ""G""), ""G1"",IF(REGEXMATCH(LE262, ""G""), ""G2"",""""))"),"")</f>
        <v/>
      </c>
      <c r="LM262" s="299" t="str">
        <f>IFERROR(__xludf.DUMMYFUNCTION("IF(REGEXMATCH(LD262, ""m""), ""m1"",IF(REGEXMATCH(LE262, ""m""), ""m2"",""""))"),"")</f>
        <v/>
      </c>
      <c r="LN262" s="299" t="str">
        <f>IFERROR(__xludf.DUMMYFUNCTION("IF(REGEXMATCH(LD262, ""M""), ""M1"",IF(REGEXMATCH(LE262, ""M""), ""M2"",""""))"),"")</f>
        <v/>
      </c>
      <c r="LO262" s="299" t="str">
        <f>IFERROR(__xludf.DUMMYFUNCTION("IF(REGEXMATCH(LD262, ""P""), ""P1"",IF(REGEXMATCH(LE262, ""P""), ""P2"",""""))"),"")</f>
        <v/>
      </c>
      <c r="LP262" s="299" t="str">
        <f>IFERROR(__xludf.DUMMYFUNCTION("IF(REGEXMATCH(LD262, ""d""), ""d1"",IF(REGEXMATCH(LE262, ""d""), ""d2"",""""))"),"")</f>
        <v/>
      </c>
      <c r="LQ262" s="299" t="str">
        <f>IFERROR(__xludf.DUMMYFUNCTION("IF(REGEXMATCH(LD262, ""D""), ""D1"",IF(REGEXMATCH(LE262, ""D""), ""D2"",""""))"),"")</f>
        <v/>
      </c>
      <c r="LR262" s="299" t="str">
        <f>IFERROR(__xludf.DUMMYFUNCTION("IF(REGEXMATCH(LD262, ""n""), ""n1"",IF(REGEXMATCH(LE262, ""n""), ""n2"",""""))"),"")</f>
        <v/>
      </c>
      <c r="LS262" s="299" t="str">
        <f>IFERROR(__xludf.DUMMYFUNCTION("IF(REGEXMATCH(LD262, ""N""), ""N1"",IF(REGEXMATCH(LE262, ""N""), ""N2"",""""))"),"")</f>
        <v/>
      </c>
      <c r="LT262" s="388" t="str">
        <f>IFERROR(__xludf.DUMMYFUNCTION("IF(REGEXMATCH(LD262, ""S""), ""S"",IF(REGEXMATCH(LE262, ""S""), ""S"",""""))"),"S")</f>
        <v>S</v>
      </c>
      <c r="LU262" s="389">
        <f t="shared" si="196"/>
        <v>1</v>
      </c>
      <c r="LV262" s="378"/>
      <c r="LW262" s="369"/>
      <c r="LX262" s="369"/>
    </row>
    <row r="263" ht="18.0" customHeight="1">
      <c r="A263" s="298" t="s">
        <v>1048</v>
      </c>
      <c r="B263" s="222" t="s">
        <v>676</v>
      </c>
      <c r="C263" s="233" t="str">
        <f t="shared" si="7"/>
        <v>SrgmDnS</v>
      </c>
      <c r="D263" s="234" t="str">
        <f>IFERROR(__xludf.DUMMYFUNCTION("IF(REGEXMATCH(C263, ""S""), ""S"","""")"),"S")</f>
        <v>S</v>
      </c>
      <c r="E263" s="236" t="str">
        <f>IFERROR(__xludf.DUMMYFUNCTION("IF(REGEXMATCH(C263, ""r""), ""r"","""")"),"r")</f>
        <v>r</v>
      </c>
      <c r="F263" s="237" t="str">
        <f>IFERROR(__xludf.DUMMYFUNCTION("IF(REGEXMATCH(C263, ""R""), ""R"","""")"),"")</f>
        <v/>
      </c>
      <c r="G263" s="237" t="str">
        <f>IFERROR(__xludf.DUMMYFUNCTION("IF(REGEXMATCH(C263, ""g""), ""g"","""")"),"g")</f>
        <v>g</v>
      </c>
      <c r="H263" s="236" t="str">
        <f>IFERROR(__xludf.DUMMYFUNCTION("IF(REGEXMATCH(C263, ""G""), ""G"","""")"),"")</f>
        <v/>
      </c>
      <c r="I263" s="236" t="str">
        <f>IFERROR(__xludf.DUMMYFUNCTION("IF(REGEXMATCH(C263, ""m""), ""m"","""")"),"m")</f>
        <v>m</v>
      </c>
      <c r="J263" s="237" t="str">
        <f>IFERROR(__xludf.DUMMYFUNCTION("IF(REGEXMATCH(C263, ""M""), ""M"","""")"),"")</f>
        <v/>
      </c>
      <c r="K263" s="236" t="str">
        <f>IFERROR(__xludf.DUMMYFUNCTION("IF(REGEXMATCH(C263, ""P""), ""P"","""")"),"")</f>
        <v/>
      </c>
      <c r="L263" s="237" t="str">
        <f>IFERROR(__xludf.DUMMYFUNCTION("IF(REGEXMATCH(C263, ""d""), ""d"","""")"),"")</f>
        <v/>
      </c>
      <c r="M263" s="236" t="str">
        <f>IFERROR(__xludf.DUMMYFUNCTION("IF(REGEXMATCH(C263, ""D""), ""D"","""")"),"D")</f>
        <v>D</v>
      </c>
      <c r="N263" s="236" t="str">
        <f>IFERROR(__xludf.DUMMYFUNCTION("IF(REGEXMATCH(C263, ""n""), ""n"","""")"),"n")</f>
        <v>n</v>
      </c>
      <c r="O263" s="237" t="str">
        <f>IFERROR(__xludf.DUMMYFUNCTION("IF(REGEXMATCH(C263, ""N""), ""N"","""")"),"")</f>
        <v/>
      </c>
      <c r="P263" s="238" t="str">
        <f>IFERROR(__xludf.DUMMYFUNCTION("IF(REGEXMATCH(C263, ""S""), ""S"","""")"),"S")</f>
        <v>S</v>
      </c>
      <c r="Q263" s="239" t="str">
        <f>IFERROR(__xludf.DUMMYFUNCTION("SUBSTITUTE(CONCATENATE(JOIN(""-"",D263:J263)),""-"","""")"),"Srgm")</f>
        <v>Srgm</v>
      </c>
      <c r="R263" s="229" t="str">
        <f>IFERROR(__xludf.DUMMYFUNCTION("SUBSTITUTE(CONCATENATE(JOIN(""-"",K263:P263)),""-"","""")"),"DnS")</f>
        <v>DnS</v>
      </c>
      <c r="S263" s="282" t="str">
        <f t="shared" si="8"/>
        <v>S-R-G-M</v>
      </c>
      <c r="T263" s="282" t="str">
        <f t="shared" si="9"/>
        <v>D-N-S</v>
      </c>
      <c r="U263" s="237" t="str">
        <f>IFERROR(__xludf.DUMMYFUNCTION("SUBSTITUTE(JOIN(""-"",S263,T263),""--"",""-"")"),"S-R-G-M-D-N-S")</f>
        <v>S-R-G-M-D-N-S</v>
      </c>
      <c r="V263" s="309" t="str">
        <f t="shared" si="10"/>
        <v>rgmDn</v>
      </c>
      <c r="W263" s="244" t="str">
        <f>IFERROR(__xludf.DUMMYFUNCTION("IF(REGEXMATCH(C263, ""S""), ""0"","""")"),"0")</f>
        <v>0</v>
      </c>
      <c r="X263" s="245" t="str">
        <f>IFERROR(__xludf.DUMMYFUNCTION("IF(REGEXMATCH(C263, ""r""), ""1"","""")"),"1")</f>
        <v>1</v>
      </c>
      <c r="Y263" s="246" t="str">
        <f>IFERROR(__xludf.DUMMYFUNCTION("IF(REGEXMATCH(C263, ""R""), ""2"","""")"),"")</f>
        <v/>
      </c>
      <c r="Z263" s="246" t="str">
        <f>IFERROR(__xludf.DUMMYFUNCTION("IF(REGEXMATCH(C263, ""g""), ""3"","""")"),"3")</f>
        <v>3</v>
      </c>
      <c r="AA263" s="245" t="str">
        <f>IFERROR(__xludf.DUMMYFUNCTION("IF(REGEXMATCH(C263, ""G""), ""4"","""")"),"")</f>
        <v/>
      </c>
      <c r="AB263" s="245" t="str">
        <f>IFERROR(__xludf.DUMMYFUNCTION("IF(REGEXMATCH(C263, ""m""), ""5"","""")"),"5")</f>
        <v>5</v>
      </c>
      <c r="AC263" s="246" t="str">
        <f>IFERROR(__xludf.DUMMYFUNCTION("IF(REGEXMATCH(C263, ""M""), ""6"","""")"),"")</f>
        <v/>
      </c>
      <c r="AD263" s="245" t="str">
        <f>IFERROR(__xludf.DUMMYFUNCTION("IF(REGEXMATCH(C263, ""P""), ""7"","""")"),"")</f>
        <v/>
      </c>
      <c r="AE263" s="246" t="str">
        <f>IFERROR(__xludf.DUMMYFUNCTION("IF(REGEXMATCH(C263, ""d""), ""8"","""")"),"")</f>
        <v/>
      </c>
      <c r="AF263" s="245" t="str">
        <f>IFERROR(__xludf.DUMMYFUNCTION("IF(REGEXMATCH(C263, ""D""), ""9"","""")"),"9")</f>
        <v>9</v>
      </c>
      <c r="AG263" s="245" t="str">
        <f>IFERROR(__xludf.DUMMYFUNCTION("IF(REGEXMATCH(C263, ""n""), ""10"","""")"),"10")</f>
        <v>10</v>
      </c>
      <c r="AH263" s="246" t="str">
        <f>IFERROR(__xludf.DUMMYFUNCTION("IF(REGEXMATCH(C263, ""N""), ""11"","""")"),"")</f>
        <v/>
      </c>
      <c r="AI263" s="249" t="str">
        <f>IFERROR(__xludf.DUMMYFUNCTION("IF(REGEXMATCH(C263, ""S""), ""0"","""")"),"0")</f>
        <v>0</v>
      </c>
      <c r="AJ263" s="313" t="str">
        <f t="shared" si="11"/>
        <v>-</v>
      </c>
      <c r="AK263" s="313" t="str">
        <f t="shared" si="12"/>
        <v>-</v>
      </c>
      <c r="AL263" s="313" t="str">
        <f t="shared" si="13"/>
        <v>-</v>
      </c>
      <c r="AM263" s="313" t="str">
        <f t="shared" si="14"/>
        <v>T</v>
      </c>
      <c r="AN263" s="313" t="str">
        <f t="shared" si="15"/>
        <v>-</v>
      </c>
      <c r="AO263" s="314" t="str">
        <f t="shared" si="16"/>
        <v>-</v>
      </c>
      <c r="AP263" s="316">
        <f t="shared" si="17"/>
        <v>1</v>
      </c>
      <c r="AQ263" s="319" t="str">
        <f t="shared" si="18"/>
        <v>#REF!</v>
      </c>
      <c r="AR263" s="320">
        <f t="shared" si="19"/>
        <v>0</v>
      </c>
      <c r="AS263" s="250" t="str">
        <f>IFERROR(__xludf.DUMMYFUNCTION("SUBSTITUTE(SUBSTITUTE(CONCATENATE(JOIN("""",FP263:GA263)),""|"",""x""),""-"",""o"")"),"xxoxoxoooxxo")</f>
        <v>xxoxoxoooxxo</v>
      </c>
      <c r="AT263" s="323" t="str">
        <f>IFERROR(__xludf.DUMMYFUNCTION("JOIN("""",AS263,AS263)"),"xxoxoxoooxxoxxoxoxoooxxo")</f>
        <v>xxoxoxoooxxoxxoxoxoooxxo</v>
      </c>
      <c r="AU263" s="256" t="str">
        <f>IFERROR(__xludf.DUMMYFUNCTION("JOIN("""",ArrayFormula(MID(AS263,LEN(AS263)-SEQUENCE(1,LEN(AS263))+1,1)))"),"oxxoooxoxoxx")</f>
        <v>oxxoooxoxoxx</v>
      </c>
      <c r="AV263" s="256" t="str">
        <f>IFERROR(__xludf.DUMMYFUNCTION("LEFT(CONCATENATE(""x"",JOIN("""",ArrayFormula(MID(AS263,LEN(AS263)-SEQUENCE(1,LEN(AS263))+1,1)))),12)"),"xoxxoooxoxox")</f>
        <v>xoxxoooxoxox</v>
      </c>
      <c r="AW263" s="327" t="str">
        <f>IFERROR(__xludf.DUMMYFUNCTION("JOIN("""",AU263,AU263)"),"oxxoooxoxoxxoxxoooxoxoxx")</f>
        <v>oxxoooxoxoxxoxxoooxoxoxx</v>
      </c>
      <c r="AX263" s="239" t="str">
        <f>IFERROR(__xludf.DUMMYFUNCTION("IF(REGEXMATCH(AW263,AS263),""✔"",""-"")"),"-")</f>
        <v>-</v>
      </c>
      <c r="AY263" s="330" t="str">
        <f t="shared" si="20"/>
        <v>-</v>
      </c>
      <c r="AZ263" s="260" t="str">
        <f t="shared" si="21"/>
        <v>#REF!</v>
      </c>
      <c r="BA263" s="333" t="str">
        <f t="shared" si="22"/>
        <v>xxoxoxo</v>
      </c>
      <c r="BB263" s="334" t="str">
        <f t="shared" si="23"/>
        <v>ooxxox</v>
      </c>
      <c r="BC263" s="335" t="str">
        <f t="shared" si="236"/>
        <v>-</v>
      </c>
      <c r="BD263" s="336" t="str">
        <f t="shared" si="25"/>
        <v>Parameshwari: 'xxoxoxo' + 'ooxxox'</v>
      </c>
      <c r="BE263" s="337">
        <f>IFERROR(__xludf.DUMMYFUNCTION("COUNTUNIQUE(FILTER(AT:AT,REGEXMATCH(AT:AT,AS263)))-1"),3.0)</f>
        <v>3</v>
      </c>
      <c r="BF263" s="261" t="str">
        <f>IFERROR(__xludf.DUMMYFUNCTION("IF(BI263=0,""(n/a)"",IF(BJ263=2,""(PAIR)"",IF(REGEXMATCH(AT263,""xoxoxxoxoxox""),""Bilawal"",IF(REGEXMATCH(AT263,""xoxoxooxoxoo""),""Bhupali"",IF(REGEXMATCH(AT263,""xoxoxxoxxoxo""),""Charukeshi"",IF(REGEXMATCH(AT263,""xoxoooxxoxxo""),""Kameshwari"",IF(REG"&amp;"EXMATCH(AT263,""xoxoxooxoxox""),""Shankara"",IF(REGEXMATCH(AT263,""xxooxoxxxoox""),""Basant"",IF(REGEXMATCH(AT263,""xoxoxxxxoxox""),""Bihag"",IF(REGEXMATCH(AT263,""xoxxxxoxoxxx""),""Pilu"",IF(REGEXMATCH(AT263,""xoxxoxoxxoox""),""Kirwani"",IF(REGEXMATCH(AT"&amp;"263,""xoxxoxoxoxxx""),""Mk.Malhar"",IF(REGEXMATCH(AT263,""xxooxxoxxoox""),""Bhairav"",IF(REGEXMATCH(AT263,""xxoxooxxxoox""),""Todi"",IF(REGEXMATCH(AT263,""xxooxoxooxox""),""Marwa"",IF(REGEXMATCH(AT263,""xxoooxoxxooo""),""Gunkali"",IF(REGEXMATCH(AT263,""xo"&amp;"xoxxoxxoox""),""Nat Bhairav"",IF(REGEXMATCH(AT263,""xoxxoooxoxoo""),""Shivranjani"",IF(REGEXMATCH(AT263,""xooxxxoxooxo""),""Jog"",IF(REGEXMATCH(AT263,""xxooxoxoxoox""),""Hemshri"",IF(REGEXMATCH(AT263,""xoooxooxoxxo""),""Kalavati"",IF(REGEXMATCH(AT263,""xx"&amp;"oxoxxoxoox""),""Kedar"",IF(REGEXMATCH(AT263,""xoxxxxoxooxx""),""Gara"",IF(REGEXMATCH(AT263,""xooxoxooxoox""),""Chandrakauns"",IF(REGEXMATCH(AT263,""xoxxxxoxxxox""),""Mand"",IF(REGEXMATCH(AT263,""xoxxxxoxoxox""),""Hanskinkini"",IF(REGEXMATCH(AT263,""xxooxx"&amp;"oxooxo""),""Lilavati"",IF(REGEXMATCH(AT263,""xooxoxoooxox""),""Rajeshwari"",IF(REGEXMATCH(AT263,""xoooxxoxoxxx""),""Khokar"",IF(REGEXMATCH(AT263,""xxooxoxxxxox""),""Maligoura"",""-""))))))))))))))))))))))))))))))"),"Kameshwari")</f>
        <v>Kameshwari</v>
      </c>
      <c r="BG263" s="239" t="str">
        <f t="shared" si="26"/>
        <v>#REF!</v>
      </c>
      <c r="BH263" s="239">
        <f>IFERROR(__xludf.DUMMYFUNCTION("COUNTUNIQUE(FE263:FO263)-1"),5.0)</f>
        <v>5</v>
      </c>
      <c r="BI263" s="239">
        <f>IFERROR(__xludf.DUMMYFUNCTION("COUNTUNIQUE(FILTER(AT:AT,REGEXMATCH(AT:AT,AS263)))-1"),3.0)</f>
        <v>3</v>
      </c>
      <c r="BJ263" s="239">
        <f>IFERROR(__xludf.DUMMYFUNCTION("COUNTA(FILTER(AT:AT,REGEXMATCH(AT:AT,AS263)))"),6.0)</f>
        <v>6</v>
      </c>
      <c r="BK263" s="341">
        <f>IFERROR(__xludf.DUMMYFUNCTION("COUNTA(FILTER(AT:AT,REGEXMATCH(AT:AT,AS263)))-AR263"),6.0)</f>
        <v>6</v>
      </c>
      <c r="BL263" s="276" t="str">
        <f>IFERROR(__xludf.DUMMYFUNCTION("IF(AS263=""oooooooooooo"",""-"",IF(REGEXMATCH(AT263,""xx""), ""Hemi."", ""Anhemi.""))"),"Hemi.")</f>
        <v>Hemi.</v>
      </c>
      <c r="BM263" s="282" t="str">
        <f>IFERROR(__xludf.DUMMYFUNCTION("IF(AS263=""oooooooooooo"",""-"",IF(REGEXMATCH(AT263,""xxx""), ""Cohem."", ""-""))"),"-")</f>
        <v>-</v>
      </c>
      <c r="BN263" s="282" t="str">
        <f>IFERROR(__xludf.DUMMYFUNCTION("IF(AS263=""oooooooooooo"",""-"",IF(REGEXMATCH(AT263,""xxxx""), ""Co-Co."", ""-""))"),"-")</f>
        <v>-</v>
      </c>
      <c r="BO263" s="342" t="str">
        <f>IFERROR(__xludf.DUMMYFUNCTION("IF(AS263=""oooooooooooo"",""-"",IF(REGEXMATCH(AT263,""xxxxx""), ""CCC."", ""-""))"),"-")</f>
        <v>-</v>
      </c>
      <c r="BP263" s="344" t="str">
        <f t="shared" si="27"/>
        <v>-</v>
      </c>
      <c r="BQ263" s="282" t="str">
        <f>IFERROR(__xludf.DUMMYFUNCTION("IF(REGEXMATCH(JOIN(""-"",EU263:FD263),""TRUE""),""✔"",""-"")"),"-")</f>
        <v>-</v>
      </c>
      <c r="BR263" s="225">
        <f t="shared" si="28"/>
        <v>0</v>
      </c>
      <c r="BS263" s="345" t="str">
        <f>IFERROR(__xludf.DUMMYFUNCTION("SUBSTITUTE(SUBSTITUTE(SUBSTITUTE(SUBSTITUTE(CONCATENATE(JOIN(""-"",GC263:GO263)),""--"",""-""),""--"",""-""),""--"",""-""),""--"",""-"")"),"1-b2-b3-4-6-b7-8")</f>
        <v>1-b2-b3-4-6-b7-8</v>
      </c>
      <c r="BT263" s="299" t="str">
        <f>IFERROR(__xludf.DUMMYFUNCTION("SUBSTITUTE(SUBSTITUTE(SUBSTITUTE(SUBSTITUTE(CONCATENATE(JOIN(""-"",GP263:HB263)),""--"",""-""),""--"",""-""),""--"",""-""),""--"",""-"")"),"S-R1-G2-M1-D2-N2-S")</f>
        <v>S-R1-G2-M1-D2-N2-S</v>
      </c>
      <c r="BU263" s="348" t="str">
        <f t="shared" si="29"/>
        <v>C-Db-Eb-F-A-Bb-C</v>
      </c>
      <c r="BV263" s="349" t="str">
        <f t="shared" si="30"/>
        <v>SRGMPdNS</v>
      </c>
      <c r="BW263" s="350">
        <f t="shared" si="31"/>
        <v>1</v>
      </c>
      <c r="BX263" s="351">
        <f t="shared" si="32"/>
        <v>2</v>
      </c>
      <c r="BY263" s="352" t="s">
        <v>275</v>
      </c>
      <c r="BZ263" s="309" t="str">
        <f>IFERROR(__xludf.DUMMYFUNCTION("IF(REGEXMATCH(C263, ""S""), ""x"",""x"")"),"x")</f>
        <v>x</v>
      </c>
      <c r="CA263" s="245" t="str">
        <f>IFERROR(__xludf.DUMMYFUNCTION("IF(REGEXMATCH(C263, ""r""), ""o"",""x"")"),"o")</f>
        <v>o</v>
      </c>
      <c r="CB263" s="246" t="str">
        <f>IFERROR(__xludf.DUMMYFUNCTION("IF(REGEXMATCH(C263, ""R""), ""o"",""x"")"),"x")</f>
        <v>x</v>
      </c>
      <c r="CC263" s="246" t="str">
        <f>IFERROR(__xludf.DUMMYFUNCTION("IF(REGEXMATCH(C263, ""g""), ""o"",""x"")"),"o")</f>
        <v>o</v>
      </c>
      <c r="CD263" s="245" t="str">
        <f>IFERROR(__xludf.DUMMYFUNCTION("IF(REGEXMATCH(C263, ""G""), ""o"",""x"")"),"x")</f>
        <v>x</v>
      </c>
      <c r="CE263" s="245" t="str">
        <f>IFERROR(__xludf.DUMMYFUNCTION("IF(REGEXMATCH(C263, ""m""), ""o"",""x"")"),"o")</f>
        <v>o</v>
      </c>
      <c r="CF263" s="246" t="str">
        <f>IFERROR(__xludf.DUMMYFUNCTION("IF(REGEXMATCH(C263, ""M""), ""o"",""x"")"),"x")</f>
        <v>x</v>
      </c>
      <c r="CG263" s="245" t="str">
        <f>IFERROR(__xludf.DUMMYFUNCTION("IF(REGEXMATCH(C263, ""P""), ""o"",""x"")"),"x")</f>
        <v>x</v>
      </c>
      <c r="CH263" s="246" t="str">
        <f>IFERROR(__xludf.DUMMYFUNCTION("IF(REGEXMATCH(C263, ""d""), ""o"",""x"")"),"x")</f>
        <v>x</v>
      </c>
      <c r="CI263" s="245" t="str">
        <f>IFERROR(__xludf.DUMMYFUNCTION("IF(REGEXMATCH(C263, ""D""), ""o"",""x"")"),"o")</f>
        <v>o</v>
      </c>
      <c r="CJ263" s="245" t="str">
        <f>IFERROR(__xludf.DUMMYFUNCTION("IF(REGEXMATCH(C263, ""n""), ""o"",""x"")"),"o")</f>
        <v>o</v>
      </c>
      <c r="CK263" s="245" t="str">
        <f>IFERROR(__xludf.DUMMYFUNCTION("IF(REGEXMATCH(C263, ""N""), ""o"",""x"")"),"x")</f>
        <v>x</v>
      </c>
      <c r="CL263" s="356" t="str">
        <f>IFERROR(__xludf.DUMMYFUNCTION("IF(REGEXMATCH(C263, ""S""), ""x"",""x"")"),"x")</f>
        <v>x</v>
      </c>
      <c r="CM263" s="357" t="str">
        <f t="shared" si="33"/>
        <v>xoxoxoxxxoox</v>
      </c>
      <c r="CN263" s="358">
        <f t="shared" si="34"/>
        <v>1</v>
      </c>
      <c r="CO263" s="246" t="str">
        <f>IFERROR(__xludf.DUMMYFUNCTION("IF(REGEXMATCH($C263, ""S""), ""S"",""S"")"),"S")</f>
        <v>S</v>
      </c>
      <c r="CP263" s="246" t="str">
        <f>IFERROR(__xludf.DUMMYFUNCTION("IF(REGEXMATCH($C263, ""r""), """",""r"")"),"")</f>
        <v/>
      </c>
      <c r="CQ263" s="246" t="str">
        <f>IFERROR(__xludf.DUMMYFUNCTION("IF(REGEXMATCH($C263, ""R""), """",""R"")"),"R")</f>
        <v>R</v>
      </c>
      <c r="CR263" s="246" t="str">
        <f>IFERROR(__xludf.DUMMYFUNCTION("IF(REGEXMATCH($C263, ""g""), """",""g"")"),"")</f>
        <v/>
      </c>
      <c r="CS263" s="246" t="str">
        <f>IFERROR(__xludf.DUMMYFUNCTION("IF(REGEXMATCH($C263, ""G""), """",""G"")"),"G")</f>
        <v>G</v>
      </c>
      <c r="CT263" s="246" t="str">
        <f>IFERROR(__xludf.DUMMYFUNCTION("IF(REGEXMATCH($C263, ""m""), """",""m"")"),"")</f>
        <v/>
      </c>
      <c r="CU263" s="246" t="str">
        <f>IFERROR(__xludf.DUMMYFUNCTION("IF(REGEXMATCH($C263, ""M""), """",""M"")"),"M")</f>
        <v>M</v>
      </c>
      <c r="CV263" s="246" t="str">
        <f>IFERROR(__xludf.DUMMYFUNCTION("IF(REGEXMATCH($C263, ""P""), """",""P"")"),"P")</f>
        <v>P</v>
      </c>
      <c r="CW263" s="246" t="str">
        <f>IFERROR(__xludf.DUMMYFUNCTION("IF(REGEXMATCH($C263, ""d""), """",""d"")"),"d")</f>
        <v>d</v>
      </c>
      <c r="CX263" s="246" t="str">
        <f>IFERROR(__xludf.DUMMYFUNCTION("IF(REGEXMATCH($C263, ""D""), """",""D"")"),"")</f>
        <v/>
      </c>
      <c r="CY263" s="246" t="str">
        <f>IFERROR(__xludf.DUMMYFUNCTION("IF(REGEXMATCH($C263, ""n""), """",""n"")"),"")</f>
        <v/>
      </c>
      <c r="CZ263" s="246" t="str">
        <f>IFERROR(__xludf.DUMMYFUNCTION("IF(REGEXMATCH($C263, ""N""), """",""N"")"),"N")</f>
        <v>N</v>
      </c>
      <c r="DA263" s="246" t="str">
        <f>IFERROR(__xludf.DUMMYFUNCTION("IF(REGEXMATCH($C263, ""S""), ""S"",""S"")"),"S")</f>
        <v>S</v>
      </c>
      <c r="DB263" s="362" t="str">
        <f>IFERROR(__xludf.DUMMYFUNCTION("JOIN("""",CO263:DA263,"""","""")"),"SRGMPdNS")</f>
        <v>SRGMPdNS</v>
      </c>
      <c r="DC263" s="363"/>
      <c r="DD263" s="301" t="str">
        <f t="shared" si="35"/>
        <v>#REF!</v>
      </c>
      <c r="DE263" s="302" t="str">
        <f t="shared" si="36"/>
        <v>#REF!</v>
      </c>
      <c r="DF263" s="301" t="str">
        <f t="shared" ref="DF263:DG263" si="747">SUBSTITUTE(S263,"-","")</f>
        <v>SRGM</v>
      </c>
      <c r="DG263" s="301" t="str">
        <f t="shared" si="747"/>
        <v>DNS</v>
      </c>
      <c r="DH263" s="302" t="str">
        <f t="shared" si="38"/>
        <v>Kameshwari</v>
      </c>
      <c r="DI263" s="301" t="str">
        <f t="shared" si="39"/>
        <v>Hemi.</v>
      </c>
      <c r="DJ263" s="364" t="str">
        <f t="shared" si="40"/>
        <v>-</v>
      </c>
      <c r="DK263" s="306" t="str">
        <f t="shared" si="41"/>
        <v>-</v>
      </c>
      <c r="DL263" s="366" t="str">
        <f t="shared" si="42"/>
        <v>-</v>
      </c>
      <c r="DM263" s="308" t="str">
        <f t="shared" si="43"/>
        <v>✔</v>
      </c>
      <c r="DN263" s="306" t="str">
        <f t="shared" si="44"/>
        <v>-</v>
      </c>
      <c r="DO263" s="306" t="str">
        <f t="shared" si="45"/>
        <v>-</v>
      </c>
      <c r="DP263" s="367" t="str">
        <f t="shared" si="46"/>
        <v>-</v>
      </c>
      <c r="DQ263" s="310" t="str">
        <f t="shared" si="47"/>
        <v>-</v>
      </c>
      <c r="DR263" s="310" t="str">
        <f t="shared" si="48"/>
        <v>-</v>
      </c>
      <c r="DS263" s="310" t="str">
        <f t="shared" si="49"/>
        <v>-</v>
      </c>
      <c r="DT263" s="310" t="str">
        <f t="shared" si="50"/>
        <v>-</v>
      </c>
      <c r="DU263" s="370" t="str">
        <f t="shared" si="51"/>
        <v>-</v>
      </c>
      <c r="DV263" s="306" t="str">
        <f t="shared" si="52"/>
        <v>-</v>
      </c>
      <c r="DW263" s="306" t="str">
        <f t="shared" si="53"/>
        <v>-</v>
      </c>
      <c r="DX263" s="306" t="str">
        <f t="shared" si="54"/>
        <v>-</v>
      </c>
      <c r="DY263" s="306" t="str">
        <f t="shared" si="55"/>
        <v>✔</v>
      </c>
      <c r="DZ263" s="306" t="str">
        <f t="shared" si="56"/>
        <v>-</v>
      </c>
      <c r="EA263" s="367" t="str">
        <f t="shared" si="57"/>
        <v>-</v>
      </c>
      <c r="EB263" s="310" t="str">
        <f>IFERROR(__xludf.DUMMYFUNCTION("IF(REGEXMATCH(AW263,AS263),""✔"",""-"")"),"-")</f>
        <v>-</v>
      </c>
      <c r="EC263" s="310" t="str">
        <f t="shared" si="58"/>
        <v>#REF!</v>
      </c>
      <c r="ED263" s="370" t="str">
        <f t="shared" si="59"/>
        <v>-</v>
      </c>
      <c r="EE263" s="340" t="str">
        <f t="shared" si="60"/>
        <v>S-r-g-m-D-n-S</v>
      </c>
      <c r="EF263" s="371" t="str">
        <f>IFERROR(__xludf.DUMMYFUNCTION("CONCATENATE(JOIN("""",HC263:HO263))"),"SRgPDNS")</f>
        <v>SRgPDNS</v>
      </c>
      <c r="EG263" s="372">
        <f t="shared" si="61"/>
        <v>3</v>
      </c>
      <c r="EH263" s="373" t="str">
        <f>IFERROR(__xludf.DUMMYFUNCTION("CONCATENATE(JOIN("""",JC263:JO263))"),"Sa, re, Dha, ")</f>
        <v>Sa, re, Dha, </v>
      </c>
      <c r="EI263" s="322">
        <f t="shared" si="62"/>
        <v>2</v>
      </c>
      <c r="EJ263" s="374" t="str">
        <f>IFERROR(__xludf.DUMMYFUNCTION("CONCATENATE(JOIN("""",KC263:KO263))"),"re, Dha, ")</f>
        <v>re, Dha, </v>
      </c>
      <c r="EK263" s="325" t="str">
        <f t="shared" si="63"/>
        <v>S-R1-G2-M1-D2-N2-S</v>
      </c>
      <c r="EL263" s="326" t="str">
        <f t="shared" si="64"/>
        <v>1-b2-b3-4-6-b7-8</v>
      </c>
      <c r="EM263" s="318" t="str">
        <f t="shared" si="65"/>
        <v>#REF!</v>
      </c>
      <c r="EN263" s="328" t="str">
        <f>IFERROR(__xludf.DUMMYFUNCTION("SUBSTITUTE(SUBSTITUTE(SUBSTITUTE(SUBSTITUTE(CONCATENATE(JOIN("" "",HP263:IB263)),""  "","" ""),""  "","" ""),""  "","" ""),""  "","" "")"),"o o • o • o • • • o o • o")</f>
        <v>o o • o • o • • • o o • o</v>
      </c>
      <c r="EO263" s="368" t="str">
        <f t="shared" si="66"/>
        <v>Sa-ma</v>
      </c>
      <c r="EP263" s="339" t="str">
        <f t="shared" si="67"/>
        <v>-</v>
      </c>
      <c r="EQ263" s="339" t="str">
        <f t="shared" si="68"/>
        <v>-</v>
      </c>
      <c r="ER263" s="339" t="str">
        <f t="shared" si="69"/>
        <v>-</v>
      </c>
      <c r="ES263" s="340" t="str">
        <f t="shared" si="70"/>
        <v>Sa-ma</v>
      </c>
      <c r="ET263" s="363"/>
      <c r="EU263" s="376" t="b">
        <f>IFERROR(__xludf.DUMMYFUNCTION("arrayformula(sum(--REGEXMATCH(""SRGMPDNS"",split(REGEXREPLACE(C263,""(.)"",""$1~""),""~""))))=len(C263)
"),FALSE)</f>
        <v>0</v>
      </c>
      <c r="EV263" s="290" t="b">
        <f>IFERROR(__xludf.DUMMYFUNCTION("arrayformula(sum(--REGEXMATCH(""SRGmPDNS"",split(REGEXREPLACE(C263,""(.)"",""$1~""),""~""))))=len(C263)"),FALSE)</f>
        <v>0</v>
      </c>
      <c r="EW263" s="290" t="b">
        <f>IFERROR(__xludf.DUMMYFUNCTION("arrayformula(sum(--REGEXMATCH(""SRGmPDnS"",split(REGEXREPLACE(C263,""(.)"",""$1~""),""~""))))=len(C263)"),FALSE)</f>
        <v>0</v>
      </c>
      <c r="EX263" s="290" t="b">
        <f>IFERROR(__xludf.DUMMYFUNCTION("arrayformula(sum(--REGEXMATCH(""SRgmPDnS"",split(REGEXREPLACE(C263,""(.)"",""$1~""),""~""))))=len(C263)"),FALSE)</f>
        <v>0</v>
      </c>
      <c r="EY263" s="290" t="b">
        <f>IFERROR(__xludf.DUMMYFUNCTION("arrayformula(sum(--REGEXMATCH(""SRgmPdnS"",split(REGEXREPLACE(C263,""(.)"",""$1~""),""~""))))=len(C263)"),FALSE)</f>
        <v>0</v>
      </c>
      <c r="EZ263" s="290" t="b">
        <f>IFERROR(__xludf.DUMMYFUNCTION("arrayformula(sum(--REGEXMATCH(""SrgmPdnS"",split(REGEXREPLACE(C263,""(.)"",""$1~""),""~""))))=len(C263)"),FALSE)</f>
        <v>0</v>
      </c>
      <c r="FA263" s="290" t="b">
        <f>IFERROR(__xludf.DUMMYFUNCTION("arrayformula(sum(--REGEXMATCH(""SrGmPdNS"",split(REGEXREPLACE(C263,""(.)"",""$1~""),""~""))))=len(C263)"),FALSE)</f>
        <v>0</v>
      </c>
      <c r="FB263" s="290" t="b">
        <f>IFERROR(__xludf.DUMMYFUNCTION("arrayformula(sum(--REGEXMATCH(""SrGMPDNS"",split(REGEXREPLACE(C263,""(.)"",""$1~""),""~""))))=len(C263)"),FALSE)</f>
        <v>0</v>
      </c>
      <c r="FC263" s="290" t="b">
        <f>IFERROR(__xludf.DUMMYFUNCTION("arrayformula(sum(--REGEXMATCH(""SrGMPdNS"",split(REGEXREPLACE(C263,""(.)"",""$1~""),""~""))))=len(C263)"),FALSE)</f>
        <v>0</v>
      </c>
      <c r="FD263" s="377" t="b">
        <f>IFERROR(__xludf.DUMMYFUNCTION("arrayformula(sum(--REGEXMATCH(""SrgMPdNS"",split(REGEXREPLACE(C263,""(.)"",""$1~""),""~""))))=len(C263)"),FALSE)</f>
        <v>0</v>
      </c>
      <c r="FE263" s="269" t="str">
        <f t="shared" si="71"/>
        <v>xoxoxoooxxo</v>
      </c>
      <c r="FF263" s="269" t="str">
        <f t="shared" si="72"/>
        <v>-</v>
      </c>
      <c r="FG263" s="271" t="str">
        <f t="shared" si="73"/>
        <v>xoxoooxxoxx</v>
      </c>
      <c r="FH263" s="269" t="str">
        <f t="shared" si="74"/>
        <v>-</v>
      </c>
      <c r="FI263" s="271" t="str">
        <f t="shared" si="75"/>
        <v>xoooxxoxxox</v>
      </c>
      <c r="FJ263" s="271" t="str">
        <f t="shared" si="76"/>
        <v>-</v>
      </c>
      <c r="FK263" s="271" t="str">
        <f t="shared" si="77"/>
        <v>-</v>
      </c>
      <c r="FL263" s="271" t="str">
        <f t="shared" si="78"/>
        <v>-</v>
      </c>
      <c r="FM263" s="271" t="str">
        <f t="shared" si="79"/>
        <v>xxoxxoxoxoo</v>
      </c>
      <c r="FN263" s="271" t="str">
        <f t="shared" si="80"/>
        <v>xoxxoxoxooo</v>
      </c>
      <c r="FO263" s="274" t="str">
        <f t="shared" si="81"/>
        <v>-</v>
      </c>
      <c r="FP263" s="234" t="str">
        <f t="shared" si="82"/>
        <v>|</v>
      </c>
      <c r="FQ263" s="236" t="str">
        <f t="shared" si="83"/>
        <v>|</v>
      </c>
      <c r="FR263" s="237" t="str">
        <f t="shared" si="84"/>
        <v>-</v>
      </c>
      <c r="FS263" s="236" t="str">
        <f t="shared" si="85"/>
        <v>|</v>
      </c>
      <c r="FT263" s="237" t="str">
        <f t="shared" si="86"/>
        <v>-</v>
      </c>
      <c r="FU263" s="236" t="str">
        <f t="shared" si="87"/>
        <v>|</v>
      </c>
      <c r="FV263" s="237" t="str">
        <f t="shared" si="88"/>
        <v>-</v>
      </c>
      <c r="FW263" s="236" t="str">
        <f t="shared" si="89"/>
        <v>-</v>
      </c>
      <c r="FX263" s="237" t="str">
        <f t="shared" si="90"/>
        <v>-</v>
      </c>
      <c r="FY263" s="236" t="str">
        <f t="shared" si="91"/>
        <v>|</v>
      </c>
      <c r="FZ263" s="237" t="str">
        <f t="shared" si="92"/>
        <v>|</v>
      </c>
      <c r="GA263" s="236" t="str">
        <f t="shared" si="93"/>
        <v>-</v>
      </c>
      <c r="GB263" s="238" t="str">
        <f t="shared" si="94"/>
        <v>|</v>
      </c>
      <c r="GC263" s="244" t="str">
        <f>IFERROR(__xludf.DUMMYFUNCTION("IF(REGEXMATCH(C263, ""S""), ""1"","""")"),"1")</f>
        <v>1</v>
      </c>
      <c r="GD263" s="245" t="str">
        <f>IFERROR(__xludf.DUMMYFUNCTION("IF(REGEXMATCH(C263, ""r""), ""b2"","""")"),"b2")</f>
        <v>b2</v>
      </c>
      <c r="GE263" s="246" t="str">
        <f>IFERROR(__xludf.DUMMYFUNCTION("IF(REGEXMATCH(C263, ""R""), ""2"","""")"),"")</f>
        <v/>
      </c>
      <c r="GF263" s="246" t="str">
        <f>IFERROR(__xludf.DUMMYFUNCTION("IF(REGEXMATCH(C263, ""g""), ""b3"","""")"),"b3")</f>
        <v>b3</v>
      </c>
      <c r="GG263" s="245" t="str">
        <f>IFERROR(__xludf.DUMMYFUNCTION("IF(REGEXMATCH(C263, ""G""), ""3"","""")"),"")</f>
        <v/>
      </c>
      <c r="GH263" s="245" t="str">
        <f>IFERROR(__xludf.DUMMYFUNCTION("IF(REGEXMATCH(C263, ""m""), ""4"","""")"),"4")</f>
        <v>4</v>
      </c>
      <c r="GI263" s="246" t="str">
        <f>IFERROR(__xludf.DUMMYFUNCTION("IF(REGEXMATCH(C263, ""M""), ""#4"","""")"),"")</f>
        <v/>
      </c>
      <c r="GJ263" s="245" t="str">
        <f>IFERROR(__xludf.DUMMYFUNCTION("IF(REGEXMATCH(C263, ""P""), ""5"","""")"),"")</f>
        <v/>
      </c>
      <c r="GK263" s="246" t="str">
        <f>IFERROR(__xludf.DUMMYFUNCTION("IF(REGEXMATCH(C263, ""d""), ""b6"","""")"),"")</f>
        <v/>
      </c>
      <c r="GL263" s="245" t="str">
        <f>IFERROR(__xludf.DUMMYFUNCTION("IF(REGEXMATCH(C263, ""D""), ""6"","""")"),"6")</f>
        <v>6</v>
      </c>
      <c r="GM263" s="245" t="str">
        <f>IFERROR(__xludf.DUMMYFUNCTION("IF(REGEXMATCH(C263, ""n""), ""b7"","""")"),"b7")</f>
        <v>b7</v>
      </c>
      <c r="GN263" s="246" t="str">
        <f>IFERROR(__xludf.DUMMYFUNCTION("IF(REGEXMATCH(C263, ""N""), ""7"","""")"),"")</f>
        <v/>
      </c>
      <c r="GO263" s="249" t="str">
        <f>IFERROR(__xludf.DUMMYFUNCTION("IF(REGEXMATCH(C263, ""S""), ""8"","""")"),"8")</f>
        <v>8</v>
      </c>
      <c r="GP263" s="244" t="str">
        <f>IFERROR(__xludf.DUMMYFUNCTION("IF(REGEXMATCH(C263, ""S""), ""S"","""")"),"S")</f>
        <v>S</v>
      </c>
      <c r="GQ263" s="294" t="str">
        <f>IFERROR(__xludf.DUMMYFUNCTION("IF(REGEXMATCH(C263, ""r""), ""R1"","""")"),"R1")</f>
        <v>R1</v>
      </c>
      <c r="GR263" s="295" t="str">
        <f>IFERROR(__xludf.DUMMYFUNCTION("IF(REGEXMATCH(C263, ""R""), ""R2"","""")"),"")</f>
        <v/>
      </c>
      <c r="GS263" s="295" t="str">
        <f>IFERROR(__xludf.DUMMYFUNCTION("IF(REGEXMATCH(C263, ""g""), ""G2"","""")"),"G2")</f>
        <v>G2</v>
      </c>
      <c r="GT263" s="294" t="str">
        <f>IFERROR(__xludf.DUMMYFUNCTION("IF(REGEXMATCH(C263, ""G""), ""G3"","""")"),"")</f>
        <v/>
      </c>
      <c r="GU263" s="294" t="str">
        <f>IFERROR(__xludf.DUMMYFUNCTION("IF(REGEXMATCH(C263, ""m""), ""M1"","""")"),"M1")</f>
        <v>M1</v>
      </c>
      <c r="GV263" s="295" t="str">
        <f>IFERROR(__xludf.DUMMYFUNCTION("IF(REGEXMATCH(C263, ""M""), ""M2"","""")"),"")</f>
        <v/>
      </c>
      <c r="GW263" s="294" t="str">
        <f>IFERROR(__xludf.DUMMYFUNCTION("IF(REGEXMATCH(C263, ""P""), ""P"","""")"),"")</f>
        <v/>
      </c>
      <c r="GX263" s="295" t="str">
        <f>IFERROR(__xludf.DUMMYFUNCTION("IF(REGEXMATCH(C263, ""d""), ""D1"","""")"),"")</f>
        <v/>
      </c>
      <c r="GY263" s="294" t="str">
        <f>IFERROR(__xludf.DUMMYFUNCTION("IF(REGEXMATCH(C263, ""D""), ""D2"","""")"),"D2")</f>
        <v>D2</v>
      </c>
      <c r="GZ263" s="294" t="str">
        <f>IFERROR(__xludf.DUMMYFUNCTION("IF(REGEXMATCH(C263, ""n""), ""N2"","""")"),"N2")</f>
        <v>N2</v>
      </c>
      <c r="HA263" s="295" t="str">
        <f>IFERROR(__xludf.DUMMYFUNCTION("IF(REGEXMATCH(C263, ""N""), ""N3"","""")"),"")</f>
        <v/>
      </c>
      <c r="HB263" s="249" t="str">
        <f>IFERROR(__xludf.DUMMYFUNCTION("IF(REGEXMATCH(C263, ""S""), ""S"","""")"),"S")</f>
        <v>S</v>
      </c>
      <c r="HC263" s="331" t="str">
        <f t="shared" si="95"/>
        <v>S</v>
      </c>
      <c r="HD263" s="332" t="str">
        <f t="shared" si="96"/>
        <v/>
      </c>
      <c r="HE263" s="332" t="str">
        <f t="shared" si="97"/>
        <v>R</v>
      </c>
      <c r="HF263" s="332" t="str">
        <f t="shared" si="98"/>
        <v>g</v>
      </c>
      <c r="HG263" s="332" t="str">
        <f t="shared" si="99"/>
        <v/>
      </c>
      <c r="HH263" s="332" t="str">
        <f t="shared" si="100"/>
        <v/>
      </c>
      <c r="HI263" s="332" t="str">
        <f t="shared" si="101"/>
        <v/>
      </c>
      <c r="HJ263" s="332" t="str">
        <f t="shared" si="102"/>
        <v>P</v>
      </c>
      <c r="HK263" s="332" t="str">
        <f t="shared" si="103"/>
        <v/>
      </c>
      <c r="HL263" s="332" t="str">
        <f t="shared" si="104"/>
        <v>D</v>
      </c>
      <c r="HM263" s="332" t="str">
        <f t="shared" si="105"/>
        <v/>
      </c>
      <c r="HN263" s="332" t="str">
        <f t="shared" si="106"/>
        <v>N</v>
      </c>
      <c r="HO263" s="343" t="str">
        <f t="shared" si="107"/>
        <v>S</v>
      </c>
      <c r="HP263" s="331" t="str">
        <f t="shared" si="108"/>
        <v>o</v>
      </c>
      <c r="HQ263" s="332" t="str">
        <f t="shared" si="109"/>
        <v>o</v>
      </c>
      <c r="HR263" s="332" t="str">
        <f t="shared" si="110"/>
        <v>•</v>
      </c>
      <c r="HS263" s="332" t="str">
        <f t="shared" si="111"/>
        <v>o</v>
      </c>
      <c r="HT263" s="332" t="str">
        <f t="shared" si="112"/>
        <v>•</v>
      </c>
      <c r="HU263" s="332" t="str">
        <f t="shared" si="113"/>
        <v>o</v>
      </c>
      <c r="HV263" s="332" t="str">
        <f t="shared" si="114"/>
        <v>•</v>
      </c>
      <c r="HW263" s="332" t="str">
        <f t="shared" si="115"/>
        <v>•</v>
      </c>
      <c r="HX263" s="332" t="str">
        <f t="shared" si="116"/>
        <v>•</v>
      </c>
      <c r="HY263" s="332" t="str">
        <f t="shared" si="117"/>
        <v>o</v>
      </c>
      <c r="HZ263" s="332" t="str">
        <f t="shared" si="118"/>
        <v>o</v>
      </c>
      <c r="IA263" s="332" t="str">
        <f t="shared" si="119"/>
        <v>•</v>
      </c>
      <c r="IB263" s="338" t="str">
        <f t="shared" si="120"/>
        <v>o</v>
      </c>
      <c r="IC263" s="331" t="str">
        <f t="shared" si="121"/>
        <v>•</v>
      </c>
      <c r="ID263" s="332" t="str">
        <f t="shared" si="122"/>
        <v>•</v>
      </c>
      <c r="IE263" s="332" t="str">
        <f t="shared" si="123"/>
        <v>o</v>
      </c>
      <c r="IF263" s="332" t="str">
        <f t="shared" si="124"/>
        <v>•</v>
      </c>
      <c r="IG263" s="332" t="str">
        <f t="shared" si="125"/>
        <v>o</v>
      </c>
      <c r="IH263" s="332" t="str">
        <f t="shared" si="126"/>
        <v>•</v>
      </c>
      <c r="II263" s="332" t="str">
        <f t="shared" si="127"/>
        <v>o</v>
      </c>
      <c r="IJ263" s="332" t="str">
        <f t="shared" si="128"/>
        <v>o</v>
      </c>
      <c r="IK263" s="332" t="str">
        <f t="shared" si="129"/>
        <v>o</v>
      </c>
      <c r="IL263" s="332" t="str">
        <f t="shared" si="130"/>
        <v>•</v>
      </c>
      <c r="IM263" s="332" t="str">
        <f t="shared" si="131"/>
        <v>•</v>
      </c>
      <c r="IN263" s="332" t="str">
        <f t="shared" si="132"/>
        <v>o</v>
      </c>
      <c r="IO263" s="338" t="str">
        <f t="shared" si="133"/>
        <v>•</v>
      </c>
      <c r="IP263" s="346" t="b">
        <f t="shared" si="134"/>
        <v>1</v>
      </c>
      <c r="IQ263" s="347" t="b">
        <f t="shared" si="135"/>
        <v>1</v>
      </c>
      <c r="IR263" s="347" t="b">
        <f t="shared" si="136"/>
        <v>0</v>
      </c>
      <c r="IS263" s="347" t="b">
        <f t="shared" si="137"/>
        <v>0</v>
      </c>
      <c r="IT263" s="347" t="b">
        <f t="shared" si="138"/>
        <v>0</v>
      </c>
      <c r="IU263" s="347" t="b">
        <f t="shared" si="139"/>
        <v>0</v>
      </c>
      <c r="IV263" s="347" t="b">
        <f t="shared" si="140"/>
        <v>0</v>
      </c>
      <c r="IW263" s="347" t="b">
        <f t="shared" si="141"/>
        <v>0</v>
      </c>
      <c r="IX263" s="347" t="b">
        <f t="shared" si="142"/>
        <v>0</v>
      </c>
      <c r="IY263" s="347" t="b">
        <f t="shared" si="143"/>
        <v>1</v>
      </c>
      <c r="IZ263" s="347" t="b">
        <f t="shared" si="144"/>
        <v>0</v>
      </c>
      <c r="JA263" s="347" t="b">
        <f t="shared" si="145"/>
        <v>0</v>
      </c>
      <c r="JB263" s="353" t="b">
        <f t="shared" si="146"/>
        <v>1</v>
      </c>
      <c r="JC263" s="354" t="str">
        <f t="shared" si="147"/>
        <v>Sa, </v>
      </c>
      <c r="JD263" s="355" t="str">
        <f t="shared" si="148"/>
        <v>re, </v>
      </c>
      <c r="JE263" s="355" t="str">
        <f t="shared" si="149"/>
        <v/>
      </c>
      <c r="JF263" s="355" t="str">
        <f t="shared" si="150"/>
        <v/>
      </c>
      <c r="JG263" s="355" t="str">
        <f t="shared" si="151"/>
        <v/>
      </c>
      <c r="JH263" s="355" t="str">
        <f t="shared" si="152"/>
        <v/>
      </c>
      <c r="JI263" s="355" t="str">
        <f t="shared" si="153"/>
        <v/>
      </c>
      <c r="JJ263" s="355" t="str">
        <f t="shared" si="154"/>
        <v/>
      </c>
      <c r="JK263" s="355" t="str">
        <f t="shared" si="155"/>
        <v/>
      </c>
      <c r="JL263" s="355" t="str">
        <f t="shared" si="156"/>
        <v>Dha, </v>
      </c>
      <c r="JM263" s="355" t="str">
        <f t="shared" si="157"/>
        <v/>
      </c>
      <c r="JN263" s="355" t="str">
        <f t="shared" si="158"/>
        <v/>
      </c>
      <c r="JO263" s="359" t="str">
        <f t="shared" si="159"/>
        <v/>
      </c>
      <c r="JP263" s="346" t="b">
        <f t="shared" si="160"/>
        <v>0</v>
      </c>
      <c r="JQ263" s="347" t="b">
        <f t="shared" si="161"/>
        <v>1</v>
      </c>
      <c r="JR263" s="347" t="b">
        <f t="shared" si="162"/>
        <v>0</v>
      </c>
      <c r="JS263" s="347" t="b">
        <f t="shared" si="163"/>
        <v>0</v>
      </c>
      <c r="JT263" s="347" t="b">
        <f t="shared" si="164"/>
        <v>0</v>
      </c>
      <c r="JU263" s="347" t="b">
        <f t="shared" si="165"/>
        <v>0</v>
      </c>
      <c r="JV263" s="347" t="b">
        <f t="shared" si="166"/>
        <v>0</v>
      </c>
      <c r="JW263" s="347" t="b">
        <f t="shared" si="167"/>
        <v>0</v>
      </c>
      <c r="JX263" s="347" t="b">
        <f t="shared" si="168"/>
        <v>0</v>
      </c>
      <c r="JY263" s="347" t="b">
        <f t="shared" si="169"/>
        <v>1</v>
      </c>
      <c r="JZ263" s="347" t="b">
        <f t="shared" si="170"/>
        <v>0</v>
      </c>
      <c r="KA263" s="347" t="b">
        <f t="shared" si="171"/>
        <v>0</v>
      </c>
      <c r="KB263" s="365" t="b">
        <f t="shared" si="172"/>
        <v>0</v>
      </c>
      <c r="KC263" s="354" t="str">
        <f t="shared" si="173"/>
        <v/>
      </c>
      <c r="KD263" s="355" t="str">
        <f t="shared" si="174"/>
        <v>re, </v>
      </c>
      <c r="KE263" s="355" t="str">
        <f t="shared" si="175"/>
        <v/>
      </c>
      <c r="KF263" s="355" t="str">
        <f t="shared" si="176"/>
        <v/>
      </c>
      <c r="KG263" s="355" t="str">
        <f t="shared" si="177"/>
        <v/>
      </c>
      <c r="KH263" s="355" t="str">
        <f t="shared" si="178"/>
        <v/>
      </c>
      <c r="KI263" s="355" t="str">
        <f t="shared" si="179"/>
        <v/>
      </c>
      <c r="KJ263" s="355" t="str">
        <f t="shared" si="180"/>
        <v/>
      </c>
      <c r="KK263" s="355" t="str">
        <f t="shared" si="181"/>
        <v/>
      </c>
      <c r="KL263" s="355" t="str">
        <f t="shared" si="182"/>
        <v>Dha, </v>
      </c>
      <c r="KM263" s="355" t="str">
        <f t="shared" si="183"/>
        <v/>
      </c>
      <c r="KN263" s="355" t="str">
        <f t="shared" si="184"/>
        <v/>
      </c>
      <c r="KO263" s="359"/>
      <c r="KP263" s="378"/>
      <c r="KQ263" s="379" t="s">
        <v>676</v>
      </c>
      <c r="KR263" s="380" t="s">
        <v>1372</v>
      </c>
      <c r="KS263" s="381" t="str">
        <f t="shared" ref="KS263:KS265" si="750">KQ263</f>
        <v>S-r-g-m-D-n-S</v>
      </c>
      <c r="KT263" s="382">
        <f t="shared" si="186"/>
        <v>6</v>
      </c>
      <c r="KU263" s="383">
        <f t="shared" si="187"/>
        <v>6</v>
      </c>
      <c r="KV263" s="381" t="str">
        <f t="shared" si="205"/>
        <v>S-n-D-m-g-r-S</v>
      </c>
      <c r="KW263" s="382">
        <f t="shared" si="189"/>
        <v>6</v>
      </c>
      <c r="KX263" s="384">
        <f t="shared" si="190"/>
        <v>6</v>
      </c>
      <c r="KY263" s="382">
        <f t="shared" ref="KY263:KZ263" si="748">KW263-KT263</f>
        <v>0</v>
      </c>
      <c r="KZ263" s="369">
        <f t="shared" si="748"/>
        <v>0</v>
      </c>
      <c r="LA263" s="385" t="str">
        <f t="shared" si="192"/>
        <v>✔</v>
      </c>
      <c r="LB263" s="340" t="str">
        <f>IFERROR(__xludf.DUMMYFUNCTION("JOIN("""",ArrayFormula(MID(KS263,LEN(KS263)-SEQUENCE(1,LEN(KS263))+1,1)))"),"S-n-D-m-g-r-S")</f>
        <v>S-n-D-m-g-r-S</v>
      </c>
      <c r="LC263" s="373" t="str">
        <f>IFERROR(__xludf.DUMMYFUNCTION("JOIN("""",ArrayFormula(MID(KV263,LEN(KV263)-SEQUENCE(1,LEN(KV263))+1,1)))"),"S-r-g-m-D-n-S")</f>
        <v>S-r-g-m-D-n-S</v>
      </c>
      <c r="LD263" s="373" t="str">
        <f t="shared" si="193"/>
        <v>SrgmDnS</v>
      </c>
      <c r="LE263" s="339" t="str">
        <f t="shared" si="194"/>
        <v>SrgmDnS</v>
      </c>
      <c r="LF263" s="386" t="str">
        <f>IFERROR(__xludf.DUMMYFUNCTION("SUBSTITUTE(SUBSTITUTE(CONCATENATE(JOIN("""",LH263:LT263)),""1"",""""),""2"","""")"),"SrgmDnS")</f>
        <v>SrgmDnS</v>
      </c>
      <c r="LG263" s="369" t="str">
        <f t="shared" si="195"/>
        <v>✔</v>
      </c>
      <c r="LH263" s="387" t="str">
        <f>IFERROR(__xludf.DUMMYFUNCTION("IF(REGEXMATCH(LD263, ""S""), ""S"",IF(REGEXMATCH(LE263, ""S""), ""S"",""""))"),"S")</f>
        <v>S</v>
      </c>
      <c r="LI263" s="299" t="str">
        <f>IFERROR(__xludf.DUMMYFUNCTION("IF(REGEXMATCH(LD263, ""r""), ""r1"",IF(REGEXMATCH(LE263, ""r""), ""r2"",""""))"),"r1")</f>
        <v>r1</v>
      </c>
      <c r="LJ263" s="299" t="str">
        <f>IFERROR(__xludf.DUMMYFUNCTION("IF(REGEXMATCH(LD263, ""R""), ""R1"",IF(REGEXMATCH(LE263, ""R""), ""R2"",""""))"),"")</f>
        <v/>
      </c>
      <c r="LK263" s="299" t="str">
        <f>IFERROR(__xludf.DUMMYFUNCTION("IF(REGEXMATCH(LD263, ""g""), ""g1"",IF(REGEXMATCH(LE263, ""g""), ""g2"",""""))"),"g1")</f>
        <v>g1</v>
      </c>
      <c r="LL263" s="299" t="str">
        <f>IFERROR(__xludf.DUMMYFUNCTION("IF(REGEXMATCH(LD263, ""G""), ""G1"",IF(REGEXMATCH(LE263, ""G""), ""G2"",""""))"),"")</f>
        <v/>
      </c>
      <c r="LM263" s="299" t="str">
        <f>IFERROR(__xludf.DUMMYFUNCTION("IF(REGEXMATCH(LD263, ""m""), ""m1"",IF(REGEXMATCH(LE263, ""m""), ""m2"",""""))"),"m1")</f>
        <v>m1</v>
      </c>
      <c r="LN263" s="299" t="str">
        <f>IFERROR(__xludf.DUMMYFUNCTION("IF(REGEXMATCH(LD263, ""M""), ""M1"",IF(REGEXMATCH(LE263, ""M""), ""M2"",""""))"),"")</f>
        <v/>
      </c>
      <c r="LO263" s="299" t="str">
        <f>IFERROR(__xludf.DUMMYFUNCTION("IF(REGEXMATCH(LD263, ""P""), ""P1"",IF(REGEXMATCH(LE263, ""P""), ""P2"",""""))"),"")</f>
        <v/>
      </c>
      <c r="LP263" s="299" t="str">
        <f>IFERROR(__xludf.DUMMYFUNCTION("IF(REGEXMATCH(LD263, ""d""), ""d1"",IF(REGEXMATCH(LE263, ""d""), ""d2"",""""))"),"")</f>
        <v/>
      </c>
      <c r="LQ263" s="299" t="str">
        <f>IFERROR(__xludf.DUMMYFUNCTION("IF(REGEXMATCH(LD263, ""D""), ""D1"",IF(REGEXMATCH(LE263, ""D""), ""D2"",""""))"),"D1")</f>
        <v>D1</v>
      </c>
      <c r="LR263" s="299" t="str">
        <f>IFERROR(__xludf.DUMMYFUNCTION("IF(REGEXMATCH(LD263, ""n""), ""n1"",IF(REGEXMATCH(LE263, ""n""), ""n2"",""""))"),"n1")</f>
        <v>n1</v>
      </c>
      <c r="LS263" s="299" t="str">
        <f>IFERROR(__xludf.DUMMYFUNCTION("IF(REGEXMATCH(LD263, ""N""), ""N1"",IF(REGEXMATCH(LE263, ""N""), ""N2"",""""))"),"")</f>
        <v/>
      </c>
      <c r="LT263" s="388" t="str">
        <f>IFERROR(__xludf.DUMMYFUNCTION("IF(REGEXMATCH(LD263, ""S""), ""S"",IF(REGEXMATCH(LE263, ""S""), ""S"",""""))"),"S")</f>
        <v>S</v>
      </c>
      <c r="LU263" s="389">
        <f t="shared" si="196"/>
        <v>1</v>
      </c>
      <c r="LV263" s="378"/>
      <c r="LW263" s="369"/>
      <c r="LX263" s="369"/>
    </row>
    <row r="264" ht="18.0" customHeight="1">
      <c r="A264" s="298" t="s">
        <v>1049</v>
      </c>
      <c r="B264" s="222" t="s">
        <v>632</v>
      </c>
      <c r="C264" s="233" t="str">
        <f t="shared" si="7"/>
        <v>SRGmMPDNS</v>
      </c>
      <c r="D264" s="234" t="str">
        <f>IFERROR(__xludf.DUMMYFUNCTION("IF(REGEXMATCH(C264, ""S""), ""S"","""")"),"S")</f>
        <v>S</v>
      </c>
      <c r="E264" s="236" t="str">
        <f>IFERROR(__xludf.DUMMYFUNCTION("IF(REGEXMATCH(C264, ""r""), ""r"","""")"),"")</f>
        <v/>
      </c>
      <c r="F264" s="237" t="str">
        <f>IFERROR(__xludf.DUMMYFUNCTION("IF(REGEXMATCH(C264, ""R""), ""R"","""")"),"R")</f>
        <v>R</v>
      </c>
      <c r="G264" s="237" t="str">
        <f>IFERROR(__xludf.DUMMYFUNCTION("IF(REGEXMATCH(C264, ""g""), ""g"","""")"),"")</f>
        <v/>
      </c>
      <c r="H264" s="236" t="str">
        <f>IFERROR(__xludf.DUMMYFUNCTION("IF(REGEXMATCH(C264, ""G""), ""G"","""")"),"G")</f>
        <v>G</v>
      </c>
      <c r="I264" s="236" t="str">
        <f>IFERROR(__xludf.DUMMYFUNCTION("IF(REGEXMATCH(C264, ""m""), ""m"","""")"),"m")</f>
        <v>m</v>
      </c>
      <c r="J264" s="237" t="str">
        <f>IFERROR(__xludf.DUMMYFUNCTION("IF(REGEXMATCH(C264, ""M""), ""M"","""")"),"M")</f>
        <v>M</v>
      </c>
      <c r="K264" s="236" t="str">
        <f>IFERROR(__xludf.DUMMYFUNCTION("IF(REGEXMATCH(C264, ""P""), ""P"","""")"),"P")</f>
        <v>P</v>
      </c>
      <c r="L264" s="237" t="str">
        <f>IFERROR(__xludf.DUMMYFUNCTION("IF(REGEXMATCH(C264, ""d""), ""d"","""")"),"")</f>
        <v/>
      </c>
      <c r="M264" s="236" t="str">
        <f>IFERROR(__xludf.DUMMYFUNCTION("IF(REGEXMATCH(C264, ""D""), ""D"","""")"),"D")</f>
        <v>D</v>
      </c>
      <c r="N264" s="236" t="str">
        <f>IFERROR(__xludf.DUMMYFUNCTION("IF(REGEXMATCH(C264, ""n""), ""n"","""")"),"")</f>
        <v/>
      </c>
      <c r="O264" s="237" t="str">
        <f>IFERROR(__xludf.DUMMYFUNCTION("IF(REGEXMATCH(C264, ""N""), ""N"","""")"),"N")</f>
        <v>N</v>
      </c>
      <c r="P264" s="238" t="str">
        <f>IFERROR(__xludf.DUMMYFUNCTION("IF(REGEXMATCH(C264, ""S""), ""S"","""")"),"S")</f>
        <v>S</v>
      </c>
      <c r="Q264" s="239" t="str">
        <f>IFERROR(__xludf.DUMMYFUNCTION("SUBSTITUTE(CONCATENATE(JOIN(""-"",D264:J264)),""-"","""")"),"SRGmM")</f>
        <v>SRGmM</v>
      </c>
      <c r="R264" s="229" t="str">
        <f>IFERROR(__xludf.DUMMYFUNCTION("SUBSTITUTE(CONCATENATE(JOIN(""-"",K264:P264)),""-"","""")"),"PDNS")</f>
        <v>PDNS</v>
      </c>
      <c r="S264" s="282" t="str">
        <f t="shared" si="8"/>
        <v>S-R-G-M</v>
      </c>
      <c r="T264" s="282" t="str">
        <f t="shared" si="9"/>
        <v>P-D-N-S</v>
      </c>
      <c r="U264" s="237" t="str">
        <f>IFERROR(__xludf.DUMMYFUNCTION("SUBSTITUTE(JOIN(""-"",S264,T264),""--"",""-"")"),"S-R-G-M-P-D-N-S")</f>
        <v>S-R-G-M-P-D-N-S</v>
      </c>
      <c r="V264" s="309" t="str">
        <f t="shared" si="10"/>
        <v>RGmMDN</v>
      </c>
      <c r="W264" s="244" t="str">
        <f>IFERROR(__xludf.DUMMYFUNCTION("IF(REGEXMATCH(C264, ""S""), ""0"","""")"),"0")</f>
        <v>0</v>
      </c>
      <c r="X264" s="245" t="str">
        <f>IFERROR(__xludf.DUMMYFUNCTION("IF(REGEXMATCH(C264, ""r""), ""1"","""")"),"")</f>
        <v/>
      </c>
      <c r="Y264" s="246" t="str">
        <f>IFERROR(__xludf.DUMMYFUNCTION("IF(REGEXMATCH(C264, ""R""), ""2"","""")"),"2")</f>
        <v>2</v>
      </c>
      <c r="Z264" s="246" t="str">
        <f>IFERROR(__xludf.DUMMYFUNCTION("IF(REGEXMATCH(C264, ""g""), ""3"","""")"),"")</f>
        <v/>
      </c>
      <c r="AA264" s="245" t="str">
        <f>IFERROR(__xludf.DUMMYFUNCTION("IF(REGEXMATCH(C264, ""G""), ""4"","""")"),"4")</f>
        <v>4</v>
      </c>
      <c r="AB264" s="245" t="str">
        <f>IFERROR(__xludf.DUMMYFUNCTION("IF(REGEXMATCH(C264, ""m""), ""5"","""")"),"5")</f>
        <v>5</v>
      </c>
      <c r="AC264" s="246" t="str">
        <f>IFERROR(__xludf.DUMMYFUNCTION("IF(REGEXMATCH(C264, ""M""), ""6"","""")"),"6")</f>
        <v>6</v>
      </c>
      <c r="AD264" s="245" t="str">
        <f>IFERROR(__xludf.DUMMYFUNCTION("IF(REGEXMATCH(C264, ""P""), ""7"","""")"),"7")</f>
        <v>7</v>
      </c>
      <c r="AE264" s="246" t="str">
        <f>IFERROR(__xludf.DUMMYFUNCTION("IF(REGEXMATCH(C264, ""d""), ""8"","""")"),"")</f>
        <v/>
      </c>
      <c r="AF264" s="245" t="str">
        <f>IFERROR(__xludf.DUMMYFUNCTION("IF(REGEXMATCH(C264, ""D""), ""9"","""")"),"9")</f>
        <v>9</v>
      </c>
      <c r="AG264" s="245" t="str">
        <f>IFERROR(__xludf.DUMMYFUNCTION("IF(REGEXMATCH(C264, ""n""), ""10"","""")"),"")</f>
        <v/>
      </c>
      <c r="AH264" s="246" t="str">
        <f>IFERROR(__xludf.DUMMYFUNCTION("IF(REGEXMATCH(C264, ""N""), ""11"","""")"),"11")</f>
        <v>11</v>
      </c>
      <c r="AI264" s="249" t="str">
        <f>IFERROR(__xludf.DUMMYFUNCTION("IF(REGEXMATCH(C264, ""S""), ""0"","""")"),"0")</f>
        <v>0</v>
      </c>
      <c r="AJ264" s="313" t="str">
        <f t="shared" si="11"/>
        <v>T</v>
      </c>
      <c r="AK264" s="313" t="str">
        <f t="shared" si="12"/>
        <v>-</v>
      </c>
      <c r="AL264" s="313" t="str">
        <f t="shared" si="13"/>
        <v>-</v>
      </c>
      <c r="AM264" s="313" t="str">
        <f t="shared" si="14"/>
        <v>-</v>
      </c>
      <c r="AN264" s="313" t="str">
        <f t="shared" si="15"/>
        <v>-</v>
      </c>
      <c r="AO264" s="314" t="str">
        <f t="shared" si="16"/>
        <v>T</v>
      </c>
      <c r="AP264" s="316">
        <f t="shared" si="17"/>
        <v>2</v>
      </c>
      <c r="AQ264" s="319" t="str">
        <f t="shared" si="18"/>
        <v>-</v>
      </c>
      <c r="AR264" s="320">
        <f t="shared" si="19"/>
        <v>0</v>
      </c>
      <c r="AS264" s="250" t="str">
        <f>IFERROR(__xludf.DUMMYFUNCTION("SUBSTITUTE(SUBSTITUTE(CONCATENATE(JOIN("""",FP264:GA264)),""|"",""x""),""-"",""o"")"),"xoxoxxxxoxox")</f>
        <v>xoxoxxxxoxox</v>
      </c>
      <c r="AT264" s="323" t="str">
        <f>IFERROR(__xludf.DUMMYFUNCTION("JOIN("""",AS264,AS264)"),"xoxoxxxxoxoxxoxoxxxxoxox")</f>
        <v>xoxoxxxxoxoxxoxoxxxxoxox</v>
      </c>
      <c r="AU264" s="256" t="str">
        <f>IFERROR(__xludf.DUMMYFUNCTION("JOIN("""",ArrayFormula(MID(AS264,LEN(AS264)-SEQUENCE(1,LEN(AS264))+1,1)))"),"xoxoxxxxoxox")</f>
        <v>xoxoxxxxoxox</v>
      </c>
      <c r="AV264" s="256" t="str">
        <f>IFERROR(__xludf.DUMMYFUNCTION("LEFT(CONCATENATE(""x"",JOIN("""",ArrayFormula(MID(AS264,LEN(AS264)-SEQUENCE(1,LEN(AS264))+1,1)))),12)"),"xxoxoxxxxoxo")</f>
        <v>xxoxoxxxxoxo</v>
      </c>
      <c r="AW264" s="327" t="str">
        <f>IFERROR(__xludf.DUMMYFUNCTION("JOIN("""",AU264,AU264)"),"xoxoxxxxoxoxxoxoxxxxoxox")</f>
        <v>xoxoxxxxoxoxxoxoxxxxoxox</v>
      </c>
      <c r="AX264" s="239" t="str">
        <f>IFERROR(__xludf.DUMMYFUNCTION("IF(REGEXMATCH(AW264,AS264),""✔"",""-"")"),"✔")</f>
        <v>✔</v>
      </c>
      <c r="AY264" s="330" t="str">
        <f t="shared" si="20"/>
        <v>-</v>
      </c>
      <c r="AZ264" s="260" t="str">
        <f t="shared" si="21"/>
        <v>#REF!</v>
      </c>
      <c r="BA264" s="333" t="str">
        <f t="shared" si="22"/>
        <v>xoxoxxx</v>
      </c>
      <c r="BB264" s="334" t="str">
        <f t="shared" si="23"/>
        <v>xoxoxx</v>
      </c>
      <c r="BC264" s="335" t="str">
        <f t="shared" si="236"/>
        <v>✔</v>
      </c>
      <c r="BD264" s="336" t="str">
        <f t="shared" si="25"/>
        <v>Pat Bihag: 'xoxoxxx' + 'xoxoxx'</v>
      </c>
      <c r="BE264" s="337">
        <f>IFERROR(__xludf.DUMMYFUNCTION("COUNTUNIQUE(FILTER(AT:AT,REGEXMATCH(AT:AT,AS264)))-1"),3.0)</f>
        <v>3</v>
      </c>
      <c r="BF264" s="261" t="str">
        <f>IFERROR(__xludf.DUMMYFUNCTION("IF(BI264=0,""(n/a)"",IF(BJ264=2,""(PAIR)"",IF(REGEXMATCH(AT264,""xoxoxxoxoxox""),""Bilawal"",IF(REGEXMATCH(AT264,""xoxoxooxoxoo""),""Bhupali"",IF(REGEXMATCH(AT264,""xoxoxxoxxoxo""),""Charukeshi"",IF(REGEXMATCH(AT264,""xoxoooxxoxxo""),""Kameshwari"",IF(REG"&amp;"EXMATCH(AT264,""xoxoxooxoxox""),""Shankara"",IF(REGEXMATCH(AT264,""xxooxoxxxoox""),""Basant"",IF(REGEXMATCH(AT264,""xoxoxxxxoxox""),""Bihag"",IF(REGEXMATCH(AT264,""xoxxxxoxoxxx""),""Pilu"",IF(REGEXMATCH(AT264,""xoxxoxoxxoox""),""Kirwani"",IF(REGEXMATCH(AT"&amp;"264,""xoxxoxoxoxxx""),""Mk.Malhar"",IF(REGEXMATCH(AT264,""xxooxxoxxoox""),""Bhairav"",IF(REGEXMATCH(AT264,""xxoxooxxxoox""),""Todi"",IF(REGEXMATCH(AT264,""xxooxoxooxox""),""Marwa"",IF(REGEXMATCH(AT264,""xxoooxoxxooo""),""Gunkali"",IF(REGEXMATCH(AT264,""xo"&amp;"xoxxoxxoox""),""Nat Bhairav"",IF(REGEXMATCH(AT264,""xoxxoooxoxoo""),""Shivranjani"",IF(REGEXMATCH(AT264,""xooxxxoxooxo""),""Jog"",IF(REGEXMATCH(AT264,""xxooxoxoxoox""),""Hemshri"",IF(REGEXMATCH(AT264,""xoooxooxoxxo""),""Kalavati"",IF(REGEXMATCH(AT264,""xx"&amp;"oxoxxoxoox""),""Kedar"",IF(REGEXMATCH(AT264,""xoxxxxoxooxx""),""Gara"",IF(REGEXMATCH(AT264,""xooxoxooxoox""),""Chandrakauns"",IF(REGEXMATCH(AT264,""xoxxxxoxxxox""),""Mand"",IF(REGEXMATCH(AT264,""xoxxxxoxoxox""),""Hanskinkini"",IF(REGEXMATCH(AT264,""xxooxx"&amp;"oxooxo""),""Lilavati"",IF(REGEXMATCH(AT264,""xooxoxoooxox""),""Rajeshwari"",IF(REGEXMATCH(AT264,""xoooxxoxoxxx""),""Khokar"",IF(REGEXMATCH(AT264,""xxooxoxxxxox""),""Maligoura"",""-""))))))))))))))))))))))))))))))"),"Bihag")</f>
        <v>Bihag</v>
      </c>
      <c r="BG264" s="239" t="str">
        <f t="shared" si="26"/>
        <v>#REF!</v>
      </c>
      <c r="BH264" s="239">
        <f>IFERROR(__xludf.DUMMYFUNCTION("COUNTUNIQUE(FE264:FO264)-1"),7.0)</f>
        <v>7</v>
      </c>
      <c r="BI264" s="239">
        <f>IFERROR(__xludf.DUMMYFUNCTION("COUNTUNIQUE(FILTER(AT:AT,REGEXMATCH(AT:AT,AS264)))-1"),3.0)</f>
        <v>3</v>
      </c>
      <c r="BJ264" s="239">
        <f>IFERROR(__xludf.DUMMYFUNCTION("COUNTA(FILTER(AT:AT,REGEXMATCH(AT:AT,AS264)))"),36.0)</f>
        <v>36</v>
      </c>
      <c r="BK264" s="341">
        <f>IFERROR(__xludf.DUMMYFUNCTION("COUNTA(FILTER(AT:AT,REGEXMATCH(AT:AT,AS264)))-AR264"),36.0)</f>
        <v>36</v>
      </c>
      <c r="BL264" s="276" t="str">
        <f>IFERROR(__xludf.DUMMYFUNCTION("IF(AS264=""oooooooooooo"",""-"",IF(REGEXMATCH(AT264,""xx""), ""Hemi."", ""Anhemi.""))"),"Hemi.")</f>
        <v>Hemi.</v>
      </c>
      <c r="BM264" s="282" t="str">
        <f>IFERROR(__xludf.DUMMYFUNCTION("IF(AS264=""oooooooooooo"",""-"",IF(REGEXMATCH(AT264,""xxx""), ""Cohem."", ""-""))"),"Cohem.")</f>
        <v>Cohem.</v>
      </c>
      <c r="BN264" s="282" t="str">
        <f>IFERROR(__xludf.DUMMYFUNCTION("IF(AS264=""oooooooooooo"",""-"",IF(REGEXMATCH(AT264,""xxxx""), ""Co-Co."", ""-""))"),"Co-Co.")</f>
        <v>Co-Co.</v>
      </c>
      <c r="BO264" s="342" t="str">
        <f>IFERROR(__xludf.DUMMYFUNCTION("IF(AS264=""oooooooooooo"",""-"",IF(REGEXMATCH(AT264,""xxxxx""), ""CCC."", ""-""))"),"-")</f>
        <v>-</v>
      </c>
      <c r="BP264" s="344" t="str">
        <f t="shared" si="27"/>
        <v>-</v>
      </c>
      <c r="BQ264" s="282" t="str">
        <f>IFERROR(__xludf.DUMMYFUNCTION("IF(REGEXMATCH(JOIN(""-"",EU264:FD264),""TRUE""),""✔"",""-"")"),"-")</f>
        <v>-</v>
      </c>
      <c r="BR264" s="225">
        <f t="shared" si="28"/>
        <v>0</v>
      </c>
      <c r="BS264" s="345" t="str">
        <f>IFERROR(__xludf.DUMMYFUNCTION("SUBSTITUTE(SUBSTITUTE(SUBSTITUTE(SUBSTITUTE(CONCATENATE(JOIN(""-"",GC264:GO264)),""--"",""-""),""--"",""-""),""--"",""-""),""--"",""-"")"),"1-2-3-4-#4-5-6-7-8")</f>
        <v>1-2-3-4-#4-5-6-7-8</v>
      </c>
      <c r="BT264" s="299" t="str">
        <f>IFERROR(__xludf.DUMMYFUNCTION("SUBSTITUTE(SUBSTITUTE(SUBSTITUTE(SUBSTITUTE(CONCATENATE(JOIN(""-"",GP264:HB264)),""--"",""-""),""--"",""-""),""--"",""-""),""--"",""-"")"),"S-R2-G3-M1-M2-P-D2-N3-S")</f>
        <v>S-R2-G3-M1-M2-P-D2-N3-S</v>
      </c>
      <c r="BU264" s="348" t="str">
        <f t="shared" si="29"/>
        <v>C-D-E-F-F#-G-A-B-C</v>
      </c>
      <c r="BV264" s="349" t="str">
        <f t="shared" si="30"/>
        <v>SrgdnS</v>
      </c>
      <c r="BW264" s="350">
        <f t="shared" si="31"/>
        <v>0</v>
      </c>
      <c r="BX264" s="351">
        <f t="shared" si="32"/>
        <v>13</v>
      </c>
      <c r="BY264" s="392"/>
      <c r="BZ264" s="309" t="str">
        <f>IFERROR(__xludf.DUMMYFUNCTION("IF(REGEXMATCH(C264, ""S""), ""x"",""x"")"),"x")</f>
        <v>x</v>
      </c>
      <c r="CA264" s="245" t="str">
        <f>IFERROR(__xludf.DUMMYFUNCTION("IF(REGEXMATCH(C264, ""r""), ""o"",""x"")"),"x")</f>
        <v>x</v>
      </c>
      <c r="CB264" s="246" t="str">
        <f>IFERROR(__xludf.DUMMYFUNCTION("IF(REGEXMATCH(C264, ""R""), ""o"",""x"")"),"o")</f>
        <v>o</v>
      </c>
      <c r="CC264" s="246" t="str">
        <f>IFERROR(__xludf.DUMMYFUNCTION("IF(REGEXMATCH(C264, ""g""), ""o"",""x"")"),"x")</f>
        <v>x</v>
      </c>
      <c r="CD264" s="245" t="str">
        <f>IFERROR(__xludf.DUMMYFUNCTION("IF(REGEXMATCH(C264, ""G""), ""o"",""x"")"),"o")</f>
        <v>o</v>
      </c>
      <c r="CE264" s="245" t="str">
        <f>IFERROR(__xludf.DUMMYFUNCTION("IF(REGEXMATCH(C264, ""m""), ""o"",""x"")"),"o")</f>
        <v>o</v>
      </c>
      <c r="CF264" s="246" t="str">
        <f>IFERROR(__xludf.DUMMYFUNCTION("IF(REGEXMATCH(C264, ""M""), ""o"",""x"")"),"o")</f>
        <v>o</v>
      </c>
      <c r="CG264" s="245" t="str">
        <f>IFERROR(__xludf.DUMMYFUNCTION("IF(REGEXMATCH(C264, ""P""), ""o"",""x"")"),"o")</f>
        <v>o</v>
      </c>
      <c r="CH264" s="246" t="str">
        <f>IFERROR(__xludf.DUMMYFUNCTION("IF(REGEXMATCH(C264, ""d""), ""o"",""x"")"),"x")</f>
        <v>x</v>
      </c>
      <c r="CI264" s="245" t="str">
        <f>IFERROR(__xludf.DUMMYFUNCTION("IF(REGEXMATCH(C264, ""D""), ""o"",""x"")"),"o")</f>
        <v>o</v>
      </c>
      <c r="CJ264" s="245" t="str">
        <f>IFERROR(__xludf.DUMMYFUNCTION("IF(REGEXMATCH(C264, ""n""), ""o"",""x"")"),"x")</f>
        <v>x</v>
      </c>
      <c r="CK264" s="245" t="str">
        <f>IFERROR(__xludf.DUMMYFUNCTION("IF(REGEXMATCH(C264, ""N""), ""o"",""x"")"),"o")</f>
        <v>o</v>
      </c>
      <c r="CL264" s="356" t="str">
        <f>IFERROR(__xludf.DUMMYFUNCTION("IF(REGEXMATCH(C264, ""S""), ""x"",""x"")"),"x")</f>
        <v>x</v>
      </c>
      <c r="CM264" s="357" t="str">
        <f t="shared" si="33"/>
        <v>xxoxooooxoxo</v>
      </c>
      <c r="CN264" s="358">
        <f t="shared" si="34"/>
        <v>0</v>
      </c>
      <c r="CO264" s="246" t="str">
        <f>IFERROR(__xludf.DUMMYFUNCTION("IF(REGEXMATCH($C264, ""S""), ""S"",""S"")"),"S")</f>
        <v>S</v>
      </c>
      <c r="CP264" s="246" t="str">
        <f>IFERROR(__xludf.DUMMYFUNCTION("IF(REGEXMATCH($C264, ""r""), """",""r"")"),"r")</f>
        <v>r</v>
      </c>
      <c r="CQ264" s="246" t="str">
        <f>IFERROR(__xludf.DUMMYFUNCTION("IF(REGEXMATCH($C264, ""R""), """",""R"")"),"")</f>
        <v/>
      </c>
      <c r="CR264" s="246" t="str">
        <f>IFERROR(__xludf.DUMMYFUNCTION("IF(REGEXMATCH($C264, ""g""), """",""g"")"),"g")</f>
        <v>g</v>
      </c>
      <c r="CS264" s="246" t="str">
        <f>IFERROR(__xludf.DUMMYFUNCTION("IF(REGEXMATCH($C264, ""G""), """",""G"")"),"")</f>
        <v/>
      </c>
      <c r="CT264" s="246" t="str">
        <f>IFERROR(__xludf.DUMMYFUNCTION("IF(REGEXMATCH($C264, ""m""), """",""m"")"),"")</f>
        <v/>
      </c>
      <c r="CU264" s="246" t="str">
        <f>IFERROR(__xludf.DUMMYFUNCTION("IF(REGEXMATCH($C264, ""M""), """",""M"")"),"")</f>
        <v/>
      </c>
      <c r="CV264" s="246" t="str">
        <f>IFERROR(__xludf.DUMMYFUNCTION("IF(REGEXMATCH($C264, ""P""), """",""P"")"),"")</f>
        <v/>
      </c>
      <c r="CW264" s="246" t="str">
        <f>IFERROR(__xludf.DUMMYFUNCTION("IF(REGEXMATCH($C264, ""d""), """",""d"")"),"d")</f>
        <v>d</v>
      </c>
      <c r="CX264" s="246" t="str">
        <f>IFERROR(__xludf.DUMMYFUNCTION("IF(REGEXMATCH($C264, ""D""), """",""D"")"),"")</f>
        <v/>
      </c>
      <c r="CY264" s="246" t="str">
        <f>IFERROR(__xludf.DUMMYFUNCTION("IF(REGEXMATCH($C264, ""n""), """",""n"")"),"n")</f>
        <v>n</v>
      </c>
      <c r="CZ264" s="246" t="str">
        <f>IFERROR(__xludf.DUMMYFUNCTION("IF(REGEXMATCH($C264, ""N""), """",""N"")"),"")</f>
        <v/>
      </c>
      <c r="DA264" s="246" t="str">
        <f>IFERROR(__xludf.DUMMYFUNCTION("IF(REGEXMATCH($C264, ""S""), ""S"",""S"")"),"S")</f>
        <v>S</v>
      </c>
      <c r="DB264" s="362" t="str">
        <f>IFERROR(__xludf.DUMMYFUNCTION("JOIN("""",CO264:DA264,"""","""")"),"SrgdnS")</f>
        <v>SrgdnS</v>
      </c>
      <c r="DC264" s="363"/>
      <c r="DD264" s="301" t="str">
        <f t="shared" si="35"/>
        <v>#REF!</v>
      </c>
      <c r="DE264" s="302" t="str">
        <f t="shared" si="36"/>
        <v>#REF!</v>
      </c>
      <c r="DF264" s="301" t="str">
        <f t="shared" ref="DF264:DG264" si="749">SUBSTITUTE(S264,"-","")</f>
        <v>SRGM</v>
      </c>
      <c r="DG264" s="301" t="str">
        <f t="shared" si="749"/>
        <v>PDNS</v>
      </c>
      <c r="DH264" s="302" t="str">
        <f t="shared" si="38"/>
        <v>Bihag</v>
      </c>
      <c r="DI264" s="301" t="str">
        <f t="shared" si="39"/>
        <v>Hemi.</v>
      </c>
      <c r="DJ264" s="364" t="str">
        <f t="shared" si="40"/>
        <v>Co-Co.</v>
      </c>
      <c r="DK264" s="306" t="str">
        <f t="shared" si="41"/>
        <v>-</v>
      </c>
      <c r="DL264" s="366" t="str">
        <f t="shared" si="42"/>
        <v>-</v>
      </c>
      <c r="DM264" s="308" t="str">
        <f t="shared" si="43"/>
        <v>✔</v>
      </c>
      <c r="DN264" s="306" t="str">
        <f t="shared" si="44"/>
        <v>-</v>
      </c>
      <c r="DO264" s="306" t="str">
        <f t="shared" si="45"/>
        <v>-</v>
      </c>
      <c r="DP264" s="367" t="str">
        <f t="shared" si="46"/>
        <v>-</v>
      </c>
      <c r="DQ264" s="310" t="str">
        <f t="shared" si="47"/>
        <v>-</v>
      </c>
      <c r="DR264" s="310" t="str">
        <f t="shared" si="48"/>
        <v>-</v>
      </c>
      <c r="DS264" s="310" t="str">
        <f t="shared" si="49"/>
        <v>✔</v>
      </c>
      <c r="DT264" s="310" t="str">
        <f t="shared" si="50"/>
        <v>-</v>
      </c>
      <c r="DU264" s="370" t="str">
        <f t="shared" si="51"/>
        <v>-</v>
      </c>
      <c r="DV264" s="306" t="str">
        <f t="shared" si="52"/>
        <v>-</v>
      </c>
      <c r="DW264" s="306" t="str">
        <f t="shared" si="53"/>
        <v>-</v>
      </c>
      <c r="DX264" s="306" t="str">
        <f t="shared" si="54"/>
        <v>-</v>
      </c>
      <c r="DY264" s="306" t="str">
        <f t="shared" si="55"/>
        <v>-</v>
      </c>
      <c r="DZ264" s="306" t="str">
        <f t="shared" si="56"/>
        <v>-</v>
      </c>
      <c r="EA264" s="367" t="str">
        <f t="shared" si="57"/>
        <v>-</v>
      </c>
      <c r="EB264" s="310" t="str">
        <f>IFERROR(__xludf.DUMMYFUNCTION("IF(REGEXMATCH(AW264,AS264),""✔"",""-"")"),"✔")</f>
        <v>✔</v>
      </c>
      <c r="EC264" s="310" t="str">
        <f t="shared" si="58"/>
        <v>#REF!</v>
      </c>
      <c r="ED264" s="370" t="str">
        <f t="shared" si="59"/>
        <v>-</v>
      </c>
      <c r="EE264" s="340" t="str">
        <f t="shared" si="60"/>
        <v>S-R-G-mM-P-D-N-S</v>
      </c>
      <c r="EF264" s="371" t="str">
        <f>IFERROR(__xludf.DUMMYFUNCTION("CONCATENATE(JOIN("""",HC264:HO264))"),"SrgmMPdnS")</f>
        <v>SrgmMPdnS</v>
      </c>
      <c r="EG264" s="372">
        <f t="shared" si="61"/>
        <v>1</v>
      </c>
      <c r="EH264" s="373" t="str">
        <f>IFERROR(__xludf.DUMMYFUNCTION("CONCATENATE(JOIN("""",JC264:JO264))"),"Ma, ")</f>
        <v>Ma, </v>
      </c>
      <c r="EI264" s="322">
        <f t="shared" si="62"/>
        <v>0</v>
      </c>
      <c r="EJ264" s="374" t="str">
        <f>IFERROR(__xludf.DUMMYFUNCTION("CONCATENATE(JOIN("""",KC264:KO264))"),"")</f>
        <v/>
      </c>
      <c r="EK264" s="325" t="str">
        <f t="shared" si="63"/>
        <v>S-R2-G3-M1-M2-P-D2-N3-S</v>
      </c>
      <c r="EL264" s="326" t="str">
        <f t="shared" si="64"/>
        <v>1-2-3-4-#4-5-6-7-8</v>
      </c>
      <c r="EM264" s="318" t="str">
        <f t="shared" si="65"/>
        <v>#REF!</v>
      </c>
      <c r="EN264" s="328" t="str">
        <f>IFERROR(__xludf.DUMMYFUNCTION("SUBSTITUTE(SUBSTITUTE(SUBSTITUTE(SUBSTITUTE(CONCATENATE(JOIN("" "",HP264:IB264)),""  "","" ""),""  "","" ""),""  "","" ""),""  "","" "")"),"o • o • o o o o • o • o o")</f>
        <v>o • o • o o o o • o • o o</v>
      </c>
      <c r="EO264" s="368" t="str">
        <f t="shared" si="66"/>
        <v>-</v>
      </c>
      <c r="EP264" s="339" t="str">
        <f t="shared" si="67"/>
        <v>-</v>
      </c>
      <c r="EQ264" s="339" t="str">
        <f t="shared" si="68"/>
        <v>Sa-Pa</v>
      </c>
      <c r="ER264" s="339" t="str">
        <f t="shared" si="69"/>
        <v>-</v>
      </c>
      <c r="ES264" s="340" t="str">
        <f t="shared" si="70"/>
        <v>-</v>
      </c>
      <c r="ET264" s="363"/>
      <c r="EU264" s="376" t="b">
        <f>IFERROR(__xludf.DUMMYFUNCTION("arrayformula(sum(--REGEXMATCH(""SRGMPDNS"",split(REGEXREPLACE(C264,""(.)"",""$1~""),""~""))))=len(C264)
"),FALSE)</f>
        <v>0</v>
      </c>
      <c r="EV264" s="290" t="b">
        <f>IFERROR(__xludf.DUMMYFUNCTION("arrayformula(sum(--REGEXMATCH(""SRGmPDNS"",split(REGEXREPLACE(C264,""(.)"",""$1~""),""~""))))=len(C264)"),FALSE)</f>
        <v>0</v>
      </c>
      <c r="EW264" s="290" t="b">
        <f>IFERROR(__xludf.DUMMYFUNCTION("arrayformula(sum(--REGEXMATCH(""SRGmPDnS"",split(REGEXREPLACE(C264,""(.)"",""$1~""),""~""))))=len(C264)"),FALSE)</f>
        <v>0</v>
      </c>
      <c r="EX264" s="290" t="b">
        <f>IFERROR(__xludf.DUMMYFUNCTION("arrayformula(sum(--REGEXMATCH(""SRgmPDnS"",split(REGEXREPLACE(C264,""(.)"",""$1~""),""~""))))=len(C264)"),FALSE)</f>
        <v>0</v>
      </c>
      <c r="EY264" s="290" t="b">
        <f>IFERROR(__xludf.DUMMYFUNCTION("arrayformula(sum(--REGEXMATCH(""SRgmPdnS"",split(REGEXREPLACE(C264,""(.)"",""$1~""),""~""))))=len(C264)"),FALSE)</f>
        <v>0</v>
      </c>
      <c r="EZ264" s="290" t="b">
        <f>IFERROR(__xludf.DUMMYFUNCTION("arrayformula(sum(--REGEXMATCH(""SrgmPdnS"",split(REGEXREPLACE(C264,""(.)"",""$1~""),""~""))))=len(C264)"),FALSE)</f>
        <v>0</v>
      </c>
      <c r="FA264" s="290" t="b">
        <f>IFERROR(__xludf.DUMMYFUNCTION("arrayformula(sum(--REGEXMATCH(""SrGmPdNS"",split(REGEXREPLACE(C264,""(.)"",""$1~""),""~""))))=len(C264)"),FALSE)</f>
        <v>0</v>
      </c>
      <c r="FB264" s="290" t="b">
        <f>IFERROR(__xludf.DUMMYFUNCTION("arrayformula(sum(--REGEXMATCH(""SrGMPDNS"",split(REGEXREPLACE(C264,""(.)"",""$1~""),""~""))))=len(C264)"),FALSE)</f>
        <v>0</v>
      </c>
      <c r="FC264" s="290" t="b">
        <f>IFERROR(__xludf.DUMMYFUNCTION("arrayformula(sum(--REGEXMATCH(""SrGMPdNS"",split(REGEXREPLACE(C264,""(.)"",""$1~""),""~""))))=len(C264)"),FALSE)</f>
        <v>0</v>
      </c>
      <c r="FD264" s="377" t="b">
        <f>IFERROR(__xludf.DUMMYFUNCTION("arrayformula(sum(--REGEXMATCH(""SrgMPdNS"",split(REGEXREPLACE(C264,""(.)"",""$1~""),""~""))))=len(C264)"),FALSE)</f>
        <v>0</v>
      </c>
      <c r="FE264" s="269" t="str">
        <f t="shared" si="71"/>
        <v>-</v>
      </c>
      <c r="FF264" s="269" t="str">
        <f t="shared" si="72"/>
        <v>xoxxxxoxoxx</v>
      </c>
      <c r="FG264" s="271" t="str">
        <f t="shared" si="73"/>
        <v>-</v>
      </c>
      <c r="FH264" s="269" t="str">
        <f t="shared" si="74"/>
        <v>xxxxoxoxxox</v>
      </c>
      <c r="FI264" s="271" t="str">
        <f t="shared" si="75"/>
        <v>xxxoxoxxoxo</v>
      </c>
      <c r="FJ264" s="271" t="str">
        <f t="shared" si="76"/>
        <v>xxoxoxxoxox</v>
      </c>
      <c r="FK264" s="271" t="str">
        <f t="shared" si="77"/>
        <v>xoxoxxoxoxx</v>
      </c>
      <c r="FL264" s="271" t="str">
        <f t="shared" si="78"/>
        <v>-</v>
      </c>
      <c r="FM264" s="271" t="str">
        <f t="shared" si="79"/>
        <v>xoxxoxoxxxx</v>
      </c>
      <c r="FN264" s="271" t="str">
        <f t="shared" si="80"/>
        <v>-</v>
      </c>
      <c r="FO264" s="274" t="str">
        <f t="shared" si="81"/>
        <v>xxoxoxxxxox</v>
      </c>
      <c r="FP264" s="234" t="str">
        <f t="shared" si="82"/>
        <v>|</v>
      </c>
      <c r="FQ264" s="236" t="str">
        <f t="shared" si="83"/>
        <v>-</v>
      </c>
      <c r="FR264" s="237" t="str">
        <f t="shared" si="84"/>
        <v>|</v>
      </c>
      <c r="FS264" s="236" t="str">
        <f t="shared" si="85"/>
        <v>-</v>
      </c>
      <c r="FT264" s="237" t="str">
        <f t="shared" si="86"/>
        <v>|</v>
      </c>
      <c r="FU264" s="236" t="str">
        <f t="shared" si="87"/>
        <v>|</v>
      </c>
      <c r="FV264" s="237" t="str">
        <f t="shared" si="88"/>
        <v>|</v>
      </c>
      <c r="FW264" s="236" t="str">
        <f t="shared" si="89"/>
        <v>|</v>
      </c>
      <c r="FX264" s="237" t="str">
        <f t="shared" si="90"/>
        <v>-</v>
      </c>
      <c r="FY264" s="236" t="str">
        <f t="shared" si="91"/>
        <v>|</v>
      </c>
      <c r="FZ264" s="237" t="str">
        <f t="shared" si="92"/>
        <v>-</v>
      </c>
      <c r="GA264" s="236" t="str">
        <f t="shared" si="93"/>
        <v>|</v>
      </c>
      <c r="GB264" s="238" t="str">
        <f t="shared" si="94"/>
        <v>|</v>
      </c>
      <c r="GC264" s="244" t="str">
        <f>IFERROR(__xludf.DUMMYFUNCTION("IF(REGEXMATCH(C264, ""S""), ""1"","""")"),"1")</f>
        <v>1</v>
      </c>
      <c r="GD264" s="245" t="str">
        <f>IFERROR(__xludf.DUMMYFUNCTION("IF(REGEXMATCH(C264, ""r""), ""b2"","""")"),"")</f>
        <v/>
      </c>
      <c r="GE264" s="246" t="str">
        <f>IFERROR(__xludf.DUMMYFUNCTION("IF(REGEXMATCH(C264, ""R""), ""2"","""")"),"2")</f>
        <v>2</v>
      </c>
      <c r="GF264" s="246" t="str">
        <f>IFERROR(__xludf.DUMMYFUNCTION("IF(REGEXMATCH(C264, ""g""), ""b3"","""")"),"")</f>
        <v/>
      </c>
      <c r="GG264" s="245" t="str">
        <f>IFERROR(__xludf.DUMMYFUNCTION("IF(REGEXMATCH(C264, ""G""), ""3"","""")"),"3")</f>
        <v>3</v>
      </c>
      <c r="GH264" s="245" t="str">
        <f>IFERROR(__xludf.DUMMYFUNCTION("IF(REGEXMATCH(C264, ""m""), ""4"","""")"),"4")</f>
        <v>4</v>
      </c>
      <c r="GI264" s="246" t="str">
        <f>IFERROR(__xludf.DUMMYFUNCTION("IF(REGEXMATCH(C264, ""M""), ""#4"","""")"),"#4")</f>
        <v>#4</v>
      </c>
      <c r="GJ264" s="245" t="str">
        <f>IFERROR(__xludf.DUMMYFUNCTION("IF(REGEXMATCH(C264, ""P""), ""5"","""")"),"5")</f>
        <v>5</v>
      </c>
      <c r="GK264" s="246" t="str">
        <f>IFERROR(__xludf.DUMMYFUNCTION("IF(REGEXMATCH(C264, ""d""), ""b6"","""")"),"")</f>
        <v/>
      </c>
      <c r="GL264" s="245" t="str">
        <f>IFERROR(__xludf.DUMMYFUNCTION("IF(REGEXMATCH(C264, ""D""), ""6"","""")"),"6")</f>
        <v>6</v>
      </c>
      <c r="GM264" s="245" t="str">
        <f>IFERROR(__xludf.DUMMYFUNCTION("IF(REGEXMATCH(C264, ""n""), ""b7"","""")"),"")</f>
        <v/>
      </c>
      <c r="GN264" s="246" t="str">
        <f>IFERROR(__xludf.DUMMYFUNCTION("IF(REGEXMATCH(C264, ""N""), ""7"","""")"),"7")</f>
        <v>7</v>
      </c>
      <c r="GO264" s="249" t="str">
        <f>IFERROR(__xludf.DUMMYFUNCTION("IF(REGEXMATCH(C264, ""S""), ""8"","""")"),"8")</f>
        <v>8</v>
      </c>
      <c r="GP264" s="244" t="str">
        <f>IFERROR(__xludf.DUMMYFUNCTION("IF(REGEXMATCH(C264, ""S""), ""S"","""")"),"S")</f>
        <v>S</v>
      </c>
      <c r="GQ264" s="294" t="str">
        <f>IFERROR(__xludf.DUMMYFUNCTION("IF(REGEXMATCH(C264, ""r""), ""R1"","""")"),"")</f>
        <v/>
      </c>
      <c r="GR264" s="295" t="str">
        <f>IFERROR(__xludf.DUMMYFUNCTION("IF(REGEXMATCH(C264, ""R""), ""R2"","""")"),"R2")</f>
        <v>R2</v>
      </c>
      <c r="GS264" s="295" t="str">
        <f>IFERROR(__xludf.DUMMYFUNCTION("IF(REGEXMATCH(C264, ""g""), ""G2"","""")"),"")</f>
        <v/>
      </c>
      <c r="GT264" s="294" t="str">
        <f>IFERROR(__xludf.DUMMYFUNCTION("IF(REGEXMATCH(C264, ""G""), ""G3"","""")"),"G3")</f>
        <v>G3</v>
      </c>
      <c r="GU264" s="294" t="str">
        <f>IFERROR(__xludf.DUMMYFUNCTION("IF(REGEXMATCH(C264, ""m""), ""M1"","""")"),"M1")</f>
        <v>M1</v>
      </c>
      <c r="GV264" s="295" t="str">
        <f>IFERROR(__xludf.DUMMYFUNCTION("IF(REGEXMATCH(C264, ""M""), ""M2"","""")"),"M2")</f>
        <v>M2</v>
      </c>
      <c r="GW264" s="294" t="str">
        <f>IFERROR(__xludf.DUMMYFUNCTION("IF(REGEXMATCH(C264, ""P""), ""P"","""")"),"P")</f>
        <v>P</v>
      </c>
      <c r="GX264" s="295" t="str">
        <f>IFERROR(__xludf.DUMMYFUNCTION("IF(REGEXMATCH(C264, ""d""), ""D1"","""")"),"")</f>
        <v/>
      </c>
      <c r="GY264" s="294" t="str">
        <f>IFERROR(__xludf.DUMMYFUNCTION("IF(REGEXMATCH(C264, ""D""), ""D2"","""")"),"D2")</f>
        <v>D2</v>
      </c>
      <c r="GZ264" s="294" t="str">
        <f>IFERROR(__xludf.DUMMYFUNCTION("IF(REGEXMATCH(C264, ""n""), ""N2"","""")"),"")</f>
        <v/>
      </c>
      <c r="HA264" s="295" t="str">
        <f>IFERROR(__xludf.DUMMYFUNCTION("IF(REGEXMATCH(C264, ""N""), ""N3"","""")"),"N3")</f>
        <v>N3</v>
      </c>
      <c r="HB264" s="249" t="str">
        <f>IFERROR(__xludf.DUMMYFUNCTION("IF(REGEXMATCH(C264, ""S""), ""S"","""")"),"S")</f>
        <v>S</v>
      </c>
      <c r="HC264" s="331" t="str">
        <f t="shared" si="95"/>
        <v>S</v>
      </c>
      <c r="HD264" s="332" t="str">
        <f t="shared" si="96"/>
        <v>r</v>
      </c>
      <c r="HE264" s="332" t="str">
        <f t="shared" si="97"/>
        <v/>
      </c>
      <c r="HF264" s="332" t="str">
        <f t="shared" si="98"/>
        <v>g</v>
      </c>
      <c r="HG264" s="332" t="str">
        <f t="shared" si="99"/>
        <v/>
      </c>
      <c r="HH264" s="332" t="str">
        <f t="shared" si="100"/>
        <v>m</v>
      </c>
      <c r="HI264" s="332" t="str">
        <f t="shared" si="101"/>
        <v>M</v>
      </c>
      <c r="HJ264" s="332" t="str">
        <f t="shared" si="102"/>
        <v>P</v>
      </c>
      <c r="HK264" s="332" t="str">
        <f t="shared" si="103"/>
        <v>d</v>
      </c>
      <c r="HL264" s="332" t="str">
        <f t="shared" si="104"/>
        <v/>
      </c>
      <c r="HM264" s="332" t="str">
        <f t="shared" si="105"/>
        <v>n</v>
      </c>
      <c r="HN264" s="332" t="str">
        <f t="shared" si="106"/>
        <v/>
      </c>
      <c r="HO264" s="343" t="str">
        <f t="shared" si="107"/>
        <v>S</v>
      </c>
      <c r="HP264" s="331" t="str">
        <f t="shared" si="108"/>
        <v>o</v>
      </c>
      <c r="HQ264" s="332" t="str">
        <f t="shared" si="109"/>
        <v>•</v>
      </c>
      <c r="HR264" s="332" t="str">
        <f t="shared" si="110"/>
        <v>o</v>
      </c>
      <c r="HS264" s="332" t="str">
        <f t="shared" si="111"/>
        <v>•</v>
      </c>
      <c r="HT264" s="332" t="str">
        <f t="shared" si="112"/>
        <v>o</v>
      </c>
      <c r="HU264" s="332" t="str">
        <f t="shared" si="113"/>
        <v>o</v>
      </c>
      <c r="HV264" s="332" t="str">
        <f t="shared" si="114"/>
        <v>o</v>
      </c>
      <c r="HW264" s="332" t="str">
        <f t="shared" si="115"/>
        <v>o</v>
      </c>
      <c r="HX264" s="332" t="str">
        <f t="shared" si="116"/>
        <v>•</v>
      </c>
      <c r="HY264" s="332" t="str">
        <f t="shared" si="117"/>
        <v>o</v>
      </c>
      <c r="HZ264" s="332" t="str">
        <f t="shared" si="118"/>
        <v>•</v>
      </c>
      <c r="IA264" s="332" t="str">
        <f t="shared" si="119"/>
        <v>o</v>
      </c>
      <c r="IB264" s="338" t="str">
        <f t="shared" si="120"/>
        <v>o</v>
      </c>
      <c r="IC264" s="331" t="str">
        <f t="shared" si="121"/>
        <v>•</v>
      </c>
      <c r="ID264" s="332" t="str">
        <f t="shared" si="122"/>
        <v>o</v>
      </c>
      <c r="IE264" s="332" t="str">
        <f t="shared" si="123"/>
        <v>•</v>
      </c>
      <c r="IF264" s="332" t="str">
        <f t="shared" si="124"/>
        <v>o</v>
      </c>
      <c r="IG264" s="332" t="str">
        <f t="shared" si="125"/>
        <v>•</v>
      </c>
      <c r="IH264" s="332" t="str">
        <f t="shared" si="126"/>
        <v>•</v>
      </c>
      <c r="II264" s="332" t="str">
        <f t="shared" si="127"/>
        <v>•</v>
      </c>
      <c r="IJ264" s="332" t="str">
        <f t="shared" si="128"/>
        <v>•</v>
      </c>
      <c r="IK264" s="332" t="str">
        <f t="shared" si="129"/>
        <v>o</v>
      </c>
      <c r="IL264" s="332" t="str">
        <f t="shared" si="130"/>
        <v>•</v>
      </c>
      <c r="IM264" s="332" t="str">
        <f t="shared" si="131"/>
        <v>o</v>
      </c>
      <c r="IN264" s="332" t="str">
        <f t="shared" si="132"/>
        <v>•</v>
      </c>
      <c r="IO264" s="338" t="str">
        <f t="shared" si="133"/>
        <v>•</v>
      </c>
      <c r="IP264" s="346" t="b">
        <f t="shared" si="134"/>
        <v>0</v>
      </c>
      <c r="IQ264" s="347" t="b">
        <f t="shared" si="135"/>
        <v>0</v>
      </c>
      <c r="IR264" s="347" t="b">
        <f t="shared" si="136"/>
        <v>0</v>
      </c>
      <c r="IS264" s="347" t="b">
        <f t="shared" si="137"/>
        <v>0</v>
      </c>
      <c r="IT264" s="347" t="b">
        <f t="shared" si="138"/>
        <v>0</v>
      </c>
      <c r="IU264" s="347" t="b">
        <f t="shared" si="139"/>
        <v>0</v>
      </c>
      <c r="IV264" s="347" t="b">
        <f t="shared" si="140"/>
        <v>1</v>
      </c>
      <c r="IW264" s="347" t="b">
        <f t="shared" si="141"/>
        <v>0</v>
      </c>
      <c r="IX264" s="347" t="b">
        <f t="shared" si="142"/>
        <v>0</v>
      </c>
      <c r="IY264" s="347" t="b">
        <f t="shared" si="143"/>
        <v>0</v>
      </c>
      <c r="IZ264" s="347" t="b">
        <f t="shared" si="144"/>
        <v>0</v>
      </c>
      <c r="JA264" s="347" t="b">
        <f t="shared" si="145"/>
        <v>0</v>
      </c>
      <c r="JB264" s="353" t="b">
        <f t="shared" si="146"/>
        <v>0</v>
      </c>
      <c r="JC264" s="354" t="str">
        <f t="shared" si="147"/>
        <v/>
      </c>
      <c r="JD264" s="355" t="str">
        <f t="shared" si="148"/>
        <v/>
      </c>
      <c r="JE264" s="355" t="str">
        <f t="shared" si="149"/>
        <v/>
      </c>
      <c r="JF264" s="355" t="str">
        <f t="shared" si="150"/>
        <v/>
      </c>
      <c r="JG264" s="355" t="str">
        <f t="shared" si="151"/>
        <v/>
      </c>
      <c r="JH264" s="355" t="str">
        <f t="shared" si="152"/>
        <v/>
      </c>
      <c r="JI264" s="355" t="str">
        <f t="shared" si="153"/>
        <v>Ma, </v>
      </c>
      <c r="JJ264" s="355" t="str">
        <f t="shared" si="154"/>
        <v/>
      </c>
      <c r="JK264" s="355" t="str">
        <f t="shared" si="155"/>
        <v/>
      </c>
      <c r="JL264" s="355" t="str">
        <f t="shared" si="156"/>
        <v/>
      </c>
      <c r="JM264" s="355" t="str">
        <f t="shared" si="157"/>
        <v/>
      </c>
      <c r="JN264" s="355" t="str">
        <f t="shared" si="158"/>
        <v/>
      </c>
      <c r="JO264" s="359" t="str">
        <f t="shared" si="159"/>
        <v/>
      </c>
      <c r="JP264" s="346" t="b">
        <f t="shared" si="160"/>
        <v>0</v>
      </c>
      <c r="JQ264" s="347" t="b">
        <f t="shared" si="161"/>
        <v>0</v>
      </c>
      <c r="JR264" s="347" t="b">
        <f t="shared" si="162"/>
        <v>0</v>
      </c>
      <c r="JS264" s="347" t="b">
        <f t="shared" si="163"/>
        <v>0</v>
      </c>
      <c r="JT264" s="347" t="b">
        <f t="shared" si="164"/>
        <v>0</v>
      </c>
      <c r="JU264" s="347" t="b">
        <f t="shared" si="165"/>
        <v>0</v>
      </c>
      <c r="JV264" s="347" t="b">
        <f t="shared" si="166"/>
        <v>0</v>
      </c>
      <c r="JW264" s="347" t="b">
        <f t="shared" si="167"/>
        <v>0</v>
      </c>
      <c r="JX264" s="347" t="b">
        <f t="shared" si="168"/>
        <v>0</v>
      </c>
      <c r="JY264" s="347" t="b">
        <f t="shared" si="169"/>
        <v>0</v>
      </c>
      <c r="JZ264" s="347" t="b">
        <f t="shared" si="170"/>
        <v>0</v>
      </c>
      <c r="KA264" s="347" t="b">
        <f t="shared" si="171"/>
        <v>0</v>
      </c>
      <c r="KB264" s="365" t="b">
        <f t="shared" si="172"/>
        <v>0</v>
      </c>
      <c r="KC264" s="354" t="str">
        <f t="shared" si="173"/>
        <v/>
      </c>
      <c r="KD264" s="355" t="str">
        <f t="shared" si="174"/>
        <v/>
      </c>
      <c r="KE264" s="355" t="str">
        <f t="shared" si="175"/>
        <v/>
      </c>
      <c r="KF264" s="355" t="str">
        <f t="shared" si="176"/>
        <v/>
      </c>
      <c r="KG264" s="355" t="str">
        <f t="shared" si="177"/>
        <v/>
      </c>
      <c r="KH264" s="355" t="str">
        <f t="shared" si="178"/>
        <v/>
      </c>
      <c r="KI264" s="355" t="str">
        <f t="shared" si="179"/>
        <v/>
      </c>
      <c r="KJ264" s="355" t="str">
        <f t="shared" si="180"/>
        <v/>
      </c>
      <c r="KK264" s="355" t="str">
        <f t="shared" si="181"/>
        <v/>
      </c>
      <c r="KL264" s="355" t="str">
        <f t="shared" si="182"/>
        <v/>
      </c>
      <c r="KM264" s="355" t="str">
        <f t="shared" si="183"/>
        <v/>
      </c>
      <c r="KN264" s="355" t="str">
        <f t="shared" si="184"/>
        <v/>
      </c>
      <c r="KO264" s="359"/>
      <c r="KP264" s="378"/>
      <c r="KQ264" s="379" t="s">
        <v>554</v>
      </c>
      <c r="KR264" s="380" t="s">
        <v>1467</v>
      </c>
      <c r="KS264" s="381" t="str">
        <f t="shared" si="750"/>
        <v>S-R-G-m-P-D-N-S</v>
      </c>
      <c r="KT264" s="382">
        <f t="shared" si="186"/>
        <v>7</v>
      </c>
      <c r="KU264" s="383">
        <f t="shared" si="187"/>
        <v>7</v>
      </c>
      <c r="KV264" s="381" t="str">
        <f t="shared" si="205"/>
        <v>S-D-P-m-G-R-S</v>
      </c>
      <c r="KW264" s="382">
        <f t="shared" si="189"/>
        <v>6</v>
      </c>
      <c r="KX264" s="384">
        <f t="shared" si="190"/>
        <v>6</v>
      </c>
      <c r="KY264" s="382">
        <f t="shared" ref="KY264:KZ264" si="751">KW264-KT264</f>
        <v>-1</v>
      </c>
      <c r="KZ264" s="369">
        <f t="shared" si="751"/>
        <v>-1</v>
      </c>
      <c r="LA264" s="385" t="str">
        <f t="shared" si="192"/>
        <v>-</v>
      </c>
      <c r="LB264" s="340" t="str">
        <f>IFERROR(__xludf.DUMMYFUNCTION("JOIN("""",ArrayFormula(MID(KS264,LEN(KS264)-SEQUENCE(1,LEN(KS264))+1,1)))"),"S-N-D-P-m-G-R-S")</f>
        <v>S-N-D-P-m-G-R-S</v>
      </c>
      <c r="LC264" s="373" t="str">
        <f>IFERROR(__xludf.DUMMYFUNCTION("JOIN("""",ArrayFormula(MID(KV264,LEN(KV264)-SEQUENCE(1,LEN(KV264))+1,1)))"),"S-R-G-m-P-D-S")</f>
        <v>S-R-G-m-P-D-S</v>
      </c>
      <c r="LD264" s="373" t="str">
        <f t="shared" si="193"/>
        <v>SRGmPDNS</v>
      </c>
      <c r="LE264" s="339" t="str">
        <f t="shared" si="194"/>
        <v>SRGmPDS</v>
      </c>
      <c r="LF264" s="386" t="str">
        <f>IFERROR(__xludf.DUMMYFUNCTION("SUBSTITUTE(SUBSTITUTE(CONCATENATE(JOIN("""",LH264:LT264)),""1"",""""),""2"","""")"),"SRGmPDNS")</f>
        <v>SRGmPDNS</v>
      </c>
      <c r="LG264" s="369" t="str">
        <f t="shared" si="195"/>
        <v>-</v>
      </c>
      <c r="LH264" s="387" t="str">
        <f>IFERROR(__xludf.DUMMYFUNCTION("IF(REGEXMATCH(LD264, ""S""), ""S"",IF(REGEXMATCH(LE264, ""S""), ""S"",""""))"),"S")</f>
        <v>S</v>
      </c>
      <c r="LI264" s="299" t="str">
        <f>IFERROR(__xludf.DUMMYFUNCTION("IF(REGEXMATCH(LD264, ""r""), ""r1"",IF(REGEXMATCH(LE264, ""r""), ""r2"",""""))"),"")</f>
        <v/>
      </c>
      <c r="LJ264" s="299" t="str">
        <f>IFERROR(__xludf.DUMMYFUNCTION("IF(REGEXMATCH(LD264, ""R""), ""R1"",IF(REGEXMATCH(LE264, ""R""), ""R2"",""""))"),"R1")</f>
        <v>R1</v>
      </c>
      <c r="LK264" s="299" t="str">
        <f>IFERROR(__xludf.DUMMYFUNCTION("IF(REGEXMATCH(LD264, ""g""), ""g1"",IF(REGEXMATCH(LE264, ""g""), ""g2"",""""))"),"")</f>
        <v/>
      </c>
      <c r="LL264" s="299" t="str">
        <f>IFERROR(__xludf.DUMMYFUNCTION("IF(REGEXMATCH(LD264, ""G""), ""G1"",IF(REGEXMATCH(LE264, ""G""), ""G2"",""""))"),"G1")</f>
        <v>G1</v>
      </c>
      <c r="LM264" s="299" t="str">
        <f>IFERROR(__xludf.DUMMYFUNCTION("IF(REGEXMATCH(LD264, ""m""), ""m1"",IF(REGEXMATCH(LE264, ""m""), ""m2"",""""))"),"m1")</f>
        <v>m1</v>
      </c>
      <c r="LN264" s="299" t="str">
        <f>IFERROR(__xludf.DUMMYFUNCTION("IF(REGEXMATCH(LD264, ""M""), ""M1"",IF(REGEXMATCH(LE264, ""M""), ""M2"",""""))"),"")</f>
        <v/>
      </c>
      <c r="LO264" s="299" t="str">
        <f>IFERROR(__xludf.DUMMYFUNCTION("IF(REGEXMATCH(LD264, ""P""), ""P1"",IF(REGEXMATCH(LE264, ""P""), ""P2"",""""))"),"P1")</f>
        <v>P1</v>
      </c>
      <c r="LP264" s="299" t="str">
        <f>IFERROR(__xludf.DUMMYFUNCTION("IF(REGEXMATCH(LD264, ""d""), ""d1"",IF(REGEXMATCH(LE264, ""d""), ""d2"",""""))"),"")</f>
        <v/>
      </c>
      <c r="LQ264" s="299" t="str">
        <f>IFERROR(__xludf.DUMMYFUNCTION("IF(REGEXMATCH(LD264, ""D""), ""D1"",IF(REGEXMATCH(LE264, ""D""), ""D2"",""""))"),"D1")</f>
        <v>D1</v>
      </c>
      <c r="LR264" s="299" t="str">
        <f>IFERROR(__xludf.DUMMYFUNCTION("IF(REGEXMATCH(LD264, ""n""), ""n1"",IF(REGEXMATCH(LE264, ""n""), ""n2"",""""))"),"")</f>
        <v/>
      </c>
      <c r="LS264" s="299" t="str">
        <f>IFERROR(__xludf.DUMMYFUNCTION("IF(REGEXMATCH(LD264, ""N""), ""N1"",IF(REGEXMATCH(LE264, ""N""), ""N2"",""""))"),"N1")</f>
        <v>N1</v>
      </c>
      <c r="LT264" s="388" t="str">
        <f>IFERROR(__xludf.DUMMYFUNCTION("IF(REGEXMATCH(LD264, ""S""), ""S"",IF(REGEXMATCH(LE264, ""S""), ""S"",""""))"),"S")</f>
        <v>S</v>
      </c>
      <c r="LU264" s="389">
        <f t="shared" si="196"/>
        <v>3</v>
      </c>
      <c r="LV264" s="378"/>
      <c r="LW264" s="369"/>
      <c r="LX264" s="369"/>
    </row>
    <row r="265" ht="18.0" customHeight="1">
      <c r="A265" s="298" t="s">
        <v>835</v>
      </c>
      <c r="B265" s="222" t="s">
        <v>836</v>
      </c>
      <c r="C265" s="233" t="str">
        <f t="shared" si="7"/>
        <v>SRgmPDNS</v>
      </c>
      <c r="D265" s="234" t="str">
        <f>IFERROR(__xludf.DUMMYFUNCTION("IF(REGEXMATCH(C265, ""S""), ""S"","""")"),"S")</f>
        <v>S</v>
      </c>
      <c r="E265" s="236" t="str">
        <f>IFERROR(__xludf.DUMMYFUNCTION("IF(REGEXMATCH(C265, ""r""), ""r"","""")"),"")</f>
        <v/>
      </c>
      <c r="F265" s="237" t="str">
        <f>IFERROR(__xludf.DUMMYFUNCTION("IF(REGEXMATCH(C265, ""R""), ""R"","""")"),"R")</f>
        <v>R</v>
      </c>
      <c r="G265" s="237" t="str">
        <f>IFERROR(__xludf.DUMMYFUNCTION("IF(REGEXMATCH(C265, ""g""), ""g"","""")"),"g")</f>
        <v>g</v>
      </c>
      <c r="H265" s="236" t="str">
        <f>IFERROR(__xludf.DUMMYFUNCTION("IF(REGEXMATCH(C265, ""G""), ""G"","""")"),"")</f>
        <v/>
      </c>
      <c r="I265" s="236" t="str">
        <f>IFERROR(__xludf.DUMMYFUNCTION("IF(REGEXMATCH(C265, ""m""), ""m"","""")"),"m")</f>
        <v>m</v>
      </c>
      <c r="J265" s="237" t="str">
        <f>IFERROR(__xludf.DUMMYFUNCTION("IF(REGEXMATCH(C265, ""M""), ""M"","""")"),"")</f>
        <v/>
      </c>
      <c r="K265" s="236" t="str">
        <f>IFERROR(__xludf.DUMMYFUNCTION("IF(REGEXMATCH(C265, ""P""), ""P"","""")"),"P")</f>
        <v>P</v>
      </c>
      <c r="L265" s="237" t="str">
        <f>IFERROR(__xludf.DUMMYFUNCTION("IF(REGEXMATCH(C265, ""d""), ""d"","""")"),"")</f>
        <v/>
      </c>
      <c r="M265" s="236" t="str">
        <f>IFERROR(__xludf.DUMMYFUNCTION("IF(REGEXMATCH(C265, ""D""), ""D"","""")"),"D")</f>
        <v>D</v>
      </c>
      <c r="N265" s="236" t="str">
        <f>IFERROR(__xludf.DUMMYFUNCTION("IF(REGEXMATCH(C265, ""n""), ""n"","""")"),"")</f>
        <v/>
      </c>
      <c r="O265" s="237" t="str">
        <f>IFERROR(__xludf.DUMMYFUNCTION("IF(REGEXMATCH(C265, ""N""), ""N"","""")"),"N")</f>
        <v>N</v>
      </c>
      <c r="P265" s="238" t="str">
        <f>IFERROR(__xludf.DUMMYFUNCTION("IF(REGEXMATCH(C265, ""S""), ""S"","""")"),"S")</f>
        <v>S</v>
      </c>
      <c r="Q265" s="239" t="str">
        <f>IFERROR(__xludf.DUMMYFUNCTION("SUBSTITUTE(CONCATENATE(JOIN(""-"",D265:J265)),""-"","""")"),"SRgm")</f>
        <v>SRgm</v>
      </c>
      <c r="R265" s="229" t="str">
        <f>IFERROR(__xludf.DUMMYFUNCTION("SUBSTITUTE(CONCATENATE(JOIN(""-"",K265:P265)),""-"","""")"),"PDNS")</f>
        <v>PDNS</v>
      </c>
      <c r="S265" s="282" t="str">
        <f t="shared" si="8"/>
        <v>S-R-G-M</v>
      </c>
      <c r="T265" s="282" t="str">
        <f t="shared" si="9"/>
        <v>P-D-N-S</v>
      </c>
      <c r="U265" s="237" t="str">
        <f>IFERROR(__xludf.DUMMYFUNCTION("SUBSTITUTE(JOIN(""-"",S265,T265),""--"",""-"")"),"S-R-G-M-P-D-N-S")</f>
        <v>S-R-G-M-P-D-N-S</v>
      </c>
      <c r="V265" s="309" t="str">
        <f t="shared" si="10"/>
        <v>RgmDN</v>
      </c>
      <c r="W265" s="244" t="str">
        <f>IFERROR(__xludf.DUMMYFUNCTION("IF(REGEXMATCH(C265, ""S""), ""0"","""")"),"0")</f>
        <v>0</v>
      </c>
      <c r="X265" s="245" t="str">
        <f>IFERROR(__xludf.DUMMYFUNCTION("IF(REGEXMATCH(C265, ""r""), ""1"","""")"),"")</f>
        <v/>
      </c>
      <c r="Y265" s="246" t="str">
        <f>IFERROR(__xludf.DUMMYFUNCTION("IF(REGEXMATCH(C265, ""R""), ""2"","""")"),"2")</f>
        <v>2</v>
      </c>
      <c r="Z265" s="246" t="str">
        <f>IFERROR(__xludf.DUMMYFUNCTION("IF(REGEXMATCH(C265, ""g""), ""3"","""")"),"3")</f>
        <v>3</v>
      </c>
      <c r="AA265" s="245" t="str">
        <f>IFERROR(__xludf.DUMMYFUNCTION("IF(REGEXMATCH(C265, ""G""), ""4"","""")"),"")</f>
        <v/>
      </c>
      <c r="AB265" s="245" t="str">
        <f>IFERROR(__xludf.DUMMYFUNCTION("IF(REGEXMATCH(C265, ""m""), ""5"","""")"),"5")</f>
        <v>5</v>
      </c>
      <c r="AC265" s="246" t="str">
        <f>IFERROR(__xludf.DUMMYFUNCTION("IF(REGEXMATCH(C265, ""M""), ""6"","""")"),"")</f>
        <v/>
      </c>
      <c r="AD265" s="245" t="str">
        <f>IFERROR(__xludf.DUMMYFUNCTION("IF(REGEXMATCH(C265, ""P""), ""7"","""")"),"7")</f>
        <v>7</v>
      </c>
      <c r="AE265" s="246" t="str">
        <f>IFERROR(__xludf.DUMMYFUNCTION("IF(REGEXMATCH(C265, ""d""), ""8"","""")"),"")</f>
        <v/>
      </c>
      <c r="AF265" s="245" t="str">
        <f>IFERROR(__xludf.DUMMYFUNCTION("IF(REGEXMATCH(C265, ""D""), ""9"","""")"),"9")</f>
        <v>9</v>
      </c>
      <c r="AG265" s="245" t="str">
        <f>IFERROR(__xludf.DUMMYFUNCTION("IF(REGEXMATCH(C265, ""n""), ""10"","""")"),"")</f>
        <v/>
      </c>
      <c r="AH265" s="246" t="str">
        <f>IFERROR(__xludf.DUMMYFUNCTION("IF(REGEXMATCH(C265, ""N""), ""11"","""")"),"11")</f>
        <v>11</v>
      </c>
      <c r="AI265" s="249" t="str">
        <f>IFERROR(__xludf.DUMMYFUNCTION("IF(REGEXMATCH(C265, ""S""), ""0"","""")"),"0")</f>
        <v>0</v>
      </c>
      <c r="AJ265" s="313" t="str">
        <f t="shared" si="11"/>
        <v>-</v>
      </c>
      <c r="AK265" s="313" t="str">
        <f t="shared" si="12"/>
        <v>-</v>
      </c>
      <c r="AL265" s="313" t="str">
        <f t="shared" si="13"/>
        <v>-</v>
      </c>
      <c r="AM265" s="313" t="str">
        <f t="shared" si="14"/>
        <v>T</v>
      </c>
      <c r="AN265" s="313" t="str">
        <f t="shared" si="15"/>
        <v>-</v>
      </c>
      <c r="AO265" s="314" t="str">
        <f t="shared" si="16"/>
        <v>T</v>
      </c>
      <c r="AP265" s="316">
        <f t="shared" si="17"/>
        <v>2</v>
      </c>
      <c r="AQ265" s="319" t="str">
        <f t="shared" si="18"/>
        <v>#REF!</v>
      </c>
      <c r="AR265" s="320">
        <f t="shared" si="19"/>
        <v>0</v>
      </c>
      <c r="AS265" s="250" t="str">
        <f>IFERROR(__xludf.DUMMYFUNCTION("SUBSTITUTE(SUBSTITUTE(CONCATENATE(JOIN("""",FP265:GA265)),""|"",""x""),""-"",""o"")"),"xoxxoxoxoxox")</f>
        <v>xoxxoxoxoxox</v>
      </c>
      <c r="AT265" s="323" t="str">
        <f>IFERROR(__xludf.DUMMYFUNCTION("JOIN("""",AS265,AS265)"),"xoxxoxoxoxoxxoxxoxoxoxox")</f>
        <v>xoxxoxoxoxoxxoxxoxoxoxox</v>
      </c>
      <c r="AU265" s="256" t="str">
        <f>IFERROR(__xludf.DUMMYFUNCTION("JOIN("""",ArrayFormula(MID(AS265,LEN(AS265)-SEQUENCE(1,LEN(AS265))+1,1)))"),"xoxoxoxoxxox")</f>
        <v>xoxoxoxoxxox</v>
      </c>
      <c r="AV265" s="256" t="str">
        <f>IFERROR(__xludf.DUMMYFUNCTION("LEFT(CONCATENATE(""x"",JOIN("""",ArrayFormula(MID(AS265,LEN(AS265)-SEQUENCE(1,LEN(AS265))+1,1)))),12)"),"xxoxoxoxoxxo")</f>
        <v>xxoxoxoxoxxo</v>
      </c>
      <c r="AW265" s="327" t="str">
        <f>IFERROR(__xludf.DUMMYFUNCTION("JOIN("""",AU265,AU265)"),"xoxoxoxoxxoxxoxoxoxoxxox")</f>
        <v>xoxoxoxoxxoxxoxoxoxoxxox</v>
      </c>
      <c r="AX265" s="239" t="str">
        <f>IFERROR(__xludf.DUMMYFUNCTION("IF(REGEXMATCH(AW265,AS265),""✔"",""-"")"),"✔")</f>
        <v>✔</v>
      </c>
      <c r="AY265" s="330" t="str">
        <f t="shared" si="20"/>
        <v>-</v>
      </c>
      <c r="AZ265" s="260" t="str">
        <f t="shared" si="21"/>
        <v>#REF!</v>
      </c>
      <c r="BA265" s="333" t="str">
        <f t="shared" si="22"/>
        <v>xoxxoxo</v>
      </c>
      <c r="BB265" s="334" t="str">
        <f t="shared" si="23"/>
        <v>xoxoxx</v>
      </c>
      <c r="BC265" s="335" t="str">
        <f t="shared" si="236"/>
        <v>-</v>
      </c>
      <c r="BD265" s="336" t="str">
        <f t="shared" si="25"/>
        <v>Patdeep: 'xoxxoxo' + 'xoxoxx'</v>
      </c>
      <c r="BE265" s="337">
        <f>IFERROR(__xludf.DUMMYFUNCTION("COUNTUNIQUE(FILTER(AT:AT,REGEXMATCH(AT:AT,AS265)))-1"),4.0)</f>
        <v>4</v>
      </c>
      <c r="BF265" s="261" t="str">
        <f>IFERROR(__xludf.DUMMYFUNCTION("IF(BI265=0,""(n/a)"",IF(BJ265=2,""(PAIR)"",IF(REGEXMATCH(AT265,""xoxoxxoxoxox""),""Bilawal"",IF(REGEXMATCH(AT265,""xoxoxooxoxoo""),""Bhupali"",IF(REGEXMATCH(AT265,""xoxoxxoxxoxo""),""Charukeshi"",IF(REGEXMATCH(AT265,""xoxoooxxoxxo""),""Kameshwari"",IF(REG"&amp;"EXMATCH(AT265,""xoxoxooxoxox""),""Shankara"",IF(REGEXMATCH(AT265,""xxooxoxxxoox""),""Basant"",IF(REGEXMATCH(AT265,""xoxoxxxxoxox""),""Bihag"",IF(REGEXMATCH(AT265,""xoxxxxoxoxxx""),""Pilu"",IF(REGEXMATCH(AT265,""xoxxoxoxxoox""),""Kirwani"",IF(REGEXMATCH(AT"&amp;"265,""xoxxoxoxoxxx""),""Mk.Malhar"",IF(REGEXMATCH(AT265,""xxooxxoxxoox""),""Bhairav"",IF(REGEXMATCH(AT265,""xxoxooxxxoox""),""Todi"",IF(REGEXMATCH(AT265,""xxooxoxooxox""),""Marwa"",IF(REGEXMATCH(AT265,""xxoooxoxxooo""),""Gunkali"",IF(REGEXMATCH(AT265,""xo"&amp;"xoxxoxxoox""),""Nat Bhairav"",IF(REGEXMATCH(AT265,""xoxxoooxoxoo""),""Shivranjani"",IF(REGEXMATCH(AT265,""xooxxxoxooxo""),""Jog"",IF(REGEXMATCH(AT265,""xxooxoxoxoox""),""Hemshri"",IF(REGEXMATCH(AT265,""xoooxooxoxxo""),""Kalavati"",IF(REGEXMATCH(AT265,""xx"&amp;"oxoxxoxoox""),""Kedar"",IF(REGEXMATCH(AT265,""xoxxxxoxooxx""),""Gara"",IF(REGEXMATCH(AT265,""xooxoxooxoox""),""Chandrakauns"",IF(REGEXMATCH(AT265,""xoxxxxoxxxox""),""Mand"",IF(REGEXMATCH(AT265,""xoxxxxoxoxox""),""Hanskinkini"",IF(REGEXMATCH(AT265,""xxooxx"&amp;"oxooxo""),""Lilavati"",IF(REGEXMATCH(AT265,""xooxoxoooxox""),""Rajeshwari"",IF(REGEXMATCH(AT265,""xoooxxoxoxxx""),""Khokar"",IF(REGEXMATCH(AT265,""xxooxoxxxxox""),""Maligoura"",""-""))))))))))))))))))))))))))))))"),"Charukeshi")</f>
        <v>Charukeshi</v>
      </c>
      <c r="BG265" s="239" t="str">
        <f t="shared" si="26"/>
        <v>#REF!</v>
      </c>
      <c r="BH265" s="239">
        <f>IFERROR(__xludf.DUMMYFUNCTION("COUNTUNIQUE(FE265:FO265)-1"),6.0)</f>
        <v>6</v>
      </c>
      <c r="BI265" s="239">
        <f>IFERROR(__xludf.DUMMYFUNCTION("COUNTUNIQUE(FILTER(AT:AT,REGEXMATCH(AT:AT,AS265)))-1"),4.0)</f>
        <v>4</v>
      </c>
      <c r="BJ265" s="239">
        <f>IFERROR(__xludf.DUMMYFUNCTION("COUNTA(FILTER(AT:AT,REGEXMATCH(AT:AT,AS265)))"),8.0)</f>
        <v>8</v>
      </c>
      <c r="BK265" s="341">
        <f>IFERROR(__xludf.DUMMYFUNCTION("COUNTA(FILTER(AT:AT,REGEXMATCH(AT:AT,AS265)))-AR265"),8.0)</f>
        <v>8</v>
      </c>
      <c r="BL265" s="276" t="str">
        <f>IFERROR(__xludf.DUMMYFUNCTION("IF(AS265=""oooooooooooo"",""-"",IF(REGEXMATCH(AT265,""xx""), ""Hemi."", ""Anhemi.""))"),"Hemi.")</f>
        <v>Hemi.</v>
      </c>
      <c r="BM265" s="282" t="str">
        <f>IFERROR(__xludf.DUMMYFUNCTION("IF(AS265=""oooooooooooo"",""-"",IF(REGEXMATCH(AT265,""xxx""), ""Cohem."", ""-""))"),"-")</f>
        <v>-</v>
      </c>
      <c r="BN265" s="282" t="str">
        <f>IFERROR(__xludf.DUMMYFUNCTION("IF(AS265=""oooooooooooo"",""-"",IF(REGEXMATCH(AT265,""xxxx""), ""Co-Co."", ""-""))"),"-")</f>
        <v>-</v>
      </c>
      <c r="BO265" s="342" t="str">
        <f>IFERROR(__xludf.DUMMYFUNCTION("IF(AS265=""oooooooooooo"",""-"",IF(REGEXMATCH(AT265,""xxxxx""), ""CCC."", ""-""))"),"-")</f>
        <v>-</v>
      </c>
      <c r="BP265" s="344" t="str">
        <f t="shared" si="27"/>
        <v>-</v>
      </c>
      <c r="BQ265" s="282" t="str">
        <f>IFERROR(__xludf.DUMMYFUNCTION("IF(REGEXMATCH(JOIN(""-"",EU265:FD265),""TRUE""),""✔"",""-"")"),"-")</f>
        <v>-</v>
      </c>
      <c r="BR265" s="225">
        <f t="shared" si="28"/>
        <v>0</v>
      </c>
      <c r="BS265" s="345" t="str">
        <f>IFERROR(__xludf.DUMMYFUNCTION("SUBSTITUTE(SUBSTITUTE(SUBSTITUTE(SUBSTITUTE(CONCATENATE(JOIN(""-"",GC265:GO265)),""--"",""-""),""--"",""-""),""--"",""-""),""--"",""-"")"),"1-2-b3-4-5-6-7-8")</f>
        <v>1-2-b3-4-5-6-7-8</v>
      </c>
      <c r="BT265" s="299" t="str">
        <f>IFERROR(__xludf.DUMMYFUNCTION("SUBSTITUTE(SUBSTITUTE(SUBSTITUTE(SUBSTITUTE(CONCATENATE(JOIN(""-"",GP265:HB265)),""--"",""-""),""--"",""-""),""--"",""-""),""--"",""-"")"),"S-R2-G2-M1-P-D2-N3-S")</f>
        <v>S-R2-G2-M1-P-D2-N3-S</v>
      </c>
      <c r="BU265" s="348" t="str">
        <f t="shared" si="29"/>
        <v>C-D-Eb-F-G-A-B-C</v>
      </c>
      <c r="BV265" s="349" t="str">
        <f t="shared" si="30"/>
        <v>SrGMdnS</v>
      </c>
      <c r="BW265" s="350">
        <f t="shared" si="31"/>
        <v>0</v>
      </c>
      <c r="BX265" s="351">
        <f t="shared" si="32"/>
        <v>1</v>
      </c>
      <c r="BY265" s="392"/>
      <c r="BZ265" s="309" t="str">
        <f>IFERROR(__xludf.DUMMYFUNCTION("IF(REGEXMATCH(C265, ""S""), ""x"",""x"")"),"x")</f>
        <v>x</v>
      </c>
      <c r="CA265" s="245" t="str">
        <f>IFERROR(__xludf.DUMMYFUNCTION("IF(REGEXMATCH(C265, ""r""), ""o"",""x"")"),"x")</f>
        <v>x</v>
      </c>
      <c r="CB265" s="246" t="str">
        <f>IFERROR(__xludf.DUMMYFUNCTION("IF(REGEXMATCH(C265, ""R""), ""o"",""x"")"),"o")</f>
        <v>o</v>
      </c>
      <c r="CC265" s="246" t="str">
        <f>IFERROR(__xludf.DUMMYFUNCTION("IF(REGEXMATCH(C265, ""g""), ""o"",""x"")"),"o")</f>
        <v>o</v>
      </c>
      <c r="CD265" s="245" t="str">
        <f>IFERROR(__xludf.DUMMYFUNCTION("IF(REGEXMATCH(C265, ""G""), ""o"",""x"")"),"x")</f>
        <v>x</v>
      </c>
      <c r="CE265" s="245" t="str">
        <f>IFERROR(__xludf.DUMMYFUNCTION("IF(REGEXMATCH(C265, ""m""), ""o"",""x"")"),"o")</f>
        <v>o</v>
      </c>
      <c r="CF265" s="246" t="str">
        <f>IFERROR(__xludf.DUMMYFUNCTION("IF(REGEXMATCH(C265, ""M""), ""o"",""x"")"),"x")</f>
        <v>x</v>
      </c>
      <c r="CG265" s="245" t="str">
        <f>IFERROR(__xludf.DUMMYFUNCTION("IF(REGEXMATCH(C265, ""P""), ""o"",""x"")"),"o")</f>
        <v>o</v>
      </c>
      <c r="CH265" s="246" t="str">
        <f>IFERROR(__xludf.DUMMYFUNCTION("IF(REGEXMATCH(C265, ""d""), ""o"",""x"")"),"x")</f>
        <v>x</v>
      </c>
      <c r="CI265" s="245" t="str">
        <f>IFERROR(__xludf.DUMMYFUNCTION("IF(REGEXMATCH(C265, ""D""), ""o"",""x"")"),"o")</f>
        <v>o</v>
      </c>
      <c r="CJ265" s="245" t="str">
        <f>IFERROR(__xludf.DUMMYFUNCTION("IF(REGEXMATCH(C265, ""n""), ""o"",""x"")"),"x")</f>
        <v>x</v>
      </c>
      <c r="CK265" s="245" t="str">
        <f>IFERROR(__xludf.DUMMYFUNCTION("IF(REGEXMATCH(C265, ""N""), ""o"",""x"")"),"o")</f>
        <v>o</v>
      </c>
      <c r="CL265" s="356" t="str">
        <f>IFERROR(__xludf.DUMMYFUNCTION("IF(REGEXMATCH(C265, ""S""), ""x"",""x"")"),"x")</f>
        <v>x</v>
      </c>
      <c r="CM265" s="357" t="str">
        <f t="shared" si="33"/>
        <v>xxooxoxoxoxo</v>
      </c>
      <c r="CN265" s="358">
        <f t="shared" si="34"/>
        <v>0</v>
      </c>
      <c r="CO265" s="246" t="str">
        <f>IFERROR(__xludf.DUMMYFUNCTION("IF(REGEXMATCH($C265, ""S""), ""S"",""S"")"),"S")</f>
        <v>S</v>
      </c>
      <c r="CP265" s="246" t="str">
        <f>IFERROR(__xludf.DUMMYFUNCTION("IF(REGEXMATCH($C265, ""r""), """",""r"")"),"r")</f>
        <v>r</v>
      </c>
      <c r="CQ265" s="246" t="str">
        <f>IFERROR(__xludf.DUMMYFUNCTION("IF(REGEXMATCH($C265, ""R""), """",""R"")"),"")</f>
        <v/>
      </c>
      <c r="CR265" s="246" t="str">
        <f>IFERROR(__xludf.DUMMYFUNCTION("IF(REGEXMATCH($C265, ""g""), """",""g"")"),"")</f>
        <v/>
      </c>
      <c r="CS265" s="246" t="str">
        <f>IFERROR(__xludf.DUMMYFUNCTION("IF(REGEXMATCH($C265, ""G""), """",""G"")"),"G")</f>
        <v>G</v>
      </c>
      <c r="CT265" s="246" t="str">
        <f>IFERROR(__xludf.DUMMYFUNCTION("IF(REGEXMATCH($C265, ""m""), """",""m"")"),"")</f>
        <v/>
      </c>
      <c r="CU265" s="246" t="str">
        <f>IFERROR(__xludf.DUMMYFUNCTION("IF(REGEXMATCH($C265, ""M""), """",""M"")"),"M")</f>
        <v>M</v>
      </c>
      <c r="CV265" s="246" t="str">
        <f>IFERROR(__xludf.DUMMYFUNCTION("IF(REGEXMATCH($C265, ""P""), """",""P"")"),"")</f>
        <v/>
      </c>
      <c r="CW265" s="246" t="str">
        <f>IFERROR(__xludf.DUMMYFUNCTION("IF(REGEXMATCH($C265, ""d""), """",""d"")"),"d")</f>
        <v>d</v>
      </c>
      <c r="CX265" s="246" t="str">
        <f>IFERROR(__xludf.DUMMYFUNCTION("IF(REGEXMATCH($C265, ""D""), """",""D"")"),"")</f>
        <v/>
      </c>
      <c r="CY265" s="246" t="str">
        <f>IFERROR(__xludf.DUMMYFUNCTION("IF(REGEXMATCH($C265, ""n""), """",""n"")"),"n")</f>
        <v>n</v>
      </c>
      <c r="CZ265" s="246" t="str">
        <f>IFERROR(__xludf.DUMMYFUNCTION("IF(REGEXMATCH($C265, ""N""), """",""N"")"),"")</f>
        <v/>
      </c>
      <c r="DA265" s="246" t="str">
        <f>IFERROR(__xludf.DUMMYFUNCTION("IF(REGEXMATCH($C265, ""S""), ""S"",""S"")"),"S")</f>
        <v>S</v>
      </c>
      <c r="DB265" s="362" t="str">
        <f>IFERROR(__xludf.DUMMYFUNCTION("JOIN("""",CO265:DA265,"""","""")"),"SrGMdnS")</f>
        <v>SrGMdnS</v>
      </c>
      <c r="DC265" s="363"/>
      <c r="DD265" s="301" t="str">
        <f t="shared" si="35"/>
        <v>#REF!</v>
      </c>
      <c r="DE265" s="302" t="str">
        <f t="shared" si="36"/>
        <v>#REF!</v>
      </c>
      <c r="DF265" s="301" t="str">
        <f t="shared" ref="DF265:DG265" si="752">SUBSTITUTE(S265,"-","")</f>
        <v>SRGM</v>
      </c>
      <c r="DG265" s="301" t="str">
        <f t="shared" si="752"/>
        <v>PDNS</v>
      </c>
      <c r="DH265" s="302" t="str">
        <f t="shared" si="38"/>
        <v>Charukeshi</v>
      </c>
      <c r="DI265" s="301" t="str">
        <f t="shared" si="39"/>
        <v>Hemi.</v>
      </c>
      <c r="DJ265" s="364" t="str">
        <f t="shared" si="40"/>
        <v>-</v>
      </c>
      <c r="DK265" s="306" t="str">
        <f t="shared" si="41"/>
        <v>-</v>
      </c>
      <c r="DL265" s="366" t="str">
        <f t="shared" si="42"/>
        <v>-</v>
      </c>
      <c r="DM265" s="308" t="str">
        <f t="shared" si="43"/>
        <v>✔</v>
      </c>
      <c r="DN265" s="306" t="str">
        <f t="shared" si="44"/>
        <v>-</v>
      </c>
      <c r="DO265" s="306" t="str">
        <f t="shared" si="45"/>
        <v>-</v>
      </c>
      <c r="DP265" s="367" t="str">
        <f t="shared" si="46"/>
        <v>-</v>
      </c>
      <c r="DQ265" s="310" t="str">
        <f t="shared" si="47"/>
        <v>-</v>
      </c>
      <c r="DR265" s="310" t="str">
        <f t="shared" si="48"/>
        <v>-</v>
      </c>
      <c r="DS265" s="310" t="str">
        <f t="shared" si="49"/>
        <v>-</v>
      </c>
      <c r="DT265" s="310" t="str">
        <f t="shared" si="50"/>
        <v>-</v>
      </c>
      <c r="DU265" s="370" t="str">
        <f t="shared" si="51"/>
        <v>-</v>
      </c>
      <c r="DV265" s="306" t="str">
        <f t="shared" si="52"/>
        <v>-</v>
      </c>
      <c r="DW265" s="306" t="str">
        <f t="shared" si="53"/>
        <v>-</v>
      </c>
      <c r="DX265" s="306" t="str">
        <f t="shared" si="54"/>
        <v>-</v>
      </c>
      <c r="DY265" s="306" t="str">
        <f t="shared" si="55"/>
        <v>-</v>
      </c>
      <c r="DZ265" s="306" t="str">
        <f t="shared" si="56"/>
        <v>-</v>
      </c>
      <c r="EA265" s="367" t="str">
        <f t="shared" si="57"/>
        <v>-</v>
      </c>
      <c r="EB265" s="310" t="str">
        <f>IFERROR(__xludf.DUMMYFUNCTION("IF(REGEXMATCH(AW265,AS265),""✔"",""-"")"),"✔")</f>
        <v>✔</v>
      </c>
      <c r="EC265" s="310" t="str">
        <f t="shared" si="58"/>
        <v>#REF!</v>
      </c>
      <c r="ED265" s="370" t="str">
        <f t="shared" si="59"/>
        <v>-</v>
      </c>
      <c r="EE265" s="340" t="str">
        <f t="shared" si="60"/>
        <v>S-R-g-m-P-D-N-S</v>
      </c>
      <c r="EF265" s="371" t="str">
        <f>IFERROR(__xludf.DUMMYFUNCTION("CONCATENATE(JOIN("""",HC265:HO265))"),"SrgmPDnS")</f>
        <v>SrgmPDnS</v>
      </c>
      <c r="EG265" s="372">
        <f t="shared" si="61"/>
        <v>3</v>
      </c>
      <c r="EH265" s="373" t="str">
        <f>IFERROR(__xludf.DUMMYFUNCTION("CONCATENATE(JOIN("""",JC265:JO265))"),"ga, Dha, Ni, ")</f>
        <v>ga, Dha, Ni, </v>
      </c>
      <c r="EI265" s="322">
        <f t="shared" si="62"/>
        <v>2</v>
      </c>
      <c r="EJ265" s="374" t="str">
        <f>IFERROR(__xludf.DUMMYFUNCTION("CONCATENATE(JOIN("""",KC265:KO265))"),"ga, Ni, ")</f>
        <v>ga, Ni, </v>
      </c>
      <c r="EK265" s="325" t="str">
        <f t="shared" si="63"/>
        <v>S-R2-G2-M1-P-D2-N3-S</v>
      </c>
      <c r="EL265" s="326" t="str">
        <f t="shared" si="64"/>
        <v>1-2-b3-4-5-6-7-8</v>
      </c>
      <c r="EM265" s="318" t="str">
        <f t="shared" si="65"/>
        <v>#REF!</v>
      </c>
      <c r="EN265" s="328" t="str">
        <f>IFERROR(__xludf.DUMMYFUNCTION("SUBSTITUTE(SUBSTITUTE(SUBSTITUTE(SUBSTITUTE(CONCATENATE(JOIN("" "",HP265:IB265)),""  "","" ""),""  "","" ""),""  "","" ""),""  "","" "")"),"o • o o • o • o • o • o o")</f>
        <v>o • o o • o • o • o • o o</v>
      </c>
      <c r="EO265" s="368" t="str">
        <f t="shared" si="66"/>
        <v>-</v>
      </c>
      <c r="EP265" s="339" t="str">
        <f t="shared" si="67"/>
        <v>-</v>
      </c>
      <c r="EQ265" s="339" t="str">
        <f t="shared" si="68"/>
        <v>Sa-Pa</v>
      </c>
      <c r="ER265" s="339" t="str">
        <f t="shared" si="69"/>
        <v>-</v>
      </c>
      <c r="ES265" s="340" t="str">
        <f t="shared" si="70"/>
        <v>-</v>
      </c>
      <c r="ET265" s="363"/>
      <c r="EU265" s="376" t="b">
        <f>IFERROR(__xludf.DUMMYFUNCTION("arrayformula(sum(--REGEXMATCH(""SRGMPDNS"",split(REGEXREPLACE(C265,""(.)"",""$1~""),""~""))))=len(C265)
"),FALSE)</f>
        <v>0</v>
      </c>
      <c r="EV265" s="290" t="b">
        <f>IFERROR(__xludf.DUMMYFUNCTION("arrayformula(sum(--REGEXMATCH(""SRGmPDNS"",split(REGEXREPLACE(C265,""(.)"",""$1~""),""~""))))=len(C265)"),FALSE)</f>
        <v>0</v>
      </c>
      <c r="EW265" s="290" t="b">
        <f>IFERROR(__xludf.DUMMYFUNCTION("arrayformula(sum(--REGEXMATCH(""SRGmPDnS"",split(REGEXREPLACE(C265,""(.)"",""$1~""),""~""))))=len(C265)"),FALSE)</f>
        <v>0</v>
      </c>
      <c r="EX265" s="290" t="b">
        <f>IFERROR(__xludf.DUMMYFUNCTION("arrayformula(sum(--REGEXMATCH(""SRgmPDnS"",split(REGEXREPLACE(C265,""(.)"",""$1~""),""~""))))=len(C265)"),FALSE)</f>
        <v>0</v>
      </c>
      <c r="EY265" s="290" t="b">
        <f>IFERROR(__xludf.DUMMYFUNCTION("arrayformula(sum(--REGEXMATCH(""SRgmPdnS"",split(REGEXREPLACE(C265,""(.)"",""$1~""),""~""))))=len(C265)"),FALSE)</f>
        <v>0</v>
      </c>
      <c r="EZ265" s="290" t="b">
        <f>IFERROR(__xludf.DUMMYFUNCTION("arrayformula(sum(--REGEXMATCH(""SrgmPdnS"",split(REGEXREPLACE(C265,""(.)"",""$1~""),""~""))))=len(C265)"),FALSE)</f>
        <v>0</v>
      </c>
      <c r="FA265" s="290" t="b">
        <f>IFERROR(__xludf.DUMMYFUNCTION("arrayformula(sum(--REGEXMATCH(""SrGmPdNS"",split(REGEXREPLACE(C265,""(.)"",""$1~""),""~""))))=len(C265)"),FALSE)</f>
        <v>0</v>
      </c>
      <c r="FB265" s="290" t="b">
        <f>IFERROR(__xludf.DUMMYFUNCTION("arrayformula(sum(--REGEXMATCH(""SrGMPDNS"",split(REGEXREPLACE(C265,""(.)"",""$1~""),""~""))))=len(C265)"),FALSE)</f>
        <v>0</v>
      </c>
      <c r="FC265" s="290" t="b">
        <f>IFERROR(__xludf.DUMMYFUNCTION("arrayformula(sum(--REGEXMATCH(""SrGMPdNS"",split(REGEXREPLACE(C265,""(.)"",""$1~""),""~""))))=len(C265)"),FALSE)</f>
        <v>0</v>
      </c>
      <c r="FD265" s="377" t="b">
        <f>IFERROR(__xludf.DUMMYFUNCTION("arrayformula(sum(--REGEXMATCH(""SrgMPdNS"",split(REGEXREPLACE(C265,""(.)"",""$1~""),""~""))))=len(C265)"),FALSE)</f>
        <v>0</v>
      </c>
      <c r="FE265" s="269" t="str">
        <f t="shared" si="71"/>
        <v>-</v>
      </c>
      <c r="FF265" s="269" t="str">
        <f t="shared" si="72"/>
        <v>xxoxoxoxoxx</v>
      </c>
      <c r="FG265" s="271" t="str">
        <f t="shared" si="73"/>
        <v>xoxoxoxoxxo</v>
      </c>
      <c r="FH265" s="269" t="str">
        <f t="shared" si="74"/>
        <v>-</v>
      </c>
      <c r="FI265" s="271" t="str">
        <f t="shared" si="75"/>
        <v>xoxoxoxxoxx</v>
      </c>
      <c r="FJ265" s="271" t="str">
        <f t="shared" si="76"/>
        <v>-</v>
      </c>
      <c r="FK265" s="271" t="str">
        <f t="shared" si="77"/>
        <v>xoxoxxoxxox</v>
      </c>
      <c r="FL265" s="271" t="str">
        <f t="shared" si="78"/>
        <v>-</v>
      </c>
      <c r="FM265" s="271" t="str">
        <f t="shared" si="79"/>
        <v>xoxxoxxoxox</v>
      </c>
      <c r="FN265" s="271" t="str">
        <f t="shared" si="80"/>
        <v>-</v>
      </c>
      <c r="FO265" s="274" t="str">
        <f t="shared" si="81"/>
        <v>xxoxxoxoxox</v>
      </c>
      <c r="FP265" s="234" t="str">
        <f t="shared" si="82"/>
        <v>|</v>
      </c>
      <c r="FQ265" s="236" t="str">
        <f t="shared" si="83"/>
        <v>-</v>
      </c>
      <c r="FR265" s="237" t="str">
        <f t="shared" si="84"/>
        <v>|</v>
      </c>
      <c r="FS265" s="236" t="str">
        <f t="shared" si="85"/>
        <v>|</v>
      </c>
      <c r="FT265" s="237" t="str">
        <f t="shared" si="86"/>
        <v>-</v>
      </c>
      <c r="FU265" s="236" t="str">
        <f t="shared" si="87"/>
        <v>|</v>
      </c>
      <c r="FV265" s="237" t="str">
        <f t="shared" si="88"/>
        <v>-</v>
      </c>
      <c r="FW265" s="236" t="str">
        <f t="shared" si="89"/>
        <v>|</v>
      </c>
      <c r="FX265" s="237" t="str">
        <f t="shared" si="90"/>
        <v>-</v>
      </c>
      <c r="FY265" s="236" t="str">
        <f t="shared" si="91"/>
        <v>|</v>
      </c>
      <c r="FZ265" s="237" t="str">
        <f t="shared" si="92"/>
        <v>-</v>
      </c>
      <c r="GA265" s="236" t="str">
        <f t="shared" si="93"/>
        <v>|</v>
      </c>
      <c r="GB265" s="238" t="str">
        <f t="shared" si="94"/>
        <v>|</v>
      </c>
      <c r="GC265" s="244" t="str">
        <f>IFERROR(__xludf.DUMMYFUNCTION("IF(REGEXMATCH(C265, ""S""), ""1"","""")"),"1")</f>
        <v>1</v>
      </c>
      <c r="GD265" s="245" t="str">
        <f>IFERROR(__xludf.DUMMYFUNCTION("IF(REGEXMATCH(C265, ""r""), ""b2"","""")"),"")</f>
        <v/>
      </c>
      <c r="GE265" s="246" t="str">
        <f>IFERROR(__xludf.DUMMYFUNCTION("IF(REGEXMATCH(C265, ""R""), ""2"","""")"),"2")</f>
        <v>2</v>
      </c>
      <c r="GF265" s="246" t="str">
        <f>IFERROR(__xludf.DUMMYFUNCTION("IF(REGEXMATCH(C265, ""g""), ""b3"","""")"),"b3")</f>
        <v>b3</v>
      </c>
      <c r="GG265" s="245" t="str">
        <f>IFERROR(__xludf.DUMMYFUNCTION("IF(REGEXMATCH(C265, ""G""), ""3"","""")"),"")</f>
        <v/>
      </c>
      <c r="GH265" s="245" t="str">
        <f>IFERROR(__xludf.DUMMYFUNCTION("IF(REGEXMATCH(C265, ""m""), ""4"","""")"),"4")</f>
        <v>4</v>
      </c>
      <c r="GI265" s="246" t="str">
        <f>IFERROR(__xludf.DUMMYFUNCTION("IF(REGEXMATCH(C265, ""M""), ""#4"","""")"),"")</f>
        <v/>
      </c>
      <c r="GJ265" s="245" t="str">
        <f>IFERROR(__xludf.DUMMYFUNCTION("IF(REGEXMATCH(C265, ""P""), ""5"","""")"),"5")</f>
        <v>5</v>
      </c>
      <c r="GK265" s="246" t="str">
        <f>IFERROR(__xludf.DUMMYFUNCTION("IF(REGEXMATCH(C265, ""d""), ""b6"","""")"),"")</f>
        <v/>
      </c>
      <c r="GL265" s="245" t="str">
        <f>IFERROR(__xludf.DUMMYFUNCTION("IF(REGEXMATCH(C265, ""D""), ""6"","""")"),"6")</f>
        <v>6</v>
      </c>
      <c r="GM265" s="245" t="str">
        <f>IFERROR(__xludf.DUMMYFUNCTION("IF(REGEXMATCH(C265, ""n""), ""b7"","""")"),"")</f>
        <v/>
      </c>
      <c r="GN265" s="246" t="str">
        <f>IFERROR(__xludf.DUMMYFUNCTION("IF(REGEXMATCH(C265, ""N""), ""7"","""")"),"7")</f>
        <v>7</v>
      </c>
      <c r="GO265" s="249" t="str">
        <f>IFERROR(__xludf.DUMMYFUNCTION("IF(REGEXMATCH(C265, ""S""), ""8"","""")"),"8")</f>
        <v>8</v>
      </c>
      <c r="GP265" s="244" t="str">
        <f>IFERROR(__xludf.DUMMYFUNCTION("IF(REGEXMATCH(C265, ""S""), ""S"","""")"),"S")</f>
        <v>S</v>
      </c>
      <c r="GQ265" s="294" t="str">
        <f>IFERROR(__xludf.DUMMYFUNCTION("IF(REGEXMATCH(C265, ""r""), ""R1"","""")"),"")</f>
        <v/>
      </c>
      <c r="GR265" s="295" t="str">
        <f>IFERROR(__xludf.DUMMYFUNCTION("IF(REGEXMATCH(C265, ""R""), ""R2"","""")"),"R2")</f>
        <v>R2</v>
      </c>
      <c r="GS265" s="295" t="str">
        <f>IFERROR(__xludf.DUMMYFUNCTION("IF(REGEXMATCH(C265, ""g""), ""G2"","""")"),"G2")</f>
        <v>G2</v>
      </c>
      <c r="GT265" s="294" t="str">
        <f>IFERROR(__xludf.DUMMYFUNCTION("IF(REGEXMATCH(C265, ""G""), ""G3"","""")"),"")</f>
        <v/>
      </c>
      <c r="GU265" s="294" t="str">
        <f>IFERROR(__xludf.DUMMYFUNCTION("IF(REGEXMATCH(C265, ""m""), ""M1"","""")"),"M1")</f>
        <v>M1</v>
      </c>
      <c r="GV265" s="295" t="str">
        <f>IFERROR(__xludf.DUMMYFUNCTION("IF(REGEXMATCH(C265, ""M""), ""M2"","""")"),"")</f>
        <v/>
      </c>
      <c r="GW265" s="294" t="str">
        <f>IFERROR(__xludf.DUMMYFUNCTION("IF(REGEXMATCH(C265, ""P""), ""P"","""")"),"P")</f>
        <v>P</v>
      </c>
      <c r="GX265" s="295" t="str">
        <f>IFERROR(__xludf.DUMMYFUNCTION("IF(REGEXMATCH(C265, ""d""), ""D1"","""")"),"")</f>
        <v/>
      </c>
      <c r="GY265" s="294" t="str">
        <f>IFERROR(__xludf.DUMMYFUNCTION("IF(REGEXMATCH(C265, ""D""), ""D2"","""")"),"D2")</f>
        <v>D2</v>
      </c>
      <c r="GZ265" s="294" t="str">
        <f>IFERROR(__xludf.DUMMYFUNCTION("IF(REGEXMATCH(C265, ""n""), ""N2"","""")"),"")</f>
        <v/>
      </c>
      <c r="HA265" s="295" t="str">
        <f>IFERROR(__xludf.DUMMYFUNCTION("IF(REGEXMATCH(C265, ""N""), ""N3"","""")"),"N3")</f>
        <v>N3</v>
      </c>
      <c r="HB265" s="249" t="str">
        <f>IFERROR(__xludf.DUMMYFUNCTION("IF(REGEXMATCH(C265, ""S""), ""S"","""")"),"S")</f>
        <v>S</v>
      </c>
      <c r="HC265" s="331" t="str">
        <f t="shared" si="95"/>
        <v>S</v>
      </c>
      <c r="HD265" s="332" t="str">
        <f t="shared" si="96"/>
        <v>r</v>
      </c>
      <c r="HE265" s="332" t="str">
        <f t="shared" si="97"/>
        <v/>
      </c>
      <c r="HF265" s="332" t="str">
        <f t="shared" si="98"/>
        <v>g</v>
      </c>
      <c r="HG265" s="332" t="str">
        <f t="shared" si="99"/>
        <v/>
      </c>
      <c r="HH265" s="332" t="str">
        <f t="shared" si="100"/>
        <v>m</v>
      </c>
      <c r="HI265" s="332" t="str">
        <f t="shared" si="101"/>
        <v/>
      </c>
      <c r="HJ265" s="332" t="str">
        <f t="shared" si="102"/>
        <v>P</v>
      </c>
      <c r="HK265" s="332" t="str">
        <f t="shared" si="103"/>
        <v/>
      </c>
      <c r="HL265" s="332" t="str">
        <f t="shared" si="104"/>
        <v>D</v>
      </c>
      <c r="HM265" s="332" t="str">
        <f t="shared" si="105"/>
        <v>n</v>
      </c>
      <c r="HN265" s="332" t="str">
        <f t="shared" si="106"/>
        <v/>
      </c>
      <c r="HO265" s="343" t="str">
        <f t="shared" si="107"/>
        <v>S</v>
      </c>
      <c r="HP265" s="331" t="str">
        <f t="shared" si="108"/>
        <v>o</v>
      </c>
      <c r="HQ265" s="332" t="str">
        <f t="shared" si="109"/>
        <v>•</v>
      </c>
      <c r="HR265" s="332" t="str">
        <f t="shared" si="110"/>
        <v>o</v>
      </c>
      <c r="HS265" s="332" t="str">
        <f t="shared" si="111"/>
        <v>o</v>
      </c>
      <c r="HT265" s="332" t="str">
        <f t="shared" si="112"/>
        <v>•</v>
      </c>
      <c r="HU265" s="332" t="str">
        <f t="shared" si="113"/>
        <v>o</v>
      </c>
      <c r="HV265" s="332" t="str">
        <f t="shared" si="114"/>
        <v>•</v>
      </c>
      <c r="HW265" s="332" t="str">
        <f t="shared" si="115"/>
        <v>o</v>
      </c>
      <c r="HX265" s="332" t="str">
        <f t="shared" si="116"/>
        <v>•</v>
      </c>
      <c r="HY265" s="332" t="str">
        <f t="shared" si="117"/>
        <v>o</v>
      </c>
      <c r="HZ265" s="332" t="str">
        <f t="shared" si="118"/>
        <v>•</v>
      </c>
      <c r="IA265" s="332" t="str">
        <f t="shared" si="119"/>
        <v>o</v>
      </c>
      <c r="IB265" s="338" t="str">
        <f t="shared" si="120"/>
        <v>o</v>
      </c>
      <c r="IC265" s="331" t="str">
        <f t="shared" si="121"/>
        <v>•</v>
      </c>
      <c r="ID265" s="332" t="str">
        <f t="shared" si="122"/>
        <v>o</v>
      </c>
      <c r="IE265" s="332" t="str">
        <f t="shared" si="123"/>
        <v>•</v>
      </c>
      <c r="IF265" s="332" t="str">
        <f t="shared" si="124"/>
        <v>•</v>
      </c>
      <c r="IG265" s="332" t="str">
        <f t="shared" si="125"/>
        <v>o</v>
      </c>
      <c r="IH265" s="332" t="str">
        <f t="shared" si="126"/>
        <v>•</v>
      </c>
      <c r="II265" s="332" t="str">
        <f t="shared" si="127"/>
        <v>o</v>
      </c>
      <c r="IJ265" s="332" t="str">
        <f t="shared" si="128"/>
        <v>•</v>
      </c>
      <c r="IK265" s="332" t="str">
        <f t="shared" si="129"/>
        <v>o</v>
      </c>
      <c r="IL265" s="332" t="str">
        <f t="shared" si="130"/>
        <v>•</v>
      </c>
      <c r="IM265" s="332" t="str">
        <f t="shared" si="131"/>
        <v>o</v>
      </c>
      <c r="IN265" s="332" t="str">
        <f t="shared" si="132"/>
        <v>•</v>
      </c>
      <c r="IO265" s="338" t="str">
        <f t="shared" si="133"/>
        <v>•</v>
      </c>
      <c r="IP265" s="346" t="b">
        <f t="shared" si="134"/>
        <v>0</v>
      </c>
      <c r="IQ265" s="347" t="b">
        <f t="shared" si="135"/>
        <v>0</v>
      </c>
      <c r="IR265" s="347" t="b">
        <f t="shared" si="136"/>
        <v>0</v>
      </c>
      <c r="IS265" s="347" t="b">
        <f t="shared" si="137"/>
        <v>1</v>
      </c>
      <c r="IT265" s="347" t="b">
        <f t="shared" si="138"/>
        <v>0</v>
      </c>
      <c r="IU265" s="347" t="b">
        <f t="shared" si="139"/>
        <v>0</v>
      </c>
      <c r="IV265" s="347" t="b">
        <f t="shared" si="140"/>
        <v>0</v>
      </c>
      <c r="IW265" s="347" t="b">
        <f t="shared" si="141"/>
        <v>0</v>
      </c>
      <c r="IX265" s="347" t="b">
        <f t="shared" si="142"/>
        <v>0</v>
      </c>
      <c r="IY265" s="347" t="b">
        <f t="shared" si="143"/>
        <v>1</v>
      </c>
      <c r="IZ265" s="347" t="b">
        <f t="shared" si="144"/>
        <v>0</v>
      </c>
      <c r="JA265" s="347" t="b">
        <f t="shared" si="145"/>
        <v>1</v>
      </c>
      <c r="JB265" s="353" t="b">
        <f t="shared" si="146"/>
        <v>0</v>
      </c>
      <c r="JC265" s="354" t="str">
        <f t="shared" si="147"/>
        <v/>
      </c>
      <c r="JD265" s="355" t="str">
        <f t="shared" si="148"/>
        <v/>
      </c>
      <c r="JE265" s="355" t="str">
        <f t="shared" si="149"/>
        <v/>
      </c>
      <c r="JF265" s="355" t="str">
        <f t="shared" si="150"/>
        <v>ga, </v>
      </c>
      <c r="JG265" s="355" t="str">
        <f t="shared" si="151"/>
        <v/>
      </c>
      <c r="JH265" s="355" t="str">
        <f t="shared" si="152"/>
        <v/>
      </c>
      <c r="JI265" s="355" t="str">
        <f t="shared" si="153"/>
        <v/>
      </c>
      <c r="JJ265" s="355" t="str">
        <f t="shared" si="154"/>
        <v/>
      </c>
      <c r="JK265" s="355" t="str">
        <f t="shared" si="155"/>
        <v/>
      </c>
      <c r="JL265" s="355" t="str">
        <f t="shared" si="156"/>
        <v>Dha, </v>
      </c>
      <c r="JM265" s="355" t="str">
        <f t="shared" si="157"/>
        <v/>
      </c>
      <c r="JN265" s="355" t="str">
        <f t="shared" si="158"/>
        <v>Ni, </v>
      </c>
      <c r="JO265" s="359" t="str">
        <f t="shared" si="159"/>
        <v/>
      </c>
      <c r="JP265" s="346" t="b">
        <f t="shared" si="160"/>
        <v>0</v>
      </c>
      <c r="JQ265" s="347" t="b">
        <f t="shared" si="161"/>
        <v>0</v>
      </c>
      <c r="JR265" s="347" t="b">
        <f t="shared" si="162"/>
        <v>0</v>
      </c>
      <c r="JS265" s="347" t="b">
        <f t="shared" si="163"/>
        <v>1</v>
      </c>
      <c r="JT265" s="347" t="b">
        <f t="shared" si="164"/>
        <v>0</v>
      </c>
      <c r="JU265" s="347" t="b">
        <f t="shared" si="165"/>
        <v>0</v>
      </c>
      <c r="JV265" s="347" t="b">
        <f t="shared" si="166"/>
        <v>0</v>
      </c>
      <c r="JW265" s="347" t="b">
        <f t="shared" si="167"/>
        <v>0</v>
      </c>
      <c r="JX265" s="347" t="b">
        <f t="shared" si="168"/>
        <v>0</v>
      </c>
      <c r="JY265" s="347" t="b">
        <f t="shared" si="169"/>
        <v>0</v>
      </c>
      <c r="JZ265" s="347" t="b">
        <f t="shared" si="170"/>
        <v>0</v>
      </c>
      <c r="KA265" s="347" t="b">
        <f t="shared" si="171"/>
        <v>1</v>
      </c>
      <c r="KB265" s="365" t="b">
        <f t="shared" si="172"/>
        <v>0</v>
      </c>
      <c r="KC265" s="354" t="str">
        <f t="shared" si="173"/>
        <v/>
      </c>
      <c r="KD265" s="355" t="str">
        <f t="shared" si="174"/>
        <v/>
      </c>
      <c r="KE265" s="355" t="str">
        <f t="shared" si="175"/>
        <v/>
      </c>
      <c r="KF265" s="355" t="str">
        <f t="shared" si="176"/>
        <v>ga, </v>
      </c>
      <c r="KG265" s="355" t="str">
        <f t="shared" si="177"/>
        <v/>
      </c>
      <c r="KH265" s="355" t="str">
        <f t="shared" si="178"/>
        <v/>
      </c>
      <c r="KI265" s="355" t="str">
        <f t="shared" si="179"/>
        <v/>
      </c>
      <c r="KJ265" s="355" t="str">
        <f t="shared" si="180"/>
        <v/>
      </c>
      <c r="KK265" s="355" t="str">
        <f t="shared" si="181"/>
        <v/>
      </c>
      <c r="KL265" s="355" t="str">
        <f t="shared" si="182"/>
        <v/>
      </c>
      <c r="KM265" s="355" t="str">
        <f t="shared" si="183"/>
        <v/>
      </c>
      <c r="KN265" s="355" t="str">
        <f t="shared" si="184"/>
        <v>Ni, </v>
      </c>
      <c r="KO265" s="359"/>
      <c r="KP265" s="378"/>
      <c r="KQ265" s="379" t="s">
        <v>836</v>
      </c>
      <c r="KR265" s="380" t="s">
        <v>1468</v>
      </c>
      <c r="KS265" s="381" t="str">
        <f t="shared" si="750"/>
        <v>S-R-g-m-P-D-N-S</v>
      </c>
      <c r="KT265" s="382">
        <f t="shared" si="186"/>
        <v>7</v>
      </c>
      <c r="KU265" s="383">
        <f t="shared" si="187"/>
        <v>7</v>
      </c>
      <c r="KV265" s="381" t="str">
        <f t="shared" si="205"/>
        <v>S-N-D-P-m-g-R-S</v>
      </c>
      <c r="KW265" s="382">
        <f t="shared" si="189"/>
        <v>7</v>
      </c>
      <c r="KX265" s="384">
        <f t="shared" si="190"/>
        <v>7</v>
      </c>
      <c r="KY265" s="382">
        <f t="shared" ref="KY265:KZ265" si="753">KW265-KT265</f>
        <v>0</v>
      </c>
      <c r="KZ265" s="369">
        <f t="shared" si="753"/>
        <v>0</v>
      </c>
      <c r="LA265" s="385" t="str">
        <f t="shared" si="192"/>
        <v>✔</v>
      </c>
      <c r="LB265" s="340" t="str">
        <f>IFERROR(__xludf.DUMMYFUNCTION("JOIN("""",ArrayFormula(MID(KS265,LEN(KS265)-SEQUENCE(1,LEN(KS265))+1,1)))"),"S-N-D-P-m-g-R-S")</f>
        <v>S-N-D-P-m-g-R-S</v>
      </c>
      <c r="LC265" s="373" t="str">
        <f>IFERROR(__xludf.DUMMYFUNCTION("JOIN("""",ArrayFormula(MID(KV265,LEN(KV265)-SEQUENCE(1,LEN(KV265))+1,1)))"),"S-R-g-m-P-D-N-S")</f>
        <v>S-R-g-m-P-D-N-S</v>
      </c>
      <c r="LD265" s="373" t="str">
        <f t="shared" si="193"/>
        <v>SRgmPDNS</v>
      </c>
      <c r="LE265" s="339" t="str">
        <f t="shared" si="194"/>
        <v>SRgmPDNS</v>
      </c>
      <c r="LF265" s="386" t="str">
        <f>IFERROR(__xludf.DUMMYFUNCTION("SUBSTITUTE(SUBSTITUTE(CONCATENATE(JOIN("""",LH265:LT265)),""1"",""""),""2"","""")"),"SRgmPDNS")</f>
        <v>SRgmPDNS</v>
      </c>
      <c r="LG265" s="369" t="str">
        <f t="shared" si="195"/>
        <v>✔</v>
      </c>
      <c r="LH265" s="387" t="str">
        <f>IFERROR(__xludf.DUMMYFUNCTION("IF(REGEXMATCH(LD265, ""S""), ""S"",IF(REGEXMATCH(LE265, ""S""), ""S"",""""))"),"S")</f>
        <v>S</v>
      </c>
      <c r="LI265" s="299" t="str">
        <f>IFERROR(__xludf.DUMMYFUNCTION("IF(REGEXMATCH(LD265, ""r""), ""r1"",IF(REGEXMATCH(LE265, ""r""), ""r2"",""""))"),"")</f>
        <v/>
      </c>
      <c r="LJ265" s="299" t="str">
        <f>IFERROR(__xludf.DUMMYFUNCTION("IF(REGEXMATCH(LD265, ""R""), ""R1"",IF(REGEXMATCH(LE265, ""R""), ""R2"",""""))"),"R1")</f>
        <v>R1</v>
      </c>
      <c r="LK265" s="299" t="str">
        <f>IFERROR(__xludf.DUMMYFUNCTION("IF(REGEXMATCH(LD265, ""g""), ""g1"",IF(REGEXMATCH(LE265, ""g""), ""g2"",""""))"),"g1")</f>
        <v>g1</v>
      </c>
      <c r="LL265" s="299" t="str">
        <f>IFERROR(__xludf.DUMMYFUNCTION("IF(REGEXMATCH(LD265, ""G""), ""G1"",IF(REGEXMATCH(LE265, ""G""), ""G2"",""""))"),"")</f>
        <v/>
      </c>
      <c r="LM265" s="299" t="str">
        <f>IFERROR(__xludf.DUMMYFUNCTION("IF(REGEXMATCH(LD265, ""m""), ""m1"",IF(REGEXMATCH(LE265, ""m""), ""m2"",""""))"),"m1")</f>
        <v>m1</v>
      </c>
      <c r="LN265" s="299" t="str">
        <f>IFERROR(__xludf.DUMMYFUNCTION("IF(REGEXMATCH(LD265, ""M""), ""M1"",IF(REGEXMATCH(LE265, ""M""), ""M2"",""""))"),"")</f>
        <v/>
      </c>
      <c r="LO265" s="299" t="str">
        <f>IFERROR(__xludf.DUMMYFUNCTION("IF(REGEXMATCH(LD265, ""P""), ""P1"",IF(REGEXMATCH(LE265, ""P""), ""P2"",""""))"),"P1")</f>
        <v>P1</v>
      </c>
      <c r="LP265" s="299" t="str">
        <f>IFERROR(__xludf.DUMMYFUNCTION("IF(REGEXMATCH(LD265, ""d""), ""d1"",IF(REGEXMATCH(LE265, ""d""), ""d2"",""""))"),"")</f>
        <v/>
      </c>
      <c r="LQ265" s="299" t="str">
        <f>IFERROR(__xludf.DUMMYFUNCTION("IF(REGEXMATCH(LD265, ""D""), ""D1"",IF(REGEXMATCH(LE265, ""D""), ""D2"",""""))"),"D1")</f>
        <v>D1</v>
      </c>
      <c r="LR265" s="299" t="str">
        <f>IFERROR(__xludf.DUMMYFUNCTION("IF(REGEXMATCH(LD265, ""n""), ""n1"",IF(REGEXMATCH(LE265, ""n""), ""n2"",""""))"),"")</f>
        <v/>
      </c>
      <c r="LS265" s="299" t="str">
        <f>IFERROR(__xludf.DUMMYFUNCTION("IF(REGEXMATCH(LD265, ""N""), ""N1"",IF(REGEXMATCH(LE265, ""N""), ""N2"",""""))"),"N1")</f>
        <v>N1</v>
      </c>
      <c r="LT265" s="388" t="str">
        <f>IFERROR(__xludf.DUMMYFUNCTION("IF(REGEXMATCH(LD265, ""S""), ""S"",IF(REGEXMATCH(LE265, ""S""), ""S"",""""))"),"S")</f>
        <v>S</v>
      </c>
      <c r="LU265" s="389">
        <f t="shared" si="196"/>
        <v>1</v>
      </c>
      <c r="LV265" s="378"/>
      <c r="LW265" s="369"/>
      <c r="LX265" s="369"/>
    </row>
    <row r="266" ht="18.0" customHeight="1">
      <c r="A266" s="298" t="s">
        <v>1051</v>
      </c>
      <c r="B266" s="222" t="s">
        <v>741</v>
      </c>
      <c r="C266" s="233" t="str">
        <f t="shared" si="7"/>
        <v>SRgGmPDnNS</v>
      </c>
      <c r="D266" s="234" t="str">
        <f>IFERROR(__xludf.DUMMYFUNCTION("IF(REGEXMATCH(C266, ""S""), ""S"","""")"),"S")</f>
        <v>S</v>
      </c>
      <c r="E266" s="236" t="str">
        <f>IFERROR(__xludf.DUMMYFUNCTION("IF(REGEXMATCH(C266, ""r""), ""r"","""")"),"")</f>
        <v/>
      </c>
      <c r="F266" s="237" t="str">
        <f>IFERROR(__xludf.DUMMYFUNCTION("IF(REGEXMATCH(C266, ""R""), ""R"","""")"),"R")</f>
        <v>R</v>
      </c>
      <c r="G266" s="237" t="str">
        <f>IFERROR(__xludf.DUMMYFUNCTION("IF(REGEXMATCH(C266, ""g""), ""g"","""")"),"g")</f>
        <v>g</v>
      </c>
      <c r="H266" s="236" t="str">
        <f>IFERROR(__xludf.DUMMYFUNCTION("IF(REGEXMATCH(C266, ""G""), ""G"","""")"),"G")</f>
        <v>G</v>
      </c>
      <c r="I266" s="236" t="str">
        <f>IFERROR(__xludf.DUMMYFUNCTION("IF(REGEXMATCH(C266, ""m""), ""m"","""")"),"m")</f>
        <v>m</v>
      </c>
      <c r="J266" s="237" t="str">
        <f>IFERROR(__xludf.DUMMYFUNCTION("IF(REGEXMATCH(C266, ""M""), ""M"","""")"),"")</f>
        <v/>
      </c>
      <c r="K266" s="236" t="str">
        <f>IFERROR(__xludf.DUMMYFUNCTION("IF(REGEXMATCH(C266, ""P""), ""P"","""")"),"P")</f>
        <v>P</v>
      </c>
      <c r="L266" s="237" t="str">
        <f>IFERROR(__xludf.DUMMYFUNCTION("IF(REGEXMATCH(C266, ""d""), ""d"","""")"),"")</f>
        <v/>
      </c>
      <c r="M266" s="236" t="str">
        <f>IFERROR(__xludf.DUMMYFUNCTION("IF(REGEXMATCH(C266, ""D""), ""D"","""")"),"D")</f>
        <v>D</v>
      </c>
      <c r="N266" s="236" t="str">
        <f>IFERROR(__xludf.DUMMYFUNCTION("IF(REGEXMATCH(C266, ""n""), ""n"","""")"),"n")</f>
        <v>n</v>
      </c>
      <c r="O266" s="237" t="str">
        <f>IFERROR(__xludf.DUMMYFUNCTION("IF(REGEXMATCH(C266, ""N""), ""N"","""")"),"N")</f>
        <v>N</v>
      </c>
      <c r="P266" s="238" t="str">
        <f>IFERROR(__xludf.DUMMYFUNCTION("IF(REGEXMATCH(C266, ""S""), ""S"","""")"),"S")</f>
        <v>S</v>
      </c>
      <c r="Q266" s="239" t="str">
        <f>IFERROR(__xludf.DUMMYFUNCTION("SUBSTITUTE(CONCATENATE(JOIN(""-"",D266:J266)),""-"","""")"),"SRgGm")</f>
        <v>SRgGm</v>
      </c>
      <c r="R266" s="229" t="str">
        <f>IFERROR(__xludf.DUMMYFUNCTION("SUBSTITUTE(CONCATENATE(JOIN(""-"",K266:P266)),""-"","""")"),"PDnNS")</f>
        <v>PDnNS</v>
      </c>
      <c r="S266" s="282" t="str">
        <f t="shared" si="8"/>
        <v>S-R-G-M</v>
      </c>
      <c r="T266" s="282" t="str">
        <f t="shared" si="9"/>
        <v>P-D-N-S</v>
      </c>
      <c r="U266" s="237" t="str">
        <f>IFERROR(__xludf.DUMMYFUNCTION("SUBSTITUTE(JOIN(""-"",S266,T266),""--"",""-"")"),"S-R-G-M-P-D-N-S")</f>
        <v>S-R-G-M-P-D-N-S</v>
      </c>
      <c r="V266" s="309" t="str">
        <f t="shared" si="10"/>
        <v>RgGmDnN</v>
      </c>
      <c r="W266" s="244" t="str">
        <f>IFERROR(__xludf.DUMMYFUNCTION("IF(REGEXMATCH(C266, ""S""), ""0"","""")"),"0")</f>
        <v>0</v>
      </c>
      <c r="X266" s="245" t="str">
        <f>IFERROR(__xludf.DUMMYFUNCTION("IF(REGEXMATCH(C266, ""r""), ""1"","""")"),"")</f>
        <v/>
      </c>
      <c r="Y266" s="246" t="str">
        <f>IFERROR(__xludf.DUMMYFUNCTION("IF(REGEXMATCH(C266, ""R""), ""2"","""")"),"2")</f>
        <v>2</v>
      </c>
      <c r="Z266" s="246" t="str">
        <f>IFERROR(__xludf.DUMMYFUNCTION("IF(REGEXMATCH(C266, ""g""), ""3"","""")"),"3")</f>
        <v>3</v>
      </c>
      <c r="AA266" s="245" t="str">
        <f>IFERROR(__xludf.DUMMYFUNCTION("IF(REGEXMATCH(C266, ""G""), ""4"","""")"),"4")</f>
        <v>4</v>
      </c>
      <c r="AB266" s="245" t="str">
        <f>IFERROR(__xludf.DUMMYFUNCTION("IF(REGEXMATCH(C266, ""m""), ""5"","""")"),"5")</f>
        <v>5</v>
      </c>
      <c r="AC266" s="246" t="str">
        <f>IFERROR(__xludf.DUMMYFUNCTION("IF(REGEXMATCH(C266, ""M""), ""6"","""")"),"")</f>
        <v/>
      </c>
      <c r="AD266" s="245" t="str">
        <f>IFERROR(__xludf.DUMMYFUNCTION("IF(REGEXMATCH(C266, ""P""), ""7"","""")"),"7")</f>
        <v>7</v>
      </c>
      <c r="AE266" s="246" t="str">
        <f>IFERROR(__xludf.DUMMYFUNCTION("IF(REGEXMATCH(C266, ""d""), ""8"","""")"),"")</f>
        <v/>
      </c>
      <c r="AF266" s="245" t="str">
        <f>IFERROR(__xludf.DUMMYFUNCTION("IF(REGEXMATCH(C266, ""D""), ""9"","""")"),"9")</f>
        <v>9</v>
      </c>
      <c r="AG266" s="245" t="str">
        <f>IFERROR(__xludf.DUMMYFUNCTION("IF(REGEXMATCH(C266, ""n""), ""10"","""")"),"10")</f>
        <v>10</v>
      </c>
      <c r="AH266" s="246" t="str">
        <f>IFERROR(__xludf.DUMMYFUNCTION("IF(REGEXMATCH(C266, ""N""), ""11"","""")"),"11")</f>
        <v>11</v>
      </c>
      <c r="AI266" s="249" t="str">
        <f>IFERROR(__xludf.DUMMYFUNCTION("IF(REGEXMATCH(C266, ""S""), ""0"","""")"),"0")</f>
        <v>0</v>
      </c>
      <c r="AJ266" s="313" t="str">
        <f t="shared" si="11"/>
        <v>-</v>
      </c>
      <c r="AK266" s="313" t="str">
        <f t="shared" si="12"/>
        <v>-</v>
      </c>
      <c r="AL266" s="313" t="str">
        <f t="shared" si="13"/>
        <v>-</v>
      </c>
      <c r="AM266" s="313" t="str">
        <f t="shared" si="14"/>
        <v>T</v>
      </c>
      <c r="AN266" s="313" t="str">
        <f t="shared" si="15"/>
        <v>T</v>
      </c>
      <c r="AO266" s="314" t="str">
        <f t="shared" si="16"/>
        <v>T</v>
      </c>
      <c r="AP266" s="316">
        <f t="shared" si="17"/>
        <v>3</v>
      </c>
      <c r="AQ266" s="319" t="str">
        <f t="shared" si="18"/>
        <v>-</v>
      </c>
      <c r="AR266" s="320">
        <f t="shared" si="19"/>
        <v>0</v>
      </c>
      <c r="AS266" s="250" t="str">
        <f>IFERROR(__xludf.DUMMYFUNCTION("SUBSTITUTE(SUBSTITUTE(CONCATENATE(JOIN("""",FP266:GA266)),""|"",""x""),""-"",""o"")"),"xoxxxxoxoxxx")</f>
        <v>xoxxxxoxoxxx</v>
      </c>
      <c r="AT266" s="323" t="str">
        <f>IFERROR(__xludf.DUMMYFUNCTION("JOIN("""",AS266,AS266)"),"xoxxxxoxoxxxxoxxxxoxoxxx")</f>
        <v>xoxxxxoxoxxxxoxxxxoxoxxx</v>
      </c>
      <c r="AU266" s="256" t="str">
        <f>IFERROR(__xludf.DUMMYFUNCTION("JOIN("""",ArrayFormula(MID(AS266,LEN(AS266)-SEQUENCE(1,LEN(AS266))+1,1)))"),"xxxoxoxxxxox")</f>
        <v>xxxoxoxxxxox</v>
      </c>
      <c r="AV266" s="256" t="str">
        <f>IFERROR(__xludf.DUMMYFUNCTION("LEFT(CONCATENATE(""x"",JOIN("""",ArrayFormula(MID(AS266,LEN(AS266)-SEQUENCE(1,LEN(AS266))+1,1)))),12)"),"xxxxoxoxxxxo")</f>
        <v>xxxxoxoxxxxo</v>
      </c>
      <c r="AW266" s="327" t="str">
        <f>IFERROR(__xludf.DUMMYFUNCTION("JOIN("""",AU266,AU266)"),"xxxoxoxxxxoxxxxoxoxxxxox")</f>
        <v>xxxoxoxxxxoxxxxoxoxxxxox</v>
      </c>
      <c r="AX266" s="239" t="str">
        <f>IFERROR(__xludf.DUMMYFUNCTION("IF(REGEXMATCH(AW266,AS266),""✔"",""-"")"),"✔")</f>
        <v>✔</v>
      </c>
      <c r="AY266" s="330" t="str">
        <f t="shared" si="20"/>
        <v>-</v>
      </c>
      <c r="AZ266" s="260" t="str">
        <f t="shared" si="21"/>
        <v>#REF!</v>
      </c>
      <c r="BA266" s="333" t="str">
        <f t="shared" si="22"/>
        <v>xoxxxxo</v>
      </c>
      <c r="BB266" s="334" t="str">
        <f t="shared" si="23"/>
        <v>xoxxxx</v>
      </c>
      <c r="BC266" s="335" t="str">
        <f t="shared" si="236"/>
        <v>✔</v>
      </c>
      <c r="BD266" s="336" t="str">
        <f t="shared" si="25"/>
        <v>Patdeepaki: 'xoxxxxo' + 'xoxxxx'</v>
      </c>
      <c r="BE266" s="337">
        <f>IFERROR(__xludf.DUMMYFUNCTION("COUNTUNIQUE(FILTER(AT:AT,REGEXMATCH(AT:AT,AS266)))-1"),4.0)</f>
        <v>4</v>
      </c>
      <c r="BF266" s="261" t="str">
        <f>IFERROR(__xludf.DUMMYFUNCTION("IF(BI266=0,""(n/a)"",IF(BJ266=2,""(PAIR)"",IF(REGEXMATCH(AT266,""xoxoxxoxoxox""),""Bilawal"",IF(REGEXMATCH(AT266,""xoxoxooxoxoo""),""Bhupali"",IF(REGEXMATCH(AT266,""xoxoxxoxxoxo""),""Charukeshi"",IF(REGEXMATCH(AT266,""xoxoooxxoxxo""),""Kameshwari"",IF(REG"&amp;"EXMATCH(AT266,""xoxoxooxoxox""),""Shankara"",IF(REGEXMATCH(AT266,""xxooxoxxxoox""),""Basant"",IF(REGEXMATCH(AT266,""xoxoxxxxoxox""),""Bihag"",IF(REGEXMATCH(AT266,""xoxxxxoxoxxx""),""Pilu"",IF(REGEXMATCH(AT266,""xoxxoxoxxoox""),""Kirwani"",IF(REGEXMATCH(AT"&amp;"266,""xoxxoxoxoxxx""),""Mk.Malhar"",IF(REGEXMATCH(AT266,""xxooxxoxxoox""),""Bhairav"",IF(REGEXMATCH(AT266,""xxoxooxxxoox""),""Todi"",IF(REGEXMATCH(AT266,""xxooxoxooxox""),""Marwa"",IF(REGEXMATCH(AT266,""xxoooxoxxooo""),""Gunkali"",IF(REGEXMATCH(AT266,""xo"&amp;"xoxxoxxoox""),""Nat Bhairav"",IF(REGEXMATCH(AT266,""xoxxoooxoxoo""),""Shivranjani"",IF(REGEXMATCH(AT266,""xooxxxoxooxo""),""Jog"",IF(REGEXMATCH(AT266,""xxooxoxoxoox""),""Hemshri"",IF(REGEXMATCH(AT266,""xoooxooxoxxo""),""Kalavati"",IF(REGEXMATCH(AT266,""xx"&amp;"oxoxxoxoox""),""Kedar"",IF(REGEXMATCH(AT266,""xoxxxxoxooxx""),""Gara"",IF(REGEXMATCH(AT266,""xooxoxooxoox""),""Chandrakauns"",IF(REGEXMATCH(AT266,""xoxxxxoxxxox""),""Mand"",IF(REGEXMATCH(AT266,""xoxxxxoxoxox""),""Hanskinkini"",IF(REGEXMATCH(AT266,""xxooxx"&amp;"oxooxo""),""Lilavati"",IF(REGEXMATCH(AT266,""xooxoxoooxox""),""Rajeshwari"",IF(REGEXMATCH(AT266,""xoooxxoxoxxx""),""Khokar"",IF(REGEXMATCH(AT266,""xxooxoxxxxox""),""Maligoura"",""-""))))))))))))))))))))))))))))))"),"Pilu")</f>
        <v>Pilu</v>
      </c>
      <c r="BG266" s="239" t="str">
        <f t="shared" si="26"/>
        <v>#REF!</v>
      </c>
      <c r="BH266" s="239">
        <f>IFERROR(__xludf.DUMMYFUNCTION("COUNTUNIQUE(FE266:FO266)-1"),8.0)</f>
        <v>8</v>
      </c>
      <c r="BI266" s="239">
        <f>IFERROR(__xludf.DUMMYFUNCTION("COUNTUNIQUE(FILTER(AT:AT,REGEXMATCH(AT:AT,AS266)))-1"),4.0)</f>
        <v>4</v>
      </c>
      <c r="BJ266" s="239">
        <f>IFERROR(__xludf.DUMMYFUNCTION("COUNTA(FILTER(AT:AT,REGEXMATCH(AT:AT,AS266)))"),26.0)</f>
        <v>26</v>
      </c>
      <c r="BK266" s="341">
        <f>IFERROR(__xludf.DUMMYFUNCTION("COUNTA(FILTER(AT:AT,REGEXMATCH(AT:AT,AS266)))-AR266"),26.0)</f>
        <v>26</v>
      </c>
      <c r="BL266" s="276" t="str">
        <f>IFERROR(__xludf.DUMMYFUNCTION("IF(AS266=""oooooooooooo"",""-"",IF(REGEXMATCH(AT266,""xx""), ""Hemi."", ""Anhemi.""))"),"Hemi.")</f>
        <v>Hemi.</v>
      </c>
      <c r="BM266" s="282" t="str">
        <f>IFERROR(__xludf.DUMMYFUNCTION("IF(AS266=""oooooooooooo"",""-"",IF(REGEXMATCH(AT266,""xxx""), ""Cohem."", ""-""))"),"Cohem.")</f>
        <v>Cohem.</v>
      </c>
      <c r="BN266" s="282" t="str">
        <f>IFERROR(__xludf.DUMMYFUNCTION("IF(AS266=""oooooooooooo"",""-"",IF(REGEXMATCH(AT266,""xxxx""), ""Co-Co."", ""-""))"),"Co-Co.")</f>
        <v>Co-Co.</v>
      </c>
      <c r="BO266" s="342" t="str">
        <f>IFERROR(__xludf.DUMMYFUNCTION("IF(AS266=""oooooooooooo"",""-"",IF(REGEXMATCH(AT266,""xxxxx""), ""CCC."", ""-""))"),"-")</f>
        <v>-</v>
      </c>
      <c r="BP266" s="344" t="str">
        <f t="shared" si="27"/>
        <v>-</v>
      </c>
      <c r="BQ266" s="282" t="str">
        <f>IFERROR(__xludf.DUMMYFUNCTION("IF(REGEXMATCH(JOIN(""-"",EU266:FD266),""TRUE""),""✔"",""-"")"),"-")</f>
        <v>-</v>
      </c>
      <c r="BR266" s="225">
        <f t="shared" si="28"/>
        <v>0</v>
      </c>
      <c r="BS266" s="345" t="str">
        <f>IFERROR(__xludf.DUMMYFUNCTION("SUBSTITUTE(SUBSTITUTE(SUBSTITUTE(SUBSTITUTE(CONCATENATE(JOIN(""-"",GC266:GO266)),""--"",""-""),""--"",""-""),""--"",""-""),""--"",""-"")"),"1-2-b3-3-4-5-6-b7-7-8")</f>
        <v>1-2-b3-3-4-5-6-b7-7-8</v>
      </c>
      <c r="BT266" s="299" t="str">
        <f>IFERROR(__xludf.DUMMYFUNCTION("SUBSTITUTE(SUBSTITUTE(SUBSTITUTE(SUBSTITUTE(CONCATENATE(JOIN(""-"",GP266:HB266)),""--"",""-""),""--"",""-""),""--"",""-""),""--"",""-"")"),"S-R2-G2-G3-M1-P-D2-N2-N3-S")</f>
        <v>S-R2-G2-G3-M1-P-D2-N2-N3-S</v>
      </c>
      <c r="BU266" s="348" t="str">
        <f t="shared" si="29"/>
        <v>C-D-Eb-E-F-G-A-Bb-B-C</v>
      </c>
      <c r="BV266" s="349" t="str">
        <f t="shared" si="30"/>
        <v>SrMdS</v>
      </c>
      <c r="BW266" s="350">
        <f t="shared" si="31"/>
        <v>0</v>
      </c>
      <c r="BX266" s="351">
        <f t="shared" si="32"/>
        <v>11</v>
      </c>
      <c r="BY266" s="392"/>
      <c r="BZ266" s="309" t="str">
        <f>IFERROR(__xludf.DUMMYFUNCTION("IF(REGEXMATCH(C266, ""S""), ""x"",""x"")"),"x")</f>
        <v>x</v>
      </c>
      <c r="CA266" s="245" t="str">
        <f>IFERROR(__xludf.DUMMYFUNCTION("IF(REGEXMATCH(C266, ""r""), ""o"",""x"")"),"x")</f>
        <v>x</v>
      </c>
      <c r="CB266" s="246" t="str">
        <f>IFERROR(__xludf.DUMMYFUNCTION("IF(REGEXMATCH(C266, ""R""), ""o"",""x"")"),"o")</f>
        <v>o</v>
      </c>
      <c r="CC266" s="246" t="str">
        <f>IFERROR(__xludf.DUMMYFUNCTION("IF(REGEXMATCH(C266, ""g""), ""o"",""x"")"),"o")</f>
        <v>o</v>
      </c>
      <c r="CD266" s="245" t="str">
        <f>IFERROR(__xludf.DUMMYFUNCTION("IF(REGEXMATCH(C266, ""G""), ""o"",""x"")"),"o")</f>
        <v>o</v>
      </c>
      <c r="CE266" s="245" t="str">
        <f>IFERROR(__xludf.DUMMYFUNCTION("IF(REGEXMATCH(C266, ""m""), ""o"",""x"")"),"o")</f>
        <v>o</v>
      </c>
      <c r="CF266" s="246" t="str">
        <f>IFERROR(__xludf.DUMMYFUNCTION("IF(REGEXMATCH(C266, ""M""), ""o"",""x"")"),"x")</f>
        <v>x</v>
      </c>
      <c r="CG266" s="245" t="str">
        <f>IFERROR(__xludf.DUMMYFUNCTION("IF(REGEXMATCH(C266, ""P""), ""o"",""x"")"),"o")</f>
        <v>o</v>
      </c>
      <c r="CH266" s="246" t="str">
        <f>IFERROR(__xludf.DUMMYFUNCTION("IF(REGEXMATCH(C266, ""d""), ""o"",""x"")"),"x")</f>
        <v>x</v>
      </c>
      <c r="CI266" s="245" t="str">
        <f>IFERROR(__xludf.DUMMYFUNCTION("IF(REGEXMATCH(C266, ""D""), ""o"",""x"")"),"o")</f>
        <v>o</v>
      </c>
      <c r="CJ266" s="245" t="str">
        <f>IFERROR(__xludf.DUMMYFUNCTION("IF(REGEXMATCH(C266, ""n""), ""o"",""x"")"),"o")</f>
        <v>o</v>
      </c>
      <c r="CK266" s="245" t="str">
        <f>IFERROR(__xludf.DUMMYFUNCTION("IF(REGEXMATCH(C266, ""N""), ""o"",""x"")"),"o")</f>
        <v>o</v>
      </c>
      <c r="CL266" s="356" t="str">
        <f>IFERROR(__xludf.DUMMYFUNCTION("IF(REGEXMATCH(C266, ""S""), ""x"",""x"")"),"x")</f>
        <v>x</v>
      </c>
      <c r="CM266" s="357" t="str">
        <f t="shared" si="33"/>
        <v>xxooooxoxooo</v>
      </c>
      <c r="CN266" s="358">
        <f t="shared" si="34"/>
        <v>0</v>
      </c>
      <c r="CO266" s="246" t="str">
        <f>IFERROR(__xludf.DUMMYFUNCTION("IF(REGEXMATCH($C266, ""S""), ""S"",""S"")"),"S")</f>
        <v>S</v>
      </c>
      <c r="CP266" s="246" t="str">
        <f>IFERROR(__xludf.DUMMYFUNCTION("IF(REGEXMATCH($C266, ""r""), """",""r"")"),"r")</f>
        <v>r</v>
      </c>
      <c r="CQ266" s="246" t="str">
        <f>IFERROR(__xludf.DUMMYFUNCTION("IF(REGEXMATCH($C266, ""R""), """",""R"")"),"")</f>
        <v/>
      </c>
      <c r="CR266" s="246" t="str">
        <f>IFERROR(__xludf.DUMMYFUNCTION("IF(REGEXMATCH($C266, ""g""), """",""g"")"),"")</f>
        <v/>
      </c>
      <c r="CS266" s="246" t="str">
        <f>IFERROR(__xludf.DUMMYFUNCTION("IF(REGEXMATCH($C266, ""G""), """",""G"")"),"")</f>
        <v/>
      </c>
      <c r="CT266" s="246" t="str">
        <f>IFERROR(__xludf.DUMMYFUNCTION("IF(REGEXMATCH($C266, ""m""), """",""m"")"),"")</f>
        <v/>
      </c>
      <c r="CU266" s="246" t="str">
        <f>IFERROR(__xludf.DUMMYFUNCTION("IF(REGEXMATCH($C266, ""M""), """",""M"")"),"M")</f>
        <v>M</v>
      </c>
      <c r="CV266" s="246" t="str">
        <f>IFERROR(__xludf.DUMMYFUNCTION("IF(REGEXMATCH($C266, ""P""), """",""P"")"),"")</f>
        <v/>
      </c>
      <c r="CW266" s="246" t="str">
        <f>IFERROR(__xludf.DUMMYFUNCTION("IF(REGEXMATCH($C266, ""d""), """",""d"")"),"d")</f>
        <v>d</v>
      </c>
      <c r="CX266" s="246" t="str">
        <f>IFERROR(__xludf.DUMMYFUNCTION("IF(REGEXMATCH($C266, ""D""), """",""D"")"),"")</f>
        <v/>
      </c>
      <c r="CY266" s="246" t="str">
        <f>IFERROR(__xludf.DUMMYFUNCTION("IF(REGEXMATCH($C266, ""n""), """",""n"")"),"")</f>
        <v/>
      </c>
      <c r="CZ266" s="246" t="str">
        <f>IFERROR(__xludf.DUMMYFUNCTION("IF(REGEXMATCH($C266, ""N""), """",""N"")"),"")</f>
        <v/>
      </c>
      <c r="DA266" s="246" t="str">
        <f>IFERROR(__xludf.DUMMYFUNCTION("IF(REGEXMATCH($C266, ""S""), ""S"",""S"")"),"S")</f>
        <v>S</v>
      </c>
      <c r="DB266" s="362" t="str">
        <f>IFERROR(__xludf.DUMMYFUNCTION("JOIN("""",CO266:DA266,"""","""")"),"SrMdS")</f>
        <v>SrMdS</v>
      </c>
      <c r="DC266" s="363"/>
      <c r="DD266" s="301" t="str">
        <f t="shared" si="35"/>
        <v>#REF!</v>
      </c>
      <c r="DE266" s="302" t="str">
        <f t="shared" si="36"/>
        <v>#REF!</v>
      </c>
      <c r="DF266" s="301" t="str">
        <f t="shared" ref="DF266:DG266" si="754">SUBSTITUTE(S266,"-","")</f>
        <v>SRGM</v>
      </c>
      <c r="DG266" s="301" t="str">
        <f t="shared" si="754"/>
        <v>PDNS</v>
      </c>
      <c r="DH266" s="302" t="str">
        <f t="shared" si="38"/>
        <v>Pilu</v>
      </c>
      <c r="DI266" s="301" t="str">
        <f t="shared" si="39"/>
        <v>Hemi.</v>
      </c>
      <c r="DJ266" s="364" t="str">
        <f t="shared" si="40"/>
        <v>Co-Co.</v>
      </c>
      <c r="DK266" s="306" t="str">
        <f t="shared" si="41"/>
        <v>-</v>
      </c>
      <c r="DL266" s="366" t="str">
        <f t="shared" si="42"/>
        <v>-</v>
      </c>
      <c r="DM266" s="308" t="str">
        <f t="shared" si="43"/>
        <v>✔</v>
      </c>
      <c r="DN266" s="306" t="str">
        <f t="shared" si="44"/>
        <v>-</v>
      </c>
      <c r="DO266" s="306" t="str">
        <f t="shared" si="45"/>
        <v>-</v>
      </c>
      <c r="DP266" s="367" t="str">
        <f t="shared" si="46"/>
        <v>-</v>
      </c>
      <c r="DQ266" s="310" t="str">
        <f t="shared" si="47"/>
        <v>-</v>
      </c>
      <c r="DR266" s="310" t="str">
        <f t="shared" si="48"/>
        <v>✔</v>
      </c>
      <c r="DS266" s="310" t="str">
        <f t="shared" si="49"/>
        <v>-</v>
      </c>
      <c r="DT266" s="310" t="str">
        <f t="shared" si="50"/>
        <v>-</v>
      </c>
      <c r="DU266" s="370" t="str">
        <f t="shared" si="51"/>
        <v>✔</v>
      </c>
      <c r="DV266" s="306" t="str">
        <f t="shared" si="52"/>
        <v>-</v>
      </c>
      <c r="DW266" s="306" t="str">
        <f t="shared" si="53"/>
        <v>-</v>
      </c>
      <c r="DX266" s="306" t="str">
        <f t="shared" si="54"/>
        <v>-</v>
      </c>
      <c r="DY266" s="306" t="str">
        <f t="shared" si="55"/>
        <v>-</v>
      </c>
      <c r="DZ266" s="306" t="str">
        <f t="shared" si="56"/>
        <v>-</v>
      </c>
      <c r="EA266" s="367" t="str">
        <f t="shared" si="57"/>
        <v>-</v>
      </c>
      <c r="EB266" s="310" t="str">
        <f>IFERROR(__xludf.DUMMYFUNCTION("IF(REGEXMATCH(AW266,AS266),""✔"",""-"")"),"✔")</f>
        <v>✔</v>
      </c>
      <c r="EC266" s="310" t="str">
        <f t="shared" si="58"/>
        <v>#REF!</v>
      </c>
      <c r="ED266" s="370" t="str">
        <f t="shared" si="59"/>
        <v>-</v>
      </c>
      <c r="EE266" s="340" t="str">
        <f t="shared" si="60"/>
        <v>S-R-gG-m-P-D-nN-S</v>
      </c>
      <c r="EF266" s="371" t="str">
        <f>IFERROR(__xludf.DUMMYFUNCTION("CONCATENATE(JOIN("""",HC266:HO266))"),"SrRgmPdDnS")</f>
        <v>SrRgmPdDnS</v>
      </c>
      <c r="EG266" s="372">
        <f t="shared" si="61"/>
        <v>1</v>
      </c>
      <c r="EH266" s="373" t="str">
        <f>IFERROR(__xludf.DUMMYFUNCTION("CONCATENATE(JOIN("""",JC266:JO266))"),"Ni, ")</f>
        <v>Ni, </v>
      </c>
      <c r="EI266" s="322">
        <f t="shared" si="62"/>
        <v>0</v>
      </c>
      <c r="EJ266" s="374" t="str">
        <f>IFERROR(__xludf.DUMMYFUNCTION("CONCATENATE(JOIN("""",KC266:KO266))"),"")</f>
        <v/>
      </c>
      <c r="EK266" s="325" t="str">
        <f t="shared" si="63"/>
        <v>S-R2-G2-G3-M1-P-D2-N2-N3-S</v>
      </c>
      <c r="EL266" s="326" t="str">
        <f t="shared" si="64"/>
        <v>1-2-b3-3-4-5-6-b7-7-8</v>
      </c>
      <c r="EM266" s="318" t="str">
        <f t="shared" si="65"/>
        <v>#REF!</v>
      </c>
      <c r="EN266" s="328" t="str">
        <f>IFERROR(__xludf.DUMMYFUNCTION("SUBSTITUTE(SUBSTITUTE(SUBSTITUTE(SUBSTITUTE(CONCATENATE(JOIN("" "",HP266:IB266)),""  "","" ""),""  "","" ""),""  "","" ""),""  "","" "")"),"o • o o o o • o • o o o o")</f>
        <v>o • o o o o • o • o o o o</v>
      </c>
      <c r="EO266" s="368" t="str">
        <f t="shared" si="66"/>
        <v>-</v>
      </c>
      <c r="EP266" s="339" t="str">
        <f t="shared" si="67"/>
        <v>-</v>
      </c>
      <c r="EQ266" s="339" t="str">
        <f t="shared" si="68"/>
        <v>Sa-Pa</v>
      </c>
      <c r="ER266" s="339" t="str">
        <f t="shared" si="69"/>
        <v>-</v>
      </c>
      <c r="ES266" s="340" t="str">
        <f t="shared" si="70"/>
        <v>-</v>
      </c>
      <c r="ET266" s="363"/>
      <c r="EU266" s="376" t="b">
        <f>IFERROR(__xludf.DUMMYFUNCTION("arrayformula(sum(--REGEXMATCH(""SRGMPDNS"",split(REGEXREPLACE(C266,""(.)"",""$1~""),""~""))))=len(C266)
"),FALSE)</f>
        <v>0</v>
      </c>
      <c r="EV266" s="290" t="b">
        <f>IFERROR(__xludf.DUMMYFUNCTION("arrayformula(sum(--REGEXMATCH(""SRGmPDNS"",split(REGEXREPLACE(C266,""(.)"",""$1~""),""~""))))=len(C266)"),FALSE)</f>
        <v>0</v>
      </c>
      <c r="EW266" s="290" t="b">
        <f>IFERROR(__xludf.DUMMYFUNCTION("arrayformula(sum(--REGEXMATCH(""SRGmPDnS"",split(REGEXREPLACE(C266,""(.)"",""$1~""),""~""))))=len(C266)"),FALSE)</f>
        <v>0</v>
      </c>
      <c r="EX266" s="290" t="b">
        <f>IFERROR(__xludf.DUMMYFUNCTION("arrayformula(sum(--REGEXMATCH(""SRgmPDnS"",split(REGEXREPLACE(C266,""(.)"",""$1~""),""~""))))=len(C266)"),FALSE)</f>
        <v>0</v>
      </c>
      <c r="EY266" s="290" t="b">
        <f>IFERROR(__xludf.DUMMYFUNCTION("arrayformula(sum(--REGEXMATCH(""SRgmPdnS"",split(REGEXREPLACE(C266,""(.)"",""$1~""),""~""))))=len(C266)"),FALSE)</f>
        <v>0</v>
      </c>
      <c r="EZ266" s="290" t="b">
        <f>IFERROR(__xludf.DUMMYFUNCTION("arrayformula(sum(--REGEXMATCH(""SrgmPdnS"",split(REGEXREPLACE(C266,""(.)"",""$1~""),""~""))))=len(C266)"),FALSE)</f>
        <v>0</v>
      </c>
      <c r="FA266" s="290" t="b">
        <f>IFERROR(__xludf.DUMMYFUNCTION("arrayformula(sum(--REGEXMATCH(""SrGmPdNS"",split(REGEXREPLACE(C266,""(.)"",""$1~""),""~""))))=len(C266)"),FALSE)</f>
        <v>0</v>
      </c>
      <c r="FB266" s="290" t="b">
        <f>IFERROR(__xludf.DUMMYFUNCTION("arrayformula(sum(--REGEXMATCH(""SrGMPDNS"",split(REGEXREPLACE(C266,""(.)"",""$1~""),""~""))))=len(C266)"),FALSE)</f>
        <v>0</v>
      </c>
      <c r="FC266" s="290" t="b">
        <f>IFERROR(__xludf.DUMMYFUNCTION("arrayformula(sum(--REGEXMATCH(""SrGMPdNS"",split(REGEXREPLACE(C266,""(.)"",""$1~""),""~""))))=len(C266)"),FALSE)</f>
        <v>0</v>
      </c>
      <c r="FD266" s="377" t="b">
        <f>IFERROR(__xludf.DUMMYFUNCTION("arrayformula(sum(--REGEXMATCH(""SrgMPdNS"",split(REGEXREPLACE(C266,""(.)"",""$1~""),""~""))))=len(C266)"),FALSE)</f>
        <v>0</v>
      </c>
      <c r="FE266" s="269" t="str">
        <f t="shared" si="71"/>
        <v>-</v>
      </c>
      <c r="FF266" s="269" t="str">
        <f t="shared" si="72"/>
        <v>xxxxoxoxxxx</v>
      </c>
      <c r="FG266" s="271" t="str">
        <f t="shared" si="73"/>
        <v>xxxoxoxxxxo</v>
      </c>
      <c r="FH266" s="269" t="str">
        <f t="shared" si="74"/>
        <v>xxoxoxxxxox</v>
      </c>
      <c r="FI266" s="271" t="str">
        <f t="shared" si="75"/>
        <v>xoxoxxxxoxx</v>
      </c>
      <c r="FJ266" s="271" t="str">
        <f t="shared" si="76"/>
        <v>-</v>
      </c>
      <c r="FK266" s="271" t="str">
        <f t="shared" si="77"/>
        <v>xoxxxxoxxxx</v>
      </c>
      <c r="FL266" s="271" t="str">
        <f t="shared" si="78"/>
        <v>-</v>
      </c>
      <c r="FM266" s="271" t="str">
        <f t="shared" si="79"/>
        <v>xxxxoxxxxox</v>
      </c>
      <c r="FN266" s="271" t="str">
        <f t="shared" si="80"/>
        <v>xxxoxxxxoxo</v>
      </c>
      <c r="FO266" s="274" t="str">
        <f t="shared" si="81"/>
        <v>xxoxxxxoxox</v>
      </c>
      <c r="FP266" s="234" t="str">
        <f t="shared" si="82"/>
        <v>|</v>
      </c>
      <c r="FQ266" s="236" t="str">
        <f t="shared" si="83"/>
        <v>-</v>
      </c>
      <c r="FR266" s="237" t="str">
        <f t="shared" si="84"/>
        <v>|</v>
      </c>
      <c r="FS266" s="236" t="str">
        <f t="shared" si="85"/>
        <v>|</v>
      </c>
      <c r="FT266" s="237" t="str">
        <f t="shared" si="86"/>
        <v>|</v>
      </c>
      <c r="FU266" s="236" t="str">
        <f t="shared" si="87"/>
        <v>|</v>
      </c>
      <c r="FV266" s="237" t="str">
        <f t="shared" si="88"/>
        <v>-</v>
      </c>
      <c r="FW266" s="236" t="str">
        <f t="shared" si="89"/>
        <v>|</v>
      </c>
      <c r="FX266" s="237" t="str">
        <f t="shared" si="90"/>
        <v>-</v>
      </c>
      <c r="FY266" s="236" t="str">
        <f t="shared" si="91"/>
        <v>|</v>
      </c>
      <c r="FZ266" s="237" t="str">
        <f t="shared" si="92"/>
        <v>|</v>
      </c>
      <c r="GA266" s="236" t="str">
        <f t="shared" si="93"/>
        <v>|</v>
      </c>
      <c r="GB266" s="238" t="str">
        <f t="shared" si="94"/>
        <v>|</v>
      </c>
      <c r="GC266" s="244" t="str">
        <f>IFERROR(__xludf.DUMMYFUNCTION("IF(REGEXMATCH(C266, ""S""), ""1"","""")"),"1")</f>
        <v>1</v>
      </c>
      <c r="GD266" s="245" t="str">
        <f>IFERROR(__xludf.DUMMYFUNCTION("IF(REGEXMATCH(C266, ""r""), ""b2"","""")"),"")</f>
        <v/>
      </c>
      <c r="GE266" s="246" t="str">
        <f>IFERROR(__xludf.DUMMYFUNCTION("IF(REGEXMATCH(C266, ""R""), ""2"","""")"),"2")</f>
        <v>2</v>
      </c>
      <c r="GF266" s="246" t="str">
        <f>IFERROR(__xludf.DUMMYFUNCTION("IF(REGEXMATCH(C266, ""g""), ""b3"","""")"),"b3")</f>
        <v>b3</v>
      </c>
      <c r="GG266" s="245" t="str">
        <f>IFERROR(__xludf.DUMMYFUNCTION("IF(REGEXMATCH(C266, ""G""), ""3"","""")"),"3")</f>
        <v>3</v>
      </c>
      <c r="GH266" s="245" t="str">
        <f>IFERROR(__xludf.DUMMYFUNCTION("IF(REGEXMATCH(C266, ""m""), ""4"","""")"),"4")</f>
        <v>4</v>
      </c>
      <c r="GI266" s="246" t="str">
        <f>IFERROR(__xludf.DUMMYFUNCTION("IF(REGEXMATCH(C266, ""M""), ""#4"","""")"),"")</f>
        <v/>
      </c>
      <c r="GJ266" s="245" t="str">
        <f>IFERROR(__xludf.DUMMYFUNCTION("IF(REGEXMATCH(C266, ""P""), ""5"","""")"),"5")</f>
        <v>5</v>
      </c>
      <c r="GK266" s="246" t="str">
        <f>IFERROR(__xludf.DUMMYFUNCTION("IF(REGEXMATCH(C266, ""d""), ""b6"","""")"),"")</f>
        <v/>
      </c>
      <c r="GL266" s="245" t="str">
        <f>IFERROR(__xludf.DUMMYFUNCTION("IF(REGEXMATCH(C266, ""D""), ""6"","""")"),"6")</f>
        <v>6</v>
      </c>
      <c r="GM266" s="245" t="str">
        <f>IFERROR(__xludf.DUMMYFUNCTION("IF(REGEXMATCH(C266, ""n""), ""b7"","""")"),"b7")</f>
        <v>b7</v>
      </c>
      <c r="GN266" s="246" t="str">
        <f>IFERROR(__xludf.DUMMYFUNCTION("IF(REGEXMATCH(C266, ""N""), ""7"","""")"),"7")</f>
        <v>7</v>
      </c>
      <c r="GO266" s="249" t="str">
        <f>IFERROR(__xludf.DUMMYFUNCTION("IF(REGEXMATCH(C266, ""S""), ""8"","""")"),"8")</f>
        <v>8</v>
      </c>
      <c r="GP266" s="244" t="str">
        <f>IFERROR(__xludf.DUMMYFUNCTION("IF(REGEXMATCH(C266, ""S""), ""S"","""")"),"S")</f>
        <v>S</v>
      </c>
      <c r="GQ266" s="294" t="str">
        <f>IFERROR(__xludf.DUMMYFUNCTION("IF(REGEXMATCH(C266, ""r""), ""R1"","""")"),"")</f>
        <v/>
      </c>
      <c r="GR266" s="295" t="str">
        <f>IFERROR(__xludf.DUMMYFUNCTION("IF(REGEXMATCH(C266, ""R""), ""R2"","""")"),"R2")</f>
        <v>R2</v>
      </c>
      <c r="GS266" s="295" t="str">
        <f>IFERROR(__xludf.DUMMYFUNCTION("IF(REGEXMATCH(C266, ""g""), ""G2"","""")"),"G2")</f>
        <v>G2</v>
      </c>
      <c r="GT266" s="294" t="str">
        <f>IFERROR(__xludf.DUMMYFUNCTION("IF(REGEXMATCH(C266, ""G""), ""G3"","""")"),"G3")</f>
        <v>G3</v>
      </c>
      <c r="GU266" s="294" t="str">
        <f>IFERROR(__xludf.DUMMYFUNCTION("IF(REGEXMATCH(C266, ""m""), ""M1"","""")"),"M1")</f>
        <v>M1</v>
      </c>
      <c r="GV266" s="295" t="str">
        <f>IFERROR(__xludf.DUMMYFUNCTION("IF(REGEXMATCH(C266, ""M""), ""M2"","""")"),"")</f>
        <v/>
      </c>
      <c r="GW266" s="294" t="str">
        <f>IFERROR(__xludf.DUMMYFUNCTION("IF(REGEXMATCH(C266, ""P""), ""P"","""")"),"P")</f>
        <v>P</v>
      </c>
      <c r="GX266" s="295" t="str">
        <f>IFERROR(__xludf.DUMMYFUNCTION("IF(REGEXMATCH(C266, ""d""), ""D1"","""")"),"")</f>
        <v/>
      </c>
      <c r="GY266" s="294" t="str">
        <f>IFERROR(__xludf.DUMMYFUNCTION("IF(REGEXMATCH(C266, ""D""), ""D2"","""")"),"D2")</f>
        <v>D2</v>
      </c>
      <c r="GZ266" s="294" t="str">
        <f>IFERROR(__xludf.DUMMYFUNCTION("IF(REGEXMATCH(C266, ""n""), ""N2"","""")"),"N2")</f>
        <v>N2</v>
      </c>
      <c r="HA266" s="295" t="str">
        <f>IFERROR(__xludf.DUMMYFUNCTION("IF(REGEXMATCH(C266, ""N""), ""N3"","""")"),"N3")</f>
        <v>N3</v>
      </c>
      <c r="HB266" s="249" t="str">
        <f>IFERROR(__xludf.DUMMYFUNCTION("IF(REGEXMATCH(C266, ""S""), ""S"","""")"),"S")</f>
        <v>S</v>
      </c>
      <c r="HC266" s="331" t="str">
        <f t="shared" si="95"/>
        <v>S</v>
      </c>
      <c r="HD266" s="332" t="str">
        <f t="shared" si="96"/>
        <v>r</v>
      </c>
      <c r="HE266" s="332" t="str">
        <f t="shared" si="97"/>
        <v>R</v>
      </c>
      <c r="HF266" s="332" t="str">
        <f t="shared" si="98"/>
        <v>g</v>
      </c>
      <c r="HG266" s="332" t="str">
        <f t="shared" si="99"/>
        <v/>
      </c>
      <c r="HH266" s="332" t="str">
        <f t="shared" si="100"/>
        <v>m</v>
      </c>
      <c r="HI266" s="332" t="str">
        <f t="shared" si="101"/>
        <v/>
      </c>
      <c r="HJ266" s="332" t="str">
        <f t="shared" si="102"/>
        <v>P</v>
      </c>
      <c r="HK266" s="332" t="str">
        <f t="shared" si="103"/>
        <v>d</v>
      </c>
      <c r="HL266" s="332" t="str">
        <f t="shared" si="104"/>
        <v>D</v>
      </c>
      <c r="HM266" s="332" t="str">
        <f t="shared" si="105"/>
        <v>n</v>
      </c>
      <c r="HN266" s="332" t="str">
        <f t="shared" si="106"/>
        <v/>
      </c>
      <c r="HO266" s="343" t="str">
        <f t="shared" si="107"/>
        <v>S</v>
      </c>
      <c r="HP266" s="331" t="str">
        <f t="shared" si="108"/>
        <v>o</v>
      </c>
      <c r="HQ266" s="332" t="str">
        <f t="shared" si="109"/>
        <v>•</v>
      </c>
      <c r="HR266" s="332" t="str">
        <f t="shared" si="110"/>
        <v>o</v>
      </c>
      <c r="HS266" s="332" t="str">
        <f t="shared" si="111"/>
        <v>o</v>
      </c>
      <c r="HT266" s="332" t="str">
        <f t="shared" si="112"/>
        <v>o</v>
      </c>
      <c r="HU266" s="332" t="str">
        <f t="shared" si="113"/>
        <v>o</v>
      </c>
      <c r="HV266" s="332" t="str">
        <f t="shared" si="114"/>
        <v>•</v>
      </c>
      <c r="HW266" s="332" t="str">
        <f t="shared" si="115"/>
        <v>o</v>
      </c>
      <c r="HX266" s="332" t="str">
        <f t="shared" si="116"/>
        <v>•</v>
      </c>
      <c r="HY266" s="332" t="str">
        <f t="shared" si="117"/>
        <v>o</v>
      </c>
      <c r="HZ266" s="332" t="str">
        <f t="shared" si="118"/>
        <v>o</v>
      </c>
      <c r="IA266" s="332" t="str">
        <f t="shared" si="119"/>
        <v>o</v>
      </c>
      <c r="IB266" s="338" t="str">
        <f t="shared" si="120"/>
        <v>o</v>
      </c>
      <c r="IC266" s="331" t="str">
        <f t="shared" si="121"/>
        <v>•</v>
      </c>
      <c r="ID266" s="332" t="str">
        <f t="shared" si="122"/>
        <v>o</v>
      </c>
      <c r="IE266" s="332" t="str">
        <f t="shared" si="123"/>
        <v>•</v>
      </c>
      <c r="IF266" s="332" t="str">
        <f t="shared" si="124"/>
        <v>•</v>
      </c>
      <c r="IG266" s="332" t="str">
        <f t="shared" si="125"/>
        <v>•</v>
      </c>
      <c r="IH266" s="332" t="str">
        <f t="shared" si="126"/>
        <v>•</v>
      </c>
      <c r="II266" s="332" t="str">
        <f t="shared" si="127"/>
        <v>o</v>
      </c>
      <c r="IJ266" s="332" t="str">
        <f t="shared" si="128"/>
        <v>•</v>
      </c>
      <c r="IK266" s="332" t="str">
        <f t="shared" si="129"/>
        <v>o</v>
      </c>
      <c r="IL266" s="332" t="str">
        <f t="shared" si="130"/>
        <v>•</v>
      </c>
      <c r="IM266" s="332" t="str">
        <f t="shared" si="131"/>
        <v>•</v>
      </c>
      <c r="IN266" s="332" t="str">
        <f t="shared" si="132"/>
        <v>•</v>
      </c>
      <c r="IO266" s="338" t="str">
        <f t="shared" si="133"/>
        <v>•</v>
      </c>
      <c r="IP266" s="346" t="b">
        <f t="shared" si="134"/>
        <v>0</v>
      </c>
      <c r="IQ266" s="347" t="b">
        <f t="shared" si="135"/>
        <v>0</v>
      </c>
      <c r="IR266" s="347" t="b">
        <f t="shared" si="136"/>
        <v>0</v>
      </c>
      <c r="IS266" s="347" t="b">
        <f t="shared" si="137"/>
        <v>0</v>
      </c>
      <c r="IT266" s="347" t="b">
        <f t="shared" si="138"/>
        <v>0</v>
      </c>
      <c r="IU266" s="347" t="b">
        <f t="shared" si="139"/>
        <v>0</v>
      </c>
      <c r="IV266" s="347" t="b">
        <f t="shared" si="140"/>
        <v>0</v>
      </c>
      <c r="IW266" s="347" t="b">
        <f t="shared" si="141"/>
        <v>0</v>
      </c>
      <c r="IX266" s="347" t="b">
        <f t="shared" si="142"/>
        <v>0</v>
      </c>
      <c r="IY266" s="347" t="b">
        <f t="shared" si="143"/>
        <v>0</v>
      </c>
      <c r="IZ266" s="347" t="b">
        <f t="shared" si="144"/>
        <v>0</v>
      </c>
      <c r="JA266" s="347" t="b">
        <f t="shared" si="145"/>
        <v>1</v>
      </c>
      <c r="JB266" s="353" t="b">
        <f t="shared" si="146"/>
        <v>0</v>
      </c>
      <c r="JC266" s="354" t="str">
        <f t="shared" si="147"/>
        <v/>
      </c>
      <c r="JD266" s="355" t="str">
        <f t="shared" si="148"/>
        <v/>
      </c>
      <c r="JE266" s="355" t="str">
        <f t="shared" si="149"/>
        <v/>
      </c>
      <c r="JF266" s="355" t="str">
        <f t="shared" si="150"/>
        <v/>
      </c>
      <c r="JG266" s="355" t="str">
        <f t="shared" si="151"/>
        <v/>
      </c>
      <c r="JH266" s="355" t="str">
        <f t="shared" si="152"/>
        <v/>
      </c>
      <c r="JI266" s="355" t="str">
        <f t="shared" si="153"/>
        <v/>
      </c>
      <c r="JJ266" s="355" t="str">
        <f t="shared" si="154"/>
        <v/>
      </c>
      <c r="JK266" s="355" t="str">
        <f t="shared" si="155"/>
        <v/>
      </c>
      <c r="JL266" s="355" t="str">
        <f t="shared" si="156"/>
        <v/>
      </c>
      <c r="JM266" s="355" t="str">
        <f t="shared" si="157"/>
        <v/>
      </c>
      <c r="JN266" s="355" t="str">
        <f t="shared" si="158"/>
        <v>Ni, </v>
      </c>
      <c r="JO266" s="359" t="str">
        <f t="shared" si="159"/>
        <v/>
      </c>
      <c r="JP266" s="346" t="b">
        <f t="shared" si="160"/>
        <v>0</v>
      </c>
      <c r="JQ266" s="347" t="b">
        <f t="shared" si="161"/>
        <v>0</v>
      </c>
      <c r="JR266" s="347" t="b">
        <f t="shared" si="162"/>
        <v>0</v>
      </c>
      <c r="JS266" s="347" t="b">
        <f t="shared" si="163"/>
        <v>0</v>
      </c>
      <c r="JT266" s="347" t="b">
        <f t="shared" si="164"/>
        <v>0</v>
      </c>
      <c r="JU266" s="347" t="b">
        <f t="shared" si="165"/>
        <v>0</v>
      </c>
      <c r="JV266" s="347" t="b">
        <f t="shared" si="166"/>
        <v>0</v>
      </c>
      <c r="JW266" s="347" t="b">
        <f t="shared" si="167"/>
        <v>0</v>
      </c>
      <c r="JX266" s="347" t="b">
        <f t="shared" si="168"/>
        <v>0</v>
      </c>
      <c r="JY266" s="347" t="b">
        <f t="shared" si="169"/>
        <v>0</v>
      </c>
      <c r="JZ266" s="347" t="b">
        <f t="shared" si="170"/>
        <v>0</v>
      </c>
      <c r="KA266" s="347" t="b">
        <f t="shared" si="171"/>
        <v>0</v>
      </c>
      <c r="KB266" s="365" t="b">
        <f t="shared" si="172"/>
        <v>0</v>
      </c>
      <c r="KC266" s="354" t="str">
        <f t="shared" si="173"/>
        <v/>
      </c>
      <c r="KD266" s="355" t="str">
        <f t="shared" si="174"/>
        <v/>
      </c>
      <c r="KE266" s="355" t="str">
        <f t="shared" si="175"/>
        <v/>
      </c>
      <c r="KF266" s="355" t="str">
        <f t="shared" si="176"/>
        <v/>
      </c>
      <c r="KG266" s="355" t="str">
        <f t="shared" si="177"/>
        <v/>
      </c>
      <c r="KH266" s="355" t="str">
        <f t="shared" si="178"/>
        <v/>
      </c>
      <c r="KI266" s="355" t="str">
        <f t="shared" si="179"/>
        <v/>
      </c>
      <c r="KJ266" s="355" t="str">
        <f t="shared" si="180"/>
        <v/>
      </c>
      <c r="KK266" s="355" t="str">
        <f t="shared" si="181"/>
        <v/>
      </c>
      <c r="KL266" s="355" t="str">
        <f t="shared" si="182"/>
        <v/>
      </c>
      <c r="KM266" s="355" t="str">
        <f t="shared" si="183"/>
        <v/>
      </c>
      <c r="KN266" s="355" t="str">
        <f t="shared" si="184"/>
        <v/>
      </c>
      <c r="KO266" s="359"/>
      <c r="KP266" s="378"/>
      <c r="KQ266" s="379" t="s">
        <v>9</v>
      </c>
      <c r="KR266" s="380" t="s">
        <v>9</v>
      </c>
      <c r="KS266" s="381" t="s">
        <v>9</v>
      </c>
      <c r="KT266" s="382">
        <f t="shared" si="186"/>
        <v>0</v>
      </c>
      <c r="KU266" s="383">
        <f t="shared" si="187"/>
        <v>0</v>
      </c>
      <c r="KV266" s="381" t="str">
        <f t="shared" si="205"/>
        <v>S</v>
      </c>
      <c r="KW266" s="382">
        <f t="shared" si="189"/>
        <v>0</v>
      </c>
      <c r="KX266" s="384">
        <f t="shared" si="190"/>
        <v>0</v>
      </c>
      <c r="KY266" s="382">
        <f t="shared" ref="KY266:KZ266" si="755">KW266-KT266</f>
        <v>0</v>
      </c>
      <c r="KZ266" s="369">
        <f t="shared" si="755"/>
        <v>0</v>
      </c>
      <c r="LA266" s="385" t="str">
        <f t="shared" si="192"/>
        <v>✔</v>
      </c>
      <c r="LB266" s="340" t="str">
        <f>IFERROR(__xludf.DUMMYFUNCTION("JOIN("""",ArrayFormula(MID(KS266,LEN(KS266)-SEQUENCE(1,LEN(KS266))+1,1)))"),"S")</f>
        <v>S</v>
      </c>
      <c r="LC266" s="373" t="str">
        <f>IFERROR(__xludf.DUMMYFUNCTION("JOIN("""",ArrayFormula(MID(KV266,LEN(KV266)-SEQUENCE(1,LEN(KV266))+1,1)))"),"S")</f>
        <v>S</v>
      </c>
      <c r="LD266" s="373" t="str">
        <f t="shared" si="193"/>
        <v>S</v>
      </c>
      <c r="LE266" s="339" t="str">
        <f t="shared" si="194"/>
        <v>S</v>
      </c>
      <c r="LF266" s="386" t="str">
        <f>IFERROR(__xludf.DUMMYFUNCTION("SUBSTITUTE(SUBSTITUTE(CONCATENATE(JOIN("""",LH266:LT266)),""1"",""""),""2"","""")"),"SS")</f>
        <v>SS</v>
      </c>
      <c r="LG266" s="369" t="str">
        <f t="shared" si="195"/>
        <v>-</v>
      </c>
      <c r="LH266" s="387" t="str">
        <f>IFERROR(__xludf.DUMMYFUNCTION("IF(REGEXMATCH(LD266, ""S""), ""S"",IF(REGEXMATCH(LE266, ""S""), ""S"",""""))"),"S")</f>
        <v>S</v>
      </c>
      <c r="LI266" s="299" t="str">
        <f>IFERROR(__xludf.DUMMYFUNCTION("IF(REGEXMATCH(LD266, ""r""), ""r1"",IF(REGEXMATCH(LE266, ""r""), ""r2"",""""))"),"")</f>
        <v/>
      </c>
      <c r="LJ266" s="299" t="str">
        <f>IFERROR(__xludf.DUMMYFUNCTION("IF(REGEXMATCH(LD266, ""R""), ""R1"",IF(REGEXMATCH(LE266, ""R""), ""R2"",""""))"),"")</f>
        <v/>
      </c>
      <c r="LK266" s="299" t="str">
        <f>IFERROR(__xludf.DUMMYFUNCTION("IF(REGEXMATCH(LD266, ""g""), ""g1"",IF(REGEXMATCH(LE266, ""g""), ""g2"",""""))"),"")</f>
        <v/>
      </c>
      <c r="LL266" s="299" t="str">
        <f>IFERROR(__xludf.DUMMYFUNCTION("IF(REGEXMATCH(LD266, ""G""), ""G1"",IF(REGEXMATCH(LE266, ""G""), ""G2"",""""))"),"")</f>
        <v/>
      </c>
      <c r="LM266" s="299" t="str">
        <f>IFERROR(__xludf.DUMMYFUNCTION("IF(REGEXMATCH(LD266, ""m""), ""m1"",IF(REGEXMATCH(LE266, ""m""), ""m2"",""""))"),"")</f>
        <v/>
      </c>
      <c r="LN266" s="299" t="str">
        <f>IFERROR(__xludf.DUMMYFUNCTION("IF(REGEXMATCH(LD266, ""M""), ""M1"",IF(REGEXMATCH(LE266, ""M""), ""M2"",""""))"),"")</f>
        <v/>
      </c>
      <c r="LO266" s="299" t="str">
        <f>IFERROR(__xludf.DUMMYFUNCTION("IF(REGEXMATCH(LD266, ""P""), ""P1"",IF(REGEXMATCH(LE266, ""P""), ""P2"",""""))"),"")</f>
        <v/>
      </c>
      <c r="LP266" s="299" t="str">
        <f>IFERROR(__xludf.DUMMYFUNCTION("IF(REGEXMATCH(LD266, ""d""), ""d1"",IF(REGEXMATCH(LE266, ""d""), ""d2"",""""))"),"")</f>
        <v/>
      </c>
      <c r="LQ266" s="299" t="str">
        <f>IFERROR(__xludf.DUMMYFUNCTION("IF(REGEXMATCH(LD266, ""D""), ""D1"",IF(REGEXMATCH(LE266, ""D""), ""D2"",""""))"),"")</f>
        <v/>
      </c>
      <c r="LR266" s="299" t="str">
        <f>IFERROR(__xludf.DUMMYFUNCTION("IF(REGEXMATCH(LD266, ""n""), ""n1"",IF(REGEXMATCH(LE266, ""n""), ""n2"",""""))"),"")</f>
        <v/>
      </c>
      <c r="LS266" s="299" t="str">
        <f>IFERROR(__xludf.DUMMYFUNCTION("IF(REGEXMATCH(LD266, ""N""), ""N1"",IF(REGEXMATCH(LE266, ""N""), ""N2"",""""))"),"")</f>
        <v/>
      </c>
      <c r="LT266" s="388" t="str">
        <f>IFERROR(__xludf.DUMMYFUNCTION("IF(REGEXMATCH(LD266, ""S""), ""S"",IF(REGEXMATCH(LE266, ""S""), ""S"",""""))"),"S")</f>
        <v>S</v>
      </c>
      <c r="LU266" s="389">
        <f t="shared" si="196"/>
        <v>1</v>
      </c>
      <c r="LV266" s="378"/>
      <c r="LW266" s="369"/>
      <c r="LX266" s="369"/>
    </row>
    <row r="267" ht="18.0" customHeight="1">
      <c r="A267" s="298" t="s">
        <v>1053</v>
      </c>
      <c r="B267" s="222" t="s">
        <v>665</v>
      </c>
      <c r="C267" s="233" t="str">
        <f t="shared" si="7"/>
        <v>SrRgGmMPdDnNS</v>
      </c>
      <c r="D267" s="234" t="str">
        <f>IFERROR(__xludf.DUMMYFUNCTION("IF(REGEXMATCH(C267, ""S""), ""S"","""")"),"S")</f>
        <v>S</v>
      </c>
      <c r="E267" s="236" t="str">
        <f>IFERROR(__xludf.DUMMYFUNCTION("IF(REGEXMATCH(C267, ""r""), ""r"","""")"),"r")</f>
        <v>r</v>
      </c>
      <c r="F267" s="237" t="str">
        <f>IFERROR(__xludf.DUMMYFUNCTION("IF(REGEXMATCH(C267, ""R""), ""R"","""")"),"R")</f>
        <v>R</v>
      </c>
      <c r="G267" s="237" t="str">
        <f>IFERROR(__xludf.DUMMYFUNCTION("IF(REGEXMATCH(C267, ""g""), ""g"","""")"),"g")</f>
        <v>g</v>
      </c>
      <c r="H267" s="236" t="str">
        <f>IFERROR(__xludf.DUMMYFUNCTION("IF(REGEXMATCH(C267, ""G""), ""G"","""")"),"G")</f>
        <v>G</v>
      </c>
      <c r="I267" s="236" t="str">
        <f>IFERROR(__xludf.DUMMYFUNCTION("IF(REGEXMATCH(C267, ""m""), ""m"","""")"),"m")</f>
        <v>m</v>
      </c>
      <c r="J267" s="237" t="str">
        <f>IFERROR(__xludf.DUMMYFUNCTION("IF(REGEXMATCH(C267, ""M""), ""M"","""")"),"M")</f>
        <v>M</v>
      </c>
      <c r="K267" s="236" t="str">
        <f>IFERROR(__xludf.DUMMYFUNCTION("IF(REGEXMATCH(C267, ""P""), ""P"","""")"),"P")</f>
        <v>P</v>
      </c>
      <c r="L267" s="237" t="str">
        <f>IFERROR(__xludf.DUMMYFUNCTION("IF(REGEXMATCH(C267, ""d""), ""d"","""")"),"d")</f>
        <v>d</v>
      </c>
      <c r="M267" s="236" t="str">
        <f>IFERROR(__xludf.DUMMYFUNCTION("IF(REGEXMATCH(C267, ""D""), ""D"","""")"),"D")</f>
        <v>D</v>
      </c>
      <c r="N267" s="236" t="str">
        <f>IFERROR(__xludf.DUMMYFUNCTION("IF(REGEXMATCH(C267, ""n""), ""n"","""")"),"n")</f>
        <v>n</v>
      </c>
      <c r="O267" s="237" t="str">
        <f>IFERROR(__xludf.DUMMYFUNCTION("IF(REGEXMATCH(C267, ""N""), ""N"","""")"),"N")</f>
        <v>N</v>
      </c>
      <c r="P267" s="238" t="str">
        <f>IFERROR(__xludf.DUMMYFUNCTION("IF(REGEXMATCH(C267, ""S""), ""S"","""")"),"S")</f>
        <v>S</v>
      </c>
      <c r="Q267" s="239" t="str">
        <f>IFERROR(__xludf.DUMMYFUNCTION("SUBSTITUTE(CONCATENATE(JOIN(""-"",D267:J267)),""-"","""")"),"SrRgGmM")</f>
        <v>SrRgGmM</v>
      </c>
      <c r="R267" s="229" t="str">
        <f>IFERROR(__xludf.DUMMYFUNCTION("SUBSTITUTE(CONCATENATE(JOIN(""-"",K267:P267)),""-"","""")"),"PdDnNS")</f>
        <v>PdDnNS</v>
      </c>
      <c r="S267" s="282" t="str">
        <f t="shared" si="8"/>
        <v>S-R-G-M</v>
      </c>
      <c r="T267" s="282" t="str">
        <f t="shared" si="9"/>
        <v>P-D-N-S</v>
      </c>
      <c r="U267" s="237" t="str">
        <f>IFERROR(__xludf.DUMMYFUNCTION("SUBSTITUTE(JOIN(""-"",S267,T267),""--"",""-"")"),"S-R-G-M-P-D-N-S")</f>
        <v>S-R-G-M-P-D-N-S</v>
      </c>
      <c r="V267" s="309" t="str">
        <f t="shared" si="10"/>
        <v>rRgGmMdDnN</v>
      </c>
      <c r="W267" s="244" t="str">
        <f>IFERROR(__xludf.DUMMYFUNCTION("IF(REGEXMATCH(C267, ""S""), ""0"","""")"),"0")</f>
        <v>0</v>
      </c>
      <c r="X267" s="245" t="str">
        <f>IFERROR(__xludf.DUMMYFUNCTION("IF(REGEXMATCH(C267, ""r""), ""1"","""")"),"1")</f>
        <v>1</v>
      </c>
      <c r="Y267" s="246" t="str">
        <f>IFERROR(__xludf.DUMMYFUNCTION("IF(REGEXMATCH(C267, ""R""), ""2"","""")"),"2")</f>
        <v>2</v>
      </c>
      <c r="Z267" s="246" t="str">
        <f>IFERROR(__xludf.DUMMYFUNCTION("IF(REGEXMATCH(C267, ""g""), ""3"","""")"),"3")</f>
        <v>3</v>
      </c>
      <c r="AA267" s="245" t="str">
        <f>IFERROR(__xludf.DUMMYFUNCTION("IF(REGEXMATCH(C267, ""G""), ""4"","""")"),"4")</f>
        <v>4</v>
      </c>
      <c r="AB267" s="245" t="str">
        <f>IFERROR(__xludf.DUMMYFUNCTION("IF(REGEXMATCH(C267, ""m""), ""5"","""")"),"5")</f>
        <v>5</v>
      </c>
      <c r="AC267" s="246" t="str">
        <f>IFERROR(__xludf.DUMMYFUNCTION("IF(REGEXMATCH(C267, ""M""), ""6"","""")"),"6")</f>
        <v>6</v>
      </c>
      <c r="AD267" s="245" t="str">
        <f>IFERROR(__xludf.DUMMYFUNCTION("IF(REGEXMATCH(C267, ""P""), ""7"","""")"),"7")</f>
        <v>7</v>
      </c>
      <c r="AE267" s="246" t="str">
        <f>IFERROR(__xludf.DUMMYFUNCTION("IF(REGEXMATCH(C267, ""d""), ""8"","""")"),"8")</f>
        <v>8</v>
      </c>
      <c r="AF267" s="245" t="str">
        <f>IFERROR(__xludf.DUMMYFUNCTION("IF(REGEXMATCH(C267, ""D""), ""9"","""")"),"9")</f>
        <v>9</v>
      </c>
      <c r="AG267" s="245" t="str">
        <f>IFERROR(__xludf.DUMMYFUNCTION("IF(REGEXMATCH(C267, ""n""), ""10"","""")"),"10")</f>
        <v>10</v>
      </c>
      <c r="AH267" s="246" t="str">
        <f>IFERROR(__xludf.DUMMYFUNCTION("IF(REGEXMATCH(C267, ""N""), ""11"","""")"),"11")</f>
        <v>11</v>
      </c>
      <c r="AI267" s="249" t="str">
        <f>IFERROR(__xludf.DUMMYFUNCTION("IF(REGEXMATCH(C267, ""S""), ""0"","""")"),"0")</f>
        <v>0</v>
      </c>
      <c r="AJ267" s="313" t="str">
        <f t="shared" si="11"/>
        <v>T</v>
      </c>
      <c r="AK267" s="313" t="str">
        <f t="shared" si="12"/>
        <v>T</v>
      </c>
      <c r="AL267" s="313" t="str">
        <f t="shared" si="13"/>
        <v>T</v>
      </c>
      <c r="AM267" s="313" t="str">
        <f t="shared" si="14"/>
        <v>T</v>
      </c>
      <c r="AN267" s="313" t="str">
        <f t="shared" si="15"/>
        <v>T</v>
      </c>
      <c r="AO267" s="314" t="str">
        <f t="shared" si="16"/>
        <v>T</v>
      </c>
      <c r="AP267" s="316">
        <f t="shared" si="17"/>
        <v>6</v>
      </c>
      <c r="AQ267" s="319" t="str">
        <f t="shared" si="18"/>
        <v>-</v>
      </c>
      <c r="AR267" s="320">
        <f t="shared" si="19"/>
        <v>0</v>
      </c>
      <c r="AS267" s="250" t="str">
        <f>IFERROR(__xludf.DUMMYFUNCTION("SUBSTITUTE(SUBSTITUTE(CONCATENATE(JOIN("""",FP267:GA267)),""|"",""x""),""-"",""o"")"),"xxxxxxxxxxxx")</f>
        <v>xxxxxxxxxxxx</v>
      </c>
      <c r="AT267" s="323" t="str">
        <f>IFERROR(__xludf.DUMMYFUNCTION("JOIN("""",AS267,AS267)"),"xxxxxxxxxxxxxxxxxxxxxxxx")</f>
        <v>xxxxxxxxxxxxxxxxxxxxxxxx</v>
      </c>
      <c r="AU267" s="256" t="str">
        <f>IFERROR(__xludf.DUMMYFUNCTION("JOIN("""",ArrayFormula(MID(AS267,LEN(AS267)-SEQUENCE(1,LEN(AS267))+1,1)))"),"xxxxxxxxxxxx")</f>
        <v>xxxxxxxxxxxx</v>
      </c>
      <c r="AV267" s="256" t="str">
        <f>IFERROR(__xludf.DUMMYFUNCTION("LEFT(CONCATENATE(""x"",JOIN("""",ArrayFormula(MID(AS267,LEN(AS267)-SEQUENCE(1,LEN(AS267))+1,1)))),12)"),"xxxxxxxxxxxx")</f>
        <v>xxxxxxxxxxxx</v>
      </c>
      <c r="AW267" s="327" t="str">
        <f>IFERROR(__xludf.DUMMYFUNCTION("JOIN("""",AU267,AU267)"),"xxxxxxxxxxxxxxxxxxxxxxxx")</f>
        <v>xxxxxxxxxxxxxxxxxxxxxxxx</v>
      </c>
      <c r="AX267" s="239" t="str">
        <f>IFERROR(__xludf.DUMMYFUNCTION("IF(REGEXMATCH(AW267,AS267),""✔"",""-"")"),"✔")</f>
        <v>✔</v>
      </c>
      <c r="AY267" s="330" t="str">
        <f t="shared" si="20"/>
        <v>✔</v>
      </c>
      <c r="AZ267" s="260" t="str">
        <f t="shared" si="21"/>
        <v>#REF!</v>
      </c>
      <c r="BA267" s="333" t="str">
        <f t="shared" si="22"/>
        <v>xxxxxxx</v>
      </c>
      <c r="BB267" s="334" t="str">
        <f t="shared" si="23"/>
        <v>xxxxxx</v>
      </c>
      <c r="BC267" s="335" t="str">
        <f t="shared" si="236"/>
        <v>✔</v>
      </c>
      <c r="BD267" s="336" t="str">
        <f t="shared" si="25"/>
        <v>Patmanjari: 'xxxxxxx' + 'xxxxxx'</v>
      </c>
      <c r="BE267" s="337">
        <f>IFERROR(__xludf.DUMMYFUNCTION("COUNTUNIQUE(FILTER(AT:AT,REGEXMATCH(AT:AT,AS267)))-1"),0.0)</f>
        <v>0</v>
      </c>
      <c r="BF267" s="261" t="str">
        <f>IFERROR(__xludf.DUMMYFUNCTION("IF(BI267=0,""(n/a)"",IF(BJ267=2,""(PAIR)"",IF(REGEXMATCH(AT267,""xoxoxxoxoxox""),""Bilawal"",IF(REGEXMATCH(AT267,""xoxoxooxoxoo""),""Bhupali"",IF(REGEXMATCH(AT267,""xoxoxxoxxoxo""),""Charukeshi"",IF(REGEXMATCH(AT267,""xoxoooxxoxxo""),""Kameshwari"",IF(REG"&amp;"EXMATCH(AT267,""xoxoxooxoxox""),""Shankara"",IF(REGEXMATCH(AT267,""xxooxoxxxoox""),""Basant"",IF(REGEXMATCH(AT267,""xoxoxxxxoxox""),""Bihag"",IF(REGEXMATCH(AT267,""xoxxxxoxoxxx""),""Pilu"",IF(REGEXMATCH(AT267,""xoxxoxoxxoox""),""Kirwani"",IF(REGEXMATCH(AT"&amp;"267,""xoxxoxoxoxxx""),""Mk.Malhar"",IF(REGEXMATCH(AT267,""xxooxxoxxoox""),""Bhairav"",IF(REGEXMATCH(AT267,""xxoxooxxxoox""),""Todi"",IF(REGEXMATCH(AT267,""xxooxoxooxox""),""Marwa"",IF(REGEXMATCH(AT267,""xxoooxoxxooo""),""Gunkali"",IF(REGEXMATCH(AT267,""xo"&amp;"xoxxoxxoox""),""Nat Bhairav"",IF(REGEXMATCH(AT267,""xoxxoooxoxoo""),""Shivranjani"",IF(REGEXMATCH(AT267,""xooxxxoxooxo""),""Jog"",IF(REGEXMATCH(AT267,""xxooxoxoxoox""),""Hemshri"",IF(REGEXMATCH(AT267,""xoooxooxoxxo""),""Kalavati"",IF(REGEXMATCH(AT267,""xx"&amp;"oxoxxoxoox""),""Kedar"",IF(REGEXMATCH(AT267,""xoxxxxoxooxx""),""Gara"",IF(REGEXMATCH(AT267,""xooxoxooxoox""),""Chandrakauns"",IF(REGEXMATCH(AT267,""xoxxxxoxxxox""),""Mand"",IF(REGEXMATCH(AT267,""xoxxxxoxoxox""),""Hanskinkini"",IF(REGEXMATCH(AT267,""xxooxx"&amp;"oxooxo""),""Lilavati"",IF(REGEXMATCH(AT267,""xooxoxoooxox""),""Rajeshwari"",IF(REGEXMATCH(AT267,""xoooxxoxoxxx""),""Khokar"",IF(REGEXMATCH(AT267,""xxooxoxxxxox""),""Maligoura"",""-""))))))))))))))))))))))))))))))"),"(n/a)")</f>
        <v>(n/a)</v>
      </c>
      <c r="BG267" s="239" t="str">
        <f t="shared" si="26"/>
        <v>#REF!</v>
      </c>
      <c r="BH267" s="239">
        <f>IFERROR(__xludf.DUMMYFUNCTION("COUNTUNIQUE(FE267:FO267)-1"),0.0)</f>
        <v>0</v>
      </c>
      <c r="BI267" s="239">
        <f>IFERROR(__xludf.DUMMYFUNCTION("COUNTUNIQUE(FILTER(AT:AT,REGEXMATCH(AT:AT,AS267)))-1"),0.0)</f>
        <v>0</v>
      </c>
      <c r="BJ267" s="239">
        <f>IFERROR(__xludf.DUMMYFUNCTION("COUNTA(FILTER(AT:AT,REGEXMATCH(AT:AT,AS267)))"),2.0)</f>
        <v>2</v>
      </c>
      <c r="BK267" s="341">
        <f>IFERROR(__xludf.DUMMYFUNCTION("COUNTA(FILTER(AT:AT,REGEXMATCH(AT:AT,AS267)))-AR267"),2.0)</f>
        <v>2</v>
      </c>
      <c r="BL267" s="276" t="str">
        <f>IFERROR(__xludf.DUMMYFUNCTION("IF(AS267=""oooooooooooo"",""-"",IF(REGEXMATCH(AT267,""xx""), ""Hemi."", ""Anhemi.""))"),"Hemi.")</f>
        <v>Hemi.</v>
      </c>
      <c r="BM267" s="282" t="str">
        <f>IFERROR(__xludf.DUMMYFUNCTION("IF(AS267=""oooooooooooo"",""-"",IF(REGEXMATCH(AT267,""xxx""), ""Cohem."", ""-""))"),"Cohem.")</f>
        <v>Cohem.</v>
      </c>
      <c r="BN267" s="282" t="str">
        <f>IFERROR(__xludf.DUMMYFUNCTION("IF(AS267=""oooooooooooo"",""-"",IF(REGEXMATCH(AT267,""xxxx""), ""Co-Co."", ""-""))"),"Co-Co.")</f>
        <v>Co-Co.</v>
      </c>
      <c r="BO267" s="342" t="str">
        <f>IFERROR(__xludf.DUMMYFUNCTION("IF(AS267=""oooooooooooo"",""-"",IF(REGEXMATCH(AT267,""xxxxx""), ""CCC."", ""-""))"),"CCC.")</f>
        <v>CCC.</v>
      </c>
      <c r="BP267" s="344" t="str">
        <f t="shared" si="27"/>
        <v>-</v>
      </c>
      <c r="BQ267" s="282" t="str">
        <f>IFERROR(__xludf.DUMMYFUNCTION("IF(REGEXMATCH(JOIN(""-"",EU267:FD267),""TRUE""),""✔"",""-"")"),"-")</f>
        <v>-</v>
      </c>
      <c r="BR267" s="225">
        <f t="shared" si="28"/>
        <v>0</v>
      </c>
      <c r="BS267" s="345" t="str">
        <f>IFERROR(__xludf.DUMMYFUNCTION("SUBSTITUTE(SUBSTITUTE(SUBSTITUTE(SUBSTITUTE(CONCATENATE(JOIN(""-"",GC267:GO267)),""--"",""-""),""--"",""-""),""--"",""-""),""--"",""-"")"),"1-b2-2-b3-3-4-#4-5-b6-6-b7-7-8")</f>
        <v>1-b2-2-b3-3-4-#4-5-b6-6-b7-7-8</v>
      </c>
      <c r="BT267" s="299" t="str">
        <f>IFERROR(__xludf.DUMMYFUNCTION("SUBSTITUTE(SUBSTITUTE(SUBSTITUTE(SUBSTITUTE(CONCATENATE(JOIN(""-"",GP267:HB267)),""--"",""-""),""--"",""-""),""--"",""-""),""--"",""-"")"),"S-R1-R2-G2-G3-M1-M2-P-D1-D2-N2-N3-S")</f>
        <v>S-R1-R2-G2-G3-M1-M2-P-D1-D2-N2-N3-S</v>
      </c>
      <c r="BU267" s="348" t="str">
        <f t="shared" si="29"/>
        <v>C-Db-D-Eb-E-F-F#-G-Ab-A-Bb-B-C</v>
      </c>
      <c r="BV267" s="349" t="str">
        <f t="shared" si="30"/>
        <v>SS</v>
      </c>
      <c r="BW267" s="350">
        <f t="shared" si="31"/>
        <v>0</v>
      </c>
      <c r="BX267" s="351">
        <f t="shared" si="32"/>
        <v>2</v>
      </c>
      <c r="BY267" s="352" t="s">
        <v>275</v>
      </c>
      <c r="BZ267" s="309" t="str">
        <f>IFERROR(__xludf.DUMMYFUNCTION("IF(REGEXMATCH(C267, ""S""), ""x"",""x"")"),"x")</f>
        <v>x</v>
      </c>
      <c r="CA267" s="245" t="str">
        <f>IFERROR(__xludf.DUMMYFUNCTION("IF(REGEXMATCH(C267, ""r""), ""o"",""x"")"),"o")</f>
        <v>o</v>
      </c>
      <c r="CB267" s="246" t="str">
        <f>IFERROR(__xludf.DUMMYFUNCTION("IF(REGEXMATCH(C267, ""R""), ""o"",""x"")"),"o")</f>
        <v>o</v>
      </c>
      <c r="CC267" s="246" t="str">
        <f>IFERROR(__xludf.DUMMYFUNCTION("IF(REGEXMATCH(C267, ""g""), ""o"",""x"")"),"o")</f>
        <v>o</v>
      </c>
      <c r="CD267" s="245" t="str">
        <f>IFERROR(__xludf.DUMMYFUNCTION("IF(REGEXMATCH(C267, ""G""), ""o"",""x"")"),"o")</f>
        <v>o</v>
      </c>
      <c r="CE267" s="245" t="str">
        <f>IFERROR(__xludf.DUMMYFUNCTION("IF(REGEXMATCH(C267, ""m""), ""o"",""x"")"),"o")</f>
        <v>o</v>
      </c>
      <c r="CF267" s="246" t="str">
        <f>IFERROR(__xludf.DUMMYFUNCTION("IF(REGEXMATCH(C267, ""M""), ""o"",""x"")"),"o")</f>
        <v>o</v>
      </c>
      <c r="CG267" s="245" t="str">
        <f>IFERROR(__xludf.DUMMYFUNCTION("IF(REGEXMATCH(C267, ""P""), ""o"",""x"")"),"o")</f>
        <v>o</v>
      </c>
      <c r="CH267" s="246" t="str">
        <f>IFERROR(__xludf.DUMMYFUNCTION("IF(REGEXMATCH(C267, ""d""), ""o"",""x"")"),"o")</f>
        <v>o</v>
      </c>
      <c r="CI267" s="245" t="str">
        <f>IFERROR(__xludf.DUMMYFUNCTION("IF(REGEXMATCH(C267, ""D""), ""o"",""x"")"),"o")</f>
        <v>o</v>
      </c>
      <c r="CJ267" s="245" t="str">
        <f>IFERROR(__xludf.DUMMYFUNCTION("IF(REGEXMATCH(C267, ""n""), ""o"",""x"")"),"o")</f>
        <v>o</v>
      </c>
      <c r="CK267" s="245" t="str">
        <f>IFERROR(__xludf.DUMMYFUNCTION("IF(REGEXMATCH(C267, ""N""), ""o"",""x"")"),"o")</f>
        <v>o</v>
      </c>
      <c r="CL267" s="356" t="str">
        <f>IFERROR(__xludf.DUMMYFUNCTION("IF(REGEXMATCH(C267, ""S""), ""x"",""x"")"),"x")</f>
        <v>x</v>
      </c>
      <c r="CM267" s="357" t="str">
        <f t="shared" si="33"/>
        <v>xooooooooooo</v>
      </c>
      <c r="CN267" s="358">
        <f t="shared" si="34"/>
        <v>0</v>
      </c>
      <c r="CO267" s="246" t="str">
        <f>IFERROR(__xludf.DUMMYFUNCTION("IF(REGEXMATCH($C267, ""S""), ""S"",""S"")"),"S")</f>
        <v>S</v>
      </c>
      <c r="CP267" s="246" t="str">
        <f>IFERROR(__xludf.DUMMYFUNCTION("IF(REGEXMATCH($C267, ""r""), """",""r"")"),"")</f>
        <v/>
      </c>
      <c r="CQ267" s="246" t="str">
        <f>IFERROR(__xludf.DUMMYFUNCTION("IF(REGEXMATCH($C267, ""R""), """",""R"")"),"")</f>
        <v/>
      </c>
      <c r="CR267" s="246" t="str">
        <f>IFERROR(__xludf.DUMMYFUNCTION("IF(REGEXMATCH($C267, ""g""), """",""g"")"),"")</f>
        <v/>
      </c>
      <c r="CS267" s="246" t="str">
        <f>IFERROR(__xludf.DUMMYFUNCTION("IF(REGEXMATCH($C267, ""G""), """",""G"")"),"")</f>
        <v/>
      </c>
      <c r="CT267" s="246" t="str">
        <f>IFERROR(__xludf.DUMMYFUNCTION("IF(REGEXMATCH($C267, ""m""), """",""m"")"),"")</f>
        <v/>
      </c>
      <c r="CU267" s="246" t="str">
        <f>IFERROR(__xludf.DUMMYFUNCTION("IF(REGEXMATCH($C267, ""M""), """",""M"")"),"")</f>
        <v/>
      </c>
      <c r="CV267" s="246" t="str">
        <f>IFERROR(__xludf.DUMMYFUNCTION("IF(REGEXMATCH($C267, ""P""), """",""P"")"),"")</f>
        <v/>
      </c>
      <c r="CW267" s="246" t="str">
        <f>IFERROR(__xludf.DUMMYFUNCTION("IF(REGEXMATCH($C267, ""d""), """",""d"")"),"")</f>
        <v/>
      </c>
      <c r="CX267" s="246" t="str">
        <f>IFERROR(__xludf.DUMMYFUNCTION("IF(REGEXMATCH($C267, ""D""), """",""D"")"),"")</f>
        <v/>
      </c>
      <c r="CY267" s="246" t="str">
        <f>IFERROR(__xludf.DUMMYFUNCTION("IF(REGEXMATCH($C267, ""n""), """",""n"")"),"")</f>
        <v/>
      </c>
      <c r="CZ267" s="246" t="str">
        <f>IFERROR(__xludf.DUMMYFUNCTION("IF(REGEXMATCH($C267, ""N""), """",""N"")"),"")</f>
        <v/>
      </c>
      <c r="DA267" s="246" t="str">
        <f>IFERROR(__xludf.DUMMYFUNCTION("IF(REGEXMATCH($C267, ""S""), ""S"",""S"")"),"S")</f>
        <v>S</v>
      </c>
      <c r="DB267" s="362" t="str">
        <f>IFERROR(__xludf.DUMMYFUNCTION("JOIN("""",CO267:DA267,"""","""")"),"SS")</f>
        <v>SS</v>
      </c>
      <c r="DC267" s="363"/>
      <c r="DD267" s="301" t="str">
        <f t="shared" si="35"/>
        <v>#REF!</v>
      </c>
      <c r="DE267" s="302" t="str">
        <f t="shared" si="36"/>
        <v>#REF!</v>
      </c>
      <c r="DF267" s="301" t="str">
        <f t="shared" ref="DF267:DG267" si="756">SUBSTITUTE(S267,"-","")</f>
        <v>SRGM</v>
      </c>
      <c r="DG267" s="301" t="str">
        <f t="shared" si="756"/>
        <v>PDNS</v>
      </c>
      <c r="DH267" s="302" t="str">
        <f t="shared" si="38"/>
        <v>(n/a)</v>
      </c>
      <c r="DI267" s="301" t="str">
        <f t="shared" si="39"/>
        <v>Hemi.</v>
      </c>
      <c r="DJ267" s="364" t="str">
        <f t="shared" si="40"/>
        <v>CCC.</v>
      </c>
      <c r="DK267" s="306" t="str">
        <f t="shared" si="41"/>
        <v>-</v>
      </c>
      <c r="DL267" s="366" t="str">
        <f t="shared" si="42"/>
        <v>-</v>
      </c>
      <c r="DM267" s="308" t="str">
        <f t="shared" si="43"/>
        <v>✔</v>
      </c>
      <c r="DN267" s="306" t="str">
        <f t="shared" si="44"/>
        <v>-</v>
      </c>
      <c r="DO267" s="306" t="str">
        <f t="shared" si="45"/>
        <v>-</v>
      </c>
      <c r="DP267" s="367" t="str">
        <f t="shared" si="46"/>
        <v>-</v>
      </c>
      <c r="DQ267" s="310" t="str">
        <f t="shared" si="47"/>
        <v>✔</v>
      </c>
      <c r="DR267" s="310" t="str">
        <f t="shared" si="48"/>
        <v>✔</v>
      </c>
      <c r="DS267" s="310" t="str">
        <f t="shared" si="49"/>
        <v>✔</v>
      </c>
      <c r="DT267" s="310" t="str">
        <f t="shared" si="50"/>
        <v>✔</v>
      </c>
      <c r="DU267" s="370" t="str">
        <f t="shared" si="51"/>
        <v>✔</v>
      </c>
      <c r="DV267" s="306" t="str">
        <f t="shared" si="52"/>
        <v>-</v>
      </c>
      <c r="DW267" s="306" t="str">
        <f t="shared" si="53"/>
        <v>-</v>
      </c>
      <c r="DX267" s="306" t="str">
        <f t="shared" si="54"/>
        <v>-</v>
      </c>
      <c r="DY267" s="306" t="str">
        <f t="shared" si="55"/>
        <v>-</v>
      </c>
      <c r="DZ267" s="306" t="str">
        <f t="shared" si="56"/>
        <v>-</v>
      </c>
      <c r="EA267" s="367" t="str">
        <f t="shared" si="57"/>
        <v>-</v>
      </c>
      <c r="EB267" s="310" t="str">
        <f>IFERROR(__xludf.DUMMYFUNCTION("IF(REGEXMATCH(AW267,AS267),""✔"",""-"")"),"✔")</f>
        <v>✔</v>
      </c>
      <c r="EC267" s="310" t="str">
        <f t="shared" si="58"/>
        <v>#REF!</v>
      </c>
      <c r="ED267" s="370" t="str">
        <f t="shared" si="59"/>
        <v>✔</v>
      </c>
      <c r="EE267" s="340" t="str">
        <f t="shared" si="60"/>
        <v>S-rR-gG-mM-P-dD-nN-S</v>
      </c>
      <c r="EF267" s="371" t="str">
        <f>IFERROR(__xludf.DUMMYFUNCTION("CONCATENATE(JOIN("""",HC267:HO267))"),"SrRgGmMPdDnNS")</f>
        <v>SrRgGmMPdDnNS</v>
      </c>
      <c r="EG267" s="372">
        <f t="shared" si="61"/>
        <v>0</v>
      </c>
      <c r="EH267" s="373" t="str">
        <f>IFERROR(__xludf.DUMMYFUNCTION("CONCATENATE(JOIN("""",JC267:JO267))"),"")</f>
        <v/>
      </c>
      <c r="EI267" s="322">
        <f t="shared" si="62"/>
        <v>0</v>
      </c>
      <c r="EJ267" s="374" t="str">
        <f>IFERROR(__xludf.DUMMYFUNCTION("CONCATENATE(JOIN("""",KC267:KO267))"),"")</f>
        <v/>
      </c>
      <c r="EK267" s="325" t="str">
        <f t="shared" si="63"/>
        <v>S-R1-R2-G2-G3-M1-M2-P-D1-D2-N2-N3-S</v>
      </c>
      <c r="EL267" s="326" t="str">
        <f t="shared" si="64"/>
        <v>1-b2-2-b3-3-4-#4-5-b6-6-b7-7-8</v>
      </c>
      <c r="EM267" s="318" t="str">
        <f t="shared" si="65"/>
        <v>#REF!</v>
      </c>
      <c r="EN267" s="328" t="str">
        <f>IFERROR(__xludf.DUMMYFUNCTION("SUBSTITUTE(SUBSTITUTE(SUBSTITUTE(SUBSTITUTE(CONCATENATE(JOIN("" "",HP267:IB267)),""  "","" ""),""  "","" ""),""  "","" ""),""  "","" "")"),"o o o o o o o o o o o o o")</f>
        <v>o o o o o o o o o o o o o</v>
      </c>
      <c r="EO267" s="368" t="str">
        <f t="shared" si="66"/>
        <v>-</v>
      </c>
      <c r="EP267" s="339" t="str">
        <f t="shared" si="67"/>
        <v>-</v>
      </c>
      <c r="EQ267" s="339" t="str">
        <f t="shared" si="68"/>
        <v>Sa-Pa</v>
      </c>
      <c r="ER267" s="339" t="str">
        <f t="shared" si="69"/>
        <v>-</v>
      </c>
      <c r="ES267" s="340" t="str">
        <f t="shared" si="70"/>
        <v>-</v>
      </c>
      <c r="ET267" s="363"/>
      <c r="EU267" s="376" t="b">
        <f>IFERROR(__xludf.DUMMYFUNCTION("arrayformula(sum(--REGEXMATCH(""SRGMPDNS"",split(REGEXREPLACE(C267,""(.)"",""$1~""),""~""))))=len(C267)
"),FALSE)</f>
        <v>0</v>
      </c>
      <c r="EV267" s="290" t="b">
        <f>IFERROR(__xludf.DUMMYFUNCTION("arrayformula(sum(--REGEXMATCH(""SRGmPDNS"",split(REGEXREPLACE(C267,""(.)"",""$1~""),""~""))))=len(C267)"),FALSE)</f>
        <v>0</v>
      </c>
      <c r="EW267" s="290" t="b">
        <f>IFERROR(__xludf.DUMMYFUNCTION("arrayformula(sum(--REGEXMATCH(""SRGmPDnS"",split(REGEXREPLACE(C267,""(.)"",""$1~""),""~""))))=len(C267)"),FALSE)</f>
        <v>0</v>
      </c>
      <c r="EX267" s="290" t="b">
        <f>IFERROR(__xludf.DUMMYFUNCTION("arrayformula(sum(--REGEXMATCH(""SRgmPDnS"",split(REGEXREPLACE(C267,""(.)"",""$1~""),""~""))))=len(C267)"),FALSE)</f>
        <v>0</v>
      </c>
      <c r="EY267" s="290" t="b">
        <f>IFERROR(__xludf.DUMMYFUNCTION("arrayformula(sum(--REGEXMATCH(""SRgmPdnS"",split(REGEXREPLACE(C267,""(.)"",""$1~""),""~""))))=len(C267)"),FALSE)</f>
        <v>0</v>
      </c>
      <c r="EZ267" s="290" t="b">
        <f>IFERROR(__xludf.DUMMYFUNCTION("arrayformula(sum(--REGEXMATCH(""SrgmPdnS"",split(REGEXREPLACE(C267,""(.)"",""$1~""),""~""))))=len(C267)"),FALSE)</f>
        <v>0</v>
      </c>
      <c r="FA267" s="290" t="b">
        <f>IFERROR(__xludf.DUMMYFUNCTION("arrayformula(sum(--REGEXMATCH(""SrGmPdNS"",split(REGEXREPLACE(C267,""(.)"",""$1~""),""~""))))=len(C267)"),FALSE)</f>
        <v>0</v>
      </c>
      <c r="FB267" s="290" t="b">
        <f>IFERROR(__xludf.DUMMYFUNCTION("arrayformula(sum(--REGEXMATCH(""SrGMPDNS"",split(REGEXREPLACE(C267,""(.)"",""$1~""),""~""))))=len(C267)"),FALSE)</f>
        <v>0</v>
      </c>
      <c r="FC267" s="290" t="b">
        <f>IFERROR(__xludf.DUMMYFUNCTION("arrayformula(sum(--REGEXMATCH(""SrGMPdNS"",split(REGEXREPLACE(C267,""(.)"",""$1~""),""~""))))=len(C267)"),FALSE)</f>
        <v>0</v>
      </c>
      <c r="FD267" s="377" t="b">
        <f>IFERROR(__xludf.DUMMYFUNCTION("arrayformula(sum(--REGEXMATCH(""SrgMPdNS"",split(REGEXREPLACE(C267,""(.)"",""$1~""),""~""))))=len(C267)"),FALSE)</f>
        <v>0</v>
      </c>
      <c r="FE267" s="269" t="str">
        <f t="shared" si="71"/>
        <v>xxxxxxxxxxx</v>
      </c>
      <c r="FF267" s="269" t="str">
        <f t="shared" si="72"/>
        <v>xxxxxxxxxxx</v>
      </c>
      <c r="FG267" s="271" t="str">
        <f t="shared" si="73"/>
        <v>xxxxxxxxxxx</v>
      </c>
      <c r="FH267" s="269" t="str">
        <f t="shared" si="74"/>
        <v>xxxxxxxxxxx</v>
      </c>
      <c r="FI267" s="271" t="str">
        <f t="shared" si="75"/>
        <v>xxxxxxxxxxx</v>
      </c>
      <c r="FJ267" s="271" t="str">
        <f t="shared" si="76"/>
        <v>xxxxxxxxxxx</v>
      </c>
      <c r="FK267" s="271" t="str">
        <f t="shared" si="77"/>
        <v>xxxxxxxxxxx</v>
      </c>
      <c r="FL267" s="271" t="str">
        <f t="shared" si="78"/>
        <v>xxxxxxxxxxx</v>
      </c>
      <c r="FM267" s="271" t="str">
        <f t="shared" si="79"/>
        <v>xxxxxxxxxxx</v>
      </c>
      <c r="FN267" s="271" t="str">
        <f t="shared" si="80"/>
        <v>xxxxxxxxxxx</v>
      </c>
      <c r="FO267" s="274" t="str">
        <f t="shared" si="81"/>
        <v>xxxxxxxxxxx</v>
      </c>
      <c r="FP267" s="234" t="str">
        <f t="shared" si="82"/>
        <v>|</v>
      </c>
      <c r="FQ267" s="236" t="str">
        <f t="shared" si="83"/>
        <v>|</v>
      </c>
      <c r="FR267" s="237" t="str">
        <f t="shared" si="84"/>
        <v>|</v>
      </c>
      <c r="FS267" s="236" t="str">
        <f t="shared" si="85"/>
        <v>|</v>
      </c>
      <c r="FT267" s="237" t="str">
        <f t="shared" si="86"/>
        <v>|</v>
      </c>
      <c r="FU267" s="236" t="str">
        <f t="shared" si="87"/>
        <v>|</v>
      </c>
      <c r="FV267" s="237" t="str">
        <f t="shared" si="88"/>
        <v>|</v>
      </c>
      <c r="FW267" s="236" t="str">
        <f t="shared" si="89"/>
        <v>|</v>
      </c>
      <c r="FX267" s="237" t="str">
        <f t="shared" si="90"/>
        <v>|</v>
      </c>
      <c r="FY267" s="236" t="str">
        <f t="shared" si="91"/>
        <v>|</v>
      </c>
      <c r="FZ267" s="237" t="str">
        <f t="shared" si="92"/>
        <v>|</v>
      </c>
      <c r="GA267" s="236" t="str">
        <f t="shared" si="93"/>
        <v>|</v>
      </c>
      <c r="GB267" s="238" t="str">
        <f t="shared" si="94"/>
        <v>|</v>
      </c>
      <c r="GC267" s="244" t="str">
        <f>IFERROR(__xludf.DUMMYFUNCTION("IF(REGEXMATCH(C267, ""S""), ""1"","""")"),"1")</f>
        <v>1</v>
      </c>
      <c r="GD267" s="245" t="str">
        <f>IFERROR(__xludf.DUMMYFUNCTION("IF(REGEXMATCH(C267, ""r""), ""b2"","""")"),"b2")</f>
        <v>b2</v>
      </c>
      <c r="GE267" s="246" t="str">
        <f>IFERROR(__xludf.DUMMYFUNCTION("IF(REGEXMATCH(C267, ""R""), ""2"","""")"),"2")</f>
        <v>2</v>
      </c>
      <c r="GF267" s="246" t="str">
        <f>IFERROR(__xludf.DUMMYFUNCTION("IF(REGEXMATCH(C267, ""g""), ""b3"","""")"),"b3")</f>
        <v>b3</v>
      </c>
      <c r="GG267" s="245" t="str">
        <f>IFERROR(__xludf.DUMMYFUNCTION("IF(REGEXMATCH(C267, ""G""), ""3"","""")"),"3")</f>
        <v>3</v>
      </c>
      <c r="GH267" s="245" t="str">
        <f>IFERROR(__xludf.DUMMYFUNCTION("IF(REGEXMATCH(C267, ""m""), ""4"","""")"),"4")</f>
        <v>4</v>
      </c>
      <c r="GI267" s="246" t="str">
        <f>IFERROR(__xludf.DUMMYFUNCTION("IF(REGEXMATCH(C267, ""M""), ""#4"","""")"),"#4")</f>
        <v>#4</v>
      </c>
      <c r="GJ267" s="245" t="str">
        <f>IFERROR(__xludf.DUMMYFUNCTION("IF(REGEXMATCH(C267, ""P""), ""5"","""")"),"5")</f>
        <v>5</v>
      </c>
      <c r="GK267" s="246" t="str">
        <f>IFERROR(__xludf.DUMMYFUNCTION("IF(REGEXMATCH(C267, ""d""), ""b6"","""")"),"b6")</f>
        <v>b6</v>
      </c>
      <c r="GL267" s="245" t="str">
        <f>IFERROR(__xludf.DUMMYFUNCTION("IF(REGEXMATCH(C267, ""D""), ""6"","""")"),"6")</f>
        <v>6</v>
      </c>
      <c r="GM267" s="245" t="str">
        <f>IFERROR(__xludf.DUMMYFUNCTION("IF(REGEXMATCH(C267, ""n""), ""b7"","""")"),"b7")</f>
        <v>b7</v>
      </c>
      <c r="GN267" s="246" t="str">
        <f>IFERROR(__xludf.DUMMYFUNCTION("IF(REGEXMATCH(C267, ""N""), ""7"","""")"),"7")</f>
        <v>7</v>
      </c>
      <c r="GO267" s="249" t="str">
        <f>IFERROR(__xludf.DUMMYFUNCTION("IF(REGEXMATCH(C267, ""S""), ""8"","""")"),"8")</f>
        <v>8</v>
      </c>
      <c r="GP267" s="244" t="str">
        <f>IFERROR(__xludf.DUMMYFUNCTION("IF(REGEXMATCH(C267, ""S""), ""S"","""")"),"S")</f>
        <v>S</v>
      </c>
      <c r="GQ267" s="294" t="str">
        <f>IFERROR(__xludf.DUMMYFUNCTION("IF(REGEXMATCH(C267, ""r""), ""R1"","""")"),"R1")</f>
        <v>R1</v>
      </c>
      <c r="GR267" s="295" t="str">
        <f>IFERROR(__xludf.DUMMYFUNCTION("IF(REGEXMATCH(C267, ""R""), ""R2"","""")"),"R2")</f>
        <v>R2</v>
      </c>
      <c r="GS267" s="295" t="str">
        <f>IFERROR(__xludf.DUMMYFUNCTION("IF(REGEXMATCH(C267, ""g""), ""G2"","""")"),"G2")</f>
        <v>G2</v>
      </c>
      <c r="GT267" s="294" t="str">
        <f>IFERROR(__xludf.DUMMYFUNCTION("IF(REGEXMATCH(C267, ""G""), ""G3"","""")"),"G3")</f>
        <v>G3</v>
      </c>
      <c r="GU267" s="294" t="str">
        <f>IFERROR(__xludf.DUMMYFUNCTION("IF(REGEXMATCH(C267, ""m""), ""M1"","""")"),"M1")</f>
        <v>M1</v>
      </c>
      <c r="GV267" s="295" t="str">
        <f>IFERROR(__xludf.DUMMYFUNCTION("IF(REGEXMATCH(C267, ""M""), ""M2"","""")"),"M2")</f>
        <v>M2</v>
      </c>
      <c r="GW267" s="294" t="str">
        <f>IFERROR(__xludf.DUMMYFUNCTION("IF(REGEXMATCH(C267, ""P""), ""P"","""")"),"P")</f>
        <v>P</v>
      </c>
      <c r="GX267" s="295" t="str">
        <f>IFERROR(__xludf.DUMMYFUNCTION("IF(REGEXMATCH(C267, ""d""), ""D1"","""")"),"D1")</f>
        <v>D1</v>
      </c>
      <c r="GY267" s="294" t="str">
        <f>IFERROR(__xludf.DUMMYFUNCTION("IF(REGEXMATCH(C267, ""D""), ""D2"","""")"),"D2")</f>
        <v>D2</v>
      </c>
      <c r="GZ267" s="294" t="str">
        <f>IFERROR(__xludf.DUMMYFUNCTION("IF(REGEXMATCH(C267, ""n""), ""N2"","""")"),"N2")</f>
        <v>N2</v>
      </c>
      <c r="HA267" s="295" t="str">
        <f>IFERROR(__xludf.DUMMYFUNCTION("IF(REGEXMATCH(C267, ""N""), ""N3"","""")"),"N3")</f>
        <v>N3</v>
      </c>
      <c r="HB267" s="249" t="str">
        <f>IFERROR(__xludf.DUMMYFUNCTION("IF(REGEXMATCH(C267, ""S""), ""S"","""")"),"S")</f>
        <v>S</v>
      </c>
      <c r="HC267" s="331" t="str">
        <f t="shared" si="95"/>
        <v>S</v>
      </c>
      <c r="HD267" s="332" t="str">
        <f t="shared" si="96"/>
        <v>r</v>
      </c>
      <c r="HE267" s="332" t="str">
        <f t="shared" si="97"/>
        <v>R</v>
      </c>
      <c r="HF267" s="332" t="str">
        <f t="shared" si="98"/>
        <v>g</v>
      </c>
      <c r="HG267" s="332" t="str">
        <f t="shared" si="99"/>
        <v>G</v>
      </c>
      <c r="HH267" s="332" t="str">
        <f t="shared" si="100"/>
        <v>m</v>
      </c>
      <c r="HI267" s="332" t="str">
        <f t="shared" si="101"/>
        <v>M</v>
      </c>
      <c r="HJ267" s="332" t="str">
        <f t="shared" si="102"/>
        <v>P</v>
      </c>
      <c r="HK267" s="332" t="str">
        <f t="shared" si="103"/>
        <v>d</v>
      </c>
      <c r="HL267" s="332" t="str">
        <f t="shared" si="104"/>
        <v>D</v>
      </c>
      <c r="HM267" s="332" t="str">
        <f t="shared" si="105"/>
        <v>n</v>
      </c>
      <c r="HN267" s="332" t="str">
        <f t="shared" si="106"/>
        <v>N</v>
      </c>
      <c r="HO267" s="343" t="str">
        <f t="shared" si="107"/>
        <v>S</v>
      </c>
      <c r="HP267" s="331" t="str">
        <f t="shared" si="108"/>
        <v>o</v>
      </c>
      <c r="HQ267" s="332" t="str">
        <f t="shared" si="109"/>
        <v>o</v>
      </c>
      <c r="HR267" s="332" t="str">
        <f t="shared" si="110"/>
        <v>o</v>
      </c>
      <c r="HS267" s="332" t="str">
        <f t="shared" si="111"/>
        <v>o</v>
      </c>
      <c r="HT267" s="332" t="str">
        <f t="shared" si="112"/>
        <v>o</v>
      </c>
      <c r="HU267" s="332" t="str">
        <f t="shared" si="113"/>
        <v>o</v>
      </c>
      <c r="HV267" s="332" t="str">
        <f t="shared" si="114"/>
        <v>o</v>
      </c>
      <c r="HW267" s="332" t="str">
        <f t="shared" si="115"/>
        <v>o</v>
      </c>
      <c r="HX267" s="332" t="str">
        <f t="shared" si="116"/>
        <v>o</v>
      </c>
      <c r="HY267" s="332" t="str">
        <f t="shared" si="117"/>
        <v>o</v>
      </c>
      <c r="HZ267" s="332" t="str">
        <f t="shared" si="118"/>
        <v>o</v>
      </c>
      <c r="IA267" s="332" t="str">
        <f t="shared" si="119"/>
        <v>o</v>
      </c>
      <c r="IB267" s="338" t="str">
        <f t="shared" si="120"/>
        <v>o</v>
      </c>
      <c r="IC267" s="331" t="str">
        <f t="shared" si="121"/>
        <v>•</v>
      </c>
      <c r="ID267" s="332" t="str">
        <f t="shared" si="122"/>
        <v>•</v>
      </c>
      <c r="IE267" s="332" t="str">
        <f t="shared" si="123"/>
        <v>•</v>
      </c>
      <c r="IF267" s="332" t="str">
        <f t="shared" si="124"/>
        <v>•</v>
      </c>
      <c r="IG267" s="332" t="str">
        <f t="shared" si="125"/>
        <v>•</v>
      </c>
      <c r="IH267" s="332" t="str">
        <f t="shared" si="126"/>
        <v>•</v>
      </c>
      <c r="II267" s="332" t="str">
        <f t="shared" si="127"/>
        <v>•</v>
      </c>
      <c r="IJ267" s="332" t="str">
        <f t="shared" si="128"/>
        <v>•</v>
      </c>
      <c r="IK267" s="332" t="str">
        <f t="shared" si="129"/>
        <v>•</v>
      </c>
      <c r="IL267" s="332" t="str">
        <f t="shared" si="130"/>
        <v>•</v>
      </c>
      <c r="IM267" s="332" t="str">
        <f t="shared" si="131"/>
        <v>•</v>
      </c>
      <c r="IN267" s="332" t="str">
        <f t="shared" si="132"/>
        <v>•</v>
      </c>
      <c r="IO267" s="338" t="str">
        <f t="shared" si="133"/>
        <v>•</v>
      </c>
      <c r="IP267" s="346" t="b">
        <f t="shared" si="134"/>
        <v>0</v>
      </c>
      <c r="IQ267" s="347" t="b">
        <f t="shared" si="135"/>
        <v>0</v>
      </c>
      <c r="IR267" s="347" t="b">
        <f t="shared" si="136"/>
        <v>0</v>
      </c>
      <c r="IS267" s="347" t="b">
        <f t="shared" si="137"/>
        <v>0</v>
      </c>
      <c r="IT267" s="347" t="b">
        <f t="shared" si="138"/>
        <v>0</v>
      </c>
      <c r="IU267" s="347" t="b">
        <f t="shared" si="139"/>
        <v>0</v>
      </c>
      <c r="IV267" s="347" t="b">
        <f t="shared" si="140"/>
        <v>0</v>
      </c>
      <c r="IW267" s="347" t="b">
        <f t="shared" si="141"/>
        <v>0</v>
      </c>
      <c r="IX267" s="347" t="b">
        <f t="shared" si="142"/>
        <v>0</v>
      </c>
      <c r="IY267" s="347" t="b">
        <f t="shared" si="143"/>
        <v>0</v>
      </c>
      <c r="IZ267" s="347" t="b">
        <f t="shared" si="144"/>
        <v>0</v>
      </c>
      <c r="JA267" s="347" t="b">
        <f t="shared" si="145"/>
        <v>0</v>
      </c>
      <c r="JB267" s="353" t="b">
        <f t="shared" si="146"/>
        <v>0</v>
      </c>
      <c r="JC267" s="354" t="str">
        <f t="shared" si="147"/>
        <v/>
      </c>
      <c r="JD267" s="355" t="str">
        <f t="shared" si="148"/>
        <v/>
      </c>
      <c r="JE267" s="355" t="str">
        <f t="shared" si="149"/>
        <v/>
      </c>
      <c r="JF267" s="355" t="str">
        <f t="shared" si="150"/>
        <v/>
      </c>
      <c r="JG267" s="355" t="str">
        <f t="shared" si="151"/>
        <v/>
      </c>
      <c r="JH267" s="355" t="str">
        <f t="shared" si="152"/>
        <v/>
      </c>
      <c r="JI267" s="355" t="str">
        <f t="shared" si="153"/>
        <v/>
      </c>
      <c r="JJ267" s="355" t="str">
        <f t="shared" si="154"/>
        <v/>
      </c>
      <c r="JK267" s="355" t="str">
        <f t="shared" si="155"/>
        <v/>
      </c>
      <c r="JL267" s="355" t="str">
        <f t="shared" si="156"/>
        <v/>
      </c>
      <c r="JM267" s="355" t="str">
        <f t="shared" si="157"/>
        <v/>
      </c>
      <c r="JN267" s="355" t="str">
        <f t="shared" si="158"/>
        <v/>
      </c>
      <c r="JO267" s="359" t="str">
        <f t="shared" si="159"/>
        <v/>
      </c>
      <c r="JP267" s="346" t="b">
        <f t="shared" si="160"/>
        <v>0</v>
      </c>
      <c r="JQ267" s="347" t="b">
        <f t="shared" si="161"/>
        <v>0</v>
      </c>
      <c r="JR267" s="347" t="b">
        <f t="shared" si="162"/>
        <v>0</v>
      </c>
      <c r="JS267" s="347" t="b">
        <f t="shared" si="163"/>
        <v>0</v>
      </c>
      <c r="JT267" s="347" t="b">
        <f t="shared" si="164"/>
        <v>0</v>
      </c>
      <c r="JU267" s="347" t="b">
        <f t="shared" si="165"/>
        <v>0</v>
      </c>
      <c r="JV267" s="347" t="b">
        <f t="shared" si="166"/>
        <v>0</v>
      </c>
      <c r="JW267" s="347" t="b">
        <f t="shared" si="167"/>
        <v>0</v>
      </c>
      <c r="JX267" s="347" t="b">
        <f t="shared" si="168"/>
        <v>0</v>
      </c>
      <c r="JY267" s="347" t="b">
        <f t="shared" si="169"/>
        <v>0</v>
      </c>
      <c r="JZ267" s="347" t="b">
        <f t="shared" si="170"/>
        <v>0</v>
      </c>
      <c r="KA267" s="347" t="b">
        <f t="shared" si="171"/>
        <v>0</v>
      </c>
      <c r="KB267" s="365" t="b">
        <f t="shared" si="172"/>
        <v>0</v>
      </c>
      <c r="KC267" s="354" t="str">
        <f t="shared" si="173"/>
        <v/>
      </c>
      <c r="KD267" s="355" t="str">
        <f t="shared" si="174"/>
        <v/>
      </c>
      <c r="KE267" s="355" t="str">
        <f t="shared" si="175"/>
        <v/>
      </c>
      <c r="KF267" s="355" t="str">
        <f t="shared" si="176"/>
        <v/>
      </c>
      <c r="KG267" s="355" t="str">
        <f t="shared" si="177"/>
        <v/>
      </c>
      <c r="KH267" s="355" t="str">
        <f t="shared" si="178"/>
        <v/>
      </c>
      <c r="KI267" s="355" t="str">
        <f t="shared" si="179"/>
        <v/>
      </c>
      <c r="KJ267" s="355" t="str">
        <f t="shared" si="180"/>
        <v/>
      </c>
      <c r="KK267" s="355" t="str">
        <f t="shared" si="181"/>
        <v/>
      </c>
      <c r="KL267" s="355" t="str">
        <f t="shared" si="182"/>
        <v/>
      </c>
      <c r="KM267" s="355" t="str">
        <f t="shared" si="183"/>
        <v/>
      </c>
      <c r="KN267" s="355" t="str">
        <f t="shared" si="184"/>
        <v/>
      </c>
      <c r="KO267" s="359"/>
      <c r="KP267" s="378"/>
      <c r="KQ267" s="379" t="s">
        <v>9</v>
      </c>
      <c r="KR267" s="380" t="s">
        <v>9</v>
      </c>
      <c r="KS267" s="381" t="s">
        <v>9</v>
      </c>
      <c r="KT267" s="382">
        <f t="shared" si="186"/>
        <v>0</v>
      </c>
      <c r="KU267" s="383">
        <f t="shared" si="187"/>
        <v>0</v>
      </c>
      <c r="KV267" s="381" t="str">
        <f t="shared" si="205"/>
        <v>S</v>
      </c>
      <c r="KW267" s="382">
        <f t="shared" si="189"/>
        <v>0</v>
      </c>
      <c r="KX267" s="384">
        <f t="shared" si="190"/>
        <v>0</v>
      </c>
      <c r="KY267" s="382">
        <f t="shared" ref="KY267:KZ267" si="757">KW267-KT267</f>
        <v>0</v>
      </c>
      <c r="KZ267" s="369">
        <f t="shared" si="757"/>
        <v>0</v>
      </c>
      <c r="LA267" s="385" t="str">
        <f t="shared" si="192"/>
        <v>✔</v>
      </c>
      <c r="LB267" s="340" t="str">
        <f>IFERROR(__xludf.DUMMYFUNCTION("JOIN("""",ArrayFormula(MID(KS267,LEN(KS267)-SEQUENCE(1,LEN(KS267))+1,1)))"),"S")</f>
        <v>S</v>
      </c>
      <c r="LC267" s="373" t="str">
        <f>IFERROR(__xludf.DUMMYFUNCTION("JOIN("""",ArrayFormula(MID(KV267,LEN(KV267)-SEQUENCE(1,LEN(KV267))+1,1)))"),"S")</f>
        <v>S</v>
      </c>
      <c r="LD267" s="373" t="str">
        <f t="shared" si="193"/>
        <v>S</v>
      </c>
      <c r="LE267" s="339" t="str">
        <f t="shared" si="194"/>
        <v>S</v>
      </c>
      <c r="LF267" s="386" t="str">
        <f>IFERROR(__xludf.DUMMYFUNCTION("SUBSTITUTE(SUBSTITUTE(CONCATENATE(JOIN("""",LH267:LT267)),""1"",""""),""2"","""")"),"SS")</f>
        <v>SS</v>
      </c>
      <c r="LG267" s="369" t="str">
        <f t="shared" si="195"/>
        <v>-</v>
      </c>
      <c r="LH267" s="387" t="str">
        <f>IFERROR(__xludf.DUMMYFUNCTION("IF(REGEXMATCH(LD267, ""S""), ""S"",IF(REGEXMATCH(LE267, ""S""), ""S"",""""))"),"S")</f>
        <v>S</v>
      </c>
      <c r="LI267" s="299" t="str">
        <f>IFERROR(__xludf.DUMMYFUNCTION("IF(REGEXMATCH(LD267, ""r""), ""r1"",IF(REGEXMATCH(LE267, ""r""), ""r2"",""""))"),"")</f>
        <v/>
      </c>
      <c r="LJ267" s="299" t="str">
        <f>IFERROR(__xludf.DUMMYFUNCTION("IF(REGEXMATCH(LD267, ""R""), ""R1"",IF(REGEXMATCH(LE267, ""R""), ""R2"",""""))"),"")</f>
        <v/>
      </c>
      <c r="LK267" s="299" t="str">
        <f>IFERROR(__xludf.DUMMYFUNCTION("IF(REGEXMATCH(LD267, ""g""), ""g1"",IF(REGEXMATCH(LE267, ""g""), ""g2"",""""))"),"")</f>
        <v/>
      </c>
      <c r="LL267" s="299" t="str">
        <f>IFERROR(__xludf.DUMMYFUNCTION("IF(REGEXMATCH(LD267, ""G""), ""G1"",IF(REGEXMATCH(LE267, ""G""), ""G2"",""""))"),"")</f>
        <v/>
      </c>
      <c r="LM267" s="299" t="str">
        <f>IFERROR(__xludf.DUMMYFUNCTION("IF(REGEXMATCH(LD267, ""m""), ""m1"",IF(REGEXMATCH(LE267, ""m""), ""m2"",""""))"),"")</f>
        <v/>
      </c>
      <c r="LN267" s="299" t="str">
        <f>IFERROR(__xludf.DUMMYFUNCTION("IF(REGEXMATCH(LD267, ""M""), ""M1"",IF(REGEXMATCH(LE267, ""M""), ""M2"",""""))"),"")</f>
        <v/>
      </c>
      <c r="LO267" s="299" t="str">
        <f>IFERROR(__xludf.DUMMYFUNCTION("IF(REGEXMATCH(LD267, ""P""), ""P1"",IF(REGEXMATCH(LE267, ""P""), ""P2"",""""))"),"")</f>
        <v/>
      </c>
      <c r="LP267" s="299" t="str">
        <f>IFERROR(__xludf.DUMMYFUNCTION("IF(REGEXMATCH(LD267, ""d""), ""d1"",IF(REGEXMATCH(LE267, ""d""), ""d2"",""""))"),"")</f>
        <v/>
      </c>
      <c r="LQ267" s="299" t="str">
        <f>IFERROR(__xludf.DUMMYFUNCTION("IF(REGEXMATCH(LD267, ""D""), ""D1"",IF(REGEXMATCH(LE267, ""D""), ""D2"",""""))"),"")</f>
        <v/>
      </c>
      <c r="LR267" s="299" t="str">
        <f>IFERROR(__xludf.DUMMYFUNCTION("IF(REGEXMATCH(LD267, ""n""), ""n1"",IF(REGEXMATCH(LE267, ""n""), ""n2"",""""))"),"")</f>
        <v/>
      </c>
      <c r="LS267" s="299" t="str">
        <f>IFERROR(__xludf.DUMMYFUNCTION("IF(REGEXMATCH(LD267, ""N""), ""N1"",IF(REGEXMATCH(LE267, ""N""), ""N2"",""""))"),"")</f>
        <v/>
      </c>
      <c r="LT267" s="388" t="str">
        <f>IFERROR(__xludf.DUMMYFUNCTION("IF(REGEXMATCH(LD267, ""S""), ""S"",IF(REGEXMATCH(LE267, ""S""), ""S"",""""))"),"S")</f>
        <v>S</v>
      </c>
      <c r="LU267" s="389">
        <f t="shared" si="196"/>
        <v>1</v>
      </c>
      <c r="LV267" s="378"/>
      <c r="LW267" s="369"/>
      <c r="LX267" s="369"/>
    </row>
    <row r="268" ht="18.0" customHeight="1">
      <c r="A268" s="298" t="s">
        <v>1055</v>
      </c>
      <c r="B268" s="222" t="s">
        <v>1056</v>
      </c>
      <c r="C268" s="233" t="str">
        <f t="shared" si="7"/>
        <v>SRgGmPdDnNS</v>
      </c>
      <c r="D268" s="234" t="str">
        <f>IFERROR(__xludf.DUMMYFUNCTION("IF(REGEXMATCH(C268, ""S""), ""S"","""")"),"S")</f>
        <v>S</v>
      </c>
      <c r="E268" s="236" t="str">
        <f>IFERROR(__xludf.DUMMYFUNCTION("IF(REGEXMATCH(C268, ""r""), ""r"","""")"),"")</f>
        <v/>
      </c>
      <c r="F268" s="237" t="str">
        <f>IFERROR(__xludf.DUMMYFUNCTION("IF(REGEXMATCH(C268, ""R""), ""R"","""")"),"R")</f>
        <v>R</v>
      </c>
      <c r="G268" s="237" t="str">
        <f>IFERROR(__xludf.DUMMYFUNCTION("IF(REGEXMATCH(C268, ""g""), ""g"","""")"),"g")</f>
        <v>g</v>
      </c>
      <c r="H268" s="236" t="str">
        <f>IFERROR(__xludf.DUMMYFUNCTION("IF(REGEXMATCH(C268, ""G""), ""G"","""")"),"G")</f>
        <v>G</v>
      </c>
      <c r="I268" s="236" t="str">
        <f>IFERROR(__xludf.DUMMYFUNCTION("IF(REGEXMATCH(C268, ""m""), ""m"","""")"),"m")</f>
        <v>m</v>
      </c>
      <c r="J268" s="237" t="str">
        <f>IFERROR(__xludf.DUMMYFUNCTION("IF(REGEXMATCH(C268, ""M""), ""M"","""")"),"")</f>
        <v/>
      </c>
      <c r="K268" s="236" t="str">
        <f>IFERROR(__xludf.DUMMYFUNCTION("IF(REGEXMATCH(C268, ""P""), ""P"","""")"),"P")</f>
        <v>P</v>
      </c>
      <c r="L268" s="237" t="str">
        <f>IFERROR(__xludf.DUMMYFUNCTION("IF(REGEXMATCH(C268, ""d""), ""d"","""")"),"d")</f>
        <v>d</v>
      </c>
      <c r="M268" s="236" t="str">
        <f>IFERROR(__xludf.DUMMYFUNCTION("IF(REGEXMATCH(C268, ""D""), ""D"","""")"),"D")</f>
        <v>D</v>
      </c>
      <c r="N268" s="236" t="str">
        <f>IFERROR(__xludf.DUMMYFUNCTION("IF(REGEXMATCH(C268, ""n""), ""n"","""")"),"n")</f>
        <v>n</v>
      </c>
      <c r="O268" s="237" t="str">
        <f>IFERROR(__xludf.DUMMYFUNCTION("IF(REGEXMATCH(C268, ""N""), ""N"","""")"),"N")</f>
        <v>N</v>
      </c>
      <c r="P268" s="238" t="str">
        <f>IFERROR(__xludf.DUMMYFUNCTION("IF(REGEXMATCH(C268, ""S""), ""S"","""")"),"S")</f>
        <v>S</v>
      </c>
      <c r="Q268" s="239" t="str">
        <f>IFERROR(__xludf.DUMMYFUNCTION("SUBSTITUTE(CONCATENATE(JOIN(""-"",D268:J268)),""-"","""")"),"SRgGm")</f>
        <v>SRgGm</v>
      </c>
      <c r="R268" s="229" t="str">
        <f>IFERROR(__xludf.DUMMYFUNCTION("SUBSTITUTE(CONCATENATE(JOIN(""-"",K268:P268)),""-"","""")"),"PdDnNS")</f>
        <v>PdDnNS</v>
      </c>
      <c r="S268" s="282" t="str">
        <f t="shared" si="8"/>
        <v>S-R-G-M</v>
      </c>
      <c r="T268" s="282" t="str">
        <f t="shared" si="9"/>
        <v>P-D-N-S</v>
      </c>
      <c r="U268" s="237" t="str">
        <f>IFERROR(__xludf.DUMMYFUNCTION("SUBSTITUTE(JOIN(""-"",S268,T268),""--"",""-"")"),"S-R-G-M-P-D-N-S")</f>
        <v>S-R-G-M-P-D-N-S</v>
      </c>
      <c r="V268" s="309" t="str">
        <f t="shared" si="10"/>
        <v>RgGmdDnN</v>
      </c>
      <c r="W268" s="244" t="str">
        <f>IFERROR(__xludf.DUMMYFUNCTION("IF(REGEXMATCH(C268, ""S""), ""0"","""")"),"0")</f>
        <v>0</v>
      </c>
      <c r="X268" s="245" t="str">
        <f>IFERROR(__xludf.DUMMYFUNCTION("IF(REGEXMATCH(C268, ""r""), ""1"","""")"),"")</f>
        <v/>
      </c>
      <c r="Y268" s="246" t="str">
        <f>IFERROR(__xludf.DUMMYFUNCTION("IF(REGEXMATCH(C268, ""R""), ""2"","""")"),"2")</f>
        <v>2</v>
      </c>
      <c r="Z268" s="246" t="str">
        <f>IFERROR(__xludf.DUMMYFUNCTION("IF(REGEXMATCH(C268, ""g""), ""3"","""")"),"3")</f>
        <v>3</v>
      </c>
      <c r="AA268" s="245" t="str">
        <f>IFERROR(__xludf.DUMMYFUNCTION("IF(REGEXMATCH(C268, ""G""), ""4"","""")"),"4")</f>
        <v>4</v>
      </c>
      <c r="AB268" s="245" t="str">
        <f>IFERROR(__xludf.DUMMYFUNCTION("IF(REGEXMATCH(C268, ""m""), ""5"","""")"),"5")</f>
        <v>5</v>
      </c>
      <c r="AC268" s="246" t="str">
        <f>IFERROR(__xludf.DUMMYFUNCTION("IF(REGEXMATCH(C268, ""M""), ""6"","""")"),"")</f>
        <v/>
      </c>
      <c r="AD268" s="245" t="str">
        <f>IFERROR(__xludf.DUMMYFUNCTION("IF(REGEXMATCH(C268, ""P""), ""7"","""")"),"7")</f>
        <v>7</v>
      </c>
      <c r="AE268" s="246" t="str">
        <f>IFERROR(__xludf.DUMMYFUNCTION("IF(REGEXMATCH(C268, ""d""), ""8"","""")"),"8")</f>
        <v>8</v>
      </c>
      <c r="AF268" s="245" t="str">
        <f>IFERROR(__xludf.DUMMYFUNCTION("IF(REGEXMATCH(C268, ""D""), ""9"","""")"),"9")</f>
        <v>9</v>
      </c>
      <c r="AG268" s="245" t="str">
        <f>IFERROR(__xludf.DUMMYFUNCTION("IF(REGEXMATCH(C268, ""n""), ""10"","""")"),"10")</f>
        <v>10</v>
      </c>
      <c r="AH268" s="246" t="str">
        <f>IFERROR(__xludf.DUMMYFUNCTION("IF(REGEXMATCH(C268, ""N""), ""11"","""")"),"11")</f>
        <v>11</v>
      </c>
      <c r="AI268" s="249" t="str">
        <f>IFERROR(__xludf.DUMMYFUNCTION("IF(REGEXMATCH(C268, ""S""), ""0"","""")"),"0")</f>
        <v>0</v>
      </c>
      <c r="AJ268" s="313" t="str">
        <f t="shared" si="11"/>
        <v>-</v>
      </c>
      <c r="AK268" s="313" t="str">
        <f t="shared" si="12"/>
        <v>-</v>
      </c>
      <c r="AL268" s="313" t="str">
        <f t="shared" si="13"/>
        <v>T</v>
      </c>
      <c r="AM268" s="313" t="str">
        <f t="shared" si="14"/>
        <v>T</v>
      </c>
      <c r="AN268" s="313" t="str">
        <f t="shared" si="15"/>
        <v>T</v>
      </c>
      <c r="AO268" s="314" t="str">
        <f t="shared" si="16"/>
        <v>T</v>
      </c>
      <c r="AP268" s="316">
        <f t="shared" si="17"/>
        <v>4</v>
      </c>
      <c r="AQ268" s="319" t="str">
        <f t="shared" si="18"/>
        <v>-</v>
      </c>
      <c r="AR268" s="320">
        <f t="shared" si="19"/>
        <v>0</v>
      </c>
      <c r="AS268" s="250" t="str">
        <f>IFERROR(__xludf.DUMMYFUNCTION("SUBSTITUTE(SUBSTITUTE(CONCATENATE(JOIN("""",FP268:GA268)),""|"",""x""),""-"",""o"")"),"xoxxxxoxxxxx")</f>
        <v>xoxxxxoxxxxx</v>
      </c>
      <c r="AT268" s="323" t="str">
        <f>IFERROR(__xludf.DUMMYFUNCTION("JOIN("""",AS268,AS268)"),"xoxxxxoxxxxxxoxxxxoxxxxx")</f>
        <v>xoxxxxoxxxxxxoxxxxoxxxxx</v>
      </c>
      <c r="AU268" s="256" t="str">
        <f>IFERROR(__xludf.DUMMYFUNCTION("JOIN("""",ArrayFormula(MID(AS268,LEN(AS268)-SEQUENCE(1,LEN(AS268))+1,1)))"),"xxxxxoxxxxox")</f>
        <v>xxxxxoxxxxox</v>
      </c>
      <c r="AV268" s="256" t="str">
        <f>IFERROR(__xludf.DUMMYFUNCTION("LEFT(CONCATENATE(""x"",JOIN("""",ArrayFormula(MID(AS268,LEN(AS268)-SEQUENCE(1,LEN(AS268))+1,1)))),12)"),"xxxxxxoxxxxo")</f>
        <v>xxxxxxoxxxxo</v>
      </c>
      <c r="AW268" s="327" t="str">
        <f>IFERROR(__xludf.DUMMYFUNCTION("JOIN("""",AU268,AU268)"),"xxxxxoxxxxoxxxxxxoxxxxox")</f>
        <v>xxxxxoxxxxoxxxxxxoxxxxox</v>
      </c>
      <c r="AX268" s="239" t="str">
        <f>IFERROR(__xludf.DUMMYFUNCTION("IF(REGEXMATCH(AW268,AS268),""✔"",""-"")"),"✔")</f>
        <v>✔</v>
      </c>
      <c r="AY268" s="330" t="str">
        <f t="shared" si="20"/>
        <v>-</v>
      </c>
      <c r="AZ268" s="260" t="str">
        <f t="shared" si="21"/>
        <v>#REF!</v>
      </c>
      <c r="BA268" s="333" t="str">
        <f t="shared" si="22"/>
        <v>xoxxxxo</v>
      </c>
      <c r="BB268" s="334" t="str">
        <f t="shared" si="23"/>
        <v>xxxxxx</v>
      </c>
      <c r="BC268" s="335" t="str">
        <f t="shared" si="236"/>
        <v>-</v>
      </c>
      <c r="BD268" s="336" t="str">
        <f t="shared" si="25"/>
        <v>Pilu: 'xoxxxxo' + 'xxxxxx'</v>
      </c>
      <c r="BE268" s="337">
        <f>IFERROR(__xludf.DUMMYFUNCTION("COUNTUNIQUE(FILTER(AT:AT,REGEXMATCH(AT:AT,AS268)))-1"),1.0)</f>
        <v>1</v>
      </c>
      <c r="BF268" s="261" t="str">
        <f>IFERROR(__xludf.DUMMYFUNCTION("IF(BI268=0,""(n/a)"",IF(BJ268=2,""(PAIR)"",IF(REGEXMATCH(AT268,""xoxoxxoxoxox""),""Bilawal"",IF(REGEXMATCH(AT268,""xoxoxooxoxoo""),""Bhupali"",IF(REGEXMATCH(AT268,""xoxoxxoxxoxo""),""Charukeshi"",IF(REGEXMATCH(AT268,""xoxoooxxoxxo""),""Kameshwari"",IF(REG"&amp;"EXMATCH(AT268,""xoxoxooxoxox""),""Shankara"",IF(REGEXMATCH(AT268,""xxooxoxxxoox""),""Basant"",IF(REGEXMATCH(AT268,""xoxoxxxxoxox""),""Bihag"",IF(REGEXMATCH(AT268,""xoxxxxoxoxxx""),""Pilu"",IF(REGEXMATCH(AT268,""xoxxoxoxxoox""),""Kirwani"",IF(REGEXMATCH(AT"&amp;"268,""xoxxoxoxoxxx""),""Mk.Malhar"",IF(REGEXMATCH(AT268,""xxooxxoxxoox""),""Bhairav"",IF(REGEXMATCH(AT268,""xxoxooxxxoox""),""Todi"",IF(REGEXMATCH(AT268,""xxooxoxooxox""),""Marwa"",IF(REGEXMATCH(AT268,""xxoooxoxxooo""),""Gunkali"",IF(REGEXMATCH(AT268,""xo"&amp;"xoxxoxxoox""),""Nat Bhairav"",IF(REGEXMATCH(AT268,""xoxxoooxoxoo""),""Shivranjani"",IF(REGEXMATCH(AT268,""xooxxxoxooxo""),""Jog"",IF(REGEXMATCH(AT268,""xxooxoxoxoox""),""Hemshri"",IF(REGEXMATCH(AT268,""xoooxooxoxxo""),""Kalavati"",IF(REGEXMATCH(AT268,""xx"&amp;"oxoxxoxoox""),""Kedar"",IF(REGEXMATCH(AT268,""xoxxxxoxooxx""),""Gara"",IF(REGEXMATCH(AT268,""xooxoxooxoox""),""Chandrakauns"",IF(REGEXMATCH(AT268,""xoxxxxoxxxox""),""Mand"",IF(REGEXMATCH(AT268,""xoxxxxoxoxox""),""Hanskinkini"",IF(REGEXMATCH(AT268,""xxooxx"&amp;"oxooxo""),""Lilavati"",IF(REGEXMATCH(AT268,""xooxoxoooxox""),""Rajeshwari"",IF(REGEXMATCH(AT268,""xoooxxoxoxxx""),""Khokar"",IF(REGEXMATCH(AT268,""xxooxoxxxxox""),""Maligoura"",""-""))))))))))))))))))))))))))))))"),"-")</f>
        <v>-</v>
      </c>
      <c r="BG268" s="239" t="str">
        <f t="shared" si="26"/>
        <v>#REF!</v>
      </c>
      <c r="BH268" s="239">
        <f>IFERROR(__xludf.DUMMYFUNCTION("COUNTUNIQUE(FE268:FO268)-1"),9.0)</f>
        <v>9</v>
      </c>
      <c r="BI268" s="239">
        <f>IFERROR(__xludf.DUMMYFUNCTION("COUNTUNIQUE(FILTER(AT:AT,REGEXMATCH(AT:AT,AS268)))-1"),1.0)</f>
        <v>1</v>
      </c>
      <c r="BJ268" s="239">
        <f>IFERROR(__xludf.DUMMYFUNCTION("COUNTA(FILTER(AT:AT,REGEXMATCH(AT:AT,AS268)))"),4.0)</f>
        <v>4</v>
      </c>
      <c r="BK268" s="341">
        <f>IFERROR(__xludf.DUMMYFUNCTION("COUNTA(FILTER(AT:AT,REGEXMATCH(AT:AT,AS268)))-AR268"),4.0)</f>
        <v>4</v>
      </c>
      <c r="BL268" s="276" t="str">
        <f>IFERROR(__xludf.DUMMYFUNCTION("IF(AS268=""oooooooooooo"",""-"",IF(REGEXMATCH(AT268,""xx""), ""Hemi."", ""Anhemi.""))"),"Hemi.")</f>
        <v>Hemi.</v>
      </c>
      <c r="BM268" s="282" t="str">
        <f>IFERROR(__xludf.DUMMYFUNCTION("IF(AS268=""oooooooooooo"",""-"",IF(REGEXMATCH(AT268,""xxx""), ""Cohem."", ""-""))"),"Cohem.")</f>
        <v>Cohem.</v>
      </c>
      <c r="BN268" s="282" t="str">
        <f>IFERROR(__xludf.DUMMYFUNCTION("IF(AS268=""oooooooooooo"",""-"",IF(REGEXMATCH(AT268,""xxxx""), ""Co-Co."", ""-""))"),"Co-Co.")</f>
        <v>Co-Co.</v>
      </c>
      <c r="BO268" s="342" t="str">
        <f>IFERROR(__xludf.DUMMYFUNCTION("IF(AS268=""oooooooooooo"",""-"",IF(REGEXMATCH(AT268,""xxxxx""), ""CCC."", ""-""))"),"CCC.")</f>
        <v>CCC.</v>
      </c>
      <c r="BP268" s="344" t="str">
        <f t="shared" si="27"/>
        <v>-</v>
      </c>
      <c r="BQ268" s="282" t="str">
        <f>IFERROR(__xludf.DUMMYFUNCTION("IF(REGEXMATCH(JOIN(""-"",EU268:FD268),""TRUE""),""✔"",""-"")"),"-")</f>
        <v>-</v>
      </c>
      <c r="BR268" s="225">
        <f t="shared" si="28"/>
        <v>0</v>
      </c>
      <c r="BS268" s="345" t="str">
        <f>IFERROR(__xludf.DUMMYFUNCTION("SUBSTITUTE(SUBSTITUTE(SUBSTITUTE(SUBSTITUTE(CONCATENATE(JOIN(""-"",GC268:GO268)),""--"",""-""),""--"",""-""),""--"",""-""),""--"",""-"")"),"1-2-b3-3-4-5-b6-6-b7-7-8")</f>
        <v>1-2-b3-3-4-5-b6-6-b7-7-8</v>
      </c>
      <c r="BT268" s="299" t="str">
        <f>IFERROR(__xludf.DUMMYFUNCTION("SUBSTITUTE(SUBSTITUTE(SUBSTITUTE(SUBSTITUTE(CONCATENATE(JOIN(""-"",GP268:HB268)),""--"",""-""),""--"",""-""),""--"",""-""),""--"",""-"")"),"S-R2-G2-G3-M1-P-D1-D2-N2-N3-S")</f>
        <v>S-R2-G2-G3-M1-P-D1-D2-N2-N3-S</v>
      </c>
      <c r="BU268" s="348" t="str">
        <f t="shared" si="29"/>
        <v>C-D-Eb-E-F-G-Ab-A-Bb-B-C</v>
      </c>
      <c r="BV268" s="349" t="str">
        <f t="shared" si="30"/>
        <v>SrMS</v>
      </c>
      <c r="BW268" s="350">
        <f t="shared" si="31"/>
        <v>0</v>
      </c>
      <c r="BX268" s="351">
        <f t="shared" si="32"/>
        <v>2</v>
      </c>
      <c r="BY268" s="392"/>
      <c r="BZ268" s="309" t="str">
        <f>IFERROR(__xludf.DUMMYFUNCTION("IF(REGEXMATCH(C268, ""S""), ""x"",""x"")"),"x")</f>
        <v>x</v>
      </c>
      <c r="CA268" s="245" t="str">
        <f>IFERROR(__xludf.DUMMYFUNCTION("IF(REGEXMATCH(C268, ""r""), ""o"",""x"")"),"x")</f>
        <v>x</v>
      </c>
      <c r="CB268" s="246" t="str">
        <f>IFERROR(__xludf.DUMMYFUNCTION("IF(REGEXMATCH(C268, ""R""), ""o"",""x"")"),"o")</f>
        <v>o</v>
      </c>
      <c r="CC268" s="246" t="str">
        <f>IFERROR(__xludf.DUMMYFUNCTION("IF(REGEXMATCH(C268, ""g""), ""o"",""x"")"),"o")</f>
        <v>o</v>
      </c>
      <c r="CD268" s="245" t="str">
        <f>IFERROR(__xludf.DUMMYFUNCTION("IF(REGEXMATCH(C268, ""G""), ""o"",""x"")"),"o")</f>
        <v>o</v>
      </c>
      <c r="CE268" s="245" t="str">
        <f>IFERROR(__xludf.DUMMYFUNCTION("IF(REGEXMATCH(C268, ""m""), ""o"",""x"")"),"o")</f>
        <v>o</v>
      </c>
      <c r="CF268" s="246" t="str">
        <f>IFERROR(__xludf.DUMMYFUNCTION("IF(REGEXMATCH(C268, ""M""), ""o"",""x"")"),"x")</f>
        <v>x</v>
      </c>
      <c r="CG268" s="245" t="str">
        <f>IFERROR(__xludf.DUMMYFUNCTION("IF(REGEXMATCH(C268, ""P""), ""o"",""x"")"),"o")</f>
        <v>o</v>
      </c>
      <c r="CH268" s="246" t="str">
        <f>IFERROR(__xludf.DUMMYFUNCTION("IF(REGEXMATCH(C268, ""d""), ""o"",""x"")"),"o")</f>
        <v>o</v>
      </c>
      <c r="CI268" s="245" t="str">
        <f>IFERROR(__xludf.DUMMYFUNCTION("IF(REGEXMATCH(C268, ""D""), ""o"",""x"")"),"o")</f>
        <v>o</v>
      </c>
      <c r="CJ268" s="245" t="str">
        <f>IFERROR(__xludf.DUMMYFUNCTION("IF(REGEXMATCH(C268, ""n""), ""o"",""x"")"),"o")</f>
        <v>o</v>
      </c>
      <c r="CK268" s="245" t="str">
        <f>IFERROR(__xludf.DUMMYFUNCTION("IF(REGEXMATCH(C268, ""N""), ""o"",""x"")"),"o")</f>
        <v>o</v>
      </c>
      <c r="CL268" s="356" t="str">
        <f>IFERROR(__xludf.DUMMYFUNCTION("IF(REGEXMATCH(C268, ""S""), ""x"",""x"")"),"x")</f>
        <v>x</v>
      </c>
      <c r="CM268" s="357" t="str">
        <f t="shared" si="33"/>
        <v>xxooooxooooo</v>
      </c>
      <c r="CN268" s="358">
        <f t="shared" si="34"/>
        <v>0</v>
      </c>
      <c r="CO268" s="246" t="str">
        <f>IFERROR(__xludf.DUMMYFUNCTION("IF(REGEXMATCH($C268, ""S""), ""S"",""S"")"),"S")</f>
        <v>S</v>
      </c>
      <c r="CP268" s="246" t="str">
        <f>IFERROR(__xludf.DUMMYFUNCTION("IF(REGEXMATCH($C268, ""r""), """",""r"")"),"r")</f>
        <v>r</v>
      </c>
      <c r="CQ268" s="246" t="str">
        <f>IFERROR(__xludf.DUMMYFUNCTION("IF(REGEXMATCH($C268, ""R""), """",""R"")"),"")</f>
        <v/>
      </c>
      <c r="CR268" s="246" t="str">
        <f>IFERROR(__xludf.DUMMYFUNCTION("IF(REGEXMATCH($C268, ""g""), """",""g"")"),"")</f>
        <v/>
      </c>
      <c r="CS268" s="246" t="str">
        <f>IFERROR(__xludf.DUMMYFUNCTION("IF(REGEXMATCH($C268, ""G""), """",""G"")"),"")</f>
        <v/>
      </c>
      <c r="CT268" s="246" t="str">
        <f>IFERROR(__xludf.DUMMYFUNCTION("IF(REGEXMATCH($C268, ""m""), """",""m"")"),"")</f>
        <v/>
      </c>
      <c r="CU268" s="246" t="str">
        <f>IFERROR(__xludf.DUMMYFUNCTION("IF(REGEXMATCH($C268, ""M""), """",""M"")"),"M")</f>
        <v>M</v>
      </c>
      <c r="CV268" s="246" t="str">
        <f>IFERROR(__xludf.DUMMYFUNCTION("IF(REGEXMATCH($C268, ""P""), """",""P"")"),"")</f>
        <v/>
      </c>
      <c r="CW268" s="246" t="str">
        <f>IFERROR(__xludf.DUMMYFUNCTION("IF(REGEXMATCH($C268, ""d""), """",""d"")"),"")</f>
        <v/>
      </c>
      <c r="CX268" s="246" t="str">
        <f>IFERROR(__xludf.DUMMYFUNCTION("IF(REGEXMATCH($C268, ""D""), """",""D"")"),"")</f>
        <v/>
      </c>
      <c r="CY268" s="246" t="str">
        <f>IFERROR(__xludf.DUMMYFUNCTION("IF(REGEXMATCH($C268, ""n""), """",""n"")"),"")</f>
        <v/>
      </c>
      <c r="CZ268" s="246" t="str">
        <f>IFERROR(__xludf.DUMMYFUNCTION("IF(REGEXMATCH($C268, ""N""), """",""N"")"),"")</f>
        <v/>
      </c>
      <c r="DA268" s="246" t="str">
        <f>IFERROR(__xludf.DUMMYFUNCTION("IF(REGEXMATCH($C268, ""S""), ""S"",""S"")"),"S")</f>
        <v>S</v>
      </c>
      <c r="DB268" s="362" t="str">
        <f>IFERROR(__xludf.DUMMYFUNCTION("JOIN("""",CO268:DA268,"""","""")"),"SrMS")</f>
        <v>SrMS</v>
      </c>
      <c r="DC268" s="363"/>
      <c r="DD268" s="301" t="str">
        <f t="shared" si="35"/>
        <v>#REF!</v>
      </c>
      <c r="DE268" s="302" t="str">
        <f t="shared" si="36"/>
        <v>#REF!</v>
      </c>
      <c r="DF268" s="301" t="str">
        <f t="shared" ref="DF268:DG268" si="758">SUBSTITUTE(S268,"-","")</f>
        <v>SRGM</v>
      </c>
      <c r="DG268" s="301" t="str">
        <f t="shared" si="758"/>
        <v>PDNS</v>
      </c>
      <c r="DH268" s="302" t="str">
        <f t="shared" si="38"/>
        <v>-</v>
      </c>
      <c r="DI268" s="301" t="str">
        <f t="shared" si="39"/>
        <v>Hemi.</v>
      </c>
      <c r="DJ268" s="364" t="str">
        <f t="shared" si="40"/>
        <v>CCC.</v>
      </c>
      <c r="DK268" s="306" t="str">
        <f t="shared" si="41"/>
        <v>-</v>
      </c>
      <c r="DL268" s="366" t="str">
        <f t="shared" si="42"/>
        <v>-</v>
      </c>
      <c r="DM268" s="308" t="str">
        <f t="shared" si="43"/>
        <v>✔</v>
      </c>
      <c r="DN268" s="306" t="str">
        <f t="shared" si="44"/>
        <v>-</v>
      </c>
      <c r="DO268" s="306" t="str">
        <f t="shared" si="45"/>
        <v>-</v>
      </c>
      <c r="DP268" s="367" t="str">
        <f t="shared" si="46"/>
        <v>-</v>
      </c>
      <c r="DQ268" s="310" t="str">
        <f t="shared" si="47"/>
        <v>-</v>
      </c>
      <c r="DR268" s="310" t="str">
        <f t="shared" si="48"/>
        <v>✔</v>
      </c>
      <c r="DS268" s="310" t="str">
        <f t="shared" si="49"/>
        <v>-</v>
      </c>
      <c r="DT268" s="310" t="str">
        <f t="shared" si="50"/>
        <v>✔</v>
      </c>
      <c r="DU268" s="370" t="str">
        <f t="shared" si="51"/>
        <v>✔</v>
      </c>
      <c r="DV268" s="306" t="str">
        <f t="shared" si="52"/>
        <v>-</v>
      </c>
      <c r="DW268" s="306" t="str">
        <f t="shared" si="53"/>
        <v>-</v>
      </c>
      <c r="DX268" s="306" t="str">
        <f t="shared" si="54"/>
        <v>-</v>
      </c>
      <c r="DY268" s="306" t="str">
        <f t="shared" si="55"/>
        <v>-</v>
      </c>
      <c r="DZ268" s="306" t="str">
        <f t="shared" si="56"/>
        <v>-</v>
      </c>
      <c r="EA268" s="367" t="str">
        <f t="shared" si="57"/>
        <v>-</v>
      </c>
      <c r="EB268" s="310" t="str">
        <f>IFERROR(__xludf.DUMMYFUNCTION("IF(REGEXMATCH(AW268,AS268),""✔"",""-"")"),"✔")</f>
        <v>✔</v>
      </c>
      <c r="EC268" s="310" t="str">
        <f t="shared" si="58"/>
        <v>#REF!</v>
      </c>
      <c r="ED268" s="370" t="str">
        <f t="shared" si="59"/>
        <v>-</v>
      </c>
      <c r="EE268" s="340" t="str">
        <f t="shared" si="60"/>
        <v>S-R-gG-m-P-dD-nN-S</v>
      </c>
      <c r="EF268" s="371" t="str">
        <f>IFERROR(__xludf.DUMMYFUNCTION("CONCATENATE(JOIN("""",HC268:HO268))"),"SrRgGmPdDnS")</f>
        <v>SrRgGmPdDnS</v>
      </c>
      <c r="EG268" s="372">
        <f t="shared" si="61"/>
        <v>1</v>
      </c>
      <c r="EH268" s="373" t="str">
        <f>IFERROR(__xludf.DUMMYFUNCTION("CONCATENATE(JOIN("""",JC268:JO268))"),"Ni, ")</f>
        <v>Ni, </v>
      </c>
      <c r="EI268" s="322">
        <f t="shared" si="62"/>
        <v>0</v>
      </c>
      <c r="EJ268" s="374" t="str">
        <f>IFERROR(__xludf.DUMMYFUNCTION("CONCATENATE(JOIN("""",KC268:KO268))"),"")</f>
        <v/>
      </c>
      <c r="EK268" s="325" t="str">
        <f t="shared" si="63"/>
        <v>S-R2-G2-G3-M1-P-D1-D2-N2-N3-S</v>
      </c>
      <c r="EL268" s="326" t="str">
        <f t="shared" si="64"/>
        <v>1-2-b3-3-4-5-b6-6-b7-7-8</v>
      </c>
      <c r="EM268" s="318" t="str">
        <f t="shared" si="65"/>
        <v>#REF!</v>
      </c>
      <c r="EN268" s="328" t="str">
        <f>IFERROR(__xludf.DUMMYFUNCTION("SUBSTITUTE(SUBSTITUTE(SUBSTITUTE(SUBSTITUTE(CONCATENATE(JOIN("" "",HP268:IB268)),""  "","" ""),""  "","" ""),""  "","" ""),""  "","" "")"),"o • o o o o • o o o o o o")</f>
        <v>o • o o o o • o o o o o o</v>
      </c>
      <c r="EO268" s="368" t="str">
        <f t="shared" si="66"/>
        <v>-</v>
      </c>
      <c r="EP268" s="339" t="str">
        <f t="shared" si="67"/>
        <v>-</v>
      </c>
      <c r="EQ268" s="339" t="str">
        <f t="shared" si="68"/>
        <v>Sa-Pa</v>
      </c>
      <c r="ER268" s="339" t="str">
        <f t="shared" si="69"/>
        <v>-</v>
      </c>
      <c r="ES268" s="340" t="str">
        <f t="shared" si="70"/>
        <v>-</v>
      </c>
      <c r="ET268" s="363"/>
      <c r="EU268" s="376" t="b">
        <f>IFERROR(__xludf.DUMMYFUNCTION("arrayformula(sum(--REGEXMATCH(""SRGMPDNS"",split(REGEXREPLACE(C268,""(.)"",""$1~""),""~""))))=len(C268)
"),FALSE)</f>
        <v>0</v>
      </c>
      <c r="EV268" s="290" t="b">
        <f>IFERROR(__xludf.DUMMYFUNCTION("arrayformula(sum(--REGEXMATCH(""SRGmPDNS"",split(REGEXREPLACE(C268,""(.)"",""$1~""),""~""))))=len(C268)"),FALSE)</f>
        <v>0</v>
      </c>
      <c r="EW268" s="290" t="b">
        <f>IFERROR(__xludf.DUMMYFUNCTION("arrayformula(sum(--REGEXMATCH(""SRGmPDnS"",split(REGEXREPLACE(C268,""(.)"",""$1~""),""~""))))=len(C268)"),FALSE)</f>
        <v>0</v>
      </c>
      <c r="EX268" s="290" t="b">
        <f>IFERROR(__xludf.DUMMYFUNCTION("arrayformula(sum(--REGEXMATCH(""SRgmPDnS"",split(REGEXREPLACE(C268,""(.)"",""$1~""),""~""))))=len(C268)"),FALSE)</f>
        <v>0</v>
      </c>
      <c r="EY268" s="290" t="b">
        <f>IFERROR(__xludf.DUMMYFUNCTION("arrayformula(sum(--REGEXMATCH(""SRgmPdnS"",split(REGEXREPLACE(C268,""(.)"",""$1~""),""~""))))=len(C268)"),FALSE)</f>
        <v>0</v>
      </c>
      <c r="EZ268" s="290" t="b">
        <f>IFERROR(__xludf.DUMMYFUNCTION("arrayformula(sum(--REGEXMATCH(""SrgmPdnS"",split(REGEXREPLACE(C268,""(.)"",""$1~""),""~""))))=len(C268)"),FALSE)</f>
        <v>0</v>
      </c>
      <c r="FA268" s="290" t="b">
        <f>IFERROR(__xludf.DUMMYFUNCTION("arrayformula(sum(--REGEXMATCH(""SrGmPdNS"",split(REGEXREPLACE(C268,""(.)"",""$1~""),""~""))))=len(C268)"),FALSE)</f>
        <v>0</v>
      </c>
      <c r="FB268" s="290" t="b">
        <f>IFERROR(__xludf.DUMMYFUNCTION("arrayformula(sum(--REGEXMATCH(""SrGMPDNS"",split(REGEXREPLACE(C268,""(.)"",""$1~""),""~""))))=len(C268)"),FALSE)</f>
        <v>0</v>
      </c>
      <c r="FC268" s="290" t="b">
        <f>IFERROR(__xludf.DUMMYFUNCTION("arrayformula(sum(--REGEXMATCH(""SrGMPdNS"",split(REGEXREPLACE(C268,""(.)"",""$1~""),""~""))))=len(C268)"),FALSE)</f>
        <v>0</v>
      </c>
      <c r="FD268" s="377" t="b">
        <f>IFERROR(__xludf.DUMMYFUNCTION("arrayformula(sum(--REGEXMATCH(""SrgMPdNS"",split(REGEXREPLACE(C268,""(.)"",""$1~""),""~""))))=len(C268)"),FALSE)</f>
        <v>0</v>
      </c>
      <c r="FE268" s="269" t="str">
        <f t="shared" si="71"/>
        <v>-</v>
      </c>
      <c r="FF268" s="269" t="str">
        <f t="shared" si="72"/>
        <v>xxxxoxxxxxx</v>
      </c>
      <c r="FG268" s="271" t="str">
        <f t="shared" si="73"/>
        <v>xxxoxxxxxxo</v>
      </c>
      <c r="FH268" s="269" t="str">
        <f t="shared" si="74"/>
        <v>xxoxxxxxxox</v>
      </c>
      <c r="FI268" s="271" t="str">
        <f t="shared" si="75"/>
        <v>xoxxxxxxoxx</v>
      </c>
      <c r="FJ268" s="271" t="str">
        <f t="shared" si="76"/>
        <v>-</v>
      </c>
      <c r="FK268" s="271" t="str">
        <f t="shared" si="77"/>
        <v>xxxxxxoxxxx</v>
      </c>
      <c r="FL268" s="271" t="str">
        <f t="shared" si="78"/>
        <v>xxxxxoxxxxo</v>
      </c>
      <c r="FM268" s="271" t="str">
        <f t="shared" si="79"/>
        <v>xxxxoxxxxox</v>
      </c>
      <c r="FN268" s="271" t="str">
        <f t="shared" si="80"/>
        <v>xxxoxxxxoxx</v>
      </c>
      <c r="FO268" s="274" t="str">
        <f t="shared" si="81"/>
        <v>xxoxxxxoxxx</v>
      </c>
      <c r="FP268" s="234" t="str">
        <f t="shared" si="82"/>
        <v>|</v>
      </c>
      <c r="FQ268" s="236" t="str">
        <f t="shared" si="83"/>
        <v>-</v>
      </c>
      <c r="FR268" s="237" t="str">
        <f t="shared" si="84"/>
        <v>|</v>
      </c>
      <c r="FS268" s="236" t="str">
        <f t="shared" si="85"/>
        <v>|</v>
      </c>
      <c r="FT268" s="237" t="str">
        <f t="shared" si="86"/>
        <v>|</v>
      </c>
      <c r="FU268" s="236" t="str">
        <f t="shared" si="87"/>
        <v>|</v>
      </c>
      <c r="FV268" s="237" t="str">
        <f t="shared" si="88"/>
        <v>-</v>
      </c>
      <c r="FW268" s="236" t="str">
        <f t="shared" si="89"/>
        <v>|</v>
      </c>
      <c r="FX268" s="237" t="str">
        <f t="shared" si="90"/>
        <v>|</v>
      </c>
      <c r="FY268" s="236" t="str">
        <f t="shared" si="91"/>
        <v>|</v>
      </c>
      <c r="FZ268" s="237" t="str">
        <f t="shared" si="92"/>
        <v>|</v>
      </c>
      <c r="GA268" s="236" t="str">
        <f t="shared" si="93"/>
        <v>|</v>
      </c>
      <c r="GB268" s="238" t="str">
        <f t="shared" si="94"/>
        <v>|</v>
      </c>
      <c r="GC268" s="244" t="str">
        <f>IFERROR(__xludf.DUMMYFUNCTION("IF(REGEXMATCH(C268, ""S""), ""1"","""")"),"1")</f>
        <v>1</v>
      </c>
      <c r="GD268" s="245" t="str">
        <f>IFERROR(__xludf.DUMMYFUNCTION("IF(REGEXMATCH(C268, ""r""), ""b2"","""")"),"")</f>
        <v/>
      </c>
      <c r="GE268" s="246" t="str">
        <f>IFERROR(__xludf.DUMMYFUNCTION("IF(REGEXMATCH(C268, ""R""), ""2"","""")"),"2")</f>
        <v>2</v>
      </c>
      <c r="GF268" s="246" t="str">
        <f>IFERROR(__xludf.DUMMYFUNCTION("IF(REGEXMATCH(C268, ""g""), ""b3"","""")"),"b3")</f>
        <v>b3</v>
      </c>
      <c r="GG268" s="245" t="str">
        <f>IFERROR(__xludf.DUMMYFUNCTION("IF(REGEXMATCH(C268, ""G""), ""3"","""")"),"3")</f>
        <v>3</v>
      </c>
      <c r="GH268" s="245" t="str">
        <f>IFERROR(__xludf.DUMMYFUNCTION("IF(REGEXMATCH(C268, ""m""), ""4"","""")"),"4")</f>
        <v>4</v>
      </c>
      <c r="GI268" s="246" t="str">
        <f>IFERROR(__xludf.DUMMYFUNCTION("IF(REGEXMATCH(C268, ""M""), ""#4"","""")"),"")</f>
        <v/>
      </c>
      <c r="GJ268" s="245" t="str">
        <f>IFERROR(__xludf.DUMMYFUNCTION("IF(REGEXMATCH(C268, ""P""), ""5"","""")"),"5")</f>
        <v>5</v>
      </c>
      <c r="GK268" s="246" t="str">
        <f>IFERROR(__xludf.DUMMYFUNCTION("IF(REGEXMATCH(C268, ""d""), ""b6"","""")"),"b6")</f>
        <v>b6</v>
      </c>
      <c r="GL268" s="245" t="str">
        <f>IFERROR(__xludf.DUMMYFUNCTION("IF(REGEXMATCH(C268, ""D""), ""6"","""")"),"6")</f>
        <v>6</v>
      </c>
      <c r="GM268" s="245" t="str">
        <f>IFERROR(__xludf.DUMMYFUNCTION("IF(REGEXMATCH(C268, ""n""), ""b7"","""")"),"b7")</f>
        <v>b7</v>
      </c>
      <c r="GN268" s="246" t="str">
        <f>IFERROR(__xludf.DUMMYFUNCTION("IF(REGEXMATCH(C268, ""N""), ""7"","""")"),"7")</f>
        <v>7</v>
      </c>
      <c r="GO268" s="249" t="str">
        <f>IFERROR(__xludf.DUMMYFUNCTION("IF(REGEXMATCH(C268, ""S""), ""8"","""")"),"8")</f>
        <v>8</v>
      </c>
      <c r="GP268" s="244" t="str">
        <f>IFERROR(__xludf.DUMMYFUNCTION("IF(REGEXMATCH(C268, ""S""), ""S"","""")"),"S")</f>
        <v>S</v>
      </c>
      <c r="GQ268" s="294" t="str">
        <f>IFERROR(__xludf.DUMMYFUNCTION("IF(REGEXMATCH(C268, ""r""), ""R1"","""")"),"")</f>
        <v/>
      </c>
      <c r="GR268" s="295" t="str">
        <f>IFERROR(__xludf.DUMMYFUNCTION("IF(REGEXMATCH(C268, ""R""), ""R2"","""")"),"R2")</f>
        <v>R2</v>
      </c>
      <c r="GS268" s="295" t="str">
        <f>IFERROR(__xludf.DUMMYFUNCTION("IF(REGEXMATCH(C268, ""g""), ""G2"","""")"),"G2")</f>
        <v>G2</v>
      </c>
      <c r="GT268" s="294" t="str">
        <f>IFERROR(__xludf.DUMMYFUNCTION("IF(REGEXMATCH(C268, ""G""), ""G3"","""")"),"G3")</f>
        <v>G3</v>
      </c>
      <c r="GU268" s="294" t="str">
        <f>IFERROR(__xludf.DUMMYFUNCTION("IF(REGEXMATCH(C268, ""m""), ""M1"","""")"),"M1")</f>
        <v>M1</v>
      </c>
      <c r="GV268" s="295" t="str">
        <f>IFERROR(__xludf.DUMMYFUNCTION("IF(REGEXMATCH(C268, ""M""), ""M2"","""")"),"")</f>
        <v/>
      </c>
      <c r="GW268" s="294" t="str">
        <f>IFERROR(__xludf.DUMMYFUNCTION("IF(REGEXMATCH(C268, ""P""), ""P"","""")"),"P")</f>
        <v>P</v>
      </c>
      <c r="GX268" s="295" t="str">
        <f>IFERROR(__xludf.DUMMYFUNCTION("IF(REGEXMATCH(C268, ""d""), ""D1"","""")"),"D1")</f>
        <v>D1</v>
      </c>
      <c r="GY268" s="294" t="str">
        <f>IFERROR(__xludf.DUMMYFUNCTION("IF(REGEXMATCH(C268, ""D""), ""D2"","""")"),"D2")</f>
        <v>D2</v>
      </c>
      <c r="GZ268" s="294" t="str">
        <f>IFERROR(__xludf.DUMMYFUNCTION("IF(REGEXMATCH(C268, ""n""), ""N2"","""")"),"N2")</f>
        <v>N2</v>
      </c>
      <c r="HA268" s="295" t="str">
        <f>IFERROR(__xludf.DUMMYFUNCTION("IF(REGEXMATCH(C268, ""N""), ""N3"","""")"),"N3")</f>
        <v>N3</v>
      </c>
      <c r="HB268" s="249" t="str">
        <f>IFERROR(__xludf.DUMMYFUNCTION("IF(REGEXMATCH(C268, ""S""), ""S"","""")"),"S")</f>
        <v>S</v>
      </c>
      <c r="HC268" s="331" t="str">
        <f t="shared" si="95"/>
        <v>S</v>
      </c>
      <c r="HD268" s="332" t="str">
        <f t="shared" si="96"/>
        <v>r</v>
      </c>
      <c r="HE268" s="332" t="str">
        <f t="shared" si="97"/>
        <v>R</v>
      </c>
      <c r="HF268" s="332" t="str">
        <f t="shared" si="98"/>
        <v>g</v>
      </c>
      <c r="HG268" s="332" t="str">
        <f t="shared" si="99"/>
        <v>G</v>
      </c>
      <c r="HH268" s="332" t="str">
        <f t="shared" si="100"/>
        <v>m</v>
      </c>
      <c r="HI268" s="332" t="str">
        <f t="shared" si="101"/>
        <v/>
      </c>
      <c r="HJ268" s="332" t="str">
        <f t="shared" si="102"/>
        <v>P</v>
      </c>
      <c r="HK268" s="332" t="str">
        <f t="shared" si="103"/>
        <v>d</v>
      </c>
      <c r="HL268" s="332" t="str">
        <f t="shared" si="104"/>
        <v>D</v>
      </c>
      <c r="HM268" s="332" t="str">
        <f t="shared" si="105"/>
        <v>n</v>
      </c>
      <c r="HN268" s="332" t="str">
        <f t="shared" si="106"/>
        <v/>
      </c>
      <c r="HO268" s="343" t="str">
        <f t="shared" si="107"/>
        <v>S</v>
      </c>
      <c r="HP268" s="331" t="str">
        <f t="shared" si="108"/>
        <v>o</v>
      </c>
      <c r="HQ268" s="332" t="str">
        <f t="shared" si="109"/>
        <v>•</v>
      </c>
      <c r="HR268" s="332" t="str">
        <f t="shared" si="110"/>
        <v>o</v>
      </c>
      <c r="HS268" s="332" t="str">
        <f t="shared" si="111"/>
        <v>o</v>
      </c>
      <c r="HT268" s="332" t="str">
        <f t="shared" si="112"/>
        <v>o</v>
      </c>
      <c r="HU268" s="332" t="str">
        <f t="shared" si="113"/>
        <v>o</v>
      </c>
      <c r="HV268" s="332" t="str">
        <f t="shared" si="114"/>
        <v>•</v>
      </c>
      <c r="HW268" s="332" t="str">
        <f t="shared" si="115"/>
        <v>o</v>
      </c>
      <c r="HX268" s="332" t="str">
        <f t="shared" si="116"/>
        <v>o</v>
      </c>
      <c r="HY268" s="332" t="str">
        <f t="shared" si="117"/>
        <v>o</v>
      </c>
      <c r="HZ268" s="332" t="str">
        <f t="shared" si="118"/>
        <v>o</v>
      </c>
      <c r="IA268" s="332" t="str">
        <f t="shared" si="119"/>
        <v>o</v>
      </c>
      <c r="IB268" s="338" t="str">
        <f t="shared" si="120"/>
        <v>o</v>
      </c>
      <c r="IC268" s="331" t="str">
        <f t="shared" si="121"/>
        <v>•</v>
      </c>
      <c r="ID268" s="332" t="str">
        <f t="shared" si="122"/>
        <v>o</v>
      </c>
      <c r="IE268" s="332" t="str">
        <f t="shared" si="123"/>
        <v>•</v>
      </c>
      <c r="IF268" s="332" t="str">
        <f t="shared" si="124"/>
        <v>•</v>
      </c>
      <c r="IG268" s="332" t="str">
        <f t="shared" si="125"/>
        <v>•</v>
      </c>
      <c r="IH268" s="332" t="str">
        <f t="shared" si="126"/>
        <v>•</v>
      </c>
      <c r="II268" s="332" t="str">
        <f t="shared" si="127"/>
        <v>o</v>
      </c>
      <c r="IJ268" s="332" t="str">
        <f t="shared" si="128"/>
        <v>•</v>
      </c>
      <c r="IK268" s="332" t="str">
        <f t="shared" si="129"/>
        <v>•</v>
      </c>
      <c r="IL268" s="332" t="str">
        <f t="shared" si="130"/>
        <v>•</v>
      </c>
      <c r="IM268" s="332" t="str">
        <f t="shared" si="131"/>
        <v>•</v>
      </c>
      <c r="IN268" s="332" t="str">
        <f t="shared" si="132"/>
        <v>•</v>
      </c>
      <c r="IO268" s="338" t="str">
        <f t="shared" si="133"/>
        <v>•</v>
      </c>
      <c r="IP268" s="346" t="b">
        <f t="shared" si="134"/>
        <v>0</v>
      </c>
      <c r="IQ268" s="347" t="b">
        <f t="shared" si="135"/>
        <v>0</v>
      </c>
      <c r="IR268" s="347" t="b">
        <f t="shared" si="136"/>
        <v>0</v>
      </c>
      <c r="IS268" s="347" t="b">
        <f t="shared" si="137"/>
        <v>0</v>
      </c>
      <c r="IT268" s="347" t="b">
        <f t="shared" si="138"/>
        <v>0</v>
      </c>
      <c r="IU268" s="347" t="b">
        <f t="shared" si="139"/>
        <v>0</v>
      </c>
      <c r="IV268" s="347" t="b">
        <f t="shared" si="140"/>
        <v>0</v>
      </c>
      <c r="IW268" s="347" t="b">
        <f t="shared" si="141"/>
        <v>0</v>
      </c>
      <c r="IX268" s="347" t="b">
        <f t="shared" si="142"/>
        <v>0</v>
      </c>
      <c r="IY268" s="347" t="b">
        <f t="shared" si="143"/>
        <v>0</v>
      </c>
      <c r="IZ268" s="347" t="b">
        <f t="shared" si="144"/>
        <v>0</v>
      </c>
      <c r="JA268" s="347" t="b">
        <f t="shared" si="145"/>
        <v>1</v>
      </c>
      <c r="JB268" s="353" t="b">
        <f t="shared" si="146"/>
        <v>0</v>
      </c>
      <c r="JC268" s="354" t="str">
        <f t="shared" si="147"/>
        <v/>
      </c>
      <c r="JD268" s="355" t="str">
        <f t="shared" si="148"/>
        <v/>
      </c>
      <c r="JE268" s="355" t="str">
        <f t="shared" si="149"/>
        <v/>
      </c>
      <c r="JF268" s="355" t="str">
        <f t="shared" si="150"/>
        <v/>
      </c>
      <c r="JG268" s="355" t="str">
        <f t="shared" si="151"/>
        <v/>
      </c>
      <c r="JH268" s="355" t="str">
        <f t="shared" si="152"/>
        <v/>
      </c>
      <c r="JI268" s="355" t="str">
        <f t="shared" si="153"/>
        <v/>
      </c>
      <c r="JJ268" s="355" t="str">
        <f t="shared" si="154"/>
        <v/>
      </c>
      <c r="JK268" s="355" t="str">
        <f t="shared" si="155"/>
        <v/>
      </c>
      <c r="JL268" s="355" t="str">
        <f t="shared" si="156"/>
        <v/>
      </c>
      <c r="JM268" s="355" t="str">
        <f t="shared" si="157"/>
        <v/>
      </c>
      <c r="JN268" s="355" t="str">
        <f t="shared" si="158"/>
        <v>Ni, </v>
      </c>
      <c r="JO268" s="359" t="str">
        <f t="shared" si="159"/>
        <v/>
      </c>
      <c r="JP268" s="346" t="b">
        <f t="shared" si="160"/>
        <v>0</v>
      </c>
      <c r="JQ268" s="347" t="b">
        <f t="shared" si="161"/>
        <v>0</v>
      </c>
      <c r="JR268" s="347" t="b">
        <f t="shared" si="162"/>
        <v>0</v>
      </c>
      <c r="JS268" s="347" t="b">
        <f t="shared" si="163"/>
        <v>0</v>
      </c>
      <c r="JT268" s="347" t="b">
        <f t="shared" si="164"/>
        <v>0</v>
      </c>
      <c r="JU268" s="347" t="b">
        <f t="shared" si="165"/>
        <v>0</v>
      </c>
      <c r="JV268" s="347" t="b">
        <f t="shared" si="166"/>
        <v>0</v>
      </c>
      <c r="JW268" s="347" t="b">
        <f t="shared" si="167"/>
        <v>0</v>
      </c>
      <c r="JX268" s="347" t="b">
        <f t="shared" si="168"/>
        <v>0</v>
      </c>
      <c r="JY268" s="347" t="b">
        <f t="shared" si="169"/>
        <v>0</v>
      </c>
      <c r="JZ268" s="347" t="b">
        <f t="shared" si="170"/>
        <v>0</v>
      </c>
      <c r="KA268" s="347" t="b">
        <f t="shared" si="171"/>
        <v>0</v>
      </c>
      <c r="KB268" s="365" t="b">
        <f t="shared" si="172"/>
        <v>0</v>
      </c>
      <c r="KC268" s="354" t="str">
        <f t="shared" si="173"/>
        <v/>
      </c>
      <c r="KD268" s="355" t="str">
        <f t="shared" si="174"/>
        <v/>
      </c>
      <c r="KE268" s="355" t="str">
        <f t="shared" si="175"/>
        <v/>
      </c>
      <c r="KF268" s="355" t="str">
        <f t="shared" si="176"/>
        <v/>
      </c>
      <c r="KG268" s="355" t="str">
        <f t="shared" si="177"/>
        <v/>
      </c>
      <c r="KH268" s="355" t="str">
        <f t="shared" si="178"/>
        <v/>
      </c>
      <c r="KI268" s="355" t="str">
        <f t="shared" si="179"/>
        <v/>
      </c>
      <c r="KJ268" s="355" t="str">
        <f t="shared" si="180"/>
        <v/>
      </c>
      <c r="KK268" s="355" t="str">
        <f t="shared" si="181"/>
        <v/>
      </c>
      <c r="KL268" s="355" t="str">
        <f t="shared" si="182"/>
        <v/>
      </c>
      <c r="KM268" s="355" t="str">
        <f t="shared" si="183"/>
        <v/>
      </c>
      <c r="KN268" s="355" t="str">
        <f t="shared" si="184"/>
        <v/>
      </c>
      <c r="KO268" s="359"/>
      <c r="KP268" s="378"/>
      <c r="KQ268" s="379" t="s">
        <v>935</v>
      </c>
      <c r="KR268" s="380" t="s">
        <v>1407</v>
      </c>
      <c r="KS268" s="381" t="str">
        <f t="shared" ref="KS268:KS269" si="761">KQ268</f>
        <v>S-g-m-P-N-S</v>
      </c>
      <c r="KT268" s="382">
        <f t="shared" si="186"/>
        <v>5</v>
      </c>
      <c r="KU268" s="383">
        <f t="shared" si="187"/>
        <v>5</v>
      </c>
      <c r="KV268" s="381" t="str">
        <f t="shared" si="205"/>
        <v>S-Nn-D-P-m-Gg-R-S</v>
      </c>
      <c r="KW268" s="382">
        <f t="shared" si="189"/>
        <v>7</v>
      </c>
      <c r="KX268" s="384">
        <f t="shared" si="190"/>
        <v>9</v>
      </c>
      <c r="KY268" s="382">
        <f t="shared" ref="KY268:KZ268" si="759">KW268-KT268</f>
        <v>2</v>
      </c>
      <c r="KZ268" s="369">
        <f t="shared" si="759"/>
        <v>4</v>
      </c>
      <c r="LA268" s="385" t="str">
        <f t="shared" si="192"/>
        <v>-</v>
      </c>
      <c r="LB268" s="340" t="str">
        <f>IFERROR(__xludf.DUMMYFUNCTION("JOIN("""",ArrayFormula(MID(KS268,LEN(KS268)-SEQUENCE(1,LEN(KS268))+1,1)))"),"S-N-P-m-g-S")</f>
        <v>S-N-P-m-g-S</v>
      </c>
      <c r="LC268" s="373" t="str">
        <f>IFERROR(__xludf.DUMMYFUNCTION("JOIN("""",ArrayFormula(MID(KV268,LEN(KV268)-SEQUENCE(1,LEN(KV268))+1,1)))"),"S-R-gG-m-P-D-nN-S")</f>
        <v>S-R-gG-m-P-D-nN-S</v>
      </c>
      <c r="LD268" s="373" t="str">
        <f t="shared" si="193"/>
        <v>SgmPNS</v>
      </c>
      <c r="LE268" s="339" t="str">
        <f t="shared" si="194"/>
        <v>SRgGmPDnNS</v>
      </c>
      <c r="LF268" s="386" t="str">
        <f>IFERROR(__xludf.DUMMYFUNCTION("SUBSTITUTE(SUBSTITUTE(CONCATENATE(JOIN("""",LH268:LT268)),""1"",""""),""2"","""")"),"SRgGmPDnNS")</f>
        <v>SRgGmPDnNS</v>
      </c>
      <c r="LG268" s="369" t="str">
        <f t="shared" si="195"/>
        <v>-</v>
      </c>
      <c r="LH268" s="387" t="str">
        <f>IFERROR(__xludf.DUMMYFUNCTION("IF(REGEXMATCH(LD268, ""S""), ""S"",IF(REGEXMATCH(LE268, ""S""), ""S"",""""))"),"S")</f>
        <v>S</v>
      </c>
      <c r="LI268" s="299" t="str">
        <f>IFERROR(__xludf.DUMMYFUNCTION("IF(REGEXMATCH(LD268, ""r""), ""r1"",IF(REGEXMATCH(LE268, ""r""), ""r2"",""""))"),"")</f>
        <v/>
      </c>
      <c r="LJ268" s="299" t="str">
        <f>IFERROR(__xludf.DUMMYFUNCTION("IF(REGEXMATCH(LD268, ""R""), ""R1"",IF(REGEXMATCH(LE268, ""R""), ""R2"",""""))"),"R2")</f>
        <v>R2</v>
      </c>
      <c r="LK268" s="299" t="str">
        <f>IFERROR(__xludf.DUMMYFUNCTION("IF(REGEXMATCH(LD268, ""g""), ""g1"",IF(REGEXMATCH(LE268, ""g""), ""g2"",""""))"),"g1")</f>
        <v>g1</v>
      </c>
      <c r="LL268" s="299" t="str">
        <f>IFERROR(__xludf.DUMMYFUNCTION("IF(REGEXMATCH(LD268, ""G""), ""G1"",IF(REGEXMATCH(LE268, ""G""), ""G2"",""""))"),"G2")</f>
        <v>G2</v>
      </c>
      <c r="LM268" s="299" t="str">
        <f>IFERROR(__xludf.DUMMYFUNCTION("IF(REGEXMATCH(LD268, ""m""), ""m1"",IF(REGEXMATCH(LE268, ""m""), ""m2"",""""))"),"m1")</f>
        <v>m1</v>
      </c>
      <c r="LN268" s="299" t="str">
        <f>IFERROR(__xludf.DUMMYFUNCTION("IF(REGEXMATCH(LD268, ""M""), ""M1"",IF(REGEXMATCH(LE268, ""M""), ""M2"",""""))"),"")</f>
        <v/>
      </c>
      <c r="LO268" s="299" t="str">
        <f>IFERROR(__xludf.DUMMYFUNCTION("IF(REGEXMATCH(LD268, ""P""), ""P1"",IF(REGEXMATCH(LE268, ""P""), ""P2"",""""))"),"P1")</f>
        <v>P1</v>
      </c>
      <c r="LP268" s="299" t="str">
        <f>IFERROR(__xludf.DUMMYFUNCTION("IF(REGEXMATCH(LD268, ""d""), ""d1"",IF(REGEXMATCH(LE268, ""d""), ""d2"",""""))"),"")</f>
        <v/>
      </c>
      <c r="LQ268" s="299" t="str">
        <f>IFERROR(__xludf.DUMMYFUNCTION("IF(REGEXMATCH(LD268, ""D""), ""D1"",IF(REGEXMATCH(LE268, ""D""), ""D2"",""""))"),"D2")</f>
        <v>D2</v>
      </c>
      <c r="LR268" s="299" t="str">
        <f>IFERROR(__xludf.DUMMYFUNCTION("IF(REGEXMATCH(LD268, ""n""), ""n1"",IF(REGEXMATCH(LE268, ""n""), ""n2"",""""))"),"n2")</f>
        <v>n2</v>
      </c>
      <c r="LS268" s="299" t="str">
        <f>IFERROR(__xludf.DUMMYFUNCTION("IF(REGEXMATCH(LD268, ""N""), ""N1"",IF(REGEXMATCH(LE268, ""N""), ""N2"",""""))"),"N1")</f>
        <v>N1</v>
      </c>
      <c r="LT268" s="388" t="str">
        <f>IFERROR(__xludf.DUMMYFUNCTION("IF(REGEXMATCH(LD268, ""S""), ""S"",IF(REGEXMATCH(LE268, ""S""), ""S"",""""))"),"S")</f>
        <v>S</v>
      </c>
      <c r="LU268" s="389">
        <f t="shared" si="196"/>
        <v>-5</v>
      </c>
      <c r="LV268" s="378"/>
      <c r="LW268" s="369"/>
      <c r="LX268" s="369"/>
    </row>
    <row r="269" ht="18.0" customHeight="1">
      <c r="A269" s="298" t="s">
        <v>126</v>
      </c>
      <c r="B269" s="222" t="s">
        <v>1044</v>
      </c>
      <c r="C269" s="233" t="str">
        <f t="shared" si="7"/>
        <v>SrGmMPdNS</v>
      </c>
      <c r="D269" s="234" t="str">
        <f>IFERROR(__xludf.DUMMYFUNCTION("IF(REGEXMATCH(C269, ""S""), ""S"","""")"),"S")</f>
        <v>S</v>
      </c>
      <c r="E269" s="236" t="str">
        <f>IFERROR(__xludf.DUMMYFUNCTION("IF(REGEXMATCH(C269, ""r""), ""r"","""")"),"r")</f>
        <v>r</v>
      </c>
      <c r="F269" s="237" t="str">
        <f>IFERROR(__xludf.DUMMYFUNCTION("IF(REGEXMATCH(C269, ""R""), ""R"","""")"),"")</f>
        <v/>
      </c>
      <c r="G269" s="237" t="str">
        <f>IFERROR(__xludf.DUMMYFUNCTION("IF(REGEXMATCH(C269, ""g""), ""g"","""")"),"")</f>
        <v/>
      </c>
      <c r="H269" s="236" t="str">
        <f>IFERROR(__xludf.DUMMYFUNCTION("IF(REGEXMATCH(C269, ""G""), ""G"","""")"),"G")</f>
        <v>G</v>
      </c>
      <c r="I269" s="236" t="str">
        <f>IFERROR(__xludf.DUMMYFUNCTION("IF(REGEXMATCH(C269, ""m""), ""m"","""")"),"m")</f>
        <v>m</v>
      </c>
      <c r="J269" s="237" t="str">
        <f>IFERROR(__xludf.DUMMYFUNCTION("IF(REGEXMATCH(C269, ""M""), ""M"","""")"),"M")</f>
        <v>M</v>
      </c>
      <c r="K269" s="236" t="str">
        <f>IFERROR(__xludf.DUMMYFUNCTION("IF(REGEXMATCH(C269, ""P""), ""P"","""")"),"P")</f>
        <v>P</v>
      </c>
      <c r="L269" s="237" t="str">
        <f>IFERROR(__xludf.DUMMYFUNCTION("IF(REGEXMATCH(C269, ""d""), ""d"","""")"),"d")</f>
        <v>d</v>
      </c>
      <c r="M269" s="236" t="str">
        <f>IFERROR(__xludf.DUMMYFUNCTION("IF(REGEXMATCH(C269, ""D""), ""D"","""")"),"")</f>
        <v/>
      </c>
      <c r="N269" s="236" t="str">
        <f>IFERROR(__xludf.DUMMYFUNCTION("IF(REGEXMATCH(C269, ""n""), ""n"","""")"),"")</f>
        <v/>
      </c>
      <c r="O269" s="237" t="str">
        <f>IFERROR(__xludf.DUMMYFUNCTION("IF(REGEXMATCH(C269, ""N""), ""N"","""")"),"N")</f>
        <v>N</v>
      </c>
      <c r="P269" s="238" t="str">
        <f>IFERROR(__xludf.DUMMYFUNCTION("IF(REGEXMATCH(C269, ""S""), ""S"","""")"),"S")</f>
        <v>S</v>
      </c>
      <c r="Q269" s="239" t="str">
        <f>IFERROR(__xludf.DUMMYFUNCTION("SUBSTITUTE(CONCATENATE(JOIN(""-"",D269:J269)),""-"","""")"),"SrGmM")</f>
        <v>SrGmM</v>
      </c>
      <c r="R269" s="229" t="str">
        <f>IFERROR(__xludf.DUMMYFUNCTION("SUBSTITUTE(CONCATENATE(JOIN(""-"",K269:P269)),""-"","""")"),"PdNS")</f>
        <v>PdNS</v>
      </c>
      <c r="S269" s="282" t="str">
        <f t="shared" si="8"/>
        <v>S-R-G-M</v>
      </c>
      <c r="T269" s="282" t="str">
        <f t="shared" si="9"/>
        <v>P-D-N-S</v>
      </c>
      <c r="U269" s="237" t="str">
        <f>IFERROR(__xludf.DUMMYFUNCTION("SUBSTITUTE(JOIN(""-"",S269,T269),""--"",""-"")"),"S-R-G-M-P-D-N-S")</f>
        <v>S-R-G-M-P-D-N-S</v>
      </c>
      <c r="V269" s="309" t="str">
        <f t="shared" si="10"/>
        <v>rGmMdN</v>
      </c>
      <c r="W269" s="244" t="str">
        <f>IFERROR(__xludf.DUMMYFUNCTION("IF(REGEXMATCH(C269, ""S""), ""0"","""")"),"0")</f>
        <v>0</v>
      </c>
      <c r="X269" s="245" t="str">
        <f>IFERROR(__xludf.DUMMYFUNCTION("IF(REGEXMATCH(C269, ""r""), ""1"","""")"),"1")</f>
        <v>1</v>
      </c>
      <c r="Y269" s="246" t="str">
        <f>IFERROR(__xludf.DUMMYFUNCTION("IF(REGEXMATCH(C269, ""R""), ""2"","""")"),"")</f>
        <v/>
      </c>
      <c r="Z269" s="246" t="str">
        <f>IFERROR(__xludf.DUMMYFUNCTION("IF(REGEXMATCH(C269, ""g""), ""3"","""")"),"")</f>
        <v/>
      </c>
      <c r="AA269" s="245" t="str">
        <f>IFERROR(__xludf.DUMMYFUNCTION("IF(REGEXMATCH(C269, ""G""), ""4"","""")"),"4")</f>
        <v>4</v>
      </c>
      <c r="AB269" s="245" t="str">
        <f>IFERROR(__xludf.DUMMYFUNCTION("IF(REGEXMATCH(C269, ""m""), ""5"","""")"),"5")</f>
        <v>5</v>
      </c>
      <c r="AC269" s="246" t="str">
        <f>IFERROR(__xludf.DUMMYFUNCTION("IF(REGEXMATCH(C269, ""M""), ""6"","""")"),"6")</f>
        <v>6</v>
      </c>
      <c r="AD269" s="245" t="str">
        <f>IFERROR(__xludf.DUMMYFUNCTION("IF(REGEXMATCH(C269, ""P""), ""7"","""")"),"7")</f>
        <v>7</v>
      </c>
      <c r="AE269" s="246" t="str">
        <f>IFERROR(__xludf.DUMMYFUNCTION("IF(REGEXMATCH(C269, ""d""), ""8"","""")"),"8")</f>
        <v>8</v>
      </c>
      <c r="AF269" s="245" t="str">
        <f>IFERROR(__xludf.DUMMYFUNCTION("IF(REGEXMATCH(C269, ""D""), ""9"","""")"),"")</f>
        <v/>
      </c>
      <c r="AG269" s="245" t="str">
        <f>IFERROR(__xludf.DUMMYFUNCTION("IF(REGEXMATCH(C269, ""n""), ""10"","""")"),"")</f>
        <v/>
      </c>
      <c r="AH269" s="246" t="str">
        <f>IFERROR(__xludf.DUMMYFUNCTION("IF(REGEXMATCH(C269, ""N""), ""11"","""")"),"11")</f>
        <v>11</v>
      </c>
      <c r="AI269" s="249" t="str">
        <f>IFERROR(__xludf.DUMMYFUNCTION("IF(REGEXMATCH(C269, ""S""), ""0"","""")"),"0")</f>
        <v>0</v>
      </c>
      <c r="AJ269" s="313" t="str">
        <f t="shared" si="11"/>
        <v>T</v>
      </c>
      <c r="AK269" s="313" t="str">
        <f t="shared" si="12"/>
        <v>T</v>
      </c>
      <c r="AL269" s="313" t="str">
        <f t="shared" si="13"/>
        <v>-</v>
      </c>
      <c r="AM269" s="313" t="str">
        <f t="shared" si="14"/>
        <v>-</v>
      </c>
      <c r="AN269" s="313" t="str">
        <f t="shared" si="15"/>
        <v>-</v>
      </c>
      <c r="AO269" s="314" t="str">
        <f t="shared" si="16"/>
        <v>T</v>
      </c>
      <c r="AP269" s="316">
        <f t="shared" si="17"/>
        <v>3</v>
      </c>
      <c r="AQ269" s="319" t="str">
        <f t="shared" si="18"/>
        <v>-</v>
      </c>
      <c r="AR269" s="320">
        <f t="shared" si="19"/>
        <v>0</v>
      </c>
      <c r="AS269" s="250" t="str">
        <f>IFERROR(__xludf.DUMMYFUNCTION("SUBSTITUTE(SUBSTITUTE(CONCATENATE(JOIN("""",FP269:GA269)),""|"",""x""),""-"",""o"")"),"xxooxxxxxoox")</f>
        <v>xxooxxxxxoox</v>
      </c>
      <c r="AT269" s="323" t="str">
        <f>IFERROR(__xludf.DUMMYFUNCTION("JOIN("""",AS269,AS269)"),"xxooxxxxxooxxxooxxxxxoox")</f>
        <v>xxooxxxxxooxxxooxxxxxoox</v>
      </c>
      <c r="AU269" s="256" t="str">
        <f>IFERROR(__xludf.DUMMYFUNCTION("JOIN("""",ArrayFormula(MID(AS269,LEN(AS269)-SEQUENCE(1,LEN(AS269))+1,1)))"),"xooxxxxxooxx")</f>
        <v>xooxxxxxooxx</v>
      </c>
      <c r="AV269" s="256" t="str">
        <f>IFERROR(__xludf.DUMMYFUNCTION("LEFT(CONCATENATE(""x"",JOIN("""",ArrayFormula(MID(AS269,LEN(AS269)-SEQUENCE(1,LEN(AS269))+1,1)))),12)"),"xxooxxxxxoox")</f>
        <v>xxooxxxxxoox</v>
      </c>
      <c r="AW269" s="327" t="str">
        <f>IFERROR(__xludf.DUMMYFUNCTION("JOIN("""",AU269,AU269)"),"xooxxxxxooxxxooxxxxxooxx")</f>
        <v>xooxxxxxooxxxooxxxxxooxx</v>
      </c>
      <c r="AX269" s="239" t="str">
        <f>IFERROR(__xludf.DUMMYFUNCTION("IF(REGEXMATCH(AW269,AS269),""✔"",""-"")"),"✔")</f>
        <v>✔</v>
      </c>
      <c r="AY269" s="330" t="str">
        <f t="shared" si="20"/>
        <v>✔</v>
      </c>
      <c r="AZ269" s="260" t="str">
        <f t="shared" si="21"/>
        <v>#REF!</v>
      </c>
      <c r="BA269" s="333" t="str">
        <f t="shared" si="22"/>
        <v>xxooxxx</v>
      </c>
      <c r="BB269" s="334" t="str">
        <f t="shared" si="23"/>
        <v>xxooxx</v>
      </c>
      <c r="BC269" s="335" t="str">
        <f t="shared" si="236"/>
        <v>✔</v>
      </c>
      <c r="BD269" s="336" t="str">
        <f t="shared" si="25"/>
        <v>Poorvi: 'xxooxxx' + 'xxooxx'</v>
      </c>
      <c r="BE269" s="337">
        <f>IFERROR(__xludf.DUMMYFUNCTION("COUNTUNIQUE(FILTER(AT:AT,REGEXMATCH(AT:AT,AS269)))-1"),0.0)</f>
        <v>0</v>
      </c>
      <c r="BF269" s="261" t="str">
        <f>IFERROR(__xludf.DUMMYFUNCTION("IF(BI269=0,""(n/a)"",IF(BJ269=2,""(PAIR)"",IF(REGEXMATCH(AT269,""xoxoxxoxoxox""),""Bilawal"",IF(REGEXMATCH(AT269,""xoxoxooxoxoo""),""Bhupali"",IF(REGEXMATCH(AT269,""xoxoxxoxxoxo""),""Charukeshi"",IF(REGEXMATCH(AT269,""xoxoooxxoxxo""),""Kameshwari"",IF(REG"&amp;"EXMATCH(AT269,""xoxoxooxoxox""),""Shankara"",IF(REGEXMATCH(AT269,""xxooxoxxxoox""),""Basant"",IF(REGEXMATCH(AT269,""xoxoxxxxoxox""),""Bihag"",IF(REGEXMATCH(AT269,""xoxxxxoxoxxx""),""Pilu"",IF(REGEXMATCH(AT269,""xoxxoxoxxoox""),""Kirwani"",IF(REGEXMATCH(AT"&amp;"269,""xoxxoxoxoxxx""),""Mk.Malhar"",IF(REGEXMATCH(AT269,""xxooxxoxxoox""),""Bhairav"",IF(REGEXMATCH(AT269,""xxoxooxxxoox""),""Todi"",IF(REGEXMATCH(AT269,""xxooxoxooxox""),""Marwa"",IF(REGEXMATCH(AT269,""xxoooxoxxooo""),""Gunkali"",IF(REGEXMATCH(AT269,""xo"&amp;"xoxxoxxoox""),""Nat Bhairav"",IF(REGEXMATCH(AT269,""xoxxoooxoxoo""),""Shivranjani"",IF(REGEXMATCH(AT269,""xooxxxoxooxo""),""Jog"",IF(REGEXMATCH(AT269,""xxooxoxoxoox""),""Hemshri"",IF(REGEXMATCH(AT269,""xoooxooxoxxo""),""Kalavati"",IF(REGEXMATCH(AT269,""xx"&amp;"oxoxxoxoox""),""Kedar"",IF(REGEXMATCH(AT269,""xoxxxxoxooxx""),""Gara"",IF(REGEXMATCH(AT269,""xooxoxooxoox""),""Chandrakauns"",IF(REGEXMATCH(AT269,""xoxxxxoxxxox""),""Mand"",IF(REGEXMATCH(AT269,""xoxxxxoxoxox""),""Hanskinkini"",IF(REGEXMATCH(AT269,""xxooxx"&amp;"oxooxo""),""Lilavati"",IF(REGEXMATCH(AT269,""xooxoxoooxox""),""Rajeshwari"",IF(REGEXMATCH(AT269,""xoooxxoxoxxx""),""Khokar"",IF(REGEXMATCH(AT269,""xxooxoxxxxox""),""Maligoura"",""-""))))))))))))))))))))))))))))))"),"(n/a)")</f>
        <v>(n/a)</v>
      </c>
      <c r="BG269" s="239" t="str">
        <f t="shared" si="26"/>
        <v>#REF!</v>
      </c>
      <c r="BH269" s="239">
        <f>IFERROR(__xludf.DUMMYFUNCTION("COUNTUNIQUE(FE269:FO269)-1"),7.0)</f>
        <v>7</v>
      </c>
      <c r="BI269" s="239">
        <f>IFERROR(__xludf.DUMMYFUNCTION("COUNTUNIQUE(FILTER(AT:AT,REGEXMATCH(AT:AT,AS269)))-1"),0.0)</f>
        <v>0</v>
      </c>
      <c r="BJ269" s="239">
        <f>IFERROR(__xludf.DUMMYFUNCTION("COUNTA(FILTER(AT:AT,REGEXMATCH(AT:AT,AS269)))"),4.0)</f>
        <v>4</v>
      </c>
      <c r="BK269" s="341">
        <f>IFERROR(__xludf.DUMMYFUNCTION("COUNTA(FILTER(AT:AT,REGEXMATCH(AT:AT,AS269)))-AR269"),4.0)</f>
        <v>4</v>
      </c>
      <c r="BL269" s="276" t="str">
        <f>IFERROR(__xludf.DUMMYFUNCTION("IF(AS269=""oooooooooooo"",""-"",IF(REGEXMATCH(AT269,""xx""), ""Hemi."", ""Anhemi.""))"),"Hemi.")</f>
        <v>Hemi.</v>
      </c>
      <c r="BM269" s="282" t="str">
        <f>IFERROR(__xludf.DUMMYFUNCTION("IF(AS269=""oooooooooooo"",""-"",IF(REGEXMATCH(AT269,""xxx""), ""Cohem."", ""-""))"),"Cohem.")</f>
        <v>Cohem.</v>
      </c>
      <c r="BN269" s="282" t="str">
        <f>IFERROR(__xludf.DUMMYFUNCTION("IF(AS269=""oooooooooooo"",""-"",IF(REGEXMATCH(AT269,""xxxx""), ""Co-Co."", ""-""))"),"Co-Co.")</f>
        <v>Co-Co.</v>
      </c>
      <c r="BO269" s="342" t="str">
        <f>IFERROR(__xludf.DUMMYFUNCTION("IF(AS269=""oooooooooooo"",""-"",IF(REGEXMATCH(AT269,""xxxxx""), ""CCC."", ""-""))"),"CCC.")</f>
        <v>CCC.</v>
      </c>
      <c r="BP269" s="344" t="str">
        <f t="shared" si="27"/>
        <v>-</v>
      </c>
      <c r="BQ269" s="282" t="str">
        <f>IFERROR(__xludf.DUMMYFUNCTION("IF(REGEXMATCH(JOIN(""-"",EU269:FD269),""TRUE""),""✔"",""-"")"),"-")</f>
        <v>-</v>
      </c>
      <c r="BR269" s="225">
        <f t="shared" si="28"/>
        <v>0</v>
      </c>
      <c r="BS269" s="345" t="str">
        <f>IFERROR(__xludf.DUMMYFUNCTION("SUBSTITUTE(SUBSTITUTE(SUBSTITUTE(SUBSTITUTE(CONCATENATE(JOIN(""-"",GC269:GO269)),""--"",""-""),""--"",""-""),""--"",""-""),""--"",""-"")"),"1-b2-3-4-#4-5-b6-7-8")</f>
        <v>1-b2-3-4-#4-5-b6-7-8</v>
      </c>
      <c r="BT269" s="299" t="str">
        <f>IFERROR(__xludf.DUMMYFUNCTION("SUBSTITUTE(SUBSTITUTE(SUBSTITUTE(SUBSTITUTE(CONCATENATE(JOIN(""-"",GP269:HB269)),""--"",""-""),""--"",""-""),""--"",""-""),""--"",""-"")"),"S-R1-G3-M1-M2-P-D1-N3-S")</f>
        <v>S-R1-G3-M1-M2-P-D1-N3-S</v>
      </c>
      <c r="BU269" s="348" t="str">
        <f t="shared" si="29"/>
        <v>C-Db-E-F-F#-G-Ab-B-C</v>
      </c>
      <c r="BV269" s="349" t="str">
        <f t="shared" si="30"/>
        <v>SRgDnS</v>
      </c>
      <c r="BW269" s="350">
        <f t="shared" si="31"/>
        <v>0</v>
      </c>
      <c r="BX269" s="351">
        <f t="shared" si="32"/>
        <v>4</v>
      </c>
      <c r="BY269" s="352" t="s">
        <v>275</v>
      </c>
      <c r="BZ269" s="309" t="str">
        <f>IFERROR(__xludf.DUMMYFUNCTION("IF(REGEXMATCH(C269, ""S""), ""x"",""x"")"),"x")</f>
        <v>x</v>
      </c>
      <c r="CA269" s="245" t="str">
        <f>IFERROR(__xludf.DUMMYFUNCTION("IF(REGEXMATCH(C269, ""r""), ""o"",""x"")"),"o")</f>
        <v>o</v>
      </c>
      <c r="CB269" s="246" t="str">
        <f>IFERROR(__xludf.DUMMYFUNCTION("IF(REGEXMATCH(C269, ""R""), ""o"",""x"")"),"x")</f>
        <v>x</v>
      </c>
      <c r="CC269" s="246" t="str">
        <f>IFERROR(__xludf.DUMMYFUNCTION("IF(REGEXMATCH(C269, ""g""), ""o"",""x"")"),"x")</f>
        <v>x</v>
      </c>
      <c r="CD269" s="245" t="str">
        <f>IFERROR(__xludf.DUMMYFUNCTION("IF(REGEXMATCH(C269, ""G""), ""o"",""x"")"),"o")</f>
        <v>o</v>
      </c>
      <c r="CE269" s="245" t="str">
        <f>IFERROR(__xludf.DUMMYFUNCTION("IF(REGEXMATCH(C269, ""m""), ""o"",""x"")"),"o")</f>
        <v>o</v>
      </c>
      <c r="CF269" s="246" t="str">
        <f>IFERROR(__xludf.DUMMYFUNCTION("IF(REGEXMATCH(C269, ""M""), ""o"",""x"")"),"o")</f>
        <v>o</v>
      </c>
      <c r="CG269" s="245" t="str">
        <f>IFERROR(__xludf.DUMMYFUNCTION("IF(REGEXMATCH(C269, ""P""), ""o"",""x"")"),"o")</f>
        <v>o</v>
      </c>
      <c r="CH269" s="246" t="str">
        <f>IFERROR(__xludf.DUMMYFUNCTION("IF(REGEXMATCH(C269, ""d""), ""o"",""x"")"),"o")</f>
        <v>o</v>
      </c>
      <c r="CI269" s="245" t="str">
        <f>IFERROR(__xludf.DUMMYFUNCTION("IF(REGEXMATCH(C269, ""D""), ""o"",""x"")"),"x")</f>
        <v>x</v>
      </c>
      <c r="CJ269" s="245" t="str">
        <f>IFERROR(__xludf.DUMMYFUNCTION("IF(REGEXMATCH(C269, ""n""), ""o"",""x"")"),"x")</f>
        <v>x</v>
      </c>
      <c r="CK269" s="245" t="str">
        <f>IFERROR(__xludf.DUMMYFUNCTION("IF(REGEXMATCH(C269, ""N""), ""o"",""x"")"),"o")</f>
        <v>o</v>
      </c>
      <c r="CL269" s="356" t="str">
        <f>IFERROR(__xludf.DUMMYFUNCTION("IF(REGEXMATCH(C269, ""S""), ""x"",""x"")"),"x")</f>
        <v>x</v>
      </c>
      <c r="CM269" s="357" t="str">
        <f t="shared" si="33"/>
        <v>xoxxoooooxxo</v>
      </c>
      <c r="CN269" s="358">
        <f t="shared" si="34"/>
        <v>0</v>
      </c>
      <c r="CO269" s="246" t="str">
        <f>IFERROR(__xludf.DUMMYFUNCTION("IF(REGEXMATCH($C269, ""S""), ""S"",""S"")"),"S")</f>
        <v>S</v>
      </c>
      <c r="CP269" s="246" t="str">
        <f>IFERROR(__xludf.DUMMYFUNCTION("IF(REGEXMATCH($C269, ""r""), """",""r"")"),"")</f>
        <v/>
      </c>
      <c r="CQ269" s="246" t="str">
        <f>IFERROR(__xludf.DUMMYFUNCTION("IF(REGEXMATCH($C269, ""R""), """",""R"")"),"R")</f>
        <v>R</v>
      </c>
      <c r="CR269" s="246" t="str">
        <f>IFERROR(__xludf.DUMMYFUNCTION("IF(REGEXMATCH($C269, ""g""), """",""g"")"),"g")</f>
        <v>g</v>
      </c>
      <c r="CS269" s="246" t="str">
        <f>IFERROR(__xludf.DUMMYFUNCTION("IF(REGEXMATCH($C269, ""G""), """",""G"")"),"")</f>
        <v/>
      </c>
      <c r="CT269" s="246" t="str">
        <f>IFERROR(__xludf.DUMMYFUNCTION("IF(REGEXMATCH($C269, ""m""), """",""m"")"),"")</f>
        <v/>
      </c>
      <c r="CU269" s="246" t="str">
        <f>IFERROR(__xludf.DUMMYFUNCTION("IF(REGEXMATCH($C269, ""M""), """",""M"")"),"")</f>
        <v/>
      </c>
      <c r="CV269" s="246" t="str">
        <f>IFERROR(__xludf.DUMMYFUNCTION("IF(REGEXMATCH($C269, ""P""), """",""P"")"),"")</f>
        <v/>
      </c>
      <c r="CW269" s="246" t="str">
        <f>IFERROR(__xludf.DUMMYFUNCTION("IF(REGEXMATCH($C269, ""d""), """",""d"")"),"")</f>
        <v/>
      </c>
      <c r="CX269" s="246" t="str">
        <f>IFERROR(__xludf.DUMMYFUNCTION("IF(REGEXMATCH($C269, ""D""), """",""D"")"),"D")</f>
        <v>D</v>
      </c>
      <c r="CY269" s="246" t="str">
        <f>IFERROR(__xludf.DUMMYFUNCTION("IF(REGEXMATCH($C269, ""n""), """",""n"")"),"n")</f>
        <v>n</v>
      </c>
      <c r="CZ269" s="246" t="str">
        <f>IFERROR(__xludf.DUMMYFUNCTION("IF(REGEXMATCH($C269, ""N""), """",""N"")"),"")</f>
        <v/>
      </c>
      <c r="DA269" s="246" t="str">
        <f>IFERROR(__xludf.DUMMYFUNCTION("IF(REGEXMATCH($C269, ""S""), ""S"",""S"")"),"S")</f>
        <v>S</v>
      </c>
      <c r="DB269" s="362" t="str">
        <f>IFERROR(__xludf.DUMMYFUNCTION("JOIN("""",CO269:DA269,"""","""")"),"SRgDnS")</f>
        <v>SRgDnS</v>
      </c>
      <c r="DC269" s="363"/>
      <c r="DD269" s="301" t="str">
        <f t="shared" si="35"/>
        <v>#REF!</v>
      </c>
      <c r="DE269" s="302" t="str">
        <f t="shared" si="36"/>
        <v>#REF!</v>
      </c>
      <c r="DF269" s="301" t="str">
        <f t="shared" ref="DF269:DG269" si="760">SUBSTITUTE(S269,"-","")</f>
        <v>SRGM</v>
      </c>
      <c r="DG269" s="301" t="str">
        <f t="shared" si="760"/>
        <v>PDNS</v>
      </c>
      <c r="DH269" s="302" t="str">
        <f t="shared" si="38"/>
        <v>(n/a)</v>
      </c>
      <c r="DI269" s="301" t="str">
        <f t="shared" si="39"/>
        <v>Hemi.</v>
      </c>
      <c r="DJ269" s="364" t="str">
        <f t="shared" si="40"/>
        <v>CCC.</v>
      </c>
      <c r="DK269" s="306" t="str">
        <f t="shared" si="41"/>
        <v>-</v>
      </c>
      <c r="DL269" s="366" t="str">
        <f t="shared" si="42"/>
        <v>-</v>
      </c>
      <c r="DM269" s="308" t="str">
        <f t="shared" si="43"/>
        <v>✔</v>
      </c>
      <c r="DN269" s="306" t="str">
        <f t="shared" si="44"/>
        <v>-</v>
      </c>
      <c r="DO269" s="306" t="str">
        <f t="shared" si="45"/>
        <v>-</v>
      </c>
      <c r="DP269" s="367" t="str">
        <f t="shared" si="46"/>
        <v>-</v>
      </c>
      <c r="DQ269" s="310" t="str">
        <f t="shared" si="47"/>
        <v>-</v>
      </c>
      <c r="DR269" s="310" t="str">
        <f t="shared" si="48"/>
        <v>-</v>
      </c>
      <c r="DS269" s="310" t="str">
        <f t="shared" si="49"/>
        <v>✔</v>
      </c>
      <c r="DT269" s="310" t="str">
        <f t="shared" si="50"/>
        <v>-</v>
      </c>
      <c r="DU269" s="370" t="str">
        <f t="shared" si="51"/>
        <v>-</v>
      </c>
      <c r="DV269" s="306" t="str">
        <f t="shared" si="52"/>
        <v>-</v>
      </c>
      <c r="DW269" s="306" t="str">
        <f t="shared" si="53"/>
        <v>-</v>
      </c>
      <c r="DX269" s="306" t="str">
        <f t="shared" si="54"/>
        <v>-</v>
      </c>
      <c r="DY269" s="306" t="str">
        <f t="shared" si="55"/>
        <v>-</v>
      </c>
      <c r="DZ269" s="306" t="str">
        <f t="shared" si="56"/>
        <v>-</v>
      </c>
      <c r="EA269" s="367" t="str">
        <f t="shared" si="57"/>
        <v>-</v>
      </c>
      <c r="EB269" s="310" t="str">
        <f>IFERROR(__xludf.DUMMYFUNCTION("IF(REGEXMATCH(AW269,AS269),""✔"",""-"")"),"✔")</f>
        <v>✔</v>
      </c>
      <c r="EC269" s="310" t="str">
        <f t="shared" si="58"/>
        <v>#REF!</v>
      </c>
      <c r="ED269" s="370" t="str">
        <f t="shared" si="59"/>
        <v>✔</v>
      </c>
      <c r="EE269" s="340" t="str">
        <f t="shared" si="60"/>
        <v>S-r-G-mM-P-d-N-S</v>
      </c>
      <c r="EF269" s="371" t="str">
        <f>IFERROR(__xludf.DUMMYFUNCTION("CONCATENATE(JOIN("""",HC269:HO269))"),"SrGmMPdNS")</f>
        <v>SrGmMPdNS</v>
      </c>
      <c r="EG269" s="372">
        <f t="shared" si="61"/>
        <v>2</v>
      </c>
      <c r="EH269" s="373" t="str">
        <f>IFERROR(__xludf.DUMMYFUNCTION("CONCATENATE(JOIN("""",JC269:JO269))"),"Pa, dha, ")</f>
        <v>Pa, dha, </v>
      </c>
      <c r="EI269" s="322">
        <f t="shared" si="62"/>
        <v>0</v>
      </c>
      <c r="EJ269" s="374" t="str">
        <f>IFERROR(__xludf.DUMMYFUNCTION("CONCATENATE(JOIN("""",KC269:KO269))"),"")</f>
        <v/>
      </c>
      <c r="EK269" s="325" t="str">
        <f t="shared" si="63"/>
        <v>S-R1-G3-M1-M2-P-D1-N3-S</v>
      </c>
      <c r="EL269" s="326" t="str">
        <f t="shared" si="64"/>
        <v>1-b2-3-4-#4-5-b6-7-8</v>
      </c>
      <c r="EM269" s="318" t="str">
        <f t="shared" si="65"/>
        <v>#REF!</v>
      </c>
      <c r="EN269" s="328" t="str">
        <f>IFERROR(__xludf.DUMMYFUNCTION("SUBSTITUTE(SUBSTITUTE(SUBSTITUTE(SUBSTITUTE(CONCATENATE(JOIN("" "",HP269:IB269)),""  "","" ""),""  "","" ""),""  "","" ""),""  "","" "")"),"o o • • o o o o o • • o o")</f>
        <v>o o • • o o o o o • • o o</v>
      </c>
      <c r="EO269" s="368" t="str">
        <f t="shared" si="66"/>
        <v>-</v>
      </c>
      <c r="EP269" s="339" t="str">
        <f t="shared" si="67"/>
        <v>-</v>
      </c>
      <c r="EQ269" s="339" t="str">
        <f t="shared" si="68"/>
        <v>Sa-Pa</v>
      </c>
      <c r="ER269" s="339" t="str">
        <f t="shared" si="69"/>
        <v>-</v>
      </c>
      <c r="ES269" s="340" t="str">
        <f t="shared" si="70"/>
        <v>-</v>
      </c>
      <c r="ET269" s="363"/>
      <c r="EU269" s="376" t="b">
        <f>IFERROR(__xludf.DUMMYFUNCTION("arrayformula(sum(--REGEXMATCH(""SRGMPDNS"",split(REGEXREPLACE(C269,""(.)"",""$1~""),""~""))))=len(C269)
"),FALSE)</f>
        <v>0</v>
      </c>
      <c r="EV269" s="290" t="b">
        <f>IFERROR(__xludf.DUMMYFUNCTION("arrayformula(sum(--REGEXMATCH(""SRGmPDNS"",split(REGEXREPLACE(C269,""(.)"",""$1~""),""~""))))=len(C269)"),FALSE)</f>
        <v>0</v>
      </c>
      <c r="EW269" s="290" t="b">
        <f>IFERROR(__xludf.DUMMYFUNCTION("arrayformula(sum(--REGEXMATCH(""SRGmPDnS"",split(REGEXREPLACE(C269,""(.)"",""$1~""),""~""))))=len(C269)"),FALSE)</f>
        <v>0</v>
      </c>
      <c r="EX269" s="290" t="b">
        <f>IFERROR(__xludf.DUMMYFUNCTION("arrayformula(sum(--REGEXMATCH(""SRgmPDnS"",split(REGEXREPLACE(C269,""(.)"",""$1~""),""~""))))=len(C269)"),FALSE)</f>
        <v>0</v>
      </c>
      <c r="EY269" s="290" t="b">
        <f>IFERROR(__xludf.DUMMYFUNCTION("arrayformula(sum(--REGEXMATCH(""SRgmPdnS"",split(REGEXREPLACE(C269,""(.)"",""$1~""),""~""))))=len(C269)"),FALSE)</f>
        <v>0</v>
      </c>
      <c r="EZ269" s="290" t="b">
        <f>IFERROR(__xludf.DUMMYFUNCTION("arrayformula(sum(--REGEXMATCH(""SrgmPdnS"",split(REGEXREPLACE(C269,""(.)"",""$1~""),""~""))))=len(C269)"),FALSE)</f>
        <v>0</v>
      </c>
      <c r="FA269" s="290" t="b">
        <f>IFERROR(__xludf.DUMMYFUNCTION("arrayformula(sum(--REGEXMATCH(""SrGmPdNS"",split(REGEXREPLACE(C269,""(.)"",""$1~""),""~""))))=len(C269)"),FALSE)</f>
        <v>0</v>
      </c>
      <c r="FB269" s="290" t="b">
        <f>IFERROR(__xludf.DUMMYFUNCTION("arrayformula(sum(--REGEXMATCH(""SrGMPDNS"",split(REGEXREPLACE(C269,""(.)"",""$1~""),""~""))))=len(C269)"),FALSE)</f>
        <v>0</v>
      </c>
      <c r="FC269" s="290" t="b">
        <f>IFERROR(__xludf.DUMMYFUNCTION("arrayformula(sum(--REGEXMATCH(""SrGMPdNS"",split(REGEXREPLACE(C269,""(.)"",""$1~""),""~""))))=len(C269)"),FALSE)</f>
        <v>0</v>
      </c>
      <c r="FD269" s="377" t="b">
        <f>IFERROR(__xludf.DUMMYFUNCTION("arrayformula(sum(--REGEXMATCH(""SrgMPdNS"",split(REGEXREPLACE(C269,""(.)"",""$1~""),""~""))))=len(C269)"),FALSE)</f>
        <v>0</v>
      </c>
      <c r="FE269" s="269" t="str">
        <f t="shared" si="71"/>
        <v>xooxxxxxoox</v>
      </c>
      <c r="FF269" s="269" t="str">
        <f t="shared" si="72"/>
        <v>-</v>
      </c>
      <c r="FG269" s="271" t="str">
        <f t="shared" si="73"/>
        <v>-</v>
      </c>
      <c r="FH269" s="269" t="str">
        <f t="shared" si="74"/>
        <v>xxxxxooxxxo</v>
      </c>
      <c r="FI269" s="271" t="str">
        <f t="shared" si="75"/>
        <v>xxxxooxxxoo</v>
      </c>
      <c r="FJ269" s="271" t="str">
        <f t="shared" si="76"/>
        <v>xxxooxxxoox</v>
      </c>
      <c r="FK269" s="271" t="str">
        <f t="shared" si="77"/>
        <v>xxooxxxooxx</v>
      </c>
      <c r="FL269" s="271" t="str">
        <f t="shared" si="78"/>
        <v>xooxxxooxxx</v>
      </c>
      <c r="FM269" s="271" t="str">
        <f t="shared" si="79"/>
        <v>-</v>
      </c>
      <c r="FN269" s="271" t="str">
        <f t="shared" si="80"/>
        <v>-</v>
      </c>
      <c r="FO269" s="274" t="str">
        <f t="shared" si="81"/>
        <v>xxxooxxxxxo</v>
      </c>
      <c r="FP269" s="234" t="str">
        <f t="shared" si="82"/>
        <v>|</v>
      </c>
      <c r="FQ269" s="236" t="str">
        <f t="shared" si="83"/>
        <v>|</v>
      </c>
      <c r="FR269" s="237" t="str">
        <f t="shared" si="84"/>
        <v>-</v>
      </c>
      <c r="FS269" s="236" t="str">
        <f t="shared" si="85"/>
        <v>-</v>
      </c>
      <c r="FT269" s="237" t="str">
        <f t="shared" si="86"/>
        <v>|</v>
      </c>
      <c r="FU269" s="236" t="str">
        <f t="shared" si="87"/>
        <v>|</v>
      </c>
      <c r="FV269" s="237" t="str">
        <f t="shared" si="88"/>
        <v>|</v>
      </c>
      <c r="FW269" s="236" t="str">
        <f t="shared" si="89"/>
        <v>|</v>
      </c>
      <c r="FX269" s="237" t="str">
        <f t="shared" si="90"/>
        <v>|</v>
      </c>
      <c r="FY269" s="236" t="str">
        <f t="shared" si="91"/>
        <v>-</v>
      </c>
      <c r="FZ269" s="237" t="str">
        <f t="shared" si="92"/>
        <v>-</v>
      </c>
      <c r="GA269" s="236" t="str">
        <f t="shared" si="93"/>
        <v>|</v>
      </c>
      <c r="GB269" s="238" t="str">
        <f t="shared" si="94"/>
        <v>|</v>
      </c>
      <c r="GC269" s="244" t="str">
        <f>IFERROR(__xludf.DUMMYFUNCTION("IF(REGEXMATCH(C269, ""S""), ""1"","""")"),"1")</f>
        <v>1</v>
      </c>
      <c r="GD269" s="245" t="str">
        <f>IFERROR(__xludf.DUMMYFUNCTION("IF(REGEXMATCH(C269, ""r""), ""b2"","""")"),"b2")</f>
        <v>b2</v>
      </c>
      <c r="GE269" s="246" t="str">
        <f>IFERROR(__xludf.DUMMYFUNCTION("IF(REGEXMATCH(C269, ""R""), ""2"","""")"),"")</f>
        <v/>
      </c>
      <c r="GF269" s="246" t="str">
        <f>IFERROR(__xludf.DUMMYFUNCTION("IF(REGEXMATCH(C269, ""g""), ""b3"","""")"),"")</f>
        <v/>
      </c>
      <c r="GG269" s="245" t="str">
        <f>IFERROR(__xludf.DUMMYFUNCTION("IF(REGEXMATCH(C269, ""G""), ""3"","""")"),"3")</f>
        <v>3</v>
      </c>
      <c r="GH269" s="245" t="str">
        <f>IFERROR(__xludf.DUMMYFUNCTION("IF(REGEXMATCH(C269, ""m""), ""4"","""")"),"4")</f>
        <v>4</v>
      </c>
      <c r="GI269" s="246" t="str">
        <f>IFERROR(__xludf.DUMMYFUNCTION("IF(REGEXMATCH(C269, ""M""), ""#4"","""")"),"#4")</f>
        <v>#4</v>
      </c>
      <c r="GJ269" s="245" t="str">
        <f>IFERROR(__xludf.DUMMYFUNCTION("IF(REGEXMATCH(C269, ""P""), ""5"","""")"),"5")</f>
        <v>5</v>
      </c>
      <c r="GK269" s="246" t="str">
        <f>IFERROR(__xludf.DUMMYFUNCTION("IF(REGEXMATCH(C269, ""d""), ""b6"","""")"),"b6")</f>
        <v>b6</v>
      </c>
      <c r="GL269" s="245" t="str">
        <f>IFERROR(__xludf.DUMMYFUNCTION("IF(REGEXMATCH(C269, ""D""), ""6"","""")"),"")</f>
        <v/>
      </c>
      <c r="GM269" s="245" t="str">
        <f>IFERROR(__xludf.DUMMYFUNCTION("IF(REGEXMATCH(C269, ""n""), ""b7"","""")"),"")</f>
        <v/>
      </c>
      <c r="GN269" s="246" t="str">
        <f>IFERROR(__xludf.DUMMYFUNCTION("IF(REGEXMATCH(C269, ""N""), ""7"","""")"),"7")</f>
        <v>7</v>
      </c>
      <c r="GO269" s="249" t="str">
        <f>IFERROR(__xludf.DUMMYFUNCTION("IF(REGEXMATCH(C269, ""S""), ""8"","""")"),"8")</f>
        <v>8</v>
      </c>
      <c r="GP269" s="244" t="str">
        <f>IFERROR(__xludf.DUMMYFUNCTION("IF(REGEXMATCH(C269, ""S""), ""S"","""")"),"S")</f>
        <v>S</v>
      </c>
      <c r="GQ269" s="294" t="str">
        <f>IFERROR(__xludf.DUMMYFUNCTION("IF(REGEXMATCH(C269, ""r""), ""R1"","""")"),"R1")</f>
        <v>R1</v>
      </c>
      <c r="GR269" s="295" t="str">
        <f>IFERROR(__xludf.DUMMYFUNCTION("IF(REGEXMATCH(C269, ""R""), ""R2"","""")"),"")</f>
        <v/>
      </c>
      <c r="GS269" s="295" t="str">
        <f>IFERROR(__xludf.DUMMYFUNCTION("IF(REGEXMATCH(C269, ""g""), ""G2"","""")"),"")</f>
        <v/>
      </c>
      <c r="GT269" s="294" t="str">
        <f>IFERROR(__xludf.DUMMYFUNCTION("IF(REGEXMATCH(C269, ""G""), ""G3"","""")"),"G3")</f>
        <v>G3</v>
      </c>
      <c r="GU269" s="294" t="str">
        <f>IFERROR(__xludf.DUMMYFUNCTION("IF(REGEXMATCH(C269, ""m""), ""M1"","""")"),"M1")</f>
        <v>M1</v>
      </c>
      <c r="GV269" s="295" t="str">
        <f>IFERROR(__xludf.DUMMYFUNCTION("IF(REGEXMATCH(C269, ""M""), ""M2"","""")"),"M2")</f>
        <v>M2</v>
      </c>
      <c r="GW269" s="294" t="str">
        <f>IFERROR(__xludf.DUMMYFUNCTION("IF(REGEXMATCH(C269, ""P""), ""P"","""")"),"P")</f>
        <v>P</v>
      </c>
      <c r="GX269" s="295" t="str">
        <f>IFERROR(__xludf.DUMMYFUNCTION("IF(REGEXMATCH(C269, ""d""), ""D1"","""")"),"D1")</f>
        <v>D1</v>
      </c>
      <c r="GY269" s="294" t="str">
        <f>IFERROR(__xludf.DUMMYFUNCTION("IF(REGEXMATCH(C269, ""D""), ""D2"","""")"),"")</f>
        <v/>
      </c>
      <c r="GZ269" s="294" t="str">
        <f>IFERROR(__xludf.DUMMYFUNCTION("IF(REGEXMATCH(C269, ""n""), ""N2"","""")"),"")</f>
        <v/>
      </c>
      <c r="HA269" s="295" t="str">
        <f>IFERROR(__xludf.DUMMYFUNCTION("IF(REGEXMATCH(C269, ""N""), ""N3"","""")"),"N3")</f>
        <v>N3</v>
      </c>
      <c r="HB269" s="249" t="str">
        <f>IFERROR(__xludf.DUMMYFUNCTION("IF(REGEXMATCH(C269, ""S""), ""S"","""")"),"S")</f>
        <v>S</v>
      </c>
      <c r="HC269" s="331" t="str">
        <f t="shared" si="95"/>
        <v>S</v>
      </c>
      <c r="HD269" s="332" t="str">
        <f t="shared" si="96"/>
        <v>r</v>
      </c>
      <c r="HE269" s="332" t="str">
        <f t="shared" si="97"/>
        <v/>
      </c>
      <c r="HF269" s="332" t="str">
        <f t="shared" si="98"/>
        <v/>
      </c>
      <c r="HG269" s="332" t="str">
        <f t="shared" si="99"/>
        <v>G</v>
      </c>
      <c r="HH269" s="332" t="str">
        <f t="shared" si="100"/>
        <v>m</v>
      </c>
      <c r="HI269" s="332" t="str">
        <f t="shared" si="101"/>
        <v>M</v>
      </c>
      <c r="HJ269" s="332" t="str">
        <f t="shared" si="102"/>
        <v>P</v>
      </c>
      <c r="HK269" s="332" t="str">
        <f t="shared" si="103"/>
        <v>d</v>
      </c>
      <c r="HL269" s="332" t="str">
        <f t="shared" si="104"/>
        <v/>
      </c>
      <c r="HM269" s="332" t="str">
        <f t="shared" si="105"/>
        <v/>
      </c>
      <c r="HN269" s="332" t="str">
        <f t="shared" si="106"/>
        <v>N</v>
      </c>
      <c r="HO269" s="343" t="str">
        <f t="shared" si="107"/>
        <v>S</v>
      </c>
      <c r="HP269" s="331" t="str">
        <f t="shared" si="108"/>
        <v>o</v>
      </c>
      <c r="HQ269" s="332" t="str">
        <f t="shared" si="109"/>
        <v>o</v>
      </c>
      <c r="HR269" s="332" t="str">
        <f t="shared" si="110"/>
        <v>•</v>
      </c>
      <c r="HS269" s="332" t="str">
        <f t="shared" si="111"/>
        <v>•</v>
      </c>
      <c r="HT269" s="332" t="str">
        <f t="shared" si="112"/>
        <v>o</v>
      </c>
      <c r="HU269" s="332" t="str">
        <f t="shared" si="113"/>
        <v>o</v>
      </c>
      <c r="HV269" s="332" t="str">
        <f t="shared" si="114"/>
        <v>o</v>
      </c>
      <c r="HW269" s="332" t="str">
        <f t="shared" si="115"/>
        <v>o</v>
      </c>
      <c r="HX269" s="332" t="str">
        <f t="shared" si="116"/>
        <v>o</v>
      </c>
      <c r="HY269" s="332" t="str">
        <f t="shared" si="117"/>
        <v>•</v>
      </c>
      <c r="HZ269" s="332" t="str">
        <f t="shared" si="118"/>
        <v>•</v>
      </c>
      <c r="IA269" s="332" t="str">
        <f t="shared" si="119"/>
        <v>o</v>
      </c>
      <c r="IB269" s="338" t="str">
        <f t="shared" si="120"/>
        <v>o</v>
      </c>
      <c r="IC269" s="331" t="str">
        <f t="shared" si="121"/>
        <v>•</v>
      </c>
      <c r="ID269" s="332" t="str">
        <f t="shared" si="122"/>
        <v>•</v>
      </c>
      <c r="IE269" s="332" t="str">
        <f t="shared" si="123"/>
        <v>o</v>
      </c>
      <c r="IF269" s="332" t="str">
        <f t="shared" si="124"/>
        <v>o</v>
      </c>
      <c r="IG269" s="332" t="str">
        <f t="shared" si="125"/>
        <v>•</v>
      </c>
      <c r="IH269" s="332" t="str">
        <f t="shared" si="126"/>
        <v>•</v>
      </c>
      <c r="II269" s="332" t="str">
        <f t="shared" si="127"/>
        <v>•</v>
      </c>
      <c r="IJ269" s="332" t="str">
        <f t="shared" si="128"/>
        <v>•</v>
      </c>
      <c r="IK269" s="332" t="str">
        <f t="shared" si="129"/>
        <v>•</v>
      </c>
      <c r="IL269" s="332" t="str">
        <f t="shared" si="130"/>
        <v>o</v>
      </c>
      <c r="IM269" s="332" t="str">
        <f t="shared" si="131"/>
        <v>o</v>
      </c>
      <c r="IN269" s="332" t="str">
        <f t="shared" si="132"/>
        <v>•</v>
      </c>
      <c r="IO269" s="338" t="str">
        <f t="shared" si="133"/>
        <v>•</v>
      </c>
      <c r="IP269" s="346" t="b">
        <f t="shared" si="134"/>
        <v>0</v>
      </c>
      <c r="IQ269" s="347" t="b">
        <f t="shared" si="135"/>
        <v>0</v>
      </c>
      <c r="IR269" s="347" t="b">
        <f t="shared" si="136"/>
        <v>0</v>
      </c>
      <c r="IS269" s="347" t="b">
        <f t="shared" si="137"/>
        <v>0</v>
      </c>
      <c r="IT269" s="347" t="b">
        <f t="shared" si="138"/>
        <v>0</v>
      </c>
      <c r="IU269" s="347" t="b">
        <f t="shared" si="139"/>
        <v>0</v>
      </c>
      <c r="IV269" s="347" t="b">
        <f t="shared" si="140"/>
        <v>0</v>
      </c>
      <c r="IW269" s="347" t="b">
        <f t="shared" si="141"/>
        <v>1</v>
      </c>
      <c r="IX269" s="347" t="b">
        <f t="shared" si="142"/>
        <v>1</v>
      </c>
      <c r="IY269" s="347" t="b">
        <f t="shared" si="143"/>
        <v>0</v>
      </c>
      <c r="IZ269" s="347" t="b">
        <f t="shared" si="144"/>
        <v>0</v>
      </c>
      <c r="JA269" s="347" t="b">
        <f t="shared" si="145"/>
        <v>0</v>
      </c>
      <c r="JB269" s="353" t="b">
        <f t="shared" si="146"/>
        <v>0</v>
      </c>
      <c r="JC269" s="354" t="str">
        <f t="shared" si="147"/>
        <v/>
      </c>
      <c r="JD269" s="355" t="str">
        <f t="shared" si="148"/>
        <v/>
      </c>
      <c r="JE269" s="355" t="str">
        <f t="shared" si="149"/>
        <v/>
      </c>
      <c r="JF269" s="355" t="str">
        <f t="shared" si="150"/>
        <v/>
      </c>
      <c r="JG269" s="355" t="str">
        <f t="shared" si="151"/>
        <v/>
      </c>
      <c r="JH269" s="355" t="str">
        <f t="shared" si="152"/>
        <v/>
      </c>
      <c r="JI269" s="355" t="str">
        <f t="shared" si="153"/>
        <v/>
      </c>
      <c r="JJ269" s="355" t="str">
        <f t="shared" si="154"/>
        <v>Pa, </v>
      </c>
      <c r="JK269" s="355" t="str">
        <f t="shared" si="155"/>
        <v>dha, </v>
      </c>
      <c r="JL269" s="355" t="str">
        <f t="shared" si="156"/>
        <v/>
      </c>
      <c r="JM269" s="355" t="str">
        <f t="shared" si="157"/>
        <v/>
      </c>
      <c r="JN269" s="355" t="str">
        <f t="shared" si="158"/>
        <v/>
      </c>
      <c r="JO269" s="359" t="str">
        <f t="shared" si="159"/>
        <v/>
      </c>
      <c r="JP269" s="346" t="b">
        <f t="shared" si="160"/>
        <v>0</v>
      </c>
      <c r="JQ269" s="347" t="b">
        <f t="shared" si="161"/>
        <v>0</v>
      </c>
      <c r="JR269" s="347" t="b">
        <f t="shared" si="162"/>
        <v>0</v>
      </c>
      <c r="JS269" s="347" t="b">
        <f t="shared" si="163"/>
        <v>0</v>
      </c>
      <c r="JT269" s="347" t="b">
        <f t="shared" si="164"/>
        <v>0</v>
      </c>
      <c r="JU269" s="347" t="b">
        <f t="shared" si="165"/>
        <v>0</v>
      </c>
      <c r="JV269" s="347" t="b">
        <f t="shared" si="166"/>
        <v>0</v>
      </c>
      <c r="JW269" s="347" t="b">
        <f t="shared" si="167"/>
        <v>0</v>
      </c>
      <c r="JX269" s="347" t="b">
        <f t="shared" si="168"/>
        <v>0</v>
      </c>
      <c r="JY269" s="347" t="b">
        <f t="shared" si="169"/>
        <v>0</v>
      </c>
      <c r="JZ269" s="347" t="b">
        <f t="shared" si="170"/>
        <v>0</v>
      </c>
      <c r="KA269" s="347" t="b">
        <f t="shared" si="171"/>
        <v>0</v>
      </c>
      <c r="KB269" s="365" t="b">
        <f t="shared" si="172"/>
        <v>0</v>
      </c>
      <c r="KC269" s="354" t="str">
        <f t="shared" si="173"/>
        <v/>
      </c>
      <c r="KD269" s="355" t="str">
        <f t="shared" si="174"/>
        <v/>
      </c>
      <c r="KE269" s="355" t="str">
        <f t="shared" si="175"/>
        <v/>
      </c>
      <c r="KF269" s="355" t="str">
        <f t="shared" si="176"/>
        <v/>
      </c>
      <c r="KG269" s="355" t="str">
        <f t="shared" si="177"/>
        <v/>
      </c>
      <c r="KH269" s="355" t="str">
        <f t="shared" si="178"/>
        <v/>
      </c>
      <c r="KI269" s="355" t="str">
        <f t="shared" si="179"/>
        <v/>
      </c>
      <c r="KJ269" s="355" t="str">
        <f t="shared" si="180"/>
        <v/>
      </c>
      <c r="KK269" s="355" t="str">
        <f t="shared" si="181"/>
        <v/>
      </c>
      <c r="KL269" s="355" t="str">
        <f t="shared" si="182"/>
        <v/>
      </c>
      <c r="KM269" s="355" t="str">
        <f t="shared" si="183"/>
        <v/>
      </c>
      <c r="KN269" s="355" t="str">
        <f t="shared" si="184"/>
        <v/>
      </c>
      <c r="KO269" s="359"/>
      <c r="KP269" s="378"/>
      <c r="KQ269" s="379" t="s">
        <v>339</v>
      </c>
      <c r="KR269" s="380" t="s">
        <v>1466</v>
      </c>
      <c r="KS269" s="381" t="str">
        <f t="shared" si="761"/>
        <v>S-r-G-M-P-d-N-S</v>
      </c>
      <c r="KT269" s="382">
        <f t="shared" si="186"/>
        <v>7</v>
      </c>
      <c r="KU269" s="383">
        <f t="shared" si="187"/>
        <v>7</v>
      </c>
      <c r="KV269" s="381" t="str">
        <f t="shared" si="205"/>
        <v>S-N-d-P-Mm-G-r-S</v>
      </c>
      <c r="KW269" s="382">
        <f t="shared" si="189"/>
        <v>7</v>
      </c>
      <c r="KX269" s="384">
        <f t="shared" si="190"/>
        <v>8</v>
      </c>
      <c r="KY269" s="382">
        <f t="shared" ref="KY269:KZ269" si="762">KW269-KT269</f>
        <v>0</v>
      </c>
      <c r="KZ269" s="369">
        <f t="shared" si="762"/>
        <v>1</v>
      </c>
      <c r="LA269" s="385" t="str">
        <f t="shared" si="192"/>
        <v>-</v>
      </c>
      <c r="LB269" s="340" t="str">
        <f>IFERROR(__xludf.DUMMYFUNCTION("JOIN("""",ArrayFormula(MID(KS269,LEN(KS269)-SEQUENCE(1,LEN(KS269))+1,1)))"),"S-N-d-P-M-G-r-S")</f>
        <v>S-N-d-P-M-G-r-S</v>
      </c>
      <c r="LC269" s="373" t="str">
        <f>IFERROR(__xludf.DUMMYFUNCTION("JOIN("""",ArrayFormula(MID(KV269,LEN(KV269)-SEQUENCE(1,LEN(KV269))+1,1)))"),"S-r-G-mM-P-d-N-S")</f>
        <v>S-r-G-mM-P-d-N-S</v>
      </c>
      <c r="LD269" s="373" t="str">
        <f t="shared" si="193"/>
        <v>SrGMPdNS</v>
      </c>
      <c r="LE269" s="339" t="str">
        <f t="shared" si="194"/>
        <v>SrGmMPdNS</v>
      </c>
      <c r="LF269" s="386" t="str">
        <f>IFERROR(__xludf.DUMMYFUNCTION("SUBSTITUTE(SUBSTITUTE(CONCATENATE(JOIN("""",LH269:LT269)),""1"",""""),""2"","""")"),"SrGmMPdNS")</f>
        <v>SrGmMPdNS</v>
      </c>
      <c r="LG269" s="369" t="str">
        <f t="shared" si="195"/>
        <v>✔</v>
      </c>
      <c r="LH269" s="387" t="str">
        <f>IFERROR(__xludf.DUMMYFUNCTION("IF(REGEXMATCH(LD269, ""S""), ""S"",IF(REGEXMATCH(LE269, ""S""), ""S"",""""))"),"S")</f>
        <v>S</v>
      </c>
      <c r="LI269" s="299" t="str">
        <f>IFERROR(__xludf.DUMMYFUNCTION("IF(REGEXMATCH(LD269, ""r""), ""r1"",IF(REGEXMATCH(LE269, ""r""), ""r2"",""""))"),"r1")</f>
        <v>r1</v>
      </c>
      <c r="LJ269" s="299" t="str">
        <f>IFERROR(__xludf.DUMMYFUNCTION("IF(REGEXMATCH(LD269, ""R""), ""R1"",IF(REGEXMATCH(LE269, ""R""), ""R2"",""""))"),"")</f>
        <v/>
      </c>
      <c r="LK269" s="299" t="str">
        <f>IFERROR(__xludf.DUMMYFUNCTION("IF(REGEXMATCH(LD269, ""g""), ""g1"",IF(REGEXMATCH(LE269, ""g""), ""g2"",""""))"),"")</f>
        <v/>
      </c>
      <c r="LL269" s="299" t="str">
        <f>IFERROR(__xludf.DUMMYFUNCTION("IF(REGEXMATCH(LD269, ""G""), ""G1"",IF(REGEXMATCH(LE269, ""G""), ""G2"",""""))"),"G1")</f>
        <v>G1</v>
      </c>
      <c r="LM269" s="299" t="str">
        <f>IFERROR(__xludf.DUMMYFUNCTION("IF(REGEXMATCH(LD269, ""m""), ""m1"",IF(REGEXMATCH(LE269, ""m""), ""m2"",""""))"),"m2")</f>
        <v>m2</v>
      </c>
      <c r="LN269" s="299" t="str">
        <f>IFERROR(__xludf.DUMMYFUNCTION("IF(REGEXMATCH(LD269, ""M""), ""M1"",IF(REGEXMATCH(LE269, ""M""), ""M2"",""""))"),"M1")</f>
        <v>M1</v>
      </c>
      <c r="LO269" s="299" t="str">
        <f>IFERROR(__xludf.DUMMYFUNCTION("IF(REGEXMATCH(LD269, ""P""), ""P1"",IF(REGEXMATCH(LE269, ""P""), ""P2"",""""))"),"P1")</f>
        <v>P1</v>
      </c>
      <c r="LP269" s="299" t="str">
        <f>IFERROR(__xludf.DUMMYFUNCTION("IF(REGEXMATCH(LD269, ""d""), ""d1"",IF(REGEXMATCH(LE269, ""d""), ""d2"",""""))"),"d1")</f>
        <v>d1</v>
      </c>
      <c r="LQ269" s="299" t="str">
        <f>IFERROR(__xludf.DUMMYFUNCTION("IF(REGEXMATCH(LD269, ""D""), ""D1"",IF(REGEXMATCH(LE269, ""D""), ""D2"",""""))"),"")</f>
        <v/>
      </c>
      <c r="LR269" s="299" t="str">
        <f>IFERROR(__xludf.DUMMYFUNCTION("IF(REGEXMATCH(LD269, ""n""), ""n1"",IF(REGEXMATCH(LE269, ""n""), ""n2"",""""))"),"")</f>
        <v/>
      </c>
      <c r="LS269" s="299" t="str">
        <f>IFERROR(__xludf.DUMMYFUNCTION("IF(REGEXMATCH(LD269, ""N""), ""N1"",IF(REGEXMATCH(LE269, ""N""), ""N2"",""""))"),"N1")</f>
        <v>N1</v>
      </c>
      <c r="LT269" s="388" t="str">
        <f>IFERROR(__xludf.DUMMYFUNCTION("IF(REGEXMATCH(LD269, ""S""), ""S"",IF(REGEXMATCH(LE269, ""S""), ""S"",""""))"),"S")</f>
        <v>S</v>
      </c>
      <c r="LU269" s="389">
        <f t="shared" si="196"/>
        <v>0</v>
      </c>
      <c r="LV269" s="378"/>
      <c r="LW269" s="369"/>
      <c r="LX269" s="369"/>
    </row>
    <row r="270" ht="18.0" customHeight="1">
      <c r="A270" s="298" t="s">
        <v>1057</v>
      </c>
      <c r="B270" s="222" t="s">
        <v>586</v>
      </c>
      <c r="C270" s="233" t="str">
        <f t="shared" si="7"/>
        <v>SrGmPdnS</v>
      </c>
      <c r="D270" s="234" t="str">
        <f>IFERROR(__xludf.DUMMYFUNCTION("IF(REGEXMATCH(C270, ""S""), ""S"","""")"),"S")</f>
        <v>S</v>
      </c>
      <c r="E270" s="236" t="str">
        <f>IFERROR(__xludf.DUMMYFUNCTION("IF(REGEXMATCH(C270, ""r""), ""r"","""")"),"r")</f>
        <v>r</v>
      </c>
      <c r="F270" s="237" t="str">
        <f>IFERROR(__xludf.DUMMYFUNCTION("IF(REGEXMATCH(C270, ""R""), ""R"","""")"),"")</f>
        <v/>
      </c>
      <c r="G270" s="237" t="str">
        <f>IFERROR(__xludf.DUMMYFUNCTION("IF(REGEXMATCH(C270, ""g""), ""g"","""")"),"")</f>
        <v/>
      </c>
      <c r="H270" s="236" t="str">
        <f>IFERROR(__xludf.DUMMYFUNCTION("IF(REGEXMATCH(C270, ""G""), ""G"","""")"),"G")</f>
        <v>G</v>
      </c>
      <c r="I270" s="236" t="str">
        <f>IFERROR(__xludf.DUMMYFUNCTION("IF(REGEXMATCH(C270, ""m""), ""m"","""")"),"m")</f>
        <v>m</v>
      </c>
      <c r="J270" s="237" t="str">
        <f>IFERROR(__xludf.DUMMYFUNCTION("IF(REGEXMATCH(C270, ""M""), ""M"","""")"),"")</f>
        <v/>
      </c>
      <c r="K270" s="236" t="str">
        <f>IFERROR(__xludf.DUMMYFUNCTION("IF(REGEXMATCH(C270, ""P""), ""P"","""")"),"P")</f>
        <v>P</v>
      </c>
      <c r="L270" s="237" t="str">
        <f>IFERROR(__xludf.DUMMYFUNCTION("IF(REGEXMATCH(C270, ""d""), ""d"","""")"),"d")</f>
        <v>d</v>
      </c>
      <c r="M270" s="236" t="str">
        <f>IFERROR(__xludf.DUMMYFUNCTION("IF(REGEXMATCH(C270, ""D""), ""D"","""")"),"")</f>
        <v/>
      </c>
      <c r="N270" s="236" t="str">
        <f>IFERROR(__xludf.DUMMYFUNCTION("IF(REGEXMATCH(C270, ""n""), ""n"","""")"),"n")</f>
        <v>n</v>
      </c>
      <c r="O270" s="237" t="str">
        <f>IFERROR(__xludf.DUMMYFUNCTION("IF(REGEXMATCH(C270, ""N""), ""N"","""")"),"")</f>
        <v/>
      </c>
      <c r="P270" s="238" t="str">
        <f>IFERROR(__xludf.DUMMYFUNCTION("IF(REGEXMATCH(C270, ""S""), ""S"","""")"),"S")</f>
        <v>S</v>
      </c>
      <c r="Q270" s="239" t="str">
        <f>IFERROR(__xludf.DUMMYFUNCTION("SUBSTITUTE(CONCATENATE(JOIN(""-"",D270:J270)),""-"","""")"),"SrGm")</f>
        <v>SrGm</v>
      </c>
      <c r="R270" s="229" t="str">
        <f>IFERROR(__xludf.DUMMYFUNCTION("SUBSTITUTE(CONCATENATE(JOIN(""-"",K270:P270)),""-"","""")"),"PdnS")</f>
        <v>PdnS</v>
      </c>
      <c r="S270" s="282" t="str">
        <f t="shared" si="8"/>
        <v>S-R-G-M</v>
      </c>
      <c r="T270" s="282" t="str">
        <f t="shared" si="9"/>
        <v>P-D-N-S</v>
      </c>
      <c r="U270" s="237" t="str">
        <f>IFERROR(__xludf.DUMMYFUNCTION("SUBSTITUTE(JOIN(""-"",S270,T270),""--"",""-"")"),"S-R-G-M-P-D-N-S")</f>
        <v>S-R-G-M-P-D-N-S</v>
      </c>
      <c r="V270" s="309" t="str">
        <f t="shared" si="10"/>
        <v>rGmdn</v>
      </c>
      <c r="W270" s="244" t="str">
        <f>IFERROR(__xludf.DUMMYFUNCTION("IF(REGEXMATCH(C270, ""S""), ""0"","""")"),"0")</f>
        <v>0</v>
      </c>
      <c r="X270" s="245" t="str">
        <f>IFERROR(__xludf.DUMMYFUNCTION("IF(REGEXMATCH(C270, ""r""), ""1"","""")"),"1")</f>
        <v>1</v>
      </c>
      <c r="Y270" s="246" t="str">
        <f>IFERROR(__xludf.DUMMYFUNCTION("IF(REGEXMATCH(C270, ""R""), ""2"","""")"),"")</f>
        <v/>
      </c>
      <c r="Z270" s="246" t="str">
        <f>IFERROR(__xludf.DUMMYFUNCTION("IF(REGEXMATCH(C270, ""g""), ""3"","""")"),"")</f>
        <v/>
      </c>
      <c r="AA270" s="245" t="str">
        <f>IFERROR(__xludf.DUMMYFUNCTION("IF(REGEXMATCH(C270, ""G""), ""4"","""")"),"4")</f>
        <v>4</v>
      </c>
      <c r="AB270" s="245" t="str">
        <f>IFERROR(__xludf.DUMMYFUNCTION("IF(REGEXMATCH(C270, ""m""), ""5"","""")"),"5")</f>
        <v>5</v>
      </c>
      <c r="AC270" s="246" t="str">
        <f>IFERROR(__xludf.DUMMYFUNCTION("IF(REGEXMATCH(C270, ""M""), ""6"","""")"),"")</f>
        <v/>
      </c>
      <c r="AD270" s="245" t="str">
        <f>IFERROR(__xludf.DUMMYFUNCTION("IF(REGEXMATCH(C270, ""P""), ""7"","""")"),"7")</f>
        <v>7</v>
      </c>
      <c r="AE270" s="246" t="str">
        <f>IFERROR(__xludf.DUMMYFUNCTION("IF(REGEXMATCH(C270, ""d""), ""8"","""")"),"8")</f>
        <v>8</v>
      </c>
      <c r="AF270" s="245" t="str">
        <f>IFERROR(__xludf.DUMMYFUNCTION("IF(REGEXMATCH(C270, ""D""), ""9"","""")"),"")</f>
        <v/>
      </c>
      <c r="AG270" s="245" t="str">
        <f>IFERROR(__xludf.DUMMYFUNCTION("IF(REGEXMATCH(C270, ""n""), ""10"","""")"),"10")</f>
        <v>10</v>
      </c>
      <c r="AH270" s="246" t="str">
        <f>IFERROR(__xludf.DUMMYFUNCTION("IF(REGEXMATCH(C270, ""N""), ""11"","""")"),"")</f>
        <v/>
      </c>
      <c r="AI270" s="249" t="str">
        <f>IFERROR(__xludf.DUMMYFUNCTION("IF(REGEXMATCH(C270, ""S""), ""0"","""")"),"0")</f>
        <v>0</v>
      </c>
      <c r="AJ270" s="313" t="str">
        <f t="shared" si="11"/>
        <v>-</v>
      </c>
      <c r="AK270" s="313" t="str">
        <f t="shared" si="12"/>
        <v>T</v>
      </c>
      <c r="AL270" s="313" t="str">
        <f t="shared" si="13"/>
        <v>-</v>
      </c>
      <c r="AM270" s="313" t="str">
        <f t="shared" si="14"/>
        <v>-</v>
      </c>
      <c r="AN270" s="313" t="str">
        <f t="shared" si="15"/>
        <v>T</v>
      </c>
      <c r="AO270" s="314" t="str">
        <f t="shared" si="16"/>
        <v>-</v>
      </c>
      <c r="AP270" s="316">
        <f t="shared" si="17"/>
        <v>2</v>
      </c>
      <c r="AQ270" s="319" t="str">
        <f t="shared" si="18"/>
        <v>#REF!</v>
      </c>
      <c r="AR270" s="320">
        <f t="shared" si="19"/>
        <v>0</v>
      </c>
      <c r="AS270" s="250" t="str">
        <f>IFERROR(__xludf.DUMMYFUNCTION("SUBSTITUTE(SUBSTITUTE(CONCATENATE(JOIN("""",FP270:GA270)),""|"",""x""),""-"",""o"")"),"xxooxxoxxoxo")</f>
        <v>xxooxxoxxoxo</v>
      </c>
      <c r="AT270" s="323" t="str">
        <f>IFERROR(__xludf.DUMMYFUNCTION("JOIN("""",AS270,AS270)"),"xxooxxoxxoxoxxooxxoxxoxo")</f>
        <v>xxooxxoxxoxoxxooxxoxxoxo</v>
      </c>
      <c r="AU270" s="256" t="str">
        <f>IFERROR(__xludf.DUMMYFUNCTION("JOIN("""",ArrayFormula(MID(AS270,LEN(AS270)-SEQUENCE(1,LEN(AS270))+1,1)))"),"oxoxxoxxooxx")</f>
        <v>oxoxxoxxooxx</v>
      </c>
      <c r="AV270" s="256" t="str">
        <f>IFERROR(__xludf.DUMMYFUNCTION("LEFT(CONCATENATE(""x"",JOIN("""",ArrayFormula(MID(AS270,LEN(AS270)-SEQUENCE(1,LEN(AS270))+1,1)))),12)"),"xoxoxxoxxoox")</f>
        <v>xoxoxxoxxoox</v>
      </c>
      <c r="AW270" s="327" t="str">
        <f>IFERROR(__xludf.DUMMYFUNCTION("JOIN("""",AU270,AU270)"),"oxoxxoxxooxxoxoxxoxxooxx")</f>
        <v>oxoxxoxxooxxoxoxxoxxooxx</v>
      </c>
      <c r="AX270" s="239" t="str">
        <f>IFERROR(__xludf.DUMMYFUNCTION("IF(REGEXMATCH(AW270,AS270),""✔"",""-"")"),"-")</f>
        <v>-</v>
      </c>
      <c r="AY270" s="330" t="str">
        <f t="shared" si="20"/>
        <v>-</v>
      </c>
      <c r="AZ270" s="260" t="str">
        <f t="shared" si="21"/>
        <v>#REF!</v>
      </c>
      <c r="BA270" s="333" t="str">
        <f t="shared" si="22"/>
        <v>xxooxxo</v>
      </c>
      <c r="BB270" s="334" t="str">
        <f t="shared" si="23"/>
        <v>xxoxox</v>
      </c>
      <c r="BC270" s="335" t="str">
        <f t="shared" si="236"/>
        <v>-</v>
      </c>
      <c r="BD270" s="336" t="str">
        <f t="shared" si="25"/>
        <v>Prabhakali: 'xxooxxo' + 'xxoxox'</v>
      </c>
      <c r="BE270" s="337">
        <f>IFERROR(__xludf.DUMMYFUNCTION("COUNTUNIQUE(FILTER(AT:AT,REGEXMATCH(AT:AT,AS270)))-1"),3.0)</f>
        <v>3</v>
      </c>
      <c r="BF270" s="261" t="str">
        <f>IFERROR(__xludf.DUMMYFUNCTION("IF(BI270=0,""(n/a)"",IF(BJ270=2,""(PAIR)"",IF(REGEXMATCH(AT270,""xoxoxxoxoxox""),""Bilawal"",IF(REGEXMATCH(AT270,""xoxoxooxoxoo""),""Bhupali"",IF(REGEXMATCH(AT270,""xoxoxxoxxoxo""),""Charukeshi"",IF(REGEXMATCH(AT270,""xoxoooxxoxxo""),""Kameshwari"",IF(REG"&amp;"EXMATCH(AT270,""xoxoxooxoxox""),""Shankara"",IF(REGEXMATCH(AT270,""xxooxoxxxoox""),""Basant"",IF(REGEXMATCH(AT270,""xoxoxxxxoxox""),""Bihag"",IF(REGEXMATCH(AT270,""xoxxxxoxoxxx""),""Pilu"",IF(REGEXMATCH(AT270,""xoxxoxoxxoox""),""Kirwani"",IF(REGEXMATCH(AT"&amp;"270,""xoxxoxoxoxxx""),""Mk.Malhar"",IF(REGEXMATCH(AT270,""xxooxxoxxoox""),""Bhairav"",IF(REGEXMATCH(AT270,""xxoxooxxxoox""),""Todi"",IF(REGEXMATCH(AT270,""xxooxoxooxox""),""Marwa"",IF(REGEXMATCH(AT270,""xxoooxoxxooo""),""Gunkali"",IF(REGEXMATCH(AT270,""xo"&amp;"xoxxoxxoox""),""Nat Bhairav"",IF(REGEXMATCH(AT270,""xoxxoooxoxoo""),""Shivranjani"",IF(REGEXMATCH(AT270,""xooxxxoxooxo""),""Jog"",IF(REGEXMATCH(AT270,""xxooxoxoxoox""),""Hemshri"",IF(REGEXMATCH(AT270,""xoooxooxoxxo""),""Kalavati"",IF(REGEXMATCH(AT270,""xx"&amp;"oxoxxoxoox""),""Kedar"",IF(REGEXMATCH(AT270,""xoxxxxoxooxx""),""Gara"",IF(REGEXMATCH(AT270,""xooxoxooxoox""),""Chandrakauns"",IF(REGEXMATCH(AT270,""xoxxxxoxxxox""),""Mand"",IF(REGEXMATCH(AT270,""xoxxxxoxoxox""),""Hanskinkini"",IF(REGEXMATCH(AT270,""xxooxx"&amp;"oxooxo""),""Lilavati"",IF(REGEXMATCH(AT270,""xooxoxoooxox""),""Rajeshwari"",IF(REGEXMATCH(AT270,""xoooxxoxoxxx""),""Khokar"",IF(REGEXMATCH(AT270,""xxooxoxxxxox""),""Maligoura"",""-""))))))))))))))))))))))))))))))"),"Kirwani")</f>
        <v>Kirwani</v>
      </c>
      <c r="BG270" s="239" t="str">
        <f t="shared" si="26"/>
        <v>#REF!</v>
      </c>
      <c r="BH270" s="239">
        <f>IFERROR(__xludf.DUMMYFUNCTION("COUNTUNIQUE(FE270:FO270)-1"),6.0)</f>
        <v>6</v>
      </c>
      <c r="BI270" s="239">
        <f>IFERROR(__xludf.DUMMYFUNCTION("COUNTUNIQUE(FILTER(AT:AT,REGEXMATCH(AT:AT,AS270)))-1"),3.0)</f>
        <v>3</v>
      </c>
      <c r="BJ270" s="239">
        <f>IFERROR(__xludf.DUMMYFUNCTION("COUNTA(FILTER(AT:AT,REGEXMATCH(AT:AT,AS270)))"),6.0)</f>
        <v>6</v>
      </c>
      <c r="BK270" s="341">
        <f>IFERROR(__xludf.DUMMYFUNCTION("COUNTA(FILTER(AT:AT,REGEXMATCH(AT:AT,AS270)))-AR270"),6.0)</f>
        <v>6</v>
      </c>
      <c r="BL270" s="276" t="str">
        <f>IFERROR(__xludf.DUMMYFUNCTION("IF(AS270=""oooooooooooo"",""-"",IF(REGEXMATCH(AT270,""xx""), ""Hemi."", ""Anhemi.""))"),"Hemi.")</f>
        <v>Hemi.</v>
      </c>
      <c r="BM270" s="282" t="str">
        <f>IFERROR(__xludf.DUMMYFUNCTION("IF(AS270=""oooooooooooo"",""-"",IF(REGEXMATCH(AT270,""xxx""), ""Cohem."", ""-""))"),"-")</f>
        <v>-</v>
      </c>
      <c r="BN270" s="282" t="str">
        <f>IFERROR(__xludf.DUMMYFUNCTION("IF(AS270=""oooooooooooo"",""-"",IF(REGEXMATCH(AT270,""xxxx""), ""Co-Co."", ""-""))"),"-")</f>
        <v>-</v>
      </c>
      <c r="BO270" s="342" t="str">
        <f>IFERROR(__xludf.DUMMYFUNCTION("IF(AS270=""oooooooooooo"",""-"",IF(REGEXMATCH(AT270,""xxxxx""), ""CCC."", ""-""))"),"-")</f>
        <v>-</v>
      </c>
      <c r="BP270" s="344" t="str">
        <f t="shared" si="27"/>
        <v>-</v>
      </c>
      <c r="BQ270" s="282" t="str">
        <f>IFERROR(__xludf.DUMMYFUNCTION("IF(REGEXMATCH(JOIN(""-"",EU270:FD270),""TRUE""),""✔"",""-"")"),"-")</f>
        <v>-</v>
      </c>
      <c r="BR270" s="225">
        <f t="shared" si="28"/>
        <v>0</v>
      </c>
      <c r="BS270" s="345" t="str">
        <f>IFERROR(__xludf.DUMMYFUNCTION("SUBSTITUTE(SUBSTITUTE(SUBSTITUTE(SUBSTITUTE(CONCATENATE(JOIN(""-"",GC270:GO270)),""--"",""-""),""--"",""-""),""--"",""-""),""--"",""-"")"),"1-b2-3-4-5-b6-b7-8")</f>
        <v>1-b2-3-4-5-b6-b7-8</v>
      </c>
      <c r="BT270" s="299" t="str">
        <f>IFERROR(__xludf.DUMMYFUNCTION("SUBSTITUTE(SUBSTITUTE(SUBSTITUTE(SUBSTITUTE(CONCATENATE(JOIN(""-"",GP270:HB270)),""--"",""-""),""--"",""-""),""--"",""-""),""--"",""-"")"),"S-R1-G3-M1-P-D1-N2-S")</f>
        <v>S-R1-G3-M1-P-D1-N2-S</v>
      </c>
      <c r="BU270" s="348" t="str">
        <f t="shared" si="29"/>
        <v>C-Db-E-F-G-Ab-Bb-C</v>
      </c>
      <c r="BV270" s="349" t="str">
        <f t="shared" si="30"/>
        <v>SRgMDNS</v>
      </c>
      <c r="BW270" s="350">
        <f t="shared" si="31"/>
        <v>0</v>
      </c>
      <c r="BX270" s="351">
        <f t="shared" si="32"/>
        <v>2</v>
      </c>
      <c r="BY270" s="392"/>
      <c r="BZ270" s="309" t="str">
        <f>IFERROR(__xludf.DUMMYFUNCTION("IF(REGEXMATCH(C270, ""S""), ""x"",""x"")"),"x")</f>
        <v>x</v>
      </c>
      <c r="CA270" s="245" t="str">
        <f>IFERROR(__xludf.DUMMYFUNCTION("IF(REGEXMATCH(C270, ""r""), ""o"",""x"")"),"o")</f>
        <v>o</v>
      </c>
      <c r="CB270" s="246" t="str">
        <f>IFERROR(__xludf.DUMMYFUNCTION("IF(REGEXMATCH(C270, ""R""), ""o"",""x"")"),"x")</f>
        <v>x</v>
      </c>
      <c r="CC270" s="246" t="str">
        <f>IFERROR(__xludf.DUMMYFUNCTION("IF(REGEXMATCH(C270, ""g""), ""o"",""x"")"),"x")</f>
        <v>x</v>
      </c>
      <c r="CD270" s="245" t="str">
        <f>IFERROR(__xludf.DUMMYFUNCTION("IF(REGEXMATCH(C270, ""G""), ""o"",""x"")"),"o")</f>
        <v>o</v>
      </c>
      <c r="CE270" s="245" t="str">
        <f>IFERROR(__xludf.DUMMYFUNCTION("IF(REGEXMATCH(C270, ""m""), ""o"",""x"")"),"o")</f>
        <v>o</v>
      </c>
      <c r="CF270" s="246" t="str">
        <f>IFERROR(__xludf.DUMMYFUNCTION("IF(REGEXMATCH(C270, ""M""), ""o"",""x"")"),"x")</f>
        <v>x</v>
      </c>
      <c r="CG270" s="245" t="str">
        <f>IFERROR(__xludf.DUMMYFUNCTION("IF(REGEXMATCH(C270, ""P""), ""o"",""x"")"),"o")</f>
        <v>o</v>
      </c>
      <c r="CH270" s="246" t="str">
        <f>IFERROR(__xludf.DUMMYFUNCTION("IF(REGEXMATCH(C270, ""d""), ""o"",""x"")"),"o")</f>
        <v>o</v>
      </c>
      <c r="CI270" s="245" t="str">
        <f>IFERROR(__xludf.DUMMYFUNCTION("IF(REGEXMATCH(C270, ""D""), ""o"",""x"")"),"x")</f>
        <v>x</v>
      </c>
      <c r="CJ270" s="245" t="str">
        <f>IFERROR(__xludf.DUMMYFUNCTION("IF(REGEXMATCH(C270, ""n""), ""o"",""x"")"),"o")</f>
        <v>o</v>
      </c>
      <c r="CK270" s="245" t="str">
        <f>IFERROR(__xludf.DUMMYFUNCTION("IF(REGEXMATCH(C270, ""N""), ""o"",""x"")"),"x")</f>
        <v>x</v>
      </c>
      <c r="CL270" s="356" t="str">
        <f>IFERROR(__xludf.DUMMYFUNCTION("IF(REGEXMATCH(C270, ""S""), ""x"",""x"")"),"x")</f>
        <v>x</v>
      </c>
      <c r="CM270" s="357" t="str">
        <f t="shared" si="33"/>
        <v>xoxxooxooxox</v>
      </c>
      <c r="CN270" s="358">
        <f t="shared" si="34"/>
        <v>0</v>
      </c>
      <c r="CO270" s="246" t="str">
        <f>IFERROR(__xludf.DUMMYFUNCTION("IF(REGEXMATCH($C270, ""S""), ""S"",""S"")"),"S")</f>
        <v>S</v>
      </c>
      <c r="CP270" s="246" t="str">
        <f>IFERROR(__xludf.DUMMYFUNCTION("IF(REGEXMATCH($C270, ""r""), """",""r"")"),"")</f>
        <v/>
      </c>
      <c r="CQ270" s="246" t="str">
        <f>IFERROR(__xludf.DUMMYFUNCTION("IF(REGEXMATCH($C270, ""R""), """",""R"")"),"R")</f>
        <v>R</v>
      </c>
      <c r="CR270" s="246" t="str">
        <f>IFERROR(__xludf.DUMMYFUNCTION("IF(REGEXMATCH($C270, ""g""), """",""g"")"),"g")</f>
        <v>g</v>
      </c>
      <c r="CS270" s="246" t="str">
        <f>IFERROR(__xludf.DUMMYFUNCTION("IF(REGEXMATCH($C270, ""G""), """",""G"")"),"")</f>
        <v/>
      </c>
      <c r="CT270" s="246" t="str">
        <f>IFERROR(__xludf.DUMMYFUNCTION("IF(REGEXMATCH($C270, ""m""), """",""m"")"),"")</f>
        <v/>
      </c>
      <c r="CU270" s="246" t="str">
        <f>IFERROR(__xludf.DUMMYFUNCTION("IF(REGEXMATCH($C270, ""M""), """",""M"")"),"M")</f>
        <v>M</v>
      </c>
      <c r="CV270" s="246" t="str">
        <f>IFERROR(__xludf.DUMMYFUNCTION("IF(REGEXMATCH($C270, ""P""), """",""P"")"),"")</f>
        <v/>
      </c>
      <c r="CW270" s="246" t="str">
        <f>IFERROR(__xludf.DUMMYFUNCTION("IF(REGEXMATCH($C270, ""d""), """",""d"")"),"")</f>
        <v/>
      </c>
      <c r="CX270" s="246" t="str">
        <f>IFERROR(__xludf.DUMMYFUNCTION("IF(REGEXMATCH($C270, ""D""), """",""D"")"),"D")</f>
        <v>D</v>
      </c>
      <c r="CY270" s="246" t="str">
        <f>IFERROR(__xludf.DUMMYFUNCTION("IF(REGEXMATCH($C270, ""n""), """",""n"")"),"")</f>
        <v/>
      </c>
      <c r="CZ270" s="246" t="str">
        <f>IFERROR(__xludf.DUMMYFUNCTION("IF(REGEXMATCH($C270, ""N""), """",""N"")"),"N")</f>
        <v>N</v>
      </c>
      <c r="DA270" s="246" t="str">
        <f>IFERROR(__xludf.DUMMYFUNCTION("IF(REGEXMATCH($C270, ""S""), ""S"",""S"")"),"S")</f>
        <v>S</v>
      </c>
      <c r="DB270" s="362" t="str">
        <f>IFERROR(__xludf.DUMMYFUNCTION("JOIN("""",CO270:DA270,"""","""")"),"SRgMDNS")</f>
        <v>SRgMDNS</v>
      </c>
      <c r="DC270" s="363"/>
      <c r="DD270" s="301" t="str">
        <f t="shared" si="35"/>
        <v>#REF!</v>
      </c>
      <c r="DE270" s="302" t="str">
        <f t="shared" si="36"/>
        <v>#REF!</v>
      </c>
      <c r="DF270" s="301" t="str">
        <f t="shared" ref="DF270:DG270" si="763">SUBSTITUTE(S270,"-","")</f>
        <v>SRGM</v>
      </c>
      <c r="DG270" s="301" t="str">
        <f t="shared" si="763"/>
        <v>PDNS</v>
      </c>
      <c r="DH270" s="302" t="str">
        <f t="shared" si="38"/>
        <v>Kirwani</v>
      </c>
      <c r="DI270" s="301" t="str">
        <f t="shared" si="39"/>
        <v>Hemi.</v>
      </c>
      <c r="DJ270" s="364" t="str">
        <f t="shared" si="40"/>
        <v>-</v>
      </c>
      <c r="DK270" s="306" t="str">
        <f t="shared" si="41"/>
        <v>-</v>
      </c>
      <c r="DL270" s="366" t="str">
        <f t="shared" si="42"/>
        <v>-</v>
      </c>
      <c r="DM270" s="308" t="str">
        <f t="shared" si="43"/>
        <v>✔</v>
      </c>
      <c r="DN270" s="306" t="str">
        <f t="shared" si="44"/>
        <v>-</v>
      </c>
      <c r="DO270" s="306" t="str">
        <f t="shared" si="45"/>
        <v>-</v>
      </c>
      <c r="DP270" s="367" t="str">
        <f t="shared" si="46"/>
        <v>-</v>
      </c>
      <c r="DQ270" s="310" t="str">
        <f t="shared" si="47"/>
        <v>-</v>
      </c>
      <c r="DR270" s="310" t="str">
        <f t="shared" si="48"/>
        <v>-</v>
      </c>
      <c r="DS270" s="310" t="str">
        <f t="shared" si="49"/>
        <v>-</v>
      </c>
      <c r="DT270" s="310" t="str">
        <f t="shared" si="50"/>
        <v>-</v>
      </c>
      <c r="DU270" s="370" t="str">
        <f t="shared" si="51"/>
        <v>-</v>
      </c>
      <c r="DV270" s="306" t="str">
        <f t="shared" si="52"/>
        <v>-</v>
      </c>
      <c r="DW270" s="306" t="str">
        <f t="shared" si="53"/>
        <v>-</v>
      </c>
      <c r="DX270" s="306" t="str">
        <f t="shared" si="54"/>
        <v>-</v>
      </c>
      <c r="DY270" s="306" t="str">
        <f t="shared" si="55"/>
        <v>-</v>
      </c>
      <c r="DZ270" s="306" t="str">
        <f t="shared" si="56"/>
        <v>-</v>
      </c>
      <c r="EA270" s="367" t="str">
        <f t="shared" si="57"/>
        <v>-</v>
      </c>
      <c r="EB270" s="310" t="str">
        <f>IFERROR(__xludf.DUMMYFUNCTION("IF(REGEXMATCH(AW270,AS270),""✔"",""-"")"),"-")</f>
        <v>-</v>
      </c>
      <c r="EC270" s="310" t="str">
        <f t="shared" si="58"/>
        <v>#REF!</v>
      </c>
      <c r="ED270" s="370" t="str">
        <f t="shared" si="59"/>
        <v>-</v>
      </c>
      <c r="EE270" s="340" t="str">
        <f t="shared" si="60"/>
        <v>S-r-G-m-P-d-n-S</v>
      </c>
      <c r="EF270" s="371" t="str">
        <f>IFERROR(__xludf.DUMMYFUNCTION("CONCATENATE(JOIN("""",HC270:HO270))"),"SRGmPdNS")</f>
        <v>SRGmPdNS</v>
      </c>
      <c r="EG270" s="372">
        <f t="shared" si="61"/>
        <v>3</v>
      </c>
      <c r="EH270" s="373" t="str">
        <f>IFERROR(__xludf.DUMMYFUNCTION("CONCATENATE(JOIN("""",JC270:JO270))"),"Ga, Pa, dha, ")</f>
        <v>Ga, Pa, dha, </v>
      </c>
      <c r="EI270" s="322">
        <f t="shared" si="62"/>
        <v>1</v>
      </c>
      <c r="EJ270" s="374" t="str">
        <f>IFERROR(__xludf.DUMMYFUNCTION("CONCATENATE(JOIN("""",KC270:KO270))"),"Ga, ")</f>
        <v>Ga, </v>
      </c>
      <c r="EK270" s="325" t="str">
        <f t="shared" si="63"/>
        <v>S-R1-G3-M1-P-D1-N2-S</v>
      </c>
      <c r="EL270" s="326" t="str">
        <f t="shared" si="64"/>
        <v>1-b2-3-4-5-b6-b7-8</v>
      </c>
      <c r="EM270" s="318" t="str">
        <f t="shared" si="65"/>
        <v>#REF!</v>
      </c>
      <c r="EN270" s="328" t="str">
        <f>IFERROR(__xludf.DUMMYFUNCTION("SUBSTITUTE(SUBSTITUTE(SUBSTITUTE(SUBSTITUTE(CONCATENATE(JOIN("" "",HP270:IB270)),""  "","" ""),""  "","" ""),""  "","" ""),""  "","" "")"),"o o • • o o • o o • o • o")</f>
        <v>o o • • o o • o o • o • o</v>
      </c>
      <c r="EO270" s="368" t="str">
        <f t="shared" si="66"/>
        <v>-</v>
      </c>
      <c r="EP270" s="339" t="str">
        <f t="shared" si="67"/>
        <v>-</v>
      </c>
      <c r="EQ270" s="339" t="str">
        <f t="shared" si="68"/>
        <v>Sa-Pa</v>
      </c>
      <c r="ER270" s="339" t="str">
        <f t="shared" si="69"/>
        <v>-</v>
      </c>
      <c r="ES270" s="340" t="str">
        <f t="shared" si="70"/>
        <v>-</v>
      </c>
      <c r="ET270" s="363"/>
      <c r="EU270" s="376" t="b">
        <f>IFERROR(__xludf.DUMMYFUNCTION("arrayformula(sum(--REGEXMATCH(""SRGMPDNS"",split(REGEXREPLACE(C270,""(.)"",""$1~""),""~""))))=len(C270)
"),FALSE)</f>
        <v>0</v>
      </c>
      <c r="EV270" s="290" t="b">
        <f>IFERROR(__xludf.DUMMYFUNCTION("arrayformula(sum(--REGEXMATCH(""SRGmPDNS"",split(REGEXREPLACE(C270,""(.)"",""$1~""),""~""))))=len(C270)"),FALSE)</f>
        <v>0</v>
      </c>
      <c r="EW270" s="290" t="b">
        <f>IFERROR(__xludf.DUMMYFUNCTION("arrayformula(sum(--REGEXMATCH(""SRGmPDnS"",split(REGEXREPLACE(C270,""(.)"",""$1~""),""~""))))=len(C270)"),FALSE)</f>
        <v>0</v>
      </c>
      <c r="EX270" s="290" t="b">
        <f>IFERROR(__xludf.DUMMYFUNCTION("arrayformula(sum(--REGEXMATCH(""SRgmPDnS"",split(REGEXREPLACE(C270,""(.)"",""$1~""),""~""))))=len(C270)"),FALSE)</f>
        <v>0</v>
      </c>
      <c r="EY270" s="290" t="b">
        <f>IFERROR(__xludf.DUMMYFUNCTION("arrayformula(sum(--REGEXMATCH(""SRgmPdnS"",split(REGEXREPLACE(C270,""(.)"",""$1~""),""~""))))=len(C270)"),FALSE)</f>
        <v>0</v>
      </c>
      <c r="EZ270" s="290" t="b">
        <f>IFERROR(__xludf.DUMMYFUNCTION("arrayformula(sum(--REGEXMATCH(""SrgmPdnS"",split(REGEXREPLACE(C270,""(.)"",""$1~""),""~""))))=len(C270)"),FALSE)</f>
        <v>0</v>
      </c>
      <c r="FA270" s="290" t="b">
        <f>IFERROR(__xludf.DUMMYFUNCTION("arrayformula(sum(--REGEXMATCH(""SrGmPdNS"",split(REGEXREPLACE(C270,""(.)"",""$1~""),""~""))))=len(C270)"),FALSE)</f>
        <v>0</v>
      </c>
      <c r="FB270" s="290" t="b">
        <f>IFERROR(__xludf.DUMMYFUNCTION("arrayformula(sum(--REGEXMATCH(""SrGMPDNS"",split(REGEXREPLACE(C270,""(.)"",""$1~""),""~""))))=len(C270)"),FALSE)</f>
        <v>0</v>
      </c>
      <c r="FC270" s="290" t="b">
        <f>IFERROR(__xludf.DUMMYFUNCTION("arrayformula(sum(--REGEXMATCH(""SrGMPdNS"",split(REGEXREPLACE(C270,""(.)"",""$1~""),""~""))))=len(C270)"),FALSE)</f>
        <v>0</v>
      </c>
      <c r="FD270" s="377" t="b">
        <f>IFERROR(__xludf.DUMMYFUNCTION("arrayformula(sum(--REGEXMATCH(""SrgMPdNS"",split(REGEXREPLACE(C270,""(.)"",""$1~""),""~""))))=len(C270)"),FALSE)</f>
        <v>0</v>
      </c>
      <c r="FE270" s="269" t="str">
        <f t="shared" si="71"/>
        <v>xooxxoxxoxo</v>
      </c>
      <c r="FF270" s="269" t="str">
        <f t="shared" si="72"/>
        <v>-</v>
      </c>
      <c r="FG270" s="271" t="str">
        <f t="shared" si="73"/>
        <v>-</v>
      </c>
      <c r="FH270" s="269" t="str">
        <f t="shared" si="74"/>
        <v>xxoxxoxoxxo</v>
      </c>
      <c r="FI270" s="271" t="str">
        <f t="shared" si="75"/>
        <v>xoxxoxoxxoo</v>
      </c>
      <c r="FJ270" s="271" t="str">
        <f t="shared" si="76"/>
        <v>-</v>
      </c>
      <c r="FK270" s="271" t="str">
        <f t="shared" si="77"/>
        <v>xxoxoxxooxx</v>
      </c>
      <c r="FL270" s="271" t="str">
        <f t="shared" si="78"/>
        <v>xoxoxxooxxo</v>
      </c>
      <c r="FM270" s="271" t="str">
        <f t="shared" si="79"/>
        <v>-</v>
      </c>
      <c r="FN270" s="271" t="str">
        <f t="shared" si="80"/>
        <v>xoxxooxxoxx</v>
      </c>
      <c r="FO270" s="274" t="str">
        <f t="shared" si="81"/>
        <v>-</v>
      </c>
      <c r="FP270" s="234" t="str">
        <f t="shared" si="82"/>
        <v>|</v>
      </c>
      <c r="FQ270" s="236" t="str">
        <f t="shared" si="83"/>
        <v>|</v>
      </c>
      <c r="FR270" s="237" t="str">
        <f t="shared" si="84"/>
        <v>-</v>
      </c>
      <c r="FS270" s="236" t="str">
        <f t="shared" si="85"/>
        <v>-</v>
      </c>
      <c r="FT270" s="237" t="str">
        <f t="shared" si="86"/>
        <v>|</v>
      </c>
      <c r="FU270" s="236" t="str">
        <f t="shared" si="87"/>
        <v>|</v>
      </c>
      <c r="FV270" s="237" t="str">
        <f t="shared" si="88"/>
        <v>-</v>
      </c>
      <c r="FW270" s="236" t="str">
        <f t="shared" si="89"/>
        <v>|</v>
      </c>
      <c r="FX270" s="237" t="str">
        <f t="shared" si="90"/>
        <v>|</v>
      </c>
      <c r="FY270" s="236" t="str">
        <f t="shared" si="91"/>
        <v>-</v>
      </c>
      <c r="FZ270" s="237" t="str">
        <f t="shared" si="92"/>
        <v>|</v>
      </c>
      <c r="GA270" s="236" t="str">
        <f t="shared" si="93"/>
        <v>-</v>
      </c>
      <c r="GB270" s="238" t="str">
        <f t="shared" si="94"/>
        <v>|</v>
      </c>
      <c r="GC270" s="244" t="str">
        <f>IFERROR(__xludf.DUMMYFUNCTION("IF(REGEXMATCH(C270, ""S""), ""1"","""")"),"1")</f>
        <v>1</v>
      </c>
      <c r="GD270" s="245" t="str">
        <f>IFERROR(__xludf.DUMMYFUNCTION("IF(REGEXMATCH(C270, ""r""), ""b2"","""")"),"b2")</f>
        <v>b2</v>
      </c>
      <c r="GE270" s="246" t="str">
        <f>IFERROR(__xludf.DUMMYFUNCTION("IF(REGEXMATCH(C270, ""R""), ""2"","""")"),"")</f>
        <v/>
      </c>
      <c r="GF270" s="246" t="str">
        <f>IFERROR(__xludf.DUMMYFUNCTION("IF(REGEXMATCH(C270, ""g""), ""b3"","""")"),"")</f>
        <v/>
      </c>
      <c r="GG270" s="245" t="str">
        <f>IFERROR(__xludf.DUMMYFUNCTION("IF(REGEXMATCH(C270, ""G""), ""3"","""")"),"3")</f>
        <v>3</v>
      </c>
      <c r="GH270" s="245" t="str">
        <f>IFERROR(__xludf.DUMMYFUNCTION("IF(REGEXMATCH(C270, ""m""), ""4"","""")"),"4")</f>
        <v>4</v>
      </c>
      <c r="GI270" s="246" t="str">
        <f>IFERROR(__xludf.DUMMYFUNCTION("IF(REGEXMATCH(C270, ""M""), ""#4"","""")"),"")</f>
        <v/>
      </c>
      <c r="GJ270" s="245" t="str">
        <f>IFERROR(__xludf.DUMMYFUNCTION("IF(REGEXMATCH(C270, ""P""), ""5"","""")"),"5")</f>
        <v>5</v>
      </c>
      <c r="GK270" s="246" t="str">
        <f>IFERROR(__xludf.DUMMYFUNCTION("IF(REGEXMATCH(C270, ""d""), ""b6"","""")"),"b6")</f>
        <v>b6</v>
      </c>
      <c r="GL270" s="245" t="str">
        <f>IFERROR(__xludf.DUMMYFUNCTION("IF(REGEXMATCH(C270, ""D""), ""6"","""")"),"")</f>
        <v/>
      </c>
      <c r="GM270" s="245" t="str">
        <f>IFERROR(__xludf.DUMMYFUNCTION("IF(REGEXMATCH(C270, ""n""), ""b7"","""")"),"b7")</f>
        <v>b7</v>
      </c>
      <c r="GN270" s="246" t="str">
        <f>IFERROR(__xludf.DUMMYFUNCTION("IF(REGEXMATCH(C270, ""N""), ""7"","""")"),"")</f>
        <v/>
      </c>
      <c r="GO270" s="249" t="str">
        <f>IFERROR(__xludf.DUMMYFUNCTION("IF(REGEXMATCH(C270, ""S""), ""8"","""")"),"8")</f>
        <v>8</v>
      </c>
      <c r="GP270" s="244" t="str">
        <f>IFERROR(__xludf.DUMMYFUNCTION("IF(REGEXMATCH(C270, ""S""), ""S"","""")"),"S")</f>
        <v>S</v>
      </c>
      <c r="GQ270" s="294" t="str">
        <f>IFERROR(__xludf.DUMMYFUNCTION("IF(REGEXMATCH(C270, ""r""), ""R1"","""")"),"R1")</f>
        <v>R1</v>
      </c>
      <c r="GR270" s="295" t="str">
        <f>IFERROR(__xludf.DUMMYFUNCTION("IF(REGEXMATCH(C270, ""R""), ""R2"","""")"),"")</f>
        <v/>
      </c>
      <c r="GS270" s="295" t="str">
        <f>IFERROR(__xludf.DUMMYFUNCTION("IF(REGEXMATCH(C270, ""g""), ""G2"","""")"),"")</f>
        <v/>
      </c>
      <c r="GT270" s="294" t="str">
        <f>IFERROR(__xludf.DUMMYFUNCTION("IF(REGEXMATCH(C270, ""G""), ""G3"","""")"),"G3")</f>
        <v>G3</v>
      </c>
      <c r="GU270" s="294" t="str">
        <f>IFERROR(__xludf.DUMMYFUNCTION("IF(REGEXMATCH(C270, ""m""), ""M1"","""")"),"M1")</f>
        <v>M1</v>
      </c>
      <c r="GV270" s="295" t="str">
        <f>IFERROR(__xludf.DUMMYFUNCTION("IF(REGEXMATCH(C270, ""M""), ""M2"","""")"),"")</f>
        <v/>
      </c>
      <c r="GW270" s="294" t="str">
        <f>IFERROR(__xludf.DUMMYFUNCTION("IF(REGEXMATCH(C270, ""P""), ""P"","""")"),"P")</f>
        <v>P</v>
      </c>
      <c r="GX270" s="295" t="str">
        <f>IFERROR(__xludf.DUMMYFUNCTION("IF(REGEXMATCH(C270, ""d""), ""D1"","""")"),"D1")</f>
        <v>D1</v>
      </c>
      <c r="GY270" s="294" t="str">
        <f>IFERROR(__xludf.DUMMYFUNCTION("IF(REGEXMATCH(C270, ""D""), ""D2"","""")"),"")</f>
        <v/>
      </c>
      <c r="GZ270" s="294" t="str">
        <f>IFERROR(__xludf.DUMMYFUNCTION("IF(REGEXMATCH(C270, ""n""), ""N2"","""")"),"N2")</f>
        <v>N2</v>
      </c>
      <c r="HA270" s="295" t="str">
        <f>IFERROR(__xludf.DUMMYFUNCTION("IF(REGEXMATCH(C270, ""N""), ""N3"","""")"),"")</f>
        <v/>
      </c>
      <c r="HB270" s="249" t="str">
        <f>IFERROR(__xludf.DUMMYFUNCTION("IF(REGEXMATCH(C270, ""S""), ""S"","""")"),"S")</f>
        <v>S</v>
      </c>
      <c r="HC270" s="331" t="str">
        <f t="shared" si="95"/>
        <v>S</v>
      </c>
      <c r="HD270" s="332" t="str">
        <f t="shared" si="96"/>
        <v/>
      </c>
      <c r="HE270" s="332" t="str">
        <f t="shared" si="97"/>
        <v>R</v>
      </c>
      <c r="HF270" s="332" t="str">
        <f t="shared" si="98"/>
        <v/>
      </c>
      <c r="HG270" s="332" t="str">
        <f t="shared" si="99"/>
        <v>G</v>
      </c>
      <c r="HH270" s="332" t="str">
        <f t="shared" si="100"/>
        <v>m</v>
      </c>
      <c r="HI270" s="332" t="str">
        <f t="shared" si="101"/>
        <v/>
      </c>
      <c r="HJ270" s="332" t="str">
        <f t="shared" si="102"/>
        <v>P</v>
      </c>
      <c r="HK270" s="332" t="str">
        <f t="shared" si="103"/>
        <v>d</v>
      </c>
      <c r="HL270" s="332" t="str">
        <f t="shared" si="104"/>
        <v/>
      </c>
      <c r="HM270" s="332" t="str">
        <f t="shared" si="105"/>
        <v/>
      </c>
      <c r="HN270" s="332" t="str">
        <f t="shared" si="106"/>
        <v>N</v>
      </c>
      <c r="HO270" s="343" t="str">
        <f t="shared" si="107"/>
        <v>S</v>
      </c>
      <c r="HP270" s="331" t="str">
        <f t="shared" si="108"/>
        <v>o</v>
      </c>
      <c r="HQ270" s="332" t="str">
        <f t="shared" si="109"/>
        <v>o</v>
      </c>
      <c r="HR270" s="332" t="str">
        <f t="shared" si="110"/>
        <v>•</v>
      </c>
      <c r="HS270" s="332" t="str">
        <f t="shared" si="111"/>
        <v>•</v>
      </c>
      <c r="HT270" s="332" t="str">
        <f t="shared" si="112"/>
        <v>o</v>
      </c>
      <c r="HU270" s="332" t="str">
        <f t="shared" si="113"/>
        <v>o</v>
      </c>
      <c r="HV270" s="332" t="str">
        <f t="shared" si="114"/>
        <v>•</v>
      </c>
      <c r="HW270" s="332" t="str">
        <f t="shared" si="115"/>
        <v>o</v>
      </c>
      <c r="HX270" s="332" t="str">
        <f t="shared" si="116"/>
        <v>o</v>
      </c>
      <c r="HY270" s="332" t="str">
        <f t="shared" si="117"/>
        <v>•</v>
      </c>
      <c r="HZ270" s="332" t="str">
        <f t="shared" si="118"/>
        <v>o</v>
      </c>
      <c r="IA270" s="332" t="str">
        <f t="shared" si="119"/>
        <v>•</v>
      </c>
      <c r="IB270" s="338" t="str">
        <f t="shared" si="120"/>
        <v>o</v>
      </c>
      <c r="IC270" s="331" t="str">
        <f t="shared" si="121"/>
        <v>•</v>
      </c>
      <c r="ID270" s="332" t="str">
        <f t="shared" si="122"/>
        <v>•</v>
      </c>
      <c r="IE270" s="332" t="str">
        <f t="shared" si="123"/>
        <v>o</v>
      </c>
      <c r="IF270" s="332" t="str">
        <f t="shared" si="124"/>
        <v>o</v>
      </c>
      <c r="IG270" s="332" t="str">
        <f t="shared" si="125"/>
        <v>•</v>
      </c>
      <c r="IH270" s="332" t="str">
        <f t="shared" si="126"/>
        <v>•</v>
      </c>
      <c r="II270" s="332" t="str">
        <f t="shared" si="127"/>
        <v>o</v>
      </c>
      <c r="IJ270" s="332" t="str">
        <f t="shared" si="128"/>
        <v>•</v>
      </c>
      <c r="IK270" s="332" t="str">
        <f t="shared" si="129"/>
        <v>•</v>
      </c>
      <c r="IL270" s="332" t="str">
        <f t="shared" si="130"/>
        <v>o</v>
      </c>
      <c r="IM270" s="332" t="str">
        <f t="shared" si="131"/>
        <v>•</v>
      </c>
      <c r="IN270" s="332" t="str">
        <f t="shared" si="132"/>
        <v>o</v>
      </c>
      <c r="IO270" s="338" t="str">
        <f t="shared" si="133"/>
        <v>•</v>
      </c>
      <c r="IP270" s="346" t="b">
        <f t="shared" si="134"/>
        <v>0</v>
      </c>
      <c r="IQ270" s="347" t="b">
        <f t="shared" si="135"/>
        <v>0</v>
      </c>
      <c r="IR270" s="347" t="b">
        <f t="shared" si="136"/>
        <v>0</v>
      </c>
      <c r="IS270" s="347" t="b">
        <f t="shared" si="137"/>
        <v>0</v>
      </c>
      <c r="IT270" s="347" t="b">
        <f t="shared" si="138"/>
        <v>1</v>
      </c>
      <c r="IU270" s="347" t="b">
        <f t="shared" si="139"/>
        <v>0</v>
      </c>
      <c r="IV270" s="347" t="b">
        <f t="shared" si="140"/>
        <v>0</v>
      </c>
      <c r="IW270" s="347" t="b">
        <f t="shared" si="141"/>
        <v>1</v>
      </c>
      <c r="IX270" s="347" t="b">
        <f t="shared" si="142"/>
        <v>1</v>
      </c>
      <c r="IY270" s="347" t="b">
        <f t="shared" si="143"/>
        <v>0</v>
      </c>
      <c r="IZ270" s="347" t="b">
        <f t="shared" si="144"/>
        <v>0</v>
      </c>
      <c r="JA270" s="347" t="b">
        <f t="shared" si="145"/>
        <v>0</v>
      </c>
      <c r="JB270" s="353" t="b">
        <f t="shared" si="146"/>
        <v>0</v>
      </c>
      <c r="JC270" s="354" t="str">
        <f t="shared" si="147"/>
        <v/>
      </c>
      <c r="JD270" s="355" t="str">
        <f t="shared" si="148"/>
        <v/>
      </c>
      <c r="JE270" s="355" t="str">
        <f t="shared" si="149"/>
        <v/>
      </c>
      <c r="JF270" s="355" t="str">
        <f t="shared" si="150"/>
        <v/>
      </c>
      <c r="JG270" s="355" t="str">
        <f t="shared" si="151"/>
        <v>Ga, </v>
      </c>
      <c r="JH270" s="355" t="str">
        <f t="shared" si="152"/>
        <v/>
      </c>
      <c r="JI270" s="355" t="str">
        <f t="shared" si="153"/>
        <v/>
      </c>
      <c r="JJ270" s="355" t="str">
        <f t="shared" si="154"/>
        <v>Pa, </v>
      </c>
      <c r="JK270" s="355" t="str">
        <f t="shared" si="155"/>
        <v>dha, </v>
      </c>
      <c r="JL270" s="355" t="str">
        <f t="shared" si="156"/>
        <v/>
      </c>
      <c r="JM270" s="355" t="str">
        <f t="shared" si="157"/>
        <v/>
      </c>
      <c r="JN270" s="355" t="str">
        <f t="shared" si="158"/>
        <v/>
      </c>
      <c r="JO270" s="359" t="str">
        <f t="shared" si="159"/>
        <v/>
      </c>
      <c r="JP270" s="346" t="b">
        <f t="shared" si="160"/>
        <v>0</v>
      </c>
      <c r="JQ270" s="347" t="b">
        <f t="shared" si="161"/>
        <v>0</v>
      </c>
      <c r="JR270" s="347" t="b">
        <f t="shared" si="162"/>
        <v>0</v>
      </c>
      <c r="JS270" s="347" t="b">
        <f t="shared" si="163"/>
        <v>0</v>
      </c>
      <c r="JT270" s="347" t="b">
        <f t="shared" si="164"/>
        <v>1</v>
      </c>
      <c r="JU270" s="347" t="b">
        <f t="shared" si="165"/>
        <v>0</v>
      </c>
      <c r="JV270" s="347" t="b">
        <f t="shared" si="166"/>
        <v>0</v>
      </c>
      <c r="JW270" s="347" t="b">
        <f t="shared" si="167"/>
        <v>0</v>
      </c>
      <c r="JX270" s="347" t="b">
        <f t="shared" si="168"/>
        <v>0</v>
      </c>
      <c r="JY270" s="347" t="b">
        <f t="shared" si="169"/>
        <v>0</v>
      </c>
      <c r="JZ270" s="347" t="b">
        <f t="shared" si="170"/>
        <v>0</v>
      </c>
      <c r="KA270" s="347" t="b">
        <f t="shared" si="171"/>
        <v>0</v>
      </c>
      <c r="KB270" s="365" t="b">
        <f t="shared" si="172"/>
        <v>0</v>
      </c>
      <c r="KC270" s="354" t="str">
        <f t="shared" si="173"/>
        <v/>
      </c>
      <c r="KD270" s="355" t="str">
        <f t="shared" si="174"/>
        <v/>
      </c>
      <c r="KE270" s="355" t="str">
        <f t="shared" si="175"/>
        <v/>
      </c>
      <c r="KF270" s="355" t="str">
        <f t="shared" si="176"/>
        <v/>
      </c>
      <c r="KG270" s="355" t="str">
        <f t="shared" si="177"/>
        <v>Ga, </v>
      </c>
      <c r="KH270" s="355" t="str">
        <f t="shared" si="178"/>
        <v/>
      </c>
      <c r="KI270" s="355" t="str">
        <f t="shared" si="179"/>
        <v/>
      </c>
      <c r="KJ270" s="355" t="str">
        <f t="shared" si="180"/>
        <v/>
      </c>
      <c r="KK270" s="355" t="str">
        <f t="shared" si="181"/>
        <v/>
      </c>
      <c r="KL270" s="355" t="str">
        <f t="shared" si="182"/>
        <v/>
      </c>
      <c r="KM270" s="355" t="str">
        <f t="shared" si="183"/>
        <v/>
      </c>
      <c r="KN270" s="355" t="str">
        <f t="shared" si="184"/>
        <v/>
      </c>
      <c r="KO270" s="359"/>
      <c r="KP270" s="378"/>
      <c r="KQ270" s="379" t="s">
        <v>764</v>
      </c>
      <c r="KR270" s="380" t="s">
        <v>1317</v>
      </c>
      <c r="KS270" s="381" t="s">
        <v>9</v>
      </c>
      <c r="KT270" s="382">
        <f t="shared" si="186"/>
        <v>0</v>
      </c>
      <c r="KU270" s="383">
        <f t="shared" si="187"/>
        <v>0</v>
      </c>
      <c r="KV270" s="381" t="str">
        <f t="shared" si="205"/>
        <v>S-n-d-P-m-G-r-S</v>
      </c>
      <c r="KW270" s="382">
        <f t="shared" si="189"/>
        <v>7</v>
      </c>
      <c r="KX270" s="384">
        <f t="shared" si="190"/>
        <v>7</v>
      </c>
      <c r="KY270" s="382">
        <f t="shared" ref="KY270:KZ270" si="764">KW270-KT270</f>
        <v>7</v>
      </c>
      <c r="KZ270" s="369">
        <f t="shared" si="764"/>
        <v>7</v>
      </c>
      <c r="LA270" s="385" t="str">
        <f t="shared" si="192"/>
        <v>-</v>
      </c>
      <c r="LB270" s="340" t="str">
        <f>IFERROR(__xludf.DUMMYFUNCTION("JOIN("""",ArrayFormula(MID(KS270,LEN(KS270)-SEQUENCE(1,LEN(KS270))+1,1)))"),"S")</f>
        <v>S</v>
      </c>
      <c r="LC270" s="373" t="str">
        <f>IFERROR(__xludf.DUMMYFUNCTION("JOIN("""",ArrayFormula(MID(KV270,LEN(KV270)-SEQUENCE(1,LEN(KV270))+1,1)))"),"S-r-G-m-P-d-n-S")</f>
        <v>S-r-G-m-P-d-n-S</v>
      </c>
      <c r="LD270" s="373" t="str">
        <f t="shared" si="193"/>
        <v>S</v>
      </c>
      <c r="LE270" s="339" t="str">
        <f t="shared" si="194"/>
        <v>SrGmPdnS</v>
      </c>
      <c r="LF270" s="386" t="str">
        <f>IFERROR(__xludf.DUMMYFUNCTION("SUBSTITUTE(SUBSTITUTE(CONCATENATE(JOIN("""",LH270:LT270)),""1"",""""),""2"","""")"),"SrGmPdnS")</f>
        <v>SrGmPdnS</v>
      </c>
      <c r="LG270" s="369" t="str">
        <f t="shared" si="195"/>
        <v>✔</v>
      </c>
      <c r="LH270" s="387" t="str">
        <f>IFERROR(__xludf.DUMMYFUNCTION("IF(REGEXMATCH(LD270, ""S""), ""S"",IF(REGEXMATCH(LE270, ""S""), ""S"",""""))"),"S")</f>
        <v>S</v>
      </c>
      <c r="LI270" s="299" t="str">
        <f>IFERROR(__xludf.DUMMYFUNCTION("IF(REGEXMATCH(LD270, ""r""), ""r1"",IF(REGEXMATCH(LE270, ""r""), ""r2"",""""))"),"r2")</f>
        <v>r2</v>
      </c>
      <c r="LJ270" s="299" t="str">
        <f>IFERROR(__xludf.DUMMYFUNCTION("IF(REGEXMATCH(LD270, ""R""), ""R1"",IF(REGEXMATCH(LE270, ""R""), ""R2"",""""))"),"")</f>
        <v/>
      </c>
      <c r="LK270" s="299" t="str">
        <f>IFERROR(__xludf.DUMMYFUNCTION("IF(REGEXMATCH(LD270, ""g""), ""g1"",IF(REGEXMATCH(LE270, ""g""), ""g2"",""""))"),"")</f>
        <v/>
      </c>
      <c r="LL270" s="299" t="str">
        <f>IFERROR(__xludf.DUMMYFUNCTION("IF(REGEXMATCH(LD270, ""G""), ""G1"",IF(REGEXMATCH(LE270, ""G""), ""G2"",""""))"),"G2")</f>
        <v>G2</v>
      </c>
      <c r="LM270" s="299" t="str">
        <f>IFERROR(__xludf.DUMMYFUNCTION("IF(REGEXMATCH(LD270, ""m""), ""m1"",IF(REGEXMATCH(LE270, ""m""), ""m2"",""""))"),"m2")</f>
        <v>m2</v>
      </c>
      <c r="LN270" s="299" t="str">
        <f>IFERROR(__xludf.DUMMYFUNCTION("IF(REGEXMATCH(LD270, ""M""), ""M1"",IF(REGEXMATCH(LE270, ""M""), ""M2"",""""))"),"")</f>
        <v/>
      </c>
      <c r="LO270" s="299" t="str">
        <f>IFERROR(__xludf.DUMMYFUNCTION("IF(REGEXMATCH(LD270, ""P""), ""P1"",IF(REGEXMATCH(LE270, ""P""), ""P2"",""""))"),"P2")</f>
        <v>P2</v>
      </c>
      <c r="LP270" s="299" t="str">
        <f>IFERROR(__xludf.DUMMYFUNCTION("IF(REGEXMATCH(LD270, ""d""), ""d1"",IF(REGEXMATCH(LE270, ""d""), ""d2"",""""))"),"d2")</f>
        <v>d2</v>
      </c>
      <c r="LQ270" s="299" t="str">
        <f>IFERROR(__xludf.DUMMYFUNCTION("IF(REGEXMATCH(LD270, ""D""), ""D1"",IF(REGEXMATCH(LE270, ""D""), ""D2"",""""))"),"")</f>
        <v/>
      </c>
      <c r="LR270" s="299" t="str">
        <f>IFERROR(__xludf.DUMMYFUNCTION("IF(REGEXMATCH(LD270, ""n""), ""n1"",IF(REGEXMATCH(LE270, ""n""), ""n2"",""""))"),"n2")</f>
        <v>n2</v>
      </c>
      <c r="LS270" s="299" t="str">
        <f>IFERROR(__xludf.DUMMYFUNCTION("IF(REGEXMATCH(LD270, ""N""), ""N1"",IF(REGEXMATCH(LE270, ""N""), ""N2"",""""))"),"")</f>
        <v/>
      </c>
      <c r="LT270" s="388" t="str">
        <f>IFERROR(__xludf.DUMMYFUNCTION("IF(REGEXMATCH(LD270, ""S""), ""S"",IF(REGEXMATCH(LE270, ""S""), ""S"",""""))"),"S")</f>
        <v>S</v>
      </c>
      <c r="LU270" s="389">
        <f t="shared" si="196"/>
        <v>-13</v>
      </c>
      <c r="LV270" s="378"/>
      <c r="LW270" s="369"/>
      <c r="LX270" s="369"/>
    </row>
    <row r="271" ht="18.0" customHeight="1">
      <c r="A271" s="298" t="s">
        <v>1059</v>
      </c>
      <c r="B271" s="222" t="s">
        <v>1044</v>
      </c>
      <c r="C271" s="233" t="str">
        <f t="shared" si="7"/>
        <v>SrGmMPdNS</v>
      </c>
      <c r="D271" s="234" t="str">
        <f>IFERROR(__xludf.DUMMYFUNCTION("IF(REGEXMATCH(C271, ""S""), ""S"","""")"),"S")</f>
        <v>S</v>
      </c>
      <c r="E271" s="236" t="str">
        <f>IFERROR(__xludf.DUMMYFUNCTION("IF(REGEXMATCH(C271, ""r""), ""r"","""")"),"r")</f>
        <v>r</v>
      </c>
      <c r="F271" s="237" t="str">
        <f>IFERROR(__xludf.DUMMYFUNCTION("IF(REGEXMATCH(C271, ""R""), ""R"","""")"),"")</f>
        <v/>
      </c>
      <c r="G271" s="237" t="str">
        <f>IFERROR(__xludf.DUMMYFUNCTION("IF(REGEXMATCH(C271, ""g""), ""g"","""")"),"")</f>
        <v/>
      </c>
      <c r="H271" s="236" t="str">
        <f>IFERROR(__xludf.DUMMYFUNCTION("IF(REGEXMATCH(C271, ""G""), ""G"","""")"),"G")</f>
        <v>G</v>
      </c>
      <c r="I271" s="236" t="str">
        <f>IFERROR(__xludf.DUMMYFUNCTION("IF(REGEXMATCH(C271, ""m""), ""m"","""")"),"m")</f>
        <v>m</v>
      </c>
      <c r="J271" s="237" t="str">
        <f>IFERROR(__xludf.DUMMYFUNCTION("IF(REGEXMATCH(C271, ""M""), ""M"","""")"),"M")</f>
        <v>M</v>
      </c>
      <c r="K271" s="236" t="str">
        <f>IFERROR(__xludf.DUMMYFUNCTION("IF(REGEXMATCH(C271, ""P""), ""P"","""")"),"P")</f>
        <v>P</v>
      </c>
      <c r="L271" s="237" t="str">
        <f>IFERROR(__xludf.DUMMYFUNCTION("IF(REGEXMATCH(C271, ""d""), ""d"","""")"),"d")</f>
        <v>d</v>
      </c>
      <c r="M271" s="236" t="str">
        <f>IFERROR(__xludf.DUMMYFUNCTION("IF(REGEXMATCH(C271, ""D""), ""D"","""")"),"")</f>
        <v/>
      </c>
      <c r="N271" s="236" t="str">
        <f>IFERROR(__xludf.DUMMYFUNCTION("IF(REGEXMATCH(C271, ""n""), ""n"","""")"),"")</f>
        <v/>
      </c>
      <c r="O271" s="237" t="str">
        <f>IFERROR(__xludf.DUMMYFUNCTION("IF(REGEXMATCH(C271, ""N""), ""N"","""")"),"N")</f>
        <v>N</v>
      </c>
      <c r="P271" s="238" t="str">
        <f>IFERROR(__xludf.DUMMYFUNCTION("IF(REGEXMATCH(C271, ""S""), ""S"","""")"),"S")</f>
        <v>S</v>
      </c>
      <c r="Q271" s="239" t="str">
        <f>IFERROR(__xludf.DUMMYFUNCTION("SUBSTITUTE(CONCATENATE(JOIN(""-"",D271:J271)),""-"","""")"),"SrGmM")</f>
        <v>SrGmM</v>
      </c>
      <c r="R271" s="229" t="str">
        <f>IFERROR(__xludf.DUMMYFUNCTION("SUBSTITUTE(CONCATENATE(JOIN(""-"",K271:P271)),""-"","""")"),"PdNS")</f>
        <v>PdNS</v>
      </c>
      <c r="S271" s="282" t="str">
        <f t="shared" si="8"/>
        <v>S-R-G-M</v>
      </c>
      <c r="T271" s="282" t="str">
        <f t="shared" si="9"/>
        <v>P-D-N-S</v>
      </c>
      <c r="U271" s="237" t="str">
        <f>IFERROR(__xludf.DUMMYFUNCTION("SUBSTITUTE(JOIN(""-"",S271,T271),""--"",""-"")"),"S-R-G-M-P-D-N-S")</f>
        <v>S-R-G-M-P-D-N-S</v>
      </c>
      <c r="V271" s="309" t="str">
        <f t="shared" si="10"/>
        <v>rGmMdN</v>
      </c>
      <c r="W271" s="244" t="str">
        <f>IFERROR(__xludf.DUMMYFUNCTION("IF(REGEXMATCH(C271, ""S""), ""0"","""")"),"0")</f>
        <v>0</v>
      </c>
      <c r="X271" s="245" t="str">
        <f>IFERROR(__xludf.DUMMYFUNCTION("IF(REGEXMATCH(C271, ""r""), ""1"","""")"),"1")</f>
        <v>1</v>
      </c>
      <c r="Y271" s="246" t="str">
        <f>IFERROR(__xludf.DUMMYFUNCTION("IF(REGEXMATCH(C271, ""R""), ""2"","""")"),"")</f>
        <v/>
      </c>
      <c r="Z271" s="246" t="str">
        <f>IFERROR(__xludf.DUMMYFUNCTION("IF(REGEXMATCH(C271, ""g""), ""3"","""")"),"")</f>
        <v/>
      </c>
      <c r="AA271" s="245" t="str">
        <f>IFERROR(__xludf.DUMMYFUNCTION("IF(REGEXMATCH(C271, ""G""), ""4"","""")"),"4")</f>
        <v>4</v>
      </c>
      <c r="AB271" s="245" t="str">
        <f>IFERROR(__xludf.DUMMYFUNCTION("IF(REGEXMATCH(C271, ""m""), ""5"","""")"),"5")</f>
        <v>5</v>
      </c>
      <c r="AC271" s="246" t="str">
        <f>IFERROR(__xludf.DUMMYFUNCTION("IF(REGEXMATCH(C271, ""M""), ""6"","""")"),"6")</f>
        <v>6</v>
      </c>
      <c r="AD271" s="245" t="str">
        <f>IFERROR(__xludf.DUMMYFUNCTION("IF(REGEXMATCH(C271, ""P""), ""7"","""")"),"7")</f>
        <v>7</v>
      </c>
      <c r="AE271" s="246" t="str">
        <f>IFERROR(__xludf.DUMMYFUNCTION("IF(REGEXMATCH(C271, ""d""), ""8"","""")"),"8")</f>
        <v>8</v>
      </c>
      <c r="AF271" s="245" t="str">
        <f>IFERROR(__xludf.DUMMYFUNCTION("IF(REGEXMATCH(C271, ""D""), ""9"","""")"),"")</f>
        <v/>
      </c>
      <c r="AG271" s="245" t="str">
        <f>IFERROR(__xludf.DUMMYFUNCTION("IF(REGEXMATCH(C271, ""n""), ""10"","""")"),"")</f>
        <v/>
      </c>
      <c r="AH271" s="246" t="str">
        <f>IFERROR(__xludf.DUMMYFUNCTION("IF(REGEXMATCH(C271, ""N""), ""11"","""")"),"11")</f>
        <v>11</v>
      </c>
      <c r="AI271" s="249" t="str">
        <f>IFERROR(__xludf.DUMMYFUNCTION("IF(REGEXMATCH(C271, ""S""), ""0"","""")"),"0")</f>
        <v>0</v>
      </c>
      <c r="AJ271" s="313" t="str">
        <f t="shared" si="11"/>
        <v>T</v>
      </c>
      <c r="AK271" s="313" t="str">
        <f t="shared" si="12"/>
        <v>T</v>
      </c>
      <c r="AL271" s="313" t="str">
        <f t="shared" si="13"/>
        <v>-</v>
      </c>
      <c r="AM271" s="313" t="str">
        <f t="shared" si="14"/>
        <v>-</v>
      </c>
      <c r="AN271" s="313" t="str">
        <f t="shared" si="15"/>
        <v>-</v>
      </c>
      <c r="AO271" s="314" t="str">
        <f t="shared" si="16"/>
        <v>T</v>
      </c>
      <c r="AP271" s="316">
        <f t="shared" si="17"/>
        <v>3</v>
      </c>
      <c r="AQ271" s="319" t="str">
        <f t="shared" si="18"/>
        <v>-</v>
      </c>
      <c r="AR271" s="320">
        <f t="shared" si="19"/>
        <v>0</v>
      </c>
      <c r="AS271" s="250" t="str">
        <f>IFERROR(__xludf.DUMMYFUNCTION("SUBSTITUTE(SUBSTITUTE(CONCATENATE(JOIN("""",FP271:GA271)),""|"",""x""),""-"",""o"")"),"xxooxxxxxoox")</f>
        <v>xxooxxxxxoox</v>
      </c>
      <c r="AT271" s="323" t="str">
        <f>IFERROR(__xludf.DUMMYFUNCTION("JOIN("""",AS271,AS271)"),"xxooxxxxxooxxxooxxxxxoox")</f>
        <v>xxooxxxxxooxxxooxxxxxoox</v>
      </c>
      <c r="AU271" s="256" t="str">
        <f>IFERROR(__xludf.DUMMYFUNCTION("JOIN("""",ArrayFormula(MID(AS271,LEN(AS271)-SEQUENCE(1,LEN(AS271))+1,1)))"),"xooxxxxxooxx")</f>
        <v>xooxxxxxooxx</v>
      </c>
      <c r="AV271" s="256" t="str">
        <f>IFERROR(__xludf.DUMMYFUNCTION("LEFT(CONCATENATE(""x"",JOIN("""",ArrayFormula(MID(AS271,LEN(AS271)-SEQUENCE(1,LEN(AS271))+1,1)))),12)"),"xxooxxxxxoox")</f>
        <v>xxooxxxxxoox</v>
      </c>
      <c r="AW271" s="327" t="str">
        <f>IFERROR(__xludf.DUMMYFUNCTION("JOIN("""",AU271,AU271)"),"xooxxxxxooxxxooxxxxxooxx")</f>
        <v>xooxxxxxooxxxooxxxxxooxx</v>
      </c>
      <c r="AX271" s="239" t="str">
        <f>IFERROR(__xludf.DUMMYFUNCTION("IF(REGEXMATCH(AW271,AS271),""✔"",""-"")"),"✔")</f>
        <v>✔</v>
      </c>
      <c r="AY271" s="330" t="str">
        <f t="shared" si="20"/>
        <v>✔</v>
      </c>
      <c r="AZ271" s="260" t="str">
        <f t="shared" si="21"/>
        <v>#REF!</v>
      </c>
      <c r="BA271" s="333" t="str">
        <f t="shared" si="22"/>
        <v>xxooxxx</v>
      </c>
      <c r="BB271" s="334" t="str">
        <f t="shared" si="23"/>
        <v>xxooxx</v>
      </c>
      <c r="BC271" s="335" t="str">
        <f t="shared" si="236"/>
        <v>✔</v>
      </c>
      <c r="BD271" s="336" t="str">
        <f t="shared" si="25"/>
        <v>Prabhat Bhairav: 'xxooxxx' + 'xxooxx'</v>
      </c>
      <c r="BE271" s="337">
        <f>IFERROR(__xludf.DUMMYFUNCTION("COUNTUNIQUE(FILTER(AT:AT,REGEXMATCH(AT:AT,AS271)))-1"),0.0)</f>
        <v>0</v>
      </c>
      <c r="BF271" s="261" t="str">
        <f>IFERROR(__xludf.DUMMYFUNCTION("IF(BI271=0,""(n/a)"",IF(BJ271=2,""(PAIR)"",IF(REGEXMATCH(AT271,""xoxoxxoxoxox""),""Bilawal"",IF(REGEXMATCH(AT271,""xoxoxooxoxoo""),""Bhupali"",IF(REGEXMATCH(AT271,""xoxoxxoxxoxo""),""Charukeshi"",IF(REGEXMATCH(AT271,""xoxoooxxoxxo""),""Kameshwari"",IF(REG"&amp;"EXMATCH(AT271,""xoxoxooxoxox""),""Shankara"",IF(REGEXMATCH(AT271,""xxooxoxxxoox""),""Basant"",IF(REGEXMATCH(AT271,""xoxoxxxxoxox""),""Bihag"",IF(REGEXMATCH(AT271,""xoxxxxoxoxxx""),""Pilu"",IF(REGEXMATCH(AT271,""xoxxoxoxxoox""),""Kirwani"",IF(REGEXMATCH(AT"&amp;"271,""xoxxoxoxoxxx""),""Mk.Malhar"",IF(REGEXMATCH(AT271,""xxooxxoxxoox""),""Bhairav"",IF(REGEXMATCH(AT271,""xxoxooxxxoox""),""Todi"",IF(REGEXMATCH(AT271,""xxooxoxooxox""),""Marwa"",IF(REGEXMATCH(AT271,""xxoooxoxxooo""),""Gunkali"",IF(REGEXMATCH(AT271,""xo"&amp;"xoxxoxxoox""),""Nat Bhairav"",IF(REGEXMATCH(AT271,""xoxxoooxoxoo""),""Shivranjani"",IF(REGEXMATCH(AT271,""xooxxxoxooxo""),""Jog"",IF(REGEXMATCH(AT271,""xxooxoxoxoox""),""Hemshri"",IF(REGEXMATCH(AT271,""xoooxooxoxxo""),""Kalavati"",IF(REGEXMATCH(AT271,""xx"&amp;"oxoxxoxoox""),""Kedar"",IF(REGEXMATCH(AT271,""xoxxxxoxooxx""),""Gara"",IF(REGEXMATCH(AT271,""xooxoxooxoox""),""Chandrakauns"",IF(REGEXMATCH(AT271,""xoxxxxoxxxox""),""Mand"",IF(REGEXMATCH(AT271,""xoxxxxoxoxox""),""Hanskinkini"",IF(REGEXMATCH(AT271,""xxooxx"&amp;"oxooxo""),""Lilavati"",IF(REGEXMATCH(AT271,""xooxoxoooxox""),""Rajeshwari"",IF(REGEXMATCH(AT271,""xoooxxoxoxxx""),""Khokar"",IF(REGEXMATCH(AT271,""xxooxoxxxxox""),""Maligoura"",""-""))))))))))))))))))))))))))))))"),"(n/a)")</f>
        <v>(n/a)</v>
      </c>
      <c r="BG271" s="239" t="str">
        <f t="shared" si="26"/>
        <v>#REF!</v>
      </c>
      <c r="BH271" s="239">
        <f>IFERROR(__xludf.DUMMYFUNCTION("COUNTUNIQUE(FE271:FO271)-1"),7.0)</f>
        <v>7</v>
      </c>
      <c r="BI271" s="239">
        <f>IFERROR(__xludf.DUMMYFUNCTION("COUNTUNIQUE(FILTER(AT:AT,REGEXMATCH(AT:AT,AS271)))-1"),0.0)</f>
        <v>0</v>
      </c>
      <c r="BJ271" s="239">
        <f>IFERROR(__xludf.DUMMYFUNCTION("COUNTA(FILTER(AT:AT,REGEXMATCH(AT:AT,AS271)))"),4.0)</f>
        <v>4</v>
      </c>
      <c r="BK271" s="341">
        <f>IFERROR(__xludf.DUMMYFUNCTION("COUNTA(FILTER(AT:AT,REGEXMATCH(AT:AT,AS271)))-AR271"),4.0)</f>
        <v>4</v>
      </c>
      <c r="BL271" s="276" t="str">
        <f>IFERROR(__xludf.DUMMYFUNCTION("IF(AS271=""oooooooooooo"",""-"",IF(REGEXMATCH(AT271,""xx""), ""Hemi."", ""Anhemi.""))"),"Hemi.")</f>
        <v>Hemi.</v>
      </c>
      <c r="BM271" s="282" t="str">
        <f>IFERROR(__xludf.DUMMYFUNCTION("IF(AS271=""oooooooooooo"",""-"",IF(REGEXMATCH(AT271,""xxx""), ""Cohem."", ""-""))"),"Cohem.")</f>
        <v>Cohem.</v>
      </c>
      <c r="BN271" s="282" t="str">
        <f>IFERROR(__xludf.DUMMYFUNCTION("IF(AS271=""oooooooooooo"",""-"",IF(REGEXMATCH(AT271,""xxxx""), ""Co-Co."", ""-""))"),"Co-Co.")</f>
        <v>Co-Co.</v>
      </c>
      <c r="BO271" s="342" t="str">
        <f>IFERROR(__xludf.DUMMYFUNCTION("IF(AS271=""oooooooooooo"",""-"",IF(REGEXMATCH(AT271,""xxxxx""), ""CCC."", ""-""))"),"CCC.")</f>
        <v>CCC.</v>
      </c>
      <c r="BP271" s="344" t="str">
        <f t="shared" si="27"/>
        <v>-</v>
      </c>
      <c r="BQ271" s="282" t="str">
        <f>IFERROR(__xludf.DUMMYFUNCTION("IF(REGEXMATCH(JOIN(""-"",EU271:FD271),""TRUE""),""✔"",""-"")"),"-")</f>
        <v>-</v>
      </c>
      <c r="BR271" s="225">
        <f t="shared" si="28"/>
        <v>0</v>
      </c>
      <c r="BS271" s="345" t="str">
        <f>IFERROR(__xludf.DUMMYFUNCTION("SUBSTITUTE(SUBSTITUTE(SUBSTITUTE(SUBSTITUTE(CONCATENATE(JOIN(""-"",GC271:GO271)),""--"",""-""),""--"",""-""),""--"",""-""),""--"",""-"")"),"1-b2-3-4-#4-5-b6-7-8")</f>
        <v>1-b2-3-4-#4-5-b6-7-8</v>
      </c>
      <c r="BT271" s="299" t="str">
        <f>IFERROR(__xludf.DUMMYFUNCTION("SUBSTITUTE(SUBSTITUTE(SUBSTITUTE(SUBSTITUTE(CONCATENATE(JOIN(""-"",GP271:HB271)),""--"",""-""),""--"",""-""),""--"",""-""),""--"",""-"")"),"S-R1-G3-M1-M2-P-D1-N3-S")</f>
        <v>S-R1-G3-M1-M2-P-D1-N3-S</v>
      </c>
      <c r="BU271" s="348" t="str">
        <f t="shared" si="29"/>
        <v>C-Db-E-F-F#-G-Ab-B-C</v>
      </c>
      <c r="BV271" s="349" t="str">
        <f t="shared" si="30"/>
        <v>SRgDnS</v>
      </c>
      <c r="BW271" s="350">
        <f t="shared" si="31"/>
        <v>0</v>
      </c>
      <c r="BX271" s="351">
        <f t="shared" si="32"/>
        <v>4</v>
      </c>
      <c r="BY271" s="352" t="s">
        <v>275</v>
      </c>
      <c r="BZ271" s="309" t="str">
        <f>IFERROR(__xludf.DUMMYFUNCTION("IF(REGEXMATCH(C271, ""S""), ""x"",""x"")"),"x")</f>
        <v>x</v>
      </c>
      <c r="CA271" s="245" t="str">
        <f>IFERROR(__xludf.DUMMYFUNCTION("IF(REGEXMATCH(C271, ""r""), ""o"",""x"")"),"o")</f>
        <v>o</v>
      </c>
      <c r="CB271" s="246" t="str">
        <f>IFERROR(__xludf.DUMMYFUNCTION("IF(REGEXMATCH(C271, ""R""), ""o"",""x"")"),"x")</f>
        <v>x</v>
      </c>
      <c r="CC271" s="246" t="str">
        <f>IFERROR(__xludf.DUMMYFUNCTION("IF(REGEXMATCH(C271, ""g""), ""o"",""x"")"),"x")</f>
        <v>x</v>
      </c>
      <c r="CD271" s="245" t="str">
        <f>IFERROR(__xludf.DUMMYFUNCTION("IF(REGEXMATCH(C271, ""G""), ""o"",""x"")"),"o")</f>
        <v>o</v>
      </c>
      <c r="CE271" s="245" t="str">
        <f>IFERROR(__xludf.DUMMYFUNCTION("IF(REGEXMATCH(C271, ""m""), ""o"",""x"")"),"o")</f>
        <v>o</v>
      </c>
      <c r="CF271" s="246" t="str">
        <f>IFERROR(__xludf.DUMMYFUNCTION("IF(REGEXMATCH(C271, ""M""), ""o"",""x"")"),"o")</f>
        <v>o</v>
      </c>
      <c r="CG271" s="245" t="str">
        <f>IFERROR(__xludf.DUMMYFUNCTION("IF(REGEXMATCH(C271, ""P""), ""o"",""x"")"),"o")</f>
        <v>o</v>
      </c>
      <c r="CH271" s="246" t="str">
        <f>IFERROR(__xludf.DUMMYFUNCTION("IF(REGEXMATCH(C271, ""d""), ""o"",""x"")"),"o")</f>
        <v>o</v>
      </c>
      <c r="CI271" s="245" t="str">
        <f>IFERROR(__xludf.DUMMYFUNCTION("IF(REGEXMATCH(C271, ""D""), ""o"",""x"")"),"x")</f>
        <v>x</v>
      </c>
      <c r="CJ271" s="245" t="str">
        <f>IFERROR(__xludf.DUMMYFUNCTION("IF(REGEXMATCH(C271, ""n""), ""o"",""x"")"),"x")</f>
        <v>x</v>
      </c>
      <c r="CK271" s="245" t="str">
        <f>IFERROR(__xludf.DUMMYFUNCTION("IF(REGEXMATCH(C271, ""N""), ""o"",""x"")"),"o")</f>
        <v>o</v>
      </c>
      <c r="CL271" s="356" t="str">
        <f>IFERROR(__xludf.DUMMYFUNCTION("IF(REGEXMATCH(C271, ""S""), ""x"",""x"")"),"x")</f>
        <v>x</v>
      </c>
      <c r="CM271" s="357" t="str">
        <f t="shared" si="33"/>
        <v>xoxxoooooxxo</v>
      </c>
      <c r="CN271" s="358">
        <f t="shared" si="34"/>
        <v>0</v>
      </c>
      <c r="CO271" s="246" t="str">
        <f>IFERROR(__xludf.DUMMYFUNCTION("IF(REGEXMATCH($C271, ""S""), ""S"",""S"")"),"S")</f>
        <v>S</v>
      </c>
      <c r="CP271" s="246" t="str">
        <f>IFERROR(__xludf.DUMMYFUNCTION("IF(REGEXMATCH($C271, ""r""), """",""r"")"),"")</f>
        <v/>
      </c>
      <c r="CQ271" s="246" t="str">
        <f>IFERROR(__xludf.DUMMYFUNCTION("IF(REGEXMATCH($C271, ""R""), """",""R"")"),"R")</f>
        <v>R</v>
      </c>
      <c r="CR271" s="246" t="str">
        <f>IFERROR(__xludf.DUMMYFUNCTION("IF(REGEXMATCH($C271, ""g""), """",""g"")"),"g")</f>
        <v>g</v>
      </c>
      <c r="CS271" s="246" t="str">
        <f>IFERROR(__xludf.DUMMYFUNCTION("IF(REGEXMATCH($C271, ""G""), """",""G"")"),"")</f>
        <v/>
      </c>
      <c r="CT271" s="246" t="str">
        <f>IFERROR(__xludf.DUMMYFUNCTION("IF(REGEXMATCH($C271, ""m""), """",""m"")"),"")</f>
        <v/>
      </c>
      <c r="CU271" s="246" t="str">
        <f>IFERROR(__xludf.DUMMYFUNCTION("IF(REGEXMATCH($C271, ""M""), """",""M"")"),"")</f>
        <v/>
      </c>
      <c r="CV271" s="246" t="str">
        <f>IFERROR(__xludf.DUMMYFUNCTION("IF(REGEXMATCH($C271, ""P""), """",""P"")"),"")</f>
        <v/>
      </c>
      <c r="CW271" s="246" t="str">
        <f>IFERROR(__xludf.DUMMYFUNCTION("IF(REGEXMATCH($C271, ""d""), """",""d"")"),"")</f>
        <v/>
      </c>
      <c r="CX271" s="246" t="str">
        <f>IFERROR(__xludf.DUMMYFUNCTION("IF(REGEXMATCH($C271, ""D""), """",""D"")"),"D")</f>
        <v>D</v>
      </c>
      <c r="CY271" s="246" t="str">
        <f>IFERROR(__xludf.DUMMYFUNCTION("IF(REGEXMATCH($C271, ""n""), """",""n"")"),"n")</f>
        <v>n</v>
      </c>
      <c r="CZ271" s="246" t="str">
        <f>IFERROR(__xludf.DUMMYFUNCTION("IF(REGEXMATCH($C271, ""N""), """",""N"")"),"")</f>
        <v/>
      </c>
      <c r="DA271" s="246" t="str">
        <f>IFERROR(__xludf.DUMMYFUNCTION("IF(REGEXMATCH($C271, ""S""), ""S"",""S"")"),"S")</f>
        <v>S</v>
      </c>
      <c r="DB271" s="362" t="str">
        <f>IFERROR(__xludf.DUMMYFUNCTION("JOIN("""",CO271:DA271,"""","""")"),"SRgDnS")</f>
        <v>SRgDnS</v>
      </c>
      <c r="DC271" s="363"/>
      <c r="DD271" s="301" t="str">
        <f t="shared" si="35"/>
        <v>#REF!</v>
      </c>
      <c r="DE271" s="302" t="str">
        <f t="shared" si="36"/>
        <v>#REF!</v>
      </c>
      <c r="DF271" s="301" t="str">
        <f t="shared" ref="DF271:DG271" si="765">SUBSTITUTE(S271,"-","")</f>
        <v>SRGM</v>
      </c>
      <c r="DG271" s="301" t="str">
        <f t="shared" si="765"/>
        <v>PDNS</v>
      </c>
      <c r="DH271" s="302" t="str">
        <f t="shared" si="38"/>
        <v>(n/a)</v>
      </c>
      <c r="DI271" s="301" t="str">
        <f t="shared" si="39"/>
        <v>Hemi.</v>
      </c>
      <c r="DJ271" s="364" t="str">
        <f t="shared" si="40"/>
        <v>CCC.</v>
      </c>
      <c r="DK271" s="306" t="str">
        <f t="shared" si="41"/>
        <v>-</v>
      </c>
      <c r="DL271" s="366" t="str">
        <f t="shared" si="42"/>
        <v>-</v>
      </c>
      <c r="DM271" s="308" t="str">
        <f t="shared" si="43"/>
        <v>✔</v>
      </c>
      <c r="DN271" s="306" t="str">
        <f t="shared" si="44"/>
        <v>-</v>
      </c>
      <c r="DO271" s="306" t="str">
        <f t="shared" si="45"/>
        <v>-</v>
      </c>
      <c r="DP271" s="367" t="str">
        <f t="shared" si="46"/>
        <v>-</v>
      </c>
      <c r="DQ271" s="310" t="str">
        <f t="shared" si="47"/>
        <v>-</v>
      </c>
      <c r="DR271" s="310" t="str">
        <f t="shared" si="48"/>
        <v>-</v>
      </c>
      <c r="DS271" s="310" t="str">
        <f t="shared" si="49"/>
        <v>✔</v>
      </c>
      <c r="DT271" s="310" t="str">
        <f t="shared" si="50"/>
        <v>-</v>
      </c>
      <c r="DU271" s="370" t="str">
        <f t="shared" si="51"/>
        <v>-</v>
      </c>
      <c r="DV271" s="306" t="str">
        <f t="shared" si="52"/>
        <v>-</v>
      </c>
      <c r="DW271" s="306" t="str">
        <f t="shared" si="53"/>
        <v>-</v>
      </c>
      <c r="DX271" s="306" t="str">
        <f t="shared" si="54"/>
        <v>-</v>
      </c>
      <c r="DY271" s="306" t="str">
        <f t="shared" si="55"/>
        <v>-</v>
      </c>
      <c r="DZ271" s="306" t="str">
        <f t="shared" si="56"/>
        <v>-</v>
      </c>
      <c r="EA271" s="367" t="str">
        <f t="shared" si="57"/>
        <v>-</v>
      </c>
      <c r="EB271" s="310" t="str">
        <f>IFERROR(__xludf.DUMMYFUNCTION("IF(REGEXMATCH(AW271,AS271),""✔"",""-"")"),"✔")</f>
        <v>✔</v>
      </c>
      <c r="EC271" s="310" t="str">
        <f t="shared" si="58"/>
        <v>#REF!</v>
      </c>
      <c r="ED271" s="370" t="str">
        <f t="shared" si="59"/>
        <v>✔</v>
      </c>
      <c r="EE271" s="340" t="str">
        <f t="shared" si="60"/>
        <v>S-r-G-mM-P-d-N-S</v>
      </c>
      <c r="EF271" s="371" t="str">
        <f>IFERROR(__xludf.DUMMYFUNCTION("CONCATENATE(JOIN("""",HC271:HO271))"),"SrGmMPdNS")</f>
        <v>SrGmMPdNS</v>
      </c>
      <c r="EG271" s="372">
        <f t="shared" si="61"/>
        <v>2</v>
      </c>
      <c r="EH271" s="373" t="str">
        <f>IFERROR(__xludf.DUMMYFUNCTION("CONCATENATE(JOIN("""",JC271:JO271))"),"Pa, dha, ")</f>
        <v>Pa, dha, </v>
      </c>
      <c r="EI271" s="322">
        <f t="shared" si="62"/>
        <v>0</v>
      </c>
      <c r="EJ271" s="374" t="str">
        <f>IFERROR(__xludf.DUMMYFUNCTION("CONCATENATE(JOIN("""",KC271:KO271))"),"")</f>
        <v/>
      </c>
      <c r="EK271" s="325" t="str">
        <f t="shared" si="63"/>
        <v>S-R1-G3-M1-M2-P-D1-N3-S</v>
      </c>
      <c r="EL271" s="326" t="str">
        <f t="shared" si="64"/>
        <v>1-b2-3-4-#4-5-b6-7-8</v>
      </c>
      <c r="EM271" s="318" t="str">
        <f t="shared" si="65"/>
        <v>#REF!</v>
      </c>
      <c r="EN271" s="328" t="str">
        <f>IFERROR(__xludf.DUMMYFUNCTION("SUBSTITUTE(SUBSTITUTE(SUBSTITUTE(SUBSTITUTE(CONCATENATE(JOIN("" "",HP271:IB271)),""  "","" ""),""  "","" ""),""  "","" ""),""  "","" "")"),"o o • • o o o o o • • o o")</f>
        <v>o o • • o o o o o • • o o</v>
      </c>
      <c r="EO271" s="368" t="str">
        <f t="shared" si="66"/>
        <v>-</v>
      </c>
      <c r="EP271" s="339" t="str">
        <f t="shared" si="67"/>
        <v>-</v>
      </c>
      <c r="EQ271" s="339" t="str">
        <f t="shared" si="68"/>
        <v>Sa-Pa</v>
      </c>
      <c r="ER271" s="339" t="str">
        <f t="shared" si="69"/>
        <v>-</v>
      </c>
      <c r="ES271" s="340" t="str">
        <f t="shared" si="70"/>
        <v>-</v>
      </c>
      <c r="ET271" s="363"/>
      <c r="EU271" s="376" t="b">
        <f>IFERROR(__xludf.DUMMYFUNCTION("arrayformula(sum(--REGEXMATCH(""SRGMPDNS"",split(REGEXREPLACE(C271,""(.)"",""$1~""),""~""))))=len(C271)
"),FALSE)</f>
        <v>0</v>
      </c>
      <c r="EV271" s="290" t="b">
        <f>IFERROR(__xludf.DUMMYFUNCTION("arrayformula(sum(--REGEXMATCH(""SRGmPDNS"",split(REGEXREPLACE(C271,""(.)"",""$1~""),""~""))))=len(C271)"),FALSE)</f>
        <v>0</v>
      </c>
      <c r="EW271" s="290" t="b">
        <f>IFERROR(__xludf.DUMMYFUNCTION("arrayformula(sum(--REGEXMATCH(""SRGmPDnS"",split(REGEXREPLACE(C271,""(.)"",""$1~""),""~""))))=len(C271)"),FALSE)</f>
        <v>0</v>
      </c>
      <c r="EX271" s="290" t="b">
        <f>IFERROR(__xludf.DUMMYFUNCTION("arrayformula(sum(--REGEXMATCH(""SRgmPDnS"",split(REGEXREPLACE(C271,""(.)"",""$1~""),""~""))))=len(C271)"),FALSE)</f>
        <v>0</v>
      </c>
      <c r="EY271" s="290" t="b">
        <f>IFERROR(__xludf.DUMMYFUNCTION("arrayformula(sum(--REGEXMATCH(""SRgmPdnS"",split(REGEXREPLACE(C271,""(.)"",""$1~""),""~""))))=len(C271)"),FALSE)</f>
        <v>0</v>
      </c>
      <c r="EZ271" s="290" t="b">
        <f>IFERROR(__xludf.DUMMYFUNCTION("arrayformula(sum(--REGEXMATCH(""SrgmPdnS"",split(REGEXREPLACE(C271,""(.)"",""$1~""),""~""))))=len(C271)"),FALSE)</f>
        <v>0</v>
      </c>
      <c r="FA271" s="290" t="b">
        <f>IFERROR(__xludf.DUMMYFUNCTION("arrayformula(sum(--REGEXMATCH(""SrGmPdNS"",split(REGEXREPLACE(C271,""(.)"",""$1~""),""~""))))=len(C271)"),FALSE)</f>
        <v>0</v>
      </c>
      <c r="FB271" s="290" t="b">
        <f>IFERROR(__xludf.DUMMYFUNCTION("arrayformula(sum(--REGEXMATCH(""SrGMPDNS"",split(REGEXREPLACE(C271,""(.)"",""$1~""),""~""))))=len(C271)"),FALSE)</f>
        <v>0</v>
      </c>
      <c r="FC271" s="290" t="b">
        <f>IFERROR(__xludf.DUMMYFUNCTION("arrayformula(sum(--REGEXMATCH(""SrGMPdNS"",split(REGEXREPLACE(C271,""(.)"",""$1~""),""~""))))=len(C271)"),FALSE)</f>
        <v>0</v>
      </c>
      <c r="FD271" s="377" t="b">
        <f>IFERROR(__xludf.DUMMYFUNCTION("arrayformula(sum(--REGEXMATCH(""SrgMPdNS"",split(REGEXREPLACE(C271,""(.)"",""$1~""),""~""))))=len(C271)"),FALSE)</f>
        <v>0</v>
      </c>
      <c r="FE271" s="269" t="str">
        <f t="shared" si="71"/>
        <v>xooxxxxxoox</v>
      </c>
      <c r="FF271" s="269" t="str">
        <f t="shared" si="72"/>
        <v>-</v>
      </c>
      <c r="FG271" s="271" t="str">
        <f t="shared" si="73"/>
        <v>-</v>
      </c>
      <c r="FH271" s="269" t="str">
        <f t="shared" si="74"/>
        <v>xxxxxooxxxo</v>
      </c>
      <c r="FI271" s="271" t="str">
        <f t="shared" si="75"/>
        <v>xxxxooxxxoo</v>
      </c>
      <c r="FJ271" s="271" t="str">
        <f t="shared" si="76"/>
        <v>xxxooxxxoox</v>
      </c>
      <c r="FK271" s="271" t="str">
        <f t="shared" si="77"/>
        <v>xxooxxxooxx</v>
      </c>
      <c r="FL271" s="271" t="str">
        <f t="shared" si="78"/>
        <v>xooxxxooxxx</v>
      </c>
      <c r="FM271" s="271" t="str">
        <f t="shared" si="79"/>
        <v>-</v>
      </c>
      <c r="FN271" s="271" t="str">
        <f t="shared" si="80"/>
        <v>-</v>
      </c>
      <c r="FO271" s="274" t="str">
        <f t="shared" si="81"/>
        <v>xxxooxxxxxo</v>
      </c>
      <c r="FP271" s="234" t="str">
        <f t="shared" si="82"/>
        <v>|</v>
      </c>
      <c r="FQ271" s="236" t="str">
        <f t="shared" si="83"/>
        <v>|</v>
      </c>
      <c r="FR271" s="237" t="str">
        <f t="shared" si="84"/>
        <v>-</v>
      </c>
      <c r="FS271" s="236" t="str">
        <f t="shared" si="85"/>
        <v>-</v>
      </c>
      <c r="FT271" s="237" t="str">
        <f t="shared" si="86"/>
        <v>|</v>
      </c>
      <c r="FU271" s="236" t="str">
        <f t="shared" si="87"/>
        <v>|</v>
      </c>
      <c r="FV271" s="237" t="str">
        <f t="shared" si="88"/>
        <v>|</v>
      </c>
      <c r="FW271" s="236" t="str">
        <f t="shared" si="89"/>
        <v>|</v>
      </c>
      <c r="FX271" s="237" t="str">
        <f t="shared" si="90"/>
        <v>|</v>
      </c>
      <c r="FY271" s="236" t="str">
        <f t="shared" si="91"/>
        <v>-</v>
      </c>
      <c r="FZ271" s="237" t="str">
        <f t="shared" si="92"/>
        <v>-</v>
      </c>
      <c r="GA271" s="236" t="str">
        <f t="shared" si="93"/>
        <v>|</v>
      </c>
      <c r="GB271" s="238" t="str">
        <f t="shared" si="94"/>
        <v>|</v>
      </c>
      <c r="GC271" s="244" t="str">
        <f>IFERROR(__xludf.DUMMYFUNCTION("IF(REGEXMATCH(C271, ""S""), ""1"","""")"),"1")</f>
        <v>1</v>
      </c>
      <c r="GD271" s="245" t="str">
        <f>IFERROR(__xludf.DUMMYFUNCTION("IF(REGEXMATCH(C271, ""r""), ""b2"","""")"),"b2")</f>
        <v>b2</v>
      </c>
      <c r="GE271" s="246" t="str">
        <f>IFERROR(__xludf.DUMMYFUNCTION("IF(REGEXMATCH(C271, ""R""), ""2"","""")"),"")</f>
        <v/>
      </c>
      <c r="GF271" s="246" t="str">
        <f>IFERROR(__xludf.DUMMYFUNCTION("IF(REGEXMATCH(C271, ""g""), ""b3"","""")"),"")</f>
        <v/>
      </c>
      <c r="GG271" s="245" t="str">
        <f>IFERROR(__xludf.DUMMYFUNCTION("IF(REGEXMATCH(C271, ""G""), ""3"","""")"),"3")</f>
        <v>3</v>
      </c>
      <c r="GH271" s="245" t="str">
        <f>IFERROR(__xludf.DUMMYFUNCTION("IF(REGEXMATCH(C271, ""m""), ""4"","""")"),"4")</f>
        <v>4</v>
      </c>
      <c r="GI271" s="246" t="str">
        <f>IFERROR(__xludf.DUMMYFUNCTION("IF(REGEXMATCH(C271, ""M""), ""#4"","""")"),"#4")</f>
        <v>#4</v>
      </c>
      <c r="GJ271" s="245" t="str">
        <f>IFERROR(__xludf.DUMMYFUNCTION("IF(REGEXMATCH(C271, ""P""), ""5"","""")"),"5")</f>
        <v>5</v>
      </c>
      <c r="GK271" s="246" t="str">
        <f>IFERROR(__xludf.DUMMYFUNCTION("IF(REGEXMATCH(C271, ""d""), ""b6"","""")"),"b6")</f>
        <v>b6</v>
      </c>
      <c r="GL271" s="245" t="str">
        <f>IFERROR(__xludf.DUMMYFUNCTION("IF(REGEXMATCH(C271, ""D""), ""6"","""")"),"")</f>
        <v/>
      </c>
      <c r="GM271" s="245" t="str">
        <f>IFERROR(__xludf.DUMMYFUNCTION("IF(REGEXMATCH(C271, ""n""), ""b7"","""")"),"")</f>
        <v/>
      </c>
      <c r="GN271" s="246" t="str">
        <f>IFERROR(__xludf.DUMMYFUNCTION("IF(REGEXMATCH(C271, ""N""), ""7"","""")"),"7")</f>
        <v>7</v>
      </c>
      <c r="GO271" s="249" t="str">
        <f>IFERROR(__xludf.DUMMYFUNCTION("IF(REGEXMATCH(C271, ""S""), ""8"","""")"),"8")</f>
        <v>8</v>
      </c>
      <c r="GP271" s="244" t="str">
        <f>IFERROR(__xludf.DUMMYFUNCTION("IF(REGEXMATCH(C271, ""S""), ""S"","""")"),"S")</f>
        <v>S</v>
      </c>
      <c r="GQ271" s="294" t="str">
        <f>IFERROR(__xludf.DUMMYFUNCTION("IF(REGEXMATCH(C271, ""r""), ""R1"","""")"),"R1")</f>
        <v>R1</v>
      </c>
      <c r="GR271" s="295" t="str">
        <f>IFERROR(__xludf.DUMMYFUNCTION("IF(REGEXMATCH(C271, ""R""), ""R2"","""")"),"")</f>
        <v/>
      </c>
      <c r="GS271" s="295" t="str">
        <f>IFERROR(__xludf.DUMMYFUNCTION("IF(REGEXMATCH(C271, ""g""), ""G2"","""")"),"")</f>
        <v/>
      </c>
      <c r="GT271" s="294" t="str">
        <f>IFERROR(__xludf.DUMMYFUNCTION("IF(REGEXMATCH(C271, ""G""), ""G3"","""")"),"G3")</f>
        <v>G3</v>
      </c>
      <c r="GU271" s="294" t="str">
        <f>IFERROR(__xludf.DUMMYFUNCTION("IF(REGEXMATCH(C271, ""m""), ""M1"","""")"),"M1")</f>
        <v>M1</v>
      </c>
      <c r="GV271" s="295" t="str">
        <f>IFERROR(__xludf.DUMMYFUNCTION("IF(REGEXMATCH(C271, ""M""), ""M2"","""")"),"M2")</f>
        <v>M2</v>
      </c>
      <c r="GW271" s="294" t="str">
        <f>IFERROR(__xludf.DUMMYFUNCTION("IF(REGEXMATCH(C271, ""P""), ""P"","""")"),"P")</f>
        <v>P</v>
      </c>
      <c r="GX271" s="295" t="str">
        <f>IFERROR(__xludf.DUMMYFUNCTION("IF(REGEXMATCH(C271, ""d""), ""D1"","""")"),"D1")</f>
        <v>D1</v>
      </c>
      <c r="GY271" s="294" t="str">
        <f>IFERROR(__xludf.DUMMYFUNCTION("IF(REGEXMATCH(C271, ""D""), ""D2"","""")"),"")</f>
        <v/>
      </c>
      <c r="GZ271" s="294" t="str">
        <f>IFERROR(__xludf.DUMMYFUNCTION("IF(REGEXMATCH(C271, ""n""), ""N2"","""")"),"")</f>
        <v/>
      </c>
      <c r="HA271" s="295" t="str">
        <f>IFERROR(__xludf.DUMMYFUNCTION("IF(REGEXMATCH(C271, ""N""), ""N3"","""")"),"N3")</f>
        <v>N3</v>
      </c>
      <c r="HB271" s="249" t="str">
        <f>IFERROR(__xludf.DUMMYFUNCTION("IF(REGEXMATCH(C271, ""S""), ""S"","""")"),"S")</f>
        <v>S</v>
      </c>
      <c r="HC271" s="331" t="str">
        <f t="shared" si="95"/>
        <v>S</v>
      </c>
      <c r="HD271" s="332" t="str">
        <f t="shared" si="96"/>
        <v>r</v>
      </c>
      <c r="HE271" s="332" t="str">
        <f t="shared" si="97"/>
        <v/>
      </c>
      <c r="HF271" s="332" t="str">
        <f t="shared" si="98"/>
        <v/>
      </c>
      <c r="HG271" s="332" t="str">
        <f t="shared" si="99"/>
        <v>G</v>
      </c>
      <c r="HH271" s="332" t="str">
        <f t="shared" si="100"/>
        <v>m</v>
      </c>
      <c r="HI271" s="332" t="str">
        <f t="shared" si="101"/>
        <v>M</v>
      </c>
      <c r="HJ271" s="332" t="str">
        <f t="shared" si="102"/>
        <v>P</v>
      </c>
      <c r="HK271" s="332" t="str">
        <f t="shared" si="103"/>
        <v>d</v>
      </c>
      <c r="HL271" s="332" t="str">
        <f t="shared" si="104"/>
        <v/>
      </c>
      <c r="HM271" s="332" t="str">
        <f t="shared" si="105"/>
        <v/>
      </c>
      <c r="HN271" s="332" t="str">
        <f t="shared" si="106"/>
        <v>N</v>
      </c>
      <c r="HO271" s="343" t="str">
        <f t="shared" si="107"/>
        <v>S</v>
      </c>
      <c r="HP271" s="331" t="str">
        <f t="shared" si="108"/>
        <v>o</v>
      </c>
      <c r="HQ271" s="332" t="str">
        <f t="shared" si="109"/>
        <v>o</v>
      </c>
      <c r="HR271" s="332" t="str">
        <f t="shared" si="110"/>
        <v>•</v>
      </c>
      <c r="HS271" s="332" t="str">
        <f t="shared" si="111"/>
        <v>•</v>
      </c>
      <c r="HT271" s="332" t="str">
        <f t="shared" si="112"/>
        <v>o</v>
      </c>
      <c r="HU271" s="332" t="str">
        <f t="shared" si="113"/>
        <v>o</v>
      </c>
      <c r="HV271" s="332" t="str">
        <f t="shared" si="114"/>
        <v>o</v>
      </c>
      <c r="HW271" s="332" t="str">
        <f t="shared" si="115"/>
        <v>o</v>
      </c>
      <c r="HX271" s="332" t="str">
        <f t="shared" si="116"/>
        <v>o</v>
      </c>
      <c r="HY271" s="332" t="str">
        <f t="shared" si="117"/>
        <v>•</v>
      </c>
      <c r="HZ271" s="332" t="str">
        <f t="shared" si="118"/>
        <v>•</v>
      </c>
      <c r="IA271" s="332" t="str">
        <f t="shared" si="119"/>
        <v>o</v>
      </c>
      <c r="IB271" s="338" t="str">
        <f t="shared" si="120"/>
        <v>o</v>
      </c>
      <c r="IC271" s="331" t="str">
        <f t="shared" si="121"/>
        <v>•</v>
      </c>
      <c r="ID271" s="332" t="str">
        <f t="shared" si="122"/>
        <v>•</v>
      </c>
      <c r="IE271" s="332" t="str">
        <f t="shared" si="123"/>
        <v>o</v>
      </c>
      <c r="IF271" s="332" t="str">
        <f t="shared" si="124"/>
        <v>o</v>
      </c>
      <c r="IG271" s="332" t="str">
        <f t="shared" si="125"/>
        <v>•</v>
      </c>
      <c r="IH271" s="332" t="str">
        <f t="shared" si="126"/>
        <v>•</v>
      </c>
      <c r="II271" s="332" t="str">
        <f t="shared" si="127"/>
        <v>•</v>
      </c>
      <c r="IJ271" s="332" t="str">
        <f t="shared" si="128"/>
        <v>•</v>
      </c>
      <c r="IK271" s="332" t="str">
        <f t="shared" si="129"/>
        <v>•</v>
      </c>
      <c r="IL271" s="332" t="str">
        <f t="shared" si="130"/>
        <v>o</v>
      </c>
      <c r="IM271" s="332" t="str">
        <f t="shared" si="131"/>
        <v>o</v>
      </c>
      <c r="IN271" s="332" t="str">
        <f t="shared" si="132"/>
        <v>•</v>
      </c>
      <c r="IO271" s="338" t="str">
        <f t="shared" si="133"/>
        <v>•</v>
      </c>
      <c r="IP271" s="346" t="b">
        <f t="shared" si="134"/>
        <v>0</v>
      </c>
      <c r="IQ271" s="347" t="b">
        <f t="shared" si="135"/>
        <v>0</v>
      </c>
      <c r="IR271" s="347" t="b">
        <f t="shared" si="136"/>
        <v>0</v>
      </c>
      <c r="IS271" s="347" t="b">
        <f t="shared" si="137"/>
        <v>0</v>
      </c>
      <c r="IT271" s="347" t="b">
        <f t="shared" si="138"/>
        <v>0</v>
      </c>
      <c r="IU271" s="347" t="b">
        <f t="shared" si="139"/>
        <v>0</v>
      </c>
      <c r="IV271" s="347" t="b">
        <f t="shared" si="140"/>
        <v>0</v>
      </c>
      <c r="IW271" s="347" t="b">
        <f t="shared" si="141"/>
        <v>1</v>
      </c>
      <c r="IX271" s="347" t="b">
        <f t="shared" si="142"/>
        <v>1</v>
      </c>
      <c r="IY271" s="347" t="b">
        <f t="shared" si="143"/>
        <v>0</v>
      </c>
      <c r="IZ271" s="347" t="b">
        <f t="shared" si="144"/>
        <v>0</v>
      </c>
      <c r="JA271" s="347" t="b">
        <f t="shared" si="145"/>
        <v>0</v>
      </c>
      <c r="JB271" s="353" t="b">
        <f t="shared" si="146"/>
        <v>0</v>
      </c>
      <c r="JC271" s="354" t="str">
        <f t="shared" si="147"/>
        <v/>
      </c>
      <c r="JD271" s="355" t="str">
        <f t="shared" si="148"/>
        <v/>
      </c>
      <c r="JE271" s="355" t="str">
        <f t="shared" si="149"/>
        <v/>
      </c>
      <c r="JF271" s="355" t="str">
        <f t="shared" si="150"/>
        <v/>
      </c>
      <c r="JG271" s="355" t="str">
        <f t="shared" si="151"/>
        <v/>
      </c>
      <c r="JH271" s="355" t="str">
        <f t="shared" si="152"/>
        <v/>
      </c>
      <c r="JI271" s="355" t="str">
        <f t="shared" si="153"/>
        <v/>
      </c>
      <c r="JJ271" s="355" t="str">
        <f t="shared" si="154"/>
        <v>Pa, </v>
      </c>
      <c r="JK271" s="355" t="str">
        <f t="shared" si="155"/>
        <v>dha, </v>
      </c>
      <c r="JL271" s="355" t="str">
        <f t="shared" si="156"/>
        <v/>
      </c>
      <c r="JM271" s="355" t="str">
        <f t="shared" si="157"/>
        <v/>
      </c>
      <c r="JN271" s="355" t="str">
        <f t="shared" si="158"/>
        <v/>
      </c>
      <c r="JO271" s="359" t="str">
        <f t="shared" si="159"/>
        <v/>
      </c>
      <c r="JP271" s="346" t="b">
        <f t="shared" si="160"/>
        <v>0</v>
      </c>
      <c r="JQ271" s="347" t="b">
        <f t="shared" si="161"/>
        <v>0</v>
      </c>
      <c r="JR271" s="347" t="b">
        <f t="shared" si="162"/>
        <v>0</v>
      </c>
      <c r="JS271" s="347" t="b">
        <f t="shared" si="163"/>
        <v>0</v>
      </c>
      <c r="JT271" s="347" t="b">
        <f t="shared" si="164"/>
        <v>0</v>
      </c>
      <c r="JU271" s="347" t="b">
        <f t="shared" si="165"/>
        <v>0</v>
      </c>
      <c r="JV271" s="347" t="b">
        <f t="shared" si="166"/>
        <v>0</v>
      </c>
      <c r="JW271" s="347" t="b">
        <f t="shared" si="167"/>
        <v>0</v>
      </c>
      <c r="JX271" s="347" t="b">
        <f t="shared" si="168"/>
        <v>0</v>
      </c>
      <c r="JY271" s="347" t="b">
        <f t="shared" si="169"/>
        <v>0</v>
      </c>
      <c r="JZ271" s="347" t="b">
        <f t="shared" si="170"/>
        <v>0</v>
      </c>
      <c r="KA271" s="347" t="b">
        <f t="shared" si="171"/>
        <v>0</v>
      </c>
      <c r="KB271" s="365" t="b">
        <f t="shared" si="172"/>
        <v>0</v>
      </c>
      <c r="KC271" s="354" t="str">
        <f t="shared" si="173"/>
        <v/>
      </c>
      <c r="KD271" s="355" t="str">
        <f t="shared" si="174"/>
        <v/>
      </c>
      <c r="KE271" s="355" t="str">
        <f t="shared" si="175"/>
        <v/>
      </c>
      <c r="KF271" s="355" t="str">
        <f t="shared" si="176"/>
        <v/>
      </c>
      <c r="KG271" s="355" t="str">
        <f t="shared" si="177"/>
        <v/>
      </c>
      <c r="KH271" s="355" t="str">
        <f t="shared" si="178"/>
        <v/>
      </c>
      <c r="KI271" s="355" t="str">
        <f t="shared" si="179"/>
        <v/>
      </c>
      <c r="KJ271" s="355" t="str">
        <f t="shared" si="180"/>
        <v/>
      </c>
      <c r="KK271" s="355" t="str">
        <f t="shared" si="181"/>
        <v/>
      </c>
      <c r="KL271" s="355" t="str">
        <f t="shared" si="182"/>
        <v/>
      </c>
      <c r="KM271" s="355" t="str">
        <f t="shared" si="183"/>
        <v/>
      </c>
      <c r="KN271" s="355" t="str">
        <f t="shared" si="184"/>
        <v/>
      </c>
      <c r="KO271" s="359"/>
      <c r="KP271" s="378"/>
      <c r="KQ271" s="379" t="s">
        <v>9</v>
      </c>
      <c r="KR271" s="380" t="s">
        <v>9</v>
      </c>
      <c r="KS271" s="381" t="s">
        <v>9</v>
      </c>
      <c r="KT271" s="382">
        <f t="shared" si="186"/>
        <v>0</v>
      </c>
      <c r="KU271" s="383">
        <f t="shared" si="187"/>
        <v>0</v>
      </c>
      <c r="KV271" s="381" t="str">
        <f t="shared" si="205"/>
        <v>S</v>
      </c>
      <c r="KW271" s="382">
        <f t="shared" si="189"/>
        <v>0</v>
      </c>
      <c r="KX271" s="384">
        <f t="shared" si="190"/>
        <v>0</v>
      </c>
      <c r="KY271" s="382">
        <f t="shared" ref="KY271:KZ271" si="766">KW271-KT271</f>
        <v>0</v>
      </c>
      <c r="KZ271" s="369">
        <f t="shared" si="766"/>
        <v>0</v>
      </c>
      <c r="LA271" s="385" t="str">
        <f t="shared" si="192"/>
        <v>✔</v>
      </c>
      <c r="LB271" s="340" t="str">
        <f>IFERROR(__xludf.DUMMYFUNCTION("JOIN("""",ArrayFormula(MID(KS271,LEN(KS271)-SEQUENCE(1,LEN(KS271))+1,1)))"),"S")</f>
        <v>S</v>
      </c>
      <c r="LC271" s="373" t="str">
        <f>IFERROR(__xludf.DUMMYFUNCTION("JOIN("""",ArrayFormula(MID(KV271,LEN(KV271)-SEQUENCE(1,LEN(KV271))+1,1)))"),"S")</f>
        <v>S</v>
      </c>
      <c r="LD271" s="373" t="str">
        <f t="shared" si="193"/>
        <v>S</v>
      </c>
      <c r="LE271" s="339" t="str">
        <f t="shared" si="194"/>
        <v>S</v>
      </c>
      <c r="LF271" s="386" t="str">
        <f>IFERROR(__xludf.DUMMYFUNCTION("SUBSTITUTE(SUBSTITUTE(CONCATENATE(JOIN("""",LH271:LT271)),""1"",""""),""2"","""")"),"SS")</f>
        <v>SS</v>
      </c>
      <c r="LG271" s="369" t="str">
        <f t="shared" si="195"/>
        <v>-</v>
      </c>
      <c r="LH271" s="387" t="str">
        <f>IFERROR(__xludf.DUMMYFUNCTION("IF(REGEXMATCH(LD271, ""S""), ""S"",IF(REGEXMATCH(LE271, ""S""), ""S"",""""))"),"S")</f>
        <v>S</v>
      </c>
      <c r="LI271" s="299" t="str">
        <f>IFERROR(__xludf.DUMMYFUNCTION("IF(REGEXMATCH(LD271, ""r""), ""r1"",IF(REGEXMATCH(LE271, ""r""), ""r2"",""""))"),"")</f>
        <v/>
      </c>
      <c r="LJ271" s="299" t="str">
        <f>IFERROR(__xludf.DUMMYFUNCTION("IF(REGEXMATCH(LD271, ""R""), ""R1"",IF(REGEXMATCH(LE271, ""R""), ""R2"",""""))"),"")</f>
        <v/>
      </c>
      <c r="LK271" s="299" t="str">
        <f>IFERROR(__xludf.DUMMYFUNCTION("IF(REGEXMATCH(LD271, ""g""), ""g1"",IF(REGEXMATCH(LE271, ""g""), ""g2"",""""))"),"")</f>
        <v/>
      </c>
      <c r="LL271" s="299" t="str">
        <f>IFERROR(__xludf.DUMMYFUNCTION("IF(REGEXMATCH(LD271, ""G""), ""G1"",IF(REGEXMATCH(LE271, ""G""), ""G2"",""""))"),"")</f>
        <v/>
      </c>
      <c r="LM271" s="299" t="str">
        <f>IFERROR(__xludf.DUMMYFUNCTION("IF(REGEXMATCH(LD271, ""m""), ""m1"",IF(REGEXMATCH(LE271, ""m""), ""m2"",""""))"),"")</f>
        <v/>
      </c>
      <c r="LN271" s="299" t="str">
        <f>IFERROR(__xludf.DUMMYFUNCTION("IF(REGEXMATCH(LD271, ""M""), ""M1"",IF(REGEXMATCH(LE271, ""M""), ""M2"",""""))"),"")</f>
        <v/>
      </c>
      <c r="LO271" s="299" t="str">
        <f>IFERROR(__xludf.DUMMYFUNCTION("IF(REGEXMATCH(LD271, ""P""), ""P1"",IF(REGEXMATCH(LE271, ""P""), ""P2"",""""))"),"")</f>
        <v/>
      </c>
      <c r="LP271" s="299" t="str">
        <f>IFERROR(__xludf.DUMMYFUNCTION("IF(REGEXMATCH(LD271, ""d""), ""d1"",IF(REGEXMATCH(LE271, ""d""), ""d2"",""""))"),"")</f>
        <v/>
      </c>
      <c r="LQ271" s="299" t="str">
        <f>IFERROR(__xludf.DUMMYFUNCTION("IF(REGEXMATCH(LD271, ""D""), ""D1"",IF(REGEXMATCH(LE271, ""D""), ""D2"",""""))"),"")</f>
        <v/>
      </c>
      <c r="LR271" s="299" t="str">
        <f>IFERROR(__xludf.DUMMYFUNCTION("IF(REGEXMATCH(LD271, ""n""), ""n1"",IF(REGEXMATCH(LE271, ""n""), ""n2"",""""))"),"")</f>
        <v/>
      </c>
      <c r="LS271" s="299" t="str">
        <f>IFERROR(__xludf.DUMMYFUNCTION("IF(REGEXMATCH(LD271, ""N""), ""N1"",IF(REGEXMATCH(LE271, ""N""), ""N2"",""""))"),"")</f>
        <v/>
      </c>
      <c r="LT271" s="388" t="str">
        <f>IFERROR(__xludf.DUMMYFUNCTION("IF(REGEXMATCH(LD271, ""S""), ""S"",IF(REGEXMATCH(LE271, ""S""), ""S"",""""))"),"S")</f>
        <v>S</v>
      </c>
      <c r="LU271" s="389">
        <f t="shared" si="196"/>
        <v>1</v>
      </c>
      <c r="LV271" s="378"/>
      <c r="LW271" s="369"/>
      <c r="LX271" s="369"/>
    </row>
    <row r="272" ht="18.0" customHeight="1">
      <c r="A272" s="298" t="s">
        <v>1061</v>
      </c>
      <c r="B272" s="222" t="s">
        <v>524</v>
      </c>
      <c r="C272" s="233" t="str">
        <f t="shared" si="7"/>
        <v>SrgmPDnS</v>
      </c>
      <c r="D272" s="234" t="str">
        <f>IFERROR(__xludf.DUMMYFUNCTION("IF(REGEXMATCH(C272, ""S""), ""S"","""")"),"S")</f>
        <v>S</v>
      </c>
      <c r="E272" s="236" t="str">
        <f>IFERROR(__xludf.DUMMYFUNCTION("IF(REGEXMATCH(C272, ""r""), ""r"","""")"),"r")</f>
        <v>r</v>
      </c>
      <c r="F272" s="237" t="str">
        <f>IFERROR(__xludf.DUMMYFUNCTION("IF(REGEXMATCH(C272, ""R""), ""R"","""")"),"")</f>
        <v/>
      </c>
      <c r="G272" s="237" t="str">
        <f>IFERROR(__xludf.DUMMYFUNCTION("IF(REGEXMATCH(C272, ""g""), ""g"","""")"),"g")</f>
        <v>g</v>
      </c>
      <c r="H272" s="236" t="str">
        <f>IFERROR(__xludf.DUMMYFUNCTION("IF(REGEXMATCH(C272, ""G""), ""G"","""")"),"")</f>
        <v/>
      </c>
      <c r="I272" s="236" t="str">
        <f>IFERROR(__xludf.DUMMYFUNCTION("IF(REGEXMATCH(C272, ""m""), ""m"","""")"),"m")</f>
        <v>m</v>
      </c>
      <c r="J272" s="237" t="str">
        <f>IFERROR(__xludf.DUMMYFUNCTION("IF(REGEXMATCH(C272, ""M""), ""M"","""")"),"")</f>
        <v/>
      </c>
      <c r="K272" s="236" t="str">
        <f>IFERROR(__xludf.DUMMYFUNCTION("IF(REGEXMATCH(C272, ""P""), ""P"","""")"),"P")</f>
        <v>P</v>
      </c>
      <c r="L272" s="237" t="str">
        <f>IFERROR(__xludf.DUMMYFUNCTION("IF(REGEXMATCH(C272, ""d""), ""d"","""")"),"")</f>
        <v/>
      </c>
      <c r="M272" s="236" t="str">
        <f>IFERROR(__xludf.DUMMYFUNCTION("IF(REGEXMATCH(C272, ""D""), ""D"","""")"),"D")</f>
        <v>D</v>
      </c>
      <c r="N272" s="236" t="str">
        <f>IFERROR(__xludf.DUMMYFUNCTION("IF(REGEXMATCH(C272, ""n""), ""n"","""")"),"n")</f>
        <v>n</v>
      </c>
      <c r="O272" s="237" t="str">
        <f>IFERROR(__xludf.DUMMYFUNCTION("IF(REGEXMATCH(C272, ""N""), ""N"","""")"),"")</f>
        <v/>
      </c>
      <c r="P272" s="238" t="str">
        <f>IFERROR(__xludf.DUMMYFUNCTION("IF(REGEXMATCH(C272, ""S""), ""S"","""")"),"S")</f>
        <v>S</v>
      </c>
      <c r="Q272" s="239" t="str">
        <f>IFERROR(__xludf.DUMMYFUNCTION("SUBSTITUTE(CONCATENATE(JOIN(""-"",D272:J272)),""-"","""")"),"Srgm")</f>
        <v>Srgm</v>
      </c>
      <c r="R272" s="229" t="str">
        <f>IFERROR(__xludf.DUMMYFUNCTION("SUBSTITUTE(CONCATENATE(JOIN(""-"",K272:P272)),""-"","""")"),"PDnS")</f>
        <v>PDnS</v>
      </c>
      <c r="S272" s="282" t="str">
        <f t="shared" si="8"/>
        <v>S-R-G-M</v>
      </c>
      <c r="T272" s="282" t="str">
        <f t="shared" si="9"/>
        <v>P-D-N-S</v>
      </c>
      <c r="U272" s="237" t="str">
        <f>IFERROR(__xludf.DUMMYFUNCTION("SUBSTITUTE(JOIN(""-"",S272,T272),""--"",""-"")"),"S-R-G-M-P-D-N-S")</f>
        <v>S-R-G-M-P-D-N-S</v>
      </c>
      <c r="V272" s="309" t="str">
        <f t="shared" si="10"/>
        <v>rgmDn</v>
      </c>
      <c r="W272" s="244" t="str">
        <f>IFERROR(__xludf.DUMMYFUNCTION("IF(REGEXMATCH(C272, ""S""), ""0"","""")"),"0")</f>
        <v>0</v>
      </c>
      <c r="X272" s="245" t="str">
        <f>IFERROR(__xludf.DUMMYFUNCTION("IF(REGEXMATCH(C272, ""r""), ""1"","""")"),"1")</f>
        <v>1</v>
      </c>
      <c r="Y272" s="246" t="str">
        <f>IFERROR(__xludf.DUMMYFUNCTION("IF(REGEXMATCH(C272, ""R""), ""2"","""")"),"")</f>
        <v/>
      </c>
      <c r="Z272" s="246" t="str">
        <f>IFERROR(__xludf.DUMMYFUNCTION("IF(REGEXMATCH(C272, ""g""), ""3"","""")"),"3")</f>
        <v>3</v>
      </c>
      <c r="AA272" s="245" t="str">
        <f>IFERROR(__xludf.DUMMYFUNCTION("IF(REGEXMATCH(C272, ""G""), ""4"","""")"),"")</f>
        <v/>
      </c>
      <c r="AB272" s="245" t="str">
        <f>IFERROR(__xludf.DUMMYFUNCTION("IF(REGEXMATCH(C272, ""m""), ""5"","""")"),"5")</f>
        <v>5</v>
      </c>
      <c r="AC272" s="246" t="str">
        <f>IFERROR(__xludf.DUMMYFUNCTION("IF(REGEXMATCH(C272, ""M""), ""6"","""")"),"")</f>
        <v/>
      </c>
      <c r="AD272" s="245" t="str">
        <f>IFERROR(__xludf.DUMMYFUNCTION("IF(REGEXMATCH(C272, ""P""), ""7"","""")"),"7")</f>
        <v>7</v>
      </c>
      <c r="AE272" s="246" t="str">
        <f>IFERROR(__xludf.DUMMYFUNCTION("IF(REGEXMATCH(C272, ""d""), ""8"","""")"),"")</f>
        <v/>
      </c>
      <c r="AF272" s="245" t="str">
        <f>IFERROR(__xludf.DUMMYFUNCTION("IF(REGEXMATCH(C272, ""D""), ""9"","""")"),"9")</f>
        <v>9</v>
      </c>
      <c r="AG272" s="245" t="str">
        <f>IFERROR(__xludf.DUMMYFUNCTION("IF(REGEXMATCH(C272, ""n""), ""10"","""")"),"10")</f>
        <v>10</v>
      </c>
      <c r="AH272" s="246" t="str">
        <f>IFERROR(__xludf.DUMMYFUNCTION("IF(REGEXMATCH(C272, ""N""), ""11"","""")"),"")</f>
        <v/>
      </c>
      <c r="AI272" s="249" t="str">
        <f>IFERROR(__xludf.DUMMYFUNCTION("IF(REGEXMATCH(C272, ""S""), ""0"","""")"),"0")</f>
        <v>0</v>
      </c>
      <c r="AJ272" s="313" t="str">
        <f t="shared" si="11"/>
        <v>-</v>
      </c>
      <c r="AK272" s="313" t="str">
        <f t="shared" si="12"/>
        <v>T</v>
      </c>
      <c r="AL272" s="313" t="str">
        <f t="shared" si="13"/>
        <v>-</v>
      </c>
      <c r="AM272" s="313" t="str">
        <f t="shared" si="14"/>
        <v>T</v>
      </c>
      <c r="AN272" s="313" t="str">
        <f t="shared" si="15"/>
        <v>-</v>
      </c>
      <c r="AO272" s="314" t="str">
        <f t="shared" si="16"/>
        <v>-</v>
      </c>
      <c r="AP272" s="316">
        <f t="shared" si="17"/>
        <v>2</v>
      </c>
      <c r="AQ272" s="319" t="str">
        <f t="shared" si="18"/>
        <v>#REF!</v>
      </c>
      <c r="AR272" s="320">
        <f t="shared" si="19"/>
        <v>0</v>
      </c>
      <c r="AS272" s="250" t="str">
        <f>IFERROR(__xludf.DUMMYFUNCTION("SUBSTITUTE(SUBSTITUTE(CONCATENATE(JOIN("""",FP272:GA272)),""|"",""x""),""-"",""o"")"),"xxoxoxoxoxxo")</f>
        <v>xxoxoxoxoxxo</v>
      </c>
      <c r="AT272" s="323" t="str">
        <f>IFERROR(__xludf.DUMMYFUNCTION("JOIN("""",AS272,AS272)"),"xxoxoxoxoxxoxxoxoxoxoxxo")</f>
        <v>xxoxoxoxoxxoxxoxoxoxoxxo</v>
      </c>
      <c r="AU272" s="256" t="str">
        <f>IFERROR(__xludf.DUMMYFUNCTION("JOIN("""",ArrayFormula(MID(AS272,LEN(AS272)-SEQUENCE(1,LEN(AS272))+1,1)))"),"oxxoxoxoxoxx")</f>
        <v>oxxoxoxoxoxx</v>
      </c>
      <c r="AV272" s="256" t="str">
        <f>IFERROR(__xludf.DUMMYFUNCTION("LEFT(CONCATENATE(""x"",JOIN("""",ArrayFormula(MID(AS272,LEN(AS272)-SEQUENCE(1,LEN(AS272))+1,1)))),12)"),"xoxxoxoxoxox")</f>
        <v>xoxxoxoxoxox</v>
      </c>
      <c r="AW272" s="327" t="str">
        <f>IFERROR(__xludf.DUMMYFUNCTION("JOIN("""",AU272,AU272)"),"oxxoxoxoxoxxoxxoxoxoxoxx")</f>
        <v>oxxoxoxoxoxxoxxoxoxoxoxx</v>
      </c>
      <c r="AX272" s="239" t="str">
        <f>IFERROR(__xludf.DUMMYFUNCTION("IF(REGEXMATCH(AW272,AS272),""✔"",""-"")"),"✔")</f>
        <v>✔</v>
      </c>
      <c r="AY272" s="330" t="str">
        <f t="shared" si="20"/>
        <v>-</v>
      </c>
      <c r="AZ272" s="260" t="str">
        <f t="shared" si="21"/>
        <v>#REF!</v>
      </c>
      <c r="BA272" s="333" t="str">
        <f t="shared" si="22"/>
        <v>xxoxoxo</v>
      </c>
      <c r="BB272" s="334" t="str">
        <f t="shared" si="23"/>
        <v>xoxxox</v>
      </c>
      <c r="BC272" s="335" t="str">
        <f t="shared" si="236"/>
        <v>-</v>
      </c>
      <c r="BD272" s="336" t="str">
        <f t="shared" si="25"/>
        <v>Prabhateshwari: 'xxoxoxo' + 'xoxxox'</v>
      </c>
      <c r="BE272" s="337">
        <f>IFERROR(__xludf.DUMMYFUNCTION("COUNTUNIQUE(FILTER(AT:AT,REGEXMATCH(AT:AT,AS272)))-1"),4.0)</f>
        <v>4</v>
      </c>
      <c r="BF272" s="261" t="str">
        <f>IFERROR(__xludf.DUMMYFUNCTION("IF(BI272=0,""(n/a)"",IF(BJ272=2,""(PAIR)"",IF(REGEXMATCH(AT272,""xoxoxxoxoxox""),""Bilawal"",IF(REGEXMATCH(AT272,""xoxoxooxoxoo""),""Bhupali"",IF(REGEXMATCH(AT272,""xoxoxxoxxoxo""),""Charukeshi"",IF(REGEXMATCH(AT272,""xoxoooxxoxxo""),""Kameshwari"",IF(REG"&amp;"EXMATCH(AT272,""xoxoxooxoxox""),""Shankara"",IF(REGEXMATCH(AT272,""xxooxoxxxoox""),""Basant"",IF(REGEXMATCH(AT272,""xoxoxxxxoxox""),""Bihag"",IF(REGEXMATCH(AT272,""xoxxxxoxoxxx""),""Pilu"",IF(REGEXMATCH(AT272,""xoxxoxoxxoox""),""Kirwani"",IF(REGEXMATCH(AT"&amp;"272,""xoxxoxoxoxxx""),""Mk.Malhar"",IF(REGEXMATCH(AT272,""xxooxxoxxoox""),""Bhairav"",IF(REGEXMATCH(AT272,""xxoxooxxxoox""),""Todi"",IF(REGEXMATCH(AT272,""xxooxoxooxox""),""Marwa"",IF(REGEXMATCH(AT272,""xxoooxoxxooo""),""Gunkali"",IF(REGEXMATCH(AT272,""xo"&amp;"xoxxoxxoox""),""Nat Bhairav"",IF(REGEXMATCH(AT272,""xoxxoooxoxoo""),""Shivranjani"",IF(REGEXMATCH(AT272,""xooxxxoxooxo""),""Jog"",IF(REGEXMATCH(AT272,""xxooxoxoxoox""),""Hemshri"",IF(REGEXMATCH(AT272,""xoooxooxoxxo""),""Kalavati"",IF(REGEXMATCH(AT272,""xx"&amp;"oxoxxoxoox""),""Kedar"",IF(REGEXMATCH(AT272,""xoxxxxoxooxx""),""Gara"",IF(REGEXMATCH(AT272,""xooxoxooxoox""),""Chandrakauns"",IF(REGEXMATCH(AT272,""xoxxxxoxxxox""),""Mand"",IF(REGEXMATCH(AT272,""xoxxxxoxoxox""),""Hanskinkini"",IF(REGEXMATCH(AT272,""xxooxx"&amp;"oxooxo""),""Lilavati"",IF(REGEXMATCH(AT272,""xooxoxoooxox""),""Rajeshwari"",IF(REGEXMATCH(AT272,""xoooxxoxoxxx""),""Khokar"",IF(REGEXMATCH(AT272,""xxooxoxxxxox""),""Maligoura"",""-""))))))))))))))))))))))))))))))"),"Charukeshi")</f>
        <v>Charukeshi</v>
      </c>
      <c r="BG272" s="239" t="str">
        <f t="shared" si="26"/>
        <v>#REF!</v>
      </c>
      <c r="BH272" s="239">
        <f>IFERROR(__xludf.DUMMYFUNCTION("COUNTUNIQUE(FE272:FO272)-1"),6.0)</f>
        <v>6</v>
      </c>
      <c r="BI272" s="239">
        <f>IFERROR(__xludf.DUMMYFUNCTION("COUNTUNIQUE(FILTER(AT:AT,REGEXMATCH(AT:AT,AS272)))-1"),4.0)</f>
        <v>4</v>
      </c>
      <c r="BJ272" s="239">
        <f>IFERROR(__xludf.DUMMYFUNCTION("COUNTA(FILTER(AT:AT,REGEXMATCH(AT:AT,AS272)))"),8.0)</f>
        <v>8</v>
      </c>
      <c r="BK272" s="341">
        <f>IFERROR(__xludf.DUMMYFUNCTION("COUNTA(FILTER(AT:AT,REGEXMATCH(AT:AT,AS272)))-AR272"),8.0)</f>
        <v>8</v>
      </c>
      <c r="BL272" s="276" t="str">
        <f>IFERROR(__xludf.DUMMYFUNCTION("IF(AS272=""oooooooooooo"",""-"",IF(REGEXMATCH(AT272,""xx""), ""Hemi."", ""Anhemi.""))"),"Hemi.")</f>
        <v>Hemi.</v>
      </c>
      <c r="BM272" s="282" t="str">
        <f>IFERROR(__xludf.DUMMYFUNCTION("IF(AS272=""oooooooooooo"",""-"",IF(REGEXMATCH(AT272,""xxx""), ""Cohem."", ""-""))"),"-")</f>
        <v>-</v>
      </c>
      <c r="BN272" s="282" t="str">
        <f>IFERROR(__xludf.DUMMYFUNCTION("IF(AS272=""oooooooooooo"",""-"",IF(REGEXMATCH(AT272,""xxxx""), ""Co-Co."", ""-""))"),"-")</f>
        <v>-</v>
      </c>
      <c r="BO272" s="342" t="str">
        <f>IFERROR(__xludf.DUMMYFUNCTION("IF(AS272=""oooooooooooo"",""-"",IF(REGEXMATCH(AT272,""xxxxx""), ""CCC."", ""-""))"),"-")</f>
        <v>-</v>
      </c>
      <c r="BP272" s="344" t="str">
        <f t="shared" si="27"/>
        <v>-</v>
      </c>
      <c r="BQ272" s="282" t="str">
        <f>IFERROR(__xludf.DUMMYFUNCTION("IF(REGEXMATCH(JOIN(""-"",EU272:FD272),""TRUE""),""✔"",""-"")"),"-")</f>
        <v>-</v>
      </c>
      <c r="BR272" s="225">
        <f t="shared" si="28"/>
        <v>0</v>
      </c>
      <c r="BS272" s="345" t="str">
        <f>IFERROR(__xludf.DUMMYFUNCTION("SUBSTITUTE(SUBSTITUTE(SUBSTITUTE(SUBSTITUTE(CONCATENATE(JOIN(""-"",GC272:GO272)),""--"",""-""),""--"",""-""),""--"",""-""),""--"",""-"")"),"1-b2-b3-4-5-6-b7-8")</f>
        <v>1-b2-b3-4-5-6-b7-8</v>
      </c>
      <c r="BT272" s="299" t="str">
        <f>IFERROR(__xludf.DUMMYFUNCTION("SUBSTITUTE(SUBSTITUTE(SUBSTITUTE(SUBSTITUTE(CONCATENATE(JOIN(""-"",GP272:HB272)),""--"",""-""),""--"",""-""),""--"",""-""),""--"",""-"")"),"S-R1-G2-M1-P-D2-N2-S")</f>
        <v>S-R1-G2-M1-P-D2-N2-S</v>
      </c>
      <c r="BU272" s="348" t="str">
        <f t="shared" si="29"/>
        <v>C-Db-Eb-F-G-A-Bb-C</v>
      </c>
      <c r="BV272" s="349" t="str">
        <f t="shared" si="30"/>
        <v>SRGMdNS</v>
      </c>
      <c r="BW272" s="350">
        <f t="shared" si="31"/>
        <v>0</v>
      </c>
      <c r="BX272" s="351">
        <f t="shared" si="32"/>
        <v>3</v>
      </c>
      <c r="BY272" s="352" t="s">
        <v>275</v>
      </c>
      <c r="BZ272" s="309" t="str">
        <f>IFERROR(__xludf.DUMMYFUNCTION("IF(REGEXMATCH(C272, ""S""), ""x"",""x"")"),"x")</f>
        <v>x</v>
      </c>
      <c r="CA272" s="245" t="str">
        <f>IFERROR(__xludf.DUMMYFUNCTION("IF(REGEXMATCH(C272, ""r""), ""o"",""x"")"),"o")</f>
        <v>o</v>
      </c>
      <c r="CB272" s="246" t="str">
        <f>IFERROR(__xludf.DUMMYFUNCTION("IF(REGEXMATCH(C272, ""R""), ""o"",""x"")"),"x")</f>
        <v>x</v>
      </c>
      <c r="CC272" s="246" t="str">
        <f>IFERROR(__xludf.DUMMYFUNCTION("IF(REGEXMATCH(C272, ""g""), ""o"",""x"")"),"o")</f>
        <v>o</v>
      </c>
      <c r="CD272" s="245" t="str">
        <f>IFERROR(__xludf.DUMMYFUNCTION("IF(REGEXMATCH(C272, ""G""), ""o"",""x"")"),"x")</f>
        <v>x</v>
      </c>
      <c r="CE272" s="245" t="str">
        <f>IFERROR(__xludf.DUMMYFUNCTION("IF(REGEXMATCH(C272, ""m""), ""o"",""x"")"),"o")</f>
        <v>o</v>
      </c>
      <c r="CF272" s="246" t="str">
        <f>IFERROR(__xludf.DUMMYFUNCTION("IF(REGEXMATCH(C272, ""M""), ""o"",""x"")"),"x")</f>
        <v>x</v>
      </c>
      <c r="CG272" s="245" t="str">
        <f>IFERROR(__xludf.DUMMYFUNCTION("IF(REGEXMATCH(C272, ""P""), ""o"",""x"")"),"o")</f>
        <v>o</v>
      </c>
      <c r="CH272" s="246" t="str">
        <f>IFERROR(__xludf.DUMMYFUNCTION("IF(REGEXMATCH(C272, ""d""), ""o"",""x"")"),"x")</f>
        <v>x</v>
      </c>
      <c r="CI272" s="245" t="str">
        <f>IFERROR(__xludf.DUMMYFUNCTION("IF(REGEXMATCH(C272, ""D""), ""o"",""x"")"),"o")</f>
        <v>o</v>
      </c>
      <c r="CJ272" s="245" t="str">
        <f>IFERROR(__xludf.DUMMYFUNCTION("IF(REGEXMATCH(C272, ""n""), ""o"",""x"")"),"o")</f>
        <v>o</v>
      </c>
      <c r="CK272" s="245" t="str">
        <f>IFERROR(__xludf.DUMMYFUNCTION("IF(REGEXMATCH(C272, ""N""), ""o"",""x"")"),"x")</f>
        <v>x</v>
      </c>
      <c r="CL272" s="356" t="str">
        <f>IFERROR(__xludf.DUMMYFUNCTION("IF(REGEXMATCH(C272, ""S""), ""x"",""x"")"),"x")</f>
        <v>x</v>
      </c>
      <c r="CM272" s="357" t="str">
        <f t="shared" si="33"/>
        <v>xoxoxoxoxoox</v>
      </c>
      <c r="CN272" s="358">
        <f t="shared" si="34"/>
        <v>0</v>
      </c>
      <c r="CO272" s="246" t="str">
        <f>IFERROR(__xludf.DUMMYFUNCTION("IF(REGEXMATCH($C272, ""S""), ""S"",""S"")"),"S")</f>
        <v>S</v>
      </c>
      <c r="CP272" s="246" t="str">
        <f>IFERROR(__xludf.DUMMYFUNCTION("IF(REGEXMATCH($C272, ""r""), """",""r"")"),"")</f>
        <v/>
      </c>
      <c r="CQ272" s="246" t="str">
        <f>IFERROR(__xludf.DUMMYFUNCTION("IF(REGEXMATCH($C272, ""R""), """",""R"")"),"R")</f>
        <v>R</v>
      </c>
      <c r="CR272" s="246" t="str">
        <f>IFERROR(__xludf.DUMMYFUNCTION("IF(REGEXMATCH($C272, ""g""), """",""g"")"),"")</f>
        <v/>
      </c>
      <c r="CS272" s="246" t="str">
        <f>IFERROR(__xludf.DUMMYFUNCTION("IF(REGEXMATCH($C272, ""G""), """",""G"")"),"G")</f>
        <v>G</v>
      </c>
      <c r="CT272" s="246" t="str">
        <f>IFERROR(__xludf.DUMMYFUNCTION("IF(REGEXMATCH($C272, ""m""), """",""m"")"),"")</f>
        <v/>
      </c>
      <c r="CU272" s="246" t="str">
        <f>IFERROR(__xludf.DUMMYFUNCTION("IF(REGEXMATCH($C272, ""M""), """",""M"")"),"M")</f>
        <v>M</v>
      </c>
      <c r="CV272" s="246" t="str">
        <f>IFERROR(__xludf.DUMMYFUNCTION("IF(REGEXMATCH($C272, ""P""), """",""P"")"),"")</f>
        <v/>
      </c>
      <c r="CW272" s="246" t="str">
        <f>IFERROR(__xludf.DUMMYFUNCTION("IF(REGEXMATCH($C272, ""d""), """",""d"")"),"d")</f>
        <v>d</v>
      </c>
      <c r="CX272" s="246" t="str">
        <f>IFERROR(__xludf.DUMMYFUNCTION("IF(REGEXMATCH($C272, ""D""), """",""D"")"),"")</f>
        <v/>
      </c>
      <c r="CY272" s="246" t="str">
        <f>IFERROR(__xludf.DUMMYFUNCTION("IF(REGEXMATCH($C272, ""n""), """",""n"")"),"")</f>
        <v/>
      </c>
      <c r="CZ272" s="246" t="str">
        <f>IFERROR(__xludf.DUMMYFUNCTION("IF(REGEXMATCH($C272, ""N""), """",""N"")"),"N")</f>
        <v>N</v>
      </c>
      <c r="DA272" s="246" t="str">
        <f>IFERROR(__xludf.DUMMYFUNCTION("IF(REGEXMATCH($C272, ""S""), ""S"",""S"")"),"S")</f>
        <v>S</v>
      </c>
      <c r="DB272" s="362" t="str">
        <f>IFERROR(__xludf.DUMMYFUNCTION("JOIN("""",CO272:DA272,"""","""")"),"SRGMdNS")</f>
        <v>SRGMdNS</v>
      </c>
      <c r="DC272" s="363"/>
      <c r="DD272" s="301" t="str">
        <f t="shared" si="35"/>
        <v>#REF!</v>
      </c>
      <c r="DE272" s="302" t="str">
        <f t="shared" si="36"/>
        <v>#REF!</v>
      </c>
      <c r="DF272" s="301" t="str">
        <f t="shared" ref="DF272:DG272" si="767">SUBSTITUTE(S272,"-","")</f>
        <v>SRGM</v>
      </c>
      <c r="DG272" s="301" t="str">
        <f t="shared" si="767"/>
        <v>PDNS</v>
      </c>
      <c r="DH272" s="302" t="str">
        <f t="shared" si="38"/>
        <v>Charukeshi</v>
      </c>
      <c r="DI272" s="301" t="str">
        <f t="shared" si="39"/>
        <v>Hemi.</v>
      </c>
      <c r="DJ272" s="364" t="str">
        <f t="shared" si="40"/>
        <v>-</v>
      </c>
      <c r="DK272" s="306" t="str">
        <f t="shared" si="41"/>
        <v>-</v>
      </c>
      <c r="DL272" s="366" t="str">
        <f t="shared" si="42"/>
        <v>-</v>
      </c>
      <c r="DM272" s="308" t="str">
        <f t="shared" si="43"/>
        <v>✔</v>
      </c>
      <c r="DN272" s="306" t="str">
        <f t="shared" si="44"/>
        <v>-</v>
      </c>
      <c r="DO272" s="306" t="str">
        <f t="shared" si="45"/>
        <v>-</v>
      </c>
      <c r="DP272" s="367" t="str">
        <f t="shared" si="46"/>
        <v>-</v>
      </c>
      <c r="DQ272" s="310" t="str">
        <f t="shared" si="47"/>
        <v>-</v>
      </c>
      <c r="DR272" s="310" t="str">
        <f t="shared" si="48"/>
        <v>-</v>
      </c>
      <c r="DS272" s="310" t="str">
        <f t="shared" si="49"/>
        <v>-</v>
      </c>
      <c r="DT272" s="310" t="str">
        <f t="shared" si="50"/>
        <v>-</v>
      </c>
      <c r="DU272" s="370" t="str">
        <f t="shared" si="51"/>
        <v>-</v>
      </c>
      <c r="DV272" s="306" t="str">
        <f t="shared" si="52"/>
        <v>-</v>
      </c>
      <c r="DW272" s="306" t="str">
        <f t="shared" si="53"/>
        <v>-</v>
      </c>
      <c r="DX272" s="306" t="str">
        <f t="shared" si="54"/>
        <v>-</v>
      </c>
      <c r="DY272" s="306" t="str">
        <f t="shared" si="55"/>
        <v>-</v>
      </c>
      <c r="DZ272" s="306" t="str">
        <f t="shared" si="56"/>
        <v>-</v>
      </c>
      <c r="EA272" s="367" t="str">
        <f t="shared" si="57"/>
        <v>-</v>
      </c>
      <c r="EB272" s="310" t="str">
        <f>IFERROR(__xludf.DUMMYFUNCTION("IF(REGEXMATCH(AW272,AS272),""✔"",""-"")"),"✔")</f>
        <v>✔</v>
      </c>
      <c r="EC272" s="310" t="str">
        <f t="shared" si="58"/>
        <v>#REF!</v>
      </c>
      <c r="ED272" s="370" t="str">
        <f t="shared" si="59"/>
        <v>-</v>
      </c>
      <c r="EE272" s="340" t="str">
        <f t="shared" si="60"/>
        <v>S-r-g-m-P-D-n-S</v>
      </c>
      <c r="EF272" s="371" t="str">
        <f>IFERROR(__xludf.DUMMYFUNCTION("CONCATENATE(JOIN("""",HC272:HO272))"),"SRgmPDNS")</f>
        <v>SRgmPDNS</v>
      </c>
      <c r="EG272" s="372">
        <f t="shared" si="61"/>
        <v>3</v>
      </c>
      <c r="EH272" s="373" t="str">
        <f>IFERROR(__xludf.DUMMYFUNCTION("CONCATENATE(JOIN("""",JC272:JO272))"),"re, Pa, Dha, ")</f>
        <v>re, Pa, Dha, </v>
      </c>
      <c r="EI272" s="322">
        <f t="shared" si="62"/>
        <v>2</v>
      </c>
      <c r="EJ272" s="374" t="str">
        <f>IFERROR(__xludf.DUMMYFUNCTION("CONCATENATE(JOIN("""",KC272:KO272))"),"re, Dha, ")</f>
        <v>re, Dha, </v>
      </c>
      <c r="EK272" s="325" t="str">
        <f t="shared" si="63"/>
        <v>S-R1-G2-M1-P-D2-N2-S</v>
      </c>
      <c r="EL272" s="326" t="str">
        <f t="shared" si="64"/>
        <v>1-b2-b3-4-5-6-b7-8</v>
      </c>
      <c r="EM272" s="318" t="str">
        <f t="shared" si="65"/>
        <v>#REF!</v>
      </c>
      <c r="EN272" s="328" t="str">
        <f>IFERROR(__xludf.DUMMYFUNCTION("SUBSTITUTE(SUBSTITUTE(SUBSTITUTE(SUBSTITUTE(CONCATENATE(JOIN("" "",HP272:IB272)),""  "","" ""),""  "","" ""),""  "","" ""),""  "","" "")"),"o o • o • o • o • o o • o")</f>
        <v>o o • o • o • o • o o • o</v>
      </c>
      <c r="EO272" s="368" t="str">
        <f t="shared" si="66"/>
        <v>-</v>
      </c>
      <c r="EP272" s="339" t="str">
        <f t="shared" si="67"/>
        <v>-</v>
      </c>
      <c r="EQ272" s="339" t="str">
        <f t="shared" si="68"/>
        <v>Sa-Pa</v>
      </c>
      <c r="ER272" s="339" t="str">
        <f t="shared" si="69"/>
        <v>-</v>
      </c>
      <c r="ES272" s="340" t="str">
        <f t="shared" si="70"/>
        <v>-</v>
      </c>
      <c r="ET272" s="363"/>
      <c r="EU272" s="376" t="b">
        <f>IFERROR(__xludf.DUMMYFUNCTION("arrayformula(sum(--REGEXMATCH(""SRGMPDNS"",split(REGEXREPLACE(C272,""(.)"",""$1~""),""~""))))=len(C272)
"),FALSE)</f>
        <v>0</v>
      </c>
      <c r="EV272" s="290" t="b">
        <f>IFERROR(__xludf.DUMMYFUNCTION("arrayformula(sum(--REGEXMATCH(""SRGmPDNS"",split(REGEXREPLACE(C272,""(.)"",""$1~""),""~""))))=len(C272)"),FALSE)</f>
        <v>0</v>
      </c>
      <c r="EW272" s="290" t="b">
        <f>IFERROR(__xludf.DUMMYFUNCTION("arrayformula(sum(--REGEXMATCH(""SRGmPDnS"",split(REGEXREPLACE(C272,""(.)"",""$1~""),""~""))))=len(C272)"),FALSE)</f>
        <v>0</v>
      </c>
      <c r="EX272" s="290" t="b">
        <f>IFERROR(__xludf.DUMMYFUNCTION("arrayformula(sum(--REGEXMATCH(""SRgmPDnS"",split(REGEXREPLACE(C272,""(.)"",""$1~""),""~""))))=len(C272)"),FALSE)</f>
        <v>0</v>
      </c>
      <c r="EY272" s="290" t="b">
        <f>IFERROR(__xludf.DUMMYFUNCTION("arrayformula(sum(--REGEXMATCH(""SRgmPdnS"",split(REGEXREPLACE(C272,""(.)"",""$1~""),""~""))))=len(C272)"),FALSE)</f>
        <v>0</v>
      </c>
      <c r="EZ272" s="290" t="b">
        <f>IFERROR(__xludf.DUMMYFUNCTION("arrayformula(sum(--REGEXMATCH(""SrgmPdnS"",split(REGEXREPLACE(C272,""(.)"",""$1~""),""~""))))=len(C272)"),FALSE)</f>
        <v>0</v>
      </c>
      <c r="FA272" s="290" t="b">
        <f>IFERROR(__xludf.DUMMYFUNCTION("arrayformula(sum(--REGEXMATCH(""SrGmPdNS"",split(REGEXREPLACE(C272,""(.)"",""$1~""),""~""))))=len(C272)"),FALSE)</f>
        <v>0</v>
      </c>
      <c r="FB272" s="290" t="b">
        <f>IFERROR(__xludf.DUMMYFUNCTION("arrayformula(sum(--REGEXMATCH(""SrGMPDNS"",split(REGEXREPLACE(C272,""(.)"",""$1~""),""~""))))=len(C272)"),FALSE)</f>
        <v>0</v>
      </c>
      <c r="FC272" s="290" t="b">
        <f>IFERROR(__xludf.DUMMYFUNCTION("arrayformula(sum(--REGEXMATCH(""SrGMPdNS"",split(REGEXREPLACE(C272,""(.)"",""$1~""),""~""))))=len(C272)"),FALSE)</f>
        <v>0</v>
      </c>
      <c r="FD272" s="377" t="b">
        <f>IFERROR(__xludf.DUMMYFUNCTION("arrayformula(sum(--REGEXMATCH(""SrgMPdNS"",split(REGEXREPLACE(C272,""(.)"",""$1~""),""~""))))=len(C272)"),FALSE)</f>
        <v>0</v>
      </c>
      <c r="FE272" s="269" t="str">
        <f t="shared" si="71"/>
        <v>xoxoxoxoxxo</v>
      </c>
      <c r="FF272" s="269" t="str">
        <f t="shared" si="72"/>
        <v>-</v>
      </c>
      <c r="FG272" s="271" t="str">
        <f t="shared" si="73"/>
        <v>xoxoxoxxoxx</v>
      </c>
      <c r="FH272" s="269" t="str">
        <f t="shared" si="74"/>
        <v>-</v>
      </c>
      <c r="FI272" s="271" t="str">
        <f t="shared" si="75"/>
        <v>xoxoxxoxxox</v>
      </c>
      <c r="FJ272" s="271" t="str">
        <f t="shared" si="76"/>
        <v>-</v>
      </c>
      <c r="FK272" s="271" t="str">
        <f t="shared" si="77"/>
        <v>xoxxoxxoxox</v>
      </c>
      <c r="FL272" s="271" t="str">
        <f t="shared" si="78"/>
        <v>-</v>
      </c>
      <c r="FM272" s="271" t="str">
        <f t="shared" si="79"/>
        <v>xxoxxoxoxox</v>
      </c>
      <c r="FN272" s="271" t="str">
        <f t="shared" si="80"/>
        <v>xoxxoxoxoxo</v>
      </c>
      <c r="FO272" s="274" t="str">
        <f t="shared" si="81"/>
        <v>-</v>
      </c>
      <c r="FP272" s="234" t="str">
        <f t="shared" si="82"/>
        <v>|</v>
      </c>
      <c r="FQ272" s="236" t="str">
        <f t="shared" si="83"/>
        <v>|</v>
      </c>
      <c r="FR272" s="237" t="str">
        <f t="shared" si="84"/>
        <v>-</v>
      </c>
      <c r="FS272" s="236" t="str">
        <f t="shared" si="85"/>
        <v>|</v>
      </c>
      <c r="FT272" s="237" t="str">
        <f t="shared" si="86"/>
        <v>-</v>
      </c>
      <c r="FU272" s="236" t="str">
        <f t="shared" si="87"/>
        <v>|</v>
      </c>
      <c r="FV272" s="237" t="str">
        <f t="shared" si="88"/>
        <v>-</v>
      </c>
      <c r="FW272" s="236" t="str">
        <f t="shared" si="89"/>
        <v>|</v>
      </c>
      <c r="FX272" s="237" t="str">
        <f t="shared" si="90"/>
        <v>-</v>
      </c>
      <c r="FY272" s="236" t="str">
        <f t="shared" si="91"/>
        <v>|</v>
      </c>
      <c r="FZ272" s="237" t="str">
        <f t="shared" si="92"/>
        <v>|</v>
      </c>
      <c r="GA272" s="236" t="str">
        <f t="shared" si="93"/>
        <v>-</v>
      </c>
      <c r="GB272" s="238" t="str">
        <f t="shared" si="94"/>
        <v>|</v>
      </c>
      <c r="GC272" s="244" t="str">
        <f>IFERROR(__xludf.DUMMYFUNCTION("IF(REGEXMATCH(C272, ""S""), ""1"","""")"),"1")</f>
        <v>1</v>
      </c>
      <c r="GD272" s="245" t="str">
        <f>IFERROR(__xludf.DUMMYFUNCTION("IF(REGEXMATCH(C272, ""r""), ""b2"","""")"),"b2")</f>
        <v>b2</v>
      </c>
      <c r="GE272" s="246" t="str">
        <f>IFERROR(__xludf.DUMMYFUNCTION("IF(REGEXMATCH(C272, ""R""), ""2"","""")"),"")</f>
        <v/>
      </c>
      <c r="GF272" s="246" t="str">
        <f>IFERROR(__xludf.DUMMYFUNCTION("IF(REGEXMATCH(C272, ""g""), ""b3"","""")"),"b3")</f>
        <v>b3</v>
      </c>
      <c r="GG272" s="245" t="str">
        <f>IFERROR(__xludf.DUMMYFUNCTION("IF(REGEXMATCH(C272, ""G""), ""3"","""")"),"")</f>
        <v/>
      </c>
      <c r="GH272" s="245" t="str">
        <f>IFERROR(__xludf.DUMMYFUNCTION("IF(REGEXMATCH(C272, ""m""), ""4"","""")"),"4")</f>
        <v>4</v>
      </c>
      <c r="GI272" s="246" t="str">
        <f>IFERROR(__xludf.DUMMYFUNCTION("IF(REGEXMATCH(C272, ""M""), ""#4"","""")"),"")</f>
        <v/>
      </c>
      <c r="GJ272" s="245" t="str">
        <f>IFERROR(__xludf.DUMMYFUNCTION("IF(REGEXMATCH(C272, ""P""), ""5"","""")"),"5")</f>
        <v>5</v>
      </c>
      <c r="GK272" s="246" t="str">
        <f>IFERROR(__xludf.DUMMYFUNCTION("IF(REGEXMATCH(C272, ""d""), ""b6"","""")"),"")</f>
        <v/>
      </c>
      <c r="GL272" s="245" t="str">
        <f>IFERROR(__xludf.DUMMYFUNCTION("IF(REGEXMATCH(C272, ""D""), ""6"","""")"),"6")</f>
        <v>6</v>
      </c>
      <c r="GM272" s="245" t="str">
        <f>IFERROR(__xludf.DUMMYFUNCTION("IF(REGEXMATCH(C272, ""n""), ""b7"","""")"),"b7")</f>
        <v>b7</v>
      </c>
      <c r="GN272" s="246" t="str">
        <f>IFERROR(__xludf.DUMMYFUNCTION("IF(REGEXMATCH(C272, ""N""), ""7"","""")"),"")</f>
        <v/>
      </c>
      <c r="GO272" s="249" t="str">
        <f>IFERROR(__xludf.DUMMYFUNCTION("IF(REGEXMATCH(C272, ""S""), ""8"","""")"),"8")</f>
        <v>8</v>
      </c>
      <c r="GP272" s="244" t="str">
        <f>IFERROR(__xludf.DUMMYFUNCTION("IF(REGEXMATCH(C272, ""S""), ""S"","""")"),"S")</f>
        <v>S</v>
      </c>
      <c r="GQ272" s="294" t="str">
        <f>IFERROR(__xludf.DUMMYFUNCTION("IF(REGEXMATCH(C272, ""r""), ""R1"","""")"),"R1")</f>
        <v>R1</v>
      </c>
      <c r="GR272" s="295" t="str">
        <f>IFERROR(__xludf.DUMMYFUNCTION("IF(REGEXMATCH(C272, ""R""), ""R2"","""")"),"")</f>
        <v/>
      </c>
      <c r="GS272" s="295" t="str">
        <f>IFERROR(__xludf.DUMMYFUNCTION("IF(REGEXMATCH(C272, ""g""), ""G2"","""")"),"G2")</f>
        <v>G2</v>
      </c>
      <c r="GT272" s="294" t="str">
        <f>IFERROR(__xludf.DUMMYFUNCTION("IF(REGEXMATCH(C272, ""G""), ""G3"","""")"),"")</f>
        <v/>
      </c>
      <c r="GU272" s="294" t="str">
        <f>IFERROR(__xludf.DUMMYFUNCTION("IF(REGEXMATCH(C272, ""m""), ""M1"","""")"),"M1")</f>
        <v>M1</v>
      </c>
      <c r="GV272" s="295" t="str">
        <f>IFERROR(__xludf.DUMMYFUNCTION("IF(REGEXMATCH(C272, ""M""), ""M2"","""")"),"")</f>
        <v/>
      </c>
      <c r="GW272" s="294" t="str">
        <f>IFERROR(__xludf.DUMMYFUNCTION("IF(REGEXMATCH(C272, ""P""), ""P"","""")"),"P")</f>
        <v>P</v>
      </c>
      <c r="GX272" s="295" t="str">
        <f>IFERROR(__xludf.DUMMYFUNCTION("IF(REGEXMATCH(C272, ""d""), ""D1"","""")"),"")</f>
        <v/>
      </c>
      <c r="GY272" s="294" t="str">
        <f>IFERROR(__xludf.DUMMYFUNCTION("IF(REGEXMATCH(C272, ""D""), ""D2"","""")"),"D2")</f>
        <v>D2</v>
      </c>
      <c r="GZ272" s="294" t="str">
        <f>IFERROR(__xludf.DUMMYFUNCTION("IF(REGEXMATCH(C272, ""n""), ""N2"","""")"),"N2")</f>
        <v>N2</v>
      </c>
      <c r="HA272" s="295" t="str">
        <f>IFERROR(__xludf.DUMMYFUNCTION("IF(REGEXMATCH(C272, ""N""), ""N3"","""")"),"")</f>
        <v/>
      </c>
      <c r="HB272" s="249" t="str">
        <f>IFERROR(__xludf.DUMMYFUNCTION("IF(REGEXMATCH(C272, ""S""), ""S"","""")"),"S")</f>
        <v>S</v>
      </c>
      <c r="HC272" s="331" t="str">
        <f t="shared" si="95"/>
        <v>S</v>
      </c>
      <c r="HD272" s="332" t="str">
        <f t="shared" si="96"/>
        <v/>
      </c>
      <c r="HE272" s="332" t="str">
        <f t="shared" si="97"/>
        <v>R</v>
      </c>
      <c r="HF272" s="332" t="str">
        <f t="shared" si="98"/>
        <v>g</v>
      </c>
      <c r="HG272" s="332" t="str">
        <f t="shared" si="99"/>
        <v/>
      </c>
      <c r="HH272" s="332" t="str">
        <f t="shared" si="100"/>
        <v>m</v>
      </c>
      <c r="HI272" s="332" t="str">
        <f t="shared" si="101"/>
        <v/>
      </c>
      <c r="HJ272" s="332" t="str">
        <f t="shared" si="102"/>
        <v>P</v>
      </c>
      <c r="HK272" s="332" t="str">
        <f t="shared" si="103"/>
        <v/>
      </c>
      <c r="HL272" s="332" t="str">
        <f t="shared" si="104"/>
        <v>D</v>
      </c>
      <c r="HM272" s="332" t="str">
        <f t="shared" si="105"/>
        <v/>
      </c>
      <c r="HN272" s="332" t="str">
        <f t="shared" si="106"/>
        <v>N</v>
      </c>
      <c r="HO272" s="343" t="str">
        <f t="shared" si="107"/>
        <v>S</v>
      </c>
      <c r="HP272" s="331" t="str">
        <f t="shared" si="108"/>
        <v>o</v>
      </c>
      <c r="HQ272" s="332" t="str">
        <f t="shared" si="109"/>
        <v>o</v>
      </c>
      <c r="HR272" s="332" t="str">
        <f t="shared" si="110"/>
        <v>•</v>
      </c>
      <c r="HS272" s="332" t="str">
        <f t="shared" si="111"/>
        <v>o</v>
      </c>
      <c r="HT272" s="332" t="str">
        <f t="shared" si="112"/>
        <v>•</v>
      </c>
      <c r="HU272" s="332" t="str">
        <f t="shared" si="113"/>
        <v>o</v>
      </c>
      <c r="HV272" s="332" t="str">
        <f t="shared" si="114"/>
        <v>•</v>
      </c>
      <c r="HW272" s="332" t="str">
        <f t="shared" si="115"/>
        <v>o</v>
      </c>
      <c r="HX272" s="332" t="str">
        <f t="shared" si="116"/>
        <v>•</v>
      </c>
      <c r="HY272" s="332" t="str">
        <f t="shared" si="117"/>
        <v>o</v>
      </c>
      <c r="HZ272" s="332" t="str">
        <f t="shared" si="118"/>
        <v>o</v>
      </c>
      <c r="IA272" s="332" t="str">
        <f t="shared" si="119"/>
        <v>•</v>
      </c>
      <c r="IB272" s="338" t="str">
        <f t="shared" si="120"/>
        <v>o</v>
      </c>
      <c r="IC272" s="331" t="str">
        <f t="shared" si="121"/>
        <v>•</v>
      </c>
      <c r="ID272" s="332" t="str">
        <f t="shared" si="122"/>
        <v>•</v>
      </c>
      <c r="IE272" s="332" t="str">
        <f t="shared" si="123"/>
        <v>o</v>
      </c>
      <c r="IF272" s="332" t="str">
        <f t="shared" si="124"/>
        <v>•</v>
      </c>
      <c r="IG272" s="332" t="str">
        <f t="shared" si="125"/>
        <v>o</v>
      </c>
      <c r="IH272" s="332" t="str">
        <f t="shared" si="126"/>
        <v>•</v>
      </c>
      <c r="II272" s="332" t="str">
        <f t="shared" si="127"/>
        <v>o</v>
      </c>
      <c r="IJ272" s="332" t="str">
        <f t="shared" si="128"/>
        <v>•</v>
      </c>
      <c r="IK272" s="332" t="str">
        <f t="shared" si="129"/>
        <v>o</v>
      </c>
      <c r="IL272" s="332" t="str">
        <f t="shared" si="130"/>
        <v>•</v>
      </c>
      <c r="IM272" s="332" t="str">
        <f t="shared" si="131"/>
        <v>•</v>
      </c>
      <c r="IN272" s="332" t="str">
        <f t="shared" si="132"/>
        <v>o</v>
      </c>
      <c r="IO272" s="338" t="str">
        <f t="shared" si="133"/>
        <v>•</v>
      </c>
      <c r="IP272" s="346" t="b">
        <f t="shared" si="134"/>
        <v>0</v>
      </c>
      <c r="IQ272" s="347" t="b">
        <f t="shared" si="135"/>
        <v>1</v>
      </c>
      <c r="IR272" s="347" t="b">
        <f t="shared" si="136"/>
        <v>0</v>
      </c>
      <c r="IS272" s="347" t="b">
        <f t="shared" si="137"/>
        <v>0</v>
      </c>
      <c r="IT272" s="347" t="b">
        <f t="shared" si="138"/>
        <v>0</v>
      </c>
      <c r="IU272" s="347" t="b">
        <f t="shared" si="139"/>
        <v>0</v>
      </c>
      <c r="IV272" s="347" t="b">
        <f t="shared" si="140"/>
        <v>0</v>
      </c>
      <c r="IW272" s="347" t="b">
        <f t="shared" si="141"/>
        <v>1</v>
      </c>
      <c r="IX272" s="347" t="b">
        <f t="shared" si="142"/>
        <v>0</v>
      </c>
      <c r="IY272" s="347" t="b">
        <f t="shared" si="143"/>
        <v>1</v>
      </c>
      <c r="IZ272" s="347" t="b">
        <f t="shared" si="144"/>
        <v>0</v>
      </c>
      <c r="JA272" s="347" t="b">
        <f t="shared" si="145"/>
        <v>0</v>
      </c>
      <c r="JB272" s="353" t="b">
        <f t="shared" si="146"/>
        <v>0</v>
      </c>
      <c r="JC272" s="354" t="str">
        <f t="shared" si="147"/>
        <v/>
      </c>
      <c r="JD272" s="355" t="str">
        <f t="shared" si="148"/>
        <v>re, </v>
      </c>
      <c r="JE272" s="355" t="str">
        <f t="shared" si="149"/>
        <v/>
      </c>
      <c r="JF272" s="355" t="str">
        <f t="shared" si="150"/>
        <v/>
      </c>
      <c r="JG272" s="355" t="str">
        <f t="shared" si="151"/>
        <v/>
      </c>
      <c r="JH272" s="355" t="str">
        <f t="shared" si="152"/>
        <v/>
      </c>
      <c r="JI272" s="355" t="str">
        <f t="shared" si="153"/>
        <v/>
      </c>
      <c r="JJ272" s="355" t="str">
        <f t="shared" si="154"/>
        <v>Pa, </v>
      </c>
      <c r="JK272" s="355" t="str">
        <f t="shared" si="155"/>
        <v/>
      </c>
      <c r="JL272" s="355" t="str">
        <f t="shared" si="156"/>
        <v>Dha, </v>
      </c>
      <c r="JM272" s="355" t="str">
        <f t="shared" si="157"/>
        <v/>
      </c>
      <c r="JN272" s="355" t="str">
        <f t="shared" si="158"/>
        <v/>
      </c>
      <c r="JO272" s="359" t="str">
        <f t="shared" si="159"/>
        <v/>
      </c>
      <c r="JP272" s="346" t="b">
        <f t="shared" si="160"/>
        <v>0</v>
      </c>
      <c r="JQ272" s="347" t="b">
        <f t="shared" si="161"/>
        <v>1</v>
      </c>
      <c r="JR272" s="347" t="b">
        <f t="shared" si="162"/>
        <v>0</v>
      </c>
      <c r="JS272" s="347" t="b">
        <f t="shared" si="163"/>
        <v>0</v>
      </c>
      <c r="JT272" s="347" t="b">
        <f t="shared" si="164"/>
        <v>0</v>
      </c>
      <c r="JU272" s="347" t="b">
        <f t="shared" si="165"/>
        <v>0</v>
      </c>
      <c r="JV272" s="347" t="b">
        <f t="shared" si="166"/>
        <v>0</v>
      </c>
      <c r="JW272" s="347" t="b">
        <f t="shared" si="167"/>
        <v>0</v>
      </c>
      <c r="JX272" s="347" t="b">
        <f t="shared" si="168"/>
        <v>0</v>
      </c>
      <c r="JY272" s="347" t="b">
        <f t="shared" si="169"/>
        <v>1</v>
      </c>
      <c r="JZ272" s="347" t="b">
        <f t="shared" si="170"/>
        <v>0</v>
      </c>
      <c r="KA272" s="347" t="b">
        <f t="shared" si="171"/>
        <v>0</v>
      </c>
      <c r="KB272" s="365" t="b">
        <f t="shared" si="172"/>
        <v>0</v>
      </c>
      <c r="KC272" s="354" t="str">
        <f t="shared" si="173"/>
        <v/>
      </c>
      <c r="KD272" s="355" t="str">
        <f t="shared" si="174"/>
        <v>re, </v>
      </c>
      <c r="KE272" s="355" t="str">
        <f t="shared" si="175"/>
        <v/>
      </c>
      <c r="KF272" s="355" t="str">
        <f t="shared" si="176"/>
        <v/>
      </c>
      <c r="KG272" s="355" t="str">
        <f t="shared" si="177"/>
        <v/>
      </c>
      <c r="KH272" s="355" t="str">
        <f t="shared" si="178"/>
        <v/>
      </c>
      <c r="KI272" s="355" t="str">
        <f t="shared" si="179"/>
        <v/>
      </c>
      <c r="KJ272" s="355" t="str">
        <f t="shared" si="180"/>
        <v/>
      </c>
      <c r="KK272" s="355" t="str">
        <f t="shared" si="181"/>
        <v/>
      </c>
      <c r="KL272" s="355" t="str">
        <f t="shared" si="182"/>
        <v>Dha, </v>
      </c>
      <c r="KM272" s="355" t="str">
        <f t="shared" si="183"/>
        <v/>
      </c>
      <c r="KN272" s="355" t="str">
        <f t="shared" si="184"/>
        <v/>
      </c>
      <c r="KO272" s="359"/>
      <c r="KP272" s="378"/>
      <c r="KQ272" s="379" t="s">
        <v>676</v>
      </c>
      <c r="KR272" s="380" t="s">
        <v>1062</v>
      </c>
      <c r="KS272" s="381" t="str">
        <f>KQ272</f>
        <v>S-r-g-m-D-n-S</v>
      </c>
      <c r="KT272" s="382">
        <f t="shared" si="186"/>
        <v>6</v>
      </c>
      <c r="KU272" s="383">
        <f t="shared" si="187"/>
        <v>6</v>
      </c>
      <c r="KV272" s="381" t="str">
        <f t="shared" si="205"/>
        <v>S-n-D-P-m-g-r-S</v>
      </c>
      <c r="KW272" s="382">
        <f t="shared" si="189"/>
        <v>7</v>
      </c>
      <c r="KX272" s="384">
        <f t="shared" si="190"/>
        <v>7</v>
      </c>
      <c r="KY272" s="382">
        <f t="shared" ref="KY272:KZ272" si="768">KW272-KT272</f>
        <v>1</v>
      </c>
      <c r="KZ272" s="369">
        <f t="shared" si="768"/>
        <v>1</v>
      </c>
      <c r="LA272" s="385" t="str">
        <f t="shared" si="192"/>
        <v>-</v>
      </c>
      <c r="LB272" s="340" t="str">
        <f>IFERROR(__xludf.DUMMYFUNCTION("JOIN("""",ArrayFormula(MID(KS272,LEN(KS272)-SEQUENCE(1,LEN(KS272))+1,1)))"),"S-n-D-m-g-r-S")</f>
        <v>S-n-D-m-g-r-S</v>
      </c>
      <c r="LC272" s="373" t="str">
        <f>IFERROR(__xludf.DUMMYFUNCTION("JOIN("""",ArrayFormula(MID(KV272,LEN(KV272)-SEQUENCE(1,LEN(KV272))+1,1)))"),"S-r-g-m-P-D-n-S")</f>
        <v>S-r-g-m-P-D-n-S</v>
      </c>
      <c r="LD272" s="373" t="str">
        <f t="shared" si="193"/>
        <v>SrgmDnS</v>
      </c>
      <c r="LE272" s="339" t="str">
        <f t="shared" si="194"/>
        <v>SrgmPDnS</v>
      </c>
      <c r="LF272" s="386" t="str">
        <f>IFERROR(__xludf.DUMMYFUNCTION("SUBSTITUTE(SUBSTITUTE(CONCATENATE(JOIN("""",LH272:LT272)),""1"",""""),""2"","""")"),"SrgmPDnS")</f>
        <v>SrgmPDnS</v>
      </c>
      <c r="LG272" s="369" t="str">
        <f t="shared" si="195"/>
        <v>✔</v>
      </c>
      <c r="LH272" s="387" t="str">
        <f>IFERROR(__xludf.DUMMYFUNCTION("IF(REGEXMATCH(LD272, ""S""), ""S"",IF(REGEXMATCH(LE272, ""S""), ""S"",""""))"),"S")</f>
        <v>S</v>
      </c>
      <c r="LI272" s="299" t="str">
        <f>IFERROR(__xludf.DUMMYFUNCTION("IF(REGEXMATCH(LD272, ""r""), ""r1"",IF(REGEXMATCH(LE272, ""r""), ""r2"",""""))"),"r1")</f>
        <v>r1</v>
      </c>
      <c r="LJ272" s="299" t="str">
        <f>IFERROR(__xludf.DUMMYFUNCTION("IF(REGEXMATCH(LD272, ""R""), ""R1"",IF(REGEXMATCH(LE272, ""R""), ""R2"",""""))"),"")</f>
        <v/>
      </c>
      <c r="LK272" s="299" t="str">
        <f>IFERROR(__xludf.DUMMYFUNCTION("IF(REGEXMATCH(LD272, ""g""), ""g1"",IF(REGEXMATCH(LE272, ""g""), ""g2"",""""))"),"g1")</f>
        <v>g1</v>
      </c>
      <c r="LL272" s="299" t="str">
        <f>IFERROR(__xludf.DUMMYFUNCTION("IF(REGEXMATCH(LD272, ""G""), ""G1"",IF(REGEXMATCH(LE272, ""G""), ""G2"",""""))"),"")</f>
        <v/>
      </c>
      <c r="LM272" s="299" t="str">
        <f>IFERROR(__xludf.DUMMYFUNCTION("IF(REGEXMATCH(LD272, ""m""), ""m1"",IF(REGEXMATCH(LE272, ""m""), ""m2"",""""))"),"m1")</f>
        <v>m1</v>
      </c>
      <c r="LN272" s="299" t="str">
        <f>IFERROR(__xludf.DUMMYFUNCTION("IF(REGEXMATCH(LD272, ""M""), ""M1"",IF(REGEXMATCH(LE272, ""M""), ""M2"",""""))"),"")</f>
        <v/>
      </c>
      <c r="LO272" s="299" t="str">
        <f>IFERROR(__xludf.DUMMYFUNCTION("IF(REGEXMATCH(LD272, ""P""), ""P1"",IF(REGEXMATCH(LE272, ""P""), ""P2"",""""))"),"P2")</f>
        <v>P2</v>
      </c>
      <c r="LP272" s="299" t="str">
        <f>IFERROR(__xludf.DUMMYFUNCTION("IF(REGEXMATCH(LD272, ""d""), ""d1"",IF(REGEXMATCH(LE272, ""d""), ""d2"",""""))"),"")</f>
        <v/>
      </c>
      <c r="LQ272" s="299" t="str">
        <f>IFERROR(__xludf.DUMMYFUNCTION("IF(REGEXMATCH(LD272, ""D""), ""D1"",IF(REGEXMATCH(LE272, ""D""), ""D2"",""""))"),"D1")</f>
        <v>D1</v>
      </c>
      <c r="LR272" s="299" t="str">
        <f>IFERROR(__xludf.DUMMYFUNCTION("IF(REGEXMATCH(LD272, ""n""), ""n1"",IF(REGEXMATCH(LE272, ""n""), ""n2"",""""))"),"n1")</f>
        <v>n1</v>
      </c>
      <c r="LS272" s="299" t="str">
        <f>IFERROR(__xludf.DUMMYFUNCTION("IF(REGEXMATCH(LD272, ""N""), ""N1"",IF(REGEXMATCH(LE272, ""N""), ""N2"",""""))"),"")</f>
        <v/>
      </c>
      <c r="LT272" s="388" t="str">
        <f>IFERROR(__xludf.DUMMYFUNCTION("IF(REGEXMATCH(LD272, ""S""), ""S"",IF(REGEXMATCH(LE272, ""S""), ""S"",""""))"),"S")</f>
        <v>S</v>
      </c>
      <c r="LU272" s="389">
        <f t="shared" si="196"/>
        <v>-1</v>
      </c>
      <c r="LV272" s="378"/>
      <c r="LW272" s="369"/>
      <c r="LX272" s="369"/>
    </row>
    <row r="273" ht="18.0" customHeight="1">
      <c r="A273" s="298" t="s">
        <v>1064</v>
      </c>
      <c r="B273" s="222" t="s">
        <v>912</v>
      </c>
      <c r="C273" s="233" t="str">
        <f t="shared" si="7"/>
        <v>SrGmMPdDNS</v>
      </c>
      <c r="D273" s="234" t="str">
        <f>IFERROR(__xludf.DUMMYFUNCTION("IF(REGEXMATCH(C273, ""S""), ""S"","""")"),"S")</f>
        <v>S</v>
      </c>
      <c r="E273" s="236" t="str">
        <f>IFERROR(__xludf.DUMMYFUNCTION("IF(REGEXMATCH(C273, ""r""), ""r"","""")"),"r")</f>
        <v>r</v>
      </c>
      <c r="F273" s="237" t="str">
        <f>IFERROR(__xludf.DUMMYFUNCTION("IF(REGEXMATCH(C273, ""R""), ""R"","""")"),"")</f>
        <v/>
      </c>
      <c r="G273" s="237" t="str">
        <f>IFERROR(__xludf.DUMMYFUNCTION("IF(REGEXMATCH(C273, ""g""), ""g"","""")"),"")</f>
        <v/>
      </c>
      <c r="H273" s="236" t="str">
        <f>IFERROR(__xludf.DUMMYFUNCTION("IF(REGEXMATCH(C273, ""G""), ""G"","""")"),"G")</f>
        <v>G</v>
      </c>
      <c r="I273" s="236" t="str">
        <f>IFERROR(__xludf.DUMMYFUNCTION("IF(REGEXMATCH(C273, ""m""), ""m"","""")"),"m")</f>
        <v>m</v>
      </c>
      <c r="J273" s="237" t="str">
        <f>IFERROR(__xludf.DUMMYFUNCTION("IF(REGEXMATCH(C273, ""M""), ""M"","""")"),"M")</f>
        <v>M</v>
      </c>
      <c r="K273" s="236" t="str">
        <f>IFERROR(__xludf.DUMMYFUNCTION("IF(REGEXMATCH(C273, ""P""), ""P"","""")"),"P")</f>
        <v>P</v>
      </c>
      <c r="L273" s="237" t="str">
        <f>IFERROR(__xludf.DUMMYFUNCTION("IF(REGEXMATCH(C273, ""d""), ""d"","""")"),"d")</f>
        <v>d</v>
      </c>
      <c r="M273" s="236" t="str">
        <f>IFERROR(__xludf.DUMMYFUNCTION("IF(REGEXMATCH(C273, ""D""), ""D"","""")"),"D")</f>
        <v>D</v>
      </c>
      <c r="N273" s="236" t="str">
        <f>IFERROR(__xludf.DUMMYFUNCTION("IF(REGEXMATCH(C273, ""n""), ""n"","""")"),"")</f>
        <v/>
      </c>
      <c r="O273" s="237" t="str">
        <f>IFERROR(__xludf.DUMMYFUNCTION("IF(REGEXMATCH(C273, ""N""), ""N"","""")"),"N")</f>
        <v>N</v>
      </c>
      <c r="P273" s="238" t="str">
        <f>IFERROR(__xludf.DUMMYFUNCTION("IF(REGEXMATCH(C273, ""S""), ""S"","""")"),"S")</f>
        <v>S</v>
      </c>
      <c r="Q273" s="239" t="str">
        <f>IFERROR(__xludf.DUMMYFUNCTION("SUBSTITUTE(CONCATENATE(JOIN(""-"",D273:J273)),""-"","""")"),"SrGmM")</f>
        <v>SrGmM</v>
      </c>
      <c r="R273" s="229" t="str">
        <f>IFERROR(__xludf.DUMMYFUNCTION("SUBSTITUTE(CONCATENATE(JOIN(""-"",K273:P273)),""-"","""")"),"PdDNS")</f>
        <v>PdDNS</v>
      </c>
      <c r="S273" s="282" t="str">
        <f t="shared" si="8"/>
        <v>S-R-G-M</v>
      </c>
      <c r="T273" s="282" t="str">
        <f t="shared" si="9"/>
        <v>P-D-N-S</v>
      </c>
      <c r="U273" s="237" t="str">
        <f>IFERROR(__xludf.DUMMYFUNCTION("SUBSTITUTE(JOIN(""-"",S273,T273),""--"",""-"")"),"S-R-G-M-P-D-N-S")</f>
        <v>S-R-G-M-P-D-N-S</v>
      </c>
      <c r="V273" s="309" t="str">
        <f t="shared" si="10"/>
        <v>rGmMdDN</v>
      </c>
      <c r="W273" s="244" t="str">
        <f>IFERROR(__xludf.DUMMYFUNCTION("IF(REGEXMATCH(C273, ""S""), ""0"","""")"),"0")</f>
        <v>0</v>
      </c>
      <c r="X273" s="245" t="str">
        <f>IFERROR(__xludf.DUMMYFUNCTION("IF(REGEXMATCH(C273, ""r""), ""1"","""")"),"1")</f>
        <v>1</v>
      </c>
      <c r="Y273" s="246" t="str">
        <f>IFERROR(__xludf.DUMMYFUNCTION("IF(REGEXMATCH(C273, ""R""), ""2"","""")"),"")</f>
        <v/>
      </c>
      <c r="Z273" s="246" t="str">
        <f>IFERROR(__xludf.DUMMYFUNCTION("IF(REGEXMATCH(C273, ""g""), ""3"","""")"),"")</f>
        <v/>
      </c>
      <c r="AA273" s="245" t="str">
        <f>IFERROR(__xludf.DUMMYFUNCTION("IF(REGEXMATCH(C273, ""G""), ""4"","""")"),"4")</f>
        <v>4</v>
      </c>
      <c r="AB273" s="245" t="str">
        <f>IFERROR(__xludf.DUMMYFUNCTION("IF(REGEXMATCH(C273, ""m""), ""5"","""")"),"5")</f>
        <v>5</v>
      </c>
      <c r="AC273" s="246" t="str">
        <f>IFERROR(__xludf.DUMMYFUNCTION("IF(REGEXMATCH(C273, ""M""), ""6"","""")"),"6")</f>
        <v>6</v>
      </c>
      <c r="AD273" s="245" t="str">
        <f>IFERROR(__xludf.DUMMYFUNCTION("IF(REGEXMATCH(C273, ""P""), ""7"","""")"),"7")</f>
        <v>7</v>
      </c>
      <c r="AE273" s="246" t="str">
        <f>IFERROR(__xludf.DUMMYFUNCTION("IF(REGEXMATCH(C273, ""d""), ""8"","""")"),"8")</f>
        <v>8</v>
      </c>
      <c r="AF273" s="245" t="str">
        <f>IFERROR(__xludf.DUMMYFUNCTION("IF(REGEXMATCH(C273, ""D""), ""9"","""")"),"9")</f>
        <v>9</v>
      </c>
      <c r="AG273" s="245" t="str">
        <f>IFERROR(__xludf.DUMMYFUNCTION("IF(REGEXMATCH(C273, ""n""), ""10"","""")"),"")</f>
        <v/>
      </c>
      <c r="AH273" s="246" t="str">
        <f>IFERROR(__xludf.DUMMYFUNCTION("IF(REGEXMATCH(C273, ""N""), ""11"","""")"),"11")</f>
        <v>11</v>
      </c>
      <c r="AI273" s="249" t="str">
        <f>IFERROR(__xludf.DUMMYFUNCTION("IF(REGEXMATCH(C273, ""S""), ""0"","""")"),"0")</f>
        <v>0</v>
      </c>
      <c r="AJ273" s="313" t="str">
        <f t="shared" si="11"/>
        <v>T</v>
      </c>
      <c r="AK273" s="313" t="str">
        <f t="shared" si="12"/>
        <v>T</v>
      </c>
      <c r="AL273" s="313" t="str">
        <f t="shared" si="13"/>
        <v>-</v>
      </c>
      <c r="AM273" s="313" t="str">
        <f t="shared" si="14"/>
        <v>-</v>
      </c>
      <c r="AN273" s="313" t="str">
        <f t="shared" si="15"/>
        <v>-</v>
      </c>
      <c r="AO273" s="314" t="str">
        <f t="shared" si="16"/>
        <v>T</v>
      </c>
      <c r="AP273" s="316">
        <f t="shared" si="17"/>
        <v>3</v>
      </c>
      <c r="AQ273" s="319" t="str">
        <f t="shared" si="18"/>
        <v>-</v>
      </c>
      <c r="AR273" s="320">
        <f t="shared" si="19"/>
        <v>0</v>
      </c>
      <c r="AS273" s="250" t="str">
        <f>IFERROR(__xludf.DUMMYFUNCTION("SUBSTITUTE(SUBSTITUTE(CONCATENATE(JOIN("""",FP273:GA273)),""|"",""x""),""-"",""o"")"),"xxooxxxxxxox")</f>
        <v>xxooxxxxxxox</v>
      </c>
      <c r="AT273" s="323" t="str">
        <f>IFERROR(__xludf.DUMMYFUNCTION("JOIN("""",AS273,AS273)"),"xxooxxxxxxoxxxooxxxxxxox")</f>
        <v>xxooxxxxxxoxxxooxxxxxxox</v>
      </c>
      <c r="AU273" s="256" t="str">
        <f>IFERROR(__xludf.DUMMYFUNCTION("JOIN("""",ArrayFormula(MID(AS273,LEN(AS273)-SEQUENCE(1,LEN(AS273))+1,1)))"),"xoxxxxxxooxx")</f>
        <v>xoxxxxxxooxx</v>
      </c>
      <c r="AV273" s="256" t="str">
        <f>IFERROR(__xludf.DUMMYFUNCTION("LEFT(CONCATENATE(""x"",JOIN("""",ArrayFormula(MID(AS273,LEN(AS273)-SEQUENCE(1,LEN(AS273))+1,1)))),12)"),"xxoxxxxxxoox")</f>
        <v>xxoxxxxxxoox</v>
      </c>
      <c r="AW273" s="327" t="str">
        <f>IFERROR(__xludf.DUMMYFUNCTION("JOIN("""",AU273,AU273)"),"xoxxxxxxooxxxoxxxxxxooxx")</f>
        <v>xoxxxxxxooxxxoxxxxxxooxx</v>
      </c>
      <c r="AX273" s="239" t="str">
        <f>IFERROR(__xludf.DUMMYFUNCTION("IF(REGEXMATCH(AW273,AS273),""✔"",""-"")"),"-")</f>
        <v>-</v>
      </c>
      <c r="AY273" s="330" t="str">
        <f t="shared" si="20"/>
        <v>-</v>
      </c>
      <c r="AZ273" s="260" t="str">
        <f t="shared" si="21"/>
        <v>#REF!</v>
      </c>
      <c r="BA273" s="333" t="str">
        <f t="shared" si="22"/>
        <v>xxooxxx</v>
      </c>
      <c r="BB273" s="334" t="str">
        <f t="shared" si="23"/>
        <v>xxxoxx</v>
      </c>
      <c r="BC273" s="335" t="str">
        <f t="shared" si="236"/>
        <v>-</v>
      </c>
      <c r="BD273" s="336" t="str">
        <f t="shared" si="25"/>
        <v>Purba: 'xxooxxx' + 'xxxoxx'</v>
      </c>
      <c r="BE273" s="337">
        <f>IFERROR(__xludf.DUMMYFUNCTION("COUNTUNIQUE(FILTER(AT:AT,REGEXMATCH(AT:AT,AS273)))-1"),0.0)</f>
        <v>0</v>
      </c>
      <c r="BF273" s="261" t="str">
        <f>IFERROR(__xludf.DUMMYFUNCTION("IF(BI273=0,""(n/a)"",IF(BJ273=2,""(PAIR)"",IF(REGEXMATCH(AT273,""xoxoxxoxoxox""),""Bilawal"",IF(REGEXMATCH(AT273,""xoxoxooxoxoo""),""Bhupali"",IF(REGEXMATCH(AT273,""xoxoxxoxxoxo""),""Charukeshi"",IF(REGEXMATCH(AT273,""xoxoooxxoxxo""),""Kameshwari"",IF(REG"&amp;"EXMATCH(AT273,""xoxoxooxoxox""),""Shankara"",IF(REGEXMATCH(AT273,""xxooxoxxxoox""),""Basant"",IF(REGEXMATCH(AT273,""xoxoxxxxoxox""),""Bihag"",IF(REGEXMATCH(AT273,""xoxxxxoxoxxx""),""Pilu"",IF(REGEXMATCH(AT273,""xoxxoxoxxoox""),""Kirwani"",IF(REGEXMATCH(AT"&amp;"273,""xoxxoxoxoxxx""),""Mk.Malhar"",IF(REGEXMATCH(AT273,""xxooxxoxxoox""),""Bhairav"",IF(REGEXMATCH(AT273,""xxoxooxxxoox""),""Todi"",IF(REGEXMATCH(AT273,""xxooxoxooxox""),""Marwa"",IF(REGEXMATCH(AT273,""xxoooxoxxooo""),""Gunkali"",IF(REGEXMATCH(AT273,""xo"&amp;"xoxxoxxoox""),""Nat Bhairav"",IF(REGEXMATCH(AT273,""xoxxoooxoxoo""),""Shivranjani"",IF(REGEXMATCH(AT273,""xooxxxoxooxo""),""Jog"",IF(REGEXMATCH(AT273,""xxooxoxoxoox""),""Hemshri"",IF(REGEXMATCH(AT273,""xoooxooxoxxo""),""Kalavati"",IF(REGEXMATCH(AT273,""xx"&amp;"oxoxxoxoox""),""Kedar"",IF(REGEXMATCH(AT273,""xoxxxxoxooxx""),""Gara"",IF(REGEXMATCH(AT273,""xooxoxooxoox""),""Chandrakauns"",IF(REGEXMATCH(AT273,""xoxxxxoxxxox""),""Mand"",IF(REGEXMATCH(AT273,""xoxxxxoxoxox""),""Hanskinkini"",IF(REGEXMATCH(AT273,""xxooxx"&amp;"oxooxo""),""Lilavati"",IF(REGEXMATCH(AT273,""xooxoxoooxox""),""Rajeshwari"",IF(REGEXMATCH(AT273,""xoooxxoxoxxx""),""Khokar"",IF(REGEXMATCH(AT273,""xxooxoxxxxox""),""Maligoura"",""-""))))))))))))))))))))))))))))))"),"(n/a)")</f>
        <v>(n/a)</v>
      </c>
      <c r="BG273" s="239" t="str">
        <f t="shared" si="26"/>
        <v>#REF!</v>
      </c>
      <c r="BH273" s="239">
        <f>IFERROR(__xludf.DUMMYFUNCTION("COUNTUNIQUE(FE273:FO273)-1"),8.0)</f>
        <v>8</v>
      </c>
      <c r="BI273" s="239">
        <f>IFERROR(__xludf.DUMMYFUNCTION("COUNTUNIQUE(FILTER(AT:AT,REGEXMATCH(AT:AT,AS273)))-1"),0.0)</f>
        <v>0</v>
      </c>
      <c r="BJ273" s="239">
        <f>IFERROR(__xludf.DUMMYFUNCTION("COUNTA(FILTER(AT:AT,REGEXMATCH(AT:AT,AS273)))"),5.0)</f>
        <v>5</v>
      </c>
      <c r="BK273" s="341">
        <f>IFERROR(__xludf.DUMMYFUNCTION("COUNTA(FILTER(AT:AT,REGEXMATCH(AT:AT,AS273)))-AR273"),5.0)</f>
        <v>5</v>
      </c>
      <c r="BL273" s="276" t="str">
        <f>IFERROR(__xludf.DUMMYFUNCTION("IF(AS273=""oooooooooooo"",""-"",IF(REGEXMATCH(AT273,""xx""), ""Hemi."", ""Anhemi.""))"),"Hemi.")</f>
        <v>Hemi.</v>
      </c>
      <c r="BM273" s="282" t="str">
        <f>IFERROR(__xludf.DUMMYFUNCTION("IF(AS273=""oooooooooooo"",""-"",IF(REGEXMATCH(AT273,""xxx""), ""Cohem."", ""-""))"),"Cohem.")</f>
        <v>Cohem.</v>
      </c>
      <c r="BN273" s="282" t="str">
        <f>IFERROR(__xludf.DUMMYFUNCTION("IF(AS273=""oooooooooooo"",""-"",IF(REGEXMATCH(AT273,""xxxx""), ""Co-Co."", ""-""))"),"Co-Co.")</f>
        <v>Co-Co.</v>
      </c>
      <c r="BO273" s="342" t="str">
        <f>IFERROR(__xludf.DUMMYFUNCTION("IF(AS273=""oooooooooooo"",""-"",IF(REGEXMATCH(AT273,""xxxxx""), ""CCC."", ""-""))"),"CCC.")</f>
        <v>CCC.</v>
      </c>
      <c r="BP273" s="344" t="str">
        <f t="shared" si="27"/>
        <v>-</v>
      </c>
      <c r="BQ273" s="282" t="str">
        <f>IFERROR(__xludf.DUMMYFUNCTION("IF(REGEXMATCH(JOIN(""-"",EU273:FD273),""TRUE""),""✔"",""-"")"),"-")</f>
        <v>-</v>
      </c>
      <c r="BR273" s="225">
        <f t="shared" si="28"/>
        <v>0</v>
      </c>
      <c r="BS273" s="345" t="str">
        <f>IFERROR(__xludf.DUMMYFUNCTION("SUBSTITUTE(SUBSTITUTE(SUBSTITUTE(SUBSTITUTE(CONCATENATE(JOIN(""-"",GC273:GO273)),""--"",""-""),""--"",""-""),""--"",""-""),""--"",""-"")"),"1-b2-3-4-#4-5-b6-6-7-8")</f>
        <v>1-b2-3-4-#4-5-b6-6-7-8</v>
      </c>
      <c r="BT273" s="299" t="str">
        <f>IFERROR(__xludf.DUMMYFUNCTION("SUBSTITUTE(SUBSTITUTE(SUBSTITUTE(SUBSTITUTE(CONCATENATE(JOIN(""-"",GP273:HB273)),""--"",""-""),""--"",""-""),""--"",""-""),""--"",""-"")"),"S-R1-G3-M1-M2-P-D1-D2-N3-S")</f>
        <v>S-R1-G3-M1-M2-P-D1-D2-N3-S</v>
      </c>
      <c r="BU273" s="348" t="str">
        <f t="shared" si="29"/>
        <v>C-Db-E-F-F#-G-Ab-A-B-C</v>
      </c>
      <c r="BV273" s="349" t="str">
        <f t="shared" si="30"/>
        <v>SRgnS</v>
      </c>
      <c r="BW273" s="350">
        <f t="shared" si="31"/>
        <v>0</v>
      </c>
      <c r="BX273" s="351">
        <f t="shared" si="32"/>
        <v>5</v>
      </c>
      <c r="BY273" s="352" t="s">
        <v>275</v>
      </c>
      <c r="BZ273" s="309" t="str">
        <f>IFERROR(__xludf.DUMMYFUNCTION("IF(REGEXMATCH(C273, ""S""), ""x"",""x"")"),"x")</f>
        <v>x</v>
      </c>
      <c r="CA273" s="245" t="str">
        <f>IFERROR(__xludf.DUMMYFUNCTION("IF(REGEXMATCH(C273, ""r""), ""o"",""x"")"),"o")</f>
        <v>o</v>
      </c>
      <c r="CB273" s="246" t="str">
        <f>IFERROR(__xludf.DUMMYFUNCTION("IF(REGEXMATCH(C273, ""R""), ""o"",""x"")"),"x")</f>
        <v>x</v>
      </c>
      <c r="CC273" s="246" t="str">
        <f>IFERROR(__xludf.DUMMYFUNCTION("IF(REGEXMATCH(C273, ""g""), ""o"",""x"")"),"x")</f>
        <v>x</v>
      </c>
      <c r="CD273" s="245" t="str">
        <f>IFERROR(__xludf.DUMMYFUNCTION("IF(REGEXMATCH(C273, ""G""), ""o"",""x"")"),"o")</f>
        <v>o</v>
      </c>
      <c r="CE273" s="245" t="str">
        <f>IFERROR(__xludf.DUMMYFUNCTION("IF(REGEXMATCH(C273, ""m""), ""o"",""x"")"),"o")</f>
        <v>o</v>
      </c>
      <c r="CF273" s="246" t="str">
        <f>IFERROR(__xludf.DUMMYFUNCTION("IF(REGEXMATCH(C273, ""M""), ""o"",""x"")"),"o")</f>
        <v>o</v>
      </c>
      <c r="CG273" s="245" t="str">
        <f>IFERROR(__xludf.DUMMYFUNCTION("IF(REGEXMATCH(C273, ""P""), ""o"",""x"")"),"o")</f>
        <v>o</v>
      </c>
      <c r="CH273" s="246" t="str">
        <f>IFERROR(__xludf.DUMMYFUNCTION("IF(REGEXMATCH(C273, ""d""), ""o"",""x"")"),"o")</f>
        <v>o</v>
      </c>
      <c r="CI273" s="245" t="str">
        <f>IFERROR(__xludf.DUMMYFUNCTION("IF(REGEXMATCH(C273, ""D""), ""o"",""x"")"),"o")</f>
        <v>o</v>
      </c>
      <c r="CJ273" s="245" t="str">
        <f>IFERROR(__xludf.DUMMYFUNCTION("IF(REGEXMATCH(C273, ""n""), ""o"",""x"")"),"x")</f>
        <v>x</v>
      </c>
      <c r="CK273" s="245" t="str">
        <f>IFERROR(__xludf.DUMMYFUNCTION("IF(REGEXMATCH(C273, ""N""), ""o"",""x"")"),"o")</f>
        <v>o</v>
      </c>
      <c r="CL273" s="356" t="str">
        <f>IFERROR(__xludf.DUMMYFUNCTION("IF(REGEXMATCH(C273, ""S""), ""x"",""x"")"),"x")</f>
        <v>x</v>
      </c>
      <c r="CM273" s="357" t="str">
        <f t="shared" si="33"/>
        <v>xoxxooooooxo</v>
      </c>
      <c r="CN273" s="358">
        <f t="shared" si="34"/>
        <v>0</v>
      </c>
      <c r="CO273" s="246" t="str">
        <f>IFERROR(__xludf.DUMMYFUNCTION("IF(REGEXMATCH($C273, ""S""), ""S"",""S"")"),"S")</f>
        <v>S</v>
      </c>
      <c r="CP273" s="246" t="str">
        <f>IFERROR(__xludf.DUMMYFUNCTION("IF(REGEXMATCH($C273, ""r""), """",""r"")"),"")</f>
        <v/>
      </c>
      <c r="CQ273" s="246" t="str">
        <f>IFERROR(__xludf.DUMMYFUNCTION("IF(REGEXMATCH($C273, ""R""), """",""R"")"),"R")</f>
        <v>R</v>
      </c>
      <c r="CR273" s="246" t="str">
        <f>IFERROR(__xludf.DUMMYFUNCTION("IF(REGEXMATCH($C273, ""g""), """",""g"")"),"g")</f>
        <v>g</v>
      </c>
      <c r="CS273" s="246" t="str">
        <f>IFERROR(__xludf.DUMMYFUNCTION("IF(REGEXMATCH($C273, ""G""), """",""G"")"),"")</f>
        <v/>
      </c>
      <c r="CT273" s="246" t="str">
        <f>IFERROR(__xludf.DUMMYFUNCTION("IF(REGEXMATCH($C273, ""m""), """",""m"")"),"")</f>
        <v/>
      </c>
      <c r="CU273" s="246" t="str">
        <f>IFERROR(__xludf.DUMMYFUNCTION("IF(REGEXMATCH($C273, ""M""), """",""M"")"),"")</f>
        <v/>
      </c>
      <c r="CV273" s="246" t="str">
        <f>IFERROR(__xludf.DUMMYFUNCTION("IF(REGEXMATCH($C273, ""P""), """",""P"")"),"")</f>
        <v/>
      </c>
      <c r="CW273" s="246" t="str">
        <f>IFERROR(__xludf.DUMMYFUNCTION("IF(REGEXMATCH($C273, ""d""), """",""d"")"),"")</f>
        <v/>
      </c>
      <c r="CX273" s="246" t="str">
        <f>IFERROR(__xludf.DUMMYFUNCTION("IF(REGEXMATCH($C273, ""D""), """",""D"")"),"")</f>
        <v/>
      </c>
      <c r="CY273" s="246" t="str">
        <f>IFERROR(__xludf.DUMMYFUNCTION("IF(REGEXMATCH($C273, ""n""), """",""n"")"),"n")</f>
        <v>n</v>
      </c>
      <c r="CZ273" s="246" t="str">
        <f>IFERROR(__xludf.DUMMYFUNCTION("IF(REGEXMATCH($C273, ""N""), """",""N"")"),"")</f>
        <v/>
      </c>
      <c r="DA273" s="246" t="str">
        <f>IFERROR(__xludf.DUMMYFUNCTION("IF(REGEXMATCH($C273, ""S""), ""S"",""S"")"),"S")</f>
        <v>S</v>
      </c>
      <c r="DB273" s="362" t="str">
        <f>IFERROR(__xludf.DUMMYFUNCTION("JOIN("""",CO273:DA273,"""","""")"),"SRgnS")</f>
        <v>SRgnS</v>
      </c>
      <c r="DC273" s="363"/>
      <c r="DD273" s="301" t="str">
        <f t="shared" si="35"/>
        <v>#REF!</v>
      </c>
      <c r="DE273" s="302" t="str">
        <f t="shared" si="36"/>
        <v>#REF!</v>
      </c>
      <c r="DF273" s="301" t="str">
        <f t="shared" ref="DF273:DG273" si="769">SUBSTITUTE(S273,"-","")</f>
        <v>SRGM</v>
      </c>
      <c r="DG273" s="301" t="str">
        <f t="shared" si="769"/>
        <v>PDNS</v>
      </c>
      <c r="DH273" s="302" t="str">
        <f t="shared" si="38"/>
        <v>(n/a)</v>
      </c>
      <c r="DI273" s="301" t="str">
        <f t="shared" si="39"/>
        <v>Hemi.</v>
      </c>
      <c r="DJ273" s="364" t="str">
        <f t="shared" si="40"/>
        <v>CCC.</v>
      </c>
      <c r="DK273" s="306" t="str">
        <f t="shared" si="41"/>
        <v>-</v>
      </c>
      <c r="DL273" s="366" t="str">
        <f t="shared" si="42"/>
        <v>-</v>
      </c>
      <c r="DM273" s="308" t="str">
        <f t="shared" si="43"/>
        <v>✔</v>
      </c>
      <c r="DN273" s="306" t="str">
        <f t="shared" si="44"/>
        <v>-</v>
      </c>
      <c r="DO273" s="306" t="str">
        <f t="shared" si="45"/>
        <v>-</v>
      </c>
      <c r="DP273" s="367" t="str">
        <f t="shared" si="46"/>
        <v>-</v>
      </c>
      <c r="DQ273" s="310" t="str">
        <f t="shared" si="47"/>
        <v>-</v>
      </c>
      <c r="DR273" s="310" t="str">
        <f t="shared" si="48"/>
        <v>-</v>
      </c>
      <c r="DS273" s="310" t="str">
        <f t="shared" si="49"/>
        <v>✔</v>
      </c>
      <c r="DT273" s="310" t="str">
        <f t="shared" si="50"/>
        <v>✔</v>
      </c>
      <c r="DU273" s="370" t="str">
        <f t="shared" si="51"/>
        <v>-</v>
      </c>
      <c r="DV273" s="306" t="str">
        <f t="shared" si="52"/>
        <v>-</v>
      </c>
      <c r="DW273" s="306" t="str">
        <f t="shared" si="53"/>
        <v>-</v>
      </c>
      <c r="DX273" s="306" t="str">
        <f t="shared" si="54"/>
        <v>-</v>
      </c>
      <c r="DY273" s="306" t="str">
        <f t="shared" si="55"/>
        <v>-</v>
      </c>
      <c r="DZ273" s="306" t="str">
        <f t="shared" si="56"/>
        <v>-</v>
      </c>
      <c r="EA273" s="367" t="str">
        <f t="shared" si="57"/>
        <v>-</v>
      </c>
      <c r="EB273" s="310" t="str">
        <f>IFERROR(__xludf.DUMMYFUNCTION("IF(REGEXMATCH(AW273,AS273),""✔"",""-"")"),"-")</f>
        <v>-</v>
      </c>
      <c r="EC273" s="310" t="str">
        <f t="shared" si="58"/>
        <v>#REF!</v>
      </c>
      <c r="ED273" s="370" t="str">
        <f t="shared" si="59"/>
        <v>-</v>
      </c>
      <c r="EE273" s="340" t="str">
        <f t="shared" si="60"/>
        <v>S-r-G-mM-P-dD-N-S</v>
      </c>
      <c r="EF273" s="371" t="str">
        <f>IFERROR(__xludf.DUMMYFUNCTION("CONCATENATE(JOIN("""",HC273:HO273))"),"SrgGmMPdNS")</f>
        <v>SrgGmMPdNS</v>
      </c>
      <c r="EG273" s="372">
        <f t="shared" si="61"/>
        <v>2</v>
      </c>
      <c r="EH273" s="373" t="str">
        <f>IFERROR(__xludf.DUMMYFUNCTION("CONCATENATE(JOIN("""",JC273:JO273))"),"Pa, dha, ")</f>
        <v>Pa, dha, </v>
      </c>
      <c r="EI273" s="322">
        <f t="shared" si="62"/>
        <v>0</v>
      </c>
      <c r="EJ273" s="374" t="str">
        <f>IFERROR(__xludf.DUMMYFUNCTION("CONCATENATE(JOIN("""",KC273:KO273))"),"")</f>
        <v/>
      </c>
      <c r="EK273" s="325" t="str">
        <f t="shared" si="63"/>
        <v>S-R1-G3-M1-M2-P-D1-D2-N3-S</v>
      </c>
      <c r="EL273" s="326" t="str">
        <f t="shared" si="64"/>
        <v>1-b2-3-4-#4-5-b6-6-7-8</v>
      </c>
      <c r="EM273" s="318" t="str">
        <f t="shared" si="65"/>
        <v>#REF!</v>
      </c>
      <c r="EN273" s="328" t="str">
        <f>IFERROR(__xludf.DUMMYFUNCTION("SUBSTITUTE(SUBSTITUTE(SUBSTITUTE(SUBSTITUTE(CONCATENATE(JOIN("" "",HP273:IB273)),""  "","" ""),""  "","" ""),""  "","" ""),""  "","" "")"),"o o • • o o o o o o • o o")</f>
        <v>o o • • o o o o o o • o o</v>
      </c>
      <c r="EO273" s="368" t="str">
        <f t="shared" si="66"/>
        <v>-</v>
      </c>
      <c r="EP273" s="339" t="str">
        <f t="shared" si="67"/>
        <v>-</v>
      </c>
      <c r="EQ273" s="339" t="str">
        <f t="shared" si="68"/>
        <v>Sa-Pa</v>
      </c>
      <c r="ER273" s="339" t="str">
        <f t="shared" si="69"/>
        <v>-</v>
      </c>
      <c r="ES273" s="340" t="str">
        <f t="shared" si="70"/>
        <v>-</v>
      </c>
      <c r="ET273" s="363"/>
      <c r="EU273" s="376" t="b">
        <f>IFERROR(__xludf.DUMMYFUNCTION("arrayformula(sum(--REGEXMATCH(""SRGMPDNS"",split(REGEXREPLACE(C273,""(.)"",""$1~""),""~""))))=len(C273)
"),FALSE)</f>
        <v>0</v>
      </c>
      <c r="EV273" s="290" t="b">
        <f>IFERROR(__xludf.DUMMYFUNCTION("arrayformula(sum(--REGEXMATCH(""SRGmPDNS"",split(REGEXREPLACE(C273,""(.)"",""$1~""),""~""))))=len(C273)"),FALSE)</f>
        <v>0</v>
      </c>
      <c r="EW273" s="290" t="b">
        <f>IFERROR(__xludf.DUMMYFUNCTION("arrayformula(sum(--REGEXMATCH(""SRGmPDnS"",split(REGEXREPLACE(C273,""(.)"",""$1~""),""~""))))=len(C273)"),FALSE)</f>
        <v>0</v>
      </c>
      <c r="EX273" s="290" t="b">
        <f>IFERROR(__xludf.DUMMYFUNCTION("arrayformula(sum(--REGEXMATCH(""SRgmPDnS"",split(REGEXREPLACE(C273,""(.)"",""$1~""),""~""))))=len(C273)"),FALSE)</f>
        <v>0</v>
      </c>
      <c r="EY273" s="290" t="b">
        <f>IFERROR(__xludf.DUMMYFUNCTION("arrayformula(sum(--REGEXMATCH(""SRgmPdnS"",split(REGEXREPLACE(C273,""(.)"",""$1~""),""~""))))=len(C273)"),FALSE)</f>
        <v>0</v>
      </c>
      <c r="EZ273" s="290" t="b">
        <f>IFERROR(__xludf.DUMMYFUNCTION("arrayformula(sum(--REGEXMATCH(""SrgmPdnS"",split(REGEXREPLACE(C273,""(.)"",""$1~""),""~""))))=len(C273)"),FALSE)</f>
        <v>0</v>
      </c>
      <c r="FA273" s="290" t="b">
        <f>IFERROR(__xludf.DUMMYFUNCTION("arrayformula(sum(--REGEXMATCH(""SrGmPdNS"",split(REGEXREPLACE(C273,""(.)"",""$1~""),""~""))))=len(C273)"),FALSE)</f>
        <v>0</v>
      </c>
      <c r="FB273" s="290" t="b">
        <f>IFERROR(__xludf.DUMMYFUNCTION("arrayformula(sum(--REGEXMATCH(""SrGMPDNS"",split(REGEXREPLACE(C273,""(.)"",""$1~""),""~""))))=len(C273)"),FALSE)</f>
        <v>0</v>
      </c>
      <c r="FC273" s="290" t="b">
        <f>IFERROR(__xludf.DUMMYFUNCTION("arrayformula(sum(--REGEXMATCH(""SrGMPdNS"",split(REGEXREPLACE(C273,""(.)"",""$1~""),""~""))))=len(C273)"),FALSE)</f>
        <v>0</v>
      </c>
      <c r="FD273" s="377" t="b">
        <f>IFERROR(__xludf.DUMMYFUNCTION("arrayformula(sum(--REGEXMATCH(""SrgMPdNS"",split(REGEXREPLACE(C273,""(.)"",""$1~""),""~""))))=len(C273)"),FALSE)</f>
        <v>0</v>
      </c>
      <c r="FE273" s="269" t="str">
        <f t="shared" si="71"/>
        <v>xooxxxxxxox</v>
      </c>
      <c r="FF273" s="269" t="str">
        <f t="shared" si="72"/>
        <v>-</v>
      </c>
      <c r="FG273" s="271" t="str">
        <f t="shared" si="73"/>
        <v>-</v>
      </c>
      <c r="FH273" s="269" t="str">
        <f t="shared" si="74"/>
        <v>xxxxxxoxxxo</v>
      </c>
      <c r="FI273" s="271" t="str">
        <f t="shared" si="75"/>
        <v>xxxxxoxxxoo</v>
      </c>
      <c r="FJ273" s="271" t="str">
        <f t="shared" si="76"/>
        <v>xxxxoxxxoox</v>
      </c>
      <c r="FK273" s="271" t="str">
        <f t="shared" si="77"/>
        <v>xxxoxxxooxx</v>
      </c>
      <c r="FL273" s="271" t="str">
        <f t="shared" si="78"/>
        <v>xxoxxxooxxx</v>
      </c>
      <c r="FM273" s="271" t="str">
        <f t="shared" si="79"/>
        <v>xoxxxooxxxx</v>
      </c>
      <c r="FN273" s="271" t="str">
        <f t="shared" si="80"/>
        <v>-</v>
      </c>
      <c r="FO273" s="274" t="str">
        <f t="shared" si="81"/>
        <v>xxxooxxxxxx</v>
      </c>
      <c r="FP273" s="234" t="str">
        <f t="shared" si="82"/>
        <v>|</v>
      </c>
      <c r="FQ273" s="236" t="str">
        <f t="shared" si="83"/>
        <v>|</v>
      </c>
      <c r="FR273" s="237" t="str">
        <f t="shared" si="84"/>
        <v>-</v>
      </c>
      <c r="FS273" s="236" t="str">
        <f t="shared" si="85"/>
        <v>-</v>
      </c>
      <c r="FT273" s="237" t="str">
        <f t="shared" si="86"/>
        <v>|</v>
      </c>
      <c r="FU273" s="236" t="str">
        <f t="shared" si="87"/>
        <v>|</v>
      </c>
      <c r="FV273" s="237" t="str">
        <f t="shared" si="88"/>
        <v>|</v>
      </c>
      <c r="FW273" s="236" t="str">
        <f t="shared" si="89"/>
        <v>|</v>
      </c>
      <c r="FX273" s="237" t="str">
        <f t="shared" si="90"/>
        <v>|</v>
      </c>
      <c r="FY273" s="236" t="str">
        <f t="shared" si="91"/>
        <v>|</v>
      </c>
      <c r="FZ273" s="237" t="str">
        <f t="shared" si="92"/>
        <v>-</v>
      </c>
      <c r="GA273" s="236" t="str">
        <f t="shared" si="93"/>
        <v>|</v>
      </c>
      <c r="GB273" s="238" t="str">
        <f t="shared" si="94"/>
        <v>|</v>
      </c>
      <c r="GC273" s="244" t="str">
        <f>IFERROR(__xludf.DUMMYFUNCTION("IF(REGEXMATCH(C273, ""S""), ""1"","""")"),"1")</f>
        <v>1</v>
      </c>
      <c r="GD273" s="245" t="str">
        <f>IFERROR(__xludf.DUMMYFUNCTION("IF(REGEXMATCH(C273, ""r""), ""b2"","""")"),"b2")</f>
        <v>b2</v>
      </c>
      <c r="GE273" s="246" t="str">
        <f>IFERROR(__xludf.DUMMYFUNCTION("IF(REGEXMATCH(C273, ""R""), ""2"","""")"),"")</f>
        <v/>
      </c>
      <c r="GF273" s="246" t="str">
        <f>IFERROR(__xludf.DUMMYFUNCTION("IF(REGEXMATCH(C273, ""g""), ""b3"","""")"),"")</f>
        <v/>
      </c>
      <c r="GG273" s="245" t="str">
        <f>IFERROR(__xludf.DUMMYFUNCTION("IF(REGEXMATCH(C273, ""G""), ""3"","""")"),"3")</f>
        <v>3</v>
      </c>
      <c r="GH273" s="245" t="str">
        <f>IFERROR(__xludf.DUMMYFUNCTION("IF(REGEXMATCH(C273, ""m""), ""4"","""")"),"4")</f>
        <v>4</v>
      </c>
      <c r="GI273" s="246" t="str">
        <f>IFERROR(__xludf.DUMMYFUNCTION("IF(REGEXMATCH(C273, ""M""), ""#4"","""")"),"#4")</f>
        <v>#4</v>
      </c>
      <c r="GJ273" s="245" t="str">
        <f>IFERROR(__xludf.DUMMYFUNCTION("IF(REGEXMATCH(C273, ""P""), ""5"","""")"),"5")</f>
        <v>5</v>
      </c>
      <c r="GK273" s="246" t="str">
        <f>IFERROR(__xludf.DUMMYFUNCTION("IF(REGEXMATCH(C273, ""d""), ""b6"","""")"),"b6")</f>
        <v>b6</v>
      </c>
      <c r="GL273" s="245" t="str">
        <f>IFERROR(__xludf.DUMMYFUNCTION("IF(REGEXMATCH(C273, ""D""), ""6"","""")"),"6")</f>
        <v>6</v>
      </c>
      <c r="GM273" s="245" t="str">
        <f>IFERROR(__xludf.DUMMYFUNCTION("IF(REGEXMATCH(C273, ""n""), ""b7"","""")"),"")</f>
        <v/>
      </c>
      <c r="GN273" s="246" t="str">
        <f>IFERROR(__xludf.DUMMYFUNCTION("IF(REGEXMATCH(C273, ""N""), ""7"","""")"),"7")</f>
        <v>7</v>
      </c>
      <c r="GO273" s="249" t="str">
        <f>IFERROR(__xludf.DUMMYFUNCTION("IF(REGEXMATCH(C273, ""S""), ""8"","""")"),"8")</f>
        <v>8</v>
      </c>
      <c r="GP273" s="244" t="str">
        <f>IFERROR(__xludf.DUMMYFUNCTION("IF(REGEXMATCH(C273, ""S""), ""S"","""")"),"S")</f>
        <v>S</v>
      </c>
      <c r="GQ273" s="294" t="str">
        <f>IFERROR(__xludf.DUMMYFUNCTION("IF(REGEXMATCH(C273, ""r""), ""R1"","""")"),"R1")</f>
        <v>R1</v>
      </c>
      <c r="GR273" s="295" t="str">
        <f>IFERROR(__xludf.DUMMYFUNCTION("IF(REGEXMATCH(C273, ""R""), ""R2"","""")"),"")</f>
        <v/>
      </c>
      <c r="GS273" s="295" t="str">
        <f>IFERROR(__xludf.DUMMYFUNCTION("IF(REGEXMATCH(C273, ""g""), ""G2"","""")"),"")</f>
        <v/>
      </c>
      <c r="GT273" s="294" t="str">
        <f>IFERROR(__xludf.DUMMYFUNCTION("IF(REGEXMATCH(C273, ""G""), ""G3"","""")"),"G3")</f>
        <v>G3</v>
      </c>
      <c r="GU273" s="294" t="str">
        <f>IFERROR(__xludf.DUMMYFUNCTION("IF(REGEXMATCH(C273, ""m""), ""M1"","""")"),"M1")</f>
        <v>M1</v>
      </c>
      <c r="GV273" s="295" t="str">
        <f>IFERROR(__xludf.DUMMYFUNCTION("IF(REGEXMATCH(C273, ""M""), ""M2"","""")"),"M2")</f>
        <v>M2</v>
      </c>
      <c r="GW273" s="294" t="str">
        <f>IFERROR(__xludf.DUMMYFUNCTION("IF(REGEXMATCH(C273, ""P""), ""P"","""")"),"P")</f>
        <v>P</v>
      </c>
      <c r="GX273" s="295" t="str">
        <f>IFERROR(__xludf.DUMMYFUNCTION("IF(REGEXMATCH(C273, ""d""), ""D1"","""")"),"D1")</f>
        <v>D1</v>
      </c>
      <c r="GY273" s="294" t="str">
        <f>IFERROR(__xludf.DUMMYFUNCTION("IF(REGEXMATCH(C273, ""D""), ""D2"","""")"),"D2")</f>
        <v>D2</v>
      </c>
      <c r="GZ273" s="294" t="str">
        <f>IFERROR(__xludf.DUMMYFUNCTION("IF(REGEXMATCH(C273, ""n""), ""N2"","""")"),"")</f>
        <v/>
      </c>
      <c r="HA273" s="295" t="str">
        <f>IFERROR(__xludf.DUMMYFUNCTION("IF(REGEXMATCH(C273, ""N""), ""N3"","""")"),"N3")</f>
        <v>N3</v>
      </c>
      <c r="HB273" s="249" t="str">
        <f>IFERROR(__xludf.DUMMYFUNCTION("IF(REGEXMATCH(C273, ""S""), ""S"","""")"),"S")</f>
        <v>S</v>
      </c>
      <c r="HC273" s="331" t="str">
        <f t="shared" si="95"/>
        <v>S</v>
      </c>
      <c r="HD273" s="332" t="str">
        <f t="shared" si="96"/>
        <v>r</v>
      </c>
      <c r="HE273" s="332" t="str">
        <f t="shared" si="97"/>
        <v/>
      </c>
      <c r="HF273" s="332" t="str">
        <f t="shared" si="98"/>
        <v>g</v>
      </c>
      <c r="HG273" s="332" t="str">
        <f t="shared" si="99"/>
        <v>G</v>
      </c>
      <c r="HH273" s="332" t="str">
        <f t="shared" si="100"/>
        <v>m</v>
      </c>
      <c r="HI273" s="332" t="str">
        <f t="shared" si="101"/>
        <v>M</v>
      </c>
      <c r="HJ273" s="332" t="str">
        <f t="shared" si="102"/>
        <v>P</v>
      </c>
      <c r="HK273" s="332" t="str">
        <f t="shared" si="103"/>
        <v>d</v>
      </c>
      <c r="HL273" s="332" t="str">
        <f t="shared" si="104"/>
        <v/>
      </c>
      <c r="HM273" s="332" t="str">
        <f t="shared" si="105"/>
        <v/>
      </c>
      <c r="HN273" s="332" t="str">
        <f t="shared" si="106"/>
        <v>N</v>
      </c>
      <c r="HO273" s="343" t="str">
        <f t="shared" si="107"/>
        <v>S</v>
      </c>
      <c r="HP273" s="331" t="str">
        <f t="shared" si="108"/>
        <v>o</v>
      </c>
      <c r="HQ273" s="332" t="str">
        <f t="shared" si="109"/>
        <v>o</v>
      </c>
      <c r="HR273" s="332" t="str">
        <f t="shared" si="110"/>
        <v>•</v>
      </c>
      <c r="HS273" s="332" t="str">
        <f t="shared" si="111"/>
        <v>•</v>
      </c>
      <c r="HT273" s="332" t="str">
        <f t="shared" si="112"/>
        <v>o</v>
      </c>
      <c r="HU273" s="332" t="str">
        <f t="shared" si="113"/>
        <v>o</v>
      </c>
      <c r="HV273" s="332" t="str">
        <f t="shared" si="114"/>
        <v>o</v>
      </c>
      <c r="HW273" s="332" t="str">
        <f t="shared" si="115"/>
        <v>o</v>
      </c>
      <c r="HX273" s="332" t="str">
        <f t="shared" si="116"/>
        <v>o</v>
      </c>
      <c r="HY273" s="332" t="str">
        <f t="shared" si="117"/>
        <v>o</v>
      </c>
      <c r="HZ273" s="332" t="str">
        <f t="shared" si="118"/>
        <v>•</v>
      </c>
      <c r="IA273" s="332" t="str">
        <f t="shared" si="119"/>
        <v>o</v>
      </c>
      <c r="IB273" s="338" t="str">
        <f t="shared" si="120"/>
        <v>o</v>
      </c>
      <c r="IC273" s="331" t="str">
        <f t="shared" si="121"/>
        <v>•</v>
      </c>
      <c r="ID273" s="332" t="str">
        <f t="shared" si="122"/>
        <v>•</v>
      </c>
      <c r="IE273" s="332" t="str">
        <f t="shared" si="123"/>
        <v>o</v>
      </c>
      <c r="IF273" s="332" t="str">
        <f t="shared" si="124"/>
        <v>o</v>
      </c>
      <c r="IG273" s="332" t="str">
        <f t="shared" si="125"/>
        <v>•</v>
      </c>
      <c r="IH273" s="332" t="str">
        <f t="shared" si="126"/>
        <v>•</v>
      </c>
      <c r="II273" s="332" t="str">
        <f t="shared" si="127"/>
        <v>•</v>
      </c>
      <c r="IJ273" s="332" t="str">
        <f t="shared" si="128"/>
        <v>•</v>
      </c>
      <c r="IK273" s="332" t="str">
        <f t="shared" si="129"/>
        <v>•</v>
      </c>
      <c r="IL273" s="332" t="str">
        <f t="shared" si="130"/>
        <v>•</v>
      </c>
      <c r="IM273" s="332" t="str">
        <f t="shared" si="131"/>
        <v>o</v>
      </c>
      <c r="IN273" s="332" t="str">
        <f t="shared" si="132"/>
        <v>•</v>
      </c>
      <c r="IO273" s="338" t="str">
        <f t="shared" si="133"/>
        <v>•</v>
      </c>
      <c r="IP273" s="346" t="b">
        <f t="shared" si="134"/>
        <v>0</v>
      </c>
      <c r="IQ273" s="347" t="b">
        <f t="shared" si="135"/>
        <v>0</v>
      </c>
      <c r="IR273" s="347" t="b">
        <f t="shared" si="136"/>
        <v>0</v>
      </c>
      <c r="IS273" s="347" t="b">
        <f t="shared" si="137"/>
        <v>0</v>
      </c>
      <c r="IT273" s="347" t="b">
        <f t="shared" si="138"/>
        <v>0</v>
      </c>
      <c r="IU273" s="347" t="b">
        <f t="shared" si="139"/>
        <v>0</v>
      </c>
      <c r="IV273" s="347" t="b">
        <f t="shared" si="140"/>
        <v>0</v>
      </c>
      <c r="IW273" s="347" t="b">
        <f t="shared" si="141"/>
        <v>1</v>
      </c>
      <c r="IX273" s="347" t="b">
        <f t="shared" si="142"/>
        <v>1</v>
      </c>
      <c r="IY273" s="347" t="b">
        <f t="shared" si="143"/>
        <v>0</v>
      </c>
      <c r="IZ273" s="347" t="b">
        <f t="shared" si="144"/>
        <v>0</v>
      </c>
      <c r="JA273" s="347" t="b">
        <f t="shared" si="145"/>
        <v>0</v>
      </c>
      <c r="JB273" s="353" t="b">
        <f t="shared" si="146"/>
        <v>0</v>
      </c>
      <c r="JC273" s="354" t="str">
        <f t="shared" si="147"/>
        <v/>
      </c>
      <c r="JD273" s="355" t="str">
        <f t="shared" si="148"/>
        <v/>
      </c>
      <c r="JE273" s="355" t="str">
        <f t="shared" si="149"/>
        <v/>
      </c>
      <c r="JF273" s="355" t="str">
        <f t="shared" si="150"/>
        <v/>
      </c>
      <c r="JG273" s="355" t="str">
        <f t="shared" si="151"/>
        <v/>
      </c>
      <c r="JH273" s="355" t="str">
        <f t="shared" si="152"/>
        <v/>
      </c>
      <c r="JI273" s="355" t="str">
        <f t="shared" si="153"/>
        <v/>
      </c>
      <c r="JJ273" s="355" t="str">
        <f t="shared" si="154"/>
        <v>Pa, </v>
      </c>
      <c r="JK273" s="355" t="str">
        <f t="shared" si="155"/>
        <v>dha, </v>
      </c>
      <c r="JL273" s="355" t="str">
        <f t="shared" si="156"/>
        <v/>
      </c>
      <c r="JM273" s="355" t="str">
        <f t="shared" si="157"/>
        <v/>
      </c>
      <c r="JN273" s="355" t="str">
        <f t="shared" si="158"/>
        <v/>
      </c>
      <c r="JO273" s="359" t="str">
        <f t="shared" si="159"/>
        <v/>
      </c>
      <c r="JP273" s="346" t="b">
        <f t="shared" si="160"/>
        <v>0</v>
      </c>
      <c r="JQ273" s="347" t="b">
        <f t="shared" si="161"/>
        <v>0</v>
      </c>
      <c r="JR273" s="347" t="b">
        <f t="shared" si="162"/>
        <v>0</v>
      </c>
      <c r="JS273" s="347" t="b">
        <f t="shared" si="163"/>
        <v>0</v>
      </c>
      <c r="JT273" s="347" t="b">
        <f t="shared" si="164"/>
        <v>0</v>
      </c>
      <c r="JU273" s="347" t="b">
        <f t="shared" si="165"/>
        <v>0</v>
      </c>
      <c r="JV273" s="347" t="b">
        <f t="shared" si="166"/>
        <v>0</v>
      </c>
      <c r="JW273" s="347" t="b">
        <f t="shared" si="167"/>
        <v>0</v>
      </c>
      <c r="JX273" s="347" t="b">
        <f t="shared" si="168"/>
        <v>0</v>
      </c>
      <c r="JY273" s="347" t="b">
        <f t="shared" si="169"/>
        <v>0</v>
      </c>
      <c r="JZ273" s="347" t="b">
        <f t="shared" si="170"/>
        <v>0</v>
      </c>
      <c r="KA273" s="347" t="b">
        <f t="shared" si="171"/>
        <v>0</v>
      </c>
      <c r="KB273" s="365" t="b">
        <f t="shared" si="172"/>
        <v>0</v>
      </c>
      <c r="KC273" s="354" t="str">
        <f t="shared" si="173"/>
        <v/>
      </c>
      <c r="KD273" s="355" t="str">
        <f t="shared" si="174"/>
        <v/>
      </c>
      <c r="KE273" s="355" t="str">
        <f t="shared" si="175"/>
        <v/>
      </c>
      <c r="KF273" s="355" t="str">
        <f t="shared" si="176"/>
        <v/>
      </c>
      <c r="KG273" s="355" t="str">
        <f t="shared" si="177"/>
        <v/>
      </c>
      <c r="KH273" s="355" t="str">
        <f t="shared" si="178"/>
        <v/>
      </c>
      <c r="KI273" s="355" t="str">
        <f t="shared" si="179"/>
        <v/>
      </c>
      <c r="KJ273" s="355" t="str">
        <f t="shared" si="180"/>
        <v/>
      </c>
      <c r="KK273" s="355" t="str">
        <f t="shared" si="181"/>
        <v/>
      </c>
      <c r="KL273" s="355" t="str">
        <f t="shared" si="182"/>
        <v/>
      </c>
      <c r="KM273" s="355" t="str">
        <f t="shared" si="183"/>
        <v/>
      </c>
      <c r="KN273" s="355" t="str">
        <f t="shared" si="184"/>
        <v/>
      </c>
      <c r="KO273" s="359"/>
      <c r="KP273" s="378"/>
      <c r="KQ273" s="379" t="s">
        <v>9</v>
      </c>
      <c r="KR273" s="380" t="s">
        <v>9</v>
      </c>
      <c r="KS273" s="381" t="s">
        <v>9</v>
      </c>
      <c r="KT273" s="382">
        <f t="shared" si="186"/>
        <v>0</v>
      </c>
      <c r="KU273" s="383">
        <f t="shared" si="187"/>
        <v>0</v>
      </c>
      <c r="KV273" s="381" t="str">
        <f t="shared" si="205"/>
        <v>S</v>
      </c>
      <c r="KW273" s="382">
        <f t="shared" si="189"/>
        <v>0</v>
      </c>
      <c r="KX273" s="384">
        <f t="shared" si="190"/>
        <v>0</v>
      </c>
      <c r="KY273" s="382">
        <f t="shared" ref="KY273:KZ273" si="770">KW273-KT273</f>
        <v>0</v>
      </c>
      <c r="KZ273" s="369">
        <f t="shared" si="770"/>
        <v>0</v>
      </c>
      <c r="LA273" s="385" t="str">
        <f t="shared" si="192"/>
        <v>✔</v>
      </c>
      <c r="LB273" s="340" t="str">
        <f>IFERROR(__xludf.DUMMYFUNCTION("JOIN("""",ArrayFormula(MID(KS273,LEN(KS273)-SEQUENCE(1,LEN(KS273))+1,1)))"),"S")</f>
        <v>S</v>
      </c>
      <c r="LC273" s="373" t="str">
        <f>IFERROR(__xludf.DUMMYFUNCTION("JOIN("""",ArrayFormula(MID(KV273,LEN(KV273)-SEQUENCE(1,LEN(KV273))+1,1)))"),"S")</f>
        <v>S</v>
      </c>
      <c r="LD273" s="373" t="str">
        <f t="shared" si="193"/>
        <v>S</v>
      </c>
      <c r="LE273" s="339" t="str">
        <f t="shared" si="194"/>
        <v>S</v>
      </c>
      <c r="LF273" s="386" t="str">
        <f>IFERROR(__xludf.DUMMYFUNCTION("SUBSTITUTE(SUBSTITUTE(CONCATENATE(JOIN("""",LH273:LT273)),""1"",""""),""2"","""")"),"SS")</f>
        <v>SS</v>
      </c>
      <c r="LG273" s="369" t="str">
        <f t="shared" si="195"/>
        <v>-</v>
      </c>
      <c r="LH273" s="387" t="str">
        <f>IFERROR(__xludf.DUMMYFUNCTION("IF(REGEXMATCH(LD273, ""S""), ""S"",IF(REGEXMATCH(LE273, ""S""), ""S"",""""))"),"S")</f>
        <v>S</v>
      </c>
      <c r="LI273" s="299" t="str">
        <f>IFERROR(__xludf.DUMMYFUNCTION("IF(REGEXMATCH(LD273, ""r""), ""r1"",IF(REGEXMATCH(LE273, ""r""), ""r2"",""""))"),"")</f>
        <v/>
      </c>
      <c r="LJ273" s="299" t="str">
        <f>IFERROR(__xludf.DUMMYFUNCTION("IF(REGEXMATCH(LD273, ""R""), ""R1"",IF(REGEXMATCH(LE273, ""R""), ""R2"",""""))"),"")</f>
        <v/>
      </c>
      <c r="LK273" s="299" t="str">
        <f>IFERROR(__xludf.DUMMYFUNCTION("IF(REGEXMATCH(LD273, ""g""), ""g1"",IF(REGEXMATCH(LE273, ""g""), ""g2"",""""))"),"")</f>
        <v/>
      </c>
      <c r="LL273" s="299" t="str">
        <f>IFERROR(__xludf.DUMMYFUNCTION("IF(REGEXMATCH(LD273, ""G""), ""G1"",IF(REGEXMATCH(LE273, ""G""), ""G2"",""""))"),"")</f>
        <v/>
      </c>
      <c r="LM273" s="299" t="str">
        <f>IFERROR(__xludf.DUMMYFUNCTION("IF(REGEXMATCH(LD273, ""m""), ""m1"",IF(REGEXMATCH(LE273, ""m""), ""m2"",""""))"),"")</f>
        <v/>
      </c>
      <c r="LN273" s="299" t="str">
        <f>IFERROR(__xludf.DUMMYFUNCTION("IF(REGEXMATCH(LD273, ""M""), ""M1"",IF(REGEXMATCH(LE273, ""M""), ""M2"",""""))"),"")</f>
        <v/>
      </c>
      <c r="LO273" s="299" t="str">
        <f>IFERROR(__xludf.DUMMYFUNCTION("IF(REGEXMATCH(LD273, ""P""), ""P1"",IF(REGEXMATCH(LE273, ""P""), ""P2"",""""))"),"")</f>
        <v/>
      </c>
      <c r="LP273" s="299" t="str">
        <f>IFERROR(__xludf.DUMMYFUNCTION("IF(REGEXMATCH(LD273, ""d""), ""d1"",IF(REGEXMATCH(LE273, ""d""), ""d2"",""""))"),"")</f>
        <v/>
      </c>
      <c r="LQ273" s="299" t="str">
        <f>IFERROR(__xludf.DUMMYFUNCTION("IF(REGEXMATCH(LD273, ""D""), ""D1"",IF(REGEXMATCH(LE273, ""D""), ""D2"",""""))"),"")</f>
        <v/>
      </c>
      <c r="LR273" s="299" t="str">
        <f>IFERROR(__xludf.DUMMYFUNCTION("IF(REGEXMATCH(LD273, ""n""), ""n1"",IF(REGEXMATCH(LE273, ""n""), ""n2"",""""))"),"")</f>
        <v/>
      </c>
      <c r="LS273" s="299" t="str">
        <f>IFERROR(__xludf.DUMMYFUNCTION("IF(REGEXMATCH(LD273, ""N""), ""N1"",IF(REGEXMATCH(LE273, ""N""), ""N2"",""""))"),"")</f>
        <v/>
      </c>
      <c r="LT273" s="388" t="str">
        <f>IFERROR(__xludf.DUMMYFUNCTION("IF(REGEXMATCH(LD273, ""S""), ""S"",IF(REGEXMATCH(LE273, ""S""), ""S"",""""))"),"S")</f>
        <v>S</v>
      </c>
      <c r="LU273" s="389">
        <f t="shared" si="196"/>
        <v>1</v>
      </c>
      <c r="LV273" s="378"/>
      <c r="LW273" s="369"/>
      <c r="LX273" s="369"/>
    </row>
    <row r="274" ht="18.0" customHeight="1">
      <c r="A274" s="298" t="s">
        <v>1066</v>
      </c>
      <c r="B274" s="222" t="s">
        <v>982</v>
      </c>
      <c r="C274" s="233" t="str">
        <f t="shared" si="7"/>
        <v>SrGMDNS</v>
      </c>
      <c r="D274" s="234" t="str">
        <f>IFERROR(__xludf.DUMMYFUNCTION("IF(REGEXMATCH(C274, ""S""), ""S"","""")"),"S")</f>
        <v>S</v>
      </c>
      <c r="E274" s="236" t="str">
        <f>IFERROR(__xludf.DUMMYFUNCTION("IF(REGEXMATCH(C274, ""r""), ""r"","""")"),"r")</f>
        <v>r</v>
      </c>
      <c r="F274" s="237" t="str">
        <f>IFERROR(__xludf.DUMMYFUNCTION("IF(REGEXMATCH(C274, ""R""), ""R"","""")"),"")</f>
        <v/>
      </c>
      <c r="G274" s="237" t="str">
        <f>IFERROR(__xludf.DUMMYFUNCTION("IF(REGEXMATCH(C274, ""g""), ""g"","""")"),"")</f>
        <v/>
      </c>
      <c r="H274" s="236" t="str">
        <f>IFERROR(__xludf.DUMMYFUNCTION("IF(REGEXMATCH(C274, ""G""), ""G"","""")"),"G")</f>
        <v>G</v>
      </c>
      <c r="I274" s="236" t="str">
        <f>IFERROR(__xludf.DUMMYFUNCTION("IF(REGEXMATCH(C274, ""m""), ""m"","""")"),"")</f>
        <v/>
      </c>
      <c r="J274" s="237" t="str">
        <f>IFERROR(__xludf.DUMMYFUNCTION("IF(REGEXMATCH(C274, ""M""), ""M"","""")"),"M")</f>
        <v>M</v>
      </c>
      <c r="K274" s="236" t="str">
        <f>IFERROR(__xludf.DUMMYFUNCTION("IF(REGEXMATCH(C274, ""P""), ""P"","""")"),"")</f>
        <v/>
      </c>
      <c r="L274" s="237" t="str">
        <f>IFERROR(__xludf.DUMMYFUNCTION("IF(REGEXMATCH(C274, ""d""), ""d"","""")"),"")</f>
        <v/>
      </c>
      <c r="M274" s="236" t="str">
        <f>IFERROR(__xludf.DUMMYFUNCTION("IF(REGEXMATCH(C274, ""D""), ""D"","""")"),"D")</f>
        <v>D</v>
      </c>
      <c r="N274" s="236" t="str">
        <f>IFERROR(__xludf.DUMMYFUNCTION("IF(REGEXMATCH(C274, ""n""), ""n"","""")"),"")</f>
        <v/>
      </c>
      <c r="O274" s="237" t="str">
        <f>IFERROR(__xludf.DUMMYFUNCTION("IF(REGEXMATCH(C274, ""N""), ""N"","""")"),"N")</f>
        <v>N</v>
      </c>
      <c r="P274" s="238" t="str">
        <f>IFERROR(__xludf.DUMMYFUNCTION("IF(REGEXMATCH(C274, ""S""), ""S"","""")"),"S")</f>
        <v>S</v>
      </c>
      <c r="Q274" s="239" t="str">
        <f>IFERROR(__xludf.DUMMYFUNCTION("SUBSTITUTE(CONCATENATE(JOIN(""-"",D274:J274)),""-"","""")"),"SrGM")</f>
        <v>SrGM</v>
      </c>
      <c r="R274" s="229" t="str">
        <f>IFERROR(__xludf.DUMMYFUNCTION("SUBSTITUTE(CONCATENATE(JOIN(""-"",K274:P274)),""-"","""")"),"DNS")</f>
        <v>DNS</v>
      </c>
      <c r="S274" s="282" t="str">
        <f t="shared" si="8"/>
        <v>S-R-G-M</v>
      </c>
      <c r="T274" s="282" t="str">
        <f t="shared" si="9"/>
        <v>D-N-S</v>
      </c>
      <c r="U274" s="237" t="str">
        <f>IFERROR(__xludf.DUMMYFUNCTION("SUBSTITUTE(JOIN(""-"",S274,T274),""--"",""-"")"),"S-R-G-M-D-N-S")</f>
        <v>S-R-G-M-D-N-S</v>
      </c>
      <c r="V274" s="309" t="str">
        <f t="shared" si="10"/>
        <v>rGMDN</v>
      </c>
      <c r="W274" s="244" t="str">
        <f>IFERROR(__xludf.DUMMYFUNCTION("IF(REGEXMATCH(C274, ""S""), ""0"","""")"),"0")</f>
        <v>0</v>
      </c>
      <c r="X274" s="245" t="str">
        <f>IFERROR(__xludf.DUMMYFUNCTION("IF(REGEXMATCH(C274, ""r""), ""1"","""")"),"1")</f>
        <v>1</v>
      </c>
      <c r="Y274" s="246" t="str">
        <f>IFERROR(__xludf.DUMMYFUNCTION("IF(REGEXMATCH(C274, ""R""), ""2"","""")"),"")</f>
        <v/>
      </c>
      <c r="Z274" s="246" t="str">
        <f>IFERROR(__xludf.DUMMYFUNCTION("IF(REGEXMATCH(C274, ""g""), ""3"","""")"),"")</f>
        <v/>
      </c>
      <c r="AA274" s="245" t="str">
        <f>IFERROR(__xludf.DUMMYFUNCTION("IF(REGEXMATCH(C274, ""G""), ""4"","""")"),"4")</f>
        <v>4</v>
      </c>
      <c r="AB274" s="245" t="str">
        <f>IFERROR(__xludf.DUMMYFUNCTION("IF(REGEXMATCH(C274, ""m""), ""5"","""")"),"")</f>
        <v/>
      </c>
      <c r="AC274" s="246" t="str">
        <f>IFERROR(__xludf.DUMMYFUNCTION("IF(REGEXMATCH(C274, ""M""), ""6"","""")"),"6")</f>
        <v>6</v>
      </c>
      <c r="AD274" s="245" t="str">
        <f>IFERROR(__xludf.DUMMYFUNCTION("IF(REGEXMATCH(C274, ""P""), ""7"","""")"),"")</f>
        <v/>
      </c>
      <c r="AE274" s="246" t="str">
        <f>IFERROR(__xludf.DUMMYFUNCTION("IF(REGEXMATCH(C274, ""d""), ""8"","""")"),"")</f>
        <v/>
      </c>
      <c r="AF274" s="245" t="str">
        <f>IFERROR(__xludf.DUMMYFUNCTION("IF(REGEXMATCH(C274, ""D""), ""9"","""")"),"9")</f>
        <v>9</v>
      </c>
      <c r="AG274" s="245" t="str">
        <f>IFERROR(__xludf.DUMMYFUNCTION("IF(REGEXMATCH(C274, ""n""), ""10"","""")"),"")</f>
        <v/>
      </c>
      <c r="AH274" s="246" t="str">
        <f>IFERROR(__xludf.DUMMYFUNCTION("IF(REGEXMATCH(C274, ""N""), ""11"","""")"),"11")</f>
        <v>11</v>
      </c>
      <c r="AI274" s="249" t="str">
        <f>IFERROR(__xludf.DUMMYFUNCTION("IF(REGEXMATCH(C274, ""S""), ""0"","""")"),"0")</f>
        <v>0</v>
      </c>
      <c r="AJ274" s="313" t="str">
        <f t="shared" si="11"/>
        <v>T</v>
      </c>
      <c r="AK274" s="313" t="str">
        <f t="shared" si="12"/>
        <v>-</v>
      </c>
      <c r="AL274" s="313" t="str">
        <f t="shared" si="13"/>
        <v>-</v>
      </c>
      <c r="AM274" s="313" t="str">
        <f t="shared" si="14"/>
        <v>-</v>
      </c>
      <c r="AN274" s="313" t="str">
        <f t="shared" si="15"/>
        <v>-</v>
      </c>
      <c r="AO274" s="314" t="str">
        <f t="shared" si="16"/>
        <v>-</v>
      </c>
      <c r="AP274" s="316">
        <f t="shared" si="17"/>
        <v>1</v>
      </c>
      <c r="AQ274" s="319" t="str">
        <f t="shared" si="18"/>
        <v>#REF!</v>
      </c>
      <c r="AR274" s="320">
        <f t="shared" si="19"/>
        <v>0</v>
      </c>
      <c r="AS274" s="250" t="str">
        <f>IFERROR(__xludf.DUMMYFUNCTION("SUBSTITUTE(SUBSTITUTE(CONCATENATE(JOIN("""",FP274:GA274)),""|"",""x""),""-"",""o"")"),"xxooxoxooxox")</f>
        <v>xxooxoxooxox</v>
      </c>
      <c r="AT274" s="323" t="str">
        <f>IFERROR(__xludf.DUMMYFUNCTION("JOIN("""",AS274,AS274)"),"xxooxoxooxoxxxooxoxooxox")</f>
        <v>xxooxoxooxoxxxooxoxooxox</v>
      </c>
      <c r="AU274" s="256" t="str">
        <f>IFERROR(__xludf.DUMMYFUNCTION("JOIN("""",ArrayFormula(MID(AS274,LEN(AS274)-SEQUENCE(1,LEN(AS274))+1,1)))"),"xoxooxoxooxx")</f>
        <v>xoxooxoxooxx</v>
      </c>
      <c r="AV274" s="256" t="str">
        <f>IFERROR(__xludf.DUMMYFUNCTION("LEFT(CONCATENATE(""x"",JOIN("""",ArrayFormula(MID(AS274,LEN(AS274)-SEQUENCE(1,LEN(AS274))+1,1)))),12)"),"xxoxooxoxoox")</f>
        <v>xxoxooxoxoox</v>
      </c>
      <c r="AW274" s="327" t="str">
        <f>IFERROR(__xludf.DUMMYFUNCTION("JOIN("""",AU274,AU274)"),"xoxooxoxooxxxoxooxoxooxx")</f>
        <v>xoxooxoxooxxxoxooxoxooxx</v>
      </c>
      <c r="AX274" s="239" t="str">
        <f>IFERROR(__xludf.DUMMYFUNCTION("IF(REGEXMATCH(AW274,AS274),""✔"",""-"")"),"-")</f>
        <v>-</v>
      </c>
      <c r="AY274" s="330" t="str">
        <f t="shared" si="20"/>
        <v>-</v>
      </c>
      <c r="AZ274" s="260" t="str">
        <f t="shared" si="21"/>
        <v>#REF!</v>
      </c>
      <c r="BA274" s="333" t="str">
        <f t="shared" si="22"/>
        <v>xxooxox</v>
      </c>
      <c r="BB274" s="334" t="str">
        <f t="shared" si="23"/>
        <v>ooxoxx</v>
      </c>
      <c r="BC274" s="335" t="str">
        <f t="shared" si="236"/>
        <v>-</v>
      </c>
      <c r="BD274" s="336" t="str">
        <f t="shared" si="25"/>
        <v>Puriya: 'xxooxox' + 'ooxoxx'</v>
      </c>
      <c r="BE274" s="337">
        <f>IFERROR(__xludf.DUMMYFUNCTION("COUNTUNIQUE(FILTER(AT:AT,REGEXMATCH(AT:AT,AS274)))-1"),3.0)</f>
        <v>3</v>
      </c>
      <c r="BF274" s="261" t="str">
        <f>IFERROR(__xludf.DUMMYFUNCTION("IF(BI274=0,""(n/a)"",IF(BJ274=2,""(PAIR)"",IF(REGEXMATCH(AT274,""xoxoxxoxoxox""),""Bilawal"",IF(REGEXMATCH(AT274,""xoxoxooxoxoo""),""Bhupali"",IF(REGEXMATCH(AT274,""xoxoxxoxxoxo""),""Charukeshi"",IF(REGEXMATCH(AT274,""xoxoooxxoxxo""),""Kameshwari"",IF(REG"&amp;"EXMATCH(AT274,""xoxoxooxoxox""),""Shankara"",IF(REGEXMATCH(AT274,""xxooxoxxxoox""),""Basant"",IF(REGEXMATCH(AT274,""xoxoxxxxoxox""),""Bihag"",IF(REGEXMATCH(AT274,""xoxxxxoxoxxx""),""Pilu"",IF(REGEXMATCH(AT274,""xoxxoxoxxoox""),""Kirwani"",IF(REGEXMATCH(AT"&amp;"274,""xoxxoxoxoxxx""),""Mk.Malhar"",IF(REGEXMATCH(AT274,""xxooxxoxxoox""),""Bhairav"",IF(REGEXMATCH(AT274,""xxoxooxxxoox""),""Todi"",IF(REGEXMATCH(AT274,""xxooxoxooxox""),""Marwa"",IF(REGEXMATCH(AT274,""xxoooxoxxooo""),""Gunkali"",IF(REGEXMATCH(AT274,""xo"&amp;"xoxxoxxoox""),""Nat Bhairav"",IF(REGEXMATCH(AT274,""xoxxoooxoxoo""),""Shivranjani"",IF(REGEXMATCH(AT274,""xooxxxoxooxo""),""Jog"",IF(REGEXMATCH(AT274,""xxooxoxoxoox""),""Hemshri"",IF(REGEXMATCH(AT274,""xoooxooxoxxo""),""Kalavati"",IF(REGEXMATCH(AT274,""xx"&amp;"oxoxxoxoox""),""Kedar"",IF(REGEXMATCH(AT274,""xoxxxxoxooxx""),""Gara"",IF(REGEXMATCH(AT274,""xooxoxooxoox""),""Chandrakauns"",IF(REGEXMATCH(AT274,""xoxxxxoxxxox""),""Mand"",IF(REGEXMATCH(AT274,""xoxxxxoxoxox""),""Hanskinkini"",IF(REGEXMATCH(AT274,""xxooxx"&amp;"oxooxo""),""Lilavati"",IF(REGEXMATCH(AT274,""xooxoxoooxox""),""Rajeshwari"",IF(REGEXMATCH(AT274,""xoooxxoxoxxx""),""Khokar"",IF(REGEXMATCH(AT274,""xxooxoxxxxox""),""Maligoura"",""-""))))))))))))))))))))))))))))))"),"Marwa")</f>
        <v>Marwa</v>
      </c>
      <c r="BG274" s="239" t="str">
        <f t="shared" si="26"/>
        <v>#REF!</v>
      </c>
      <c r="BH274" s="239">
        <f>IFERROR(__xludf.DUMMYFUNCTION("COUNTUNIQUE(FE274:FO274)-1"),5.0)</f>
        <v>5</v>
      </c>
      <c r="BI274" s="239">
        <f>IFERROR(__xludf.DUMMYFUNCTION("COUNTUNIQUE(FILTER(AT:AT,REGEXMATCH(AT:AT,AS274)))-1"),3.0)</f>
        <v>3</v>
      </c>
      <c r="BJ274" s="239">
        <f>IFERROR(__xludf.DUMMYFUNCTION("COUNTA(FILTER(AT:AT,REGEXMATCH(AT:AT,AS274)))"),6.0)</f>
        <v>6</v>
      </c>
      <c r="BK274" s="341">
        <f>IFERROR(__xludf.DUMMYFUNCTION("COUNTA(FILTER(AT:AT,REGEXMATCH(AT:AT,AS274)))-AR274"),6.0)</f>
        <v>6</v>
      </c>
      <c r="BL274" s="276" t="str">
        <f>IFERROR(__xludf.DUMMYFUNCTION("IF(AS274=""oooooooooooo"",""-"",IF(REGEXMATCH(AT274,""xx""), ""Hemi."", ""Anhemi.""))"),"Hemi.")</f>
        <v>Hemi.</v>
      </c>
      <c r="BM274" s="282" t="str">
        <f>IFERROR(__xludf.DUMMYFUNCTION("IF(AS274=""oooooooooooo"",""-"",IF(REGEXMATCH(AT274,""xxx""), ""Cohem."", ""-""))"),"Cohem.")</f>
        <v>Cohem.</v>
      </c>
      <c r="BN274" s="282" t="str">
        <f>IFERROR(__xludf.DUMMYFUNCTION("IF(AS274=""oooooooooooo"",""-"",IF(REGEXMATCH(AT274,""xxxx""), ""Co-Co."", ""-""))"),"-")</f>
        <v>-</v>
      </c>
      <c r="BO274" s="342" t="str">
        <f>IFERROR(__xludf.DUMMYFUNCTION("IF(AS274=""oooooooooooo"",""-"",IF(REGEXMATCH(AT274,""xxxxx""), ""CCC."", ""-""))"),"-")</f>
        <v>-</v>
      </c>
      <c r="BP274" s="344" t="str">
        <f t="shared" si="27"/>
        <v>-</v>
      </c>
      <c r="BQ274" s="282" t="str">
        <f>IFERROR(__xludf.DUMMYFUNCTION("IF(REGEXMATCH(JOIN(""-"",EU274:FD274),""TRUE""),""✔"",""-"")"),"✔")</f>
        <v>✔</v>
      </c>
      <c r="BR274" s="225">
        <f t="shared" si="28"/>
        <v>1</v>
      </c>
      <c r="BS274" s="345" t="str">
        <f>IFERROR(__xludf.DUMMYFUNCTION("SUBSTITUTE(SUBSTITUTE(SUBSTITUTE(SUBSTITUTE(CONCATENATE(JOIN(""-"",GC274:GO274)),""--"",""-""),""--"",""-""),""--"",""-""),""--"",""-"")"),"1-b2-3-#4-6-7-8")</f>
        <v>1-b2-3-#4-6-7-8</v>
      </c>
      <c r="BT274" s="299" t="str">
        <f>IFERROR(__xludf.DUMMYFUNCTION("SUBSTITUTE(SUBSTITUTE(SUBSTITUTE(SUBSTITUTE(CONCATENATE(JOIN(""-"",GP274:HB274)),""--"",""-""),""--"",""-""),""--"",""-""),""--"",""-"")"),"S-R1-G3-M2-D2-N3-S")</f>
        <v>S-R1-G3-M2-D2-N3-S</v>
      </c>
      <c r="BU274" s="348" t="str">
        <f t="shared" si="29"/>
        <v>C-Db-E-F#-A-B-C</v>
      </c>
      <c r="BV274" s="349" t="str">
        <f t="shared" si="30"/>
        <v>SRgmPdnS</v>
      </c>
      <c r="BW274" s="350">
        <f t="shared" si="31"/>
        <v>7</v>
      </c>
      <c r="BX274" s="351">
        <f t="shared" si="32"/>
        <v>3</v>
      </c>
      <c r="BY274" s="392"/>
      <c r="BZ274" s="309" t="str">
        <f>IFERROR(__xludf.DUMMYFUNCTION("IF(REGEXMATCH(C274, ""S""), ""x"",""x"")"),"x")</f>
        <v>x</v>
      </c>
      <c r="CA274" s="245" t="str">
        <f>IFERROR(__xludf.DUMMYFUNCTION("IF(REGEXMATCH(C274, ""r""), ""o"",""x"")"),"o")</f>
        <v>o</v>
      </c>
      <c r="CB274" s="246" t="str">
        <f>IFERROR(__xludf.DUMMYFUNCTION("IF(REGEXMATCH(C274, ""R""), ""o"",""x"")"),"x")</f>
        <v>x</v>
      </c>
      <c r="CC274" s="246" t="str">
        <f>IFERROR(__xludf.DUMMYFUNCTION("IF(REGEXMATCH(C274, ""g""), ""o"",""x"")"),"x")</f>
        <v>x</v>
      </c>
      <c r="CD274" s="245" t="str">
        <f>IFERROR(__xludf.DUMMYFUNCTION("IF(REGEXMATCH(C274, ""G""), ""o"",""x"")"),"o")</f>
        <v>o</v>
      </c>
      <c r="CE274" s="245" t="str">
        <f>IFERROR(__xludf.DUMMYFUNCTION("IF(REGEXMATCH(C274, ""m""), ""o"",""x"")"),"x")</f>
        <v>x</v>
      </c>
      <c r="CF274" s="246" t="str">
        <f>IFERROR(__xludf.DUMMYFUNCTION("IF(REGEXMATCH(C274, ""M""), ""o"",""x"")"),"o")</f>
        <v>o</v>
      </c>
      <c r="CG274" s="245" t="str">
        <f>IFERROR(__xludf.DUMMYFUNCTION("IF(REGEXMATCH(C274, ""P""), ""o"",""x"")"),"x")</f>
        <v>x</v>
      </c>
      <c r="CH274" s="246" t="str">
        <f>IFERROR(__xludf.DUMMYFUNCTION("IF(REGEXMATCH(C274, ""d""), ""o"",""x"")"),"x")</f>
        <v>x</v>
      </c>
      <c r="CI274" s="245" t="str">
        <f>IFERROR(__xludf.DUMMYFUNCTION("IF(REGEXMATCH(C274, ""D""), ""o"",""x"")"),"o")</f>
        <v>o</v>
      </c>
      <c r="CJ274" s="245" t="str">
        <f>IFERROR(__xludf.DUMMYFUNCTION("IF(REGEXMATCH(C274, ""n""), ""o"",""x"")"),"x")</f>
        <v>x</v>
      </c>
      <c r="CK274" s="245" t="str">
        <f>IFERROR(__xludf.DUMMYFUNCTION("IF(REGEXMATCH(C274, ""N""), ""o"",""x"")"),"o")</f>
        <v>o</v>
      </c>
      <c r="CL274" s="356" t="str">
        <f>IFERROR(__xludf.DUMMYFUNCTION("IF(REGEXMATCH(C274, ""S""), ""x"",""x"")"),"x")</f>
        <v>x</v>
      </c>
      <c r="CM274" s="357" t="str">
        <f t="shared" si="33"/>
        <v>xoxxoxoxxoxo</v>
      </c>
      <c r="CN274" s="358">
        <f t="shared" si="34"/>
        <v>7</v>
      </c>
      <c r="CO274" s="246" t="str">
        <f>IFERROR(__xludf.DUMMYFUNCTION("IF(REGEXMATCH($C274, ""S""), ""S"",""S"")"),"S")</f>
        <v>S</v>
      </c>
      <c r="CP274" s="246" t="str">
        <f>IFERROR(__xludf.DUMMYFUNCTION("IF(REGEXMATCH($C274, ""r""), """",""r"")"),"")</f>
        <v/>
      </c>
      <c r="CQ274" s="246" t="str">
        <f>IFERROR(__xludf.DUMMYFUNCTION("IF(REGEXMATCH($C274, ""R""), """",""R"")"),"R")</f>
        <v>R</v>
      </c>
      <c r="CR274" s="246" t="str">
        <f>IFERROR(__xludf.DUMMYFUNCTION("IF(REGEXMATCH($C274, ""g""), """",""g"")"),"g")</f>
        <v>g</v>
      </c>
      <c r="CS274" s="246" t="str">
        <f>IFERROR(__xludf.DUMMYFUNCTION("IF(REGEXMATCH($C274, ""G""), """",""G"")"),"")</f>
        <v/>
      </c>
      <c r="CT274" s="246" t="str">
        <f>IFERROR(__xludf.DUMMYFUNCTION("IF(REGEXMATCH($C274, ""m""), """",""m"")"),"m")</f>
        <v>m</v>
      </c>
      <c r="CU274" s="246" t="str">
        <f>IFERROR(__xludf.DUMMYFUNCTION("IF(REGEXMATCH($C274, ""M""), """",""M"")"),"")</f>
        <v/>
      </c>
      <c r="CV274" s="246" t="str">
        <f>IFERROR(__xludf.DUMMYFUNCTION("IF(REGEXMATCH($C274, ""P""), """",""P"")"),"P")</f>
        <v>P</v>
      </c>
      <c r="CW274" s="246" t="str">
        <f>IFERROR(__xludf.DUMMYFUNCTION("IF(REGEXMATCH($C274, ""d""), """",""d"")"),"d")</f>
        <v>d</v>
      </c>
      <c r="CX274" s="246" t="str">
        <f>IFERROR(__xludf.DUMMYFUNCTION("IF(REGEXMATCH($C274, ""D""), """",""D"")"),"")</f>
        <v/>
      </c>
      <c r="CY274" s="246" t="str">
        <f>IFERROR(__xludf.DUMMYFUNCTION("IF(REGEXMATCH($C274, ""n""), """",""n"")"),"n")</f>
        <v>n</v>
      </c>
      <c r="CZ274" s="246" t="str">
        <f>IFERROR(__xludf.DUMMYFUNCTION("IF(REGEXMATCH($C274, ""N""), """",""N"")"),"")</f>
        <v/>
      </c>
      <c r="DA274" s="246" t="str">
        <f>IFERROR(__xludf.DUMMYFUNCTION("IF(REGEXMATCH($C274, ""S""), ""S"",""S"")"),"S")</f>
        <v>S</v>
      </c>
      <c r="DB274" s="362" t="str">
        <f>IFERROR(__xludf.DUMMYFUNCTION("JOIN("""",CO274:DA274,"""","""")"),"SRgmPdnS")</f>
        <v>SRgmPdnS</v>
      </c>
      <c r="DC274" s="363"/>
      <c r="DD274" s="301" t="str">
        <f t="shared" si="35"/>
        <v>#REF!</v>
      </c>
      <c r="DE274" s="302" t="str">
        <f t="shared" si="36"/>
        <v>#REF!</v>
      </c>
      <c r="DF274" s="301" t="str">
        <f t="shared" ref="DF274:DG274" si="771">SUBSTITUTE(S274,"-","")</f>
        <v>SRGM</v>
      </c>
      <c r="DG274" s="301" t="str">
        <f t="shared" si="771"/>
        <v>DNS</v>
      </c>
      <c r="DH274" s="302" t="str">
        <f t="shared" si="38"/>
        <v>Marwa</v>
      </c>
      <c r="DI274" s="301" t="str">
        <f t="shared" si="39"/>
        <v>Hemi.</v>
      </c>
      <c r="DJ274" s="364" t="str">
        <f t="shared" si="40"/>
        <v>Cohem.</v>
      </c>
      <c r="DK274" s="306" t="str">
        <f t="shared" si="41"/>
        <v>-</v>
      </c>
      <c r="DL274" s="366" t="str">
        <f t="shared" si="42"/>
        <v>✔</v>
      </c>
      <c r="DM274" s="308" t="str">
        <f t="shared" si="43"/>
        <v>-</v>
      </c>
      <c r="DN274" s="306" t="str">
        <f t="shared" si="44"/>
        <v>-</v>
      </c>
      <c r="DO274" s="306" t="str">
        <f t="shared" si="45"/>
        <v>-</v>
      </c>
      <c r="DP274" s="367" t="str">
        <f t="shared" si="46"/>
        <v>✔</v>
      </c>
      <c r="DQ274" s="310" t="str">
        <f t="shared" si="47"/>
        <v>-</v>
      </c>
      <c r="DR274" s="310" t="str">
        <f t="shared" si="48"/>
        <v>-</v>
      </c>
      <c r="DS274" s="310" t="str">
        <f t="shared" si="49"/>
        <v>-</v>
      </c>
      <c r="DT274" s="310" t="str">
        <f t="shared" si="50"/>
        <v>-</v>
      </c>
      <c r="DU274" s="370" t="str">
        <f t="shared" si="51"/>
        <v>-</v>
      </c>
      <c r="DV274" s="306" t="str">
        <f t="shared" si="52"/>
        <v>-</v>
      </c>
      <c r="DW274" s="306" t="str">
        <f t="shared" si="53"/>
        <v>-</v>
      </c>
      <c r="DX274" s="306" t="str">
        <f t="shared" si="54"/>
        <v>-</v>
      </c>
      <c r="DY274" s="306" t="str">
        <f t="shared" si="55"/>
        <v>✔</v>
      </c>
      <c r="DZ274" s="306" t="str">
        <f t="shared" si="56"/>
        <v>-</v>
      </c>
      <c r="EA274" s="367" t="str">
        <f t="shared" si="57"/>
        <v>-</v>
      </c>
      <c r="EB274" s="310" t="str">
        <f>IFERROR(__xludf.DUMMYFUNCTION("IF(REGEXMATCH(AW274,AS274),""✔"",""-"")"),"-")</f>
        <v>-</v>
      </c>
      <c r="EC274" s="310" t="str">
        <f t="shared" si="58"/>
        <v>#REF!</v>
      </c>
      <c r="ED274" s="370" t="str">
        <f t="shared" si="59"/>
        <v>-</v>
      </c>
      <c r="EE274" s="340" t="str">
        <f t="shared" si="60"/>
        <v>S-r-G-M-D-N-S</v>
      </c>
      <c r="EF274" s="371" t="str">
        <f>IFERROR(__xludf.DUMMYFUNCTION("CONCATENATE(JOIN("""",HC274:HO274))"),"SrgMdNS")</f>
        <v>SrgMdNS</v>
      </c>
      <c r="EG274" s="372">
        <f t="shared" si="61"/>
        <v>2</v>
      </c>
      <c r="EH274" s="373" t="str">
        <f>IFERROR(__xludf.DUMMYFUNCTION("CONCATENATE(JOIN("""",JC274:JO274))"),"Sa, re, ")</f>
        <v>Sa, re, </v>
      </c>
      <c r="EI274" s="322">
        <f t="shared" si="62"/>
        <v>1</v>
      </c>
      <c r="EJ274" s="374" t="str">
        <f>IFERROR(__xludf.DUMMYFUNCTION("CONCATENATE(JOIN("""",KC274:KO274))"),"Sa, ")</f>
        <v>Sa, </v>
      </c>
      <c r="EK274" s="325" t="str">
        <f t="shared" si="63"/>
        <v>S-R1-G3-M2-D2-N3-S</v>
      </c>
      <c r="EL274" s="326" t="str">
        <f t="shared" si="64"/>
        <v>1-b2-3-#4-6-7-8</v>
      </c>
      <c r="EM274" s="318" t="str">
        <f t="shared" si="65"/>
        <v>#REF!</v>
      </c>
      <c r="EN274" s="328" t="str">
        <f>IFERROR(__xludf.DUMMYFUNCTION("SUBSTITUTE(SUBSTITUTE(SUBSTITUTE(SUBSTITUTE(CONCATENATE(JOIN("" "",HP274:IB274)),""  "","" ""),""  "","" ""),""  "","" ""),""  "","" "")"),"o o • • o • o • • o • o o")</f>
        <v>o o • • o • o • • o • o o</v>
      </c>
      <c r="EO274" s="368" t="str">
        <f t="shared" si="66"/>
        <v>Sa-Pa</v>
      </c>
      <c r="EP274" s="339" t="str">
        <f t="shared" si="67"/>
        <v>Sa-Pa</v>
      </c>
      <c r="EQ274" s="339" t="str">
        <f t="shared" si="68"/>
        <v>-</v>
      </c>
      <c r="ER274" s="339" t="str">
        <f t="shared" si="69"/>
        <v>-</v>
      </c>
      <c r="ES274" s="340" t="str">
        <f t="shared" si="70"/>
        <v>-</v>
      </c>
      <c r="ET274" s="363"/>
      <c r="EU274" s="376" t="b">
        <f>IFERROR(__xludf.DUMMYFUNCTION("arrayformula(sum(--REGEXMATCH(""SRGMPDNS"",split(REGEXREPLACE(C274,""(.)"",""$1~""),""~""))))=len(C274)
"),FALSE)</f>
        <v>0</v>
      </c>
      <c r="EV274" s="290" t="b">
        <f>IFERROR(__xludf.DUMMYFUNCTION("arrayformula(sum(--REGEXMATCH(""SRGmPDNS"",split(REGEXREPLACE(C274,""(.)"",""$1~""),""~""))))=len(C274)"),FALSE)</f>
        <v>0</v>
      </c>
      <c r="EW274" s="290" t="b">
        <f>IFERROR(__xludf.DUMMYFUNCTION("arrayformula(sum(--REGEXMATCH(""SRGmPDnS"",split(REGEXREPLACE(C274,""(.)"",""$1~""),""~""))))=len(C274)"),FALSE)</f>
        <v>0</v>
      </c>
      <c r="EX274" s="290" t="b">
        <f>IFERROR(__xludf.DUMMYFUNCTION("arrayformula(sum(--REGEXMATCH(""SRgmPDnS"",split(REGEXREPLACE(C274,""(.)"",""$1~""),""~""))))=len(C274)"),FALSE)</f>
        <v>0</v>
      </c>
      <c r="EY274" s="290" t="b">
        <f>IFERROR(__xludf.DUMMYFUNCTION("arrayformula(sum(--REGEXMATCH(""SRgmPdnS"",split(REGEXREPLACE(C274,""(.)"",""$1~""),""~""))))=len(C274)"),FALSE)</f>
        <v>0</v>
      </c>
      <c r="EZ274" s="290" t="b">
        <f>IFERROR(__xludf.DUMMYFUNCTION("arrayformula(sum(--REGEXMATCH(""SrgmPdnS"",split(REGEXREPLACE(C274,""(.)"",""$1~""),""~""))))=len(C274)"),FALSE)</f>
        <v>0</v>
      </c>
      <c r="FA274" s="290" t="b">
        <f>IFERROR(__xludf.DUMMYFUNCTION("arrayformula(sum(--REGEXMATCH(""SrGmPdNS"",split(REGEXREPLACE(C274,""(.)"",""$1~""),""~""))))=len(C274)"),FALSE)</f>
        <v>0</v>
      </c>
      <c r="FB274" s="290" t="b">
        <f>IFERROR(__xludf.DUMMYFUNCTION("arrayformula(sum(--REGEXMATCH(""SrGMPDNS"",split(REGEXREPLACE(C274,""(.)"",""$1~""),""~""))))=len(C274)"),TRUE)</f>
        <v>1</v>
      </c>
      <c r="FC274" s="290" t="b">
        <f>IFERROR(__xludf.DUMMYFUNCTION("arrayformula(sum(--REGEXMATCH(""SrGMPdNS"",split(REGEXREPLACE(C274,""(.)"",""$1~""),""~""))))=len(C274)"),FALSE)</f>
        <v>0</v>
      </c>
      <c r="FD274" s="377" t="b">
        <f>IFERROR(__xludf.DUMMYFUNCTION("arrayformula(sum(--REGEXMATCH(""SrgMPdNS"",split(REGEXREPLACE(C274,""(.)"",""$1~""),""~""))))=len(C274)"),FALSE)</f>
        <v>0</v>
      </c>
      <c r="FE274" s="269" t="str">
        <f t="shared" si="71"/>
        <v>xooxoxooxox</v>
      </c>
      <c r="FF274" s="269" t="str">
        <f t="shared" si="72"/>
        <v>-</v>
      </c>
      <c r="FG274" s="271" t="str">
        <f t="shared" si="73"/>
        <v>-</v>
      </c>
      <c r="FH274" s="269" t="str">
        <f t="shared" si="74"/>
        <v>xoxooxoxxxo</v>
      </c>
      <c r="FI274" s="271" t="str">
        <f t="shared" si="75"/>
        <v>-</v>
      </c>
      <c r="FJ274" s="271" t="str">
        <f t="shared" si="76"/>
        <v>xooxoxxxoox</v>
      </c>
      <c r="FK274" s="271" t="str">
        <f t="shared" si="77"/>
        <v>-</v>
      </c>
      <c r="FL274" s="271" t="str">
        <f t="shared" si="78"/>
        <v>-</v>
      </c>
      <c r="FM274" s="271" t="str">
        <f t="shared" si="79"/>
        <v>xoxxxooxoxo</v>
      </c>
      <c r="FN274" s="271" t="str">
        <f t="shared" si="80"/>
        <v>-</v>
      </c>
      <c r="FO274" s="274" t="str">
        <f t="shared" si="81"/>
        <v>xxxooxoxoox</v>
      </c>
      <c r="FP274" s="234" t="str">
        <f t="shared" si="82"/>
        <v>|</v>
      </c>
      <c r="FQ274" s="236" t="str">
        <f t="shared" si="83"/>
        <v>|</v>
      </c>
      <c r="FR274" s="237" t="str">
        <f t="shared" si="84"/>
        <v>-</v>
      </c>
      <c r="FS274" s="236" t="str">
        <f t="shared" si="85"/>
        <v>-</v>
      </c>
      <c r="FT274" s="237" t="str">
        <f t="shared" si="86"/>
        <v>|</v>
      </c>
      <c r="FU274" s="236" t="str">
        <f t="shared" si="87"/>
        <v>-</v>
      </c>
      <c r="FV274" s="237" t="str">
        <f t="shared" si="88"/>
        <v>|</v>
      </c>
      <c r="FW274" s="236" t="str">
        <f t="shared" si="89"/>
        <v>-</v>
      </c>
      <c r="FX274" s="237" t="str">
        <f t="shared" si="90"/>
        <v>-</v>
      </c>
      <c r="FY274" s="236" t="str">
        <f t="shared" si="91"/>
        <v>|</v>
      </c>
      <c r="FZ274" s="237" t="str">
        <f t="shared" si="92"/>
        <v>-</v>
      </c>
      <c r="GA274" s="236" t="str">
        <f t="shared" si="93"/>
        <v>|</v>
      </c>
      <c r="GB274" s="238" t="str">
        <f t="shared" si="94"/>
        <v>|</v>
      </c>
      <c r="GC274" s="244" t="str">
        <f>IFERROR(__xludf.DUMMYFUNCTION("IF(REGEXMATCH(C274, ""S""), ""1"","""")"),"1")</f>
        <v>1</v>
      </c>
      <c r="GD274" s="245" t="str">
        <f>IFERROR(__xludf.DUMMYFUNCTION("IF(REGEXMATCH(C274, ""r""), ""b2"","""")"),"b2")</f>
        <v>b2</v>
      </c>
      <c r="GE274" s="246" t="str">
        <f>IFERROR(__xludf.DUMMYFUNCTION("IF(REGEXMATCH(C274, ""R""), ""2"","""")"),"")</f>
        <v/>
      </c>
      <c r="GF274" s="246" t="str">
        <f>IFERROR(__xludf.DUMMYFUNCTION("IF(REGEXMATCH(C274, ""g""), ""b3"","""")"),"")</f>
        <v/>
      </c>
      <c r="GG274" s="245" t="str">
        <f>IFERROR(__xludf.DUMMYFUNCTION("IF(REGEXMATCH(C274, ""G""), ""3"","""")"),"3")</f>
        <v>3</v>
      </c>
      <c r="GH274" s="245" t="str">
        <f>IFERROR(__xludf.DUMMYFUNCTION("IF(REGEXMATCH(C274, ""m""), ""4"","""")"),"")</f>
        <v/>
      </c>
      <c r="GI274" s="246" t="str">
        <f>IFERROR(__xludf.DUMMYFUNCTION("IF(REGEXMATCH(C274, ""M""), ""#4"","""")"),"#4")</f>
        <v>#4</v>
      </c>
      <c r="GJ274" s="245" t="str">
        <f>IFERROR(__xludf.DUMMYFUNCTION("IF(REGEXMATCH(C274, ""P""), ""5"","""")"),"")</f>
        <v/>
      </c>
      <c r="GK274" s="246" t="str">
        <f>IFERROR(__xludf.DUMMYFUNCTION("IF(REGEXMATCH(C274, ""d""), ""b6"","""")"),"")</f>
        <v/>
      </c>
      <c r="GL274" s="245" t="str">
        <f>IFERROR(__xludf.DUMMYFUNCTION("IF(REGEXMATCH(C274, ""D""), ""6"","""")"),"6")</f>
        <v>6</v>
      </c>
      <c r="GM274" s="245" t="str">
        <f>IFERROR(__xludf.DUMMYFUNCTION("IF(REGEXMATCH(C274, ""n""), ""b7"","""")"),"")</f>
        <v/>
      </c>
      <c r="GN274" s="246" t="str">
        <f>IFERROR(__xludf.DUMMYFUNCTION("IF(REGEXMATCH(C274, ""N""), ""7"","""")"),"7")</f>
        <v>7</v>
      </c>
      <c r="GO274" s="249" t="str">
        <f>IFERROR(__xludf.DUMMYFUNCTION("IF(REGEXMATCH(C274, ""S""), ""8"","""")"),"8")</f>
        <v>8</v>
      </c>
      <c r="GP274" s="244" t="str">
        <f>IFERROR(__xludf.DUMMYFUNCTION("IF(REGEXMATCH(C274, ""S""), ""S"","""")"),"S")</f>
        <v>S</v>
      </c>
      <c r="GQ274" s="294" t="str">
        <f>IFERROR(__xludf.DUMMYFUNCTION("IF(REGEXMATCH(C274, ""r""), ""R1"","""")"),"R1")</f>
        <v>R1</v>
      </c>
      <c r="GR274" s="295" t="str">
        <f>IFERROR(__xludf.DUMMYFUNCTION("IF(REGEXMATCH(C274, ""R""), ""R2"","""")"),"")</f>
        <v/>
      </c>
      <c r="GS274" s="295" t="str">
        <f>IFERROR(__xludf.DUMMYFUNCTION("IF(REGEXMATCH(C274, ""g""), ""G2"","""")"),"")</f>
        <v/>
      </c>
      <c r="GT274" s="294" t="str">
        <f>IFERROR(__xludf.DUMMYFUNCTION("IF(REGEXMATCH(C274, ""G""), ""G3"","""")"),"G3")</f>
        <v>G3</v>
      </c>
      <c r="GU274" s="294" t="str">
        <f>IFERROR(__xludf.DUMMYFUNCTION("IF(REGEXMATCH(C274, ""m""), ""M1"","""")"),"")</f>
        <v/>
      </c>
      <c r="GV274" s="295" t="str">
        <f>IFERROR(__xludf.DUMMYFUNCTION("IF(REGEXMATCH(C274, ""M""), ""M2"","""")"),"M2")</f>
        <v>M2</v>
      </c>
      <c r="GW274" s="294" t="str">
        <f>IFERROR(__xludf.DUMMYFUNCTION("IF(REGEXMATCH(C274, ""P""), ""P"","""")"),"")</f>
        <v/>
      </c>
      <c r="GX274" s="295" t="str">
        <f>IFERROR(__xludf.DUMMYFUNCTION("IF(REGEXMATCH(C274, ""d""), ""D1"","""")"),"")</f>
        <v/>
      </c>
      <c r="GY274" s="294" t="str">
        <f>IFERROR(__xludf.DUMMYFUNCTION("IF(REGEXMATCH(C274, ""D""), ""D2"","""")"),"D2")</f>
        <v>D2</v>
      </c>
      <c r="GZ274" s="294" t="str">
        <f>IFERROR(__xludf.DUMMYFUNCTION("IF(REGEXMATCH(C274, ""n""), ""N2"","""")"),"")</f>
        <v/>
      </c>
      <c r="HA274" s="295" t="str">
        <f>IFERROR(__xludf.DUMMYFUNCTION("IF(REGEXMATCH(C274, ""N""), ""N3"","""")"),"N3")</f>
        <v>N3</v>
      </c>
      <c r="HB274" s="249" t="str">
        <f>IFERROR(__xludf.DUMMYFUNCTION("IF(REGEXMATCH(C274, ""S""), ""S"","""")"),"S")</f>
        <v>S</v>
      </c>
      <c r="HC274" s="331" t="str">
        <f t="shared" si="95"/>
        <v>S</v>
      </c>
      <c r="HD274" s="332" t="str">
        <f t="shared" si="96"/>
        <v>r</v>
      </c>
      <c r="HE274" s="332" t="str">
        <f t="shared" si="97"/>
        <v/>
      </c>
      <c r="HF274" s="332" t="str">
        <f t="shared" si="98"/>
        <v>g</v>
      </c>
      <c r="HG274" s="332" t="str">
        <f t="shared" si="99"/>
        <v/>
      </c>
      <c r="HH274" s="332" t="str">
        <f t="shared" si="100"/>
        <v/>
      </c>
      <c r="HI274" s="332" t="str">
        <f t="shared" si="101"/>
        <v>M</v>
      </c>
      <c r="HJ274" s="332" t="str">
        <f t="shared" si="102"/>
        <v/>
      </c>
      <c r="HK274" s="332" t="str">
        <f t="shared" si="103"/>
        <v>d</v>
      </c>
      <c r="HL274" s="332" t="str">
        <f t="shared" si="104"/>
        <v/>
      </c>
      <c r="HM274" s="332" t="str">
        <f t="shared" si="105"/>
        <v/>
      </c>
      <c r="HN274" s="332" t="str">
        <f t="shared" si="106"/>
        <v>N</v>
      </c>
      <c r="HO274" s="343" t="str">
        <f t="shared" si="107"/>
        <v>S</v>
      </c>
      <c r="HP274" s="331" t="str">
        <f t="shared" si="108"/>
        <v>o</v>
      </c>
      <c r="HQ274" s="332" t="str">
        <f t="shared" si="109"/>
        <v>o</v>
      </c>
      <c r="HR274" s="332" t="str">
        <f t="shared" si="110"/>
        <v>•</v>
      </c>
      <c r="HS274" s="332" t="str">
        <f t="shared" si="111"/>
        <v>•</v>
      </c>
      <c r="HT274" s="332" t="str">
        <f t="shared" si="112"/>
        <v>o</v>
      </c>
      <c r="HU274" s="332" t="str">
        <f t="shared" si="113"/>
        <v>•</v>
      </c>
      <c r="HV274" s="332" t="str">
        <f t="shared" si="114"/>
        <v>o</v>
      </c>
      <c r="HW274" s="332" t="str">
        <f t="shared" si="115"/>
        <v>•</v>
      </c>
      <c r="HX274" s="332" t="str">
        <f t="shared" si="116"/>
        <v>•</v>
      </c>
      <c r="HY274" s="332" t="str">
        <f t="shared" si="117"/>
        <v>o</v>
      </c>
      <c r="HZ274" s="332" t="str">
        <f t="shared" si="118"/>
        <v>•</v>
      </c>
      <c r="IA274" s="332" t="str">
        <f t="shared" si="119"/>
        <v>o</v>
      </c>
      <c r="IB274" s="338" t="str">
        <f t="shared" si="120"/>
        <v>o</v>
      </c>
      <c r="IC274" s="331" t="str">
        <f t="shared" si="121"/>
        <v>•</v>
      </c>
      <c r="ID274" s="332" t="str">
        <f t="shared" si="122"/>
        <v>•</v>
      </c>
      <c r="IE274" s="332" t="str">
        <f t="shared" si="123"/>
        <v>o</v>
      </c>
      <c r="IF274" s="332" t="str">
        <f t="shared" si="124"/>
        <v>o</v>
      </c>
      <c r="IG274" s="332" t="str">
        <f t="shared" si="125"/>
        <v>•</v>
      </c>
      <c r="IH274" s="332" t="str">
        <f t="shared" si="126"/>
        <v>o</v>
      </c>
      <c r="II274" s="332" t="str">
        <f t="shared" si="127"/>
        <v>•</v>
      </c>
      <c r="IJ274" s="332" t="str">
        <f t="shared" si="128"/>
        <v>o</v>
      </c>
      <c r="IK274" s="332" t="str">
        <f t="shared" si="129"/>
        <v>o</v>
      </c>
      <c r="IL274" s="332" t="str">
        <f t="shared" si="130"/>
        <v>•</v>
      </c>
      <c r="IM274" s="332" t="str">
        <f t="shared" si="131"/>
        <v>o</v>
      </c>
      <c r="IN274" s="332" t="str">
        <f t="shared" si="132"/>
        <v>•</v>
      </c>
      <c r="IO274" s="338" t="str">
        <f t="shared" si="133"/>
        <v>•</v>
      </c>
      <c r="IP274" s="346" t="b">
        <f t="shared" si="134"/>
        <v>1</v>
      </c>
      <c r="IQ274" s="347" t="b">
        <f t="shared" si="135"/>
        <v>1</v>
      </c>
      <c r="IR274" s="347" t="b">
        <f t="shared" si="136"/>
        <v>0</v>
      </c>
      <c r="IS274" s="347" t="b">
        <f t="shared" si="137"/>
        <v>0</v>
      </c>
      <c r="IT274" s="347" t="b">
        <f t="shared" si="138"/>
        <v>0</v>
      </c>
      <c r="IU274" s="347" t="b">
        <f t="shared" si="139"/>
        <v>0</v>
      </c>
      <c r="IV274" s="347" t="b">
        <f t="shared" si="140"/>
        <v>0</v>
      </c>
      <c r="IW274" s="347" t="b">
        <f t="shared" si="141"/>
        <v>0</v>
      </c>
      <c r="IX274" s="347" t="b">
        <f t="shared" si="142"/>
        <v>0</v>
      </c>
      <c r="IY274" s="347" t="b">
        <f t="shared" si="143"/>
        <v>0</v>
      </c>
      <c r="IZ274" s="347" t="b">
        <f t="shared" si="144"/>
        <v>0</v>
      </c>
      <c r="JA274" s="347" t="b">
        <f t="shared" si="145"/>
        <v>0</v>
      </c>
      <c r="JB274" s="353" t="b">
        <f t="shared" si="146"/>
        <v>1</v>
      </c>
      <c r="JC274" s="354" t="str">
        <f t="shared" si="147"/>
        <v>Sa, </v>
      </c>
      <c r="JD274" s="355" t="str">
        <f t="shared" si="148"/>
        <v>re, </v>
      </c>
      <c r="JE274" s="355" t="str">
        <f t="shared" si="149"/>
        <v/>
      </c>
      <c r="JF274" s="355" t="str">
        <f t="shared" si="150"/>
        <v/>
      </c>
      <c r="JG274" s="355" t="str">
        <f t="shared" si="151"/>
        <v/>
      </c>
      <c r="JH274" s="355" t="str">
        <f t="shared" si="152"/>
        <v/>
      </c>
      <c r="JI274" s="355" t="str">
        <f t="shared" si="153"/>
        <v/>
      </c>
      <c r="JJ274" s="355" t="str">
        <f t="shared" si="154"/>
        <v/>
      </c>
      <c r="JK274" s="355" t="str">
        <f t="shared" si="155"/>
        <v/>
      </c>
      <c r="JL274" s="355" t="str">
        <f t="shared" si="156"/>
        <v/>
      </c>
      <c r="JM274" s="355" t="str">
        <f t="shared" si="157"/>
        <v/>
      </c>
      <c r="JN274" s="355" t="str">
        <f t="shared" si="158"/>
        <v/>
      </c>
      <c r="JO274" s="359" t="str">
        <f t="shared" si="159"/>
        <v/>
      </c>
      <c r="JP274" s="346" t="b">
        <f t="shared" si="160"/>
        <v>1</v>
      </c>
      <c r="JQ274" s="347" t="b">
        <f t="shared" si="161"/>
        <v>0</v>
      </c>
      <c r="JR274" s="347" t="b">
        <f t="shared" si="162"/>
        <v>0</v>
      </c>
      <c r="JS274" s="347" t="b">
        <f t="shared" si="163"/>
        <v>0</v>
      </c>
      <c r="JT274" s="347" t="b">
        <f t="shared" si="164"/>
        <v>0</v>
      </c>
      <c r="JU274" s="347" t="b">
        <f t="shared" si="165"/>
        <v>0</v>
      </c>
      <c r="JV274" s="347" t="b">
        <f t="shared" si="166"/>
        <v>0</v>
      </c>
      <c r="JW274" s="347" t="b">
        <f t="shared" si="167"/>
        <v>0</v>
      </c>
      <c r="JX274" s="347" t="b">
        <f t="shared" si="168"/>
        <v>0</v>
      </c>
      <c r="JY274" s="347" t="b">
        <f t="shared" si="169"/>
        <v>0</v>
      </c>
      <c r="JZ274" s="347" t="b">
        <f t="shared" si="170"/>
        <v>0</v>
      </c>
      <c r="KA274" s="347" t="b">
        <f t="shared" si="171"/>
        <v>0</v>
      </c>
      <c r="KB274" s="365" t="b">
        <f t="shared" si="172"/>
        <v>1</v>
      </c>
      <c r="KC274" s="354" t="str">
        <f t="shared" si="173"/>
        <v>Sa, </v>
      </c>
      <c r="KD274" s="355" t="str">
        <f t="shared" si="174"/>
        <v/>
      </c>
      <c r="KE274" s="355" t="str">
        <f t="shared" si="175"/>
        <v/>
      </c>
      <c r="KF274" s="355" t="str">
        <f t="shared" si="176"/>
        <v/>
      </c>
      <c r="KG274" s="355" t="str">
        <f t="shared" si="177"/>
        <v/>
      </c>
      <c r="KH274" s="355" t="str">
        <f t="shared" si="178"/>
        <v/>
      </c>
      <c r="KI274" s="355" t="str">
        <f t="shared" si="179"/>
        <v/>
      </c>
      <c r="KJ274" s="355" t="str">
        <f t="shared" si="180"/>
        <v/>
      </c>
      <c r="KK274" s="355" t="str">
        <f t="shared" si="181"/>
        <v/>
      </c>
      <c r="KL274" s="355" t="str">
        <f t="shared" si="182"/>
        <v/>
      </c>
      <c r="KM274" s="355" t="str">
        <f t="shared" si="183"/>
        <v/>
      </c>
      <c r="KN274" s="355" t="str">
        <f t="shared" si="184"/>
        <v/>
      </c>
      <c r="KO274" s="359"/>
      <c r="KP274" s="378"/>
      <c r="KQ274" s="379" t="s">
        <v>982</v>
      </c>
      <c r="KR274" s="380" t="s">
        <v>1455</v>
      </c>
      <c r="KS274" s="381" t="str">
        <f t="shared" ref="KS274:KS276" si="774">KQ274</f>
        <v>S-r-G-M-D-N-S</v>
      </c>
      <c r="KT274" s="382">
        <f t="shared" si="186"/>
        <v>6</v>
      </c>
      <c r="KU274" s="383">
        <f t="shared" si="187"/>
        <v>6</v>
      </c>
      <c r="KV274" s="381" t="str">
        <f t="shared" si="205"/>
        <v>S-N-D-M-G-r-S</v>
      </c>
      <c r="KW274" s="382">
        <f t="shared" si="189"/>
        <v>6</v>
      </c>
      <c r="KX274" s="384">
        <f t="shared" si="190"/>
        <v>6</v>
      </c>
      <c r="KY274" s="382">
        <f t="shared" ref="KY274:KZ274" si="772">KW274-KT274</f>
        <v>0</v>
      </c>
      <c r="KZ274" s="369">
        <f t="shared" si="772"/>
        <v>0</v>
      </c>
      <c r="LA274" s="385" t="str">
        <f t="shared" si="192"/>
        <v>✔</v>
      </c>
      <c r="LB274" s="340" t="str">
        <f>IFERROR(__xludf.DUMMYFUNCTION("JOIN("""",ArrayFormula(MID(KS274,LEN(KS274)-SEQUENCE(1,LEN(KS274))+1,1)))"),"S-N-D-M-G-r-S")</f>
        <v>S-N-D-M-G-r-S</v>
      </c>
      <c r="LC274" s="373" t="str">
        <f>IFERROR(__xludf.DUMMYFUNCTION("JOIN("""",ArrayFormula(MID(KV274,LEN(KV274)-SEQUENCE(1,LEN(KV274))+1,1)))"),"S-r-G-M-D-N-S")</f>
        <v>S-r-G-M-D-N-S</v>
      </c>
      <c r="LD274" s="373" t="str">
        <f t="shared" si="193"/>
        <v>SrGMDNS</v>
      </c>
      <c r="LE274" s="339" t="str">
        <f t="shared" si="194"/>
        <v>SrGMDNS</v>
      </c>
      <c r="LF274" s="386" t="str">
        <f>IFERROR(__xludf.DUMMYFUNCTION("SUBSTITUTE(SUBSTITUTE(CONCATENATE(JOIN("""",LH274:LT274)),""1"",""""),""2"","""")"),"SrGMDNS")</f>
        <v>SrGMDNS</v>
      </c>
      <c r="LG274" s="369" t="str">
        <f t="shared" si="195"/>
        <v>✔</v>
      </c>
      <c r="LH274" s="387" t="str">
        <f>IFERROR(__xludf.DUMMYFUNCTION("IF(REGEXMATCH(LD274, ""S""), ""S"",IF(REGEXMATCH(LE274, ""S""), ""S"",""""))"),"S")</f>
        <v>S</v>
      </c>
      <c r="LI274" s="299" t="str">
        <f>IFERROR(__xludf.DUMMYFUNCTION("IF(REGEXMATCH(LD274, ""r""), ""r1"",IF(REGEXMATCH(LE274, ""r""), ""r2"",""""))"),"r1")</f>
        <v>r1</v>
      </c>
      <c r="LJ274" s="299" t="str">
        <f>IFERROR(__xludf.DUMMYFUNCTION("IF(REGEXMATCH(LD274, ""R""), ""R1"",IF(REGEXMATCH(LE274, ""R""), ""R2"",""""))"),"")</f>
        <v/>
      </c>
      <c r="LK274" s="299" t="str">
        <f>IFERROR(__xludf.DUMMYFUNCTION("IF(REGEXMATCH(LD274, ""g""), ""g1"",IF(REGEXMATCH(LE274, ""g""), ""g2"",""""))"),"")</f>
        <v/>
      </c>
      <c r="LL274" s="299" t="str">
        <f>IFERROR(__xludf.DUMMYFUNCTION("IF(REGEXMATCH(LD274, ""G""), ""G1"",IF(REGEXMATCH(LE274, ""G""), ""G2"",""""))"),"G1")</f>
        <v>G1</v>
      </c>
      <c r="LM274" s="299" t="str">
        <f>IFERROR(__xludf.DUMMYFUNCTION("IF(REGEXMATCH(LD274, ""m""), ""m1"",IF(REGEXMATCH(LE274, ""m""), ""m2"",""""))"),"")</f>
        <v/>
      </c>
      <c r="LN274" s="299" t="str">
        <f>IFERROR(__xludf.DUMMYFUNCTION("IF(REGEXMATCH(LD274, ""M""), ""M1"",IF(REGEXMATCH(LE274, ""M""), ""M2"",""""))"),"M1")</f>
        <v>M1</v>
      </c>
      <c r="LO274" s="299" t="str">
        <f>IFERROR(__xludf.DUMMYFUNCTION("IF(REGEXMATCH(LD274, ""P""), ""P1"",IF(REGEXMATCH(LE274, ""P""), ""P2"",""""))"),"")</f>
        <v/>
      </c>
      <c r="LP274" s="299" t="str">
        <f>IFERROR(__xludf.DUMMYFUNCTION("IF(REGEXMATCH(LD274, ""d""), ""d1"",IF(REGEXMATCH(LE274, ""d""), ""d2"",""""))"),"")</f>
        <v/>
      </c>
      <c r="LQ274" s="299" t="str">
        <f>IFERROR(__xludf.DUMMYFUNCTION("IF(REGEXMATCH(LD274, ""D""), ""D1"",IF(REGEXMATCH(LE274, ""D""), ""D2"",""""))"),"D1")</f>
        <v>D1</v>
      </c>
      <c r="LR274" s="299" t="str">
        <f>IFERROR(__xludf.DUMMYFUNCTION("IF(REGEXMATCH(LD274, ""n""), ""n1"",IF(REGEXMATCH(LE274, ""n""), ""n2"",""""))"),"")</f>
        <v/>
      </c>
      <c r="LS274" s="299" t="str">
        <f>IFERROR(__xludf.DUMMYFUNCTION("IF(REGEXMATCH(LD274, ""N""), ""N1"",IF(REGEXMATCH(LE274, ""N""), ""N2"",""""))"),"N1")</f>
        <v>N1</v>
      </c>
      <c r="LT274" s="388" t="str">
        <f>IFERROR(__xludf.DUMMYFUNCTION("IF(REGEXMATCH(LD274, ""S""), ""S"",IF(REGEXMATCH(LE274, ""S""), ""S"",""""))"),"S")</f>
        <v>S</v>
      </c>
      <c r="LU274" s="389">
        <f t="shared" si="196"/>
        <v>1</v>
      </c>
      <c r="LV274" s="378"/>
      <c r="LW274" s="369"/>
      <c r="LX274" s="369"/>
    </row>
    <row r="275" ht="18.0" customHeight="1">
      <c r="A275" s="298" t="s">
        <v>1067</v>
      </c>
      <c r="B275" s="222" t="s">
        <v>339</v>
      </c>
      <c r="C275" s="233" t="str">
        <f t="shared" si="7"/>
        <v>SrGMPdNS</v>
      </c>
      <c r="D275" s="234" t="str">
        <f>IFERROR(__xludf.DUMMYFUNCTION("IF(REGEXMATCH(C275, ""S""), ""S"","""")"),"S")</f>
        <v>S</v>
      </c>
      <c r="E275" s="236" t="str">
        <f>IFERROR(__xludf.DUMMYFUNCTION("IF(REGEXMATCH(C275, ""r""), ""r"","""")"),"r")</f>
        <v>r</v>
      </c>
      <c r="F275" s="237" t="str">
        <f>IFERROR(__xludf.DUMMYFUNCTION("IF(REGEXMATCH(C275, ""R""), ""R"","""")"),"")</f>
        <v/>
      </c>
      <c r="G275" s="237" t="str">
        <f>IFERROR(__xludf.DUMMYFUNCTION("IF(REGEXMATCH(C275, ""g""), ""g"","""")"),"")</f>
        <v/>
      </c>
      <c r="H275" s="236" t="str">
        <f>IFERROR(__xludf.DUMMYFUNCTION("IF(REGEXMATCH(C275, ""G""), ""G"","""")"),"G")</f>
        <v>G</v>
      </c>
      <c r="I275" s="236" t="str">
        <f>IFERROR(__xludf.DUMMYFUNCTION("IF(REGEXMATCH(C275, ""m""), ""m"","""")"),"")</f>
        <v/>
      </c>
      <c r="J275" s="237" t="str">
        <f>IFERROR(__xludf.DUMMYFUNCTION("IF(REGEXMATCH(C275, ""M""), ""M"","""")"),"M")</f>
        <v>M</v>
      </c>
      <c r="K275" s="236" t="str">
        <f>IFERROR(__xludf.DUMMYFUNCTION("IF(REGEXMATCH(C275, ""P""), ""P"","""")"),"P")</f>
        <v>P</v>
      </c>
      <c r="L275" s="237" t="str">
        <f>IFERROR(__xludf.DUMMYFUNCTION("IF(REGEXMATCH(C275, ""d""), ""d"","""")"),"d")</f>
        <v>d</v>
      </c>
      <c r="M275" s="236" t="str">
        <f>IFERROR(__xludf.DUMMYFUNCTION("IF(REGEXMATCH(C275, ""D""), ""D"","""")"),"")</f>
        <v/>
      </c>
      <c r="N275" s="236" t="str">
        <f>IFERROR(__xludf.DUMMYFUNCTION("IF(REGEXMATCH(C275, ""n""), ""n"","""")"),"")</f>
        <v/>
      </c>
      <c r="O275" s="237" t="str">
        <f>IFERROR(__xludf.DUMMYFUNCTION("IF(REGEXMATCH(C275, ""N""), ""N"","""")"),"N")</f>
        <v>N</v>
      </c>
      <c r="P275" s="238" t="str">
        <f>IFERROR(__xludf.DUMMYFUNCTION("IF(REGEXMATCH(C275, ""S""), ""S"","""")"),"S")</f>
        <v>S</v>
      </c>
      <c r="Q275" s="239" t="str">
        <f>IFERROR(__xludf.DUMMYFUNCTION("SUBSTITUTE(CONCATENATE(JOIN(""-"",D275:J275)),""-"","""")"),"SrGM")</f>
        <v>SrGM</v>
      </c>
      <c r="R275" s="229" t="str">
        <f>IFERROR(__xludf.DUMMYFUNCTION("SUBSTITUTE(CONCATENATE(JOIN(""-"",K275:P275)),""-"","""")"),"PdNS")</f>
        <v>PdNS</v>
      </c>
      <c r="S275" s="282" t="str">
        <f t="shared" si="8"/>
        <v>S-R-G-M</v>
      </c>
      <c r="T275" s="282" t="str">
        <f t="shared" si="9"/>
        <v>P-D-N-S</v>
      </c>
      <c r="U275" s="237" t="str">
        <f>IFERROR(__xludf.DUMMYFUNCTION("SUBSTITUTE(JOIN(""-"",S275,T275),""--"",""-"")"),"S-R-G-M-P-D-N-S")</f>
        <v>S-R-G-M-P-D-N-S</v>
      </c>
      <c r="V275" s="309" t="str">
        <f t="shared" si="10"/>
        <v>rGMdN</v>
      </c>
      <c r="W275" s="244" t="str">
        <f>IFERROR(__xludf.DUMMYFUNCTION("IF(REGEXMATCH(C275, ""S""), ""0"","""")"),"0")</f>
        <v>0</v>
      </c>
      <c r="X275" s="245" t="str">
        <f>IFERROR(__xludf.DUMMYFUNCTION("IF(REGEXMATCH(C275, ""r""), ""1"","""")"),"1")</f>
        <v>1</v>
      </c>
      <c r="Y275" s="246" t="str">
        <f>IFERROR(__xludf.DUMMYFUNCTION("IF(REGEXMATCH(C275, ""R""), ""2"","""")"),"")</f>
        <v/>
      </c>
      <c r="Z275" s="246" t="str">
        <f>IFERROR(__xludf.DUMMYFUNCTION("IF(REGEXMATCH(C275, ""g""), ""3"","""")"),"")</f>
        <v/>
      </c>
      <c r="AA275" s="245" t="str">
        <f>IFERROR(__xludf.DUMMYFUNCTION("IF(REGEXMATCH(C275, ""G""), ""4"","""")"),"4")</f>
        <v>4</v>
      </c>
      <c r="AB275" s="245" t="str">
        <f>IFERROR(__xludf.DUMMYFUNCTION("IF(REGEXMATCH(C275, ""m""), ""5"","""")"),"")</f>
        <v/>
      </c>
      <c r="AC275" s="246" t="str">
        <f>IFERROR(__xludf.DUMMYFUNCTION("IF(REGEXMATCH(C275, ""M""), ""6"","""")"),"6")</f>
        <v>6</v>
      </c>
      <c r="AD275" s="245" t="str">
        <f>IFERROR(__xludf.DUMMYFUNCTION("IF(REGEXMATCH(C275, ""P""), ""7"","""")"),"7")</f>
        <v>7</v>
      </c>
      <c r="AE275" s="246" t="str">
        <f>IFERROR(__xludf.DUMMYFUNCTION("IF(REGEXMATCH(C275, ""d""), ""8"","""")"),"8")</f>
        <v>8</v>
      </c>
      <c r="AF275" s="245" t="str">
        <f>IFERROR(__xludf.DUMMYFUNCTION("IF(REGEXMATCH(C275, ""D""), ""9"","""")"),"")</f>
        <v/>
      </c>
      <c r="AG275" s="245" t="str">
        <f>IFERROR(__xludf.DUMMYFUNCTION("IF(REGEXMATCH(C275, ""n""), ""10"","""")"),"")</f>
        <v/>
      </c>
      <c r="AH275" s="246" t="str">
        <f>IFERROR(__xludf.DUMMYFUNCTION("IF(REGEXMATCH(C275, ""N""), ""11"","""")"),"11")</f>
        <v>11</v>
      </c>
      <c r="AI275" s="249" t="str">
        <f>IFERROR(__xludf.DUMMYFUNCTION("IF(REGEXMATCH(C275, ""S""), ""0"","""")"),"0")</f>
        <v>0</v>
      </c>
      <c r="AJ275" s="313" t="str">
        <f t="shared" si="11"/>
        <v>T</v>
      </c>
      <c r="AK275" s="313" t="str">
        <f t="shared" si="12"/>
        <v>T</v>
      </c>
      <c r="AL275" s="313" t="str">
        <f t="shared" si="13"/>
        <v>-</v>
      </c>
      <c r="AM275" s="313" t="str">
        <f t="shared" si="14"/>
        <v>-</v>
      </c>
      <c r="AN275" s="313" t="str">
        <f t="shared" si="15"/>
        <v>-</v>
      </c>
      <c r="AO275" s="314" t="str">
        <f t="shared" si="16"/>
        <v>-</v>
      </c>
      <c r="AP275" s="316">
        <f t="shared" si="17"/>
        <v>2</v>
      </c>
      <c r="AQ275" s="319" t="str">
        <f t="shared" si="18"/>
        <v>-</v>
      </c>
      <c r="AR275" s="320">
        <f t="shared" si="19"/>
        <v>0</v>
      </c>
      <c r="AS275" s="250" t="str">
        <f>IFERROR(__xludf.DUMMYFUNCTION("SUBSTITUTE(SUBSTITUTE(CONCATENATE(JOIN("""",FP275:GA275)),""|"",""x""),""-"",""o"")"),"xxooxoxxxoox")</f>
        <v>xxooxoxxxoox</v>
      </c>
      <c r="AT275" s="323" t="str">
        <f>IFERROR(__xludf.DUMMYFUNCTION("JOIN("""",AS275,AS275)"),"xxooxoxxxooxxxooxoxxxoox")</f>
        <v>xxooxoxxxooxxxooxoxxxoox</v>
      </c>
      <c r="AU275" s="256" t="str">
        <f>IFERROR(__xludf.DUMMYFUNCTION("JOIN("""",ArrayFormula(MID(AS275,LEN(AS275)-SEQUENCE(1,LEN(AS275))+1,1)))"),"xooxxxoxooxx")</f>
        <v>xooxxxoxooxx</v>
      </c>
      <c r="AV275" s="256" t="str">
        <f>IFERROR(__xludf.DUMMYFUNCTION("LEFT(CONCATENATE(""x"",JOIN("""",ArrayFormula(MID(AS275,LEN(AS275)-SEQUENCE(1,LEN(AS275))+1,1)))),12)"),"xxooxxxoxoox")</f>
        <v>xxooxxxoxoox</v>
      </c>
      <c r="AW275" s="327" t="str">
        <f>IFERROR(__xludf.DUMMYFUNCTION("JOIN("""",AU275,AU275)"),"xooxxxoxooxxxooxxxoxooxx")</f>
        <v>xooxxxoxooxxxooxxxoxooxx</v>
      </c>
      <c r="AX275" s="239" t="str">
        <f>IFERROR(__xludf.DUMMYFUNCTION("IF(REGEXMATCH(AW275,AS275),""✔"",""-"")"),"-")</f>
        <v>-</v>
      </c>
      <c r="AY275" s="330" t="str">
        <f t="shared" si="20"/>
        <v>-</v>
      </c>
      <c r="AZ275" s="260" t="str">
        <f t="shared" si="21"/>
        <v>#REF!</v>
      </c>
      <c r="BA275" s="333" t="str">
        <f t="shared" si="22"/>
        <v>xxooxox</v>
      </c>
      <c r="BB275" s="334" t="str">
        <f t="shared" si="23"/>
        <v>xxooxx</v>
      </c>
      <c r="BC275" s="335" t="str">
        <f t="shared" si="236"/>
        <v>-</v>
      </c>
      <c r="BD275" s="336" t="str">
        <f t="shared" si="25"/>
        <v>Puriya Dhanashree: 'xxooxox' + 'xxooxx'</v>
      </c>
      <c r="BE275" s="337">
        <f>IFERROR(__xludf.DUMMYFUNCTION("COUNTUNIQUE(FILTER(AT:AT,REGEXMATCH(AT:AT,AS275)))-1"),5.0)</f>
        <v>5</v>
      </c>
      <c r="BF275" s="261" t="str">
        <f>IFERROR(__xludf.DUMMYFUNCTION("IF(BI275=0,""(n/a)"",IF(BJ275=2,""(PAIR)"",IF(REGEXMATCH(AT275,""xoxoxxoxoxox""),""Bilawal"",IF(REGEXMATCH(AT275,""xoxoxooxoxoo""),""Bhupali"",IF(REGEXMATCH(AT275,""xoxoxxoxxoxo""),""Charukeshi"",IF(REGEXMATCH(AT275,""xoxoooxxoxxo""),""Kameshwari"",IF(REG"&amp;"EXMATCH(AT275,""xoxoxooxoxox""),""Shankara"",IF(REGEXMATCH(AT275,""xxooxoxxxoox""),""Basant"",IF(REGEXMATCH(AT275,""xoxoxxxxoxox""),""Bihag"",IF(REGEXMATCH(AT275,""xoxxxxoxoxxx""),""Pilu"",IF(REGEXMATCH(AT275,""xoxxoxoxxoox""),""Kirwani"",IF(REGEXMATCH(AT"&amp;"275,""xoxxoxoxoxxx""),""Mk.Malhar"",IF(REGEXMATCH(AT275,""xxooxxoxxoox""),""Bhairav"",IF(REGEXMATCH(AT275,""xxoxooxxxoox""),""Todi"",IF(REGEXMATCH(AT275,""xxooxoxooxox""),""Marwa"",IF(REGEXMATCH(AT275,""xxoooxoxxooo""),""Gunkali"",IF(REGEXMATCH(AT275,""xo"&amp;"xoxxoxxoox""),""Nat Bhairav"",IF(REGEXMATCH(AT275,""xoxxoooxoxoo""),""Shivranjani"",IF(REGEXMATCH(AT275,""xooxxxoxooxo""),""Jog"",IF(REGEXMATCH(AT275,""xxooxoxoxoox""),""Hemshri"",IF(REGEXMATCH(AT275,""xoooxooxoxxo""),""Kalavati"",IF(REGEXMATCH(AT275,""xx"&amp;"oxoxxoxoox""),""Kedar"",IF(REGEXMATCH(AT275,""xoxxxxoxooxx""),""Gara"",IF(REGEXMATCH(AT275,""xooxoxooxoox""),""Chandrakauns"",IF(REGEXMATCH(AT275,""xoxxxxoxxxox""),""Mand"",IF(REGEXMATCH(AT275,""xoxxxxoxoxox""),""Hanskinkini"",IF(REGEXMATCH(AT275,""xxooxx"&amp;"oxooxo""),""Lilavati"",IF(REGEXMATCH(AT275,""xooxoxoooxox""),""Rajeshwari"",IF(REGEXMATCH(AT275,""xoooxxoxoxxx""),""Khokar"",IF(REGEXMATCH(AT275,""xxooxoxxxxox""),""Maligoura"",""-""))))))))))))))))))))))))))))))"),"Basant")</f>
        <v>Basant</v>
      </c>
      <c r="BG275" s="239" t="str">
        <f t="shared" si="26"/>
        <v>#REF!</v>
      </c>
      <c r="BH275" s="239">
        <f>IFERROR(__xludf.DUMMYFUNCTION("COUNTUNIQUE(FE275:FO275)-1"),6.0)</f>
        <v>6</v>
      </c>
      <c r="BI275" s="239">
        <f>IFERROR(__xludf.DUMMYFUNCTION("COUNTUNIQUE(FILTER(AT:AT,REGEXMATCH(AT:AT,AS275)))-1"),5.0)</f>
        <v>5</v>
      </c>
      <c r="BJ275" s="239">
        <f>IFERROR(__xludf.DUMMYFUNCTION("COUNTA(FILTER(AT:AT,REGEXMATCH(AT:AT,AS275)))"),12.0)</f>
        <v>12</v>
      </c>
      <c r="BK275" s="341">
        <f>IFERROR(__xludf.DUMMYFUNCTION("COUNTA(FILTER(AT:AT,REGEXMATCH(AT:AT,AS275)))-AR275"),12.0)</f>
        <v>12</v>
      </c>
      <c r="BL275" s="276" t="str">
        <f>IFERROR(__xludf.DUMMYFUNCTION("IF(AS275=""oooooooooooo"",""-"",IF(REGEXMATCH(AT275,""xx""), ""Hemi."", ""Anhemi.""))"),"Hemi.")</f>
        <v>Hemi.</v>
      </c>
      <c r="BM275" s="282" t="str">
        <f>IFERROR(__xludf.DUMMYFUNCTION("IF(AS275=""oooooooooooo"",""-"",IF(REGEXMATCH(AT275,""xxx""), ""Cohem."", ""-""))"),"Cohem.")</f>
        <v>Cohem.</v>
      </c>
      <c r="BN275" s="282" t="str">
        <f>IFERROR(__xludf.DUMMYFUNCTION("IF(AS275=""oooooooooooo"",""-"",IF(REGEXMATCH(AT275,""xxxx""), ""Co-Co."", ""-""))"),"-")</f>
        <v>-</v>
      </c>
      <c r="BO275" s="342" t="str">
        <f>IFERROR(__xludf.DUMMYFUNCTION("IF(AS275=""oooooooooooo"",""-"",IF(REGEXMATCH(AT275,""xxxxx""), ""CCC."", ""-""))"),"-")</f>
        <v>-</v>
      </c>
      <c r="BP275" s="344" t="str">
        <f t="shared" si="27"/>
        <v>Poorvi</v>
      </c>
      <c r="BQ275" s="282" t="str">
        <f>IFERROR(__xludf.DUMMYFUNCTION("IF(REGEXMATCH(JOIN(""-"",EU275:FD275),""TRUE""),""✔"",""-"")"),"✔")</f>
        <v>✔</v>
      </c>
      <c r="BR275" s="225">
        <f t="shared" si="28"/>
        <v>1</v>
      </c>
      <c r="BS275" s="345" t="str">
        <f>IFERROR(__xludf.DUMMYFUNCTION("SUBSTITUTE(SUBSTITUTE(SUBSTITUTE(SUBSTITUTE(CONCATENATE(JOIN(""-"",GC275:GO275)),""--"",""-""),""--"",""-""),""--"",""-""),""--"",""-"")"),"1-b2-3-#4-5-b6-7-8")</f>
        <v>1-b2-3-#4-5-b6-7-8</v>
      </c>
      <c r="BT275" s="299" t="str">
        <f>IFERROR(__xludf.DUMMYFUNCTION("SUBSTITUTE(SUBSTITUTE(SUBSTITUTE(SUBSTITUTE(CONCATENATE(JOIN(""-"",GP275:HB275)),""--"",""-""),""--"",""-""),""--"",""-""),""--"",""-"")"),"S-R1-G3-M2-P-D1-N3-S")</f>
        <v>S-R1-G3-M2-P-D1-N3-S</v>
      </c>
      <c r="BU275" s="348" t="str">
        <f t="shared" si="29"/>
        <v>C-Db-E-F#-G-Ab-B-C</v>
      </c>
      <c r="BV275" s="349" t="str">
        <f t="shared" si="30"/>
        <v>SRgmDnS</v>
      </c>
      <c r="BW275" s="350">
        <f t="shared" si="31"/>
        <v>0</v>
      </c>
      <c r="BX275" s="351">
        <f t="shared" si="32"/>
        <v>6</v>
      </c>
      <c r="BY275" s="392"/>
      <c r="BZ275" s="309" t="str">
        <f>IFERROR(__xludf.DUMMYFUNCTION("IF(REGEXMATCH(C275, ""S""), ""x"",""x"")"),"x")</f>
        <v>x</v>
      </c>
      <c r="CA275" s="245" t="str">
        <f>IFERROR(__xludf.DUMMYFUNCTION("IF(REGEXMATCH(C275, ""r""), ""o"",""x"")"),"o")</f>
        <v>o</v>
      </c>
      <c r="CB275" s="246" t="str">
        <f>IFERROR(__xludf.DUMMYFUNCTION("IF(REGEXMATCH(C275, ""R""), ""o"",""x"")"),"x")</f>
        <v>x</v>
      </c>
      <c r="CC275" s="246" t="str">
        <f>IFERROR(__xludf.DUMMYFUNCTION("IF(REGEXMATCH(C275, ""g""), ""o"",""x"")"),"x")</f>
        <v>x</v>
      </c>
      <c r="CD275" s="245" t="str">
        <f>IFERROR(__xludf.DUMMYFUNCTION("IF(REGEXMATCH(C275, ""G""), ""o"",""x"")"),"o")</f>
        <v>o</v>
      </c>
      <c r="CE275" s="245" t="str">
        <f>IFERROR(__xludf.DUMMYFUNCTION("IF(REGEXMATCH(C275, ""m""), ""o"",""x"")"),"x")</f>
        <v>x</v>
      </c>
      <c r="CF275" s="246" t="str">
        <f>IFERROR(__xludf.DUMMYFUNCTION("IF(REGEXMATCH(C275, ""M""), ""o"",""x"")"),"o")</f>
        <v>o</v>
      </c>
      <c r="CG275" s="245" t="str">
        <f>IFERROR(__xludf.DUMMYFUNCTION("IF(REGEXMATCH(C275, ""P""), ""o"",""x"")"),"o")</f>
        <v>o</v>
      </c>
      <c r="CH275" s="246" t="str">
        <f>IFERROR(__xludf.DUMMYFUNCTION("IF(REGEXMATCH(C275, ""d""), ""o"",""x"")"),"o")</f>
        <v>o</v>
      </c>
      <c r="CI275" s="245" t="str">
        <f>IFERROR(__xludf.DUMMYFUNCTION("IF(REGEXMATCH(C275, ""D""), ""o"",""x"")"),"x")</f>
        <v>x</v>
      </c>
      <c r="CJ275" s="245" t="str">
        <f>IFERROR(__xludf.DUMMYFUNCTION("IF(REGEXMATCH(C275, ""n""), ""o"",""x"")"),"x")</f>
        <v>x</v>
      </c>
      <c r="CK275" s="245" t="str">
        <f>IFERROR(__xludf.DUMMYFUNCTION("IF(REGEXMATCH(C275, ""N""), ""o"",""x"")"),"o")</f>
        <v>o</v>
      </c>
      <c r="CL275" s="356" t="str">
        <f>IFERROR(__xludf.DUMMYFUNCTION("IF(REGEXMATCH(C275, ""S""), ""x"",""x"")"),"x")</f>
        <v>x</v>
      </c>
      <c r="CM275" s="357" t="str">
        <f t="shared" si="33"/>
        <v>xoxxoxoooxxo</v>
      </c>
      <c r="CN275" s="358">
        <f t="shared" si="34"/>
        <v>0</v>
      </c>
      <c r="CO275" s="246" t="str">
        <f>IFERROR(__xludf.DUMMYFUNCTION("IF(REGEXMATCH($C275, ""S""), ""S"",""S"")"),"S")</f>
        <v>S</v>
      </c>
      <c r="CP275" s="246" t="str">
        <f>IFERROR(__xludf.DUMMYFUNCTION("IF(REGEXMATCH($C275, ""r""), """",""r"")"),"")</f>
        <v/>
      </c>
      <c r="CQ275" s="246" t="str">
        <f>IFERROR(__xludf.DUMMYFUNCTION("IF(REGEXMATCH($C275, ""R""), """",""R"")"),"R")</f>
        <v>R</v>
      </c>
      <c r="CR275" s="246" t="str">
        <f>IFERROR(__xludf.DUMMYFUNCTION("IF(REGEXMATCH($C275, ""g""), """",""g"")"),"g")</f>
        <v>g</v>
      </c>
      <c r="CS275" s="246" t="str">
        <f>IFERROR(__xludf.DUMMYFUNCTION("IF(REGEXMATCH($C275, ""G""), """",""G"")"),"")</f>
        <v/>
      </c>
      <c r="CT275" s="246" t="str">
        <f>IFERROR(__xludf.DUMMYFUNCTION("IF(REGEXMATCH($C275, ""m""), """",""m"")"),"m")</f>
        <v>m</v>
      </c>
      <c r="CU275" s="246" t="str">
        <f>IFERROR(__xludf.DUMMYFUNCTION("IF(REGEXMATCH($C275, ""M""), """",""M"")"),"")</f>
        <v/>
      </c>
      <c r="CV275" s="246" t="str">
        <f>IFERROR(__xludf.DUMMYFUNCTION("IF(REGEXMATCH($C275, ""P""), """",""P"")"),"")</f>
        <v/>
      </c>
      <c r="CW275" s="246" t="str">
        <f>IFERROR(__xludf.DUMMYFUNCTION("IF(REGEXMATCH($C275, ""d""), """",""d"")"),"")</f>
        <v/>
      </c>
      <c r="CX275" s="246" t="str">
        <f>IFERROR(__xludf.DUMMYFUNCTION("IF(REGEXMATCH($C275, ""D""), """",""D"")"),"D")</f>
        <v>D</v>
      </c>
      <c r="CY275" s="246" t="str">
        <f>IFERROR(__xludf.DUMMYFUNCTION("IF(REGEXMATCH($C275, ""n""), """",""n"")"),"n")</f>
        <v>n</v>
      </c>
      <c r="CZ275" s="246" t="str">
        <f>IFERROR(__xludf.DUMMYFUNCTION("IF(REGEXMATCH($C275, ""N""), """",""N"")"),"")</f>
        <v/>
      </c>
      <c r="DA275" s="246" t="str">
        <f>IFERROR(__xludf.DUMMYFUNCTION("IF(REGEXMATCH($C275, ""S""), ""S"",""S"")"),"S")</f>
        <v>S</v>
      </c>
      <c r="DB275" s="362" t="str">
        <f>IFERROR(__xludf.DUMMYFUNCTION("JOIN("""",CO275:DA275,"""","""")"),"SRgmDnS")</f>
        <v>SRgmDnS</v>
      </c>
      <c r="DC275" s="363"/>
      <c r="DD275" s="301" t="str">
        <f t="shared" si="35"/>
        <v>#REF!</v>
      </c>
      <c r="DE275" s="302" t="str">
        <f t="shared" si="36"/>
        <v>#REF!</v>
      </c>
      <c r="DF275" s="301" t="str">
        <f t="shared" ref="DF275:DG275" si="773">SUBSTITUTE(S275,"-","")</f>
        <v>SRGM</v>
      </c>
      <c r="DG275" s="301" t="str">
        <f t="shared" si="773"/>
        <v>PDNS</v>
      </c>
      <c r="DH275" s="302" t="str">
        <f t="shared" si="38"/>
        <v>Basant</v>
      </c>
      <c r="DI275" s="301" t="str">
        <f t="shared" si="39"/>
        <v>Hemi.</v>
      </c>
      <c r="DJ275" s="364" t="str">
        <f t="shared" si="40"/>
        <v>Cohem.</v>
      </c>
      <c r="DK275" s="306" t="str">
        <f t="shared" si="41"/>
        <v>Poorvi</v>
      </c>
      <c r="DL275" s="366" t="str">
        <f t="shared" si="42"/>
        <v>-</v>
      </c>
      <c r="DM275" s="308" t="str">
        <f t="shared" si="43"/>
        <v>-</v>
      </c>
      <c r="DN275" s="306" t="str">
        <f t="shared" si="44"/>
        <v>-</v>
      </c>
      <c r="DO275" s="306" t="str">
        <f t="shared" si="45"/>
        <v>-</v>
      </c>
      <c r="DP275" s="367" t="str">
        <f t="shared" si="46"/>
        <v>✔</v>
      </c>
      <c r="DQ275" s="310" t="str">
        <f t="shared" si="47"/>
        <v>-</v>
      </c>
      <c r="DR275" s="310" t="str">
        <f t="shared" si="48"/>
        <v>-</v>
      </c>
      <c r="DS275" s="310" t="str">
        <f t="shared" si="49"/>
        <v>-</v>
      </c>
      <c r="DT275" s="310" t="str">
        <f t="shared" si="50"/>
        <v>-</v>
      </c>
      <c r="DU275" s="370" t="str">
        <f t="shared" si="51"/>
        <v>-</v>
      </c>
      <c r="DV275" s="306" t="str">
        <f t="shared" si="52"/>
        <v>-</v>
      </c>
      <c r="DW275" s="306" t="str">
        <f t="shared" si="53"/>
        <v>-</v>
      </c>
      <c r="DX275" s="306" t="str">
        <f t="shared" si="54"/>
        <v>-</v>
      </c>
      <c r="DY275" s="306" t="str">
        <f t="shared" si="55"/>
        <v>-</v>
      </c>
      <c r="DZ275" s="306" t="str">
        <f t="shared" si="56"/>
        <v>-</v>
      </c>
      <c r="EA275" s="367" t="str">
        <f t="shared" si="57"/>
        <v>-</v>
      </c>
      <c r="EB275" s="310" t="str">
        <f>IFERROR(__xludf.DUMMYFUNCTION("IF(REGEXMATCH(AW275,AS275),""✔"",""-"")"),"-")</f>
        <v>-</v>
      </c>
      <c r="EC275" s="310" t="str">
        <f t="shared" si="58"/>
        <v>#REF!</v>
      </c>
      <c r="ED275" s="370" t="str">
        <f t="shared" si="59"/>
        <v>-</v>
      </c>
      <c r="EE275" s="340" t="str">
        <f t="shared" si="60"/>
        <v>S-r-G-M-P-d-N-S</v>
      </c>
      <c r="EF275" s="371" t="str">
        <f>IFERROR(__xludf.DUMMYFUNCTION("CONCATENATE(JOIN("""",HC275:HO275))"),"SrGmMdNS")</f>
        <v>SrGmMdNS</v>
      </c>
      <c r="EG275" s="372">
        <f t="shared" si="61"/>
        <v>2</v>
      </c>
      <c r="EH275" s="373" t="str">
        <f>IFERROR(__xludf.DUMMYFUNCTION("CONCATENATE(JOIN("""",JC275:JO275))"),"Pa, dha, ")</f>
        <v>Pa, dha, </v>
      </c>
      <c r="EI275" s="322">
        <f t="shared" si="62"/>
        <v>0</v>
      </c>
      <c r="EJ275" s="374" t="str">
        <f>IFERROR(__xludf.DUMMYFUNCTION("CONCATENATE(JOIN("""",KC275:KO275))"),"")</f>
        <v/>
      </c>
      <c r="EK275" s="325" t="str">
        <f t="shared" si="63"/>
        <v>S-R1-G3-M2-P-D1-N3-S</v>
      </c>
      <c r="EL275" s="326" t="str">
        <f t="shared" si="64"/>
        <v>1-b2-3-#4-5-b6-7-8</v>
      </c>
      <c r="EM275" s="318" t="str">
        <f t="shared" si="65"/>
        <v>#REF!</v>
      </c>
      <c r="EN275" s="328" t="str">
        <f>IFERROR(__xludf.DUMMYFUNCTION("SUBSTITUTE(SUBSTITUTE(SUBSTITUTE(SUBSTITUTE(CONCATENATE(JOIN("" "",HP275:IB275)),""  "","" ""),""  "","" ""),""  "","" ""),""  "","" "")"),"o o • • o • o o o • • o o")</f>
        <v>o o • • o • o o o • • o o</v>
      </c>
      <c r="EO275" s="368" t="str">
        <f t="shared" si="66"/>
        <v>Sa-Pa</v>
      </c>
      <c r="EP275" s="339" t="str">
        <f t="shared" si="67"/>
        <v>Sa-Pa</v>
      </c>
      <c r="EQ275" s="339" t="str">
        <f t="shared" si="68"/>
        <v>Sa-Pa</v>
      </c>
      <c r="ER275" s="339" t="str">
        <f t="shared" si="69"/>
        <v>-</v>
      </c>
      <c r="ES275" s="340" t="str">
        <f t="shared" si="70"/>
        <v>-</v>
      </c>
      <c r="ET275" s="363"/>
      <c r="EU275" s="376" t="b">
        <f>IFERROR(__xludf.DUMMYFUNCTION("arrayformula(sum(--REGEXMATCH(""SRGMPDNS"",split(REGEXREPLACE(C275,""(.)"",""$1~""),""~""))))=len(C275)
"),FALSE)</f>
        <v>0</v>
      </c>
      <c r="EV275" s="290" t="b">
        <f>IFERROR(__xludf.DUMMYFUNCTION("arrayformula(sum(--REGEXMATCH(""SRGmPDNS"",split(REGEXREPLACE(C275,""(.)"",""$1~""),""~""))))=len(C275)"),FALSE)</f>
        <v>0</v>
      </c>
      <c r="EW275" s="290" t="b">
        <f>IFERROR(__xludf.DUMMYFUNCTION("arrayformula(sum(--REGEXMATCH(""SRGmPDnS"",split(REGEXREPLACE(C275,""(.)"",""$1~""),""~""))))=len(C275)"),FALSE)</f>
        <v>0</v>
      </c>
      <c r="EX275" s="290" t="b">
        <f>IFERROR(__xludf.DUMMYFUNCTION("arrayformula(sum(--REGEXMATCH(""SRgmPDnS"",split(REGEXREPLACE(C275,""(.)"",""$1~""),""~""))))=len(C275)"),FALSE)</f>
        <v>0</v>
      </c>
      <c r="EY275" s="290" t="b">
        <f>IFERROR(__xludf.DUMMYFUNCTION("arrayformula(sum(--REGEXMATCH(""SRgmPdnS"",split(REGEXREPLACE(C275,""(.)"",""$1~""),""~""))))=len(C275)"),FALSE)</f>
        <v>0</v>
      </c>
      <c r="EZ275" s="290" t="b">
        <f>IFERROR(__xludf.DUMMYFUNCTION("arrayformula(sum(--REGEXMATCH(""SrgmPdnS"",split(REGEXREPLACE(C275,""(.)"",""$1~""),""~""))))=len(C275)"),FALSE)</f>
        <v>0</v>
      </c>
      <c r="FA275" s="290" t="b">
        <f>IFERROR(__xludf.DUMMYFUNCTION("arrayformula(sum(--REGEXMATCH(""SrGmPdNS"",split(REGEXREPLACE(C275,""(.)"",""$1~""),""~""))))=len(C275)"),FALSE)</f>
        <v>0</v>
      </c>
      <c r="FB275" s="290" t="b">
        <f>IFERROR(__xludf.DUMMYFUNCTION("arrayformula(sum(--REGEXMATCH(""SrGMPDNS"",split(REGEXREPLACE(C275,""(.)"",""$1~""),""~""))))=len(C275)"),FALSE)</f>
        <v>0</v>
      </c>
      <c r="FC275" s="290" t="b">
        <f>IFERROR(__xludf.DUMMYFUNCTION("arrayformula(sum(--REGEXMATCH(""SrGMPdNS"",split(REGEXREPLACE(C275,""(.)"",""$1~""),""~""))))=len(C275)"),TRUE)</f>
        <v>1</v>
      </c>
      <c r="FD275" s="377" t="b">
        <f>IFERROR(__xludf.DUMMYFUNCTION("arrayformula(sum(--REGEXMATCH(""SrgMPdNS"",split(REGEXREPLACE(C275,""(.)"",""$1~""),""~""))))=len(C275)"),FALSE)</f>
        <v>0</v>
      </c>
      <c r="FE275" s="269" t="str">
        <f t="shared" si="71"/>
        <v>xooxoxxxoox</v>
      </c>
      <c r="FF275" s="269" t="str">
        <f t="shared" si="72"/>
        <v>-</v>
      </c>
      <c r="FG275" s="271" t="str">
        <f t="shared" si="73"/>
        <v>-</v>
      </c>
      <c r="FH275" s="269" t="str">
        <f t="shared" si="74"/>
        <v>xoxxxooxxxo</v>
      </c>
      <c r="FI275" s="271" t="str">
        <f t="shared" si="75"/>
        <v>-</v>
      </c>
      <c r="FJ275" s="271" t="str">
        <f t="shared" si="76"/>
        <v>xxxooxxxoox</v>
      </c>
      <c r="FK275" s="271" t="str">
        <f t="shared" si="77"/>
        <v>xxooxxxooxo</v>
      </c>
      <c r="FL275" s="271" t="str">
        <f t="shared" si="78"/>
        <v>xooxxxooxox</v>
      </c>
      <c r="FM275" s="271" t="str">
        <f t="shared" si="79"/>
        <v>-</v>
      </c>
      <c r="FN275" s="271" t="str">
        <f t="shared" si="80"/>
        <v>-</v>
      </c>
      <c r="FO275" s="274" t="str">
        <f t="shared" si="81"/>
        <v>xxxooxoxxxo</v>
      </c>
      <c r="FP275" s="234" t="str">
        <f t="shared" si="82"/>
        <v>|</v>
      </c>
      <c r="FQ275" s="236" t="str">
        <f t="shared" si="83"/>
        <v>|</v>
      </c>
      <c r="FR275" s="237" t="str">
        <f t="shared" si="84"/>
        <v>-</v>
      </c>
      <c r="FS275" s="236" t="str">
        <f t="shared" si="85"/>
        <v>-</v>
      </c>
      <c r="FT275" s="237" t="str">
        <f t="shared" si="86"/>
        <v>|</v>
      </c>
      <c r="FU275" s="236" t="str">
        <f t="shared" si="87"/>
        <v>-</v>
      </c>
      <c r="FV275" s="237" t="str">
        <f t="shared" si="88"/>
        <v>|</v>
      </c>
      <c r="FW275" s="236" t="str">
        <f t="shared" si="89"/>
        <v>|</v>
      </c>
      <c r="FX275" s="237" t="str">
        <f t="shared" si="90"/>
        <v>|</v>
      </c>
      <c r="FY275" s="236" t="str">
        <f t="shared" si="91"/>
        <v>-</v>
      </c>
      <c r="FZ275" s="237" t="str">
        <f t="shared" si="92"/>
        <v>-</v>
      </c>
      <c r="GA275" s="236" t="str">
        <f t="shared" si="93"/>
        <v>|</v>
      </c>
      <c r="GB275" s="238" t="str">
        <f t="shared" si="94"/>
        <v>|</v>
      </c>
      <c r="GC275" s="244" t="str">
        <f>IFERROR(__xludf.DUMMYFUNCTION("IF(REGEXMATCH(C275, ""S""), ""1"","""")"),"1")</f>
        <v>1</v>
      </c>
      <c r="GD275" s="245" t="str">
        <f>IFERROR(__xludf.DUMMYFUNCTION("IF(REGEXMATCH(C275, ""r""), ""b2"","""")"),"b2")</f>
        <v>b2</v>
      </c>
      <c r="GE275" s="246" t="str">
        <f>IFERROR(__xludf.DUMMYFUNCTION("IF(REGEXMATCH(C275, ""R""), ""2"","""")"),"")</f>
        <v/>
      </c>
      <c r="GF275" s="246" t="str">
        <f>IFERROR(__xludf.DUMMYFUNCTION("IF(REGEXMATCH(C275, ""g""), ""b3"","""")"),"")</f>
        <v/>
      </c>
      <c r="GG275" s="245" t="str">
        <f>IFERROR(__xludf.DUMMYFUNCTION("IF(REGEXMATCH(C275, ""G""), ""3"","""")"),"3")</f>
        <v>3</v>
      </c>
      <c r="GH275" s="245" t="str">
        <f>IFERROR(__xludf.DUMMYFUNCTION("IF(REGEXMATCH(C275, ""m""), ""4"","""")"),"")</f>
        <v/>
      </c>
      <c r="GI275" s="246" t="str">
        <f>IFERROR(__xludf.DUMMYFUNCTION("IF(REGEXMATCH(C275, ""M""), ""#4"","""")"),"#4")</f>
        <v>#4</v>
      </c>
      <c r="GJ275" s="245" t="str">
        <f>IFERROR(__xludf.DUMMYFUNCTION("IF(REGEXMATCH(C275, ""P""), ""5"","""")"),"5")</f>
        <v>5</v>
      </c>
      <c r="GK275" s="246" t="str">
        <f>IFERROR(__xludf.DUMMYFUNCTION("IF(REGEXMATCH(C275, ""d""), ""b6"","""")"),"b6")</f>
        <v>b6</v>
      </c>
      <c r="GL275" s="245" t="str">
        <f>IFERROR(__xludf.DUMMYFUNCTION("IF(REGEXMATCH(C275, ""D""), ""6"","""")"),"")</f>
        <v/>
      </c>
      <c r="GM275" s="245" t="str">
        <f>IFERROR(__xludf.DUMMYFUNCTION("IF(REGEXMATCH(C275, ""n""), ""b7"","""")"),"")</f>
        <v/>
      </c>
      <c r="GN275" s="246" t="str">
        <f>IFERROR(__xludf.DUMMYFUNCTION("IF(REGEXMATCH(C275, ""N""), ""7"","""")"),"7")</f>
        <v>7</v>
      </c>
      <c r="GO275" s="249" t="str">
        <f>IFERROR(__xludf.DUMMYFUNCTION("IF(REGEXMATCH(C275, ""S""), ""8"","""")"),"8")</f>
        <v>8</v>
      </c>
      <c r="GP275" s="244" t="str">
        <f>IFERROR(__xludf.DUMMYFUNCTION("IF(REGEXMATCH(C275, ""S""), ""S"","""")"),"S")</f>
        <v>S</v>
      </c>
      <c r="GQ275" s="294" t="str">
        <f>IFERROR(__xludf.DUMMYFUNCTION("IF(REGEXMATCH(C275, ""r""), ""R1"","""")"),"R1")</f>
        <v>R1</v>
      </c>
      <c r="GR275" s="295" t="str">
        <f>IFERROR(__xludf.DUMMYFUNCTION("IF(REGEXMATCH(C275, ""R""), ""R2"","""")"),"")</f>
        <v/>
      </c>
      <c r="GS275" s="295" t="str">
        <f>IFERROR(__xludf.DUMMYFUNCTION("IF(REGEXMATCH(C275, ""g""), ""G2"","""")"),"")</f>
        <v/>
      </c>
      <c r="GT275" s="294" t="str">
        <f>IFERROR(__xludf.DUMMYFUNCTION("IF(REGEXMATCH(C275, ""G""), ""G3"","""")"),"G3")</f>
        <v>G3</v>
      </c>
      <c r="GU275" s="294" t="str">
        <f>IFERROR(__xludf.DUMMYFUNCTION("IF(REGEXMATCH(C275, ""m""), ""M1"","""")"),"")</f>
        <v/>
      </c>
      <c r="GV275" s="295" t="str">
        <f>IFERROR(__xludf.DUMMYFUNCTION("IF(REGEXMATCH(C275, ""M""), ""M2"","""")"),"M2")</f>
        <v>M2</v>
      </c>
      <c r="GW275" s="294" t="str">
        <f>IFERROR(__xludf.DUMMYFUNCTION("IF(REGEXMATCH(C275, ""P""), ""P"","""")"),"P")</f>
        <v>P</v>
      </c>
      <c r="GX275" s="295" t="str">
        <f>IFERROR(__xludf.DUMMYFUNCTION("IF(REGEXMATCH(C275, ""d""), ""D1"","""")"),"D1")</f>
        <v>D1</v>
      </c>
      <c r="GY275" s="294" t="str">
        <f>IFERROR(__xludf.DUMMYFUNCTION("IF(REGEXMATCH(C275, ""D""), ""D2"","""")"),"")</f>
        <v/>
      </c>
      <c r="GZ275" s="294" t="str">
        <f>IFERROR(__xludf.DUMMYFUNCTION("IF(REGEXMATCH(C275, ""n""), ""N2"","""")"),"")</f>
        <v/>
      </c>
      <c r="HA275" s="295" t="str">
        <f>IFERROR(__xludf.DUMMYFUNCTION("IF(REGEXMATCH(C275, ""N""), ""N3"","""")"),"N3")</f>
        <v>N3</v>
      </c>
      <c r="HB275" s="249" t="str">
        <f>IFERROR(__xludf.DUMMYFUNCTION("IF(REGEXMATCH(C275, ""S""), ""S"","""")"),"S")</f>
        <v>S</v>
      </c>
      <c r="HC275" s="331" t="str">
        <f t="shared" si="95"/>
        <v>S</v>
      </c>
      <c r="HD275" s="332" t="str">
        <f t="shared" si="96"/>
        <v>r</v>
      </c>
      <c r="HE275" s="332" t="str">
        <f t="shared" si="97"/>
        <v/>
      </c>
      <c r="HF275" s="332" t="str">
        <f t="shared" si="98"/>
        <v/>
      </c>
      <c r="HG275" s="332" t="str">
        <f t="shared" si="99"/>
        <v>G</v>
      </c>
      <c r="HH275" s="332" t="str">
        <f t="shared" si="100"/>
        <v>m</v>
      </c>
      <c r="HI275" s="332" t="str">
        <f t="shared" si="101"/>
        <v>M</v>
      </c>
      <c r="HJ275" s="332" t="str">
        <f t="shared" si="102"/>
        <v/>
      </c>
      <c r="HK275" s="332" t="str">
        <f t="shared" si="103"/>
        <v>d</v>
      </c>
      <c r="HL275" s="332" t="str">
        <f t="shared" si="104"/>
        <v/>
      </c>
      <c r="HM275" s="332" t="str">
        <f t="shared" si="105"/>
        <v/>
      </c>
      <c r="HN275" s="332" t="str">
        <f t="shared" si="106"/>
        <v>N</v>
      </c>
      <c r="HO275" s="343" t="str">
        <f t="shared" si="107"/>
        <v>S</v>
      </c>
      <c r="HP275" s="331" t="str">
        <f t="shared" si="108"/>
        <v>o</v>
      </c>
      <c r="HQ275" s="332" t="str">
        <f t="shared" si="109"/>
        <v>o</v>
      </c>
      <c r="HR275" s="332" t="str">
        <f t="shared" si="110"/>
        <v>•</v>
      </c>
      <c r="HS275" s="332" t="str">
        <f t="shared" si="111"/>
        <v>•</v>
      </c>
      <c r="HT275" s="332" t="str">
        <f t="shared" si="112"/>
        <v>o</v>
      </c>
      <c r="HU275" s="332" t="str">
        <f t="shared" si="113"/>
        <v>•</v>
      </c>
      <c r="HV275" s="332" t="str">
        <f t="shared" si="114"/>
        <v>o</v>
      </c>
      <c r="HW275" s="332" t="str">
        <f t="shared" si="115"/>
        <v>o</v>
      </c>
      <c r="HX275" s="332" t="str">
        <f t="shared" si="116"/>
        <v>o</v>
      </c>
      <c r="HY275" s="332" t="str">
        <f t="shared" si="117"/>
        <v>•</v>
      </c>
      <c r="HZ275" s="332" t="str">
        <f t="shared" si="118"/>
        <v>•</v>
      </c>
      <c r="IA275" s="332" t="str">
        <f t="shared" si="119"/>
        <v>o</v>
      </c>
      <c r="IB275" s="338" t="str">
        <f t="shared" si="120"/>
        <v>o</v>
      </c>
      <c r="IC275" s="331" t="str">
        <f t="shared" si="121"/>
        <v>•</v>
      </c>
      <c r="ID275" s="332" t="str">
        <f t="shared" si="122"/>
        <v>•</v>
      </c>
      <c r="IE275" s="332" t="str">
        <f t="shared" si="123"/>
        <v>o</v>
      </c>
      <c r="IF275" s="332" t="str">
        <f t="shared" si="124"/>
        <v>o</v>
      </c>
      <c r="IG275" s="332" t="str">
        <f t="shared" si="125"/>
        <v>•</v>
      </c>
      <c r="IH275" s="332" t="str">
        <f t="shared" si="126"/>
        <v>o</v>
      </c>
      <c r="II275" s="332" t="str">
        <f t="shared" si="127"/>
        <v>•</v>
      </c>
      <c r="IJ275" s="332" t="str">
        <f t="shared" si="128"/>
        <v>•</v>
      </c>
      <c r="IK275" s="332" t="str">
        <f t="shared" si="129"/>
        <v>•</v>
      </c>
      <c r="IL275" s="332" t="str">
        <f t="shared" si="130"/>
        <v>o</v>
      </c>
      <c r="IM275" s="332" t="str">
        <f t="shared" si="131"/>
        <v>o</v>
      </c>
      <c r="IN275" s="332" t="str">
        <f t="shared" si="132"/>
        <v>•</v>
      </c>
      <c r="IO275" s="338" t="str">
        <f t="shared" si="133"/>
        <v>•</v>
      </c>
      <c r="IP275" s="346" t="b">
        <f t="shared" si="134"/>
        <v>0</v>
      </c>
      <c r="IQ275" s="347" t="b">
        <f t="shared" si="135"/>
        <v>0</v>
      </c>
      <c r="IR275" s="347" t="b">
        <f t="shared" si="136"/>
        <v>0</v>
      </c>
      <c r="IS275" s="347" t="b">
        <f t="shared" si="137"/>
        <v>0</v>
      </c>
      <c r="IT275" s="347" t="b">
        <f t="shared" si="138"/>
        <v>0</v>
      </c>
      <c r="IU275" s="347" t="b">
        <f t="shared" si="139"/>
        <v>0</v>
      </c>
      <c r="IV275" s="347" t="b">
        <f t="shared" si="140"/>
        <v>0</v>
      </c>
      <c r="IW275" s="347" t="b">
        <f t="shared" si="141"/>
        <v>1</v>
      </c>
      <c r="IX275" s="347" t="b">
        <f t="shared" si="142"/>
        <v>1</v>
      </c>
      <c r="IY275" s="347" t="b">
        <f t="shared" si="143"/>
        <v>0</v>
      </c>
      <c r="IZ275" s="347" t="b">
        <f t="shared" si="144"/>
        <v>0</v>
      </c>
      <c r="JA275" s="347" t="b">
        <f t="shared" si="145"/>
        <v>0</v>
      </c>
      <c r="JB275" s="353" t="b">
        <f t="shared" si="146"/>
        <v>0</v>
      </c>
      <c r="JC275" s="354" t="str">
        <f t="shared" si="147"/>
        <v/>
      </c>
      <c r="JD275" s="355" t="str">
        <f t="shared" si="148"/>
        <v/>
      </c>
      <c r="JE275" s="355" t="str">
        <f t="shared" si="149"/>
        <v/>
      </c>
      <c r="JF275" s="355" t="str">
        <f t="shared" si="150"/>
        <v/>
      </c>
      <c r="JG275" s="355" t="str">
        <f t="shared" si="151"/>
        <v/>
      </c>
      <c r="JH275" s="355" t="str">
        <f t="shared" si="152"/>
        <v/>
      </c>
      <c r="JI275" s="355" t="str">
        <f t="shared" si="153"/>
        <v/>
      </c>
      <c r="JJ275" s="355" t="str">
        <f t="shared" si="154"/>
        <v>Pa, </v>
      </c>
      <c r="JK275" s="355" t="str">
        <f t="shared" si="155"/>
        <v>dha, </v>
      </c>
      <c r="JL275" s="355" t="str">
        <f t="shared" si="156"/>
        <v/>
      </c>
      <c r="JM275" s="355" t="str">
        <f t="shared" si="157"/>
        <v/>
      </c>
      <c r="JN275" s="355" t="str">
        <f t="shared" si="158"/>
        <v/>
      </c>
      <c r="JO275" s="359" t="str">
        <f t="shared" si="159"/>
        <v/>
      </c>
      <c r="JP275" s="346" t="b">
        <f t="shared" si="160"/>
        <v>0</v>
      </c>
      <c r="JQ275" s="347" t="b">
        <f t="shared" si="161"/>
        <v>0</v>
      </c>
      <c r="JR275" s="347" t="b">
        <f t="shared" si="162"/>
        <v>0</v>
      </c>
      <c r="JS275" s="347" t="b">
        <f t="shared" si="163"/>
        <v>0</v>
      </c>
      <c r="JT275" s="347" t="b">
        <f t="shared" si="164"/>
        <v>0</v>
      </c>
      <c r="JU275" s="347" t="b">
        <f t="shared" si="165"/>
        <v>0</v>
      </c>
      <c r="JV275" s="347" t="b">
        <f t="shared" si="166"/>
        <v>0</v>
      </c>
      <c r="JW275" s="347" t="b">
        <f t="shared" si="167"/>
        <v>0</v>
      </c>
      <c r="JX275" s="347" t="b">
        <f t="shared" si="168"/>
        <v>0</v>
      </c>
      <c r="JY275" s="347" t="b">
        <f t="shared" si="169"/>
        <v>0</v>
      </c>
      <c r="JZ275" s="347" t="b">
        <f t="shared" si="170"/>
        <v>0</v>
      </c>
      <c r="KA275" s="347" t="b">
        <f t="shared" si="171"/>
        <v>0</v>
      </c>
      <c r="KB275" s="365" t="b">
        <f t="shared" si="172"/>
        <v>0</v>
      </c>
      <c r="KC275" s="354" t="str">
        <f t="shared" si="173"/>
        <v/>
      </c>
      <c r="KD275" s="355" t="str">
        <f t="shared" si="174"/>
        <v/>
      </c>
      <c r="KE275" s="355" t="str">
        <f t="shared" si="175"/>
        <v/>
      </c>
      <c r="KF275" s="355" t="str">
        <f t="shared" si="176"/>
        <v/>
      </c>
      <c r="KG275" s="355" t="str">
        <f t="shared" si="177"/>
        <v/>
      </c>
      <c r="KH275" s="355" t="str">
        <f t="shared" si="178"/>
        <v/>
      </c>
      <c r="KI275" s="355" t="str">
        <f t="shared" si="179"/>
        <v/>
      </c>
      <c r="KJ275" s="355" t="str">
        <f t="shared" si="180"/>
        <v/>
      </c>
      <c r="KK275" s="355" t="str">
        <f t="shared" si="181"/>
        <v/>
      </c>
      <c r="KL275" s="355" t="str">
        <f t="shared" si="182"/>
        <v/>
      </c>
      <c r="KM275" s="355" t="str">
        <f t="shared" si="183"/>
        <v/>
      </c>
      <c r="KN275" s="355" t="str">
        <f t="shared" si="184"/>
        <v/>
      </c>
      <c r="KO275" s="359"/>
      <c r="KP275" s="378"/>
      <c r="KQ275" s="379" t="s">
        <v>339</v>
      </c>
      <c r="KR275" s="380" t="s">
        <v>1315</v>
      </c>
      <c r="KS275" s="381" t="str">
        <f t="shared" si="774"/>
        <v>S-r-G-M-P-d-N-S</v>
      </c>
      <c r="KT275" s="382">
        <f t="shared" si="186"/>
        <v>7</v>
      </c>
      <c r="KU275" s="383">
        <f t="shared" si="187"/>
        <v>7</v>
      </c>
      <c r="KV275" s="381" t="str">
        <f t="shared" si="205"/>
        <v>S-N-d-P-M-G-r-S</v>
      </c>
      <c r="KW275" s="382">
        <f t="shared" si="189"/>
        <v>7</v>
      </c>
      <c r="KX275" s="384">
        <f t="shared" si="190"/>
        <v>7</v>
      </c>
      <c r="KY275" s="382">
        <f t="shared" ref="KY275:KZ275" si="775">KW275-KT275</f>
        <v>0</v>
      </c>
      <c r="KZ275" s="369">
        <f t="shared" si="775"/>
        <v>0</v>
      </c>
      <c r="LA275" s="385" t="str">
        <f t="shared" si="192"/>
        <v>✔</v>
      </c>
      <c r="LB275" s="340" t="str">
        <f>IFERROR(__xludf.DUMMYFUNCTION("JOIN("""",ArrayFormula(MID(KS275,LEN(KS275)-SEQUENCE(1,LEN(KS275))+1,1)))"),"S-N-d-P-M-G-r-S")</f>
        <v>S-N-d-P-M-G-r-S</v>
      </c>
      <c r="LC275" s="373" t="str">
        <f>IFERROR(__xludf.DUMMYFUNCTION("JOIN("""",ArrayFormula(MID(KV275,LEN(KV275)-SEQUENCE(1,LEN(KV275))+1,1)))"),"S-r-G-M-P-d-N-S")</f>
        <v>S-r-G-M-P-d-N-S</v>
      </c>
      <c r="LD275" s="373" t="str">
        <f t="shared" si="193"/>
        <v>SrGMPdNS</v>
      </c>
      <c r="LE275" s="339" t="str">
        <f t="shared" si="194"/>
        <v>SrGMPdNS</v>
      </c>
      <c r="LF275" s="386" t="str">
        <f>IFERROR(__xludf.DUMMYFUNCTION("SUBSTITUTE(SUBSTITUTE(CONCATENATE(JOIN("""",LH275:LT275)),""1"",""""),""2"","""")"),"SrGMPdNS")</f>
        <v>SrGMPdNS</v>
      </c>
      <c r="LG275" s="369" t="str">
        <f t="shared" si="195"/>
        <v>✔</v>
      </c>
      <c r="LH275" s="387" t="str">
        <f>IFERROR(__xludf.DUMMYFUNCTION("IF(REGEXMATCH(LD275, ""S""), ""S"",IF(REGEXMATCH(LE275, ""S""), ""S"",""""))"),"S")</f>
        <v>S</v>
      </c>
      <c r="LI275" s="299" t="str">
        <f>IFERROR(__xludf.DUMMYFUNCTION("IF(REGEXMATCH(LD275, ""r""), ""r1"",IF(REGEXMATCH(LE275, ""r""), ""r2"",""""))"),"r1")</f>
        <v>r1</v>
      </c>
      <c r="LJ275" s="299" t="str">
        <f>IFERROR(__xludf.DUMMYFUNCTION("IF(REGEXMATCH(LD275, ""R""), ""R1"",IF(REGEXMATCH(LE275, ""R""), ""R2"",""""))"),"")</f>
        <v/>
      </c>
      <c r="LK275" s="299" t="str">
        <f>IFERROR(__xludf.DUMMYFUNCTION("IF(REGEXMATCH(LD275, ""g""), ""g1"",IF(REGEXMATCH(LE275, ""g""), ""g2"",""""))"),"")</f>
        <v/>
      </c>
      <c r="LL275" s="299" t="str">
        <f>IFERROR(__xludf.DUMMYFUNCTION("IF(REGEXMATCH(LD275, ""G""), ""G1"",IF(REGEXMATCH(LE275, ""G""), ""G2"",""""))"),"G1")</f>
        <v>G1</v>
      </c>
      <c r="LM275" s="299" t="str">
        <f>IFERROR(__xludf.DUMMYFUNCTION("IF(REGEXMATCH(LD275, ""m""), ""m1"",IF(REGEXMATCH(LE275, ""m""), ""m2"",""""))"),"")</f>
        <v/>
      </c>
      <c r="LN275" s="299" t="str">
        <f>IFERROR(__xludf.DUMMYFUNCTION("IF(REGEXMATCH(LD275, ""M""), ""M1"",IF(REGEXMATCH(LE275, ""M""), ""M2"",""""))"),"M1")</f>
        <v>M1</v>
      </c>
      <c r="LO275" s="299" t="str">
        <f>IFERROR(__xludf.DUMMYFUNCTION("IF(REGEXMATCH(LD275, ""P""), ""P1"",IF(REGEXMATCH(LE275, ""P""), ""P2"",""""))"),"P1")</f>
        <v>P1</v>
      </c>
      <c r="LP275" s="299" t="str">
        <f>IFERROR(__xludf.DUMMYFUNCTION("IF(REGEXMATCH(LD275, ""d""), ""d1"",IF(REGEXMATCH(LE275, ""d""), ""d2"",""""))"),"d1")</f>
        <v>d1</v>
      </c>
      <c r="LQ275" s="299" t="str">
        <f>IFERROR(__xludf.DUMMYFUNCTION("IF(REGEXMATCH(LD275, ""D""), ""D1"",IF(REGEXMATCH(LE275, ""D""), ""D2"",""""))"),"")</f>
        <v/>
      </c>
      <c r="LR275" s="299" t="str">
        <f>IFERROR(__xludf.DUMMYFUNCTION("IF(REGEXMATCH(LD275, ""n""), ""n1"",IF(REGEXMATCH(LE275, ""n""), ""n2"",""""))"),"")</f>
        <v/>
      </c>
      <c r="LS275" s="299" t="str">
        <f>IFERROR(__xludf.DUMMYFUNCTION("IF(REGEXMATCH(LD275, ""N""), ""N1"",IF(REGEXMATCH(LE275, ""N""), ""N2"",""""))"),"N1")</f>
        <v>N1</v>
      </c>
      <c r="LT275" s="388" t="str">
        <f>IFERROR(__xludf.DUMMYFUNCTION("IF(REGEXMATCH(LD275, ""S""), ""S"",IF(REGEXMATCH(LE275, ""S""), ""S"",""""))"),"S")</f>
        <v>S</v>
      </c>
      <c r="LU275" s="389">
        <f t="shared" si="196"/>
        <v>1</v>
      </c>
      <c r="LV275" s="378"/>
      <c r="LW275" s="369"/>
      <c r="LX275" s="369"/>
    </row>
    <row r="276" ht="18.0" customHeight="1">
      <c r="A276" s="298" t="s">
        <v>1068</v>
      </c>
      <c r="B276" s="222" t="s">
        <v>288</v>
      </c>
      <c r="C276" s="233" t="str">
        <f t="shared" si="7"/>
        <v>SrGMPDNS</v>
      </c>
      <c r="D276" s="234" t="str">
        <f>IFERROR(__xludf.DUMMYFUNCTION("IF(REGEXMATCH(C276, ""S""), ""S"","""")"),"S")</f>
        <v>S</v>
      </c>
      <c r="E276" s="236" t="str">
        <f>IFERROR(__xludf.DUMMYFUNCTION("IF(REGEXMATCH(C276, ""r""), ""r"","""")"),"r")</f>
        <v>r</v>
      </c>
      <c r="F276" s="237" t="str">
        <f>IFERROR(__xludf.DUMMYFUNCTION("IF(REGEXMATCH(C276, ""R""), ""R"","""")"),"")</f>
        <v/>
      </c>
      <c r="G276" s="237" t="str">
        <f>IFERROR(__xludf.DUMMYFUNCTION("IF(REGEXMATCH(C276, ""g""), ""g"","""")"),"")</f>
        <v/>
      </c>
      <c r="H276" s="236" t="str">
        <f>IFERROR(__xludf.DUMMYFUNCTION("IF(REGEXMATCH(C276, ""G""), ""G"","""")"),"G")</f>
        <v>G</v>
      </c>
      <c r="I276" s="236" t="str">
        <f>IFERROR(__xludf.DUMMYFUNCTION("IF(REGEXMATCH(C276, ""m""), ""m"","""")"),"")</f>
        <v/>
      </c>
      <c r="J276" s="237" t="str">
        <f>IFERROR(__xludf.DUMMYFUNCTION("IF(REGEXMATCH(C276, ""M""), ""M"","""")"),"M")</f>
        <v>M</v>
      </c>
      <c r="K276" s="236" t="str">
        <f>IFERROR(__xludf.DUMMYFUNCTION("IF(REGEXMATCH(C276, ""P""), ""P"","""")"),"P")</f>
        <v>P</v>
      </c>
      <c r="L276" s="237" t="str">
        <f>IFERROR(__xludf.DUMMYFUNCTION("IF(REGEXMATCH(C276, ""d""), ""d"","""")"),"")</f>
        <v/>
      </c>
      <c r="M276" s="236" t="str">
        <f>IFERROR(__xludf.DUMMYFUNCTION("IF(REGEXMATCH(C276, ""D""), ""D"","""")"),"D")</f>
        <v>D</v>
      </c>
      <c r="N276" s="236" t="str">
        <f>IFERROR(__xludf.DUMMYFUNCTION("IF(REGEXMATCH(C276, ""n""), ""n"","""")"),"")</f>
        <v/>
      </c>
      <c r="O276" s="237" t="str">
        <f>IFERROR(__xludf.DUMMYFUNCTION("IF(REGEXMATCH(C276, ""N""), ""N"","""")"),"N")</f>
        <v>N</v>
      </c>
      <c r="P276" s="238" t="str">
        <f>IFERROR(__xludf.DUMMYFUNCTION("IF(REGEXMATCH(C276, ""S""), ""S"","""")"),"S")</f>
        <v>S</v>
      </c>
      <c r="Q276" s="239" t="str">
        <f>IFERROR(__xludf.DUMMYFUNCTION("SUBSTITUTE(CONCATENATE(JOIN(""-"",D276:J276)),""-"","""")"),"SrGM")</f>
        <v>SrGM</v>
      </c>
      <c r="R276" s="229" t="str">
        <f>IFERROR(__xludf.DUMMYFUNCTION("SUBSTITUTE(CONCATENATE(JOIN(""-"",K276:P276)),""-"","""")"),"PDNS")</f>
        <v>PDNS</v>
      </c>
      <c r="S276" s="282" t="str">
        <f t="shared" si="8"/>
        <v>S-R-G-M</v>
      </c>
      <c r="T276" s="282" t="str">
        <f t="shared" si="9"/>
        <v>P-D-N-S</v>
      </c>
      <c r="U276" s="237" t="str">
        <f>IFERROR(__xludf.DUMMYFUNCTION("SUBSTITUTE(JOIN(""-"",S276,T276),""--"",""-"")"),"S-R-G-M-P-D-N-S")</f>
        <v>S-R-G-M-P-D-N-S</v>
      </c>
      <c r="V276" s="309" t="str">
        <f t="shared" si="10"/>
        <v>rGMDN</v>
      </c>
      <c r="W276" s="244" t="str">
        <f>IFERROR(__xludf.DUMMYFUNCTION("IF(REGEXMATCH(C276, ""S""), ""0"","""")"),"0")</f>
        <v>0</v>
      </c>
      <c r="X276" s="245" t="str">
        <f>IFERROR(__xludf.DUMMYFUNCTION("IF(REGEXMATCH(C276, ""r""), ""1"","""")"),"1")</f>
        <v>1</v>
      </c>
      <c r="Y276" s="246" t="str">
        <f>IFERROR(__xludf.DUMMYFUNCTION("IF(REGEXMATCH(C276, ""R""), ""2"","""")"),"")</f>
        <v/>
      </c>
      <c r="Z276" s="246" t="str">
        <f>IFERROR(__xludf.DUMMYFUNCTION("IF(REGEXMATCH(C276, ""g""), ""3"","""")"),"")</f>
        <v/>
      </c>
      <c r="AA276" s="245" t="str">
        <f>IFERROR(__xludf.DUMMYFUNCTION("IF(REGEXMATCH(C276, ""G""), ""4"","""")"),"4")</f>
        <v>4</v>
      </c>
      <c r="AB276" s="245" t="str">
        <f>IFERROR(__xludf.DUMMYFUNCTION("IF(REGEXMATCH(C276, ""m""), ""5"","""")"),"")</f>
        <v/>
      </c>
      <c r="AC276" s="246" t="str">
        <f>IFERROR(__xludf.DUMMYFUNCTION("IF(REGEXMATCH(C276, ""M""), ""6"","""")"),"6")</f>
        <v>6</v>
      </c>
      <c r="AD276" s="245" t="str">
        <f>IFERROR(__xludf.DUMMYFUNCTION("IF(REGEXMATCH(C276, ""P""), ""7"","""")"),"7")</f>
        <v>7</v>
      </c>
      <c r="AE276" s="246" t="str">
        <f>IFERROR(__xludf.DUMMYFUNCTION("IF(REGEXMATCH(C276, ""d""), ""8"","""")"),"")</f>
        <v/>
      </c>
      <c r="AF276" s="245" t="str">
        <f>IFERROR(__xludf.DUMMYFUNCTION("IF(REGEXMATCH(C276, ""D""), ""9"","""")"),"9")</f>
        <v>9</v>
      </c>
      <c r="AG276" s="245" t="str">
        <f>IFERROR(__xludf.DUMMYFUNCTION("IF(REGEXMATCH(C276, ""n""), ""10"","""")"),"")</f>
        <v/>
      </c>
      <c r="AH276" s="246" t="str">
        <f>IFERROR(__xludf.DUMMYFUNCTION("IF(REGEXMATCH(C276, ""N""), ""11"","""")"),"11")</f>
        <v>11</v>
      </c>
      <c r="AI276" s="249" t="str">
        <f>IFERROR(__xludf.DUMMYFUNCTION("IF(REGEXMATCH(C276, ""S""), ""0"","""")"),"0")</f>
        <v>0</v>
      </c>
      <c r="AJ276" s="313" t="str">
        <f t="shared" si="11"/>
        <v>T</v>
      </c>
      <c r="AK276" s="313" t="str">
        <f t="shared" si="12"/>
        <v>T</v>
      </c>
      <c r="AL276" s="313" t="str">
        <f t="shared" si="13"/>
        <v>-</v>
      </c>
      <c r="AM276" s="313" t="str">
        <f t="shared" si="14"/>
        <v>-</v>
      </c>
      <c r="AN276" s="313" t="str">
        <f t="shared" si="15"/>
        <v>-</v>
      </c>
      <c r="AO276" s="314" t="str">
        <f t="shared" si="16"/>
        <v>-</v>
      </c>
      <c r="AP276" s="316">
        <f t="shared" si="17"/>
        <v>2</v>
      </c>
      <c r="AQ276" s="319" t="str">
        <f t="shared" si="18"/>
        <v>-</v>
      </c>
      <c r="AR276" s="320">
        <f t="shared" si="19"/>
        <v>0</v>
      </c>
      <c r="AS276" s="250" t="str">
        <f>IFERROR(__xludf.DUMMYFUNCTION("SUBSTITUTE(SUBSTITUTE(CONCATENATE(JOIN("""",FP276:GA276)),""|"",""x""),""-"",""o"")"),"xxooxoxxoxox")</f>
        <v>xxooxoxxoxox</v>
      </c>
      <c r="AT276" s="323" t="str">
        <f>IFERROR(__xludf.DUMMYFUNCTION("JOIN("""",AS276,AS276)"),"xxooxoxxoxoxxxooxoxxoxox")</f>
        <v>xxooxoxxoxoxxxooxoxxoxox</v>
      </c>
      <c r="AU276" s="256" t="str">
        <f>IFERROR(__xludf.DUMMYFUNCTION("JOIN("""",ArrayFormula(MID(AS276,LEN(AS276)-SEQUENCE(1,LEN(AS276))+1,1)))"),"xoxoxxoxooxx")</f>
        <v>xoxoxxoxooxx</v>
      </c>
      <c r="AV276" s="256" t="str">
        <f>IFERROR(__xludf.DUMMYFUNCTION("LEFT(CONCATENATE(""x"",JOIN("""",ArrayFormula(MID(AS276,LEN(AS276)-SEQUENCE(1,LEN(AS276))+1,1)))),12)"),"xxoxoxxoxoox")</f>
        <v>xxoxoxxoxoox</v>
      </c>
      <c r="AW276" s="327" t="str">
        <f>IFERROR(__xludf.DUMMYFUNCTION("JOIN("""",AU276,AU276)"),"xoxoxxoxooxxxoxoxxoxooxx")</f>
        <v>xoxoxxoxooxxxoxoxxoxooxx</v>
      </c>
      <c r="AX276" s="239" t="str">
        <f>IFERROR(__xludf.DUMMYFUNCTION("IF(REGEXMATCH(AW276,AS276),""✔"",""-"")"),"-")</f>
        <v>-</v>
      </c>
      <c r="AY276" s="330" t="str">
        <f t="shared" si="20"/>
        <v>-</v>
      </c>
      <c r="AZ276" s="260" t="str">
        <f t="shared" si="21"/>
        <v>#REF!</v>
      </c>
      <c r="BA276" s="333" t="str">
        <f t="shared" si="22"/>
        <v>xxooxox</v>
      </c>
      <c r="BB276" s="334" t="str">
        <f t="shared" si="23"/>
        <v>xoxoxx</v>
      </c>
      <c r="BC276" s="335" t="str">
        <f t="shared" si="236"/>
        <v>-</v>
      </c>
      <c r="BD276" s="336" t="str">
        <f t="shared" si="25"/>
        <v>Puriya Kalyan: 'xxooxox' + 'xoxoxx'</v>
      </c>
      <c r="BE276" s="337">
        <f>IFERROR(__xludf.DUMMYFUNCTION("COUNTUNIQUE(FILTER(AT:AT,REGEXMATCH(AT:AT,AS276)))-1"),1.0)</f>
        <v>1</v>
      </c>
      <c r="BF276" s="261" t="str">
        <f>IFERROR(__xludf.DUMMYFUNCTION("IF(BI276=0,""(n/a)"",IF(BJ276=2,""(PAIR)"",IF(REGEXMATCH(AT276,""xoxoxxoxoxox""),""Bilawal"",IF(REGEXMATCH(AT276,""xoxoxooxoxoo""),""Bhupali"",IF(REGEXMATCH(AT276,""xoxoxxoxxoxo""),""Charukeshi"",IF(REGEXMATCH(AT276,""xoxoooxxoxxo""),""Kameshwari"",IF(REG"&amp;"EXMATCH(AT276,""xoxoxooxoxox""),""Shankara"",IF(REGEXMATCH(AT276,""xxooxoxxxoox""),""Basant"",IF(REGEXMATCH(AT276,""xoxoxxxxoxox""),""Bihag"",IF(REGEXMATCH(AT276,""xoxxxxoxoxxx""),""Pilu"",IF(REGEXMATCH(AT276,""xoxxoxoxxoox""),""Kirwani"",IF(REGEXMATCH(AT"&amp;"276,""xoxxoxoxoxxx""),""Mk.Malhar"",IF(REGEXMATCH(AT276,""xxooxxoxxoox""),""Bhairav"",IF(REGEXMATCH(AT276,""xxoxooxxxoox""),""Todi"",IF(REGEXMATCH(AT276,""xxooxoxooxox""),""Marwa"",IF(REGEXMATCH(AT276,""xxoooxoxxooo""),""Gunkali"",IF(REGEXMATCH(AT276,""xo"&amp;"xoxxoxxoox""),""Nat Bhairav"",IF(REGEXMATCH(AT276,""xoxxoooxoxoo""),""Shivranjani"",IF(REGEXMATCH(AT276,""xooxxxoxooxo""),""Jog"",IF(REGEXMATCH(AT276,""xxooxoxoxoox""),""Hemshri"",IF(REGEXMATCH(AT276,""xoooxooxoxxo""),""Kalavati"",IF(REGEXMATCH(AT276,""xx"&amp;"oxoxxoxoox""),""Kedar"",IF(REGEXMATCH(AT276,""xoxxxxoxooxx""),""Gara"",IF(REGEXMATCH(AT276,""xooxoxooxoox""),""Chandrakauns"",IF(REGEXMATCH(AT276,""xoxxxxoxxxox""),""Mand"",IF(REGEXMATCH(AT276,""xoxxxxoxoxox""),""Hanskinkini"",IF(REGEXMATCH(AT276,""xxooxx"&amp;"oxooxo""),""Lilavati"",IF(REGEXMATCH(AT276,""xooxoxoooxox""),""Rajeshwari"",IF(REGEXMATCH(AT276,""xoooxxoxoxxx""),""Khokar"",IF(REGEXMATCH(AT276,""xxooxoxxxxox""),""Maligoura"",""-""))))))))))))))))))))))))))))))"),"-")</f>
        <v>-</v>
      </c>
      <c r="BG276" s="239" t="str">
        <f t="shared" si="26"/>
        <v>#REF!</v>
      </c>
      <c r="BH276" s="239">
        <f>IFERROR(__xludf.DUMMYFUNCTION("COUNTUNIQUE(FE276:FO276)-1"),6.0)</f>
        <v>6</v>
      </c>
      <c r="BI276" s="239">
        <f>IFERROR(__xludf.DUMMYFUNCTION("COUNTUNIQUE(FILTER(AT:AT,REGEXMATCH(AT:AT,AS276)))-1"),1.0)</f>
        <v>1</v>
      </c>
      <c r="BJ276" s="239">
        <f>IFERROR(__xludf.DUMMYFUNCTION("COUNTA(FILTER(AT:AT,REGEXMATCH(AT:AT,AS276)))"),5.0)</f>
        <v>5</v>
      </c>
      <c r="BK276" s="341">
        <f>IFERROR(__xludf.DUMMYFUNCTION("COUNTA(FILTER(AT:AT,REGEXMATCH(AT:AT,AS276)))-AR276"),5.0)</f>
        <v>5</v>
      </c>
      <c r="BL276" s="276" t="str">
        <f>IFERROR(__xludf.DUMMYFUNCTION("IF(AS276=""oooooooooooo"",""-"",IF(REGEXMATCH(AT276,""xx""), ""Hemi."", ""Anhemi.""))"),"Hemi.")</f>
        <v>Hemi.</v>
      </c>
      <c r="BM276" s="282" t="str">
        <f>IFERROR(__xludf.DUMMYFUNCTION("IF(AS276=""oooooooooooo"",""-"",IF(REGEXMATCH(AT276,""xxx""), ""Cohem."", ""-""))"),"Cohem.")</f>
        <v>Cohem.</v>
      </c>
      <c r="BN276" s="282" t="str">
        <f>IFERROR(__xludf.DUMMYFUNCTION("IF(AS276=""oooooooooooo"",""-"",IF(REGEXMATCH(AT276,""xxxx""), ""Co-Co."", ""-""))"),"-")</f>
        <v>-</v>
      </c>
      <c r="BO276" s="342" t="str">
        <f>IFERROR(__xludf.DUMMYFUNCTION("IF(AS276=""oooooooooooo"",""-"",IF(REGEXMATCH(AT276,""xxxxx""), ""CCC."", ""-""))"),"-")</f>
        <v>-</v>
      </c>
      <c r="BP276" s="344" t="str">
        <f t="shared" si="27"/>
        <v>Marwa</v>
      </c>
      <c r="BQ276" s="282" t="str">
        <f>IFERROR(__xludf.DUMMYFUNCTION("IF(REGEXMATCH(JOIN(""-"",EU276:FD276),""TRUE""),""✔"",""-"")"),"✔")</f>
        <v>✔</v>
      </c>
      <c r="BR276" s="225">
        <f t="shared" si="28"/>
        <v>1</v>
      </c>
      <c r="BS276" s="345" t="str">
        <f>IFERROR(__xludf.DUMMYFUNCTION("SUBSTITUTE(SUBSTITUTE(SUBSTITUTE(SUBSTITUTE(CONCATENATE(JOIN(""-"",GC276:GO276)),""--"",""-""),""--"",""-""),""--"",""-""),""--"",""-"")"),"1-b2-3-#4-5-6-7-8")</f>
        <v>1-b2-3-#4-5-6-7-8</v>
      </c>
      <c r="BT276" s="299" t="str">
        <f>IFERROR(__xludf.DUMMYFUNCTION("SUBSTITUTE(SUBSTITUTE(SUBSTITUTE(SUBSTITUTE(CONCATENATE(JOIN(""-"",GP276:HB276)),""--"",""-""),""--"",""-""),""--"",""-""),""--"",""-"")"),"S-R1-G3-M2-P-D2-N3-S")</f>
        <v>S-R1-G3-M2-P-D2-N3-S</v>
      </c>
      <c r="BU276" s="348" t="str">
        <f t="shared" si="29"/>
        <v>C-Db-E-F#-G-A-B-C</v>
      </c>
      <c r="BV276" s="349" t="str">
        <f t="shared" si="30"/>
        <v>SRgmdnS</v>
      </c>
      <c r="BW276" s="350">
        <f t="shared" si="31"/>
        <v>0</v>
      </c>
      <c r="BX276" s="351">
        <f t="shared" si="32"/>
        <v>4</v>
      </c>
      <c r="BY276" s="392"/>
      <c r="BZ276" s="309" t="str">
        <f>IFERROR(__xludf.DUMMYFUNCTION("IF(REGEXMATCH(C276, ""S""), ""x"",""x"")"),"x")</f>
        <v>x</v>
      </c>
      <c r="CA276" s="245" t="str">
        <f>IFERROR(__xludf.DUMMYFUNCTION("IF(REGEXMATCH(C276, ""r""), ""o"",""x"")"),"o")</f>
        <v>o</v>
      </c>
      <c r="CB276" s="246" t="str">
        <f>IFERROR(__xludf.DUMMYFUNCTION("IF(REGEXMATCH(C276, ""R""), ""o"",""x"")"),"x")</f>
        <v>x</v>
      </c>
      <c r="CC276" s="246" t="str">
        <f>IFERROR(__xludf.DUMMYFUNCTION("IF(REGEXMATCH(C276, ""g""), ""o"",""x"")"),"x")</f>
        <v>x</v>
      </c>
      <c r="CD276" s="245" t="str">
        <f>IFERROR(__xludf.DUMMYFUNCTION("IF(REGEXMATCH(C276, ""G""), ""o"",""x"")"),"o")</f>
        <v>o</v>
      </c>
      <c r="CE276" s="245" t="str">
        <f>IFERROR(__xludf.DUMMYFUNCTION("IF(REGEXMATCH(C276, ""m""), ""o"",""x"")"),"x")</f>
        <v>x</v>
      </c>
      <c r="CF276" s="246" t="str">
        <f>IFERROR(__xludf.DUMMYFUNCTION("IF(REGEXMATCH(C276, ""M""), ""o"",""x"")"),"o")</f>
        <v>o</v>
      </c>
      <c r="CG276" s="245" t="str">
        <f>IFERROR(__xludf.DUMMYFUNCTION("IF(REGEXMATCH(C276, ""P""), ""o"",""x"")"),"o")</f>
        <v>o</v>
      </c>
      <c r="CH276" s="246" t="str">
        <f>IFERROR(__xludf.DUMMYFUNCTION("IF(REGEXMATCH(C276, ""d""), ""o"",""x"")"),"x")</f>
        <v>x</v>
      </c>
      <c r="CI276" s="245" t="str">
        <f>IFERROR(__xludf.DUMMYFUNCTION("IF(REGEXMATCH(C276, ""D""), ""o"",""x"")"),"o")</f>
        <v>o</v>
      </c>
      <c r="CJ276" s="245" t="str">
        <f>IFERROR(__xludf.DUMMYFUNCTION("IF(REGEXMATCH(C276, ""n""), ""o"",""x"")"),"x")</f>
        <v>x</v>
      </c>
      <c r="CK276" s="245" t="str">
        <f>IFERROR(__xludf.DUMMYFUNCTION("IF(REGEXMATCH(C276, ""N""), ""o"",""x"")"),"o")</f>
        <v>o</v>
      </c>
      <c r="CL276" s="356" t="str">
        <f>IFERROR(__xludf.DUMMYFUNCTION("IF(REGEXMATCH(C276, ""S""), ""x"",""x"")"),"x")</f>
        <v>x</v>
      </c>
      <c r="CM276" s="357" t="str">
        <f t="shared" si="33"/>
        <v>xoxxoxooxoxo</v>
      </c>
      <c r="CN276" s="358">
        <f t="shared" si="34"/>
        <v>0</v>
      </c>
      <c r="CO276" s="246" t="str">
        <f>IFERROR(__xludf.DUMMYFUNCTION("IF(REGEXMATCH($C276, ""S""), ""S"",""S"")"),"S")</f>
        <v>S</v>
      </c>
      <c r="CP276" s="246" t="str">
        <f>IFERROR(__xludf.DUMMYFUNCTION("IF(REGEXMATCH($C276, ""r""), """",""r"")"),"")</f>
        <v/>
      </c>
      <c r="CQ276" s="246" t="str">
        <f>IFERROR(__xludf.DUMMYFUNCTION("IF(REGEXMATCH($C276, ""R""), """",""R"")"),"R")</f>
        <v>R</v>
      </c>
      <c r="CR276" s="246" t="str">
        <f>IFERROR(__xludf.DUMMYFUNCTION("IF(REGEXMATCH($C276, ""g""), """",""g"")"),"g")</f>
        <v>g</v>
      </c>
      <c r="CS276" s="246" t="str">
        <f>IFERROR(__xludf.DUMMYFUNCTION("IF(REGEXMATCH($C276, ""G""), """",""G"")"),"")</f>
        <v/>
      </c>
      <c r="CT276" s="246" t="str">
        <f>IFERROR(__xludf.DUMMYFUNCTION("IF(REGEXMATCH($C276, ""m""), """",""m"")"),"m")</f>
        <v>m</v>
      </c>
      <c r="CU276" s="246" t="str">
        <f>IFERROR(__xludf.DUMMYFUNCTION("IF(REGEXMATCH($C276, ""M""), """",""M"")"),"")</f>
        <v/>
      </c>
      <c r="CV276" s="246" t="str">
        <f>IFERROR(__xludf.DUMMYFUNCTION("IF(REGEXMATCH($C276, ""P""), """",""P"")"),"")</f>
        <v/>
      </c>
      <c r="CW276" s="246" t="str">
        <f>IFERROR(__xludf.DUMMYFUNCTION("IF(REGEXMATCH($C276, ""d""), """",""d"")"),"d")</f>
        <v>d</v>
      </c>
      <c r="CX276" s="246" t="str">
        <f>IFERROR(__xludf.DUMMYFUNCTION("IF(REGEXMATCH($C276, ""D""), """",""D"")"),"")</f>
        <v/>
      </c>
      <c r="CY276" s="246" t="str">
        <f>IFERROR(__xludf.DUMMYFUNCTION("IF(REGEXMATCH($C276, ""n""), """",""n"")"),"n")</f>
        <v>n</v>
      </c>
      <c r="CZ276" s="246" t="str">
        <f>IFERROR(__xludf.DUMMYFUNCTION("IF(REGEXMATCH($C276, ""N""), """",""N"")"),"")</f>
        <v/>
      </c>
      <c r="DA276" s="246" t="str">
        <f>IFERROR(__xludf.DUMMYFUNCTION("IF(REGEXMATCH($C276, ""S""), ""S"",""S"")"),"S")</f>
        <v>S</v>
      </c>
      <c r="DB276" s="362" t="str">
        <f>IFERROR(__xludf.DUMMYFUNCTION("JOIN("""",CO276:DA276,"""","""")"),"SRgmdnS")</f>
        <v>SRgmdnS</v>
      </c>
      <c r="DC276" s="363"/>
      <c r="DD276" s="301" t="str">
        <f t="shared" si="35"/>
        <v>#REF!</v>
      </c>
      <c r="DE276" s="302" t="str">
        <f t="shared" si="36"/>
        <v>#REF!</v>
      </c>
      <c r="DF276" s="301" t="str">
        <f t="shared" ref="DF276:DG276" si="776">SUBSTITUTE(S276,"-","")</f>
        <v>SRGM</v>
      </c>
      <c r="DG276" s="301" t="str">
        <f t="shared" si="776"/>
        <v>PDNS</v>
      </c>
      <c r="DH276" s="302" t="str">
        <f t="shared" si="38"/>
        <v>-</v>
      </c>
      <c r="DI276" s="301" t="str">
        <f t="shared" si="39"/>
        <v>Hemi.</v>
      </c>
      <c r="DJ276" s="364" t="str">
        <f t="shared" si="40"/>
        <v>Cohem.</v>
      </c>
      <c r="DK276" s="306" t="str">
        <f t="shared" si="41"/>
        <v>Marwa</v>
      </c>
      <c r="DL276" s="366" t="str">
        <f t="shared" si="42"/>
        <v>-</v>
      </c>
      <c r="DM276" s="308" t="str">
        <f t="shared" si="43"/>
        <v>-</v>
      </c>
      <c r="DN276" s="306" t="str">
        <f t="shared" si="44"/>
        <v>-</v>
      </c>
      <c r="DO276" s="306" t="str">
        <f t="shared" si="45"/>
        <v>-</v>
      </c>
      <c r="DP276" s="367" t="str">
        <f t="shared" si="46"/>
        <v>✔</v>
      </c>
      <c r="DQ276" s="310" t="str">
        <f t="shared" si="47"/>
        <v>-</v>
      </c>
      <c r="DR276" s="310" t="str">
        <f t="shared" si="48"/>
        <v>-</v>
      </c>
      <c r="DS276" s="310" t="str">
        <f t="shared" si="49"/>
        <v>-</v>
      </c>
      <c r="DT276" s="310" t="str">
        <f t="shared" si="50"/>
        <v>-</v>
      </c>
      <c r="DU276" s="370" t="str">
        <f t="shared" si="51"/>
        <v>-</v>
      </c>
      <c r="DV276" s="306" t="str">
        <f t="shared" si="52"/>
        <v>-</v>
      </c>
      <c r="DW276" s="306" t="str">
        <f t="shared" si="53"/>
        <v>-</v>
      </c>
      <c r="DX276" s="306" t="str">
        <f t="shared" si="54"/>
        <v>-</v>
      </c>
      <c r="DY276" s="306" t="str">
        <f t="shared" si="55"/>
        <v>-</v>
      </c>
      <c r="DZ276" s="306" t="str">
        <f t="shared" si="56"/>
        <v>-</v>
      </c>
      <c r="EA276" s="367" t="str">
        <f t="shared" si="57"/>
        <v>-</v>
      </c>
      <c r="EB276" s="310" t="str">
        <f>IFERROR(__xludf.DUMMYFUNCTION("IF(REGEXMATCH(AW276,AS276),""✔"",""-"")"),"-")</f>
        <v>-</v>
      </c>
      <c r="EC276" s="310" t="str">
        <f t="shared" si="58"/>
        <v>#REF!</v>
      </c>
      <c r="ED276" s="370" t="str">
        <f t="shared" si="59"/>
        <v>-</v>
      </c>
      <c r="EE276" s="340" t="str">
        <f t="shared" si="60"/>
        <v>S-r-G-M-P-D-N-S</v>
      </c>
      <c r="EF276" s="371" t="str">
        <f>IFERROR(__xludf.DUMMYFUNCTION("CONCATENATE(JOIN("""",HC276:HO276))"),"SrgmMdNS")</f>
        <v>SrgmMdNS</v>
      </c>
      <c r="EG276" s="372">
        <f t="shared" si="61"/>
        <v>2</v>
      </c>
      <c r="EH276" s="373" t="str">
        <f>IFERROR(__xludf.DUMMYFUNCTION("CONCATENATE(JOIN("""",JC276:JO276))"),"re, Pa, ")</f>
        <v>re, Pa, </v>
      </c>
      <c r="EI276" s="322">
        <f t="shared" si="62"/>
        <v>0</v>
      </c>
      <c r="EJ276" s="374" t="str">
        <f>IFERROR(__xludf.DUMMYFUNCTION("CONCATENATE(JOIN("""",KC276:KO276))"),"")</f>
        <v/>
      </c>
      <c r="EK276" s="325" t="str">
        <f t="shared" si="63"/>
        <v>S-R1-G3-M2-P-D2-N3-S</v>
      </c>
      <c r="EL276" s="326" t="str">
        <f t="shared" si="64"/>
        <v>1-b2-3-#4-5-6-7-8</v>
      </c>
      <c r="EM276" s="318" t="str">
        <f t="shared" si="65"/>
        <v>#REF!</v>
      </c>
      <c r="EN276" s="328" t="str">
        <f>IFERROR(__xludf.DUMMYFUNCTION("SUBSTITUTE(SUBSTITUTE(SUBSTITUTE(SUBSTITUTE(CONCATENATE(JOIN("" "",HP276:IB276)),""  "","" ""),""  "","" ""),""  "","" ""),""  "","" "")"),"o o • • o • o o • o • o o")</f>
        <v>o o • • o • o o • o • o o</v>
      </c>
      <c r="EO276" s="368" t="str">
        <f t="shared" si="66"/>
        <v>Sa-Pa</v>
      </c>
      <c r="EP276" s="339" t="str">
        <f t="shared" si="67"/>
        <v>Sa-Pa</v>
      </c>
      <c r="EQ276" s="339" t="str">
        <f t="shared" si="68"/>
        <v>Sa-Pa</v>
      </c>
      <c r="ER276" s="339" t="str">
        <f t="shared" si="69"/>
        <v>-</v>
      </c>
      <c r="ES276" s="340" t="str">
        <f t="shared" si="70"/>
        <v>-</v>
      </c>
      <c r="ET276" s="363"/>
      <c r="EU276" s="376" t="b">
        <f>IFERROR(__xludf.DUMMYFUNCTION("arrayformula(sum(--REGEXMATCH(""SRGMPDNS"",split(REGEXREPLACE(C276,""(.)"",""$1~""),""~""))))=len(C276)
"),FALSE)</f>
        <v>0</v>
      </c>
      <c r="EV276" s="290" t="b">
        <f>IFERROR(__xludf.DUMMYFUNCTION("arrayformula(sum(--REGEXMATCH(""SRGmPDNS"",split(REGEXREPLACE(C276,""(.)"",""$1~""),""~""))))=len(C276)"),FALSE)</f>
        <v>0</v>
      </c>
      <c r="EW276" s="290" t="b">
        <f>IFERROR(__xludf.DUMMYFUNCTION("arrayformula(sum(--REGEXMATCH(""SRGmPDnS"",split(REGEXREPLACE(C276,""(.)"",""$1~""),""~""))))=len(C276)"),FALSE)</f>
        <v>0</v>
      </c>
      <c r="EX276" s="290" t="b">
        <f>IFERROR(__xludf.DUMMYFUNCTION("arrayformula(sum(--REGEXMATCH(""SRgmPDnS"",split(REGEXREPLACE(C276,""(.)"",""$1~""),""~""))))=len(C276)"),FALSE)</f>
        <v>0</v>
      </c>
      <c r="EY276" s="290" t="b">
        <f>IFERROR(__xludf.DUMMYFUNCTION("arrayformula(sum(--REGEXMATCH(""SRgmPdnS"",split(REGEXREPLACE(C276,""(.)"",""$1~""),""~""))))=len(C276)"),FALSE)</f>
        <v>0</v>
      </c>
      <c r="EZ276" s="290" t="b">
        <f>IFERROR(__xludf.DUMMYFUNCTION("arrayformula(sum(--REGEXMATCH(""SrgmPdnS"",split(REGEXREPLACE(C276,""(.)"",""$1~""),""~""))))=len(C276)"),FALSE)</f>
        <v>0</v>
      </c>
      <c r="FA276" s="290" t="b">
        <f>IFERROR(__xludf.DUMMYFUNCTION("arrayformula(sum(--REGEXMATCH(""SrGmPdNS"",split(REGEXREPLACE(C276,""(.)"",""$1~""),""~""))))=len(C276)"),FALSE)</f>
        <v>0</v>
      </c>
      <c r="FB276" s="290" t="b">
        <f>IFERROR(__xludf.DUMMYFUNCTION("arrayformula(sum(--REGEXMATCH(""SrGMPDNS"",split(REGEXREPLACE(C276,""(.)"",""$1~""),""~""))))=len(C276)"),TRUE)</f>
        <v>1</v>
      </c>
      <c r="FC276" s="290" t="b">
        <f>IFERROR(__xludf.DUMMYFUNCTION("arrayformula(sum(--REGEXMATCH(""SrGMPdNS"",split(REGEXREPLACE(C276,""(.)"",""$1~""),""~""))))=len(C276)"),FALSE)</f>
        <v>0</v>
      </c>
      <c r="FD276" s="377" t="b">
        <f>IFERROR(__xludf.DUMMYFUNCTION("arrayformula(sum(--REGEXMATCH(""SrgMPdNS"",split(REGEXREPLACE(C276,""(.)"",""$1~""),""~""))))=len(C276)"),FALSE)</f>
        <v>0</v>
      </c>
      <c r="FE276" s="269" t="str">
        <f t="shared" si="71"/>
        <v>xooxoxxoxox</v>
      </c>
      <c r="FF276" s="269" t="str">
        <f t="shared" si="72"/>
        <v>-</v>
      </c>
      <c r="FG276" s="271" t="str">
        <f t="shared" si="73"/>
        <v>-</v>
      </c>
      <c r="FH276" s="269" t="str">
        <f t="shared" si="74"/>
        <v>xoxxoxoxxxo</v>
      </c>
      <c r="FI276" s="271" t="str">
        <f t="shared" si="75"/>
        <v>-</v>
      </c>
      <c r="FJ276" s="271" t="str">
        <f t="shared" si="76"/>
        <v>xxoxoxxxoox</v>
      </c>
      <c r="FK276" s="271" t="str">
        <f t="shared" si="77"/>
        <v>xoxoxxxooxo</v>
      </c>
      <c r="FL276" s="271" t="str">
        <f t="shared" si="78"/>
        <v>-</v>
      </c>
      <c r="FM276" s="271" t="str">
        <f t="shared" si="79"/>
        <v>xoxxxooxoxx</v>
      </c>
      <c r="FN276" s="271" t="str">
        <f t="shared" si="80"/>
        <v>-</v>
      </c>
      <c r="FO276" s="274" t="str">
        <f t="shared" si="81"/>
        <v>xxxooxoxxox</v>
      </c>
      <c r="FP276" s="234" t="str">
        <f t="shared" si="82"/>
        <v>|</v>
      </c>
      <c r="FQ276" s="236" t="str">
        <f t="shared" si="83"/>
        <v>|</v>
      </c>
      <c r="FR276" s="237" t="str">
        <f t="shared" si="84"/>
        <v>-</v>
      </c>
      <c r="FS276" s="236" t="str">
        <f t="shared" si="85"/>
        <v>-</v>
      </c>
      <c r="FT276" s="237" t="str">
        <f t="shared" si="86"/>
        <v>|</v>
      </c>
      <c r="FU276" s="236" t="str">
        <f t="shared" si="87"/>
        <v>-</v>
      </c>
      <c r="FV276" s="237" t="str">
        <f t="shared" si="88"/>
        <v>|</v>
      </c>
      <c r="FW276" s="236" t="str">
        <f t="shared" si="89"/>
        <v>|</v>
      </c>
      <c r="FX276" s="237" t="str">
        <f t="shared" si="90"/>
        <v>-</v>
      </c>
      <c r="FY276" s="236" t="str">
        <f t="shared" si="91"/>
        <v>|</v>
      </c>
      <c r="FZ276" s="237" t="str">
        <f t="shared" si="92"/>
        <v>-</v>
      </c>
      <c r="GA276" s="236" t="str">
        <f t="shared" si="93"/>
        <v>|</v>
      </c>
      <c r="GB276" s="238" t="str">
        <f t="shared" si="94"/>
        <v>|</v>
      </c>
      <c r="GC276" s="244" t="str">
        <f>IFERROR(__xludf.DUMMYFUNCTION("IF(REGEXMATCH(C276, ""S""), ""1"","""")"),"1")</f>
        <v>1</v>
      </c>
      <c r="GD276" s="245" t="str">
        <f>IFERROR(__xludf.DUMMYFUNCTION("IF(REGEXMATCH(C276, ""r""), ""b2"","""")"),"b2")</f>
        <v>b2</v>
      </c>
      <c r="GE276" s="246" t="str">
        <f>IFERROR(__xludf.DUMMYFUNCTION("IF(REGEXMATCH(C276, ""R""), ""2"","""")"),"")</f>
        <v/>
      </c>
      <c r="GF276" s="246" t="str">
        <f>IFERROR(__xludf.DUMMYFUNCTION("IF(REGEXMATCH(C276, ""g""), ""b3"","""")"),"")</f>
        <v/>
      </c>
      <c r="GG276" s="245" t="str">
        <f>IFERROR(__xludf.DUMMYFUNCTION("IF(REGEXMATCH(C276, ""G""), ""3"","""")"),"3")</f>
        <v>3</v>
      </c>
      <c r="GH276" s="245" t="str">
        <f>IFERROR(__xludf.DUMMYFUNCTION("IF(REGEXMATCH(C276, ""m""), ""4"","""")"),"")</f>
        <v/>
      </c>
      <c r="GI276" s="246" t="str">
        <f>IFERROR(__xludf.DUMMYFUNCTION("IF(REGEXMATCH(C276, ""M""), ""#4"","""")"),"#4")</f>
        <v>#4</v>
      </c>
      <c r="GJ276" s="245" t="str">
        <f>IFERROR(__xludf.DUMMYFUNCTION("IF(REGEXMATCH(C276, ""P""), ""5"","""")"),"5")</f>
        <v>5</v>
      </c>
      <c r="GK276" s="246" t="str">
        <f>IFERROR(__xludf.DUMMYFUNCTION("IF(REGEXMATCH(C276, ""d""), ""b6"","""")"),"")</f>
        <v/>
      </c>
      <c r="GL276" s="245" t="str">
        <f>IFERROR(__xludf.DUMMYFUNCTION("IF(REGEXMATCH(C276, ""D""), ""6"","""")"),"6")</f>
        <v>6</v>
      </c>
      <c r="GM276" s="245" t="str">
        <f>IFERROR(__xludf.DUMMYFUNCTION("IF(REGEXMATCH(C276, ""n""), ""b7"","""")"),"")</f>
        <v/>
      </c>
      <c r="GN276" s="246" t="str">
        <f>IFERROR(__xludf.DUMMYFUNCTION("IF(REGEXMATCH(C276, ""N""), ""7"","""")"),"7")</f>
        <v>7</v>
      </c>
      <c r="GO276" s="249" t="str">
        <f>IFERROR(__xludf.DUMMYFUNCTION("IF(REGEXMATCH(C276, ""S""), ""8"","""")"),"8")</f>
        <v>8</v>
      </c>
      <c r="GP276" s="244" t="str">
        <f>IFERROR(__xludf.DUMMYFUNCTION("IF(REGEXMATCH(C276, ""S""), ""S"","""")"),"S")</f>
        <v>S</v>
      </c>
      <c r="GQ276" s="294" t="str">
        <f>IFERROR(__xludf.DUMMYFUNCTION("IF(REGEXMATCH(C276, ""r""), ""R1"","""")"),"R1")</f>
        <v>R1</v>
      </c>
      <c r="GR276" s="295" t="str">
        <f>IFERROR(__xludf.DUMMYFUNCTION("IF(REGEXMATCH(C276, ""R""), ""R2"","""")"),"")</f>
        <v/>
      </c>
      <c r="GS276" s="295" t="str">
        <f>IFERROR(__xludf.DUMMYFUNCTION("IF(REGEXMATCH(C276, ""g""), ""G2"","""")"),"")</f>
        <v/>
      </c>
      <c r="GT276" s="294" t="str">
        <f>IFERROR(__xludf.DUMMYFUNCTION("IF(REGEXMATCH(C276, ""G""), ""G3"","""")"),"G3")</f>
        <v>G3</v>
      </c>
      <c r="GU276" s="294" t="str">
        <f>IFERROR(__xludf.DUMMYFUNCTION("IF(REGEXMATCH(C276, ""m""), ""M1"","""")"),"")</f>
        <v/>
      </c>
      <c r="GV276" s="295" t="str">
        <f>IFERROR(__xludf.DUMMYFUNCTION("IF(REGEXMATCH(C276, ""M""), ""M2"","""")"),"M2")</f>
        <v>M2</v>
      </c>
      <c r="GW276" s="294" t="str">
        <f>IFERROR(__xludf.DUMMYFUNCTION("IF(REGEXMATCH(C276, ""P""), ""P"","""")"),"P")</f>
        <v>P</v>
      </c>
      <c r="GX276" s="295" t="str">
        <f>IFERROR(__xludf.DUMMYFUNCTION("IF(REGEXMATCH(C276, ""d""), ""D1"","""")"),"")</f>
        <v/>
      </c>
      <c r="GY276" s="294" t="str">
        <f>IFERROR(__xludf.DUMMYFUNCTION("IF(REGEXMATCH(C276, ""D""), ""D2"","""")"),"D2")</f>
        <v>D2</v>
      </c>
      <c r="GZ276" s="294" t="str">
        <f>IFERROR(__xludf.DUMMYFUNCTION("IF(REGEXMATCH(C276, ""n""), ""N2"","""")"),"")</f>
        <v/>
      </c>
      <c r="HA276" s="295" t="str">
        <f>IFERROR(__xludf.DUMMYFUNCTION("IF(REGEXMATCH(C276, ""N""), ""N3"","""")"),"N3")</f>
        <v>N3</v>
      </c>
      <c r="HB276" s="249" t="str">
        <f>IFERROR(__xludf.DUMMYFUNCTION("IF(REGEXMATCH(C276, ""S""), ""S"","""")"),"S")</f>
        <v>S</v>
      </c>
      <c r="HC276" s="331" t="str">
        <f t="shared" si="95"/>
        <v>S</v>
      </c>
      <c r="HD276" s="332" t="str">
        <f t="shared" si="96"/>
        <v>r</v>
      </c>
      <c r="HE276" s="332" t="str">
        <f t="shared" si="97"/>
        <v/>
      </c>
      <c r="HF276" s="332" t="str">
        <f t="shared" si="98"/>
        <v>g</v>
      </c>
      <c r="HG276" s="332" t="str">
        <f t="shared" si="99"/>
        <v/>
      </c>
      <c r="HH276" s="332" t="str">
        <f t="shared" si="100"/>
        <v>m</v>
      </c>
      <c r="HI276" s="332" t="str">
        <f t="shared" si="101"/>
        <v>M</v>
      </c>
      <c r="HJ276" s="332" t="str">
        <f t="shared" si="102"/>
        <v/>
      </c>
      <c r="HK276" s="332" t="str">
        <f t="shared" si="103"/>
        <v>d</v>
      </c>
      <c r="HL276" s="332" t="str">
        <f t="shared" si="104"/>
        <v/>
      </c>
      <c r="HM276" s="332" t="str">
        <f t="shared" si="105"/>
        <v/>
      </c>
      <c r="HN276" s="332" t="str">
        <f t="shared" si="106"/>
        <v>N</v>
      </c>
      <c r="HO276" s="343" t="str">
        <f t="shared" si="107"/>
        <v>S</v>
      </c>
      <c r="HP276" s="331" t="str">
        <f t="shared" si="108"/>
        <v>o</v>
      </c>
      <c r="HQ276" s="332" t="str">
        <f t="shared" si="109"/>
        <v>o</v>
      </c>
      <c r="HR276" s="332" t="str">
        <f t="shared" si="110"/>
        <v>•</v>
      </c>
      <c r="HS276" s="332" t="str">
        <f t="shared" si="111"/>
        <v>•</v>
      </c>
      <c r="HT276" s="332" t="str">
        <f t="shared" si="112"/>
        <v>o</v>
      </c>
      <c r="HU276" s="332" t="str">
        <f t="shared" si="113"/>
        <v>•</v>
      </c>
      <c r="HV276" s="332" t="str">
        <f t="shared" si="114"/>
        <v>o</v>
      </c>
      <c r="HW276" s="332" t="str">
        <f t="shared" si="115"/>
        <v>o</v>
      </c>
      <c r="HX276" s="332" t="str">
        <f t="shared" si="116"/>
        <v>•</v>
      </c>
      <c r="HY276" s="332" t="str">
        <f t="shared" si="117"/>
        <v>o</v>
      </c>
      <c r="HZ276" s="332" t="str">
        <f t="shared" si="118"/>
        <v>•</v>
      </c>
      <c r="IA276" s="332" t="str">
        <f t="shared" si="119"/>
        <v>o</v>
      </c>
      <c r="IB276" s="338" t="str">
        <f t="shared" si="120"/>
        <v>o</v>
      </c>
      <c r="IC276" s="331" t="str">
        <f t="shared" si="121"/>
        <v>•</v>
      </c>
      <c r="ID276" s="332" t="str">
        <f t="shared" si="122"/>
        <v>•</v>
      </c>
      <c r="IE276" s="332" t="str">
        <f t="shared" si="123"/>
        <v>o</v>
      </c>
      <c r="IF276" s="332" t="str">
        <f t="shared" si="124"/>
        <v>o</v>
      </c>
      <c r="IG276" s="332" t="str">
        <f t="shared" si="125"/>
        <v>•</v>
      </c>
      <c r="IH276" s="332" t="str">
        <f t="shared" si="126"/>
        <v>o</v>
      </c>
      <c r="II276" s="332" t="str">
        <f t="shared" si="127"/>
        <v>•</v>
      </c>
      <c r="IJ276" s="332" t="str">
        <f t="shared" si="128"/>
        <v>•</v>
      </c>
      <c r="IK276" s="332" t="str">
        <f t="shared" si="129"/>
        <v>o</v>
      </c>
      <c r="IL276" s="332" t="str">
        <f t="shared" si="130"/>
        <v>•</v>
      </c>
      <c r="IM276" s="332" t="str">
        <f t="shared" si="131"/>
        <v>o</v>
      </c>
      <c r="IN276" s="332" t="str">
        <f t="shared" si="132"/>
        <v>•</v>
      </c>
      <c r="IO276" s="338" t="str">
        <f t="shared" si="133"/>
        <v>•</v>
      </c>
      <c r="IP276" s="346" t="b">
        <f t="shared" si="134"/>
        <v>0</v>
      </c>
      <c r="IQ276" s="347" t="b">
        <f t="shared" si="135"/>
        <v>1</v>
      </c>
      <c r="IR276" s="347" t="b">
        <f t="shared" si="136"/>
        <v>0</v>
      </c>
      <c r="IS276" s="347" t="b">
        <f t="shared" si="137"/>
        <v>0</v>
      </c>
      <c r="IT276" s="347" t="b">
        <f t="shared" si="138"/>
        <v>0</v>
      </c>
      <c r="IU276" s="347" t="b">
        <f t="shared" si="139"/>
        <v>0</v>
      </c>
      <c r="IV276" s="347" t="b">
        <f t="shared" si="140"/>
        <v>0</v>
      </c>
      <c r="IW276" s="347" t="b">
        <f t="shared" si="141"/>
        <v>1</v>
      </c>
      <c r="IX276" s="347" t="b">
        <f t="shared" si="142"/>
        <v>0</v>
      </c>
      <c r="IY276" s="347" t="b">
        <f t="shared" si="143"/>
        <v>0</v>
      </c>
      <c r="IZ276" s="347" t="b">
        <f t="shared" si="144"/>
        <v>0</v>
      </c>
      <c r="JA276" s="347" t="b">
        <f t="shared" si="145"/>
        <v>0</v>
      </c>
      <c r="JB276" s="353" t="b">
        <f t="shared" si="146"/>
        <v>0</v>
      </c>
      <c r="JC276" s="354" t="str">
        <f t="shared" si="147"/>
        <v/>
      </c>
      <c r="JD276" s="355" t="str">
        <f t="shared" si="148"/>
        <v>re, </v>
      </c>
      <c r="JE276" s="355" t="str">
        <f t="shared" si="149"/>
        <v/>
      </c>
      <c r="JF276" s="355" t="str">
        <f t="shared" si="150"/>
        <v/>
      </c>
      <c r="JG276" s="355" t="str">
        <f t="shared" si="151"/>
        <v/>
      </c>
      <c r="JH276" s="355" t="str">
        <f t="shared" si="152"/>
        <v/>
      </c>
      <c r="JI276" s="355" t="str">
        <f t="shared" si="153"/>
        <v/>
      </c>
      <c r="JJ276" s="355" t="str">
        <f t="shared" si="154"/>
        <v>Pa, </v>
      </c>
      <c r="JK276" s="355" t="str">
        <f t="shared" si="155"/>
        <v/>
      </c>
      <c r="JL276" s="355" t="str">
        <f t="shared" si="156"/>
        <v/>
      </c>
      <c r="JM276" s="355" t="str">
        <f t="shared" si="157"/>
        <v/>
      </c>
      <c r="JN276" s="355" t="str">
        <f t="shared" si="158"/>
        <v/>
      </c>
      <c r="JO276" s="359" t="str">
        <f t="shared" si="159"/>
        <v/>
      </c>
      <c r="JP276" s="346" t="b">
        <f t="shared" si="160"/>
        <v>0</v>
      </c>
      <c r="JQ276" s="347" t="b">
        <f t="shared" si="161"/>
        <v>0</v>
      </c>
      <c r="JR276" s="347" t="b">
        <f t="shared" si="162"/>
        <v>0</v>
      </c>
      <c r="JS276" s="347" t="b">
        <f t="shared" si="163"/>
        <v>0</v>
      </c>
      <c r="JT276" s="347" t="b">
        <f t="shared" si="164"/>
        <v>0</v>
      </c>
      <c r="JU276" s="347" t="b">
        <f t="shared" si="165"/>
        <v>0</v>
      </c>
      <c r="JV276" s="347" t="b">
        <f t="shared" si="166"/>
        <v>0</v>
      </c>
      <c r="JW276" s="347" t="b">
        <f t="shared" si="167"/>
        <v>0</v>
      </c>
      <c r="JX276" s="347" t="b">
        <f t="shared" si="168"/>
        <v>0</v>
      </c>
      <c r="JY276" s="347" t="b">
        <f t="shared" si="169"/>
        <v>0</v>
      </c>
      <c r="JZ276" s="347" t="b">
        <f t="shared" si="170"/>
        <v>0</v>
      </c>
      <c r="KA276" s="347" t="b">
        <f t="shared" si="171"/>
        <v>0</v>
      </c>
      <c r="KB276" s="365" t="b">
        <f t="shared" si="172"/>
        <v>0</v>
      </c>
      <c r="KC276" s="354" t="str">
        <f t="shared" si="173"/>
        <v/>
      </c>
      <c r="KD276" s="355" t="str">
        <f t="shared" si="174"/>
        <v/>
      </c>
      <c r="KE276" s="355" t="str">
        <f t="shared" si="175"/>
        <v/>
      </c>
      <c r="KF276" s="355" t="str">
        <f t="shared" si="176"/>
        <v/>
      </c>
      <c r="KG276" s="355" t="str">
        <f t="shared" si="177"/>
        <v/>
      </c>
      <c r="KH276" s="355" t="str">
        <f t="shared" si="178"/>
        <v/>
      </c>
      <c r="KI276" s="355" t="str">
        <f t="shared" si="179"/>
        <v/>
      </c>
      <c r="KJ276" s="355" t="str">
        <f t="shared" si="180"/>
        <v/>
      </c>
      <c r="KK276" s="355" t="str">
        <f t="shared" si="181"/>
        <v/>
      </c>
      <c r="KL276" s="355" t="str">
        <f t="shared" si="182"/>
        <v/>
      </c>
      <c r="KM276" s="355" t="str">
        <f t="shared" si="183"/>
        <v/>
      </c>
      <c r="KN276" s="355" t="str">
        <f t="shared" si="184"/>
        <v/>
      </c>
      <c r="KO276" s="359"/>
      <c r="KP276" s="378"/>
      <c r="KQ276" s="379" t="s">
        <v>288</v>
      </c>
      <c r="KR276" s="380" t="s">
        <v>1311</v>
      </c>
      <c r="KS276" s="381" t="str">
        <f t="shared" si="774"/>
        <v>S-r-G-M-P-D-N-S</v>
      </c>
      <c r="KT276" s="382">
        <f t="shared" si="186"/>
        <v>7</v>
      </c>
      <c r="KU276" s="383">
        <f t="shared" si="187"/>
        <v>7</v>
      </c>
      <c r="KV276" s="381" t="str">
        <f t="shared" si="205"/>
        <v>S-N-D-P-M-G-r-S</v>
      </c>
      <c r="KW276" s="382">
        <f t="shared" si="189"/>
        <v>7</v>
      </c>
      <c r="KX276" s="384">
        <f t="shared" si="190"/>
        <v>7</v>
      </c>
      <c r="KY276" s="382">
        <f t="shared" ref="KY276:KZ276" si="777">KW276-KT276</f>
        <v>0</v>
      </c>
      <c r="KZ276" s="369">
        <f t="shared" si="777"/>
        <v>0</v>
      </c>
      <c r="LA276" s="385" t="str">
        <f t="shared" si="192"/>
        <v>✔</v>
      </c>
      <c r="LB276" s="340" t="str">
        <f>IFERROR(__xludf.DUMMYFUNCTION("JOIN("""",ArrayFormula(MID(KS276,LEN(KS276)-SEQUENCE(1,LEN(KS276))+1,1)))"),"S-N-D-P-M-G-r-S")</f>
        <v>S-N-D-P-M-G-r-S</v>
      </c>
      <c r="LC276" s="373" t="str">
        <f>IFERROR(__xludf.DUMMYFUNCTION("JOIN("""",ArrayFormula(MID(KV276,LEN(KV276)-SEQUENCE(1,LEN(KV276))+1,1)))"),"S-r-G-M-P-D-N-S")</f>
        <v>S-r-G-M-P-D-N-S</v>
      </c>
      <c r="LD276" s="373" t="str">
        <f t="shared" si="193"/>
        <v>SrGMPDNS</v>
      </c>
      <c r="LE276" s="339" t="str">
        <f t="shared" si="194"/>
        <v>SrGMPDNS</v>
      </c>
      <c r="LF276" s="386" t="str">
        <f>IFERROR(__xludf.DUMMYFUNCTION("SUBSTITUTE(SUBSTITUTE(CONCATENATE(JOIN("""",LH276:LT276)),""1"",""""),""2"","""")"),"SrGMPDNS")</f>
        <v>SrGMPDNS</v>
      </c>
      <c r="LG276" s="369" t="str">
        <f t="shared" si="195"/>
        <v>✔</v>
      </c>
      <c r="LH276" s="387" t="str">
        <f>IFERROR(__xludf.DUMMYFUNCTION("IF(REGEXMATCH(LD276, ""S""), ""S"",IF(REGEXMATCH(LE276, ""S""), ""S"",""""))"),"S")</f>
        <v>S</v>
      </c>
      <c r="LI276" s="299" t="str">
        <f>IFERROR(__xludf.DUMMYFUNCTION("IF(REGEXMATCH(LD276, ""r""), ""r1"",IF(REGEXMATCH(LE276, ""r""), ""r2"",""""))"),"r1")</f>
        <v>r1</v>
      </c>
      <c r="LJ276" s="299" t="str">
        <f>IFERROR(__xludf.DUMMYFUNCTION("IF(REGEXMATCH(LD276, ""R""), ""R1"",IF(REGEXMATCH(LE276, ""R""), ""R2"",""""))"),"")</f>
        <v/>
      </c>
      <c r="LK276" s="299" t="str">
        <f>IFERROR(__xludf.DUMMYFUNCTION("IF(REGEXMATCH(LD276, ""g""), ""g1"",IF(REGEXMATCH(LE276, ""g""), ""g2"",""""))"),"")</f>
        <v/>
      </c>
      <c r="LL276" s="299" t="str">
        <f>IFERROR(__xludf.DUMMYFUNCTION("IF(REGEXMATCH(LD276, ""G""), ""G1"",IF(REGEXMATCH(LE276, ""G""), ""G2"",""""))"),"G1")</f>
        <v>G1</v>
      </c>
      <c r="LM276" s="299" t="str">
        <f>IFERROR(__xludf.DUMMYFUNCTION("IF(REGEXMATCH(LD276, ""m""), ""m1"",IF(REGEXMATCH(LE276, ""m""), ""m2"",""""))"),"")</f>
        <v/>
      </c>
      <c r="LN276" s="299" t="str">
        <f>IFERROR(__xludf.DUMMYFUNCTION("IF(REGEXMATCH(LD276, ""M""), ""M1"",IF(REGEXMATCH(LE276, ""M""), ""M2"",""""))"),"M1")</f>
        <v>M1</v>
      </c>
      <c r="LO276" s="299" t="str">
        <f>IFERROR(__xludf.DUMMYFUNCTION("IF(REGEXMATCH(LD276, ""P""), ""P1"",IF(REGEXMATCH(LE276, ""P""), ""P2"",""""))"),"P1")</f>
        <v>P1</v>
      </c>
      <c r="LP276" s="299" t="str">
        <f>IFERROR(__xludf.DUMMYFUNCTION("IF(REGEXMATCH(LD276, ""d""), ""d1"",IF(REGEXMATCH(LE276, ""d""), ""d2"",""""))"),"")</f>
        <v/>
      </c>
      <c r="LQ276" s="299" t="str">
        <f>IFERROR(__xludf.DUMMYFUNCTION("IF(REGEXMATCH(LD276, ""D""), ""D1"",IF(REGEXMATCH(LE276, ""D""), ""D2"",""""))"),"D1")</f>
        <v>D1</v>
      </c>
      <c r="LR276" s="299" t="str">
        <f>IFERROR(__xludf.DUMMYFUNCTION("IF(REGEXMATCH(LD276, ""n""), ""n1"",IF(REGEXMATCH(LE276, ""n""), ""n2"",""""))"),"")</f>
        <v/>
      </c>
      <c r="LS276" s="299" t="str">
        <f>IFERROR(__xludf.DUMMYFUNCTION("IF(REGEXMATCH(LD276, ""N""), ""N1"",IF(REGEXMATCH(LE276, ""N""), ""N2"",""""))"),"N1")</f>
        <v>N1</v>
      </c>
      <c r="LT276" s="388" t="str">
        <f>IFERROR(__xludf.DUMMYFUNCTION("IF(REGEXMATCH(LD276, ""S""), ""S"",IF(REGEXMATCH(LE276, ""S""), ""S"",""""))"),"S")</f>
        <v>S</v>
      </c>
      <c r="LU276" s="389">
        <f t="shared" si="196"/>
        <v>1</v>
      </c>
      <c r="LV276" s="378"/>
      <c r="LW276" s="369"/>
      <c r="LX276" s="369"/>
    </row>
    <row r="277" ht="18.0" customHeight="1">
      <c r="A277" s="298" t="s">
        <v>1070</v>
      </c>
      <c r="B277" s="222" t="s">
        <v>288</v>
      </c>
      <c r="C277" s="233" t="str">
        <f t="shared" si="7"/>
        <v>SrGMPDNS</v>
      </c>
      <c r="D277" s="234" t="str">
        <f>IFERROR(__xludf.DUMMYFUNCTION("IF(REGEXMATCH(C277, ""S""), ""S"","""")"),"S")</f>
        <v>S</v>
      </c>
      <c r="E277" s="236" t="str">
        <f>IFERROR(__xludf.DUMMYFUNCTION("IF(REGEXMATCH(C277, ""r""), ""r"","""")"),"r")</f>
        <v>r</v>
      </c>
      <c r="F277" s="237" t="str">
        <f>IFERROR(__xludf.DUMMYFUNCTION("IF(REGEXMATCH(C277, ""R""), ""R"","""")"),"")</f>
        <v/>
      </c>
      <c r="G277" s="237" t="str">
        <f>IFERROR(__xludf.DUMMYFUNCTION("IF(REGEXMATCH(C277, ""g""), ""g"","""")"),"")</f>
        <v/>
      </c>
      <c r="H277" s="236" t="str">
        <f>IFERROR(__xludf.DUMMYFUNCTION("IF(REGEXMATCH(C277, ""G""), ""G"","""")"),"G")</f>
        <v>G</v>
      </c>
      <c r="I277" s="236" t="str">
        <f>IFERROR(__xludf.DUMMYFUNCTION("IF(REGEXMATCH(C277, ""m""), ""m"","""")"),"")</f>
        <v/>
      </c>
      <c r="J277" s="237" t="str">
        <f>IFERROR(__xludf.DUMMYFUNCTION("IF(REGEXMATCH(C277, ""M""), ""M"","""")"),"M")</f>
        <v>M</v>
      </c>
      <c r="K277" s="236" t="str">
        <f>IFERROR(__xludf.DUMMYFUNCTION("IF(REGEXMATCH(C277, ""P""), ""P"","""")"),"P")</f>
        <v>P</v>
      </c>
      <c r="L277" s="237" t="str">
        <f>IFERROR(__xludf.DUMMYFUNCTION("IF(REGEXMATCH(C277, ""d""), ""d"","""")"),"")</f>
        <v/>
      </c>
      <c r="M277" s="236" t="str">
        <f>IFERROR(__xludf.DUMMYFUNCTION("IF(REGEXMATCH(C277, ""D""), ""D"","""")"),"D")</f>
        <v>D</v>
      </c>
      <c r="N277" s="236" t="str">
        <f>IFERROR(__xludf.DUMMYFUNCTION("IF(REGEXMATCH(C277, ""n""), ""n"","""")"),"")</f>
        <v/>
      </c>
      <c r="O277" s="237" t="str">
        <f>IFERROR(__xludf.DUMMYFUNCTION("IF(REGEXMATCH(C277, ""N""), ""N"","""")"),"N")</f>
        <v>N</v>
      </c>
      <c r="P277" s="238" t="str">
        <f>IFERROR(__xludf.DUMMYFUNCTION("IF(REGEXMATCH(C277, ""S""), ""S"","""")"),"S")</f>
        <v>S</v>
      </c>
      <c r="Q277" s="239" t="str">
        <f>IFERROR(__xludf.DUMMYFUNCTION("SUBSTITUTE(CONCATENATE(JOIN(""-"",D277:J277)),""-"","""")"),"SrGM")</f>
        <v>SrGM</v>
      </c>
      <c r="R277" s="229" t="str">
        <f>IFERROR(__xludf.DUMMYFUNCTION("SUBSTITUTE(CONCATENATE(JOIN(""-"",K277:P277)),""-"","""")"),"PDNS")</f>
        <v>PDNS</v>
      </c>
      <c r="S277" s="282" t="str">
        <f t="shared" si="8"/>
        <v>S-R-G-M</v>
      </c>
      <c r="T277" s="282" t="str">
        <f t="shared" si="9"/>
        <v>P-D-N-S</v>
      </c>
      <c r="U277" s="237" t="str">
        <f>IFERROR(__xludf.DUMMYFUNCTION("SUBSTITUTE(JOIN(""-"",S277,T277),""--"",""-"")"),"S-R-G-M-P-D-N-S")</f>
        <v>S-R-G-M-P-D-N-S</v>
      </c>
      <c r="V277" s="309" t="str">
        <f t="shared" si="10"/>
        <v>rGMDN</v>
      </c>
      <c r="W277" s="244" t="str">
        <f>IFERROR(__xludf.DUMMYFUNCTION("IF(REGEXMATCH(C277, ""S""), ""0"","""")"),"0")</f>
        <v>0</v>
      </c>
      <c r="X277" s="245" t="str">
        <f>IFERROR(__xludf.DUMMYFUNCTION("IF(REGEXMATCH(C277, ""r""), ""1"","""")"),"1")</f>
        <v>1</v>
      </c>
      <c r="Y277" s="246" t="str">
        <f>IFERROR(__xludf.DUMMYFUNCTION("IF(REGEXMATCH(C277, ""R""), ""2"","""")"),"")</f>
        <v/>
      </c>
      <c r="Z277" s="246" t="str">
        <f>IFERROR(__xludf.DUMMYFUNCTION("IF(REGEXMATCH(C277, ""g""), ""3"","""")"),"")</f>
        <v/>
      </c>
      <c r="AA277" s="245" t="str">
        <f>IFERROR(__xludf.DUMMYFUNCTION("IF(REGEXMATCH(C277, ""G""), ""4"","""")"),"4")</f>
        <v>4</v>
      </c>
      <c r="AB277" s="245" t="str">
        <f>IFERROR(__xludf.DUMMYFUNCTION("IF(REGEXMATCH(C277, ""m""), ""5"","""")"),"")</f>
        <v/>
      </c>
      <c r="AC277" s="246" t="str">
        <f>IFERROR(__xludf.DUMMYFUNCTION("IF(REGEXMATCH(C277, ""M""), ""6"","""")"),"6")</f>
        <v>6</v>
      </c>
      <c r="AD277" s="245" t="str">
        <f>IFERROR(__xludf.DUMMYFUNCTION("IF(REGEXMATCH(C277, ""P""), ""7"","""")"),"7")</f>
        <v>7</v>
      </c>
      <c r="AE277" s="246" t="str">
        <f>IFERROR(__xludf.DUMMYFUNCTION("IF(REGEXMATCH(C277, ""d""), ""8"","""")"),"")</f>
        <v/>
      </c>
      <c r="AF277" s="245" t="str">
        <f>IFERROR(__xludf.DUMMYFUNCTION("IF(REGEXMATCH(C277, ""D""), ""9"","""")"),"9")</f>
        <v>9</v>
      </c>
      <c r="AG277" s="245" t="str">
        <f>IFERROR(__xludf.DUMMYFUNCTION("IF(REGEXMATCH(C277, ""n""), ""10"","""")"),"")</f>
        <v/>
      </c>
      <c r="AH277" s="246" t="str">
        <f>IFERROR(__xludf.DUMMYFUNCTION("IF(REGEXMATCH(C277, ""N""), ""11"","""")"),"11")</f>
        <v>11</v>
      </c>
      <c r="AI277" s="249" t="str">
        <f>IFERROR(__xludf.DUMMYFUNCTION("IF(REGEXMATCH(C277, ""S""), ""0"","""")"),"0")</f>
        <v>0</v>
      </c>
      <c r="AJ277" s="313" t="str">
        <f t="shared" si="11"/>
        <v>T</v>
      </c>
      <c r="AK277" s="313" t="str">
        <f t="shared" si="12"/>
        <v>T</v>
      </c>
      <c r="AL277" s="313" t="str">
        <f t="shared" si="13"/>
        <v>-</v>
      </c>
      <c r="AM277" s="313" t="str">
        <f t="shared" si="14"/>
        <v>-</v>
      </c>
      <c r="AN277" s="313" t="str">
        <f t="shared" si="15"/>
        <v>-</v>
      </c>
      <c r="AO277" s="314" t="str">
        <f t="shared" si="16"/>
        <v>-</v>
      </c>
      <c r="AP277" s="316">
        <f t="shared" si="17"/>
        <v>2</v>
      </c>
      <c r="AQ277" s="319" t="str">
        <f t="shared" si="18"/>
        <v>-</v>
      </c>
      <c r="AR277" s="320">
        <f t="shared" si="19"/>
        <v>0</v>
      </c>
      <c r="AS277" s="250" t="str">
        <f>IFERROR(__xludf.DUMMYFUNCTION("SUBSTITUTE(SUBSTITUTE(CONCATENATE(JOIN("""",FP277:GA277)),""|"",""x""),""-"",""o"")"),"xxooxoxxoxox")</f>
        <v>xxooxoxxoxox</v>
      </c>
      <c r="AT277" s="323" t="str">
        <f>IFERROR(__xludf.DUMMYFUNCTION("JOIN("""",AS277,AS277)"),"xxooxoxxoxoxxxooxoxxoxox")</f>
        <v>xxooxoxxoxoxxxooxoxxoxox</v>
      </c>
      <c r="AU277" s="256" t="str">
        <f>IFERROR(__xludf.DUMMYFUNCTION("JOIN("""",ArrayFormula(MID(AS277,LEN(AS277)-SEQUENCE(1,LEN(AS277))+1,1)))"),"xoxoxxoxooxx")</f>
        <v>xoxoxxoxooxx</v>
      </c>
      <c r="AV277" s="256" t="str">
        <f>IFERROR(__xludf.DUMMYFUNCTION("LEFT(CONCATENATE(""x"",JOIN("""",ArrayFormula(MID(AS277,LEN(AS277)-SEQUENCE(1,LEN(AS277))+1,1)))),12)"),"xxoxoxxoxoox")</f>
        <v>xxoxoxxoxoox</v>
      </c>
      <c r="AW277" s="327" t="str">
        <f>IFERROR(__xludf.DUMMYFUNCTION("JOIN("""",AU277,AU277)"),"xoxoxxoxooxxxoxoxxoxooxx")</f>
        <v>xoxoxxoxooxxxoxoxxoxooxx</v>
      </c>
      <c r="AX277" s="239" t="str">
        <f>IFERROR(__xludf.DUMMYFUNCTION("IF(REGEXMATCH(AW277,AS277),""✔"",""-"")"),"-")</f>
        <v>-</v>
      </c>
      <c r="AY277" s="330" t="str">
        <f t="shared" si="20"/>
        <v>-</v>
      </c>
      <c r="AZ277" s="260" t="str">
        <f t="shared" si="21"/>
        <v>#REF!</v>
      </c>
      <c r="BA277" s="333" t="str">
        <f t="shared" si="22"/>
        <v>xxooxox</v>
      </c>
      <c r="BB277" s="334" t="str">
        <f t="shared" si="23"/>
        <v>xoxoxx</v>
      </c>
      <c r="BC277" s="335" t="str">
        <f t="shared" si="236"/>
        <v>-</v>
      </c>
      <c r="BD277" s="336" t="str">
        <f t="shared" si="25"/>
        <v>Purva: 'xxooxox' + 'xoxoxx'</v>
      </c>
      <c r="BE277" s="337">
        <f>IFERROR(__xludf.DUMMYFUNCTION("COUNTUNIQUE(FILTER(AT:AT,REGEXMATCH(AT:AT,AS277)))-1"),1.0)</f>
        <v>1</v>
      </c>
      <c r="BF277" s="261" t="str">
        <f>IFERROR(__xludf.DUMMYFUNCTION("IF(BI277=0,""(n/a)"",IF(BJ277=2,""(PAIR)"",IF(REGEXMATCH(AT277,""xoxoxxoxoxox""),""Bilawal"",IF(REGEXMATCH(AT277,""xoxoxooxoxoo""),""Bhupali"",IF(REGEXMATCH(AT277,""xoxoxxoxxoxo""),""Charukeshi"",IF(REGEXMATCH(AT277,""xoxoooxxoxxo""),""Kameshwari"",IF(REG"&amp;"EXMATCH(AT277,""xoxoxooxoxox""),""Shankara"",IF(REGEXMATCH(AT277,""xxooxoxxxoox""),""Basant"",IF(REGEXMATCH(AT277,""xoxoxxxxoxox""),""Bihag"",IF(REGEXMATCH(AT277,""xoxxxxoxoxxx""),""Pilu"",IF(REGEXMATCH(AT277,""xoxxoxoxxoox""),""Kirwani"",IF(REGEXMATCH(AT"&amp;"277,""xoxxoxoxoxxx""),""Mk.Malhar"",IF(REGEXMATCH(AT277,""xxooxxoxxoox""),""Bhairav"",IF(REGEXMATCH(AT277,""xxoxooxxxoox""),""Todi"",IF(REGEXMATCH(AT277,""xxooxoxooxox""),""Marwa"",IF(REGEXMATCH(AT277,""xxoooxoxxooo""),""Gunkali"",IF(REGEXMATCH(AT277,""xo"&amp;"xoxxoxxoox""),""Nat Bhairav"",IF(REGEXMATCH(AT277,""xoxxoooxoxoo""),""Shivranjani"",IF(REGEXMATCH(AT277,""xooxxxoxooxo""),""Jog"",IF(REGEXMATCH(AT277,""xxooxoxoxoox""),""Hemshri"",IF(REGEXMATCH(AT277,""xoooxooxoxxo""),""Kalavati"",IF(REGEXMATCH(AT277,""xx"&amp;"oxoxxoxoox""),""Kedar"",IF(REGEXMATCH(AT277,""xoxxxxoxooxx""),""Gara"",IF(REGEXMATCH(AT277,""xooxoxooxoox""),""Chandrakauns"",IF(REGEXMATCH(AT277,""xoxxxxoxxxox""),""Mand"",IF(REGEXMATCH(AT277,""xoxxxxoxoxox""),""Hanskinkini"",IF(REGEXMATCH(AT277,""xxooxx"&amp;"oxooxo""),""Lilavati"",IF(REGEXMATCH(AT277,""xooxoxoooxox""),""Rajeshwari"",IF(REGEXMATCH(AT277,""xoooxxoxoxxx""),""Khokar"",IF(REGEXMATCH(AT277,""xxooxoxxxxox""),""Maligoura"",""-""))))))))))))))))))))))))))))))"),"-")</f>
        <v>-</v>
      </c>
      <c r="BG277" s="239" t="str">
        <f t="shared" si="26"/>
        <v>#REF!</v>
      </c>
      <c r="BH277" s="239">
        <f>IFERROR(__xludf.DUMMYFUNCTION("COUNTUNIQUE(FE277:FO277)-1"),6.0)</f>
        <v>6</v>
      </c>
      <c r="BI277" s="239">
        <f>IFERROR(__xludf.DUMMYFUNCTION("COUNTUNIQUE(FILTER(AT:AT,REGEXMATCH(AT:AT,AS277)))-1"),1.0)</f>
        <v>1</v>
      </c>
      <c r="BJ277" s="239">
        <f>IFERROR(__xludf.DUMMYFUNCTION("COUNTA(FILTER(AT:AT,REGEXMATCH(AT:AT,AS277)))"),5.0)</f>
        <v>5</v>
      </c>
      <c r="BK277" s="341">
        <f>IFERROR(__xludf.DUMMYFUNCTION("COUNTA(FILTER(AT:AT,REGEXMATCH(AT:AT,AS277)))-AR277"),5.0)</f>
        <v>5</v>
      </c>
      <c r="BL277" s="276" t="str">
        <f>IFERROR(__xludf.DUMMYFUNCTION("IF(AS277=""oooooooooooo"",""-"",IF(REGEXMATCH(AT277,""xx""), ""Hemi."", ""Anhemi.""))"),"Hemi.")</f>
        <v>Hemi.</v>
      </c>
      <c r="BM277" s="282" t="str">
        <f>IFERROR(__xludf.DUMMYFUNCTION("IF(AS277=""oooooooooooo"",""-"",IF(REGEXMATCH(AT277,""xxx""), ""Cohem."", ""-""))"),"Cohem.")</f>
        <v>Cohem.</v>
      </c>
      <c r="BN277" s="282" t="str">
        <f>IFERROR(__xludf.DUMMYFUNCTION("IF(AS277=""oooooooooooo"",""-"",IF(REGEXMATCH(AT277,""xxxx""), ""Co-Co."", ""-""))"),"-")</f>
        <v>-</v>
      </c>
      <c r="BO277" s="342" t="str">
        <f>IFERROR(__xludf.DUMMYFUNCTION("IF(AS277=""oooooooooooo"",""-"",IF(REGEXMATCH(AT277,""xxxxx""), ""CCC."", ""-""))"),"-")</f>
        <v>-</v>
      </c>
      <c r="BP277" s="344" t="str">
        <f t="shared" si="27"/>
        <v>Marwa</v>
      </c>
      <c r="BQ277" s="282" t="str">
        <f>IFERROR(__xludf.DUMMYFUNCTION("IF(REGEXMATCH(JOIN(""-"",EU277:FD277),""TRUE""),""✔"",""-"")"),"✔")</f>
        <v>✔</v>
      </c>
      <c r="BR277" s="225">
        <f t="shared" si="28"/>
        <v>1</v>
      </c>
      <c r="BS277" s="345" t="str">
        <f>IFERROR(__xludf.DUMMYFUNCTION("SUBSTITUTE(SUBSTITUTE(SUBSTITUTE(SUBSTITUTE(CONCATENATE(JOIN(""-"",GC277:GO277)),""--"",""-""),""--"",""-""),""--"",""-""),""--"",""-"")"),"1-b2-3-#4-5-6-7-8")</f>
        <v>1-b2-3-#4-5-6-7-8</v>
      </c>
      <c r="BT277" s="299" t="str">
        <f>IFERROR(__xludf.DUMMYFUNCTION("SUBSTITUTE(SUBSTITUTE(SUBSTITUTE(SUBSTITUTE(CONCATENATE(JOIN(""-"",GP277:HB277)),""--"",""-""),""--"",""-""),""--"",""-""),""--"",""-"")"),"S-R1-G3-M2-P-D2-N3-S")</f>
        <v>S-R1-G3-M2-P-D2-N3-S</v>
      </c>
      <c r="BU277" s="348" t="str">
        <f t="shared" si="29"/>
        <v>C-Db-E-F#-G-A-B-C</v>
      </c>
      <c r="BV277" s="349" t="str">
        <f t="shared" si="30"/>
        <v>SRgmdnS</v>
      </c>
      <c r="BW277" s="350">
        <f t="shared" si="31"/>
        <v>0</v>
      </c>
      <c r="BX277" s="351">
        <f t="shared" si="32"/>
        <v>4</v>
      </c>
      <c r="BY277" s="392"/>
      <c r="BZ277" s="309" t="str">
        <f>IFERROR(__xludf.DUMMYFUNCTION("IF(REGEXMATCH(C277, ""S""), ""x"",""x"")"),"x")</f>
        <v>x</v>
      </c>
      <c r="CA277" s="245" t="str">
        <f>IFERROR(__xludf.DUMMYFUNCTION("IF(REGEXMATCH(C277, ""r""), ""o"",""x"")"),"o")</f>
        <v>o</v>
      </c>
      <c r="CB277" s="246" t="str">
        <f>IFERROR(__xludf.DUMMYFUNCTION("IF(REGEXMATCH(C277, ""R""), ""o"",""x"")"),"x")</f>
        <v>x</v>
      </c>
      <c r="CC277" s="246" t="str">
        <f>IFERROR(__xludf.DUMMYFUNCTION("IF(REGEXMATCH(C277, ""g""), ""o"",""x"")"),"x")</f>
        <v>x</v>
      </c>
      <c r="CD277" s="245" t="str">
        <f>IFERROR(__xludf.DUMMYFUNCTION("IF(REGEXMATCH(C277, ""G""), ""o"",""x"")"),"o")</f>
        <v>o</v>
      </c>
      <c r="CE277" s="245" t="str">
        <f>IFERROR(__xludf.DUMMYFUNCTION("IF(REGEXMATCH(C277, ""m""), ""o"",""x"")"),"x")</f>
        <v>x</v>
      </c>
      <c r="CF277" s="246" t="str">
        <f>IFERROR(__xludf.DUMMYFUNCTION("IF(REGEXMATCH(C277, ""M""), ""o"",""x"")"),"o")</f>
        <v>o</v>
      </c>
      <c r="CG277" s="245" t="str">
        <f>IFERROR(__xludf.DUMMYFUNCTION("IF(REGEXMATCH(C277, ""P""), ""o"",""x"")"),"o")</f>
        <v>o</v>
      </c>
      <c r="CH277" s="246" t="str">
        <f>IFERROR(__xludf.DUMMYFUNCTION("IF(REGEXMATCH(C277, ""d""), ""o"",""x"")"),"x")</f>
        <v>x</v>
      </c>
      <c r="CI277" s="245" t="str">
        <f>IFERROR(__xludf.DUMMYFUNCTION("IF(REGEXMATCH(C277, ""D""), ""o"",""x"")"),"o")</f>
        <v>o</v>
      </c>
      <c r="CJ277" s="245" t="str">
        <f>IFERROR(__xludf.DUMMYFUNCTION("IF(REGEXMATCH(C277, ""n""), ""o"",""x"")"),"x")</f>
        <v>x</v>
      </c>
      <c r="CK277" s="245" t="str">
        <f>IFERROR(__xludf.DUMMYFUNCTION("IF(REGEXMATCH(C277, ""N""), ""o"",""x"")"),"o")</f>
        <v>o</v>
      </c>
      <c r="CL277" s="356" t="str">
        <f>IFERROR(__xludf.DUMMYFUNCTION("IF(REGEXMATCH(C277, ""S""), ""x"",""x"")"),"x")</f>
        <v>x</v>
      </c>
      <c r="CM277" s="357" t="str">
        <f t="shared" si="33"/>
        <v>xoxxoxooxoxo</v>
      </c>
      <c r="CN277" s="358">
        <f t="shared" si="34"/>
        <v>0</v>
      </c>
      <c r="CO277" s="246" t="str">
        <f>IFERROR(__xludf.DUMMYFUNCTION("IF(REGEXMATCH($C277, ""S""), ""S"",""S"")"),"S")</f>
        <v>S</v>
      </c>
      <c r="CP277" s="246" t="str">
        <f>IFERROR(__xludf.DUMMYFUNCTION("IF(REGEXMATCH($C277, ""r""), """",""r"")"),"")</f>
        <v/>
      </c>
      <c r="CQ277" s="246" t="str">
        <f>IFERROR(__xludf.DUMMYFUNCTION("IF(REGEXMATCH($C277, ""R""), """",""R"")"),"R")</f>
        <v>R</v>
      </c>
      <c r="CR277" s="246" t="str">
        <f>IFERROR(__xludf.DUMMYFUNCTION("IF(REGEXMATCH($C277, ""g""), """",""g"")"),"g")</f>
        <v>g</v>
      </c>
      <c r="CS277" s="246" t="str">
        <f>IFERROR(__xludf.DUMMYFUNCTION("IF(REGEXMATCH($C277, ""G""), """",""G"")"),"")</f>
        <v/>
      </c>
      <c r="CT277" s="246" t="str">
        <f>IFERROR(__xludf.DUMMYFUNCTION("IF(REGEXMATCH($C277, ""m""), """",""m"")"),"m")</f>
        <v>m</v>
      </c>
      <c r="CU277" s="246" t="str">
        <f>IFERROR(__xludf.DUMMYFUNCTION("IF(REGEXMATCH($C277, ""M""), """",""M"")"),"")</f>
        <v/>
      </c>
      <c r="CV277" s="246" t="str">
        <f>IFERROR(__xludf.DUMMYFUNCTION("IF(REGEXMATCH($C277, ""P""), """",""P"")"),"")</f>
        <v/>
      </c>
      <c r="CW277" s="246" t="str">
        <f>IFERROR(__xludf.DUMMYFUNCTION("IF(REGEXMATCH($C277, ""d""), """",""d"")"),"d")</f>
        <v>d</v>
      </c>
      <c r="CX277" s="246" t="str">
        <f>IFERROR(__xludf.DUMMYFUNCTION("IF(REGEXMATCH($C277, ""D""), """",""D"")"),"")</f>
        <v/>
      </c>
      <c r="CY277" s="246" t="str">
        <f>IFERROR(__xludf.DUMMYFUNCTION("IF(REGEXMATCH($C277, ""n""), """",""n"")"),"n")</f>
        <v>n</v>
      </c>
      <c r="CZ277" s="246" t="str">
        <f>IFERROR(__xludf.DUMMYFUNCTION("IF(REGEXMATCH($C277, ""N""), """",""N"")"),"")</f>
        <v/>
      </c>
      <c r="DA277" s="246" t="str">
        <f>IFERROR(__xludf.DUMMYFUNCTION("IF(REGEXMATCH($C277, ""S""), ""S"",""S"")"),"S")</f>
        <v>S</v>
      </c>
      <c r="DB277" s="362" t="str">
        <f>IFERROR(__xludf.DUMMYFUNCTION("JOIN("""",CO277:DA277,"""","""")"),"SRgmdnS")</f>
        <v>SRgmdnS</v>
      </c>
      <c r="DC277" s="363"/>
      <c r="DD277" s="301" t="str">
        <f t="shared" si="35"/>
        <v>#REF!</v>
      </c>
      <c r="DE277" s="302" t="str">
        <f t="shared" si="36"/>
        <v>#REF!</v>
      </c>
      <c r="DF277" s="301" t="str">
        <f t="shared" ref="DF277:DG277" si="778">SUBSTITUTE(S277,"-","")</f>
        <v>SRGM</v>
      </c>
      <c r="DG277" s="301" t="str">
        <f t="shared" si="778"/>
        <v>PDNS</v>
      </c>
      <c r="DH277" s="302" t="str">
        <f t="shared" si="38"/>
        <v>-</v>
      </c>
      <c r="DI277" s="301" t="str">
        <f t="shared" si="39"/>
        <v>Hemi.</v>
      </c>
      <c r="DJ277" s="364" t="str">
        <f t="shared" si="40"/>
        <v>Cohem.</v>
      </c>
      <c r="DK277" s="306" t="str">
        <f t="shared" si="41"/>
        <v>Marwa</v>
      </c>
      <c r="DL277" s="366" t="str">
        <f t="shared" si="42"/>
        <v>-</v>
      </c>
      <c r="DM277" s="308" t="str">
        <f t="shared" si="43"/>
        <v>-</v>
      </c>
      <c r="DN277" s="306" t="str">
        <f t="shared" si="44"/>
        <v>-</v>
      </c>
      <c r="DO277" s="306" t="str">
        <f t="shared" si="45"/>
        <v>-</v>
      </c>
      <c r="DP277" s="367" t="str">
        <f t="shared" si="46"/>
        <v>✔</v>
      </c>
      <c r="DQ277" s="310" t="str">
        <f t="shared" si="47"/>
        <v>-</v>
      </c>
      <c r="DR277" s="310" t="str">
        <f t="shared" si="48"/>
        <v>-</v>
      </c>
      <c r="DS277" s="310" t="str">
        <f t="shared" si="49"/>
        <v>-</v>
      </c>
      <c r="DT277" s="310" t="str">
        <f t="shared" si="50"/>
        <v>-</v>
      </c>
      <c r="DU277" s="370" t="str">
        <f t="shared" si="51"/>
        <v>-</v>
      </c>
      <c r="DV277" s="306" t="str">
        <f t="shared" si="52"/>
        <v>-</v>
      </c>
      <c r="DW277" s="306" t="str">
        <f t="shared" si="53"/>
        <v>-</v>
      </c>
      <c r="DX277" s="306" t="str">
        <f t="shared" si="54"/>
        <v>-</v>
      </c>
      <c r="DY277" s="306" t="str">
        <f t="shared" si="55"/>
        <v>-</v>
      </c>
      <c r="DZ277" s="306" t="str">
        <f t="shared" si="56"/>
        <v>-</v>
      </c>
      <c r="EA277" s="367" t="str">
        <f t="shared" si="57"/>
        <v>-</v>
      </c>
      <c r="EB277" s="310" t="str">
        <f>IFERROR(__xludf.DUMMYFUNCTION("IF(REGEXMATCH(AW277,AS277),""✔"",""-"")"),"-")</f>
        <v>-</v>
      </c>
      <c r="EC277" s="310" t="str">
        <f t="shared" si="58"/>
        <v>#REF!</v>
      </c>
      <c r="ED277" s="370" t="str">
        <f t="shared" si="59"/>
        <v>-</v>
      </c>
      <c r="EE277" s="340" t="str">
        <f t="shared" si="60"/>
        <v>S-r-G-M-P-D-N-S</v>
      </c>
      <c r="EF277" s="371" t="str">
        <f>IFERROR(__xludf.DUMMYFUNCTION("CONCATENATE(JOIN("""",HC277:HO277))"),"SrgmMdNS")</f>
        <v>SrgmMdNS</v>
      </c>
      <c r="EG277" s="372">
        <f t="shared" si="61"/>
        <v>2</v>
      </c>
      <c r="EH277" s="373" t="str">
        <f>IFERROR(__xludf.DUMMYFUNCTION("CONCATENATE(JOIN("""",JC277:JO277))"),"re, Pa, ")</f>
        <v>re, Pa, </v>
      </c>
      <c r="EI277" s="322">
        <f t="shared" si="62"/>
        <v>0</v>
      </c>
      <c r="EJ277" s="374" t="str">
        <f>IFERROR(__xludf.DUMMYFUNCTION("CONCATENATE(JOIN("""",KC277:KO277))"),"")</f>
        <v/>
      </c>
      <c r="EK277" s="325" t="str">
        <f t="shared" si="63"/>
        <v>S-R1-G3-M2-P-D2-N3-S</v>
      </c>
      <c r="EL277" s="326" t="str">
        <f t="shared" si="64"/>
        <v>1-b2-3-#4-5-6-7-8</v>
      </c>
      <c r="EM277" s="318" t="str">
        <f t="shared" si="65"/>
        <v>#REF!</v>
      </c>
      <c r="EN277" s="328" t="str">
        <f>IFERROR(__xludf.DUMMYFUNCTION("SUBSTITUTE(SUBSTITUTE(SUBSTITUTE(SUBSTITUTE(CONCATENATE(JOIN("" "",HP277:IB277)),""  "","" ""),""  "","" ""),""  "","" ""),""  "","" "")"),"o o • • o • o o • o • o o")</f>
        <v>o o • • o • o o • o • o o</v>
      </c>
      <c r="EO277" s="368" t="str">
        <f t="shared" si="66"/>
        <v>Sa-Pa</v>
      </c>
      <c r="EP277" s="339" t="str">
        <f t="shared" si="67"/>
        <v>Sa-Pa</v>
      </c>
      <c r="EQ277" s="339" t="str">
        <f t="shared" si="68"/>
        <v>Sa-Pa</v>
      </c>
      <c r="ER277" s="339" t="str">
        <f t="shared" si="69"/>
        <v>-</v>
      </c>
      <c r="ES277" s="340" t="str">
        <f t="shared" si="70"/>
        <v>-</v>
      </c>
      <c r="ET277" s="363"/>
      <c r="EU277" s="376" t="b">
        <f>IFERROR(__xludf.DUMMYFUNCTION("arrayformula(sum(--REGEXMATCH(""SRGMPDNS"",split(REGEXREPLACE(C277,""(.)"",""$1~""),""~""))))=len(C277)
"),FALSE)</f>
        <v>0</v>
      </c>
      <c r="EV277" s="290" t="b">
        <f>IFERROR(__xludf.DUMMYFUNCTION("arrayformula(sum(--REGEXMATCH(""SRGmPDNS"",split(REGEXREPLACE(C277,""(.)"",""$1~""),""~""))))=len(C277)"),FALSE)</f>
        <v>0</v>
      </c>
      <c r="EW277" s="290" t="b">
        <f>IFERROR(__xludf.DUMMYFUNCTION("arrayformula(sum(--REGEXMATCH(""SRGmPDnS"",split(REGEXREPLACE(C277,""(.)"",""$1~""),""~""))))=len(C277)"),FALSE)</f>
        <v>0</v>
      </c>
      <c r="EX277" s="290" t="b">
        <f>IFERROR(__xludf.DUMMYFUNCTION("arrayformula(sum(--REGEXMATCH(""SRgmPDnS"",split(REGEXREPLACE(C277,""(.)"",""$1~""),""~""))))=len(C277)"),FALSE)</f>
        <v>0</v>
      </c>
      <c r="EY277" s="290" t="b">
        <f>IFERROR(__xludf.DUMMYFUNCTION("arrayformula(sum(--REGEXMATCH(""SRgmPdnS"",split(REGEXREPLACE(C277,""(.)"",""$1~""),""~""))))=len(C277)"),FALSE)</f>
        <v>0</v>
      </c>
      <c r="EZ277" s="290" t="b">
        <f>IFERROR(__xludf.DUMMYFUNCTION("arrayformula(sum(--REGEXMATCH(""SrgmPdnS"",split(REGEXREPLACE(C277,""(.)"",""$1~""),""~""))))=len(C277)"),FALSE)</f>
        <v>0</v>
      </c>
      <c r="FA277" s="290" t="b">
        <f>IFERROR(__xludf.DUMMYFUNCTION("arrayformula(sum(--REGEXMATCH(""SrGmPdNS"",split(REGEXREPLACE(C277,""(.)"",""$1~""),""~""))))=len(C277)"),FALSE)</f>
        <v>0</v>
      </c>
      <c r="FB277" s="290" t="b">
        <f>IFERROR(__xludf.DUMMYFUNCTION("arrayformula(sum(--REGEXMATCH(""SrGMPDNS"",split(REGEXREPLACE(C277,""(.)"",""$1~""),""~""))))=len(C277)"),TRUE)</f>
        <v>1</v>
      </c>
      <c r="FC277" s="290" t="b">
        <f>IFERROR(__xludf.DUMMYFUNCTION("arrayformula(sum(--REGEXMATCH(""SrGMPdNS"",split(REGEXREPLACE(C277,""(.)"",""$1~""),""~""))))=len(C277)"),FALSE)</f>
        <v>0</v>
      </c>
      <c r="FD277" s="377" t="b">
        <f>IFERROR(__xludf.DUMMYFUNCTION("arrayformula(sum(--REGEXMATCH(""SrgMPdNS"",split(REGEXREPLACE(C277,""(.)"",""$1~""),""~""))))=len(C277)"),FALSE)</f>
        <v>0</v>
      </c>
      <c r="FE277" s="269" t="str">
        <f t="shared" si="71"/>
        <v>xooxoxxoxox</v>
      </c>
      <c r="FF277" s="269" t="str">
        <f t="shared" si="72"/>
        <v>-</v>
      </c>
      <c r="FG277" s="271" t="str">
        <f t="shared" si="73"/>
        <v>-</v>
      </c>
      <c r="FH277" s="269" t="str">
        <f t="shared" si="74"/>
        <v>xoxxoxoxxxo</v>
      </c>
      <c r="FI277" s="271" t="str">
        <f t="shared" si="75"/>
        <v>-</v>
      </c>
      <c r="FJ277" s="271" t="str">
        <f t="shared" si="76"/>
        <v>xxoxoxxxoox</v>
      </c>
      <c r="FK277" s="271" t="str">
        <f t="shared" si="77"/>
        <v>xoxoxxxooxo</v>
      </c>
      <c r="FL277" s="271" t="str">
        <f t="shared" si="78"/>
        <v>-</v>
      </c>
      <c r="FM277" s="271" t="str">
        <f t="shared" si="79"/>
        <v>xoxxxooxoxx</v>
      </c>
      <c r="FN277" s="271" t="str">
        <f t="shared" si="80"/>
        <v>-</v>
      </c>
      <c r="FO277" s="274" t="str">
        <f t="shared" si="81"/>
        <v>xxxooxoxxox</v>
      </c>
      <c r="FP277" s="234" t="str">
        <f t="shared" si="82"/>
        <v>|</v>
      </c>
      <c r="FQ277" s="236" t="str">
        <f t="shared" si="83"/>
        <v>|</v>
      </c>
      <c r="FR277" s="237" t="str">
        <f t="shared" si="84"/>
        <v>-</v>
      </c>
      <c r="FS277" s="236" t="str">
        <f t="shared" si="85"/>
        <v>-</v>
      </c>
      <c r="FT277" s="237" t="str">
        <f t="shared" si="86"/>
        <v>|</v>
      </c>
      <c r="FU277" s="236" t="str">
        <f t="shared" si="87"/>
        <v>-</v>
      </c>
      <c r="FV277" s="237" t="str">
        <f t="shared" si="88"/>
        <v>|</v>
      </c>
      <c r="FW277" s="236" t="str">
        <f t="shared" si="89"/>
        <v>|</v>
      </c>
      <c r="FX277" s="237" t="str">
        <f t="shared" si="90"/>
        <v>-</v>
      </c>
      <c r="FY277" s="236" t="str">
        <f t="shared" si="91"/>
        <v>|</v>
      </c>
      <c r="FZ277" s="237" t="str">
        <f t="shared" si="92"/>
        <v>-</v>
      </c>
      <c r="GA277" s="236" t="str">
        <f t="shared" si="93"/>
        <v>|</v>
      </c>
      <c r="GB277" s="238" t="str">
        <f t="shared" si="94"/>
        <v>|</v>
      </c>
      <c r="GC277" s="244" t="str">
        <f>IFERROR(__xludf.DUMMYFUNCTION("IF(REGEXMATCH(C277, ""S""), ""1"","""")"),"1")</f>
        <v>1</v>
      </c>
      <c r="GD277" s="245" t="str">
        <f>IFERROR(__xludf.DUMMYFUNCTION("IF(REGEXMATCH(C277, ""r""), ""b2"","""")"),"b2")</f>
        <v>b2</v>
      </c>
      <c r="GE277" s="246" t="str">
        <f>IFERROR(__xludf.DUMMYFUNCTION("IF(REGEXMATCH(C277, ""R""), ""2"","""")"),"")</f>
        <v/>
      </c>
      <c r="GF277" s="246" t="str">
        <f>IFERROR(__xludf.DUMMYFUNCTION("IF(REGEXMATCH(C277, ""g""), ""b3"","""")"),"")</f>
        <v/>
      </c>
      <c r="GG277" s="245" t="str">
        <f>IFERROR(__xludf.DUMMYFUNCTION("IF(REGEXMATCH(C277, ""G""), ""3"","""")"),"3")</f>
        <v>3</v>
      </c>
      <c r="GH277" s="245" t="str">
        <f>IFERROR(__xludf.DUMMYFUNCTION("IF(REGEXMATCH(C277, ""m""), ""4"","""")"),"")</f>
        <v/>
      </c>
      <c r="GI277" s="246" t="str">
        <f>IFERROR(__xludf.DUMMYFUNCTION("IF(REGEXMATCH(C277, ""M""), ""#4"","""")"),"#4")</f>
        <v>#4</v>
      </c>
      <c r="GJ277" s="245" t="str">
        <f>IFERROR(__xludf.DUMMYFUNCTION("IF(REGEXMATCH(C277, ""P""), ""5"","""")"),"5")</f>
        <v>5</v>
      </c>
      <c r="GK277" s="246" t="str">
        <f>IFERROR(__xludf.DUMMYFUNCTION("IF(REGEXMATCH(C277, ""d""), ""b6"","""")"),"")</f>
        <v/>
      </c>
      <c r="GL277" s="245" t="str">
        <f>IFERROR(__xludf.DUMMYFUNCTION("IF(REGEXMATCH(C277, ""D""), ""6"","""")"),"6")</f>
        <v>6</v>
      </c>
      <c r="GM277" s="245" t="str">
        <f>IFERROR(__xludf.DUMMYFUNCTION("IF(REGEXMATCH(C277, ""n""), ""b7"","""")"),"")</f>
        <v/>
      </c>
      <c r="GN277" s="246" t="str">
        <f>IFERROR(__xludf.DUMMYFUNCTION("IF(REGEXMATCH(C277, ""N""), ""7"","""")"),"7")</f>
        <v>7</v>
      </c>
      <c r="GO277" s="249" t="str">
        <f>IFERROR(__xludf.DUMMYFUNCTION("IF(REGEXMATCH(C277, ""S""), ""8"","""")"),"8")</f>
        <v>8</v>
      </c>
      <c r="GP277" s="244" t="str">
        <f>IFERROR(__xludf.DUMMYFUNCTION("IF(REGEXMATCH(C277, ""S""), ""S"","""")"),"S")</f>
        <v>S</v>
      </c>
      <c r="GQ277" s="294" t="str">
        <f>IFERROR(__xludf.DUMMYFUNCTION("IF(REGEXMATCH(C277, ""r""), ""R1"","""")"),"R1")</f>
        <v>R1</v>
      </c>
      <c r="GR277" s="295" t="str">
        <f>IFERROR(__xludf.DUMMYFUNCTION("IF(REGEXMATCH(C277, ""R""), ""R2"","""")"),"")</f>
        <v/>
      </c>
      <c r="GS277" s="295" t="str">
        <f>IFERROR(__xludf.DUMMYFUNCTION("IF(REGEXMATCH(C277, ""g""), ""G2"","""")"),"")</f>
        <v/>
      </c>
      <c r="GT277" s="294" t="str">
        <f>IFERROR(__xludf.DUMMYFUNCTION("IF(REGEXMATCH(C277, ""G""), ""G3"","""")"),"G3")</f>
        <v>G3</v>
      </c>
      <c r="GU277" s="294" t="str">
        <f>IFERROR(__xludf.DUMMYFUNCTION("IF(REGEXMATCH(C277, ""m""), ""M1"","""")"),"")</f>
        <v/>
      </c>
      <c r="GV277" s="295" t="str">
        <f>IFERROR(__xludf.DUMMYFUNCTION("IF(REGEXMATCH(C277, ""M""), ""M2"","""")"),"M2")</f>
        <v>M2</v>
      </c>
      <c r="GW277" s="294" t="str">
        <f>IFERROR(__xludf.DUMMYFUNCTION("IF(REGEXMATCH(C277, ""P""), ""P"","""")"),"P")</f>
        <v>P</v>
      </c>
      <c r="GX277" s="295" t="str">
        <f>IFERROR(__xludf.DUMMYFUNCTION("IF(REGEXMATCH(C277, ""d""), ""D1"","""")"),"")</f>
        <v/>
      </c>
      <c r="GY277" s="294" t="str">
        <f>IFERROR(__xludf.DUMMYFUNCTION("IF(REGEXMATCH(C277, ""D""), ""D2"","""")"),"D2")</f>
        <v>D2</v>
      </c>
      <c r="GZ277" s="294" t="str">
        <f>IFERROR(__xludf.DUMMYFUNCTION("IF(REGEXMATCH(C277, ""n""), ""N2"","""")"),"")</f>
        <v/>
      </c>
      <c r="HA277" s="295" t="str">
        <f>IFERROR(__xludf.DUMMYFUNCTION("IF(REGEXMATCH(C277, ""N""), ""N3"","""")"),"N3")</f>
        <v>N3</v>
      </c>
      <c r="HB277" s="249" t="str">
        <f>IFERROR(__xludf.DUMMYFUNCTION("IF(REGEXMATCH(C277, ""S""), ""S"","""")"),"S")</f>
        <v>S</v>
      </c>
      <c r="HC277" s="331" t="str">
        <f t="shared" si="95"/>
        <v>S</v>
      </c>
      <c r="HD277" s="332" t="str">
        <f t="shared" si="96"/>
        <v>r</v>
      </c>
      <c r="HE277" s="332" t="str">
        <f t="shared" si="97"/>
        <v/>
      </c>
      <c r="HF277" s="332" t="str">
        <f t="shared" si="98"/>
        <v>g</v>
      </c>
      <c r="HG277" s="332" t="str">
        <f t="shared" si="99"/>
        <v/>
      </c>
      <c r="HH277" s="332" t="str">
        <f t="shared" si="100"/>
        <v>m</v>
      </c>
      <c r="HI277" s="332" t="str">
        <f t="shared" si="101"/>
        <v>M</v>
      </c>
      <c r="HJ277" s="332" t="str">
        <f t="shared" si="102"/>
        <v/>
      </c>
      <c r="HK277" s="332" t="str">
        <f t="shared" si="103"/>
        <v>d</v>
      </c>
      <c r="HL277" s="332" t="str">
        <f t="shared" si="104"/>
        <v/>
      </c>
      <c r="HM277" s="332" t="str">
        <f t="shared" si="105"/>
        <v/>
      </c>
      <c r="HN277" s="332" t="str">
        <f t="shared" si="106"/>
        <v>N</v>
      </c>
      <c r="HO277" s="343" t="str">
        <f t="shared" si="107"/>
        <v>S</v>
      </c>
      <c r="HP277" s="331" t="str">
        <f t="shared" si="108"/>
        <v>o</v>
      </c>
      <c r="HQ277" s="332" t="str">
        <f t="shared" si="109"/>
        <v>o</v>
      </c>
      <c r="HR277" s="332" t="str">
        <f t="shared" si="110"/>
        <v>•</v>
      </c>
      <c r="HS277" s="332" t="str">
        <f t="shared" si="111"/>
        <v>•</v>
      </c>
      <c r="HT277" s="332" t="str">
        <f t="shared" si="112"/>
        <v>o</v>
      </c>
      <c r="HU277" s="332" t="str">
        <f t="shared" si="113"/>
        <v>•</v>
      </c>
      <c r="HV277" s="332" t="str">
        <f t="shared" si="114"/>
        <v>o</v>
      </c>
      <c r="HW277" s="332" t="str">
        <f t="shared" si="115"/>
        <v>o</v>
      </c>
      <c r="HX277" s="332" t="str">
        <f t="shared" si="116"/>
        <v>•</v>
      </c>
      <c r="HY277" s="332" t="str">
        <f t="shared" si="117"/>
        <v>o</v>
      </c>
      <c r="HZ277" s="332" t="str">
        <f t="shared" si="118"/>
        <v>•</v>
      </c>
      <c r="IA277" s="332" t="str">
        <f t="shared" si="119"/>
        <v>o</v>
      </c>
      <c r="IB277" s="338" t="str">
        <f t="shared" si="120"/>
        <v>o</v>
      </c>
      <c r="IC277" s="331" t="str">
        <f t="shared" si="121"/>
        <v>•</v>
      </c>
      <c r="ID277" s="332" t="str">
        <f t="shared" si="122"/>
        <v>•</v>
      </c>
      <c r="IE277" s="332" t="str">
        <f t="shared" si="123"/>
        <v>o</v>
      </c>
      <c r="IF277" s="332" t="str">
        <f t="shared" si="124"/>
        <v>o</v>
      </c>
      <c r="IG277" s="332" t="str">
        <f t="shared" si="125"/>
        <v>•</v>
      </c>
      <c r="IH277" s="332" t="str">
        <f t="shared" si="126"/>
        <v>o</v>
      </c>
      <c r="II277" s="332" t="str">
        <f t="shared" si="127"/>
        <v>•</v>
      </c>
      <c r="IJ277" s="332" t="str">
        <f t="shared" si="128"/>
        <v>•</v>
      </c>
      <c r="IK277" s="332" t="str">
        <f t="shared" si="129"/>
        <v>o</v>
      </c>
      <c r="IL277" s="332" t="str">
        <f t="shared" si="130"/>
        <v>•</v>
      </c>
      <c r="IM277" s="332" t="str">
        <f t="shared" si="131"/>
        <v>o</v>
      </c>
      <c r="IN277" s="332" t="str">
        <f t="shared" si="132"/>
        <v>•</v>
      </c>
      <c r="IO277" s="338" t="str">
        <f t="shared" si="133"/>
        <v>•</v>
      </c>
      <c r="IP277" s="346" t="b">
        <f t="shared" si="134"/>
        <v>0</v>
      </c>
      <c r="IQ277" s="347" t="b">
        <f t="shared" si="135"/>
        <v>1</v>
      </c>
      <c r="IR277" s="347" t="b">
        <f t="shared" si="136"/>
        <v>0</v>
      </c>
      <c r="IS277" s="347" t="b">
        <f t="shared" si="137"/>
        <v>0</v>
      </c>
      <c r="IT277" s="347" t="b">
        <f t="shared" si="138"/>
        <v>0</v>
      </c>
      <c r="IU277" s="347" t="b">
        <f t="shared" si="139"/>
        <v>0</v>
      </c>
      <c r="IV277" s="347" t="b">
        <f t="shared" si="140"/>
        <v>0</v>
      </c>
      <c r="IW277" s="347" t="b">
        <f t="shared" si="141"/>
        <v>1</v>
      </c>
      <c r="IX277" s="347" t="b">
        <f t="shared" si="142"/>
        <v>0</v>
      </c>
      <c r="IY277" s="347" t="b">
        <f t="shared" si="143"/>
        <v>0</v>
      </c>
      <c r="IZ277" s="347" t="b">
        <f t="shared" si="144"/>
        <v>0</v>
      </c>
      <c r="JA277" s="347" t="b">
        <f t="shared" si="145"/>
        <v>0</v>
      </c>
      <c r="JB277" s="353" t="b">
        <f t="shared" si="146"/>
        <v>0</v>
      </c>
      <c r="JC277" s="354" t="str">
        <f t="shared" si="147"/>
        <v/>
      </c>
      <c r="JD277" s="355" t="str">
        <f t="shared" si="148"/>
        <v>re, </v>
      </c>
      <c r="JE277" s="355" t="str">
        <f t="shared" si="149"/>
        <v/>
      </c>
      <c r="JF277" s="355" t="str">
        <f t="shared" si="150"/>
        <v/>
      </c>
      <c r="JG277" s="355" t="str">
        <f t="shared" si="151"/>
        <v/>
      </c>
      <c r="JH277" s="355" t="str">
        <f t="shared" si="152"/>
        <v/>
      </c>
      <c r="JI277" s="355" t="str">
        <f t="shared" si="153"/>
        <v/>
      </c>
      <c r="JJ277" s="355" t="str">
        <f t="shared" si="154"/>
        <v>Pa, </v>
      </c>
      <c r="JK277" s="355" t="str">
        <f t="shared" si="155"/>
        <v/>
      </c>
      <c r="JL277" s="355" t="str">
        <f t="shared" si="156"/>
        <v/>
      </c>
      <c r="JM277" s="355" t="str">
        <f t="shared" si="157"/>
        <v/>
      </c>
      <c r="JN277" s="355" t="str">
        <f t="shared" si="158"/>
        <v/>
      </c>
      <c r="JO277" s="359" t="str">
        <f t="shared" si="159"/>
        <v/>
      </c>
      <c r="JP277" s="346" t="b">
        <f t="shared" si="160"/>
        <v>0</v>
      </c>
      <c r="JQ277" s="347" t="b">
        <f t="shared" si="161"/>
        <v>0</v>
      </c>
      <c r="JR277" s="347" t="b">
        <f t="shared" si="162"/>
        <v>0</v>
      </c>
      <c r="JS277" s="347" t="b">
        <f t="shared" si="163"/>
        <v>0</v>
      </c>
      <c r="JT277" s="347" t="b">
        <f t="shared" si="164"/>
        <v>0</v>
      </c>
      <c r="JU277" s="347" t="b">
        <f t="shared" si="165"/>
        <v>0</v>
      </c>
      <c r="JV277" s="347" t="b">
        <f t="shared" si="166"/>
        <v>0</v>
      </c>
      <c r="JW277" s="347" t="b">
        <f t="shared" si="167"/>
        <v>0</v>
      </c>
      <c r="JX277" s="347" t="b">
        <f t="shared" si="168"/>
        <v>0</v>
      </c>
      <c r="JY277" s="347" t="b">
        <f t="shared" si="169"/>
        <v>0</v>
      </c>
      <c r="JZ277" s="347" t="b">
        <f t="shared" si="170"/>
        <v>0</v>
      </c>
      <c r="KA277" s="347" t="b">
        <f t="shared" si="171"/>
        <v>0</v>
      </c>
      <c r="KB277" s="365" t="b">
        <f t="shared" si="172"/>
        <v>0</v>
      </c>
      <c r="KC277" s="354" t="str">
        <f t="shared" si="173"/>
        <v/>
      </c>
      <c r="KD277" s="355" t="str">
        <f t="shared" si="174"/>
        <v/>
      </c>
      <c r="KE277" s="355" t="str">
        <f t="shared" si="175"/>
        <v/>
      </c>
      <c r="KF277" s="355" t="str">
        <f t="shared" si="176"/>
        <v/>
      </c>
      <c r="KG277" s="355" t="str">
        <f t="shared" si="177"/>
        <v/>
      </c>
      <c r="KH277" s="355" t="str">
        <f t="shared" si="178"/>
        <v/>
      </c>
      <c r="KI277" s="355" t="str">
        <f t="shared" si="179"/>
        <v/>
      </c>
      <c r="KJ277" s="355" t="str">
        <f t="shared" si="180"/>
        <v/>
      </c>
      <c r="KK277" s="355" t="str">
        <f t="shared" si="181"/>
        <v/>
      </c>
      <c r="KL277" s="355" t="str">
        <f t="shared" si="182"/>
        <v/>
      </c>
      <c r="KM277" s="355" t="str">
        <f t="shared" si="183"/>
        <v/>
      </c>
      <c r="KN277" s="355" t="str">
        <f t="shared" si="184"/>
        <v/>
      </c>
      <c r="KO277" s="359"/>
      <c r="KP277" s="378"/>
      <c r="KQ277" s="379" t="s">
        <v>9</v>
      </c>
      <c r="KR277" s="380" t="s">
        <v>9</v>
      </c>
      <c r="KS277" s="381" t="s">
        <v>9</v>
      </c>
      <c r="KT277" s="382">
        <f t="shared" si="186"/>
        <v>0</v>
      </c>
      <c r="KU277" s="383">
        <f t="shared" si="187"/>
        <v>0</v>
      </c>
      <c r="KV277" s="381" t="str">
        <f t="shared" si="205"/>
        <v>S</v>
      </c>
      <c r="KW277" s="382">
        <f t="shared" si="189"/>
        <v>0</v>
      </c>
      <c r="KX277" s="384">
        <f t="shared" si="190"/>
        <v>0</v>
      </c>
      <c r="KY277" s="382">
        <f t="shared" ref="KY277:KZ277" si="779">KW277-KT277</f>
        <v>0</v>
      </c>
      <c r="KZ277" s="369">
        <f t="shared" si="779"/>
        <v>0</v>
      </c>
      <c r="LA277" s="385" t="str">
        <f t="shared" si="192"/>
        <v>✔</v>
      </c>
      <c r="LB277" s="340" t="str">
        <f>IFERROR(__xludf.DUMMYFUNCTION("JOIN("""",ArrayFormula(MID(KS277,LEN(KS277)-SEQUENCE(1,LEN(KS277))+1,1)))"),"S")</f>
        <v>S</v>
      </c>
      <c r="LC277" s="373" t="str">
        <f>IFERROR(__xludf.DUMMYFUNCTION("JOIN("""",ArrayFormula(MID(KV277,LEN(KV277)-SEQUENCE(1,LEN(KV277))+1,1)))"),"S")</f>
        <v>S</v>
      </c>
      <c r="LD277" s="373" t="str">
        <f t="shared" si="193"/>
        <v>S</v>
      </c>
      <c r="LE277" s="339" t="str">
        <f t="shared" si="194"/>
        <v>S</v>
      </c>
      <c r="LF277" s="386" t="str">
        <f>IFERROR(__xludf.DUMMYFUNCTION("SUBSTITUTE(SUBSTITUTE(CONCATENATE(JOIN("""",LH277:LT277)),""1"",""""),""2"","""")"),"SS")</f>
        <v>SS</v>
      </c>
      <c r="LG277" s="369" t="str">
        <f t="shared" si="195"/>
        <v>-</v>
      </c>
      <c r="LH277" s="387" t="str">
        <f>IFERROR(__xludf.DUMMYFUNCTION("IF(REGEXMATCH(LD277, ""S""), ""S"",IF(REGEXMATCH(LE277, ""S""), ""S"",""""))"),"S")</f>
        <v>S</v>
      </c>
      <c r="LI277" s="299" t="str">
        <f>IFERROR(__xludf.DUMMYFUNCTION("IF(REGEXMATCH(LD277, ""r""), ""r1"",IF(REGEXMATCH(LE277, ""r""), ""r2"",""""))"),"")</f>
        <v/>
      </c>
      <c r="LJ277" s="299" t="str">
        <f>IFERROR(__xludf.DUMMYFUNCTION("IF(REGEXMATCH(LD277, ""R""), ""R1"",IF(REGEXMATCH(LE277, ""R""), ""R2"",""""))"),"")</f>
        <v/>
      </c>
      <c r="LK277" s="299" t="str">
        <f>IFERROR(__xludf.DUMMYFUNCTION("IF(REGEXMATCH(LD277, ""g""), ""g1"",IF(REGEXMATCH(LE277, ""g""), ""g2"",""""))"),"")</f>
        <v/>
      </c>
      <c r="LL277" s="299" t="str">
        <f>IFERROR(__xludf.DUMMYFUNCTION("IF(REGEXMATCH(LD277, ""G""), ""G1"",IF(REGEXMATCH(LE277, ""G""), ""G2"",""""))"),"")</f>
        <v/>
      </c>
      <c r="LM277" s="299" t="str">
        <f>IFERROR(__xludf.DUMMYFUNCTION("IF(REGEXMATCH(LD277, ""m""), ""m1"",IF(REGEXMATCH(LE277, ""m""), ""m2"",""""))"),"")</f>
        <v/>
      </c>
      <c r="LN277" s="299" t="str">
        <f>IFERROR(__xludf.DUMMYFUNCTION("IF(REGEXMATCH(LD277, ""M""), ""M1"",IF(REGEXMATCH(LE277, ""M""), ""M2"",""""))"),"")</f>
        <v/>
      </c>
      <c r="LO277" s="299" t="str">
        <f>IFERROR(__xludf.DUMMYFUNCTION("IF(REGEXMATCH(LD277, ""P""), ""P1"",IF(REGEXMATCH(LE277, ""P""), ""P2"",""""))"),"")</f>
        <v/>
      </c>
      <c r="LP277" s="299" t="str">
        <f>IFERROR(__xludf.DUMMYFUNCTION("IF(REGEXMATCH(LD277, ""d""), ""d1"",IF(REGEXMATCH(LE277, ""d""), ""d2"",""""))"),"")</f>
        <v/>
      </c>
      <c r="LQ277" s="299" t="str">
        <f>IFERROR(__xludf.DUMMYFUNCTION("IF(REGEXMATCH(LD277, ""D""), ""D1"",IF(REGEXMATCH(LE277, ""D""), ""D2"",""""))"),"")</f>
        <v/>
      </c>
      <c r="LR277" s="299" t="str">
        <f>IFERROR(__xludf.DUMMYFUNCTION("IF(REGEXMATCH(LD277, ""n""), ""n1"",IF(REGEXMATCH(LE277, ""n""), ""n2"",""""))"),"")</f>
        <v/>
      </c>
      <c r="LS277" s="299" t="str">
        <f>IFERROR(__xludf.DUMMYFUNCTION("IF(REGEXMATCH(LD277, ""N""), ""N1"",IF(REGEXMATCH(LE277, ""N""), ""N2"",""""))"),"")</f>
        <v/>
      </c>
      <c r="LT277" s="388" t="str">
        <f>IFERROR(__xludf.DUMMYFUNCTION("IF(REGEXMATCH(LD277, ""S""), ""S"",IF(REGEXMATCH(LE277, ""S""), ""S"",""""))"),"S")</f>
        <v>S</v>
      </c>
      <c r="LU277" s="389">
        <f t="shared" si="196"/>
        <v>1</v>
      </c>
      <c r="LV277" s="378"/>
      <c r="LW277" s="369"/>
      <c r="LX277" s="369"/>
    </row>
    <row r="278" ht="18.0" customHeight="1">
      <c r="A278" s="298" t="s">
        <v>1072</v>
      </c>
      <c r="B278" s="222" t="s">
        <v>1073</v>
      </c>
      <c r="C278" s="233" t="str">
        <f t="shared" si="7"/>
        <v>SRGmDnS</v>
      </c>
      <c r="D278" s="234" t="str">
        <f>IFERROR(__xludf.DUMMYFUNCTION("IF(REGEXMATCH(C278, ""S""), ""S"","""")"),"S")</f>
        <v>S</v>
      </c>
      <c r="E278" s="236" t="str">
        <f>IFERROR(__xludf.DUMMYFUNCTION("IF(REGEXMATCH(C278, ""r""), ""r"","""")"),"")</f>
        <v/>
      </c>
      <c r="F278" s="237" t="str">
        <f>IFERROR(__xludf.DUMMYFUNCTION("IF(REGEXMATCH(C278, ""R""), ""R"","""")"),"R")</f>
        <v>R</v>
      </c>
      <c r="G278" s="237" t="str">
        <f>IFERROR(__xludf.DUMMYFUNCTION("IF(REGEXMATCH(C278, ""g""), ""g"","""")"),"")</f>
        <v/>
      </c>
      <c r="H278" s="236" t="str">
        <f>IFERROR(__xludf.DUMMYFUNCTION("IF(REGEXMATCH(C278, ""G""), ""G"","""")"),"G")</f>
        <v>G</v>
      </c>
      <c r="I278" s="236" t="str">
        <f>IFERROR(__xludf.DUMMYFUNCTION("IF(REGEXMATCH(C278, ""m""), ""m"","""")"),"m")</f>
        <v>m</v>
      </c>
      <c r="J278" s="237" t="str">
        <f>IFERROR(__xludf.DUMMYFUNCTION("IF(REGEXMATCH(C278, ""M""), ""M"","""")"),"")</f>
        <v/>
      </c>
      <c r="K278" s="236" t="str">
        <f>IFERROR(__xludf.DUMMYFUNCTION("IF(REGEXMATCH(C278, ""P""), ""P"","""")"),"")</f>
        <v/>
      </c>
      <c r="L278" s="237" t="str">
        <f>IFERROR(__xludf.DUMMYFUNCTION("IF(REGEXMATCH(C278, ""d""), ""d"","""")"),"")</f>
        <v/>
      </c>
      <c r="M278" s="236" t="str">
        <f>IFERROR(__xludf.DUMMYFUNCTION("IF(REGEXMATCH(C278, ""D""), ""D"","""")"),"D")</f>
        <v>D</v>
      </c>
      <c r="N278" s="236" t="str">
        <f>IFERROR(__xludf.DUMMYFUNCTION("IF(REGEXMATCH(C278, ""n""), ""n"","""")"),"n")</f>
        <v>n</v>
      </c>
      <c r="O278" s="237" t="str">
        <f>IFERROR(__xludf.DUMMYFUNCTION("IF(REGEXMATCH(C278, ""N""), ""N"","""")"),"")</f>
        <v/>
      </c>
      <c r="P278" s="238" t="str">
        <f>IFERROR(__xludf.DUMMYFUNCTION("IF(REGEXMATCH(C278, ""S""), ""S"","""")"),"S")</f>
        <v>S</v>
      </c>
      <c r="Q278" s="239" t="str">
        <f>IFERROR(__xludf.DUMMYFUNCTION("SUBSTITUTE(CONCATENATE(JOIN(""-"",D278:J278)),""-"","""")"),"SRGm")</f>
        <v>SRGm</v>
      </c>
      <c r="R278" s="229" t="str">
        <f>IFERROR(__xludf.DUMMYFUNCTION("SUBSTITUTE(CONCATENATE(JOIN(""-"",K278:P278)),""-"","""")"),"DnS")</f>
        <v>DnS</v>
      </c>
      <c r="S278" s="282" t="str">
        <f t="shared" si="8"/>
        <v>S-R-G-M</v>
      </c>
      <c r="T278" s="282" t="str">
        <f t="shared" si="9"/>
        <v>D-N-S</v>
      </c>
      <c r="U278" s="237" t="str">
        <f>IFERROR(__xludf.DUMMYFUNCTION("SUBSTITUTE(JOIN(""-"",S278,T278),""--"",""-"")"),"S-R-G-M-D-N-S")</f>
        <v>S-R-G-M-D-N-S</v>
      </c>
      <c r="V278" s="309" t="str">
        <f t="shared" si="10"/>
        <v>RGmDn</v>
      </c>
      <c r="W278" s="244" t="str">
        <f>IFERROR(__xludf.DUMMYFUNCTION("IF(REGEXMATCH(C278, ""S""), ""0"","""")"),"0")</f>
        <v>0</v>
      </c>
      <c r="X278" s="245" t="str">
        <f>IFERROR(__xludf.DUMMYFUNCTION("IF(REGEXMATCH(C278, ""r""), ""1"","""")"),"")</f>
        <v/>
      </c>
      <c r="Y278" s="246" t="str">
        <f>IFERROR(__xludf.DUMMYFUNCTION("IF(REGEXMATCH(C278, ""R""), ""2"","""")"),"2")</f>
        <v>2</v>
      </c>
      <c r="Z278" s="246" t="str">
        <f>IFERROR(__xludf.DUMMYFUNCTION("IF(REGEXMATCH(C278, ""g""), ""3"","""")"),"")</f>
        <v/>
      </c>
      <c r="AA278" s="245" t="str">
        <f>IFERROR(__xludf.DUMMYFUNCTION("IF(REGEXMATCH(C278, ""G""), ""4"","""")"),"4")</f>
        <v>4</v>
      </c>
      <c r="AB278" s="245" t="str">
        <f>IFERROR(__xludf.DUMMYFUNCTION("IF(REGEXMATCH(C278, ""m""), ""5"","""")"),"5")</f>
        <v>5</v>
      </c>
      <c r="AC278" s="246" t="str">
        <f>IFERROR(__xludf.DUMMYFUNCTION("IF(REGEXMATCH(C278, ""M""), ""6"","""")"),"")</f>
        <v/>
      </c>
      <c r="AD278" s="245" t="str">
        <f>IFERROR(__xludf.DUMMYFUNCTION("IF(REGEXMATCH(C278, ""P""), ""7"","""")"),"")</f>
        <v/>
      </c>
      <c r="AE278" s="246" t="str">
        <f>IFERROR(__xludf.DUMMYFUNCTION("IF(REGEXMATCH(C278, ""d""), ""8"","""")"),"")</f>
        <v/>
      </c>
      <c r="AF278" s="245" t="str">
        <f>IFERROR(__xludf.DUMMYFUNCTION("IF(REGEXMATCH(C278, ""D""), ""9"","""")"),"9")</f>
        <v>9</v>
      </c>
      <c r="AG278" s="245" t="str">
        <f>IFERROR(__xludf.DUMMYFUNCTION("IF(REGEXMATCH(C278, ""n""), ""10"","""")"),"10")</f>
        <v>10</v>
      </c>
      <c r="AH278" s="246" t="str">
        <f>IFERROR(__xludf.DUMMYFUNCTION("IF(REGEXMATCH(C278, ""N""), ""11"","""")"),"")</f>
        <v/>
      </c>
      <c r="AI278" s="249" t="str">
        <f>IFERROR(__xludf.DUMMYFUNCTION("IF(REGEXMATCH(C278, ""S""), ""0"","""")"),"0")</f>
        <v>0</v>
      </c>
      <c r="AJ278" s="313" t="str">
        <f t="shared" si="11"/>
        <v>-</v>
      </c>
      <c r="AK278" s="313" t="str">
        <f t="shared" si="12"/>
        <v>-</v>
      </c>
      <c r="AL278" s="313" t="str">
        <f t="shared" si="13"/>
        <v>-</v>
      </c>
      <c r="AM278" s="313" t="str">
        <f t="shared" si="14"/>
        <v>-</v>
      </c>
      <c r="AN278" s="313" t="str">
        <f t="shared" si="15"/>
        <v>T</v>
      </c>
      <c r="AO278" s="314" t="str">
        <f t="shared" si="16"/>
        <v>-</v>
      </c>
      <c r="AP278" s="316">
        <f t="shared" si="17"/>
        <v>1</v>
      </c>
      <c r="AQ278" s="319" t="str">
        <f t="shared" si="18"/>
        <v>-</v>
      </c>
      <c r="AR278" s="320">
        <f t="shared" si="19"/>
        <v>0</v>
      </c>
      <c r="AS278" s="250" t="str">
        <f>IFERROR(__xludf.DUMMYFUNCTION("SUBSTITUTE(SUBSTITUTE(CONCATENATE(JOIN("""",FP278:GA278)),""|"",""x""),""-"",""o"")"),"xoxoxxoooxxo")</f>
        <v>xoxoxxoooxxo</v>
      </c>
      <c r="AT278" s="323" t="str">
        <f>IFERROR(__xludf.DUMMYFUNCTION("JOIN("""",AS278,AS278)"),"xoxoxxoooxxoxoxoxxoooxxo")</f>
        <v>xoxoxxoooxxoxoxoxxoooxxo</v>
      </c>
      <c r="AU278" s="256" t="str">
        <f>IFERROR(__xludf.DUMMYFUNCTION("JOIN("""",ArrayFormula(MID(AS278,LEN(AS278)-SEQUENCE(1,LEN(AS278))+1,1)))"),"oxxoooxxoxox")</f>
        <v>oxxoooxxoxox</v>
      </c>
      <c r="AV278" s="256" t="str">
        <f>IFERROR(__xludf.DUMMYFUNCTION("LEFT(CONCATENATE(""x"",JOIN("""",ArrayFormula(MID(AS278,LEN(AS278)-SEQUENCE(1,LEN(AS278))+1,1)))),12)"),"xoxxoooxxoxo")</f>
        <v>xoxxoooxxoxo</v>
      </c>
      <c r="AW278" s="327" t="str">
        <f>IFERROR(__xludf.DUMMYFUNCTION("JOIN("""",AU278,AU278)"),"oxxoooxxoxoxoxxoooxxoxox")</f>
        <v>oxxoooxxoxoxoxxoooxxoxox</v>
      </c>
      <c r="AX278" s="239" t="str">
        <f>IFERROR(__xludf.DUMMYFUNCTION("IF(REGEXMATCH(AW278,AS278),""✔"",""-"")"),"✔")</f>
        <v>✔</v>
      </c>
      <c r="AY278" s="330" t="str">
        <f t="shared" si="20"/>
        <v>-</v>
      </c>
      <c r="AZ278" s="260" t="str">
        <f t="shared" si="21"/>
        <v>#REF!</v>
      </c>
      <c r="BA278" s="333" t="str">
        <f t="shared" si="22"/>
        <v>xoxoxxo</v>
      </c>
      <c r="BB278" s="334" t="str">
        <f t="shared" si="23"/>
        <v>ooxxox</v>
      </c>
      <c r="BC278" s="335" t="str">
        <f t="shared" si="236"/>
        <v>-</v>
      </c>
      <c r="BD278" s="336" t="str">
        <f t="shared" si="25"/>
        <v>Rageshri: 'xoxoxxo' + 'ooxxox'</v>
      </c>
      <c r="BE278" s="337">
        <f>IFERROR(__xludf.DUMMYFUNCTION("COUNTUNIQUE(FILTER(AT:AT,REGEXMATCH(AT:AT,AS278)))-1"),0.0)</f>
        <v>0</v>
      </c>
      <c r="BF278" s="261" t="str">
        <f>IFERROR(__xludf.DUMMYFUNCTION("IF(BI278=0,""(n/a)"",IF(BJ278=2,""(PAIR)"",IF(REGEXMATCH(AT278,""xoxoxxoxoxox""),""Bilawal"",IF(REGEXMATCH(AT278,""xoxoxooxoxoo""),""Bhupali"",IF(REGEXMATCH(AT278,""xoxoxxoxxoxo""),""Charukeshi"",IF(REGEXMATCH(AT278,""xoxoooxxoxxo""),""Kameshwari"",IF(REG"&amp;"EXMATCH(AT278,""xoxoxooxoxox""),""Shankara"",IF(REGEXMATCH(AT278,""xxooxoxxxoox""),""Basant"",IF(REGEXMATCH(AT278,""xoxoxxxxoxox""),""Bihag"",IF(REGEXMATCH(AT278,""xoxxxxoxoxxx""),""Pilu"",IF(REGEXMATCH(AT278,""xoxxoxoxxoox""),""Kirwani"",IF(REGEXMATCH(AT"&amp;"278,""xoxxoxoxoxxx""),""Mk.Malhar"",IF(REGEXMATCH(AT278,""xxooxxoxxoox""),""Bhairav"",IF(REGEXMATCH(AT278,""xxoxooxxxoox""),""Todi"",IF(REGEXMATCH(AT278,""xxooxoxooxox""),""Marwa"",IF(REGEXMATCH(AT278,""xxoooxoxxooo""),""Gunkali"",IF(REGEXMATCH(AT278,""xo"&amp;"xoxxoxxoox""),""Nat Bhairav"",IF(REGEXMATCH(AT278,""xoxxoooxoxoo""),""Shivranjani"",IF(REGEXMATCH(AT278,""xooxxxoxooxo""),""Jog"",IF(REGEXMATCH(AT278,""xxooxoxoxoox""),""Hemshri"",IF(REGEXMATCH(AT278,""xoooxooxoxxo""),""Kalavati"",IF(REGEXMATCH(AT278,""xx"&amp;"oxoxxoxoox""),""Kedar"",IF(REGEXMATCH(AT278,""xoxxxxoxooxx""),""Gara"",IF(REGEXMATCH(AT278,""xooxoxooxoox""),""Chandrakauns"",IF(REGEXMATCH(AT278,""xoxxxxoxxxox""),""Mand"",IF(REGEXMATCH(AT278,""xoxxxxoxoxox""),""Hanskinkini"",IF(REGEXMATCH(AT278,""xxooxx"&amp;"oxooxo""),""Lilavati"",IF(REGEXMATCH(AT278,""xooxoxoooxox""),""Rajeshwari"",IF(REGEXMATCH(AT278,""xoooxxoxoxxx""),""Khokar"",IF(REGEXMATCH(AT278,""xxooxoxxxxox""),""Maligoura"",""-""))))))))))))))))))))))))))))))"),"(n/a)")</f>
        <v>(n/a)</v>
      </c>
      <c r="BG278" s="239" t="str">
        <f t="shared" si="26"/>
        <v>#REF!</v>
      </c>
      <c r="BH278" s="239">
        <f>IFERROR(__xludf.DUMMYFUNCTION("COUNTUNIQUE(FE278:FO278)-1"),5.0)</f>
        <v>5</v>
      </c>
      <c r="BI278" s="239">
        <f>IFERROR(__xludf.DUMMYFUNCTION("COUNTUNIQUE(FILTER(AT:AT,REGEXMATCH(AT:AT,AS278)))-1"),0.0)</f>
        <v>0</v>
      </c>
      <c r="BJ278" s="239">
        <f>IFERROR(__xludf.DUMMYFUNCTION("COUNTA(FILTER(AT:AT,REGEXMATCH(AT:AT,AS278)))"),1.0)</f>
        <v>1</v>
      </c>
      <c r="BK278" s="341">
        <f>IFERROR(__xludf.DUMMYFUNCTION("COUNTA(FILTER(AT:AT,REGEXMATCH(AT:AT,AS278)))-AR278"),1.0)</f>
        <v>1</v>
      </c>
      <c r="BL278" s="276" t="str">
        <f>IFERROR(__xludf.DUMMYFUNCTION("IF(AS278=""oooooooooooo"",""-"",IF(REGEXMATCH(AT278,""xx""), ""Hemi."", ""Anhemi.""))"),"Hemi.")</f>
        <v>Hemi.</v>
      </c>
      <c r="BM278" s="282" t="str">
        <f>IFERROR(__xludf.DUMMYFUNCTION("IF(AS278=""oooooooooooo"",""-"",IF(REGEXMATCH(AT278,""xxx""), ""Cohem."", ""-""))"),"-")</f>
        <v>-</v>
      </c>
      <c r="BN278" s="282" t="str">
        <f>IFERROR(__xludf.DUMMYFUNCTION("IF(AS278=""oooooooooooo"",""-"",IF(REGEXMATCH(AT278,""xxxx""), ""Co-Co."", ""-""))"),"-")</f>
        <v>-</v>
      </c>
      <c r="BO278" s="342" t="str">
        <f>IFERROR(__xludf.DUMMYFUNCTION("IF(AS278=""oooooooooooo"",""-"",IF(REGEXMATCH(AT278,""xxxxx""), ""CCC."", ""-""))"),"-")</f>
        <v>-</v>
      </c>
      <c r="BP278" s="344" t="str">
        <f t="shared" si="27"/>
        <v>-</v>
      </c>
      <c r="BQ278" s="282" t="str">
        <f>IFERROR(__xludf.DUMMYFUNCTION("IF(REGEXMATCH(JOIN(""-"",EU278:FD278),""TRUE""),""✔"",""-"")"),"✔")</f>
        <v>✔</v>
      </c>
      <c r="BR278" s="225">
        <f t="shared" si="28"/>
        <v>1</v>
      </c>
      <c r="BS278" s="345" t="str">
        <f>IFERROR(__xludf.DUMMYFUNCTION("SUBSTITUTE(SUBSTITUTE(SUBSTITUTE(SUBSTITUTE(CONCATENATE(JOIN(""-"",GC278:GO278)),""--"",""-""),""--"",""-""),""--"",""-""),""--"",""-"")"),"1-2-3-4-6-b7-8")</f>
        <v>1-2-3-4-6-b7-8</v>
      </c>
      <c r="BT278" s="299" t="str">
        <f>IFERROR(__xludf.DUMMYFUNCTION("SUBSTITUTE(SUBSTITUTE(SUBSTITUTE(SUBSTITUTE(CONCATENATE(JOIN(""-"",GP278:HB278)),""--"",""-""),""--"",""-""),""--"",""-""),""--"",""-"")"),"S-R2-G3-M1-D2-N2-S")</f>
        <v>S-R2-G3-M1-D2-N2-S</v>
      </c>
      <c r="BU278" s="348" t="str">
        <f t="shared" si="29"/>
        <v>C-D-E-F-A-Bb-C</v>
      </c>
      <c r="BV278" s="349" t="str">
        <f t="shared" si="30"/>
        <v>SrgMPdNS</v>
      </c>
      <c r="BW278" s="350">
        <f t="shared" si="31"/>
        <v>3</v>
      </c>
      <c r="BX278" s="351">
        <f t="shared" si="32"/>
        <v>1</v>
      </c>
      <c r="BY278" s="392"/>
      <c r="BZ278" s="309" t="str">
        <f>IFERROR(__xludf.DUMMYFUNCTION("IF(REGEXMATCH(C278, ""S""), ""x"",""x"")"),"x")</f>
        <v>x</v>
      </c>
      <c r="CA278" s="245" t="str">
        <f>IFERROR(__xludf.DUMMYFUNCTION("IF(REGEXMATCH(C278, ""r""), ""o"",""x"")"),"x")</f>
        <v>x</v>
      </c>
      <c r="CB278" s="246" t="str">
        <f>IFERROR(__xludf.DUMMYFUNCTION("IF(REGEXMATCH(C278, ""R""), ""o"",""x"")"),"o")</f>
        <v>o</v>
      </c>
      <c r="CC278" s="246" t="str">
        <f>IFERROR(__xludf.DUMMYFUNCTION("IF(REGEXMATCH(C278, ""g""), ""o"",""x"")"),"x")</f>
        <v>x</v>
      </c>
      <c r="CD278" s="245" t="str">
        <f>IFERROR(__xludf.DUMMYFUNCTION("IF(REGEXMATCH(C278, ""G""), ""o"",""x"")"),"o")</f>
        <v>o</v>
      </c>
      <c r="CE278" s="245" t="str">
        <f>IFERROR(__xludf.DUMMYFUNCTION("IF(REGEXMATCH(C278, ""m""), ""o"",""x"")"),"o")</f>
        <v>o</v>
      </c>
      <c r="CF278" s="246" t="str">
        <f>IFERROR(__xludf.DUMMYFUNCTION("IF(REGEXMATCH(C278, ""M""), ""o"",""x"")"),"x")</f>
        <v>x</v>
      </c>
      <c r="CG278" s="245" t="str">
        <f>IFERROR(__xludf.DUMMYFUNCTION("IF(REGEXMATCH(C278, ""P""), ""o"",""x"")"),"x")</f>
        <v>x</v>
      </c>
      <c r="CH278" s="246" t="str">
        <f>IFERROR(__xludf.DUMMYFUNCTION("IF(REGEXMATCH(C278, ""d""), ""o"",""x"")"),"x")</f>
        <v>x</v>
      </c>
      <c r="CI278" s="245" t="str">
        <f>IFERROR(__xludf.DUMMYFUNCTION("IF(REGEXMATCH(C278, ""D""), ""o"",""x"")"),"o")</f>
        <v>o</v>
      </c>
      <c r="CJ278" s="245" t="str">
        <f>IFERROR(__xludf.DUMMYFUNCTION("IF(REGEXMATCH(C278, ""n""), ""o"",""x"")"),"o")</f>
        <v>o</v>
      </c>
      <c r="CK278" s="245" t="str">
        <f>IFERROR(__xludf.DUMMYFUNCTION("IF(REGEXMATCH(C278, ""N""), ""o"",""x"")"),"x")</f>
        <v>x</v>
      </c>
      <c r="CL278" s="356" t="str">
        <f>IFERROR(__xludf.DUMMYFUNCTION("IF(REGEXMATCH(C278, ""S""), ""x"",""x"")"),"x")</f>
        <v>x</v>
      </c>
      <c r="CM278" s="357" t="str">
        <f t="shared" si="33"/>
        <v>xxoxooxxxoox</v>
      </c>
      <c r="CN278" s="358">
        <f t="shared" si="34"/>
        <v>3</v>
      </c>
      <c r="CO278" s="246" t="str">
        <f>IFERROR(__xludf.DUMMYFUNCTION("IF(REGEXMATCH($C278, ""S""), ""S"",""S"")"),"S")</f>
        <v>S</v>
      </c>
      <c r="CP278" s="246" t="str">
        <f>IFERROR(__xludf.DUMMYFUNCTION("IF(REGEXMATCH($C278, ""r""), """",""r"")"),"r")</f>
        <v>r</v>
      </c>
      <c r="CQ278" s="246" t="str">
        <f>IFERROR(__xludf.DUMMYFUNCTION("IF(REGEXMATCH($C278, ""R""), """",""R"")"),"")</f>
        <v/>
      </c>
      <c r="CR278" s="246" t="str">
        <f>IFERROR(__xludf.DUMMYFUNCTION("IF(REGEXMATCH($C278, ""g""), """",""g"")"),"g")</f>
        <v>g</v>
      </c>
      <c r="CS278" s="246" t="str">
        <f>IFERROR(__xludf.DUMMYFUNCTION("IF(REGEXMATCH($C278, ""G""), """",""G"")"),"")</f>
        <v/>
      </c>
      <c r="CT278" s="246" t="str">
        <f>IFERROR(__xludf.DUMMYFUNCTION("IF(REGEXMATCH($C278, ""m""), """",""m"")"),"")</f>
        <v/>
      </c>
      <c r="CU278" s="246" t="str">
        <f>IFERROR(__xludf.DUMMYFUNCTION("IF(REGEXMATCH($C278, ""M""), """",""M"")"),"M")</f>
        <v>M</v>
      </c>
      <c r="CV278" s="246" t="str">
        <f>IFERROR(__xludf.DUMMYFUNCTION("IF(REGEXMATCH($C278, ""P""), """",""P"")"),"P")</f>
        <v>P</v>
      </c>
      <c r="CW278" s="246" t="str">
        <f>IFERROR(__xludf.DUMMYFUNCTION("IF(REGEXMATCH($C278, ""d""), """",""d"")"),"d")</f>
        <v>d</v>
      </c>
      <c r="CX278" s="246" t="str">
        <f>IFERROR(__xludf.DUMMYFUNCTION("IF(REGEXMATCH($C278, ""D""), """",""D"")"),"")</f>
        <v/>
      </c>
      <c r="CY278" s="246" t="str">
        <f>IFERROR(__xludf.DUMMYFUNCTION("IF(REGEXMATCH($C278, ""n""), """",""n"")"),"")</f>
        <v/>
      </c>
      <c r="CZ278" s="246" t="str">
        <f>IFERROR(__xludf.DUMMYFUNCTION("IF(REGEXMATCH($C278, ""N""), """",""N"")"),"N")</f>
        <v>N</v>
      </c>
      <c r="DA278" s="246" t="str">
        <f>IFERROR(__xludf.DUMMYFUNCTION("IF(REGEXMATCH($C278, ""S""), ""S"",""S"")"),"S")</f>
        <v>S</v>
      </c>
      <c r="DB278" s="362" t="str">
        <f>IFERROR(__xludf.DUMMYFUNCTION("JOIN("""",CO278:DA278,"""","""")"),"SrgMPdNS")</f>
        <v>SrgMPdNS</v>
      </c>
      <c r="DC278" s="363"/>
      <c r="DD278" s="301" t="str">
        <f t="shared" si="35"/>
        <v>#REF!</v>
      </c>
      <c r="DE278" s="302" t="str">
        <f t="shared" si="36"/>
        <v>#REF!</v>
      </c>
      <c r="DF278" s="301" t="str">
        <f t="shared" ref="DF278:DG278" si="780">SUBSTITUTE(S278,"-","")</f>
        <v>SRGM</v>
      </c>
      <c r="DG278" s="301" t="str">
        <f t="shared" si="780"/>
        <v>DNS</v>
      </c>
      <c r="DH278" s="302" t="str">
        <f t="shared" si="38"/>
        <v>(n/a)</v>
      </c>
      <c r="DI278" s="301" t="str">
        <f t="shared" si="39"/>
        <v>Hemi.</v>
      </c>
      <c r="DJ278" s="364" t="str">
        <f t="shared" si="40"/>
        <v>-</v>
      </c>
      <c r="DK278" s="306" t="str">
        <f t="shared" si="41"/>
        <v>-</v>
      </c>
      <c r="DL278" s="366" t="str">
        <f t="shared" si="42"/>
        <v>✔</v>
      </c>
      <c r="DM278" s="308" t="str">
        <f t="shared" si="43"/>
        <v>-</v>
      </c>
      <c r="DN278" s="306" t="str">
        <f t="shared" si="44"/>
        <v>-</v>
      </c>
      <c r="DO278" s="306" t="str">
        <f t="shared" si="45"/>
        <v>-</v>
      </c>
      <c r="DP278" s="367" t="str">
        <f t="shared" si="46"/>
        <v>-</v>
      </c>
      <c r="DQ278" s="310" t="str">
        <f t="shared" si="47"/>
        <v>-</v>
      </c>
      <c r="DR278" s="310" t="str">
        <f t="shared" si="48"/>
        <v>-</v>
      </c>
      <c r="DS278" s="310" t="str">
        <f t="shared" si="49"/>
        <v>-</v>
      </c>
      <c r="DT278" s="310" t="str">
        <f t="shared" si="50"/>
        <v>-</v>
      </c>
      <c r="DU278" s="370" t="str">
        <f t="shared" si="51"/>
        <v>-</v>
      </c>
      <c r="DV278" s="306" t="str">
        <f t="shared" si="52"/>
        <v>-</v>
      </c>
      <c r="DW278" s="306" t="str">
        <f t="shared" si="53"/>
        <v>-</v>
      </c>
      <c r="DX278" s="306" t="str">
        <f t="shared" si="54"/>
        <v>-</v>
      </c>
      <c r="DY278" s="306" t="str">
        <f t="shared" si="55"/>
        <v>✔</v>
      </c>
      <c r="DZ278" s="306" t="str">
        <f t="shared" si="56"/>
        <v>-</v>
      </c>
      <c r="EA278" s="367" t="str">
        <f t="shared" si="57"/>
        <v>-</v>
      </c>
      <c r="EB278" s="310" t="str">
        <f>IFERROR(__xludf.DUMMYFUNCTION("IF(REGEXMATCH(AW278,AS278),""✔"",""-"")"),"✔")</f>
        <v>✔</v>
      </c>
      <c r="EC278" s="310" t="str">
        <f t="shared" si="58"/>
        <v>#REF!</v>
      </c>
      <c r="ED278" s="370" t="str">
        <f t="shared" si="59"/>
        <v>-</v>
      </c>
      <c r="EE278" s="340" t="str">
        <f t="shared" si="60"/>
        <v>S-R-G-m-D-n-S</v>
      </c>
      <c r="EF278" s="371" t="str">
        <f>IFERROR(__xludf.DUMMYFUNCTION("CONCATENATE(JOIN("""",HC278:HO278))"),"SRgPdnS")</f>
        <v>SRgPdnS</v>
      </c>
      <c r="EG278" s="372">
        <f t="shared" si="61"/>
        <v>2</v>
      </c>
      <c r="EH278" s="373" t="str">
        <f>IFERROR(__xludf.DUMMYFUNCTION("CONCATENATE(JOIN("""",JC278:JO278))"),"Sa, Ga, ")</f>
        <v>Sa, Ga, </v>
      </c>
      <c r="EI278" s="322">
        <f t="shared" si="62"/>
        <v>0</v>
      </c>
      <c r="EJ278" s="374" t="str">
        <f>IFERROR(__xludf.DUMMYFUNCTION("CONCATENATE(JOIN("""",KC278:KO278))"),"")</f>
        <v/>
      </c>
      <c r="EK278" s="325" t="str">
        <f t="shared" si="63"/>
        <v>S-R2-G3-M1-D2-N2-S</v>
      </c>
      <c r="EL278" s="326" t="str">
        <f t="shared" si="64"/>
        <v>1-2-3-4-6-b7-8</v>
      </c>
      <c r="EM278" s="318" t="str">
        <f t="shared" si="65"/>
        <v>#REF!</v>
      </c>
      <c r="EN278" s="328" t="str">
        <f>IFERROR(__xludf.DUMMYFUNCTION("SUBSTITUTE(SUBSTITUTE(SUBSTITUTE(SUBSTITUTE(CONCATENATE(JOIN("" "",HP278:IB278)),""  "","" ""),""  "","" ""),""  "","" ""),""  "","" "")"),"o • o • o o • • • o o • o")</f>
        <v>o • o • o o • • • o o • o</v>
      </c>
      <c r="EO278" s="368" t="str">
        <f t="shared" si="66"/>
        <v>Sa-ma</v>
      </c>
      <c r="EP278" s="339" t="str">
        <f t="shared" si="67"/>
        <v>-</v>
      </c>
      <c r="EQ278" s="339" t="str">
        <f t="shared" si="68"/>
        <v>-</v>
      </c>
      <c r="ER278" s="339" t="str">
        <f t="shared" si="69"/>
        <v>-</v>
      </c>
      <c r="ES278" s="340" t="str">
        <f t="shared" si="70"/>
        <v>Sa-ma</v>
      </c>
      <c r="ET278" s="363"/>
      <c r="EU278" s="376" t="b">
        <f>IFERROR(__xludf.DUMMYFUNCTION("arrayformula(sum(--REGEXMATCH(""SRGMPDNS"",split(REGEXREPLACE(C278,""(.)"",""$1~""),""~""))))=len(C278)
"),FALSE)</f>
        <v>0</v>
      </c>
      <c r="EV278" s="290" t="b">
        <f>IFERROR(__xludf.DUMMYFUNCTION("arrayformula(sum(--REGEXMATCH(""SRGmPDNS"",split(REGEXREPLACE(C278,""(.)"",""$1~""),""~""))))=len(C278)"),FALSE)</f>
        <v>0</v>
      </c>
      <c r="EW278" s="290" t="b">
        <f>IFERROR(__xludf.DUMMYFUNCTION("arrayformula(sum(--REGEXMATCH(""SRGmPDnS"",split(REGEXREPLACE(C278,""(.)"",""$1~""),""~""))))=len(C278)"),TRUE)</f>
        <v>1</v>
      </c>
      <c r="EX278" s="290" t="b">
        <f>IFERROR(__xludf.DUMMYFUNCTION("arrayformula(sum(--REGEXMATCH(""SRgmPDnS"",split(REGEXREPLACE(C278,""(.)"",""$1~""),""~""))))=len(C278)"),FALSE)</f>
        <v>0</v>
      </c>
      <c r="EY278" s="290" t="b">
        <f>IFERROR(__xludf.DUMMYFUNCTION("arrayformula(sum(--REGEXMATCH(""SRgmPdnS"",split(REGEXREPLACE(C278,""(.)"",""$1~""),""~""))))=len(C278)"),FALSE)</f>
        <v>0</v>
      </c>
      <c r="EZ278" s="290" t="b">
        <f>IFERROR(__xludf.DUMMYFUNCTION("arrayformula(sum(--REGEXMATCH(""SrgmPdnS"",split(REGEXREPLACE(C278,""(.)"",""$1~""),""~""))))=len(C278)"),FALSE)</f>
        <v>0</v>
      </c>
      <c r="FA278" s="290" t="b">
        <f>IFERROR(__xludf.DUMMYFUNCTION("arrayformula(sum(--REGEXMATCH(""SrGmPdNS"",split(REGEXREPLACE(C278,""(.)"",""$1~""),""~""))))=len(C278)"),FALSE)</f>
        <v>0</v>
      </c>
      <c r="FB278" s="290" t="b">
        <f>IFERROR(__xludf.DUMMYFUNCTION("arrayformula(sum(--REGEXMATCH(""SrGMPDNS"",split(REGEXREPLACE(C278,""(.)"",""$1~""),""~""))))=len(C278)"),FALSE)</f>
        <v>0</v>
      </c>
      <c r="FC278" s="290" t="b">
        <f>IFERROR(__xludf.DUMMYFUNCTION("arrayformula(sum(--REGEXMATCH(""SrGMPdNS"",split(REGEXREPLACE(C278,""(.)"",""$1~""),""~""))))=len(C278)"),FALSE)</f>
        <v>0</v>
      </c>
      <c r="FD278" s="377" t="b">
        <f>IFERROR(__xludf.DUMMYFUNCTION("arrayformula(sum(--REGEXMATCH(""SrgMPdNS"",split(REGEXREPLACE(C278,""(.)"",""$1~""),""~""))))=len(C278)"),FALSE)</f>
        <v>0</v>
      </c>
      <c r="FE278" s="269" t="str">
        <f t="shared" si="71"/>
        <v>-</v>
      </c>
      <c r="FF278" s="269" t="str">
        <f t="shared" si="72"/>
        <v>xoxxoooxxox</v>
      </c>
      <c r="FG278" s="271" t="str">
        <f t="shared" si="73"/>
        <v>-</v>
      </c>
      <c r="FH278" s="269" t="str">
        <f t="shared" si="74"/>
        <v>xxoooxxoxox</v>
      </c>
      <c r="FI278" s="271" t="str">
        <f t="shared" si="75"/>
        <v>xoooxxoxoxo</v>
      </c>
      <c r="FJ278" s="271" t="str">
        <f t="shared" si="76"/>
        <v>-</v>
      </c>
      <c r="FK278" s="271" t="str">
        <f t="shared" si="77"/>
        <v>-</v>
      </c>
      <c r="FL278" s="271" t="str">
        <f t="shared" si="78"/>
        <v>-</v>
      </c>
      <c r="FM278" s="271" t="str">
        <f t="shared" si="79"/>
        <v>xxoxoxoxxoo</v>
      </c>
      <c r="FN278" s="271" t="str">
        <f t="shared" si="80"/>
        <v>xoxoxoxxooo</v>
      </c>
      <c r="FO278" s="274" t="str">
        <f t="shared" si="81"/>
        <v>-</v>
      </c>
      <c r="FP278" s="234" t="str">
        <f t="shared" si="82"/>
        <v>|</v>
      </c>
      <c r="FQ278" s="236" t="str">
        <f t="shared" si="83"/>
        <v>-</v>
      </c>
      <c r="FR278" s="237" t="str">
        <f t="shared" si="84"/>
        <v>|</v>
      </c>
      <c r="FS278" s="236" t="str">
        <f t="shared" si="85"/>
        <v>-</v>
      </c>
      <c r="FT278" s="237" t="str">
        <f t="shared" si="86"/>
        <v>|</v>
      </c>
      <c r="FU278" s="236" t="str">
        <f t="shared" si="87"/>
        <v>|</v>
      </c>
      <c r="FV278" s="237" t="str">
        <f t="shared" si="88"/>
        <v>-</v>
      </c>
      <c r="FW278" s="236" t="str">
        <f t="shared" si="89"/>
        <v>-</v>
      </c>
      <c r="FX278" s="237" t="str">
        <f t="shared" si="90"/>
        <v>-</v>
      </c>
      <c r="FY278" s="236" t="str">
        <f t="shared" si="91"/>
        <v>|</v>
      </c>
      <c r="FZ278" s="237" t="str">
        <f t="shared" si="92"/>
        <v>|</v>
      </c>
      <c r="GA278" s="236" t="str">
        <f t="shared" si="93"/>
        <v>-</v>
      </c>
      <c r="GB278" s="238" t="str">
        <f t="shared" si="94"/>
        <v>|</v>
      </c>
      <c r="GC278" s="244" t="str">
        <f>IFERROR(__xludf.DUMMYFUNCTION("IF(REGEXMATCH(C278, ""S""), ""1"","""")"),"1")</f>
        <v>1</v>
      </c>
      <c r="GD278" s="245" t="str">
        <f>IFERROR(__xludf.DUMMYFUNCTION("IF(REGEXMATCH(C278, ""r""), ""b2"","""")"),"")</f>
        <v/>
      </c>
      <c r="GE278" s="246" t="str">
        <f>IFERROR(__xludf.DUMMYFUNCTION("IF(REGEXMATCH(C278, ""R""), ""2"","""")"),"2")</f>
        <v>2</v>
      </c>
      <c r="GF278" s="246" t="str">
        <f>IFERROR(__xludf.DUMMYFUNCTION("IF(REGEXMATCH(C278, ""g""), ""b3"","""")"),"")</f>
        <v/>
      </c>
      <c r="GG278" s="245" t="str">
        <f>IFERROR(__xludf.DUMMYFUNCTION("IF(REGEXMATCH(C278, ""G""), ""3"","""")"),"3")</f>
        <v>3</v>
      </c>
      <c r="GH278" s="245" t="str">
        <f>IFERROR(__xludf.DUMMYFUNCTION("IF(REGEXMATCH(C278, ""m""), ""4"","""")"),"4")</f>
        <v>4</v>
      </c>
      <c r="GI278" s="246" t="str">
        <f>IFERROR(__xludf.DUMMYFUNCTION("IF(REGEXMATCH(C278, ""M""), ""#4"","""")"),"")</f>
        <v/>
      </c>
      <c r="GJ278" s="245" t="str">
        <f>IFERROR(__xludf.DUMMYFUNCTION("IF(REGEXMATCH(C278, ""P""), ""5"","""")"),"")</f>
        <v/>
      </c>
      <c r="GK278" s="246" t="str">
        <f>IFERROR(__xludf.DUMMYFUNCTION("IF(REGEXMATCH(C278, ""d""), ""b6"","""")"),"")</f>
        <v/>
      </c>
      <c r="GL278" s="245" t="str">
        <f>IFERROR(__xludf.DUMMYFUNCTION("IF(REGEXMATCH(C278, ""D""), ""6"","""")"),"6")</f>
        <v>6</v>
      </c>
      <c r="GM278" s="245" t="str">
        <f>IFERROR(__xludf.DUMMYFUNCTION("IF(REGEXMATCH(C278, ""n""), ""b7"","""")"),"b7")</f>
        <v>b7</v>
      </c>
      <c r="GN278" s="246" t="str">
        <f>IFERROR(__xludf.DUMMYFUNCTION("IF(REGEXMATCH(C278, ""N""), ""7"","""")"),"")</f>
        <v/>
      </c>
      <c r="GO278" s="249" t="str">
        <f>IFERROR(__xludf.DUMMYFUNCTION("IF(REGEXMATCH(C278, ""S""), ""8"","""")"),"8")</f>
        <v>8</v>
      </c>
      <c r="GP278" s="244" t="str">
        <f>IFERROR(__xludf.DUMMYFUNCTION("IF(REGEXMATCH(C278, ""S""), ""S"","""")"),"S")</f>
        <v>S</v>
      </c>
      <c r="GQ278" s="294" t="str">
        <f>IFERROR(__xludf.DUMMYFUNCTION("IF(REGEXMATCH(C278, ""r""), ""R1"","""")"),"")</f>
        <v/>
      </c>
      <c r="GR278" s="295" t="str">
        <f>IFERROR(__xludf.DUMMYFUNCTION("IF(REGEXMATCH(C278, ""R""), ""R2"","""")"),"R2")</f>
        <v>R2</v>
      </c>
      <c r="GS278" s="295" t="str">
        <f>IFERROR(__xludf.DUMMYFUNCTION("IF(REGEXMATCH(C278, ""g""), ""G2"","""")"),"")</f>
        <v/>
      </c>
      <c r="GT278" s="294" t="str">
        <f>IFERROR(__xludf.DUMMYFUNCTION("IF(REGEXMATCH(C278, ""G""), ""G3"","""")"),"G3")</f>
        <v>G3</v>
      </c>
      <c r="GU278" s="294" t="str">
        <f>IFERROR(__xludf.DUMMYFUNCTION("IF(REGEXMATCH(C278, ""m""), ""M1"","""")"),"M1")</f>
        <v>M1</v>
      </c>
      <c r="GV278" s="295" t="str">
        <f>IFERROR(__xludf.DUMMYFUNCTION("IF(REGEXMATCH(C278, ""M""), ""M2"","""")"),"")</f>
        <v/>
      </c>
      <c r="GW278" s="294" t="str">
        <f>IFERROR(__xludf.DUMMYFUNCTION("IF(REGEXMATCH(C278, ""P""), ""P"","""")"),"")</f>
        <v/>
      </c>
      <c r="GX278" s="295" t="str">
        <f>IFERROR(__xludf.DUMMYFUNCTION("IF(REGEXMATCH(C278, ""d""), ""D1"","""")"),"")</f>
        <v/>
      </c>
      <c r="GY278" s="294" t="str">
        <f>IFERROR(__xludf.DUMMYFUNCTION("IF(REGEXMATCH(C278, ""D""), ""D2"","""")"),"D2")</f>
        <v>D2</v>
      </c>
      <c r="GZ278" s="294" t="str">
        <f>IFERROR(__xludf.DUMMYFUNCTION("IF(REGEXMATCH(C278, ""n""), ""N2"","""")"),"N2")</f>
        <v>N2</v>
      </c>
      <c r="HA278" s="295" t="str">
        <f>IFERROR(__xludf.DUMMYFUNCTION("IF(REGEXMATCH(C278, ""N""), ""N3"","""")"),"")</f>
        <v/>
      </c>
      <c r="HB278" s="249" t="str">
        <f>IFERROR(__xludf.DUMMYFUNCTION("IF(REGEXMATCH(C278, ""S""), ""S"","""")"),"S")</f>
        <v>S</v>
      </c>
      <c r="HC278" s="331" t="str">
        <f t="shared" si="95"/>
        <v>S</v>
      </c>
      <c r="HD278" s="332" t="str">
        <f t="shared" si="96"/>
        <v/>
      </c>
      <c r="HE278" s="332" t="str">
        <f t="shared" si="97"/>
        <v>R</v>
      </c>
      <c r="HF278" s="332" t="str">
        <f t="shared" si="98"/>
        <v>g</v>
      </c>
      <c r="HG278" s="332" t="str">
        <f t="shared" si="99"/>
        <v/>
      </c>
      <c r="HH278" s="332" t="str">
        <f t="shared" si="100"/>
        <v/>
      </c>
      <c r="HI278" s="332" t="str">
        <f t="shared" si="101"/>
        <v/>
      </c>
      <c r="HJ278" s="332" t="str">
        <f t="shared" si="102"/>
        <v>P</v>
      </c>
      <c r="HK278" s="332" t="str">
        <f t="shared" si="103"/>
        <v>d</v>
      </c>
      <c r="HL278" s="332" t="str">
        <f t="shared" si="104"/>
        <v/>
      </c>
      <c r="HM278" s="332" t="str">
        <f t="shared" si="105"/>
        <v>n</v>
      </c>
      <c r="HN278" s="332" t="str">
        <f t="shared" si="106"/>
        <v/>
      </c>
      <c r="HO278" s="343" t="str">
        <f t="shared" si="107"/>
        <v>S</v>
      </c>
      <c r="HP278" s="331" t="str">
        <f t="shared" si="108"/>
        <v>o</v>
      </c>
      <c r="HQ278" s="332" t="str">
        <f t="shared" si="109"/>
        <v>•</v>
      </c>
      <c r="HR278" s="332" t="str">
        <f t="shared" si="110"/>
        <v>o</v>
      </c>
      <c r="HS278" s="332" t="str">
        <f t="shared" si="111"/>
        <v>•</v>
      </c>
      <c r="HT278" s="332" t="str">
        <f t="shared" si="112"/>
        <v>o</v>
      </c>
      <c r="HU278" s="332" t="str">
        <f t="shared" si="113"/>
        <v>o</v>
      </c>
      <c r="HV278" s="332" t="str">
        <f t="shared" si="114"/>
        <v>•</v>
      </c>
      <c r="HW278" s="332" t="str">
        <f t="shared" si="115"/>
        <v>•</v>
      </c>
      <c r="HX278" s="332" t="str">
        <f t="shared" si="116"/>
        <v>•</v>
      </c>
      <c r="HY278" s="332" t="str">
        <f t="shared" si="117"/>
        <v>o</v>
      </c>
      <c r="HZ278" s="332" t="str">
        <f t="shared" si="118"/>
        <v>o</v>
      </c>
      <c r="IA278" s="332" t="str">
        <f t="shared" si="119"/>
        <v>•</v>
      </c>
      <c r="IB278" s="338" t="str">
        <f t="shared" si="120"/>
        <v>o</v>
      </c>
      <c r="IC278" s="331" t="str">
        <f t="shared" si="121"/>
        <v>•</v>
      </c>
      <c r="ID278" s="332" t="str">
        <f t="shared" si="122"/>
        <v>o</v>
      </c>
      <c r="IE278" s="332" t="str">
        <f t="shared" si="123"/>
        <v>•</v>
      </c>
      <c r="IF278" s="332" t="str">
        <f t="shared" si="124"/>
        <v>o</v>
      </c>
      <c r="IG278" s="332" t="str">
        <f t="shared" si="125"/>
        <v>•</v>
      </c>
      <c r="IH278" s="332" t="str">
        <f t="shared" si="126"/>
        <v>•</v>
      </c>
      <c r="II278" s="332" t="str">
        <f t="shared" si="127"/>
        <v>o</v>
      </c>
      <c r="IJ278" s="332" t="str">
        <f t="shared" si="128"/>
        <v>o</v>
      </c>
      <c r="IK278" s="332" t="str">
        <f t="shared" si="129"/>
        <v>o</v>
      </c>
      <c r="IL278" s="332" t="str">
        <f t="shared" si="130"/>
        <v>•</v>
      </c>
      <c r="IM278" s="332" t="str">
        <f t="shared" si="131"/>
        <v>•</v>
      </c>
      <c r="IN278" s="332" t="str">
        <f t="shared" si="132"/>
        <v>o</v>
      </c>
      <c r="IO278" s="338" t="str">
        <f t="shared" si="133"/>
        <v>•</v>
      </c>
      <c r="IP278" s="346" t="b">
        <f t="shared" si="134"/>
        <v>1</v>
      </c>
      <c r="IQ278" s="347" t="b">
        <f t="shared" si="135"/>
        <v>0</v>
      </c>
      <c r="IR278" s="347" t="b">
        <f t="shared" si="136"/>
        <v>0</v>
      </c>
      <c r="IS278" s="347" t="b">
        <f t="shared" si="137"/>
        <v>0</v>
      </c>
      <c r="IT278" s="347" t="b">
        <f t="shared" si="138"/>
        <v>1</v>
      </c>
      <c r="IU278" s="347" t="b">
        <f t="shared" si="139"/>
        <v>0</v>
      </c>
      <c r="IV278" s="347" t="b">
        <f t="shared" si="140"/>
        <v>0</v>
      </c>
      <c r="IW278" s="347" t="b">
        <f t="shared" si="141"/>
        <v>0</v>
      </c>
      <c r="IX278" s="347" t="b">
        <f t="shared" si="142"/>
        <v>0</v>
      </c>
      <c r="IY278" s="347" t="b">
        <f t="shared" si="143"/>
        <v>0</v>
      </c>
      <c r="IZ278" s="347" t="b">
        <f t="shared" si="144"/>
        <v>0</v>
      </c>
      <c r="JA278" s="347" t="b">
        <f t="shared" si="145"/>
        <v>0</v>
      </c>
      <c r="JB278" s="353" t="b">
        <f t="shared" si="146"/>
        <v>1</v>
      </c>
      <c r="JC278" s="354" t="str">
        <f t="shared" si="147"/>
        <v>Sa, </v>
      </c>
      <c r="JD278" s="355" t="str">
        <f t="shared" si="148"/>
        <v/>
      </c>
      <c r="JE278" s="355" t="str">
        <f t="shared" si="149"/>
        <v/>
      </c>
      <c r="JF278" s="355" t="str">
        <f t="shared" si="150"/>
        <v/>
      </c>
      <c r="JG278" s="355" t="str">
        <f t="shared" si="151"/>
        <v>Ga, </v>
      </c>
      <c r="JH278" s="355" t="str">
        <f t="shared" si="152"/>
        <v/>
      </c>
      <c r="JI278" s="355" t="str">
        <f t="shared" si="153"/>
        <v/>
      </c>
      <c r="JJ278" s="355" t="str">
        <f t="shared" si="154"/>
        <v/>
      </c>
      <c r="JK278" s="355" t="str">
        <f t="shared" si="155"/>
        <v/>
      </c>
      <c r="JL278" s="355" t="str">
        <f t="shared" si="156"/>
        <v/>
      </c>
      <c r="JM278" s="355" t="str">
        <f t="shared" si="157"/>
        <v/>
      </c>
      <c r="JN278" s="355" t="str">
        <f t="shared" si="158"/>
        <v/>
      </c>
      <c r="JO278" s="359" t="str">
        <f t="shared" si="159"/>
        <v/>
      </c>
      <c r="JP278" s="346" t="b">
        <f t="shared" si="160"/>
        <v>0</v>
      </c>
      <c r="JQ278" s="347" t="b">
        <f t="shared" si="161"/>
        <v>0</v>
      </c>
      <c r="JR278" s="347" t="b">
        <f t="shared" si="162"/>
        <v>0</v>
      </c>
      <c r="JS278" s="347" t="b">
        <f t="shared" si="163"/>
        <v>0</v>
      </c>
      <c r="JT278" s="347" t="b">
        <f t="shared" si="164"/>
        <v>0</v>
      </c>
      <c r="JU278" s="347" t="b">
        <f t="shared" si="165"/>
        <v>0</v>
      </c>
      <c r="JV278" s="347" t="b">
        <f t="shared" si="166"/>
        <v>0</v>
      </c>
      <c r="JW278" s="347" t="b">
        <f t="shared" si="167"/>
        <v>0</v>
      </c>
      <c r="JX278" s="347" t="b">
        <f t="shared" si="168"/>
        <v>0</v>
      </c>
      <c r="JY278" s="347" t="b">
        <f t="shared" si="169"/>
        <v>0</v>
      </c>
      <c r="JZ278" s="347" t="b">
        <f t="shared" si="170"/>
        <v>0</v>
      </c>
      <c r="KA278" s="347" t="b">
        <f t="shared" si="171"/>
        <v>0</v>
      </c>
      <c r="KB278" s="365" t="b">
        <f t="shared" si="172"/>
        <v>0</v>
      </c>
      <c r="KC278" s="354" t="str">
        <f t="shared" si="173"/>
        <v/>
      </c>
      <c r="KD278" s="355" t="str">
        <f t="shared" si="174"/>
        <v/>
      </c>
      <c r="KE278" s="355" t="str">
        <f t="shared" si="175"/>
        <v/>
      </c>
      <c r="KF278" s="355" t="str">
        <f t="shared" si="176"/>
        <v/>
      </c>
      <c r="KG278" s="355" t="str">
        <f t="shared" si="177"/>
        <v/>
      </c>
      <c r="KH278" s="355" t="str">
        <f t="shared" si="178"/>
        <v/>
      </c>
      <c r="KI278" s="355" t="str">
        <f t="shared" si="179"/>
        <v/>
      </c>
      <c r="KJ278" s="355" t="str">
        <f t="shared" si="180"/>
        <v/>
      </c>
      <c r="KK278" s="355" t="str">
        <f t="shared" si="181"/>
        <v/>
      </c>
      <c r="KL278" s="355" t="str">
        <f t="shared" si="182"/>
        <v/>
      </c>
      <c r="KM278" s="355" t="str">
        <f t="shared" si="183"/>
        <v/>
      </c>
      <c r="KN278" s="355" t="str">
        <f t="shared" si="184"/>
        <v/>
      </c>
      <c r="KO278" s="359"/>
      <c r="KP278" s="378"/>
      <c r="KQ278" s="379" t="s">
        <v>1417</v>
      </c>
      <c r="KR278" s="380" t="s">
        <v>1469</v>
      </c>
      <c r="KS278" s="381" t="str">
        <f>KQ278</f>
        <v>S-G-m-D-n-S</v>
      </c>
      <c r="KT278" s="382">
        <f t="shared" si="186"/>
        <v>5</v>
      </c>
      <c r="KU278" s="383">
        <f t="shared" si="187"/>
        <v>5</v>
      </c>
      <c r="KV278" s="381" t="str">
        <f t="shared" si="205"/>
        <v>S-n-D-m-G-R-S</v>
      </c>
      <c r="KW278" s="382">
        <f t="shared" si="189"/>
        <v>6</v>
      </c>
      <c r="KX278" s="384">
        <f t="shared" si="190"/>
        <v>6</v>
      </c>
      <c r="KY278" s="382">
        <f t="shared" ref="KY278:KZ278" si="781">KW278-KT278</f>
        <v>1</v>
      </c>
      <c r="KZ278" s="369">
        <f t="shared" si="781"/>
        <v>1</v>
      </c>
      <c r="LA278" s="385" t="str">
        <f t="shared" si="192"/>
        <v>-</v>
      </c>
      <c r="LB278" s="340" t="str">
        <f>IFERROR(__xludf.DUMMYFUNCTION("JOIN("""",ArrayFormula(MID(KS278,LEN(KS278)-SEQUENCE(1,LEN(KS278))+1,1)))"),"S-n-D-m-G-S")</f>
        <v>S-n-D-m-G-S</v>
      </c>
      <c r="LC278" s="373" t="str">
        <f>IFERROR(__xludf.DUMMYFUNCTION("JOIN("""",ArrayFormula(MID(KV278,LEN(KV278)-SEQUENCE(1,LEN(KV278))+1,1)))"),"S-R-G-m-D-n-S")</f>
        <v>S-R-G-m-D-n-S</v>
      </c>
      <c r="LD278" s="373" t="str">
        <f t="shared" si="193"/>
        <v>SGmDnS</v>
      </c>
      <c r="LE278" s="339" t="str">
        <f t="shared" si="194"/>
        <v>SRGmDnS</v>
      </c>
      <c r="LF278" s="386" t="str">
        <f>IFERROR(__xludf.DUMMYFUNCTION("SUBSTITUTE(SUBSTITUTE(CONCATENATE(JOIN("""",LH278:LT278)),""1"",""""),""2"","""")"),"SRGmDnS")</f>
        <v>SRGmDnS</v>
      </c>
      <c r="LG278" s="369" t="str">
        <f t="shared" si="195"/>
        <v>✔</v>
      </c>
      <c r="LH278" s="387" t="str">
        <f>IFERROR(__xludf.DUMMYFUNCTION("IF(REGEXMATCH(LD278, ""S""), ""S"",IF(REGEXMATCH(LE278, ""S""), ""S"",""""))"),"S")</f>
        <v>S</v>
      </c>
      <c r="LI278" s="299" t="str">
        <f>IFERROR(__xludf.DUMMYFUNCTION("IF(REGEXMATCH(LD278, ""r""), ""r1"",IF(REGEXMATCH(LE278, ""r""), ""r2"",""""))"),"")</f>
        <v/>
      </c>
      <c r="LJ278" s="299" t="str">
        <f>IFERROR(__xludf.DUMMYFUNCTION("IF(REGEXMATCH(LD278, ""R""), ""R1"",IF(REGEXMATCH(LE278, ""R""), ""R2"",""""))"),"R2")</f>
        <v>R2</v>
      </c>
      <c r="LK278" s="299" t="str">
        <f>IFERROR(__xludf.DUMMYFUNCTION("IF(REGEXMATCH(LD278, ""g""), ""g1"",IF(REGEXMATCH(LE278, ""g""), ""g2"",""""))"),"")</f>
        <v/>
      </c>
      <c r="LL278" s="299" t="str">
        <f>IFERROR(__xludf.DUMMYFUNCTION("IF(REGEXMATCH(LD278, ""G""), ""G1"",IF(REGEXMATCH(LE278, ""G""), ""G2"",""""))"),"G1")</f>
        <v>G1</v>
      </c>
      <c r="LM278" s="299" t="str">
        <f>IFERROR(__xludf.DUMMYFUNCTION("IF(REGEXMATCH(LD278, ""m""), ""m1"",IF(REGEXMATCH(LE278, ""m""), ""m2"",""""))"),"m1")</f>
        <v>m1</v>
      </c>
      <c r="LN278" s="299" t="str">
        <f>IFERROR(__xludf.DUMMYFUNCTION("IF(REGEXMATCH(LD278, ""M""), ""M1"",IF(REGEXMATCH(LE278, ""M""), ""M2"",""""))"),"")</f>
        <v/>
      </c>
      <c r="LO278" s="299" t="str">
        <f>IFERROR(__xludf.DUMMYFUNCTION("IF(REGEXMATCH(LD278, ""P""), ""P1"",IF(REGEXMATCH(LE278, ""P""), ""P2"",""""))"),"")</f>
        <v/>
      </c>
      <c r="LP278" s="299" t="str">
        <f>IFERROR(__xludf.DUMMYFUNCTION("IF(REGEXMATCH(LD278, ""d""), ""d1"",IF(REGEXMATCH(LE278, ""d""), ""d2"",""""))"),"")</f>
        <v/>
      </c>
      <c r="LQ278" s="299" t="str">
        <f>IFERROR(__xludf.DUMMYFUNCTION("IF(REGEXMATCH(LD278, ""D""), ""D1"",IF(REGEXMATCH(LE278, ""D""), ""D2"",""""))"),"D1")</f>
        <v>D1</v>
      </c>
      <c r="LR278" s="299" t="str">
        <f>IFERROR(__xludf.DUMMYFUNCTION("IF(REGEXMATCH(LD278, ""n""), ""n1"",IF(REGEXMATCH(LE278, ""n""), ""n2"",""""))"),"n1")</f>
        <v>n1</v>
      </c>
      <c r="LS278" s="299" t="str">
        <f>IFERROR(__xludf.DUMMYFUNCTION("IF(REGEXMATCH(LD278, ""N""), ""N1"",IF(REGEXMATCH(LE278, ""N""), ""N2"",""""))"),"")</f>
        <v/>
      </c>
      <c r="LT278" s="388" t="str">
        <f>IFERROR(__xludf.DUMMYFUNCTION("IF(REGEXMATCH(LD278, ""S""), ""S"",IF(REGEXMATCH(LE278, ""S""), ""S"",""""))"),"S")</f>
        <v>S</v>
      </c>
      <c r="LU278" s="389">
        <f t="shared" si="196"/>
        <v>-1</v>
      </c>
      <c r="LV278" s="378"/>
      <c r="LW278" s="369"/>
      <c r="LX278" s="369"/>
    </row>
    <row r="279" ht="18.0" customHeight="1">
      <c r="A279" s="298" t="s">
        <v>1075</v>
      </c>
      <c r="B279" s="222" t="s">
        <v>741</v>
      </c>
      <c r="C279" s="233" t="str">
        <f t="shared" si="7"/>
        <v>SRgGmPDnNS</v>
      </c>
      <c r="D279" s="234" t="str">
        <f>IFERROR(__xludf.DUMMYFUNCTION("IF(REGEXMATCH(C279, ""S""), ""S"","""")"),"S")</f>
        <v>S</v>
      </c>
      <c r="E279" s="236" t="str">
        <f>IFERROR(__xludf.DUMMYFUNCTION("IF(REGEXMATCH(C279, ""r""), ""r"","""")"),"")</f>
        <v/>
      </c>
      <c r="F279" s="237" t="str">
        <f>IFERROR(__xludf.DUMMYFUNCTION("IF(REGEXMATCH(C279, ""R""), ""R"","""")"),"R")</f>
        <v>R</v>
      </c>
      <c r="G279" s="237" t="str">
        <f>IFERROR(__xludf.DUMMYFUNCTION("IF(REGEXMATCH(C279, ""g""), ""g"","""")"),"g")</f>
        <v>g</v>
      </c>
      <c r="H279" s="236" t="str">
        <f>IFERROR(__xludf.DUMMYFUNCTION("IF(REGEXMATCH(C279, ""G""), ""G"","""")"),"G")</f>
        <v>G</v>
      </c>
      <c r="I279" s="236" t="str">
        <f>IFERROR(__xludf.DUMMYFUNCTION("IF(REGEXMATCH(C279, ""m""), ""m"","""")"),"m")</f>
        <v>m</v>
      </c>
      <c r="J279" s="237" t="str">
        <f>IFERROR(__xludf.DUMMYFUNCTION("IF(REGEXMATCH(C279, ""M""), ""M"","""")"),"")</f>
        <v/>
      </c>
      <c r="K279" s="236" t="str">
        <f>IFERROR(__xludf.DUMMYFUNCTION("IF(REGEXMATCH(C279, ""P""), ""P"","""")"),"P")</f>
        <v>P</v>
      </c>
      <c r="L279" s="237" t="str">
        <f>IFERROR(__xludf.DUMMYFUNCTION("IF(REGEXMATCH(C279, ""d""), ""d"","""")"),"")</f>
        <v/>
      </c>
      <c r="M279" s="236" t="str">
        <f>IFERROR(__xludf.DUMMYFUNCTION("IF(REGEXMATCH(C279, ""D""), ""D"","""")"),"D")</f>
        <v>D</v>
      </c>
      <c r="N279" s="236" t="str">
        <f>IFERROR(__xludf.DUMMYFUNCTION("IF(REGEXMATCH(C279, ""n""), ""n"","""")"),"n")</f>
        <v>n</v>
      </c>
      <c r="O279" s="237" t="str">
        <f>IFERROR(__xludf.DUMMYFUNCTION("IF(REGEXMATCH(C279, ""N""), ""N"","""")"),"N")</f>
        <v>N</v>
      </c>
      <c r="P279" s="238" t="str">
        <f>IFERROR(__xludf.DUMMYFUNCTION("IF(REGEXMATCH(C279, ""S""), ""S"","""")"),"S")</f>
        <v>S</v>
      </c>
      <c r="Q279" s="239" t="str">
        <f>IFERROR(__xludf.DUMMYFUNCTION("SUBSTITUTE(CONCATENATE(JOIN(""-"",D279:J279)),""-"","""")"),"SRgGm")</f>
        <v>SRgGm</v>
      </c>
      <c r="R279" s="229" t="str">
        <f>IFERROR(__xludf.DUMMYFUNCTION("SUBSTITUTE(CONCATENATE(JOIN(""-"",K279:P279)),""-"","""")"),"PDnNS")</f>
        <v>PDnNS</v>
      </c>
      <c r="S279" s="282" t="str">
        <f t="shared" si="8"/>
        <v>S-R-G-M</v>
      </c>
      <c r="T279" s="282" t="str">
        <f t="shared" si="9"/>
        <v>P-D-N-S</v>
      </c>
      <c r="U279" s="237" t="str">
        <f>IFERROR(__xludf.DUMMYFUNCTION("SUBSTITUTE(JOIN(""-"",S279,T279),""--"",""-"")"),"S-R-G-M-P-D-N-S")</f>
        <v>S-R-G-M-P-D-N-S</v>
      </c>
      <c r="V279" s="309" t="str">
        <f t="shared" si="10"/>
        <v>RgGmDnN</v>
      </c>
      <c r="W279" s="244" t="str">
        <f>IFERROR(__xludf.DUMMYFUNCTION("IF(REGEXMATCH(C279, ""S""), ""0"","""")"),"0")</f>
        <v>0</v>
      </c>
      <c r="X279" s="245" t="str">
        <f>IFERROR(__xludf.DUMMYFUNCTION("IF(REGEXMATCH(C279, ""r""), ""1"","""")"),"")</f>
        <v/>
      </c>
      <c r="Y279" s="246" t="str">
        <f>IFERROR(__xludf.DUMMYFUNCTION("IF(REGEXMATCH(C279, ""R""), ""2"","""")"),"2")</f>
        <v>2</v>
      </c>
      <c r="Z279" s="246" t="str">
        <f>IFERROR(__xludf.DUMMYFUNCTION("IF(REGEXMATCH(C279, ""g""), ""3"","""")"),"3")</f>
        <v>3</v>
      </c>
      <c r="AA279" s="245" t="str">
        <f>IFERROR(__xludf.DUMMYFUNCTION("IF(REGEXMATCH(C279, ""G""), ""4"","""")"),"4")</f>
        <v>4</v>
      </c>
      <c r="AB279" s="245" t="str">
        <f>IFERROR(__xludf.DUMMYFUNCTION("IF(REGEXMATCH(C279, ""m""), ""5"","""")"),"5")</f>
        <v>5</v>
      </c>
      <c r="AC279" s="246" t="str">
        <f>IFERROR(__xludf.DUMMYFUNCTION("IF(REGEXMATCH(C279, ""M""), ""6"","""")"),"")</f>
        <v/>
      </c>
      <c r="AD279" s="245" t="str">
        <f>IFERROR(__xludf.DUMMYFUNCTION("IF(REGEXMATCH(C279, ""P""), ""7"","""")"),"7")</f>
        <v>7</v>
      </c>
      <c r="AE279" s="246" t="str">
        <f>IFERROR(__xludf.DUMMYFUNCTION("IF(REGEXMATCH(C279, ""d""), ""8"","""")"),"")</f>
        <v/>
      </c>
      <c r="AF279" s="245" t="str">
        <f>IFERROR(__xludf.DUMMYFUNCTION("IF(REGEXMATCH(C279, ""D""), ""9"","""")"),"9")</f>
        <v>9</v>
      </c>
      <c r="AG279" s="245" t="str">
        <f>IFERROR(__xludf.DUMMYFUNCTION("IF(REGEXMATCH(C279, ""n""), ""10"","""")"),"10")</f>
        <v>10</v>
      </c>
      <c r="AH279" s="246" t="str">
        <f>IFERROR(__xludf.DUMMYFUNCTION("IF(REGEXMATCH(C279, ""N""), ""11"","""")"),"11")</f>
        <v>11</v>
      </c>
      <c r="AI279" s="249" t="str">
        <f>IFERROR(__xludf.DUMMYFUNCTION("IF(REGEXMATCH(C279, ""S""), ""0"","""")"),"0")</f>
        <v>0</v>
      </c>
      <c r="AJ279" s="313" t="str">
        <f t="shared" si="11"/>
        <v>-</v>
      </c>
      <c r="AK279" s="313" t="str">
        <f t="shared" si="12"/>
        <v>-</v>
      </c>
      <c r="AL279" s="313" t="str">
        <f t="shared" si="13"/>
        <v>-</v>
      </c>
      <c r="AM279" s="313" t="str">
        <f t="shared" si="14"/>
        <v>T</v>
      </c>
      <c r="AN279" s="313" t="str">
        <f t="shared" si="15"/>
        <v>T</v>
      </c>
      <c r="AO279" s="314" t="str">
        <f t="shared" si="16"/>
        <v>T</v>
      </c>
      <c r="AP279" s="316">
        <f t="shared" si="17"/>
        <v>3</v>
      </c>
      <c r="AQ279" s="319" t="str">
        <f t="shared" si="18"/>
        <v>-</v>
      </c>
      <c r="AR279" s="320">
        <f t="shared" si="19"/>
        <v>0</v>
      </c>
      <c r="AS279" s="250" t="str">
        <f>IFERROR(__xludf.DUMMYFUNCTION("SUBSTITUTE(SUBSTITUTE(CONCATENATE(JOIN("""",FP279:GA279)),""|"",""x""),""-"",""o"")"),"xoxxxxoxoxxx")</f>
        <v>xoxxxxoxoxxx</v>
      </c>
      <c r="AT279" s="323" t="str">
        <f>IFERROR(__xludf.DUMMYFUNCTION("JOIN("""",AS279,AS279)"),"xoxxxxoxoxxxxoxxxxoxoxxx")</f>
        <v>xoxxxxoxoxxxxoxxxxoxoxxx</v>
      </c>
      <c r="AU279" s="256" t="str">
        <f>IFERROR(__xludf.DUMMYFUNCTION("JOIN("""",ArrayFormula(MID(AS279,LEN(AS279)-SEQUENCE(1,LEN(AS279))+1,1)))"),"xxxoxoxxxxox")</f>
        <v>xxxoxoxxxxox</v>
      </c>
      <c r="AV279" s="256" t="str">
        <f>IFERROR(__xludf.DUMMYFUNCTION("LEFT(CONCATENATE(""x"",JOIN("""",ArrayFormula(MID(AS279,LEN(AS279)-SEQUENCE(1,LEN(AS279))+1,1)))),12)"),"xxxxoxoxxxxo")</f>
        <v>xxxxoxoxxxxo</v>
      </c>
      <c r="AW279" s="327" t="str">
        <f>IFERROR(__xludf.DUMMYFUNCTION("JOIN("""",AU279,AU279)"),"xxxoxoxxxxoxxxxoxoxxxxox")</f>
        <v>xxxoxoxxxxoxxxxoxoxxxxox</v>
      </c>
      <c r="AX279" s="239" t="str">
        <f>IFERROR(__xludf.DUMMYFUNCTION("IF(REGEXMATCH(AW279,AS279),""✔"",""-"")"),"✔")</f>
        <v>✔</v>
      </c>
      <c r="AY279" s="330" t="str">
        <f t="shared" si="20"/>
        <v>-</v>
      </c>
      <c r="AZ279" s="260" t="str">
        <f t="shared" si="21"/>
        <v>#REF!</v>
      </c>
      <c r="BA279" s="333" t="str">
        <f t="shared" si="22"/>
        <v>xoxxxxo</v>
      </c>
      <c r="BB279" s="334" t="str">
        <f t="shared" si="23"/>
        <v>xoxxxx</v>
      </c>
      <c r="BC279" s="335" t="str">
        <f t="shared" si="236"/>
        <v>✔</v>
      </c>
      <c r="BD279" s="336" t="str">
        <f t="shared" si="25"/>
        <v>Rageshri Bahar: 'xoxxxxo' + 'xoxxxx'</v>
      </c>
      <c r="BE279" s="337">
        <f>IFERROR(__xludf.DUMMYFUNCTION("COUNTUNIQUE(FILTER(AT:AT,REGEXMATCH(AT:AT,AS279)))-1"),4.0)</f>
        <v>4</v>
      </c>
      <c r="BF279" s="261" t="str">
        <f>IFERROR(__xludf.DUMMYFUNCTION("IF(BI279=0,""(n/a)"",IF(BJ279=2,""(PAIR)"",IF(REGEXMATCH(AT279,""xoxoxxoxoxox""),""Bilawal"",IF(REGEXMATCH(AT279,""xoxoxooxoxoo""),""Bhupali"",IF(REGEXMATCH(AT279,""xoxoxxoxxoxo""),""Charukeshi"",IF(REGEXMATCH(AT279,""xoxoooxxoxxo""),""Kameshwari"",IF(REG"&amp;"EXMATCH(AT279,""xoxoxooxoxox""),""Shankara"",IF(REGEXMATCH(AT279,""xxooxoxxxoox""),""Basant"",IF(REGEXMATCH(AT279,""xoxoxxxxoxox""),""Bihag"",IF(REGEXMATCH(AT279,""xoxxxxoxoxxx""),""Pilu"",IF(REGEXMATCH(AT279,""xoxxoxoxxoox""),""Kirwani"",IF(REGEXMATCH(AT"&amp;"279,""xoxxoxoxoxxx""),""Mk.Malhar"",IF(REGEXMATCH(AT279,""xxooxxoxxoox""),""Bhairav"",IF(REGEXMATCH(AT279,""xxoxooxxxoox""),""Todi"",IF(REGEXMATCH(AT279,""xxooxoxooxox""),""Marwa"",IF(REGEXMATCH(AT279,""xxoooxoxxooo""),""Gunkali"",IF(REGEXMATCH(AT279,""xo"&amp;"xoxxoxxoox""),""Nat Bhairav"",IF(REGEXMATCH(AT279,""xoxxoooxoxoo""),""Shivranjani"",IF(REGEXMATCH(AT279,""xooxxxoxooxo""),""Jog"",IF(REGEXMATCH(AT279,""xxooxoxoxoox""),""Hemshri"",IF(REGEXMATCH(AT279,""xoooxooxoxxo""),""Kalavati"",IF(REGEXMATCH(AT279,""xx"&amp;"oxoxxoxoox""),""Kedar"",IF(REGEXMATCH(AT279,""xoxxxxoxooxx""),""Gara"",IF(REGEXMATCH(AT279,""xooxoxooxoox""),""Chandrakauns"",IF(REGEXMATCH(AT279,""xoxxxxoxxxox""),""Mand"",IF(REGEXMATCH(AT279,""xoxxxxoxoxox""),""Hanskinkini"",IF(REGEXMATCH(AT279,""xxooxx"&amp;"oxooxo""),""Lilavati"",IF(REGEXMATCH(AT279,""xooxoxoooxox""),""Rajeshwari"",IF(REGEXMATCH(AT279,""xoooxxoxoxxx""),""Khokar"",IF(REGEXMATCH(AT279,""xxooxoxxxxox""),""Maligoura"",""-""))))))))))))))))))))))))))))))"),"Pilu")</f>
        <v>Pilu</v>
      </c>
      <c r="BG279" s="239" t="str">
        <f t="shared" si="26"/>
        <v>#REF!</v>
      </c>
      <c r="BH279" s="239">
        <f>IFERROR(__xludf.DUMMYFUNCTION("COUNTUNIQUE(FE279:FO279)-1"),8.0)</f>
        <v>8</v>
      </c>
      <c r="BI279" s="239">
        <f>IFERROR(__xludf.DUMMYFUNCTION("COUNTUNIQUE(FILTER(AT:AT,REGEXMATCH(AT:AT,AS279)))-1"),4.0)</f>
        <v>4</v>
      </c>
      <c r="BJ279" s="239">
        <f>IFERROR(__xludf.DUMMYFUNCTION("COUNTA(FILTER(AT:AT,REGEXMATCH(AT:AT,AS279)))"),26.0)</f>
        <v>26</v>
      </c>
      <c r="BK279" s="341">
        <f>IFERROR(__xludf.DUMMYFUNCTION("COUNTA(FILTER(AT:AT,REGEXMATCH(AT:AT,AS279)))-AR279"),26.0)</f>
        <v>26</v>
      </c>
      <c r="BL279" s="276" t="str">
        <f>IFERROR(__xludf.DUMMYFUNCTION("IF(AS279=""oooooooooooo"",""-"",IF(REGEXMATCH(AT279,""xx""), ""Hemi."", ""Anhemi.""))"),"Hemi.")</f>
        <v>Hemi.</v>
      </c>
      <c r="BM279" s="282" t="str">
        <f>IFERROR(__xludf.DUMMYFUNCTION("IF(AS279=""oooooooooooo"",""-"",IF(REGEXMATCH(AT279,""xxx""), ""Cohem."", ""-""))"),"Cohem.")</f>
        <v>Cohem.</v>
      </c>
      <c r="BN279" s="282" t="str">
        <f>IFERROR(__xludf.DUMMYFUNCTION("IF(AS279=""oooooooooooo"",""-"",IF(REGEXMATCH(AT279,""xxxx""), ""Co-Co."", ""-""))"),"Co-Co.")</f>
        <v>Co-Co.</v>
      </c>
      <c r="BO279" s="342" t="str">
        <f>IFERROR(__xludf.DUMMYFUNCTION("IF(AS279=""oooooooooooo"",""-"",IF(REGEXMATCH(AT279,""xxxxx""), ""CCC."", ""-""))"),"-")</f>
        <v>-</v>
      </c>
      <c r="BP279" s="344" t="str">
        <f t="shared" si="27"/>
        <v>-</v>
      </c>
      <c r="BQ279" s="282" t="str">
        <f>IFERROR(__xludf.DUMMYFUNCTION("IF(REGEXMATCH(JOIN(""-"",EU279:FD279),""TRUE""),""✔"",""-"")"),"-")</f>
        <v>-</v>
      </c>
      <c r="BR279" s="225">
        <f t="shared" si="28"/>
        <v>0</v>
      </c>
      <c r="BS279" s="345" t="str">
        <f>IFERROR(__xludf.DUMMYFUNCTION("SUBSTITUTE(SUBSTITUTE(SUBSTITUTE(SUBSTITUTE(CONCATENATE(JOIN(""-"",GC279:GO279)),""--"",""-""),""--"",""-""),""--"",""-""),""--"",""-"")"),"1-2-b3-3-4-5-6-b7-7-8")</f>
        <v>1-2-b3-3-4-5-6-b7-7-8</v>
      </c>
      <c r="BT279" s="299" t="str">
        <f>IFERROR(__xludf.DUMMYFUNCTION("SUBSTITUTE(SUBSTITUTE(SUBSTITUTE(SUBSTITUTE(CONCATENATE(JOIN(""-"",GP279:HB279)),""--"",""-""),""--"",""-""),""--"",""-""),""--"",""-"")"),"S-R2-G2-G3-M1-P-D2-N2-N3-S")</f>
        <v>S-R2-G2-G3-M1-P-D2-N2-N3-S</v>
      </c>
      <c r="BU279" s="348" t="str">
        <f t="shared" si="29"/>
        <v>C-D-Eb-E-F-G-A-Bb-B-C</v>
      </c>
      <c r="BV279" s="349" t="str">
        <f t="shared" si="30"/>
        <v>SrMdS</v>
      </c>
      <c r="BW279" s="350">
        <f t="shared" si="31"/>
        <v>0</v>
      </c>
      <c r="BX279" s="351">
        <f t="shared" si="32"/>
        <v>11</v>
      </c>
      <c r="BY279" s="392"/>
      <c r="BZ279" s="309" t="str">
        <f>IFERROR(__xludf.DUMMYFUNCTION("IF(REGEXMATCH(C279, ""S""), ""x"",""x"")"),"x")</f>
        <v>x</v>
      </c>
      <c r="CA279" s="245" t="str">
        <f>IFERROR(__xludf.DUMMYFUNCTION("IF(REGEXMATCH(C279, ""r""), ""o"",""x"")"),"x")</f>
        <v>x</v>
      </c>
      <c r="CB279" s="246" t="str">
        <f>IFERROR(__xludf.DUMMYFUNCTION("IF(REGEXMATCH(C279, ""R""), ""o"",""x"")"),"o")</f>
        <v>o</v>
      </c>
      <c r="CC279" s="246" t="str">
        <f>IFERROR(__xludf.DUMMYFUNCTION("IF(REGEXMATCH(C279, ""g""), ""o"",""x"")"),"o")</f>
        <v>o</v>
      </c>
      <c r="CD279" s="245" t="str">
        <f>IFERROR(__xludf.DUMMYFUNCTION("IF(REGEXMATCH(C279, ""G""), ""o"",""x"")"),"o")</f>
        <v>o</v>
      </c>
      <c r="CE279" s="245" t="str">
        <f>IFERROR(__xludf.DUMMYFUNCTION("IF(REGEXMATCH(C279, ""m""), ""o"",""x"")"),"o")</f>
        <v>o</v>
      </c>
      <c r="CF279" s="246" t="str">
        <f>IFERROR(__xludf.DUMMYFUNCTION("IF(REGEXMATCH(C279, ""M""), ""o"",""x"")"),"x")</f>
        <v>x</v>
      </c>
      <c r="CG279" s="245" t="str">
        <f>IFERROR(__xludf.DUMMYFUNCTION("IF(REGEXMATCH(C279, ""P""), ""o"",""x"")"),"o")</f>
        <v>o</v>
      </c>
      <c r="CH279" s="246" t="str">
        <f>IFERROR(__xludf.DUMMYFUNCTION("IF(REGEXMATCH(C279, ""d""), ""o"",""x"")"),"x")</f>
        <v>x</v>
      </c>
      <c r="CI279" s="245" t="str">
        <f>IFERROR(__xludf.DUMMYFUNCTION("IF(REGEXMATCH(C279, ""D""), ""o"",""x"")"),"o")</f>
        <v>o</v>
      </c>
      <c r="CJ279" s="245" t="str">
        <f>IFERROR(__xludf.DUMMYFUNCTION("IF(REGEXMATCH(C279, ""n""), ""o"",""x"")"),"o")</f>
        <v>o</v>
      </c>
      <c r="CK279" s="245" t="str">
        <f>IFERROR(__xludf.DUMMYFUNCTION("IF(REGEXMATCH(C279, ""N""), ""o"",""x"")"),"o")</f>
        <v>o</v>
      </c>
      <c r="CL279" s="356" t="str">
        <f>IFERROR(__xludf.DUMMYFUNCTION("IF(REGEXMATCH(C279, ""S""), ""x"",""x"")"),"x")</f>
        <v>x</v>
      </c>
      <c r="CM279" s="357" t="str">
        <f t="shared" si="33"/>
        <v>xxooooxoxooo</v>
      </c>
      <c r="CN279" s="358">
        <f t="shared" si="34"/>
        <v>0</v>
      </c>
      <c r="CO279" s="246" t="str">
        <f>IFERROR(__xludf.DUMMYFUNCTION("IF(REGEXMATCH($C279, ""S""), ""S"",""S"")"),"S")</f>
        <v>S</v>
      </c>
      <c r="CP279" s="246" t="str">
        <f>IFERROR(__xludf.DUMMYFUNCTION("IF(REGEXMATCH($C279, ""r""), """",""r"")"),"r")</f>
        <v>r</v>
      </c>
      <c r="CQ279" s="246" t="str">
        <f>IFERROR(__xludf.DUMMYFUNCTION("IF(REGEXMATCH($C279, ""R""), """",""R"")"),"")</f>
        <v/>
      </c>
      <c r="CR279" s="246" t="str">
        <f>IFERROR(__xludf.DUMMYFUNCTION("IF(REGEXMATCH($C279, ""g""), """",""g"")"),"")</f>
        <v/>
      </c>
      <c r="CS279" s="246" t="str">
        <f>IFERROR(__xludf.DUMMYFUNCTION("IF(REGEXMATCH($C279, ""G""), """",""G"")"),"")</f>
        <v/>
      </c>
      <c r="CT279" s="246" t="str">
        <f>IFERROR(__xludf.DUMMYFUNCTION("IF(REGEXMATCH($C279, ""m""), """",""m"")"),"")</f>
        <v/>
      </c>
      <c r="CU279" s="246" t="str">
        <f>IFERROR(__xludf.DUMMYFUNCTION("IF(REGEXMATCH($C279, ""M""), """",""M"")"),"M")</f>
        <v>M</v>
      </c>
      <c r="CV279" s="246" t="str">
        <f>IFERROR(__xludf.DUMMYFUNCTION("IF(REGEXMATCH($C279, ""P""), """",""P"")"),"")</f>
        <v/>
      </c>
      <c r="CW279" s="246" t="str">
        <f>IFERROR(__xludf.DUMMYFUNCTION("IF(REGEXMATCH($C279, ""d""), """",""d"")"),"d")</f>
        <v>d</v>
      </c>
      <c r="CX279" s="246" t="str">
        <f>IFERROR(__xludf.DUMMYFUNCTION("IF(REGEXMATCH($C279, ""D""), """",""D"")"),"")</f>
        <v/>
      </c>
      <c r="CY279" s="246" t="str">
        <f>IFERROR(__xludf.DUMMYFUNCTION("IF(REGEXMATCH($C279, ""n""), """",""n"")"),"")</f>
        <v/>
      </c>
      <c r="CZ279" s="246" t="str">
        <f>IFERROR(__xludf.DUMMYFUNCTION("IF(REGEXMATCH($C279, ""N""), """",""N"")"),"")</f>
        <v/>
      </c>
      <c r="DA279" s="246" t="str">
        <f>IFERROR(__xludf.DUMMYFUNCTION("IF(REGEXMATCH($C279, ""S""), ""S"",""S"")"),"S")</f>
        <v>S</v>
      </c>
      <c r="DB279" s="362" t="str">
        <f>IFERROR(__xludf.DUMMYFUNCTION("JOIN("""",CO279:DA279,"""","""")"),"SrMdS")</f>
        <v>SrMdS</v>
      </c>
      <c r="DC279" s="363"/>
      <c r="DD279" s="301" t="str">
        <f t="shared" si="35"/>
        <v>#REF!</v>
      </c>
      <c r="DE279" s="302" t="str">
        <f t="shared" si="36"/>
        <v>#REF!</v>
      </c>
      <c r="DF279" s="301" t="str">
        <f t="shared" ref="DF279:DG279" si="782">SUBSTITUTE(S279,"-","")</f>
        <v>SRGM</v>
      </c>
      <c r="DG279" s="301" t="str">
        <f t="shared" si="782"/>
        <v>PDNS</v>
      </c>
      <c r="DH279" s="302" t="str">
        <f t="shared" si="38"/>
        <v>Pilu</v>
      </c>
      <c r="DI279" s="301" t="str">
        <f t="shared" si="39"/>
        <v>Hemi.</v>
      </c>
      <c r="DJ279" s="364" t="str">
        <f t="shared" si="40"/>
        <v>Co-Co.</v>
      </c>
      <c r="DK279" s="306" t="str">
        <f t="shared" si="41"/>
        <v>-</v>
      </c>
      <c r="DL279" s="366" t="str">
        <f t="shared" si="42"/>
        <v>-</v>
      </c>
      <c r="DM279" s="308" t="str">
        <f t="shared" si="43"/>
        <v>✔</v>
      </c>
      <c r="DN279" s="306" t="str">
        <f t="shared" si="44"/>
        <v>-</v>
      </c>
      <c r="DO279" s="306" t="str">
        <f t="shared" si="45"/>
        <v>-</v>
      </c>
      <c r="DP279" s="367" t="str">
        <f t="shared" si="46"/>
        <v>-</v>
      </c>
      <c r="DQ279" s="310" t="str">
        <f t="shared" si="47"/>
        <v>-</v>
      </c>
      <c r="DR279" s="310" t="str">
        <f t="shared" si="48"/>
        <v>✔</v>
      </c>
      <c r="DS279" s="310" t="str">
        <f t="shared" si="49"/>
        <v>-</v>
      </c>
      <c r="DT279" s="310" t="str">
        <f t="shared" si="50"/>
        <v>-</v>
      </c>
      <c r="DU279" s="370" t="str">
        <f t="shared" si="51"/>
        <v>✔</v>
      </c>
      <c r="DV279" s="306" t="str">
        <f t="shared" si="52"/>
        <v>-</v>
      </c>
      <c r="DW279" s="306" t="str">
        <f t="shared" si="53"/>
        <v>-</v>
      </c>
      <c r="DX279" s="306" t="str">
        <f t="shared" si="54"/>
        <v>-</v>
      </c>
      <c r="DY279" s="306" t="str">
        <f t="shared" si="55"/>
        <v>-</v>
      </c>
      <c r="DZ279" s="306" t="str">
        <f t="shared" si="56"/>
        <v>-</v>
      </c>
      <c r="EA279" s="367" t="str">
        <f t="shared" si="57"/>
        <v>-</v>
      </c>
      <c r="EB279" s="310" t="str">
        <f>IFERROR(__xludf.DUMMYFUNCTION("IF(REGEXMATCH(AW279,AS279),""✔"",""-"")"),"✔")</f>
        <v>✔</v>
      </c>
      <c r="EC279" s="310" t="str">
        <f t="shared" si="58"/>
        <v>#REF!</v>
      </c>
      <c r="ED279" s="370" t="str">
        <f t="shared" si="59"/>
        <v>-</v>
      </c>
      <c r="EE279" s="340" t="str">
        <f t="shared" si="60"/>
        <v>S-R-gG-m-P-D-nN-S</v>
      </c>
      <c r="EF279" s="371" t="str">
        <f>IFERROR(__xludf.DUMMYFUNCTION("CONCATENATE(JOIN("""",HC279:HO279))"),"SrRgmPdDnS")</f>
        <v>SrRgmPdDnS</v>
      </c>
      <c r="EG279" s="372">
        <f t="shared" si="61"/>
        <v>1</v>
      </c>
      <c r="EH279" s="373" t="str">
        <f>IFERROR(__xludf.DUMMYFUNCTION("CONCATENATE(JOIN("""",JC279:JO279))"),"Ni, ")</f>
        <v>Ni, </v>
      </c>
      <c r="EI279" s="322">
        <f t="shared" si="62"/>
        <v>0</v>
      </c>
      <c r="EJ279" s="374" t="str">
        <f>IFERROR(__xludf.DUMMYFUNCTION("CONCATENATE(JOIN("""",KC279:KO279))"),"")</f>
        <v/>
      </c>
      <c r="EK279" s="325" t="str">
        <f t="shared" si="63"/>
        <v>S-R2-G2-G3-M1-P-D2-N2-N3-S</v>
      </c>
      <c r="EL279" s="326" t="str">
        <f t="shared" si="64"/>
        <v>1-2-b3-3-4-5-6-b7-7-8</v>
      </c>
      <c r="EM279" s="318" t="str">
        <f t="shared" si="65"/>
        <v>#REF!</v>
      </c>
      <c r="EN279" s="328" t="str">
        <f>IFERROR(__xludf.DUMMYFUNCTION("SUBSTITUTE(SUBSTITUTE(SUBSTITUTE(SUBSTITUTE(CONCATENATE(JOIN("" "",HP279:IB279)),""  "","" ""),""  "","" ""),""  "","" ""),""  "","" "")"),"o • o o o o • o • o o o o")</f>
        <v>o • o o o o • o • o o o o</v>
      </c>
      <c r="EO279" s="368" t="str">
        <f t="shared" si="66"/>
        <v>-</v>
      </c>
      <c r="EP279" s="339" t="str">
        <f t="shared" si="67"/>
        <v>-</v>
      </c>
      <c r="EQ279" s="339" t="str">
        <f t="shared" si="68"/>
        <v>Sa-Pa</v>
      </c>
      <c r="ER279" s="339" t="str">
        <f t="shared" si="69"/>
        <v>-</v>
      </c>
      <c r="ES279" s="340" t="str">
        <f t="shared" si="70"/>
        <v>-</v>
      </c>
      <c r="ET279" s="363"/>
      <c r="EU279" s="376" t="b">
        <f>IFERROR(__xludf.DUMMYFUNCTION("arrayformula(sum(--REGEXMATCH(""SRGMPDNS"",split(REGEXREPLACE(C279,""(.)"",""$1~""),""~""))))=len(C279)
"),FALSE)</f>
        <v>0</v>
      </c>
      <c r="EV279" s="290" t="b">
        <f>IFERROR(__xludf.DUMMYFUNCTION("arrayformula(sum(--REGEXMATCH(""SRGmPDNS"",split(REGEXREPLACE(C279,""(.)"",""$1~""),""~""))))=len(C279)"),FALSE)</f>
        <v>0</v>
      </c>
      <c r="EW279" s="290" t="b">
        <f>IFERROR(__xludf.DUMMYFUNCTION("arrayformula(sum(--REGEXMATCH(""SRGmPDnS"",split(REGEXREPLACE(C279,""(.)"",""$1~""),""~""))))=len(C279)"),FALSE)</f>
        <v>0</v>
      </c>
      <c r="EX279" s="290" t="b">
        <f>IFERROR(__xludf.DUMMYFUNCTION("arrayformula(sum(--REGEXMATCH(""SRgmPDnS"",split(REGEXREPLACE(C279,""(.)"",""$1~""),""~""))))=len(C279)"),FALSE)</f>
        <v>0</v>
      </c>
      <c r="EY279" s="290" t="b">
        <f>IFERROR(__xludf.DUMMYFUNCTION("arrayformula(sum(--REGEXMATCH(""SRgmPdnS"",split(REGEXREPLACE(C279,""(.)"",""$1~""),""~""))))=len(C279)"),FALSE)</f>
        <v>0</v>
      </c>
      <c r="EZ279" s="290" t="b">
        <f>IFERROR(__xludf.DUMMYFUNCTION("arrayformula(sum(--REGEXMATCH(""SrgmPdnS"",split(REGEXREPLACE(C279,""(.)"",""$1~""),""~""))))=len(C279)"),FALSE)</f>
        <v>0</v>
      </c>
      <c r="FA279" s="290" t="b">
        <f>IFERROR(__xludf.DUMMYFUNCTION("arrayformula(sum(--REGEXMATCH(""SrGmPdNS"",split(REGEXREPLACE(C279,""(.)"",""$1~""),""~""))))=len(C279)"),FALSE)</f>
        <v>0</v>
      </c>
      <c r="FB279" s="290" t="b">
        <f>IFERROR(__xludf.DUMMYFUNCTION("arrayformula(sum(--REGEXMATCH(""SrGMPDNS"",split(REGEXREPLACE(C279,""(.)"",""$1~""),""~""))))=len(C279)"),FALSE)</f>
        <v>0</v>
      </c>
      <c r="FC279" s="290" t="b">
        <f>IFERROR(__xludf.DUMMYFUNCTION("arrayformula(sum(--REGEXMATCH(""SrGMPdNS"",split(REGEXREPLACE(C279,""(.)"",""$1~""),""~""))))=len(C279)"),FALSE)</f>
        <v>0</v>
      </c>
      <c r="FD279" s="377" t="b">
        <f>IFERROR(__xludf.DUMMYFUNCTION("arrayformula(sum(--REGEXMATCH(""SrgMPdNS"",split(REGEXREPLACE(C279,""(.)"",""$1~""),""~""))))=len(C279)"),FALSE)</f>
        <v>0</v>
      </c>
      <c r="FE279" s="269" t="str">
        <f t="shared" si="71"/>
        <v>-</v>
      </c>
      <c r="FF279" s="269" t="str">
        <f t="shared" si="72"/>
        <v>xxxxoxoxxxx</v>
      </c>
      <c r="FG279" s="271" t="str">
        <f t="shared" si="73"/>
        <v>xxxoxoxxxxo</v>
      </c>
      <c r="FH279" s="269" t="str">
        <f t="shared" si="74"/>
        <v>xxoxoxxxxox</v>
      </c>
      <c r="FI279" s="271" t="str">
        <f t="shared" si="75"/>
        <v>xoxoxxxxoxx</v>
      </c>
      <c r="FJ279" s="271" t="str">
        <f t="shared" si="76"/>
        <v>-</v>
      </c>
      <c r="FK279" s="271" t="str">
        <f t="shared" si="77"/>
        <v>xoxxxxoxxxx</v>
      </c>
      <c r="FL279" s="271" t="str">
        <f t="shared" si="78"/>
        <v>-</v>
      </c>
      <c r="FM279" s="271" t="str">
        <f t="shared" si="79"/>
        <v>xxxxoxxxxox</v>
      </c>
      <c r="FN279" s="271" t="str">
        <f t="shared" si="80"/>
        <v>xxxoxxxxoxo</v>
      </c>
      <c r="FO279" s="274" t="str">
        <f t="shared" si="81"/>
        <v>xxoxxxxoxox</v>
      </c>
      <c r="FP279" s="234" t="str">
        <f t="shared" si="82"/>
        <v>|</v>
      </c>
      <c r="FQ279" s="236" t="str">
        <f t="shared" si="83"/>
        <v>-</v>
      </c>
      <c r="FR279" s="237" t="str">
        <f t="shared" si="84"/>
        <v>|</v>
      </c>
      <c r="FS279" s="236" t="str">
        <f t="shared" si="85"/>
        <v>|</v>
      </c>
      <c r="FT279" s="237" t="str">
        <f t="shared" si="86"/>
        <v>|</v>
      </c>
      <c r="FU279" s="236" t="str">
        <f t="shared" si="87"/>
        <v>|</v>
      </c>
      <c r="FV279" s="237" t="str">
        <f t="shared" si="88"/>
        <v>-</v>
      </c>
      <c r="FW279" s="236" t="str">
        <f t="shared" si="89"/>
        <v>|</v>
      </c>
      <c r="FX279" s="237" t="str">
        <f t="shared" si="90"/>
        <v>-</v>
      </c>
      <c r="FY279" s="236" t="str">
        <f t="shared" si="91"/>
        <v>|</v>
      </c>
      <c r="FZ279" s="237" t="str">
        <f t="shared" si="92"/>
        <v>|</v>
      </c>
      <c r="GA279" s="236" t="str">
        <f t="shared" si="93"/>
        <v>|</v>
      </c>
      <c r="GB279" s="238" t="str">
        <f t="shared" si="94"/>
        <v>|</v>
      </c>
      <c r="GC279" s="244" t="str">
        <f>IFERROR(__xludf.DUMMYFUNCTION("IF(REGEXMATCH(C279, ""S""), ""1"","""")"),"1")</f>
        <v>1</v>
      </c>
      <c r="GD279" s="245" t="str">
        <f>IFERROR(__xludf.DUMMYFUNCTION("IF(REGEXMATCH(C279, ""r""), ""b2"","""")"),"")</f>
        <v/>
      </c>
      <c r="GE279" s="246" t="str">
        <f>IFERROR(__xludf.DUMMYFUNCTION("IF(REGEXMATCH(C279, ""R""), ""2"","""")"),"2")</f>
        <v>2</v>
      </c>
      <c r="GF279" s="246" t="str">
        <f>IFERROR(__xludf.DUMMYFUNCTION("IF(REGEXMATCH(C279, ""g""), ""b3"","""")"),"b3")</f>
        <v>b3</v>
      </c>
      <c r="GG279" s="245" t="str">
        <f>IFERROR(__xludf.DUMMYFUNCTION("IF(REGEXMATCH(C279, ""G""), ""3"","""")"),"3")</f>
        <v>3</v>
      </c>
      <c r="GH279" s="245" t="str">
        <f>IFERROR(__xludf.DUMMYFUNCTION("IF(REGEXMATCH(C279, ""m""), ""4"","""")"),"4")</f>
        <v>4</v>
      </c>
      <c r="GI279" s="246" t="str">
        <f>IFERROR(__xludf.DUMMYFUNCTION("IF(REGEXMATCH(C279, ""M""), ""#4"","""")"),"")</f>
        <v/>
      </c>
      <c r="GJ279" s="245" t="str">
        <f>IFERROR(__xludf.DUMMYFUNCTION("IF(REGEXMATCH(C279, ""P""), ""5"","""")"),"5")</f>
        <v>5</v>
      </c>
      <c r="GK279" s="246" t="str">
        <f>IFERROR(__xludf.DUMMYFUNCTION("IF(REGEXMATCH(C279, ""d""), ""b6"","""")"),"")</f>
        <v/>
      </c>
      <c r="GL279" s="245" t="str">
        <f>IFERROR(__xludf.DUMMYFUNCTION("IF(REGEXMATCH(C279, ""D""), ""6"","""")"),"6")</f>
        <v>6</v>
      </c>
      <c r="GM279" s="245" t="str">
        <f>IFERROR(__xludf.DUMMYFUNCTION("IF(REGEXMATCH(C279, ""n""), ""b7"","""")"),"b7")</f>
        <v>b7</v>
      </c>
      <c r="GN279" s="246" t="str">
        <f>IFERROR(__xludf.DUMMYFUNCTION("IF(REGEXMATCH(C279, ""N""), ""7"","""")"),"7")</f>
        <v>7</v>
      </c>
      <c r="GO279" s="249" t="str">
        <f>IFERROR(__xludf.DUMMYFUNCTION("IF(REGEXMATCH(C279, ""S""), ""8"","""")"),"8")</f>
        <v>8</v>
      </c>
      <c r="GP279" s="244" t="str">
        <f>IFERROR(__xludf.DUMMYFUNCTION("IF(REGEXMATCH(C279, ""S""), ""S"","""")"),"S")</f>
        <v>S</v>
      </c>
      <c r="GQ279" s="294" t="str">
        <f>IFERROR(__xludf.DUMMYFUNCTION("IF(REGEXMATCH(C279, ""r""), ""R1"","""")"),"")</f>
        <v/>
      </c>
      <c r="GR279" s="295" t="str">
        <f>IFERROR(__xludf.DUMMYFUNCTION("IF(REGEXMATCH(C279, ""R""), ""R2"","""")"),"R2")</f>
        <v>R2</v>
      </c>
      <c r="GS279" s="295" t="str">
        <f>IFERROR(__xludf.DUMMYFUNCTION("IF(REGEXMATCH(C279, ""g""), ""G2"","""")"),"G2")</f>
        <v>G2</v>
      </c>
      <c r="GT279" s="294" t="str">
        <f>IFERROR(__xludf.DUMMYFUNCTION("IF(REGEXMATCH(C279, ""G""), ""G3"","""")"),"G3")</f>
        <v>G3</v>
      </c>
      <c r="GU279" s="294" t="str">
        <f>IFERROR(__xludf.DUMMYFUNCTION("IF(REGEXMATCH(C279, ""m""), ""M1"","""")"),"M1")</f>
        <v>M1</v>
      </c>
      <c r="GV279" s="295" t="str">
        <f>IFERROR(__xludf.DUMMYFUNCTION("IF(REGEXMATCH(C279, ""M""), ""M2"","""")"),"")</f>
        <v/>
      </c>
      <c r="GW279" s="294" t="str">
        <f>IFERROR(__xludf.DUMMYFUNCTION("IF(REGEXMATCH(C279, ""P""), ""P"","""")"),"P")</f>
        <v>P</v>
      </c>
      <c r="GX279" s="295" t="str">
        <f>IFERROR(__xludf.DUMMYFUNCTION("IF(REGEXMATCH(C279, ""d""), ""D1"","""")"),"")</f>
        <v/>
      </c>
      <c r="GY279" s="294" t="str">
        <f>IFERROR(__xludf.DUMMYFUNCTION("IF(REGEXMATCH(C279, ""D""), ""D2"","""")"),"D2")</f>
        <v>D2</v>
      </c>
      <c r="GZ279" s="294" t="str">
        <f>IFERROR(__xludf.DUMMYFUNCTION("IF(REGEXMATCH(C279, ""n""), ""N2"","""")"),"N2")</f>
        <v>N2</v>
      </c>
      <c r="HA279" s="295" t="str">
        <f>IFERROR(__xludf.DUMMYFUNCTION("IF(REGEXMATCH(C279, ""N""), ""N3"","""")"),"N3")</f>
        <v>N3</v>
      </c>
      <c r="HB279" s="249" t="str">
        <f>IFERROR(__xludf.DUMMYFUNCTION("IF(REGEXMATCH(C279, ""S""), ""S"","""")"),"S")</f>
        <v>S</v>
      </c>
      <c r="HC279" s="331" t="str">
        <f t="shared" si="95"/>
        <v>S</v>
      </c>
      <c r="HD279" s="332" t="str">
        <f t="shared" si="96"/>
        <v>r</v>
      </c>
      <c r="HE279" s="332" t="str">
        <f t="shared" si="97"/>
        <v>R</v>
      </c>
      <c r="HF279" s="332" t="str">
        <f t="shared" si="98"/>
        <v>g</v>
      </c>
      <c r="HG279" s="332" t="str">
        <f t="shared" si="99"/>
        <v/>
      </c>
      <c r="HH279" s="332" t="str">
        <f t="shared" si="100"/>
        <v>m</v>
      </c>
      <c r="HI279" s="332" t="str">
        <f t="shared" si="101"/>
        <v/>
      </c>
      <c r="HJ279" s="332" t="str">
        <f t="shared" si="102"/>
        <v>P</v>
      </c>
      <c r="HK279" s="332" t="str">
        <f t="shared" si="103"/>
        <v>d</v>
      </c>
      <c r="HL279" s="332" t="str">
        <f t="shared" si="104"/>
        <v>D</v>
      </c>
      <c r="HM279" s="332" t="str">
        <f t="shared" si="105"/>
        <v>n</v>
      </c>
      <c r="HN279" s="332" t="str">
        <f t="shared" si="106"/>
        <v/>
      </c>
      <c r="HO279" s="343" t="str">
        <f t="shared" si="107"/>
        <v>S</v>
      </c>
      <c r="HP279" s="331" t="str">
        <f t="shared" si="108"/>
        <v>o</v>
      </c>
      <c r="HQ279" s="332" t="str">
        <f t="shared" si="109"/>
        <v>•</v>
      </c>
      <c r="HR279" s="332" t="str">
        <f t="shared" si="110"/>
        <v>o</v>
      </c>
      <c r="HS279" s="332" t="str">
        <f t="shared" si="111"/>
        <v>o</v>
      </c>
      <c r="HT279" s="332" t="str">
        <f t="shared" si="112"/>
        <v>o</v>
      </c>
      <c r="HU279" s="332" t="str">
        <f t="shared" si="113"/>
        <v>o</v>
      </c>
      <c r="HV279" s="332" t="str">
        <f t="shared" si="114"/>
        <v>•</v>
      </c>
      <c r="HW279" s="332" t="str">
        <f t="shared" si="115"/>
        <v>o</v>
      </c>
      <c r="HX279" s="332" t="str">
        <f t="shared" si="116"/>
        <v>•</v>
      </c>
      <c r="HY279" s="332" t="str">
        <f t="shared" si="117"/>
        <v>o</v>
      </c>
      <c r="HZ279" s="332" t="str">
        <f t="shared" si="118"/>
        <v>o</v>
      </c>
      <c r="IA279" s="332" t="str">
        <f t="shared" si="119"/>
        <v>o</v>
      </c>
      <c r="IB279" s="338" t="str">
        <f t="shared" si="120"/>
        <v>o</v>
      </c>
      <c r="IC279" s="331" t="str">
        <f t="shared" si="121"/>
        <v>•</v>
      </c>
      <c r="ID279" s="332" t="str">
        <f t="shared" si="122"/>
        <v>o</v>
      </c>
      <c r="IE279" s="332" t="str">
        <f t="shared" si="123"/>
        <v>•</v>
      </c>
      <c r="IF279" s="332" t="str">
        <f t="shared" si="124"/>
        <v>•</v>
      </c>
      <c r="IG279" s="332" t="str">
        <f t="shared" si="125"/>
        <v>•</v>
      </c>
      <c r="IH279" s="332" t="str">
        <f t="shared" si="126"/>
        <v>•</v>
      </c>
      <c r="II279" s="332" t="str">
        <f t="shared" si="127"/>
        <v>o</v>
      </c>
      <c r="IJ279" s="332" t="str">
        <f t="shared" si="128"/>
        <v>•</v>
      </c>
      <c r="IK279" s="332" t="str">
        <f t="shared" si="129"/>
        <v>o</v>
      </c>
      <c r="IL279" s="332" t="str">
        <f t="shared" si="130"/>
        <v>•</v>
      </c>
      <c r="IM279" s="332" t="str">
        <f t="shared" si="131"/>
        <v>•</v>
      </c>
      <c r="IN279" s="332" t="str">
        <f t="shared" si="132"/>
        <v>•</v>
      </c>
      <c r="IO279" s="338" t="str">
        <f t="shared" si="133"/>
        <v>•</v>
      </c>
      <c r="IP279" s="346" t="b">
        <f t="shared" si="134"/>
        <v>0</v>
      </c>
      <c r="IQ279" s="347" t="b">
        <f t="shared" si="135"/>
        <v>0</v>
      </c>
      <c r="IR279" s="347" t="b">
        <f t="shared" si="136"/>
        <v>0</v>
      </c>
      <c r="IS279" s="347" t="b">
        <f t="shared" si="137"/>
        <v>0</v>
      </c>
      <c r="IT279" s="347" t="b">
        <f t="shared" si="138"/>
        <v>0</v>
      </c>
      <c r="IU279" s="347" t="b">
        <f t="shared" si="139"/>
        <v>0</v>
      </c>
      <c r="IV279" s="347" t="b">
        <f t="shared" si="140"/>
        <v>0</v>
      </c>
      <c r="IW279" s="347" t="b">
        <f t="shared" si="141"/>
        <v>0</v>
      </c>
      <c r="IX279" s="347" t="b">
        <f t="shared" si="142"/>
        <v>0</v>
      </c>
      <c r="IY279" s="347" t="b">
        <f t="shared" si="143"/>
        <v>0</v>
      </c>
      <c r="IZ279" s="347" t="b">
        <f t="shared" si="144"/>
        <v>0</v>
      </c>
      <c r="JA279" s="347" t="b">
        <f t="shared" si="145"/>
        <v>1</v>
      </c>
      <c r="JB279" s="353" t="b">
        <f t="shared" si="146"/>
        <v>0</v>
      </c>
      <c r="JC279" s="354" t="str">
        <f t="shared" si="147"/>
        <v/>
      </c>
      <c r="JD279" s="355" t="str">
        <f t="shared" si="148"/>
        <v/>
      </c>
      <c r="JE279" s="355" t="str">
        <f t="shared" si="149"/>
        <v/>
      </c>
      <c r="JF279" s="355" t="str">
        <f t="shared" si="150"/>
        <v/>
      </c>
      <c r="JG279" s="355" t="str">
        <f t="shared" si="151"/>
        <v/>
      </c>
      <c r="JH279" s="355" t="str">
        <f t="shared" si="152"/>
        <v/>
      </c>
      <c r="JI279" s="355" t="str">
        <f t="shared" si="153"/>
        <v/>
      </c>
      <c r="JJ279" s="355" t="str">
        <f t="shared" si="154"/>
        <v/>
      </c>
      <c r="JK279" s="355" t="str">
        <f t="shared" si="155"/>
        <v/>
      </c>
      <c r="JL279" s="355" t="str">
        <f t="shared" si="156"/>
        <v/>
      </c>
      <c r="JM279" s="355" t="str">
        <f t="shared" si="157"/>
        <v/>
      </c>
      <c r="JN279" s="355" t="str">
        <f t="shared" si="158"/>
        <v>Ni, </v>
      </c>
      <c r="JO279" s="359" t="str">
        <f t="shared" si="159"/>
        <v/>
      </c>
      <c r="JP279" s="346" t="b">
        <f t="shared" si="160"/>
        <v>0</v>
      </c>
      <c r="JQ279" s="347" t="b">
        <f t="shared" si="161"/>
        <v>0</v>
      </c>
      <c r="JR279" s="347" t="b">
        <f t="shared" si="162"/>
        <v>0</v>
      </c>
      <c r="JS279" s="347" t="b">
        <f t="shared" si="163"/>
        <v>0</v>
      </c>
      <c r="JT279" s="347" t="b">
        <f t="shared" si="164"/>
        <v>0</v>
      </c>
      <c r="JU279" s="347" t="b">
        <f t="shared" si="165"/>
        <v>0</v>
      </c>
      <c r="JV279" s="347" t="b">
        <f t="shared" si="166"/>
        <v>0</v>
      </c>
      <c r="JW279" s="347" t="b">
        <f t="shared" si="167"/>
        <v>0</v>
      </c>
      <c r="JX279" s="347" t="b">
        <f t="shared" si="168"/>
        <v>0</v>
      </c>
      <c r="JY279" s="347" t="b">
        <f t="shared" si="169"/>
        <v>0</v>
      </c>
      <c r="JZ279" s="347" t="b">
        <f t="shared" si="170"/>
        <v>0</v>
      </c>
      <c r="KA279" s="347" t="b">
        <f t="shared" si="171"/>
        <v>0</v>
      </c>
      <c r="KB279" s="365" t="b">
        <f t="shared" si="172"/>
        <v>0</v>
      </c>
      <c r="KC279" s="354" t="str">
        <f t="shared" si="173"/>
        <v/>
      </c>
      <c r="KD279" s="355" t="str">
        <f t="shared" si="174"/>
        <v/>
      </c>
      <c r="KE279" s="355" t="str">
        <f t="shared" si="175"/>
        <v/>
      </c>
      <c r="KF279" s="355" t="str">
        <f t="shared" si="176"/>
        <v/>
      </c>
      <c r="KG279" s="355" t="str">
        <f t="shared" si="177"/>
        <v/>
      </c>
      <c r="KH279" s="355" t="str">
        <f t="shared" si="178"/>
        <v/>
      </c>
      <c r="KI279" s="355" t="str">
        <f t="shared" si="179"/>
        <v/>
      </c>
      <c r="KJ279" s="355" t="str">
        <f t="shared" si="180"/>
        <v/>
      </c>
      <c r="KK279" s="355" t="str">
        <f t="shared" si="181"/>
        <v/>
      </c>
      <c r="KL279" s="355" t="str">
        <f t="shared" si="182"/>
        <v/>
      </c>
      <c r="KM279" s="355" t="str">
        <f t="shared" si="183"/>
        <v/>
      </c>
      <c r="KN279" s="355" t="str">
        <f t="shared" si="184"/>
        <v/>
      </c>
      <c r="KO279" s="359"/>
      <c r="KP279" s="378"/>
      <c r="KQ279" s="379" t="s">
        <v>9</v>
      </c>
      <c r="KR279" s="380" t="s">
        <v>9</v>
      </c>
      <c r="KS279" s="381" t="s">
        <v>9</v>
      </c>
      <c r="KT279" s="382">
        <f t="shared" si="186"/>
        <v>0</v>
      </c>
      <c r="KU279" s="383">
        <f t="shared" si="187"/>
        <v>0</v>
      </c>
      <c r="KV279" s="381" t="str">
        <f t="shared" si="205"/>
        <v>S</v>
      </c>
      <c r="KW279" s="382">
        <f t="shared" si="189"/>
        <v>0</v>
      </c>
      <c r="KX279" s="384">
        <f t="shared" si="190"/>
        <v>0</v>
      </c>
      <c r="KY279" s="382">
        <f t="shared" ref="KY279:KZ279" si="783">KW279-KT279</f>
        <v>0</v>
      </c>
      <c r="KZ279" s="369">
        <f t="shared" si="783"/>
        <v>0</v>
      </c>
      <c r="LA279" s="385" t="str">
        <f t="shared" si="192"/>
        <v>✔</v>
      </c>
      <c r="LB279" s="340" t="str">
        <f>IFERROR(__xludf.DUMMYFUNCTION("JOIN("""",ArrayFormula(MID(KS279,LEN(KS279)-SEQUENCE(1,LEN(KS279))+1,1)))"),"S")</f>
        <v>S</v>
      </c>
      <c r="LC279" s="373" t="str">
        <f>IFERROR(__xludf.DUMMYFUNCTION("JOIN("""",ArrayFormula(MID(KV279,LEN(KV279)-SEQUENCE(1,LEN(KV279))+1,1)))"),"S")</f>
        <v>S</v>
      </c>
      <c r="LD279" s="373" t="str">
        <f t="shared" si="193"/>
        <v>S</v>
      </c>
      <c r="LE279" s="339" t="str">
        <f t="shared" si="194"/>
        <v>S</v>
      </c>
      <c r="LF279" s="386" t="str">
        <f>IFERROR(__xludf.DUMMYFUNCTION("SUBSTITUTE(SUBSTITUTE(CONCATENATE(JOIN("""",LH279:LT279)),""1"",""""),""2"","""")"),"SS")</f>
        <v>SS</v>
      </c>
      <c r="LG279" s="369" t="str">
        <f t="shared" si="195"/>
        <v>-</v>
      </c>
      <c r="LH279" s="387" t="str">
        <f>IFERROR(__xludf.DUMMYFUNCTION("IF(REGEXMATCH(LD279, ""S""), ""S"",IF(REGEXMATCH(LE279, ""S""), ""S"",""""))"),"S")</f>
        <v>S</v>
      </c>
      <c r="LI279" s="299" t="str">
        <f>IFERROR(__xludf.DUMMYFUNCTION("IF(REGEXMATCH(LD279, ""r""), ""r1"",IF(REGEXMATCH(LE279, ""r""), ""r2"",""""))"),"")</f>
        <v/>
      </c>
      <c r="LJ279" s="299" t="str">
        <f>IFERROR(__xludf.DUMMYFUNCTION("IF(REGEXMATCH(LD279, ""R""), ""R1"",IF(REGEXMATCH(LE279, ""R""), ""R2"",""""))"),"")</f>
        <v/>
      </c>
      <c r="LK279" s="299" t="str">
        <f>IFERROR(__xludf.DUMMYFUNCTION("IF(REGEXMATCH(LD279, ""g""), ""g1"",IF(REGEXMATCH(LE279, ""g""), ""g2"",""""))"),"")</f>
        <v/>
      </c>
      <c r="LL279" s="299" t="str">
        <f>IFERROR(__xludf.DUMMYFUNCTION("IF(REGEXMATCH(LD279, ""G""), ""G1"",IF(REGEXMATCH(LE279, ""G""), ""G2"",""""))"),"")</f>
        <v/>
      </c>
      <c r="LM279" s="299" t="str">
        <f>IFERROR(__xludf.DUMMYFUNCTION("IF(REGEXMATCH(LD279, ""m""), ""m1"",IF(REGEXMATCH(LE279, ""m""), ""m2"",""""))"),"")</f>
        <v/>
      </c>
      <c r="LN279" s="299" t="str">
        <f>IFERROR(__xludf.DUMMYFUNCTION("IF(REGEXMATCH(LD279, ""M""), ""M1"",IF(REGEXMATCH(LE279, ""M""), ""M2"",""""))"),"")</f>
        <v/>
      </c>
      <c r="LO279" s="299" t="str">
        <f>IFERROR(__xludf.DUMMYFUNCTION("IF(REGEXMATCH(LD279, ""P""), ""P1"",IF(REGEXMATCH(LE279, ""P""), ""P2"",""""))"),"")</f>
        <v/>
      </c>
      <c r="LP279" s="299" t="str">
        <f>IFERROR(__xludf.DUMMYFUNCTION("IF(REGEXMATCH(LD279, ""d""), ""d1"",IF(REGEXMATCH(LE279, ""d""), ""d2"",""""))"),"")</f>
        <v/>
      </c>
      <c r="LQ279" s="299" t="str">
        <f>IFERROR(__xludf.DUMMYFUNCTION("IF(REGEXMATCH(LD279, ""D""), ""D1"",IF(REGEXMATCH(LE279, ""D""), ""D2"",""""))"),"")</f>
        <v/>
      </c>
      <c r="LR279" s="299" t="str">
        <f>IFERROR(__xludf.DUMMYFUNCTION("IF(REGEXMATCH(LD279, ""n""), ""n1"",IF(REGEXMATCH(LE279, ""n""), ""n2"",""""))"),"")</f>
        <v/>
      </c>
      <c r="LS279" s="299" t="str">
        <f>IFERROR(__xludf.DUMMYFUNCTION("IF(REGEXMATCH(LD279, ""N""), ""N1"",IF(REGEXMATCH(LE279, ""N""), ""N2"",""""))"),"")</f>
        <v/>
      </c>
      <c r="LT279" s="388" t="str">
        <f>IFERROR(__xludf.DUMMYFUNCTION("IF(REGEXMATCH(LD279, ""S""), ""S"",IF(REGEXMATCH(LE279, ""S""), ""S"",""""))"),"S")</f>
        <v>S</v>
      </c>
      <c r="LU279" s="389">
        <f t="shared" si="196"/>
        <v>1</v>
      </c>
      <c r="LV279" s="378"/>
      <c r="LW279" s="369"/>
      <c r="LX279" s="369"/>
    </row>
    <row r="280" ht="18.0" customHeight="1">
      <c r="A280" s="298" t="s">
        <v>1077</v>
      </c>
      <c r="B280" s="222" t="s">
        <v>612</v>
      </c>
      <c r="C280" s="233" t="str">
        <f t="shared" si="7"/>
        <v>SRgGmPDnS</v>
      </c>
      <c r="D280" s="234" t="str">
        <f>IFERROR(__xludf.DUMMYFUNCTION("IF(REGEXMATCH(C280, ""S""), ""S"","""")"),"S")</f>
        <v>S</v>
      </c>
      <c r="E280" s="236" t="str">
        <f>IFERROR(__xludf.DUMMYFUNCTION("IF(REGEXMATCH(C280, ""r""), ""r"","""")"),"")</f>
        <v/>
      </c>
      <c r="F280" s="237" t="str">
        <f>IFERROR(__xludf.DUMMYFUNCTION("IF(REGEXMATCH(C280, ""R""), ""R"","""")"),"R")</f>
        <v>R</v>
      </c>
      <c r="G280" s="237" t="str">
        <f>IFERROR(__xludf.DUMMYFUNCTION("IF(REGEXMATCH(C280, ""g""), ""g"","""")"),"g")</f>
        <v>g</v>
      </c>
      <c r="H280" s="236" t="str">
        <f>IFERROR(__xludf.DUMMYFUNCTION("IF(REGEXMATCH(C280, ""G""), ""G"","""")"),"G")</f>
        <v>G</v>
      </c>
      <c r="I280" s="236" t="str">
        <f>IFERROR(__xludf.DUMMYFUNCTION("IF(REGEXMATCH(C280, ""m""), ""m"","""")"),"m")</f>
        <v>m</v>
      </c>
      <c r="J280" s="237" t="str">
        <f>IFERROR(__xludf.DUMMYFUNCTION("IF(REGEXMATCH(C280, ""M""), ""M"","""")"),"")</f>
        <v/>
      </c>
      <c r="K280" s="236" t="str">
        <f>IFERROR(__xludf.DUMMYFUNCTION("IF(REGEXMATCH(C280, ""P""), ""P"","""")"),"P")</f>
        <v>P</v>
      </c>
      <c r="L280" s="237" t="str">
        <f>IFERROR(__xludf.DUMMYFUNCTION("IF(REGEXMATCH(C280, ""d""), ""d"","""")"),"")</f>
        <v/>
      </c>
      <c r="M280" s="236" t="str">
        <f>IFERROR(__xludf.DUMMYFUNCTION("IF(REGEXMATCH(C280, ""D""), ""D"","""")"),"D")</f>
        <v>D</v>
      </c>
      <c r="N280" s="236" t="str">
        <f>IFERROR(__xludf.DUMMYFUNCTION("IF(REGEXMATCH(C280, ""n""), ""n"","""")"),"n")</f>
        <v>n</v>
      </c>
      <c r="O280" s="237" t="str">
        <f>IFERROR(__xludf.DUMMYFUNCTION("IF(REGEXMATCH(C280, ""N""), ""N"","""")"),"")</f>
        <v/>
      </c>
      <c r="P280" s="238" t="str">
        <f>IFERROR(__xludf.DUMMYFUNCTION("IF(REGEXMATCH(C280, ""S""), ""S"","""")"),"S")</f>
        <v>S</v>
      </c>
      <c r="Q280" s="239" t="str">
        <f>IFERROR(__xludf.DUMMYFUNCTION("SUBSTITUTE(CONCATENATE(JOIN(""-"",D280:J280)),""-"","""")"),"SRgGm")</f>
        <v>SRgGm</v>
      </c>
      <c r="R280" s="229" t="str">
        <f>IFERROR(__xludf.DUMMYFUNCTION("SUBSTITUTE(CONCATENATE(JOIN(""-"",K280:P280)),""-"","""")"),"PDnS")</f>
        <v>PDnS</v>
      </c>
      <c r="S280" s="282" t="str">
        <f t="shared" si="8"/>
        <v>S-R-G-M</v>
      </c>
      <c r="T280" s="282" t="str">
        <f t="shared" si="9"/>
        <v>P-D-N-S</v>
      </c>
      <c r="U280" s="237" t="str">
        <f>IFERROR(__xludf.DUMMYFUNCTION("SUBSTITUTE(JOIN(""-"",S280,T280),""--"",""-"")"),"S-R-G-M-P-D-N-S")</f>
        <v>S-R-G-M-P-D-N-S</v>
      </c>
      <c r="V280" s="309" t="str">
        <f t="shared" si="10"/>
        <v>RgGmDn</v>
      </c>
      <c r="W280" s="244" t="str">
        <f>IFERROR(__xludf.DUMMYFUNCTION("IF(REGEXMATCH(C280, ""S""), ""0"","""")"),"0")</f>
        <v>0</v>
      </c>
      <c r="X280" s="245" t="str">
        <f>IFERROR(__xludf.DUMMYFUNCTION("IF(REGEXMATCH(C280, ""r""), ""1"","""")"),"")</f>
        <v/>
      </c>
      <c r="Y280" s="246" t="str">
        <f>IFERROR(__xludf.DUMMYFUNCTION("IF(REGEXMATCH(C280, ""R""), ""2"","""")"),"2")</f>
        <v>2</v>
      </c>
      <c r="Z280" s="246" t="str">
        <f>IFERROR(__xludf.DUMMYFUNCTION("IF(REGEXMATCH(C280, ""g""), ""3"","""")"),"3")</f>
        <v>3</v>
      </c>
      <c r="AA280" s="245" t="str">
        <f>IFERROR(__xludf.DUMMYFUNCTION("IF(REGEXMATCH(C280, ""G""), ""4"","""")"),"4")</f>
        <v>4</v>
      </c>
      <c r="AB280" s="245" t="str">
        <f>IFERROR(__xludf.DUMMYFUNCTION("IF(REGEXMATCH(C280, ""m""), ""5"","""")"),"5")</f>
        <v>5</v>
      </c>
      <c r="AC280" s="246" t="str">
        <f>IFERROR(__xludf.DUMMYFUNCTION("IF(REGEXMATCH(C280, ""M""), ""6"","""")"),"")</f>
        <v/>
      </c>
      <c r="AD280" s="245" t="str">
        <f>IFERROR(__xludf.DUMMYFUNCTION("IF(REGEXMATCH(C280, ""P""), ""7"","""")"),"7")</f>
        <v>7</v>
      </c>
      <c r="AE280" s="246" t="str">
        <f>IFERROR(__xludf.DUMMYFUNCTION("IF(REGEXMATCH(C280, ""d""), ""8"","""")"),"")</f>
        <v/>
      </c>
      <c r="AF280" s="245" t="str">
        <f>IFERROR(__xludf.DUMMYFUNCTION("IF(REGEXMATCH(C280, ""D""), ""9"","""")"),"9")</f>
        <v>9</v>
      </c>
      <c r="AG280" s="245" t="str">
        <f>IFERROR(__xludf.DUMMYFUNCTION("IF(REGEXMATCH(C280, ""n""), ""10"","""")"),"10")</f>
        <v>10</v>
      </c>
      <c r="AH280" s="246" t="str">
        <f>IFERROR(__xludf.DUMMYFUNCTION("IF(REGEXMATCH(C280, ""N""), ""11"","""")"),"")</f>
        <v/>
      </c>
      <c r="AI280" s="249" t="str">
        <f>IFERROR(__xludf.DUMMYFUNCTION("IF(REGEXMATCH(C280, ""S""), ""0"","""")"),"0")</f>
        <v>0</v>
      </c>
      <c r="AJ280" s="313" t="str">
        <f t="shared" si="11"/>
        <v>-</v>
      </c>
      <c r="AK280" s="313" t="str">
        <f t="shared" si="12"/>
        <v>-</v>
      </c>
      <c r="AL280" s="313" t="str">
        <f t="shared" si="13"/>
        <v>-</v>
      </c>
      <c r="AM280" s="313" t="str">
        <f t="shared" si="14"/>
        <v>T</v>
      </c>
      <c r="AN280" s="313" t="str">
        <f t="shared" si="15"/>
        <v>T</v>
      </c>
      <c r="AO280" s="314" t="str">
        <f t="shared" si="16"/>
        <v>-</v>
      </c>
      <c r="AP280" s="316">
        <f t="shared" si="17"/>
        <v>2</v>
      </c>
      <c r="AQ280" s="319" t="str">
        <f t="shared" si="18"/>
        <v>-</v>
      </c>
      <c r="AR280" s="320">
        <f t="shared" si="19"/>
        <v>0</v>
      </c>
      <c r="AS280" s="250" t="str">
        <f>IFERROR(__xludf.DUMMYFUNCTION("SUBSTITUTE(SUBSTITUTE(CONCATENATE(JOIN("""",FP280:GA280)),""|"",""x""),""-"",""o"")"),"xoxxxxoxoxxo")</f>
        <v>xoxxxxoxoxxo</v>
      </c>
      <c r="AT280" s="323" t="str">
        <f>IFERROR(__xludf.DUMMYFUNCTION("JOIN("""",AS280,AS280)"),"xoxxxxoxoxxoxoxxxxoxoxxo")</f>
        <v>xoxxxxoxoxxoxoxxxxoxoxxo</v>
      </c>
      <c r="AU280" s="256" t="str">
        <f>IFERROR(__xludf.DUMMYFUNCTION("JOIN("""",ArrayFormula(MID(AS280,LEN(AS280)-SEQUENCE(1,LEN(AS280))+1,1)))"),"oxxoxoxxxxox")</f>
        <v>oxxoxoxxxxox</v>
      </c>
      <c r="AV280" s="256" t="str">
        <f>IFERROR(__xludf.DUMMYFUNCTION("LEFT(CONCATENATE(""x"",JOIN("""",ArrayFormula(MID(AS280,LEN(AS280)-SEQUENCE(1,LEN(AS280))+1,1)))),12)"),"xoxxoxoxxxxo")</f>
        <v>xoxxoxoxxxxo</v>
      </c>
      <c r="AW280" s="327" t="str">
        <f>IFERROR(__xludf.DUMMYFUNCTION("JOIN("""",AU280,AU280)"),"oxxoxoxxxxoxoxxoxoxxxxox")</f>
        <v>oxxoxoxxxxoxoxxoxoxxxxox</v>
      </c>
      <c r="AX280" s="239" t="str">
        <f>IFERROR(__xludf.DUMMYFUNCTION("IF(REGEXMATCH(AW280,AS280),""✔"",""-"")"),"✔")</f>
        <v>✔</v>
      </c>
      <c r="AY280" s="330" t="str">
        <f t="shared" si="20"/>
        <v>-</v>
      </c>
      <c r="AZ280" s="260" t="str">
        <f t="shared" si="21"/>
        <v>#REF!</v>
      </c>
      <c r="BA280" s="333" t="str">
        <f t="shared" si="22"/>
        <v>xoxxxxo</v>
      </c>
      <c r="BB280" s="334" t="str">
        <f t="shared" si="23"/>
        <v>xoxxox</v>
      </c>
      <c r="BC280" s="335" t="str">
        <f t="shared" si="236"/>
        <v>-</v>
      </c>
      <c r="BD280" s="336" t="str">
        <f t="shared" si="25"/>
        <v>Rageshri Kanada: 'xoxxxxo' + 'xoxxox'</v>
      </c>
      <c r="BE280" s="337">
        <f>IFERROR(__xludf.DUMMYFUNCTION("COUNTUNIQUE(FILTER(AT:AT,REGEXMATCH(AT:AT,AS280)))-1"),3.0)</f>
        <v>3</v>
      </c>
      <c r="BF280" s="261" t="str">
        <f>IFERROR(__xludf.DUMMYFUNCTION("IF(BI280=0,""(n/a)"",IF(BJ280=2,""(PAIR)"",IF(REGEXMATCH(AT280,""xoxoxxoxoxox""),""Bilawal"",IF(REGEXMATCH(AT280,""xoxoxooxoxoo""),""Bhupali"",IF(REGEXMATCH(AT280,""xoxoxxoxxoxo""),""Charukeshi"",IF(REGEXMATCH(AT280,""xoxoooxxoxxo""),""Kameshwari"",IF(REG"&amp;"EXMATCH(AT280,""xoxoxooxoxox""),""Shankara"",IF(REGEXMATCH(AT280,""xxooxoxxxoox""),""Basant"",IF(REGEXMATCH(AT280,""xoxoxxxxoxox""),""Bihag"",IF(REGEXMATCH(AT280,""xoxxxxoxoxxx""),""Pilu"",IF(REGEXMATCH(AT280,""xoxxoxoxxoox""),""Kirwani"",IF(REGEXMATCH(AT"&amp;"280,""xoxxoxoxoxxx""),""Mk.Malhar"",IF(REGEXMATCH(AT280,""xxooxxoxxoox""),""Bhairav"",IF(REGEXMATCH(AT280,""xxoxooxxxoox""),""Todi"",IF(REGEXMATCH(AT280,""xxooxoxooxox""),""Marwa"",IF(REGEXMATCH(AT280,""xxoooxoxxooo""),""Gunkali"",IF(REGEXMATCH(AT280,""xo"&amp;"xoxxoxxoox""),""Nat Bhairav"",IF(REGEXMATCH(AT280,""xoxxoooxoxoo""),""Shivranjani"",IF(REGEXMATCH(AT280,""xooxxxoxooxo""),""Jog"",IF(REGEXMATCH(AT280,""xxooxoxoxoox""),""Hemshri"",IF(REGEXMATCH(AT280,""xoooxooxoxxo""),""Kalavati"",IF(REGEXMATCH(AT280,""xx"&amp;"oxoxxoxoox""),""Kedar"",IF(REGEXMATCH(AT280,""xoxxxxoxooxx""),""Gara"",IF(REGEXMATCH(AT280,""xooxoxooxoox""),""Chandrakauns"",IF(REGEXMATCH(AT280,""xoxxxxoxxxox""),""Mand"",IF(REGEXMATCH(AT280,""xoxxxxoxoxox""),""Hanskinkini"",IF(REGEXMATCH(AT280,""xxooxx"&amp;"oxooxo""),""Lilavati"",IF(REGEXMATCH(AT280,""xooxoxoooxox""),""Rajeshwari"",IF(REGEXMATCH(AT280,""xoooxxoxoxxx""),""Khokar"",IF(REGEXMATCH(AT280,""xxooxoxxxxox""),""Maligoura"",""-""))))))))))))))))))))))))))))))"),"Bihag")</f>
        <v>Bihag</v>
      </c>
      <c r="BG280" s="239" t="str">
        <f t="shared" si="26"/>
        <v>#REF!</v>
      </c>
      <c r="BH280" s="239">
        <f>IFERROR(__xludf.DUMMYFUNCTION("COUNTUNIQUE(FE280:FO280)-1"),7.0)</f>
        <v>7</v>
      </c>
      <c r="BI280" s="239">
        <f>IFERROR(__xludf.DUMMYFUNCTION("COUNTUNIQUE(FILTER(AT:AT,REGEXMATCH(AT:AT,AS280)))-1"),3.0)</f>
        <v>3</v>
      </c>
      <c r="BJ280" s="239">
        <f>IFERROR(__xludf.DUMMYFUNCTION("COUNTA(FILTER(AT:AT,REGEXMATCH(AT:AT,AS280)))"),36.0)</f>
        <v>36</v>
      </c>
      <c r="BK280" s="341">
        <f>IFERROR(__xludf.DUMMYFUNCTION("COUNTA(FILTER(AT:AT,REGEXMATCH(AT:AT,AS280)))-AR280"),36.0)</f>
        <v>36</v>
      </c>
      <c r="BL280" s="276" t="str">
        <f>IFERROR(__xludf.DUMMYFUNCTION("IF(AS280=""oooooooooooo"",""-"",IF(REGEXMATCH(AT280,""xx""), ""Hemi."", ""Anhemi.""))"),"Hemi.")</f>
        <v>Hemi.</v>
      </c>
      <c r="BM280" s="282" t="str">
        <f>IFERROR(__xludf.DUMMYFUNCTION("IF(AS280=""oooooooooooo"",""-"",IF(REGEXMATCH(AT280,""xxx""), ""Cohem."", ""-""))"),"Cohem.")</f>
        <v>Cohem.</v>
      </c>
      <c r="BN280" s="282" t="str">
        <f>IFERROR(__xludf.DUMMYFUNCTION("IF(AS280=""oooooooooooo"",""-"",IF(REGEXMATCH(AT280,""xxxx""), ""Co-Co."", ""-""))"),"Co-Co.")</f>
        <v>Co-Co.</v>
      </c>
      <c r="BO280" s="342" t="str">
        <f>IFERROR(__xludf.DUMMYFUNCTION("IF(AS280=""oooooooooooo"",""-"",IF(REGEXMATCH(AT280,""xxxxx""), ""CCC."", ""-""))"),"-")</f>
        <v>-</v>
      </c>
      <c r="BP280" s="344" t="str">
        <f t="shared" si="27"/>
        <v>-</v>
      </c>
      <c r="BQ280" s="282" t="str">
        <f>IFERROR(__xludf.DUMMYFUNCTION("IF(REGEXMATCH(JOIN(""-"",EU280:FD280),""TRUE""),""✔"",""-"")"),"-")</f>
        <v>-</v>
      </c>
      <c r="BR280" s="225">
        <f t="shared" si="28"/>
        <v>0</v>
      </c>
      <c r="BS280" s="345" t="str">
        <f>IFERROR(__xludf.DUMMYFUNCTION("SUBSTITUTE(SUBSTITUTE(SUBSTITUTE(SUBSTITUTE(CONCATENATE(JOIN(""-"",GC280:GO280)),""--"",""-""),""--"",""-""),""--"",""-""),""--"",""-"")"),"1-2-b3-3-4-5-6-b7-8")</f>
        <v>1-2-b3-3-4-5-6-b7-8</v>
      </c>
      <c r="BT280" s="299" t="str">
        <f>IFERROR(__xludf.DUMMYFUNCTION("SUBSTITUTE(SUBSTITUTE(SUBSTITUTE(SUBSTITUTE(CONCATENATE(JOIN(""-"",GP280:HB280)),""--"",""-""),""--"",""-""),""--"",""-""),""--"",""-"")"),"S-R2-G2-G3-M1-P-D2-N2-S")</f>
        <v>S-R2-G2-G3-M1-P-D2-N2-S</v>
      </c>
      <c r="BU280" s="348" t="str">
        <f t="shared" si="29"/>
        <v>C-D-Eb-E-F-G-A-Bb-C</v>
      </c>
      <c r="BV280" s="349" t="str">
        <f t="shared" si="30"/>
        <v>SrMdNS</v>
      </c>
      <c r="BW280" s="350">
        <f t="shared" si="31"/>
        <v>0</v>
      </c>
      <c r="BX280" s="351">
        <f t="shared" si="32"/>
        <v>5</v>
      </c>
      <c r="BY280" s="392"/>
      <c r="BZ280" s="309" t="str">
        <f>IFERROR(__xludf.DUMMYFUNCTION("IF(REGEXMATCH(C280, ""S""), ""x"",""x"")"),"x")</f>
        <v>x</v>
      </c>
      <c r="CA280" s="245" t="str">
        <f>IFERROR(__xludf.DUMMYFUNCTION("IF(REGEXMATCH(C280, ""r""), ""o"",""x"")"),"x")</f>
        <v>x</v>
      </c>
      <c r="CB280" s="246" t="str">
        <f>IFERROR(__xludf.DUMMYFUNCTION("IF(REGEXMATCH(C280, ""R""), ""o"",""x"")"),"o")</f>
        <v>o</v>
      </c>
      <c r="CC280" s="246" t="str">
        <f>IFERROR(__xludf.DUMMYFUNCTION("IF(REGEXMATCH(C280, ""g""), ""o"",""x"")"),"o")</f>
        <v>o</v>
      </c>
      <c r="CD280" s="245" t="str">
        <f>IFERROR(__xludf.DUMMYFUNCTION("IF(REGEXMATCH(C280, ""G""), ""o"",""x"")"),"o")</f>
        <v>o</v>
      </c>
      <c r="CE280" s="245" t="str">
        <f>IFERROR(__xludf.DUMMYFUNCTION("IF(REGEXMATCH(C280, ""m""), ""o"",""x"")"),"o")</f>
        <v>o</v>
      </c>
      <c r="CF280" s="246" t="str">
        <f>IFERROR(__xludf.DUMMYFUNCTION("IF(REGEXMATCH(C280, ""M""), ""o"",""x"")"),"x")</f>
        <v>x</v>
      </c>
      <c r="CG280" s="245" t="str">
        <f>IFERROR(__xludf.DUMMYFUNCTION("IF(REGEXMATCH(C280, ""P""), ""o"",""x"")"),"o")</f>
        <v>o</v>
      </c>
      <c r="CH280" s="246" t="str">
        <f>IFERROR(__xludf.DUMMYFUNCTION("IF(REGEXMATCH(C280, ""d""), ""o"",""x"")"),"x")</f>
        <v>x</v>
      </c>
      <c r="CI280" s="245" t="str">
        <f>IFERROR(__xludf.DUMMYFUNCTION("IF(REGEXMATCH(C280, ""D""), ""o"",""x"")"),"o")</f>
        <v>o</v>
      </c>
      <c r="CJ280" s="245" t="str">
        <f>IFERROR(__xludf.DUMMYFUNCTION("IF(REGEXMATCH(C280, ""n""), ""o"",""x"")"),"o")</f>
        <v>o</v>
      </c>
      <c r="CK280" s="245" t="str">
        <f>IFERROR(__xludf.DUMMYFUNCTION("IF(REGEXMATCH(C280, ""N""), ""o"",""x"")"),"x")</f>
        <v>x</v>
      </c>
      <c r="CL280" s="356" t="str">
        <f>IFERROR(__xludf.DUMMYFUNCTION("IF(REGEXMATCH(C280, ""S""), ""x"",""x"")"),"x")</f>
        <v>x</v>
      </c>
      <c r="CM280" s="357" t="str">
        <f t="shared" si="33"/>
        <v>xxooooxoxoox</v>
      </c>
      <c r="CN280" s="358">
        <f t="shared" si="34"/>
        <v>0</v>
      </c>
      <c r="CO280" s="246" t="str">
        <f>IFERROR(__xludf.DUMMYFUNCTION("IF(REGEXMATCH($C280, ""S""), ""S"",""S"")"),"S")</f>
        <v>S</v>
      </c>
      <c r="CP280" s="246" t="str">
        <f>IFERROR(__xludf.DUMMYFUNCTION("IF(REGEXMATCH($C280, ""r""), """",""r"")"),"r")</f>
        <v>r</v>
      </c>
      <c r="CQ280" s="246" t="str">
        <f>IFERROR(__xludf.DUMMYFUNCTION("IF(REGEXMATCH($C280, ""R""), """",""R"")"),"")</f>
        <v/>
      </c>
      <c r="CR280" s="246" t="str">
        <f>IFERROR(__xludf.DUMMYFUNCTION("IF(REGEXMATCH($C280, ""g""), """",""g"")"),"")</f>
        <v/>
      </c>
      <c r="CS280" s="246" t="str">
        <f>IFERROR(__xludf.DUMMYFUNCTION("IF(REGEXMATCH($C280, ""G""), """",""G"")"),"")</f>
        <v/>
      </c>
      <c r="CT280" s="246" t="str">
        <f>IFERROR(__xludf.DUMMYFUNCTION("IF(REGEXMATCH($C280, ""m""), """",""m"")"),"")</f>
        <v/>
      </c>
      <c r="CU280" s="246" t="str">
        <f>IFERROR(__xludf.DUMMYFUNCTION("IF(REGEXMATCH($C280, ""M""), """",""M"")"),"M")</f>
        <v>M</v>
      </c>
      <c r="CV280" s="246" t="str">
        <f>IFERROR(__xludf.DUMMYFUNCTION("IF(REGEXMATCH($C280, ""P""), """",""P"")"),"")</f>
        <v/>
      </c>
      <c r="CW280" s="246" t="str">
        <f>IFERROR(__xludf.DUMMYFUNCTION("IF(REGEXMATCH($C280, ""d""), """",""d"")"),"d")</f>
        <v>d</v>
      </c>
      <c r="CX280" s="246" t="str">
        <f>IFERROR(__xludf.DUMMYFUNCTION("IF(REGEXMATCH($C280, ""D""), """",""D"")"),"")</f>
        <v/>
      </c>
      <c r="CY280" s="246" t="str">
        <f>IFERROR(__xludf.DUMMYFUNCTION("IF(REGEXMATCH($C280, ""n""), """",""n"")"),"")</f>
        <v/>
      </c>
      <c r="CZ280" s="246" t="str">
        <f>IFERROR(__xludf.DUMMYFUNCTION("IF(REGEXMATCH($C280, ""N""), """",""N"")"),"N")</f>
        <v>N</v>
      </c>
      <c r="DA280" s="246" t="str">
        <f>IFERROR(__xludf.DUMMYFUNCTION("IF(REGEXMATCH($C280, ""S""), ""S"",""S"")"),"S")</f>
        <v>S</v>
      </c>
      <c r="DB280" s="362" t="str">
        <f>IFERROR(__xludf.DUMMYFUNCTION("JOIN("""",CO280:DA280,"""","""")"),"SrMdNS")</f>
        <v>SrMdNS</v>
      </c>
      <c r="DC280" s="363"/>
      <c r="DD280" s="301" t="str">
        <f t="shared" si="35"/>
        <v>#REF!</v>
      </c>
      <c r="DE280" s="302" t="str">
        <f t="shared" si="36"/>
        <v>#REF!</v>
      </c>
      <c r="DF280" s="301" t="str">
        <f t="shared" ref="DF280:DG280" si="784">SUBSTITUTE(S280,"-","")</f>
        <v>SRGM</v>
      </c>
      <c r="DG280" s="301" t="str">
        <f t="shared" si="784"/>
        <v>PDNS</v>
      </c>
      <c r="DH280" s="302" t="str">
        <f t="shared" si="38"/>
        <v>Bihag</v>
      </c>
      <c r="DI280" s="301" t="str">
        <f t="shared" si="39"/>
        <v>Hemi.</v>
      </c>
      <c r="DJ280" s="364" t="str">
        <f t="shared" si="40"/>
        <v>Co-Co.</v>
      </c>
      <c r="DK280" s="306" t="str">
        <f t="shared" si="41"/>
        <v>-</v>
      </c>
      <c r="DL280" s="366" t="str">
        <f t="shared" si="42"/>
        <v>-</v>
      </c>
      <c r="DM280" s="308" t="str">
        <f t="shared" si="43"/>
        <v>✔</v>
      </c>
      <c r="DN280" s="306" t="str">
        <f t="shared" si="44"/>
        <v>-</v>
      </c>
      <c r="DO280" s="306" t="str">
        <f t="shared" si="45"/>
        <v>-</v>
      </c>
      <c r="DP280" s="367" t="str">
        <f t="shared" si="46"/>
        <v>-</v>
      </c>
      <c r="DQ280" s="310" t="str">
        <f t="shared" si="47"/>
        <v>-</v>
      </c>
      <c r="DR280" s="310" t="str">
        <f t="shared" si="48"/>
        <v>✔</v>
      </c>
      <c r="DS280" s="310" t="str">
        <f t="shared" si="49"/>
        <v>-</v>
      </c>
      <c r="DT280" s="310" t="str">
        <f t="shared" si="50"/>
        <v>-</v>
      </c>
      <c r="DU280" s="370" t="str">
        <f t="shared" si="51"/>
        <v>-</v>
      </c>
      <c r="DV280" s="306" t="str">
        <f t="shared" si="52"/>
        <v>-</v>
      </c>
      <c r="DW280" s="306" t="str">
        <f t="shared" si="53"/>
        <v>-</v>
      </c>
      <c r="DX280" s="306" t="str">
        <f t="shared" si="54"/>
        <v>-</v>
      </c>
      <c r="DY280" s="306" t="str">
        <f t="shared" si="55"/>
        <v>-</v>
      </c>
      <c r="DZ280" s="306" t="str">
        <f t="shared" si="56"/>
        <v>-</v>
      </c>
      <c r="EA280" s="367" t="str">
        <f t="shared" si="57"/>
        <v>-</v>
      </c>
      <c r="EB280" s="310" t="str">
        <f>IFERROR(__xludf.DUMMYFUNCTION("IF(REGEXMATCH(AW280,AS280),""✔"",""-"")"),"✔")</f>
        <v>✔</v>
      </c>
      <c r="EC280" s="310" t="str">
        <f t="shared" si="58"/>
        <v>#REF!</v>
      </c>
      <c r="ED280" s="370" t="str">
        <f t="shared" si="59"/>
        <v>-</v>
      </c>
      <c r="EE280" s="340" t="str">
        <f t="shared" si="60"/>
        <v>S-R-gG-m-P-D-n-S</v>
      </c>
      <c r="EF280" s="371" t="str">
        <f>IFERROR(__xludf.DUMMYFUNCTION("CONCATENATE(JOIN("""",HC280:HO280))"),"SRgmPdDnS")</f>
        <v>SRgmPdDnS</v>
      </c>
      <c r="EG280" s="372">
        <f t="shared" si="61"/>
        <v>1</v>
      </c>
      <c r="EH280" s="373" t="str">
        <f>IFERROR(__xludf.DUMMYFUNCTION("CONCATENATE(JOIN("""",JC280:JO280))"),"Ga, ")</f>
        <v>Ga, </v>
      </c>
      <c r="EI280" s="322">
        <f t="shared" si="62"/>
        <v>0</v>
      </c>
      <c r="EJ280" s="374" t="str">
        <f>IFERROR(__xludf.DUMMYFUNCTION("CONCATENATE(JOIN("""",KC280:KO280))"),"")</f>
        <v/>
      </c>
      <c r="EK280" s="325" t="str">
        <f t="shared" si="63"/>
        <v>S-R2-G2-G3-M1-P-D2-N2-S</v>
      </c>
      <c r="EL280" s="326" t="str">
        <f t="shared" si="64"/>
        <v>1-2-b3-3-4-5-6-b7-8</v>
      </c>
      <c r="EM280" s="318" t="str">
        <f t="shared" si="65"/>
        <v>#REF!</v>
      </c>
      <c r="EN280" s="328" t="str">
        <f>IFERROR(__xludf.DUMMYFUNCTION("SUBSTITUTE(SUBSTITUTE(SUBSTITUTE(SUBSTITUTE(CONCATENATE(JOIN("" "",HP280:IB280)),""  "","" ""),""  "","" ""),""  "","" ""),""  "","" "")"),"o • o o o o • o • o o • o")</f>
        <v>o • o o o o • o • o o • o</v>
      </c>
      <c r="EO280" s="368" t="str">
        <f t="shared" si="66"/>
        <v>-</v>
      </c>
      <c r="EP280" s="339" t="str">
        <f t="shared" si="67"/>
        <v>-</v>
      </c>
      <c r="EQ280" s="339" t="str">
        <f t="shared" si="68"/>
        <v>Sa-Pa</v>
      </c>
      <c r="ER280" s="339" t="str">
        <f t="shared" si="69"/>
        <v>-</v>
      </c>
      <c r="ES280" s="340" t="str">
        <f t="shared" si="70"/>
        <v>-</v>
      </c>
      <c r="ET280" s="363"/>
      <c r="EU280" s="376" t="b">
        <f>IFERROR(__xludf.DUMMYFUNCTION("arrayformula(sum(--REGEXMATCH(""SRGMPDNS"",split(REGEXREPLACE(C280,""(.)"",""$1~""),""~""))))=len(C280)
"),FALSE)</f>
        <v>0</v>
      </c>
      <c r="EV280" s="290" t="b">
        <f>IFERROR(__xludf.DUMMYFUNCTION("arrayformula(sum(--REGEXMATCH(""SRGmPDNS"",split(REGEXREPLACE(C280,""(.)"",""$1~""),""~""))))=len(C280)"),FALSE)</f>
        <v>0</v>
      </c>
      <c r="EW280" s="290" t="b">
        <f>IFERROR(__xludf.DUMMYFUNCTION("arrayformula(sum(--REGEXMATCH(""SRGmPDnS"",split(REGEXREPLACE(C280,""(.)"",""$1~""),""~""))))=len(C280)"),FALSE)</f>
        <v>0</v>
      </c>
      <c r="EX280" s="290" t="b">
        <f>IFERROR(__xludf.DUMMYFUNCTION("arrayformula(sum(--REGEXMATCH(""SRgmPDnS"",split(REGEXREPLACE(C280,""(.)"",""$1~""),""~""))))=len(C280)"),FALSE)</f>
        <v>0</v>
      </c>
      <c r="EY280" s="290" t="b">
        <f>IFERROR(__xludf.DUMMYFUNCTION("arrayformula(sum(--REGEXMATCH(""SRgmPdnS"",split(REGEXREPLACE(C280,""(.)"",""$1~""),""~""))))=len(C280)"),FALSE)</f>
        <v>0</v>
      </c>
      <c r="EZ280" s="290" t="b">
        <f>IFERROR(__xludf.DUMMYFUNCTION("arrayformula(sum(--REGEXMATCH(""SrgmPdnS"",split(REGEXREPLACE(C280,""(.)"",""$1~""),""~""))))=len(C280)"),FALSE)</f>
        <v>0</v>
      </c>
      <c r="FA280" s="290" t="b">
        <f>IFERROR(__xludf.DUMMYFUNCTION("arrayformula(sum(--REGEXMATCH(""SrGmPdNS"",split(REGEXREPLACE(C280,""(.)"",""$1~""),""~""))))=len(C280)"),FALSE)</f>
        <v>0</v>
      </c>
      <c r="FB280" s="290" t="b">
        <f>IFERROR(__xludf.DUMMYFUNCTION("arrayformula(sum(--REGEXMATCH(""SrGMPDNS"",split(REGEXREPLACE(C280,""(.)"",""$1~""),""~""))))=len(C280)"),FALSE)</f>
        <v>0</v>
      </c>
      <c r="FC280" s="290" t="b">
        <f>IFERROR(__xludf.DUMMYFUNCTION("arrayformula(sum(--REGEXMATCH(""SrGMPdNS"",split(REGEXREPLACE(C280,""(.)"",""$1~""),""~""))))=len(C280)"),FALSE)</f>
        <v>0</v>
      </c>
      <c r="FD280" s="377" t="b">
        <f>IFERROR(__xludf.DUMMYFUNCTION("arrayformula(sum(--REGEXMATCH(""SrgMPdNS"",split(REGEXREPLACE(C280,""(.)"",""$1~""),""~""))))=len(C280)"),FALSE)</f>
        <v>0</v>
      </c>
      <c r="FE280" s="269" t="str">
        <f t="shared" si="71"/>
        <v>-</v>
      </c>
      <c r="FF280" s="269" t="str">
        <f t="shared" si="72"/>
        <v>xxxxoxoxxox</v>
      </c>
      <c r="FG280" s="271" t="str">
        <f t="shared" si="73"/>
        <v>xxxoxoxxoxo</v>
      </c>
      <c r="FH280" s="269" t="str">
        <f t="shared" si="74"/>
        <v>xxoxoxxoxox</v>
      </c>
      <c r="FI280" s="271" t="str">
        <f t="shared" si="75"/>
        <v>xoxoxxoxoxx</v>
      </c>
      <c r="FJ280" s="271" t="str">
        <f t="shared" si="76"/>
        <v>-</v>
      </c>
      <c r="FK280" s="271" t="str">
        <f t="shared" si="77"/>
        <v>xoxxoxoxxxx</v>
      </c>
      <c r="FL280" s="271" t="str">
        <f t="shared" si="78"/>
        <v>-</v>
      </c>
      <c r="FM280" s="271" t="str">
        <f t="shared" si="79"/>
        <v>xxoxoxxxxox</v>
      </c>
      <c r="FN280" s="271" t="str">
        <f t="shared" si="80"/>
        <v>xoxoxxxxoxo</v>
      </c>
      <c r="FO280" s="274" t="str">
        <f t="shared" si="81"/>
        <v>-</v>
      </c>
      <c r="FP280" s="234" t="str">
        <f t="shared" si="82"/>
        <v>|</v>
      </c>
      <c r="FQ280" s="236" t="str">
        <f t="shared" si="83"/>
        <v>-</v>
      </c>
      <c r="FR280" s="237" t="str">
        <f t="shared" si="84"/>
        <v>|</v>
      </c>
      <c r="FS280" s="236" t="str">
        <f t="shared" si="85"/>
        <v>|</v>
      </c>
      <c r="FT280" s="237" t="str">
        <f t="shared" si="86"/>
        <v>|</v>
      </c>
      <c r="FU280" s="236" t="str">
        <f t="shared" si="87"/>
        <v>|</v>
      </c>
      <c r="FV280" s="237" t="str">
        <f t="shared" si="88"/>
        <v>-</v>
      </c>
      <c r="FW280" s="236" t="str">
        <f t="shared" si="89"/>
        <v>|</v>
      </c>
      <c r="FX280" s="237" t="str">
        <f t="shared" si="90"/>
        <v>-</v>
      </c>
      <c r="FY280" s="236" t="str">
        <f t="shared" si="91"/>
        <v>|</v>
      </c>
      <c r="FZ280" s="237" t="str">
        <f t="shared" si="92"/>
        <v>|</v>
      </c>
      <c r="GA280" s="236" t="str">
        <f t="shared" si="93"/>
        <v>-</v>
      </c>
      <c r="GB280" s="238" t="str">
        <f t="shared" si="94"/>
        <v>|</v>
      </c>
      <c r="GC280" s="244" t="str">
        <f>IFERROR(__xludf.DUMMYFUNCTION("IF(REGEXMATCH(C280, ""S""), ""1"","""")"),"1")</f>
        <v>1</v>
      </c>
      <c r="GD280" s="245" t="str">
        <f>IFERROR(__xludf.DUMMYFUNCTION("IF(REGEXMATCH(C280, ""r""), ""b2"","""")"),"")</f>
        <v/>
      </c>
      <c r="GE280" s="246" t="str">
        <f>IFERROR(__xludf.DUMMYFUNCTION("IF(REGEXMATCH(C280, ""R""), ""2"","""")"),"2")</f>
        <v>2</v>
      </c>
      <c r="GF280" s="246" t="str">
        <f>IFERROR(__xludf.DUMMYFUNCTION("IF(REGEXMATCH(C280, ""g""), ""b3"","""")"),"b3")</f>
        <v>b3</v>
      </c>
      <c r="GG280" s="245" t="str">
        <f>IFERROR(__xludf.DUMMYFUNCTION("IF(REGEXMATCH(C280, ""G""), ""3"","""")"),"3")</f>
        <v>3</v>
      </c>
      <c r="GH280" s="245" t="str">
        <f>IFERROR(__xludf.DUMMYFUNCTION("IF(REGEXMATCH(C280, ""m""), ""4"","""")"),"4")</f>
        <v>4</v>
      </c>
      <c r="GI280" s="246" t="str">
        <f>IFERROR(__xludf.DUMMYFUNCTION("IF(REGEXMATCH(C280, ""M""), ""#4"","""")"),"")</f>
        <v/>
      </c>
      <c r="GJ280" s="245" t="str">
        <f>IFERROR(__xludf.DUMMYFUNCTION("IF(REGEXMATCH(C280, ""P""), ""5"","""")"),"5")</f>
        <v>5</v>
      </c>
      <c r="GK280" s="246" t="str">
        <f>IFERROR(__xludf.DUMMYFUNCTION("IF(REGEXMATCH(C280, ""d""), ""b6"","""")"),"")</f>
        <v/>
      </c>
      <c r="GL280" s="245" t="str">
        <f>IFERROR(__xludf.DUMMYFUNCTION("IF(REGEXMATCH(C280, ""D""), ""6"","""")"),"6")</f>
        <v>6</v>
      </c>
      <c r="GM280" s="245" t="str">
        <f>IFERROR(__xludf.DUMMYFUNCTION("IF(REGEXMATCH(C280, ""n""), ""b7"","""")"),"b7")</f>
        <v>b7</v>
      </c>
      <c r="GN280" s="246" t="str">
        <f>IFERROR(__xludf.DUMMYFUNCTION("IF(REGEXMATCH(C280, ""N""), ""7"","""")"),"")</f>
        <v/>
      </c>
      <c r="GO280" s="249" t="str">
        <f>IFERROR(__xludf.DUMMYFUNCTION("IF(REGEXMATCH(C280, ""S""), ""8"","""")"),"8")</f>
        <v>8</v>
      </c>
      <c r="GP280" s="244" t="str">
        <f>IFERROR(__xludf.DUMMYFUNCTION("IF(REGEXMATCH(C280, ""S""), ""S"","""")"),"S")</f>
        <v>S</v>
      </c>
      <c r="GQ280" s="294" t="str">
        <f>IFERROR(__xludf.DUMMYFUNCTION("IF(REGEXMATCH(C280, ""r""), ""R1"","""")"),"")</f>
        <v/>
      </c>
      <c r="GR280" s="295" t="str">
        <f>IFERROR(__xludf.DUMMYFUNCTION("IF(REGEXMATCH(C280, ""R""), ""R2"","""")"),"R2")</f>
        <v>R2</v>
      </c>
      <c r="GS280" s="295" t="str">
        <f>IFERROR(__xludf.DUMMYFUNCTION("IF(REGEXMATCH(C280, ""g""), ""G2"","""")"),"G2")</f>
        <v>G2</v>
      </c>
      <c r="GT280" s="294" t="str">
        <f>IFERROR(__xludf.DUMMYFUNCTION("IF(REGEXMATCH(C280, ""G""), ""G3"","""")"),"G3")</f>
        <v>G3</v>
      </c>
      <c r="GU280" s="294" t="str">
        <f>IFERROR(__xludf.DUMMYFUNCTION("IF(REGEXMATCH(C280, ""m""), ""M1"","""")"),"M1")</f>
        <v>M1</v>
      </c>
      <c r="GV280" s="295" t="str">
        <f>IFERROR(__xludf.DUMMYFUNCTION("IF(REGEXMATCH(C280, ""M""), ""M2"","""")"),"")</f>
        <v/>
      </c>
      <c r="GW280" s="294" t="str">
        <f>IFERROR(__xludf.DUMMYFUNCTION("IF(REGEXMATCH(C280, ""P""), ""P"","""")"),"P")</f>
        <v>P</v>
      </c>
      <c r="GX280" s="295" t="str">
        <f>IFERROR(__xludf.DUMMYFUNCTION("IF(REGEXMATCH(C280, ""d""), ""D1"","""")"),"")</f>
        <v/>
      </c>
      <c r="GY280" s="294" t="str">
        <f>IFERROR(__xludf.DUMMYFUNCTION("IF(REGEXMATCH(C280, ""D""), ""D2"","""")"),"D2")</f>
        <v>D2</v>
      </c>
      <c r="GZ280" s="294" t="str">
        <f>IFERROR(__xludf.DUMMYFUNCTION("IF(REGEXMATCH(C280, ""n""), ""N2"","""")"),"N2")</f>
        <v>N2</v>
      </c>
      <c r="HA280" s="295" t="str">
        <f>IFERROR(__xludf.DUMMYFUNCTION("IF(REGEXMATCH(C280, ""N""), ""N3"","""")"),"")</f>
        <v/>
      </c>
      <c r="HB280" s="249" t="str">
        <f>IFERROR(__xludf.DUMMYFUNCTION("IF(REGEXMATCH(C280, ""S""), ""S"","""")"),"S")</f>
        <v>S</v>
      </c>
      <c r="HC280" s="331" t="str">
        <f t="shared" si="95"/>
        <v>S</v>
      </c>
      <c r="HD280" s="332" t="str">
        <f t="shared" si="96"/>
        <v/>
      </c>
      <c r="HE280" s="332" t="str">
        <f t="shared" si="97"/>
        <v>R</v>
      </c>
      <c r="HF280" s="332" t="str">
        <f t="shared" si="98"/>
        <v>g</v>
      </c>
      <c r="HG280" s="332" t="str">
        <f t="shared" si="99"/>
        <v/>
      </c>
      <c r="HH280" s="332" t="str">
        <f t="shared" si="100"/>
        <v>m</v>
      </c>
      <c r="HI280" s="332" t="str">
        <f t="shared" si="101"/>
        <v/>
      </c>
      <c r="HJ280" s="332" t="str">
        <f t="shared" si="102"/>
        <v>P</v>
      </c>
      <c r="HK280" s="332" t="str">
        <f t="shared" si="103"/>
        <v>d</v>
      </c>
      <c r="HL280" s="332" t="str">
        <f t="shared" si="104"/>
        <v>D</v>
      </c>
      <c r="HM280" s="332" t="str">
        <f t="shared" si="105"/>
        <v>n</v>
      </c>
      <c r="HN280" s="332" t="str">
        <f t="shared" si="106"/>
        <v/>
      </c>
      <c r="HO280" s="343" t="str">
        <f t="shared" si="107"/>
        <v>S</v>
      </c>
      <c r="HP280" s="331" t="str">
        <f t="shared" si="108"/>
        <v>o</v>
      </c>
      <c r="HQ280" s="332" t="str">
        <f t="shared" si="109"/>
        <v>•</v>
      </c>
      <c r="HR280" s="332" t="str">
        <f t="shared" si="110"/>
        <v>o</v>
      </c>
      <c r="HS280" s="332" t="str">
        <f t="shared" si="111"/>
        <v>o</v>
      </c>
      <c r="HT280" s="332" t="str">
        <f t="shared" si="112"/>
        <v>o</v>
      </c>
      <c r="HU280" s="332" t="str">
        <f t="shared" si="113"/>
        <v>o</v>
      </c>
      <c r="HV280" s="332" t="str">
        <f t="shared" si="114"/>
        <v>•</v>
      </c>
      <c r="HW280" s="332" t="str">
        <f t="shared" si="115"/>
        <v>o</v>
      </c>
      <c r="HX280" s="332" t="str">
        <f t="shared" si="116"/>
        <v>•</v>
      </c>
      <c r="HY280" s="332" t="str">
        <f t="shared" si="117"/>
        <v>o</v>
      </c>
      <c r="HZ280" s="332" t="str">
        <f t="shared" si="118"/>
        <v>o</v>
      </c>
      <c r="IA280" s="332" t="str">
        <f t="shared" si="119"/>
        <v>•</v>
      </c>
      <c r="IB280" s="338" t="str">
        <f t="shared" si="120"/>
        <v>o</v>
      </c>
      <c r="IC280" s="331" t="str">
        <f t="shared" si="121"/>
        <v>•</v>
      </c>
      <c r="ID280" s="332" t="str">
        <f t="shared" si="122"/>
        <v>o</v>
      </c>
      <c r="IE280" s="332" t="str">
        <f t="shared" si="123"/>
        <v>•</v>
      </c>
      <c r="IF280" s="332" t="str">
        <f t="shared" si="124"/>
        <v>•</v>
      </c>
      <c r="IG280" s="332" t="str">
        <f t="shared" si="125"/>
        <v>•</v>
      </c>
      <c r="IH280" s="332" t="str">
        <f t="shared" si="126"/>
        <v>•</v>
      </c>
      <c r="II280" s="332" t="str">
        <f t="shared" si="127"/>
        <v>o</v>
      </c>
      <c r="IJ280" s="332" t="str">
        <f t="shared" si="128"/>
        <v>•</v>
      </c>
      <c r="IK280" s="332" t="str">
        <f t="shared" si="129"/>
        <v>o</v>
      </c>
      <c r="IL280" s="332" t="str">
        <f t="shared" si="130"/>
        <v>•</v>
      </c>
      <c r="IM280" s="332" t="str">
        <f t="shared" si="131"/>
        <v>•</v>
      </c>
      <c r="IN280" s="332" t="str">
        <f t="shared" si="132"/>
        <v>o</v>
      </c>
      <c r="IO280" s="338" t="str">
        <f t="shared" si="133"/>
        <v>•</v>
      </c>
      <c r="IP280" s="346" t="b">
        <f t="shared" si="134"/>
        <v>0</v>
      </c>
      <c r="IQ280" s="347" t="b">
        <f t="shared" si="135"/>
        <v>0</v>
      </c>
      <c r="IR280" s="347" t="b">
        <f t="shared" si="136"/>
        <v>0</v>
      </c>
      <c r="IS280" s="347" t="b">
        <f t="shared" si="137"/>
        <v>0</v>
      </c>
      <c r="IT280" s="347" t="b">
        <f t="shared" si="138"/>
        <v>1</v>
      </c>
      <c r="IU280" s="347" t="b">
        <f t="shared" si="139"/>
        <v>0</v>
      </c>
      <c r="IV280" s="347" t="b">
        <f t="shared" si="140"/>
        <v>0</v>
      </c>
      <c r="IW280" s="347" t="b">
        <f t="shared" si="141"/>
        <v>0</v>
      </c>
      <c r="IX280" s="347" t="b">
        <f t="shared" si="142"/>
        <v>0</v>
      </c>
      <c r="IY280" s="347" t="b">
        <f t="shared" si="143"/>
        <v>0</v>
      </c>
      <c r="IZ280" s="347" t="b">
        <f t="shared" si="144"/>
        <v>0</v>
      </c>
      <c r="JA280" s="347" t="b">
        <f t="shared" si="145"/>
        <v>0</v>
      </c>
      <c r="JB280" s="353" t="b">
        <f t="shared" si="146"/>
        <v>0</v>
      </c>
      <c r="JC280" s="354" t="str">
        <f t="shared" si="147"/>
        <v/>
      </c>
      <c r="JD280" s="355" t="str">
        <f t="shared" si="148"/>
        <v/>
      </c>
      <c r="JE280" s="355" t="str">
        <f t="shared" si="149"/>
        <v/>
      </c>
      <c r="JF280" s="355" t="str">
        <f t="shared" si="150"/>
        <v/>
      </c>
      <c r="JG280" s="355" t="str">
        <f t="shared" si="151"/>
        <v>Ga, </v>
      </c>
      <c r="JH280" s="355" t="str">
        <f t="shared" si="152"/>
        <v/>
      </c>
      <c r="JI280" s="355" t="str">
        <f t="shared" si="153"/>
        <v/>
      </c>
      <c r="JJ280" s="355" t="str">
        <f t="shared" si="154"/>
        <v/>
      </c>
      <c r="JK280" s="355" t="str">
        <f t="shared" si="155"/>
        <v/>
      </c>
      <c r="JL280" s="355" t="str">
        <f t="shared" si="156"/>
        <v/>
      </c>
      <c r="JM280" s="355" t="str">
        <f t="shared" si="157"/>
        <v/>
      </c>
      <c r="JN280" s="355" t="str">
        <f t="shared" si="158"/>
        <v/>
      </c>
      <c r="JO280" s="359" t="str">
        <f t="shared" si="159"/>
        <v/>
      </c>
      <c r="JP280" s="346" t="b">
        <f t="shared" si="160"/>
        <v>0</v>
      </c>
      <c r="JQ280" s="347" t="b">
        <f t="shared" si="161"/>
        <v>0</v>
      </c>
      <c r="JR280" s="347" t="b">
        <f t="shared" si="162"/>
        <v>0</v>
      </c>
      <c r="JS280" s="347" t="b">
        <f t="shared" si="163"/>
        <v>0</v>
      </c>
      <c r="JT280" s="347" t="b">
        <f t="shared" si="164"/>
        <v>0</v>
      </c>
      <c r="JU280" s="347" t="b">
        <f t="shared" si="165"/>
        <v>0</v>
      </c>
      <c r="JV280" s="347" t="b">
        <f t="shared" si="166"/>
        <v>0</v>
      </c>
      <c r="JW280" s="347" t="b">
        <f t="shared" si="167"/>
        <v>0</v>
      </c>
      <c r="JX280" s="347" t="b">
        <f t="shared" si="168"/>
        <v>0</v>
      </c>
      <c r="JY280" s="347" t="b">
        <f t="shared" si="169"/>
        <v>0</v>
      </c>
      <c r="JZ280" s="347" t="b">
        <f t="shared" si="170"/>
        <v>0</v>
      </c>
      <c r="KA280" s="347" t="b">
        <f t="shared" si="171"/>
        <v>0</v>
      </c>
      <c r="KB280" s="365" t="b">
        <f t="shared" si="172"/>
        <v>0</v>
      </c>
      <c r="KC280" s="354" t="str">
        <f t="shared" si="173"/>
        <v/>
      </c>
      <c r="KD280" s="355" t="str">
        <f t="shared" si="174"/>
        <v/>
      </c>
      <c r="KE280" s="355" t="str">
        <f t="shared" si="175"/>
        <v/>
      </c>
      <c r="KF280" s="355" t="str">
        <f t="shared" si="176"/>
        <v/>
      </c>
      <c r="KG280" s="355" t="str">
        <f t="shared" si="177"/>
        <v/>
      </c>
      <c r="KH280" s="355" t="str">
        <f t="shared" si="178"/>
        <v/>
      </c>
      <c r="KI280" s="355" t="str">
        <f t="shared" si="179"/>
        <v/>
      </c>
      <c r="KJ280" s="355" t="str">
        <f t="shared" si="180"/>
        <v/>
      </c>
      <c r="KK280" s="355" t="str">
        <f t="shared" si="181"/>
        <v/>
      </c>
      <c r="KL280" s="355" t="str">
        <f t="shared" si="182"/>
        <v/>
      </c>
      <c r="KM280" s="355" t="str">
        <f t="shared" si="183"/>
        <v/>
      </c>
      <c r="KN280" s="355" t="str">
        <f t="shared" si="184"/>
        <v/>
      </c>
      <c r="KO280" s="359"/>
      <c r="KP280" s="378"/>
      <c r="KQ280" s="379" t="s">
        <v>9</v>
      </c>
      <c r="KR280" s="380" t="s">
        <v>9</v>
      </c>
      <c r="KS280" s="381" t="s">
        <v>9</v>
      </c>
      <c r="KT280" s="382">
        <f t="shared" si="186"/>
        <v>0</v>
      </c>
      <c r="KU280" s="383">
        <f t="shared" si="187"/>
        <v>0</v>
      </c>
      <c r="KV280" s="381" t="str">
        <f t="shared" si="205"/>
        <v>S</v>
      </c>
      <c r="KW280" s="382">
        <f t="shared" si="189"/>
        <v>0</v>
      </c>
      <c r="KX280" s="384">
        <f t="shared" si="190"/>
        <v>0</v>
      </c>
      <c r="KY280" s="382">
        <f t="shared" ref="KY280:KZ280" si="785">KW280-KT280</f>
        <v>0</v>
      </c>
      <c r="KZ280" s="369">
        <f t="shared" si="785"/>
        <v>0</v>
      </c>
      <c r="LA280" s="385" t="str">
        <f t="shared" si="192"/>
        <v>✔</v>
      </c>
      <c r="LB280" s="340" t="str">
        <f>IFERROR(__xludf.DUMMYFUNCTION("JOIN("""",ArrayFormula(MID(KS280,LEN(KS280)-SEQUENCE(1,LEN(KS280))+1,1)))"),"S")</f>
        <v>S</v>
      </c>
      <c r="LC280" s="373" t="str">
        <f>IFERROR(__xludf.DUMMYFUNCTION("JOIN("""",ArrayFormula(MID(KV280,LEN(KV280)-SEQUENCE(1,LEN(KV280))+1,1)))"),"S")</f>
        <v>S</v>
      </c>
      <c r="LD280" s="373" t="str">
        <f t="shared" si="193"/>
        <v>S</v>
      </c>
      <c r="LE280" s="339" t="str">
        <f t="shared" si="194"/>
        <v>S</v>
      </c>
      <c r="LF280" s="386" t="str">
        <f>IFERROR(__xludf.DUMMYFUNCTION("SUBSTITUTE(SUBSTITUTE(CONCATENATE(JOIN("""",LH280:LT280)),""1"",""""),""2"","""")"),"SS")</f>
        <v>SS</v>
      </c>
      <c r="LG280" s="369" t="str">
        <f t="shared" si="195"/>
        <v>-</v>
      </c>
      <c r="LH280" s="387" t="str">
        <f>IFERROR(__xludf.DUMMYFUNCTION("IF(REGEXMATCH(LD280, ""S""), ""S"",IF(REGEXMATCH(LE280, ""S""), ""S"",""""))"),"S")</f>
        <v>S</v>
      </c>
      <c r="LI280" s="299" t="str">
        <f>IFERROR(__xludf.DUMMYFUNCTION("IF(REGEXMATCH(LD280, ""r""), ""r1"",IF(REGEXMATCH(LE280, ""r""), ""r2"",""""))"),"")</f>
        <v/>
      </c>
      <c r="LJ280" s="299" t="str">
        <f>IFERROR(__xludf.DUMMYFUNCTION("IF(REGEXMATCH(LD280, ""R""), ""R1"",IF(REGEXMATCH(LE280, ""R""), ""R2"",""""))"),"")</f>
        <v/>
      </c>
      <c r="LK280" s="299" t="str">
        <f>IFERROR(__xludf.DUMMYFUNCTION("IF(REGEXMATCH(LD280, ""g""), ""g1"",IF(REGEXMATCH(LE280, ""g""), ""g2"",""""))"),"")</f>
        <v/>
      </c>
      <c r="LL280" s="299" t="str">
        <f>IFERROR(__xludf.DUMMYFUNCTION("IF(REGEXMATCH(LD280, ""G""), ""G1"",IF(REGEXMATCH(LE280, ""G""), ""G2"",""""))"),"")</f>
        <v/>
      </c>
      <c r="LM280" s="299" t="str">
        <f>IFERROR(__xludf.DUMMYFUNCTION("IF(REGEXMATCH(LD280, ""m""), ""m1"",IF(REGEXMATCH(LE280, ""m""), ""m2"",""""))"),"")</f>
        <v/>
      </c>
      <c r="LN280" s="299" t="str">
        <f>IFERROR(__xludf.DUMMYFUNCTION("IF(REGEXMATCH(LD280, ""M""), ""M1"",IF(REGEXMATCH(LE280, ""M""), ""M2"",""""))"),"")</f>
        <v/>
      </c>
      <c r="LO280" s="299" t="str">
        <f>IFERROR(__xludf.DUMMYFUNCTION("IF(REGEXMATCH(LD280, ""P""), ""P1"",IF(REGEXMATCH(LE280, ""P""), ""P2"",""""))"),"")</f>
        <v/>
      </c>
      <c r="LP280" s="299" t="str">
        <f>IFERROR(__xludf.DUMMYFUNCTION("IF(REGEXMATCH(LD280, ""d""), ""d1"",IF(REGEXMATCH(LE280, ""d""), ""d2"",""""))"),"")</f>
        <v/>
      </c>
      <c r="LQ280" s="299" t="str">
        <f>IFERROR(__xludf.DUMMYFUNCTION("IF(REGEXMATCH(LD280, ""D""), ""D1"",IF(REGEXMATCH(LE280, ""D""), ""D2"",""""))"),"")</f>
        <v/>
      </c>
      <c r="LR280" s="299" t="str">
        <f>IFERROR(__xludf.DUMMYFUNCTION("IF(REGEXMATCH(LD280, ""n""), ""n1"",IF(REGEXMATCH(LE280, ""n""), ""n2"",""""))"),"")</f>
        <v/>
      </c>
      <c r="LS280" s="299" t="str">
        <f>IFERROR(__xludf.DUMMYFUNCTION("IF(REGEXMATCH(LD280, ""N""), ""N1"",IF(REGEXMATCH(LE280, ""N""), ""N2"",""""))"),"")</f>
        <v/>
      </c>
      <c r="LT280" s="388" t="str">
        <f>IFERROR(__xludf.DUMMYFUNCTION("IF(REGEXMATCH(LD280, ""S""), ""S"",IF(REGEXMATCH(LE280, ""S""), ""S"",""""))"),"S")</f>
        <v>S</v>
      </c>
      <c r="LU280" s="389">
        <f t="shared" si="196"/>
        <v>1</v>
      </c>
      <c r="LV280" s="378"/>
      <c r="LW280" s="369"/>
      <c r="LX280" s="369"/>
    </row>
    <row r="281" ht="18.0" customHeight="1">
      <c r="A281" s="298" t="s">
        <v>1079</v>
      </c>
      <c r="B281" s="222" t="s">
        <v>561</v>
      </c>
      <c r="C281" s="233" t="str">
        <f t="shared" si="7"/>
        <v>SRgmPDnS</v>
      </c>
      <c r="D281" s="234" t="str">
        <f>IFERROR(__xludf.DUMMYFUNCTION("IF(REGEXMATCH(C281, ""S""), ""S"","""")"),"S")</f>
        <v>S</v>
      </c>
      <c r="E281" s="236" t="str">
        <f>IFERROR(__xludf.DUMMYFUNCTION("IF(REGEXMATCH(C281, ""r""), ""r"","""")"),"")</f>
        <v/>
      </c>
      <c r="F281" s="237" t="str">
        <f>IFERROR(__xludf.DUMMYFUNCTION("IF(REGEXMATCH(C281, ""R""), ""R"","""")"),"R")</f>
        <v>R</v>
      </c>
      <c r="G281" s="237" t="str">
        <f>IFERROR(__xludf.DUMMYFUNCTION("IF(REGEXMATCH(C281, ""g""), ""g"","""")"),"g")</f>
        <v>g</v>
      </c>
      <c r="H281" s="236" t="str">
        <f>IFERROR(__xludf.DUMMYFUNCTION("IF(REGEXMATCH(C281, ""G""), ""G"","""")"),"")</f>
        <v/>
      </c>
      <c r="I281" s="236" t="str">
        <f>IFERROR(__xludf.DUMMYFUNCTION("IF(REGEXMATCH(C281, ""m""), ""m"","""")"),"m")</f>
        <v>m</v>
      </c>
      <c r="J281" s="237" t="str">
        <f>IFERROR(__xludf.DUMMYFUNCTION("IF(REGEXMATCH(C281, ""M""), ""M"","""")"),"")</f>
        <v/>
      </c>
      <c r="K281" s="236" t="str">
        <f>IFERROR(__xludf.DUMMYFUNCTION("IF(REGEXMATCH(C281, ""P""), ""P"","""")"),"P")</f>
        <v>P</v>
      </c>
      <c r="L281" s="237" t="str">
        <f>IFERROR(__xludf.DUMMYFUNCTION("IF(REGEXMATCH(C281, ""d""), ""d"","""")"),"")</f>
        <v/>
      </c>
      <c r="M281" s="236" t="str">
        <f>IFERROR(__xludf.DUMMYFUNCTION("IF(REGEXMATCH(C281, ""D""), ""D"","""")"),"D")</f>
        <v>D</v>
      </c>
      <c r="N281" s="236" t="str">
        <f>IFERROR(__xludf.DUMMYFUNCTION("IF(REGEXMATCH(C281, ""n""), ""n"","""")"),"n")</f>
        <v>n</v>
      </c>
      <c r="O281" s="237" t="str">
        <f>IFERROR(__xludf.DUMMYFUNCTION("IF(REGEXMATCH(C281, ""N""), ""N"","""")"),"")</f>
        <v/>
      </c>
      <c r="P281" s="238" t="str">
        <f>IFERROR(__xludf.DUMMYFUNCTION("IF(REGEXMATCH(C281, ""S""), ""S"","""")"),"S")</f>
        <v>S</v>
      </c>
      <c r="Q281" s="239" t="str">
        <f>IFERROR(__xludf.DUMMYFUNCTION("SUBSTITUTE(CONCATENATE(JOIN(""-"",D281:J281)),""-"","""")"),"SRgm")</f>
        <v>SRgm</v>
      </c>
      <c r="R281" s="229" t="str">
        <f>IFERROR(__xludf.DUMMYFUNCTION("SUBSTITUTE(CONCATENATE(JOIN(""-"",K281:P281)),""-"","""")"),"PDnS")</f>
        <v>PDnS</v>
      </c>
      <c r="S281" s="282" t="str">
        <f t="shared" si="8"/>
        <v>S-R-G-M</v>
      </c>
      <c r="T281" s="282" t="str">
        <f t="shared" si="9"/>
        <v>P-D-N-S</v>
      </c>
      <c r="U281" s="237" t="str">
        <f>IFERROR(__xludf.DUMMYFUNCTION("SUBSTITUTE(JOIN(""-"",S281,T281),""--"",""-"")"),"S-R-G-M-P-D-N-S")</f>
        <v>S-R-G-M-P-D-N-S</v>
      </c>
      <c r="V281" s="309" t="str">
        <f t="shared" si="10"/>
        <v>RgmDn</v>
      </c>
      <c r="W281" s="244" t="str">
        <f>IFERROR(__xludf.DUMMYFUNCTION("IF(REGEXMATCH(C281, ""S""), ""0"","""")"),"0")</f>
        <v>0</v>
      </c>
      <c r="X281" s="245" t="str">
        <f>IFERROR(__xludf.DUMMYFUNCTION("IF(REGEXMATCH(C281, ""r""), ""1"","""")"),"")</f>
        <v/>
      </c>
      <c r="Y281" s="246" t="str">
        <f>IFERROR(__xludf.DUMMYFUNCTION("IF(REGEXMATCH(C281, ""R""), ""2"","""")"),"2")</f>
        <v>2</v>
      </c>
      <c r="Z281" s="246" t="str">
        <f>IFERROR(__xludf.DUMMYFUNCTION("IF(REGEXMATCH(C281, ""g""), ""3"","""")"),"3")</f>
        <v>3</v>
      </c>
      <c r="AA281" s="245" t="str">
        <f>IFERROR(__xludf.DUMMYFUNCTION("IF(REGEXMATCH(C281, ""G""), ""4"","""")"),"")</f>
        <v/>
      </c>
      <c r="AB281" s="245" t="str">
        <f>IFERROR(__xludf.DUMMYFUNCTION("IF(REGEXMATCH(C281, ""m""), ""5"","""")"),"5")</f>
        <v>5</v>
      </c>
      <c r="AC281" s="246" t="str">
        <f>IFERROR(__xludf.DUMMYFUNCTION("IF(REGEXMATCH(C281, ""M""), ""6"","""")"),"")</f>
        <v/>
      </c>
      <c r="AD281" s="245" t="str">
        <f>IFERROR(__xludf.DUMMYFUNCTION("IF(REGEXMATCH(C281, ""P""), ""7"","""")"),"7")</f>
        <v>7</v>
      </c>
      <c r="AE281" s="246" t="str">
        <f>IFERROR(__xludf.DUMMYFUNCTION("IF(REGEXMATCH(C281, ""d""), ""8"","""")"),"")</f>
        <v/>
      </c>
      <c r="AF281" s="245" t="str">
        <f>IFERROR(__xludf.DUMMYFUNCTION("IF(REGEXMATCH(C281, ""D""), ""9"","""")"),"9")</f>
        <v>9</v>
      </c>
      <c r="AG281" s="245" t="str">
        <f>IFERROR(__xludf.DUMMYFUNCTION("IF(REGEXMATCH(C281, ""n""), ""10"","""")"),"10")</f>
        <v>10</v>
      </c>
      <c r="AH281" s="246" t="str">
        <f>IFERROR(__xludf.DUMMYFUNCTION("IF(REGEXMATCH(C281, ""N""), ""11"","""")"),"")</f>
        <v/>
      </c>
      <c r="AI281" s="249" t="str">
        <f>IFERROR(__xludf.DUMMYFUNCTION("IF(REGEXMATCH(C281, ""S""), ""0"","""")"),"0")</f>
        <v>0</v>
      </c>
      <c r="AJ281" s="313" t="str">
        <f t="shared" si="11"/>
        <v>-</v>
      </c>
      <c r="AK281" s="313" t="str">
        <f t="shared" si="12"/>
        <v>-</v>
      </c>
      <c r="AL281" s="313" t="str">
        <f t="shared" si="13"/>
        <v>-</v>
      </c>
      <c r="AM281" s="313" t="str">
        <f t="shared" si="14"/>
        <v>T</v>
      </c>
      <c r="AN281" s="313" t="str">
        <f t="shared" si="15"/>
        <v>-</v>
      </c>
      <c r="AO281" s="314" t="str">
        <f t="shared" si="16"/>
        <v>-</v>
      </c>
      <c r="AP281" s="316">
        <f t="shared" si="17"/>
        <v>1</v>
      </c>
      <c r="AQ281" s="319" t="str">
        <f t="shared" si="18"/>
        <v>-</v>
      </c>
      <c r="AR281" s="320">
        <f t="shared" si="19"/>
        <v>0</v>
      </c>
      <c r="AS281" s="250" t="str">
        <f>IFERROR(__xludf.DUMMYFUNCTION("SUBSTITUTE(SUBSTITUTE(CONCATENATE(JOIN("""",FP281:GA281)),""|"",""x""),""-"",""o"")"),"xoxxoxoxoxxo")</f>
        <v>xoxxoxoxoxxo</v>
      </c>
      <c r="AT281" s="323" t="str">
        <f>IFERROR(__xludf.DUMMYFUNCTION("JOIN("""",AS281,AS281)"),"xoxxoxoxoxxoxoxxoxoxoxxo")</f>
        <v>xoxxoxoxoxxoxoxxoxoxoxxo</v>
      </c>
      <c r="AU281" s="256" t="str">
        <f>IFERROR(__xludf.DUMMYFUNCTION("JOIN("""",ArrayFormula(MID(AS281,LEN(AS281)-SEQUENCE(1,LEN(AS281))+1,1)))"),"oxxoxoxoxxox")</f>
        <v>oxxoxoxoxxox</v>
      </c>
      <c r="AV281" s="256" t="str">
        <f>IFERROR(__xludf.DUMMYFUNCTION("LEFT(CONCATENATE(""x"",JOIN("""",ArrayFormula(MID(AS281,LEN(AS281)-SEQUENCE(1,LEN(AS281))+1,1)))),12)"),"xoxxoxoxoxxo")</f>
        <v>xoxxoxoxoxxo</v>
      </c>
      <c r="AW281" s="327" t="str">
        <f>IFERROR(__xludf.DUMMYFUNCTION("JOIN("""",AU281,AU281)"),"oxxoxoxoxxoxoxxoxoxoxxox")</f>
        <v>oxxoxoxoxxoxoxxoxoxoxxox</v>
      </c>
      <c r="AX281" s="239" t="str">
        <f>IFERROR(__xludf.DUMMYFUNCTION("IF(REGEXMATCH(AW281,AS281),""✔"",""-"")"),"✔")</f>
        <v>✔</v>
      </c>
      <c r="AY281" s="330" t="str">
        <f t="shared" si="20"/>
        <v>✔</v>
      </c>
      <c r="AZ281" s="260" t="str">
        <f t="shared" si="21"/>
        <v>#REF!</v>
      </c>
      <c r="BA281" s="333" t="str">
        <f t="shared" si="22"/>
        <v>xoxxoxo</v>
      </c>
      <c r="BB281" s="334" t="str">
        <f t="shared" si="23"/>
        <v>xoxxox</v>
      </c>
      <c r="BC281" s="335" t="str">
        <f t="shared" si="236"/>
        <v>✔</v>
      </c>
      <c r="BD281" s="336" t="str">
        <f t="shared" si="25"/>
        <v>Raisa Kanada: 'xoxxoxo' + 'xoxxox'</v>
      </c>
      <c r="BE281" s="337">
        <f>IFERROR(__xludf.DUMMYFUNCTION("COUNTUNIQUE(FILTER(AT:AT,REGEXMATCH(AT:AT,AS281)))-1"),6.0)</f>
        <v>6</v>
      </c>
      <c r="BF281" s="261" t="str">
        <f>IFERROR(__xludf.DUMMYFUNCTION("IF(BI281=0,""(n/a)"",IF(BJ281=2,""(PAIR)"",IF(REGEXMATCH(AT281,""xoxoxxoxoxox""),""Bilawal"",IF(REGEXMATCH(AT281,""xoxoxooxoxoo""),""Bhupali"",IF(REGEXMATCH(AT281,""xoxoxxoxxoxo""),""Charukeshi"",IF(REGEXMATCH(AT281,""xoxoooxxoxxo""),""Kameshwari"",IF(REG"&amp;"EXMATCH(AT281,""xoxoxooxoxox""),""Shankara"",IF(REGEXMATCH(AT281,""xxooxoxxxoox""),""Basant"",IF(REGEXMATCH(AT281,""xoxoxxxxoxox""),""Bihag"",IF(REGEXMATCH(AT281,""xoxxxxoxoxxx""),""Pilu"",IF(REGEXMATCH(AT281,""xoxxoxoxxoox""),""Kirwani"",IF(REGEXMATCH(AT"&amp;"281,""xoxxoxoxoxxx""),""Mk.Malhar"",IF(REGEXMATCH(AT281,""xxooxxoxxoox""),""Bhairav"",IF(REGEXMATCH(AT281,""xxoxooxxxoox""),""Todi"",IF(REGEXMATCH(AT281,""xxooxoxooxox""),""Marwa"",IF(REGEXMATCH(AT281,""xxoooxoxxooo""),""Gunkali"",IF(REGEXMATCH(AT281,""xo"&amp;"xoxxoxxoox""),""Nat Bhairav"",IF(REGEXMATCH(AT281,""xoxxoooxoxoo""),""Shivranjani"",IF(REGEXMATCH(AT281,""xooxxxoxooxo""),""Jog"",IF(REGEXMATCH(AT281,""xxooxoxoxoox""),""Hemshri"",IF(REGEXMATCH(AT281,""xoooxooxoxxo""),""Kalavati"",IF(REGEXMATCH(AT281,""xx"&amp;"oxoxxoxoox""),""Kedar"",IF(REGEXMATCH(AT281,""xoxxxxoxooxx""),""Gara"",IF(REGEXMATCH(AT281,""xooxoxooxoox""),""Chandrakauns"",IF(REGEXMATCH(AT281,""xoxxxxoxxxox""),""Mand"",IF(REGEXMATCH(AT281,""xoxxxxoxoxox""),""Hanskinkini"",IF(REGEXMATCH(AT281,""xxooxx"&amp;"oxooxo""),""Lilavati"",IF(REGEXMATCH(AT281,""xooxoxoooxox""),""Rajeshwari"",IF(REGEXMATCH(AT281,""xoooxxoxoxxx""),""Khokar"",IF(REGEXMATCH(AT281,""xxooxoxxxxox""),""Maligoura"",""-""))))))))))))))))))))))))))))))"),"Bilawal")</f>
        <v>Bilawal</v>
      </c>
      <c r="BG281" s="239" t="str">
        <f t="shared" si="26"/>
        <v>#REF!</v>
      </c>
      <c r="BH281" s="239">
        <f>IFERROR(__xludf.DUMMYFUNCTION("COUNTUNIQUE(FE281:FO281)-1"),6.0)</f>
        <v>6</v>
      </c>
      <c r="BI281" s="239">
        <f>IFERROR(__xludf.DUMMYFUNCTION("COUNTUNIQUE(FILTER(AT:AT,REGEXMATCH(AT:AT,AS281)))-1"),6.0)</f>
        <v>6</v>
      </c>
      <c r="BJ281" s="239">
        <f>IFERROR(__xludf.DUMMYFUNCTION("COUNTA(FILTER(AT:AT,REGEXMATCH(AT:AT,AS281)))"),48.0)</f>
        <v>48</v>
      </c>
      <c r="BK281" s="341">
        <f>IFERROR(__xludf.DUMMYFUNCTION("COUNTA(FILTER(AT:AT,REGEXMATCH(AT:AT,AS281)))-AR281"),48.0)</f>
        <v>48</v>
      </c>
      <c r="BL281" s="276" t="str">
        <f>IFERROR(__xludf.DUMMYFUNCTION("IF(AS281=""oooooooooooo"",""-"",IF(REGEXMATCH(AT281,""xx""), ""Hemi."", ""Anhemi.""))"),"Hemi.")</f>
        <v>Hemi.</v>
      </c>
      <c r="BM281" s="282" t="str">
        <f>IFERROR(__xludf.DUMMYFUNCTION("IF(AS281=""oooooooooooo"",""-"",IF(REGEXMATCH(AT281,""xxx""), ""Cohem."", ""-""))"),"-")</f>
        <v>-</v>
      </c>
      <c r="BN281" s="282" t="str">
        <f>IFERROR(__xludf.DUMMYFUNCTION("IF(AS281=""oooooooooooo"",""-"",IF(REGEXMATCH(AT281,""xxxx""), ""Co-Co."", ""-""))"),"-")</f>
        <v>-</v>
      </c>
      <c r="BO281" s="342" t="str">
        <f>IFERROR(__xludf.DUMMYFUNCTION("IF(AS281=""oooooooooooo"",""-"",IF(REGEXMATCH(AT281,""xxxxx""), ""CCC."", ""-""))"),"-")</f>
        <v>-</v>
      </c>
      <c r="BP281" s="344" t="str">
        <f t="shared" si="27"/>
        <v>Kafi</v>
      </c>
      <c r="BQ281" s="282" t="str">
        <f>IFERROR(__xludf.DUMMYFUNCTION("IF(REGEXMATCH(JOIN(""-"",EU281:FD281),""TRUE""),""✔"",""-"")"),"✔")</f>
        <v>✔</v>
      </c>
      <c r="BR281" s="225">
        <f t="shared" si="28"/>
        <v>1</v>
      </c>
      <c r="BS281" s="345" t="str">
        <f>IFERROR(__xludf.DUMMYFUNCTION("SUBSTITUTE(SUBSTITUTE(SUBSTITUTE(SUBSTITUTE(CONCATENATE(JOIN(""-"",GC281:GO281)),""--"",""-""),""--"",""-""),""--"",""-""),""--"",""-"")"),"1-2-b3-4-5-6-b7-8")</f>
        <v>1-2-b3-4-5-6-b7-8</v>
      </c>
      <c r="BT281" s="299" t="str">
        <f>IFERROR(__xludf.DUMMYFUNCTION("SUBSTITUTE(SUBSTITUTE(SUBSTITUTE(SUBSTITUTE(CONCATENATE(JOIN(""-"",GP281:HB281)),""--"",""-""),""--"",""-""),""--"",""-""),""--"",""-"")"),"S-R2-G2-M1-P-D2-N2-S")</f>
        <v>S-R2-G2-M1-P-D2-N2-S</v>
      </c>
      <c r="BU281" s="348" t="str">
        <f t="shared" si="29"/>
        <v>C-D-Eb-F-G-A-Bb-C</v>
      </c>
      <c r="BV281" s="349" t="str">
        <f t="shared" si="30"/>
        <v>SrGMdNS</v>
      </c>
      <c r="BW281" s="350">
        <f t="shared" si="31"/>
        <v>1</v>
      </c>
      <c r="BX281" s="351">
        <f t="shared" si="32"/>
        <v>9</v>
      </c>
      <c r="BY281" s="392"/>
      <c r="BZ281" s="309" t="str">
        <f>IFERROR(__xludf.DUMMYFUNCTION("IF(REGEXMATCH(C281, ""S""), ""x"",""x"")"),"x")</f>
        <v>x</v>
      </c>
      <c r="CA281" s="245" t="str">
        <f>IFERROR(__xludf.DUMMYFUNCTION("IF(REGEXMATCH(C281, ""r""), ""o"",""x"")"),"x")</f>
        <v>x</v>
      </c>
      <c r="CB281" s="246" t="str">
        <f>IFERROR(__xludf.DUMMYFUNCTION("IF(REGEXMATCH(C281, ""R""), ""o"",""x"")"),"o")</f>
        <v>o</v>
      </c>
      <c r="CC281" s="246" t="str">
        <f>IFERROR(__xludf.DUMMYFUNCTION("IF(REGEXMATCH(C281, ""g""), ""o"",""x"")"),"o")</f>
        <v>o</v>
      </c>
      <c r="CD281" s="245" t="str">
        <f>IFERROR(__xludf.DUMMYFUNCTION("IF(REGEXMATCH(C281, ""G""), ""o"",""x"")"),"x")</f>
        <v>x</v>
      </c>
      <c r="CE281" s="245" t="str">
        <f>IFERROR(__xludf.DUMMYFUNCTION("IF(REGEXMATCH(C281, ""m""), ""o"",""x"")"),"o")</f>
        <v>o</v>
      </c>
      <c r="CF281" s="246" t="str">
        <f>IFERROR(__xludf.DUMMYFUNCTION("IF(REGEXMATCH(C281, ""M""), ""o"",""x"")"),"x")</f>
        <v>x</v>
      </c>
      <c r="CG281" s="245" t="str">
        <f>IFERROR(__xludf.DUMMYFUNCTION("IF(REGEXMATCH(C281, ""P""), ""o"",""x"")"),"o")</f>
        <v>o</v>
      </c>
      <c r="CH281" s="246" t="str">
        <f>IFERROR(__xludf.DUMMYFUNCTION("IF(REGEXMATCH(C281, ""d""), ""o"",""x"")"),"x")</f>
        <v>x</v>
      </c>
      <c r="CI281" s="245" t="str">
        <f>IFERROR(__xludf.DUMMYFUNCTION("IF(REGEXMATCH(C281, ""D""), ""o"",""x"")"),"o")</f>
        <v>o</v>
      </c>
      <c r="CJ281" s="245" t="str">
        <f>IFERROR(__xludf.DUMMYFUNCTION("IF(REGEXMATCH(C281, ""n""), ""o"",""x"")"),"o")</f>
        <v>o</v>
      </c>
      <c r="CK281" s="245" t="str">
        <f>IFERROR(__xludf.DUMMYFUNCTION("IF(REGEXMATCH(C281, ""N""), ""o"",""x"")"),"x")</f>
        <v>x</v>
      </c>
      <c r="CL281" s="356" t="str">
        <f>IFERROR(__xludf.DUMMYFUNCTION("IF(REGEXMATCH(C281, ""S""), ""x"",""x"")"),"x")</f>
        <v>x</v>
      </c>
      <c r="CM281" s="357" t="str">
        <f t="shared" si="33"/>
        <v>xxooxoxoxoox</v>
      </c>
      <c r="CN281" s="358">
        <f t="shared" si="34"/>
        <v>1</v>
      </c>
      <c r="CO281" s="246" t="str">
        <f>IFERROR(__xludf.DUMMYFUNCTION("IF(REGEXMATCH($C281, ""S""), ""S"",""S"")"),"S")</f>
        <v>S</v>
      </c>
      <c r="CP281" s="246" t="str">
        <f>IFERROR(__xludf.DUMMYFUNCTION("IF(REGEXMATCH($C281, ""r""), """",""r"")"),"r")</f>
        <v>r</v>
      </c>
      <c r="CQ281" s="246" t="str">
        <f>IFERROR(__xludf.DUMMYFUNCTION("IF(REGEXMATCH($C281, ""R""), """",""R"")"),"")</f>
        <v/>
      </c>
      <c r="CR281" s="246" t="str">
        <f>IFERROR(__xludf.DUMMYFUNCTION("IF(REGEXMATCH($C281, ""g""), """",""g"")"),"")</f>
        <v/>
      </c>
      <c r="CS281" s="246" t="str">
        <f>IFERROR(__xludf.DUMMYFUNCTION("IF(REGEXMATCH($C281, ""G""), """",""G"")"),"G")</f>
        <v>G</v>
      </c>
      <c r="CT281" s="246" t="str">
        <f>IFERROR(__xludf.DUMMYFUNCTION("IF(REGEXMATCH($C281, ""m""), """",""m"")"),"")</f>
        <v/>
      </c>
      <c r="CU281" s="246" t="str">
        <f>IFERROR(__xludf.DUMMYFUNCTION("IF(REGEXMATCH($C281, ""M""), """",""M"")"),"M")</f>
        <v>M</v>
      </c>
      <c r="CV281" s="246" t="str">
        <f>IFERROR(__xludf.DUMMYFUNCTION("IF(REGEXMATCH($C281, ""P""), """",""P"")"),"")</f>
        <v/>
      </c>
      <c r="CW281" s="246" t="str">
        <f>IFERROR(__xludf.DUMMYFUNCTION("IF(REGEXMATCH($C281, ""d""), """",""d"")"),"d")</f>
        <v>d</v>
      </c>
      <c r="CX281" s="246" t="str">
        <f>IFERROR(__xludf.DUMMYFUNCTION("IF(REGEXMATCH($C281, ""D""), """",""D"")"),"")</f>
        <v/>
      </c>
      <c r="CY281" s="246" t="str">
        <f>IFERROR(__xludf.DUMMYFUNCTION("IF(REGEXMATCH($C281, ""n""), """",""n"")"),"")</f>
        <v/>
      </c>
      <c r="CZ281" s="246" t="str">
        <f>IFERROR(__xludf.DUMMYFUNCTION("IF(REGEXMATCH($C281, ""N""), """",""N"")"),"N")</f>
        <v>N</v>
      </c>
      <c r="DA281" s="246" t="str">
        <f>IFERROR(__xludf.DUMMYFUNCTION("IF(REGEXMATCH($C281, ""S""), ""S"",""S"")"),"S")</f>
        <v>S</v>
      </c>
      <c r="DB281" s="362" t="str">
        <f>IFERROR(__xludf.DUMMYFUNCTION("JOIN("""",CO281:DA281,"""","""")"),"SrGMdNS")</f>
        <v>SrGMdNS</v>
      </c>
      <c r="DC281" s="363"/>
      <c r="DD281" s="301" t="str">
        <f t="shared" si="35"/>
        <v>#REF!</v>
      </c>
      <c r="DE281" s="302" t="str">
        <f t="shared" si="36"/>
        <v>#REF!</v>
      </c>
      <c r="DF281" s="301" t="str">
        <f t="shared" ref="DF281:DG281" si="786">SUBSTITUTE(S281,"-","")</f>
        <v>SRGM</v>
      </c>
      <c r="DG281" s="301" t="str">
        <f t="shared" si="786"/>
        <v>PDNS</v>
      </c>
      <c r="DH281" s="302" t="str">
        <f t="shared" si="38"/>
        <v>Bilawal</v>
      </c>
      <c r="DI281" s="301" t="str">
        <f t="shared" si="39"/>
        <v>Hemi.</v>
      </c>
      <c r="DJ281" s="364" t="str">
        <f t="shared" si="40"/>
        <v>-</v>
      </c>
      <c r="DK281" s="306" t="str">
        <f t="shared" si="41"/>
        <v>Kafi</v>
      </c>
      <c r="DL281" s="366" t="str">
        <f t="shared" si="42"/>
        <v>-</v>
      </c>
      <c r="DM281" s="308" t="str">
        <f t="shared" si="43"/>
        <v>-</v>
      </c>
      <c r="DN281" s="306" t="str">
        <f t="shared" si="44"/>
        <v>-</v>
      </c>
      <c r="DO281" s="306" t="str">
        <f t="shared" si="45"/>
        <v>-</v>
      </c>
      <c r="DP281" s="367" t="str">
        <f t="shared" si="46"/>
        <v>-</v>
      </c>
      <c r="DQ281" s="310" t="str">
        <f t="shared" si="47"/>
        <v>-</v>
      </c>
      <c r="DR281" s="310" t="str">
        <f t="shared" si="48"/>
        <v>-</v>
      </c>
      <c r="DS281" s="310" t="str">
        <f t="shared" si="49"/>
        <v>-</v>
      </c>
      <c r="DT281" s="310" t="str">
        <f t="shared" si="50"/>
        <v>-</v>
      </c>
      <c r="DU281" s="370" t="str">
        <f t="shared" si="51"/>
        <v>-</v>
      </c>
      <c r="DV281" s="306" t="str">
        <f t="shared" si="52"/>
        <v>-</v>
      </c>
      <c r="DW281" s="306" t="str">
        <f t="shared" si="53"/>
        <v>-</v>
      </c>
      <c r="DX281" s="306" t="str">
        <f t="shared" si="54"/>
        <v>-</v>
      </c>
      <c r="DY281" s="306" t="str">
        <f t="shared" si="55"/>
        <v>-</v>
      </c>
      <c r="DZ281" s="306" t="str">
        <f t="shared" si="56"/>
        <v>-</v>
      </c>
      <c r="EA281" s="367" t="str">
        <f t="shared" si="57"/>
        <v>-</v>
      </c>
      <c r="EB281" s="310" t="str">
        <f>IFERROR(__xludf.DUMMYFUNCTION("IF(REGEXMATCH(AW281,AS281),""✔"",""-"")"),"✔")</f>
        <v>✔</v>
      </c>
      <c r="EC281" s="310" t="str">
        <f t="shared" si="58"/>
        <v>#REF!</v>
      </c>
      <c r="ED281" s="370" t="str">
        <f t="shared" si="59"/>
        <v>✔</v>
      </c>
      <c r="EE281" s="340" t="str">
        <f t="shared" si="60"/>
        <v>S-R-g-m-P-D-n-S</v>
      </c>
      <c r="EF281" s="371" t="str">
        <f>IFERROR(__xludf.DUMMYFUNCTION("CONCATENATE(JOIN("""",HC281:HO281))"),"SRgmPDnS")</f>
        <v>SRgmPDnS</v>
      </c>
      <c r="EG281" s="372">
        <f t="shared" si="61"/>
        <v>1</v>
      </c>
      <c r="EH281" s="373" t="str">
        <f>IFERROR(__xludf.DUMMYFUNCTION("CONCATENATE(JOIN("""",JC281:JO281))"),"Dha, ")</f>
        <v>Dha, </v>
      </c>
      <c r="EI281" s="322">
        <f t="shared" si="62"/>
        <v>0</v>
      </c>
      <c r="EJ281" s="374" t="str">
        <f>IFERROR(__xludf.DUMMYFUNCTION("CONCATENATE(JOIN("""",KC281:KO281))"),"")</f>
        <v/>
      </c>
      <c r="EK281" s="325" t="str">
        <f t="shared" si="63"/>
        <v>S-R2-G2-M1-P-D2-N2-S</v>
      </c>
      <c r="EL281" s="326" t="str">
        <f t="shared" si="64"/>
        <v>1-2-b3-4-5-6-b7-8</v>
      </c>
      <c r="EM281" s="318" t="str">
        <f t="shared" si="65"/>
        <v>#REF!</v>
      </c>
      <c r="EN281" s="328" t="str">
        <f>IFERROR(__xludf.DUMMYFUNCTION("SUBSTITUTE(SUBSTITUTE(SUBSTITUTE(SUBSTITUTE(CONCATENATE(JOIN("" "",HP281:IB281)),""  "","" ""),""  "","" ""),""  "","" ""),""  "","" "")"),"o • o o • o • o • o o • o")</f>
        <v>o • o o • o • o • o o • o</v>
      </c>
      <c r="EO281" s="368" t="str">
        <f t="shared" si="66"/>
        <v>-</v>
      </c>
      <c r="EP281" s="339" t="str">
        <f t="shared" si="67"/>
        <v>-</v>
      </c>
      <c r="EQ281" s="339" t="str">
        <f t="shared" si="68"/>
        <v>Sa-Pa</v>
      </c>
      <c r="ER281" s="339" t="str">
        <f t="shared" si="69"/>
        <v>-</v>
      </c>
      <c r="ES281" s="340" t="str">
        <f t="shared" si="70"/>
        <v>-</v>
      </c>
      <c r="ET281" s="363"/>
      <c r="EU281" s="376" t="b">
        <f>IFERROR(__xludf.DUMMYFUNCTION("arrayformula(sum(--REGEXMATCH(""SRGMPDNS"",split(REGEXREPLACE(C281,""(.)"",""$1~""),""~""))))=len(C281)
"),FALSE)</f>
        <v>0</v>
      </c>
      <c r="EV281" s="290" t="b">
        <f>IFERROR(__xludf.DUMMYFUNCTION("arrayformula(sum(--REGEXMATCH(""SRGmPDNS"",split(REGEXREPLACE(C281,""(.)"",""$1~""),""~""))))=len(C281)"),FALSE)</f>
        <v>0</v>
      </c>
      <c r="EW281" s="290" t="b">
        <f>IFERROR(__xludf.DUMMYFUNCTION("arrayformula(sum(--REGEXMATCH(""SRGmPDnS"",split(REGEXREPLACE(C281,""(.)"",""$1~""),""~""))))=len(C281)"),FALSE)</f>
        <v>0</v>
      </c>
      <c r="EX281" s="290" t="b">
        <f>IFERROR(__xludf.DUMMYFUNCTION("arrayformula(sum(--REGEXMATCH(""SRgmPDnS"",split(REGEXREPLACE(C281,""(.)"",""$1~""),""~""))))=len(C281)"),TRUE)</f>
        <v>1</v>
      </c>
      <c r="EY281" s="290" t="b">
        <f>IFERROR(__xludf.DUMMYFUNCTION("arrayformula(sum(--REGEXMATCH(""SRgmPdnS"",split(REGEXREPLACE(C281,""(.)"",""$1~""),""~""))))=len(C281)"),FALSE)</f>
        <v>0</v>
      </c>
      <c r="EZ281" s="290" t="b">
        <f>IFERROR(__xludf.DUMMYFUNCTION("arrayformula(sum(--REGEXMATCH(""SrgmPdnS"",split(REGEXREPLACE(C281,""(.)"",""$1~""),""~""))))=len(C281)"),FALSE)</f>
        <v>0</v>
      </c>
      <c r="FA281" s="290" t="b">
        <f>IFERROR(__xludf.DUMMYFUNCTION("arrayformula(sum(--REGEXMATCH(""SrGmPdNS"",split(REGEXREPLACE(C281,""(.)"",""$1~""),""~""))))=len(C281)"),FALSE)</f>
        <v>0</v>
      </c>
      <c r="FB281" s="290" t="b">
        <f>IFERROR(__xludf.DUMMYFUNCTION("arrayformula(sum(--REGEXMATCH(""SrGMPDNS"",split(REGEXREPLACE(C281,""(.)"",""$1~""),""~""))))=len(C281)"),FALSE)</f>
        <v>0</v>
      </c>
      <c r="FC281" s="290" t="b">
        <f>IFERROR(__xludf.DUMMYFUNCTION("arrayformula(sum(--REGEXMATCH(""SrGMPdNS"",split(REGEXREPLACE(C281,""(.)"",""$1~""),""~""))))=len(C281)"),FALSE)</f>
        <v>0</v>
      </c>
      <c r="FD281" s="377" t="b">
        <f>IFERROR(__xludf.DUMMYFUNCTION("arrayformula(sum(--REGEXMATCH(""SrgMPdNS"",split(REGEXREPLACE(C281,""(.)"",""$1~""),""~""))))=len(C281)"),FALSE)</f>
        <v>0</v>
      </c>
      <c r="FE281" s="269" t="str">
        <f t="shared" si="71"/>
        <v>-</v>
      </c>
      <c r="FF281" s="269" t="str">
        <f t="shared" si="72"/>
        <v>xxoxoxoxxox</v>
      </c>
      <c r="FG281" s="271" t="str">
        <f t="shared" si="73"/>
        <v>xoxoxoxxoxo</v>
      </c>
      <c r="FH281" s="269" t="str">
        <f t="shared" si="74"/>
        <v>-</v>
      </c>
      <c r="FI281" s="271" t="str">
        <f t="shared" si="75"/>
        <v>xoxoxxoxoxx</v>
      </c>
      <c r="FJ281" s="271" t="str">
        <f t="shared" si="76"/>
        <v>-</v>
      </c>
      <c r="FK281" s="271" t="str">
        <f t="shared" si="77"/>
        <v>xoxxoxoxxox</v>
      </c>
      <c r="FL281" s="271" t="str">
        <f t="shared" si="78"/>
        <v>-</v>
      </c>
      <c r="FM281" s="271" t="str">
        <f t="shared" si="79"/>
        <v>xxoxoxxoxox</v>
      </c>
      <c r="FN281" s="271" t="str">
        <f t="shared" si="80"/>
        <v>xoxoxxoxoxo</v>
      </c>
      <c r="FO281" s="274" t="str">
        <f t="shared" si="81"/>
        <v>-</v>
      </c>
      <c r="FP281" s="234" t="str">
        <f t="shared" si="82"/>
        <v>|</v>
      </c>
      <c r="FQ281" s="236" t="str">
        <f t="shared" si="83"/>
        <v>-</v>
      </c>
      <c r="FR281" s="237" t="str">
        <f t="shared" si="84"/>
        <v>|</v>
      </c>
      <c r="FS281" s="236" t="str">
        <f t="shared" si="85"/>
        <v>|</v>
      </c>
      <c r="FT281" s="237" t="str">
        <f t="shared" si="86"/>
        <v>-</v>
      </c>
      <c r="FU281" s="236" t="str">
        <f t="shared" si="87"/>
        <v>|</v>
      </c>
      <c r="FV281" s="237" t="str">
        <f t="shared" si="88"/>
        <v>-</v>
      </c>
      <c r="FW281" s="236" t="str">
        <f t="shared" si="89"/>
        <v>|</v>
      </c>
      <c r="FX281" s="237" t="str">
        <f t="shared" si="90"/>
        <v>-</v>
      </c>
      <c r="FY281" s="236" t="str">
        <f t="shared" si="91"/>
        <v>|</v>
      </c>
      <c r="FZ281" s="237" t="str">
        <f t="shared" si="92"/>
        <v>|</v>
      </c>
      <c r="GA281" s="236" t="str">
        <f t="shared" si="93"/>
        <v>-</v>
      </c>
      <c r="GB281" s="238" t="str">
        <f t="shared" si="94"/>
        <v>|</v>
      </c>
      <c r="GC281" s="244" t="str">
        <f>IFERROR(__xludf.DUMMYFUNCTION("IF(REGEXMATCH(C281, ""S""), ""1"","""")"),"1")</f>
        <v>1</v>
      </c>
      <c r="GD281" s="245" t="str">
        <f>IFERROR(__xludf.DUMMYFUNCTION("IF(REGEXMATCH(C281, ""r""), ""b2"","""")"),"")</f>
        <v/>
      </c>
      <c r="GE281" s="246" t="str">
        <f>IFERROR(__xludf.DUMMYFUNCTION("IF(REGEXMATCH(C281, ""R""), ""2"","""")"),"2")</f>
        <v>2</v>
      </c>
      <c r="GF281" s="246" t="str">
        <f>IFERROR(__xludf.DUMMYFUNCTION("IF(REGEXMATCH(C281, ""g""), ""b3"","""")"),"b3")</f>
        <v>b3</v>
      </c>
      <c r="GG281" s="245" t="str">
        <f>IFERROR(__xludf.DUMMYFUNCTION("IF(REGEXMATCH(C281, ""G""), ""3"","""")"),"")</f>
        <v/>
      </c>
      <c r="GH281" s="245" t="str">
        <f>IFERROR(__xludf.DUMMYFUNCTION("IF(REGEXMATCH(C281, ""m""), ""4"","""")"),"4")</f>
        <v>4</v>
      </c>
      <c r="GI281" s="246" t="str">
        <f>IFERROR(__xludf.DUMMYFUNCTION("IF(REGEXMATCH(C281, ""M""), ""#4"","""")"),"")</f>
        <v/>
      </c>
      <c r="GJ281" s="245" t="str">
        <f>IFERROR(__xludf.DUMMYFUNCTION("IF(REGEXMATCH(C281, ""P""), ""5"","""")"),"5")</f>
        <v>5</v>
      </c>
      <c r="GK281" s="246" t="str">
        <f>IFERROR(__xludf.DUMMYFUNCTION("IF(REGEXMATCH(C281, ""d""), ""b6"","""")"),"")</f>
        <v/>
      </c>
      <c r="GL281" s="245" t="str">
        <f>IFERROR(__xludf.DUMMYFUNCTION("IF(REGEXMATCH(C281, ""D""), ""6"","""")"),"6")</f>
        <v>6</v>
      </c>
      <c r="GM281" s="245" t="str">
        <f>IFERROR(__xludf.DUMMYFUNCTION("IF(REGEXMATCH(C281, ""n""), ""b7"","""")"),"b7")</f>
        <v>b7</v>
      </c>
      <c r="GN281" s="246" t="str">
        <f>IFERROR(__xludf.DUMMYFUNCTION("IF(REGEXMATCH(C281, ""N""), ""7"","""")"),"")</f>
        <v/>
      </c>
      <c r="GO281" s="249" t="str">
        <f>IFERROR(__xludf.DUMMYFUNCTION("IF(REGEXMATCH(C281, ""S""), ""8"","""")"),"8")</f>
        <v>8</v>
      </c>
      <c r="GP281" s="244" t="str">
        <f>IFERROR(__xludf.DUMMYFUNCTION("IF(REGEXMATCH(C281, ""S""), ""S"","""")"),"S")</f>
        <v>S</v>
      </c>
      <c r="GQ281" s="294" t="str">
        <f>IFERROR(__xludf.DUMMYFUNCTION("IF(REGEXMATCH(C281, ""r""), ""R1"","""")"),"")</f>
        <v/>
      </c>
      <c r="GR281" s="295" t="str">
        <f>IFERROR(__xludf.DUMMYFUNCTION("IF(REGEXMATCH(C281, ""R""), ""R2"","""")"),"R2")</f>
        <v>R2</v>
      </c>
      <c r="GS281" s="295" t="str">
        <f>IFERROR(__xludf.DUMMYFUNCTION("IF(REGEXMATCH(C281, ""g""), ""G2"","""")"),"G2")</f>
        <v>G2</v>
      </c>
      <c r="GT281" s="294" t="str">
        <f>IFERROR(__xludf.DUMMYFUNCTION("IF(REGEXMATCH(C281, ""G""), ""G3"","""")"),"")</f>
        <v/>
      </c>
      <c r="GU281" s="294" t="str">
        <f>IFERROR(__xludf.DUMMYFUNCTION("IF(REGEXMATCH(C281, ""m""), ""M1"","""")"),"M1")</f>
        <v>M1</v>
      </c>
      <c r="GV281" s="295" t="str">
        <f>IFERROR(__xludf.DUMMYFUNCTION("IF(REGEXMATCH(C281, ""M""), ""M2"","""")"),"")</f>
        <v/>
      </c>
      <c r="GW281" s="294" t="str">
        <f>IFERROR(__xludf.DUMMYFUNCTION("IF(REGEXMATCH(C281, ""P""), ""P"","""")"),"P")</f>
        <v>P</v>
      </c>
      <c r="GX281" s="295" t="str">
        <f>IFERROR(__xludf.DUMMYFUNCTION("IF(REGEXMATCH(C281, ""d""), ""D1"","""")"),"")</f>
        <v/>
      </c>
      <c r="GY281" s="294" t="str">
        <f>IFERROR(__xludf.DUMMYFUNCTION("IF(REGEXMATCH(C281, ""D""), ""D2"","""")"),"D2")</f>
        <v>D2</v>
      </c>
      <c r="GZ281" s="294" t="str">
        <f>IFERROR(__xludf.DUMMYFUNCTION("IF(REGEXMATCH(C281, ""n""), ""N2"","""")"),"N2")</f>
        <v>N2</v>
      </c>
      <c r="HA281" s="295" t="str">
        <f>IFERROR(__xludf.DUMMYFUNCTION("IF(REGEXMATCH(C281, ""N""), ""N3"","""")"),"")</f>
        <v/>
      </c>
      <c r="HB281" s="249" t="str">
        <f>IFERROR(__xludf.DUMMYFUNCTION("IF(REGEXMATCH(C281, ""S""), ""S"","""")"),"S")</f>
        <v>S</v>
      </c>
      <c r="HC281" s="331" t="str">
        <f t="shared" si="95"/>
        <v>S</v>
      </c>
      <c r="HD281" s="332" t="str">
        <f t="shared" si="96"/>
        <v/>
      </c>
      <c r="HE281" s="332" t="str">
        <f t="shared" si="97"/>
        <v>R</v>
      </c>
      <c r="HF281" s="332" t="str">
        <f t="shared" si="98"/>
        <v>g</v>
      </c>
      <c r="HG281" s="332" t="str">
        <f t="shared" si="99"/>
        <v/>
      </c>
      <c r="HH281" s="332" t="str">
        <f t="shared" si="100"/>
        <v>m</v>
      </c>
      <c r="HI281" s="332" t="str">
        <f t="shared" si="101"/>
        <v/>
      </c>
      <c r="HJ281" s="332" t="str">
        <f t="shared" si="102"/>
        <v>P</v>
      </c>
      <c r="HK281" s="332" t="str">
        <f t="shared" si="103"/>
        <v/>
      </c>
      <c r="HL281" s="332" t="str">
        <f t="shared" si="104"/>
        <v>D</v>
      </c>
      <c r="HM281" s="332" t="str">
        <f t="shared" si="105"/>
        <v>n</v>
      </c>
      <c r="HN281" s="332" t="str">
        <f t="shared" si="106"/>
        <v/>
      </c>
      <c r="HO281" s="343" t="str">
        <f t="shared" si="107"/>
        <v>S</v>
      </c>
      <c r="HP281" s="331" t="str">
        <f t="shared" si="108"/>
        <v>o</v>
      </c>
      <c r="HQ281" s="332" t="str">
        <f t="shared" si="109"/>
        <v>•</v>
      </c>
      <c r="HR281" s="332" t="str">
        <f t="shared" si="110"/>
        <v>o</v>
      </c>
      <c r="HS281" s="332" t="str">
        <f t="shared" si="111"/>
        <v>o</v>
      </c>
      <c r="HT281" s="332" t="str">
        <f t="shared" si="112"/>
        <v>•</v>
      </c>
      <c r="HU281" s="332" t="str">
        <f t="shared" si="113"/>
        <v>o</v>
      </c>
      <c r="HV281" s="332" t="str">
        <f t="shared" si="114"/>
        <v>•</v>
      </c>
      <c r="HW281" s="332" t="str">
        <f t="shared" si="115"/>
        <v>o</v>
      </c>
      <c r="HX281" s="332" t="str">
        <f t="shared" si="116"/>
        <v>•</v>
      </c>
      <c r="HY281" s="332" t="str">
        <f t="shared" si="117"/>
        <v>o</v>
      </c>
      <c r="HZ281" s="332" t="str">
        <f t="shared" si="118"/>
        <v>o</v>
      </c>
      <c r="IA281" s="332" t="str">
        <f t="shared" si="119"/>
        <v>•</v>
      </c>
      <c r="IB281" s="338" t="str">
        <f t="shared" si="120"/>
        <v>o</v>
      </c>
      <c r="IC281" s="331" t="str">
        <f t="shared" si="121"/>
        <v>•</v>
      </c>
      <c r="ID281" s="332" t="str">
        <f t="shared" si="122"/>
        <v>o</v>
      </c>
      <c r="IE281" s="332" t="str">
        <f t="shared" si="123"/>
        <v>•</v>
      </c>
      <c r="IF281" s="332" t="str">
        <f t="shared" si="124"/>
        <v>•</v>
      </c>
      <c r="IG281" s="332" t="str">
        <f t="shared" si="125"/>
        <v>o</v>
      </c>
      <c r="IH281" s="332" t="str">
        <f t="shared" si="126"/>
        <v>•</v>
      </c>
      <c r="II281" s="332" t="str">
        <f t="shared" si="127"/>
        <v>o</v>
      </c>
      <c r="IJ281" s="332" t="str">
        <f t="shared" si="128"/>
        <v>•</v>
      </c>
      <c r="IK281" s="332" t="str">
        <f t="shared" si="129"/>
        <v>o</v>
      </c>
      <c r="IL281" s="332" t="str">
        <f t="shared" si="130"/>
        <v>•</v>
      </c>
      <c r="IM281" s="332" t="str">
        <f t="shared" si="131"/>
        <v>•</v>
      </c>
      <c r="IN281" s="332" t="str">
        <f t="shared" si="132"/>
        <v>o</v>
      </c>
      <c r="IO281" s="338" t="str">
        <f t="shared" si="133"/>
        <v>•</v>
      </c>
      <c r="IP281" s="346" t="b">
        <f t="shared" si="134"/>
        <v>0</v>
      </c>
      <c r="IQ281" s="347" t="b">
        <f t="shared" si="135"/>
        <v>0</v>
      </c>
      <c r="IR281" s="347" t="b">
        <f t="shared" si="136"/>
        <v>0</v>
      </c>
      <c r="IS281" s="347" t="b">
        <f t="shared" si="137"/>
        <v>0</v>
      </c>
      <c r="IT281" s="347" t="b">
        <f t="shared" si="138"/>
        <v>0</v>
      </c>
      <c r="IU281" s="347" t="b">
        <f t="shared" si="139"/>
        <v>0</v>
      </c>
      <c r="IV281" s="347" t="b">
        <f t="shared" si="140"/>
        <v>0</v>
      </c>
      <c r="IW281" s="347" t="b">
        <f t="shared" si="141"/>
        <v>0</v>
      </c>
      <c r="IX281" s="347" t="b">
        <f t="shared" si="142"/>
        <v>0</v>
      </c>
      <c r="IY281" s="347" t="b">
        <f t="shared" si="143"/>
        <v>1</v>
      </c>
      <c r="IZ281" s="347" t="b">
        <f t="shared" si="144"/>
        <v>0</v>
      </c>
      <c r="JA281" s="347" t="b">
        <f t="shared" si="145"/>
        <v>0</v>
      </c>
      <c r="JB281" s="353" t="b">
        <f t="shared" si="146"/>
        <v>0</v>
      </c>
      <c r="JC281" s="354" t="str">
        <f t="shared" si="147"/>
        <v/>
      </c>
      <c r="JD281" s="355" t="str">
        <f t="shared" si="148"/>
        <v/>
      </c>
      <c r="JE281" s="355" t="str">
        <f t="shared" si="149"/>
        <v/>
      </c>
      <c r="JF281" s="355" t="str">
        <f t="shared" si="150"/>
        <v/>
      </c>
      <c r="JG281" s="355" t="str">
        <f t="shared" si="151"/>
        <v/>
      </c>
      <c r="JH281" s="355" t="str">
        <f t="shared" si="152"/>
        <v/>
      </c>
      <c r="JI281" s="355" t="str">
        <f t="shared" si="153"/>
        <v/>
      </c>
      <c r="JJ281" s="355" t="str">
        <f t="shared" si="154"/>
        <v/>
      </c>
      <c r="JK281" s="355" t="str">
        <f t="shared" si="155"/>
        <v/>
      </c>
      <c r="JL281" s="355" t="str">
        <f t="shared" si="156"/>
        <v>Dha, </v>
      </c>
      <c r="JM281" s="355" t="str">
        <f t="shared" si="157"/>
        <v/>
      </c>
      <c r="JN281" s="355" t="str">
        <f t="shared" si="158"/>
        <v/>
      </c>
      <c r="JO281" s="359" t="str">
        <f t="shared" si="159"/>
        <v/>
      </c>
      <c r="JP281" s="346" t="b">
        <f t="shared" si="160"/>
        <v>0</v>
      </c>
      <c r="JQ281" s="347" t="b">
        <f t="shared" si="161"/>
        <v>0</v>
      </c>
      <c r="JR281" s="347" t="b">
        <f t="shared" si="162"/>
        <v>0</v>
      </c>
      <c r="JS281" s="347" t="b">
        <f t="shared" si="163"/>
        <v>0</v>
      </c>
      <c r="JT281" s="347" t="b">
        <f t="shared" si="164"/>
        <v>0</v>
      </c>
      <c r="JU281" s="347" t="b">
        <f t="shared" si="165"/>
        <v>0</v>
      </c>
      <c r="JV281" s="347" t="b">
        <f t="shared" si="166"/>
        <v>0</v>
      </c>
      <c r="JW281" s="347" t="b">
        <f t="shared" si="167"/>
        <v>0</v>
      </c>
      <c r="JX281" s="347" t="b">
        <f t="shared" si="168"/>
        <v>0</v>
      </c>
      <c r="JY281" s="347" t="b">
        <f t="shared" si="169"/>
        <v>0</v>
      </c>
      <c r="JZ281" s="347" t="b">
        <f t="shared" si="170"/>
        <v>0</v>
      </c>
      <c r="KA281" s="347" t="b">
        <f t="shared" si="171"/>
        <v>0</v>
      </c>
      <c r="KB281" s="365" t="b">
        <f t="shared" si="172"/>
        <v>0</v>
      </c>
      <c r="KC281" s="354" t="str">
        <f t="shared" si="173"/>
        <v/>
      </c>
      <c r="KD281" s="355" t="str">
        <f t="shared" si="174"/>
        <v/>
      </c>
      <c r="KE281" s="355" t="str">
        <f t="shared" si="175"/>
        <v/>
      </c>
      <c r="KF281" s="355" t="str">
        <f t="shared" si="176"/>
        <v/>
      </c>
      <c r="KG281" s="355" t="str">
        <f t="shared" si="177"/>
        <v/>
      </c>
      <c r="KH281" s="355" t="str">
        <f t="shared" si="178"/>
        <v/>
      </c>
      <c r="KI281" s="355" t="str">
        <f t="shared" si="179"/>
        <v/>
      </c>
      <c r="KJ281" s="355" t="str">
        <f t="shared" si="180"/>
        <v/>
      </c>
      <c r="KK281" s="355" t="str">
        <f t="shared" si="181"/>
        <v/>
      </c>
      <c r="KL281" s="355" t="str">
        <f t="shared" si="182"/>
        <v/>
      </c>
      <c r="KM281" s="355" t="str">
        <f t="shared" si="183"/>
        <v/>
      </c>
      <c r="KN281" s="355" t="str">
        <f t="shared" si="184"/>
        <v/>
      </c>
      <c r="KO281" s="359"/>
      <c r="KP281" s="378"/>
      <c r="KQ281" s="379" t="s">
        <v>9</v>
      </c>
      <c r="KR281" s="380" t="s">
        <v>1297</v>
      </c>
      <c r="KS281" s="381" t="s">
        <v>9</v>
      </c>
      <c r="KT281" s="382">
        <f t="shared" si="186"/>
        <v>0</v>
      </c>
      <c r="KU281" s="383">
        <f t="shared" si="187"/>
        <v>0</v>
      </c>
      <c r="KV281" s="381" t="str">
        <f t="shared" si="205"/>
        <v>S-n-D-P-m-g-R-S</v>
      </c>
      <c r="KW281" s="382">
        <f t="shared" si="189"/>
        <v>7</v>
      </c>
      <c r="KX281" s="384">
        <f t="shared" si="190"/>
        <v>7</v>
      </c>
      <c r="KY281" s="382">
        <f t="shared" ref="KY281:KZ281" si="787">KW281-KT281</f>
        <v>7</v>
      </c>
      <c r="KZ281" s="369">
        <f t="shared" si="787"/>
        <v>7</v>
      </c>
      <c r="LA281" s="385" t="str">
        <f t="shared" si="192"/>
        <v>-</v>
      </c>
      <c r="LB281" s="340" t="str">
        <f>IFERROR(__xludf.DUMMYFUNCTION("JOIN("""",ArrayFormula(MID(KS281,LEN(KS281)-SEQUENCE(1,LEN(KS281))+1,1)))"),"S")</f>
        <v>S</v>
      </c>
      <c r="LC281" s="373" t="str">
        <f>IFERROR(__xludf.DUMMYFUNCTION("JOIN("""",ArrayFormula(MID(KV281,LEN(KV281)-SEQUENCE(1,LEN(KV281))+1,1)))"),"S-R-g-m-P-D-n-S")</f>
        <v>S-R-g-m-P-D-n-S</v>
      </c>
      <c r="LD281" s="373" t="str">
        <f t="shared" si="193"/>
        <v>S</v>
      </c>
      <c r="LE281" s="339" t="str">
        <f t="shared" si="194"/>
        <v>SRgmPDnS</v>
      </c>
      <c r="LF281" s="386" t="str">
        <f>IFERROR(__xludf.DUMMYFUNCTION("SUBSTITUTE(SUBSTITUTE(CONCATENATE(JOIN("""",LH281:LT281)),""1"",""""),""2"","""")"),"SRgmPDnS")</f>
        <v>SRgmPDnS</v>
      </c>
      <c r="LG281" s="369" t="str">
        <f t="shared" si="195"/>
        <v>✔</v>
      </c>
      <c r="LH281" s="387" t="str">
        <f>IFERROR(__xludf.DUMMYFUNCTION("IF(REGEXMATCH(LD281, ""S""), ""S"",IF(REGEXMATCH(LE281, ""S""), ""S"",""""))"),"S")</f>
        <v>S</v>
      </c>
      <c r="LI281" s="299" t="str">
        <f>IFERROR(__xludf.DUMMYFUNCTION("IF(REGEXMATCH(LD281, ""r""), ""r1"",IF(REGEXMATCH(LE281, ""r""), ""r2"",""""))"),"")</f>
        <v/>
      </c>
      <c r="LJ281" s="299" t="str">
        <f>IFERROR(__xludf.DUMMYFUNCTION("IF(REGEXMATCH(LD281, ""R""), ""R1"",IF(REGEXMATCH(LE281, ""R""), ""R2"",""""))"),"R2")</f>
        <v>R2</v>
      </c>
      <c r="LK281" s="299" t="str">
        <f>IFERROR(__xludf.DUMMYFUNCTION("IF(REGEXMATCH(LD281, ""g""), ""g1"",IF(REGEXMATCH(LE281, ""g""), ""g2"",""""))"),"g2")</f>
        <v>g2</v>
      </c>
      <c r="LL281" s="299" t="str">
        <f>IFERROR(__xludf.DUMMYFUNCTION("IF(REGEXMATCH(LD281, ""G""), ""G1"",IF(REGEXMATCH(LE281, ""G""), ""G2"",""""))"),"")</f>
        <v/>
      </c>
      <c r="LM281" s="299" t="str">
        <f>IFERROR(__xludf.DUMMYFUNCTION("IF(REGEXMATCH(LD281, ""m""), ""m1"",IF(REGEXMATCH(LE281, ""m""), ""m2"",""""))"),"m2")</f>
        <v>m2</v>
      </c>
      <c r="LN281" s="299" t="str">
        <f>IFERROR(__xludf.DUMMYFUNCTION("IF(REGEXMATCH(LD281, ""M""), ""M1"",IF(REGEXMATCH(LE281, ""M""), ""M2"",""""))"),"")</f>
        <v/>
      </c>
      <c r="LO281" s="299" t="str">
        <f>IFERROR(__xludf.DUMMYFUNCTION("IF(REGEXMATCH(LD281, ""P""), ""P1"",IF(REGEXMATCH(LE281, ""P""), ""P2"",""""))"),"P2")</f>
        <v>P2</v>
      </c>
      <c r="LP281" s="299" t="str">
        <f>IFERROR(__xludf.DUMMYFUNCTION("IF(REGEXMATCH(LD281, ""d""), ""d1"",IF(REGEXMATCH(LE281, ""d""), ""d2"",""""))"),"")</f>
        <v/>
      </c>
      <c r="LQ281" s="299" t="str">
        <f>IFERROR(__xludf.DUMMYFUNCTION("IF(REGEXMATCH(LD281, ""D""), ""D1"",IF(REGEXMATCH(LE281, ""D""), ""D2"",""""))"),"D2")</f>
        <v>D2</v>
      </c>
      <c r="LR281" s="299" t="str">
        <f>IFERROR(__xludf.DUMMYFUNCTION("IF(REGEXMATCH(LD281, ""n""), ""n1"",IF(REGEXMATCH(LE281, ""n""), ""n2"",""""))"),"n2")</f>
        <v>n2</v>
      </c>
      <c r="LS281" s="299" t="str">
        <f>IFERROR(__xludf.DUMMYFUNCTION("IF(REGEXMATCH(LD281, ""N""), ""N1"",IF(REGEXMATCH(LE281, ""N""), ""N2"",""""))"),"")</f>
        <v/>
      </c>
      <c r="LT281" s="388" t="str">
        <f>IFERROR(__xludf.DUMMYFUNCTION("IF(REGEXMATCH(LD281, ""S""), ""S"",IF(REGEXMATCH(LE281, ""S""), ""S"",""""))"),"S")</f>
        <v>S</v>
      </c>
      <c r="LU281" s="389">
        <f t="shared" si="196"/>
        <v>-13</v>
      </c>
      <c r="LV281" s="378"/>
      <c r="LW281" s="369"/>
      <c r="LX281" s="369"/>
    </row>
    <row r="282" ht="18.0" customHeight="1">
      <c r="A282" s="298" t="s">
        <v>1081</v>
      </c>
      <c r="B282" s="222" t="s">
        <v>1082</v>
      </c>
      <c r="C282" s="233" t="str">
        <f t="shared" si="7"/>
        <v>SRGMDNS</v>
      </c>
      <c r="D282" s="234" t="str">
        <f>IFERROR(__xludf.DUMMYFUNCTION("IF(REGEXMATCH(C282, ""S""), ""S"","""")"),"S")</f>
        <v>S</v>
      </c>
      <c r="E282" s="236" t="str">
        <f>IFERROR(__xludf.DUMMYFUNCTION("IF(REGEXMATCH(C282, ""r""), ""r"","""")"),"")</f>
        <v/>
      </c>
      <c r="F282" s="237" t="str">
        <f>IFERROR(__xludf.DUMMYFUNCTION("IF(REGEXMATCH(C282, ""R""), ""R"","""")"),"R")</f>
        <v>R</v>
      </c>
      <c r="G282" s="237" t="str">
        <f>IFERROR(__xludf.DUMMYFUNCTION("IF(REGEXMATCH(C282, ""g""), ""g"","""")"),"")</f>
        <v/>
      </c>
      <c r="H282" s="236" t="str">
        <f>IFERROR(__xludf.DUMMYFUNCTION("IF(REGEXMATCH(C282, ""G""), ""G"","""")"),"G")</f>
        <v>G</v>
      </c>
      <c r="I282" s="236" t="str">
        <f>IFERROR(__xludf.DUMMYFUNCTION("IF(REGEXMATCH(C282, ""m""), ""m"","""")"),"")</f>
        <v/>
      </c>
      <c r="J282" s="237" t="str">
        <f>IFERROR(__xludf.DUMMYFUNCTION("IF(REGEXMATCH(C282, ""M""), ""M"","""")"),"M")</f>
        <v>M</v>
      </c>
      <c r="K282" s="236" t="str">
        <f>IFERROR(__xludf.DUMMYFUNCTION("IF(REGEXMATCH(C282, ""P""), ""P"","""")"),"")</f>
        <v/>
      </c>
      <c r="L282" s="237" t="str">
        <f>IFERROR(__xludf.DUMMYFUNCTION("IF(REGEXMATCH(C282, ""d""), ""d"","""")"),"")</f>
        <v/>
      </c>
      <c r="M282" s="236" t="str">
        <f>IFERROR(__xludf.DUMMYFUNCTION("IF(REGEXMATCH(C282, ""D""), ""D"","""")"),"D")</f>
        <v>D</v>
      </c>
      <c r="N282" s="236" t="str">
        <f>IFERROR(__xludf.DUMMYFUNCTION("IF(REGEXMATCH(C282, ""n""), ""n"","""")"),"")</f>
        <v/>
      </c>
      <c r="O282" s="237" t="str">
        <f>IFERROR(__xludf.DUMMYFUNCTION("IF(REGEXMATCH(C282, ""N""), ""N"","""")"),"N")</f>
        <v>N</v>
      </c>
      <c r="P282" s="238" t="str">
        <f>IFERROR(__xludf.DUMMYFUNCTION("IF(REGEXMATCH(C282, ""S""), ""S"","""")"),"S")</f>
        <v>S</v>
      </c>
      <c r="Q282" s="239" t="str">
        <f>IFERROR(__xludf.DUMMYFUNCTION("SUBSTITUTE(CONCATENATE(JOIN(""-"",D282:J282)),""-"","""")"),"SRGM")</f>
        <v>SRGM</v>
      </c>
      <c r="R282" s="229" t="str">
        <f>IFERROR(__xludf.DUMMYFUNCTION("SUBSTITUTE(CONCATENATE(JOIN(""-"",K282:P282)),""-"","""")"),"DNS")</f>
        <v>DNS</v>
      </c>
      <c r="S282" s="282" t="str">
        <f t="shared" si="8"/>
        <v>S-R-G-M</v>
      </c>
      <c r="T282" s="282" t="str">
        <f t="shared" si="9"/>
        <v>D-N-S</v>
      </c>
      <c r="U282" s="237" t="str">
        <f>IFERROR(__xludf.DUMMYFUNCTION("SUBSTITUTE(JOIN(""-"",S282,T282),""--"",""-"")"),"S-R-G-M-D-N-S")</f>
        <v>S-R-G-M-D-N-S</v>
      </c>
      <c r="V282" s="309" t="str">
        <f t="shared" si="10"/>
        <v>RGMDN</v>
      </c>
      <c r="W282" s="244" t="str">
        <f>IFERROR(__xludf.DUMMYFUNCTION("IF(REGEXMATCH(C282, ""S""), ""0"","""")"),"0")</f>
        <v>0</v>
      </c>
      <c r="X282" s="245" t="str">
        <f>IFERROR(__xludf.DUMMYFUNCTION("IF(REGEXMATCH(C282, ""r""), ""1"","""")"),"")</f>
        <v/>
      </c>
      <c r="Y282" s="246" t="str">
        <f>IFERROR(__xludf.DUMMYFUNCTION("IF(REGEXMATCH(C282, ""R""), ""2"","""")"),"2")</f>
        <v>2</v>
      </c>
      <c r="Z282" s="246" t="str">
        <f>IFERROR(__xludf.DUMMYFUNCTION("IF(REGEXMATCH(C282, ""g""), ""3"","""")"),"")</f>
        <v/>
      </c>
      <c r="AA282" s="245" t="str">
        <f>IFERROR(__xludf.DUMMYFUNCTION("IF(REGEXMATCH(C282, ""G""), ""4"","""")"),"4")</f>
        <v>4</v>
      </c>
      <c r="AB282" s="245" t="str">
        <f>IFERROR(__xludf.DUMMYFUNCTION("IF(REGEXMATCH(C282, ""m""), ""5"","""")"),"")</f>
        <v/>
      </c>
      <c r="AC282" s="246" t="str">
        <f>IFERROR(__xludf.DUMMYFUNCTION("IF(REGEXMATCH(C282, ""M""), ""6"","""")"),"6")</f>
        <v>6</v>
      </c>
      <c r="AD282" s="245" t="str">
        <f>IFERROR(__xludf.DUMMYFUNCTION("IF(REGEXMATCH(C282, ""P""), ""7"","""")"),"")</f>
        <v/>
      </c>
      <c r="AE282" s="246" t="str">
        <f>IFERROR(__xludf.DUMMYFUNCTION("IF(REGEXMATCH(C282, ""d""), ""8"","""")"),"")</f>
        <v/>
      </c>
      <c r="AF282" s="245" t="str">
        <f>IFERROR(__xludf.DUMMYFUNCTION("IF(REGEXMATCH(C282, ""D""), ""9"","""")"),"9")</f>
        <v>9</v>
      </c>
      <c r="AG282" s="245" t="str">
        <f>IFERROR(__xludf.DUMMYFUNCTION("IF(REGEXMATCH(C282, ""n""), ""10"","""")"),"")</f>
        <v/>
      </c>
      <c r="AH282" s="246" t="str">
        <f>IFERROR(__xludf.DUMMYFUNCTION("IF(REGEXMATCH(C282, ""N""), ""11"","""")"),"11")</f>
        <v>11</v>
      </c>
      <c r="AI282" s="249" t="str">
        <f>IFERROR(__xludf.DUMMYFUNCTION("IF(REGEXMATCH(C282, ""S""), ""0"","""")"),"0")</f>
        <v>0</v>
      </c>
      <c r="AJ282" s="313" t="str">
        <f t="shared" si="11"/>
        <v>T</v>
      </c>
      <c r="AK282" s="313" t="str">
        <f t="shared" si="12"/>
        <v>-</v>
      </c>
      <c r="AL282" s="313" t="str">
        <f t="shared" si="13"/>
        <v>-</v>
      </c>
      <c r="AM282" s="313" t="str">
        <f t="shared" si="14"/>
        <v>-</v>
      </c>
      <c r="AN282" s="313" t="str">
        <f t="shared" si="15"/>
        <v>-</v>
      </c>
      <c r="AO282" s="314" t="str">
        <f t="shared" si="16"/>
        <v>-</v>
      </c>
      <c r="AP282" s="316">
        <f t="shared" si="17"/>
        <v>1</v>
      </c>
      <c r="AQ282" s="319" t="str">
        <f t="shared" si="18"/>
        <v>#REF!</v>
      </c>
      <c r="AR282" s="320">
        <f t="shared" si="19"/>
        <v>0</v>
      </c>
      <c r="AS282" s="250" t="str">
        <f>IFERROR(__xludf.DUMMYFUNCTION("SUBSTITUTE(SUBSTITUTE(CONCATENATE(JOIN("""",FP282:GA282)),""|"",""x""),""-"",""o"")"),"xoxoxoxooxox")</f>
        <v>xoxoxoxooxox</v>
      </c>
      <c r="AT282" s="323" t="str">
        <f>IFERROR(__xludf.DUMMYFUNCTION("JOIN("""",AS282,AS282)"),"xoxoxoxooxoxxoxoxoxooxox")</f>
        <v>xoxoxoxooxoxxoxoxoxooxox</v>
      </c>
      <c r="AU282" s="256" t="str">
        <f>IFERROR(__xludf.DUMMYFUNCTION("JOIN("""",ArrayFormula(MID(AS282,LEN(AS282)-SEQUENCE(1,LEN(AS282))+1,1)))"),"xoxooxoxoxox")</f>
        <v>xoxooxoxoxox</v>
      </c>
      <c r="AV282" s="256" t="str">
        <f>IFERROR(__xludf.DUMMYFUNCTION("LEFT(CONCATENATE(""x"",JOIN("""",ArrayFormula(MID(AS282,LEN(AS282)-SEQUENCE(1,LEN(AS282))+1,1)))),12)"),"xxoxooxoxoxo")</f>
        <v>xxoxooxoxoxo</v>
      </c>
      <c r="AW282" s="327" t="str">
        <f>IFERROR(__xludf.DUMMYFUNCTION("JOIN("""",AU282,AU282)"),"xoxooxoxoxoxxoxooxoxoxox")</f>
        <v>xoxooxoxoxoxxoxooxoxoxox</v>
      </c>
      <c r="AX282" s="239" t="str">
        <f>IFERROR(__xludf.DUMMYFUNCTION("IF(REGEXMATCH(AW282,AS282),""✔"",""-"")"),"-")</f>
        <v>-</v>
      </c>
      <c r="AY282" s="330" t="str">
        <f t="shared" si="20"/>
        <v>-</v>
      </c>
      <c r="AZ282" s="260" t="str">
        <f t="shared" si="21"/>
        <v>#REF!</v>
      </c>
      <c r="BA282" s="333" t="str">
        <f t="shared" si="22"/>
        <v>xoxoxox</v>
      </c>
      <c r="BB282" s="334" t="str">
        <f t="shared" si="23"/>
        <v>ooxoxx</v>
      </c>
      <c r="BC282" s="335" t="str">
        <f t="shared" si="236"/>
        <v>-</v>
      </c>
      <c r="BD282" s="336" t="str">
        <f t="shared" si="25"/>
        <v>Raj Kalyan: 'xoxoxox' + 'ooxoxx'</v>
      </c>
      <c r="BE282" s="337">
        <f>IFERROR(__xludf.DUMMYFUNCTION("COUNTUNIQUE(FILTER(AT:AT,REGEXMATCH(AT:AT,AS282)))-1"),1.0)</f>
        <v>1</v>
      </c>
      <c r="BF282" s="261" t="str">
        <f>IFERROR(__xludf.DUMMYFUNCTION("IF(BI282=0,""(n/a)"",IF(BJ282=2,""(PAIR)"",IF(REGEXMATCH(AT282,""xoxoxxoxoxox""),""Bilawal"",IF(REGEXMATCH(AT282,""xoxoxooxoxoo""),""Bhupali"",IF(REGEXMATCH(AT282,""xoxoxxoxxoxo""),""Charukeshi"",IF(REGEXMATCH(AT282,""xoxoooxxoxxo""),""Kameshwari"",IF(REG"&amp;"EXMATCH(AT282,""xoxoxooxoxox""),""Shankara"",IF(REGEXMATCH(AT282,""xxooxoxxxoox""),""Basant"",IF(REGEXMATCH(AT282,""xoxoxxxxoxox""),""Bihag"",IF(REGEXMATCH(AT282,""xoxxxxoxoxxx""),""Pilu"",IF(REGEXMATCH(AT282,""xoxxoxoxxoox""),""Kirwani"",IF(REGEXMATCH(AT"&amp;"282,""xoxxoxoxoxxx""),""Mk.Malhar"",IF(REGEXMATCH(AT282,""xxooxxoxxoox""),""Bhairav"",IF(REGEXMATCH(AT282,""xxoxooxxxoox""),""Todi"",IF(REGEXMATCH(AT282,""xxooxoxooxox""),""Marwa"",IF(REGEXMATCH(AT282,""xxoooxoxxooo""),""Gunkali"",IF(REGEXMATCH(AT282,""xo"&amp;"xoxxoxxoox""),""Nat Bhairav"",IF(REGEXMATCH(AT282,""xoxxoooxoxoo""),""Shivranjani"",IF(REGEXMATCH(AT282,""xooxxxoxooxo""),""Jog"",IF(REGEXMATCH(AT282,""xxooxoxoxoox""),""Hemshri"",IF(REGEXMATCH(AT282,""xoooxooxoxxo""),""Kalavati"",IF(REGEXMATCH(AT282,""xx"&amp;"oxoxxoxoox""),""Kedar"",IF(REGEXMATCH(AT282,""xoxxxxoxooxx""),""Gara"",IF(REGEXMATCH(AT282,""xooxoxooxoox""),""Chandrakauns"",IF(REGEXMATCH(AT282,""xoxxxxoxxxox""),""Mand"",IF(REGEXMATCH(AT282,""xoxxxxoxoxox""),""Hanskinkini"",IF(REGEXMATCH(AT282,""xxooxx"&amp;"oxooxo""),""Lilavati"",IF(REGEXMATCH(AT282,""xooxoxoooxox""),""Rajeshwari"",IF(REGEXMATCH(AT282,""xoooxxoxoxxx""),""Khokar"",IF(REGEXMATCH(AT282,""xxooxoxxxxox""),""Maligoura"",""-""))))))))))))))))))))))))))))))"),"-")</f>
        <v>-</v>
      </c>
      <c r="BG282" s="239" t="str">
        <f t="shared" si="26"/>
        <v>#REF!</v>
      </c>
      <c r="BH282" s="239">
        <f>IFERROR(__xludf.DUMMYFUNCTION("COUNTUNIQUE(FE282:FO282)-1"),5.0)</f>
        <v>5</v>
      </c>
      <c r="BI282" s="239">
        <f>IFERROR(__xludf.DUMMYFUNCTION("COUNTUNIQUE(FILTER(AT:AT,REGEXMATCH(AT:AT,AS282)))-1"),1.0)</f>
        <v>1</v>
      </c>
      <c r="BJ282" s="239">
        <f>IFERROR(__xludf.DUMMYFUNCTION("COUNTA(FILTER(AT:AT,REGEXMATCH(AT:AT,AS282)))"),3.0)</f>
        <v>3</v>
      </c>
      <c r="BK282" s="341">
        <f>IFERROR(__xludf.DUMMYFUNCTION("COUNTA(FILTER(AT:AT,REGEXMATCH(AT:AT,AS282)))-AR282"),3.0)</f>
        <v>3</v>
      </c>
      <c r="BL282" s="276" t="str">
        <f>IFERROR(__xludf.DUMMYFUNCTION("IF(AS282=""oooooooooooo"",""-"",IF(REGEXMATCH(AT282,""xx""), ""Hemi."", ""Anhemi.""))"),"Hemi.")</f>
        <v>Hemi.</v>
      </c>
      <c r="BM282" s="282" t="str">
        <f>IFERROR(__xludf.DUMMYFUNCTION("IF(AS282=""oooooooooooo"",""-"",IF(REGEXMATCH(AT282,""xxx""), ""Cohem."", ""-""))"),"-")</f>
        <v>-</v>
      </c>
      <c r="BN282" s="282" t="str">
        <f>IFERROR(__xludf.DUMMYFUNCTION("IF(AS282=""oooooooooooo"",""-"",IF(REGEXMATCH(AT282,""xxxx""), ""Co-Co."", ""-""))"),"-")</f>
        <v>-</v>
      </c>
      <c r="BO282" s="342" t="str">
        <f>IFERROR(__xludf.DUMMYFUNCTION("IF(AS282=""oooooooooooo"",""-"",IF(REGEXMATCH(AT282,""xxxxx""), ""CCC."", ""-""))"),"-")</f>
        <v>-</v>
      </c>
      <c r="BP282" s="344" t="str">
        <f t="shared" si="27"/>
        <v>-</v>
      </c>
      <c r="BQ282" s="282" t="str">
        <f>IFERROR(__xludf.DUMMYFUNCTION("IF(REGEXMATCH(JOIN(""-"",EU282:FD282),""TRUE""),""✔"",""-"")"),"✔")</f>
        <v>✔</v>
      </c>
      <c r="BR282" s="225">
        <f t="shared" si="28"/>
        <v>1</v>
      </c>
      <c r="BS282" s="345" t="str">
        <f>IFERROR(__xludf.DUMMYFUNCTION("SUBSTITUTE(SUBSTITUTE(SUBSTITUTE(SUBSTITUTE(CONCATENATE(JOIN(""-"",GC282:GO282)),""--"",""-""),""--"",""-""),""--"",""-""),""--"",""-"")"),"1-2-3-#4-6-7-8")</f>
        <v>1-2-3-#4-6-7-8</v>
      </c>
      <c r="BT282" s="299" t="str">
        <f>IFERROR(__xludf.DUMMYFUNCTION("SUBSTITUTE(SUBSTITUTE(SUBSTITUTE(SUBSTITUTE(CONCATENATE(JOIN(""-"",GP282:HB282)),""--"",""-""),""--"",""-""),""--"",""-""),""--"",""-"")"),"S-R2-G3-M2-D2-N3-S")</f>
        <v>S-R2-G3-M2-D2-N3-S</v>
      </c>
      <c r="BU282" s="348" t="str">
        <f t="shared" si="29"/>
        <v>C-D-E-F#-A-B-C</v>
      </c>
      <c r="BV282" s="349" t="str">
        <f t="shared" si="30"/>
        <v>SrgmPdnS</v>
      </c>
      <c r="BW282" s="350">
        <f t="shared" si="31"/>
        <v>4</v>
      </c>
      <c r="BX282" s="351">
        <f t="shared" si="32"/>
        <v>2</v>
      </c>
      <c r="BY282" s="392"/>
      <c r="BZ282" s="309" t="str">
        <f>IFERROR(__xludf.DUMMYFUNCTION("IF(REGEXMATCH(C282, ""S""), ""x"",""x"")"),"x")</f>
        <v>x</v>
      </c>
      <c r="CA282" s="245" t="str">
        <f>IFERROR(__xludf.DUMMYFUNCTION("IF(REGEXMATCH(C282, ""r""), ""o"",""x"")"),"x")</f>
        <v>x</v>
      </c>
      <c r="CB282" s="246" t="str">
        <f>IFERROR(__xludf.DUMMYFUNCTION("IF(REGEXMATCH(C282, ""R""), ""o"",""x"")"),"o")</f>
        <v>o</v>
      </c>
      <c r="CC282" s="246" t="str">
        <f>IFERROR(__xludf.DUMMYFUNCTION("IF(REGEXMATCH(C282, ""g""), ""o"",""x"")"),"x")</f>
        <v>x</v>
      </c>
      <c r="CD282" s="245" t="str">
        <f>IFERROR(__xludf.DUMMYFUNCTION("IF(REGEXMATCH(C282, ""G""), ""o"",""x"")"),"o")</f>
        <v>o</v>
      </c>
      <c r="CE282" s="245" t="str">
        <f>IFERROR(__xludf.DUMMYFUNCTION("IF(REGEXMATCH(C282, ""m""), ""o"",""x"")"),"x")</f>
        <v>x</v>
      </c>
      <c r="CF282" s="246" t="str">
        <f>IFERROR(__xludf.DUMMYFUNCTION("IF(REGEXMATCH(C282, ""M""), ""o"",""x"")"),"o")</f>
        <v>o</v>
      </c>
      <c r="CG282" s="245" t="str">
        <f>IFERROR(__xludf.DUMMYFUNCTION("IF(REGEXMATCH(C282, ""P""), ""o"",""x"")"),"x")</f>
        <v>x</v>
      </c>
      <c r="CH282" s="246" t="str">
        <f>IFERROR(__xludf.DUMMYFUNCTION("IF(REGEXMATCH(C282, ""d""), ""o"",""x"")"),"x")</f>
        <v>x</v>
      </c>
      <c r="CI282" s="245" t="str">
        <f>IFERROR(__xludf.DUMMYFUNCTION("IF(REGEXMATCH(C282, ""D""), ""o"",""x"")"),"o")</f>
        <v>o</v>
      </c>
      <c r="CJ282" s="245" t="str">
        <f>IFERROR(__xludf.DUMMYFUNCTION("IF(REGEXMATCH(C282, ""n""), ""o"",""x"")"),"x")</f>
        <v>x</v>
      </c>
      <c r="CK282" s="245" t="str">
        <f>IFERROR(__xludf.DUMMYFUNCTION("IF(REGEXMATCH(C282, ""N""), ""o"",""x"")"),"o")</f>
        <v>o</v>
      </c>
      <c r="CL282" s="356" t="str">
        <f>IFERROR(__xludf.DUMMYFUNCTION("IF(REGEXMATCH(C282, ""S""), ""x"",""x"")"),"x")</f>
        <v>x</v>
      </c>
      <c r="CM282" s="357" t="str">
        <f t="shared" si="33"/>
        <v>xxoxoxoxxoxo</v>
      </c>
      <c r="CN282" s="358">
        <f t="shared" si="34"/>
        <v>4</v>
      </c>
      <c r="CO282" s="246" t="str">
        <f>IFERROR(__xludf.DUMMYFUNCTION("IF(REGEXMATCH($C282, ""S""), ""S"",""S"")"),"S")</f>
        <v>S</v>
      </c>
      <c r="CP282" s="246" t="str">
        <f>IFERROR(__xludf.DUMMYFUNCTION("IF(REGEXMATCH($C282, ""r""), """",""r"")"),"r")</f>
        <v>r</v>
      </c>
      <c r="CQ282" s="246" t="str">
        <f>IFERROR(__xludf.DUMMYFUNCTION("IF(REGEXMATCH($C282, ""R""), """",""R"")"),"")</f>
        <v/>
      </c>
      <c r="CR282" s="246" t="str">
        <f>IFERROR(__xludf.DUMMYFUNCTION("IF(REGEXMATCH($C282, ""g""), """",""g"")"),"g")</f>
        <v>g</v>
      </c>
      <c r="CS282" s="246" t="str">
        <f>IFERROR(__xludf.DUMMYFUNCTION("IF(REGEXMATCH($C282, ""G""), """",""G"")"),"")</f>
        <v/>
      </c>
      <c r="CT282" s="246" t="str">
        <f>IFERROR(__xludf.DUMMYFUNCTION("IF(REGEXMATCH($C282, ""m""), """",""m"")"),"m")</f>
        <v>m</v>
      </c>
      <c r="CU282" s="246" t="str">
        <f>IFERROR(__xludf.DUMMYFUNCTION("IF(REGEXMATCH($C282, ""M""), """",""M"")"),"")</f>
        <v/>
      </c>
      <c r="CV282" s="246" t="str">
        <f>IFERROR(__xludf.DUMMYFUNCTION("IF(REGEXMATCH($C282, ""P""), """",""P"")"),"P")</f>
        <v>P</v>
      </c>
      <c r="CW282" s="246" t="str">
        <f>IFERROR(__xludf.DUMMYFUNCTION("IF(REGEXMATCH($C282, ""d""), """",""d"")"),"d")</f>
        <v>d</v>
      </c>
      <c r="CX282" s="246" t="str">
        <f>IFERROR(__xludf.DUMMYFUNCTION("IF(REGEXMATCH($C282, ""D""), """",""D"")"),"")</f>
        <v/>
      </c>
      <c r="CY282" s="246" t="str">
        <f>IFERROR(__xludf.DUMMYFUNCTION("IF(REGEXMATCH($C282, ""n""), """",""n"")"),"n")</f>
        <v>n</v>
      </c>
      <c r="CZ282" s="246" t="str">
        <f>IFERROR(__xludf.DUMMYFUNCTION("IF(REGEXMATCH($C282, ""N""), """",""N"")"),"")</f>
        <v/>
      </c>
      <c r="DA282" s="246" t="str">
        <f>IFERROR(__xludf.DUMMYFUNCTION("IF(REGEXMATCH($C282, ""S""), ""S"",""S"")"),"S")</f>
        <v>S</v>
      </c>
      <c r="DB282" s="362" t="str">
        <f>IFERROR(__xludf.DUMMYFUNCTION("JOIN("""",CO282:DA282,"""","""")"),"SrgmPdnS")</f>
        <v>SrgmPdnS</v>
      </c>
      <c r="DC282" s="363"/>
      <c r="DD282" s="301" t="str">
        <f t="shared" si="35"/>
        <v>#REF!</v>
      </c>
      <c r="DE282" s="302" t="str">
        <f t="shared" si="36"/>
        <v>#REF!</v>
      </c>
      <c r="DF282" s="301" t="str">
        <f t="shared" ref="DF282:DG282" si="788">SUBSTITUTE(S282,"-","")</f>
        <v>SRGM</v>
      </c>
      <c r="DG282" s="301" t="str">
        <f t="shared" si="788"/>
        <v>DNS</v>
      </c>
      <c r="DH282" s="302" t="str">
        <f t="shared" si="38"/>
        <v>-</v>
      </c>
      <c r="DI282" s="301" t="str">
        <f t="shared" si="39"/>
        <v>Hemi.</v>
      </c>
      <c r="DJ282" s="364" t="str">
        <f t="shared" si="40"/>
        <v>-</v>
      </c>
      <c r="DK282" s="306" t="str">
        <f t="shared" si="41"/>
        <v>-</v>
      </c>
      <c r="DL282" s="366" t="str">
        <f t="shared" si="42"/>
        <v>✔</v>
      </c>
      <c r="DM282" s="308" t="str">
        <f t="shared" si="43"/>
        <v>-</v>
      </c>
      <c r="DN282" s="306" t="str">
        <f t="shared" si="44"/>
        <v>-</v>
      </c>
      <c r="DO282" s="306" t="str">
        <f t="shared" si="45"/>
        <v>-</v>
      </c>
      <c r="DP282" s="367" t="str">
        <f t="shared" si="46"/>
        <v>✔</v>
      </c>
      <c r="DQ282" s="310" t="str">
        <f t="shared" si="47"/>
        <v>-</v>
      </c>
      <c r="DR282" s="310" t="str">
        <f t="shared" si="48"/>
        <v>-</v>
      </c>
      <c r="DS282" s="310" t="str">
        <f t="shared" si="49"/>
        <v>-</v>
      </c>
      <c r="DT282" s="310" t="str">
        <f t="shared" si="50"/>
        <v>-</v>
      </c>
      <c r="DU282" s="370" t="str">
        <f t="shared" si="51"/>
        <v>-</v>
      </c>
      <c r="DV282" s="306" t="str">
        <f t="shared" si="52"/>
        <v>-</v>
      </c>
      <c r="DW282" s="306" t="str">
        <f t="shared" si="53"/>
        <v>-</v>
      </c>
      <c r="DX282" s="306" t="str">
        <f t="shared" si="54"/>
        <v>-</v>
      </c>
      <c r="DY282" s="306" t="str">
        <f t="shared" si="55"/>
        <v>✔</v>
      </c>
      <c r="DZ282" s="306" t="str">
        <f t="shared" si="56"/>
        <v>-</v>
      </c>
      <c r="EA282" s="367" t="str">
        <f t="shared" si="57"/>
        <v>-</v>
      </c>
      <c r="EB282" s="310" t="str">
        <f>IFERROR(__xludf.DUMMYFUNCTION("IF(REGEXMATCH(AW282,AS282),""✔"",""-"")"),"-")</f>
        <v>-</v>
      </c>
      <c r="EC282" s="310" t="str">
        <f t="shared" si="58"/>
        <v>#REF!</v>
      </c>
      <c r="ED282" s="370" t="str">
        <f t="shared" si="59"/>
        <v>-</v>
      </c>
      <c r="EE282" s="340" t="str">
        <f t="shared" si="60"/>
        <v>S-R-G-M-D-N-S</v>
      </c>
      <c r="EF282" s="371" t="str">
        <f>IFERROR(__xludf.DUMMYFUNCTION("CONCATENATE(JOIN("""",HC282:HO282))"),"SrgMdnS")</f>
        <v>SrgMdnS</v>
      </c>
      <c r="EG282" s="372">
        <f t="shared" si="61"/>
        <v>2</v>
      </c>
      <c r="EH282" s="373" t="str">
        <f>IFERROR(__xludf.DUMMYFUNCTION("CONCATENATE(JOIN("""",JC282:JO282))"),"Sa, Ma, ")</f>
        <v>Sa, Ma, </v>
      </c>
      <c r="EI282" s="322">
        <f t="shared" si="62"/>
        <v>1</v>
      </c>
      <c r="EJ282" s="374" t="str">
        <f>IFERROR(__xludf.DUMMYFUNCTION("CONCATENATE(JOIN("""",KC282:KO282))"),"Sa, ")</f>
        <v>Sa, </v>
      </c>
      <c r="EK282" s="325" t="str">
        <f t="shared" si="63"/>
        <v>S-R2-G3-M2-D2-N3-S</v>
      </c>
      <c r="EL282" s="326" t="str">
        <f t="shared" si="64"/>
        <v>1-2-3-#4-6-7-8</v>
      </c>
      <c r="EM282" s="318" t="str">
        <f t="shared" si="65"/>
        <v>#REF!</v>
      </c>
      <c r="EN282" s="328" t="str">
        <f>IFERROR(__xludf.DUMMYFUNCTION("SUBSTITUTE(SUBSTITUTE(SUBSTITUTE(SUBSTITUTE(CONCATENATE(JOIN("" "",HP282:IB282)),""  "","" ""),""  "","" ""),""  "","" ""),""  "","" "")"),"o • o • o • o • • o • o o")</f>
        <v>o • o • o • o • • o • o o</v>
      </c>
      <c r="EO282" s="368" t="str">
        <f t="shared" si="66"/>
        <v>Sa-Pa</v>
      </c>
      <c r="EP282" s="339" t="str">
        <f t="shared" si="67"/>
        <v>Sa-Pa</v>
      </c>
      <c r="EQ282" s="339" t="str">
        <f t="shared" si="68"/>
        <v>-</v>
      </c>
      <c r="ER282" s="339" t="str">
        <f t="shared" si="69"/>
        <v>-</v>
      </c>
      <c r="ES282" s="340" t="str">
        <f t="shared" si="70"/>
        <v>-</v>
      </c>
      <c r="ET282" s="363"/>
      <c r="EU282" s="376" t="b">
        <f>IFERROR(__xludf.DUMMYFUNCTION("arrayformula(sum(--REGEXMATCH(""SRGMPDNS"",split(REGEXREPLACE(C282,""(.)"",""$1~""),""~""))))=len(C282)
"),TRUE)</f>
        <v>1</v>
      </c>
      <c r="EV282" s="290" t="b">
        <f>IFERROR(__xludf.DUMMYFUNCTION("arrayformula(sum(--REGEXMATCH(""SRGmPDNS"",split(REGEXREPLACE(C282,""(.)"",""$1~""),""~""))))=len(C282)"),FALSE)</f>
        <v>0</v>
      </c>
      <c r="EW282" s="290" t="b">
        <f>IFERROR(__xludf.DUMMYFUNCTION("arrayformula(sum(--REGEXMATCH(""SRGmPDnS"",split(REGEXREPLACE(C282,""(.)"",""$1~""),""~""))))=len(C282)"),FALSE)</f>
        <v>0</v>
      </c>
      <c r="EX282" s="290" t="b">
        <f>IFERROR(__xludf.DUMMYFUNCTION("arrayformula(sum(--REGEXMATCH(""SRgmPDnS"",split(REGEXREPLACE(C282,""(.)"",""$1~""),""~""))))=len(C282)"),FALSE)</f>
        <v>0</v>
      </c>
      <c r="EY282" s="290" t="b">
        <f>IFERROR(__xludf.DUMMYFUNCTION("arrayformula(sum(--REGEXMATCH(""SRgmPdnS"",split(REGEXREPLACE(C282,""(.)"",""$1~""),""~""))))=len(C282)"),FALSE)</f>
        <v>0</v>
      </c>
      <c r="EZ282" s="290" t="b">
        <f>IFERROR(__xludf.DUMMYFUNCTION("arrayformula(sum(--REGEXMATCH(""SrgmPdnS"",split(REGEXREPLACE(C282,""(.)"",""$1~""),""~""))))=len(C282)"),FALSE)</f>
        <v>0</v>
      </c>
      <c r="FA282" s="290" t="b">
        <f>IFERROR(__xludf.DUMMYFUNCTION("arrayformula(sum(--REGEXMATCH(""SrGmPdNS"",split(REGEXREPLACE(C282,""(.)"",""$1~""),""~""))))=len(C282)"),FALSE)</f>
        <v>0</v>
      </c>
      <c r="FB282" s="290" t="b">
        <f>IFERROR(__xludf.DUMMYFUNCTION("arrayformula(sum(--REGEXMATCH(""SrGMPDNS"",split(REGEXREPLACE(C282,""(.)"",""$1~""),""~""))))=len(C282)"),FALSE)</f>
        <v>0</v>
      </c>
      <c r="FC282" s="290" t="b">
        <f>IFERROR(__xludf.DUMMYFUNCTION("arrayformula(sum(--REGEXMATCH(""SrGMPdNS"",split(REGEXREPLACE(C282,""(.)"",""$1~""),""~""))))=len(C282)"),FALSE)</f>
        <v>0</v>
      </c>
      <c r="FD282" s="377" t="b">
        <f>IFERROR(__xludf.DUMMYFUNCTION("arrayformula(sum(--REGEXMATCH(""SrgMPdNS"",split(REGEXREPLACE(C282,""(.)"",""$1~""),""~""))))=len(C282)"),FALSE)</f>
        <v>0</v>
      </c>
      <c r="FE282" s="269" t="str">
        <f t="shared" si="71"/>
        <v>-</v>
      </c>
      <c r="FF282" s="269" t="str">
        <f t="shared" si="72"/>
        <v>xoxoxooxoxx</v>
      </c>
      <c r="FG282" s="271" t="str">
        <f t="shared" si="73"/>
        <v>-</v>
      </c>
      <c r="FH282" s="269" t="str">
        <f t="shared" si="74"/>
        <v>xoxooxoxxox</v>
      </c>
      <c r="FI282" s="271" t="str">
        <f t="shared" si="75"/>
        <v>-</v>
      </c>
      <c r="FJ282" s="271" t="str">
        <f t="shared" si="76"/>
        <v>xooxoxxoxox</v>
      </c>
      <c r="FK282" s="271" t="str">
        <f t="shared" si="77"/>
        <v>-</v>
      </c>
      <c r="FL282" s="271" t="str">
        <f t="shared" si="78"/>
        <v>-</v>
      </c>
      <c r="FM282" s="271" t="str">
        <f t="shared" si="79"/>
        <v>xoxxoxoxoxo</v>
      </c>
      <c r="FN282" s="271" t="str">
        <f t="shared" si="80"/>
        <v>-</v>
      </c>
      <c r="FO282" s="274" t="str">
        <f t="shared" si="81"/>
        <v>xxoxoxoxoox</v>
      </c>
      <c r="FP282" s="234" t="str">
        <f t="shared" si="82"/>
        <v>|</v>
      </c>
      <c r="FQ282" s="236" t="str">
        <f t="shared" si="83"/>
        <v>-</v>
      </c>
      <c r="FR282" s="237" t="str">
        <f t="shared" si="84"/>
        <v>|</v>
      </c>
      <c r="FS282" s="236" t="str">
        <f t="shared" si="85"/>
        <v>-</v>
      </c>
      <c r="FT282" s="237" t="str">
        <f t="shared" si="86"/>
        <v>|</v>
      </c>
      <c r="FU282" s="236" t="str">
        <f t="shared" si="87"/>
        <v>-</v>
      </c>
      <c r="FV282" s="237" t="str">
        <f t="shared" si="88"/>
        <v>|</v>
      </c>
      <c r="FW282" s="236" t="str">
        <f t="shared" si="89"/>
        <v>-</v>
      </c>
      <c r="FX282" s="237" t="str">
        <f t="shared" si="90"/>
        <v>-</v>
      </c>
      <c r="FY282" s="236" t="str">
        <f t="shared" si="91"/>
        <v>|</v>
      </c>
      <c r="FZ282" s="237" t="str">
        <f t="shared" si="92"/>
        <v>-</v>
      </c>
      <c r="GA282" s="236" t="str">
        <f t="shared" si="93"/>
        <v>|</v>
      </c>
      <c r="GB282" s="238" t="str">
        <f t="shared" si="94"/>
        <v>|</v>
      </c>
      <c r="GC282" s="244" t="str">
        <f>IFERROR(__xludf.DUMMYFUNCTION("IF(REGEXMATCH(C282, ""S""), ""1"","""")"),"1")</f>
        <v>1</v>
      </c>
      <c r="GD282" s="245" t="str">
        <f>IFERROR(__xludf.DUMMYFUNCTION("IF(REGEXMATCH(C282, ""r""), ""b2"","""")"),"")</f>
        <v/>
      </c>
      <c r="GE282" s="246" t="str">
        <f>IFERROR(__xludf.DUMMYFUNCTION("IF(REGEXMATCH(C282, ""R""), ""2"","""")"),"2")</f>
        <v>2</v>
      </c>
      <c r="GF282" s="246" t="str">
        <f>IFERROR(__xludf.DUMMYFUNCTION("IF(REGEXMATCH(C282, ""g""), ""b3"","""")"),"")</f>
        <v/>
      </c>
      <c r="GG282" s="245" t="str">
        <f>IFERROR(__xludf.DUMMYFUNCTION("IF(REGEXMATCH(C282, ""G""), ""3"","""")"),"3")</f>
        <v>3</v>
      </c>
      <c r="GH282" s="245" t="str">
        <f>IFERROR(__xludf.DUMMYFUNCTION("IF(REGEXMATCH(C282, ""m""), ""4"","""")"),"")</f>
        <v/>
      </c>
      <c r="GI282" s="246" t="str">
        <f>IFERROR(__xludf.DUMMYFUNCTION("IF(REGEXMATCH(C282, ""M""), ""#4"","""")"),"#4")</f>
        <v>#4</v>
      </c>
      <c r="GJ282" s="245" t="str">
        <f>IFERROR(__xludf.DUMMYFUNCTION("IF(REGEXMATCH(C282, ""P""), ""5"","""")"),"")</f>
        <v/>
      </c>
      <c r="GK282" s="246" t="str">
        <f>IFERROR(__xludf.DUMMYFUNCTION("IF(REGEXMATCH(C282, ""d""), ""b6"","""")"),"")</f>
        <v/>
      </c>
      <c r="GL282" s="245" t="str">
        <f>IFERROR(__xludf.DUMMYFUNCTION("IF(REGEXMATCH(C282, ""D""), ""6"","""")"),"6")</f>
        <v>6</v>
      </c>
      <c r="GM282" s="245" t="str">
        <f>IFERROR(__xludf.DUMMYFUNCTION("IF(REGEXMATCH(C282, ""n""), ""b7"","""")"),"")</f>
        <v/>
      </c>
      <c r="GN282" s="246" t="str">
        <f>IFERROR(__xludf.DUMMYFUNCTION("IF(REGEXMATCH(C282, ""N""), ""7"","""")"),"7")</f>
        <v>7</v>
      </c>
      <c r="GO282" s="249" t="str">
        <f>IFERROR(__xludf.DUMMYFUNCTION("IF(REGEXMATCH(C282, ""S""), ""8"","""")"),"8")</f>
        <v>8</v>
      </c>
      <c r="GP282" s="244" t="str">
        <f>IFERROR(__xludf.DUMMYFUNCTION("IF(REGEXMATCH(C282, ""S""), ""S"","""")"),"S")</f>
        <v>S</v>
      </c>
      <c r="GQ282" s="294" t="str">
        <f>IFERROR(__xludf.DUMMYFUNCTION("IF(REGEXMATCH(C282, ""r""), ""R1"","""")"),"")</f>
        <v/>
      </c>
      <c r="GR282" s="295" t="str">
        <f>IFERROR(__xludf.DUMMYFUNCTION("IF(REGEXMATCH(C282, ""R""), ""R2"","""")"),"R2")</f>
        <v>R2</v>
      </c>
      <c r="GS282" s="295" t="str">
        <f>IFERROR(__xludf.DUMMYFUNCTION("IF(REGEXMATCH(C282, ""g""), ""G2"","""")"),"")</f>
        <v/>
      </c>
      <c r="GT282" s="294" t="str">
        <f>IFERROR(__xludf.DUMMYFUNCTION("IF(REGEXMATCH(C282, ""G""), ""G3"","""")"),"G3")</f>
        <v>G3</v>
      </c>
      <c r="GU282" s="294" t="str">
        <f>IFERROR(__xludf.DUMMYFUNCTION("IF(REGEXMATCH(C282, ""m""), ""M1"","""")"),"")</f>
        <v/>
      </c>
      <c r="GV282" s="295" t="str">
        <f>IFERROR(__xludf.DUMMYFUNCTION("IF(REGEXMATCH(C282, ""M""), ""M2"","""")"),"M2")</f>
        <v>M2</v>
      </c>
      <c r="GW282" s="294" t="str">
        <f>IFERROR(__xludf.DUMMYFUNCTION("IF(REGEXMATCH(C282, ""P""), ""P"","""")"),"")</f>
        <v/>
      </c>
      <c r="GX282" s="295" t="str">
        <f>IFERROR(__xludf.DUMMYFUNCTION("IF(REGEXMATCH(C282, ""d""), ""D1"","""")"),"")</f>
        <v/>
      </c>
      <c r="GY282" s="294" t="str">
        <f>IFERROR(__xludf.DUMMYFUNCTION("IF(REGEXMATCH(C282, ""D""), ""D2"","""")"),"D2")</f>
        <v>D2</v>
      </c>
      <c r="GZ282" s="294" t="str">
        <f>IFERROR(__xludf.DUMMYFUNCTION("IF(REGEXMATCH(C282, ""n""), ""N2"","""")"),"")</f>
        <v/>
      </c>
      <c r="HA282" s="295" t="str">
        <f>IFERROR(__xludf.DUMMYFUNCTION("IF(REGEXMATCH(C282, ""N""), ""N3"","""")"),"N3")</f>
        <v>N3</v>
      </c>
      <c r="HB282" s="249" t="str">
        <f>IFERROR(__xludf.DUMMYFUNCTION("IF(REGEXMATCH(C282, ""S""), ""S"","""")"),"S")</f>
        <v>S</v>
      </c>
      <c r="HC282" s="331" t="str">
        <f t="shared" si="95"/>
        <v>S</v>
      </c>
      <c r="HD282" s="332" t="str">
        <f t="shared" si="96"/>
        <v>r</v>
      </c>
      <c r="HE282" s="332" t="str">
        <f t="shared" si="97"/>
        <v/>
      </c>
      <c r="HF282" s="332" t="str">
        <f t="shared" si="98"/>
        <v>g</v>
      </c>
      <c r="HG282" s="332" t="str">
        <f t="shared" si="99"/>
        <v/>
      </c>
      <c r="HH282" s="332" t="str">
        <f t="shared" si="100"/>
        <v/>
      </c>
      <c r="HI282" s="332" t="str">
        <f t="shared" si="101"/>
        <v>M</v>
      </c>
      <c r="HJ282" s="332" t="str">
        <f t="shared" si="102"/>
        <v/>
      </c>
      <c r="HK282" s="332" t="str">
        <f t="shared" si="103"/>
        <v>d</v>
      </c>
      <c r="HL282" s="332" t="str">
        <f t="shared" si="104"/>
        <v/>
      </c>
      <c r="HM282" s="332" t="str">
        <f t="shared" si="105"/>
        <v>n</v>
      </c>
      <c r="HN282" s="332" t="str">
        <f t="shared" si="106"/>
        <v/>
      </c>
      <c r="HO282" s="343" t="str">
        <f t="shared" si="107"/>
        <v>S</v>
      </c>
      <c r="HP282" s="331" t="str">
        <f t="shared" si="108"/>
        <v>o</v>
      </c>
      <c r="HQ282" s="332" t="str">
        <f t="shared" si="109"/>
        <v>•</v>
      </c>
      <c r="HR282" s="332" t="str">
        <f t="shared" si="110"/>
        <v>o</v>
      </c>
      <c r="HS282" s="332" t="str">
        <f t="shared" si="111"/>
        <v>•</v>
      </c>
      <c r="HT282" s="332" t="str">
        <f t="shared" si="112"/>
        <v>o</v>
      </c>
      <c r="HU282" s="332" t="str">
        <f t="shared" si="113"/>
        <v>•</v>
      </c>
      <c r="HV282" s="332" t="str">
        <f t="shared" si="114"/>
        <v>o</v>
      </c>
      <c r="HW282" s="332" t="str">
        <f t="shared" si="115"/>
        <v>•</v>
      </c>
      <c r="HX282" s="332" t="str">
        <f t="shared" si="116"/>
        <v>•</v>
      </c>
      <c r="HY282" s="332" t="str">
        <f t="shared" si="117"/>
        <v>o</v>
      </c>
      <c r="HZ282" s="332" t="str">
        <f t="shared" si="118"/>
        <v>•</v>
      </c>
      <c r="IA282" s="332" t="str">
        <f t="shared" si="119"/>
        <v>o</v>
      </c>
      <c r="IB282" s="338" t="str">
        <f t="shared" si="120"/>
        <v>o</v>
      </c>
      <c r="IC282" s="331" t="str">
        <f t="shared" si="121"/>
        <v>•</v>
      </c>
      <c r="ID282" s="332" t="str">
        <f t="shared" si="122"/>
        <v>o</v>
      </c>
      <c r="IE282" s="332" t="str">
        <f t="shared" si="123"/>
        <v>•</v>
      </c>
      <c r="IF282" s="332" t="str">
        <f t="shared" si="124"/>
        <v>o</v>
      </c>
      <c r="IG282" s="332" t="str">
        <f t="shared" si="125"/>
        <v>•</v>
      </c>
      <c r="IH282" s="332" t="str">
        <f t="shared" si="126"/>
        <v>o</v>
      </c>
      <c r="II282" s="332" t="str">
        <f t="shared" si="127"/>
        <v>•</v>
      </c>
      <c r="IJ282" s="332" t="str">
        <f t="shared" si="128"/>
        <v>o</v>
      </c>
      <c r="IK282" s="332" t="str">
        <f t="shared" si="129"/>
        <v>o</v>
      </c>
      <c r="IL282" s="332" t="str">
        <f t="shared" si="130"/>
        <v>•</v>
      </c>
      <c r="IM282" s="332" t="str">
        <f t="shared" si="131"/>
        <v>o</v>
      </c>
      <c r="IN282" s="332" t="str">
        <f t="shared" si="132"/>
        <v>•</v>
      </c>
      <c r="IO282" s="338" t="str">
        <f t="shared" si="133"/>
        <v>•</v>
      </c>
      <c r="IP282" s="346" t="b">
        <f t="shared" si="134"/>
        <v>1</v>
      </c>
      <c r="IQ282" s="347" t="b">
        <f t="shared" si="135"/>
        <v>0</v>
      </c>
      <c r="IR282" s="347" t="b">
        <f t="shared" si="136"/>
        <v>0</v>
      </c>
      <c r="IS282" s="347" t="b">
        <f t="shared" si="137"/>
        <v>0</v>
      </c>
      <c r="IT282" s="347" t="b">
        <f t="shared" si="138"/>
        <v>0</v>
      </c>
      <c r="IU282" s="347" t="b">
        <f t="shared" si="139"/>
        <v>0</v>
      </c>
      <c r="IV282" s="347" t="b">
        <f t="shared" si="140"/>
        <v>1</v>
      </c>
      <c r="IW282" s="347" t="b">
        <f t="shared" si="141"/>
        <v>0</v>
      </c>
      <c r="IX282" s="347" t="b">
        <f t="shared" si="142"/>
        <v>0</v>
      </c>
      <c r="IY282" s="347" t="b">
        <f t="shared" si="143"/>
        <v>0</v>
      </c>
      <c r="IZ282" s="347" t="b">
        <f t="shared" si="144"/>
        <v>0</v>
      </c>
      <c r="JA282" s="347" t="b">
        <f t="shared" si="145"/>
        <v>0</v>
      </c>
      <c r="JB282" s="353" t="b">
        <f t="shared" si="146"/>
        <v>1</v>
      </c>
      <c r="JC282" s="354" t="str">
        <f t="shared" si="147"/>
        <v>Sa, </v>
      </c>
      <c r="JD282" s="355" t="str">
        <f t="shared" si="148"/>
        <v/>
      </c>
      <c r="JE282" s="355" t="str">
        <f t="shared" si="149"/>
        <v/>
      </c>
      <c r="JF282" s="355" t="str">
        <f t="shared" si="150"/>
        <v/>
      </c>
      <c r="JG282" s="355" t="str">
        <f t="shared" si="151"/>
        <v/>
      </c>
      <c r="JH282" s="355" t="str">
        <f t="shared" si="152"/>
        <v/>
      </c>
      <c r="JI282" s="355" t="str">
        <f t="shared" si="153"/>
        <v>Ma, </v>
      </c>
      <c r="JJ282" s="355" t="str">
        <f t="shared" si="154"/>
        <v/>
      </c>
      <c r="JK282" s="355" t="str">
        <f t="shared" si="155"/>
        <v/>
      </c>
      <c r="JL282" s="355" t="str">
        <f t="shared" si="156"/>
        <v/>
      </c>
      <c r="JM282" s="355" t="str">
        <f t="shared" si="157"/>
        <v/>
      </c>
      <c r="JN282" s="355" t="str">
        <f t="shared" si="158"/>
        <v/>
      </c>
      <c r="JO282" s="359" t="str">
        <f t="shared" si="159"/>
        <v/>
      </c>
      <c r="JP282" s="346" t="b">
        <f t="shared" si="160"/>
        <v>1</v>
      </c>
      <c r="JQ282" s="347" t="b">
        <f t="shared" si="161"/>
        <v>0</v>
      </c>
      <c r="JR282" s="347" t="b">
        <f t="shared" si="162"/>
        <v>0</v>
      </c>
      <c r="JS282" s="347" t="b">
        <f t="shared" si="163"/>
        <v>0</v>
      </c>
      <c r="JT282" s="347" t="b">
        <f t="shared" si="164"/>
        <v>0</v>
      </c>
      <c r="JU282" s="347" t="b">
        <f t="shared" si="165"/>
        <v>0</v>
      </c>
      <c r="JV282" s="347" t="b">
        <f t="shared" si="166"/>
        <v>0</v>
      </c>
      <c r="JW282" s="347" t="b">
        <f t="shared" si="167"/>
        <v>0</v>
      </c>
      <c r="JX282" s="347" t="b">
        <f t="shared" si="168"/>
        <v>0</v>
      </c>
      <c r="JY282" s="347" t="b">
        <f t="shared" si="169"/>
        <v>0</v>
      </c>
      <c r="JZ282" s="347" t="b">
        <f t="shared" si="170"/>
        <v>0</v>
      </c>
      <c r="KA282" s="347" t="b">
        <f t="shared" si="171"/>
        <v>0</v>
      </c>
      <c r="KB282" s="365" t="b">
        <f t="shared" si="172"/>
        <v>1</v>
      </c>
      <c r="KC282" s="354" t="str">
        <f t="shared" si="173"/>
        <v>Sa, </v>
      </c>
      <c r="KD282" s="355" t="str">
        <f t="shared" si="174"/>
        <v/>
      </c>
      <c r="KE282" s="355" t="str">
        <f t="shared" si="175"/>
        <v/>
      </c>
      <c r="KF282" s="355" t="str">
        <f t="shared" si="176"/>
        <v/>
      </c>
      <c r="KG282" s="355" t="str">
        <f t="shared" si="177"/>
        <v/>
      </c>
      <c r="KH282" s="355" t="str">
        <f t="shared" si="178"/>
        <v/>
      </c>
      <c r="KI282" s="355" t="str">
        <f t="shared" si="179"/>
        <v/>
      </c>
      <c r="KJ282" s="355" t="str">
        <f t="shared" si="180"/>
        <v/>
      </c>
      <c r="KK282" s="355" t="str">
        <f t="shared" si="181"/>
        <v/>
      </c>
      <c r="KL282" s="355" t="str">
        <f t="shared" si="182"/>
        <v/>
      </c>
      <c r="KM282" s="355" t="str">
        <f t="shared" si="183"/>
        <v/>
      </c>
      <c r="KN282" s="355" t="str">
        <f t="shared" si="184"/>
        <v/>
      </c>
      <c r="KO282" s="359"/>
      <c r="KP282" s="378"/>
      <c r="KQ282" s="379" t="s">
        <v>1082</v>
      </c>
      <c r="KR282" s="380" t="s">
        <v>1470</v>
      </c>
      <c r="KS282" s="381" t="str">
        <f t="shared" ref="KS282:KS285" si="791">KQ282</f>
        <v>S-R-G-M-D-N-S</v>
      </c>
      <c r="KT282" s="382">
        <f t="shared" si="186"/>
        <v>6</v>
      </c>
      <c r="KU282" s="383">
        <f t="shared" si="187"/>
        <v>6</v>
      </c>
      <c r="KV282" s="381" t="str">
        <f t="shared" si="205"/>
        <v>S-N-D-M-G-R-S</v>
      </c>
      <c r="KW282" s="382">
        <f t="shared" si="189"/>
        <v>6</v>
      </c>
      <c r="KX282" s="384">
        <f t="shared" si="190"/>
        <v>6</v>
      </c>
      <c r="KY282" s="382">
        <f t="shared" ref="KY282:KZ282" si="789">KW282-KT282</f>
        <v>0</v>
      </c>
      <c r="KZ282" s="369">
        <f t="shared" si="789"/>
        <v>0</v>
      </c>
      <c r="LA282" s="385" t="str">
        <f t="shared" si="192"/>
        <v>✔</v>
      </c>
      <c r="LB282" s="340" t="str">
        <f>IFERROR(__xludf.DUMMYFUNCTION("JOIN("""",ArrayFormula(MID(KS282,LEN(KS282)-SEQUENCE(1,LEN(KS282))+1,1)))"),"S-N-D-M-G-R-S")</f>
        <v>S-N-D-M-G-R-S</v>
      </c>
      <c r="LC282" s="373" t="str">
        <f>IFERROR(__xludf.DUMMYFUNCTION("JOIN("""",ArrayFormula(MID(KV282,LEN(KV282)-SEQUENCE(1,LEN(KV282))+1,1)))"),"S-R-G-M-D-N-S")</f>
        <v>S-R-G-M-D-N-S</v>
      </c>
      <c r="LD282" s="373" t="str">
        <f t="shared" si="193"/>
        <v>SRGMDNS</v>
      </c>
      <c r="LE282" s="339" t="str">
        <f t="shared" si="194"/>
        <v>SRGMDNS</v>
      </c>
      <c r="LF282" s="386" t="str">
        <f>IFERROR(__xludf.DUMMYFUNCTION("SUBSTITUTE(SUBSTITUTE(CONCATENATE(JOIN("""",LH282:LT282)),""1"",""""),""2"","""")"),"SRGMDNS")</f>
        <v>SRGMDNS</v>
      </c>
      <c r="LG282" s="369" t="str">
        <f t="shared" si="195"/>
        <v>✔</v>
      </c>
      <c r="LH282" s="387" t="str">
        <f>IFERROR(__xludf.DUMMYFUNCTION("IF(REGEXMATCH(LD282, ""S""), ""S"",IF(REGEXMATCH(LE282, ""S""), ""S"",""""))"),"S")</f>
        <v>S</v>
      </c>
      <c r="LI282" s="299" t="str">
        <f>IFERROR(__xludf.DUMMYFUNCTION("IF(REGEXMATCH(LD282, ""r""), ""r1"",IF(REGEXMATCH(LE282, ""r""), ""r2"",""""))"),"")</f>
        <v/>
      </c>
      <c r="LJ282" s="299" t="str">
        <f>IFERROR(__xludf.DUMMYFUNCTION("IF(REGEXMATCH(LD282, ""R""), ""R1"",IF(REGEXMATCH(LE282, ""R""), ""R2"",""""))"),"R1")</f>
        <v>R1</v>
      </c>
      <c r="LK282" s="299" t="str">
        <f>IFERROR(__xludf.DUMMYFUNCTION("IF(REGEXMATCH(LD282, ""g""), ""g1"",IF(REGEXMATCH(LE282, ""g""), ""g2"",""""))"),"")</f>
        <v/>
      </c>
      <c r="LL282" s="299" t="str">
        <f>IFERROR(__xludf.DUMMYFUNCTION("IF(REGEXMATCH(LD282, ""G""), ""G1"",IF(REGEXMATCH(LE282, ""G""), ""G2"",""""))"),"G1")</f>
        <v>G1</v>
      </c>
      <c r="LM282" s="299" t="str">
        <f>IFERROR(__xludf.DUMMYFUNCTION("IF(REGEXMATCH(LD282, ""m""), ""m1"",IF(REGEXMATCH(LE282, ""m""), ""m2"",""""))"),"")</f>
        <v/>
      </c>
      <c r="LN282" s="299" t="str">
        <f>IFERROR(__xludf.DUMMYFUNCTION("IF(REGEXMATCH(LD282, ""M""), ""M1"",IF(REGEXMATCH(LE282, ""M""), ""M2"",""""))"),"M1")</f>
        <v>M1</v>
      </c>
      <c r="LO282" s="299" t="str">
        <f>IFERROR(__xludf.DUMMYFUNCTION("IF(REGEXMATCH(LD282, ""P""), ""P1"",IF(REGEXMATCH(LE282, ""P""), ""P2"",""""))"),"")</f>
        <v/>
      </c>
      <c r="LP282" s="299" t="str">
        <f>IFERROR(__xludf.DUMMYFUNCTION("IF(REGEXMATCH(LD282, ""d""), ""d1"",IF(REGEXMATCH(LE282, ""d""), ""d2"",""""))"),"")</f>
        <v/>
      </c>
      <c r="LQ282" s="299" t="str">
        <f>IFERROR(__xludf.DUMMYFUNCTION("IF(REGEXMATCH(LD282, ""D""), ""D1"",IF(REGEXMATCH(LE282, ""D""), ""D2"",""""))"),"D1")</f>
        <v>D1</v>
      </c>
      <c r="LR282" s="299" t="str">
        <f>IFERROR(__xludf.DUMMYFUNCTION("IF(REGEXMATCH(LD282, ""n""), ""n1"",IF(REGEXMATCH(LE282, ""n""), ""n2"",""""))"),"")</f>
        <v/>
      </c>
      <c r="LS282" s="299" t="str">
        <f>IFERROR(__xludf.DUMMYFUNCTION("IF(REGEXMATCH(LD282, ""N""), ""N1"",IF(REGEXMATCH(LE282, ""N""), ""N2"",""""))"),"N1")</f>
        <v>N1</v>
      </c>
      <c r="LT282" s="388" t="str">
        <f>IFERROR(__xludf.DUMMYFUNCTION("IF(REGEXMATCH(LD282, ""S""), ""S"",IF(REGEXMATCH(LE282, ""S""), ""S"",""""))"),"S")</f>
        <v>S</v>
      </c>
      <c r="LU282" s="389">
        <f t="shared" si="196"/>
        <v>1</v>
      </c>
      <c r="LV282" s="378"/>
      <c r="LW282" s="369"/>
      <c r="LX282" s="369"/>
    </row>
    <row r="283" ht="18.0" customHeight="1">
      <c r="A283" s="298" t="s">
        <v>1084</v>
      </c>
      <c r="B283" s="222" t="s">
        <v>1085</v>
      </c>
      <c r="C283" s="233" t="str">
        <f t="shared" si="7"/>
        <v>SgmDNS</v>
      </c>
      <c r="D283" s="234" t="str">
        <f>IFERROR(__xludf.DUMMYFUNCTION("IF(REGEXMATCH(C283, ""S""), ""S"","""")"),"S")</f>
        <v>S</v>
      </c>
      <c r="E283" s="236" t="str">
        <f>IFERROR(__xludf.DUMMYFUNCTION("IF(REGEXMATCH(C283, ""r""), ""r"","""")"),"")</f>
        <v/>
      </c>
      <c r="F283" s="237" t="str">
        <f>IFERROR(__xludf.DUMMYFUNCTION("IF(REGEXMATCH(C283, ""R""), ""R"","""")"),"")</f>
        <v/>
      </c>
      <c r="G283" s="237" t="str">
        <f>IFERROR(__xludf.DUMMYFUNCTION("IF(REGEXMATCH(C283, ""g""), ""g"","""")"),"g")</f>
        <v>g</v>
      </c>
      <c r="H283" s="236" t="str">
        <f>IFERROR(__xludf.DUMMYFUNCTION("IF(REGEXMATCH(C283, ""G""), ""G"","""")"),"")</f>
        <v/>
      </c>
      <c r="I283" s="236" t="str">
        <f>IFERROR(__xludf.DUMMYFUNCTION("IF(REGEXMATCH(C283, ""m""), ""m"","""")"),"m")</f>
        <v>m</v>
      </c>
      <c r="J283" s="237" t="str">
        <f>IFERROR(__xludf.DUMMYFUNCTION("IF(REGEXMATCH(C283, ""M""), ""M"","""")"),"")</f>
        <v/>
      </c>
      <c r="K283" s="236" t="str">
        <f>IFERROR(__xludf.DUMMYFUNCTION("IF(REGEXMATCH(C283, ""P""), ""P"","""")"),"")</f>
        <v/>
      </c>
      <c r="L283" s="237" t="str">
        <f>IFERROR(__xludf.DUMMYFUNCTION("IF(REGEXMATCH(C283, ""d""), ""d"","""")"),"")</f>
        <v/>
      </c>
      <c r="M283" s="236" t="str">
        <f>IFERROR(__xludf.DUMMYFUNCTION("IF(REGEXMATCH(C283, ""D""), ""D"","""")"),"D")</f>
        <v>D</v>
      </c>
      <c r="N283" s="236" t="str">
        <f>IFERROR(__xludf.DUMMYFUNCTION("IF(REGEXMATCH(C283, ""n""), ""n"","""")"),"")</f>
        <v/>
      </c>
      <c r="O283" s="237" t="str">
        <f>IFERROR(__xludf.DUMMYFUNCTION("IF(REGEXMATCH(C283, ""N""), ""N"","""")"),"N")</f>
        <v>N</v>
      </c>
      <c r="P283" s="238" t="str">
        <f>IFERROR(__xludf.DUMMYFUNCTION("IF(REGEXMATCH(C283, ""S""), ""S"","""")"),"S")</f>
        <v>S</v>
      </c>
      <c r="Q283" s="239" t="str">
        <f>IFERROR(__xludf.DUMMYFUNCTION("SUBSTITUTE(CONCATENATE(JOIN(""-"",D283:J283)),""-"","""")"),"Sgm")</f>
        <v>Sgm</v>
      </c>
      <c r="R283" s="229" t="str">
        <f>IFERROR(__xludf.DUMMYFUNCTION("SUBSTITUTE(CONCATENATE(JOIN(""-"",K283:P283)),""-"","""")"),"DNS")</f>
        <v>DNS</v>
      </c>
      <c r="S283" s="282" t="str">
        <f t="shared" si="8"/>
        <v>S-G-M</v>
      </c>
      <c r="T283" s="282" t="str">
        <f t="shared" si="9"/>
        <v>D-N-S</v>
      </c>
      <c r="U283" s="237" t="str">
        <f>IFERROR(__xludf.DUMMYFUNCTION("SUBSTITUTE(JOIN(""-"",S283,T283),""--"",""-"")"),"S-G-M-D-N-S")</f>
        <v>S-G-M-D-N-S</v>
      </c>
      <c r="V283" s="309" t="str">
        <f t="shared" si="10"/>
        <v>gmDN</v>
      </c>
      <c r="W283" s="244" t="str">
        <f>IFERROR(__xludf.DUMMYFUNCTION("IF(REGEXMATCH(C283, ""S""), ""0"","""")"),"0")</f>
        <v>0</v>
      </c>
      <c r="X283" s="245" t="str">
        <f>IFERROR(__xludf.DUMMYFUNCTION("IF(REGEXMATCH(C283, ""r""), ""1"","""")"),"")</f>
        <v/>
      </c>
      <c r="Y283" s="246" t="str">
        <f>IFERROR(__xludf.DUMMYFUNCTION("IF(REGEXMATCH(C283, ""R""), ""2"","""")"),"")</f>
        <v/>
      </c>
      <c r="Z283" s="246" t="str">
        <f>IFERROR(__xludf.DUMMYFUNCTION("IF(REGEXMATCH(C283, ""g""), ""3"","""")"),"3")</f>
        <v>3</v>
      </c>
      <c r="AA283" s="245" t="str">
        <f>IFERROR(__xludf.DUMMYFUNCTION("IF(REGEXMATCH(C283, ""G""), ""4"","""")"),"")</f>
        <v/>
      </c>
      <c r="AB283" s="245" t="str">
        <f>IFERROR(__xludf.DUMMYFUNCTION("IF(REGEXMATCH(C283, ""m""), ""5"","""")"),"5")</f>
        <v>5</v>
      </c>
      <c r="AC283" s="246" t="str">
        <f>IFERROR(__xludf.DUMMYFUNCTION("IF(REGEXMATCH(C283, ""M""), ""6"","""")"),"")</f>
        <v/>
      </c>
      <c r="AD283" s="245" t="str">
        <f>IFERROR(__xludf.DUMMYFUNCTION("IF(REGEXMATCH(C283, ""P""), ""7"","""")"),"")</f>
        <v/>
      </c>
      <c r="AE283" s="246" t="str">
        <f>IFERROR(__xludf.DUMMYFUNCTION("IF(REGEXMATCH(C283, ""d""), ""8"","""")"),"")</f>
        <v/>
      </c>
      <c r="AF283" s="245" t="str">
        <f>IFERROR(__xludf.DUMMYFUNCTION("IF(REGEXMATCH(C283, ""D""), ""9"","""")"),"9")</f>
        <v>9</v>
      </c>
      <c r="AG283" s="245" t="str">
        <f>IFERROR(__xludf.DUMMYFUNCTION("IF(REGEXMATCH(C283, ""n""), ""10"","""")"),"")</f>
        <v/>
      </c>
      <c r="AH283" s="246" t="str">
        <f>IFERROR(__xludf.DUMMYFUNCTION("IF(REGEXMATCH(C283, ""N""), ""11"","""")"),"11")</f>
        <v>11</v>
      </c>
      <c r="AI283" s="249" t="str">
        <f>IFERROR(__xludf.DUMMYFUNCTION("IF(REGEXMATCH(C283, ""S""), ""0"","""")"),"0")</f>
        <v>0</v>
      </c>
      <c r="AJ283" s="313" t="str">
        <f t="shared" si="11"/>
        <v>-</v>
      </c>
      <c r="AK283" s="313" t="str">
        <f t="shared" si="12"/>
        <v>-</v>
      </c>
      <c r="AL283" s="313" t="str">
        <f t="shared" si="13"/>
        <v>-</v>
      </c>
      <c r="AM283" s="313" t="str">
        <f t="shared" si="14"/>
        <v>T</v>
      </c>
      <c r="AN283" s="313" t="str">
        <f t="shared" si="15"/>
        <v>-</v>
      </c>
      <c r="AO283" s="314" t="str">
        <f t="shared" si="16"/>
        <v>T</v>
      </c>
      <c r="AP283" s="316">
        <f t="shared" si="17"/>
        <v>2</v>
      </c>
      <c r="AQ283" s="319" t="str">
        <f t="shared" si="18"/>
        <v>#REF!</v>
      </c>
      <c r="AR283" s="320">
        <f t="shared" si="19"/>
        <v>0</v>
      </c>
      <c r="AS283" s="250" t="str">
        <f>IFERROR(__xludf.DUMMYFUNCTION("SUBSTITUTE(SUBSTITUTE(CONCATENATE(JOIN("""",FP283:GA283)),""|"",""x""),""-"",""o"")"),"xooxoxoooxox")</f>
        <v>xooxoxoooxox</v>
      </c>
      <c r="AT283" s="323" t="str">
        <f>IFERROR(__xludf.DUMMYFUNCTION("JOIN("""",AS283,AS283)"),"xooxoxoooxoxxooxoxoooxox")</f>
        <v>xooxoxoooxoxxooxoxoooxox</v>
      </c>
      <c r="AU283" s="256" t="str">
        <f>IFERROR(__xludf.DUMMYFUNCTION("JOIN("""",ArrayFormula(MID(AS283,LEN(AS283)-SEQUENCE(1,LEN(AS283))+1,1)))"),"xoxoooxoxoox")</f>
        <v>xoxoooxoxoox</v>
      </c>
      <c r="AV283" s="256" t="str">
        <f>IFERROR(__xludf.DUMMYFUNCTION("LEFT(CONCATENATE(""x"",JOIN("""",ArrayFormula(MID(AS283,LEN(AS283)-SEQUENCE(1,LEN(AS283))+1,1)))),12)"),"xxoxoooxoxoo")</f>
        <v>xxoxoooxoxoo</v>
      </c>
      <c r="AW283" s="327" t="str">
        <f>IFERROR(__xludf.DUMMYFUNCTION("JOIN("""",AU283,AU283)"),"xoxoooxoxooxxoxoooxoxoox")</f>
        <v>xoxoooxoxooxxoxoooxoxoox</v>
      </c>
      <c r="AX283" s="239" t="str">
        <f>IFERROR(__xludf.DUMMYFUNCTION("IF(REGEXMATCH(AW283,AS283),""✔"",""-"")"),"-")</f>
        <v>-</v>
      </c>
      <c r="AY283" s="330" t="str">
        <f t="shared" si="20"/>
        <v>-</v>
      </c>
      <c r="AZ283" s="260" t="str">
        <f t="shared" si="21"/>
        <v>#REF!</v>
      </c>
      <c r="BA283" s="333" t="str">
        <f t="shared" si="22"/>
        <v>xooxoxo</v>
      </c>
      <c r="BB283" s="334" t="str">
        <f t="shared" si="23"/>
        <v>ooxoxx</v>
      </c>
      <c r="BC283" s="335" t="str">
        <f t="shared" si="236"/>
        <v>-</v>
      </c>
      <c r="BD283" s="336" t="str">
        <f t="shared" si="25"/>
        <v>Rajeshwari: 'xooxoxo' + 'ooxoxx'</v>
      </c>
      <c r="BE283" s="337">
        <f>IFERROR(__xludf.DUMMYFUNCTION("COUNTUNIQUE(FILTER(AT:AT,REGEXMATCH(AT:AT,AS283)))-1"),1.0)</f>
        <v>1</v>
      </c>
      <c r="BF283" s="261" t="str">
        <f>IFERROR(__xludf.DUMMYFUNCTION("IF(BI283=0,""(n/a)"",IF(BJ283=2,""(PAIR)"",IF(REGEXMATCH(AT283,""xoxoxxoxoxox""),""Bilawal"",IF(REGEXMATCH(AT283,""xoxoxooxoxoo""),""Bhupali"",IF(REGEXMATCH(AT283,""xoxoxxoxxoxo""),""Charukeshi"",IF(REGEXMATCH(AT283,""xoxoooxxoxxo""),""Kameshwari"",IF(REG"&amp;"EXMATCH(AT283,""xoxoxooxoxox""),""Shankara"",IF(REGEXMATCH(AT283,""xxooxoxxxoox""),""Basant"",IF(REGEXMATCH(AT283,""xoxoxxxxoxox""),""Bihag"",IF(REGEXMATCH(AT283,""xoxxxxoxoxxx""),""Pilu"",IF(REGEXMATCH(AT283,""xoxxoxoxxoox""),""Kirwani"",IF(REGEXMATCH(AT"&amp;"283,""xoxxoxoxoxxx""),""Mk.Malhar"",IF(REGEXMATCH(AT283,""xxooxxoxxoox""),""Bhairav"",IF(REGEXMATCH(AT283,""xxoxooxxxoox""),""Todi"",IF(REGEXMATCH(AT283,""xxooxoxooxox""),""Marwa"",IF(REGEXMATCH(AT283,""xxoooxoxxooo""),""Gunkali"",IF(REGEXMATCH(AT283,""xo"&amp;"xoxxoxxoox""),""Nat Bhairav"",IF(REGEXMATCH(AT283,""xoxxoooxoxoo""),""Shivranjani"",IF(REGEXMATCH(AT283,""xooxxxoxooxo""),""Jog"",IF(REGEXMATCH(AT283,""xxooxoxoxoox""),""Hemshri"",IF(REGEXMATCH(AT283,""xoooxooxoxxo""),""Kalavati"",IF(REGEXMATCH(AT283,""xx"&amp;"oxoxxoxoox""),""Kedar"",IF(REGEXMATCH(AT283,""xoxxxxoxooxx""),""Gara"",IF(REGEXMATCH(AT283,""xooxoxooxoox""),""Chandrakauns"",IF(REGEXMATCH(AT283,""xoxxxxoxxxox""),""Mand"",IF(REGEXMATCH(AT283,""xoxxxxoxoxox""),""Hanskinkini"",IF(REGEXMATCH(AT283,""xxooxx"&amp;"oxooxo""),""Lilavati"",IF(REGEXMATCH(AT283,""xooxoxoooxox""),""Rajeshwari"",IF(REGEXMATCH(AT283,""xoooxxoxoxxx""),""Khokar"",IF(REGEXMATCH(AT283,""xxooxoxxxxox""),""Maligoura"",""-""))))))))))))))))))))))))))))))"),"(PAIR)")</f>
        <v>(PAIR)</v>
      </c>
      <c r="BG283" s="239" t="str">
        <f t="shared" si="26"/>
        <v>#REF!</v>
      </c>
      <c r="BH283" s="239">
        <f>IFERROR(__xludf.DUMMYFUNCTION("COUNTUNIQUE(FE283:FO283)-1"),4.0)</f>
        <v>4</v>
      </c>
      <c r="BI283" s="239">
        <f>IFERROR(__xludf.DUMMYFUNCTION("COUNTUNIQUE(FILTER(AT:AT,REGEXMATCH(AT:AT,AS283)))-1"),1.0)</f>
        <v>1</v>
      </c>
      <c r="BJ283" s="239">
        <f>IFERROR(__xludf.DUMMYFUNCTION("COUNTA(FILTER(AT:AT,REGEXMATCH(AT:AT,AS283)))"),2.0)</f>
        <v>2</v>
      </c>
      <c r="BK283" s="341">
        <f>IFERROR(__xludf.DUMMYFUNCTION("COUNTA(FILTER(AT:AT,REGEXMATCH(AT:AT,AS283)))-AR283"),2.0)</f>
        <v>2</v>
      </c>
      <c r="BL283" s="276" t="str">
        <f>IFERROR(__xludf.DUMMYFUNCTION("IF(AS283=""oooooooooooo"",""-"",IF(REGEXMATCH(AT283,""xx""), ""Hemi."", ""Anhemi.""))"),"Hemi.")</f>
        <v>Hemi.</v>
      </c>
      <c r="BM283" s="282" t="str">
        <f>IFERROR(__xludf.DUMMYFUNCTION("IF(AS283=""oooooooooooo"",""-"",IF(REGEXMATCH(AT283,""xxx""), ""Cohem."", ""-""))"),"-")</f>
        <v>-</v>
      </c>
      <c r="BN283" s="282" t="str">
        <f>IFERROR(__xludf.DUMMYFUNCTION("IF(AS283=""oooooooooooo"",""-"",IF(REGEXMATCH(AT283,""xxxx""), ""Co-Co."", ""-""))"),"-")</f>
        <v>-</v>
      </c>
      <c r="BO283" s="342" t="str">
        <f>IFERROR(__xludf.DUMMYFUNCTION("IF(AS283=""oooooooooooo"",""-"",IF(REGEXMATCH(AT283,""xxxxx""), ""CCC."", ""-""))"),"-")</f>
        <v>-</v>
      </c>
      <c r="BP283" s="344" t="str">
        <f t="shared" si="27"/>
        <v>-</v>
      </c>
      <c r="BQ283" s="282" t="str">
        <f>IFERROR(__xludf.DUMMYFUNCTION("IF(REGEXMATCH(JOIN(""-"",EU283:FD283),""TRUE""),""✔"",""-"")"),"-")</f>
        <v>-</v>
      </c>
      <c r="BR283" s="225">
        <f t="shared" si="28"/>
        <v>0</v>
      </c>
      <c r="BS283" s="345" t="str">
        <f>IFERROR(__xludf.DUMMYFUNCTION("SUBSTITUTE(SUBSTITUTE(SUBSTITUTE(SUBSTITUTE(CONCATENATE(JOIN(""-"",GC283:GO283)),""--"",""-""),""--"",""-""),""--"",""-""),""--"",""-"")"),"1-b3-4-6-7-8")</f>
        <v>1-b3-4-6-7-8</v>
      </c>
      <c r="BT283" s="299" t="str">
        <f>IFERROR(__xludf.DUMMYFUNCTION("SUBSTITUTE(SUBSTITUTE(SUBSTITUTE(SUBSTITUTE(CONCATENATE(JOIN(""-"",GP283:HB283)),""--"",""-""),""--"",""-""),""--"",""-""),""--"",""-"")"),"S-G2-M1-D2-N3-S")</f>
        <v>S-G2-M1-D2-N3-S</v>
      </c>
      <c r="BU283" s="348" t="str">
        <f t="shared" si="29"/>
        <v>C-Eb-F-A-B-C</v>
      </c>
      <c r="BV283" s="349" t="str">
        <f t="shared" si="30"/>
        <v>SrRGMPdnS</v>
      </c>
      <c r="BW283" s="350">
        <f t="shared" si="31"/>
        <v>0</v>
      </c>
      <c r="BX283" s="351">
        <f t="shared" si="32"/>
        <v>1</v>
      </c>
      <c r="BY283" s="392"/>
      <c r="BZ283" s="309" t="str">
        <f>IFERROR(__xludf.DUMMYFUNCTION("IF(REGEXMATCH(C283, ""S""), ""x"",""x"")"),"x")</f>
        <v>x</v>
      </c>
      <c r="CA283" s="245" t="str">
        <f>IFERROR(__xludf.DUMMYFUNCTION("IF(REGEXMATCH(C283, ""r""), ""o"",""x"")"),"x")</f>
        <v>x</v>
      </c>
      <c r="CB283" s="246" t="str">
        <f>IFERROR(__xludf.DUMMYFUNCTION("IF(REGEXMATCH(C283, ""R""), ""o"",""x"")"),"x")</f>
        <v>x</v>
      </c>
      <c r="CC283" s="246" t="str">
        <f>IFERROR(__xludf.DUMMYFUNCTION("IF(REGEXMATCH(C283, ""g""), ""o"",""x"")"),"o")</f>
        <v>o</v>
      </c>
      <c r="CD283" s="245" t="str">
        <f>IFERROR(__xludf.DUMMYFUNCTION("IF(REGEXMATCH(C283, ""G""), ""o"",""x"")"),"x")</f>
        <v>x</v>
      </c>
      <c r="CE283" s="245" t="str">
        <f>IFERROR(__xludf.DUMMYFUNCTION("IF(REGEXMATCH(C283, ""m""), ""o"",""x"")"),"o")</f>
        <v>o</v>
      </c>
      <c r="CF283" s="246" t="str">
        <f>IFERROR(__xludf.DUMMYFUNCTION("IF(REGEXMATCH(C283, ""M""), ""o"",""x"")"),"x")</f>
        <v>x</v>
      </c>
      <c r="CG283" s="245" t="str">
        <f>IFERROR(__xludf.DUMMYFUNCTION("IF(REGEXMATCH(C283, ""P""), ""o"",""x"")"),"x")</f>
        <v>x</v>
      </c>
      <c r="CH283" s="246" t="str">
        <f>IFERROR(__xludf.DUMMYFUNCTION("IF(REGEXMATCH(C283, ""d""), ""o"",""x"")"),"x")</f>
        <v>x</v>
      </c>
      <c r="CI283" s="245" t="str">
        <f>IFERROR(__xludf.DUMMYFUNCTION("IF(REGEXMATCH(C283, ""D""), ""o"",""x"")"),"o")</f>
        <v>o</v>
      </c>
      <c r="CJ283" s="245" t="str">
        <f>IFERROR(__xludf.DUMMYFUNCTION("IF(REGEXMATCH(C283, ""n""), ""o"",""x"")"),"x")</f>
        <v>x</v>
      </c>
      <c r="CK283" s="245" t="str">
        <f>IFERROR(__xludf.DUMMYFUNCTION("IF(REGEXMATCH(C283, ""N""), ""o"",""x"")"),"o")</f>
        <v>o</v>
      </c>
      <c r="CL283" s="356" t="str">
        <f>IFERROR(__xludf.DUMMYFUNCTION("IF(REGEXMATCH(C283, ""S""), ""x"",""x"")"),"x")</f>
        <v>x</v>
      </c>
      <c r="CM283" s="357" t="str">
        <f t="shared" si="33"/>
        <v>xxxoxoxxxoxo</v>
      </c>
      <c r="CN283" s="358">
        <f t="shared" si="34"/>
        <v>0</v>
      </c>
      <c r="CO283" s="246" t="str">
        <f>IFERROR(__xludf.DUMMYFUNCTION("IF(REGEXMATCH($C283, ""S""), ""S"",""S"")"),"S")</f>
        <v>S</v>
      </c>
      <c r="CP283" s="246" t="str">
        <f>IFERROR(__xludf.DUMMYFUNCTION("IF(REGEXMATCH($C283, ""r""), """",""r"")"),"r")</f>
        <v>r</v>
      </c>
      <c r="CQ283" s="246" t="str">
        <f>IFERROR(__xludf.DUMMYFUNCTION("IF(REGEXMATCH($C283, ""R""), """",""R"")"),"R")</f>
        <v>R</v>
      </c>
      <c r="CR283" s="246" t="str">
        <f>IFERROR(__xludf.DUMMYFUNCTION("IF(REGEXMATCH($C283, ""g""), """",""g"")"),"")</f>
        <v/>
      </c>
      <c r="CS283" s="246" t="str">
        <f>IFERROR(__xludf.DUMMYFUNCTION("IF(REGEXMATCH($C283, ""G""), """",""G"")"),"G")</f>
        <v>G</v>
      </c>
      <c r="CT283" s="246" t="str">
        <f>IFERROR(__xludf.DUMMYFUNCTION("IF(REGEXMATCH($C283, ""m""), """",""m"")"),"")</f>
        <v/>
      </c>
      <c r="CU283" s="246" t="str">
        <f>IFERROR(__xludf.DUMMYFUNCTION("IF(REGEXMATCH($C283, ""M""), """",""M"")"),"M")</f>
        <v>M</v>
      </c>
      <c r="CV283" s="246" t="str">
        <f>IFERROR(__xludf.DUMMYFUNCTION("IF(REGEXMATCH($C283, ""P""), """",""P"")"),"P")</f>
        <v>P</v>
      </c>
      <c r="CW283" s="246" t="str">
        <f>IFERROR(__xludf.DUMMYFUNCTION("IF(REGEXMATCH($C283, ""d""), """",""d"")"),"d")</f>
        <v>d</v>
      </c>
      <c r="CX283" s="246" t="str">
        <f>IFERROR(__xludf.DUMMYFUNCTION("IF(REGEXMATCH($C283, ""D""), """",""D"")"),"")</f>
        <v/>
      </c>
      <c r="CY283" s="246" t="str">
        <f>IFERROR(__xludf.DUMMYFUNCTION("IF(REGEXMATCH($C283, ""n""), """",""n"")"),"n")</f>
        <v>n</v>
      </c>
      <c r="CZ283" s="246" t="str">
        <f>IFERROR(__xludf.DUMMYFUNCTION("IF(REGEXMATCH($C283, ""N""), """",""N"")"),"")</f>
        <v/>
      </c>
      <c r="DA283" s="246" t="str">
        <f>IFERROR(__xludf.DUMMYFUNCTION("IF(REGEXMATCH($C283, ""S""), ""S"",""S"")"),"S")</f>
        <v>S</v>
      </c>
      <c r="DB283" s="362" t="str">
        <f>IFERROR(__xludf.DUMMYFUNCTION("JOIN("""",CO283:DA283,"""","""")"),"SrRGMPdnS")</f>
        <v>SrRGMPdnS</v>
      </c>
      <c r="DC283" s="363"/>
      <c r="DD283" s="301" t="str">
        <f t="shared" si="35"/>
        <v>#REF!</v>
      </c>
      <c r="DE283" s="302" t="str">
        <f t="shared" si="36"/>
        <v>#REF!</v>
      </c>
      <c r="DF283" s="301" t="str">
        <f t="shared" ref="DF283:DG283" si="790">SUBSTITUTE(S283,"-","")</f>
        <v>SGM</v>
      </c>
      <c r="DG283" s="301" t="str">
        <f t="shared" si="790"/>
        <v>DNS</v>
      </c>
      <c r="DH283" s="302" t="str">
        <f t="shared" si="38"/>
        <v>(PAIR)</v>
      </c>
      <c r="DI283" s="301" t="str">
        <f t="shared" si="39"/>
        <v>Hemi.</v>
      </c>
      <c r="DJ283" s="364" t="str">
        <f t="shared" si="40"/>
        <v>-</v>
      </c>
      <c r="DK283" s="306" t="str">
        <f t="shared" si="41"/>
        <v>-</v>
      </c>
      <c r="DL283" s="366" t="str">
        <f t="shared" si="42"/>
        <v>-</v>
      </c>
      <c r="DM283" s="308" t="str">
        <f t="shared" si="43"/>
        <v>✔</v>
      </c>
      <c r="DN283" s="306" t="str">
        <f t="shared" si="44"/>
        <v>-</v>
      </c>
      <c r="DO283" s="306" t="str">
        <f t="shared" si="45"/>
        <v>-</v>
      </c>
      <c r="DP283" s="367" t="str">
        <f t="shared" si="46"/>
        <v>-</v>
      </c>
      <c r="DQ283" s="310" t="str">
        <f t="shared" si="47"/>
        <v>-</v>
      </c>
      <c r="DR283" s="310" t="str">
        <f t="shared" si="48"/>
        <v>-</v>
      </c>
      <c r="DS283" s="310" t="str">
        <f t="shared" si="49"/>
        <v>-</v>
      </c>
      <c r="DT283" s="310" t="str">
        <f t="shared" si="50"/>
        <v>-</v>
      </c>
      <c r="DU283" s="370" t="str">
        <f t="shared" si="51"/>
        <v>-</v>
      </c>
      <c r="DV283" s="306" t="str">
        <f t="shared" si="52"/>
        <v>✔</v>
      </c>
      <c r="DW283" s="306" t="str">
        <f t="shared" si="53"/>
        <v>-</v>
      </c>
      <c r="DX283" s="306" t="str">
        <f t="shared" si="54"/>
        <v>-</v>
      </c>
      <c r="DY283" s="306" t="str">
        <f t="shared" si="55"/>
        <v>✔</v>
      </c>
      <c r="DZ283" s="306" t="str">
        <f t="shared" si="56"/>
        <v>-</v>
      </c>
      <c r="EA283" s="367" t="str">
        <f t="shared" si="57"/>
        <v>-</v>
      </c>
      <c r="EB283" s="310" t="str">
        <f>IFERROR(__xludf.DUMMYFUNCTION("IF(REGEXMATCH(AW283,AS283),""✔"",""-"")"),"-")</f>
        <v>-</v>
      </c>
      <c r="EC283" s="310" t="str">
        <f t="shared" si="58"/>
        <v>#REF!</v>
      </c>
      <c r="ED283" s="370" t="str">
        <f t="shared" si="59"/>
        <v>-</v>
      </c>
      <c r="EE283" s="340" t="str">
        <f t="shared" si="60"/>
        <v>S-g-m-D-N-S</v>
      </c>
      <c r="EF283" s="371" t="str">
        <f>IFERROR(__xludf.DUMMYFUNCTION("CONCATENATE(JOIN("""",HC283:HO283))"),"SrgPDS")</f>
        <v>SrgPDS</v>
      </c>
      <c r="EG283" s="372">
        <f t="shared" si="61"/>
        <v>4</v>
      </c>
      <c r="EH283" s="373" t="str">
        <f>IFERROR(__xludf.DUMMYFUNCTION("CONCATENATE(JOIN("""",JC283:JO283))"),"Sa, ga, Dha, Ni, ")</f>
        <v>Sa, ga, Dha, Ni, </v>
      </c>
      <c r="EI283" s="322">
        <f t="shared" si="62"/>
        <v>3</v>
      </c>
      <c r="EJ283" s="374" t="str">
        <f>IFERROR(__xludf.DUMMYFUNCTION("CONCATENATE(JOIN("""",KC283:KO283))"),"ga, Dha, Ni, ")</f>
        <v>ga, Dha, Ni, </v>
      </c>
      <c r="EK283" s="325" t="str">
        <f t="shared" si="63"/>
        <v>S-G2-M1-D2-N3-S</v>
      </c>
      <c r="EL283" s="326" t="str">
        <f t="shared" si="64"/>
        <v>1-b3-4-6-7-8</v>
      </c>
      <c r="EM283" s="318" t="str">
        <f t="shared" si="65"/>
        <v>#REF!</v>
      </c>
      <c r="EN283" s="328" t="str">
        <f>IFERROR(__xludf.DUMMYFUNCTION("SUBSTITUTE(SUBSTITUTE(SUBSTITUTE(SUBSTITUTE(CONCATENATE(JOIN("" "",HP283:IB283)),""  "","" ""),""  "","" ""),""  "","" ""),""  "","" "")"),"o • • o • o • • • o • o o")</f>
        <v>o • • o • o • • • o • o o</v>
      </c>
      <c r="EO283" s="368" t="str">
        <f t="shared" si="66"/>
        <v>Sa-ma</v>
      </c>
      <c r="EP283" s="339" t="str">
        <f t="shared" si="67"/>
        <v>-</v>
      </c>
      <c r="EQ283" s="339" t="str">
        <f t="shared" si="68"/>
        <v>-</v>
      </c>
      <c r="ER283" s="339" t="str">
        <f t="shared" si="69"/>
        <v>-</v>
      </c>
      <c r="ES283" s="340" t="str">
        <f t="shared" si="70"/>
        <v>Sa-ma</v>
      </c>
      <c r="ET283" s="363"/>
      <c r="EU283" s="376" t="b">
        <f>IFERROR(__xludf.DUMMYFUNCTION("arrayformula(sum(--REGEXMATCH(""SRGMPDNS"",split(REGEXREPLACE(C283,""(.)"",""$1~""),""~""))))=len(C283)
"),FALSE)</f>
        <v>0</v>
      </c>
      <c r="EV283" s="290" t="b">
        <f>IFERROR(__xludf.DUMMYFUNCTION("arrayformula(sum(--REGEXMATCH(""SRGmPDNS"",split(REGEXREPLACE(C283,""(.)"",""$1~""),""~""))))=len(C283)"),FALSE)</f>
        <v>0</v>
      </c>
      <c r="EW283" s="290" t="b">
        <f>IFERROR(__xludf.DUMMYFUNCTION("arrayformula(sum(--REGEXMATCH(""SRGmPDnS"",split(REGEXREPLACE(C283,""(.)"",""$1~""),""~""))))=len(C283)"),FALSE)</f>
        <v>0</v>
      </c>
      <c r="EX283" s="290" t="b">
        <f>IFERROR(__xludf.DUMMYFUNCTION("arrayformula(sum(--REGEXMATCH(""SRgmPDnS"",split(REGEXREPLACE(C283,""(.)"",""$1~""),""~""))))=len(C283)"),FALSE)</f>
        <v>0</v>
      </c>
      <c r="EY283" s="290" t="b">
        <f>IFERROR(__xludf.DUMMYFUNCTION("arrayformula(sum(--REGEXMATCH(""SRgmPdnS"",split(REGEXREPLACE(C283,""(.)"",""$1~""),""~""))))=len(C283)"),FALSE)</f>
        <v>0</v>
      </c>
      <c r="EZ283" s="290" t="b">
        <f>IFERROR(__xludf.DUMMYFUNCTION("arrayformula(sum(--REGEXMATCH(""SrgmPdnS"",split(REGEXREPLACE(C283,""(.)"",""$1~""),""~""))))=len(C283)"),FALSE)</f>
        <v>0</v>
      </c>
      <c r="FA283" s="290" t="b">
        <f>IFERROR(__xludf.DUMMYFUNCTION("arrayformula(sum(--REGEXMATCH(""SrGmPdNS"",split(REGEXREPLACE(C283,""(.)"",""$1~""),""~""))))=len(C283)"),FALSE)</f>
        <v>0</v>
      </c>
      <c r="FB283" s="290" t="b">
        <f>IFERROR(__xludf.DUMMYFUNCTION("arrayformula(sum(--REGEXMATCH(""SrGMPDNS"",split(REGEXREPLACE(C283,""(.)"",""$1~""),""~""))))=len(C283)"),FALSE)</f>
        <v>0</v>
      </c>
      <c r="FC283" s="290" t="b">
        <f>IFERROR(__xludf.DUMMYFUNCTION("arrayformula(sum(--REGEXMATCH(""SrGMPdNS"",split(REGEXREPLACE(C283,""(.)"",""$1~""),""~""))))=len(C283)"),FALSE)</f>
        <v>0</v>
      </c>
      <c r="FD283" s="377" t="b">
        <f>IFERROR(__xludf.DUMMYFUNCTION("arrayformula(sum(--REGEXMATCH(""SrgMPdNS"",split(REGEXREPLACE(C283,""(.)"",""$1~""),""~""))))=len(C283)"),FALSE)</f>
        <v>0</v>
      </c>
      <c r="FE283" s="269" t="str">
        <f t="shared" si="71"/>
        <v>-</v>
      </c>
      <c r="FF283" s="269" t="str">
        <f t="shared" si="72"/>
        <v>-</v>
      </c>
      <c r="FG283" s="271" t="str">
        <f t="shared" si="73"/>
        <v>xoxoooxoxxo</v>
      </c>
      <c r="FH283" s="269" t="str">
        <f t="shared" si="74"/>
        <v>-</v>
      </c>
      <c r="FI283" s="271" t="str">
        <f t="shared" si="75"/>
        <v>xoooxoxxoox</v>
      </c>
      <c r="FJ283" s="271" t="str">
        <f t="shared" si="76"/>
        <v>-</v>
      </c>
      <c r="FK283" s="271" t="str">
        <f t="shared" si="77"/>
        <v>-</v>
      </c>
      <c r="FL283" s="271" t="str">
        <f t="shared" si="78"/>
        <v>-</v>
      </c>
      <c r="FM283" s="271" t="str">
        <f t="shared" si="79"/>
        <v>xoxxooxoxoo</v>
      </c>
      <c r="FN283" s="271" t="str">
        <f t="shared" si="80"/>
        <v>-</v>
      </c>
      <c r="FO283" s="274" t="str">
        <f t="shared" si="81"/>
        <v>xxooxoxooox</v>
      </c>
      <c r="FP283" s="234" t="str">
        <f t="shared" si="82"/>
        <v>|</v>
      </c>
      <c r="FQ283" s="236" t="str">
        <f t="shared" si="83"/>
        <v>-</v>
      </c>
      <c r="FR283" s="237" t="str">
        <f t="shared" si="84"/>
        <v>-</v>
      </c>
      <c r="FS283" s="236" t="str">
        <f t="shared" si="85"/>
        <v>|</v>
      </c>
      <c r="FT283" s="237" t="str">
        <f t="shared" si="86"/>
        <v>-</v>
      </c>
      <c r="FU283" s="236" t="str">
        <f t="shared" si="87"/>
        <v>|</v>
      </c>
      <c r="FV283" s="237" t="str">
        <f t="shared" si="88"/>
        <v>-</v>
      </c>
      <c r="FW283" s="236" t="str">
        <f t="shared" si="89"/>
        <v>-</v>
      </c>
      <c r="FX283" s="237" t="str">
        <f t="shared" si="90"/>
        <v>-</v>
      </c>
      <c r="FY283" s="236" t="str">
        <f t="shared" si="91"/>
        <v>|</v>
      </c>
      <c r="FZ283" s="237" t="str">
        <f t="shared" si="92"/>
        <v>-</v>
      </c>
      <c r="GA283" s="236" t="str">
        <f t="shared" si="93"/>
        <v>|</v>
      </c>
      <c r="GB283" s="238" t="str">
        <f t="shared" si="94"/>
        <v>|</v>
      </c>
      <c r="GC283" s="244" t="str">
        <f>IFERROR(__xludf.DUMMYFUNCTION("IF(REGEXMATCH(C283, ""S""), ""1"","""")"),"1")</f>
        <v>1</v>
      </c>
      <c r="GD283" s="245" t="str">
        <f>IFERROR(__xludf.DUMMYFUNCTION("IF(REGEXMATCH(C283, ""r""), ""b2"","""")"),"")</f>
        <v/>
      </c>
      <c r="GE283" s="246" t="str">
        <f>IFERROR(__xludf.DUMMYFUNCTION("IF(REGEXMATCH(C283, ""R""), ""2"","""")"),"")</f>
        <v/>
      </c>
      <c r="GF283" s="246" t="str">
        <f>IFERROR(__xludf.DUMMYFUNCTION("IF(REGEXMATCH(C283, ""g""), ""b3"","""")"),"b3")</f>
        <v>b3</v>
      </c>
      <c r="GG283" s="245" t="str">
        <f>IFERROR(__xludf.DUMMYFUNCTION("IF(REGEXMATCH(C283, ""G""), ""3"","""")"),"")</f>
        <v/>
      </c>
      <c r="GH283" s="245" t="str">
        <f>IFERROR(__xludf.DUMMYFUNCTION("IF(REGEXMATCH(C283, ""m""), ""4"","""")"),"4")</f>
        <v>4</v>
      </c>
      <c r="GI283" s="246" t="str">
        <f>IFERROR(__xludf.DUMMYFUNCTION("IF(REGEXMATCH(C283, ""M""), ""#4"","""")"),"")</f>
        <v/>
      </c>
      <c r="GJ283" s="245" t="str">
        <f>IFERROR(__xludf.DUMMYFUNCTION("IF(REGEXMATCH(C283, ""P""), ""5"","""")"),"")</f>
        <v/>
      </c>
      <c r="GK283" s="246" t="str">
        <f>IFERROR(__xludf.DUMMYFUNCTION("IF(REGEXMATCH(C283, ""d""), ""b6"","""")"),"")</f>
        <v/>
      </c>
      <c r="GL283" s="245" t="str">
        <f>IFERROR(__xludf.DUMMYFUNCTION("IF(REGEXMATCH(C283, ""D""), ""6"","""")"),"6")</f>
        <v>6</v>
      </c>
      <c r="GM283" s="245" t="str">
        <f>IFERROR(__xludf.DUMMYFUNCTION("IF(REGEXMATCH(C283, ""n""), ""b7"","""")"),"")</f>
        <v/>
      </c>
      <c r="GN283" s="246" t="str">
        <f>IFERROR(__xludf.DUMMYFUNCTION("IF(REGEXMATCH(C283, ""N""), ""7"","""")"),"7")</f>
        <v>7</v>
      </c>
      <c r="GO283" s="249" t="str">
        <f>IFERROR(__xludf.DUMMYFUNCTION("IF(REGEXMATCH(C283, ""S""), ""8"","""")"),"8")</f>
        <v>8</v>
      </c>
      <c r="GP283" s="244" t="str">
        <f>IFERROR(__xludf.DUMMYFUNCTION("IF(REGEXMATCH(C283, ""S""), ""S"","""")"),"S")</f>
        <v>S</v>
      </c>
      <c r="GQ283" s="294" t="str">
        <f>IFERROR(__xludf.DUMMYFUNCTION("IF(REGEXMATCH(C283, ""r""), ""R1"","""")"),"")</f>
        <v/>
      </c>
      <c r="GR283" s="295" t="str">
        <f>IFERROR(__xludf.DUMMYFUNCTION("IF(REGEXMATCH(C283, ""R""), ""R2"","""")"),"")</f>
        <v/>
      </c>
      <c r="GS283" s="295" t="str">
        <f>IFERROR(__xludf.DUMMYFUNCTION("IF(REGEXMATCH(C283, ""g""), ""G2"","""")"),"G2")</f>
        <v>G2</v>
      </c>
      <c r="GT283" s="294" t="str">
        <f>IFERROR(__xludf.DUMMYFUNCTION("IF(REGEXMATCH(C283, ""G""), ""G3"","""")"),"")</f>
        <v/>
      </c>
      <c r="GU283" s="294" t="str">
        <f>IFERROR(__xludf.DUMMYFUNCTION("IF(REGEXMATCH(C283, ""m""), ""M1"","""")"),"M1")</f>
        <v>M1</v>
      </c>
      <c r="GV283" s="295" t="str">
        <f>IFERROR(__xludf.DUMMYFUNCTION("IF(REGEXMATCH(C283, ""M""), ""M2"","""")"),"")</f>
        <v/>
      </c>
      <c r="GW283" s="294" t="str">
        <f>IFERROR(__xludf.DUMMYFUNCTION("IF(REGEXMATCH(C283, ""P""), ""P"","""")"),"")</f>
        <v/>
      </c>
      <c r="GX283" s="295" t="str">
        <f>IFERROR(__xludf.DUMMYFUNCTION("IF(REGEXMATCH(C283, ""d""), ""D1"","""")"),"")</f>
        <v/>
      </c>
      <c r="GY283" s="294" t="str">
        <f>IFERROR(__xludf.DUMMYFUNCTION("IF(REGEXMATCH(C283, ""D""), ""D2"","""")"),"D2")</f>
        <v>D2</v>
      </c>
      <c r="GZ283" s="294" t="str">
        <f>IFERROR(__xludf.DUMMYFUNCTION("IF(REGEXMATCH(C283, ""n""), ""N2"","""")"),"")</f>
        <v/>
      </c>
      <c r="HA283" s="295" t="str">
        <f>IFERROR(__xludf.DUMMYFUNCTION("IF(REGEXMATCH(C283, ""N""), ""N3"","""")"),"N3")</f>
        <v>N3</v>
      </c>
      <c r="HB283" s="249" t="str">
        <f>IFERROR(__xludf.DUMMYFUNCTION("IF(REGEXMATCH(C283, ""S""), ""S"","""")"),"S")</f>
        <v>S</v>
      </c>
      <c r="HC283" s="331" t="str">
        <f t="shared" si="95"/>
        <v>S</v>
      </c>
      <c r="HD283" s="332" t="str">
        <f t="shared" si="96"/>
        <v>r</v>
      </c>
      <c r="HE283" s="332" t="str">
        <f t="shared" si="97"/>
        <v/>
      </c>
      <c r="HF283" s="332" t="str">
        <f t="shared" si="98"/>
        <v>g</v>
      </c>
      <c r="HG283" s="332" t="str">
        <f t="shared" si="99"/>
        <v/>
      </c>
      <c r="HH283" s="332" t="str">
        <f t="shared" si="100"/>
        <v/>
      </c>
      <c r="HI283" s="332" t="str">
        <f t="shared" si="101"/>
        <v/>
      </c>
      <c r="HJ283" s="332" t="str">
        <f t="shared" si="102"/>
        <v>P</v>
      </c>
      <c r="HK283" s="332" t="str">
        <f t="shared" si="103"/>
        <v/>
      </c>
      <c r="HL283" s="332" t="str">
        <f t="shared" si="104"/>
        <v>D</v>
      </c>
      <c r="HM283" s="332" t="str">
        <f t="shared" si="105"/>
        <v/>
      </c>
      <c r="HN283" s="332" t="str">
        <f t="shared" si="106"/>
        <v/>
      </c>
      <c r="HO283" s="343" t="str">
        <f t="shared" si="107"/>
        <v>S</v>
      </c>
      <c r="HP283" s="331" t="str">
        <f t="shared" si="108"/>
        <v>o</v>
      </c>
      <c r="HQ283" s="332" t="str">
        <f t="shared" si="109"/>
        <v>•</v>
      </c>
      <c r="HR283" s="332" t="str">
        <f t="shared" si="110"/>
        <v>•</v>
      </c>
      <c r="HS283" s="332" t="str">
        <f t="shared" si="111"/>
        <v>o</v>
      </c>
      <c r="HT283" s="332" t="str">
        <f t="shared" si="112"/>
        <v>•</v>
      </c>
      <c r="HU283" s="332" t="str">
        <f t="shared" si="113"/>
        <v>o</v>
      </c>
      <c r="HV283" s="332" t="str">
        <f t="shared" si="114"/>
        <v>•</v>
      </c>
      <c r="HW283" s="332" t="str">
        <f t="shared" si="115"/>
        <v>•</v>
      </c>
      <c r="HX283" s="332" t="str">
        <f t="shared" si="116"/>
        <v>•</v>
      </c>
      <c r="HY283" s="332" t="str">
        <f t="shared" si="117"/>
        <v>o</v>
      </c>
      <c r="HZ283" s="332" t="str">
        <f t="shared" si="118"/>
        <v>•</v>
      </c>
      <c r="IA283" s="332" t="str">
        <f t="shared" si="119"/>
        <v>o</v>
      </c>
      <c r="IB283" s="338" t="str">
        <f t="shared" si="120"/>
        <v>o</v>
      </c>
      <c r="IC283" s="331" t="str">
        <f t="shared" si="121"/>
        <v>•</v>
      </c>
      <c r="ID283" s="332" t="str">
        <f t="shared" si="122"/>
        <v>o</v>
      </c>
      <c r="IE283" s="332" t="str">
        <f t="shared" si="123"/>
        <v>o</v>
      </c>
      <c r="IF283" s="332" t="str">
        <f t="shared" si="124"/>
        <v>•</v>
      </c>
      <c r="IG283" s="332" t="str">
        <f t="shared" si="125"/>
        <v>o</v>
      </c>
      <c r="IH283" s="332" t="str">
        <f t="shared" si="126"/>
        <v>•</v>
      </c>
      <c r="II283" s="332" t="str">
        <f t="shared" si="127"/>
        <v>o</v>
      </c>
      <c r="IJ283" s="332" t="str">
        <f t="shared" si="128"/>
        <v>o</v>
      </c>
      <c r="IK283" s="332" t="str">
        <f t="shared" si="129"/>
        <v>o</v>
      </c>
      <c r="IL283" s="332" t="str">
        <f t="shared" si="130"/>
        <v>•</v>
      </c>
      <c r="IM283" s="332" t="str">
        <f t="shared" si="131"/>
        <v>o</v>
      </c>
      <c r="IN283" s="332" t="str">
        <f t="shared" si="132"/>
        <v>•</v>
      </c>
      <c r="IO283" s="338" t="str">
        <f t="shared" si="133"/>
        <v>•</v>
      </c>
      <c r="IP283" s="346" t="b">
        <f t="shared" si="134"/>
        <v>1</v>
      </c>
      <c r="IQ283" s="347" t="b">
        <f t="shared" si="135"/>
        <v>0</v>
      </c>
      <c r="IR283" s="347" t="b">
        <f t="shared" si="136"/>
        <v>0</v>
      </c>
      <c r="IS283" s="347" t="b">
        <f t="shared" si="137"/>
        <v>1</v>
      </c>
      <c r="IT283" s="347" t="b">
        <f t="shared" si="138"/>
        <v>0</v>
      </c>
      <c r="IU283" s="347" t="b">
        <f t="shared" si="139"/>
        <v>0</v>
      </c>
      <c r="IV283" s="347" t="b">
        <f t="shared" si="140"/>
        <v>0</v>
      </c>
      <c r="IW283" s="347" t="b">
        <f t="shared" si="141"/>
        <v>0</v>
      </c>
      <c r="IX283" s="347" t="b">
        <f t="shared" si="142"/>
        <v>0</v>
      </c>
      <c r="IY283" s="347" t="b">
        <f t="shared" si="143"/>
        <v>1</v>
      </c>
      <c r="IZ283" s="347" t="b">
        <f t="shared" si="144"/>
        <v>0</v>
      </c>
      <c r="JA283" s="347" t="b">
        <f t="shared" si="145"/>
        <v>1</v>
      </c>
      <c r="JB283" s="353" t="b">
        <f t="shared" si="146"/>
        <v>1</v>
      </c>
      <c r="JC283" s="354" t="str">
        <f t="shared" si="147"/>
        <v>Sa, </v>
      </c>
      <c r="JD283" s="355" t="str">
        <f t="shared" si="148"/>
        <v/>
      </c>
      <c r="JE283" s="355" t="str">
        <f t="shared" si="149"/>
        <v/>
      </c>
      <c r="JF283" s="355" t="str">
        <f t="shared" si="150"/>
        <v>ga, </v>
      </c>
      <c r="JG283" s="355" t="str">
        <f t="shared" si="151"/>
        <v/>
      </c>
      <c r="JH283" s="355" t="str">
        <f t="shared" si="152"/>
        <v/>
      </c>
      <c r="JI283" s="355" t="str">
        <f t="shared" si="153"/>
        <v/>
      </c>
      <c r="JJ283" s="355" t="str">
        <f t="shared" si="154"/>
        <v/>
      </c>
      <c r="JK283" s="355" t="str">
        <f t="shared" si="155"/>
        <v/>
      </c>
      <c r="JL283" s="355" t="str">
        <f t="shared" si="156"/>
        <v>Dha, </v>
      </c>
      <c r="JM283" s="355" t="str">
        <f t="shared" si="157"/>
        <v/>
      </c>
      <c r="JN283" s="355" t="str">
        <f t="shared" si="158"/>
        <v>Ni, </v>
      </c>
      <c r="JO283" s="359" t="str">
        <f t="shared" si="159"/>
        <v/>
      </c>
      <c r="JP283" s="346" t="b">
        <f t="shared" si="160"/>
        <v>0</v>
      </c>
      <c r="JQ283" s="347" t="b">
        <f t="shared" si="161"/>
        <v>0</v>
      </c>
      <c r="JR283" s="347" t="b">
        <f t="shared" si="162"/>
        <v>0</v>
      </c>
      <c r="JS283" s="347" t="b">
        <f t="shared" si="163"/>
        <v>1</v>
      </c>
      <c r="JT283" s="347" t="b">
        <f t="shared" si="164"/>
        <v>0</v>
      </c>
      <c r="JU283" s="347" t="b">
        <f t="shared" si="165"/>
        <v>0</v>
      </c>
      <c r="JV283" s="347" t="b">
        <f t="shared" si="166"/>
        <v>0</v>
      </c>
      <c r="JW283" s="347" t="b">
        <f t="shared" si="167"/>
        <v>0</v>
      </c>
      <c r="JX283" s="347" t="b">
        <f t="shared" si="168"/>
        <v>0</v>
      </c>
      <c r="JY283" s="347" t="b">
        <f t="shared" si="169"/>
        <v>1</v>
      </c>
      <c r="JZ283" s="347" t="b">
        <f t="shared" si="170"/>
        <v>0</v>
      </c>
      <c r="KA283" s="347" t="b">
        <f t="shared" si="171"/>
        <v>1</v>
      </c>
      <c r="KB283" s="365" t="b">
        <f t="shared" si="172"/>
        <v>0</v>
      </c>
      <c r="KC283" s="354" t="str">
        <f t="shared" si="173"/>
        <v/>
      </c>
      <c r="KD283" s="355" t="str">
        <f t="shared" si="174"/>
        <v/>
      </c>
      <c r="KE283" s="355" t="str">
        <f t="shared" si="175"/>
        <v/>
      </c>
      <c r="KF283" s="355" t="str">
        <f t="shared" si="176"/>
        <v>ga, </v>
      </c>
      <c r="KG283" s="355" t="str">
        <f t="shared" si="177"/>
        <v/>
      </c>
      <c r="KH283" s="355" t="str">
        <f t="shared" si="178"/>
        <v/>
      </c>
      <c r="KI283" s="355" t="str">
        <f t="shared" si="179"/>
        <v/>
      </c>
      <c r="KJ283" s="355" t="str">
        <f t="shared" si="180"/>
        <v/>
      </c>
      <c r="KK283" s="355" t="str">
        <f t="shared" si="181"/>
        <v/>
      </c>
      <c r="KL283" s="355" t="str">
        <f t="shared" si="182"/>
        <v>Dha, </v>
      </c>
      <c r="KM283" s="355" t="str">
        <f t="shared" si="183"/>
        <v/>
      </c>
      <c r="KN283" s="355" t="str">
        <f t="shared" si="184"/>
        <v>Ni, </v>
      </c>
      <c r="KO283" s="359"/>
      <c r="KP283" s="378"/>
      <c r="KQ283" s="379" t="s">
        <v>1085</v>
      </c>
      <c r="KR283" s="380" t="s">
        <v>1471</v>
      </c>
      <c r="KS283" s="381" t="str">
        <f t="shared" si="791"/>
        <v>S-g-m-D-N-S</v>
      </c>
      <c r="KT283" s="382">
        <f t="shared" si="186"/>
        <v>5</v>
      </c>
      <c r="KU283" s="383">
        <f t="shared" si="187"/>
        <v>5</v>
      </c>
      <c r="KV283" s="381" t="str">
        <f t="shared" si="205"/>
        <v>S-N-D-m-g-S</v>
      </c>
      <c r="KW283" s="382">
        <f t="shared" si="189"/>
        <v>5</v>
      </c>
      <c r="KX283" s="384">
        <f t="shared" si="190"/>
        <v>5</v>
      </c>
      <c r="KY283" s="382">
        <f t="shared" ref="KY283:KZ283" si="792">KW283-KT283</f>
        <v>0</v>
      </c>
      <c r="KZ283" s="369">
        <f t="shared" si="792"/>
        <v>0</v>
      </c>
      <c r="LA283" s="385" t="str">
        <f t="shared" si="192"/>
        <v>✔</v>
      </c>
      <c r="LB283" s="340" t="str">
        <f>IFERROR(__xludf.DUMMYFUNCTION("JOIN("""",ArrayFormula(MID(KS283,LEN(KS283)-SEQUENCE(1,LEN(KS283))+1,1)))"),"S-N-D-m-g-S")</f>
        <v>S-N-D-m-g-S</v>
      </c>
      <c r="LC283" s="373" t="str">
        <f>IFERROR(__xludf.DUMMYFUNCTION("JOIN("""",ArrayFormula(MID(KV283,LEN(KV283)-SEQUENCE(1,LEN(KV283))+1,1)))"),"S-g-m-D-N-S")</f>
        <v>S-g-m-D-N-S</v>
      </c>
      <c r="LD283" s="373" t="str">
        <f t="shared" si="193"/>
        <v>SgmDNS</v>
      </c>
      <c r="LE283" s="339" t="str">
        <f t="shared" si="194"/>
        <v>SgmDNS</v>
      </c>
      <c r="LF283" s="386" t="str">
        <f>IFERROR(__xludf.DUMMYFUNCTION("SUBSTITUTE(SUBSTITUTE(CONCATENATE(JOIN("""",LH283:LT283)),""1"",""""),""2"","""")"),"SgmDNS")</f>
        <v>SgmDNS</v>
      </c>
      <c r="LG283" s="369" t="str">
        <f t="shared" si="195"/>
        <v>✔</v>
      </c>
      <c r="LH283" s="387" t="str">
        <f>IFERROR(__xludf.DUMMYFUNCTION("IF(REGEXMATCH(LD283, ""S""), ""S"",IF(REGEXMATCH(LE283, ""S""), ""S"",""""))"),"S")</f>
        <v>S</v>
      </c>
      <c r="LI283" s="299" t="str">
        <f>IFERROR(__xludf.DUMMYFUNCTION("IF(REGEXMATCH(LD283, ""r""), ""r1"",IF(REGEXMATCH(LE283, ""r""), ""r2"",""""))"),"")</f>
        <v/>
      </c>
      <c r="LJ283" s="299" t="str">
        <f>IFERROR(__xludf.DUMMYFUNCTION("IF(REGEXMATCH(LD283, ""R""), ""R1"",IF(REGEXMATCH(LE283, ""R""), ""R2"",""""))"),"")</f>
        <v/>
      </c>
      <c r="LK283" s="299" t="str">
        <f>IFERROR(__xludf.DUMMYFUNCTION("IF(REGEXMATCH(LD283, ""g""), ""g1"",IF(REGEXMATCH(LE283, ""g""), ""g2"",""""))"),"g1")</f>
        <v>g1</v>
      </c>
      <c r="LL283" s="299" t="str">
        <f>IFERROR(__xludf.DUMMYFUNCTION("IF(REGEXMATCH(LD283, ""G""), ""G1"",IF(REGEXMATCH(LE283, ""G""), ""G2"",""""))"),"")</f>
        <v/>
      </c>
      <c r="LM283" s="299" t="str">
        <f>IFERROR(__xludf.DUMMYFUNCTION("IF(REGEXMATCH(LD283, ""m""), ""m1"",IF(REGEXMATCH(LE283, ""m""), ""m2"",""""))"),"m1")</f>
        <v>m1</v>
      </c>
      <c r="LN283" s="299" t="str">
        <f>IFERROR(__xludf.DUMMYFUNCTION("IF(REGEXMATCH(LD283, ""M""), ""M1"",IF(REGEXMATCH(LE283, ""M""), ""M2"",""""))"),"")</f>
        <v/>
      </c>
      <c r="LO283" s="299" t="str">
        <f>IFERROR(__xludf.DUMMYFUNCTION("IF(REGEXMATCH(LD283, ""P""), ""P1"",IF(REGEXMATCH(LE283, ""P""), ""P2"",""""))"),"")</f>
        <v/>
      </c>
      <c r="LP283" s="299" t="str">
        <f>IFERROR(__xludf.DUMMYFUNCTION("IF(REGEXMATCH(LD283, ""d""), ""d1"",IF(REGEXMATCH(LE283, ""d""), ""d2"",""""))"),"")</f>
        <v/>
      </c>
      <c r="LQ283" s="299" t="str">
        <f>IFERROR(__xludf.DUMMYFUNCTION("IF(REGEXMATCH(LD283, ""D""), ""D1"",IF(REGEXMATCH(LE283, ""D""), ""D2"",""""))"),"D1")</f>
        <v>D1</v>
      </c>
      <c r="LR283" s="299" t="str">
        <f>IFERROR(__xludf.DUMMYFUNCTION("IF(REGEXMATCH(LD283, ""n""), ""n1"",IF(REGEXMATCH(LE283, ""n""), ""n2"",""""))"),"")</f>
        <v/>
      </c>
      <c r="LS283" s="299" t="str">
        <f>IFERROR(__xludf.DUMMYFUNCTION("IF(REGEXMATCH(LD283, ""N""), ""N1"",IF(REGEXMATCH(LE283, ""N""), ""N2"",""""))"),"N1")</f>
        <v>N1</v>
      </c>
      <c r="LT283" s="388" t="str">
        <f>IFERROR(__xludf.DUMMYFUNCTION("IF(REGEXMATCH(LD283, ""S""), ""S"",IF(REGEXMATCH(LE283, ""S""), ""S"",""""))"),"S")</f>
        <v>S</v>
      </c>
      <c r="LU283" s="389">
        <f t="shared" si="196"/>
        <v>1</v>
      </c>
      <c r="LV283" s="378"/>
      <c r="LW283" s="369"/>
      <c r="LX283" s="369"/>
    </row>
    <row r="284" ht="18.0" customHeight="1">
      <c r="A284" s="298" t="s">
        <v>1087</v>
      </c>
      <c r="B284" s="222" t="s">
        <v>741</v>
      </c>
      <c r="C284" s="233" t="str">
        <f t="shared" si="7"/>
        <v>SRgGmPDnNS</v>
      </c>
      <c r="D284" s="234" t="str">
        <f>IFERROR(__xludf.DUMMYFUNCTION("IF(REGEXMATCH(C284, ""S""), ""S"","""")"),"S")</f>
        <v>S</v>
      </c>
      <c r="E284" s="236" t="str">
        <f>IFERROR(__xludf.DUMMYFUNCTION("IF(REGEXMATCH(C284, ""r""), ""r"","""")"),"")</f>
        <v/>
      </c>
      <c r="F284" s="237" t="str">
        <f>IFERROR(__xludf.DUMMYFUNCTION("IF(REGEXMATCH(C284, ""R""), ""R"","""")"),"R")</f>
        <v>R</v>
      </c>
      <c r="G284" s="237" t="str">
        <f>IFERROR(__xludf.DUMMYFUNCTION("IF(REGEXMATCH(C284, ""g""), ""g"","""")"),"g")</f>
        <v>g</v>
      </c>
      <c r="H284" s="236" t="str">
        <f>IFERROR(__xludf.DUMMYFUNCTION("IF(REGEXMATCH(C284, ""G""), ""G"","""")"),"G")</f>
        <v>G</v>
      </c>
      <c r="I284" s="236" t="str">
        <f>IFERROR(__xludf.DUMMYFUNCTION("IF(REGEXMATCH(C284, ""m""), ""m"","""")"),"m")</f>
        <v>m</v>
      </c>
      <c r="J284" s="237" t="str">
        <f>IFERROR(__xludf.DUMMYFUNCTION("IF(REGEXMATCH(C284, ""M""), ""M"","""")"),"")</f>
        <v/>
      </c>
      <c r="K284" s="236" t="str">
        <f>IFERROR(__xludf.DUMMYFUNCTION("IF(REGEXMATCH(C284, ""P""), ""P"","""")"),"P")</f>
        <v>P</v>
      </c>
      <c r="L284" s="237" t="str">
        <f>IFERROR(__xludf.DUMMYFUNCTION("IF(REGEXMATCH(C284, ""d""), ""d"","""")"),"")</f>
        <v/>
      </c>
      <c r="M284" s="236" t="str">
        <f>IFERROR(__xludf.DUMMYFUNCTION("IF(REGEXMATCH(C284, ""D""), ""D"","""")"),"D")</f>
        <v>D</v>
      </c>
      <c r="N284" s="236" t="str">
        <f>IFERROR(__xludf.DUMMYFUNCTION("IF(REGEXMATCH(C284, ""n""), ""n"","""")"),"n")</f>
        <v>n</v>
      </c>
      <c r="O284" s="237" t="str">
        <f>IFERROR(__xludf.DUMMYFUNCTION("IF(REGEXMATCH(C284, ""N""), ""N"","""")"),"N")</f>
        <v>N</v>
      </c>
      <c r="P284" s="238" t="str">
        <f>IFERROR(__xludf.DUMMYFUNCTION("IF(REGEXMATCH(C284, ""S""), ""S"","""")"),"S")</f>
        <v>S</v>
      </c>
      <c r="Q284" s="239" t="str">
        <f>IFERROR(__xludf.DUMMYFUNCTION("SUBSTITUTE(CONCATENATE(JOIN(""-"",D284:J284)),""-"","""")"),"SRgGm")</f>
        <v>SRgGm</v>
      </c>
      <c r="R284" s="229" t="str">
        <f>IFERROR(__xludf.DUMMYFUNCTION("SUBSTITUTE(CONCATENATE(JOIN(""-"",K284:P284)),""-"","""")"),"PDnNS")</f>
        <v>PDnNS</v>
      </c>
      <c r="S284" s="282" t="str">
        <f t="shared" si="8"/>
        <v>S-R-G-M</v>
      </c>
      <c r="T284" s="282" t="str">
        <f t="shared" si="9"/>
        <v>P-D-N-S</v>
      </c>
      <c r="U284" s="237" t="str">
        <f>IFERROR(__xludf.DUMMYFUNCTION("SUBSTITUTE(JOIN(""-"",S284,T284),""--"",""-"")"),"S-R-G-M-P-D-N-S")</f>
        <v>S-R-G-M-P-D-N-S</v>
      </c>
      <c r="V284" s="309" t="str">
        <f t="shared" si="10"/>
        <v>RgGmDnN</v>
      </c>
      <c r="W284" s="244" t="str">
        <f>IFERROR(__xludf.DUMMYFUNCTION("IF(REGEXMATCH(C284, ""S""), ""0"","""")"),"0")</f>
        <v>0</v>
      </c>
      <c r="X284" s="245" t="str">
        <f>IFERROR(__xludf.DUMMYFUNCTION("IF(REGEXMATCH(C284, ""r""), ""1"","""")"),"")</f>
        <v/>
      </c>
      <c r="Y284" s="246" t="str">
        <f>IFERROR(__xludf.DUMMYFUNCTION("IF(REGEXMATCH(C284, ""R""), ""2"","""")"),"2")</f>
        <v>2</v>
      </c>
      <c r="Z284" s="246" t="str">
        <f>IFERROR(__xludf.DUMMYFUNCTION("IF(REGEXMATCH(C284, ""g""), ""3"","""")"),"3")</f>
        <v>3</v>
      </c>
      <c r="AA284" s="245" t="str">
        <f>IFERROR(__xludf.DUMMYFUNCTION("IF(REGEXMATCH(C284, ""G""), ""4"","""")"),"4")</f>
        <v>4</v>
      </c>
      <c r="AB284" s="245" t="str">
        <f>IFERROR(__xludf.DUMMYFUNCTION("IF(REGEXMATCH(C284, ""m""), ""5"","""")"),"5")</f>
        <v>5</v>
      </c>
      <c r="AC284" s="246" t="str">
        <f>IFERROR(__xludf.DUMMYFUNCTION("IF(REGEXMATCH(C284, ""M""), ""6"","""")"),"")</f>
        <v/>
      </c>
      <c r="AD284" s="245" t="str">
        <f>IFERROR(__xludf.DUMMYFUNCTION("IF(REGEXMATCH(C284, ""P""), ""7"","""")"),"7")</f>
        <v>7</v>
      </c>
      <c r="AE284" s="246" t="str">
        <f>IFERROR(__xludf.DUMMYFUNCTION("IF(REGEXMATCH(C284, ""d""), ""8"","""")"),"")</f>
        <v/>
      </c>
      <c r="AF284" s="245" t="str">
        <f>IFERROR(__xludf.DUMMYFUNCTION("IF(REGEXMATCH(C284, ""D""), ""9"","""")"),"9")</f>
        <v>9</v>
      </c>
      <c r="AG284" s="245" t="str">
        <f>IFERROR(__xludf.DUMMYFUNCTION("IF(REGEXMATCH(C284, ""n""), ""10"","""")"),"10")</f>
        <v>10</v>
      </c>
      <c r="AH284" s="246" t="str">
        <f>IFERROR(__xludf.DUMMYFUNCTION("IF(REGEXMATCH(C284, ""N""), ""11"","""")"),"11")</f>
        <v>11</v>
      </c>
      <c r="AI284" s="249" t="str">
        <f>IFERROR(__xludf.DUMMYFUNCTION("IF(REGEXMATCH(C284, ""S""), ""0"","""")"),"0")</f>
        <v>0</v>
      </c>
      <c r="AJ284" s="313" t="str">
        <f t="shared" si="11"/>
        <v>-</v>
      </c>
      <c r="AK284" s="313" t="str">
        <f t="shared" si="12"/>
        <v>-</v>
      </c>
      <c r="AL284" s="313" t="str">
        <f t="shared" si="13"/>
        <v>-</v>
      </c>
      <c r="AM284" s="313" t="str">
        <f t="shared" si="14"/>
        <v>T</v>
      </c>
      <c r="AN284" s="313" t="str">
        <f t="shared" si="15"/>
        <v>T</v>
      </c>
      <c r="AO284" s="314" t="str">
        <f t="shared" si="16"/>
        <v>T</v>
      </c>
      <c r="AP284" s="316">
        <f t="shared" si="17"/>
        <v>3</v>
      </c>
      <c r="AQ284" s="319" t="str">
        <f t="shared" si="18"/>
        <v>-</v>
      </c>
      <c r="AR284" s="320">
        <f t="shared" si="19"/>
        <v>0</v>
      </c>
      <c r="AS284" s="250" t="str">
        <f>IFERROR(__xludf.DUMMYFUNCTION("SUBSTITUTE(SUBSTITUTE(CONCATENATE(JOIN("""",FP284:GA284)),""|"",""x""),""-"",""o"")"),"xoxxxxoxoxxx")</f>
        <v>xoxxxxoxoxxx</v>
      </c>
      <c r="AT284" s="323" t="str">
        <f>IFERROR(__xludf.DUMMYFUNCTION("JOIN("""",AS284,AS284)"),"xoxxxxoxoxxxxoxxxxoxoxxx")</f>
        <v>xoxxxxoxoxxxxoxxxxoxoxxx</v>
      </c>
      <c r="AU284" s="256" t="str">
        <f>IFERROR(__xludf.DUMMYFUNCTION("JOIN("""",ArrayFormula(MID(AS284,LEN(AS284)-SEQUENCE(1,LEN(AS284))+1,1)))"),"xxxoxoxxxxox")</f>
        <v>xxxoxoxxxxox</v>
      </c>
      <c r="AV284" s="256" t="str">
        <f>IFERROR(__xludf.DUMMYFUNCTION("LEFT(CONCATENATE(""x"",JOIN("""",ArrayFormula(MID(AS284,LEN(AS284)-SEQUENCE(1,LEN(AS284))+1,1)))),12)"),"xxxxoxoxxxxo")</f>
        <v>xxxxoxoxxxxo</v>
      </c>
      <c r="AW284" s="327" t="str">
        <f>IFERROR(__xludf.DUMMYFUNCTION("JOIN("""",AU284,AU284)"),"xxxoxoxxxxoxxxxoxoxxxxox")</f>
        <v>xxxoxoxxxxoxxxxoxoxxxxox</v>
      </c>
      <c r="AX284" s="239" t="str">
        <f>IFERROR(__xludf.DUMMYFUNCTION("IF(REGEXMATCH(AW284,AS284),""✔"",""-"")"),"✔")</f>
        <v>✔</v>
      </c>
      <c r="AY284" s="330" t="str">
        <f t="shared" si="20"/>
        <v>-</v>
      </c>
      <c r="AZ284" s="260" t="str">
        <f t="shared" si="21"/>
        <v>#REF!</v>
      </c>
      <c r="BA284" s="333" t="str">
        <f t="shared" si="22"/>
        <v>xoxxxxo</v>
      </c>
      <c r="BB284" s="334" t="str">
        <f t="shared" si="23"/>
        <v>xoxxxx</v>
      </c>
      <c r="BC284" s="335" t="str">
        <f t="shared" si="236"/>
        <v>✔</v>
      </c>
      <c r="BD284" s="336" t="str">
        <f t="shared" si="25"/>
        <v>Ramdasi Malhar: 'xoxxxxo' + 'xoxxxx'</v>
      </c>
      <c r="BE284" s="337">
        <f>IFERROR(__xludf.DUMMYFUNCTION("COUNTUNIQUE(FILTER(AT:AT,REGEXMATCH(AT:AT,AS284)))-1"),4.0)</f>
        <v>4</v>
      </c>
      <c r="BF284" s="261" t="str">
        <f>IFERROR(__xludf.DUMMYFUNCTION("IF(BI284=0,""(n/a)"",IF(BJ284=2,""(PAIR)"",IF(REGEXMATCH(AT284,""xoxoxxoxoxox""),""Bilawal"",IF(REGEXMATCH(AT284,""xoxoxooxoxoo""),""Bhupali"",IF(REGEXMATCH(AT284,""xoxoxxoxxoxo""),""Charukeshi"",IF(REGEXMATCH(AT284,""xoxoooxxoxxo""),""Kameshwari"",IF(REG"&amp;"EXMATCH(AT284,""xoxoxooxoxox""),""Shankara"",IF(REGEXMATCH(AT284,""xxooxoxxxoox""),""Basant"",IF(REGEXMATCH(AT284,""xoxoxxxxoxox""),""Bihag"",IF(REGEXMATCH(AT284,""xoxxxxoxoxxx""),""Pilu"",IF(REGEXMATCH(AT284,""xoxxoxoxxoox""),""Kirwani"",IF(REGEXMATCH(AT"&amp;"284,""xoxxoxoxoxxx""),""Mk.Malhar"",IF(REGEXMATCH(AT284,""xxooxxoxxoox""),""Bhairav"",IF(REGEXMATCH(AT284,""xxoxooxxxoox""),""Todi"",IF(REGEXMATCH(AT284,""xxooxoxooxox""),""Marwa"",IF(REGEXMATCH(AT284,""xxoooxoxxooo""),""Gunkali"",IF(REGEXMATCH(AT284,""xo"&amp;"xoxxoxxoox""),""Nat Bhairav"",IF(REGEXMATCH(AT284,""xoxxoooxoxoo""),""Shivranjani"",IF(REGEXMATCH(AT284,""xooxxxoxooxo""),""Jog"",IF(REGEXMATCH(AT284,""xxooxoxoxoox""),""Hemshri"",IF(REGEXMATCH(AT284,""xoooxooxoxxo""),""Kalavati"",IF(REGEXMATCH(AT284,""xx"&amp;"oxoxxoxoox""),""Kedar"",IF(REGEXMATCH(AT284,""xoxxxxoxooxx""),""Gara"",IF(REGEXMATCH(AT284,""xooxoxooxoox""),""Chandrakauns"",IF(REGEXMATCH(AT284,""xoxxxxoxxxox""),""Mand"",IF(REGEXMATCH(AT284,""xoxxxxoxoxox""),""Hanskinkini"",IF(REGEXMATCH(AT284,""xxooxx"&amp;"oxooxo""),""Lilavati"",IF(REGEXMATCH(AT284,""xooxoxoooxox""),""Rajeshwari"",IF(REGEXMATCH(AT284,""xoooxxoxoxxx""),""Khokar"",IF(REGEXMATCH(AT284,""xxooxoxxxxox""),""Maligoura"",""-""))))))))))))))))))))))))))))))"),"Pilu")</f>
        <v>Pilu</v>
      </c>
      <c r="BG284" s="239" t="str">
        <f t="shared" si="26"/>
        <v>#REF!</v>
      </c>
      <c r="BH284" s="239">
        <f>IFERROR(__xludf.DUMMYFUNCTION("COUNTUNIQUE(FE284:FO284)-1"),8.0)</f>
        <v>8</v>
      </c>
      <c r="BI284" s="239">
        <f>IFERROR(__xludf.DUMMYFUNCTION("COUNTUNIQUE(FILTER(AT:AT,REGEXMATCH(AT:AT,AS284)))-1"),4.0)</f>
        <v>4</v>
      </c>
      <c r="BJ284" s="239">
        <f>IFERROR(__xludf.DUMMYFUNCTION("COUNTA(FILTER(AT:AT,REGEXMATCH(AT:AT,AS284)))"),26.0)</f>
        <v>26</v>
      </c>
      <c r="BK284" s="341">
        <f>IFERROR(__xludf.DUMMYFUNCTION("COUNTA(FILTER(AT:AT,REGEXMATCH(AT:AT,AS284)))-AR284"),26.0)</f>
        <v>26</v>
      </c>
      <c r="BL284" s="276" t="str">
        <f>IFERROR(__xludf.DUMMYFUNCTION("IF(AS284=""oooooooooooo"",""-"",IF(REGEXMATCH(AT284,""xx""), ""Hemi."", ""Anhemi.""))"),"Hemi.")</f>
        <v>Hemi.</v>
      </c>
      <c r="BM284" s="282" t="str">
        <f>IFERROR(__xludf.DUMMYFUNCTION("IF(AS284=""oooooooooooo"",""-"",IF(REGEXMATCH(AT284,""xxx""), ""Cohem."", ""-""))"),"Cohem.")</f>
        <v>Cohem.</v>
      </c>
      <c r="BN284" s="282" t="str">
        <f>IFERROR(__xludf.DUMMYFUNCTION("IF(AS284=""oooooooooooo"",""-"",IF(REGEXMATCH(AT284,""xxxx""), ""Co-Co."", ""-""))"),"Co-Co.")</f>
        <v>Co-Co.</v>
      </c>
      <c r="BO284" s="342" t="str">
        <f>IFERROR(__xludf.DUMMYFUNCTION("IF(AS284=""oooooooooooo"",""-"",IF(REGEXMATCH(AT284,""xxxxx""), ""CCC."", ""-""))"),"-")</f>
        <v>-</v>
      </c>
      <c r="BP284" s="344" t="str">
        <f t="shared" si="27"/>
        <v>-</v>
      </c>
      <c r="BQ284" s="282" t="str">
        <f>IFERROR(__xludf.DUMMYFUNCTION("IF(REGEXMATCH(JOIN(""-"",EU284:FD284),""TRUE""),""✔"",""-"")"),"-")</f>
        <v>-</v>
      </c>
      <c r="BR284" s="225">
        <f t="shared" si="28"/>
        <v>0</v>
      </c>
      <c r="BS284" s="345" t="str">
        <f>IFERROR(__xludf.DUMMYFUNCTION("SUBSTITUTE(SUBSTITUTE(SUBSTITUTE(SUBSTITUTE(CONCATENATE(JOIN(""-"",GC284:GO284)),""--"",""-""),""--"",""-""),""--"",""-""),""--"",""-"")"),"1-2-b3-3-4-5-6-b7-7-8")</f>
        <v>1-2-b3-3-4-5-6-b7-7-8</v>
      </c>
      <c r="BT284" s="299" t="str">
        <f>IFERROR(__xludf.DUMMYFUNCTION("SUBSTITUTE(SUBSTITUTE(SUBSTITUTE(SUBSTITUTE(CONCATENATE(JOIN(""-"",GP284:HB284)),""--"",""-""),""--"",""-""),""--"",""-""),""--"",""-"")"),"S-R2-G2-G3-M1-P-D2-N2-N3-S")</f>
        <v>S-R2-G2-G3-M1-P-D2-N2-N3-S</v>
      </c>
      <c r="BU284" s="348" t="str">
        <f t="shared" si="29"/>
        <v>C-D-Eb-E-F-G-A-Bb-B-C</v>
      </c>
      <c r="BV284" s="349" t="str">
        <f t="shared" si="30"/>
        <v>SrMdS</v>
      </c>
      <c r="BW284" s="350">
        <f t="shared" si="31"/>
        <v>0</v>
      </c>
      <c r="BX284" s="351">
        <f t="shared" si="32"/>
        <v>11</v>
      </c>
      <c r="BY284" s="392"/>
      <c r="BZ284" s="309" t="str">
        <f>IFERROR(__xludf.DUMMYFUNCTION("IF(REGEXMATCH(C284, ""S""), ""x"",""x"")"),"x")</f>
        <v>x</v>
      </c>
      <c r="CA284" s="245" t="str">
        <f>IFERROR(__xludf.DUMMYFUNCTION("IF(REGEXMATCH(C284, ""r""), ""o"",""x"")"),"x")</f>
        <v>x</v>
      </c>
      <c r="CB284" s="246" t="str">
        <f>IFERROR(__xludf.DUMMYFUNCTION("IF(REGEXMATCH(C284, ""R""), ""o"",""x"")"),"o")</f>
        <v>o</v>
      </c>
      <c r="CC284" s="246" t="str">
        <f>IFERROR(__xludf.DUMMYFUNCTION("IF(REGEXMATCH(C284, ""g""), ""o"",""x"")"),"o")</f>
        <v>o</v>
      </c>
      <c r="CD284" s="245" t="str">
        <f>IFERROR(__xludf.DUMMYFUNCTION("IF(REGEXMATCH(C284, ""G""), ""o"",""x"")"),"o")</f>
        <v>o</v>
      </c>
      <c r="CE284" s="245" t="str">
        <f>IFERROR(__xludf.DUMMYFUNCTION("IF(REGEXMATCH(C284, ""m""), ""o"",""x"")"),"o")</f>
        <v>o</v>
      </c>
      <c r="CF284" s="246" t="str">
        <f>IFERROR(__xludf.DUMMYFUNCTION("IF(REGEXMATCH(C284, ""M""), ""o"",""x"")"),"x")</f>
        <v>x</v>
      </c>
      <c r="CG284" s="245" t="str">
        <f>IFERROR(__xludf.DUMMYFUNCTION("IF(REGEXMATCH(C284, ""P""), ""o"",""x"")"),"o")</f>
        <v>o</v>
      </c>
      <c r="CH284" s="246" t="str">
        <f>IFERROR(__xludf.DUMMYFUNCTION("IF(REGEXMATCH(C284, ""d""), ""o"",""x"")"),"x")</f>
        <v>x</v>
      </c>
      <c r="CI284" s="245" t="str">
        <f>IFERROR(__xludf.DUMMYFUNCTION("IF(REGEXMATCH(C284, ""D""), ""o"",""x"")"),"o")</f>
        <v>o</v>
      </c>
      <c r="CJ284" s="245" t="str">
        <f>IFERROR(__xludf.DUMMYFUNCTION("IF(REGEXMATCH(C284, ""n""), ""o"",""x"")"),"o")</f>
        <v>o</v>
      </c>
      <c r="CK284" s="245" t="str">
        <f>IFERROR(__xludf.DUMMYFUNCTION("IF(REGEXMATCH(C284, ""N""), ""o"",""x"")"),"o")</f>
        <v>o</v>
      </c>
      <c r="CL284" s="356" t="str">
        <f>IFERROR(__xludf.DUMMYFUNCTION("IF(REGEXMATCH(C284, ""S""), ""x"",""x"")"),"x")</f>
        <v>x</v>
      </c>
      <c r="CM284" s="357" t="str">
        <f t="shared" si="33"/>
        <v>xxooooxoxooo</v>
      </c>
      <c r="CN284" s="358">
        <f t="shared" si="34"/>
        <v>0</v>
      </c>
      <c r="CO284" s="246" t="str">
        <f>IFERROR(__xludf.DUMMYFUNCTION("IF(REGEXMATCH($C284, ""S""), ""S"",""S"")"),"S")</f>
        <v>S</v>
      </c>
      <c r="CP284" s="246" t="str">
        <f>IFERROR(__xludf.DUMMYFUNCTION("IF(REGEXMATCH($C284, ""r""), """",""r"")"),"r")</f>
        <v>r</v>
      </c>
      <c r="CQ284" s="246" t="str">
        <f>IFERROR(__xludf.DUMMYFUNCTION("IF(REGEXMATCH($C284, ""R""), """",""R"")"),"")</f>
        <v/>
      </c>
      <c r="CR284" s="246" t="str">
        <f>IFERROR(__xludf.DUMMYFUNCTION("IF(REGEXMATCH($C284, ""g""), """",""g"")"),"")</f>
        <v/>
      </c>
      <c r="CS284" s="246" t="str">
        <f>IFERROR(__xludf.DUMMYFUNCTION("IF(REGEXMATCH($C284, ""G""), """",""G"")"),"")</f>
        <v/>
      </c>
      <c r="CT284" s="246" t="str">
        <f>IFERROR(__xludf.DUMMYFUNCTION("IF(REGEXMATCH($C284, ""m""), """",""m"")"),"")</f>
        <v/>
      </c>
      <c r="CU284" s="246" t="str">
        <f>IFERROR(__xludf.DUMMYFUNCTION("IF(REGEXMATCH($C284, ""M""), """",""M"")"),"M")</f>
        <v>M</v>
      </c>
      <c r="CV284" s="246" t="str">
        <f>IFERROR(__xludf.DUMMYFUNCTION("IF(REGEXMATCH($C284, ""P""), """",""P"")"),"")</f>
        <v/>
      </c>
      <c r="CW284" s="246" t="str">
        <f>IFERROR(__xludf.DUMMYFUNCTION("IF(REGEXMATCH($C284, ""d""), """",""d"")"),"d")</f>
        <v>d</v>
      </c>
      <c r="CX284" s="246" t="str">
        <f>IFERROR(__xludf.DUMMYFUNCTION("IF(REGEXMATCH($C284, ""D""), """",""D"")"),"")</f>
        <v/>
      </c>
      <c r="CY284" s="246" t="str">
        <f>IFERROR(__xludf.DUMMYFUNCTION("IF(REGEXMATCH($C284, ""n""), """",""n"")"),"")</f>
        <v/>
      </c>
      <c r="CZ284" s="246" t="str">
        <f>IFERROR(__xludf.DUMMYFUNCTION("IF(REGEXMATCH($C284, ""N""), """",""N"")"),"")</f>
        <v/>
      </c>
      <c r="DA284" s="246" t="str">
        <f>IFERROR(__xludf.DUMMYFUNCTION("IF(REGEXMATCH($C284, ""S""), ""S"",""S"")"),"S")</f>
        <v>S</v>
      </c>
      <c r="DB284" s="362" t="str">
        <f>IFERROR(__xludf.DUMMYFUNCTION("JOIN("""",CO284:DA284,"""","""")"),"SrMdS")</f>
        <v>SrMdS</v>
      </c>
      <c r="DC284" s="363"/>
      <c r="DD284" s="301" t="str">
        <f t="shared" si="35"/>
        <v>#REF!</v>
      </c>
      <c r="DE284" s="302" t="str">
        <f t="shared" si="36"/>
        <v>#REF!</v>
      </c>
      <c r="DF284" s="301" t="str">
        <f t="shared" ref="DF284:DG284" si="793">SUBSTITUTE(S284,"-","")</f>
        <v>SRGM</v>
      </c>
      <c r="DG284" s="301" t="str">
        <f t="shared" si="793"/>
        <v>PDNS</v>
      </c>
      <c r="DH284" s="302" t="str">
        <f t="shared" si="38"/>
        <v>Pilu</v>
      </c>
      <c r="DI284" s="301" t="str">
        <f t="shared" si="39"/>
        <v>Hemi.</v>
      </c>
      <c r="DJ284" s="364" t="str">
        <f t="shared" si="40"/>
        <v>Co-Co.</v>
      </c>
      <c r="DK284" s="306" t="str">
        <f t="shared" si="41"/>
        <v>-</v>
      </c>
      <c r="DL284" s="366" t="str">
        <f t="shared" si="42"/>
        <v>-</v>
      </c>
      <c r="DM284" s="308" t="str">
        <f t="shared" si="43"/>
        <v>✔</v>
      </c>
      <c r="DN284" s="306" t="str">
        <f t="shared" si="44"/>
        <v>-</v>
      </c>
      <c r="DO284" s="306" t="str">
        <f t="shared" si="45"/>
        <v>-</v>
      </c>
      <c r="DP284" s="367" t="str">
        <f t="shared" si="46"/>
        <v>-</v>
      </c>
      <c r="DQ284" s="310" t="str">
        <f t="shared" si="47"/>
        <v>-</v>
      </c>
      <c r="DR284" s="310" t="str">
        <f t="shared" si="48"/>
        <v>✔</v>
      </c>
      <c r="DS284" s="310" t="str">
        <f t="shared" si="49"/>
        <v>-</v>
      </c>
      <c r="DT284" s="310" t="str">
        <f t="shared" si="50"/>
        <v>-</v>
      </c>
      <c r="DU284" s="370" t="str">
        <f t="shared" si="51"/>
        <v>✔</v>
      </c>
      <c r="DV284" s="306" t="str">
        <f t="shared" si="52"/>
        <v>-</v>
      </c>
      <c r="DW284" s="306" t="str">
        <f t="shared" si="53"/>
        <v>-</v>
      </c>
      <c r="DX284" s="306" t="str">
        <f t="shared" si="54"/>
        <v>-</v>
      </c>
      <c r="DY284" s="306" t="str">
        <f t="shared" si="55"/>
        <v>-</v>
      </c>
      <c r="DZ284" s="306" t="str">
        <f t="shared" si="56"/>
        <v>-</v>
      </c>
      <c r="EA284" s="367" t="str">
        <f t="shared" si="57"/>
        <v>-</v>
      </c>
      <c r="EB284" s="310" t="str">
        <f>IFERROR(__xludf.DUMMYFUNCTION("IF(REGEXMATCH(AW284,AS284),""✔"",""-"")"),"✔")</f>
        <v>✔</v>
      </c>
      <c r="EC284" s="310" t="str">
        <f t="shared" si="58"/>
        <v>#REF!</v>
      </c>
      <c r="ED284" s="370" t="str">
        <f t="shared" si="59"/>
        <v>-</v>
      </c>
      <c r="EE284" s="340" t="str">
        <f t="shared" si="60"/>
        <v>S-R-gG-m-P-D-nN-S</v>
      </c>
      <c r="EF284" s="371" t="str">
        <f>IFERROR(__xludf.DUMMYFUNCTION("CONCATENATE(JOIN("""",HC284:HO284))"),"SrRgmPdDnS")</f>
        <v>SrRgmPdDnS</v>
      </c>
      <c r="EG284" s="372">
        <f t="shared" si="61"/>
        <v>1</v>
      </c>
      <c r="EH284" s="373" t="str">
        <f>IFERROR(__xludf.DUMMYFUNCTION("CONCATENATE(JOIN("""",JC284:JO284))"),"Ni, ")</f>
        <v>Ni, </v>
      </c>
      <c r="EI284" s="322">
        <f t="shared" si="62"/>
        <v>0</v>
      </c>
      <c r="EJ284" s="374" t="str">
        <f>IFERROR(__xludf.DUMMYFUNCTION("CONCATENATE(JOIN("""",KC284:KO284))"),"")</f>
        <v/>
      </c>
      <c r="EK284" s="325" t="str">
        <f t="shared" si="63"/>
        <v>S-R2-G2-G3-M1-P-D2-N2-N3-S</v>
      </c>
      <c r="EL284" s="326" t="str">
        <f t="shared" si="64"/>
        <v>1-2-b3-3-4-5-6-b7-7-8</v>
      </c>
      <c r="EM284" s="318" t="str">
        <f t="shared" si="65"/>
        <v>#REF!</v>
      </c>
      <c r="EN284" s="328" t="str">
        <f>IFERROR(__xludf.DUMMYFUNCTION("SUBSTITUTE(SUBSTITUTE(SUBSTITUTE(SUBSTITUTE(CONCATENATE(JOIN("" "",HP284:IB284)),""  "","" ""),""  "","" ""),""  "","" ""),""  "","" "")"),"o • o o o o • o • o o o o")</f>
        <v>o • o o o o • o • o o o o</v>
      </c>
      <c r="EO284" s="368" t="str">
        <f t="shared" si="66"/>
        <v>-</v>
      </c>
      <c r="EP284" s="339" t="str">
        <f t="shared" si="67"/>
        <v>-</v>
      </c>
      <c r="EQ284" s="339" t="str">
        <f t="shared" si="68"/>
        <v>Sa-Pa</v>
      </c>
      <c r="ER284" s="339" t="str">
        <f t="shared" si="69"/>
        <v>-</v>
      </c>
      <c r="ES284" s="340" t="str">
        <f t="shared" si="70"/>
        <v>-</v>
      </c>
      <c r="ET284" s="363"/>
      <c r="EU284" s="376" t="b">
        <f>IFERROR(__xludf.DUMMYFUNCTION("arrayformula(sum(--REGEXMATCH(""SRGMPDNS"",split(REGEXREPLACE(C284,""(.)"",""$1~""),""~""))))=len(C284)
"),FALSE)</f>
        <v>0</v>
      </c>
      <c r="EV284" s="290" t="b">
        <f>IFERROR(__xludf.DUMMYFUNCTION("arrayformula(sum(--REGEXMATCH(""SRGmPDNS"",split(REGEXREPLACE(C284,""(.)"",""$1~""),""~""))))=len(C284)"),FALSE)</f>
        <v>0</v>
      </c>
      <c r="EW284" s="290" t="b">
        <f>IFERROR(__xludf.DUMMYFUNCTION("arrayformula(sum(--REGEXMATCH(""SRGmPDnS"",split(REGEXREPLACE(C284,""(.)"",""$1~""),""~""))))=len(C284)"),FALSE)</f>
        <v>0</v>
      </c>
      <c r="EX284" s="290" t="b">
        <f>IFERROR(__xludf.DUMMYFUNCTION("arrayformula(sum(--REGEXMATCH(""SRgmPDnS"",split(REGEXREPLACE(C284,""(.)"",""$1~""),""~""))))=len(C284)"),FALSE)</f>
        <v>0</v>
      </c>
      <c r="EY284" s="290" t="b">
        <f>IFERROR(__xludf.DUMMYFUNCTION("arrayformula(sum(--REGEXMATCH(""SRgmPdnS"",split(REGEXREPLACE(C284,""(.)"",""$1~""),""~""))))=len(C284)"),FALSE)</f>
        <v>0</v>
      </c>
      <c r="EZ284" s="290" t="b">
        <f>IFERROR(__xludf.DUMMYFUNCTION("arrayformula(sum(--REGEXMATCH(""SrgmPdnS"",split(REGEXREPLACE(C284,""(.)"",""$1~""),""~""))))=len(C284)"),FALSE)</f>
        <v>0</v>
      </c>
      <c r="FA284" s="290" t="b">
        <f>IFERROR(__xludf.DUMMYFUNCTION("arrayformula(sum(--REGEXMATCH(""SrGmPdNS"",split(REGEXREPLACE(C284,""(.)"",""$1~""),""~""))))=len(C284)"),FALSE)</f>
        <v>0</v>
      </c>
      <c r="FB284" s="290" t="b">
        <f>IFERROR(__xludf.DUMMYFUNCTION("arrayformula(sum(--REGEXMATCH(""SrGMPDNS"",split(REGEXREPLACE(C284,""(.)"",""$1~""),""~""))))=len(C284)"),FALSE)</f>
        <v>0</v>
      </c>
      <c r="FC284" s="290" t="b">
        <f>IFERROR(__xludf.DUMMYFUNCTION("arrayformula(sum(--REGEXMATCH(""SrGMPdNS"",split(REGEXREPLACE(C284,""(.)"",""$1~""),""~""))))=len(C284)"),FALSE)</f>
        <v>0</v>
      </c>
      <c r="FD284" s="377" t="b">
        <f>IFERROR(__xludf.DUMMYFUNCTION("arrayformula(sum(--REGEXMATCH(""SrgMPdNS"",split(REGEXREPLACE(C284,""(.)"",""$1~""),""~""))))=len(C284)"),FALSE)</f>
        <v>0</v>
      </c>
      <c r="FE284" s="269" t="str">
        <f t="shared" si="71"/>
        <v>-</v>
      </c>
      <c r="FF284" s="269" t="str">
        <f t="shared" si="72"/>
        <v>xxxxoxoxxxx</v>
      </c>
      <c r="FG284" s="271" t="str">
        <f t="shared" si="73"/>
        <v>xxxoxoxxxxo</v>
      </c>
      <c r="FH284" s="269" t="str">
        <f t="shared" si="74"/>
        <v>xxoxoxxxxox</v>
      </c>
      <c r="FI284" s="271" t="str">
        <f t="shared" si="75"/>
        <v>xoxoxxxxoxx</v>
      </c>
      <c r="FJ284" s="271" t="str">
        <f t="shared" si="76"/>
        <v>-</v>
      </c>
      <c r="FK284" s="271" t="str">
        <f t="shared" si="77"/>
        <v>xoxxxxoxxxx</v>
      </c>
      <c r="FL284" s="271" t="str">
        <f t="shared" si="78"/>
        <v>-</v>
      </c>
      <c r="FM284" s="271" t="str">
        <f t="shared" si="79"/>
        <v>xxxxoxxxxox</v>
      </c>
      <c r="FN284" s="271" t="str">
        <f t="shared" si="80"/>
        <v>xxxoxxxxoxo</v>
      </c>
      <c r="FO284" s="274" t="str">
        <f t="shared" si="81"/>
        <v>xxoxxxxoxox</v>
      </c>
      <c r="FP284" s="234" t="str">
        <f t="shared" si="82"/>
        <v>|</v>
      </c>
      <c r="FQ284" s="236" t="str">
        <f t="shared" si="83"/>
        <v>-</v>
      </c>
      <c r="FR284" s="237" t="str">
        <f t="shared" si="84"/>
        <v>|</v>
      </c>
      <c r="FS284" s="236" t="str">
        <f t="shared" si="85"/>
        <v>|</v>
      </c>
      <c r="FT284" s="237" t="str">
        <f t="shared" si="86"/>
        <v>|</v>
      </c>
      <c r="FU284" s="236" t="str">
        <f t="shared" si="87"/>
        <v>|</v>
      </c>
      <c r="FV284" s="237" t="str">
        <f t="shared" si="88"/>
        <v>-</v>
      </c>
      <c r="FW284" s="236" t="str">
        <f t="shared" si="89"/>
        <v>|</v>
      </c>
      <c r="FX284" s="237" t="str">
        <f t="shared" si="90"/>
        <v>-</v>
      </c>
      <c r="FY284" s="236" t="str">
        <f t="shared" si="91"/>
        <v>|</v>
      </c>
      <c r="FZ284" s="237" t="str">
        <f t="shared" si="92"/>
        <v>|</v>
      </c>
      <c r="GA284" s="236" t="str">
        <f t="shared" si="93"/>
        <v>|</v>
      </c>
      <c r="GB284" s="238" t="str">
        <f t="shared" si="94"/>
        <v>|</v>
      </c>
      <c r="GC284" s="244" t="str">
        <f>IFERROR(__xludf.DUMMYFUNCTION("IF(REGEXMATCH(C284, ""S""), ""1"","""")"),"1")</f>
        <v>1</v>
      </c>
      <c r="GD284" s="245" t="str">
        <f>IFERROR(__xludf.DUMMYFUNCTION("IF(REGEXMATCH(C284, ""r""), ""b2"","""")"),"")</f>
        <v/>
      </c>
      <c r="GE284" s="246" t="str">
        <f>IFERROR(__xludf.DUMMYFUNCTION("IF(REGEXMATCH(C284, ""R""), ""2"","""")"),"2")</f>
        <v>2</v>
      </c>
      <c r="GF284" s="246" t="str">
        <f>IFERROR(__xludf.DUMMYFUNCTION("IF(REGEXMATCH(C284, ""g""), ""b3"","""")"),"b3")</f>
        <v>b3</v>
      </c>
      <c r="GG284" s="245" t="str">
        <f>IFERROR(__xludf.DUMMYFUNCTION("IF(REGEXMATCH(C284, ""G""), ""3"","""")"),"3")</f>
        <v>3</v>
      </c>
      <c r="GH284" s="245" t="str">
        <f>IFERROR(__xludf.DUMMYFUNCTION("IF(REGEXMATCH(C284, ""m""), ""4"","""")"),"4")</f>
        <v>4</v>
      </c>
      <c r="GI284" s="246" t="str">
        <f>IFERROR(__xludf.DUMMYFUNCTION("IF(REGEXMATCH(C284, ""M""), ""#4"","""")"),"")</f>
        <v/>
      </c>
      <c r="GJ284" s="245" t="str">
        <f>IFERROR(__xludf.DUMMYFUNCTION("IF(REGEXMATCH(C284, ""P""), ""5"","""")"),"5")</f>
        <v>5</v>
      </c>
      <c r="GK284" s="246" t="str">
        <f>IFERROR(__xludf.DUMMYFUNCTION("IF(REGEXMATCH(C284, ""d""), ""b6"","""")"),"")</f>
        <v/>
      </c>
      <c r="GL284" s="245" t="str">
        <f>IFERROR(__xludf.DUMMYFUNCTION("IF(REGEXMATCH(C284, ""D""), ""6"","""")"),"6")</f>
        <v>6</v>
      </c>
      <c r="GM284" s="245" t="str">
        <f>IFERROR(__xludf.DUMMYFUNCTION("IF(REGEXMATCH(C284, ""n""), ""b7"","""")"),"b7")</f>
        <v>b7</v>
      </c>
      <c r="GN284" s="246" t="str">
        <f>IFERROR(__xludf.DUMMYFUNCTION("IF(REGEXMATCH(C284, ""N""), ""7"","""")"),"7")</f>
        <v>7</v>
      </c>
      <c r="GO284" s="249" t="str">
        <f>IFERROR(__xludf.DUMMYFUNCTION("IF(REGEXMATCH(C284, ""S""), ""8"","""")"),"8")</f>
        <v>8</v>
      </c>
      <c r="GP284" s="244" t="str">
        <f>IFERROR(__xludf.DUMMYFUNCTION("IF(REGEXMATCH(C284, ""S""), ""S"","""")"),"S")</f>
        <v>S</v>
      </c>
      <c r="GQ284" s="294" t="str">
        <f>IFERROR(__xludf.DUMMYFUNCTION("IF(REGEXMATCH(C284, ""r""), ""R1"","""")"),"")</f>
        <v/>
      </c>
      <c r="GR284" s="295" t="str">
        <f>IFERROR(__xludf.DUMMYFUNCTION("IF(REGEXMATCH(C284, ""R""), ""R2"","""")"),"R2")</f>
        <v>R2</v>
      </c>
      <c r="GS284" s="295" t="str">
        <f>IFERROR(__xludf.DUMMYFUNCTION("IF(REGEXMATCH(C284, ""g""), ""G2"","""")"),"G2")</f>
        <v>G2</v>
      </c>
      <c r="GT284" s="294" t="str">
        <f>IFERROR(__xludf.DUMMYFUNCTION("IF(REGEXMATCH(C284, ""G""), ""G3"","""")"),"G3")</f>
        <v>G3</v>
      </c>
      <c r="GU284" s="294" t="str">
        <f>IFERROR(__xludf.DUMMYFUNCTION("IF(REGEXMATCH(C284, ""m""), ""M1"","""")"),"M1")</f>
        <v>M1</v>
      </c>
      <c r="GV284" s="295" t="str">
        <f>IFERROR(__xludf.DUMMYFUNCTION("IF(REGEXMATCH(C284, ""M""), ""M2"","""")"),"")</f>
        <v/>
      </c>
      <c r="GW284" s="294" t="str">
        <f>IFERROR(__xludf.DUMMYFUNCTION("IF(REGEXMATCH(C284, ""P""), ""P"","""")"),"P")</f>
        <v>P</v>
      </c>
      <c r="GX284" s="295" t="str">
        <f>IFERROR(__xludf.DUMMYFUNCTION("IF(REGEXMATCH(C284, ""d""), ""D1"","""")"),"")</f>
        <v/>
      </c>
      <c r="GY284" s="294" t="str">
        <f>IFERROR(__xludf.DUMMYFUNCTION("IF(REGEXMATCH(C284, ""D""), ""D2"","""")"),"D2")</f>
        <v>D2</v>
      </c>
      <c r="GZ284" s="294" t="str">
        <f>IFERROR(__xludf.DUMMYFUNCTION("IF(REGEXMATCH(C284, ""n""), ""N2"","""")"),"N2")</f>
        <v>N2</v>
      </c>
      <c r="HA284" s="295" t="str">
        <f>IFERROR(__xludf.DUMMYFUNCTION("IF(REGEXMATCH(C284, ""N""), ""N3"","""")"),"N3")</f>
        <v>N3</v>
      </c>
      <c r="HB284" s="249" t="str">
        <f>IFERROR(__xludf.DUMMYFUNCTION("IF(REGEXMATCH(C284, ""S""), ""S"","""")"),"S")</f>
        <v>S</v>
      </c>
      <c r="HC284" s="331" t="str">
        <f t="shared" si="95"/>
        <v>S</v>
      </c>
      <c r="HD284" s="332" t="str">
        <f t="shared" si="96"/>
        <v>r</v>
      </c>
      <c r="HE284" s="332" t="str">
        <f t="shared" si="97"/>
        <v>R</v>
      </c>
      <c r="HF284" s="332" t="str">
        <f t="shared" si="98"/>
        <v>g</v>
      </c>
      <c r="HG284" s="332" t="str">
        <f t="shared" si="99"/>
        <v/>
      </c>
      <c r="HH284" s="332" t="str">
        <f t="shared" si="100"/>
        <v>m</v>
      </c>
      <c r="HI284" s="332" t="str">
        <f t="shared" si="101"/>
        <v/>
      </c>
      <c r="HJ284" s="332" t="str">
        <f t="shared" si="102"/>
        <v>P</v>
      </c>
      <c r="HK284" s="332" t="str">
        <f t="shared" si="103"/>
        <v>d</v>
      </c>
      <c r="HL284" s="332" t="str">
        <f t="shared" si="104"/>
        <v>D</v>
      </c>
      <c r="HM284" s="332" t="str">
        <f t="shared" si="105"/>
        <v>n</v>
      </c>
      <c r="HN284" s="332" t="str">
        <f t="shared" si="106"/>
        <v/>
      </c>
      <c r="HO284" s="343" t="str">
        <f t="shared" si="107"/>
        <v>S</v>
      </c>
      <c r="HP284" s="331" t="str">
        <f t="shared" si="108"/>
        <v>o</v>
      </c>
      <c r="HQ284" s="332" t="str">
        <f t="shared" si="109"/>
        <v>•</v>
      </c>
      <c r="HR284" s="332" t="str">
        <f t="shared" si="110"/>
        <v>o</v>
      </c>
      <c r="HS284" s="332" t="str">
        <f t="shared" si="111"/>
        <v>o</v>
      </c>
      <c r="HT284" s="332" t="str">
        <f t="shared" si="112"/>
        <v>o</v>
      </c>
      <c r="HU284" s="332" t="str">
        <f t="shared" si="113"/>
        <v>o</v>
      </c>
      <c r="HV284" s="332" t="str">
        <f t="shared" si="114"/>
        <v>•</v>
      </c>
      <c r="HW284" s="332" t="str">
        <f t="shared" si="115"/>
        <v>o</v>
      </c>
      <c r="HX284" s="332" t="str">
        <f t="shared" si="116"/>
        <v>•</v>
      </c>
      <c r="HY284" s="332" t="str">
        <f t="shared" si="117"/>
        <v>o</v>
      </c>
      <c r="HZ284" s="332" t="str">
        <f t="shared" si="118"/>
        <v>o</v>
      </c>
      <c r="IA284" s="332" t="str">
        <f t="shared" si="119"/>
        <v>o</v>
      </c>
      <c r="IB284" s="338" t="str">
        <f t="shared" si="120"/>
        <v>o</v>
      </c>
      <c r="IC284" s="331" t="str">
        <f t="shared" si="121"/>
        <v>•</v>
      </c>
      <c r="ID284" s="332" t="str">
        <f t="shared" si="122"/>
        <v>o</v>
      </c>
      <c r="IE284" s="332" t="str">
        <f t="shared" si="123"/>
        <v>•</v>
      </c>
      <c r="IF284" s="332" t="str">
        <f t="shared" si="124"/>
        <v>•</v>
      </c>
      <c r="IG284" s="332" t="str">
        <f t="shared" si="125"/>
        <v>•</v>
      </c>
      <c r="IH284" s="332" t="str">
        <f t="shared" si="126"/>
        <v>•</v>
      </c>
      <c r="II284" s="332" t="str">
        <f t="shared" si="127"/>
        <v>o</v>
      </c>
      <c r="IJ284" s="332" t="str">
        <f t="shared" si="128"/>
        <v>•</v>
      </c>
      <c r="IK284" s="332" t="str">
        <f t="shared" si="129"/>
        <v>o</v>
      </c>
      <c r="IL284" s="332" t="str">
        <f t="shared" si="130"/>
        <v>•</v>
      </c>
      <c r="IM284" s="332" t="str">
        <f t="shared" si="131"/>
        <v>•</v>
      </c>
      <c r="IN284" s="332" t="str">
        <f t="shared" si="132"/>
        <v>•</v>
      </c>
      <c r="IO284" s="338" t="str">
        <f t="shared" si="133"/>
        <v>•</v>
      </c>
      <c r="IP284" s="346" t="b">
        <f t="shared" si="134"/>
        <v>0</v>
      </c>
      <c r="IQ284" s="347" t="b">
        <f t="shared" si="135"/>
        <v>0</v>
      </c>
      <c r="IR284" s="347" t="b">
        <f t="shared" si="136"/>
        <v>0</v>
      </c>
      <c r="IS284" s="347" t="b">
        <f t="shared" si="137"/>
        <v>0</v>
      </c>
      <c r="IT284" s="347" t="b">
        <f t="shared" si="138"/>
        <v>0</v>
      </c>
      <c r="IU284" s="347" t="b">
        <f t="shared" si="139"/>
        <v>0</v>
      </c>
      <c r="IV284" s="347" t="b">
        <f t="shared" si="140"/>
        <v>0</v>
      </c>
      <c r="IW284" s="347" t="b">
        <f t="shared" si="141"/>
        <v>0</v>
      </c>
      <c r="IX284" s="347" t="b">
        <f t="shared" si="142"/>
        <v>0</v>
      </c>
      <c r="IY284" s="347" t="b">
        <f t="shared" si="143"/>
        <v>0</v>
      </c>
      <c r="IZ284" s="347" t="b">
        <f t="shared" si="144"/>
        <v>0</v>
      </c>
      <c r="JA284" s="347" t="b">
        <f t="shared" si="145"/>
        <v>1</v>
      </c>
      <c r="JB284" s="353" t="b">
        <f t="shared" si="146"/>
        <v>0</v>
      </c>
      <c r="JC284" s="354" t="str">
        <f t="shared" si="147"/>
        <v/>
      </c>
      <c r="JD284" s="355" t="str">
        <f t="shared" si="148"/>
        <v/>
      </c>
      <c r="JE284" s="355" t="str">
        <f t="shared" si="149"/>
        <v/>
      </c>
      <c r="JF284" s="355" t="str">
        <f t="shared" si="150"/>
        <v/>
      </c>
      <c r="JG284" s="355" t="str">
        <f t="shared" si="151"/>
        <v/>
      </c>
      <c r="JH284" s="355" t="str">
        <f t="shared" si="152"/>
        <v/>
      </c>
      <c r="JI284" s="355" t="str">
        <f t="shared" si="153"/>
        <v/>
      </c>
      <c r="JJ284" s="355" t="str">
        <f t="shared" si="154"/>
        <v/>
      </c>
      <c r="JK284" s="355" t="str">
        <f t="shared" si="155"/>
        <v/>
      </c>
      <c r="JL284" s="355" t="str">
        <f t="shared" si="156"/>
        <v/>
      </c>
      <c r="JM284" s="355" t="str">
        <f t="shared" si="157"/>
        <v/>
      </c>
      <c r="JN284" s="355" t="str">
        <f t="shared" si="158"/>
        <v>Ni, </v>
      </c>
      <c r="JO284" s="359" t="str">
        <f t="shared" si="159"/>
        <v/>
      </c>
      <c r="JP284" s="346" t="b">
        <f t="shared" si="160"/>
        <v>0</v>
      </c>
      <c r="JQ284" s="347" t="b">
        <f t="shared" si="161"/>
        <v>0</v>
      </c>
      <c r="JR284" s="347" t="b">
        <f t="shared" si="162"/>
        <v>0</v>
      </c>
      <c r="JS284" s="347" t="b">
        <f t="shared" si="163"/>
        <v>0</v>
      </c>
      <c r="JT284" s="347" t="b">
        <f t="shared" si="164"/>
        <v>0</v>
      </c>
      <c r="JU284" s="347" t="b">
        <f t="shared" si="165"/>
        <v>0</v>
      </c>
      <c r="JV284" s="347" t="b">
        <f t="shared" si="166"/>
        <v>0</v>
      </c>
      <c r="JW284" s="347" t="b">
        <f t="shared" si="167"/>
        <v>0</v>
      </c>
      <c r="JX284" s="347" t="b">
        <f t="shared" si="168"/>
        <v>0</v>
      </c>
      <c r="JY284" s="347" t="b">
        <f t="shared" si="169"/>
        <v>0</v>
      </c>
      <c r="JZ284" s="347" t="b">
        <f t="shared" si="170"/>
        <v>0</v>
      </c>
      <c r="KA284" s="347" t="b">
        <f t="shared" si="171"/>
        <v>0</v>
      </c>
      <c r="KB284" s="365" t="b">
        <f t="shared" si="172"/>
        <v>0</v>
      </c>
      <c r="KC284" s="354" t="str">
        <f t="shared" si="173"/>
        <v/>
      </c>
      <c r="KD284" s="355" t="str">
        <f t="shared" si="174"/>
        <v/>
      </c>
      <c r="KE284" s="355" t="str">
        <f t="shared" si="175"/>
        <v/>
      </c>
      <c r="KF284" s="355" t="str">
        <f t="shared" si="176"/>
        <v/>
      </c>
      <c r="KG284" s="355" t="str">
        <f t="shared" si="177"/>
        <v/>
      </c>
      <c r="KH284" s="355" t="str">
        <f t="shared" si="178"/>
        <v/>
      </c>
      <c r="KI284" s="355" t="str">
        <f t="shared" si="179"/>
        <v/>
      </c>
      <c r="KJ284" s="355" t="str">
        <f t="shared" si="180"/>
        <v/>
      </c>
      <c r="KK284" s="355" t="str">
        <f t="shared" si="181"/>
        <v/>
      </c>
      <c r="KL284" s="355" t="str">
        <f t="shared" si="182"/>
        <v/>
      </c>
      <c r="KM284" s="355" t="str">
        <f t="shared" si="183"/>
        <v/>
      </c>
      <c r="KN284" s="355" t="str">
        <f t="shared" si="184"/>
        <v/>
      </c>
      <c r="KO284" s="359"/>
      <c r="KP284" s="378"/>
      <c r="KQ284" s="379" t="s">
        <v>554</v>
      </c>
      <c r="KR284" s="380" t="s">
        <v>1401</v>
      </c>
      <c r="KS284" s="381" t="str">
        <f t="shared" si="791"/>
        <v>S-R-G-m-P-D-N-S</v>
      </c>
      <c r="KT284" s="382">
        <f t="shared" si="186"/>
        <v>7</v>
      </c>
      <c r="KU284" s="383">
        <f t="shared" si="187"/>
        <v>7</v>
      </c>
      <c r="KV284" s="381" t="str">
        <f t="shared" si="205"/>
        <v>S-n-D-P-m-Gg-R-S</v>
      </c>
      <c r="KW284" s="382">
        <f t="shared" si="189"/>
        <v>7</v>
      </c>
      <c r="KX284" s="384">
        <f t="shared" si="190"/>
        <v>8</v>
      </c>
      <c r="KY284" s="382">
        <f t="shared" ref="KY284:KZ284" si="794">KW284-KT284</f>
        <v>0</v>
      </c>
      <c r="KZ284" s="369">
        <f t="shared" si="794"/>
        <v>1</v>
      </c>
      <c r="LA284" s="385" t="str">
        <f t="shared" si="192"/>
        <v>-</v>
      </c>
      <c r="LB284" s="340" t="str">
        <f>IFERROR(__xludf.DUMMYFUNCTION("JOIN("""",ArrayFormula(MID(KS284,LEN(KS284)-SEQUENCE(1,LEN(KS284))+1,1)))"),"S-N-D-P-m-G-R-S")</f>
        <v>S-N-D-P-m-G-R-S</v>
      </c>
      <c r="LC284" s="373" t="str">
        <f>IFERROR(__xludf.DUMMYFUNCTION("JOIN("""",ArrayFormula(MID(KV284,LEN(KV284)-SEQUENCE(1,LEN(KV284))+1,1)))"),"S-R-gG-m-P-D-n-S")</f>
        <v>S-R-gG-m-P-D-n-S</v>
      </c>
      <c r="LD284" s="373" t="str">
        <f t="shared" si="193"/>
        <v>SRGmPDNS</v>
      </c>
      <c r="LE284" s="339" t="str">
        <f t="shared" si="194"/>
        <v>SRgGmPDnS</v>
      </c>
      <c r="LF284" s="386" t="str">
        <f>IFERROR(__xludf.DUMMYFUNCTION("SUBSTITUTE(SUBSTITUTE(CONCATENATE(JOIN("""",LH284:LT284)),""1"",""""),""2"","""")"),"SRgGmPDnNS")</f>
        <v>SRgGmPDnNS</v>
      </c>
      <c r="LG284" s="369" t="str">
        <f t="shared" si="195"/>
        <v>✔</v>
      </c>
      <c r="LH284" s="387" t="str">
        <f>IFERROR(__xludf.DUMMYFUNCTION("IF(REGEXMATCH(LD284, ""S""), ""S"",IF(REGEXMATCH(LE284, ""S""), ""S"",""""))"),"S")</f>
        <v>S</v>
      </c>
      <c r="LI284" s="299" t="str">
        <f>IFERROR(__xludf.DUMMYFUNCTION("IF(REGEXMATCH(LD284, ""r""), ""r1"",IF(REGEXMATCH(LE284, ""r""), ""r2"",""""))"),"")</f>
        <v/>
      </c>
      <c r="LJ284" s="299" t="str">
        <f>IFERROR(__xludf.DUMMYFUNCTION("IF(REGEXMATCH(LD284, ""R""), ""R1"",IF(REGEXMATCH(LE284, ""R""), ""R2"",""""))"),"R1")</f>
        <v>R1</v>
      </c>
      <c r="LK284" s="299" t="str">
        <f>IFERROR(__xludf.DUMMYFUNCTION("IF(REGEXMATCH(LD284, ""g""), ""g1"",IF(REGEXMATCH(LE284, ""g""), ""g2"",""""))"),"g2")</f>
        <v>g2</v>
      </c>
      <c r="LL284" s="299" t="str">
        <f>IFERROR(__xludf.DUMMYFUNCTION("IF(REGEXMATCH(LD284, ""G""), ""G1"",IF(REGEXMATCH(LE284, ""G""), ""G2"",""""))"),"G1")</f>
        <v>G1</v>
      </c>
      <c r="LM284" s="299" t="str">
        <f>IFERROR(__xludf.DUMMYFUNCTION("IF(REGEXMATCH(LD284, ""m""), ""m1"",IF(REGEXMATCH(LE284, ""m""), ""m2"",""""))"),"m1")</f>
        <v>m1</v>
      </c>
      <c r="LN284" s="299" t="str">
        <f>IFERROR(__xludf.DUMMYFUNCTION("IF(REGEXMATCH(LD284, ""M""), ""M1"",IF(REGEXMATCH(LE284, ""M""), ""M2"",""""))"),"")</f>
        <v/>
      </c>
      <c r="LO284" s="299" t="str">
        <f>IFERROR(__xludf.DUMMYFUNCTION("IF(REGEXMATCH(LD284, ""P""), ""P1"",IF(REGEXMATCH(LE284, ""P""), ""P2"",""""))"),"P1")</f>
        <v>P1</v>
      </c>
      <c r="LP284" s="299" t="str">
        <f>IFERROR(__xludf.DUMMYFUNCTION("IF(REGEXMATCH(LD284, ""d""), ""d1"",IF(REGEXMATCH(LE284, ""d""), ""d2"",""""))"),"")</f>
        <v/>
      </c>
      <c r="LQ284" s="299" t="str">
        <f>IFERROR(__xludf.DUMMYFUNCTION("IF(REGEXMATCH(LD284, ""D""), ""D1"",IF(REGEXMATCH(LE284, ""D""), ""D2"",""""))"),"D1")</f>
        <v>D1</v>
      </c>
      <c r="LR284" s="299" t="str">
        <f>IFERROR(__xludf.DUMMYFUNCTION("IF(REGEXMATCH(LD284, ""n""), ""n1"",IF(REGEXMATCH(LE284, ""n""), ""n2"",""""))"),"n2")</f>
        <v>n2</v>
      </c>
      <c r="LS284" s="299" t="str">
        <f>IFERROR(__xludf.DUMMYFUNCTION("IF(REGEXMATCH(LD284, ""N""), ""N1"",IF(REGEXMATCH(LE284, ""N""), ""N2"",""""))"),"N1")</f>
        <v>N1</v>
      </c>
      <c r="LT284" s="388" t="str">
        <f>IFERROR(__xludf.DUMMYFUNCTION("IF(REGEXMATCH(LD284, ""S""), ""S"",IF(REGEXMATCH(LE284, ""S""), ""S"",""""))"),"S")</f>
        <v>S</v>
      </c>
      <c r="LU284" s="389">
        <f t="shared" si="196"/>
        <v>0</v>
      </c>
      <c r="LV284" s="378"/>
      <c r="LW284" s="369"/>
      <c r="LX284" s="369"/>
    </row>
    <row r="285" ht="18.0" customHeight="1">
      <c r="A285" s="298" t="s">
        <v>1089</v>
      </c>
      <c r="B285" s="222" t="s">
        <v>1090</v>
      </c>
      <c r="C285" s="233" t="str">
        <f t="shared" si="7"/>
        <v>SrGmMPdnNS</v>
      </c>
      <c r="D285" s="234" t="str">
        <f>IFERROR(__xludf.DUMMYFUNCTION("IF(REGEXMATCH(C285, ""S""), ""S"","""")"),"S")</f>
        <v>S</v>
      </c>
      <c r="E285" s="236" t="str">
        <f>IFERROR(__xludf.DUMMYFUNCTION("IF(REGEXMATCH(C285, ""r""), ""r"","""")"),"r")</f>
        <v>r</v>
      </c>
      <c r="F285" s="237" t="str">
        <f>IFERROR(__xludf.DUMMYFUNCTION("IF(REGEXMATCH(C285, ""R""), ""R"","""")"),"")</f>
        <v/>
      </c>
      <c r="G285" s="237" t="str">
        <f>IFERROR(__xludf.DUMMYFUNCTION("IF(REGEXMATCH(C285, ""g""), ""g"","""")"),"")</f>
        <v/>
      </c>
      <c r="H285" s="236" t="str">
        <f>IFERROR(__xludf.DUMMYFUNCTION("IF(REGEXMATCH(C285, ""G""), ""G"","""")"),"G")</f>
        <v>G</v>
      </c>
      <c r="I285" s="236" t="str">
        <f>IFERROR(__xludf.DUMMYFUNCTION("IF(REGEXMATCH(C285, ""m""), ""m"","""")"),"m")</f>
        <v>m</v>
      </c>
      <c r="J285" s="237" t="str">
        <f>IFERROR(__xludf.DUMMYFUNCTION("IF(REGEXMATCH(C285, ""M""), ""M"","""")"),"M")</f>
        <v>M</v>
      </c>
      <c r="K285" s="236" t="str">
        <f>IFERROR(__xludf.DUMMYFUNCTION("IF(REGEXMATCH(C285, ""P""), ""P"","""")"),"P")</f>
        <v>P</v>
      </c>
      <c r="L285" s="237" t="str">
        <f>IFERROR(__xludf.DUMMYFUNCTION("IF(REGEXMATCH(C285, ""d""), ""d"","""")"),"d")</f>
        <v>d</v>
      </c>
      <c r="M285" s="236" t="str">
        <f>IFERROR(__xludf.DUMMYFUNCTION("IF(REGEXMATCH(C285, ""D""), ""D"","""")"),"")</f>
        <v/>
      </c>
      <c r="N285" s="236" t="str">
        <f>IFERROR(__xludf.DUMMYFUNCTION("IF(REGEXMATCH(C285, ""n""), ""n"","""")"),"n")</f>
        <v>n</v>
      </c>
      <c r="O285" s="237" t="str">
        <f>IFERROR(__xludf.DUMMYFUNCTION("IF(REGEXMATCH(C285, ""N""), ""N"","""")"),"N")</f>
        <v>N</v>
      </c>
      <c r="P285" s="238" t="str">
        <f>IFERROR(__xludf.DUMMYFUNCTION("IF(REGEXMATCH(C285, ""S""), ""S"","""")"),"S")</f>
        <v>S</v>
      </c>
      <c r="Q285" s="239" t="str">
        <f>IFERROR(__xludf.DUMMYFUNCTION("SUBSTITUTE(CONCATENATE(JOIN(""-"",D285:J285)),""-"","""")"),"SrGmM")</f>
        <v>SrGmM</v>
      </c>
      <c r="R285" s="229" t="str">
        <f>IFERROR(__xludf.DUMMYFUNCTION("SUBSTITUTE(CONCATENATE(JOIN(""-"",K285:P285)),""-"","""")"),"PdnNS")</f>
        <v>PdnNS</v>
      </c>
      <c r="S285" s="282" t="str">
        <f t="shared" si="8"/>
        <v>S-R-G-M</v>
      </c>
      <c r="T285" s="282" t="str">
        <f t="shared" si="9"/>
        <v>P-D-N-S</v>
      </c>
      <c r="U285" s="237" t="str">
        <f>IFERROR(__xludf.DUMMYFUNCTION("SUBSTITUTE(JOIN(""-"",S285,T285),""--"",""-"")"),"S-R-G-M-P-D-N-S")</f>
        <v>S-R-G-M-P-D-N-S</v>
      </c>
      <c r="V285" s="309" t="str">
        <f t="shared" si="10"/>
        <v>rGmMdnN</v>
      </c>
      <c r="W285" s="244" t="str">
        <f>IFERROR(__xludf.DUMMYFUNCTION("IF(REGEXMATCH(C285, ""S""), ""0"","""")"),"0")</f>
        <v>0</v>
      </c>
      <c r="X285" s="245" t="str">
        <f>IFERROR(__xludf.DUMMYFUNCTION("IF(REGEXMATCH(C285, ""r""), ""1"","""")"),"1")</f>
        <v>1</v>
      </c>
      <c r="Y285" s="246" t="str">
        <f>IFERROR(__xludf.DUMMYFUNCTION("IF(REGEXMATCH(C285, ""R""), ""2"","""")"),"")</f>
        <v/>
      </c>
      <c r="Z285" s="246" t="str">
        <f>IFERROR(__xludf.DUMMYFUNCTION("IF(REGEXMATCH(C285, ""g""), ""3"","""")"),"")</f>
        <v/>
      </c>
      <c r="AA285" s="245" t="str">
        <f>IFERROR(__xludf.DUMMYFUNCTION("IF(REGEXMATCH(C285, ""G""), ""4"","""")"),"4")</f>
        <v>4</v>
      </c>
      <c r="AB285" s="245" t="str">
        <f>IFERROR(__xludf.DUMMYFUNCTION("IF(REGEXMATCH(C285, ""m""), ""5"","""")"),"5")</f>
        <v>5</v>
      </c>
      <c r="AC285" s="246" t="str">
        <f>IFERROR(__xludf.DUMMYFUNCTION("IF(REGEXMATCH(C285, ""M""), ""6"","""")"),"6")</f>
        <v>6</v>
      </c>
      <c r="AD285" s="245" t="str">
        <f>IFERROR(__xludf.DUMMYFUNCTION("IF(REGEXMATCH(C285, ""P""), ""7"","""")"),"7")</f>
        <v>7</v>
      </c>
      <c r="AE285" s="246" t="str">
        <f>IFERROR(__xludf.DUMMYFUNCTION("IF(REGEXMATCH(C285, ""d""), ""8"","""")"),"8")</f>
        <v>8</v>
      </c>
      <c r="AF285" s="245" t="str">
        <f>IFERROR(__xludf.DUMMYFUNCTION("IF(REGEXMATCH(C285, ""D""), ""9"","""")"),"")</f>
        <v/>
      </c>
      <c r="AG285" s="245" t="str">
        <f>IFERROR(__xludf.DUMMYFUNCTION("IF(REGEXMATCH(C285, ""n""), ""10"","""")"),"10")</f>
        <v>10</v>
      </c>
      <c r="AH285" s="246" t="str">
        <f>IFERROR(__xludf.DUMMYFUNCTION("IF(REGEXMATCH(C285, ""N""), ""11"","""")"),"11")</f>
        <v>11</v>
      </c>
      <c r="AI285" s="249" t="str">
        <f>IFERROR(__xludf.DUMMYFUNCTION("IF(REGEXMATCH(C285, ""S""), ""0"","""")"),"0")</f>
        <v>0</v>
      </c>
      <c r="AJ285" s="313" t="str">
        <f t="shared" si="11"/>
        <v>T</v>
      </c>
      <c r="AK285" s="313" t="str">
        <f t="shared" si="12"/>
        <v>T</v>
      </c>
      <c r="AL285" s="313" t="str">
        <f t="shared" si="13"/>
        <v>-</v>
      </c>
      <c r="AM285" s="313" t="str">
        <f t="shared" si="14"/>
        <v>-</v>
      </c>
      <c r="AN285" s="313" t="str">
        <f t="shared" si="15"/>
        <v>T</v>
      </c>
      <c r="AO285" s="314" t="str">
        <f t="shared" si="16"/>
        <v>T</v>
      </c>
      <c r="AP285" s="316">
        <f t="shared" si="17"/>
        <v>4</v>
      </c>
      <c r="AQ285" s="319" t="str">
        <f t="shared" si="18"/>
        <v>-</v>
      </c>
      <c r="AR285" s="320">
        <f t="shared" si="19"/>
        <v>0</v>
      </c>
      <c r="AS285" s="250" t="str">
        <f>IFERROR(__xludf.DUMMYFUNCTION("SUBSTITUTE(SUBSTITUTE(CONCATENATE(JOIN("""",FP285:GA285)),""|"",""x""),""-"",""o"")"),"xxooxxxxxoxx")</f>
        <v>xxooxxxxxoxx</v>
      </c>
      <c r="AT285" s="323" t="str">
        <f>IFERROR(__xludf.DUMMYFUNCTION("JOIN("""",AS285,AS285)"),"xxooxxxxxoxxxxooxxxxxoxx")</f>
        <v>xxooxxxxxoxxxxooxxxxxoxx</v>
      </c>
      <c r="AU285" s="256" t="str">
        <f>IFERROR(__xludf.DUMMYFUNCTION("JOIN("""",ArrayFormula(MID(AS285,LEN(AS285)-SEQUENCE(1,LEN(AS285))+1,1)))"),"xxoxxxxxooxx")</f>
        <v>xxoxxxxxooxx</v>
      </c>
      <c r="AV285" s="256" t="str">
        <f>IFERROR(__xludf.DUMMYFUNCTION("LEFT(CONCATENATE(""x"",JOIN("""",ArrayFormula(MID(AS285,LEN(AS285)-SEQUENCE(1,LEN(AS285))+1,1)))),12)"),"xxxoxxxxxoox")</f>
        <v>xxxoxxxxxoox</v>
      </c>
      <c r="AW285" s="327" t="str">
        <f>IFERROR(__xludf.DUMMYFUNCTION("JOIN("""",AU285,AU285)"),"xxoxxxxxooxxxxoxxxxxooxx")</f>
        <v>xxoxxxxxooxxxxoxxxxxooxx</v>
      </c>
      <c r="AX285" s="239" t="str">
        <f>IFERROR(__xludf.DUMMYFUNCTION("IF(REGEXMATCH(AW285,AS285),""✔"",""-"")"),"-")</f>
        <v>-</v>
      </c>
      <c r="AY285" s="330" t="str">
        <f t="shared" si="20"/>
        <v>-</v>
      </c>
      <c r="AZ285" s="260" t="str">
        <f t="shared" si="21"/>
        <v>#REF!</v>
      </c>
      <c r="BA285" s="333" t="str">
        <f t="shared" si="22"/>
        <v>xxooxxx</v>
      </c>
      <c r="BB285" s="334" t="str">
        <f t="shared" si="23"/>
        <v>xxoxxx</v>
      </c>
      <c r="BC285" s="335" t="str">
        <f t="shared" si="236"/>
        <v>-</v>
      </c>
      <c r="BD285" s="336" t="str">
        <f t="shared" si="25"/>
        <v>Ramkali: 'xxooxxx' + 'xxoxxx'</v>
      </c>
      <c r="BE285" s="337">
        <f>IFERROR(__xludf.DUMMYFUNCTION("COUNTUNIQUE(FILTER(AT:AT,REGEXMATCH(AT:AT,AS285)))-1"),0.0)</f>
        <v>0</v>
      </c>
      <c r="BF285" s="261" t="str">
        <f>IFERROR(__xludf.DUMMYFUNCTION("IF(BI285=0,""(n/a)"",IF(BJ285=2,""(PAIR)"",IF(REGEXMATCH(AT285,""xoxoxxoxoxox""),""Bilawal"",IF(REGEXMATCH(AT285,""xoxoxooxoxoo""),""Bhupali"",IF(REGEXMATCH(AT285,""xoxoxxoxxoxo""),""Charukeshi"",IF(REGEXMATCH(AT285,""xoxoooxxoxxo""),""Kameshwari"",IF(REG"&amp;"EXMATCH(AT285,""xoxoxooxoxox""),""Shankara"",IF(REGEXMATCH(AT285,""xxooxoxxxoox""),""Basant"",IF(REGEXMATCH(AT285,""xoxoxxxxoxox""),""Bihag"",IF(REGEXMATCH(AT285,""xoxxxxoxoxxx""),""Pilu"",IF(REGEXMATCH(AT285,""xoxxoxoxxoox""),""Kirwani"",IF(REGEXMATCH(AT"&amp;"285,""xoxxoxoxoxxx""),""Mk.Malhar"",IF(REGEXMATCH(AT285,""xxooxxoxxoox""),""Bhairav"",IF(REGEXMATCH(AT285,""xxoxooxxxoox""),""Todi"",IF(REGEXMATCH(AT285,""xxooxoxooxox""),""Marwa"",IF(REGEXMATCH(AT285,""xxoooxoxxooo""),""Gunkali"",IF(REGEXMATCH(AT285,""xo"&amp;"xoxxoxxoox""),""Nat Bhairav"",IF(REGEXMATCH(AT285,""xoxxoooxoxoo""),""Shivranjani"",IF(REGEXMATCH(AT285,""xooxxxoxooxo""),""Jog"",IF(REGEXMATCH(AT285,""xxooxoxoxoox""),""Hemshri"",IF(REGEXMATCH(AT285,""xoooxooxoxxo""),""Kalavati"",IF(REGEXMATCH(AT285,""xx"&amp;"oxoxxoxoox""),""Kedar"",IF(REGEXMATCH(AT285,""xoxxxxoxooxx""),""Gara"",IF(REGEXMATCH(AT285,""xooxoxooxoox""),""Chandrakauns"",IF(REGEXMATCH(AT285,""xoxxxxoxxxox""),""Mand"",IF(REGEXMATCH(AT285,""xoxxxxoxoxox""),""Hanskinkini"",IF(REGEXMATCH(AT285,""xxooxx"&amp;"oxooxo""),""Lilavati"",IF(REGEXMATCH(AT285,""xooxoxoooxox""),""Rajeshwari"",IF(REGEXMATCH(AT285,""xoooxxoxoxxx""),""Khokar"",IF(REGEXMATCH(AT285,""xxooxoxxxxox""),""Maligoura"",""-""))))))))))))))))))))))))))))))"),"(n/a)")</f>
        <v>(n/a)</v>
      </c>
      <c r="BG285" s="239" t="str">
        <f t="shared" si="26"/>
        <v>#REF!</v>
      </c>
      <c r="BH285" s="239">
        <f>IFERROR(__xludf.DUMMYFUNCTION("COUNTUNIQUE(FE285:FO285)-1"),8.0)</f>
        <v>8</v>
      </c>
      <c r="BI285" s="239">
        <f>IFERROR(__xludf.DUMMYFUNCTION("COUNTUNIQUE(FILTER(AT:AT,REGEXMATCH(AT:AT,AS285)))-1"),0.0)</f>
        <v>0</v>
      </c>
      <c r="BJ285" s="239">
        <f>IFERROR(__xludf.DUMMYFUNCTION("COUNTA(FILTER(AT:AT,REGEXMATCH(AT:AT,AS285)))"),1.0)</f>
        <v>1</v>
      </c>
      <c r="BK285" s="341">
        <f>IFERROR(__xludf.DUMMYFUNCTION("COUNTA(FILTER(AT:AT,REGEXMATCH(AT:AT,AS285)))-AR285"),1.0)</f>
        <v>1</v>
      </c>
      <c r="BL285" s="276" t="str">
        <f>IFERROR(__xludf.DUMMYFUNCTION("IF(AS285=""oooooooooooo"",""-"",IF(REGEXMATCH(AT285,""xx""), ""Hemi."", ""Anhemi.""))"),"Hemi.")</f>
        <v>Hemi.</v>
      </c>
      <c r="BM285" s="282" t="str">
        <f>IFERROR(__xludf.DUMMYFUNCTION("IF(AS285=""oooooooooooo"",""-"",IF(REGEXMATCH(AT285,""xxx""), ""Cohem."", ""-""))"),"Cohem.")</f>
        <v>Cohem.</v>
      </c>
      <c r="BN285" s="282" t="str">
        <f>IFERROR(__xludf.DUMMYFUNCTION("IF(AS285=""oooooooooooo"",""-"",IF(REGEXMATCH(AT285,""xxxx""), ""Co-Co."", ""-""))"),"Co-Co.")</f>
        <v>Co-Co.</v>
      </c>
      <c r="BO285" s="342" t="str">
        <f>IFERROR(__xludf.DUMMYFUNCTION("IF(AS285=""oooooooooooo"",""-"",IF(REGEXMATCH(AT285,""xxxxx""), ""CCC."", ""-""))"),"CCC.")</f>
        <v>CCC.</v>
      </c>
      <c r="BP285" s="344" t="str">
        <f t="shared" si="27"/>
        <v>-</v>
      </c>
      <c r="BQ285" s="282" t="str">
        <f>IFERROR(__xludf.DUMMYFUNCTION("IF(REGEXMATCH(JOIN(""-"",EU285:FD285),""TRUE""),""✔"",""-"")"),"-")</f>
        <v>-</v>
      </c>
      <c r="BR285" s="225">
        <f t="shared" si="28"/>
        <v>0</v>
      </c>
      <c r="BS285" s="345" t="str">
        <f>IFERROR(__xludf.DUMMYFUNCTION("SUBSTITUTE(SUBSTITUTE(SUBSTITUTE(SUBSTITUTE(CONCATENATE(JOIN(""-"",GC285:GO285)),""--"",""-""),""--"",""-""),""--"",""-""),""--"",""-"")"),"1-b2-3-4-#4-5-b6-b7-7-8")</f>
        <v>1-b2-3-4-#4-5-b6-b7-7-8</v>
      </c>
      <c r="BT285" s="299" t="str">
        <f>IFERROR(__xludf.DUMMYFUNCTION("SUBSTITUTE(SUBSTITUTE(SUBSTITUTE(SUBSTITUTE(CONCATENATE(JOIN(""-"",GP285:HB285)),""--"",""-""),""--"",""-""),""--"",""-""),""--"",""-"")"),"S-R1-G3-M1-M2-P-D1-N2-N3-S")</f>
        <v>S-R1-G3-M1-M2-P-D1-N2-N3-S</v>
      </c>
      <c r="BU285" s="348" t="str">
        <f t="shared" si="29"/>
        <v>C-Db-E-F-F#-G-Ab-Bb-B-C</v>
      </c>
      <c r="BV285" s="349" t="str">
        <f t="shared" si="30"/>
        <v>SRgDS</v>
      </c>
      <c r="BW285" s="350">
        <f t="shared" si="31"/>
        <v>0</v>
      </c>
      <c r="BX285" s="351">
        <f t="shared" si="32"/>
        <v>1</v>
      </c>
      <c r="BY285" s="352" t="s">
        <v>275</v>
      </c>
      <c r="BZ285" s="309" t="str">
        <f>IFERROR(__xludf.DUMMYFUNCTION("IF(REGEXMATCH(C285, ""S""), ""x"",""x"")"),"x")</f>
        <v>x</v>
      </c>
      <c r="CA285" s="245" t="str">
        <f>IFERROR(__xludf.DUMMYFUNCTION("IF(REGEXMATCH(C285, ""r""), ""o"",""x"")"),"o")</f>
        <v>o</v>
      </c>
      <c r="CB285" s="246" t="str">
        <f>IFERROR(__xludf.DUMMYFUNCTION("IF(REGEXMATCH(C285, ""R""), ""o"",""x"")"),"x")</f>
        <v>x</v>
      </c>
      <c r="CC285" s="246" t="str">
        <f>IFERROR(__xludf.DUMMYFUNCTION("IF(REGEXMATCH(C285, ""g""), ""o"",""x"")"),"x")</f>
        <v>x</v>
      </c>
      <c r="CD285" s="245" t="str">
        <f>IFERROR(__xludf.DUMMYFUNCTION("IF(REGEXMATCH(C285, ""G""), ""o"",""x"")"),"o")</f>
        <v>o</v>
      </c>
      <c r="CE285" s="245" t="str">
        <f>IFERROR(__xludf.DUMMYFUNCTION("IF(REGEXMATCH(C285, ""m""), ""o"",""x"")"),"o")</f>
        <v>o</v>
      </c>
      <c r="CF285" s="246" t="str">
        <f>IFERROR(__xludf.DUMMYFUNCTION("IF(REGEXMATCH(C285, ""M""), ""o"",""x"")"),"o")</f>
        <v>o</v>
      </c>
      <c r="CG285" s="245" t="str">
        <f>IFERROR(__xludf.DUMMYFUNCTION("IF(REGEXMATCH(C285, ""P""), ""o"",""x"")"),"o")</f>
        <v>o</v>
      </c>
      <c r="CH285" s="246" t="str">
        <f>IFERROR(__xludf.DUMMYFUNCTION("IF(REGEXMATCH(C285, ""d""), ""o"",""x"")"),"o")</f>
        <v>o</v>
      </c>
      <c r="CI285" s="245" t="str">
        <f>IFERROR(__xludf.DUMMYFUNCTION("IF(REGEXMATCH(C285, ""D""), ""o"",""x"")"),"x")</f>
        <v>x</v>
      </c>
      <c r="CJ285" s="245" t="str">
        <f>IFERROR(__xludf.DUMMYFUNCTION("IF(REGEXMATCH(C285, ""n""), ""o"",""x"")"),"o")</f>
        <v>o</v>
      </c>
      <c r="CK285" s="245" t="str">
        <f>IFERROR(__xludf.DUMMYFUNCTION("IF(REGEXMATCH(C285, ""N""), ""o"",""x"")"),"o")</f>
        <v>o</v>
      </c>
      <c r="CL285" s="356" t="str">
        <f>IFERROR(__xludf.DUMMYFUNCTION("IF(REGEXMATCH(C285, ""S""), ""x"",""x"")"),"x")</f>
        <v>x</v>
      </c>
      <c r="CM285" s="357" t="str">
        <f t="shared" si="33"/>
        <v>xoxxoooooxoo</v>
      </c>
      <c r="CN285" s="358">
        <f t="shared" si="34"/>
        <v>0</v>
      </c>
      <c r="CO285" s="246" t="str">
        <f>IFERROR(__xludf.DUMMYFUNCTION("IF(REGEXMATCH($C285, ""S""), ""S"",""S"")"),"S")</f>
        <v>S</v>
      </c>
      <c r="CP285" s="246" t="str">
        <f>IFERROR(__xludf.DUMMYFUNCTION("IF(REGEXMATCH($C285, ""r""), """",""r"")"),"")</f>
        <v/>
      </c>
      <c r="CQ285" s="246" t="str">
        <f>IFERROR(__xludf.DUMMYFUNCTION("IF(REGEXMATCH($C285, ""R""), """",""R"")"),"R")</f>
        <v>R</v>
      </c>
      <c r="CR285" s="246" t="str">
        <f>IFERROR(__xludf.DUMMYFUNCTION("IF(REGEXMATCH($C285, ""g""), """",""g"")"),"g")</f>
        <v>g</v>
      </c>
      <c r="CS285" s="246" t="str">
        <f>IFERROR(__xludf.DUMMYFUNCTION("IF(REGEXMATCH($C285, ""G""), """",""G"")"),"")</f>
        <v/>
      </c>
      <c r="CT285" s="246" t="str">
        <f>IFERROR(__xludf.DUMMYFUNCTION("IF(REGEXMATCH($C285, ""m""), """",""m"")"),"")</f>
        <v/>
      </c>
      <c r="CU285" s="246" t="str">
        <f>IFERROR(__xludf.DUMMYFUNCTION("IF(REGEXMATCH($C285, ""M""), """",""M"")"),"")</f>
        <v/>
      </c>
      <c r="CV285" s="246" t="str">
        <f>IFERROR(__xludf.DUMMYFUNCTION("IF(REGEXMATCH($C285, ""P""), """",""P"")"),"")</f>
        <v/>
      </c>
      <c r="CW285" s="246" t="str">
        <f>IFERROR(__xludf.DUMMYFUNCTION("IF(REGEXMATCH($C285, ""d""), """",""d"")"),"")</f>
        <v/>
      </c>
      <c r="CX285" s="246" t="str">
        <f>IFERROR(__xludf.DUMMYFUNCTION("IF(REGEXMATCH($C285, ""D""), """",""D"")"),"D")</f>
        <v>D</v>
      </c>
      <c r="CY285" s="246" t="str">
        <f>IFERROR(__xludf.DUMMYFUNCTION("IF(REGEXMATCH($C285, ""n""), """",""n"")"),"")</f>
        <v/>
      </c>
      <c r="CZ285" s="246" t="str">
        <f>IFERROR(__xludf.DUMMYFUNCTION("IF(REGEXMATCH($C285, ""N""), """",""N"")"),"")</f>
        <v/>
      </c>
      <c r="DA285" s="246" t="str">
        <f>IFERROR(__xludf.DUMMYFUNCTION("IF(REGEXMATCH($C285, ""S""), ""S"",""S"")"),"S")</f>
        <v>S</v>
      </c>
      <c r="DB285" s="362" t="str">
        <f>IFERROR(__xludf.DUMMYFUNCTION("JOIN("""",CO285:DA285,"""","""")"),"SRgDS")</f>
        <v>SRgDS</v>
      </c>
      <c r="DC285" s="363"/>
      <c r="DD285" s="301" t="str">
        <f t="shared" si="35"/>
        <v>#REF!</v>
      </c>
      <c r="DE285" s="302" t="str">
        <f t="shared" si="36"/>
        <v>#REF!</v>
      </c>
      <c r="DF285" s="301" t="str">
        <f t="shared" ref="DF285:DG285" si="795">SUBSTITUTE(S285,"-","")</f>
        <v>SRGM</v>
      </c>
      <c r="DG285" s="301" t="str">
        <f t="shared" si="795"/>
        <v>PDNS</v>
      </c>
      <c r="DH285" s="302" t="str">
        <f t="shared" si="38"/>
        <v>(n/a)</v>
      </c>
      <c r="DI285" s="301" t="str">
        <f t="shared" si="39"/>
        <v>Hemi.</v>
      </c>
      <c r="DJ285" s="364" t="str">
        <f t="shared" si="40"/>
        <v>CCC.</v>
      </c>
      <c r="DK285" s="306" t="str">
        <f t="shared" si="41"/>
        <v>-</v>
      </c>
      <c r="DL285" s="366" t="str">
        <f t="shared" si="42"/>
        <v>-</v>
      </c>
      <c r="DM285" s="308" t="str">
        <f t="shared" si="43"/>
        <v>✔</v>
      </c>
      <c r="DN285" s="306" t="str">
        <f t="shared" si="44"/>
        <v>-</v>
      </c>
      <c r="DO285" s="306" t="str">
        <f t="shared" si="45"/>
        <v>-</v>
      </c>
      <c r="DP285" s="367" t="str">
        <f t="shared" si="46"/>
        <v>-</v>
      </c>
      <c r="DQ285" s="310" t="str">
        <f t="shared" si="47"/>
        <v>-</v>
      </c>
      <c r="DR285" s="310" t="str">
        <f t="shared" si="48"/>
        <v>-</v>
      </c>
      <c r="DS285" s="310" t="str">
        <f t="shared" si="49"/>
        <v>✔</v>
      </c>
      <c r="DT285" s="310" t="str">
        <f t="shared" si="50"/>
        <v>-</v>
      </c>
      <c r="DU285" s="370" t="str">
        <f t="shared" si="51"/>
        <v>✔</v>
      </c>
      <c r="DV285" s="306" t="str">
        <f t="shared" si="52"/>
        <v>-</v>
      </c>
      <c r="DW285" s="306" t="str">
        <f t="shared" si="53"/>
        <v>-</v>
      </c>
      <c r="DX285" s="306" t="str">
        <f t="shared" si="54"/>
        <v>-</v>
      </c>
      <c r="DY285" s="306" t="str">
        <f t="shared" si="55"/>
        <v>-</v>
      </c>
      <c r="DZ285" s="306" t="str">
        <f t="shared" si="56"/>
        <v>-</v>
      </c>
      <c r="EA285" s="367" t="str">
        <f t="shared" si="57"/>
        <v>-</v>
      </c>
      <c r="EB285" s="310" t="str">
        <f>IFERROR(__xludf.DUMMYFUNCTION("IF(REGEXMATCH(AW285,AS285),""✔"",""-"")"),"-")</f>
        <v>-</v>
      </c>
      <c r="EC285" s="310" t="str">
        <f t="shared" si="58"/>
        <v>#REF!</v>
      </c>
      <c r="ED285" s="370" t="str">
        <f t="shared" si="59"/>
        <v>-</v>
      </c>
      <c r="EE285" s="340" t="str">
        <f t="shared" si="60"/>
        <v>S-r-G-mM-P-d-nN-S</v>
      </c>
      <c r="EF285" s="371" t="str">
        <f>IFERROR(__xludf.DUMMYFUNCTION("CONCATENATE(JOIN("""",HC285:HO285))"),"SrRGmMPdNS")</f>
        <v>SrRGmMPdNS</v>
      </c>
      <c r="EG285" s="372">
        <f t="shared" si="61"/>
        <v>2</v>
      </c>
      <c r="EH285" s="373" t="str">
        <f>IFERROR(__xludf.DUMMYFUNCTION("CONCATENATE(JOIN("""",JC285:JO285))"),"Pa, dha, ")</f>
        <v>Pa, dha, </v>
      </c>
      <c r="EI285" s="322">
        <f t="shared" si="62"/>
        <v>0</v>
      </c>
      <c r="EJ285" s="374" t="str">
        <f>IFERROR(__xludf.DUMMYFUNCTION("CONCATENATE(JOIN("""",KC285:KO285))"),"")</f>
        <v/>
      </c>
      <c r="EK285" s="325" t="str">
        <f t="shared" si="63"/>
        <v>S-R1-G3-M1-M2-P-D1-N2-N3-S</v>
      </c>
      <c r="EL285" s="326" t="str">
        <f t="shared" si="64"/>
        <v>1-b2-3-4-#4-5-b6-b7-7-8</v>
      </c>
      <c r="EM285" s="318" t="str">
        <f t="shared" si="65"/>
        <v>#REF!</v>
      </c>
      <c r="EN285" s="328" t="str">
        <f>IFERROR(__xludf.DUMMYFUNCTION("SUBSTITUTE(SUBSTITUTE(SUBSTITUTE(SUBSTITUTE(CONCATENATE(JOIN("" "",HP285:IB285)),""  "","" ""),""  "","" ""),""  "","" ""),""  "","" "")"),"o o • • o o o o o • o o o")</f>
        <v>o o • • o o o o o • o o o</v>
      </c>
      <c r="EO285" s="368" t="str">
        <f t="shared" si="66"/>
        <v>-</v>
      </c>
      <c r="EP285" s="339" t="str">
        <f t="shared" si="67"/>
        <v>-</v>
      </c>
      <c r="EQ285" s="339" t="str">
        <f t="shared" si="68"/>
        <v>Sa-Pa</v>
      </c>
      <c r="ER285" s="339" t="str">
        <f t="shared" si="69"/>
        <v>-</v>
      </c>
      <c r="ES285" s="340" t="str">
        <f t="shared" si="70"/>
        <v>-</v>
      </c>
      <c r="ET285" s="363"/>
      <c r="EU285" s="376" t="b">
        <f>IFERROR(__xludf.DUMMYFUNCTION("arrayformula(sum(--REGEXMATCH(""SRGMPDNS"",split(REGEXREPLACE(C285,""(.)"",""$1~""),""~""))))=len(C285)
"),FALSE)</f>
        <v>0</v>
      </c>
      <c r="EV285" s="290" t="b">
        <f>IFERROR(__xludf.DUMMYFUNCTION("arrayformula(sum(--REGEXMATCH(""SRGmPDNS"",split(REGEXREPLACE(C285,""(.)"",""$1~""),""~""))))=len(C285)"),FALSE)</f>
        <v>0</v>
      </c>
      <c r="EW285" s="290" t="b">
        <f>IFERROR(__xludf.DUMMYFUNCTION("arrayformula(sum(--REGEXMATCH(""SRGmPDnS"",split(REGEXREPLACE(C285,""(.)"",""$1~""),""~""))))=len(C285)"),FALSE)</f>
        <v>0</v>
      </c>
      <c r="EX285" s="290" t="b">
        <f>IFERROR(__xludf.DUMMYFUNCTION("arrayformula(sum(--REGEXMATCH(""SRgmPDnS"",split(REGEXREPLACE(C285,""(.)"",""$1~""),""~""))))=len(C285)"),FALSE)</f>
        <v>0</v>
      </c>
      <c r="EY285" s="290" t="b">
        <f>IFERROR(__xludf.DUMMYFUNCTION("arrayformula(sum(--REGEXMATCH(""SRgmPdnS"",split(REGEXREPLACE(C285,""(.)"",""$1~""),""~""))))=len(C285)"),FALSE)</f>
        <v>0</v>
      </c>
      <c r="EZ285" s="290" t="b">
        <f>IFERROR(__xludf.DUMMYFUNCTION("arrayformula(sum(--REGEXMATCH(""SrgmPdnS"",split(REGEXREPLACE(C285,""(.)"",""$1~""),""~""))))=len(C285)"),FALSE)</f>
        <v>0</v>
      </c>
      <c r="FA285" s="290" t="b">
        <f>IFERROR(__xludf.DUMMYFUNCTION("arrayformula(sum(--REGEXMATCH(""SrGmPdNS"",split(REGEXREPLACE(C285,""(.)"",""$1~""),""~""))))=len(C285)"),FALSE)</f>
        <v>0</v>
      </c>
      <c r="FB285" s="290" t="b">
        <f>IFERROR(__xludf.DUMMYFUNCTION("arrayformula(sum(--REGEXMATCH(""SrGMPDNS"",split(REGEXREPLACE(C285,""(.)"",""$1~""),""~""))))=len(C285)"),FALSE)</f>
        <v>0</v>
      </c>
      <c r="FC285" s="290" t="b">
        <f>IFERROR(__xludf.DUMMYFUNCTION("arrayformula(sum(--REGEXMATCH(""SrGMPdNS"",split(REGEXREPLACE(C285,""(.)"",""$1~""),""~""))))=len(C285)"),FALSE)</f>
        <v>0</v>
      </c>
      <c r="FD285" s="377" t="b">
        <f>IFERROR(__xludf.DUMMYFUNCTION("arrayformula(sum(--REGEXMATCH(""SrgMPdNS"",split(REGEXREPLACE(C285,""(.)"",""$1~""),""~""))))=len(C285)"),FALSE)</f>
        <v>0</v>
      </c>
      <c r="FE285" s="269" t="str">
        <f t="shared" si="71"/>
        <v>xooxxxxxoxx</v>
      </c>
      <c r="FF285" s="269" t="str">
        <f t="shared" si="72"/>
        <v>-</v>
      </c>
      <c r="FG285" s="271" t="str">
        <f t="shared" si="73"/>
        <v>-</v>
      </c>
      <c r="FH285" s="269" t="str">
        <f t="shared" si="74"/>
        <v>xxxxxoxxxxo</v>
      </c>
      <c r="FI285" s="271" t="str">
        <f t="shared" si="75"/>
        <v>xxxxoxxxxoo</v>
      </c>
      <c r="FJ285" s="271" t="str">
        <f t="shared" si="76"/>
        <v>xxxoxxxxoox</v>
      </c>
      <c r="FK285" s="271" t="str">
        <f t="shared" si="77"/>
        <v>xxoxxxxooxx</v>
      </c>
      <c r="FL285" s="271" t="str">
        <f t="shared" si="78"/>
        <v>xoxxxxooxxx</v>
      </c>
      <c r="FM285" s="271" t="str">
        <f t="shared" si="79"/>
        <v>-</v>
      </c>
      <c r="FN285" s="271" t="str">
        <f t="shared" si="80"/>
        <v>xxxxooxxxxx</v>
      </c>
      <c r="FO285" s="274" t="str">
        <f t="shared" si="81"/>
        <v>xxxooxxxxxo</v>
      </c>
      <c r="FP285" s="234" t="str">
        <f t="shared" si="82"/>
        <v>|</v>
      </c>
      <c r="FQ285" s="236" t="str">
        <f t="shared" si="83"/>
        <v>|</v>
      </c>
      <c r="FR285" s="237" t="str">
        <f t="shared" si="84"/>
        <v>-</v>
      </c>
      <c r="FS285" s="236" t="str">
        <f t="shared" si="85"/>
        <v>-</v>
      </c>
      <c r="FT285" s="237" t="str">
        <f t="shared" si="86"/>
        <v>|</v>
      </c>
      <c r="FU285" s="236" t="str">
        <f t="shared" si="87"/>
        <v>|</v>
      </c>
      <c r="FV285" s="237" t="str">
        <f t="shared" si="88"/>
        <v>|</v>
      </c>
      <c r="FW285" s="236" t="str">
        <f t="shared" si="89"/>
        <v>|</v>
      </c>
      <c r="FX285" s="237" t="str">
        <f t="shared" si="90"/>
        <v>|</v>
      </c>
      <c r="FY285" s="236" t="str">
        <f t="shared" si="91"/>
        <v>-</v>
      </c>
      <c r="FZ285" s="237" t="str">
        <f t="shared" si="92"/>
        <v>|</v>
      </c>
      <c r="GA285" s="236" t="str">
        <f t="shared" si="93"/>
        <v>|</v>
      </c>
      <c r="GB285" s="238" t="str">
        <f t="shared" si="94"/>
        <v>|</v>
      </c>
      <c r="GC285" s="244" t="str">
        <f>IFERROR(__xludf.DUMMYFUNCTION("IF(REGEXMATCH(C285, ""S""), ""1"","""")"),"1")</f>
        <v>1</v>
      </c>
      <c r="GD285" s="245" t="str">
        <f>IFERROR(__xludf.DUMMYFUNCTION("IF(REGEXMATCH(C285, ""r""), ""b2"","""")"),"b2")</f>
        <v>b2</v>
      </c>
      <c r="GE285" s="246" t="str">
        <f>IFERROR(__xludf.DUMMYFUNCTION("IF(REGEXMATCH(C285, ""R""), ""2"","""")"),"")</f>
        <v/>
      </c>
      <c r="GF285" s="246" t="str">
        <f>IFERROR(__xludf.DUMMYFUNCTION("IF(REGEXMATCH(C285, ""g""), ""b3"","""")"),"")</f>
        <v/>
      </c>
      <c r="GG285" s="245" t="str">
        <f>IFERROR(__xludf.DUMMYFUNCTION("IF(REGEXMATCH(C285, ""G""), ""3"","""")"),"3")</f>
        <v>3</v>
      </c>
      <c r="GH285" s="245" t="str">
        <f>IFERROR(__xludf.DUMMYFUNCTION("IF(REGEXMATCH(C285, ""m""), ""4"","""")"),"4")</f>
        <v>4</v>
      </c>
      <c r="GI285" s="246" t="str">
        <f>IFERROR(__xludf.DUMMYFUNCTION("IF(REGEXMATCH(C285, ""M""), ""#4"","""")"),"#4")</f>
        <v>#4</v>
      </c>
      <c r="GJ285" s="245" t="str">
        <f>IFERROR(__xludf.DUMMYFUNCTION("IF(REGEXMATCH(C285, ""P""), ""5"","""")"),"5")</f>
        <v>5</v>
      </c>
      <c r="GK285" s="246" t="str">
        <f>IFERROR(__xludf.DUMMYFUNCTION("IF(REGEXMATCH(C285, ""d""), ""b6"","""")"),"b6")</f>
        <v>b6</v>
      </c>
      <c r="GL285" s="245" t="str">
        <f>IFERROR(__xludf.DUMMYFUNCTION("IF(REGEXMATCH(C285, ""D""), ""6"","""")"),"")</f>
        <v/>
      </c>
      <c r="GM285" s="245" t="str">
        <f>IFERROR(__xludf.DUMMYFUNCTION("IF(REGEXMATCH(C285, ""n""), ""b7"","""")"),"b7")</f>
        <v>b7</v>
      </c>
      <c r="GN285" s="246" t="str">
        <f>IFERROR(__xludf.DUMMYFUNCTION("IF(REGEXMATCH(C285, ""N""), ""7"","""")"),"7")</f>
        <v>7</v>
      </c>
      <c r="GO285" s="249" t="str">
        <f>IFERROR(__xludf.DUMMYFUNCTION("IF(REGEXMATCH(C285, ""S""), ""8"","""")"),"8")</f>
        <v>8</v>
      </c>
      <c r="GP285" s="244" t="str">
        <f>IFERROR(__xludf.DUMMYFUNCTION("IF(REGEXMATCH(C285, ""S""), ""S"","""")"),"S")</f>
        <v>S</v>
      </c>
      <c r="GQ285" s="294" t="str">
        <f>IFERROR(__xludf.DUMMYFUNCTION("IF(REGEXMATCH(C285, ""r""), ""R1"","""")"),"R1")</f>
        <v>R1</v>
      </c>
      <c r="GR285" s="295" t="str">
        <f>IFERROR(__xludf.DUMMYFUNCTION("IF(REGEXMATCH(C285, ""R""), ""R2"","""")"),"")</f>
        <v/>
      </c>
      <c r="GS285" s="295" t="str">
        <f>IFERROR(__xludf.DUMMYFUNCTION("IF(REGEXMATCH(C285, ""g""), ""G2"","""")"),"")</f>
        <v/>
      </c>
      <c r="GT285" s="294" t="str">
        <f>IFERROR(__xludf.DUMMYFUNCTION("IF(REGEXMATCH(C285, ""G""), ""G3"","""")"),"G3")</f>
        <v>G3</v>
      </c>
      <c r="GU285" s="294" t="str">
        <f>IFERROR(__xludf.DUMMYFUNCTION("IF(REGEXMATCH(C285, ""m""), ""M1"","""")"),"M1")</f>
        <v>M1</v>
      </c>
      <c r="GV285" s="295" t="str">
        <f>IFERROR(__xludf.DUMMYFUNCTION("IF(REGEXMATCH(C285, ""M""), ""M2"","""")"),"M2")</f>
        <v>M2</v>
      </c>
      <c r="GW285" s="294" t="str">
        <f>IFERROR(__xludf.DUMMYFUNCTION("IF(REGEXMATCH(C285, ""P""), ""P"","""")"),"P")</f>
        <v>P</v>
      </c>
      <c r="GX285" s="295" t="str">
        <f>IFERROR(__xludf.DUMMYFUNCTION("IF(REGEXMATCH(C285, ""d""), ""D1"","""")"),"D1")</f>
        <v>D1</v>
      </c>
      <c r="GY285" s="294" t="str">
        <f>IFERROR(__xludf.DUMMYFUNCTION("IF(REGEXMATCH(C285, ""D""), ""D2"","""")"),"")</f>
        <v/>
      </c>
      <c r="GZ285" s="294" t="str">
        <f>IFERROR(__xludf.DUMMYFUNCTION("IF(REGEXMATCH(C285, ""n""), ""N2"","""")"),"N2")</f>
        <v>N2</v>
      </c>
      <c r="HA285" s="295" t="str">
        <f>IFERROR(__xludf.DUMMYFUNCTION("IF(REGEXMATCH(C285, ""N""), ""N3"","""")"),"N3")</f>
        <v>N3</v>
      </c>
      <c r="HB285" s="249" t="str">
        <f>IFERROR(__xludf.DUMMYFUNCTION("IF(REGEXMATCH(C285, ""S""), ""S"","""")"),"S")</f>
        <v>S</v>
      </c>
      <c r="HC285" s="331" t="str">
        <f t="shared" si="95"/>
        <v>S</v>
      </c>
      <c r="HD285" s="332" t="str">
        <f t="shared" si="96"/>
        <v>r</v>
      </c>
      <c r="HE285" s="332" t="str">
        <f t="shared" si="97"/>
        <v>R</v>
      </c>
      <c r="HF285" s="332" t="str">
        <f t="shared" si="98"/>
        <v/>
      </c>
      <c r="HG285" s="332" t="str">
        <f t="shared" si="99"/>
        <v>G</v>
      </c>
      <c r="HH285" s="332" t="str">
        <f t="shared" si="100"/>
        <v>m</v>
      </c>
      <c r="HI285" s="332" t="str">
        <f t="shared" si="101"/>
        <v>M</v>
      </c>
      <c r="HJ285" s="332" t="str">
        <f t="shared" si="102"/>
        <v>P</v>
      </c>
      <c r="HK285" s="332" t="str">
        <f t="shared" si="103"/>
        <v>d</v>
      </c>
      <c r="HL285" s="332" t="str">
        <f t="shared" si="104"/>
        <v/>
      </c>
      <c r="HM285" s="332" t="str">
        <f t="shared" si="105"/>
        <v/>
      </c>
      <c r="HN285" s="332" t="str">
        <f t="shared" si="106"/>
        <v>N</v>
      </c>
      <c r="HO285" s="343" t="str">
        <f t="shared" si="107"/>
        <v>S</v>
      </c>
      <c r="HP285" s="331" t="str">
        <f t="shared" si="108"/>
        <v>o</v>
      </c>
      <c r="HQ285" s="332" t="str">
        <f t="shared" si="109"/>
        <v>o</v>
      </c>
      <c r="HR285" s="332" t="str">
        <f t="shared" si="110"/>
        <v>•</v>
      </c>
      <c r="HS285" s="332" t="str">
        <f t="shared" si="111"/>
        <v>•</v>
      </c>
      <c r="HT285" s="332" t="str">
        <f t="shared" si="112"/>
        <v>o</v>
      </c>
      <c r="HU285" s="332" t="str">
        <f t="shared" si="113"/>
        <v>o</v>
      </c>
      <c r="HV285" s="332" t="str">
        <f t="shared" si="114"/>
        <v>o</v>
      </c>
      <c r="HW285" s="332" t="str">
        <f t="shared" si="115"/>
        <v>o</v>
      </c>
      <c r="HX285" s="332" t="str">
        <f t="shared" si="116"/>
        <v>o</v>
      </c>
      <c r="HY285" s="332" t="str">
        <f t="shared" si="117"/>
        <v>•</v>
      </c>
      <c r="HZ285" s="332" t="str">
        <f t="shared" si="118"/>
        <v>o</v>
      </c>
      <c r="IA285" s="332" t="str">
        <f t="shared" si="119"/>
        <v>o</v>
      </c>
      <c r="IB285" s="338" t="str">
        <f t="shared" si="120"/>
        <v>o</v>
      </c>
      <c r="IC285" s="331" t="str">
        <f t="shared" si="121"/>
        <v>•</v>
      </c>
      <c r="ID285" s="332" t="str">
        <f t="shared" si="122"/>
        <v>•</v>
      </c>
      <c r="IE285" s="332" t="str">
        <f t="shared" si="123"/>
        <v>o</v>
      </c>
      <c r="IF285" s="332" t="str">
        <f t="shared" si="124"/>
        <v>o</v>
      </c>
      <c r="IG285" s="332" t="str">
        <f t="shared" si="125"/>
        <v>•</v>
      </c>
      <c r="IH285" s="332" t="str">
        <f t="shared" si="126"/>
        <v>•</v>
      </c>
      <c r="II285" s="332" t="str">
        <f t="shared" si="127"/>
        <v>•</v>
      </c>
      <c r="IJ285" s="332" t="str">
        <f t="shared" si="128"/>
        <v>•</v>
      </c>
      <c r="IK285" s="332" t="str">
        <f t="shared" si="129"/>
        <v>•</v>
      </c>
      <c r="IL285" s="332" t="str">
        <f t="shared" si="130"/>
        <v>o</v>
      </c>
      <c r="IM285" s="332" t="str">
        <f t="shared" si="131"/>
        <v>•</v>
      </c>
      <c r="IN285" s="332" t="str">
        <f t="shared" si="132"/>
        <v>•</v>
      </c>
      <c r="IO285" s="338" t="str">
        <f t="shared" si="133"/>
        <v>•</v>
      </c>
      <c r="IP285" s="346" t="b">
        <f t="shared" si="134"/>
        <v>0</v>
      </c>
      <c r="IQ285" s="347" t="b">
        <f t="shared" si="135"/>
        <v>0</v>
      </c>
      <c r="IR285" s="347" t="b">
        <f t="shared" si="136"/>
        <v>0</v>
      </c>
      <c r="IS285" s="347" t="b">
        <f t="shared" si="137"/>
        <v>0</v>
      </c>
      <c r="IT285" s="347" t="b">
        <f t="shared" si="138"/>
        <v>0</v>
      </c>
      <c r="IU285" s="347" t="b">
        <f t="shared" si="139"/>
        <v>0</v>
      </c>
      <c r="IV285" s="347" t="b">
        <f t="shared" si="140"/>
        <v>0</v>
      </c>
      <c r="IW285" s="347" t="b">
        <f t="shared" si="141"/>
        <v>1</v>
      </c>
      <c r="IX285" s="347" t="b">
        <f t="shared" si="142"/>
        <v>1</v>
      </c>
      <c r="IY285" s="347" t="b">
        <f t="shared" si="143"/>
        <v>0</v>
      </c>
      <c r="IZ285" s="347" t="b">
        <f t="shared" si="144"/>
        <v>0</v>
      </c>
      <c r="JA285" s="347" t="b">
        <f t="shared" si="145"/>
        <v>0</v>
      </c>
      <c r="JB285" s="353" t="b">
        <f t="shared" si="146"/>
        <v>0</v>
      </c>
      <c r="JC285" s="354" t="str">
        <f t="shared" si="147"/>
        <v/>
      </c>
      <c r="JD285" s="355" t="str">
        <f t="shared" si="148"/>
        <v/>
      </c>
      <c r="JE285" s="355" t="str">
        <f t="shared" si="149"/>
        <v/>
      </c>
      <c r="JF285" s="355" t="str">
        <f t="shared" si="150"/>
        <v/>
      </c>
      <c r="JG285" s="355" t="str">
        <f t="shared" si="151"/>
        <v/>
      </c>
      <c r="JH285" s="355" t="str">
        <f t="shared" si="152"/>
        <v/>
      </c>
      <c r="JI285" s="355" t="str">
        <f t="shared" si="153"/>
        <v/>
      </c>
      <c r="JJ285" s="355" t="str">
        <f t="shared" si="154"/>
        <v>Pa, </v>
      </c>
      <c r="JK285" s="355" t="str">
        <f t="shared" si="155"/>
        <v>dha, </v>
      </c>
      <c r="JL285" s="355" t="str">
        <f t="shared" si="156"/>
        <v/>
      </c>
      <c r="JM285" s="355" t="str">
        <f t="shared" si="157"/>
        <v/>
      </c>
      <c r="JN285" s="355" t="str">
        <f t="shared" si="158"/>
        <v/>
      </c>
      <c r="JO285" s="359" t="str">
        <f t="shared" si="159"/>
        <v/>
      </c>
      <c r="JP285" s="346" t="b">
        <f t="shared" si="160"/>
        <v>0</v>
      </c>
      <c r="JQ285" s="347" t="b">
        <f t="shared" si="161"/>
        <v>0</v>
      </c>
      <c r="JR285" s="347" t="b">
        <f t="shared" si="162"/>
        <v>0</v>
      </c>
      <c r="JS285" s="347" t="b">
        <f t="shared" si="163"/>
        <v>0</v>
      </c>
      <c r="JT285" s="347" t="b">
        <f t="shared" si="164"/>
        <v>0</v>
      </c>
      <c r="JU285" s="347" t="b">
        <f t="shared" si="165"/>
        <v>0</v>
      </c>
      <c r="JV285" s="347" t="b">
        <f t="shared" si="166"/>
        <v>0</v>
      </c>
      <c r="JW285" s="347" t="b">
        <f t="shared" si="167"/>
        <v>0</v>
      </c>
      <c r="JX285" s="347" t="b">
        <f t="shared" si="168"/>
        <v>0</v>
      </c>
      <c r="JY285" s="347" t="b">
        <f t="shared" si="169"/>
        <v>0</v>
      </c>
      <c r="JZ285" s="347" t="b">
        <f t="shared" si="170"/>
        <v>0</v>
      </c>
      <c r="KA285" s="347" t="b">
        <f t="shared" si="171"/>
        <v>0</v>
      </c>
      <c r="KB285" s="365" t="b">
        <f t="shared" si="172"/>
        <v>0</v>
      </c>
      <c r="KC285" s="354" t="str">
        <f t="shared" si="173"/>
        <v/>
      </c>
      <c r="KD285" s="355" t="str">
        <f t="shared" si="174"/>
        <v/>
      </c>
      <c r="KE285" s="355" t="str">
        <f t="shared" si="175"/>
        <v/>
      </c>
      <c r="KF285" s="355" t="str">
        <f t="shared" si="176"/>
        <v/>
      </c>
      <c r="KG285" s="355" t="str">
        <f t="shared" si="177"/>
        <v/>
      </c>
      <c r="KH285" s="355" t="str">
        <f t="shared" si="178"/>
        <v/>
      </c>
      <c r="KI285" s="355" t="str">
        <f t="shared" si="179"/>
        <v/>
      </c>
      <c r="KJ285" s="355" t="str">
        <f t="shared" si="180"/>
        <v/>
      </c>
      <c r="KK285" s="355" t="str">
        <f t="shared" si="181"/>
        <v/>
      </c>
      <c r="KL285" s="355" t="str">
        <f t="shared" si="182"/>
        <v/>
      </c>
      <c r="KM285" s="355" t="str">
        <f t="shared" si="183"/>
        <v/>
      </c>
      <c r="KN285" s="355" t="str">
        <f t="shared" si="184"/>
        <v/>
      </c>
      <c r="KO285" s="359"/>
      <c r="KP285" s="378"/>
      <c r="KQ285" s="379" t="s">
        <v>591</v>
      </c>
      <c r="KR285" s="380" t="s">
        <v>1466</v>
      </c>
      <c r="KS285" s="381" t="str">
        <f t="shared" si="791"/>
        <v>S-r-G-m-P-d-N-S</v>
      </c>
      <c r="KT285" s="382">
        <f t="shared" si="186"/>
        <v>7</v>
      </c>
      <c r="KU285" s="383">
        <f t="shared" si="187"/>
        <v>7</v>
      </c>
      <c r="KV285" s="381" t="str">
        <f t="shared" si="205"/>
        <v>S-N-d-P-Mm-G-r-S</v>
      </c>
      <c r="KW285" s="382">
        <f t="shared" si="189"/>
        <v>7</v>
      </c>
      <c r="KX285" s="384">
        <f t="shared" si="190"/>
        <v>8</v>
      </c>
      <c r="KY285" s="382">
        <f t="shared" ref="KY285:KZ285" si="796">KW285-KT285</f>
        <v>0</v>
      </c>
      <c r="KZ285" s="369">
        <f t="shared" si="796"/>
        <v>1</v>
      </c>
      <c r="LA285" s="385" t="str">
        <f t="shared" si="192"/>
        <v>-</v>
      </c>
      <c r="LB285" s="340" t="str">
        <f>IFERROR(__xludf.DUMMYFUNCTION("JOIN("""",ArrayFormula(MID(KS285,LEN(KS285)-SEQUENCE(1,LEN(KS285))+1,1)))"),"S-N-d-P-m-G-r-S")</f>
        <v>S-N-d-P-m-G-r-S</v>
      </c>
      <c r="LC285" s="373" t="str">
        <f>IFERROR(__xludf.DUMMYFUNCTION("JOIN("""",ArrayFormula(MID(KV285,LEN(KV285)-SEQUENCE(1,LEN(KV285))+1,1)))"),"S-r-G-mM-P-d-N-S")</f>
        <v>S-r-G-mM-P-d-N-S</v>
      </c>
      <c r="LD285" s="373" t="str">
        <f t="shared" si="193"/>
        <v>SrGmPdNS</v>
      </c>
      <c r="LE285" s="339" t="str">
        <f t="shared" si="194"/>
        <v>SrGmMPdNS</v>
      </c>
      <c r="LF285" s="386" t="str">
        <f>IFERROR(__xludf.DUMMYFUNCTION("SUBSTITUTE(SUBSTITUTE(CONCATENATE(JOIN("""",LH285:LT285)),""1"",""""),""2"","""")"),"SrGmMPdNS")</f>
        <v>SrGmMPdNS</v>
      </c>
      <c r="LG285" s="369" t="str">
        <f t="shared" si="195"/>
        <v>-</v>
      </c>
      <c r="LH285" s="387" t="str">
        <f>IFERROR(__xludf.DUMMYFUNCTION("IF(REGEXMATCH(LD285, ""S""), ""S"",IF(REGEXMATCH(LE285, ""S""), ""S"",""""))"),"S")</f>
        <v>S</v>
      </c>
      <c r="LI285" s="299" t="str">
        <f>IFERROR(__xludf.DUMMYFUNCTION("IF(REGEXMATCH(LD285, ""r""), ""r1"",IF(REGEXMATCH(LE285, ""r""), ""r2"",""""))"),"r1")</f>
        <v>r1</v>
      </c>
      <c r="LJ285" s="299" t="str">
        <f>IFERROR(__xludf.DUMMYFUNCTION("IF(REGEXMATCH(LD285, ""R""), ""R1"",IF(REGEXMATCH(LE285, ""R""), ""R2"",""""))"),"")</f>
        <v/>
      </c>
      <c r="LK285" s="299" t="str">
        <f>IFERROR(__xludf.DUMMYFUNCTION("IF(REGEXMATCH(LD285, ""g""), ""g1"",IF(REGEXMATCH(LE285, ""g""), ""g2"",""""))"),"")</f>
        <v/>
      </c>
      <c r="LL285" s="299" t="str">
        <f>IFERROR(__xludf.DUMMYFUNCTION("IF(REGEXMATCH(LD285, ""G""), ""G1"",IF(REGEXMATCH(LE285, ""G""), ""G2"",""""))"),"G1")</f>
        <v>G1</v>
      </c>
      <c r="LM285" s="299" t="str">
        <f>IFERROR(__xludf.DUMMYFUNCTION("IF(REGEXMATCH(LD285, ""m""), ""m1"",IF(REGEXMATCH(LE285, ""m""), ""m2"",""""))"),"m1")</f>
        <v>m1</v>
      </c>
      <c r="LN285" s="299" t="str">
        <f>IFERROR(__xludf.DUMMYFUNCTION("IF(REGEXMATCH(LD285, ""M""), ""M1"",IF(REGEXMATCH(LE285, ""M""), ""M2"",""""))"),"M2")</f>
        <v>M2</v>
      </c>
      <c r="LO285" s="299" t="str">
        <f>IFERROR(__xludf.DUMMYFUNCTION("IF(REGEXMATCH(LD285, ""P""), ""P1"",IF(REGEXMATCH(LE285, ""P""), ""P2"",""""))"),"P1")</f>
        <v>P1</v>
      </c>
      <c r="LP285" s="299" t="str">
        <f>IFERROR(__xludf.DUMMYFUNCTION("IF(REGEXMATCH(LD285, ""d""), ""d1"",IF(REGEXMATCH(LE285, ""d""), ""d2"",""""))"),"d1")</f>
        <v>d1</v>
      </c>
      <c r="LQ285" s="299" t="str">
        <f>IFERROR(__xludf.DUMMYFUNCTION("IF(REGEXMATCH(LD285, ""D""), ""D1"",IF(REGEXMATCH(LE285, ""D""), ""D2"",""""))"),"")</f>
        <v/>
      </c>
      <c r="LR285" s="299" t="str">
        <f>IFERROR(__xludf.DUMMYFUNCTION("IF(REGEXMATCH(LD285, ""n""), ""n1"",IF(REGEXMATCH(LE285, ""n""), ""n2"",""""))"),"")</f>
        <v/>
      </c>
      <c r="LS285" s="299" t="str">
        <f>IFERROR(__xludf.DUMMYFUNCTION("IF(REGEXMATCH(LD285, ""N""), ""N1"",IF(REGEXMATCH(LE285, ""N""), ""N2"",""""))"),"N1")</f>
        <v>N1</v>
      </c>
      <c r="LT285" s="388" t="str">
        <f>IFERROR(__xludf.DUMMYFUNCTION("IF(REGEXMATCH(LD285, ""S""), ""S"",IF(REGEXMATCH(LE285, ""S""), ""S"",""""))"),"S")</f>
        <v>S</v>
      </c>
      <c r="LU285" s="389">
        <f t="shared" si="196"/>
        <v>0</v>
      </c>
      <c r="LV285" s="378"/>
      <c r="LW285" s="369"/>
      <c r="LX285" s="369"/>
    </row>
    <row r="286" ht="18.0" customHeight="1">
      <c r="A286" s="298" t="s">
        <v>425</v>
      </c>
      <c r="B286" s="222" t="s">
        <v>426</v>
      </c>
      <c r="C286" s="233" t="str">
        <f t="shared" si="7"/>
        <v>SrGMPDnS</v>
      </c>
      <c r="D286" s="234" t="str">
        <f>IFERROR(__xludf.DUMMYFUNCTION("IF(REGEXMATCH(C286, ""S""), ""S"","""")"),"S")</f>
        <v>S</v>
      </c>
      <c r="E286" s="236" t="str">
        <f>IFERROR(__xludf.DUMMYFUNCTION("IF(REGEXMATCH(C286, ""r""), ""r"","""")"),"r")</f>
        <v>r</v>
      </c>
      <c r="F286" s="237" t="str">
        <f>IFERROR(__xludf.DUMMYFUNCTION("IF(REGEXMATCH(C286, ""R""), ""R"","""")"),"")</f>
        <v/>
      </c>
      <c r="G286" s="237" t="str">
        <f>IFERROR(__xludf.DUMMYFUNCTION("IF(REGEXMATCH(C286, ""g""), ""g"","""")"),"")</f>
        <v/>
      </c>
      <c r="H286" s="236" t="str">
        <f>IFERROR(__xludf.DUMMYFUNCTION("IF(REGEXMATCH(C286, ""G""), ""G"","""")"),"G")</f>
        <v>G</v>
      </c>
      <c r="I286" s="236" t="str">
        <f>IFERROR(__xludf.DUMMYFUNCTION("IF(REGEXMATCH(C286, ""m""), ""m"","""")"),"")</f>
        <v/>
      </c>
      <c r="J286" s="237" t="str">
        <f>IFERROR(__xludf.DUMMYFUNCTION("IF(REGEXMATCH(C286, ""M""), ""M"","""")"),"M")</f>
        <v>M</v>
      </c>
      <c r="K286" s="236" t="str">
        <f>IFERROR(__xludf.DUMMYFUNCTION("IF(REGEXMATCH(C286, ""P""), ""P"","""")"),"P")</f>
        <v>P</v>
      </c>
      <c r="L286" s="237" t="str">
        <f>IFERROR(__xludf.DUMMYFUNCTION("IF(REGEXMATCH(C286, ""d""), ""d"","""")"),"")</f>
        <v/>
      </c>
      <c r="M286" s="236" t="str">
        <f>IFERROR(__xludf.DUMMYFUNCTION("IF(REGEXMATCH(C286, ""D""), ""D"","""")"),"D")</f>
        <v>D</v>
      </c>
      <c r="N286" s="236" t="str">
        <f>IFERROR(__xludf.DUMMYFUNCTION("IF(REGEXMATCH(C286, ""n""), ""n"","""")"),"n")</f>
        <v>n</v>
      </c>
      <c r="O286" s="237" t="str">
        <f>IFERROR(__xludf.DUMMYFUNCTION("IF(REGEXMATCH(C286, ""N""), ""N"","""")"),"")</f>
        <v/>
      </c>
      <c r="P286" s="238" t="str">
        <f>IFERROR(__xludf.DUMMYFUNCTION("IF(REGEXMATCH(C286, ""S""), ""S"","""")"),"S")</f>
        <v>S</v>
      </c>
      <c r="Q286" s="239" t="str">
        <f>IFERROR(__xludf.DUMMYFUNCTION("SUBSTITUTE(CONCATENATE(JOIN(""-"",D286:J286)),""-"","""")"),"SrGM")</f>
        <v>SrGM</v>
      </c>
      <c r="R286" s="229" t="str">
        <f>IFERROR(__xludf.DUMMYFUNCTION("SUBSTITUTE(CONCATENATE(JOIN(""-"",K286:P286)),""-"","""")"),"PDnS")</f>
        <v>PDnS</v>
      </c>
      <c r="S286" s="282" t="str">
        <f t="shared" si="8"/>
        <v>S-R-G-M</v>
      </c>
      <c r="T286" s="282" t="str">
        <f t="shared" si="9"/>
        <v>P-D-N-S</v>
      </c>
      <c r="U286" s="237" t="str">
        <f>IFERROR(__xludf.DUMMYFUNCTION("SUBSTITUTE(JOIN(""-"",S286,T286),""--"",""-"")"),"S-R-G-M-P-D-N-S")</f>
        <v>S-R-G-M-P-D-N-S</v>
      </c>
      <c r="V286" s="309" t="str">
        <f t="shared" si="10"/>
        <v>rGMDn</v>
      </c>
      <c r="W286" s="244" t="str">
        <f>IFERROR(__xludf.DUMMYFUNCTION("IF(REGEXMATCH(C286, ""S""), ""0"","""")"),"0")</f>
        <v>0</v>
      </c>
      <c r="X286" s="245" t="str">
        <f>IFERROR(__xludf.DUMMYFUNCTION("IF(REGEXMATCH(C286, ""r""), ""1"","""")"),"1")</f>
        <v>1</v>
      </c>
      <c r="Y286" s="246" t="str">
        <f>IFERROR(__xludf.DUMMYFUNCTION("IF(REGEXMATCH(C286, ""R""), ""2"","""")"),"")</f>
        <v/>
      </c>
      <c r="Z286" s="246" t="str">
        <f>IFERROR(__xludf.DUMMYFUNCTION("IF(REGEXMATCH(C286, ""g""), ""3"","""")"),"")</f>
        <v/>
      </c>
      <c r="AA286" s="245" t="str">
        <f>IFERROR(__xludf.DUMMYFUNCTION("IF(REGEXMATCH(C286, ""G""), ""4"","""")"),"4")</f>
        <v>4</v>
      </c>
      <c r="AB286" s="245" t="str">
        <f>IFERROR(__xludf.DUMMYFUNCTION("IF(REGEXMATCH(C286, ""m""), ""5"","""")"),"")</f>
        <v/>
      </c>
      <c r="AC286" s="246" t="str">
        <f>IFERROR(__xludf.DUMMYFUNCTION("IF(REGEXMATCH(C286, ""M""), ""6"","""")"),"6")</f>
        <v>6</v>
      </c>
      <c r="AD286" s="245" t="str">
        <f>IFERROR(__xludf.DUMMYFUNCTION("IF(REGEXMATCH(C286, ""P""), ""7"","""")"),"7")</f>
        <v>7</v>
      </c>
      <c r="AE286" s="246" t="str">
        <f>IFERROR(__xludf.DUMMYFUNCTION("IF(REGEXMATCH(C286, ""d""), ""8"","""")"),"")</f>
        <v/>
      </c>
      <c r="AF286" s="245" t="str">
        <f>IFERROR(__xludf.DUMMYFUNCTION("IF(REGEXMATCH(C286, ""D""), ""9"","""")"),"9")</f>
        <v>9</v>
      </c>
      <c r="AG286" s="245" t="str">
        <f>IFERROR(__xludf.DUMMYFUNCTION("IF(REGEXMATCH(C286, ""n""), ""10"","""")"),"10")</f>
        <v>10</v>
      </c>
      <c r="AH286" s="246" t="str">
        <f>IFERROR(__xludf.DUMMYFUNCTION("IF(REGEXMATCH(C286, ""N""), ""11"","""")"),"")</f>
        <v/>
      </c>
      <c r="AI286" s="249" t="str">
        <f>IFERROR(__xludf.DUMMYFUNCTION("IF(REGEXMATCH(C286, ""S""), ""0"","""")"),"0")</f>
        <v>0</v>
      </c>
      <c r="AJ286" s="313" t="str">
        <f t="shared" si="11"/>
        <v>T</v>
      </c>
      <c r="AK286" s="313" t="str">
        <f t="shared" si="12"/>
        <v>T</v>
      </c>
      <c r="AL286" s="313" t="str">
        <f t="shared" si="13"/>
        <v>-</v>
      </c>
      <c r="AM286" s="313" t="str">
        <f t="shared" si="14"/>
        <v>-</v>
      </c>
      <c r="AN286" s="313" t="str">
        <f t="shared" si="15"/>
        <v>T</v>
      </c>
      <c r="AO286" s="314" t="str">
        <f t="shared" si="16"/>
        <v>-</v>
      </c>
      <c r="AP286" s="316">
        <f t="shared" si="17"/>
        <v>3</v>
      </c>
      <c r="AQ286" s="319" t="str">
        <f t="shared" si="18"/>
        <v>#REF!</v>
      </c>
      <c r="AR286" s="320">
        <f t="shared" si="19"/>
        <v>0</v>
      </c>
      <c r="AS286" s="250" t="str">
        <f>IFERROR(__xludf.DUMMYFUNCTION("SUBSTITUTE(SUBSTITUTE(CONCATENATE(JOIN("""",FP286:GA286)),""|"",""x""),""-"",""o"")"),"xxooxoxxoxxo")</f>
        <v>xxooxoxxoxxo</v>
      </c>
      <c r="AT286" s="323" t="str">
        <f>IFERROR(__xludf.DUMMYFUNCTION("JOIN("""",AS286,AS286)"),"xxooxoxxoxxoxxooxoxxoxxo")</f>
        <v>xxooxoxxoxxoxxooxoxxoxxo</v>
      </c>
      <c r="AU286" s="256" t="str">
        <f>IFERROR(__xludf.DUMMYFUNCTION("JOIN("""",ArrayFormula(MID(AS286,LEN(AS286)-SEQUENCE(1,LEN(AS286))+1,1)))"),"oxxoxxoxooxx")</f>
        <v>oxxoxxoxooxx</v>
      </c>
      <c r="AV286" s="256" t="str">
        <f>IFERROR(__xludf.DUMMYFUNCTION("LEFT(CONCATENATE(""x"",JOIN("""",ArrayFormula(MID(AS286,LEN(AS286)-SEQUENCE(1,LEN(AS286))+1,1)))),12)"),"xoxxoxxoxoox")</f>
        <v>xoxxoxxoxoox</v>
      </c>
      <c r="AW286" s="327" t="str">
        <f>IFERROR(__xludf.DUMMYFUNCTION("JOIN("""",AU286,AU286)"),"oxxoxxoxooxxoxxoxxoxooxx")</f>
        <v>oxxoxxoxooxxoxxoxxoxooxx</v>
      </c>
      <c r="AX286" s="239" t="str">
        <f>IFERROR(__xludf.DUMMYFUNCTION("IF(REGEXMATCH(AW286,AS286),""✔"",""-"")"),"-")</f>
        <v>-</v>
      </c>
      <c r="AY286" s="330" t="str">
        <f t="shared" si="20"/>
        <v>-</v>
      </c>
      <c r="AZ286" s="260" t="str">
        <f t="shared" si="21"/>
        <v>#REF!</v>
      </c>
      <c r="BA286" s="333" t="str">
        <f t="shared" si="22"/>
        <v>xxooxox</v>
      </c>
      <c r="BB286" s="334" t="str">
        <f t="shared" si="23"/>
        <v>xoxxox</v>
      </c>
      <c r="BC286" s="335" t="str">
        <f t="shared" si="236"/>
        <v>-</v>
      </c>
      <c r="BD286" s="336" t="str">
        <f t="shared" si="25"/>
        <v>Rampriya: 'xxooxox' + 'xoxxox'</v>
      </c>
      <c r="BE286" s="337">
        <f>IFERROR(__xludf.DUMMYFUNCTION("COUNTUNIQUE(FILTER(AT:AT,REGEXMATCH(AT:AT,AS286)))-1"),0.0)</f>
        <v>0</v>
      </c>
      <c r="BF286" s="261" t="str">
        <f>IFERROR(__xludf.DUMMYFUNCTION("IF(BI286=0,""(n/a)"",IF(BJ286=2,""(PAIR)"",IF(REGEXMATCH(AT286,""xoxoxxoxoxox""),""Bilawal"",IF(REGEXMATCH(AT286,""xoxoxooxoxoo""),""Bhupali"",IF(REGEXMATCH(AT286,""xoxoxxoxxoxo""),""Charukeshi"",IF(REGEXMATCH(AT286,""xoxoooxxoxxo""),""Kameshwari"",IF(REG"&amp;"EXMATCH(AT286,""xoxoxooxoxox""),""Shankara"",IF(REGEXMATCH(AT286,""xxooxoxxxoox""),""Basant"",IF(REGEXMATCH(AT286,""xoxoxxxxoxox""),""Bihag"",IF(REGEXMATCH(AT286,""xoxxxxoxoxxx""),""Pilu"",IF(REGEXMATCH(AT286,""xoxxoxoxxoox""),""Kirwani"",IF(REGEXMATCH(AT"&amp;"286,""xoxxoxoxoxxx""),""Mk.Malhar"",IF(REGEXMATCH(AT286,""xxooxxoxxoox""),""Bhairav"",IF(REGEXMATCH(AT286,""xxoxooxxxoox""),""Todi"",IF(REGEXMATCH(AT286,""xxooxoxooxox""),""Marwa"",IF(REGEXMATCH(AT286,""xxoooxoxxooo""),""Gunkali"",IF(REGEXMATCH(AT286,""xo"&amp;"xoxxoxxoox""),""Nat Bhairav"",IF(REGEXMATCH(AT286,""xoxxoooxoxoo""),""Shivranjani"",IF(REGEXMATCH(AT286,""xooxxxoxooxo""),""Jog"",IF(REGEXMATCH(AT286,""xxooxoxoxoox""),""Hemshri"",IF(REGEXMATCH(AT286,""xoooxooxoxxo""),""Kalavati"",IF(REGEXMATCH(AT286,""xx"&amp;"oxoxxoxoox""),""Kedar"",IF(REGEXMATCH(AT286,""xoxxxxoxooxx""),""Gara"",IF(REGEXMATCH(AT286,""xooxoxooxoox""),""Chandrakauns"",IF(REGEXMATCH(AT286,""xoxxxxoxxxox""),""Mand"",IF(REGEXMATCH(AT286,""xoxxxxoxoxox""),""Hanskinkini"",IF(REGEXMATCH(AT286,""xxooxx"&amp;"oxooxo""),""Lilavati"",IF(REGEXMATCH(AT286,""xooxoxoooxox""),""Rajeshwari"",IF(REGEXMATCH(AT286,""xoooxxoxoxxx""),""Khokar"",IF(REGEXMATCH(AT286,""xxooxoxxxxox""),""Maligoura"",""-""))))))))))))))))))))))))))))))"),"(n/a)")</f>
        <v>(n/a)</v>
      </c>
      <c r="BG286" s="239" t="str">
        <f t="shared" si="26"/>
        <v>#REF!</v>
      </c>
      <c r="BH286" s="239">
        <f>IFERROR(__xludf.DUMMYFUNCTION("COUNTUNIQUE(FE286:FO286)-1"),6.0)</f>
        <v>6</v>
      </c>
      <c r="BI286" s="239">
        <f>IFERROR(__xludf.DUMMYFUNCTION("COUNTUNIQUE(FILTER(AT:AT,REGEXMATCH(AT:AT,AS286)))-1"),0.0)</f>
        <v>0</v>
      </c>
      <c r="BJ286" s="239">
        <f>IFERROR(__xludf.DUMMYFUNCTION("COUNTA(FILTER(AT:AT,REGEXMATCH(AT:AT,AS286)))"),1.0)</f>
        <v>1</v>
      </c>
      <c r="BK286" s="341">
        <f>IFERROR(__xludf.DUMMYFUNCTION("COUNTA(FILTER(AT:AT,REGEXMATCH(AT:AT,AS286)))-AR286"),1.0)</f>
        <v>1</v>
      </c>
      <c r="BL286" s="276" t="str">
        <f>IFERROR(__xludf.DUMMYFUNCTION("IF(AS286=""oooooooooooo"",""-"",IF(REGEXMATCH(AT286,""xx""), ""Hemi."", ""Anhemi.""))"),"Hemi.")</f>
        <v>Hemi.</v>
      </c>
      <c r="BM286" s="282" t="str">
        <f>IFERROR(__xludf.DUMMYFUNCTION("IF(AS286=""oooooooooooo"",""-"",IF(REGEXMATCH(AT286,""xxx""), ""Cohem."", ""-""))"),"-")</f>
        <v>-</v>
      </c>
      <c r="BN286" s="282" t="str">
        <f>IFERROR(__xludf.DUMMYFUNCTION("IF(AS286=""oooooooooooo"",""-"",IF(REGEXMATCH(AT286,""xxxx""), ""Co-Co."", ""-""))"),"-")</f>
        <v>-</v>
      </c>
      <c r="BO286" s="342" t="str">
        <f>IFERROR(__xludf.DUMMYFUNCTION("IF(AS286=""oooooooooooo"",""-"",IF(REGEXMATCH(AT286,""xxxxx""), ""CCC."", ""-""))"),"-")</f>
        <v>-</v>
      </c>
      <c r="BP286" s="344" t="str">
        <f t="shared" si="27"/>
        <v>-</v>
      </c>
      <c r="BQ286" s="282" t="str">
        <f>IFERROR(__xludf.DUMMYFUNCTION("IF(REGEXMATCH(JOIN(""-"",EU286:FD286),""TRUE""),""✔"",""-"")"),"-")</f>
        <v>-</v>
      </c>
      <c r="BR286" s="225">
        <f t="shared" si="28"/>
        <v>0</v>
      </c>
      <c r="BS286" s="345" t="str">
        <f>IFERROR(__xludf.DUMMYFUNCTION("SUBSTITUTE(SUBSTITUTE(SUBSTITUTE(SUBSTITUTE(CONCATENATE(JOIN(""-"",GC286:GO286)),""--"",""-""),""--"",""-""),""--"",""-""),""--"",""-"")"),"1-b2-3-#4-5-6-b7-8")</f>
        <v>1-b2-3-#4-5-6-b7-8</v>
      </c>
      <c r="BT286" s="299" t="str">
        <f>IFERROR(__xludf.DUMMYFUNCTION("SUBSTITUTE(SUBSTITUTE(SUBSTITUTE(SUBSTITUTE(CONCATENATE(JOIN(""-"",GP286:HB286)),""--"",""-""),""--"",""-""),""--"",""-""),""--"",""-"")"),"S-R1-G3-M2-P-D2-N2-S")</f>
        <v>S-R1-G3-M2-P-D2-N2-S</v>
      </c>
      <c r="BU286" s="348" t="str">
        <f t="shared" si="29"/>
        <v>C-Db-E-F#-G-A-Bb-C</v>
      </c>
      <c r="BV286" s="349" t="str">
        <f t="shared" si="30"/>
        <v>SRgmdNS</v>
      </c>
      <c r="BW286" s="350">
        <f t="shared" si="31"/>
        <v>0</v>
      </c>
      <c r="BX286" s="351">
        <f t="shared" si="32"/>
        <v>1</v>
      </c>
      <c r="BY286" s="392"/>
      <c r="BZ286" s="309" t="str">
        <f>IFERROR(__xludf.DUMMYFUNCTION("IF(REGEXMATCH(C286, ""S""), ""x"",""x"")"),"x")</f>
        <v>x</v>
      </c>
      <c r="CA286" s="245" t="str">
        <f>IFERROR(__xludf.DUMMYFUNCTION("IF(REGEXMATCH(C286, ""r""), ""o"",""x"")"),"o")</f>
        <v>o</v>
      </c>
      <c r="CB286" s="246" t="str">
        <f>IFERROR(__xludf.DUMMYFUNCTION("IF(REGEXMATCH(C286, ""R""), ""o"",""x"")"),"x")</f>
        <v>x</v>
      </c>
      <c r="CC286" s="246" t="str">
        <f>IFERROR(__xludf.DUMMYFUNCTION("IF(REGEXMATCH(C286, ""g""), ""o"",""x"")"),"x")</f>
        <v>x</v>
      </c>
      <c r="CD286" s="245" t="str">
        <f>IFERROR(__xludf.DUMMYFUNCTION("IF(REGEXMATCH(C286, ""G""), ""o"",""x"")"),"o")</f>
        <v>o</v>
      </c>
      <c r="CE286" s="245" t="str">
        <f>IFERROR(__xludf.DUMMYFUNCTION("IF(REGEXMATCH(C286, ""m""), ""o"",""x"")"),"x")</f>
        <v>x</v>
      </c>
      <c r="CF286" s="246" t="str">
        <f>IFERROR(__xludf.DUMMYFUNCTION("IF(REGEXMATCH(C286, ""M""), ""o"",""x"")"),"o")</f>
        <v>o</v>
      </c>
      <c r="CG286" s="245" t="str">
        <f>IFERROR(__xludf.DUMMYFUNCTION("IF(REGEXMATCH(C286, ""P""), ""o"",""x"")"),"o")</f>
        <v>o</v>
      </c>
      <c r="CH286" s="246" t="str">
        <f>IFERROR(__xludf.DUMMYFUNCTION("IF(REGEXMATCH(C286, ""d""), ""o"",""x"")"),"x")</f>
        <v>x</v>
      </c>
      <c r="CI286" s="245" t="str">
        <f>IFERROR(__xludf.DUMMYFUNCTION("IF(REGEXMATCH(C286, ""D""), ""o"",""x"")"),"o")</f>
        <v>o</v>
      </c>
      <c r="CJ286" s="245" t="str">
        <f>IFERROR(__xludf.DUMMYFUNCTION("IF(REGEXMATCH(C286, ""n""), ""o"",""x"")"),"o")</f>
        <v>o</v>
      </c>
      <c r="CK286" s="245" t="str">
        <f>IFERROR(__xludf.DUMMYFUNCTION("IF(REGEXMATCH(C286, ""N""), ""o"",""x"")"),"x")</f>
        <v>x</v>
      </c>
      <c r="CL286" s="356" t="str">
        <f>IFERROR(__xludf.DUMMYFUNCTION("IF(REGEXMATCH(C286, ""S""), ""x"",""x"")"),"x")</f>
        <v>x</v>
      </c>
      <c r="CM286" s="357" t="str">
        <f t="shared" si="33"/>
        <v>xoxxoxooxoox</v>
      </c>
      <c r="CN286" s="358">
        <f t="shared" si="34"/>
        <v>0</v>
      </c>
      <c r="CO286" s="246" t="str">
        <f>IFERROR(__xludf.DUMMYFUNCTION("IF(REGEXMATCH($C286, ""S""), ""S"",""S"")"),"S")</f>
        <v>S</v>
      </c>
      <c r="CP286" s="246" t="str">
        <f>IFERROR(__xludf.DUMMYFUNCTION("IF(REGEXMATCH($C286, ""r""), """",""r"")"),"")</f>
        <v/>
      </c>
      <c r="CQ286" s="246" t="str">
        <f>IFERROR(__xludf.DUMMYFUNCTION("IF(REGEXMATCH($C286, ""R""), """",""R"")"),"R")</f>
        <v>R</v>
      </c>
      <c r="CR286" s="246" t="str">
        <f>IFERROR(__xludf.DUMMYFUNCTION("IF(REGEXMATCH($C286, ""g""), """",""g"")"),"g")</f>
        <v>g</v>
      </c>
      <c r="CS286" s="246" t="str">
        <f>IFERROR(__xludf.DUMMYFUNCTION("IF(REGEXMATCH($C286, ""G""), """",""G"")"),"")</f>
        <v/>
      </c>
      <c r="CT286" s="246" t="str">
        <f>IFERROR(__xludf.DUMMYFUNCTION("IF(REGEXMATCH($C286, ""m""), """",""m"")"),"m")</f>
        <v>m</v>
      </c>
      <c r="CU286" s="246" t="str">
        <f>IFERROR(__xludf.DUMMYFUNCTION("IF(REGEXMATCH($C286, ""M""), """",""M"")"),"")</f>
        <v/>
      </c>
      <c r="CV286" s="246" t="str">
        <f>IFERROR(__xludf.DUMMYFUNCTION("IF(REGEXMATCH($C286, ""P""), """",""P"")"),"")</f>
        <v/>
      </c>
      <c r="CW286" s="246" t="str">
        <f>IFERROR(__xludf.DUMMYFUNCTION("IF(REGEXMATCH($C286, ""d""), """",""d"")"),"d")</f>
        <v>d</v>
      </c>
      <c r="CX286" s="246" t="str">
        <f>IFERROR(__xludf.DUMMYFUNCTION("IF(REGEXMATCH($C286, ""D""), """",""D"")"),"")</f>
        <v/>
      </c>
      <c r="CY286" s="246" t="str">
        <f>IFERROR(__xludf.DUMMYFUNCTION("IF(REGEXMATCH($C286, ""n""), """",""n"")"),"")</f>
        <v/>
      </c>
      <c r="CZ286" s="246" t="str">
        <f>IFERROR(__xludf.DUMMYFUNCTION("IF(REGEXMATCH($C286, ""N""), """",""N"")"),"N")</f>
        <v>N</v>
      </c>
      <c r="DA286" s="246" t="str">
        <f>IFERROR(__xludf.DUMMYFUNCTION("IF(REGEXMATCH($C286, ""S""), ""S"",""S"")"),"S")</f>
        <v>S</v>
      </c>
      <c r="DB286" s="362" t="str">
        <f>IFERROR(__xludf.DUMMYFUNCTION("JOIN("""",CO286:DA286,"""","""")"),"SRgmdNS")</f>
        <v>SRgmdNS</v>
      </c>
      <c r="DC286" s="363"/>
      <c r="DD286" s="301" t="str">
        <f t="shared" si="35"/>
        <v>#REF!</v>
      </c>
      <c r="DE286" s="302" t="str">
        <f t="shared" si="36"/>
        <v>#REF!</v>
      </c>
      <c r="DF286" s="301" t="str">
        <f t="shared" ref="DF286:DG286" si="797">SUBSTITUTE(S286,"-","")</f>
        <v>SRGM</v>
      </c>
      <c r="DG286" s="301" t="str">
        <f t="shared" si="797"/>
        <v>PDNS</v>
      </c>
      <c r="DH286" s="302" t="str">
        <f t="shared" si="38"/>
        <v>(n/a)</v>
      </c>
      <c r="DI286" s="301" t="str">
        <f t="shared" si="39"/>
        <v>Hemi.</v>
      </c>
      <c r="DJ286" s="364" t="str">
        <f t="shared" si="40"/>
        <v>-</v>
      </c>
      <c r="DK286" s="306" t="str">
        <f t="shared" si="41"/>
        <v>-</v>
      </c>
      <c r="DL286" s="366" t="str">
        <f t="shared" si="42"/>
        <v>-</v>
      </c>
      <c r="DM286" s="308" t="str">
        <f t="shared" si="43"/>
        <v>✔</v>
      </c>
      <c r="DN286" s="306" t="str">
        <f t="shared" si="44"/>
        <v>-</v>
      </c>
      <c r="DO286" s="306" t="str">
        <f t="shared" si="45"/>
        <v>-</v>
      </c>
      <c r="DP286" s="367" t="str">
        <f t="shared" si="46"/>
        <v>✔</v>
      </c>
      <c r="DQ286" s="310" t="str">
        <f t="shared" si="47"/>
        <v>-</v>
      </c>
      <c r="DR286" s="310" t="str">
        <f t="shared" si="48"/>
        <v>-</v>
      </c>
      <c r="DS286" s="310" t="str">
        <f t="shared" si="49"/>
        <v>-</v>
      </c>
      <c r="DT286" s="310" t="str">
        <f t="shared" si="50"/>
        <v>-</v>
      </c>
      <c r="DU286" s="370" t="str">
        <f t="shared" si="51"/>
        <v>-</v>
      </c>
      <c r="DV286" s="306" t="str">
        <f t="shared" si="52"/>
        <v>-</v>
      </c>
      <c r="DW286" s="306" t="str">
        <f t="shared" si="53"/>
        <v>-</v>
      </c>
      <c r="DX286" s="306" t="str">
        <f t="shared" si="54"/>
        <v>-</v>
      </c>
      <c r="DY286" s="306" t="str">
        <f t="shared" si="55"/>
        <v>-</v>
      </c>
      <c r="DZ286" s="306" t="str">
        <f t="shared" si="56"/>
        <v>-</v>
      </c>
      <c r="EA286" s="367" t="str">
        <f t="shared" si="57"/>
        <v>-</v>
      </c>
      <c r="EB286" s="310" t="str">
        <f>IFERROR(__xludf.DUMMYFUNCTION("IF(REGEXMATCH(AW286,AS286),""✔"",""-"")"),"-")</f>
        <v>-</v>
      </c>
      <c r="EC286" s="310" t="str">
        <f t="shared" si="58"/>
        <v>#REF!</v>
      </c>
      <c r="ED286" s="370" t="str">
        <f t="shared" si="59"/>
        <v>-</v>
      </c>
      <c r="EE286" s="340" t="str">
        <f t="shared" si="60"/>
        <v>S-r-G-M-P-D-n-S</v>
      </c>
      <c r="EF286" s="371" t="str">
        <f>IFERROR(__xludf.DUMMYFUNCTION("CONCATENATE(JOIN("""",HC286:HO286))"),"SRgmMdNS")</f>
        <v>SRgmMdNS</v>
      </c>
      <c r="EG286" s="372">
        <f t="shared" si="61"/>
        <v>4</v>
      </c>
      <c r="EH286" s="373" t="str">
        <f>IFERROR(__xludf.DUMMYFUNCTION("CONCATENATE(JOIN("""",JC286:JO286))"),"re, Ga, Pa, ni, ")</f>
        <v>re, Ga, Pa, ni, </v>
      </c>
      <c r="EI286" s="322">
        <f t="shared" si="62"/>
        <v>1</v>
      </c>
      <c r="EJ286" s="374" t="str">
        <f>IFERROR(__xludf.DUMMYFUNCTION("CONCATENATE(JOIN("""",KC286:KO286))"),"ni, ")</f>
        <v>ni, </v>
      </c>
      <c r="EK286" s="325" t="str">
        <f t="shared" si="63"/>
        <v>S-R1-G3-M2-P-D2-N2-S</v>
      </c>
      <c r="EL286" s="326" t="str">
        <f t="shared" si="64"/>
        <v>1-b2-3-#4-5-6-b7-8</v>
      </c>
      <c r="EM286" s="318" t="str">
        <f t="shared" si="65"/>
        <v>#REF!</v>
      </c>
      <c r="EN286" s="328" t="str">
        <f>IFERROR(__xludf.DUMMYFUNCTION("SUBSTITUTE(SUBSTITUTE(SUBSTITUTE(SUBSTITUTE(CONCATENATE(JOIN("" "",HP286:IB286)),""  "","" ""),""  "","" ""),""  "","" ""),""  "","" "")"),"o o • • o • o o • o o • o")</f>
        <v>o o • • o • o o • o o • o</v>
      </c>
      <c r="EO286" s="368" t="str">
        <f t="shared" si="66"/>
        <v>Sa-Pa</v>
      </c>
      <c r="EP286" s="339" t="str">
        <f t="shared" si="67"/>
        <v>Sa-Pa</v>
      </c>
      <c r="EQ286" s="339" t="str">
        <f t="shared" si="68"/>
        <v>Sa-Pa</v>
      </c>
      <c r="ER286" s="339" t="str">
        <f t="shared" si="69"/>
        <v>-</v>
      </c>
      <c r="ES286" s="340" t="str">
        <f t="shared" si="70"/>
        <v>-</v>
      </c>
      <c r="ET286" s="363"/>
      <c r="EU286" s="376" t="b">
        <f>IFERROR(__xludf.DUMMYFUNCTION("arrayformula(sum(--REGEXMATCH(""SRGMPDNS"",split(REGEXREPLACE(C286,""(.)"",""$1~""),""~""))))=len(C286)
"),FALSE)</f>
        <v>0</v>
      </c>
      <c r="EV286" s="290" t="b">
        <f>IFERROR(__xludf.DUMMYFUNCTION("arrayformula(sum(--REGEXMATCH(""SRGmPDNS"",split(REGEXREPLACE(C286,""(.)"",""$1~""),""~""))))=len(C286)"),FALSE)</f>
        <v>0</v>
      </c>
      <c r="EW286" s="290" t="b">
        <f>IFERROR(__xludf.DUMMYFUNCTION("arrayformula(sum(--REGEXMATCH(""SRGmPDnS"",split(REGEXREPLACE(C286,""(.)"",""$1~""),""~""))))=len(C286)"),FALSE)</f>
        <v>0</v>
      </c>
      <c r="EX286" s="290" t="b">
        <f>IFERROR(__xludf.DUMMYFUNCTION("arrayformula(sum(--REGEXMATCH(""SRgmPDnS"",split(REGEXREPLACE(C286,""(.)"",""$1~""),""~""))))=len(C286)"),FALSE)</f>
        <v>0</v>
      </c>
      <c r="EY286" s="290" t="b">
        <f>IFERROR(__xludf.DUMMYFUNCTION("arrayformula(sum(--REGEXMATCH(""SRgmPdnS"",split(REGEXREPLACE(C286,""(.)"",""$1~""),""~""))))=len(C286)"),FALSE)</f>
        <v>0</v>
      </c>
      <c r="EZ286" s="290" t="b">
        <f>IFERROR(__xludf.DUMMYFUNCTION("arrayformula(sum(--REGEXMATCH(""SrgmPdnS"",split(REGEXREPLACE(C286,""(.)"",""$1~""),""~""))))=len(C286)"),FALSE)</f>
        <v>0</v>
      </c>
      <c r="FA286" s="290" t="b">
        <f>IFERROR(__xludf.DUMMYFUNCTION("arrayformula(sum(--REGEXMATCH(""SrGmPdNS"",split(REGEXREPLACE(C286,""(.)"",""$1~""),""~""))))=len(C286)"),FALSE)</f>
        <v>0</v>
      </c>
      <c r="FB286" s="290" t="b">
        <f>IFERROR(__xludf.DUMMYFUNCTION("arrayformula(sum(--REGEXMATCH(""SrGMPDNS"",split(REGEXREPLACE(C286,""(.)"",""$1~""),""~""))))=len(C286)"),FALSE)</f>
        <v>0</v>
      </c>
      <c r="FC286" s="290" t="b">
        <f>IFERROR(__xludf.DUMMYFUNCTION("arrayformula(sum(--REGEXMATCH(""SrGMPdNS"",split(REGEXREPLACE(C286,""(.)"",""$1~""),""~""))))=len(C286)"),FALSE)</f>
        <v>0</v>
      </c>
      <c r="FD286" s="377" t="b">
        <f>IFERROR(__xludf.DUMMYFUNCTION("arrayformula(sum(--REGEXMATCH(""SrgMPdNS"",split(REGEXREPLACE(C286,""(.)"",""$1~""),""~""))))=len(C286)"),FALSE)</f>
        <v>0</v>
      </c>
      <c r="FE286" s="269" t="str">
        <f t="shared" si="71"/>
        <v>xooxoxxoxxo</v>
      </c>
      <c r="FF286" s="269" t="str">
        <f t="shared" si="72"/>
        <v>-</v>
      </c>
      <c r="FG286" s="271" t="str">
        <f t="shared" si="73"/>
        <v>-</v>
      </c>
      <c r="FH286" s="269" t="str">
        <f t="shared" si="74"/>
        <v>xoxxoxxoxxo</v>
      </c>
      <c r="FI286" s="271" t="str">
        <f t="shared" si="75"/>
        <v>-</v>
      </c>
      <c r="FJ286" s="271" t="str">
        <f t="shared" si="76"/>
        <v>xxoxxoxxoox</v>
      </c>
      <c r="FK286" s="271" t="str">
        <f t="shared" si="77"/>
        <v>xoxxoxxooxo</v>
      </c>
      <c r="FL286" s="271" t="str">
        <f t="shared" si="78"/>
        <v>-</v>
      </c>
      <c r="FM286" s="271" t="str">
        <f t="shared" si="79"/>
        <v>xxoxxooxoxx</v>
      </c>
      <c r="FN286" s="271" t="str">
        <f t="shared" si="80"/>
        <v>xoxxooxoxxo</v>
      </c>
      <c r="FO286" s="274" t="str">
        <f t="shared" si="81"/>
        <v>-</v>
      </c>
      <c r="FP286" s="234" t="str">
        <f t="shared" si="82"/>
        <v>|</v>
      </c>
      <c r="FQ286" s="236" t="str">
        <f t="shared" si="83"/>
        <v>|</v>
      </c>
      <c r="FR286" s="237" t="str">
        <f t="shared" si="84"/>
        <v>-</v>
      </c>
      <c r="FS286" s="236" t="str">
        <f t="shared" si="85"/>
        <v>-</v>
      </c>
      <c r="FT286" s="237" t="str">
        <f t="shared" si="86"/>
        <v>|</v>
      </c>
      <c r="FU286" s="236" t="str">
        <f t="shared" si="87"/>
        <v>-</v>
      </c>
      <c r="FV286" s="237" t="str">
        <f t="shared" si="88"/>
        <v>|</v>
      </c>
      <c r="FW286" s="236" t="str">
        <f t="shared" si="89"/>
        <v>|</v>
      </c>
      <c r="FX286" s="237" t="str">
        <f t="shared" si="90"/>
        <v>-</v>
      </c>
      <c r="FY286" s="236" t="str">
        <f t="shared" si="91"/>
        <v>|</v>
      </c>
      <c r="FZ286" s="237" t="str">
        <f t="shared" si="92"/>
        <v>|</v>
      </c>
      <c r="GA286" s="236" t="str">
        <f t="shared" si="93"/>
        <v>-</v>
      </c>
      <c r="GB286" s="238" t="str">
        <f t="shared" si="94"/>
        <v>|</v>
      </c>
      <c r="GC286" s="244" t="str">
        <f>IFERROR(__xludf.DUMMYFUNCTION("IF(REGEXMATCH(C286, ""S""), ""1"","""")"),"1")</f>
        <v>1</v>
      </c>
      <c r="GD286" s="245" t="str">
        <f>IFERROR(__xludf.DUMMYFUNCTION("IF(REGEXMATCH(C286, ""r""), ""b2"","""")"),"b2")</f>
        <v>b2</v>
      </c>
      <c r="GE286" s="246" t="str">
        <f>IFERROR(__xludf.DUMMYFUNCTION("IF(REGEXMATCH(C286, ""R""), ""2"","""")"),"")</f>
        <v/>
      </c>
      <c r="GF286" s="246" t="str">
        <f>IFERROR(__xludf.DUMMYFUNCTION("IF(REGEXMATCH(C286, ""g""), ""b3"","""")"),"")</f>
        <v/>
      </c>
      <c r="GG286" s="245" t="str">
        <f>IFERROR(__xludf.DUMMYFUNCTION("IF(REGEXMATCH(C286, ""G""), ""3"","""")"),"3")</f>
        <v>3</v>
      </c>
      <c r="GH286" s="245" t="str">
        <f>IFERROR(__xludf.DUMMYFUNCTION("IF(REGEXMATCH(C286, ""m""), ""4"","""")"),"")</f>
        <v/>
      </c>
      <c r="GI286" s="246" t="str">
        <f>IFERROR(__xludf.DUMMYFUNCTION("IF(REGEXMATCH(C286, ""M""), ""#4"","""")"),"#4")</f>
        <v>#4</v>
      </c>
      <c r="GJ286" s="245" t="str">
        <f>IFERROR(__xludf.DUMMYFUNCTION("IF(REGEXMATCH(C286, ""P""), ""5"","""")"),"5")</f>
        <v>5</v>
      </c>
      <c r="GK286" s="246" t="str">
        <f>IFERROR(__xludf.DUMMYFUNCTION("IF(REGEXMATCH(C286, ""d""), ""b6"","""")"),"")</f>
        <v/>
      </c>
      <c r="GL286" s="245" t="str">
        <f>IFERROR(__xludf.DUMMYFUNCTION("IF(REGEXMATCH(C286, ""D""), ""6"","""")"),"6")</f>
        <v>6</v>
      </c>
      <c r="GM286" s="245" t="str">
        <f>IFERROR(__xludf.DUMMYFUNCTION("IF(REGEXMATCH(C286, ""n""), ""b7"","""")"),"b7")</f>
        <v>b7</v>
      </c>
      <c r="GN286" s="246" t="str">
        <f>IFERROR(__xludf.DUMMYFUNCTION("IF(REGEXMATCH(C286, ""N""), ""7"","""")"),"")</f>
        <v/>
      </c>
      <c r="GO286" s="249" t="str">
        <f>IFERROR(__xludf.DUMMYFUNCTION("IF(REGEXMATCH(C286, ""S""), ""8"","""")"),"8")</f>
        <v>8</v>
      </c>
      <c r="GP286" s="244" t="str">
        <f>IFERROR(__xludf.DUMMYFUNCTION("IF(REGEXMATCH(C286, ""S""), ""S"","""")"),"S")</f>
        <v>S</v>
      </c>
      <c r="GQ286" s="294" t="str">
        <f>IFERROR(__xludf.DUMMYFUNCTION("IF(REGEXMATCH(C286, ""r""), ""R1"","""")"),"R1")</f>
        <v>R1</v>
      </c>
      <c r="GR286" s="295" t="str">
        <f>IFERROR(__xludf.DUMMYFUNCTION("IF(REGEXMATCH(C286, ""R""), ""R2"","""")"),"")</f>
        <v/>
      </c>
      <c r="GS286" s="295" t="str">
        <f>IFERROR(__xludf.DUMMYFUNCTION("IF(REGEXMATCH(C286, ""g""), ""G2"","""")"),"")</f>
        <v/>
      </c>
      <c r="GT286" s="294" t="str">
        <f>IFERROR(__xludf.DUMMYFUNCTION("IF(REGEXMATCH(C286, ""G""), ""G3"","""")"),"G3")</f>
        <v>G3</v>
      </c>
      <c r="GU286" s="294" t="str">
        <f>IFERROR(__xludf.DUMMYFUNCTION("IF(REGEXMATCH(C286, ""m""), ""M1"","""")"),"")</f>
        <v/>
      </c>
      <c r="GV286" s="295" t="str">
        <f>IFERROR(__xludf.DUMMYFUNCTION("IF(REGEXMATCH(C286, ""M""), ""M2"","""")"),"M2")</f>
        <v>M2</v>
      </c>
      <c r="GW286" s="294" t="str">
        <f>IFERROR(__xludf.DUMMYFUNCTION("IF(REGEXMATCH(C286, ""P""), ""P"","""")"),"P")</f>
        <v>P</v>
      </c>
      <c r="GX286" s="295" t="str">
        <f>IFERROR(__xludf.DUMMYFUNCTION("IF(REGEXMATCH(C286, ""d""), ""D1"","""")"),"")</f>
        <v/>
      </c>
      <c r="GY286" s="294" t="str">
        <f>IFERROR(__xludf.DUMMYFUNCTION("IF(REGEXMATCH(C286, ""D""), ""D2"","""")"),"D2")</f>
        <v>D2</v>
      </c>
      <c r="GZ286" s="294" t="str">
        <f>IFERROR(__xludf.DUMMYFUNCTION("IF(REGEXMATCH(C286, ""n""), ""N2"","""")"),"N2")</f>
        <v>N2</v>
      </c>
      <c r="HA286" s="295" t="str">
        <f>IFERROR(__xludf.DUMMYFUNCTION("IF(REGEXMATCH(C286, ""N""), ""N3"","""")"),"")</f>
        <v/>
      </c>
      <c r="HB286" s="249" t="str">
        <f>IFERROR(__xludf.DUMMYFUNCTION("IF(REGEXMATCH(C286, ""S""), ""S"","""")"),"S")</f>
        <v>S</v>
      </c>
      <c r="HC286" s="331" t="str">
        <f t="shared" si="95"/>
        <v>S</v>
      </c>
      <c r="HD286" s="332" t="str">
        <f t="shared" si="96"/>
        <v/>
      </c>
      <c r="HE286" s="332" t="str">
        <f t="shared" si="97"/>
        <v>R</v>
      </c>
      <c r="HF286" s="332" t="str">
        <f t="shared" si="98"/>
        <v>g</v>
      </c>
      <c r="HG286" s="332" t="str">
        <f t="shared" si="99"/>
        <v/>
      </c>
      <c r="HH286" s="332" t="str">
        <f t="shared" si="100"/>
        <v>m</v>
      </c>
      <c r="HI286" s="332" t="str">
        <f t="shared" si="101"/>
        <v>M</v>
      </c>
      <c r="HJ286" s="332" t="str">
        <f t="shared" si="102"/>
        <v/>
      </c>
      <c r="HK286" s="332" t="str">
        <f t="shared" si="103"/>
        <v>d</v>
      </c>
      <c r="HL286" s="332" t="str">
        <f t="shared" si="104"/>
        <v/>
      </c>
      <c r="HM286" s="332" t="str">
        <f t="shared" si="105"/>
        <v/>
      </c>
      <c r="HN286" s="332" t="str">
        <f t="shared" si="106"/>
        <v>N</v>
      </c>
      <c r="HO286" s="343" t="str">
        <f t="shared" si="107"/>
        <v>S</v>
      </c>
      <c r="HP286" s="331" t="str">
        <f t="shared" si="108"/>
        <v>o</v>
      </c>
      <c r="HQ286" s="332" t="str">
        <f t="shared" si="109"/>
        <v>o</v>
      </c>
      <c r="HR286" s="332" t="str">
        <f t="shared" si="110"/>
        <v>•</v>
      </c>
      <c r="HS286" s="332" t="str">
        <f t="shared" si="111"/>
        <v>•</v>
      </c>
      <c r="HT286" s="332" t="str">
        <f t="shared" si="112"/>
        <v>o</v>
      </c>
      <c r="HU286" s="332" t="str">
        <f t="shared" si="113"/>
        <v>•</v>
      </c>
      <c r="HV286" s="332" t="str">
        <f t="shared" si="114"/>
        <v>o</v>
      </c>
      <c r="HW286" s="332" t="str">
        <f t="shared" si="115"/>
        <v>o</v>
      </c>
      <c r="HX286" s="332" t="str">
        <f t="shared" si="116"/>
        <v>•</v>
      </c>
      <c r="HY286" s="332" t="str">
        <f t="shared" si="117"/>
        <v>o</v>
      </c>
      <c r="HZ286" s="332" t="str">
        <f t="shared" si="118"/>
        <v>o</v>
      </c>
      <c r="IA286" s="332" t="str">
        <f t="shared" si="119"/>
        <v>•</v>
      </c>
      <c r="IB286" s="338" t="str">
        <f t="shared" si="120"/>
        <v>o</v>
      </c>
      <c r="IC286" s="331" t="str">
        <f t="shared" si="121"/>
        <v>•</v>
      </c>
      <c r="ID286" s="332" t="str">
        <f t="shared" si="122"/>
        <v>•</v>
      </c>
      <c r="IE286" s="332" t="str">
        <f t="shared" si="123"/>
        <v>o</v>
      </c>
      <c r="IF286" s="332" t="str">
        <f t="shared" si="124"/>
        <v>o</v>
      </c>
      <c r="IG286" s="332" t="str">
        <f t="shared" si="125"/>
        <v>•</v>
      </c>
      <c r="IH286" s="332" t="str">
        <f t="shared" si="126"/>
        <v>o</v>
      </c>
      <c r="II286" s="332" t="str">
        <f t="shared" si="127"/>
        <v>•</v>
      </c>
      <c r="IJ286" s="332" t="str">
        <f t="shared" si="128"/>
        <v>•</v>
      </c>
      <c r="IK286" s="332" t="str">
        <f t="shared" si="129"/>
        <v>o</v>
      </c>
      <c r="IL286" s="332" t="str">
        <f t="shared" si="130"/>
        <v>•</v>
      </c>
      <c r="IM286" s="332" t="str">
        <f t="shared" si="131"/>
        <v>•</v>
      </c>
      <c r="IN286" s="332" t="str">
        <f t="shared" si="132"/>
        <v>o</v>
      </c>
      <c r="IO286" s="338" t="str">
        <f t="shared" si="133"/>
        <v>•</v>
      </c>
      <c r="IP286" s="346" t="b">
        <f t="shared" si="134"/>
        <v>0</v>
      </c>
      <c r="IQ286" s="347" t="b">
        <f t="shared" si="135"/>
        <v>1</v>
      </c>
      <c r="IR286" s="347" t="b">
        <f t="shared" si="136"/>
        <v>0</v>
      </c>
      <c r="IS286" s="347" t="b">
        <f t="shared" si="137"/>
        <v>0</v>
      </c>
      <c r="IT286" s="347" t="b">
        <f t="shared" si="138"/>
        <v>1</v>
      </c>
      <c r="IU286" s="347" t="b">
        <f t="shared" si="139"/>
        <v>0</v>
      </c>
      <c r="IV286" s="347" t="b">
        <f t="shared" si="140"/>
        <v>0</v>
      </c>
      <c r="IW286" s="347" t="b">
        <f t="shared" si="141"/>
        <v>1</v>
      </c>
      <c r="IX286" s="347" t="b">
        <f t="shared" si="142"/>
        <v>0</v>
      </c>
      <c r="IY286" s="347" t="b">
        <f t="shared" si="143"/>
        <v>0</v>
      </c>
      <c r="IZ286" s="347" t="b">
        <f t="shared" si="144"/>
        <v>1</v>
      </c>
      <c r="JA286" s="347" t="b">
        <f t="shared" si="145"/>
        <v>0</v>
      </c>
      <c r="JB286" s="353" t="b">
        <f t="shared" si="146"/>
        <v>0</v>
      </c>
      <c r="JC286" s="354" t="str">
        <f t="shared" si="147"/>
        <v/>
      </c>
      <c r="JD286" s="355" t="str">
        <f t="shared" si="148"/>
        <v>re, </v>
      </c>
      <c r="JE286" s="355" t="str">
        <f t="shared" si="149"/>
        <v/>
      </c>
      <c r="JF286" s="355" t="str">
        <f t="shared" si="150"/>
        <v/>
      </c>
      <c r="JG286" s="355" t="str">
        <f t="shared" si="151"/>
        <v>Ga, </v>
      </c>
      <c r="JH286" s="355" t="str">
        <f t="shared" si="152"/>
        <v/>
      </c>
      <c r="JI286" s="355" t="str">
        <f t="shared" si="153"/>
        <v/>
      </c>
      <c r="JJ286" s="355" t="str">
        <f t="shared" si="154"/>
        <v>Pa, </v>
      </c>
      <c r="JK286" s="355" t="str">
        <f t="shared" si="155"/>
        <v/>
      </c>
      <c r="JL286" s="355" t="str">
        <f t="shared" si="156"/>
        <v/>
      </c>
      <c r="JM286" s="355" t="str">
        <f t="shared" si="157"/>
        <v>ni, </v>
      </c>
      <c r="JN286" s="355" t="str">
        <f t="shared" si="158"/>
        <v/>
      </c>
      <c r="JO286" s="359" t="str">
        <f t="shared" si="159"/>
        <v/>
      </c>
      <c r="JP286" s="346" t="b">
        <f t="shared" si="160"/>
        <v>0</v>
      </c>
      <c r="JQ286" s="347" t="b">
        <f t="shared" si="161"/>
        <v>0</v>
      </c>
      <c r="JR286" s="347" t="b">
        <f t="shared" si="162"/>
        <v>0</v>
      </c>
      <c r="JS286" s="347" t="b">
        <f t="shared" si="163"/>
        <v>0</v>
      </c>
      <c r="JT286" s="347" t="b">
        <f t="shared" si="164"/>
        <v>0</v>
      </c>
      <c r="JU286" s="347" t="b">
        <f t="shared" si="165"/>
        <v>0</v>
      </c>
      <c r="JV286" s="347" t="b">
        <f t="shared" si="166"/>
        <v>0</v>
      </c>
      <c r="JW286" s="347" t="b">
        <f t="shared" si="167"/>
        <v>0</v>
      </c>
      <c r="JX286" s="347" t="b">
        <f t="shared" si="168"/>
        <v>0</v>
      </c>
      <c r="JY286" s="347" t="b">
        <f t="shared" si="169"/>
        <v>0</v>
      </c>
      <c r="JZ286" s="347" t="b">
        <f t="shared" si="170"/>
        <v>1</v>
      </c>
      <c r="KA286" s="347" t="b">
        <f t="shared" si="171"/>
        <v>0</v>
      </c>
      <c r="KB286" s="365" t="b">
        <f t="shared" si="172"/>
        <v>0</v>
      </c>
      <c r="KC286" s="354" t="str">
        <f t="shared" si="173"/>
        <v/>
      </c>
      <c r="KD286" s="355" t="str">
        <f t="shared" si="174"/>
        <v/>
      </c>
      <c r="KE286" s="355" t="str">
        <f t="shared" si="175"/>
        <v/>
      </c>
      <c r="KF286" s="355" t="str">
        <f t="shared" si="176"/>
        <v/>
      </c>
      <c r="KG286" s="355" t="str">
        <f t="shared" si="177"/>
        <v/>
      </c>
      <c r="KH286" s="355" t="str">
        <f t="shared" si="178"/>
        <v/>
      </c>
      <c r="KI286" s="355" t="str">
        <f t="shared" si="179"/>
        <v/>
      </c>
      <c r="KJ286" s="355" t="str">
        <f t="shared" si="180"/>
        <v/>
      </c>
      <c r="KK286" s="355" t="str">
        <f t="shared" si="181"/>
        <v/>
      </c>
      <c r="KL286" s="355" t="str">
        <f t="shared" si="182"/>
        <v/>
      </c>
      <c r="KM286" s="355" t="str">
        <f t="shared" si="183"/>
        <v>ni, </v>
      </c>
      <c r="KN286" s="355" t="str">
        <f t="shared" si="184"/>
        <v/>
      </c>
      <c r="KO286" s="359"/>
      <c r="KP286" s="378"/>
      <c r="KQ286" s="379" t="s">
        <v>9</v>
      </c>
      <c r="KR286" s="380" t="s">
        <v>1472</v>
      </c>
      <c r="KS286" s="381" t="s">
        <v>9</v>
      </c>
      <c r="KT286" s="382">
        <f t="shared" si="186"/>
        <v>0</v>
      </c>
      <c r="KU286" s="383">
        <f t="shared" si="187"/>
        <v>0</v>
      </c>
      <c r="KV286" s="381" t="str">
        <f t="shared" si="205"/>
        <v>S-n-D-P-M-G-r-S</v>
      </c>
      <c r="KW286" s="382">
        <f t="shared" si="189"/>
        <v>7</v>
      </c>
      <c r="KX286" s="384">
        <f t="shared" si="190"/>
        <v>7</v>
      </c>
      <c r="KY286" s="382">
        <f t="shared" ref="KY286:KZ286" si="798">KW286-KT286</f>
        <v>7</v>
      </c>
      <c r="KZ286" s="369">
        <f t="shared" si="798"/>
        <v>7</v>
      </c>
      <c r="LA286" s="385" t="str">
        <f t="shared" si="192"/>
        <v>-</v>
      </c>
      <c r="LB286" s="340" t="str">
        <f>IFERROR(__xludf.DUMMYFUNCTION("JOIN("""",ArrayFormula(MID(KS286,LEN(KS286)-SEQUENCE(1,LEN(KS286))+1,1)))"),"S")</f>
        <v>S</v>
      </c>
      <c r="LC286" s="373" t="str">
        <f>IFERROR(__xludf.DUMMYFUNCTION("JOIN("""",ArrayFormula(MID(KV286,LEN(KV286)-SEQUENCE(1,LEN(KV286))+1,1)))"),"S-r-G-M-P-D-n-S")</f>
        <v>S-r-G-M-P-D-n-S</v>
      </c>
      <c r="LD286" s="373" t="str">
        <f t="shared" si="193"/>
        <v>S</v>
      </c>
      <c r="LE286" s="339" t="str">
        <f t="shared" si="194"/>
        <v>SrGMPDnS</v>
      </c>
      <c r="LF286" s="386" t="str">
        <f>IFERROR(__xludf.DUMMYFUNCTION("SUBSTITUTE(SUBSTITUTE(CONCATENATE(JOIN("""",LH286:LT286)),""1"",""""),""2"","""")"),"SrGMPDnS")</f>
        <v>SrGMPDnS</v>
      </c>
      <c r="LG286" s="369" t="str">
        <f t="shared" si="195"/>
        <v>✔</v>
      </c>
      <c r="LH286" s="387" t="str">
        <f>IFERROR(__xludf.DUMMYFUNCTION("IF(REGEXMATCH(LD286, ""S""), ""S"",IF(REGEXMATCH(LE286, ""S""), ""S"",""""))"),"S")</f>
        <v>S</v>
      </c>
      <c r="LI286" s="299" t="str">
        <f>IFERROR(__xludf.DUMMYFUNCTION("IF(REGEXMATCH(LD286, ""r""), ""r1"",IF(REGEXMATCH(LE286, ""r""), ""r2"",""""))"),"r2")</f>
        <v>r2</v>
      </c>
      <c r="LJ286" s="299" t="str">
        <f>IFERROR(__xludf.DUMMYFUNCTION("IF(REGEXMATCH(LD286, ""R""), ""R1"",IF(REGEXMATCH(LE286, ""R""), ""R2"",""""))"),"")</f>
        <v/>
      </c>
      <c r="LK286" s="299" t="str">
        <f>IFERROR(__xludf.DUMMYFUNCTION("IF(REGEXMATCH(LD286, ""g""), ""g1"",IF(REGEXMATCH(LE286, ""g""), ""g2"",""""))"),"")</f>
        <v/>
      </c>
      <c r="LL286" s="299" t="str">
        <f>IFERROR(__xludf.DUMMYFUNCTION("IF(REGEXMATCH(LD286, ""G""), ""G1"",IF(REGEXMATCH(LE286, ""G""), ""G2"",""""))"),"G2")</f>
        <v>G2</v>
      </c>
      <c r="LM286" s="299" t="str">
        <f>IFERROR(__xludf.DUMMYFUNCTION("IF(REGEXMATCH(LD286, ""m""), ""m1"",IF(REGEXMATCH(LE286, ""m""), ""m2"",""""))"),"")</f>
        <v/>
      </c>
      <c r="LN286" s="299" t="str">
        <f>IFERROR(__xludf.DUMMYFUNCTION("IF(REGEXMATCH(LD286, ""M""), ""M1"",IF(REGEXMATCH(LE286, ""M""), ""M2"",""""))"),"M2")</f>
        <v>M2</v>
      </c>
      <c r="LO286" s="299" t="str">
        <f>IFERROR(__xludf.DUMMYFUNCTION("IF(REGEXMATCH(LD286, ""P""), ""P1"",IF(REGEXMATCH(LE286, ""P""), ""P2"",""""))"),"P2")</f>
        <v>P2</v>
      </c>
      <c r="LP286" s="299" t="str">
        <f>IFERROR(__xludf.DUMMYFUNCTION("IF(REGEXMATCH(LD286, ""d""), ""d1"",IF(REGEXMATCH(LE286, ""d""), ""d2"",""""))"),"")</f>
        <v/>
      </c>
      <c r="LQ286" s="299" t="str">
        <f>IFERROR(__xludf.DUMMYFUNCTION("IF(REGEXMATCH(LD286, ""D""), ""D1"",IF(REGEXMATCH(LE286, ""D""), ""D2"",""""))"),"D2")</f>
        <v>D2</v>
      </c>
      <c r="LR286" s="299" t="str">
        <f>IFERROR(__xludf.DUMMYFUNCTION("IF(REGEXMATCH(LD286, ""n""), ""n1"",IF(REGEXMATCH(LE286, ""n""), ""n2"",""""))"),"n2")</f>
        <v>n2</v>
      </c>
      <c r="LS286" s="299" t="str">
        <f>IFERROR(__xludf.DUMMYFUNCTION("IF(REGEXMATCH(LD286, ""N""), ""N1"",IF(REGEXMATCH(LE286, ""N""), ""N2"",""""))"),"")</f>
        <v/>
      </c>
      <c r="LT286" s="388" t="str">
        <f>IFERROR(__xludf.DUMMYFUNCTION("IF(REGEXMATCH(LD286, ""S""), ""S"",IF(REGEXMATCH(LE286, ""S""), ""S"",""""))"),"S")</f>
        <v>S</v>
      </c>
      <c r="LU286" s="389">
        <f t="shared" si="196"/>
        <v>-13</v>
      </c>
      <c r="LV286" s="378"/>
      <c r="LW286" s="369"/>
      <c r="LX286" s="369"/>
    </row>
    <row r="287" ht="18.0" customHeight="1">
      <c r="A287" s="298" t="s">
        <v>1093</v>
      </c>
      <c r="B287" s="222" t="s">
        <v>533</v>
      </c>
      <c r="C287" s="233" t="str">
        <f t="shared" si="7"/>
        <v>SRmMPDnNS</v>
      </c>
      <c r="D287" s="234" t="str">
        <f>IFERROR(__xludf.DUMMYFUNCTION("IF(REGEXMATCH(C287, ""S""), ""S"","""")"),"S")</f>
        <v>S</v>
      </c>
      <c r="E287" s="236" t="str">
        <f>IFERROR(__xludf.DUMMYFUNCTION("IF(REGEXMATCH(C287, ""r""), ""r"","""")"),"")</f>
        <v/>
      </c>
      <c r="F287" s="237" t="str">
        <f>IFERROR(__xludf.DUMMYFUNCTION("IF(REGEXMATCH(C287, ""R""), ""R"","""")"),"R")</f>
        <v>R</v>
      </c>
      <c r="G287" s="237" t="str">
        <f>IFERROR(__xludf.DUMMYFUNCTION("IF(REGEXMATCH(C287, ""g""), ""g"","""")"),"")</f>
        <v/>
      </c>
      <c r="H287" s="236" t="str">
        <f>IFERROR(__xludf.DUMMYFUNCTION("IF(REGEXMATCH(C287, ""G""), ""G"","""")"),"")</f>
        <v/>
      </c>
      <c r="I287" s="236" t="str">
        <f>IFERROR(__xludf.DUMMYFUNCTION("IF(REGEXMATCH(C287, ""m""), ""m"","""")"),"m")</f>
        <v>m</v>
      </c>
      <c r="J287" s="237" t="str">
        <f>IFERROR(__xludf.DUMMYFUNCTION("IF(REGEXMATCH(C287, ""M""), ""M"","""")"),"M")</f>
        <v>M</v>
      </c>
      <c r="K287" s="236" t="str">
        <f>IFERROR(__xludf.DUMMYFUNCTION("IF(REGEXMATCH(C287, ""P""), ""P"","""")"),"P")</f>
        <v>P</v>
      </c>
      <c r="L287" s="237" t="str">
        <f>IFERROR(__xludf.DUMMYFUNCTION("IF(REGEXMATCH(C287, ""d""), ""d"","""")"),"")</f>
        <v/>
      </c>
      <c r="M287" s="236" t="str">
        <f>IFERROR(__xludf.DUMMYFUNCTION("IF(REGEXMATCH(C287, ""D""), ""D"","""")"),"D")</f>
        <v>D</v>
      </c>
      <c r="N287" s="236" t="str">
        <f>IFERROR(__xludf.DUMMYFUNCTION("IF(REGEXMATCH(C287, ""n""), ""n"","""")"),"n")</f>
        <v>n</v>
      </c>
      <c r="O287" s="237" t="str">
        <f>IFERROR(__xludf.DUMMYFUNCTION("IF(REGEXMATCH(C287, ""N""), ""N"","""")"),"N")</f>
        <v>N</v>
      </c>
      <c r="P287" s="238" t="str">
        <f>IFERROR(__xludf.DUMMYFUNCTION("IF(REGEXMATCH(C287, ""S""), ""S"","""")"),"S")</f>
        <v>S</v>
      </c>
      <c r="Q287" s="239" t="str">
        <f>IFERROR(__xludf.DUMMYFUNCTION("SUBSTITUTE(CONCATENATE(JOIN(""-"",D287:J287)),""-"","""")"),"SRmM")</f>
        <v>SRmM</v>
      </c>
      <c r="R287" s="229" t="str">
        <f>IFERROR(__xludf.DUMMYFUNCTION("SUBSTITUTE(CONCATENATE(JOIN(""-"",K287:P287)),""-"","""")"),"PDnNS")</f>
        <v>PDnNS</v>
      </c>
      <c r="S287" s="282" t="str">
        <f t="shared" si="8"/>
        <v>S-R-M</v>
      </c>
      <c r="T287" s="282" t="str">
        <f t="shared" si="9"/>
        <v>P-D-N-S</v>
      </c>
      <c r="U287" s="237" t="str">
        <f>IFERROR(__xludf.DUMMYFUNCTION("SUBSTITUTE(JOIN(""-"",S287,T287),""--"",""-"")"),"S-R-M-P-D-N-S")</f>
        <v>S-R-M-P-D-N-S</v>
      </c>
      <c r="V287" s="309" t="str">
        <f t="shared" si="10"/>
        <v>RmMDnN</v>
      </c>
      <c r="W287" s="244" t="str">
        <f>IFERROR(__xludf.DUMMYFUNCTION("IF(REGEXMATCH(C287, ""S""), ""0"","""")"),"0")</f>
        <v>0</v>
      </c>
      <c r="X287" s="245" t="str">
        <f>IFERROR(__xludf.DUMMYFUNCTION("IF(REGEXMATCH(C287, ""r""), ""1"","""")"),"")</f>
        <v/>
      </c>
      <c r="Y287" s="246" t="str">
        <f>IFERROR(__xludf.DUMMYFUNCTION("IF(REGEXMATCH(C287, ""R""), ""2"","""")"),"2")</f>
        <v>2</v>
      </c>
      <c r="Z287" s="246" t="str">
        <f>IFERROR(__xludf.DUMMYFUNCTION("IF(REGEXMATCH(C287, ""g""), ""3"","""")"),"")</f>
        <v/>
      </c>
      <c r="AA287" s="245" t="str">
        <f>IFERROR(__xludf.DUMMYFUNCTION("IF(REGEXMATCH(C287, ""G""), ""4"","""")"),"")</f>
        <v/>
      </c>
      <c r="AB287" s="245" t="str">
        <f>IFERROR(__xludf.DUMMYFUNCTION("IF(REGEXMATCH(C287, ""m""), ""5"","""")"),"5")</f>
        <v>5</v>
      </c>
      <c r="AC287" s="246" t="str">
        <f>IFERROR(__xludf.DUMMYFUNCTION("IF(REGEXMATCH(C287, ""M""), ""6"","""")"),"6")</f>
        <v>6</v>
      </c>
      <c r="AD287" s="245" t="str">
        <f>IFERROR(__xludf.DUMMYFUNCTION("IF(REGEXMATCH(C287, ""P""), ""7"","""")"),"7")</f>
        <v>7</v>
      </c>
      <c r="AE287" s="246" t="str">
        <f>IFERROR(__xludf.DUMMYFUNCTION("IF(REGEXMATCH(C287, ""d""), ""8"","""")"),"")</f>
        <v/>
      </c>
      <c r="AF287" s="245" t="str">
        <f>IFERROR(__xludf.DUMMYFUNCTION("IF(REGEXMATCH(C287, ""D""), ""9"","""")"),"9")</f>
        <v>9</v>
      </c>
      <c r="AG287" s="245" t="str">
        <f>IFERROR(__xludf.DUMMYFUNCTION("IF(REGEXMATCH(C287, ""n""), ""10"","""")"),"10")</f>
        <v>10</v>
      </c>
      <c r="AH287" s="246" t="str">
        <f>IFERROR(__xludf.DUMMYFUNCTION("IF(REGEXMATCH(C287, ""N""), ""11"","""")"),"11")</f>
        <v>11</v>
      </c>
      <c r="AI287" s="249" t="str">
        <f>IFERROR(__xludf.DUMMYFUNCTION("IF(REGEXMATCH(C287, ""S""), ""0"","""")"),"0")</f>
        <v>0</v>
      </c>
      <c r="AJ287" s="313" t="str">
        <f t="shared" si="11"/>
        <v>T</v>
      </c>
      <c r="AK287" s="313" t="str">
        <f t="shared" si="12"/>
        <v>-</v>
      </c>
      <c r="AL287" s="313" t="str">
        <f t="shared" si="13"/>
        <v>-</v>
      </c>
      <c r="AM287" s="313" t="str">
        <f t="shared" si="14"/>
        <v>-</v>
      </c>
      <c r="AN287" s="313" t="str">
        <f t="shared" si="15"/>
        <v>-</v>
      </c>
      <c r="AO287" s="314" t="str">
        <f t="shared" si="16"/>
        <v>T</v>
      </c>
      <c r="AP287" s="316">
        <f t="shared" si="17"/>
        <v>2</v>
      </c>
      <c r="AQ287" s="319" t="str">
        <f t="shared" si="18"/>
        <v>-</v>
      </c>
      <c r="AR287" s="320">
        <f t="shared" si="19"/>
        <v>0</v>
      </c>
      <c r="AS287" s="250" t="str">
        <f>IFERROR(__xludf.DUMMYFUNCTION("SUBSTITUTE(SUBSTITUTE(CONCATENATE(JOIN("""",FP287:GA287)),""|"",""x""),""-"",""o"")"),"xoxooxxxoxxx")</f>
        <v>xoxooxxxoxxx</v>
      </c>
      <c r="AT287" s="323" t="str">
        <f>IFERROR(__xludf.DUMMYFUNCTION("JOIN("""",AS287,AS287)"),"xoxooxxxoxxxxoxooxxxoxxx")</f>
        <v>xoxooxxxoxxxxoxooxxxoxxx</v>
      </c>
      <c r="AU287" s="256" t="str">
        <f>IFERROR(__xludf.DUMMYFUNCTION("JOIN("""",ArrayFormula(MID(AS287,LEN(AS287)-SEQUENCE(1,LEN(AS287))+1,1)))"),"xxxoxxxooxox")</f>
        <v>xxxoxxxooxox</v>
      </c>
      <c r="AV287" s="256" t="str">
        <f>IFERROR(__xludf.DUMMYFUNCTION("LEFT(CONCATENATE(""x"",JOIN("""",ArrayFormula(MID(AS287,LEN(AS287)-SEQUENCE(1,LEN(AS287))+1,1)))),12)"),"xxxxoxxxooxo")</f>
        <v>xxxxoxxxooxo</v>
      </c>
      <c r="AW287" s="327" t="str">
        <f>IFERROR(__xludf.DUMMYFUNCTION("JOIN("""",AU287,AU287)"),"xxxoxxxooxoxxxxoxxxooxox")</f>
        <v>xxxoxxxooxoxxxxoxxxooxox</v>
      </c>
      <c r="AX287" s="239" t="str">
        <f>IFERROR(__xludf.DUMMYFUNCTION("IF(REGEXMATCH(AW287,AS287),""✔"",""-"")"),"-")</f>
        <v>-</v>
      </c>
      <c r="AY287" s="330" t="str">
        <f t="shared" si="20"/>
        <v>-</v>
      </c>
      <c r="AZ287" s="260" t="str">
        <f t="shared" si="21"/>
        <v>#REF!</v>
      </c>
      <c r="BA287" s="333" t="str">
        <f t="shared" si="22"/>
        <v>xoxooxx</v>
      </c>
      <c r="BB287" s="334" t="str">
        <f t="shared" si="23"/>
        <v>xoxxxx</v>
      </c>
      <c r="BC287" s="335" t="str">
        <f t="shared" si="236"/>
        <v>-</v>
      </c>
      <c r="BD287" s="336" t="str">
        <f t="shared" si="25"/>
        <v>Rang Malhar: 'xoxooxx' + 'xoxxxx'</v>
      </c>
      <c r="BE287" s="337">
        <f>IFERROR(__xludf.DUMMYFUNCTION("COUNTUNIQUE(FILTER(AT:AT,REGEXMATCH(AT:AT,AS287)))-1"),1.0)</f>
        <v>1</v>
      </c>
      <c r="BF287" s="261" t="str">
        <f>IFERROR(__xludf.DUMMYFUNCTION("IF(BI287=0,""(n/a)"",IF(BJ287=2,""(PAIR)"",IF(REGEXMATCH(AT287,""xoxoxxoxoxox""),""Bilawal"",IF(REGEXMATCH(AT287,""xoxoxooxoxoo""),""Bhupali"",IF(REGEXMATCH(AT287,""xoxoxxoxxoxo""),""Charukeshi"",IF(REGEXMATCH(AT287,""xoxoooxxoxxo""),""Kameshwari"",IF(REG"&amp;"EXMATCH(AT287,""xoxoxooxoxox""),""Shankara"",IF(REGEXMATCH(AT287,""xxooxoxxxoox""),""Basant"",IF(REGEXMATCH(AT287,""xoxoxxxxoxox""),""Bihag"",IF(REGEXMATCH(AT287,""xoxxxxoxoxxx""),""Pilu"",IF(REGEXMATCH(AT287,""xoxxoxoxxoox""),""Kirwani"",IF(REGEXMATCH(AT"&amp;"287,""xoxxoxoxoxxx""),""Mk.Malhar"",IF(REGEXMATCH(AT287,""xxooxxoxxoox""),""Bhairav"",IF(REGEXMATCH(AT287,""xxoxooxxxoox""),""Todi"",IF(REGEXMATCH(AT287,""xxooxoxooxox""),""Marwa"",IF(REGEXMATCH(AT287,""xxoooxoxxooo""),""Gunkali"",IF(REGEXMATCH(AT287,""xo"&amp;"xoxxoxxoox""),""Nat Bhairav"",IF(REGEXMATCH(AT287,""xoxxoooxoxoo""),""Shivranjani"",IF(REGEXMATCH(AT287,""xooxxxoxooxo""),""Jog"",IF(REGEXMATCH(AT287,""xxooxoxoxoox""),""Hemshri"",IF(REGEXMATCH(AT287,""xoooxooxoxxo""),""Kalavati"",IF(REGEXMATCH(AT287,""xx"&amp;"oxoxxoxoox""),""Kedar"",IF(REGEXMATCH(AT287,""xoxxxxoxooxx""),""Gara"",IF(REGEXMATCH(AT287,""xooxoxooxoox""),""Chandrakauns"",IF(REGEXMATCH(AT287,""xoxxxxoxxxox""),""Mand"",IF(REGEXMATCH(AT287,""xoxxxxoxoxox""),""Hanskinkini"",IF(REGEXMATCH(AT287,""xxooxx"&amp;"oxooxo""),""Lilavati"",IF(REGEXMATCH(AT287,""xooxoxoooxox""),""Rajeshwari"",IF(REGEXMATCH(AT287,""xoooxxoxoxxx""),""Khokar"",IF(REGEXMATCH(AT287,""xxooxoxxxxox""),""Maligoura"",""-""))))))))))))))))))))))))))))))"),"Gara")</f>
        <v>Gara</v>
      </c>
      <c r="BG287" s="239" t="str">
        <f t="shared" si="26"/>
        <v>#REF!</v>
      </c>
      <c r="BH287" s="239">
        <f>IFERROR(__xludf.DUMMYFUNCTION("COUNTUNIQUE(FE287:FO287)-1"),7.0)</f>
        <v>7</v>
      </c>
      <c r="BI287" s="239">
        <f>IFERROR(__xludf.DUMMYFUNCTION("COUNTUNIQUE(FILTER(AT:AT,REGEXMATCH(AT:AT,AS287)))-1"),1.0)</f>
        <v>1</v>
      </c>
      <c r="BJ287" s="239">
        <f>IFERROR(__xludf.DUMMYFUNCTION("COUNTA(FILTER(AT:AT,REGEXMATCH(AT:AT,AS287)))"),4.0)</f>
        <v>4</v>
      </c>
      <c r="BK287" s="341">
        <f>IFERROR(__xludf.DUMMYFUNCTION("COUNTA(FILTER(AT:AT,REGEXMATCH(AT:AT,AS287)))-AR287"),4.0)</f>
        <v>4</v>
      </c>
      <c r="BL287" s="276" t="str">
        <f>IFERROR(__xludf.DUMMYFUNCTION("IF(AS287=""oooooooooooo"",""-"",IF(REGEXMATCH(AT287,""xx""), ""Hemi."", ""Anhemi.""))"),"Hemi.")</f>
        <v>Hemi.</v>
      </c>
      <c r="BM287" s="282" t="str">
        <f>IFERROR(__xludf.DUMMYFUNCTION("IF(AS287=""oooooooooooo"",""-"",IF(REGEXMATCH(AT287,""xxx""), ""Cohem."", ""-""))"),"Cohem.")</f>
        <v>Cohem.</v>
      </c>
      <c r="BN287" s="282" t="str">
        <f>IFERROR(__xludf.DUMMYFUNCTION("IF(AS287=""oooooooooooo"",""-"",IF(REGEXMATCH(AT287,""xxxx""), ""Co-Co."", ""-""))"),"Co-Co.")</f>
        <v>Co-Co.</v>
      </c>
      <c r="BO287" s="342" t="str">
        <f>IFERROR(__xludf.DUMMYFUNCTION("IF(AS287=""oooooooooooo"",""-"",IF(REGEXMATCH(AT287,""xxxxx""), ""CCC."", ""-""))"),"-")</f>
        <v>-</v>
      </c>
      <c r="BP287" s="344" t="str">
        <f t="shared" si="27"/>
        <v>-</v>
      </c>
      <c r="BQ287" s="282" t="str">
        <f>IFERROR(__xludf.DUMMYFUNCTION("IF(REGEXMATCH(JOIN(""-"",EU287:FD287),""TRUE""),""✔"",""-"")"),"-")</f>
        <v>-</v>
      </c>
      <c r="BR287" s="225">
        <f t="shared" si="28"/>
        <v>0</v>
      </c>
      <c r="BS287" s="345" t="str">
        <f>IFERROR(__xludf.DUMMYFUNCTION("SUBSTITUTE(SUBSTITUTE(SUBSTITUTE(SUBSTITUTE(CONCATENATE(JOIN(""-"",GC287:GO287)),""--"",""-""),""--"",""-""),""--"",""-""),""--"",""-"")"),"1-2-4-#4-5-6-b7-7-8")</f>
        <v>1-2-4-#4-5-6-b7-7-8</v>
      </c>
      <c r="BT287" s="299" t="str">
        <f>IFERROR(__xludf.DUMMYFUNCTION("SUBSTITUTE(SUBSTITUTE(SUBSTITUTE(SUBSTITUTE(CONCATENATE(JOIN(""-"",GP287:HB287)),""--"",""-""),""--"",""-""),""--"",""-""),""--"",""-"")"),"S-R2-M1-M2-P-D2-N2-N3-S")</f>
        <v>S-R2-M1-M2-P-D2-N2-N3-S</v>
      </c>
      <c r="BU287" s="348" t="str">
        <f t="shared" si="29"/>
        <v>C-D-F-F#-G-A-Bb-B-C</v>
      </c>
      <c r="BV287" s="349" t="str">
        <f t="shared" si="30"/>
        <v>SrgGdS</v>
      </c>
      <c r="BW287" s="350">
        <f t="shared" si="31"/>
        <v>0</v>
      </c>
      <c r="BX287" s="351">
        <f t="shared" si="32"/>
        <v>3</v>
      </c>
      <c r="BY287" s="392"/>
      <c r="BZ287" s="309" t="str">
        <f>IFERROR(__xludf.DUMMYFUNCTION("IF(REGEXMATCH(C287, ""S""), ""x"",""x"")"),"x")</f>
        <v>x</v>
      </c>
      <c r="CA287" s="245" t="str">
        <f>IFERROR(__xludf.DUMMYFUNCTION("IF(REGEXMATCH(C287, ""r""), ""o"",""x"")"),"x")</f>
        <v>x</v>
      </c>
      <c r="CB287" s="246" t="str">
        <f>IFERROR(__xludf.DUMMYFUNCTION("IF(REGEXMATCH(C287, ""R""), ""o"",""x"")"),"o")</f>
        <v>o</v>
      </c>
      <c r="CC287" s="246" t="str">
        <f>IFERROR(__xludf.DUMMYFUNCTION("IF(REGEXMATCH(C287, ""g""), ""o"",""x"")"),"x")</f>
        <v>x</v>
      </c>
      <c r="CD287" s="245" t="str">
        <f>IFERROR(__xludf.DUMMYFUNCTION("IF(REGEXMATCH(C287, ""G""), ""o"",""x"")"),"x")</f>
        <v>x</v>
      </c>
      <c r="CE287" s="245" t="str">
        <f>IFERROR(__xludf.DUMMYFUNCTION("IF(REGEXMATCH(C287, ""m""), ""o"",""x"")"),"o")</f>
        <v>o</v>
      </c>
      <c r="CF287" s="246" t="str">
        <f>IFERROR(__xludf.DUMMYFUNCTION("IF(REGEXMATCH(C287, ""M""), ""o"",""x"")"),"o")</f>
        <v>o</v>
      </c>
      <c r="CG287" s="245" t="str">
        <f>IFERROR(__xludf.DUMMYFUNCTION("IF(REGEXMATCH(C287, ""P""), ""o"",""x"")"),"o")</f>
        <v>o</v>
      </c>
      <c r="CH287" s="246" t="str">
        <f>IFERROR(__xludf.DUMMYFUNCTION("IF(REGEXMATCH(C287, ""d""), ""o"",""x"")"),"x")</f>
        <v>x</v>
      </c>
      <c r="CI287" s="245" t="str">
        <f>IFERROR(__xludf.DUMMYFUNCTION("IF(REGEXMATCH(C287, ""D""), ""o"",""x"")"),"o")</f>
        <v>o</v>
      </c>
      <c r="CJ287" s="245" t="str">
        <f>IFERROR(__xludf.DUMMYFUNCTION("IF(REGEXMATCH(C287, ""n""), ""o"",""x"")"),"o")</f>
        <v>o</v>
      </c>
      <c r="CK287" s="245" t="str">
        <f>IFERROR(__xludf.DUMMYFUNCTION("IF(REGEXMATCH(C287, ""N""), ""o"",""x"")"),"o")</f>
        <v>o</v>
      </c>
      <c r="CL287" s="356" t="str">
        <f>IFERROR(__xludf.DUMMYFUNCTION("IF(REGEXMATCH(C287, ""S""), ""x"",""x"")"),"x")</f>
        <v>x</v>
      </c>
      <c r="CM287" s="357" t="str">
        <f t="shared" si="33"/>
        <v>xxoxxoooxooo</v>
      </c>
      <c r="CN287" s="358">
        <f t="shared" si="34"/>
        <v>0</v>
      </c>
      <c r="CO287" s="246" t="str">
        <f>IFERROR(__xludf.DUMMYFUNCTION("IF(REGEXMATCH($C287, ""S""), ""S"",""S"")"),"S")</f>
        <v>S</v>
      </c>
      <c r="CP287" s="246" t="str">
        <f>IFERROR(__xludf.DUMMYFUNCTION("IF(REGEXMATCH($C287, ""r""), """",""r"")"),"r")</f>
        <v>r</v>
      </c>
      <c r="CQ287" s="246" t="str">
        <f>IFERROR(__xludf.DUMMYFUNCTION("IF(REGEXMATCH($C287, ""R""), """",""R"")"),"")</f>
        <v/>
      </c>
      <c r="CR287" s="246" t="str">
        <f>IFERROR(__xludf.DUMMYFUNCTION("IF(REGEXMATCH($C287, ""g""), """",""g"")"),"g")</f>
        <v>g</v>
      </c>
      <c r="CS287" s="246" t="str">
        <f>IFERROR(__xludf.DUMMYFUNCTION("IF(REGEXMATCH($C287, ""G""), """",""G"")"),"G")</f>
        <v>G</v>
      </c>
      <c r="CT287" s="246" t="str">
        <f>IFERROR(__xludf.DUMMYFUNCTION("IF(REGEXMATCH($C287, ""m""), """",""m"")"),"")</f>
        <v/>
      </c>
      <c r="CU287" s="246" t="str">
        <f>IFERROR(__xludf.DUMMYFUNCTION("IF(REGEXMATCH($C287, ""M""), """",""M"")"),"")</f>
        <v/>
      </c>
      <c r="CV287" s="246" t="str">
        <f>IFERROR(__xludf.DUMMYFUNCTION("IF(REGEXMATCH($C287, ""P""), """",""P"")"),"")</f>
        <v/>
      </c>
      <c r="CW287" s="246" t="str">
        <f>IFERROR(__xludf.DUMMYFUNCTION("IF(REGEXMATCH($C287, ""d""), """",""d"")"),"d")</f>
        <v>d</v>
      </c>
      <c r="CX287" s="246" t="str">
        <f>IFERROR(__xludf.DUMMYFUNCTION("IF(REGEXMATCH($C287, ""D""), """",""D"")"),"")</f>
        <v/>
      </c>
      <c r="CY287" s="246" t="str">
        <f>IFERROR(__xludf.DUMMYFUNCTION("IF(REGEXMATCH($C287, ""n""), """",""n"")"),"")</f>
        <v/>
      </c>
      <c r="CZ287" s="246" t="str">
        <f>IFERROR(__xludf.DUMMYFUNCTION("IF(REGEXMATCH($C287, ""N""), """",""N"")"),"")</f>
        <v/>
      </c>
      <c r="DA287" s="246" t="str">
        <f>IFERROR(__xludf.DUMMYFUNCTION("IF(REGEXMATCH($C287, ""S""), ""S"",""S"")"),"S")</f>
        <v>S</v>
      </c>
      <c r="DB287" s="362" t="str">
        <f>IFERROR(__xludf.DUMMYFUNCTION("JOIN("""",CO287:DA287,"""","""")"),"SrgGdS")</f>
        <v>SrgGdS</v>
      </c>
      <c r="DC287" s="363"/>
      <c r="DD287" s="301" t="str">
        <f t="shared" si="35"/>
        <v>#REF!</v>
      </c>
      <c r="DE287" s="302" t="str">
        <f t="shared" si="36"/>
        <v>#REF!</v>
      </c>
      <c r="DF287" s="301" t="str">
        <f t="shared" ref="DF287:DG287" si="799">SUBSTITUTE(S287,"-","")</f>
        <v>SRM</v>
      </c>
      <c r="DG287" s="301" t="str">
        <f t="shared" si="799"/>
        <v>PDNS</v>
      </c>
      <c r="DH287" s="302" t="str">
        <f t="shared" si="38"/>
        <v>Gara</v>
      </c>
      <c r="DI287" s="301" t="str">
        <f t="shared" si="39"/>
        <v>Hemi.</v>
      </c>
      <c r="DJ287" s="364" t="str">
        <f t="shared" si="40"/>
        <v>Co-Co.</v>
      </c>
      <c r="DK287" s="306" t="str">
        <f t="shared" si="41"/>
        <v>-</v>
      </c>
      <c r="DL287" s="366" t="str">
        <f t="shared" si="42"/>
        <v>-</v>
      </c>
      <c r="DM287" s="308" t="str">
        <f t="shared" si="43"/>
        <v>✔</v>
      </c>
      <c r="DN287" s="306" t="str">
        <f t="shared" si="44"/>
        <v>-</v>
      </c>
      <c r="DO287" s="306" t="str">
        <f t="shared" si="45"/>
        <v>-</v>
      </c>
      <c r="DP287" s="367" t="str">
        <f t="shared" si="46"/>
        <v>-</v>
      </c>
      <c r="DQ287" s="310" t="str">
        <f t="shared" si="47"/>
        <v>-</v>
      </c>
      <c r="DR287" s="310" t="str">
        <f t="shared" si="48"/>
        <v>-</v>
      </c>
      <c r="DS287" s="310" t="str">
        <f t="shared" si="49"/>
        <v>✔</v>
      </c>
      <c r="DT287" s="310" t="str">
        <f t="shared" si="50"/>
        <v>-</v>
      </c>
      <c r="DU287" s="370" t="str">
        <f t="shared" si="51"/>
        <v>✔</v>
      </c>
      <c r="DV287" s="306" t="str">
        <f t="shared" si="52"/>
        <v>-</v>
      </c>
      <c r="DW287" s="306" t="str">
        <f t="shared" si="53"/>
        <v>✔</v>
      </c>
      <c r="DX287" s="306" t="str">
        <f t="shared" si="54"/>
        <v>-</v>
      </c>
      <c r="DY287" s="306" t="str">
        <f t="shared" si="55"/>
        <v>-</v>
      </c>
      <c r="DZ287" s="306" t="str">
        <f t="shared" si="56"/>
        <v>-</v>
      </c>
      <c r="EA287" s="367" t="str">
        <f t="shared" si="57"/>
        <v>-</v>
      </c>
      <c r="EB287" s="310" t="str">
        <f>IFERROR(__xludf.DUMMYFUNCTION("IF(REGEXMATCH(AW287,AS287),""✔"",""-"")"),"-")</f>
        <v>-</v>
      </c>
      <c r="EC287" s="310" t="str">
        <f t="shared" si="58"/>
        <v>#REF!</v>
      </c>
      <c r="ED287" s="370" t="str">
        <f t="shared" si="59"/>
        <v>-</v>
      </c>
      <c r="EE287" s="340" t="str">
        <f t="shared" si="60"/>
        <v>S-R-mM-P-D-nN-S</v>
      </c>
      <c r="EF287" s="371" t="str">
        <f>IFERROR(__xludf.DUMMYFUNCTION("CONCATENATE(JOIN("""",HC287:HO287))"),"SrRgmMPnS")</f>
        <v>SrRgmMPnS</v>
      </c>
      <c r="EG287" s="372">
        <f t="shared" si="61"/>
        <v>2</v>
      </c>
      <c r="EH287" s="373" t="str">
        <f>IFERROR(__xludf.DUMMYFUNCTION("CONCATENATE(JOIN("""",JC287:JO287))"),"Ma, Dha, ")</f>
        <v>Ma, Dha, </v>
      </c>
      <c r="EI287" s="322">
        <f t="shared" si="62"/>
        <v>0</v>
      </c>
      <c r="EJ287" s="374" t="str">
        <f>IFERROR(__xludf.DUMMYFUNCTION("CONCATENATE(JOIN("""",KC287:KO287))"),"")</f>
        <v/>
      </c>
      <c r="EK287" s="325" t="str">
        <f t="shared" si="63"/>
        <v>S-R2-M1-M2-P-D2-N2-N3-S</v>
      </c>
      <c r="EL287" s="326" t="str">
        <f t="shared" si="64"/>
        <v>1-2-4-#4-5-6-b7-7-8</v>
      </c>
      <c r="EM287" s="318" t="str">
        <f t="shared" si="65"/>
        <v>#REF!</v>
      </c>
      <c r="EN287" s="328" t="str">
        <f>IFERROR(__xludf.DUMMYFUNCTION("SUBSTITUTE(SUBSTITUTE(SUBSTITUTE(SUBSTITUTE(CONCATENATE(JOIN("" "",HP287:IB287)),""  "","" ""),""  "","" ""),""  "","" ""),""  "","" "")"),"o • o • • o o o • o o o o")</f>
        <v>o • o • • o o o • o o o o</v>
      </c>
      <c r="EO287" s="368" t="str">
        <f t="shared" si="66"/>
        <v>-</v>
      </c>
      <c r="EP287" s="339" t="str">
        <f t="shared" si="67"/>
        <v>-</v>
      </c>
      <c r="EQ287" s="339" t="str">
        <f t="shared" si="68"/>
        <v>Sa-Pa</v>
      </c>
      <c r="ER287" s="339" t="str">
        <f t="shared" si="69"/>
        <v>-</v>
      </c>
      <c r="ES287" s="340" t="str">
        <f t="shared" si="70"/>
        <v>-</v>
      </c>
      <c r="ET287" s="363"/>
      <c r="EU287" s="376" t="b">
        <f>IFERROR(__xludf.DUMMYFUNCTION("arrayformula(sum(--REGEXMATCH(""SRGMPDNS"",split(REGEXREPLACE(C287,""(.)"",""$1~""),""~""))))=len(C287)
"),FALSE)</f>
        <v>0</v>
      </c>
      <c r="EV287" s="290" t="b">
        <f>IFERROR(__xludf.DUMMYFUNCTION("arrayformula(sum(--REGEXMATCH(""SRGmPDNS"",split(REGEXREPLACE(C287,""(.)"",""$1~""),""~""))))=len(C287)"),FALSE)</f>
        <v>0</v>
      </c>
      <c r="EW287" s="290" t="b">
        <f>IFERROR(__xludf.DUMMYFUNCTION("arrayformula(sum(--REGEXMATCH(""SRGmPDnS"",split(REGEXREPLACE(C287,""(.)"",""$1~""),""~""))))=len(C287)"),FALSE)</f>
        <v>0</v>
      </c>
      <c r="EX287" s="290" t="b">
        <f>IFERROR(__xludf.DUMMYFUNCTION("arrayformula(sum(--REGEXMATCH(""SRgmPDnS"",split(REGEXREPLACE(C287,""(.)"",""$1~""),""~""))))=len(C287)"),FALSE)</f>
        <v>0</v>
      </c>
      <c r="EY287" s="290" t="b">
        <f>IFERROR(__xludf.DUMMYFUNCTION("arrayformula(sum(--REGEXMATCH(""SRgmPdnS"",split(REGEXREPLACE(C287,""(.)"",""$1~""),""~""))))=len(C287)"),FALSE)</f>
        <v>0</v>
      </c>
      <c r="EZ287" s="290" t="b">
        <f>IFERROR(__xludf.DUMMYFUNCTION("arrayformula(sum(--REGEXMATCH(""SrgmPdnS"",split(REGEXREPLACE(C287,""(.)"",""$1~""),""~""))))=len(C287)"),FALSE)</f>
        <v>0</v>
      </c>
      <c r="FA287" s="290" t="b">
        <f>IFERROR(__xludf.DUMMYFUNCTION("arrayformula(sum(--REGEXMATCH(""SrGmPdNS"",split(REGEXREPLACE(C287,""(.)"",""$1~""),""~""))))=len(C287)"),FALSE)</f>
        <v>0</v>
      </c>
      <c r="FB287" s="290" t="b">
        <f>IFERROR(__xludf.DUMMYFUNCTION("arrayformula(sum(--REGEXMATCH(""SrGMPDNS"",split(REGEXREPLACE(C287,""(.)"",""$1~""),""~""))))=len(C287)"),FALSE)</f>
        <v>0</v>
      </c>
      <c r="FC287" s="290" t="b">
        <f>IFERROR(__xludf.DUMMYFUNCTION("arrayformula(sum(--REGEXMATCH(""SrGMPdNS"",split(REGEXREPLACE(C287,""(.)"",""$1~""),""~""))))=len(C287)"),FALSE)</f>
        <v>0</v>
      </c>
      <c r="FD287" s="377" t="b">
        <f>IFERROR(__xludf.DUMMYFUNCTION("arrayformula(sum(--REGEXMATCH(""SrgMPdNS"",split(REGEXREPLACE(C287,""(.)"",""$1~""),""~""))))=len(C287)"),FALSE)</f>
        <v>0</v>
      </c>
      <c r="FE287" s="269" t="str">
        <f t="shared" si="71"/>
        <v>-</v>
      </c>
      <c r="FF287" s="269" t="str">
        <f t="shared" si="72"/>
        <v>xooxxxoxxxx</v>
      </c>
      <c r="FG287" s="271" t="str">
        <f t="shared" si="73"/>
        <v>-</v>
      </c>
      <c r="FH287" s="269" t="str">
        <f t="shared" si="74"/>
        <v>-</v>
      </c>
      <c r="FI287" s="271" t="str">
        <f t="shared" si="75"/>
        <v>xxxoxxxxoxo</v>
      </c>
      <c r="FJ287" s="271" t="str">
        <f t="shared" si="76"/>
        <v>xxoxxxxoxoo</v>
      </c>
      <c r="FK287" s="271" t="str">
        <f t="shared" si="77"/>
        <v>xoxxxxoxoox</v>
      </c>
      <c r="FL287" s="271" t="str">
        <f t="shared" si="78"/>
        <v>-</v>
      </c>
      <c r="FM287" s="271" t="str">
        <f t="shared" si="79"/>
        <v>xxxxoxooxxx</v>
      </c>
      <c r="FN287" s="271" t="str">
        <f t="shared" si="80"/>
        <v>xxxoxooxxxo</v>
      </c>
      <c r="FO287" s="274" t="str">
        <f t="shared" si="81"/>
        <v>xxoxooxxxox</v>
      </c>
      <c r="FP287" s="234" t="str">
        <f t="shared" si="82"/>
        <v>|</v>
      </c>
      <c r="FQ287" s="236" t="str">
        <f t="shared" si="83"/>
        <v>-</v>
      </c>
      <c r="FR287" s="237" t="str">
        <f t="shared" si="84"/>
        <v>|</v>
      </c>
      <c r="FS287" s="236" t="str">
        <f t="shared" si="85"/>
        <v>-</v>
      </c>
      <c r="FT287" s="237" t="str">
        <f t="shared" si="86"/>
        <v>-</v>
      </c>
      <c r="FU287" s="236" t="str">
        <f t="shared" si="87"/>
        <v>|</v>
      </c>
      <c r="FV287" s="237" t="str">
        <f t="shared" si="88"/>
        <v>|</v>
      </c>
      <c r="FW287" s="236" t="str">
        <f t="shared" si="89"/>
        <v>|</v>
      </c>
      <c r="FX287" s="237" t="str">
        <f t="shared" si="90"/>
        <v>-</v>
      </c>
      <c r="FY287" s="236" t="str">
        <f t="shared" si="91"/>
        <v>|</v>
      </c>
      <c r="FZ287" s="237" t="str">
        <f t="shared" si="92"/>
        <v>|</v>
      </c>
      <c r="GA287" s="236" t="str">
        <f t="shared" si="93"/>
        <v>|</v>
      </c>
      <c r="GB287" s="238" t="str">
        <f t="shared" si="94"/>
        <v>|</v>
      </c>
      <c r="GC287" s="244" t="str">
        <f>IFERROR(__xludf.DUMMYFUNCTION("IF(REGEXMATCH(C287, ""S""), ""1"","""")"),"1")</f>
        <v>1</v>
      </c>
      <c r="GD287" s="245" t="str">
        <f>IFERROR(__xludf.DUMMYFUNCTION("IF(REGEXMATCH(C287, ""r""), ""b2"","""")"),"")</f>
        <v/>
      </c>
      <c r="GE287" s="246" t="str">
        <f>IFERROR(__xludf.DUMMYFUNCTION("IF(REGEXMATCH(C287, ""R""), ""2"","""")"),"2")</f>
        <v>2</v>
      </c>
      <c r="GF287" s="246" t="str">
        <f>IFERROR(__xludf.DUMMYFUNCTION("IF(REGEXMATCH(C287, ""g""), ""b3"","""")"),"")</f>
        <v/>
      </c>
      <c r="GG287" s="245" t="str">
        <f>IFERROR(__xludf.DUMMYFUNCTION("IF(REGEXMATCH(C287, ""G""), ""3"","""")"),"")</f>
        <v/>
      </c>
      <c r="GH287" s="245" t="str">
        <f>IFERROR(__xludf.DUMMYFUNCTION("IF(REGEXMATCH(C287, ""m""), ""4"","""")"),"4")</f>
        <v>4</v>
      </c>
      <c r="GI287" s="246" t="str">
        <f>IFERROR(__xludf.DUMMYFUNCTION("IF(REGEXMATCH(C287, ""M""), ""#4"","""")"),"#4")</f>
        <v>#4</v>
      </c>
      <c r="GJ287" s="245" t="str">
        <f>IFERROR(__xludf.DUMMYFUNCTION("IF(REGEXMATCH(C287, ""P""), ""5"","""")"),"5")</f>
        <v>5</v>
      </c>
      <c r="GK287" s="246" t="str">
        <f>IFERROR(__xludf.DUMMYFUNCTION("IF(REGEXMATCH(C287, ""d""), ""b6"","""")"),"")</f>
        <v/>
      </c>
      <c r="GL287" s="245" t="str">
        <f>IFERROR(__xludf.DUMMYFUNCTION("IF(REGEXMATCH(C287, ""D""), ""6"","""")"),"6")</f>
        <v>6</v>
      </c>
      <c r="GM287" s="245" t="str">
        <f>IFERROR(__xludf.DUMMYFUNCTION("IF(REGEXMATCH(C287, ""n""), ""b7"","""")"),"b7")</f>
        <v>b7</v>
      </c>
      <c r="GN287" s="246" t="str">
        <f>IFERROR(__xludf.DUMMYFUNCTION("IF(REGEXMATCH(C287, ""N""), ""7"","""")"),"7")</f>
        <v>7</v>
      </c>
      <c r="GO287" s="249" t="str">
        <f>IFERROR(__xludf.DUMMYFUNCTION("IF(REGEXMATCH(C287, ""S""), ""8"","""")"),"8")</f>
        <v>8</v>
      </c>
      <c r="GP287" s="244" t="str">
        <f>IFERROR(__xludf.DUMMYFUNCTION("IF(REGEXMATCH(C287, ""S""), ""S"","""")"),"S")</f>
        <v>S</v>
      </c>
      <c r="GQ287" s="294" t="str">
        <f>IFERROR(__xludf.DUMMYFUNCTION("IF(REGEXMATCH(C287, ""r""), ""R1"","""")"),"")</f>
        <v/>
      </c>
      <c r="GR287" s="295" t="str">
        <f>IFERROR(__xludf.DUMMYFUNCTION("IF(REGEXMATCH(C287, ""R""), ""R2"","""")"),"R2")</f>
        <v>R2</v>
      </c>
      <c r="GS287" s="295" t="str">
        <f>IFERROR(__xludf.DUMMYFUNCTION("IF(REGEXMATCH(C287, ""g""), ""G2"","""")"),"")</f>
        <v/>
      </c>
      <c r="GT287" s="294" t="str">
        <f>IFERROR(__xludf.DUMMYFUNCTION("IF(REGEXMATCH(C287, ""G""), ""G3"","""")"),"")</f>
        <v/>
      </c>
      <c r="GU287" s="294" t="str">
        <f>IFERROR(__xludf.DUMMYFUNCTION("IF(REGEXMATCH(C287, ""m""), ""M1"","""")"),"M1")</f>
        <v>M1</v>
      </c>
      <c r="GV287" s="295" t="str">
        <f>IFERROR(__xludf.DUMMYFUNCTION("IF(REGEXMATCH(C287, ""M""), ""M2"","""")"),"M2")</f>
        <v>M2</v>
      </c>
      <c r="GW287" s="294" t="str">
        <f>IFERROR(__xludf.DUMMYFUNCTION("IF(REGEXMATCH(C287, ""P""), ""P"","""")"),"P")</f>
        <v>P</v>
      </c>
      <c r="GX287" s="295" t="str">
        <f>IFERROR(__xludf.DUMMYFUNCTION("IF(REGEXMATCH(C287, ""d""), ""D1"","""")"),"")</f>
        <v/>
      </c>
      <c r="GY287" s="294" t="str">
        <f>IFERROR(__xludf.DUMMYFUNCTION("IF(REGEXMATCH(C287, ""D""), ""D2"","""")"),"D2")</f>
        <v>D2</v>
      </c>
      <c r="GZ287" s="294" t="str">
        <f>IFERROR(__xludf.DUMMYFUNCTION("IF(REGEXMATCH(C287, ""n""), ""N2"","""")"),"N2")</f>
        <v>N2</v>
      </c>
      <c r="HA287" s="295" t="str">
        <f>IFERROR(__xludf.DUMMYFUNCTION("IF(REGEXMATCH(C287, ""N""), ""N3"","""")"),"N3")</f>
        <v>N3</v>
      </c>
      <c r="HB287" s="249" t="str">
        <f>IFERROR(__xludf.DUMMYFUNCTION("IF(REGEXMATCH(C287, ""S""), ""S"","""")"),"S")</f>
        <v>S</v>
      </c>
      <c r="HC287" s="331" t="str">
        <f t="shared" si="95"/>
        <v>S</v>
      </c>
      <c r="HD287" s="332" t="str">
        <f t="shared" si="96"/>
        <v>r</v>
      </c>
      <c r="HE287" s="332" t="str">
        <f t="shared" si="97"/>
        <v>R</v>
      </c>
      <c r="HF287" s="332" t="str">
        <f t="shared" si="98"/>
        <v>g</v>
      </c>
      <c r="HG287" s="332" t="str">
        <f t="shared" si="99"/>
        <v/>
      </c>
      <c r="HH287" s="332" t="str">
        <f t="shared" si="100"/>
        <v>m</v>
      </c>
      <c r="HI287" s="332" t="str">
        <f t="shared" si="101"/>
        <v>M</v>
      </c>
      <c r="HJ287" s="332" t="str">
        <f t="shared" si="102"/>
        <v>P</v>
      </c>
      <c r="HK287" s="332" t="str">
        <f t="shared" si="103"/>
        <v/>
      </c>
      <c r="HL287" s="332" t="str">
        <f t="shared" si="104"/>
        <v/>
      </c>
      <c r="HM287" s="332" t="str">
        <f t="shared" si="105"/>
        <v>n</v>
      </c>
      <c r="HN287" s="332" t="str">
        <f t="shared" si="106"/>
        <v/>
      </c>
      <c r="HO287" s="343" t="str">
        <f t="shared" si="107"/>
        <v>S</v>
      </c>
      <c r="HP287" s="331" t="str">
        <f t="shared" si="108"/>
        <v>o</v>
      </c>
      <c r="HQ287" s="332" t="str">
        <f t="shared" si="109"/>
        <v>•</v>
      </c>
      <c r="HR287" s="332" t="str">
        <f t="shared" si="110"/>
        <v>o</v>
      </c>
      <c r="HS287" s="332" t="str">
        <f t="shared" si="111"/>
        <v>•</v>
      </c>
      <c r="HT287" s="332" t="str">
        <f t="shared" si="112"/>
        <v>•</v>
      </c>
      <c r="HU287" s="332" t="str">
        <f t="shared" si="113"/>
        <v>o</v>
      </c>
      <c r="HV287" s="332" t="str">
        <f t="shared" si="114"/>
        <v>o</v>
      </c>
      <c r="HW287" s="332" t="str">
        <f t="shared" si="115"/>
        <v>o</v>
      </c>
      <c r="HX287" s="332" t="str">
        <f t="shared" si="116"/>
        <v>•</v>
      </c>
      <c r="HY287" s="332" t="str">
        <f t="shared" si="117"/>
        <v>o</v>
      </c>
      <c r="HZ287" s="332" t="str">
        <f t="shared" si="118"/>
        <v>o</v>
      </c>
      <c r="IA287" s="332" t="str">
        <f t="shared" si="119"/>
        <v>o</v>
      </c>
      <c r="IB287" s="338" t="str">
        <f t="shared" si="120"/>
        <v>o</v>
      </c>
      <c r="IC287" s="331" t="str">
        <f t="shared" si="121"/>
        <v>•</v>
      </c>
      <c r="ID287" s="332" t="str">
        <f t="shared" si="122"/>
        <v>o</v>
      </c>
      <c r="IE287" s="332" t="str">
        <f t="shared" si="123"/>
        <v>•</v>
      </c>
      <c r="IF287" s="332" t="str">
        <f t="shared" si="124"/>
        <v>o</v>
      </c>
      <c r="IG287" s="332" t="str">
        <f t="shared" si="125"/>
        <v>o</v>
      </c>
      <c r="IH287" s="332" t="str">
        <f t="shared" si="126"/>
        <v>•</v>
      </c>
      <c r="II287" s="332" t="str">
        <f t="shared" si="127"/>
        <v>•</v>
      </c>
      <c r="IJ287" s="332" t="str">
        <f t="shared" si="128"/>
        <v>•</v>
      </c>
      <c r="IK287" s="332" t="str">
        <f t="shared" si="129"/>
        <v>o</v>
      </c>
      <c r="IL287" s="332" t="str">
        <f t="shared" si="130"/>
        <v>•</v>
      </c>
      <c r="IM287" s="332" t="str">
        <f t="shared" si="131"/>
        <v>•</v>
      </c>
      <c r="IN287" s="332" t="str">
        <f t="shared" si="132"/>
        <v>•</v>
      </c>
      <c r="IO287" s="338" t="str">
        <f t="shared" si="133"/>
        <v>•</v>
      </c>
      <c r="IP287" s="346" t="b">
        <f t="shared" si="134"/>
        <v>0</v>
      </c>
      <c r="IQ287" s="347" t="b">
        <f t="shared" si="135"/>
        <v>0</v>
      </c>
      <c r="IR287" s="347" t="b">
        <f t="shared" si="136"/>
        <v>0</v>
      </c>
      <c r="IS287" s="347" t="b">
        <f t="shared" si="137"/>
        <v>0</v>
      </c>
      <c r="IT287" s="347" t="b">
        <f t="shared" si="138"/>
        <v>0</v>
      </c>
      <c r="IU287" s="347" t="b">
        <f t="shared" si="139"/>
        <v>0</v>
      </c>
      <c r="IV287" s="347" t="b">
        <f t="shared" si="140"/>
        <v>1</v>
      </c>
      <c r="IW287" s="347" t="b">
        <f t="shared" si="141"/>
        <v>0</v>
      </c>
      <c r="IX287" s="347" t="b">
        <f t="shared" si="142"/>
        <v>0</v>
      </c>
      <c r="IY287" s="347" t="b">
        <f t="shared" si="143"/>
        <v>1</v>
      </c>
      <c r="IZ287" s="347" t="b">
        <f t="shared" si="144"/>
        <v>0</v>
      </c>
      <c r="JA287" s="347" t="b">
        <f t="shared" si="145"/>
        <v>0</v>
      </c>
      <c r="JB287" s="353" t="b">
        <f t="shared" si="146"/>
        <v>0</v>
      </c>
      <c r="JC287" s="354" t="str">
        <f t="shared" si="147"/>
        <v/>
      </c>
      <c r="JD287" s="355" t="str">
        <f t="shared" si="148"/>
        <v/>
      </c>
      <c r="JE287" s="355" t="str">
        <f t="shared" si="149"/>
        <v/>
      </c>
      <c r="JF287" s="355" t="str">
        <f t="shared" si="150"/>
        <v/>
      </c>
      <c r="JG287" s="355" t="str">
        <f t="shared" si="151"/>
        <v/>
      </c>
      <c r="JH287" s="355" t="str">
        <f t="shared" si="152"/>
        <v/>
      </c>
      <c r="JI287" s="355" t="str">
        <f t="shared" si="153"/>
        <v>Ma, </v>
      </c>
      <c r="JJ287" s="355" t="str">
        <f t="shared" si="154"/>
        <v/>
      </c>
      <c r="JK287" s="355" t="str">
        <f t="shared" si="155"/>
        <v/>
      </c>
      <c r="JL287" s="355" t="str">
        <f t="shared" si="156"/>
        <v>Dha, </v>
      </c>
      <c r="JM287" s="355" t="str">
        <f t="shared" si="157"/>
        <v/>
      </c>
      <c r="JN287" s="355" t="str">
        <f t="shared" si="158"/>
        <v/>
      </c>
      <c r="JO287" s="359" t="str">
        <f t="shared" si="159"/>
        <v/>
      </c>
      <c r="JP287" s="346" t="b">
        <f t="shared" si="160"/>
        <v>0</v>
      </c>
      <c r="JQ287" s="347" t="b">
        <f t="shared" si="161"/>
        <v>0</v>
      </c>
      <c r="JR287" s="347" t="b">
        <f t="shared" si="162"/>
        <v>0</v>
      </c>
      <c r="JS287" s="347" t="b">
        <f t="shared" si="163"/>
        <v>0</v>
      </c>
      <c r="JT287" s="347" t="b">
        <f t="shared" si="164"/>
        <v>0</v>
      </c>
      <c r="JU287" s="347" t="b">
        <f t="shared" si="165"/>
        <v>0</v>
      </c>
      <c r="JV287" s="347" t="b">
        <f t="shared" si="166"/>
        <v>0</v>
      </c>
      <c r="JW287" s="347" t="b">
        <f t="shared" si="167"/>
        <v>0</v>
      </c>
      <c r="JX287" s="347" t="b">
        <f t="shared" si="168"/>
        <v>0</v>
      </c>
      <c r="JY287" s="347" t="b">
        <f t="shared" si="169"/>
        <v>0</v>
      </c>
      <c r="JZ287" s="347" t="b">
        <f t="shared" si="170"/>
        <v>0</v>
      </c>
      <c r="KA287" s="347" t="b">
        <f t="shared" si="171"/>
        <v>0</v>
      </c>
      <c r="KB287" s="365" t="b">
        <f t="shared" si="172"/>
        <v>0</v>
      </c>
      <c r="KC287" s="354" t="str">
        <f t="shared" si="173"/>
        <v/>
      </c>
      <c r="KD287" s="355" t="str">
        <f t="shared" si="174"/>
        <v/>
      </c>
      <c r="KE287" s="355" t="str">
        <f t="shared" si="175"/>
        <v/>
      </c>
      <c r="KF287" s="355" t="str">
        <f t="shared" si="176"/>
        <v/>
      </c>
      <c r="KG287" s="355" t="str">
        <f t="shared" si="177"/>
        <v/>
      </c>
      <c r="KH287" s="355" t="str">
        <f t="shared" si="178"/>
        <v/>
      </c>
      <c r="KI287" s="355" t="str">
        <f t="shared" si="179"/>
        <v/>
      </c>
      <c r="KJ287" s="355" t="str">
        <f t="shared" si="180"/>
        <v/>
      </c>
      <c r="KK287" s="355" t="str">
        <f t="shared" si="181"/>
        <v/>
      </c>
      <c r="KL287" s="355" t="str">
        <f t="shared" si="182"/>
        <v/>
      </c>
      <c r="KM287" s="355" t="str">
        <f t="shared" si="183"/>
        <v/>
      </c>
      <c r="KN287" s="355" t="str">
        <f t="shared" si="184"/>
        <v/>
      </c>
      <c r="KO287" s="359"/>
      <c r="KP287" s="378"/>
      <c r="KQ287" s="379" t="s">
        <v>9</v>
      </c>
      <c r="KR287" s="380" t="s">
        <v>9</v>
      </c>
      <c r="KS287" s="381" t="s">
        <v>9</v>
      </c>
      <c r="KT287" s="382">
        <f t="shared" si="186"/>
        <v>0</v>
      </c>
      <c r="KU287" s="383">
        <f t="shared" si="187"/>
        <v>0</v>
      </c>
      <c r="KV287" s="381" t="str">
        <f t="shared" si="205"/>
        <v>S</v>
      </c>
      <c r="KW287" s="382">
        <f t="shared" si="189"/>
        <v>0</v>
      </c>
      <c r="KX287" s="384">
        <f t="shared" si="190"/>
        <v>0</v>
      </c>
      <c r="KY287" s="382">
        <f t="shared" ref="KY287:KZ287" si="800">KW287-KT287</f>
        <v>0</v>
      </c>
      <c r="KZ287" s="369">
        <f t="shared" si="800"/>
        <v>0</v>
      </c>
      <c r="LA287" s="385" t="str">
        <f t="shared" si="192"/>
        <v>✔</v>
      </c>
      <c r="LB287" s="340" t="str">
        <f>IFERROR(__xludf.DUMMYFUNCTION("JOIN("""",ArrayFormula(MID(KS287,LEN(KS287)-SEQUENCE(1,LEN(KS287))+1,1)))"),"S")</f>
        <v>S</v>
      </c>
      <c r="LC287" s="373" t="str">
        <f>IFERROR(__xludf.DUMMYFUNCTION("JOIN("""",ArrayFormula(MID(KV287,LEN(KV287)-SEQUENCE(1,LEN(KV287))+1,1)))"),"S")</f>
        <v>S</v>
      </c>
      <c r="LD287" s="373" t="str">
        <f t="shared" si="193"/>
        <v>S</v>
      </c>
      <c r="LE287" s="339" t="str">
        <f t="shared" si="194"/>
        <v>S</v>
      </c>
      <c r="LF287" s="386" t="str">
        <f>IFERROR(__xludf.DUMMYFUNCTION("SUBSTITUTE(SUBSTITUTE(CONCATENATE(JOIN("""",LH287:LT287)),""1"",""""),""2"","""")"),"SS")</f>
        <v>SS</v>
      </c>
      <c r="LG287" s="369" t="str">
        <f t="shared" si="195"/>
        <v>-</v>
      </c>
      <c r="LH287" s="387" t="str">
        <f>IFERROR(__xludf.DUMMYFUNCTION("IF(REGEXMATCH(LD287, ""S""), ""S"",IF(REGEXMATCH(LE287, ""S""), ""S"",""""))"),"S")</f>
        <v>S</v>
      </c>
      <c r="LI287" s="299" t="str">
        <f>IFERROR(__xludf.DUMMYFUNCTION("IF(REGEXMATCH(LD287, ""r""), ""r1"",IF(REGEXMATCH(LE287, ""r""), ""r2"",""""))"),"")</f>
        <v/>
      </c>
      <c r="LJ287" s="299" t="str">
        <f>IFERROR(__xludf.DUMMYFUNCTION("IF(REGEXMATCH(LD287, ""R""), ""R1"",IF(REGEXMATCH(LE287, ""R""), ""R2"",""""))"),"")</f>
        <v/>
      </c>
      <c r="LK287" s="299" t="str">
        <f>IFERROR(__xludf.DUMMYFUNCTION("IF(REGEXMATCH(LD287, ""g""), ""g1"",IF(REGEXMATCH(LE287, ""g""), ""g2"",""""))"),"")</f>
        <v/>
      </c>
      <c r="LL287" s="299" t="str">
        <f>IFERROR(__xludf.DUMMYFUNCTION("IF(REGEXMATCH(LD287, ""G""), ""G1"",IF(REGEXMATCH(LE287, ""G""), ""G2"",""""))"),"")</f>
        <v/>
      </c>
      <c r="LM287" s="299" t="str">
        <f>IFERROR(__xludf.DUMMYFUNCTION("IF(REGEXMATCH(LD287, ""m""), ""m1"",IF(REGEXMATCH(LE287, ""m""), ""m2"",""""))"),"")</f>
        <v/>
      </c>
      <c r="LN287" s="299" t="str">
        <f>IFERROR(__xludf.DUMMYFUNCTION("IF(REGEXMATCH(LD287, ""M""), ""M1"",IF(REGEXMATCH(LE287, ""M""), ""M2"",""""))"),"")</f>
        <v/>
      </c>
      <c r="LO287" s="299" t="str">
        <f>IFERROR(__xludf.DUMMYFUNCTION("IF(REGEXMATCH(LD287, ""P""), ""P1"",IF(REGEXMATCH(LE287, ""P""), ""P2"",""""))"),"")</f>
        <v/>
      </c>
      <c r="LP287" s="299" t="str">
        <f>IFERROR(__xludf.DUMMYFUNCTION("IF(REGEXMATCH(LD287, ""d""), ""d1"",IF(REGEXMATCH(LE287, ""d""), ""d2"",""""))"),"")</f>
        <v/>
      </c>
      <c r="LQ287" s="299" t="str">
        <f>IFERROR(__xludf.DUMMYFUNCTION("IF(REGEXMATCH(LD287, ""D""), ""D1"",IF(REGEXMATCH(LE287, ""D""), ""D2"",""""))"),"")</f>
        <v/>
      </c>
      <c r="LR287" s="299" t="str">
        <f>IFERROR(__xludf.DUMMYFUNCTION("IF(REGEXMATCH(LD287, ""n""), ""n1"",IF(REGEXMATCH(LE287, ""n""), ""n2"",""""))"),"")</f>
        <v/>
      </c>
      <c r="LS287" s="299" t="str">
        <f>IFERROR(__xludf.DUMMYFUNCTION("IF(REGEXMATCH(LD287, ""N""), ""N1"",IF(REGEXMATCH(LE287, ""N""), ""N2"",""""))"),"")</f>
        <v/>
      </c>
      <c r="LT287" s="388" t="str">
        <f>IFERROR(__xludf.DUMMYFUNCTION("IF(REGEXMATCH(LD287, ""S""), ""S"",IF(REGEXMATCH(LE287, ""S""), ""S"",""""))"),"S")</f>
        <v>S</v>
      </c>
      <c r="LU287" s="389">
        <f t="shared" si="196"/>
        <v>1</v>
      </c>
      <c r="LV287" s="378"/>
      <c r="LW287" s="369"/>
      <c r="LX287" s="369"/>
    </row>
    <row r="288" ht="18.0" customHeight="1">
      <c r="A288" s="298" t="s">
        <v>1096</v>
      </c>
      <c r="B288" s="222" t="s">
        <v>1097</v>
      </c>
      <c r="C288" s="233" t="str">
        <f t="shared" si="7"/>
        <v>SRgmPNS</v>
      </c>
      <c r="D288" s="234" t="str">
        <f>IFERROR(__xludf.DUMMYFUNCTION("IF(REGEXMATCH(C288, ""S""), ""S"","""")"),"S")</f>
        <v>S</v>
      </c>
      <c r="E288" s="236" t="str">
        <f>IFERROR(__xludf.DUMMYFUNCTION("IF(REGEXMATCH(C288, ""r""), ""r"","""")"),"")</f>
        <v/>
      </c>
      <c r="F288" s="237" t="str">
        <f>IFERROR(__xludf.DUMMYFUNCTION("IF(REGEXMATCH(C288, ""R""), ""R"","""")"),"R")</f>
        <v>R</v>
      </c>
      <c r="G288" s="237" t="str">
        <f>IFERROR(__xludf.DUMMYFUNCTION("IF(REGEXMATCH(C288, ""g""), ""g"","""")"),"g")</f>
        <v>g</v>
      </c>
      <c r="H288" s="236" t="str">
        <f>IFERROR(__xludf.DUMMYFUNCTION("IF(REGEXMATCH(C288, ""G""), ""G"","""")"),"")</f>
        <v/>
      </c>
      <c r="I288" s="236" t="str">
        <f>IFERROR(__xludf.DUMMYFUNCTION("IF(REGEXMATCH(C288, ""m""), ""m"","""")"),"m")</f>
        <v>m</v>
      </c>
      <c r="J288" s="237" t="str">
        <f>IFERROR(__xludf.DUMMYFUNCTION("IF(REGEXMATCH(C288, ""M""), ""M"","""")"),"")</f>
        <v/>
      </c>
      <c r="K288" s="236" t="str">
        <f>IFERROR(__xludf.DUMMYFUNCTION("IF(REGEXMATCH(C288, ""P""), ""P"","""")"),"P")</f>
        <v>P</v>
      </c>
      <c r="L288" s="237" t="str">
        <f>IFERROR(__xludf.DUMMYFUNCTION("IF(REGEXMATCH(C288, ""d""), ""d"","""")"),"")</f>
        <v/>
      </c>
      <c r="M288" s="236" t="str">
        <f>IFERROR(__xludf.DUMMYFUNCTION("IF(REGEXMATCH(C288, ""D""), ""D"","""")"),"")</f>
        <v/>
      </c>
      <c r="N288" s="236" t="str">
        <f>IFERROR(__xludf.DUMMYFUNCTION("IF(REGEXMATCH(C288, ""n""), ""n"","""")"),"")</f>
        <v/>
      </c>
      <c r="O288" s="237" t="str">
        <f>IFERROR(__xludf.DUMMYFUNCTION("IF(REGEXMATCH(C288, ""N""), ""N"","""")"),"N")</f>
        <v>N</v>
      </c>
      <c r="P288" s="238" t="str">
        <f>IFERROR(__xludf.DUMMYFUNCTION("IF(REGEXMATCH(C288, ""S""), ""S"","""")"),"S")</f>
        <v>S</v>
      </c>
      <c r="Q288" s="239" t="str">
        <f>IFERROR(__xludf.DUMMYFUNCTION("SUBSTITUTE(CONCATENATE(JOIN(""-"",D288:J288)),""-"","""")"),"SRgm")</f>
        <v>SRgm</v>
      </c>
      <c r="R288" s="229" t="str">
        <f>IFERROR(__xludf.DUMMYFUNCTION("SUBSTITUTE(CONCATENATE(JOIN(""-"",K288:P288)),""-"","""")"),"PNS")</f>
        <v>PNS</v>
      </c>
      <c r="S288" s="282" t="str">
        <f t="shared" si="8"/>
        <v>S-R-G-M</v>
      </c>
      <c r="T288" s="282" t="str">
        <f t="shared" si="9"/>
        <v>P-N-S</v>
      </c>
      <c r="U288" s="237" t="str">
        <f>IFERROR(__xludf.DUMMYFUNCTION("SUBSTITUTE(JOIN(""-"",S288,T288),""--"",""-"")"),"S-R-G-M-P-N-S")</f>
        <v>S-R-G-M-P-N-S</v>
      </c>
      <c r="V288" s="309" t="str">
        <f t="shared" si="10"/>
        <v>RgmN</v>
      </c>
      <c r="W288" s="244" t="str">
        <f>IFERROR(__xludf.DUMMYFUNCTION("IF(REGEXMATCH(C288, ""S""), ""0"","""")"),"0")</f>
        <v>0</v>
      </c>
      <c r="X288" s="245" t="str">
        <f>IFERROR(__xludf.DUMMYFUNCTION("IF(REGEXMATCH(C288, ""r""), ""1"","""")"),"")</f>
        <v/>
      </c>
      <c r="Y288" s="246" t="str">
        <f>IFERROR(__xludf.DUMMYFUNCTION("IF(REGEXMATCH(C288, ""R""), ""2"","""")"),"2")</f>
        <v>2</v>
      </c>
      <c r="Z288" s="246" t="str">
        <f>IFERROR(__xludf.DUMMYFUNCTION("IF(REGEXMATCH(C288, ""g""), ""3"","""")"),"3")</f>
        <v>3</v>
      </c>
      <c r="AA288" s="245" t="str">
        <f>IFERROR(__xludf.DUMMYFUNCTION("IF(REGEXMATCH(C288, ""G""), ""4"","""")"),"")</f>
        <v/>
      </c>
      <c r="AB288" s="245" t="str">
        <f>IFERROR(__xludf.DUMMYFUNCTION("IF(REGEXMATCH(C288, ""m""), ""5"","""")"),"5")</f>
        <v>5</v>
      </c>
      <c r="AC288" s="246" t="str">
        <f>IFERROR(__xludf.DUMMYFUNCTION("IF(REGEXMATCH(C288, ""M""), ""6"","""")"),"")</f>
        <v/>
      </c>
      <c r="AD288" s="245" t="str">
        <f>IFERROR(__xludf.DUMMYFUNCTION("IF(REGEXMATCH(C288, ""P""), ""7"","""")"),"7")</f>
        <v>7</v>
      </c>
      <c r="AE288" s="246" t="str">
        <f>IFERROR(__xludf.DUMMYFUNCTION("IF(REGEXMATCH(C288, ""d""), ""8"","""")"),"")</f>
        <v/>
      </c>
      <c r="AF288" s="245" t="str">
        <f>IFERROR(__xludf.DUMMYFUNCTION("IF(REGEXMATCH(C288, ""D""), ""9"","""")"),"")</f>
        <v/>
      </c>
      <c r="AG288" s="245" t="str">
        <f>IFERROR(__xludf.DUMMYFUNCTION("IF(REGEXMATCH(C288, ""n""), ""10"","""")"),"")</f>
        <v/>
      </c>
      <c r="AH288" s="246" t="str">
        <f>IFERROR(__xludf.DUMMYFUNCTION("IF(REGEXMATCH(C288, ""N""), ""11"","""")"),"11")</f>
        <v>11</v>
      </c>
      <c r="AI288" s="249" t="str">
        <f>IFERROR(__xludf.DUMMYFUNCTION("IF(REGEXMATCH(C288, ""S""), ""0"","""")"),"0")</f>
        <v>0</v>
      </c>
      <c r="AJ288" s="313" t="str">
        <f t="shared" si="11"/>
        <v>-</v>
      </c>
      <c r="AK288" s="313" t="str">
        <f t="shared" si="12"/>
        <v>-</v>
      </c>
      <c r="AL288" s="313" t="str">
        <f t="shared" si="13"/>
        <v>-</v>
      </c>
      <c r="AM288" s="313" t="str">
        <f t="shared" si="14"/>
        <v>-</v>
      </c>
      <c r="AN288" s="313" t="str">
        <f t="shared" si="15"/>
        <v>-</v>
      </c>
      <c r="AO288" s="314" t="str">
        <f t="shared" si="16"/>
        <v>T</v>
      </c>
      <c r="AP288" s="316">
        <f t="shared" si="17"/>
        <v>1</v>
      </c>
      <c r="AQ288" s="319" t="str">
        <f t="shared" si="18"/>
        <v>#REF!</v>
      </c>
      <c r="AR288" s="320">
        <f t="shared" si="19"/>
        <v>0</v>
      </c>
      <c r="AS288" s="250" t="str">
        <f>IFERROR(__xludf.DUMMYFUNCTION("SUBSTITUTE(SUBSTITUTE(CONCATENATE(JOIN("""",FP288:GA288)),""|"",""x""),""-"",""o"")"),"xoxxoxoxooox")</f>
        <v>xoxxoxoxooox</v>
      </c>
      <c r="AT288" s="323" t="str">
        <f>IFERROR(__xludf.DUMMYFUNCTION("JOIN("""",AS288,AS288)"),"xoxxoxoxoooxxoxxoxoxooox")</f>
        <v>xoxxoxoxoooxxoxxoxoxooox</v>
      </c>
      <c r="AU288" s="256" t="str">
        <f>IFERROR(__xludf.DUMMYFUNCTION("JOIN("""",ArrayFormula(MID(AS288,LEN(AS288)-SEQUENCE(1,LEN(AS288))+1,1)))"),"xoooxoxoxxox")</f>
        <v>xoooxoxoxxox</v>
      </c>
      <c r="AV288" s="256" t="str">
        <f>IFERROR(__xludf.DUMMYFUNCTION("LEFT(CONCATENATE(""x"",JOIN("""",ArrayFormula(MID(AS288,LEN(AS288)-SEQUENCE(1,LEN(AS288))+1,1)))),12)"),"xxoooxoxoxxo")</f>
        <v>xxoooxoxoxxo</v>
      </c>
      <c r="AW288" s="327" t="str">
        <f>IFERROR(__xludf.DUMMYFUNCTION("JOIN("""",AU288,AU288)"),"xoooxoxoxxoxxoooxoxoxxox")</f>
        <v>xoooxoxoxxoxxoooxoxoxxox</v>
      </c>
      <c r="AX288" s="239" t="str">
        <f>IFERROR(__xludf.DUMMYFUNCTION("IF(REGEXMATCH(AW288,AS288),""✔"",""-"")"),"-")</f>
        <v>-</v>
      </c>
      <c r="AY288" s="330" t="str">
        <f t="shared" si="20"/>
        <v>-</v>
      </c>
      <c r="AZ288" s="260" t="str">
        <f t="shared" si="21"/>
        <v>#REF!</v>
      </c>
      <c r="BA288" s="333" t="str">
        <f t="shared" si="22"/>
        <v>xoxxoxo</v>
      </c>
      <c r="BB288" s="334" t="str">
        <f t="shared" si="23"/>
        <v>xoooxx</v>
      </c>
      <c r="BC288" s="335" t="str">
        <f t="shared" si="236"/>
        <v>-</v>
      </c>
      <c r="BD288" s="336" t="str">
        <f t="shared" si="25"/>
        <v>Rangeshwari: 'xoxxoxo' + 'xoooxx'</v>
      </c>
      <c r="BE288" s="337">
        <f>IFERROR(__xludf.DUMMYFUNCTION("COUNTUNIQUE(FILTER(AT:AT,REGEXMATCH(AT:AT,AS288)))-1"),3.0)</f>
        <v>3</v>
      </c>
      <c r="BF288" s="261" t="str">
        <f>IFERROR(__xludf.DUMMYFUNCTION("IF(BI288=0,""(n/a)"",IF(BJ288=2,""(PAIR)"",IF(REGEXMATCH(AT288,""xoxoxxoxoxox""),""Bilawal"",IF(REGEXMATCH(AT288,""xoxoxooxoxoo""),""Bhupali"",IF(REGEXMATCH(AT288,""xoxoxxoxxoxo""),""Charukeshi"",IF(REGEXMATCH(AT288,""xoxoooxxoxxo""),""Kameshwari"",IF(REG"&amp;"EXMATCH(AT288,""xoxoxooxoxox""),""Shankara"",IF(REGEXMATCH(AT288,""xxooxoxxxoox""),""Basant"",IF(REGEXMATCH(AT288,""xoxoxxxxoxox""),""Bihag"",IF(REGEXMATCH(AT288,""xoxxxxoxoxxx""),""Pilu"",IF(REGEXMATCH(AT288,""xoxxoxoxxoox""),""Kirwani"",IF(REGEXMATCH(AT"&amp;"288,""xoxxoxoxoxxx""),""Mk.Malhar"",IF(REGEXMATCH(AT288,""xxooxxoxxoox""),""Bhairav"",IF(REGEXMATCH(AT288,""xxoxooxxxoox""),""Todi"",IF(REGEXMATCH(AT288,""xxooxoxooxox""),""Marwa"",IF(REGEXMATCH(AT288,""xxoooxoxxooo""),""Gunkali"",IF(REGEXMATCH(AT288,""xo"&amp;"xoxxoxxoox""),""Nat Bhairav"",IF(REGEXMATCH(AT288,""xoxxoooxoxoo""),""Shivranjani"",IF(REGEXMATCH(AT288,""xooxxxoxooxo""),""Jog"",IF(REGEXMATCH(AT288,""xxooxoxoxoox""),""Hemshri"",IF(REGEXMATCH(AT288,""xoooxooxoxxo""),""Kalavati"",IF(REGEXMATCH(AT288,""xx"&amp;"oxoxxoxoox""),""Kedar"",IF(REGEXMATCH(AT288,""xoxxxxoxooxx""),""Gara"",IF(REGEXMATCH(AT288,""xooxoxooxoox""),""Chandrakauns"",IF(REGEXMATCH(AT288,""xoxxxxoxxxox""),""Mand"",IF(REGEXMATCH(AT288,""xoxxxxoxoxox""),""Hanskinkini"",IF(REGEXMATCH(AT288,""xxooxx"&amp;"oxooxo""),""Lilavati"",IF(REGEXMATCH(AT288,""xooxoxoooxox""),""Rajeshwari"",IF(REGEXMATCH(AT288,""xoooxxoxoxxx""),""Khokar"",IF(REGEXMATCH(AT288,""xxooxoxxxxox""),""Maligoura"",""-""))))))))))))))))))))))))))))))"),"Kameshwari")</f>
        <v>Kameshwari</v>
      </c>
      <c r="BG288" s="239" t="str">
        <f t="shared" si="26"/>
        <v>#REF!</v>
      </c>
      <c r="BH288" s="239">
        <f>IFERROR(__xludf.DUMMYFUNCTION("COUNTUNIQUE(FE288:FO288)-1"),5.0)</f>
        <v>5</v>
      </c>
      <c r="BI288" s="239">
        <f>IFERROR(__xludf.DUMMYFUNCTION("COUNTUNIQUE(FILTER(AT:AT,REGEXMATCH(AT:AT,AS288)))-1"),3.0)</f>
        <v>3</v>
      </c>
      <c r="BJ288" s="239">
        <f>IFERROR(__xludf.DUMMYFUNCTION("COUNTA(FILTER(AT:AT,REGEXMATCH(AT:AT,AS288)))"),6.0)</f>
        <v>6</v>
      </c>
      <c r="BK288" s="341">
        <f>IFERROR(__xludf.DUMMYFUNCTION("COUNTA(FILTER(AT:AT,REGEXMATCH(AT:AT,AS288)))-AR288"),6.0)</f>
        <v>6</v>
      </c>
      <c r="BL288" s="276" t="str">
        <f>IFERROR(__xludf.DUMMYFUNCTION("IF(AS288=""oooooooooooo"",""-"",IF(REGEXMATCH(AT288,""xx""), ""Hemi."", ""Anhemi.""))"),"Hemi.")</f>
        <v>Hemi.</v>
      </c>
      <c r="BM288" s="282" t="str">
        <f>IFERROR(__xludf.DUMMYFUNCTION("IF(AS288=""oooooooooooo"",""-"",IF(REGEXMATCH(AT288,""xxx""), ""Cohem."", ""-""))"),"-")</f>
        <v>-</v>
      </c>
      <c r="BN288" s="282" t="str">
        <f>IFERROR(__xludf.DUMMYFUNCTION("IF(AS288=""oooooooooooo"",""-"",IF(REGEXMATCH(AT288,""xxxx""), ""Co-Co."", ""-""))"),"-")</f>
        <v>-</v>
      </c>
      <c r="BO288" s="342" t="str">
        <f>IFERROR(__xludf.DUMMYFUNCTION("IF(AS288=""oooooooooooo"",""-"",IF(REGEXMATCH(AT288,""xxxxx""), ""CCC."", ""-""))"),"-")</f>
        <v>-</v>
      </c>
      <c r="BP288" s="344" t="str">
        <f t="shared" si="27"/>
        <v>-</v>
      </c>
      <c r="BQ288" s="282" t="str">
        <f>IFERROR(__xludf.DUMMYFUNCTION("IF(REGEXMATCH(JOIN(""-"",EU288:FD288),""TRUE""),""✔"",""-"")"),"-")</f>
        <v>-</v>
      </c>
      <c r="BR288" s="225">
        <f t="shared" si="28"/>
        <v>0</v>
      </c>
      <c r="BS288" s="345" t="str">
        <f>IFERROR(__xludf.DUMMYFUNCTION("SUBSTITUTE(SUBSTITUTE(SUBSTITUTE(SUBSTITUTE(CONCATENATE(JOIN(""-"",GC288:GO288)),""--"",""-""),""--"",""-""),""--"",""-""),""--"",""-"")"),"1-2-b3-4-5-7-8")</f>
        <v>1-2-b3-4-5-7-8</v>
      </c>
      <c r="BT288" s="299" t="str">
        <f>IFERROR(__xludf.DUMMYFUNCTION("SUBSTITUTE(SUBSTITUTE(SUBSTITUTE(SUBSTITUTE(CONCATENATE(JOIN(""-"",GP288:HB288)),""--"",""-""),""--"",""-""),""--"",""-""),""--"",""-"")"),"S-R2-G2-M1-P-N3-S")</f>
        <v>S-R2-G2-M1-P-N3-S</v>
      </c>
      <c r="BU288" s="348" t="str">
        <f t="shared" si="29"/>
        <v>C-D-Eb-F-G-B-C</v>
      </c>
      <c r="BV288" s="349" t="str">
        <f t="shared" si="30"/>
        <v>SrGMdDnS</v>
      </c>
      <c r="BW288" s="350">
        <f t="shared" si="31"/>
        <v>0</v>
      </c>
      <c r="BX288" s="351">
        <f t="shared" si="32"/>
        <v>1</v>
      </c>
      <c r="BY288" s="392"/>
      <c r="BZ288" s="309" t="str">
        <f>IFERROR(__xludf.DUMMYFUNCTION("IF(REGEXMATCH(C288, ""S""), ""x"",""x"")"),"x")</f>
        <v>x</v>
      </c>
      <c r="CA288" s="245" t="str">
        <f>IFERROR(__xludf.DUMMYFUNCTION("IF(REGEXMATCH(C288, ""r""), ""o"",""x"")"),"x")</f>
        <v>x</v>
      </c>
      <c r="CB288" s="246" t="str">
        <f>IFERROR(__xludf.DUMMYFUNCTION("IF(REGEXMATCH(C288, ""R""), ""o"",""x"")"),"o")</f>
        <v>o</v>
      </c>
      <c r="CC288" s="246" t="str">
        <f>IFERROR(__xludf.DUMMYFUNCTION("IF(REGEXMATCH(C288, ""g""), ""o"",""x"")"),"o")</f>
        <v>o</v>
      </c>
      <c r="CD288" s="245" t="str">
        <f>IFERROR(__xludf.DUMMYFUNCTION("IF(REGEXMATCH(C288, ""G""), ""o"",""x"")"),"x")</f>
        <v>x</v>
      </c>
      <c r="CE288" s="245" t="str">
        <f>IFERROR(__xludf.DUMMYFUNCTION("IF(REGEXMATCH(C288, ""m""), ""o"",""x"")"),"o")</f>
        <v>o</v>
      </c>
      <c r="CF288" s="246" t="str">
        <f>IFERROR(__xludf.DUMMYFUNCTION("IF(REGEXMATCH(C288, ""M""), ""o"",""x"")"),"x")</f>
        <v>x</v>
      </c>
      <c r="CG288" s="245" t="str">
        <f>IFERROR(__xludf.DUMMYFUNCTION("IF(REGEXMATCH(C288, ""P""), ""o"",""x"")"),"o")</f>
        <v>o</v>
      </c>
      <c r="CH288" s="246" t="str">
        <f>IFERROR(__xludf.DUMMYFUNCTION("IF(REGEXMATCH(C288, ""d""), ""o"",""x"")"),"x")</f>
        <v>x</v>
      </c>
      <c r="CI288" s="245" t="str">
        <f>IFERROR(__xludf.DUMMYFUNCTION("IF(REGEXMATCH(C288, ""D""), ""o"",""x"")"),"x")</f>
        <v>x</v>
      </c>
      <c r="CJ288" s="245" t="str">
        <f>IFERROR(__xludf.DUMMYFUNCTION("IF(REGEXMATCH(C288, ""n""), ""o"",""x"")"),"x")</f>
        <v>x</v>
      </c>
      <c r="CK288" s="245" t="str">
        <f>IFERROR(__xludf.DUMMYFUNCTION("IF(REGEXMATCH(C288, ""N""), ""o"",""x"")"),"o")</f>
        <v>o</v>
      </c>
      <c r="CL288" s="356" t="str">
        <f>IFERROR(__xludf.DUMMYFUNCTION("IF(REGEXMATCH(C288, ""S""), ""x"",""x"")"),"x")</f>
        <v>x</v>
      </c>
      <c r="CM288" s="357" t="str">
        <f t="shared" si="33"/>
        <v>xxooxoxoxxxo</v>
      </c>
      <c r="CN288" s="358">
        <f t="shared" si="34"/>
        <v>0</v>
      </c>
      <c r="CO288" s="246" t="str">
        <f>IFERROR(__xludf.DUMMYFUNCTION("IF(REGEXMATCH($C288, ""S""), ""S"",""S"")"),"S")</f>
        <v>S</v>
      </c>
      <c r="CP288" s="246" t="str">
        <f>IFERROR(__xludf.DUMMYFUNCTION("IF(REGEXMATCH($C288, ""r""), """",""r"")"),"r")</f>
        <v>r</v>
      </c>
      <c r="CQ288" s="246" t="str">
        <f>IFERROR(__xludf.DUMMYFUNCTION("IF(REGEXMATCH($C288, ""R""), """",""R"")"),"")</f>
        <v/>
      </c>
      <c r="CR288" s="246" t="str">
        <f>IFERROR(__xludf.DUMMYFUNCTION("IF(REGEXMATCH($C288, ""g""), """",""g"")"),"")</f>
        <v/>
      </c>
      <c r="CS288" s="246" t="str">
        <f>IFERROR(__xludf.DUMMYFUNCTION("IF(REGEXMATCH($C288, ""G""), """",""G"")"),"G")</f>
        <v>G</v>
      </c>
      <c r="CT288" s="246" t="str">
        <f>IFERROR(__xludf.DUMMYFUNCTION("IF(REGEXMATCH($C288, ""m""), """",""m"")"),"")</f>
        <v/>
      </c>
      <c r="CU288" s="246" t="str">
        <f>IFERROR(__xludf.DUMMYFUNCTION("IF(REGEXMATCH($C288, ""M""), """",""M"")"),"M")</f>
        <v>M</v>
      </c>
      <c r="CV288" s="246" t="str">
        <f>IFERROR(__xludf.DUMMYFUNCTION("IF(REGEXMATCH($C288, ""P""), """",""P"")"),"")</f>
        <v/>
      </c>
      <c r="CW288" s="246" t="str">
        <f>IFERROR(__xludf.DUMMYFUNCTION("IF(REGEXMATCH($C288, ""d""), """",""d"")"),"d")</f>
        <v>d</v>
      </c>
      <c r="CX288" s="246" t="str">
        <f>IFERROR(__xludf.DUMMYFUNCTION("IF(REGEXMATCH($C288, ""D""), """",""D"")"),"D")</f>
        <v>D</v>
      </c>
      <c r="CY288" s="246" t="str">
        <f>IFERROR(__xludf.DUMMYFUNCTION("IF(REGEXMATCH($C288, ""n""), """",""n"")"),"n")</f>
        <v>n</v>
      </c>
      <c r="CZ288" s="246" t="str">
        <f>IFERROR(__xludf.DUMMYFUNCTION("IF(REGEXMATCH($C288, ""N""), """",""N"")"),"")</f>
        <v/>
      </c>
      <c r="DA288" s="246" t="str">
        <f>IFERROR(__xludf.DUMMYFUNCTION("IF(REGEXMATCH($C288, ""S""), ""S"",""S"")"),"S")</f>
        <v>S</v>
      </c>
      <c r="DB288" s="362" t="str">
        <f>IFERROR(__xludf.DUMMYFUNCTION("JOIN("""",CO288:DA288,"""","""")"),"SrGMdDnS")</f>
        <v>SrGMdDnS</v>
      </c>
      <c r="DC288" s="363"/>
      <c r="DD288" s="301" t="str">
        <f t="shared" si="35"/>
        <v>#REF!</v>
      </c>
      <c r="DE288" s="302" t="str">
        <f t="shared" si="36"/>
        <v>#REF!</v>
      </c>
      <c r="DF288" s="301" t="str">
        <f t="shared" ref="DF288:DG288" si="801">SUBSTITUTE(S288,"-","")</f>
        <v>SRGM</v>
      </c>
      <c r="DG288" s="301" t="str">
        <f t="shared" si="801"/>
        <v>PNS</v>
      </c>
      <c r="DH288" s="302" t="str">
        <f t="shared" si="38"/>
        <v>Kameshwari</v>
      </c>
      <c r="DI288" s="301" t="str">
        <f t="shared" si="39"/>
        <v>Hemi.</v>
      </c>
      <c r="DJ288" s="364" t="str">
        <f t="shared" si="40"/>
        <v>-</v>
      </c>
      <c r="DK288" s="306" t="str">
        <f t="shared" si="41"/>
        <v>-</v>
      </c>
      <c r="DL288" s="366" t="str">
        <f t="shared" si="42"/>
        <v>-</v>
      </c>
      <c r="DM288" s="308" t="str">
        <f t="shared" si="43"/>
        <v>✔</v>
      </c>
      <c r="DN288" s="306" t="str">
        <f t="shared" si="44"/>
        <v>-</v>
      </c>
      <c r="DO288" s="306" t="str">
        <f t="shared" si="45"/>
        <v>-</v>
      </c>
      <c r="DP288" s="367" t="str">
        <f t="shared" si="46"/>
        <v>-</v>
      </c>
      <c r="DQ288" s="310" t="str">
        <f t="shared" si="47"/>
        <v>-</v>
      </c>
      <c r="DR288" s="310" t="str">
        <f t="shared" si="48"/>
        <v>-</v>
      </c>
      <c r="DS288" s="310" t="str">
        <f t="shared" si="49"/>
        <v>-</v>
      </c>
      <c r="DT288" s="310" t="str">
        <f t="shared" si="50"/>
        <v>-</v>
      </c>
      <c r="DU288" s="370" t="str">
        <f t="shared" si="51"/>
        <v>-</v>
      </c>
      <c r="DV288" s="306" t="str">
        <f t="shared" si="52"/>
        <v>-</v>
      </c>
      <c r="DW288" s="306" t="str">
        <f t="shared" si="53"/>
        <v>-</v>
      </c>
      <c r="DX288" s="306" t="str">
        <f t="shared" si="54"/>
        <v>-</v>
      </c>
      <c r="DY288" s="306" t="str">
        <f t="shared" si="55"/>
        <v>-</v>
      </c>
      <c r="DZ288" s="306" t="str">
        <f t="shared" si="56"/>
        <v>✔</v>
      </c>
      <c r="EA288" s="367" t="str">
        <f t="shared" si="57"/>
        <v>-</v>
      </c>
      <c r="EB288" s="310" t="str">
        <f>IFERROR(__xludf.DUMMYFUNCTION("IF(REGEXMATCH(AW288,AS288),""✔"",""-"")"),"-")</f>
        <v>-</v>
      </c>
      <c r="EC288" s="310" t="str">
        <f t="shared" si="58"/>
        <v>#REF!</v>
      </c>
      <c r="ED288" s="370" t="str">
        <f t="shared" si="59"/>
        <v>-</v>
      </c>
      <c r="EE288" s="340" t="str">
        <f t="shared" si="60"/>
        <v>S-R-g-m-P-N-S</v>
      </c>
      <c r="EF288" s="371" t="str">
        <f>IFERROR(__xludf.DUMMYFUNCTION("CONCATENATE(JOIN("""",HC288:HO288))"),"SrmPDnS")</f>
        <v>SrmPDnS</v>
      </c>
      <c r="EG288" s="372">
        <f t="shared" si="61"/>
        <v>3</v>
      </c>
      <c r="EH288" s="373" t="str">
        <f>IFERROR(__xludf.DUMMYFUNCTION("CONCATENATE(JOIN("""",JC288:JO288))"),"Re, ga, Ni, ")</f>
        <v>Re, ga, Ni, </v>
      </c>
      <c r="EI288" s="322">
        <f t="shared" si="62"/>
        <v>2</v>
      </c>
      <c r="EJ288" s="374" t="str">
        <f>IFERROR(__xludf.DUMMYFUNCTION("CONCATENATE(JOIN("""",KC288:KO288))"),"ga, Ni, ")</f>
        <v>ga, Ni, </v>
      </c>
      <c r="EK288" s="325" t="str">
        <f t="shared" si="63"/>
        <v>S-R2-G2-M1-P-N3-S</v>
      </c>
      <c r="EL288" s="326" t="str">
        <f t="shared" si="64"/>
        <v>1-2-b3-4-5-7-8</v>
      </c>
      <c r="EM288" s="318" t="str">
        <f t="shared" si="65"/>
        <v>#REF!</v>
      </c>
      <c r="EN288" s="328" t="str">
        <f>IFERROR(__xludf.DUMMYFUNCTION("SUBSTITUTE(SUBSTITUTE(SUBSTITUTE(SUBSTITUTE(CONCATENATE(JOIN("" "",HP288:IB288)),""  "","" ""),""  "","" ""),""  "","" ""),""  "","" "")"),"o • o o • o • o • • • o o")</f>
        <v>o • o o • o • o • • • o o</v>
      </c>
      <c r="EO288" s="368" t="str">
        <f t="shared" si="66"/>
        <v>-</v>
      </c>
      <c r="EP288" s="339" t="str">
        <f t="shared" si="67"/>
        <v>-</v>
      </c>
      <c r="EQ288" s="339" t="str">
        <f t="shared" si="68"/>
        <v>Sa-Pa</v>
      </c>
      <c r="ER288" s="339" t="str">
        <f t="shared" si="69"/>
        <v>-</v>
      </c>
      <c r="ES288" s="340" t="str">
        <f t="shared" si="70"/>
        <v>-</v>
      </c>
      <c r="ET288" s="363"/>
      <c r="EU288" s="376" t="b">
        <f>IFERROR(__xludf.DUMMYFUNCTION("arrayformula(sum(--REGEXMATCH(""SRGMPDNS"",split(REGEXREPLACE(C288,""(.)"",""$1~""),""~""))))=len(C288)
"),FALSE)</f>
        <v>0</v>
      </c>
      <c r="EV288" s="290" t="b">
        <f>IFERROR(__xludf.DUMMYFUNCTION("arrayformula(sum(--REGEXMATCH(""SRGmPDNS"",split(REGEXREPLACE(C288,""(.)"",""$1~""),""~""))))=len(C288)"),FALSE)</f>
        <v>0</v>
      </c>
      <c r="EW288" s="290" t="b">
        <f>IFERROR(__xludf.DUMMYFUNCTION("arrayformula(sum(--REGEXMATCH(""SRGmPDnS"",split(REGEXREPLACE(C288,""(.)"",""$1~""),""~""))))=len(C288)"),FALSE)</f>
        <v>0</v>
      </c>
      <c r="EX288" s="290" t="b">
        <f>IFERROR(__xludf.DUMMYFUNCTION("arrayformula(sum(--REGEXMATCH(""SRgmPDnS"",split(REGEXREPLACE(C288,""(.)"",""$1~""),""~""))))=len(C288)"),FALSE)</f>
        <v>0</v>
      </c>
      <c r="EY288" s="290" t="b">
        <f>IFERROR(__xludf.DUMMYFUNCTION("arrayformula(sum(--REGEXMATCH(""SRgmPdnS"",split(REGEXREPLACE(C288,""(.)"",""$1~""),""~""))))=len(C288)"),FALSE)</f>
        <v>0</v>
      </c>
      <c r="EZ288" s="290" t="b">
        <f>IFERROR(__xludf.DUMMYFUNCTION("arrayformula(sum(--REGEXMATCH(""SrgmPdnS"",split(REGEXREPLACE(C288,""(.)"",""$1~""),""~""))))=len(C288)"),FALSE)</f>
        <v>0</v>
      </c>
      <c r="FA288" s="290" t="b">
        <f>IFERROR(__xludf.DUMMYFUNCTION("arrayformula(sum(--REGEXMATCH(""SrGmPdNS"",split(REGEXREPLACE(C288,""(.)"",""$1~""),""~""))))=len(C288)"),FALSE)</f>
        <v>0</v>
      </c>
      <c r="FB288" s="290" t="b">
        <f>IFERROR(__xludf.DUMMYFUNCTION("arrayformula(sum(--REGEXMATCH(""SrGMPDNS"",split(REGEXREPLACE(C288,""(.)"",""$1~""),""~""))))=len(C288)"),FALSE)</f>
        <v>0</v>
      </c>
      <c r="FC288" s="290" t="b">
        <f>IFERROR(__xludf.DUMMYFUNCTION("arrayformula(sum(--REGEXMATCH(""SrGMPdNS"",split(REGEXREPLACE(C288,""(.)"",""$1~""),""~""))))=len(C288)"),FALSE)</f>
        <v>0</v>
      </c>
      <c r="FD288" s="377" t="b">
        <f>IFERROR(__xludf.DUMMYFUNCTION("arrayformula(sum(--REGEXMATCH(""SrgMPdNS"",split(REGEXREPLACE(C288,""(.)"",""$1~""),""~""))))=len(C288)"),FALSE)</f>
        <v>0</v>
      </c>
      <c r="FE288" s="269" t="str">
        <f t="shared" si="71"/>
        <v>-</v>
      </c>
      <c r="FF288" s="269" t="str">
        <f t="shared" si="72"/>
        <v>xxoxoxoooxx</v>
      </c>
      <c r="FG288" s="271" t="str">
        <f t="shared" si="73"/>
        <v>xoxoxoooxxo</v>
      </c>
      <c r="FH288" s="269" t="str">
        <f t="shared" si="74"/>
        <v>-</v>
      </c>
      <c r="FI288" s="271" t="str">
        <f t="shared" si="75"/>
        <v>xoxoooxxoxx</v>
      </c>
      <c r="FJ288" s="271" t="str">
        <f t="shared" si="76"/>
        <v>-</v>
      </c>
      <c r="FK288" s="271" t="str">
        <f t="shared" si="77"/>
        <v>xoooxxoxxox</v>
      </c>
      <c r="FL288" s="271" t="str">
        <f t="shared" si="78"/>
        <v>-</v>
      </c>
      <c r="FM288" s="271" t="str">
        <f t="shared" si="79"/>
        <v>-</v>
      </c>
      <c r="FN288" s="271" t="str">
        <f t="shared" si="80"/>
        <v>-</v>
      </c>
      <c r="FO288" s="274" t="str">
        <f t="shared" si="81"/>
        <v>xxoxxoxoxoo</v>
      </c>
      <c r="FP288" s="234" t="str">
        <f t="shared" si="82"/>
        <v>|</v>
      </c>
      <c r="FQ288" s="236" t="str">
        <f t="shared" si="83"/>
        <v>-</v>
      </c>
      <c r="FR288" s="237" t="str">
        <f t="shared" si="84"/>
        <v>|</v>
      </c>
      <c r="FS288" s="236" t="str">
        <f t="shared" si="85"/>
        <v>|</v>
      </c>
      <c r="FT288" s="237" t="str">
        <f t="shared" si="86"/>
        <v>-</v>
      </c>
      <c r="FU288" s="236" t="str">
        <f t="shared" si="87"/>
        <v>|</v>
      </c>
      <c r="FV288" s="237" t="str">
        <f t="shared" si="88"/>
        <v>-</v>
      </c>
      <c r="FW288" s="236" t="str">
        <f t="shared" si="89"/>
        <v>|</v>
      </c>
      <c r="FX288" s="237" t="str">
        <f t="shared" si="90"/>
        <v>-</v>
      </c>
      <c r="FY288" s="236" t="str">
        <f t="shared" si="91"/>
        <v>-</v>
      </c>
      <c r="FZ288" s="237" t="str">
        <f t="shared" si="92"/>
        <v>-</v>
      </c>
      <c r="GA288" s="236" t="str">
        <f t="shared" si="93"/>
        <v>|</v>
      </c>
      <c r="GB288" s="238" t="str">
        <f t="shared" si="94"/>
        <v>|</v>
      </c>
      <c r="GC288" s="244" t="str">
        <f>IFERROR(__xludf.DUMMYFUNCTION("IF(REGEXMATCH(C288, ""S""), ""1"","""")"),"1")</f>
        <v>1</v>
      </c>
      <c r="GD288" s="245" t="str">
        <f>IFERROR(__xludf.DUMMYFUNCTION("IF(REGEXMATCH(C288, ""r""), ""b2"","""")"),"")</f>
        <v/>
      </c>
      <c r="GE288" s="246" t="str">
        <f>IFERROR(__xludf.DUMMYFUNCTION("IF(REGEXMATCH(C288, ""R""), ""2"","""")"),"2")</f>
        <v>2</v>
      </c>
      <c r="GF288" s="246" t="str">
        <f>IFERROR(__xludf.DUMMYFUNCTION("IF(REGEXMATCH(C288, ""g""), ""b3"","""")"),"b3")</f>
        <v>b3</v>
      </c>
      <c r="GG288" s="245" t="str">
        <f>IFERROR(__xludf.DUMMYFUNCTION("IF(REGEXMATCH(C288, ""G""), ""3"","""")"),"")</f>
        <v/>
      </c>
      <c r="GH288" s="245" t="str">
        <f>IFERROR(__xludf.DUMMYFUNCTION("IF(REGEXMATCH(C288, ""m""), ""4"","""")"),"4")</f>
        <v>4</v>
      </c>
      <c r="GI288" s="246" t="str">
        <f>IFERROR(__xludf.DUMMYFUNCTION("IF(REGEXMATCH(C288, ""M""), ""#4"","""")"),"")</f>
        <v/>
      </c>
      <c r="GJ288" s="245" t="str">
        <f>IFERROR(__xludf.DUMMYFUNCTION("IF(REGEXMATCH(C288, ""P""), ""5"","""")"),"5")</f>
        <v>5</v>
      </c>
      <c r="GK288" s="246" t="str">
        <f>IFERROR(__xludf.DUMMYFUNCTION("IF(REGEXMATCH(C288, ""d""), ""b6"","""")"),"")</f>
        <v/>
      </c>
      <c r="GL288" s="245" t="str">
        <f>IFERROR(__xludf.DUMMYFUNCTION("IF(REGEXMATCH(C288, ""D""), ""6"","""")"),"")</f>
        <v/>
      </c>
      <c r="GM288" s="245" t="str">
        <f>IFERROR(__xludf.DUMMYFUNCTION("IF(REGEXMATCH(C288, ""n""), ""b7"","""")"),"")</f>
        <v/>
      </c>
      <c r="GN288" s="246" t="str">
        <f>IFERROR(__xludf.DUMMYFUNCTION("IF(REGEXMATCH(C288, ""N""), ""7"","""")"),"7")</f>
        <v>7</v>
      </c>
      <c r="GO288" s="249" t="str">
        <f>IFERROR(__xludf.DUMMYFUNCTION("IF(REGEXMATCH(C288, ""S""), ""8"","""")"),"8")</f>
        <v>8</v>
      </c>
      <c r="GP288" s="244" t="str">
        <f>IFERROR(__xludf.DUMMYFUNCTION("IF(REGEXMATCH(C288, ""S""), ""S"","""")"),"S")</f>
        <v>S</v>
      </c>
      <c r="GQ288" s="294" t="str">
        <f>IFERROR(__xludf.DUMMYFUNCTION("IF(REGEXMATCH(C288, ""r""), ""R1"","""")"),"")</f>
        <v/>
      </c>
      <c r="GR288" s="295" t="str">
        <f>IFERROR(__xludf.DUMMYFUNCTION("IF(REGEXMATCH(C288, ""R""), ""R2"","""")"),"R2")</f>
        <v>R2</v>
      </c>
      <c r="GS288" s="295" t="str">
        <f>IFERROR(__xludf.DUMMYFUNCTION("IF(REGEXMATCH(C288, ""g""), ""G2"","""")"),"G2")</f>
        <v>G2</v>
      </c>
      <c r="GT288" s="294" t="str">
        <f>IFERROR(__xludf.DUMMYFUNCTION("IF(REGEXMATCH(C288, ""G""), ""G3"","""")"),"")</f>
        <v/>
      </c>
      <c r="GU288" s="294" t="str">
        <f>IFERROR(__xludf.DUMMYFUNCTION("IF(REGEXMATCH(C288, ""m""), ""M1"","""")"),"M1")</f>
        <v>M1</v>
      </c>
      <c r="GV288" s="295" t="str">
        <f>IFERROR(__xludf.DUMMYFUNCTION("IF(REGEXMATCH(C288, ""M""), ""M2"","""")"),"")</f>
        <v/>
      </c>
      <c r="GW288" s="294" t="str">
        <f>IFERROR(__xludf.DUMMYFUNCTION("IF(REGEXMATCH(C288, ""P""), ""P"","""")"),"P")</f>
        <v>P</v>
      </c>
      <c r="GX288" s="295" t="str">
        <f>IFERROR(__xludf.DUMMYFUNCTION("IF(REGEXMATCH(C288, ""d""), ""D1"","""")"),"")</f>
        <v/>
      </c>
      <c r="GY288" s="294" t="str">
        <f>IFERROR(__xludf.DUMMYFUNCTION("IF(REGEXMATCH(C288, ""D""), ""D2"","""")"),"")</f>
        <v/>
      </c>
      <c r="GZ288" s="294" t="str">
        <f>IFERROR(__xludf.DUMMYFUNCTION("IF(REGEXMATCH(C288, ""n""), ""N2"","""")"),"")</f>
        <v/>
      </c>
      <c r="HA288" s="295" t="str">
        <f>IFERROR(__xludf.DUMMYFUNCTION("IF(REGEXMATCH(C288, ""N""), ""N3"","""")"),"N3")</f>
        <v>N3</v>
      </c>
      <c r="HB288" s="249" t="str">
        <f>IFERROR(__xludf.DUMMYFUNCTION("IF(REGEXMATCH(C288, ""S""), ""S"","""")"),"S")</f>
        <v>S</v>
      </c>
      <c r="HC288" s="331" t="str">
        <f t="shared" si="95"/>
        <v>S</v>
      </c>
      <c r="HD288" s="332" t="str">
        <f t="shared" si="96"/>
        <v>r</v>
      </c>
      <c r="HE288" s="332" t="str">
        <f t="shared" si="97"/>
        <v/>
      </c>
      <c r="HF288" s="332" t="str">
        <f t="shared" si="98"/>
        <v/>
      </c>
      <c r="HG288" s="332" t="str">
        <f t="shared" si="99"/>
        <v/>
      </c>
      <c r="HH288" s="332" t="str">
        <f t="shared" si="100"/>
        <v>m</v>
      </c>
      <c r="HI288" s="332" t="str">
        <f t="shared" si="101"/>
        <v/>
      </c>
      <c r="HJ288" s="332" t="str">
        <f t="shared" si="102"/>
        <v>P</v>
      </c>
      <c r="HK288" s="332" t="str">
        <f t="shared" si="103"/>
        <v/>
      </c>
      <c r="HL288" s="332" t="str">
        <f t="shared" si="104"/>
        <v>D</v>
      </c>
      <c r="HM288" s="332" t="str">
        <f t="shared" si="105"/>
        <v>n</v>
      </c>
      <c r="HN288" s="332" t="str">
        <f t="shared" si="106"/>
        <v/>
      </c>
      <c r="HO288" s="343" t="str">
        <f t="shared" si="107"/>
        <v>S</v>
      </c>
      <c r="HP288" s="331" t="str">
        <f t="shared" si="108"/>
        <v>o</v>
      </c>
      <c r="HQ288" s="332" t="str">
        <f t="shared" si="109"/>
        <v>•</v>
      </c>
      <c r="HR288" s="332" t="str">
        <f t="shared" si="110"/>
        <v>o</v>
      </c>
      <c r="HS288" s="332" t="str">
        <f t="shared" si="111"/>
        <v>o</v>
      </c>
      <c r="HT288" s="332" t="str">
        <f t="shared" si="112"/>
        <v>•</v>
      </c>
      <c r="HU288" s="332" t="str">
        <f t="shared" si="113"/>
        <v>o</v>
      </c>
      <c r="HV288" s="332" t="str">
        <f t="shared" si="114"/>
        <v>•</v>
      </c>
      <c r="HW288" s="332" t="str">
        <f t="shared" si="115"/>
        <v>o</v>
      </c>
      <c r="HX288" s="332" t="str">
        <f t="shared" si="116"/>
        <v>•</v>
      </c>
      <c r="HY288" s="332" t="str">
        <f t="shared" si="117"/>
        <v>•</v>
      </c>
      <c r="HZ288" s="332" t="str">
        <f t="shared" si="118"/>
        <v>•</v>
      </c>
      <c r="IA288" s="332" t="str">
        <f t="shared" si="119"/>
        <v>o</v>
      </c>
      <c r="IB288" s="338" t="str">
        <f t="shared" si="120"/>
        <v>o</v>
      </c>
      <c r="IC288" s="331" t="str">
        <f t="shared" si="121"/>
        <v>•</v>
      </c>
      <c r="ID288" s="332" t="str">
        <f t="shared" si="122"/>
        <v>o</v>
      </c>
      <c r="IE288" s="332" t="str">
        <f t="shared" si="123"/>
        <v>•</v>
      </c>
      <c r="IF288" s="332" t="str">
        <f t="shared" si="124"/>
        <v>•</v>
      </c>
      <c r="IG288" s="332" t="str">
        <f t="shared" si="125"/>
        <v>o</v>
      </c>
      <c r="IH288" s="332" t="str">
        <f t="shared" si="126"/>
        <v>•</v>
      </c>
      <c r="II288" s="332" t="str">
        <f t="shared" si="127"/>
        <v>o</v>
      </c>
      <c r="IJ288" s="332" t="str">
        <f t="shared" si="128"/>
        <v>•</v>
      </c>
      <c r="IK288" s="332" t="str">
        <f t="shared" si="129"/>
        <v>o</v>
      </c>
      <c r="IL288" s="332" t="str">
        <f t="shared" si="130"/>
        <v>o</v>
      </c>
      <c r="IM288" s="332" t="str">
        <f t="shared" si="131"/>
        <v>o</v>
      </c>
      <c r="IN288" s="332" t="str">
        <f t="shared" si="132"/>
        <v>•</v>
      </c>
      <c r="IO288" s="338" t="str">
        <f t="shared" si="133"/>
        <v>•</v>
      </c>
      <c r="IP288" s="346" t="b">
        <f t="shared" si="134"/>
        <v>0</v>
      </c>
      <c r="IQ288" s="347" t="b">
        <f t="shared" si="135"/>
        <v>0</v>
      </c>
      <c r="IR288" s="347" t="b">
        <f t="shared" si="136"/>
        <v>1</v>
      </c>
      <c r="IS288" s="347" t="b">
        <f t="shared" si="137"/>
        <v>1</v>
      </c>
      <c r="IT288" s="347" t="b">
        <f t="shared" si="138"/>
        <v>0</v>
      </c>
      <c r="IU288" s="347" t="b">
        <f t="shared" si="139"/>
        <v>0</v>
      </c>
      <c r="IV288" s="347" t="b">
        <f t="shared" si="140"/>
        <v>0</v>
      </c>
      <c r="IW288" s="347" t="b">
        <f t="shared" si="141"/>
        <v>0</v>
      </c>
      <c r="IX288" s="347" t="b">
        <f t="shared" si="142"/>
        <v>0</v>
      </c>
      <c r="IY288" s="347" t="b">
        <f t="shared" si="143"/>
        <v>0</v>
      </c>
      <c r="IZ288" s="347" t="b">
        <f t="shared" si="144"/>
        <v>0</v>
      </c>
      <c r="JA288" s="347" t="b">
        <f t="shared" si="145"/>
        <v>1</v>
      </c>
      <c r="JB288" s="353" t="b">
        <f t="shared" si="146"/>
        <v>0</v>
      </c>
      <c r="JC288" s="354" t="str">
        <f t="shared" si="147"/>
        <v/>
      </c>
      <c r="JD288" s="355" t="str">
        <f t="shared" si="148"/>
        <v/>
      </c>
      <c r="JE288" s="355" t="str">
        <f t="shared" si="149"/>
        <v>Re, </v>
      </c>
      <c r="JF288" s="355" t="str">
        <f t="shared" si="150"/>
        <v>ga, </v>
      </c>
      <c r="JG288" s="355" t="str">
        <f t="shared" si="151"/>
        <v/>
      </c>
      <c r="JH288" s="355" t="str">
        <f t="shared" si="152"/>
        <v/>
      </c>
      <c r="JI288" s="355" t="str">
        <f t="shared" si="153"/>
        <v/>
      </c>
      <c r="JJ288" s="355" t="str">
        <f t="shared" si="154"/>
        <v/>
      </c>
      <c r="JK288" s="355" t="str">
        <f t="shared" si="155"/>
        <v/>
      </c>
      <c r="JL288" s="355" t="str">
        <f t="shared" si="156"/>
        <v/>
      </c>
      <c r="JM288" s="355" t="str">
        <f t="shared" si="157"/>
        <v/>
      </c>
      <c r="JN288" s="355" t="str">
        <f t="shared" si="158"/>
        <v>Ni, </v>
      </c>
      <c r="JO288" s="359" t="str">
        <f t="shared" si="159"/>
        <v/>
      </c>
      <c r="JP288" s="346" t="b">
        <f t="shared" si="160"/>
        <v>0</v>
      </c>
      <c r="JQ288" s="347" t="b">
        <f t="shared" si="161"/>
        <v>0</v>
      </c>
      <c r="JR288" s="347" t="b">
        <f t="shared" si="162"/>
        <v>0</v>
      </c>
      <c r="JS288" s="347" t="b">
        <f t="shared" si="163"/>
        <v>1</v>
      </c>
      <c r="JT288" s="347" t="b">
        <f t="shared" si="164"/>
        <v>0</v>
      </c>
      <c r="JU288" s="347" t="b">
        <f t="shared" si="165"/>
        <v>0</v>
      </c>
      <c r="JV288" s="347" t="b">
        <f t="shared" si="166"/>
        <v>0</v>
      </c>
      <c r="JW288" s="347" t="b">
        <f t="shared" si="167"/>
        <v>0</v>
      </c>
      <c r="JX288" s="347" t="b">
        <f t="shared" si="168"/>
        <v>0</v>
      </c>
      <c r="JY288" s="347" t="b">
        <f t="shared" si="169"/>
        <v>0</v>
      </c>
      <c r="JZ288" s="347" t="b">
        <f t="shared" si="170"/>
        <v>0</v>
      </c>
      <c r="KA288" s="347" t="b">
        <f t="shared" si="171"/>
        <v>1</v>
      </c>
      <c r="KB288" s="365" t="b">
        <f t="shared" si="172"/>
        <v>0</v>
      </c>
      <c r="KC288" s="354" t="str">
        <f t="shared" si="173"/>
        <v/>
      </c>
      <c r="KD288" s="355" t="str">
        <f t="shared" si="174"/>
        <v/>
      </c>
      <c r="KE288" s="355" t="str">
        <f t="shared" si="175"/>
        <v/>
      </c>
      <c r="KF288" s="355" t="str">
        <f t="shared" si="176"/>
        <v>ga, </v>
      </c>
      <c r="KG288" s="355" t="str">
        <f t="shared" si="177"/>
        <v/>
      </c>
      <c r="KH288" s="355" t="str">
        <f t="shared" si="178"/>
        <v/>
      </c>
      <c r="KI288" s="355" t="str">
        <f t="shared" si="179"/>
        <v/>
      </c>
      <c r="KJ288" s="355" t="str">
        <f t="shared" si="180"/>
        <v/>
      </c>
      <c r="KK288" s="355" t="str">
        <f t="shared" si="181"/>
        <v/>
      </c>
      <c r="KL288" s="355" t="str">
        <f t="shared" si="182"/>
        <v/>
      </c>
      <c r="KM288" s="355" t="str">
        <f t="shared" si="183"/>
        <v/>
      </c>
      <c r="KN288" s="355" t="str">
        <f t="shared" si="184"/>
        <v>Ni, </v>
      </c>
      <c r="KO288" s="359"/>
      <c r="KP288" s="378"/>
      <c r="KQ288" s="379" t="s">
        <v>1097</v>
      </c>
      <c r="KR288" s="380" t="s">
        <v>1473</v>
      </c>
      <c r="KS288" s="381" t="str">
        <f t="shared" ref="KS288:KS289" si="804">KQ288</f>
        <v>S-R-g-m-P-N-S</v>
      </c>
      <c r="KT288" s="382">
        <f t="shared" si="186"/>
        <v>6</v>
      </c>
      <c r="KU288" s="383">
        <f t="shared" si="187"/>
        <v>6</v>
      </c>
      <c r="KV288" s="381" t="str">
        <f t="shared" si="205"/>
        <v>S-N-P-m-g-R-S</v>
      </c>
      <c r="KW288" s="382">
        <f t="shared" si="189"/>
        <v>6</v>
      </c>
      <c r="KX288" s="384">
        <f t="shared" si="190"/>
        <v>6</v>
      </c>
      <c r="KY288" s="382">
        <f t="shared" ref="KY288:KZ288" si="802">KW288-KT288</f>
        <v>0</v>
      </c>
      <c r="KZ288" s="369">
        <f t="shared" si="802"/>
        <v>0</v>
      </c>
      <c r="LA288" s="385" t="str">
        <f t="shared" si="192"/>
        <v>✔</v>
      </c>
      <c r="LB288" s="340" t="str">
        <f>IFERROR(__xludf.DUMMYFUNCTION("JOIN("""",ArrayFormula(MID(KS288,LEN(KS288)-SEQUENCE(1,LEN(KS288))+1,1)))"),"S-N-P-m-g-R-S")</f>
        <v>S-N-P-m-g-R-S</v>
      </c>
      <c r="LC288" s="373" t="str">
        <f>IFERROR(__xludf.DUMMYFUNCTION("JOIN("""",ArrayFormula(MID(KV288,LEN(KV288)-SEQUENCE(1,LEN(KV288))+1,1)))"),"S-R-g-m-P-N-S")</f>
        <v>S-R-g-m-P-N-S</v>
      </c>
      <c r="LD288" s="373" t="str">
        <f t="shared" si="193"/>
        <v>SRgmPNS</v>
      </c>
      <c r="LE288" s="339" t="str">
        <f t="shared" si="194"/>
        <v>SRgmPNS</v>
      </c>
      <c r="LF288" s="386" t="str">
        <f>IFERROR(__xludf.DUMMYFUNCTION("SUBSTITUTE(SUBSTITUTE(CONCATENATE(JOIN("""",LH288:LT288)),""1"",""""),""2"","""")"),"SRgmPNS")</f>
        <v>SRgmPNS</v>
      </c>
      <c r="LG288" s="369" t="str">
        <f t="shared" si="195"/>
        <v>✔</v>
      </c>
      <c r="LH288" s="387" t="str">
        <f>IFERROR(__xludf.DUMMYFUNCTION("IF(REGEXMATCH(LD288, ""S""), ""S"",IF(REGEXMATCH(LE288, ""S""), ""S"",""""))"),"S")</f>
        <v>S</v>
      </c>
      <c r="LI288" s="299" t="str">
        <f>IFERROR(__xludf.DUMMYFUNCTION("IF(REGEXMATCH(LD288, ""r""), ""r1"",IF(REGEXMATCH(LE288, ""r""), ""r2"",""""))"),"")</f>
        <v/>
      </c>
      <c r="LJ288" s="299" t="str">
        <f>IFERROR(__xludf.DUMMYFUNCTION("IF(REGEXMATCH(LD288, ""R""), ""R1"",IF(REGEXMATCH(LE288, ""R""), ""R2"",""""))"),"R1")</f>
        <v>R1</v>
      </c>
      <c r="LK288" s="299" t="str">
        <f>IFERROR(__xludf.DUMMYFUNCTION("IF(REGEXMATCH(LD288, ""g""), ""g1"",IF(REGEXMATCH(LE288, ""g""), ""g2"",""""))"),"g1")</f>
        <v>g1</v>
      </c>
      <c r="LL288" s="299" t="str">
        <f>IFERROR(__xludf.DUMMYFUNCTION("IF(REGEXMATCH(LD288, ""G""), ""G1"",IF(REGEXMATCH(LE288, ""G""), ""G2"",""""))"),"")</f>
        <v/>
      </c>
      <c r="LM288" s="299" t="str">
        <f>IFERROR(__xludf.DUMMYFUNCTION("IF(REGEXMATCH(LD288, ""m""), ""m1"",IF(REGEXMATCH(LE288, ""m""), ""m2"",""""))"),"m1")</f>
        <v>m1</v>
      </c>
      <c r="LN288" s="299" t="str">
        <f>IFERROR(__xludf.DUMMYFUNCTION("IF(REGEXMATCH(LD288, ""M""), ""M1"",IF(REGEXMATCH(LE288, ""M""), ""M2"",""""))"),"")</f>
        <v/>
      </c>
      <c r="LO288" s="299" t="str">
        <f>IFERROR(__xludf.DUMMYFUNCTION("IF(REGEXMATCH(LD288, ""P""), ""P1"",IF(REGEXMATCH(LE288, ""P""), ""P2"",""""))"),"P1")</f>
        <v>P1</v>
      </c>
      <c r="LP288" s="299" t="str">
        <f>IFERROR(__xludf.DUMMYFUNCTION("IF(REGEXMATCH(LD288, ""d""), ""d1"",IF(REGEXMATCH(LE288, ""d""), ""d2"",""""))"),"")</f>
        <v/>
      </c>
      <c r="LQ288" s="299" t="str">
        <f>IFERROR(__xludf.DUMMYFUNCTION("IF(REGEXMATCH(LD288, ""D""), ""D1"",IF(REGEXMATCH(LE288, ""D""), ""D2"",""""))"),"")</f>
        <v/>
      </c>
      <c r="LR288" s="299" t="str">
        <f>IFERROR(__xludf.DUMMYFUNCTION("IF(REGEXMATCH(LD288, ""n""), ""n1"",IF(REGEXMATCH(LE288, ""n""), ""n2"",""""))"),"")</f>
        <v/>
      </c>
      <c r="LS288" s="299" t="str">
        <f>IFERROR(__xludf.DUMMYFUNCTION("IF(REGEXMATCH(LD288, ""N""), ""N1"",IF(REGEXMATCH(LE288, ""N""), ""N2"",""""))"),"N1")</f>
        <v>N1</v>
      </c>
      <c r="LT288" s="388" t="str">
        <f>IFERROR(__xludf.DUMMYFUNCTION("IF(REGEXMATCH(LD288, ""S""), ""S"",IF(REGEXMATCH(LE288, ""S""), ""S"",""""))"),"S")</f>
        <v>S</v>
      </c>
      <c r="LU288" s="389">
        <f t="shared" si="196"/>
        <v>1</v>
      </c>
      <c r="LV288" s="378"/>
      <c r="LW288" s="369"/>
      <c r="LX288" s="369"/>
    </row>
    <row r="289" ht="18.0" customHeight="1">
      <c r="A289" s="298" t="s">
        <v>1099</v>
      </c>
      <c r="B289" s="222" t="s">
        <v>1100</v>
      </c>
      <c r="C289" s="233" t="str">
        <f t="shared" si="7"/>
        <v>SRmDNS</v>
      </c>
      <c r="D289" s="234" t="str">
        <f>IFERROR(__xludf.DUMMYFUNCTION("IF(REGEXMATCH(C289, ""S""), ""S"","""")"),"S")</f>
        <v>S</v>
      </c>
      <c r="E289" s="236" t="str">
        <f>IFERROR(__xludf.DUMMYFUNCTION("IF(REGEXMATCH(C289, ""r""), ""r"","""")"),"")</f>
        <v/>
      </c>
      <c r="F289" s="237" t="str">
        <f>IFERROR(__xludf.DUMMYFUNCTION("IF(REGEXMATCH(C289, ""R""), ""R"","""")"),"R")</f>
        <v>R</v>
      </c>
      <c r="G289" s="237" t="str">
        <f>IFERROR(__xludf.DUMMYFUNCTION("IF(REGEXMATCH(C289, ""g""), ""g"","""")"),"")</f>
        <v/>
      </c>
      <c r="H289" s="236" t="str">
        <f>IFERROR(__xludf.DUMMYFUNCTION("IF(REGEXMATCH(C289, ""G""), ""G"","""")"),"")</f>
        <v/>
      </c>
      <c r="I289" s="236" t="str">
        <f>IFERROR(__xludf.DUMMYFUNCTION("IF(REGEXMATCH(C289, ""m""), ""m"","""")"),"m")</f>
        <v>m</v>
      </c>
      <c r="J289" s="237" t="str">
        <f>IFERROR(__xludf.DUMMYFUNCTION("IF(REGEXMATCH(C289, ""M""), ""M"","""")"),"")</f>
        <v/>
      </c>
      <c r="K289" s="236" t="str">
        <f>IFERROR(__xludf.DUMMYFUNCTION("IF(REGEXMATCH(C289, ""P""), ""P"","""")"),"")</f>
        <v/>
      </c>
      <c r="L289" s="237" t="str">
        <f>IFERROR(__xludf.DUMMYFUNCTION("IF(REGEXMATCH(C289, ""d""), ""d"","""")"),"")</f>
        <v/>
      </c>
      <c r="M289" s="236" t="str">
        <f>IFERROR(__xludf.DUMMYFUNCTION("IF(REGEXMATCH(C289, ""D""), ""D"","""")"),"D")</f>
        <v>D</v>
      </c>
      <c r="N289" s="236" t="str">
        <f>IFERROR(__xludf.DUMMYFUNCTION("IF(REGEXMATCH(C289, ""n""), ""n"","""")"),"")</f>
        <v/>
      </c>
      <c r="O289" s="237" t="str">
        <f>IFERROR(__xludf.DUMMYFUNCTION("IF(REGEXMATCH(C289, ""N""), ""N"","""")"),"N")</f>
        <v>N</v>
      </c>
      <c r="P289" s="238" t="str">
        <f>IFERROR(__xludf.DUMMYFUNCTION("IF(REGEXMATCH(C289, ""S""), ""S"","""")"),"S")</f>
        <v>S</v>
      </c>
      <c r="Q289" s="239" t="str">
        <f>IFERROR(__xludf.DUMMYFUNCTION("SUBSTITUTE(CONCATENATE(JOIN(""-"",D289:J289)),""-"","""")"),"SRm")</f>
        <v>SRm</v>
      </c>
      <c r="R289" s="229" t="str">
        <f>IFERROR(__xludf.DUMMYFUNCTION("SUBSTITUTE(CONCATENATE(JOIN(""-"",K289:P289)),""-"","""")"),"DNS")</f>
        <v>DNS</v>
      </c>
      <c r="S289" s="282" t="str">
        <f t="shared" si="8"/>
        <v>S-R-M</v>
      </c>
      <c r="T289" s="282" t="str">
        <f t="shared" si="9"/>
        <v>D-N-S</v>
      </c>
      <c r="U289" s="237" t="str">
        <f>IFERROR(__xludf.DUMMYFUNCTION("SUBSTITUTE(JOIN(""-"",S289,T289),""--"",""-"")"),"S-R-M-D-N-S")</f>
        <v>S-R-M-D-N-S</v>
      </c>
      <c r="V289" s="309" t="str">
        <f t="shared" si="10"/>
        <v>RmDN</v>
      </c>
      <c r="W289" s="244" t="str">
        <f>IFERROR(__xludf.DUMMYFUNCTION("IF(REGEXMATCH(C289, ""S""), ""0"","""")"),"0")</f>
        <v>0</v>
      </c>
      <c r="X289" s="245" t="str">
        <f>IFERROR(__xludf.DUMMYFUNCTION("IF(REGEXMATCH(C289, ""r""), ""1"","""")"),"")</f>
        <v/>
      </c>
      <c r="Y289" s="246" t="str">
        <f>IFERROR(__xludf.DUMMYFUNCTION("IF(REGEXMATCH(C289, ""R""), ""2"","""")"),"2")</f>
        <v>2</v>
      </c>
      <c r="Z289" s="246" t="str">
        <f>IFERROR(__xludf.DUMMYFUNCTION("IF(REGEXMATCH(C289, ""g""), ""3"","""")"),"")</f>
        <v/>
      </c>
      <c r="AA289" s="245" t="str">
        <f>IFERROR(__xludf.DUMMYFUNCTION("IF(REGEXMATCH(C289, ""G""), ""4"","""")"),"")</f>
        <v/>
      </c>
      <c r="AB289" s="245" t="str">
        <f>IFERROR(__xludf.DUMMYFUNCTION("IF(REGEXMATCH(C289, ""m""), ""5"","""")"),"5")</f>
        <v>5</v>
      </c>
      <c r="AC289" s="246" t="str">
        <f>IFERROR(__xludf.DUMMYFUNCTION("IF(REGEXMATCH(C289, ""M""), ""6"","""")"),"")</f>
        <v/>
      </c>
      <c r="AD289" s="245" t="str">
        <f>IFERROR(__xludf.DUMMYFUNCTION("IF(REGEXMATCH(C289, ""P""), ""7"","""")"),"")</f>
        <v/>
      </c>
      <c r="AE289" s="246" t="str">
        <f>IFERROR(__xludf.DUMMYFUNCTION("IF(REGEXMATCH(C289, ""d""), ""8"","""")"),"")</f>
        <v/>
      </c>
      <c r="AF289" s="245" t="str">
        <f>IFERROR(__xludf.DUMMYFUNCTION("IF(REGEXMATCH(C289, ""D""), ""9"","""")"),"9")</f>
        <v>9</v>
      </c>
      <c r="AG289" s="245" t="str">
        <f>IFERROR(__xludf.DUMMYFUNCTION("IF(REGEXMATCH(C289, ""n""), ""10"","""")"),"")</f>
        <v/>
      </c>
      <c r="AH289" s="246" t="str">
        <f>IFERROR(__xludf.DUMMYFUNCTION("IF(REGEXMATCH(C289, ""N""), ""11"","""")"),"11")</f>
        <v>11</v>
      </c>
      <c r="AI289" s="249" t="str">
        <f>IFERROR(__xludf.DUMMYFUNCTION("IF(REGEXMATCH(C289, ""S""), ""0"","""")"),"0")</f>
        <v>0</v>
      </c>
      <c r="AJ289" s="313" t="str">
        <f t="shared" si="11"/>
        <v>-</v>
      </c>
      <c r="AK289" s="313" t="str">
        <f t="shared" si="12"/>
        <v>-</v>
      </c>
      <c r="AL289" s="313" t="str">
        <f t="shared" si="13"/>
        <v>-</v>
      </c>
      <c r="AM289" s="313" t="str">
        <f t="shared" si="14"/>
        <v>-</v>
      </c>
      <c r="AN289" s="313" t="str">
        <f t="shared" si="15"/>
        <v>-</v>
      </c>
      <c r="AO289" s="314" t="str">
        <f t="shared" si="16"/>
        <v>T</v>
      </c>
      <c r="AP289" s="316">
        <f t="shared" si="17"/>
        <v>1</v>
      </c>
      <c r="AQ289" s="319" t="str">
        <f t="shared" si="18"/>
        <v>#REF!</v>
      </c>
      <c r="AR289" s="320">
        <f t="shared" si="19"/>
        <v>0</v>
      </c>
      <c r="AS289" s="250" t="str">
        <f>IFERROR(__xludf.DUMMYFUNCTION("SUBSTITUTE(SUBSTITUTE(CONCATENATE(JOIN("""",FP289:GA289)),""|"",""x""),""-"",""o"")"),"xoxooxoooxox")</f>
        <v>xoxooxoooxox</v>
      </c>
      <c r="AT289" s="323" t="str">
        <f>IFERROR(__xludf.DUMMYFUNCTION("JOIN("""",AS289,AS289)"),"xoxooxoooxoxxoxooxoooxox")</f>
        <v>xoxooxoooxoxxoxooxoooxox</v>
      </c>
      <c r="AU289" s="256" t="str">
        <f>IFERROR(__xludf.DUMMYFUNCTION("JOIN("""",ArrayFormula(MID(AS289,LEN(AS289)-SEQUENCE(1,LEN(AS289))+1,1)))"),"xoxoooxooxox")</f>
        <v>xoxoooxooxox</v>
      </c>
      <c r="AV289" s="256" t="str">
        <f>IFERROR(__xludf.DUMMYFUNCTION("LEFT(CONCATENATE(""x"",JOIN("""",ArrayFormula(MID(AS289,LEN(AS289)-SEQUENCE(1,LEN(AS289))+1,1)))),12)"),"xxoxoooxooxo")</f>
        <v>xxoxoooxooxo</v>
      </c>
      <c r="AW289" s="327" t="str">
        <f>IFERROR(__xludf.DUMMYFUNCTION("JOIN("""",AU289,AU289)"),"xoxoooxooxoxxoxoooxooxox")</f>
        <v>xoxoooxooxoxxoxoooxooxox</v>
      </c>
      <c r="AX289" s="239" t="str">
        <f>IFERROR(__xludf.DUMMYFUNCTION("IF(REGEXMATCH(AW289,AS289),""✔"",""-"")"),"-")</f>
        <v>-</v>
      </c>
      <c r="AY289" s="330" t="str">
        <f t="shared" si="20"/>
        <v>-</v>
      </c>
      <c r="AZ289" s="260" t="str">
        <f t="shared" si="21"/>
        <v>#REF!</v>
      </c>
      <c r="BA289" s="333" t="str">
        <f t="shared" si="22"/>
        <v>xoxooxo</v>
      </c>
      <c r="BB289" s="334" t="str">
        <f t="shared" si="23"/>
        <v>ooxoxx</v>
      </c>
      <c r="BC289" s="335" t="str">
        <f t="shared" si="236"/>
        <v>-</v>
      </c>
      <c r="BD289" s="336" t="str">
        <f t="shared" si="25"/>
        <v>Rasaranjani: 'xoxooxo' + 'ooxoxx'</v>
      </c>
      <c r="BE289" s="337">
        <f>IFERROR(__xludf.DUMMYFUNCTION("COUNTUNIQUE(FILTER(AT:AT,REGEXMATCH(AT:AT,AS289)))-1"),1.0)</f>
        <v>1</v>
      </c>
      <c r="BF289" s="261" t="str">
        <f>IFERROR(__xludf.DUMMYFUNCTION("IF(BI289=0,""(n/a)"",IF(BJ289=2,""(PAIR)"",IF(REGEXMATCH(AT289,""xoxoxxoxoxox""),""Bilawal"",IF(REGEXMATCH(AT289,""xoxoxooxoxoo""),""Bhupali"",IF(REGEXMATCH(AT289,""xoxoxxoxxoxo""),""Charukeshi"",IF(REGEXMATCH(AT289,""xoxoooxxoxxo""),""Kameshwari"",IF(REG"&amp;"EXMATCH(AT289,""xoxoxooxoxox""),""Shankara"",IF(REGEXMATCH(AT289,""xxooxoxxxoox""),""Basant"",IF(REGEXMATCH(AT289,""xoxoxxxxoxox""),""Bihag"",IF(REGEXMATCH(AT289,""xoxxxxoxoxxx""),""Pilu"",IF(REGEXMATCH(AT289,""xoxxoxoxxoox""),""Kirwani"",IF(REGEXMATCH(AT"&amp;"289,""xoxxoxoxoxxx""),""Mk.Malhar"",IF(REGEXMATCH(AT289,""xxooxxoxxoox""),""Bhairav"",IF(REGEXMATCH(AT289,""xxoxooxxxoox""),""Todi"",IF(REGEXMATCH(AT289,""xxooxoxooxox""),""Marwa"",IF(REGEXMATCH(AT289,""xxoooxoxxooo""),""Gunkali"",IF(REGEXMATCH(AT289,""xo"&amp;"xoxxoxxoox""),""Nat Bhairav"",IF(REGEXMATCH(AT289,""xoxxoooxoxoo""),""Shivranjani"",IF(REGEXMATCH(AT289,""xooxxxoxooxo""),""Jog"",IF(REGEXMATCH(AT289,""xxooxoxoxoox""),""Hemshri"",IF(REGEXMATCH(AT289,""xoooxooxoxxo""),""Kalavati"",IF(REGEXMATCH(AT289,""xx"&amp;"oxoxxoxoox""),""Kedar"",IF(REGEXMATCH(AT289,""xoxxxxoxooxx""),""Gara"",IF(REGEXMATCH(AT289,""xooxoxooxoox""),""Chandrakauns"",IF(REGEXMATCH(AT289,""xoxxxxoxxxox""),""Mand"",IF(REGEXMATCH(AT289,""xoxxxxoxoxox""),""Hanskinkini"",IF(REGEXMATCH(AT289,""xxooxx"&amp;"oxooxo""),""Lilavati"",IF(REGEXMATCH(AT289,""xooxoxoooxox""),""Rajeshwari"",IF(REGEXMATCH(AT289,""xoooxxoxoxxx""),""Khokar"",IF(REGEXMATCH(AT289,""xxooxoxxxxox""),""Maligoura"",""-""))))))))))))))))))))))))))))))"),"(PAIR)")</f>
        <v>(PAIR)</v>
      </c>
      <c r="BG289" s="239" t="str">
        <f t="shared" si="26"/>
        <v>#REF!</v>
      </c>
      <c r="BH289" s="239">
        <f>IFERROR(__xludf.DUMMYFUNCTION("COUNTUNIQUE(FE289:FO289)-1"),4.0)</f>
        <v>4</v>
      </c>
      <c r="BI289" s="239">
        <f>IFERROR(__xludf.DUMMYFUNCTION("COUNTUNIQUE(FILTER(AT:AT,REGEXMATCH(AT:AT,AS289)))-1"),1.0)</f>
        <v>1</v>
      </c>
      <c r="BJ289" s="239">
        <f>IFERROR(__xludf.DUMMYFUNCTION("COUNTA(FILTER(AT:AT,REGEXMATCH(AT:AT,AS289)))"),2.0)</f>
        <v>2</v>
      </c>
      <c r="BK289" s="341">
        <f>IFERROR(__xludf.DUMMYFUNCTION("COUNTA(FILTER(AT:AT,REGEXMATCH(AT:AT,AS289)))-AR289"),2.0)</f>
        <v>2</v>
      </c>
      <c r="BL289" s="276" t="str">
        <f>IFERROR(__xludf.DUMMYFUNCTION("IF(AS289=""oooooooooooo"",""-"",IF(REGEXMATCH(AT289,""xx""), ""Hemi."", ""Anhemi.""))"),"Hemi.")</f>
        <v>Hemi.</v>
      </c>
      <c r="BM289" s="282" t="str">
        <f>IFERROR(__xludf.DUMMYFUNCTION("IF(AS289=""oooooooooooo"",""-"",IF(REGEXMATCH(AT289,""xxx""), ""Cohem."", ""-""))"),"-")</f>
        <v>-</v>
      </c>
      <c r="BN289" s="282" t="str">
        <f>IFERROR(__xludf.DUMMYFUNCTION("IF(AS289=""oooooooooooo"",""-"",IF(REGEXMATCH(AT289,""xxxx""), ""Co-Co."", ""-""))"),"-")</f>
        <v>-</v>
      </c>
      <c r="BO289" s="342" t="str">
        <f>IFERROR(__xludf.DUMMYFUNCTION("IF(AS289=""oooooooooooo"",""-"",IF(REGEXMATCH(AT289,""xxxxx""), ""CCC."", ""-""))"),"-")</f>
        <v>-</v>
      </c>
      <c r="BP289" s="344" t="str">
        <f t="shared" si="27"/>
        <v>-</v>
      </c>
      <c r="BQ289" s="282" t="str">
        <f>IFERROR(__xludf.DUMMYFUNCTION("IF(REGEXMATCH(JOIN(""-"",EU289:FD289),""TRUE""),""✔"",""-"")"),"✔")</f>
        <v>✔</v>
      </c>
      <c r="BR289" s="225">
        <f t="shared" si="28"/>
        <v>1</v>
      </c>
      <c r="BS289" s="345" t="str">
        <f>IFERROR(__xludf.DUMMYFUNCTION("SUBSTITUTE(SUBSTITUTE(SUBSTITUTE(SUBSTITUTE(CONCATENATE(JOIN(""-"",GC289:GO289)),""--"",""-""),""--"",""-""),""--"",""-""),""--"",""-"")"),"1-2-4-6-7-8")</f>
        <v>1-2-4-6-7-8</v>
      </c>
      <c r="BT289" s="299" t="str">
        <f>IFERROR(__xludf.DUMMYFUNCTION("SUBSTITUTE(SUBSTITUTE(SUBSTITUTE(SUBSTITUTE(CONCATENATE(JOIN(""-"",GP289:HB289)),""--"",""-""),""--"",""-""),""--"",""-""),""--"",""-"")"),"S-R2-M1-D2-N3-S")</f>
        <v>S-R2-M1-D2-N3-S</v>
      </c>
      <c r="BU289" s="348" t="str">
        <f t="shared" si="29"/>
        <v>C-D-F-A-B-C</v>
      </c>
      <c r="BV289" s="349" t="str">
        <f t="shared" si="30"/>
        <v>SrgGMPdnS</v>
      </c>
      <c r="BW289" s="350">
        <f t="shared" si="31"/>
        <v>0</v>
      </c>
      <c r="BX289" s="351">
        <f t="shared" si="32"/>
        <v>1</v>
      </c>
      <c r="BY289" s="392"/>
      <c r="BZ289" s="309" t="str">
        <f>IFERROR(__xludf.DUMMYFUNCTION("IF(REGEXMATCH(C289, ""S""), ""x"",""x"")"),"x")</f>
        <v>x</v>
      </c>
      <c r="CA289" s="245" t="str">
        <f>IFERROR(__xludf.DUMMYFUNCTION("IF(REGEXMATCH(C289, ""r""), ""o"",""x"")"),"x")</f>
        <v>x</v>
      </c>
      <c r="CB289" s="246" t="str">
        <f>IFERROR(__xludf.DUMMYFUNCTION("IF(REGEXMATCH(C289, ""R""), ""o"",""x"")"),"o")</f>
        <v>o</v>
      </c>
      <c r="CC289" s="246" t="str">
        <f>IFERROR(__xludf.DUMMYFUNCTION("IF(REGEXMATCH(C289, ""g""), ""o"",""x"")"),"x")</f>
        <v>x</v>
      </c>
      <c r="CD289" s="245" t="str">
        <f>IFERROR(__xludf.DUMMYFUNCTION("IF(REGEXMATCH(C289, ""G""), ""o"",""x"")"),"x")</f>
        <v>x</v>
      </c>
      <c r="CE289" s="245" t="str">
        <f>IFERROR(__xludf.DUMMYFUNCTION("IF(REGEXMATCH(C289, ""m""), ""o"",""x"")"),"o")</f>
        <v>o</v>
      </c>
      <c r="CF289" s="246" t="str">
        <f>IFERROR(__xludf.DUMMYFUNCTION("IF(REGEXMATCH(C289, ""M""), ""o"",""x"")"),"x")</f>
        <v>x</v>
      </c>
      <c r="CG289" s="245" t="str">
        <f>IFERROR(__xludf.DUMMYFUNCTION("IF(REGEXMATCH(C289, ""P""), ""o"",""x"")"),"x")</f>
        <v>x</v>
      </c>
      <c r="CH289" s="246" t="str">
        <f>IFERROR(__xludf.DUMMYFUNCTION("IF(REGEXMATCH(C289, ""d""), ""o"",""x"")"),"x")</f>
        <v>x</v>
      </c>
      <c r="CI289" s="245" t="str">
        <f>IFERROR(__xludf.DUMMYFUNCTION("IF(REGEXMATCH(C289, ""D""), ""o"",""x"")"),"o")</f>
        <v>o</v>
      </c>
      <c r="CJ289" s="245" t="str">
        <f>IFERROR(__xludf.DUMMYFUNCTION("IF(REGEXMATCH(C289, ""n""), ""o"",""x"")"),"x")</f>
        <v>x</v>
      </c>
      <c r="CK289" s="245" t="str">
        <f>IFERROR(__xludf.DUMMYFUNCTION("IF(REGEXMATCH(C289, ""N""), ""o"",""x"")"),"o")</f>
        <v>o</v>
      </c>
      <c r="CL289" s="356" t="str">
        <f>IFERROR(__xludf.DUMMYFUNCTION("IF(REGEXMATCH(C289, ""S""), ""x"",""x"")"),"x")</f>
        <v>x</v>
      </c>
      <c r="CM289" s="357" t="str">
        <f t="shared" si="33"/>
        <v>xxoxxoxxxoxo</v>
      </c>
      <c r="CN289" s="358">
        <f t="shared" si="34"/>
        <v>0</v>
      </c>
      <c r="CO289" s="246" t="str">
        <f>IFERROR(__xludf.DUMMYFUNCTION("IF(REGEXMATCH($C289, ""S""), ""S"",""S"")"),"S")</f>
        <v>S</v>
      </c>
      <c r="CP289" s="246" t="str">
        <f>IFERROR(__xludf.DUMMYFUNCTION("IF(REGEXMATCH($C289, ""r""), """",""r"")"),"r")</f>
        <v>r</v>
      </c>
      <c r="CQ289" s="246" t="str">
        <f>IFERROR(__xludf.DUMMYFUNCTION("IF(REGEXMATCH($C289, ""R""), """",""R"")"),"")</f>
        <v/>
      </c>
      <c r="CR289" s="246" t="str">
        <f>IFERROR(__xludf.DUMMYFUNCTION("IF(REGEXMATCH($C289, ""g""), """",""g"")"),"g")</f>
        <v>g</v>
      </c>
      <c r="CS289" s="246" t="str">
        <f>IFERROR(__xludf.DUMMYFUNCTION("IF(REGEXMATCH($C289, ""G""), """",""G"")"),"G")</f>
        <v>G</v>
      </c>
      <c r="CT289" s="246" t="str">
        <f>IFERROR(__xludf.DUMMYFUNCTION("IF(REGEXMATCH($C289, ""m""), """",""m"")"),"")</f>
        <v/>
      </c>
      <c r="CU289" s="246" t="str">
        <f>IFERROR(__xludf.DUMMYFUNCTION("IF(REGEXMATCH($C289, ""M""), """",""M"")"),"M")</f>
        <v>M</v>
      </c>
      <c r="CV289" s="246" t="str">
        <f>IFERROR(__xludf.DUMMYFUNCTION("IF(REGEXMATCH($C289, ""P""), """",""P"")"),"P")</f>
        <v>P</v>
      </c>
      <c r="CW289" s="246" t="str">
        <f>IFERROR(__xludf.DUMMYFUNCTION("IF(REGEXMATCH($C289, ""d""), """",""d"")"),"d")</f>
        <v>d</v>
      </c>
      <c r="CX289" s="246" t="str">
        <f>IFERROR(__xludf.DUMMYFUNCTION("IF(REGEXMATCH($C289, ""D""), """",""D"")"),"")</f>
        <v/>
      </c>
      <c r="CY289" s="246" t="str">
        <f>IFERROR(__xludf.DUMMYFUNCTION("IF(REGEXMATCH($C289, ""n""), """",""n"")"),"n")</f>
        <v>n</v>
      </c>
      <c r="CZ289" s="246" t="str">
        <f>IFERROR(__xludf.DUMMYFUNCTION("IF(REGEXMATCH($C289, ""N""), """",""N"")"),"")</f>
        <v/>
      </c>
      <c r="DA289" s="246" t="str">
        <f>IFERROR(__xludf.DUMMYFUNCTION("IF(REGEXMATCH($C289, ""S""), ""S"",""S"")"),"S")</f>
        <v>S</v>
      </c>
      <c r="DB289" s="362" t="str">
        <f>IFERROR(__xludf.DUMMYFUNCTION("JOIN("""",CO289:DA289,"""","""")"),"SrgGMPdnS")</f>
        <v>SrgGMPdnS</v>
      </c>
      <c r="DC289" s="363"/>
      <c r="DD289" s="301" t="str">
        <f t="shared" si="35"/>
        <v>#REF!</v>
      </c>
      <c r="DE289" s="302" t="str">
        <f t="shared" si="36"/>
        <v>#REF!</v>
      </c>
      <c r="DF289" s="301" t="str">
        <f t="shared" ref="DF289:DG289" si="803">SUBSTITUTE(S289,"-","")</f>
        <v>SRM</v>
      </c>
      <c r="DG289" s="301" t="str">
        <f t="shared" si="803"/>
        <v>DNS</v>
      </c>
      <c r="DH289" s="302" t="str">
        <f t="shared" si="38"/>
        <v>(PAIR)</v>
      </c>
      <c r="DI289" s="301" t="str">
        <f t="shared" si="39"/>
        <v>Hemi.</v>
      </c>
      <c r="DJ289" s="364" t="str">
        <f t="shared" si="40"/>
        <v>-</v>
      </c>
      <c r="DK289" s="306" t="str">
        <f t="shared" si="41"/>
        <v>-</v>
      </c>
      <c r="DL289" s="366" t="str">
        <f t="shared" si="42"/>
        <v>✔</v>
      </c>
      <c r="DM289" s="308" t="str">
        <f t="shared" si="43"/>
        <v>-</v>
      </c>
      <c r="DN289" s="306" t="str">
        <f t="shared" si="44"/>
        <v>✔</v>
      </c>
      <c r="DO289" s="306" t="str">
        <f t="shared" si="45"/>
        <v>-</v>
      </c>
      <c r="DP289" s="367" t="str">
        <f t="shared" si="46"/>
        <v>-</v>
      </c>
      <c r="DQ289" s="310" t="str">
        <f t="shared" si="47"/>
        <v>-</v>
      </c>
      <c r="DR289" s="310" t="str">
        <f t="shared" si="48"/>
        <v>-</v>
      </c>
      <c r="DS289" s="310" t="str">
        <f t="shared" si="49"/>
        <v>-</v>
      </c>
      <c r="DT289" s="310" t="str">
        <f t="shared" si="50"/>
        <v>-</v>
      </c>
      <c r="DU289" s="370" t="str">
        <f t="shared" si="51"/>
        <v>-</v>
      </c>
      <c r="DV289" s="306" t="str">
        <f t="shared" si="52"/>
        <v>-</v>
      </c>
      <c r="DW289" s="306" t="str">
        <f t="shared" si="53"/>
        <v>✔</v>
      </c>
      <c r="DX289" s="306" t="str">
        <f t="shared" si="54"/>
        <v>-</v>
      </c>
      <c r="DY289" s="306" t="str">
        <f t="shared" si="55"/>
        <v>✔</v>
      </c>
      <c r="DZ289" s="306" t="str">
        <f t="shared" si="56"/>
        <v>-</v>
      </c>
      <c r="EA289" s="367" t="str">
        <f t="shared" si="57"/>
        <v>-</v>
      </c>
      <c r="EB289" s="310" t="str">
        <f>IFERROR(__xludf.DUMMYFUNCTION("IF(REGEXMATCH(AW289,AS289),""✔"",""-"")"),"-")</f>
        <v>-</v>
      </c>
      <c r="EC289" s="310" t="str">
        <f t="shared" si="58"/>
        <v>#REF!</v>
      </c>
      <c r="ED289" s="370" t="str">
        <f t="shared" si="59"/>
        <v>-</v>
      </c>
      <c r="EE289" s="340" t="str">
        <f t="shared" si="60"/>
        <v>S-R-m-D-N-S</v>
      </c>
      <c r="EF289" s="371" t="str">
        <f>IFERROR(__xludf.DUMMYFUNCTION("CONCATENATE(JOIN("""",HC289:HO289))"),"SrgPnS")</f>
        <v>SrgPnS</v>
      </c>
      <c r="EG289" s="372">
        <f t="shared" si="61"/>
        <v>3</v>
      </c>
      <c r="EH289" s="373" t="str">
        <f>IFERROR(__xludf.DUMMYFUNCTION("CONCATENATE(JOIN("""",JC289:JO289))"),"Sa, Dha, Ni, ")</f>
        <v>Sa, Dha, Ni, </v>
      </c>
      <c r="EI289" s="322">
        <f t="shared" si="62"/>
        <v>1</v>
      </c>
      <c r="EJ289" s="374" t="str">
        <f>IFERROR(__xludf.DUMMYFUNCTION("CONCATENATE(JOIN("""",KC289:KO289))"),"Ni, ")</f>
        <v>Ni, </v>
      </c>
      <c r="EK289" s="325" t="str">
        <f t="shared" si="63"/>
        <v>S-R2-M1-D2-N3-S</v>
      </c>
      <c r="EL289" s="326" t="str">
        <f t="shared" si="64"/>
        <v>1-2-4-6-7-8</v>
      </c>
      <c r="EM289" s="318" t="str">
        <f t="shared" si="65"/>
        <v>#REF!</v>
      </c>
      <c r="EN289" s="328" t="str">
        <f>IFERROR(__xludf.DUMMYFUNCTION("SUBSTITUTE(SUBSTITUTE(SUBSTITUTE(SUBSTITUTE(CONCATENATE(JOIN("" "",HP289:IB289)),""  "","" ""),""  "","" ""),""  "","" ""),""  "","" "")"),"o • o • • o • • • o • o o")</f>
        <v>o • o • • o • • • o • o o</v>
      </c>
      <c r="EO289" s="368" t="str">
        <f t="shared" si="66"/>
        <v>Sa-ma</v>
      </c>
      <c r="EP289" s="339" t="str">
        <f t="shared" si="67"/>
        <v>-</v>
      </c>
      <c r="EQ289" s="339" t="str">
        <f t="shared" si="68"/>
        <v>-</v>
      </c>
      <c r="ER289" s="339" t="str">
        <f t="shared" si="69"/>
        <v>-</v>
      </c>
      <c r="ES289" s="340" t="str">
        <f t="shared" si="70"/>
        <v>Sa-ma</v>
      </c>
      <c r="ET289" s="363"/>
      <c r="EU289" s="376" t="b">
        <f>IFERROR(__xludf.DUMMYFUNCTION("arrayformula(sum(--REGEXMATCH(""SRGMPDNS"",split(REGEXREPLACE(C289,""(.)"",""$1~""),""~""))))=len(C289)
"),FALSE)</f>
        <v>0</v>
      </c>
      <c r="EV289" s="290" t="b">
        <f>IFERROR(__xludf.DUMMYFUNCTION("arrayformula(sum(--REGEXMATCH(""SRGmPDNS"",split(REGEXREPLACE(C289,""(.)"",""$1~""),""~""))))=len(C289)"),TRUE)</f>
        <v>1</v>
      </c>
      <c r="EW289" s="290" t="b">
        <f>IFERROR(__xludf.DUMMYFUNCTION("arrayformula(sum(--REGEXMATCH(""SRGmPDnS"",split(REGEXREPLACE(C289,""(.)"",""$1~""),""~""))))=len(C289)"),FALSE)</f>
        <v>0</v>
      </c>
      <c r="EX289" s="290" t="b">
        <f>IFERROR(__xludf.DUMMYFUNCTION("arrayformula(sum(--REGEXMATCH(""SRgmPDnS"",split(REGEXREPLACE(C289,""(.)"",""$1~""),""~""))))=len(C289)"),FALSE)</f>
        <v>0</v>
      </c>
      <c r="EY289" s="290" t="b">
        <f>IFERROR(__xludf.DUMMYFUNCTION("arrayformula(sum(--REGEXMATCH(""SRgmPdnS"",split(REGEXREPLACE(C289,""(.)"",""$1~""),""~""))))=len(C289)"),FALSE)</f>
        <v>0</v>
      </c>
      <c r="EZ289" s="290" t="b">
        <f>IFERROR(__xludf.DUMMYFUNCTION("arrayformula(sum(--REGEXMATCH(""SrgmPdnS"",split(REGEXREPLACE(C289,""(.)"",""$1~""),""~""))))=len(C289)"),FALSE)</f>
        <v>0</v>
      </c>
      <c r="FA289" s="290" t="b">
        <f>IFERROR(__xludf.DUMMYFUNCTION("arrayformula(sum(--REGEXMATCH(""SrGmPdNS"",split(REGEXREPLACE(C289,""(.)"",""$1~""),""~""))))=len(C289)"),FALSE)</f>
        <v>0</v>
      </c>
      <c r="FB289" s="290" t="b">
        <f>IFERROR(__xludf.DUMMYFUNCTION("arrayformula(sum(--REGEXMATCH(""SrGMPDNS"",split(REGEXREPLACE(C289,""(.)"",""$1~""),""~""))))=len(C289)"),FALSE)</f>
        <v>0</v>
      </c>
      <c r="FC289" s="290" t="b">
        <f>IFERROR(__xludf.DUMMYFUNCTION("arrayformula(sum(--REGEXMATCH(""SrGMPdNS"",split(REGEXREPLACE(C289,""(.)"",""$1~""),""~""))))=len(C289)"),FALSE)</f>
        <v>0</v>
      </c>
      <c r="FD289" s="377" t="b">
        <f>IFERROR(__xludf.DUMMYFUNCTION("arrayformula(sum(--REGEXMATCH(""SrgMPdNS"",split(REGEXREPLACE(C289,""(.)"",""$1~""),""~""))))=len(C289)"),FALSE)</f>
        <v>0</v>
      </c>
      <c r="FE289" s="269" t="str">
        <f t="shared" si="71"/>
        <v>-</v>
      </c>
      <c r="FF289" s="269" t="str">
        <f t="shared" si="72"/>
        <v>xooxoooxoxx</v>
      </c>
      <c r="FG289" s="271" t="str">
        <f t="shared" si="73"/>
        <v>-</v>
      </c>
      <c r="FH289" s="269" t="str">
        <f t="shared" si="74"/>
        <v>-</v>
      </c>
      <c r="FI289" s="271" t="str">
        <f t="shared" si="75"/>
        <v>xoooxoxxoxo</v>
      </c>
      <c r="FJ289" s="271" t="str">
        <f t="shared" si="76"/>
        <v>-</v>
      </c>
      <c r="FK289" s="271" t="str">
        <f t="shared" si="77"/>
        <v>-</v>
      </c>
      <c r="FL289" s="271" t="str">
        <f t="shared" si="78"/>
        <v>-</v>
      </c>
      <c r="FM289" s="271" t="str">
        <f t="shared" si="79"/>
        <v>xoxxoxooxoo</v>
      </c>
      <c r="FN289" s="271" t="str">
        <f t="shared" si="80"/>
        <v>-</v>
      </c>
      <c r="FO289" s="274" t="str">
        <f t="shared" si="81"/>
        <v>xxoxooxooox</v>
      </c>
      <c r="FP289" s="234" t="str">
        <f t="shared" si="82"/>
        <v>|</v>
      </c>
      <c r="FQ289" s="236" t="str">
        <f t="shared" si="83"/>
        <v>-</v>
      </c>
      <c r="FR289" s="237" t="str">
        <f t="shared" si="84"/>
        <v>|</v>
      </c>
      <c r="FS289" s="236" t="str">
        <f t="shared" si="85"/>
        <v>-</v>
      </c>
      <c r="FT289" s="237" t="str">
        <f t="shared" si="86"/>
        <v>-</v>
      </c>
      <c r="FU289" s="236" t="str">
        <f t="shared" si="87"/>
        <v>|</v>
      </c>
      <c r="FV289" s="237" t="str">
        <f t="shared" si="88"/>
        <v>-</v>
      </c>
      <c r="FW289" s="236" t="str">
        <f t="shared" si="89"/>
        <v>-</v>
      </c>
      <c r="FX289" s="237" t="str">
        <f t="shared" si="90"/>
        <v>-</v>
      </c>
      <c r="FY289" s="236" t="str">
        <f t="shared" si="91"/>
        <v>|</v>
      </c>
      <c r="FZ289" s="237" t="str">
        <f t="shared" si="92"/>
        <v>-</v>
      </c>
      <c r="GA289" s="236" t="str">
        <f t="shared" si="93"/>
        <v>|</v>
      </c>
      <c r="GB289" s="238" t="str">
        <f t="shared" si="94"/>
        <v>|</v>
      </c>
      <c r="GC289" s="244" t="str">
        <f>IFERROR(__xludf.DUMMYFUNCTION("IF(REGEXMATCH(C289, ""S""), ""1"","""")"),"1")</f>
        <v>1</v>
      </c>
      <c r="GD289" s="245" t="str">
        <f>IFERROR(__xludf.DUMMYFUNCTION("IF(REGEXMATCH(C289, ""r""), ""b2"","""")"),"")</f>
        <v/>
      </c>
      <c r="GE289" s="246" t="str">
        <f>IFERROR(__xludf.DUMMYFUNCTION("IF(REGEXMATCH(C289, ""R""), ""2"","""")"),"2")</f>
        <v>2</v>
      </c>
      <c r="GF289" s="246" t="str">
        <f>IFERROR(__xludf.DUMMYFUNCTION("IF(REGEXMATCH(C289, ""g""), ""b3"","""")"),"")</f>
        <v/>
      </c>
      <c r="GG289" s="245" t="str">
        <f>IFERROR(__xludf.DUMMYFUNCTION("IF(REGEXMATCH(C289, ""G""), ""3"","""")"),"")</f>
        <v/>
      </c>
      <c r="GH289" s="245" t="str">
        <f>IFERROR(__xludf.DUMMYFUNCTION("IF(REGEXMATCH(C289, ""m""), ""4"","""")"),"4")</f>
        <v>4</v>
      </c>
      <c r="GI289" s="246" t="str">
        <f>IFERROR(__xludf.DUMMYFUNCTION("IF(REGEXMATCH(C289, ""M""), ""#4"","""")"),"")</f>
        <v/>
      </c>
      <c r="GJ289" s="245" t="str">
        <f>IFERROR(__xludf.DUMMYFUNCTION("IF(REGEXMATCH(C289, ""P""), ""5"","""")"),"")</f>
        <v/>
      </c>
      <c r="GK289" s="246" t="str">
        <f>IFERROR(__xludf.DUMMYFUNCTION("IF(REGEXMATCH(C289, ""d""), ""b6"","""")"),"")</f>
        <v/>
      </c>
      <c r="GL289" s="245" t="str">
        <f>IFERROR(__xludf.DUMMYFUNCTION("IF(REGEXMATCH(C289, ""D""), ""6"","""")"),"6")</f>
        <v>6</v>
      </c>
      <c r="GM289" s="245" t="str">
        <f>IFERROR(__xludf.DUMMYFUNCTION("IF(REGEXMATCH(C289, ""n""), ""b7"","""")"),"")</f>
        <v/>
      </c>
      <c r="GN289" s="246" t="str">
        <f>IFERROR(__xludf.DUMMYFUNCTION("IF(REGEXMATCH(C289, ""N""), ""7"","""")"),"7")</f>
        <v>7</v>
      </c>
      <c r="GO289" s="249" t="str">
        <f>IFERROR(__xludf.DUMMYFUNCTION("IF(REGEXMATCH(C289, ""S""), ""8"","""")"),"8")</f>
        <v>8</v>
      </c>
      <c r="GP289" s="244" t="str">
        <f>IFERROR(__xludf.DUMMYFUNCTION("IF(REGEXMATCH(C289, ""S""), ""S"","""")"),"S")</f>
        <v>S</v>
      </c>
      <c r="GQ289" s="294" t="str">
        <f>IFERROR(__xludf.DUMMYFUNCTION("IF(REGEXMATCH(C289, ""r""), ""R1"","""")"),"")</f>
        <v/>
      </c>
      <c r="GR289" s="295" t="str">
        <f>IFERROR(__xludf.DUMMYFUNCTION("IF(REGEXMATCH(C289, ""R""), ""R2"","""")"),"R2")</f>
        <v>R2</v>
      </c>
      <c r="GS289" s="295" t="str">
        <f>IFERROR(__xludf.DUMMYFUNCTION("IF(REGEXMATCH(C289, ""g""), ""G2"","""")"),"")</f>
        <v/>
      </c>
      <c r="GT289" s="294" t="str">
        <f>IFERROR(__xludf.DUMMYFUNCTION("IF(REGEXMATCH(C289, ""G""), ""G3"","""")"),"")</f>
        <v/>
      </c>
      <c r="GU289" s="294" t="str">
        <f>IFERROR(__xludf.DUMMYFUNCTION("IF(REGEXMATCH(C289, ""m""), ""M1"","""")"),"M1")</f>
        <v>M1</v>
      </c>
      <c r="GV289" s="295" t="str">
        <f>IFERROR(__xludf.DUMMYFUNCTION("IF(REGEXMATCH(C289, ""M""), ""M2"","""")"),"")</f>
        <v/>
      </c>
      <c r="GW289" s="294" t="str">
        <f>IFERROR(__xludf.DUMMYFUNCTION("IF(REGEXMATCH(C289, ""P""), ""P"","""")"),"")</f>
        <v/>
      </c>
      <c r="GX289" s="295" t="str">
        <f>IFERROR(__xludf.DUMMYFUNCTION("IF(REGEXMATCH(C289, ""d""), ""D1"","""")"),"")</f>
        <v/>
      </c>
      <c r="GY289" s="294" t="str">
        <f>IFERROR(__xludf.DUMMYFUNCTION("IF(REGEXMATCH(C289, ""D""), ""D2"","""")"),"D2")</f>
        <v>D2</v>
      </c>
      <c r="GZ289" s="294" t="str">
        <f>IFERROR(__xludf.DUMMYFUNCTION("IF(REGEXMATCH(C289, ""n""), ""N2"","""")"),"")</f>
        <v/>
      </c>
      <c r="HA289" s="295" t="str">
        <f>IFERROR(__xludf.DUMMYFUNCTION("IF(REGEXMATCH(C289, ""N""), ""N3"","""")"),"N3")</f>
        <v>N3</v>
      </c>
      <c r="HB289" s="249" t="str">
        <f>IFERROR(__xludf.DUMMYFUNCTION("IF(REGEXMATCH(C289, ""S""), ""S"","""")"),"S")</f>
        <v>S</v>
      </c>
      <c r="HC289" s="331" t="str">
        <f t="shared" si="95"/>
        <v>S</v>
      </c>
      <c r="HD289" s="332" t="str">
        <f t="shared" si="96"/>
        <v>r</v>
      </c>
      <c r="HE289" s="332" t="str">
        <f t="shared" si="97"/>
        <v/>
      </c>
      <c r="HF289" s="332" t="str">
        <f t="shared" si="98"/>
        <v>g</v>
      </c>
      <c r="HG289" s="332" t="str">
        <f t="shared" si="99"/>
        <v/>
      </c>
      <c r="HH289" s="332" t="str">
        <f t="shared" si="100"/>
        <v/>
      </c>
      <c r="HI289" s="332" t="str">
        <f t="shared" si="101"/>
        <v/>
      </c>
      <c r="HJ289" s="332" t="str">
        <f t="shared" si="102"/>
        <v>P</v>
      </c>
      <c r="HK289" s="332" t="str">
        <f t="shared" si="103"/>
        <v/>
      </c>
      <c r="HL289" s="332" t="str">
        <f t="shared" si="104"/>
        <v/>
      </c>
      <c r="HM289" s="332" t="str">
        <f t="shared" si="105"/>
        <v>n</v>
      </c>
      <c r="HN289" s="332" t="str">
        <f t="shared" si="106"/>
        <v/>
      </c>
      <c r="HO289" s="343" t="str">
        <f t="shared" si="107"/>
        <v>S</v>
      </c>
      <c r="HP289" s="331" t="str">
        <f t="shared" si="108"/>
        <v>o</v>
      </c>
      <c r="HQ289" s="332" t="str">
        <f t="shared" si="109"/>
        <v>•</v>
      </c>
      <c r="HR289" s="332" t="str">
        <f t="shared" si="110"/>
        <v>o</v>
      </c>
      <c r="HS289" s="332" t="str">
        <f t="shared" si="111"/>
        <v>•</v>
      </c>
      <c r="HT289" s="332" t="str">
        <f t="shared" si="112"/>
        <v>•</v>
      </c>
      <c r="HU289" s="332" t="str">
        <f t="shared" si="113"/>
        <v>o</v>
      </c>
      <c r="HV289" s="332" t="str">
        <f t="shared" si="114"/>
        <v>•</v>
      </c>
      <c r="HW289" s="332" t="str">
        <f t="shared" si="115"/>
        <v>•</v>
      </c>
      <c r="HX289" s="332" t="str">
        <f t="shared" si="116"/>
        <v>•</v>
      </c>
      <c r="HY289" s="332" t="str">
        <f t="shared" si="117"/>
        <v>o</v>
      </c>
      <c r="HZ289" s="332" t="str">
        <f t="shared" si="118"/>
        <v>•</v>
      </c>
      <c r="IA289" s="332" t="str">
        <f t="shared" si="119"/>
        <v>o</v>
      </c>
      <c r="IB289" s="338" t="str">
        <f t="shared" si="120"/>
        <v>o</v>
      </c>
      <c r="IC289" s="331" t="str">
        <f t="shared" si="121"/>
        <v>•</v>
      </c>
      <c r="ID289" s="332" t="str">
        <f t="shared" si="122"/>
        <v>o</v>
      </c>
      <c r="IE289" s="332" t="str">
        <f t="shared" si="123"/>
        <v>•</v>
      </c>
      <c r="IF289" s="332" t="str">
        <f t="shared" si="124"/>
        <v>o</v>
      </c>
      <c r="IG289" s="332" t="str">
        <f t="shared" si="125"/>
        <v>o</v>
      </c>
      <c r="IH289" s="332" t="str">
        <f t="shared" si="126"/>
        <v>•</v>
      </c>
      <c r="II289" s="332" t="str">
        <f t="shared" si="127"/>
        <v>o</v>
      </c>
      <c r="IJ289" s="332" t="str">
        <f t="shared" si="128"/>
        <v>o</v>
      </c>
      <c r="IK289" s="332" t="str">
        <f t="shared" si="129"/>
        <v>o</v>
      </c>
      <c r="IL289" s="332" t="str">
        <f t="shared" si="130"/>
        <v>•</v>
      </c>
      <c r="IM289" s="332" t="str">
        <f t="shared" si="131"/>
        <v>o</v>
      </c>
      <c r="IN289" s="332" t="str">
        <f t="shared" si="132"/>
        <v>•</v>
      </c>
      <c r="IO289" s="338" t="str">
        <f t="shared" si="133"/>
        <v>•</v>
      </c>
      <c r="IP289" s="346" t="b">
        <f t="shared" si="134"/>
        <v>1</v>
      </c>
      <c r="IQ289" s="347" t="b">
        <f t="shared" si="135"/>
        <v>0</v>
      </c>
      <c r="IR289" s="347" t="b">
        <f t="shared" si="136"/>
        <v>0</v>
      </c>
      <c r="IS289" s="347" t="b">
        <f t="shared" si="137"/>
        <v>0</v>
      </c>
      <c r="IT289" s="347" t="b">
        <f t="shared" si="138"/>
        <v>0</v>
      </c>
      <c r="IU289" s="347" t="b">
        <f t="shared" si="139"/>
        <v>0</v>
      </c>
      <c r="IV289" s="347" t="b">
        <f t="shared" si="140"/>
        <v>0</v>
      </c>
      <c r="IW289" s="347" t="b">
        <f t="shared" si="141"/>
        <v>0</v>
      </c>
      <c r="IX289" s="347" t="b">
        <f t="shared" si="142"/>
        <v>0</v>
      </c>
      <c r="IY289" s="347" t="b">
        <f t="shared" si="143"/>
        <v>1</v>
      </c>
      <c r="IZ289" s="347" t="b">
        <f t="shared" si="144"/>
        <v>0</v>
      </c>
      <c r="JA289" s="347" t="b">
        <f t="shared" si="145"/>
        <v>1</v>
      </c>
      <c r="JB289" s="353" t="b">
        <f t="shared" si="146"/>
        <v>1</v>
      </c>
      <c r="JC289" s="354" t="str">
        <f t="shared" si="147"/>
        <v>Sa, </v>
      </c>
      <c r="JD289" s="355" t="str">
        <f t="shared" si="148"/>
        <v/>
      </c>
      <c r="JE289" s="355" t="str">
        <f t="shared" si="149"/>
        <v/>
      </c>
      <c r="JF289" s="355" t="str">
        <f t="shared" si="150"/>
        <v/>
      </c>
      <c r="JG289" s="355" t="str">
        <f t="shared" si="151"/>
        <v/>
      </c>
      <c r="JH289" s="355" t="str">
        <f t="shared" si="152"/>
        <v/>
      </c>
      <c r="JI289" s="355" t="str">
        <f t="shared" si="153"/>
        <v/>
      </c>
      <c r="JJ289" s="355" t="str">
        <f t="shared" si="154"/>
        <v/>
      </c>
      <c r="JK289" s="355" t="str">
        <f t="shared" si="155"/>
        <v/>
      </c>
      <c r="JL289" s="355" t="str">
        <f t="shared" si="156"/>
        <v>Dha, </v>
      </c>
      <c r="JM289" s="355" t="str">
        <f t="shared" si="157"/>
        <v/>
      </c>
      <c r="JN289" s="355" t="str">
        <f t="shared" si="158"/>
        <v>Ni, </v>
      </c>
      <c r="JO289" s="359" t="str">
        <f t="shared" si="159"/>
        <v/>
      </c>
      <c r="JP289" s="346" t="b">
        <f t="shared" si="160"/>
        <v>0</v>
      </c>
      <c r="JQ289" s="347" t="b">
        <f t="shared" si="161"/>
        <v>0</v>
      </c>
      <c r="JR289" s="347" t="b">
        <f t="shared" si="162"/>
        <v>0</v>
      </c>
      <c r="JS289" s="347" t="b">
        <f t="shared" si="163"/>
        <v>0</v>
      </c>
      <c r="JT289" s="347" t="b">
        <f t="shared" si="164"/>
        <v>0</v>
      </c>
      <c r="JU289" s="347" t="b">
        <f t="shared" si="165"/>
        <v>0</v>
      </c>
      <c r="JV289" s="347" t="b">
        <f t="shared" si="166"/>
        <v>0</v>
      </c>
      <c r="JW289" s="347" t="b">
        <f t="shared" si="167"/>
        <v>0</v>
      </c>
      <c r="JX289" s="347" t="b">
        <f t="shared" si="168"/>
        <v>0</v>
      </c>
      <c r="JY289" s="347" t="b">
        <f t="shared" si="169"/>
        <v>0</v>
      </c>
      <c r="JZ289" s="347" t="b">
        <f t="shared" si="170"/>
        <v>0</v>
      </c>
      <c r="KA289" s="347" t="b">
        <f t="shared" si="171"/>
        <v>1</v>
      </c>
      <c r="KB289" s="365" t="b">
        <f t="shared" si="172"/>
        <v>0</v>
      </c>
      <c r="KC289" s="354" t="str">
        <f t="shared" si="173"/>
        <v/>
      </c>
      <c r="KD289" s="355" t="str">
        <f t="shared" si="174"/>
        <v/>
      </c>
      <c r="KE289" s="355" t="str">
        <f t="shared" si="175"/>
        <v/>
      </c>
      <c r="KF289" s="355" t="str">
        <f t="shared" si="176"/>
        <v/>
      </c>
      <c r="KG289" s="355" t="str">
        <f t="shared" si="177"/>
        <v/>
      </c>
      <c r="KH289" s="355" t="str">
        <f t="shared" si="178"/>
        <v/>
      </c>
      <c r="KI289" s="355" t="str">
        <f t="shared" si="179"/>
        <v/>
      </c>
      <c r="KJ289" s="355" t="str">
        <f t="shared" si="180"/>
        <v/>
      </c>
      <c r="KK289" s="355" t="str">
        <f t="shared" si="181"/>
        <v/>
      </c>
      <c r="KL289" s="355" t="str">
        <f t="shared" si="182"/>
        <v/>
      </c>
      <c r="KM289" s="355" t="str">
        <f t="shared" si="183"/>
        <v/>
      </c>
      <c r="KN289" s="355" t="str">
        <f t="shared" si="184"/>
        <v>Ni, </v>
      </c>
      <c r="KO289" s="359"/>
      <c r="KP289" s="378"/>
      <c r="KQ289" s="379" t="s">
        <v>1100</v>
      </c>
      <c r="KR289" s="380" t="s">
        <v>1474</v>
      </c>
      <c r="KS289" s="381" t="str">
        <f t="shared" si="804"/>
        <v>S-R-m-D-N-S</v>
      </c>
      <c r="KT289" s="382">
        <f t="shared" si="186"/>
        <v>5</v>
      </c>
      <c r="KU289" s="383">
        <f t="shared" si="187"/>
        <v>5</v>
      </c>
      <c r="KV289" s="381" t="str">
        <f t="shared" si="205"/>
        <v>S-N-D-m-R-S</v>
      </c>
      <c r="KW289" s="382">
        <f t="shared" si="189"/>
        <v>5</v>
      </c>
      <c r="KX289" s="384">
        <f t="shared" si="190"/>
        <v>5</v>
      </c>
      <c r="KY289" s="382">
        <f t="shared" ref="KY289:KZ289" si="805">KW289-KT289</f>
        <v>0</v>
      </c>
      <c r="KZ289" s="369">
        <f t="shared" si="805"/>
        <v>0</v>
      </c>
      <c r="LA289" s="385" t="str">
        <f t="shared" si="192"/>
        <v>✔</v>
      </c>
      <c r="LB289" s="340" t="str">
        <f>IFERROR(__xludf.DUMMYFUNCTION("JOIN("""",ArrayFormula(MID(KS289,LEN(KS289)-SEQUENCE(1,LEN(KS289))+1,1)))"),"S-N-D-m-R-S")</f>
        <v>S-N-D-m-R-S</v>
      </c>
      <c r="LC289" s="373" t="str">
        <f>IFERROR(__xludf.DUMMYFUNCTION("JOIN("""",ArrayFormula(MID(KV289,LEN(KV289)-SEQUENCE(1,LEN(KV289))+1,1)))"),"S-R-m-D-N-S")</f>
        <v>S-R-m-D-N-S</v>
      </c>
      <c r="LD289" s="373" t="str">
        <f t="shared" si="193"/>
        <v>SRmDNS</v>
      </c>
      <c r="LE289" s="339" t="str">
        <f t="shared" si="194"/>
        <v>SRmDNS</v>
      </c>
      <c r="LF289" s="386" t="str">
        <f>IFERROR(__xludf.DUMMYFUNCTION("SUBSTITUTE(SUBSTITUTE(CONCATENATE(JOIN("""",LH289:LT289)),""1"",""""),""2"","""")"),"SRmDNS")</f>
        <v>SRmDNS</v>
      </c>
      <c r="LG289" s="369" t="str">
        <f t="shared" si="195"/>
        <v>✔</v>
      </c>
      <c r="LH289" s="387" t="str">
        <f>IFERROR(__xludf.DUMMYFUNCTION("IF(REGEXMATCH(LD289, ""S""), ""S"",IF(REGEXMATCH(LE289, ""S""), ""S"",""""))"),"S")</f>
        <v>S</v>
      </c>
      <c r="LI289" s="299" t="str">
        <f>IFERROR(__xludf.DUMMYFUNCTION("IF(REGEXMATCH(LD289, ""r""), ""r1"",IF(REGEXMATCH(LE289, ""r""), ""r2"",""""))"),"")</f>
        <v/>
      </c>
      <c r="LJ289" s="299" t="str">
        <f>IFERROR(__xludf.DUMMYFUNCTION("IF(REGEXMATCH(LD289, ""R""), ""R1"",IF(REGEXMATCH(LE289, ""R""), ""R2"",""""))"),"R1")</f>
        <v>R1</v>
      </c>
      <c r="LK289" s="299" t="str">
        <f>IFERROR(__xludf.DUMMYFUNCTION("IF(REGEXMATCH(LD289, ""g""), ""g1"",IF(REGEXMATCH(LE289, ""g""), ""g2"",""""))"),"")</f>
        <v/>
      </c>
      <c r="LL289" s="299" t="str">
        <f>IFERROR(__xludf.DUMMYFUNCTION("IF(REGEXMATCH(LD289, ""G""), ""G1"",IF(REGEXMATCH(LE289, ""G""), ""G2"",""""))"),"")</f>
        <v/>
      </c>
      <c r="LM289" s="299" t="str">
        <f>IFERROR(__xludf.DUMMYFUNCTION("IF(REGEXMATCH(LD289, ""m""), ""m1"",IF(REGEXMATCH(LE289, ""m""), ""m2"",""""))"),"m1")</f>
        <v>m1</v>
      </c>
      <c r="LN289" s="299" t="str">
        <f>IFERROR(__xludf.DUMMYFUNCTION("IF(REGEXMATCH(LD289, ""M""), ""M1"",IF(REGEXMATCH(LE289, ""M""), ""M2"",""""))"),"")</f>
        <v/>
      </c>
      <c r="LO289" s="299" t="str">
        <f>IFERROR(__xludf.DUMMYFUNCTION("IF(REGEXMATCH(LD289, ""P""), ""P1"",IF(REGEXMATCH(LE289, ""P""), ""P2"",""""))"),"")</f>
        <v/>
      </c>
      <c r="LP289" s="299" t="str">
        <f>IFERROR(__xludf.DUMMYFUNCTION("IF(REGEXMATCH(LD289, ""d""), ""d1"",IF(REGEXMATCH(LE289, ""d""), ""d2"",""""))"),"")</f>
        <v/>
      </c>
      <c r="LQ289" s="299" t="str">
        <f>IFERROR(__xludf.DUMMYFUNCTION("IF(REGEXMATCH(LD289, ""D""), ""D1"",IF(REGEXMATCH(LE289, ""D""), ""D2"",""""))"),"D1")</f>
        <v>D1</v>
      </c>
      <c r="LR289" s="299" t="str">
        <f>IFERROR(__xludf.DUMMYFUNCTION("IF(REGEXMATCH(LD289, ""n""), ""n1"",IF(REGEXMATCH(LE289, ""n""), ""n2"",""""))"),"")</f>
        <v/>
      </c>
      <c r="LS289" s="299" t="str">
        <f>IFERROR(__xludf.DUMMYFUNCTION("IF(REGEXMATCH(LD289, ""N""), ""N1"",IF(REGEXMATCH(LE289, ""N""), ""N2"",""""))"),"N1")</f>
        <v>N1</v>
      </c>
      <c r="LT289" s="388" t="str">
        <f>IFERROR(__xludf.DUMMYFUNCTION("IF(REGEXMATCH(LD289, ""S""), ""S"",IF(REGEXMATCH(LE289, ""S""), ""S"",""""))"),"S")</f>
        <v>S</v>
      </c>
      <c r="LU289" s="389">
        <f t="shared" si="196"/>
        <v>1</v>
      </c>
      <c r="LV289" s="378"/>
      <c r="LW289" s="369"/>
      <c r="LX289" s="369"/>
    </row>
    <row r="290" ht="18.0" customHeight="1">
      <c r="A290" s="298" t="s">
        <v>1102</v>
      </c>
      <c r="B290" s="222" t="s">
        <v>1103</v>
      </c>
      <c r="C290" s="233" t="str">
        <f t="shared" si="7"/>
        <v>SgGMPnNS</v>
      </c>
      <c r="D290" s="234" t="str">
        <f>IFERROR(__xludf.DUMMYFUNCTION("IF(REGEXMATCH(C290, ""S""), ""S"","""")"),"S")</f>
        <v>S</v>
      </c>
      <c r="E290" s="236" t="str">
        <f>IFERROR(__xludf.DUMMYFUNCTION("IF(REGEXMATCH(C290, ""r""), ""r"","""")"),"")</f>
        <v/>
      </c>
      <c r="F290" s="237" t="str">
        <f>IFERROR(__xludf.DUMMYFUNCTION("IF(REGEXMATCH(C290, ""R""), ""R"","""")"),"")</f>
        <v/>
      </c>
      <c r="G290" s="237" t="str">
        <f>IFERROR(__xludf.DUMMYFUNCTION("IF(REGEXMATCH(C290, ""g""), ""g"","""")"),"g")</f>
        <v>g</v>
      </c>
      <c r="H290" s="236" t="str">
        <f>IFERROR(__xludf.DUMMYFUNCTION("IF(REGEXMATCH(C290, ""G""), ""G"","""")"),"G")</f>
        <v>G</v>
      </c>
      <c r="I290" s="236" t="str">
        <f>IFERROR(__xludf.DUMMYFUNCTION("IF(REGEXMATCH(C290, ""m""), ""m"","""")"),"")</f>
        <v/>
      </c>
      <c r="J290" s="237" t="str">
        <f>IFERROR(__xludf.DUMMYFUNCTION("IF(REGEXMATCH(C290, ""M""), ""M"","""")"),"M")</f>
        <v>M</v>
      </c>
      <c r="K290" s="236" t="str">
        <f>IFERROR(__xludf.DUMMYFUNCTION("IF(REGEXMATCH(C290, ""P""), ""P"","""")"),"P")</f>
        <v>P</v>
      </c>
      <c r="L290" s="237" t="str">
        <f>IFERROR(__xludf.DUMMYFUNCTION("IF(REGEXMATCH(C290, ""d""), ""d"","""")"),"")</f>
        <v/>
      </c>
      <c r="M290" s="236" t="str">
        <f>IFERROR(__xludf.DUMMYFUNCTION("IF(REGEXMATCH(C290, ""D""), ""D"","""")"),"")</f>
        <v/>
      </c>
      <c r="N290" s="236" t="str">
        <f>IFERROR(__xludf.DUMMYFUNCTION("IF(REGEXMATCH(C290, ""n""), ""n"","""")"),"n")</f>
        <v>n</v>
      </c>
      <c r="O290" s="237" t="str">
        <f>IFERROR(__xludf.DUMMYFUNCTION("IF(REGEXMATCH(C290, ""N""), ""N"","""")"),"N")</f>
        <v>N</v>
      </c>
      <c r="P290" s="238" t="str">
        <f>IFERROR(__xludf.DUMMYFUNCTION("IF(REGEXMATCH(C290, ""S""), ""S"","""")"),"S")</f>
        <v>S</v>
      </c>
      <c r="Q290" s="239" t="str">
        <f>IFERROR(__xludf.DUMMYFUNCTION("SUBSTITUTE(CONCATENATE(JOIN(""-"",D290:J290)),""-"","""")"),"SgGM")</f>
        <v>SgGM</v>
      </c>
      <c r="R290" s="229" t="str">
        <f>IFERROR(__xludf.DUMMYFUNCTION("SUBSTITUTE(CONCATENATE(JOIN(""-"",K290:P290)),""-"","""")"),"PnNS")</f>
        <v>PnNS</v>
      </c>
      <c r="S290" s="282" t="str">
        <f t="shared" si="8"/>
        <v>S-G-M</v>
      </c>
      <c r="T290" s="282" t="str">
        <f t="shared" si="9"/>
        <v>P-N-S</v>
      </c>
      <c r="U290" s="237" t="str">
        <f>IFERROR(__xludf.DUMMYFUNCTION("SUBSTITUTE(JOIN(""-"",S290,T290),""--"",""-"")"),"S-G-M-P-N-S")</f>
        <v>S-G-M-P-N-S</v>
      </c>
      <c r="V290" s="309" t="str">
        <f t="shared" si="10"/>
        <v>gGMnN</v>
      </c>
      <c r="W290" s="244" t="str">
        <f>IFERROR(__xludf.DUMMYFUNCTION("IF(REGEXMATCH(C290, ""S""), ""0"","""")"),"0")</f>
        <v>0</v>
      </c>
      <c r="X290" s="245" t="str">
        <f>IFERROR(__xludf.DUMMYFUNCTION("IF(REGEXMATCH(C290, ""r""), ""1"","""")"),"")</f>
        <v/>
      </c>
      <c r="Y290" s="246" t="str">
        <f>IFERROR(__xludf.DUMMYFUNCTION("IF(REGEXMATCH(C290, ""R""), ""2"","""")"),"")</f>
        <v/>
      </c>
      <c r="Z290" s="246" t="str">
        <f>IFERROR(__xludf.DUMMYFUNCTION("IF(REGEXMATCH(C290, ""g""), ""3"","""")"),"3")</f>
        <v>3</v>
      </c>
      <c r="AA290" s="245" t="str">
        <f>IFERROR(__xludf.DUMMYFUNCTION("IF(REGEXMATCH(C290, ""G""), ""4"","""")"),"4")</f>
        <v>4</v>
      </c>
      <c r="AB290" s="245" t="str">
        <f>IFERROR(__xludf.DUMMYFUNCTION("IF(REGEXMATCH(C290, ""m""), ""5"","""")"),"")</f>
        <v/>
      </c>
      <c r="AC290" s="246" t="str">
        <f>IFERROR(__xludf.DUMMYFUNCTION("IF(REGEXMATCH(C290, ""M""), ""6"","""")"),"6")</f>
        <v>6</v>
      </c>
      <c r="AD290" s="245" t="str">
        <f>IFERROR(__xludf.DUMMYFUNCTION("IF(REGEXMATCH(C290, ""P""), ""7"","""")"),"7")</f>
        <v>7</v>
      </c>
      <c r="AE290" s="246" t="str">
        <f>IFERROR(__xludf.DUMMYFUNCTION("IF(REGEXMATCH(C290, ""d""), ""8"","""")"),"")</f>
        <v/>
      </c>
      <c r="AF290" s="245" t="str">
        <f>IFERROR(__xludf.DUMMYFUNCTION("IF(REGEXMATCH(C290, ""D""), ""9"","""")"),"")</f>
        <v/>
      </c>
      <c r="AG290" s="245" t="str">
        <f>IFERROR(__xludf.DUMMYFUNCTION("IF(REGEXMATCH(C290, ""n""), ""10"","""")"),"10")</f>
        <v>10</v>
      </c>
      <c r="AH290" s="246" t="str">
        <f>IFERROR(__xludf.DUMMYFUNCTION("IF(REGEXMATCH(C290, ""N""), ""11"","""")"),"11")</f>
        <v>11</v>
      </c>
      <c r="AI290" s="249" t="str">
        <f>IFERROR(__xludf.DUMMYFUNCTION("IF(REGEXMATCH(C290, ""S""), ""0"","""")"),"0")</f>
        <v>0</v>
      </c>
      <c r="AJ290" s="313" t="str">
        <f t="shared" si="11"/>
        <v>T</v>
      </c>
      <c r="AK290" s="313" t="str">
        <f t="shared" si="12"/>
        <v>-</v>
      </c>
      <c r="AL290" s="313" t="str">
        <f t="shared" si="13"/>
        <v>-</v>
      </c>
      <c r="AM290" s="313" t="str">
        <f t="shared" si="14"/>
        <v>-</v>
      </c>
      <c r="AN290" s="313" t="str">
        <f t="shared" si="15"/>
        <v>T</v>
      </c>
      <c r="AO290" s="314" t="str">
        <f t="shared" si="16"/>
        <v>-</v>
      </c>
      <c r="AP290" s="316">
        <f t="shared" si="17"/>
        <v>2</v>
      </c>
      <c r="AQ290" s="319" t="str">
        <f t="shared" si="18"/>
        <v>-</v>
      </c>
      <c r="AR290" s="320">
        <f t="shared" si="19"/>
        <v>0</v>
      </c>
      <c r="AS290" s="250" t="str">
        <f>IFERROR(__xludf.DUMMYFUNCTION("SUBSTITUTE(SUBSTITUTE(CONCATENATE(JOIN("""",FP290:GA290)),""|"",""x""),""-"",""o"")"),"xooxxoxxooxx")</f>
        <v>xooxxoxxooxx</v>
      </c>
      <c r="AT290" s="323" t="str">
        <f>IFERROR(__xludf.DUMMYFUNCTION("JOIN("""",AS290,AS290)"),"xooxxoxxooxxxooxxoxxooxx")</f>
        <v>xooxxoxxooxxxooxxoxxooxx</v>
      </c>
      <c r="AU290" s="256" t="str">
        <f>IFERROR(__xludf.DUMMYFUNCTION("JOIN("""",ArrayFormula(MID(AS290,LEN(AS290)-SEQUENCE(1,LEN(AS290))+1,1)))"),"xxooxxoxxoox")</f>
        <v>xxooxxoxxoox</v>
      </c>
      <c r="AV290" s="256" t="str">
        <f>IFERROR(__xludf.DUMMYFUNCTION("LEFT(CONCATENATE(""x"",JOIN("""",ArrayFormula(MID(AS290,LEN(AS290)-SEQUENCE(1,LEN(AS290))+1,1)))),12)"),"xxxooxxoxxoo")</f>
        <v>xxxooxxoxxoo</v>
      </c>
      <c r="AW290" s="327" t="str">
        <f>IFERROR(__xludf.DUMMYFUNCTION("JOIN("""",AU290,AU290)"),"xxooxxoxxooxxxooxxoxxoox")</f>
        <v>xxooxxoxxooxxxooxxoxxoox</v>
      </c>
      <c r="AX290" s="239" t="str">
        <f>IFERROR(__xludf.DUMMYFUNCTION("IF(REGEXMATCH(AW290,AS290),""✔"",""-"")"),"✔")</f>
        <v>✔</v>
      </c>
      <c r="AY290" s="330" t="str">
        <f t="shared" si="20"/>
        <v>-</v>
      </c>
      <c r="AZ290" s="260" t="str">
        <f t="shared" si="21"/>
        <v>#REF!</v>
      </c>
      <c r="BA290" s="333" t="str">
        <f t="shared" si="22"/>
        <v>xooxxox</v>
      </c>
      <c r="BB290" s="334" t="str">
        <f t="shared" si="23"/>
        <v>xooxxx</v>
      </c>
      <c r="BC290" s="335" t="str">
        <f t="shared" si="236"/>
        <v>-</v>
      </c>
      <c r="BD290" s="336" t="str">
        <f t="shared" si="25"/>
        <v>Rasikpriya: 'xooxxox' + 'xooxxx'</v>
      </c>
      <c r="BE290" s="337">
        <f>IFERROR(__xludf.DUMMYFUNCTION("COUNTUNIQUE(FILTER(AT:AT,REGEXMATCH(AT:AT,AS290)))-1"),3.0)</f>
        <v>3</v>
      </c>
      <c r="BF290" s="261" t="str">
        <f>IFERROR(__xludf.DUMMYFUNCTION("IF(BI290=0,""(n/a)"",IF(BJ290=2,""(PAIR)"",IF(REGEXMATCH(AT290,""xoxoxxoxoxox""),""Bilawal"",IF(REGEXMATCH(AT290,""xoxoxooxoxoo""),""Bhupali"",IF(REGEXMATCH(AT290,""xoxoxxoxxoxo""),""Charukeshi"",IF(REGEXMATCH(AT290,""xoxoooxxoxxo""),""Kameshwari"",IF(REG"&amp;"EXMATCH(AT290,""xoxoxooxoxox""),""Shankara"",IF(REGEXMATCH(AT290,""xxooxoxxxoox""),""Basant"",IF(REGEXMATCH(AT290,""xoxoxxxxoxox""),""Bihag"",IF(REGEXMATCH(AT290,""xoxxxxoxoxxx""),""Pilu"",IF(REGEXMATCH(AT290,""xoxxoxoxxoox""),""Kirwani"",IF(REGEXMATCH(AT"&amp;"290,""xoxxoxoxoxxx""),""Mk.Malhar"",IF(REGEXMATCH(AT290,""xxooxxoxxoox""),""Bhairav"",IF(REGEXMATCH(AT290,""xxoxooxxxoox""),""Todi"",IF(REGEXMATCH(AT290,""xxooxoxooxox""),""Marwa"",IF(REGEXMATCH(AT290,""xxoooxoxxooo""),""Gunkali"",IF(REGEXMATCH(AT290,""xo"&amp;"xoxxoxxoox""),""Nat Bhairav"",IF(REGEXMATCH(AT290,""xoxxoooxoxoo""),""Shivranjani"",IF(REGEXMATCH(AT290,""xooxxxoxooxo""),""Jog"",IF(REGEXMATCH(AT290,""xxooxoxoxoox""),""Hemshri"",IF(REGEXMATCH(AT290,""xoooxooxoxxo""),""Kalavati"",IF(REGEXMATCH(AT290,""xx"&amp;"oxoxxoxoox""),""Kedar"",IF(REGEXMATCH(AT290,""xoxxxxoxooxx""),""Gara"",IF(REGEXMATCH(AT290,""xooxoxooxoox""),""Chandrakauns"",IF(REGEXMATCH(AT290,""xoxxxxoxxxox""),""Mand"",IF(REGEXMATCH(AT290,""xoxxxxoxoxox""),""Hanskinkini"",IF(REGEXMATCH(AT290,""xxooxx"&amp;"oxooxo""),""Lilavati"",IF(REGEXMATCH(AT290,""xooxoxoooxox""),""Rajeshwari"",IF(REGEXMATCH(AT290,""xoooxxoxoxxx""),""Khokar"",IF(REGEXMATCH(AT290,""xxooxoxxxxox""),""Maligoura"",""-""))))))))))))))))))))))))))))))"),"Bhairav")</f>
        <v>Bhairav</v>
      </c>
      <c r="BG290" s="239" t="str">
        <f t="shared" si="26"/>
        <v>#REF!</v>
      </c>
      <c r="BH290" s="239">
        <f>IFERROR(__xludf.DUMMYFUNCTION("COUNTUNIQUE(FE290:FO290)-1"),6.0)</f>
        <v>6</v>
      </c>
      <c r="BI290" s="239">
        <f>IFERROR(__xludf.DUMMYFUNCTION("COUNTUNIQUE(FILTER(AT:AT,REGEXMATCH(AT:AT,AS290)))-1"),3.0)</f>
        <v>3</v>
      </c>
      <c r="BJ290" s="239">
        <f>IFERROR(__xludf.DUMMYFUNCTION("COUNTA(FILTER(AT:AT,REGEXMATCH(AT:AT,AS290)))"),6.0)</f>
        <v>6</v>
      </c>
      <c r="BK290" s="341">
        <f>IFERROR(__xludf.DUMMYFUNCTION("COUNTA(FILTER(AT:AT,REGEXMATCH(AT:AT,AS290)))-AR290"),6.0)</f>
        <v>6</v>
      </c>
      <c r="BL290" s="276" t="str">
        <f>IFERROR(__xludf.DUMMYFUNCTION("IF(AS290=""oooooooooooo"",""-"",IF(REGEXMATCH(AT290,""xx""), ""Hemi."", ""Anhemi.""))"),"Hemi.")</f>
        <v>Hemi.</v>
      </c>
      <c r="BM290" s="282" t="str">
        <f>IFERROR(__xludf.DUMMYFUNCTION("IF(AS290=""oooooooooooo"",""-"",IF(REGEXMATCH(AT290,""xxx""), ""Cohem."", ""-""))"),"Cohem.")</f>
        <v>Cohem.</v>
      </c>
      <c r="BN290" s="282" t="str">
        <f>IFERROR(__xludf.DUMMYFUNCTION("IF(AS290=""oooooooooooo"",""-"",IF(REGEXMATCH(AT290,""xxxx""), ""Co-Co."", ""-""))"),"-")</f>
        <v>-</v>
      </c>
      <c r="BO290" s="342" t="str">
        <f>IFERROR(__xludf.DUMMYFUNCTION("IF(AS290=""oooooooooooo"",""-"",IF(REGEXMATCH(AT290,""xxxxx""), ""CCC."", ""-""))"),"-")</f>
        <v>-</v>
      </c>
      <c r="BP290" s="344" t="str">
        <f t="shared" si="27"/>
        <v>-</v>
      </c>
      <c r="BQ290" s="282" t="str">
        <f>IFERROR(__xludf.DUMMYFUNCTION("IF(REGEXMATCH(JOIN(""-"",EU290:FD290),""TRUE""),""✔"",""-"")"),"-")</f>
        <v>-</v>
      </c>
      <c r="BR290" s="225">
        <f t="shared" si="28"/>
        <v>0</v>
      </c>
      <c r="BS290" s="345" t="str">
        <f>IFERROR(__xludf.DUMMYFUNCTION("SUBSTITUTE(SUBSTITUTE(SUBSTITUTE(SUBSTITUTE(CONCATENATE(JOIN(""-"",GC290:GO290)),""--"",""-""),""--"",""-""),""--"",""-""),""--"",""-"")"),"1-b3-3-#4-5-b7-7-8")</f>
        <v>1-b3-3-#4-5-b7-7-8</v>
      </c>
      <c r="BT290" s="299" t="str">
        <f>IFERROR(__xludf.DUMMYFUNCTION("SUBSTITUTE(SUBSTITUTE(SUBSTITUTE(SUBSTITUTE(CONCATENATE(JOIN(""-"",GP290:HB290)),""--"",""-""),""--"",""-""),""--"",""-""),""--"",""-"")"),"S-G2-G3-M2-P-N2-N3-S")</f>
        <v>S-G2-G3-M2-P-N2-N3-S</v>
      </c>
      <c r="BU290" s="348" t="str">
        <f t="shared" si="29"/>
        <v>C-Eb-E-F#-G-Bb-B-C</v>
      </c>
      <c r="BV290" s="349" t="str">
        <f t="shared" si="30"/>
        <v>SrRmdDS</v>
      </c>
      <c r="BW290" s="350">
        <f t="shared" si="31"/>
        <v>0</v>
      </c>
      <c r="BX290" s="351">
        <f t="shared" si="32"/>
        <v>1</v>
      </c>
      <c r="BY290" s="392"/>
      <c r="BZ290" s="309" t="str">
        <f>IFERROR(__xludf.DUMMYFUNCTION("IF(REGEXMATCH(C290, ""S""), ""x"",""x"")"),"x")</f>
        <v>x</v>
      </c>
      <c r="CA290" s="245" t="str">
        <f>IFERROR(__xludf.DUMMYFUNCTION("IF(REGEXMATCH(C290, ""r""), ""o"",""x"")"),"x")</f>
        <v>x</v>
      </c>
      <c r="CB290" s="246" t="str">
        <f>IFERROR(__xludf.DUMMYFUNCTION("IF(REGEXMATCH(C290, ""R""), ""o"",""x"")"),"x")</f>
        <v>x</v>
      </c>
      <c r="CC290" s="246" t="str">
        <f>IFERROR(__xludf.DUMMYFUNCTION("IF(REGEXMATCH(C290, ""g""), ""o"",""x"")"),"o")</f>
        <v>o</v>
      </c>
      <c r="CD290" s="245" t="str">
        <f>IFERROR(__xludf.DUMMYFUNCTION("IF(REGEXMATCH(C290, ""G""), ""o"",""x"")"),"o")</f>
        <v>o</v>
      </c>
      <c r="CE290" s="245" t="str">
        <f>IFERROR(__xludf.DUMMYFUNCTION("IF(REGEXMATCH(C290, ""m""), ""o"",""x"")"),"x")</f>
        <v>x</v>
      </c>
      <c r="CF290" s="246" t="str">
        <f>IFERROR(__xludf.DUMMYFUNCTION("IF(REGEXMATCH(C290, ""M""), ""o"",""x"")"),"o")</f>
        <v>o</v>
      </c>
      <c r="CG290" s="245" t="str">
        <f>IFERROR(__xludf.DUMMYFUNCTION("IF(REGEXMATCH(C290, ""P""), ""o"",""x"")"),"o")</f>
        <v>o</v>
      </c>
      <c r="CH290" s="246" t="str">
        <f>IFERROR(__xludf.DUMMYFUNCTION("IF(REGEXMATCH(C290, ""d""), ""o"",""x"")"),"x")</f>
        <v>x</v>
      </c>
      <c r="CI290" s="245" t="str">
        <f>IFERROR(__xludf.DUMMYFUNCTION("IF(REGEXMATCH(C290, ""D""), ""o"",""x"")"),"x")</f>
        <v>x</v>
      </c>
      <c r="CJ290" s="245" t="str">
        <f>IFERROR(__xludf.DUMMYFUNCTION("IF(REGEXMATCH(C290, ""n""), ""o"",""x"")"),"o")</f>
        <v>o</v>
      </c>
      <c r="CK290" s="245" t="str">
        <f>IFERROR(__xludf.DUMMYFUNCTION("IF(REGEXMATCH(C290, ""N""), ""o"",""x"")"),"o")</f>
        <v>o</v>
      </c>
      <c r="CL290" s="356" t="str">
        <f>IFERROR(__xludf.DUMMYFUNCTION("IF(REGEXMATCH(C290, ""S""), ""x"",""x"")"),"x")</f>
        <v>x</v>
      </c>
      <c r="CM290" s="357" t="str">
        <f t="shared" si="33"/>
        <v>xxxooxooxxoo</v>
      </c>
      <c r="CN290" s="358">
        <f t="shared" si="34"/>
        <v>0</v>
      </c>
      <c r="CO290" s="246" t="str">
        <f>IFERROR(__xludf.DUMMYFUNCTION("IF(REGEXMATCH($C290, ""S""), ""S"",""S"")"),"S")</f>
        <v>S</v>
      </c>
      <c r="CP290" s="246" t="str">
        <f>IFERROR(__xludf.DUMMYFUNCTION("IF(REGEXMATCH($C290, ""r""), """",""r"")"),"r")</f>
        <v>r</v>
      </c>
      <c r="CQ290" s="246" t="str">
        <f>IFERROR(__xludf.DUMMYFUNCTION("IF(REGEXMATCH($C290, ""R""), """",""R"")"),"R")</f>
        <v>R</v>
      </c>
      <c r="CR290" s="246" t="str">
        <f>IFERROR(__xludf.DUMMYFUNCTION("IF(REGEXMATCH($C290, ""g""), """",""g"")"),"")</f>
        <v/>
      </c>
      <c r="CS290" s="246" t="str">
        <f>IFERROR(__xludf.DUMMYFUNCTION("IF(REGEXMATCH($C290, ""G""), """",""G"")"),"")</f>
        <v/>
      </c>
      <c r="CT290" s="246" t="str">
        <f>IFERROR(__xludf.DUMMYFUNCTION("IF(REGEXMATCH($C290, ""m""), """",""m"")"),"m")</f>
        <v>m</v>
      </c>
      <c r="CU290" s="246" t="str">
        <f>IFERROR(__xludf.DUMMYFUNCTION("IF(REGEXMATCH($C290, ""M""), """",""M"")"),"")</f>
        <v/>
      </c>
      <c r="CV290" s="246" t="str">
        <f>IFERROR(__xludf.DUMMYFUNCTION("IF(REGEXMATCH($C290, ""P""), """",""P"")"),"")</f>
        <v/>
      </c>
      <c r="CW290" s="246" t="str">
        <f>IFERROR(__xludf.DUMMYFUNCTION("IF(REGEXMATCH($C290, ""d""), """",""d"")"),"d")</f>
        <v>d</v>
      </c>
      <c r="CX290" s="246" t="str">
        <f>IFERROR(__xludf.DUMMYFUNCTION("IF(REGEXMATCH($C290, ""D""), """",""D"")"),"D")</f>
        <v>D</v>
      </c>
      <c r="CY290" s="246" t="str">
        <f>IFERROR(__xludf.DUMMYFUNCTION("IF(REGEXMATCH($C290, ""n""), """",""n"")"),"")</f>
        <v/>
      </c>
      <c r="CZ290" s="246" t="str">
        <f>IFERROR(__xludf.DUMMYFUNCTION("IF(REGEXMATCH($C290, ""N""), """",""N"")"),"")</f>
        <v/>
      </c>
      <c r="DA290" s="246" t="str">
        <f>IFERROR(__xludf.DUMMYFUNCTION("IF(REGEXMATCH($C290, ""S""), ""S"",""S"")"),"S")</f>
        <v>S</v>
      </c>
      <c r="DB290" s="362" t="str">
        <f>IFERROR(__xludf.DUMMYFUNCTION("JOIN("""",CO290:DA290,"""","""")"),"SrRmdDS")</f>
        <v>SrRmdDS</v>
      </c>
      <c r="DC290" s="363"/>
      <c r="DD290" s="301" t="str">
        <f t="shared" si="35"/>
        <v>#REF!</v>
      </c>
      <c r="DE290" s="302" t="str">
        <f t="shared" si="36"/>
        <v>#REF!</v>
      </c>
      <c r="DF290" s="301" t="str">
        <f t="shared" ref="DF290:DG290" si="806">SUBSTITUTE(S290,"-","")</f>
        <v>SGM</v>
      </c>
      <c r="DG290" s="301" t="str">
        <f t="shared" si="806"/>
        <v>PNS</v>
      </c>
      <c r="DH290" s="302" t="str">
        <f t="shared" si="38"/>
        <v>Bhairav</v>
      </c>
      <c r="DI290" s="301" t="str">
        <f t="shared" si="39"/>
        <v>Hemi.</v>
      </c>
      <c r="DJ290" s="364" t="str">
        <f t="shared" si="40"/>
        <v>Cohem.</v>
      </c>
      <c r="DK290" s="306" t="str">
        <f t="shared" si="41"/>
        <v>-</v>
      </c>
      <c r="DL290" s="366" t="str">
        <f t="shared" si="42"/>
        <v>-</v>
      </c>
      <c r="DM290" s="308" t="str">
        <f t="shared" si="43"/>
        <v>✔</v>
      </c>
      <c r="DN290" s="306" t="str">
        <f t="shared" si="44"/>
        <v>-</v>
      </c>
      <c r="DO290" s="306" t="str">
        <f t="shared" si="45"/>
        <v>-</v>
      </c>
      <c r="DP290" s="367" t="str">
        <f t="shared" si="46"/>
        <v>✔</v>
      </c>
      <c r="DQ290" s="310" t="str">
        <f t="shared" si="47"/>
        <v>-</v>
      </c>
      <c r="DR290" s="310" t="str">
        <f t="shared" si="48"/>
        <v>✔</v>
      </c>
      <c r="DS290" s="310" t="str">
        <f t="shared" si="49"/>
        <v>-</v>
      </c>
      <c r="DT290" s="310" t="str">
        <f t="shared" si="50"/>
        <v>-</v>
      </c>
      <c r="DU290" s="370" t="str">
        <f t="shared" si="51"/>
        <v>✔</v>
      </c>
      <c r="DV290" s="306" t="str">
        <f t="shared" si="52"/>
        <v>✔</v>
      </c>
      <c r="DW290" s="306" t="str">
        <f t="shared" si="53"/>
        <v>-</v>
      </c>
      <c r="DX290" s="306" t="str">
        <f t="shared" si="54"/>
        <v>-</v>
      </c>
      <c r="DY290" s="306" t="str">
        <f t="shared" si="55"/>
        <v>-</v>
      </c>
      <c r="DZ290" s="306" t="str">
        <f t="shared" si="56"/>
        <v>✔</v>
      </c>
      <c r="EA290" s="367" t="str">
        <f t="shared" si="57"/>
        <v>-</v>
      </c>
      <c r="EB290" s="310" t="str">
        <f>IFERROR(__xludf.DUMMYFUNCTION("IF(REGEXMATCH(AW290,AS290),""✔"",""-"")"),"✔")</f>
        <v>✔</v>
      </c>
      <c r="EC290" s="310" t="str">
        <f t="shared" si="58"/>
        <v>#REF!</v>
      </c>
      <c r="ED290" s="370" t="str">
        <f t="shared" si="59"/>
        <v>-</v>
      </c>
      <c r="EE290" s="340" t="str">
        <f t="shared" si="60"/>
        <v>S-gG-M-P-nN-S</v>
      </c>
      <c r="EF290" s="371" t="str">
        <f>IFERROR(__xludf.DUMMYFUNCTION("CONCATENATE(JOIN("""",HC290:HO290))"),"SrRmMdDS")</f>
        <v>SrRmMdDS</v>
      </c>
      <c r="EG290" s="372">
        <f t="shared" si="61"/>
        <v>3</v>
      </c>
      <c r="EH290" s="373" t="str">
        <f>IFERROR(__xludf.DUMMYFUNCTION("CONCATENATE(JOIN("""",JC290:JO290))"),"Ma, Pa, ni, ")</f>
        <v>Ma, Pa, ni, </v>
      </c>
      <c r="EI290" s="322">
        <f t="shared" si="62"/>
        <v>0</v>
      </c>
      <c r="EJ290" s="374" t="str">
        <f>IFERROR(__xludf.DUMMYFUNCTION("CONCATENATE(JOIN("""",KC290:KO290))"),"")</f>
        <v/>
      </c>
      <c r="EK290" s="325" t="str">
        <f t="shared" si="63"/>
        <v>S-G2-G3-M2-P-N2-N3-S</v>
      </c>
      <c r="EL290" s="326" t="str">
        <f t="shared" si="64"/>
        <v>1-b3-3-#4-5-b7-7-8</v>
      </c>
      <c r="EM290" s="318" t="str">
        <f t="shared" si="65"/>
        <v>#REF!</v>
      </c>
      <c r="EN290" s="328" t="str">
        <f>IFERROR(__xludf.DUMMYFUNCTION("SUBSTITUTE(SUBSTITUTE(SUBSTITUTE(SUBSTITUTE(CONCATENATE(JOIN("" "",HP290:IB290)),""  "","" ""),""  "","" ""),""  "","" ""),""  "","" "")"),"o • • o o • o o • • o o o")</f>
        <v>o • • o o • o o • • o o o</v>
      </c>
      <c r="EO290" s="368" t="str">
        <f t="shared" si="66"/>
        <v>Sa-Pa</v>
      </c>
      <c r="EP290" s="339" t="str">
        <f t="shared" si="67"/>
        <v>Sa-Pa</v>
      </c>
      <c r="EQ290" s="339" t="str">
        <f t="shared" si="68"/>
        <v>Sa-Pa</v>
      </c>
      <c r="ER290" s="339" t="str">
        <f t="shared" si="69"/>
        <v>-</v>
      </c>
      <c r="ES290" s="340" t="str">
        <f t="shared" si="70"/>
        <v>-</v>
      </c>
      <c r="ET290" s="363"/>
      <c r="EU290" s="376" t="b">
        <f>IFERROR(__xludf.DUMMYFUNCTION("arrayformula(sum(--REGEXMATCH(""SRGMPDNS"",split(REGEXREPLACE(C290,""(.)"",""$1~""),""~""))))=len(C290)
"),FALSE)</f>
        <v>0</v>
      </c>
      <c r="EV290" s="290" t="b">
        <f>IFERROR(__xludf.DUMMYFUNCTION("arrayformula(sum(--REGEXMATCH(""SRGmPDNS"",split(REGEXREPLACE(C290,""(.)"",""$1~""),""~""))))=len(C290)"),FALSE)</f>
        <v>0</v>
      </c>
      <c r="EW290" s="290" t="b">
        <f>IFERROR(__xludf.DUMMYFUNCTION("arrayformula(sum(--REGEXMATCH(""SRGmPDnS"",split(REGEXREPLACE(C290,""(.)"",""$1~""),""~""))))=len(C290)"),FALSE)</f>
        <v>0</v>
      </c>
      <c r="EX290" s="290" t="b">
        <f>IFERROR(__xludf.DUMMYFUNCTION("arrayformula(sum(--REGEXMATCH(""SRgmPDnS"",split(REGEXREPLACE(C290,""(.)"",""$1~""),""~""))))=len(C290)"),FALSE)</f>
        <v>0</v>
      </c>
      <c r="EY290" s="290" t="b">
        <f>IFERROR(__xludf.DUMMYFUNCTION("arrayformula(sum(--REGEXMATCH(""SRgmPdnS"",split(REGEXREPLACE(C290,""(.)"",""$1~""),""~""))))=len(C290)"),FALSE)</f>
        <v>0</v>
      </c>
      <c r="EZ290" s="290" t="b">
        <f>IFERROR(__xludf.DUMMYFUNCTION("arrayformula(sum(--REGEXMATCH(""SrgmPdnS"",split(REGEXREPLACE(C290,""(.)"",""$1~""),""~""))))=len(C290)"),FALSE)</f>
        <v>0</v>
      </c>
      <c r="FA290" s="290" t="b">
        <f>IFERROR(__xludf.DUMMYFUNCTION("arrayformula(sum(--REGEXMATCH(""SrGmPdNS"",split(REGEXREPLACE(C290,""(.)"",""$1~""),""~""))))=len(C290)"),FALSE)</f>
        <v>0</v>
      </c>
      <c r="FB290" s="290" t="b">
        <f>IFERROR(__xludf.DUMMYFUNCTION("arrayformula(sum(--REGEXMATCH(""SrGMPDNS"",split(REGEXREPLACE(C290,""(.)"",""$1~""),""~""))))=len(C290)"),FALSE)</f>
        <v>0</v>
      </c>
      <c r="FC290" s="290" t="b">
        <f>IFERROR(__xludf.DUMMYFUNCTION("arrayformula(sum(--REGEXMATCH(""SrGMPdNS"",split(REGEXREPLACE(C290,""(.)"",""$1~""),""~""))))=len(C290)"),FALSE)</f>
        <v>0</v>
      </c>
      <c r="FD290" s="377" t="b">
        <f>IFERROR(__xludf.DUMMYFUNCTION("arrayformula(sum(--REGEXMATCH(""SrgMPdNS"",split(REGEXREPLACE(C290,""(.)"",""$1~""),""~""))))=len(C290)"),FALSE)</f>
        <v>0</v>
      </c>
      <c r="FE290" s="269" t="str">
        <f t="shared" si="71"/>
        <v>-</v>
      </c>
      <c r="FF290" s="269" t="str">
        <f t="shared" si="72"/>
        <v>-</v>
      </c>
      <c r="FG290" s="271" t="str">
        <f t="shared" si="73"/>
        <v>xxoxxooxxxo</v>
      </c>
      <c r="FH290" s="269" t="str">
        <f t="shared" si="74"/>
        <v>xoxxooxxxoo</v>
      </c>
      <c r="FI290" s="271" t="str">
        <f t="shared" si="75"/>
        <v>-</v>
      </c>
      <c r="FJ290" s="271" t="str">
        <f t="shared" si="76"/>
        <v>xxooxxxooxx</v>
      </c>
      <c r="FK290" s="271" t="str">
        <f t="shared" si="77"/>
        <v>xooxxxooxxo</v>
      </c>
      <c r="FL290" s="271" t="str">
        <f t="shared" si="78"/>
        <v>-</v>
      </c>
      <c r="FM290" s="271" t="str">
        <f t="shared" si="79"/>
        <v>-</v>
      </c>
      <c r="FN290" s="271" t="str">
        <f t="shared" si="80"/>
        <v>xxxooxxoxxo</v>
      </c>
      <c r="FO290" s="274" t="str">
        <f t="shared" si="81"/>
        <v>xxooxxoxxoo</v>
      </c>
      <c r="FP290" s="234" t="str">
        <f t="shared" si="82"/>
        <v>|</v>
      </c>
      <c r="FQ290" s="236" t="str">
        <f t="shared" si="83"/>
        <v>-</v>
      </c>
      <c r="FR290" s="237" t="str">
        <f t="shared" si="84"/>
        <v>-</v>
      </c>
      <c r="FS290" s="236" t="str">
        <f t="shared" si="85"/>
        <v>|</v>
      </c>
      <c r="FT290" s="237" t="str">
        <f t="shared" si="86"/>
        <v>|</v>
      </c>
      <c r="FU290" s="236" t="str">
        <f t="shared" si="87"/>
        <v>-</v>
      </c>
      <c r="FV290" s="237" t="str">
        <f t="shared" si="88"/>
        <v>|</v>
      </c>
      <c r="FW290" s="236" t="str">
        <f t="shared" si="89"/>
        <v>|</v>
      </c>
      <c r="FX290" s="237" t="str">
        <f t="shared" si="90"/>
        <v>-</v>
      </c>
      <c r="FY290" s="236" t="str">
        <f t="shared" si="91"/>
        <v>-</v>
      </c>
      <c r="FZ290" s="237" t="str">
        <f t="shared" si="92"/>
        <v>|</v>
      </c>
      <c r="GA290" s="236" t="str">
        <f t="shared" si="93"/>
        <v>|</v>
      </c>
      <c r="GB290" s="238" t="str">
        <f t="shared" si="94"/>
        <v>|</v>
      </c>
      <c r="GC290" s="244" t="str">
        <f>IFERROR(__xludf.DUMMYFUNCTION("IF(REGEXMATCH(C290, ""S""), ""1"","""")"),"1")</f>
        <v>1</v>
      </c>
      <c r="GD290" s="245" t="str">
        <f>IFERROR(__xludf.DUMMYFUNCTION("IF(REGEXMATCH(C290, ""r""), ""b2"","""")"),"")</f>
        <v/>
      </c>
      <c r="GE290" s="246" t="str">
        <f>IFERROR(__xludf.DUMMYFUNCTION("IF(REGEXMATCH(C290, ""R""), ""2"","""")"),"")</f>
        <v/>
      </c>
      <c r="GF290" s="246" t="str">
        <f>IFERROR(__xludf.DUMMYFUNCTION("IF(REGEXMATCH(C290, ""g""), ""b3"","""")"),"b3")</f>
        <v>b3</v>
      </c>
      <c r="GG290" s="245" t="str">
        <f>IFERROR(__xludf.DUMMYFUNCTION("IF(REGEXMATCH(C290, ""G""), ""3"","""")"),"3")</f>
        <v>3</v>
      </c>
      <c r="GH290" s="245" t="str">
        <f>IFERROR(__xludf.DUMMYFUNCTION("IF(REGEXMATCH(C290, ""m""), ""4"","""")"),"")</f>
        <v/>
      </c>
      <c r="GI290" s="246" t="str">
        <f>IFERROR(__xludf.DUMMYFUNCTION("IF(REGEXMATCH(C290, ""M""), ""#4"","""")"),"#4")</f>
        <v>#4</v>
      </c>
      <c r="GJ290" s="245" t="str">
        <f>IFERROR(__xludf.DUMMYFUNCTION("IF(REGEXMATCH(C290, ""P""), ""5"","""")"),"5")</f>
        <v>5</v>
      </c>
      <c r="GK290" s="246" t="str">
        <f>IFERROR(__xludf.DUMMYFUNCTION("IF(REGEXMATCH(C290, ""d""), ""b6"","""")"),"")</f>
        <v/>
      </c>
      <c r="GL290" s="245" t="str">
        <f>IFERROR(__xludf.DUMMYFUNCTION("IF(REGEXMATCH(C290, ""D""), ""6"","""")"),"")</f>
        <v/>
      </c>
      <c r="GM290" s="245" t="str">
        <f>IFERROR(__xludf.DUMMYFUNCTION("IF(REGEXMATCH(C290, ""n""), ""b7"","""")"),"b7")</f>
        <v>b7</v>
      </c>
      <c r="GN290" s="246" t="str">
        <f>IFERROR(__xludf.DUMMYFUNCTION("IF(REGEXMATCH(C290, ""N""), ""7"","""")"),"7")</f>
        <v>7</v>
      </c>
      <c r="GO290" s="249" t="str">
        <f>IFERROR(__xludf.DUMMYFUNCTION("IF(REGEXMATCH(C290, ""S""), ""8"","""")"),"8")</f>
        <v>8</v>
      </c>
      <c r="GP290" s="244" t="str">
        <f>IFERROR(__xludf.DUMMYFUNCTION("IF(REGEXMATCH(C290, ""S""), ""S"","""")"),"S")</f>
        <v>S</v>
      </c>
      <c r="GQ290" s="294" t="str">
        <f>IFERROR(__xludf.DUMMYFUNCTION("IF(REGEXMATCH(C290, ""r""), ""R1"","""")"),"")</f>
        <v/>
      </c>
      <c r="GR290" s="295" t="str">
        <f>IFERROR(__xludf.DUMMYFUNCTION("IF(REGEXMATCH(C290, ""R""), ""R2"","""")"),"")</f>
        <v/>
      </c>
      <c r="GS290" s="295" t="str">
        <f>IFERROR(__xludf.DUMMYFUNCTION("IF(REGEXMATCH(C290, ""g""), ""G2"","""")"),"G2")</f>
        <v>G2</v>
      </c>
      <c r="GT290" s="294" t="str">
        <f>IFERROR(__xludf.DUMMYFUNCTION("IF(REGEXMATCH(C290, ""G""), ""G3"","""")"),"G3")</f>
        <v>G3</v>
      </c>
      <c r="GU290" s="294" t="str">
        <f>IFERROR(__xludf.DUMMYFUNCTION("IF(REGEXMATCH(C290, ""m""), ""M1"","""")"),"")</f>
        <v/>
      </c>
      <c r="GV290" s="295" t="str">
        <f>IFERROR(__xludf.DUMMYFUNCTION("IF(REGEXMATCH(C290, ""M""), ""M2"","""")"),"M2")</f>
        <v>M2</v>
      </c>
      <c r="GW290" s="294" t="str">
        <f>IFERROR(__xludf.DUMMYFUNCTION("IF(REGEXMATCH(C290, ""P""), ""P"","""")"),"P")</f>
        <v>P</v>
      </c>
      <c r="GX290" s="295" t="str">
        <f>IFERROR(__xludf.DUMMYFUNCTION("IF(REGEXMATCH(C290, ""d""), ""D1"","""")"),"")</f>
        <v/>
      </c>
      <c r="GY290" s="294" t="str">
        <f>IFERROR(__xludf.DUMMYFUNCTION("IF(REGEXMATCH(C290, ""D""), ""D2"","""")"),"")</f>
        <v/>
      </c>
      <c r="GZ290" s="294" t="str">
        <f>IFERROR(__xludf.DUMMYFUNCTION("IF(REGEXMATCH(C290, ""n""), ""N2"","""")"),"N2")</f>
        <v>N2</v>
      </c>
      <c r="HA290" s="295" t="str">
        <f>IFERROR(__xludf.DUMMYFUNCTION("IF(REGEXMATCH(C290, ""N""), ""N3"","""")"),"N3")</f>
        <v>N3</v>
      </c>
      <c r="HB290" s="249" t="str">
        <f>IFERROR(__xludf.DUMMYFUNCTION("IF(REGEXMATCH(C290, ""S""), ""S"","""")"),"S")</f>
        <v>S</v>
      </c>
      <c r="HC290" s="331" t="str">
        <f t="shared" si="95"/>
        <v>S</v>
      </c>
      <c r="HD290" s="332" t="str">
        <f t="shared" si="96"/>
        <v>r</v>
      </c>
      <c r="HE290" s="332" t="str">
        <f t="shared" si="97"/>
        <v>R</v>
      </c>
      <c r="HF290" s="332" t="str">
        <f t="shared" si="98"/>
        <v/>
      </c>
      <c r="HG290" s="332" t="str">
        <f t="shared" si="99"/>
        <v/>
      </c>
      <c r="HH290" s="332" t="str">
        <f t="shared" si="100"/>
        <v>m</v>
      </c>
      <c r="HI290" s="332" t="str">
        <f t="shared" si="101"/>
        <v>M</v>
      </c>
      <c r="HJ290" s="332" t="str">
        <f t="shared" si="102"/>
        <v/>
      </c>
      <c r="HK290" s="332" t="str">
        <f t="shared" si="103"/>
        <v>d</v>
      </c>
      <c r="HL290" s="332" t="str">
        <f t="shared" si="104"/>
        <v>D</v>
      </c>
      <c r="HM290" s="332" t="str">
        <f t="shared" si="105"/>
        <v/>
      </c>
      <c r="HN290" s="332" t="str">
        <f t="shared" si="106"/>
        <v/>
      </c>
      <c r="HO290" s="343" t="str">
        <f t="shared" si="107"/>
        <v>S</v>
      </c>
      <c r="HP290" s="331" t="str">
        <f t="shared" si="108"/>
        <v>o</v>
      </c>
      <c r="HQ290" s="332" t="str">
        <f t="shared" si="109"/>
        <v>•</v>
      </c>
      <c r="HR290" s="332" t="str">
        <f t="shared" si="110"/>
        <v>•</v>
      </c>
      <c r="HS290" s="332" t="str">
        <f t="shared" si="111"/>
        <v>o</v>
      </c>
      <c r="HT290" s="332" t="str">
        <f t="shared" si="112"/>
        <v>o</v>
      </c>
      <c r="HU290" s="332" t="str">
        <f t="shared" si="113"/>
        <v>•</v>
      </c>
      <c r="HV290" s="332" t="str">
        <f t="shared" si="114"/>
        <v>o</v>
      </c>
      <c r="HW290" s="332" t="str">
        <f t="shared" si="115"/>
        <v>o</v>
      </c>
      <c r="HX290" s="332" t="str">
        <f t="shared" si="116"/>
        <v>•</v>
      </c>
      <c r="HY290" s="332" t="str">
        <f t="shared" si="117"/>
        <v>•</v>
      </c>
      <c r="HZ290" s="332" t="str">
        <f t="shared" si="118"/>
        <v>o</v>
      </c>
      <c r="IA290" s="332" t="str">
        <f t="shared" si="119"/>
        <v>o</v>
      </c>
      <c r="IB290" s="338" t="str">
        <f t="shared" si="120"/>
        <v>o</v>
      </c>
      <c r="IC290" s="331" t="str">
        <f t="shared" si="121"/>
        <v>•</v>
      </c>
      <c r="ID290" s="332" t="str">
        <f t="shared" si="122"/>
        <v>o</v>
      </c>
      <c r="IE290" s="332" t="str">
        <f t="shared" si="123"/>
        <v>o</v>
      </c>
      <c r="IF290" s="332" t="str">
        <f t="shared" si="124"/>
        <v>•</v>
      </c>
      <c r="IG290" s="332" t="str">
        <f t="shared" si="125"/>
        <v>•</v>
      </c>
      <c r="IH290" s="332" t="str">
        <f t="shared" si="126"/>
        <v>o</v>
      </c>
      <c r="II290" s="332" t="str">
        <f t="shared" si="127"/>
        <v>•</v>
      </c>
      <c r="IJ290" s="332" t="str">
        <f t="shared" si="128"/>
        <v>•</v>
      </c>
      <c r="IK290" s="332" t="str">
        <f t="shared" si="129"/>
        <v>o</v>
      </c>
      <c r="IL290" s="332" t="str">
        <f t="shared" si="130"/>
        <v>o</v>
      </c>
      <c r="IM290" s="332" t="str">
        <f t="shared" si="131"/>
        <v>•</v>
      </c>
      <c r="IN290" s="332" t="str">
        <f t="shared" si="132"/>
        <v>•</v>
      </c>
      <c r="IO290" s="338" t="str">
        <f t="shared" si="133"/>
        <v>•</v>
      </c>
      <c r="IP290" s="346" t="b">
        <f t="shared" si="134"/>
        <v>0</v>
      </c>
      <c r="IQ290" s="347" t="b">
        <f t="shared" si="135"/>
        <v>0</v>
      </c>
      <c r="IR290" s="347" t="b">
        <f t="shared" si="136"/>
        <v>0</v>
      </c>
      <c r="IS290" s="347" t="b">
        <f t="shared" si="137"/>
        <v>0</v>
      </c>
      <c r="IT290" s="347" t="b">
        <f t="shared" si="138"/>
        <v>0</v>
      </c>
      <c r="IU290" s="347" t="b">
        <f t="shared" si="139"/>
        <v>0</v>
      </c>
      <c r="IV290" s="347" t="b">
        <f t="shared" si="140"/>
        <v>1</v>
      </c>
      <c r="IW290" s="347" t="b">
        <f t="shared" si="141"/>
        <v>1</v>
      </c>
      <c r="IX290" s="347" t="b">
        <f t="shared" si="142"/>
        <v>0</v>
      </c>
      <c r="IY290" s="347" t="b">
        <f t="shared" si="143"/>
        <v>0</v>
      </c>
      <c r="IZ290" s="347" t="b">
        <f t="shared" si="144"/>
        <v>1</v>
      </c>
      <c r="JA290" s="347" t="b">
        <f t="shared" si="145"/>
        <v>0</v>
      </c>
      <c r="JB290" s="353" t="b">
        <f t="shared" si="146"/>
        <v>0</v>
      </c>
      <c r="JC290" s="354" t="str">
        <f t="shared" si="147"/>
        <v/>
      </c>
      <c r="JD290" s="355" t="str">
        <f t="shared" si="148"/>
        <v/>
      </c>
      <c r="JE290" s="355" t="str">
        <f t="shared" si="149"/>
        <v/>
      </c>
      <c r="JF290" s="355" t="str">
        <f t="shared" si="150"/>
        <v/>
      </c>
      <c r="JG290" s="355" t="str">
        <f t="shared" si="151"/>
        <v/>
      </c>
      <c r="JH290" s="355" t="str">
        <f t="shared" si="152"/>
        <v/>
      </c>
      <c r="JI290" s="355" t="str">
        <f t="shared" si="153"/>
        <v>Ma, </v>
      </c>
      <c r="JJ290" s="355" t="str">
        <f t="shared" si="154"/>
        <v>Pa, </v>
      </c>
      <c r="JK290" s="355" t="str">
        <f t="shared" si="155"/>
        <v/>
      </c>
      <c r="JL290" s="355" t="str">
        <f t="shared" si="156"/>
        <v/>
      </c>
      <c r="JM290" s="355" t="str">
        <f t="shared" si="157"/>
        <v>ni, </v>
      </c>
      <c r="JN290" s="355" t="str">
        <f t="shared" si="158"/>
        <v/>
      </c>
      <c r="JO290" s="359" t="str">
        <f t="shared" si="159"/>
        <v/>
      </c>
      <c r="JP290" s="346" t="b">
        <f t="shared" si="160"/>
        <v>0</v>
      </c>
      <c r="JQ290" s="347" t="b">
        <f t="shared" si="161"/>
        <v>0</v>
      </c>
      <c r="JR290" s="347" t="b">
        <f t="shared" si="162"/>
        <v>0</v>
      </c>
      <c r="JS290" s="347" t="b">
        <f t="shared" si="163"/>
        <v>0</v>
      </c>
      <c r="JT290" s="347" t="b">
        <f t="shared" si="164"/>
        <v>0</v>
      </c>
      <c r="JU290" s="347" t="b">
        <f t="shared" si="165"/>
        <v>0</v>
      </c>
      <c r="JV290" s="347" t="b">
        <f t="shared" si="166"/>
        <v>0</v>
      </c>
      <c r="JW290" s="347" t="b">
        <f t="shared" si="167"/>
        <v>0</v>
      </c>
      <c r="JX290" s="347" t="b">
        <f t="shared" si="168"/>
        <v>0</v>
      </c>
      <c r="JY290" s="347" t="b">
        <f t="shared" si="169"/>
        <v>0</v>
      </c>
      <c r="JZ290" s="347" t="b">
        <f t="shared" si="170"/>
        <v>0</v>
      </c>
      <c r="KA290" s="347" t="b">
        <f t="shared" si="171"/>
        <v>0</v>
      </c>
      <c r="KB290" s="365" t="b">
        <f t="shared" si="172"/>
        <v>0</v>
      </c>
      <c r="KC290" s="354" t="str">
        <f t="shared" si="173"/>
        <v/>
      </c>
      <c r="KD290" s="355" t="str">
        <f t="shared" si="174"/>
        <v/>
      </c>
      <c r="KE290" s="355" t="str">
        <f t="shared" si="175"/>
        <v/>
      </c>
      <c r="KF290" s="355" t="str">
        <f t="shared" si="176"/>
        <v/>
      </c>
      <c r="KG290" s="355" t="str">
        <f t="shared" si="177"/>
        <v/>
      </c>
      <c r="KH290" s="355" t="str">
        <f t="shared" si="178"/>
        <v/>
      </c>
      <c r="KI290" s="355" t="str">
        <f t="shared" si="179"/>
        <v/>
      </c>
      <c r="KJ290" s="355" t="str">
        <f t="shared" si="180"/>
        <v/>
      </c>
      <c r="KK290" s="355" t="str">
        <f t="shared" si="181"/>
        <v/>
      </c>
      <c r="KL290" s="355" t="str">
        <f t="shared" si="182"/>
        <v/>
      </c>
      <c r="KM290" s="355" t="str">
        <f t="shared" si="183"/>
        <v/>
      </c>
      <c r="KN290" s="355" t="str">
        <f t="shared" si="184"/>
        <v/>
      </c>
      <c r="KO290" s="359"/>
      <c r="KP290" s="378"/>
      <c r="KQ290" s="379" t="s">
        <v>9</v>
      </c>
      <c r="KR290" s="380" t="s">
        <v>9</v>
      </c>
      <c r="KS290" s="381" t="s">
        <v>9</v>
      </c>
      <c r="KT290" s="382">
        <f t="shared" si="186"/>
        <v>0</v>
      </c>
      <c r="KU290" s="383">
        <f t="shared" si="187"/>
        <v>0</v>
      </c>
      <c r="KV290" s="381" t="str">
        <f t="shared" si="205"/>
        <v>S</v>
      </c>
      <c r="KW290" s="382">
        <f t="shared" si="189"/>
        <v>0</v>
      </c>
      <c r="KX290" s="384">
        <f t="shared" si="190"/>
        <v>0</v>
      </c>
      <c r="KY290" s="382">
        <f t="shared" ref="KY290:KZ290" si="807">KW290-KT290</f>
        <v>0</v>
      </c>
      <c r="KZ290" s="369">
        <f t="shared" si="807"/>
        <v>0</v>
      </c>
      <c r="LA290" s="385" t="str">
        <f t="shared" si="192"/>
        <v>✔</v>
      </c>
      <c r="LB290" s="340" t="str">
        <f>IFERROR(__xludf.DUMMYFUNCTION("JOIN("""",ArrayFormula(MID(KS290,LEN(KS290)-SEQUENCE(1,LEN(KS290))+1,1)))"),"S")</f>
        <v>S</v>
      </c>
      <c r="LC290" s="373" t="str">
        <f>IFERROR(__xludf.DUMMYFUNCTION("JOIN("""",ArrayFormula(MID(KV290,LEN(KV290)-SEQUENCE(1,LEN(KV290))+1,1)))"),"S")</f>
        <v>S</v>
      </c>
      <c r="LD290" s="373" t="str">
        <f t="shared" si="193"/>
        <v>S</v>
      </c>
      <c r="LE290" s="339" t="str">
        <f t="shared" si="194"/>
        <v>S</v>
      </c>
      <c r="LF290" s="386" t="str">
        <f>IFERROR(__xludf.DUMMYFUNCTION("SUBSTITUTE(SUBSTITUTE(CONCATENATE(JOIN("""",LH290:LT290)),""1"",""""),""2"","""")"),"SS")</f>
        <v>SS</v>
      </c>
      <c r="LG290" s="369" t="str">
        <f t="shared" si="195"/>
        <v>-</v>
      </c>
      <c r="LH290" s="387" t="str">
        <f>IFERROR(__xludf.DUMMYFUNCTION("IF(REGEXMATCH(LD290, ""S""), ""S"",IF(REGEXMATCH(LE290, ""S""), ""S"",""""))"),"S")</f>
        <v>S</v>
      </c>
      <c r="LI290" s="299" t="str">
        <f>IFERROR(__xludf.DUMMYFUNCTION("IF(REGEXMATCH(LD290, ""r""), ""r1"",IF(REGEXMATCH(LE290, ""r""), ""r2"",""""))"),"")</f>
        <v/>
      </c>
      <c r="LJ290" s="299" t="str">
        <f>IFERROR(__xludf.DUMMYFUNCTION("IF(REGEXMATCH(LD290, ""R""), ""R1"",IF(REGEXMATCH(LE290, ""R""), ""R2"",""""))"),"")</f>
        <v/>
      </c>
      <c r="LK290" s="299" t="str">
        <f>IFERROR(__xludf.DUMMYFUNCTION("IF(REGEXMATCH(LD290, ""g""), ""g1"",IF(REGEXMATCH(LE290, ""g""), ""g2"",""""))"),"")</f>
        <v/>
      </c>
      <c r="LL290" s="299" t="str">
        <f>IFERROR(__xludf.DUMMYFUNCTION("IF(REGEXMATCH(LD290, ""G""), ""G1"",IF(REGEXMATCH(LE290, ""G""), ""G2"",""""))"),"")</f>
        <v/>
      </c>
      <c r="LM290" s="299" t="str">
        <f>IFERROR(__xludf.DUMMYFUNCTION("IF(REGEXMATCH(LD290, ""m""), ""m1"",IF(REGEXMATCH(LE290, ""m""), ""m2"",""""))"),"")</f>
        <v/>
      </c>
      <c r="LN290" s="299" t="str">
        <f>IFERROR(__xludf.DUMMYFUNCTION("IF(REGEXMATCH(LD290, ""M""), ""M1"",IF(REGEXMATCH(LE290, ""M""), ""M2"",""""))"),"")</f>
        <v/>
      </c>
      <c r="LO290" s="299" t="str">
        <f>IFERROR(__xludf.DUMMYFUNCTION("IF(REGEXMATCH(LD290, ""P""), ""P1"",IF(REGEXMATCH(LE290, ""P""), ""P2"",""""))"),"")</f>
        <v/>
      </c>
      <c r="LP290" s="299" t="str">
        <f>IFERROR(__xludf.DUMMYFUNCTION("IF(REGEXMATCH(LD290, ""d""), ""d1"",IF(REGEXMATCH(LE290, ""d""), ""d2"",""""))"),"")</f>
        <v/>
      </c>
      <c r="LQ290" s="299" t="str">
        <f>IFERROR(__xludf.DUMMYFUNCTION("IF(REGEXMATCH(LD290, ""D""), ""D1"",IF(REGEXMATCH(LE290, ""D""), ""D2"",""""))"),"")</f>
        <v/>
      </c>
      <c r="LR290" s="299" t="str">
        <f>IFERROR(__xludf.DUMMYFUNCTION("IF(REGEXMATCH(LD290, ""n""), ""n1"",IF(REGEXMATCH(LE290, ""n""), ""n2"",""""))"),"")</f>
        <v/>
      </c>
      <c r="LS290" s="299" t="str">
        <f>IFERROR(__xludf.DUMMYFUNCTION("IF(REGEXMATCH(LD290, ""N""), ""N1"",IF(REGEXMATCH(LE290, ""N""), ""N2"",""""))"),"")</f>
        <v/>
      </c>
      <c r="LT290" s="388" t="str">
        <f>IFERROR(__xludf.DUMMYFUNCTION("IF(REGEXMATCH(LD290, ""S""), ""S"",IF(REGEXMATCH(LE290, ""S""), ""S"",""""))"),"S")</f>
        <v>S</v>
      </c>
      <c r="LU290" s="389">
        <f t="shared" si="196"/>
        <v>1</v>
      </c>
      <c r="LV290" s="378"/>
      <c r="LW290" s="369"/>
      <c r="LX290" s="369"/>
    </row>
    <row r="291" ht="18.0" customHeight="1">
      <c r="A291" s="298" t="s">
        <v>1105</v>
      </c>
      <c r="B291" s="222" t="s">
        <v>849</v>
      </c>
      <c r="C291" s="233" t="str">
        <f t="shared" si="7"/>
        <v>SrGmPdDnNS</v>
      </c>
      <c r="D291" s="234" t="str">
        <f>IFERROR(__xludf.DUMMYFUNCTION("IF(REGEXMATCH(C291, ""S""), ""S"","""")"),"S")</f>
        <v>S</v>
      </c>
      <c r="E291" s="236" t="str">
        <f>IFERROR(__xludf.DUMMYFUNCTION("IF(REGEXMATCH(C291, ""r""), ""r"","""")"),"r")</f>
        <v>r</v>
      </c>
      <c r="F291" s="237" t="str">
        <f>IFERROR(__xludf.DUMMYFUNCTION("IF(REGEXMATCH(C291, ""R""), ""R"","""")"),"")</f>
        <v/>
      </c>
      <c r="G291" s="237" t="str">
        <f>IFERROR(__xludf.DUMMYFUNCTION("IF(REGEXMATCH(C291, ""g""), ""g"","""")"),"")</f>
        <v/>
      </c>
      <c r="H291" s="236" t="str">
        <f>IFERROR(__xludf.DUMMYFUNCTION("IF(REGEXMATCH(C291, ""G""), ""G"","""")"),"G")</f>
        <v>G</v>
      </c>
      <c r="I291" s="236" t="str">
        <f>IFERROR(__xludf.DUMMYFUNCTION("IF(REGEXMATCH(C291, ""m""), ""m"","""")"),"m")</f>
        <v>m</v>
      </c>
      <c r="J291" s="237" t="str">
        <f>IFERROR(__xludf.DUMMYFUNCTION("IF(REGEXMATCH(C291, ""M""), ""M"","""")"),"")</f>
        <v/>
      </c>
      <c r="K291" s="236" t="str">
        <f>IFERROR(__xludf.DUMMYFUNCTION("IF(REGEXMATCH(C291, ""P""), ""P"","""")"),"P")</f>
        <v>P</v>
      </c>
      <c r="L291" s="237" t="str">
        <f>IFERROR(__xludf.DUMMYFUNCTION("IF(REGEXMATCH(C291, ""d""), ""d"","""")"),"d")</f>
        <v>d</v>
      </c>
      <c r="M291" s="236" t="str">
        <f>IFERROR(__xludf.DUMMYFUNCTION("IF(REGEXMATCH(C291, ""D""), ""D"","""")"),"D")</f>
        <v>D</v>
      </c>
      <c r="N291" s="236" t="str">
        <f>IFERROR(__xludf.DUMMYFUNCTION("IF(REGEXMATCH(C291, ""n""), ""n"","""")"),"n")</f>
        <v>n</v>
      </c>
      <c r="O291" s="237" t="str">
        <f>IFERROR(__xludf.DUMMYFUNCTION("IF(REGEXMATCH(C291, ""N""), ""N"","""")"),"N")</f>
        <v>N</v>
      </c>
      <c r="P291" s="238" t="str">
        <f>IFERROR(__xludf.DUMMYFUNCTION("IF(REGEXMATCH(C291, ""S""), ""S"","""")"),"S")</f>
        <v>S</v>
      </c>
      <c r="Q291" s="239" t="str">
        <f>IFERROR(__xludf.DUMMYFUNCTION("SUBSTITUTE(CONCATENATE(JOIN(""-"",D291:J291)),""-"","""")"),"SrGm")</f>
        <v>SrGm</v>
      </c>
      <c r="R291" s="229" t="str">
        <f>IFERROR(__xludf.DUMMYFUNCTION("SUBSTITUTE(CONCATENATE(JOIN(""-"",K291:P291)),""-"","""")"),"PdDnNS")</f>
        <v>PdDnNS</v>
      </c>
      <c r="S291" s="282" t="str">
        <f t="shared" si="8"/>
        <v>S-R-G-M</v>
      </c>
      <c r="T291" s="282" t="str">
        <f t="shared" si="9"/>
        <v>P-D-N-S</v>
      </c>
      <c r="U291" s="237" t="str">
        <f>IFERROR(__xludf.DUMMYFUNCTION("SUBSTITUTE(JOIN(""-"",S291,T291),""--"",""-"")"),"S-R-G-M-P-D-N-S")</f>
        <v>S-R-G-M-P-D-N-S</v>
      </c>
      <c r="V291" s="309" t="str">
        <f t="shared" si="10"/>
        <v>rGmdDnN</v>
      </c>
      <c r="W291" s="244" t="str">
        <f>IFERROR(__xludf.DUMMYFUNCTION("IF(REGEXMATCH(C291, ""S""), ""0"","""")"),"0")</f>
        <v>0</v>
      </c>
      <c r="X291" s="245" t="str">
        <f>IFERROR(__xludf.DUMMYFUNCTION("IF(REGEXMATCH(C291, ""r""), ""1"","""")"),"1")</f>
        <v>1</v>
      </c>
      <c r="Y291" s="246" t="str">
        <f>IFERROR(__xludf.DUMMYFUNCTION("IF(REGEXMATCH(C291, ""R""), ""2"","""")"),"")</f>
        <v/>
      </c>
      <c r="Z291" s="246" t="str">
        <f>IFERROR(__xludf.DUMMYFUNCTION("IF(REGEXMATCH(C291, ""g""), ""3"","""")"),"")</f>
        <v/>
      </c>
      <c r="AA291" s="245" t="str">
        <f>IFERROR(__xludf.DUMMYFUNCTION("IF(REGEXMATCH(C291, ""G""), ""4"","""")"),"4")</f>
        <v>4</v>
      </c>
      <c r="AB291" s="245" t="str">
        <f>IFERROR(__xludf.DUMMYFUNCTION("IF(REGEXMATCH(C291, ""m""), ""5"","""")"),"5")</f>
        <v>5</v>
      </c>
      <c r="AC291" s="246" t="str">
        <f>IFERROR(__xludf.DUMMYFUNCTION("IF(REGEXMATCH(C291, ""M""), ""6"","""")"),"")</f>
        <v/>
      </c>
      <c r="AD291" s="245" t="str">
        <f>IFERROR(__xludf.DUMMYFUNCTION("IF(REGEXMATCH(C291, ""P""), ""7"","""")"),"7")</f>
        <v>7</v>
      </c>
      <c r="AE291" s="246" t="str">
        <f>IFERROR(__xludf.DUMMYFUNCTION("IF(REGEXMATCH(C291, ""d""), ""8"","""")"),"8")</f>
        <v>8</v>
      </c>
      <c r="AF291" s="245" t="str">
        <f>IFERROR(__xludf.DUMMYFUNCTION("IF(REGEXMATCH(C291, ""D""), ""9"","""")"),"9")</f>
        <v>9</v>
      </c>
      <c r="AG291" s="245" t="str">
        <f>IFERROR(__xludf.DUMMYFUNCTION("IF(REGEXMATCH(C291, ""n""), ""10"","""")"),"10")</f>
        <v>10</v>
      </c>
      <c r="AH291" s="246" t="str">
        <f>IFERROR(__xludf.DUMMYFUNCTION("IF(REGEXMATCH(C291, ""N""), ""11"","""")"),"11")</f>
        <v>11</v>
      </c>
      <c r="AI291" s="249" t="str">
        <f>IFERROR(__xludf.DUMMYFUNCTION("IF(REGEXMATCH(C291, ""S""), ""0"","""")"),"0")</f>
        <v>0</v>
      </c>
      <c r="AJ291" s="313" t="str">
        <f t="shared" si="11"/>
        <v>-</v>
      </c>
      <c r="AK291" s="313" t="str">
        <f t="shared" si="12"/>
        <v>T</v>
      </c>
      <c r="AL291" s="313" t="str">
        <f t="shared" si="13"/>
        <v>-</v>
      </c>
      <c r="AM291" s="313" t="str">
        <f t="shared" si="14"/>
        <v>-</v>
      </c>
      <c r="AN291" s="313" t="str">
        <f t="shared" si="15"/>
        <v>T</v>
      </c>
      <c r="AO291" s="314" t="str">
        <f t="shared" si="16"/>
        <v>T</v>
      </c>
      <c r="AP291" s="316">
        <f t="shared" si="17"/>
        <v>3</v>
      </c>
      <c r="AQ291" s="319" t="str">
        <f t="shared" si="18"/>
        <v>-</v>
      </c>
      <c r="AR291" s="320">
        <f t="shared" si="19"/>
        <v>0</v>
      </c>
      <c r="AS291" s="250" t="str">
        <f>IFERROR(__xludf.DUMMYFUNCTION("SUBSTITUTE(SUBSTITUTE(CONCATENATE(JOIN("""",FP291:GA291)),""|"",""x""),""-"",""o"")"),"xxooxxoxxxxx")</f>
        <v>xxooxxoxxxxx</v>
      </c>
      <c r="AT291" s="323" t="str">
        <f>IFERROR(__xludf.DUMMYFUNCTION("JOIN("""",AS291,AS291)"),"xxooxxoxxxxxxxooxxoxxxxx")</f>
        <v>xxooxxoxxxxxxxooxxoxxxxx</v>
      </c>
      <c r="AU291" s="256" t="str">
        <f>IFERROR(__xludf.DUMMYFUNCTION("JOIN("""",ArrayFormula(MID(AS291,LEN(AS291)-SEQUENCE(1,LEN(AS291))+1,1)))"),"xxxxxoxxooxx")</f>
        <v>xxxxxoxxooxx</v>
      </c>
      <c r="AV291" s="256" t="str">
        <f>IFERROR(__xludf.DUMMYFUNCTION("LEFT(CONCATENATE(""x"",JOIN("""",ArrayFormula(MID(AS291,LEN(AS291)-SEQUENCE(1,LEN(AS291))+1,1)))),12)"),"xxxxxxoxxoox")</f>
        <v>xxxxxxoxxoox</v>
      </c>
      <c r="AW291" s="327" t="str">
        <f>IFERROR(__xludf.DUMMYFUNCTION("JOIN("""",AU291,AU291)"),"xxxxxoxxooxxxxxxxoxxooxx")</f>
        <v>xxxxxoxxooxxxxxxxoxxooxx</v>
      </c>
      <c r="AX291" s="239" t="str">
        <f>IFERROR(__xludf.DUMMYFUNCTION("IF(REGEXMATCH(AW291,AS291),""✔"",""-"")"),"-")</f>
        <v>-</v>
      </c>
      <c r="AY291" s="330" t="str">
        <f t="shared" si="20"/>
        <v>-</v>
      </c>
      <c r="AZ291" s="260" t="str">
        <f t="shared" si="21"/>
        <v>#REF!</v>
      </c>
      <c r="BA291" s="333" t="str">
        <f t="shared" si="22"/>
        <v>xxooxxo</v>
      </c>
      <c r="BB291" s="334" t="str">
        <f t="shared" si="23"/>
        <v>xxxxxx</v>
      </c>
      <c r="BC291" s="335" t="str">
        <f t="shared" si="236"/>
        <v>-</v>
      </c>
      <c r="BD291" s="336" t="str">
        <f t="shared" si="25"/>
        <v>Rati Bhairav: 'xxooxxo' + 'xxxxxx'</v>
      </c>
      <c r="BE291" s="337">
        <f>IFERROR(__xludf.DUMMYFUNCTION("COUNTUNIQUE(FILTER(AT:AT,REGEXMATCH(AT:AT,AS291)))-1"),0.0)</f>
        <v>0</v>
      </c>
      <c r="BF291" s="261" t="str">
        <f>IFERROR(__xludf.DUMMYFUNCTION("IF(BI291=0,""(n/a)"",IF(BJ291=2,""(PAIR)"",IF(REGEXMATCH(AT291,""xoxoxxoxoxox""),""Bilawal"",IF(REGEXMATCH(AT291,""xoxoxooxoxoo""),""Bhupali"",IF(REGEXMATCH(AT291,""xoxoxxoxxoxo""),""Charukeshi"",IF(REGEXMATCH(AT291,""xoxoooxxoxxo""),""Kameshwari"",IF(REG"&amp;"EXMATCH(AT291,""xoxoxooxoxox""),""Shankara"",IF(REGEXMATCH(AT291,""xxooxoxxxoox""),""Basant"",IF(REGEXMATCH(AT291,""xoxoxxxxoxox""),""Bihag"",IF(REGEXMATCH(AT291,""xoxxxxoxoxxx""),""Pilu"",IF(REGEXMATCH(AT291,""xoxxoxoxxoox""),""Kirwani"",IF(REGEXMATCH(AT"&amp;"291,""xoxxoxoxoxxx""),""Mk.Malhar"",IF(REGEXMATCH(AT291,""xxooxxoxxoox""),""Bhairav"",IF(REGEXMATCH(AT291,""xxoxooxxxoox""),""Todi"",IF(REGEXMATCH(AT291,""xxooxoxooxox""),""Marwa"",IF(REGEXMATCH(AT291,""xxoooxoxxooo""),""Gunkali"",IF(REGEXMATCH(AT291,""xo"&amp;"xoxxoxxoox""),""Nat Bhairav"",IF(REGEXMATCH(AT291,""xoxxoooxoxoo""),""Shivranjani"",IF(REGEXMATCH(AT291,""xooxxxoxooxo""),""Jog"",IF(REGEXMATCH(AT291,""xxooxoxoxoox""),""Hemshri"",IF(REGEXMATCH(AT291,""xoooxooxoxxo""),""Kalavati"",IF(REGEXMATCH(AT291,""xx"&amp;"oxoxxoxoox""),""Kedar"",IF(REGEXMATCH(AT291,""xoxxxxoxooxx""),""Gara"",IF(REGEXMATCH(AT291,""xooxoxooxoox""),""Chandrakauns"",IF(REGEXMATCH(AT291,""xoxxxxoxxxox""),""Mand"",IF(REGEXMATCH(AT291,""xoxxxxoxoxox""),""Hanskinkini"",IF(REGEXMATCH(AT291,""xxooxx"&amp;"oxooxo""),""Lilavati"",IF(REGEXMATCH(AT291,""xooxoxoooxox""),""Rajeshwari"",IF(REGEXMATCH(AT291,""xoooxxoxoxxx""),""Khokar"",IF(REGEXMATCH(AT291,""xxooxoxxxxox""),""Maligoura"",""-""))))))))))))))))))))))))))))))"),"(n/a)")</f>
        <v>(n/a)</v>
      </c>
      <c r="BG291" s="239" t="str">
        <f t="shared" si="26"/>
        <v>#REF!</v>
      </c>
      <c r="BH291" s="239">
        <f>IFERROR(__xludf.DUMMYFUNCTION("COUNTUNIQUE(FE291:FO291)-1"),8.0)</f>
        <v>8</v>
      </c>
      <c r="BI291" s="239">
        <f>IFERROR(__xludf.DUMMYFUNCTION("COUNTUNIQUE(FILTER(AT:AT,REGEXMATCH(AT:AT,AS291)))-1"),0.0)</f>
        <v>0</v>
      </c>
      <c r="BJ291" s="239">
        <f>IFERROR(__xludf.DUMMYFUNCTION("COUNTA(FILTER(AT:AT,REGEXMATCH(AT:AT,AS291)))"),2.0)</f>
        <v>2</v>
      </c>
      <c r="BK291" s="341">
        <f>IFERROR(__xludf.DUMMYFUNCTION("COUNTA(FILTER(AT:AT,REGEXMATCH(AT:AT,AS291)))-AR291"),2.0)</f>
        <v>2</v>
      </c>
      <c r="BL291" s="276" t="str">
        <f>IFERROR(__xludf.DUMMYFUNCTION("IF(AS291=""oooooooooooo"",""-"",IF(REGEXMATCH(AT291,""xx""), ""Hemi."", ""Anhemi.""))"),"Hemi.")</f>
        <v>Hemi.</v>
      </c>
      <c r="BM291" s="282" t="str">
        <f>IFERROR(__xludf.DUMMYFUNCTION("IF(AS291=""oooooooooooo"",""-"",IF(REGEXMATCH(AT291,""xxx""), ""Cohem."", ""-""))"),"Cohem.")</f>
        <v>Cohem.</v>
      </c>
      <c r="BN291" s="282" t="str">
        <f>IFERROR(__xludf.DUMMYFUNCTION("IF(AS291=""oooooooooooo"",""-"",IF(REGEXMATCH(AT291,""xxxx""), ""Co-Co."", ""-""))"),"Co-Co.")</f>
        <v>Co-Co.</v>
      </c>
      <c r="BO291" s="342" t="str">
        <f>IFERROR(__xludf.DUMMYFUNCTION("IF(AS291=""oooooooooooo"",""-"",IF(REGEXMATCH(AT291,""xxxxx""), ""CCC."", ""-""))"),"CCC.")</f>
        <v>CCC.</v>
      </c>
      <c r="BP291" s="344" t="str">
        <f t="shared" si="27"/>
        <v>-</v>
      </c>
      <c r="BQ291" s="282" t="str">
        <f>IFERROR(__xludf.DUMMYFUNCTION("IF(REGEXMATCH(JOIN(""-"",EU291:FD291),""TRUE""),""✔"",""-"")"),"-")</f>
        <v>-</v>
      </c>
      <c r="BR291" s="225">
        <f t="shared" si="28"/>
        <v>0</v>
      </c>
      <c r="BS291" s="345" t="str">
        <f>IFERROR(__xludf.DUMMYFUNCTION("SUBSTITUTE(SUBSTITUTE(SUBSTITUTE(SUBSTITUTE(CONCATENATE(JOIN(""-"",GC291:GO291)),""--"",""-""),""--"",""-""),""--"",""-""),""--"",""-"")"),"1-b2-3-4-5-b6-6-b7-7-8")</f>
        <v>1-b2-3-4-5-b6-6-b7-7-8</v>
      </c>
      <c r="BT291" s="299" t="str">
        <f>IFERROR(__xludf.DUMMYFUNCTION("SUBSTITUTE(SUBSTITUTE(SUBSTITUTE(SUBSTITUTE(CONCATENATE(JOIN(""-"",GP291:HB291)),""--"",""-""),""--"",""-""),""--"",""-""),""--"",""-"")"),"S-R1-G3-M1-P-D1-D2-N2-N3-S")</f>
        <v>S-R1-G3-M1-P-D1-D2-N2-N3-S</v>
      </c>
      <c r="BU291" s="348" t="str">
        <f t="shared" si="29"/>
        <v>C-Db-E-F-G-Ab-A-Bb-B-C</v>
      </c>
      <c r="BV291" s="349" t="str">
        <f t="shared" si="30"/>
        <v>SRgMS</v>
      </c>
      <c r="BW291" s="350">
        <f t="shared" si="31"/>
        <v>0</v>
      </c>
      <c r="BX291" s="351">
        <f t="shared" si="32"/>
        <v>2</v>
      </c>
      <c r="BY291" s="392"/>
      <c r="BZ291" s="309" t="str">
        <f>IFERROR(__xludf.DUMMYFUNCTION("IF(REGEXMATCH(C291, ""S""), ""x"",""x"")"),"x")</f>
        <v>x</v>
      </c>
      <c r="CA291" s="245" t="str">
        <f>IFERROR(__xludf.DUMMYFUNCTION("IF(REGEXMATCH(C291, ""r""), ""o"",""x"")"),"o")</f>
        <v>o</v>
      </c>
      <c r="CB291" s="246" t="str">
        <f>IFERROR(__xludf.DUMMYFUNCTION("IF(REGEXMATCH(C291, ""R""), ""o"",""x"")"),"x")</f>
        <v>x</v>
      </c>
      <c r="CC291" s="246" t="str">
        <f>IFERROR(__xludf.DUMMYFUNCTION("IF(REGEXMATCH(C291, ""g""), ""o"",""x"")"),"x")</f>
        <v>x</v>
      </c>
      <c r="CD291" s="245" t="str">
        <f>IFERROR(__xludf.DUMMYFUNCTION("IF(REGEXMATCH(C291, ""G""), ""o"",""x"")"),"o")</f>
        <v>o</v>
      </c>
      <c r="CE291" s="245" t="str">
        <f>IFERROR(__xludf.DUMMYFUNCTION("IF(REGEXMATCH(C291, ""m""), ""o"",""x"")"),"o")</f>
        <v>o</v>
      </c>
      <c r="CF291" s="246" t="str">
        <f>IFERROR(__xludf.DUMMYFUNCTION("IF(REGEXMATCH(C291, ""M""), ""o"",""x"")"),"x")</f>
        <v>x</v>
      </c>
      <c r="CG291" s="245" t="str">
        <f>IFERROR(__xludf.DUMMYFUNCTION("IF(REGEXMATCH(C291, ""P""), ""o"",""x"")"),"o")</f>
        <v>o</v>
      </c>
      <c r="CH291" s="246" t="str">
        <f>IFERROR(__xludf.DUMMYFUNCTION("IF(REGEXMATCH(C291, ""d""), ""o"",""x"")"),"o")</f>
        <v>o</v>
      </c>
      <c r="CI291" s="245" t="str">
        <f>IFERROR(__xludf.DUMMYFUNCTION("IF(REGEXMATCH(C291, ""D""), ""o"",""x"")"),"o")</f>
        <v>o</v>
      </c>
      <c r="CJ291" s="245" t="str">
        <f>IFERROR(__xludf.DUMMYFUNCTION("IF(REGEXMATCH(C291, ""n""), ""o"",""x"")"),"o")</f>
        <v>o</v>
      </c>
      <c r="CK291" s="245" t="str">
        <f>IFERROR(__xludf.DUMMYFUNCTION("IF(REGEXMATCH(C291, ""N""), ""o"",""x"")"),"o")</f>
        <v>o</v>
      </c>
      <c r="CL291" s="356" t="str">
        <f>IFERROR(__xludf.DUMMYFUNCTION("IF(REGEXMATCH(C291, ""S""), ""x"",""x"")"),"x")</f>
        <v>x</v>
      </c>
      <c r="CM291" s="357" t="str">
        <f t="shared" si="33"/>
        <v>xoxxooxooooo</v>
      </c>
      <c r="CN291" s="358">
        <f t="shared" si="34"/>
        <v>0</v>
      </c>
      <c r="CO291" s="246" t="str">
        <f>IFERROR(__xludf.DUMMYFUNCTION("IF(REGEXMATCH($C291, ""S""), ""S"",""S"")"),"S")</f>
        <v>S</v>
      </c>
      <c r="CP291" s="246" t="str">
        <f>IFERROR(__xludf.DUMMYFUNCTION("IF(REGEXMATCH($C291, ""r""), """",""r"")"),"")</f>
        <v/>
      </c>
      <c r="CQ291" s="246" t="str">
        <f>IFERROR(__xludf.DUMMYFUNCTION("IF(REGEXMATCH($C291, ""R""), """",""R"")"),"R")</f>
        <v>R</v>
      </c>
      <c r="CR291" s="246" t="str">
        <f>IFERROR(__xludf.DUMMYFUNCTION("IF(REGEXMATCH($C291, ""g""), """",""g"")"),"g")</f>
        <v>g</v>
      </c>
      <c r="CS291" s="246" t="str">
        <f>IFERROR(__xludf.DUMMYFUNCTION("IF(REGEXMATCH($C291, ""G""), """",""G"")"),"")</f>
        <v/>
      </c>
      <c r="CT291" s="246" t="str">
        <f>IFERROR(__xludf.DUMMYFUNCTION("IF(REGEXMATCH($C291, ""m""), """",""m"")"),"")</f>
        <v/>
      </c>
      <c r="CU291" s="246" t="str">
        <f>IFERROR(__xludf.DUMMYFUNCTION("IF(REGEXMATCH($C291, ""M""), """",""M"")"),"M")</f>
        <v>M</v>
      </c>
      <c r="CV291" s="246" t="str">
        <f>IFERROR(__xludf.DUMMYFUNCTION("IF(REGEXMATCH($C291, ""P""), """",""P"")"),"")</f>
        <v/>
      </c>
      <c r="CW291" s="246" t="str">
        <f>IFERROR(__xludf.DUMMYFUNCTION("IF(REGEXMATCH($C291, ""d""), """",""d"")"),"")</f>
        <v/>
      </c>
      <c r="CX291" s="246" t="str">
        <f>IFERROR(__xludf.DUMMYFUNCTION("IF(REGEXMATCH($C291, ""D""), """",""D"")"),"")</f>
        <v/>
      </c>
      <c r="CY291" s="246" t="str">
        <f>IFERROR(__xludf.DUMMYFUNCTION("IF(REGEXMATCH($C291, ""n""), """",""n"")"),"")</f>
        <v/>
      </c>
      <c r="CZ291" s="246" t="str">
        <f>IFERROR(__xludf.DUMMYFUNCTION("IF(REGEXMATCH($C291, ""N""), """",""N"")"),"")</f>
        <v/>
      </c>
      <c r="DA291" s="246" t="str">
        <f>IFERROR(__xludf.DUMMYFUNCTION("IF(REGEXMATCH($C291, ""S""), ""S"",""S"")"),"S")</f>
        <v>S</v>
      </c>
      <c r="DB291" s="362" t="str">
        <f>IFERROR(__xludf.DUMMYFUNCTION("JOIN("""",CO291:DA291,"""","""")"),"SRgMS")</f>
        <v>SRgMS</v>
      </c>
      <c r="DC291" s="363"/>
      <c r="DD291" s="301" t="str">
        <f t="shared" si="35"/>
        <v>#REF!</v>
      </c>
      <c r="DE291" s="302" t="str">
        <f t="shared" si="36"/>
        <v>#REF!</v>
      </c>
      <c r="DF291" s="301" t="str">
        <f t="shared" ref="DF291:DG291" si="808">SUBSTITUTE(S291,"-","")</f>
        <v>SRGM</v>
      </c>
      <c r="DG291" s="301" t="str">
        <f t="shared" si="808"/>
        <v>PDNS</v>
      </c>
      <c r="DH291" s="302" t="str">
        <f t="shared" si="38"/>
        <v>(n/a)</v>
      </c>
      <c r="DI291" s="301" t="str">
        <f t="shared" si="39"/>
        <v>Hemi.</v>
      </c>
      <c r="DJ291" s="364" t="str">
        <f t="shared" si="40"/>
        <v>CCC.</v>
      </c>
      <c r="DK291" s="306" t="str">
        <f t="shared" si="41"/>
        <v>-</v>
      </c>
      <c r="DL291" s="366" t="str">
        <f t="shared" si="42"/>
        <v>-</v>
      </c>
      <c r="DM291" s="308" t="str">
        <f t="shared" si="43"/>
        <v>✔</v>
      </c>
      <c r="DN291" s="306" t="str">
        <f t="shared" si="44"/>
        <v>-</v>
      </c>
      <c r="DO291" s="306" t="str">
        <f t="shared" si="45"/>
        <v>-</v>
      </c>
      <c r="DP291" s="367" t="str">
        <f t="shared" si="46"/>
        <v>-</v>
      </c>
      <c r="DQ291" s="310" t="str">
        <f t="shared" si="47"/>
        <v>-</v>
      </c>
      <c r="DR291" s="310" t="str">
        <f t="shared" si="48"/>
        <v>-</v>
      </c>
      <c r="DS291" s="310" t="str">
        <f t="shared" si="49"/>
        <v>-</v>
      </c>
      <c r="DT291" s="310" t="str">
        <f t="shared" si="50"/>
        <v>✔</v>
      </c>
      <c r="DU291" s="370" t="str">
        <f t="shared" si="51"/>
        <v>✔</v>
      </c>
      <c r="DV291" s="306" t="str">
        <f t="shared" si="52"/>
        <v>-</v>
      </c>
      <c r="DW291" s="306" t="str">
        <f t="shared" si="53"/>
        <v>-</v>
      </c>
      <c r="DX291" s="306" t="str">
        <f t="shared" si="54"/>
        <v>-</v>
      </c>
      <c r="DY291" s="306" t="str">
        <f t="shared" si="55"/>
        <v>-</v>
      </c>
      <c r="DZ291" s="306" t="str">
        <f t="shared" si="56"/>
        <v>-</v>
      </c>
      <c r="EA291" s="367" t="str">
        <f t="shared" si="57"/>
        <v>-</v>
      </c>
      <c r="EB291" s="310" t="str">
        <f>IFERROR(__xludf.DUMMYFUNCTION("IF(REGEXMATCH(AW291,AS291),""✔"",""-"")"),"-")</f>
        <v>-</v>
      </c>
      <c r="EC291" s="310" t="str">
        <f t="shared" si="58"/>
        <v>#REF!</v>
      </c>
      <c r="ED291" s="370" t="str">
        <f t="shared" si="59"/>
        <v>-</v>
      </c>
      <c r="EE291" s="340" t="str">
        <f t="shared" si="60"/>
        <v>S-r-G-m-P-dD-nN-S</v>
      </c>
      <c r="EF291" s="371" t="str">
        <f>IFERROR(__xludf.DUMMYFUNCTION("CONCATENATE(JOIN("""",HC291:HO291))"),"SrRgGmPdNS")</f>
        <v>SrRgGmPdNS</v>
      </c>
      <c r="EG291" s="372">
        <f t="shared" si="61"/>
        <v>3</v>
      </c>
      <c r="EH291" s="373" t="str">
        <f>IFERROR(__xludf.DUMMYFUNCTION("CONCATENATE(JOIN("""",JC291:JO291))"),"Pa, dha, Ni, ")</f>
        <v>Pa, dha, Ni, </v>
      </c>
      <c r="EI291" s="322">
        <f t="shared" si="62"/>
        <v>0</v>
      </c>
      <c r="EJ291" s="374" t="str">
        <f>IFERROR(__xludf.DUMMYFUNCTION("CONCATENATE(JOIN("""",KC291:KO291))"),"")</f>
        <v/>
      </c>
      <c r="EK291" s="325" t="str">
        <f t="shared" si="63"/>
        <v>S-R1-G3-M1-P-D1-D2-N2-N3-S</v>
      </c>
      <c r="EL291" s="326" t="str">
        <f t="shared" si="64"/>
        <v>1-b2-3-4-5-b6-6-b7-7-8</v>
      </c>
      <c r="EM291" s="318" t="str">
        <f t="shared" si="65"/>
        <v>#REF!</v>
      </c>
      <c r="EN291" s="328" t="str">
        <f>IFERROR(__xludf.DUMMYFUNCTION("SUBSTITUTE(SUBSTITUTE(SUBSTITUTE(SUBSTITUTE(CONCATENATE(JOIN("" "",HP291:IB291)),""  "","" ""),""  "","" ""),""  "","" ""),""  "","" "")"),"o o • • o o • o o o o o o")</f>
        <v>o o • • o o • o o o o o o</v>
      </c>
      <c r="EO291" s="368" t="str">
        <f t="shared" si="66"/>
        <v>-</v>
      </c>
      <c r="EP291" s="339" t="str">
        <f t="shared" si="67"/>
        <v>-</v>
      </c>
      <c r="EQ291" s="339" t="str">
        <f t="shared" si="68"/>
        <v>Sa-Pa</v>
      </c>
      <c r="ER291" s="339" t="str">
        <f t="shared" si="69"/>
        <v>-</v>
      </c>
      <c r="ES291" s="340" t="str">
        <f t="shared" si="70"/>
        <v>-</v>
      </c>
      <c r="ET291" s="363"/>
      <c r="EU291" s="376" t="b">
        <f>IFERROR(__xludf.DUMMYFUNCTION("arrayformula(sum(--REGEXMATCH(""SRGMPDNS"",split(REGEXREPLACE(C291,""(.)"",""$1~""),""~""))))=len(C291)
"),FALSE)</f>
        <v>0</v>
      </c>
      <c r="EV291" s="290" t="b">
        <f>IFERROR(__xludf.DUMMYFUNCTION("arrayformula(sum(--REGEXMATCH(""SRGmPDNS"",split(REGEXREPLACE(C291,""(.)"",""$1~""),""~""))))=len(C291)"),FALSE)</f>
        <v>0</v>
      </c>
      <c r="EW291" s="290" t="b">
        <f>IFERROR(__xludf.DUMMYFUNCTION("arrayformula(sum(--REGEXMATCH(""SRGmPDnS"",split(REGEXREPLACE(C291,""(.)"",""$1~""),""~""))))=len(C291)"),FALSE)</f>
        <v>0</v>
      </c>
      <c r="EX291" s="290" t="b">
        <f>IFERROR(__xludf.DUMMYFUNCTION("arrayformula(sum(--REGEXMATCH(""SRgmPDnS"",split(REGEXREPLACE(C291,""(.)"",""$1~""),""~""))))=len(C291)"),FALSE)</f>
        <v>0</v>
      </c>
      <c r="EY291" s="290" t="b">
        <f>IFERROR(__xludf.DUMMYFUNCTION("arrayformula(sum(--REGEXMATCH(""SRgmPdnS"",split(REGEXREPLACE(C291,""(.)"",""$1~""),""~""))))=len(C291)"),FALSE)</f>
        <v>0</v>
      </c>
      <c r="EZ291" s="290" t="b">
        <f>IFERROR(__xludf.DUMMYFUNCTION("arrayformula(sum(--REGEXMATCH(""SrgmPdnS"",split(REGEXREPLACE(C291,""(.)"",""$1~""),""~""))))=len(C291)"),FALSE)</f>
        <v>0</v>
      </c>
      <c r="FA291" s="290" t="b">
        <f>IFERROR(__xludf.DUMMYFUNCTION("arrayformula(sum(--REGEXMATCH(""SrGmPdNS"",split(REGEXREPLACE(C291,""(.)"",""$1~""),""~""))))=len(C291)"),FALSE)</f>
        <v>0</v>
      </c>
      <c r="FB291" s="290" t="b">
        <f>IFERROR(__xludf.DUMMYFUNCTION("arrayformula(sum(--REGEXMATCH(""SrGMPDNS"",split(REGEXREPLACE(C291,""(.)"",""$1~""),""~""))))=len(C291)"),FALSE)</f>
        <v>0</v>
      </c>
      <c r="FC291" s="290" t="b">
        <f>IFERROR(__xludf.DUMMYFUNCTION("arrayformula(sum(--REGEXMATCH(""SrGMPdNS"",split(REGEXREPLACE(C291,""(.)"",""$1~""),""~""))))=len(C291)"),FALSE)</f>
        <v>0</v>
      </c>
      <c r="FD291" s="377" t="b">
        <f>IFERROR(__xludf.DUMMYFUNCTION("arrayformula(sum(--REGEXMATCH(""SrgMPdNS"",split(REGEXREPLACE(C291,""(.)"",""$1~""),""~""))))=len(C291)"),FALSE)</f>
        <v>0</v>
      </c>
      <c r="FE291" s="269" t="str">
        <f t="shared" si="71"/>
        <v>xooxxoxxxxx</v>
      </c>
      <c r="FF291" s="269" t="str">
        <f t="shared" si="72"/>
        <v>-</v>
      </c>
      <c r="FG291" s="271" t="str">
        <f t="shared" si="73"/>
        <v>-</v>
      </c>
      <c r="FH291" s="269" t="str">
        <f t="shared" si="74"/>
        <v>xxoxxxxxxxo</v>
      </c>
      <c r="FI291" s="271" t="str">
        <f t="shared" si="75"/>
        <v>xoxxxxxxxoo</v>
      </c>
      <c r="FJ291" s="271" t="str">
        <f t="shared" si="76"/>
        <v>-</v>
      </c>
      <c r="FK291" s="271" t="str">
        <f t="shared" si="77"/>
        <v>xxxxxxxooxx</v>
      </c>
      <c r="FL291" s="271" t="str">
        <f t="shared" si="78"/>
        <v>xxxxxxooxxo</v>
      </c>
      <c r="FM291" s="271" t="str">
        <f t="shared" si="79"/>
        <v>xxxxxooxxox</v>
      </c>
      <c r="FN291" s="271" t="str">
        <f t="shared" si="80"/>
        <v>xxxxooxxoxx</v>
      </c>
      <c r="FO291" s="274" t="str">
        <f t="shared" si="81"/>
        <v>xxxooxxoxxx</v>
      </c>
      <c r="FP291" s="234" t="str">
        <f t="shared" si="82"/>
        <v>|</v>
      </c>
      <c r="FQ291" s="236" t="str">
        <f t="shared" si="83"/>
        <v>|</v>
      </c>
      <c r="FR291" s="237" t="str">
        <f t="shared" si="84"/>
        <v>-</v>
      </c>
      <c r="FS291" s="236" t="str">
        <f t="shared" si="85"/>
        <v>-</v>
      </c>
      <c r="FT291" s="237" t="str">
        <f t="shared" si="86"/>
        <v>|</v>
      </c>
      <c r="FU291" s="236" t="str">
        <f t="shared" si="87"/>
        <v>|</v>
      </c>
      <c r="FV291" s="237" t="str">
        <f t="shared" si="88"/>
        <v>-</v>
      </c>
      <c r="FW291" s="236" t="str">
        <f t="shared" si="89"/>
        <v>|</v>
      </c>
      <c r="FX291" s="237" t="str">
        <f t="shared" si="90"/>
        <v>|</v>
      </c>
      <c r="FY291" s="236" t="str">
        <f t="shared" si="91"/>
        <v>|</v>
      </c>
      <c r="FZ291" s="237" t="str">
        <f t="shared" si="92"/>
        <v>|</v>
      </c>
      <c r="GA291" s="236" t="str">
        <f t="shared" si="93"/>
        <v>|</v>
      </c>
      <c r="GB291" s="238" t="str">
        <f t="shared" si="94"/>
        <v>|</v>
      </c>
      <c r="GC291" s="244" t="str">
        <f>IFERROR(__xludf.DUMMYFUNCTION("IF(REGEXMATCH(C291, ""S""), ""1"","""")"),"1")</f>
        <v>1</v>
      </c>
      <c r="GD291" s="245" t="str">
        <f>IFERROR(__xludf.DUMMYFUNCTION("IF(REGEXMATCH(C291, ""r""), ""b2"","""")"),"b2")</f>
        <v>b2</v>
      </c>
      <c r="GE291" s="246" t="str">
        <f>IFERROR(__xludf.DUMMYFUNCTION("IF(REGEXMATCH(C291, ""R""), ""2"","""")"),"")</f>
        <v/>
      </c>
      <c r="GF291" s="246" t="str">
        <f>IFERROR(__xludf.DUMMYFUNCTION("IF(REGEXMATCH(C291, ""g""), ""b3"","""")"),"")</f>
        <v/>
      </c>
      <c r="GG291" s="245" t="str">
        <f>IFERROR(__xludf.DUMMYFUNCTION("IF(REGEXMATCH(C291, ""G""), ""3"","""")"),"3")</f>
        <v>3</v>
      </c>
      <c r="GH291" s="245" t="str">
        <f>IFERROR(__xludf.DUMMYFUNCTION("IF(REGEXMATCH(C291, ""m""), ""4"","""")"),"4")</f>
        <v>4</v>
      </c>
      <c r="GI291" s="246" t="str">
        <f>IFERROR(__xludf.DUMMYFUNCTION("IF(REGEXMATCH(C291, ""M""), ""#4"","""")"),"")</f>
        <v/>
      </c>
      <c r="GJ291" s="245" t="str">
        <f>IFERROR(__xludf.DUMMYFUNCTION("IF(REGEXMATCH(C291, ""P""), ""5"","""")"),"5")</f>
        <v>5</v>
      </c>
      <c r="GK291" s="246" t="str">
        <f>IFERROR(__xludf.DUMMYFUNCTION("IF(REGEXMATCH(C291, ""d""), ""b6"","""")"),"b6")</f>
        <v>b6</v>
      </c>
      <c r="GL291" s="245" t="str">
        <f>IFERROR(__xludf.DUMMYFUNCTION("IF(REGEXMATCH(C291, ""D""), ""6"","""")"),"6")</f>
        <v>6</v>
      </c>
      <c r="GM291" s="245" t="str">
        <f>IFERROR(__xludf.DUMMYFUNCTION("IF(REGEXMATCH(C291, ""n""), ""b7"","""")"),"b7")</f>
        <v>b7</v>
      </c>
      <c r="GN291" s="246" t="str">
        <f>IFERROR(__xludf.DUMMYFUNCTION("IF(REGEXMATCH(C291, ""N""), ""7"","""")"),"7")</f>
        <v>7</v>
      </c>
      <c r="GO291" s="249" t="str">
        <f>IFERROR(__xludf.DUMMYFUNCTION("IF(REGEXMATCH(C291, ""S""), ""8"","""")"),"8")</f>
        <v>8</v>
      </c>
      <c r="GP291" s="244" t="str">
        <f>IFERROR(__xludf.DUMMYFUNCTION("IF(REGEXMATCH(C291, ""S""), ""S"","""")"),"S")</f>
        <v>S</v>
      </c>
      <c r="GQ291" s="294" t="str">
        <f>IFERROR(__xludf.DUMMYFUNCTION("IF(REGEXMATCH(C291, ""r""), ""R1"","""")"),"R1")</f>
        <v>R1</v>
      </c>
      <c r="GR291" s="295" t="str">
        <f>IFERROR(__xludf.DUMMYFUNCTION("IF(REGEXMATCH(C291, ""R""), ""R2"","""")"),"")</f>
        <v/>
      </c>
      <c r="GS291" s="295" t="str">
        <f>IFERROR(__xludf.DUMMYFUNCTION("IF(REGEXMATCH(C291, ""g""), ""G2"","""")"),"")</f>
        <v/>
      </c>
      <c r="GT291" s="294" t="str">
        <f>IFERROR(__xludf.DUMMYFUNCTION("IF(REGEXMATCH(C291, ""G""), ""G3"","""")"),"G3")</f>
        <v>G3</v>
      </c>
      <c r="GU291" s="294" t="str">
        <f>IFERROR(__xludf.DUMMYFUNCTION("IF(REGEXMATCH(C291, ""m""), ""M1"","""")"),"M1")</f>
        <v>M1</v>
      </c>
      <c r="GV291" s="295" t="str">
        <f>IFERROR(__xludf.DUMMYFUNCTION("IF(REGEXMATCH(C291, ""M""), ""M2"","""")"),"")</f>
        <v/>
      </c>
      <c r="GW291" s="294" t="str">
        <f>IFERROR(__xludf.DUMMYFUNCTION("IF(REGEXMATCH(C291, ""P""), ""P"","""")"),"P")</f>
        <v>P</v>
      </c>
      <c r="GX291" s="295" t="str">
        <f>IFERROR(__xludf.DUMMYFUNCTION("IF(REGEXMATCH(C291, ""d""), ""D1"","""")"),"D1")</f>
        <v>D1</v>
      </c>
      <c r="GY291" s="294" t="str">
        <f>IFERROR(__xludf.DUMMYFUNCTION("IF(REGEXMATCH(C291, ""D""), ""D2"","""")"),"D2")</f>
        <v>D2</v>
      </c>
      <c r="GZ291" s="294" t="str">
        <f>IFERROR(__xludf.DUMMYFUNCTION("IF(REGEXMATCH(C291, ""n""), ""N2"","""")"),"N2")</f>
        <v>N2</v>
      </c>
      <c r="HA291" s="295" t="str">
        <f>IFERROR(__xludf.DUMMYFUNCTION("IF(REGEXMATCH(C291, ""N""), ""N3"","""")"),"N3")</f>
        <v>N3</v>
      </c>
      <c r="HB291" s="249" t="str">
        <f>IFERROR(__xludf.DUMMYFUNCTION("IF(REGEXMATCH(C291, ""S""), ""S"","""")"),"S")</f>
        <v>S</v>
      </c>
      <c r="HC291" s="331" t="str">
        <f t="shared" si="95"/>
        <v>S</v>
      </c>
      <c r="HD291" s="332" t="str">
        <f t="shared" si="96"/>
        <v>r</v>
      </c>
      <c r="HE291" s="332" t="str">
        <f t="shared" si="97"/>
        <v>R</v>
      </c>
      <c r="HF291" s="332" t="str">
        <f t="shared" si="98"/>
        <v>g</v>
      </c>
      <c r="HG291" s="332" t="str">
        <f t="shared" si="99"/>
        <v>G</v>
      </c>
      <c r="HH291" s="332" t="str">
        <f t="shared" si="100"/>
        <v>m</v>
      </c>
      <c r="HI291" s="332" t="str">
        <f t="shared" si="101"/>
        <v/>
      </c>
      <c r="HJ291" s="332" t="str">
        <f t="shared" si="102"/>
        <v>P</v>
      </c>
      <c r="HK291" s="332" t="str">
        <f t="shared" si="103"/>
        <v>d</v>
      </c>
      <c r="HL291" s="332" t="str">
        <f t="shared" si="104"/>
        <v/>
      </c>
      <c r="HM291" s="332" t="str">
        <f t="shared" si="105"/>
        <v/>
      </c>
      <c r="HN291" s="332" t="str">
        <f t="shared" si="106"/>
        <v>N</v>
      </c>
      <c r="HO291" s="343" t="str">
        <f t="shared" si="107"/>
        <v>S</v>
      </c>
      <c r="HP291" s="331" t="str">
        <f t="shared" si="108"/>
        <v>o</v>
      </c>
      <c r="HQ291" s="332" t="str">
        <f t="shared" si="109"/>
        <v>o</v>
      </c>
      <c r="HR291" s="332" t="str">
        <f t="shared" si="110"/>
        <v>•</v>
      </c>
      <c r="HS291" s="332" t="str">
        <f t="shared" si="111"/>
        <v>•</v>
      </c>
      <c r="HT291" s="332" t="str">
        <f t="shared" si="112"/>
        <v>o</v>
      </c>
      <c r="HU291" s="332" t="str">
        <f t="shared" si="113"/>
        <v>o</v>
      </c>
      <c r="HV291" s="332" t="str">
        <f t="shared" si="114"/>
        <v>•</v>
      </c>
      <c r="HW291" s="332" t="str">
        <f t="shared" si="115"/>
        <v>o</v>
      </c>
      <c r="HX291" s="332" t="str">
        <f t="shared" si="116"/>
        <v>o</v>
      </c>
      <c r="HY291" s="332" t="str">
        <f t="shared" si="117"/>
        <v>o</v>
      </c>
      <c r="HZ291" s="332" t="str">
        <f t="shared" si="118"/>
        <v>o</v>
      </c>
      <c r="IA291" s="332" t="str">
        <f t="shared" si="119"/>
        <v>o</v>
      </c>
      <c r="IB291" s="338" t="str">
        <f t="shared" si="120"/>
        <v>o</v>
      </c>
      <c r="IC291" s="331" t="str">
        <f t="shared" si="121"/>
        <v>•</v>
      </c>
      <c r="ID291" s="332" t="str">
        <f t="shared" si="122"/>
        <v>•</v>
      </c>
      <c r="IE291" s="332" t="str">
        <f t="shared" si="123"/>
        <v>o</v>
      </c>
      <c r="IF291" s="332" t="str">
        <f t="shared" si="124"/>
        <v>o</v>
      </c>
      <c r="IG291" s="332" t="str">
        <f t="shared" si="125"/>
        <v>•</v>
      </c>
      <c r="IH291" s="332" t="str">
        <f t="shared" si="126"/>
        <v>•</v>
      </c>
      <c r="II291" s="332" t="str">
        <f t="shared" si="127"/>
        <v>o</v>
      </c>
      <c r="IJ291" s="332" t="str">
        <f t="shared" si="128"/>
        <v>•</v>
      </c>
      <c r="IK291" s="332" t="str">
        <f t="shared" si="129"/>
        <v>•</v>
      </c>
      <c r="IL291" s="332" t="str">
        <f t="shared" si="130"/>
        <v>•</v>
      </c>
      <c r="IM291" s="332" t="str">
        <f t="shared" si="131"/>
        <v>•</v>
      </c>
      <c r="IN291" s="332" t="str">
        <f t="shared" si="132"/>
        <v>•</v>
      </c>
      <c r="IO291" s="338" t="str">
        <f t="shared" si="133"/>
        <v>•</v>
      </c>
      <c r="IP291" s="346" t="b">
        <f t="shared" si="134"/>
        <v>0</v>
      </c>
      <c r="IQ291" s="347" t="b">
        <f t="shared" si="135"/>
        <v>0</v>
      </c>
      <c r="IR291" s="347" t="b">
        <f t="shared" si="136"/>
        <v>0</v>
      </c>
      <c r="IS291" s="347" t="b">
        <f t="shared" si="137"/>
        <v>0</v>
      </c>
      <c r="IT291" s="347" t="b">
        <f t="shared" si="138"/>
        <v>0</v>
      </c>
      <c r="IU291" s="347" t="b">
        <f t="shared" si="139"/>
        <v>0</v>
      </c>
      <c r="IV291" s="347" t="b">
        <f t="shared" si="140"/>
        <v>0</v>
      </c>
      <c r="IW291" s="347" t="b">
        <f t="shared" si="141"/>
        <v>1</v>
      </c>
      <c r="IX291" s="347" t="b">
        <f t="shared" si="142"/>
        <v>1</v>
      </c>
      <c r="IY291" s="347" t="b">
        <f t="shared" si="143"/>
        <v>0</v>
      </c>
      <c r="IZ291" s="347" t="b">
        <f t="shared" si="144"/>
        <v>0</v>
      </c>
      <c r="JA291" s="347" t="b">
        <f t="shared" si="145"/>
        <v>1</v>
      </c>
      <c r="JB291" s="353" t="b">
        <f t="shared" si="146"/>
        <v>0</v>
      </c>
      <c r="JC291" s="354" t="str">
        <f t="shared" si="147"/>
        <v/>
      </c>
      <c r="JD291" s="355" t="str">
        <f t="shared" si="148"/>
        <v/>
      </c>
      <c r="JE291" s="355" t="str">
        <f t="shared" si="149"/>
        <v/>
      </c>
      <c r="JF291" s="355" t="str">
        <f t="shared" si="150"/>
        <v/>
      </c>
      <c r="JG291" s="355" t="str">
        <f t="shared" si="151"/>
        <v/>
      </c>
      <c r="JH291" s="355" t="str">
        <f t="shared" si="152"/>
        <v/>
      </c>
      <c r="JI291" s="355" t="str">
        <f t="shared" si="153"/>
        <v/>
      </c>
      <c r="JJ291" s="355" t="str">
        <f t="shared" si="154"/>
        <v>Pa, </v>
      </c>
      <c r="JK291" s="355" t="str">
        <f t="shared" si="155"/>
        <v>dha, </v>
      </c>
      <c r="JL291" s="355" t="str">
        <f t="shared" si="156"/>
        <v/>
      </c>
      <c r="JM291" s="355" t="str">
        <f t="shared" si="157"/>
        <v/>
      </c>
      <c r="JN291" s="355" t="str">
        <f t="shared" si="158"/>
        <v>Ni, </v>
      </c>
      <c r="JO291" s="359" t="str">
        <f t="shared" si="159"/>
        <v/>
      </c>
      <c r="JP291" s="346" t="b">
        <f t="shared" si="160"/>
        <v>0</v>
      </c>
      <c r="JQ291" s="347" t="b">
        <f t="shared" si="161"/>
        <v>0</v>
      </c>
      <c r="JR291" s="347" t="b">
        <f t="shared" si="162"/>
        <v>0</v>
      </c>
      <c r="JS291" s="347" t="b">
        <f t="shared" si="163"/>
        <v>0</v>
      </c>
      <c r="JT291" s="347" t="b">
        <f t="shared" si="164"/>
        <v>0</v>
      </c>
      <c r="JU291" s="347" t="b">
        <f t="shared" si="165"/>
        <v>0</v>
      </c>
      <c r="JV291" s="347" t="b">
        <f t="shared" si="166"/>
        <v>0</v>
      </c>
      <c r="JW291" s="347" t="b">
        <f t="shared" si="167"/>
        <v>0</v>
      </c>
      <c r="JX291" s="347" t="b">
        <f t="shared" si="168"/>
        <v>0</v>
      </c>
      <c r="JY291" s="347" t="b">
        <f t="shared" si="169"/>
        <v>0</v>
      </c>
      <c r="JZ291" s="347" t="b">
        <f t="shared" si="170"/>
        <v>0</v>
      </c>
      <c r="KA291" s="347" t="b">
        <f t="shared" si="171"/>
        <v>0</v>
      </c>
      <c r="KB291" s="365" t="b">
        <f t="shared" si="172"/>
        <v>0</v>
      </c>
      <c r="KC291" s="354" t="str">
        <f t="shared" si="173"/>
        <v/>
      </c>
      <c r="KD291" s="355" t="str">
        <f t="shared" si="174"/>
        <v/>
      </c>
      <c r="KE291" s="355" t="str">
        <f t="shared" si="175"/>
        <v/>
      </c>
      <c r="KF291" s="355" t="str">
        <f t="shared" si="176"/>
        <v/>
      </c>
      <c r="KG291" s="355" t="str">
        <f t="shared" si="177"/>
        <v/>
      </c>
      <c r="KH291" s="355" t="str">
        <f t="shared" si="178"/>
        <v/>
      </c>
      <c r="KI291" s="355" t="str">
        <f t="shared" si="179"/>
        <v/>
      </c>
      <c r="KJ291" s="355" t="str">
        <f t="shared" si="180"/>
        <v/>
      </c>
      <c r="KK291" s="355" t="str">
        <f t="shared" si="181"/>
        <v/>
      </c>
      <c r="KL291" s="355" t="str">
        <f t="shared" si="182"/>
        <v/>
      </c>
      <c r="KM291" s="355" t="str">
        <f t="shared" si="183"/>
        <v/>
      </c>
      <c r="KN291" s="355" t="str">
        <f t="shared" si="184"/>
        <v/>
      </c>
      <c r="KO291" s="359"/>
      <c r="KP291" s="378"/>
      <c r="KQ291" s="379" t="s">
        <v>1475</v>
      </c>
      <c r="KR291" s="380" t="s">
        <v>1476</v>
      </c>
      <c r="KS291" s="381" t="str">
        <f t="shared" ref="KS291:KS292" si="811">KQ291</f>
        <v>S-r-G-m-P-dD-S</v>
      </c>
      <c r="KT291" s="382">
        <f t="shared" si="186"/>
        <v>6</v>
      </c>
      <c r="KU291" s="383">
        <f t="shared" si="187"/>
        <v>7</v>
      </c>
      <c r="KV291" s="381" t="str">
        <f t="shared" si="205"/>
        <v>S-Dd-P-m-G-r-S</v>
      </c>
      <c r="KW291" s="382">
        <f t="shared" si="189"/>
        <v>6</v>
      </c>
      <c r="KX291" s="384">
        <f t="shared" si="190"/>
        <v>7</v>
      </c>
      <c r="KY291" s="382">
        <f t="shared" ref="KY291:KZ291" si="809">KW291-KT291</f>
        <v>0</v>
      </c>
      <c r="KZ291" s="369">
        <f t="shared" si="809"/>
        <v>0</v>
      </c>
      <c r="LA291" s="385" t="str">
        <f t="shared" si="192"/>
        <v>✔</v>
      </c>
      <c r="LB291" s="340" t="str">
        <f>IFERROR(__xludf.DUMMYFUNCTION("JOIN("""",ArrayFormula(MID(KS291,LEN(KS291)-SEQUENCE(1,LEN(KS291))+1,1)))"),"S-Dd-P-m-G-r-S")</f>
        <v>S-Dd-P-m-G-r-S</v>
      </c>
      <c r="LC291" s="373" t="str">
        <f>IFERROR(__xludf.DUMMYFUNCTION("JOIN("""",ArrayFormula(MID(KV291,LEN(KV291)-SEQUENCE(1,LEN(KV291))+1,1)))"),"S-r-G-m-P-dD-S")</f>
        <v>S-r-G-m-P-dD-S</v>
      </c>
      <c r="LD291" s="373" t="str">
        <f t="shared" si="193"/>
        <v>SrGmPdDS</v>
      </c>
      <c r="LE291" s="339" t="str">
        <f t="shared" si="194"/>
        <v>SrGmPdDS</v>
      </c>
      <c r="LF291" s="386" t="str">
        <f>IFERROR(__xludf.DUMMYFUNCTION("SUBSTITUTE(SUBSTITUTE(CONCATENATE(JOIN("""",LH291:LT291)),""1"",""""),""2"","""")"),"SrGmPdDS")</f>
        <v>SrGmPdDS</v>
      </c>
      <c r="LG291" s="369" t="str">
        <f t="shared" si="195"/>
        <v>-</v>
      </c>
      <c r="LH291" s="387" t="str">
        <f>IFERROR(__xludf.DUMMYFUNCTION("IF(REGEXMATCH(LD291, ""S""), ""S"",IF(REGEXMATCH(LE291, ""S""), ""S"",""""))"),"S")</f>
        <v>S</v>
      </c>
      <c r="LI291" s="299" t="str">
        <f>IFERROR(__xludf.DUMMYFUNCTION("IF(REGEXMATCH(LD291, ""r""), ""r1"",IF(REGEXMATCH(LE291, ""r""), ""r2"",""""))"),"r1")</f>
        <v>r1</v>
      </c>
      <c r="LJ291" s="299" t="str">
        <f>IFERROR(__xludf.DUMMYFUNCTION("IF(REGEXMATCH(LD291, ""R""), ""R1"",IF(REGEXMATCH(LE291, ""R""), ""R2"",""""))"),"")</f>
        <v/>
      </c>
      <c r="LK291" s="299" t="str">
        <f>IFERROR(__xludf.DUMMYFUNCTION("IF(REGEXMATCH(LD291, ""g""), ""g1"",IF(REGEXMATCH(LE291, ""g""), ""g2"",""""))"),"")</f>
        <v/>
      </c>
      <c r="LL291" s="299" t="str">
        <f>IFERROR(__xludf.DUMMYFUNCTION("IF(REGEXMATCH(LD291, ""G""), ""G1"",IF(REGEXMATCH(LE291, ""G""), ""G2"",""""))"),"G1")</f>
        <v>G1</v>
      </c>
      <c r="LM291" s="299" t="str">
        <f>IFERROR(__xludf.DUMMYFUNCTION("IF(REGEXMATCH(LD291, ""m""), ""m1"",IF(REGEXMATCH(LE291, ""m""), ""m2"",""""))"),"m1")</f>
        <v>m1</v>
      </c>
      <c r="LN291" s="299" t="str">
        <f>IFERROR(__xludf.DUMMYFUNCTION("IF(REGEXMATCH(LD291, ""M""), ""M1"",IF(REGEXMATCH(LE291, ""M""), ""M2"",""""))"),"")</f>
        <v/>
      </c>
      <c r="LO291" s="299" t="str">
        <f>IFERROR(__xludf.DUMMYFUNCTION("IF(REGEXMATCH(LD291, ""P""), ""P1"",IF(REGEXMATCH(LE291, ""P""), ""P2"",""""))"),"P1")</f>
        <v>P1</v>
      </c>
      <c r="LP291" s="299" t="str">
        <f>IFERROR(__xludf.DUMMYFUNCTION("IF(REGEXMATCH(LD291, ""d""), ""d1"",IF(REGEXMATCH(LE291, ""d""), ""d2"",""""))"),"d1")</f>
        <v>d1</v>
      </c>
      <c r="LQ291" s="299" t="str">
        <f>IFERROR(__xludf.DUMMYFUNCTION("IF(REGEXMATCH(LD291, ""D""), ""D1"",IF(REGEXMATCH(LE291, ""D""), ""D2"",""""))"),"D1")</f>
        <v>D1</v>
      </c>
      <c r="LR291" s="299" t="str">
        <f>IFERROR(__xludf.DUMMYFUNCTION("IF(REGEXMATCH(LD291, ""n""), ""n1"",IF(REGEXMATCH(LE291, ""n""), ""n2"",""""))"),"")</f>
        <v/>
      </c>
      <c r="LS291" s="299" t="str">
        <f>IFERROR(__xludf.DUMMYFUNCTION("IF(REGEXMATCH(LD291, ""N""), ""N1"",IF(REGEXMATCH(LE291, ""N""), ""N2"",""""))"),"")</f>
        <v/>
      </c>
      <c r="LT291" s="388" t="str">
        <f>IFERROR(__xludf.DUMMYFUNCTION("IF(REGEXMATCH(LD291, ""S""), ""S"",IF(REGEXMATCH(LE291, ""S""), ""S"",""""))"),"S")</f>
        <v>S</v>
      </c>
      <c r="LU291" s="389">
        <f t="shared" si="196"/>
        <v>1</v>
      </c>
      <c r="LV291" s="378"/>
      <c r="LW291" s="369"/>
      <c r="LX291" s="369"/>
    </row>
    <row r="292" ht="18.0" customHeight="1">
      <c r="A292" s="298" t="s">
        <v>1107</v>
      </c>
      <c r="B292" s="222" t="s">
        <v>624</v>
      </c>
      <c r="C292" s="233" t="str">
        <f t="shared" si="7"/>
        <v>SrGPdS</v>
      </c>
      <c r="D292" s="234" t="str">
        <f>IFERROR(__xludf.DUMMYFUNCTION("IF(REGEXMATCH(C292, ""S""), ""S"","""")"),"S")</f>
        <v>S</v>
      </c>
      <c r="E292" s="236" t="str">
        <f>IFERROR(__xludf.DUMMYFUNCTION("IF(REGEXMATCH(C292, ""r""), ""r"","""")"),"r")</f>
        <v>r</v>
      </c>
      <c r="F292" s="237" t="str">
        <f>IFERROR(__xludf.DUMMYFUNCTION("IF(REGEXMATCH(C292, ""R""), ""R"","""")"),"")</f>
        <v/>
      </c>
      <c r="G292" s="237" t="str">
        <f>IFERROR(__xludf.DUMMYFUNCTION("IF(REGEXMATCH(C292, ""g""), ""g"","""")"),"")</f>
        <v/>
      </c>
      <c r="H292" s="236" t="str">
        <f>IFERROR(__xludf.DUMMYFUNCTION("IF(REGEXMATCH(C292, ""G""), ""G"","""")"),"G")</f>
        <v>G</v>
      </c>
      <c r="I292" s="236" t="str">
        <f>IFERROR(__xludf.DUMMYFUNCTION("IF(REGEXMATCH(C292, ""m""), ""m"","""")"),"")</f>
        <v/>
      </c>
      <c r="J292" s="237" t="str">
        <f>IFERROR(__xludf.DUMMYFUNCTION("IF(REGEXMATCH(C292, ""M""), ""M"","""")"),"")</f>
        <v/>
      </c>
      <c r="K292" s="236" t="str">
        <f>IFERROR(__xludf.DUMMYFUNCTION("IF(REGEXMATCH(C292, ""P""), ""P"","""")"),"P")</f>
        <v>P</v>
      </c>
      <c r="L292" s="237" t="str">
        <f>IFERROR(__xludf.DUMMYFUNCTION("IF(REGEXMATCH(C292, ""d""), ""d"","""")"),"d")</f>
        <v>d</v>
      </c>
      <c r="M292" s="236" t="str">
        <f>IFERROR(__xludf.DUMMYFUNCTION("IF(REGEXMATCH(C292, ""D""), ""D"","""")"),"")</f>
        <v/>
      </c>
      <c r="N292" s="236" t="str">
        <f>IFERROR(__xludf.DUMMYFUNCTION("IF(REGEXMATCH(C292, ""n""), ""n"","""")"),"")</f>
        <v/>
      </c>
      <c r="O292" s="237" t="str">
        <f>IFERROR(__xludf.DUMMYFUNCTION("IF(REGEXMATCH(C292, ""N""), ""N"","""")"),"")</f>
        <v/>
      </c>
      <c r="P292" s="238" t="str">
        <f>IFERROR(__xludf.DUMMYFUNCTION("IF(REGEXMATCH(C292, ""S""), ""S"","""")"),"S")</f>
        <v>S</v>
      </c>
      <c r="Q292" s="239" t="str">
        <f>IFERROR(__xludf.DUMMYFUNCTION("SUBSTITUTE(CONCATENATE(JOIN(""-"",D292:J292)),""-"","""")"),"SrG")</f>
        <v>SrG</v>
      </c>
      <c r="R292" s="229" t="str">
        <f>IFERROR(__xludf.DUMMYFUNCTION("SUBSTITUTE(CONCATENATE(JOIN(""-"",K292:P292)),""-"","""")"),"PdS")</f>
        <v>PdS</v>
      </c>
      <c r="S292" s="282" t="str">
        <f t="shared" si="8"/>
        <v>S-R-G-</v>
      </c>
      <c r="T292" s="282" t="str">
        <f t="shared" si="9"/>
        <v>P-D-S</v>
      </c>
      <c r="U292" s="237" t="str">
        <f>IFERROR(__xludf.DUMMYFUNCTION("SUBSTITUTE(JOIN(""-"",S292,T292),""--"",""-"")"),"S-R-G-P-D-S")</f>
        <v>S-R-G-P-D-S</v>
      </c>
      <c r="V292" s="309" t="str">
        <f t="shared" si="10"/>
        <v>rGd</v>
      </c>
      <c r="W292" s="244" t="str">
        <f>IFERROR(__xludf.DUMMYFUNCTION("IF(REGEXMATCH(C292, ""S""), ""0"","""")"),"0")</f>
        <v>0</v>
      </c>
      <c r="X292" s="245" t="str">
        <f>IFERROR(__xludf.DUMMYFUNCTION("IF(REGEXMATCH(C292, ""r""), ""1"","""")"),"1")</f>
        <v>1</v>
      </c>
      <c r="Y292" s="246" t="str">
        <f>IFERROR(__xludf.DUMMYFUNCTION("IF(REGEXMATCH(C292, ""R""), ""2"","""")"),"")</f>
        <v/>
      </c>
      <c r="Z292" s="246" t="str">
        <f>IFERROR(__xludf.DUMMYFUNCTION("IF(REGEXMATCH(C292, ""g""), ""3"","""")"),"")</f>
        <v/>
      </c>
      <c r="AA292" s="245" t="str">
        <f>IFERROR(__xludf.DUMMYFUNCTION("IF(REGEXMATCH(C292, ""G""), ""4"","""")"),"4")</f>
        <v>4</v>
      </c>
      <c r="AB292" s="245" t="str">
        <f>IFERROR(__xludf.DUMMYFUNCTION("IF(REGEXMATCH(C292, ""m""), ""5"","""")"),"")</f>
        <v/>
      </c>
      <c r="AC292" s="246" t="str">
        <f>IFERROR(__xludf.DUMMYFUNCTION("IF(REGEXMATCH(C292, ""M""), ""6"","""")"),"")</f>
        <v/>
      </c>
      <c r="AD292" s="245" t="str">
        <f>IFERROR(__xludf.DUMMYFUNCTION("IF(REGEXMATCH(C292, ""P""), ""7"","""")"),"7")</f>
        <v>7</v>
      </c>
      <c r="AE292" s="246" t="str">
        <f>IFERROR(__xludf.DUMMYFUNCTION("IF(REGEXMATCH(C292, ""d""), ""8"","""")"),"8")</f>
        <v>8</v>
      </c>
      <c r="AF292" s="245" t="str">
        <f>IFERROR(__xludf.DUMMYFUNCTION("IF(REGEXMATCH(C292, ""D""), ""9"","""")"),"")</f>
        <v/>
      </c>
      <c r="AG292" s="245" t="str">
        <f>IFERROR(__xludf.DUMMYFUNCTION("IF(REGEXMATCH(C292, ""n""), ""10"","""")"),"")</f>
        <v/>
      </c>
      <c r="AH292" s="246" t="str">
        <f>IFERROR(__xludf.DUMMYFUNCTION("IF(REGEXMATCH(C292, ""N""), ""11"","""")"),"")</f>
        <v/>
      </c>
      <c r="AI292" s="249" t="str">
        <f>IFERROR(__xludf.DUMMYFUNCTION("IF(REGEXMATCH(C292, ""S""), ""0"","""")"),"0")</f>
        <v>0</v>
      </c>
      <c r="AJ292" s="313" t="str">
        <f t="shared" si="11"/>
        <v>-</v>
      </c>
      <c r="AK292" s="313" t="str">
        <f t="shared" si="12"/>
        <v>T</v>
      </c>
      <c r="AL292" s="313" t="str">
        <f t="shared" si="13"/>
        <v>-</v>
      </c>
      <c r="AM292" s="313" t="str">
        <f t="shared" si="14"/>
        <v>-</v>
      </c>
      <c r="AN292" s="313" t="str">
        <f t="shared" si="15"/>
        <v>-</v>
      </c>
      <c r="AO292" s="314" t="str">
        <f t="shared" si="16"/>
        <v>-</v>
      </c>
      <c r="AP292" s="316">
        <f t="shared" si="17"/>
        <v>1</v>
      </c>
      <c r="AQ292" s="319" t="str">
        <f t="shared" si="18"/>
        <v>#REF!</v>
      </c>
      <c r="AR292" s="320">
        <f t="shared" si="19"/>
        <v>0</v>
      </c>
      <c r="AS292" s="250" t="str">
        <f>IFERROR(__xludf.DUMMYFUNCTION("SUBSTITUTE(SUBSTITUTE(CONCATENATE(JOIN("""",FP292:GA292)),""|"",""x""),""-"",""o"")"),"xxooxooxxooo")</f>
        <v>xxooxooxxooo</v>
      </c>
      <c r="AT292" s="323" t="str">
        <f>IFERROR(__xludf.DUMMYFUNCTION("JOIN("""",AS292,AS292)"),"xxooxooxxoooxxooxooxxooo")</f>
        <v>xxooxooxxoooxxooxooxxooo</v>
      </c>
      <c r="AU292" s="256" t="str">
        <f>IFERROR(__xludf.DUMMYFUNCTION("JOIN("""",ArrayFormula(MID(AS292,LEN(AS292)-SEQUENCE(1,LEN(AS292))+1,1)))"),"oooxxooxooxx")</f>
        <v>oooxxooxooxx</v>
      </c>
      <c r="AV292" s="256" t="str">
        <f>IFERROR(__xludf.DUMMYFUNCTION("LEFT(CONCATENATE(""x"",JOIN("""",ArrayFormula(MID(AS292,LEN(AS292)-SEQUENCE(1,LEN(AS292))+1,1)))),12)"),"xoooxxooxoox")</f>
        <v>xoooxxooxoox</v>
      </c>
      <c r="AW292" s="327" t="str">
        <f>IFERROR(__xludf.DUMMYFUNCTION("JOIN("""",AU292,AU292)"),"oooxxooxooxxoooxxooxooxx")</f>
        <v>oooxxooxooxxoooxxooxooxx</v>
      </c>
      <c r="AX292" s="239" t="str">
        <f>IFERROR(__xludf.DUMMYFUNCTION("IF(REGEXMATCH(AW292,AS292),""✔"",""-"")"),"✔")</f>
        <v>✔</v>
      </c>
      <c r="AY292" s="330" t="str">
        <f t="shared" si="20"/>
        <v>-</v>
      </c>
      <c r="AZ292" s="260" t="str">
        <f t="shared" si="21"/>
        <v>#REF!</v>
      </c>
      <c r="BA292" s="333" t="str">
        <f t="shared" si="22"/>
        <v>xxooxoo</v>
      </c>
      <c r="BB292" s="334" t="str">
        <f t="shared" si="23"/>
        <v>xxooox</v>
      </c>
      <c r="BC292" s="335" t="str">
        <f t="shared" si="236"/>
        <v>-</v>
      </c>
      <c r="BD292" s="336" t="str">
        <f t="shared" si="25"/>
        <v>Reva: 'xxooxoo' + 'xxooox'</v>
      </c>
      <c r="BE292" s="337">
        <f>IFERROR(__xludf.DUMMYFUNCTION("COUNTUNIQUE(FILTER(AT:AT,REGEXMATCH(AT:AT,AS292)))-1"),0.0)</f>
        <v>0</v>
      </c>
      <c r="BF292" s="261" t="str">
        <f>IFERROR(__xludf.DUMMYFUNCTION("IF(BI292=0,""(n/a)"",IF(BJ292=2,""(PAIR)"",IF(REGEXMATCH(AT292,""xoxoxxoxoxox""),""Bilawal"",IF(REGEXMATCH(AT292,""xoxoxooxoxoo""),""Bhupali"",IF(REGEXMATCH(AT292,""xoxoxxoxxoxo""),""Charukeshi"",IF(REGEXMATCH(AT292,""xoxoooxxoxxo""),""Kameshwari"",IF(REG"&amp;"EXMATCH(AT292,""xoxoxooxoxox""),""Shankara"",IF(REGEXMATCH(AT292,""xxooxoxxxoox""),""Basant"",IF(REGEXMATCH(AT292,""xoxoxxxxoxox""),""Bihag"",IF(REGEXMATCH(AT292,""xoxxxxoxoxxx""),""Pilu"",IF(REGEXMATCH(AT292,""xoxxoxoxxoox""),""Kirwani"",IF(REGEXMATCH(AT"&amp;"292,""xoxxoxoxoxxx""),""Mk.Malhar"",IF(REGEXMATCH(AT292,""xxooxxoxxoox""),""Bhairav"",IF(REGEXMATCH(AT292,""xxoxooxxxoox""),""Todi"",IF(REGEXMATCH(AT292,""xxooxoxooxox""),""Marwa"",IF(REGEXMATCH(AT292,""xxoooxoxxooo""),""Gunkali"",IF(REGEXMATCH(AT292,""xo"&amp;"xoxxoxxoox""),""Nat Bhairav"",IF(REGEXMATCH(AT292,""xoxxoooxoxoo""),""Shivranjani"",IF(REGEXMATCH(AT292,""xooxxxoxooxo""),""Jog"",IF(REGEXMATCH(AT292,""xxooxoxoxoox""),""Hemshri"",IF(REGEXMATCH(AT292,""xoooxooxoxxo""),""Kalavati"",IF(REGEXMATCH(AT292,""xx"&amp;"oxoxxoxoox""),""Kedar"",IF(REGEXMATCH(AT292,""xoxxxxoxooxx""),""Gara"",IF(REGEXMATCH(AT292,""xooxoxooxoox""),""Chandrakauns"",IF(REGEXMATCH(AT292,""xoxxxxoxxxox""),""Mand"",IF(REGEXMATCH(AT292,""xoxxxxoxoxox""),""Hanskinkini"",IF(REGEXMATCH(AT292,""xxooxx"&amp;"oxooxo""),""Lilavati"",IF(REGEXMATCH(AT292,""xooxoxoooxox""),""Rajeshwari"",IF(REGEXMATCH(AT292,""xoooxxoxoxxx""),""Khokar"",IF(REGEXMATCH(AT292,""xxooxoxxxxox""),""Maligoura"",""-""))))))))))))))))))))))))))))))"),"(n/a)")</f>
        <v>(n/a)</v>
      </c>
      <c r="BG292" s="239" t="str">
        <f t="shared" si="26"/>
        <v>#REF!</v>
      </c>
      <c r="BH292" s="239">
        <f>IFERROR(__xludf.DUMMYFUNCTION("COUNTUNIQUE(FE292:FO292)-1"),4.0)</f>
        <v>4</v>
      </c>
      <c r="BI292" s="239">
        <f>IFERROR(__xludf.DUMMYFUNCTION("COUNTUNIQUE(FILTER(AT:AT,REGEXMATCH(AT:AT,AS292)))-1"),0.0)</f>
        <v>0</v>
      </c>
      <c r="BJ292" s="239">
        <f>IFERROR(__xludf.DUMMYFUNCTION("COUNTA(FILTER(AT:AT,REGEXMATCH(AT:AT,AS292)))"),2.0)</f>
        <v>2</v>
      </c>
      <c r="BK292" s="341">
        <f>IFERROR(__xludf.DUMMYFUNCTION("COUNTA(FILTER(AT:AT,REGEXMATCH(AT:AT,AS292)))-AR292"),2.0)</f>
        <v>2</v>
      </c>
      <c r="BL292" s="276" t="str">
        <f>IFERROR(__xludf.DUMMYFUNCTION("IF(AS292=""oooooooooooo"",""-"",IF(REGEXMATCH(AT292,""xx""), ""Hemi."", ""Anhemi.""))"),"Hemi.")</f>
        <v>Hemi.</v>
      </c>
      <c r="BM292" s="282" t="str">
        <f>IFERROR(__xludf.DUMMYFUNCTION("IF(AS292=""oooooooooooo"",""-"",IF(REGEXMATCH(AT292,""xxx""), ""Cohem."", ""-""))"),"-")</f>
        <v>-</v>
      </c>
      <c r="BN292" s="282" t="str">
        <f>IFERROR(__xludf.DUMMYFUNCTION("IF(AS292=""oooooooooooo"",""-"",IF(REGEXMATCH(AT292,""xxxx""), ""Co-Co."", ""-""))"),"-")</f>
        <v>-</v>
      </c>
      <c r="BO292" s="342" t="str">
        <f>IFERROR(__xludf.DUMMYFUNCTION("IF(AS292=""oooooooooooo"",""-"",IF(REGEXMATCH(AT292,""xxxxx""), ""CCC."", ""-""))"),"-")</f>
        <v>-</v>
      </c>
      <c r="BP292" s="344" t="str">
        <f t="shared" si="27"/>
        <v>-</v>
      </c>
      <c r="BQ292" s="282" t="str">
        <f>IFERROR(__xludf.DUMMYFUNCTION("IF(REGEXMATCH(JOIN(""-"",EU292:FD292),""TRUE""),""✔"",""-"")"),"✔")</f>
        <v>✔</v>
      </c>
      <c r="BR292" s="225">
        <f t="shared" si="28"/>
        <v>2</v>
      </c>
      <c r="BS292" s="345" t="str">
        <f>IFERROR(__xludf.DUMMYFUNCTION("SUBSTITUTE(SUBSTITUTE(SUBSTITUTE(SUBSTITUTE(CONCATENATE(JOIN(""-"",GC292:GO292)),""--"",""-""),""--"",""-""),""--"",""-""),""--"",""-"")"),"1-b2-3-5-b6-8")</f>
        <v>1-b2-3-5-b6-8</v>
      </c>
      <c r="BT292" s="299" t="str">
        <f>IFERROR(__xludf.DUMMYFUNCTION("SUBSTITUTE(SUBSTITUTE(SUBSTITUTE(SUBSTITUTE(CONCATENATE(JOIN(""-"",GP292:HB292)),""--"",""-""),""--"",""-""),""--"",""-""),""--"",""-"")"),"S-R1-G3-P-D1-S")</f>
        <v>S-R1-G3-P-D1-S</v>
      </c>
      <c r="BU292" s="348" t="str">
        <f t="shared" si="29"/>
        <v>C-Db-E-G-Ab-C</v>
      </c>
      <c r="BV292" s="349" t="str">
        <f t="shared" si="30"/>
        <v>SRgmMDnNS</v>
      </c>
      <c r="BW292" s="350">
        <f t="shared" si="31"/>
        <v>0</v>
      </c>
      <c r="BX292" s="351">
        <f t="shared" si="32"/>
        <v>2</v>
      </c>
      <c r="BY292" s="392"/>
      <c r="BZ292" s="309" t="str">
        <f>IFERROR(__xludf.DUMMYFUNCTION("IF(REGEXMATCH(C292, ""S""), ""x"",""x"")"),"x")</f>
        <v>x</v>
      </c>
      <c r="CA292" s="245" t="str">
        <f>IFERROR(__xludf.DUMMYFUNCTION("IF(REGEXMATCH(C292, ""r""), ""o"",""x"")"),"o")</f>
        <v>o</v>
      </c>
      <c r="CB292" s="246" t="str">
        <f>IFERROR(__xludf.DUMMYFUNCTION("IF(REGEXMATCH(C292, ""R""), ""o"",""x"")"),"x")</f>
        <v>x</v>
      </c>
      <c r="CC292" s="246" t="str">
        <f>IFERROR(__xludf.DUMMYFUNCTION("IF(REGEXMATCH(C292, ""g""), ""o"",""x"")"),"x")</f>
        <v>x</v>
      </c>
      <c r="CD292" s="245" t="str">
        <f>IFERROR(__xludf.DUMMYFUNCTION("IF(REGEXMATCH(C292, ""G""), ""o"",""x"")"),"o")</f>
        <v>o</v>
      </c>
      <c r="CE292" s="245" t="str">
        <f>IFERROR(__xludf.DUMMYFUNCTION("IF(REGEXMATCH(C292, ""m""), ""o"",""x"")"),"x")</f>
        <v>x</v>
      </c>
      <c r="CF292" s="246" t="str">
        <f>IFERROR(__xludf.DUMMYFUNCTION("IF(REGEXMATCH(C292, ""M""), ""o"",""x"")"),"x")</f>
        <v>x</v>
      </c>
      <c r="CG292" s="245" t="str">
        <f>IFERROR(__xludf.DUMMYFUNCTION("IF(REGEXMATCH(C292, ""P""), ""o"",""x"")"),"o")</f>
        <v>o</v>
      </c>
      <c r="CH292" s="246" t="str">
        <f>IFERROR(__xludf.DUMMYFUNCTION("IF(REGEXMATCH(C292, ""d""), ""o"",""x"")"),"o")</f>
        <v>o</v>
      </c>
      <c r="CI292" s="245" t="str">
        <f>IFERROR(__xludf.DUMMYFUNCTION("IF(REGEXMATCH(C292, ""D""), ""o"",""x"")"),"x")</f>
        <v>x</v>
      </c>
      <c r="CJ292" s="245" t="str">
        <f>IFERROR(__xludf.DUMMYFUNCTION("IF(REGEXMATCH(C292, ""n""), ""o"",""x"")"),"x")</f>
        <v>x</v>
      </c>
      <c r="CK292" s="245" t="str">
        <f>IFERROR(__xludf.DUMMYFUNCTION("IF(REGEXMATCH(C292, ""N""), ""o"",""x"")"),"x")</f>
        <v>x</v>
      </c>
      <c r="CL292" s="356" t="str">
        <f>IFERROR(__xludf.DUMMYFUNCTION("IF(REGEXMATCH(C292, ""S""), ""x"",""x"")"),"x")</f>
        <v>x</v>
      </c>
      <c r="CM292" s="357" t="str">
        <f t="shared" si="33"/>
        <v>xoxxoxxooxxx</v>
      </c>
      <c r="CN292" s="358">
        <f t="shared" si="34"/>
        <v>0</v>
      </c>
      <c r="CO292" s="246" t="str">
        <f>IFERROR(__xludf.DUMMYFUNCTION("IF(REGEXMATCH($C292, ""S""), ""S"",""S"")"),"S")</f>
        <v>S</v>
      </c>
      <c r="CP292" s="246" t="str">
        <f>IFERROR(__xludf.DUMMYFUNCTION("IF(REGEXMATCH($C292, ""r""), """",""r"")"),"")</f>
        <v/>
      </c>
      <c r="CQ292" s="246" t="str">
        <f>IFERROR(__xludf.DUMMYFUNCTION("IF(REGEXMATCH($C292, ""R""), """",""R"")"),"R")</f>
        <v>R</v>
      </c>
      <c r="CR292" s="246" t="str">
        <f>IFERROR(__xludf.DUMMYFUNCTION("IF(REGEXMATCH($C292, ""g""), """",""g"")"),"g")</f>
        <v>g</v>
      </c>
      <c r="CS292" s="246" t="str">
        <f>IFERROR(__xludf.DUMMYFUNCTION("IF(REGEXMATCH($C292, ""G""), """",""G"")"),"")</f>
        <v/>
      </c>
      <c r="CT292" s="246" t="str">
        <f>IFERROR(__xludf.DUMMYFUNCTION("IF(REGEXMATCH($C292, ""m""), """",""m"")"),"m")</f>
        <v>m</v>
      </c>
      <c r="CU292" s="246" t="str">
        <f>IFERROR(__xludf.DUMMYFUNCTION("IF(REGEXMATCH($C292, ""M""), """",""M"")"),"M")</f>
        <v>M</v>
      </c>
      <c r="CV292" s="246" t="str">
        <f>IFERROR(__xludf.DUMMYFUNCTION("IF(REGEXMATCH($C292, ""P""), """",""P"")"),"")</f>
        <v/>
      </c>
      <c r="CW292" s="246" t="str">
        <f>IFERROR(__xludf.DUMMYFUNCTION("IF(REGEXMATCH($C292, ""d""), """",""d"")"),"")</f>
        <v/>
      </c>
      <c r="CX292" s="246" t="str">
        <f>IFERROR(__xludf.DUMMYFUNCTION("IF(REGEXMATCH($C292, ""D""), """",""D"")"),"D")</f>
        <v>D</v>
      </c>
      <c r="CY292" s="246" t="str">
        <f>IFERROR(__xludf.DUMMYFUNCTION("IF(REGEXMATCH($C292, ""n""), """",""n"")"),"n")</f>
        <v>n</v>
      </c>
      <c r="CZ292" s="246" t="str">
        <f>IFERROR(__xludf.DUMMYFUNCTION("IF(REGEXMATCH($C292, ""N""), """",""N"")"),"N")</f>
        <v>N</v>
      </c>
      <c r="DA292" s="246" t="str">
        <f>IFERROR(__xludf.DUMMYFUNCTION("IF(REGEXMATCH($C292, ""S""), ""S"",""S"")"),"S")</f>
        <v>S</v>
      </c>
      <c r="DB292" s="362" t="str">
        <f>IFERROR(__xludf.DUMMYFUNCTION("JOIN("""",CO292:DA292,"""","""")"),"SRgmMDnNS")</f>
        <v>SRgmMDnNS</v>
      </c>
      <c r="DC292" s="363"/>
      <c r="DD292" s="301" t="str">
        <f t="shared" si="35"/>
        <v>#REF!</v>
      </c>
      <c r="DE292" s="302" t="str">
        <f t="shared" si="36"/>
        <v>#REF!</v>
      </c>
      <c r="DF292" s="301" t="str">
        <f t="shared" ref="DF292:DG292" si="810">SUBSTITUTE(S292,"-","")</f>
        <v>SRG</v>
      </c>
      <c r="DG292" s="301" t="str">
        <f t="shared" si="810"/>
        <v>PDS</v>
      </c>
      <c r="DH292" s="302" t="str">
        <f t="shared" si="38"/>
        <v>(n/a)</v>
      </c>
      <c r="DI292" s="301" t="str">
        <f t="shared" si="39"/>
        <v>Hemi.</v>
      </c>
      <c r="DJ292" s="364" t="str">
        <f t="shared" si="40"/>
        <v>-</v>
      </c>
      <c r="DK292" s="306" t="str">
        <f t="shared" si="41"/>
        <v>-</v>
      </c>
      <c r="DL292" s="366" t="str">
        <f t="shared" si="42"/>
        <v>✔</v>
      </c>
      <c r="DM292" s="308" t="str">
        <f t="shared" si="43"/>
        <v>-</v>
      </c>
      <c r="DN292" s="306" t="str">
        <f t="shared" si="44"/>
        <v>-</v>
      </c>
      <c r="DO292" s="306" t="str">
        <f t="shared" si="45"/>
        <v>-</v>
      </c>
      <c r="DP292" s="367" t="str">
        <f t="shared" si="46"/>
        <v>-</v>
      </c>
      <c r="DQ292" s="310" t="str">
        <f t="shared" si="47"/>
        <v>-</v>
      </c>
      <c r="DR292" s="310" t="str">
        <f t="shared" si="48"/>
        <v>-</v>
      </c>
      <c r="DS292" s="310" t="str">
        <f t="shared" si="49"/>
        <v>-</v>
      </c>
      <c r="DT292" s="310" t="str">
        <f t="shared" si="50"/>
        <v>-</v>
      </c>
      <c r="DU292" s="370" t="str">
        <f t="shared" si="51"/>
        <v>-</v>
      </c>
      <c r="DV292" s="306" t="str">
        <f t="shared" si="52"/>
        <v>-</v>
      </c>
      <c r="DW292" s="306" t="str">
        <f t="shared" si="53"/>
        <v>-</v>
      </c>
      <c r="DX292" s="306" t="str">
        <f t="shared" si="54"/>
        <v>✔</v>
      </c>
      <c r="DY292" s="306" t="str">
        <f t="shared" si="55"/>
        <v>-</v>
      </c>
      <c r="DZ292" s="306" t="str">
        <f t="shared" si="56"/>
        <v>-</v>
      </c>
      <c r="EA292" s="367" t="str">
        <f t="shared" si="57"/>
        <v>✔</v>
      </c>
      <c r="EB292" s="310" t="str">
        <f>IFERROR(__xludf.DUMMYFUNCTION("IF(REGEXMATCH(AW292,AS292),""✔"",""-"")"),"✔")</f>
        <v>✔</v>
      </c>
      <c r="EC292" s="310" t="str">
        <f t="shared" si="58"/>
        <v>#REF!</v>
      </c>
      <c r="ED292" s="370" t="str">
        <f t="shared" si="59"/>
        <v>-</v>
      </c>
      <c r="EE292" s="340" t="str">
        <f t="shared" si="60"/>
        <v>S-r-G-P-d-S</v>
      </c>
      <c r="EF292" s="371" t="str">
        <f>IFERROR(__xludf.DUMMYFUNCTION("CONCATENATE(JOIN("""",HC292:HO292))"),"SGmdNS")</f>
        <v>SGmdNS</v>
      </c>
      <c r="EG292" s="372">
        <f t="shared" si="61"/>
        <v>3</v>
      </c>
      <c r="EH292" s="373" t="str">
        <f>IFERROR(__xludf.DUMMYFUNCTION("CONCATENATE(JOIN("""",JC292:JO292))"),"Ga, Pa, dha, ")</f>
        <v>Ga, Pa, dha, </v>
      </c>
      <c r="EI292" s="322">
        <f t="shared" si="62"/>
        <v>1</v>
      </c>
      <c r="EJ292" s="374" t="str">
        <f>IFERROR(__xludf.DUMMYFUNCTION("CONCATENATE(JOIN("""",KC292:KO292))"),"Ga, ")</f>
        <v>Ga, </v>
      </c>
      <c r="EK292" s="325" t="str">
        <f t="shared" si="63"/>
        <v>S-R1-G3-P-D1-S</v>
      </c>
      <c r="EL292" s="326" t="str">
        <f t="shared" si="64"/>
        <v>1-b2-3-5-b6-8</v>
      </c>
      <c r="EM292" s="318" t="str">
        <f t="shared" si="65"/>
        <v>#REF!</v>
      </c>
      <c r="EN292" s="328" t="str">
        <f>IFERROR(__xludf.DUMMYFUNCTION("SUBSTITUTE(SUBSTITUTE(SUBSTITUTE(SUBSTITUTE(CONCATENATE(JOIN("" "",HP292:IB292)),""  "","" ""),""  "","" ""),""  "","" ""),""  "","" "")"),"o o • • o • • o o • • • o")</f>
        <v>o o • • o • • o o • • • o</v>
      </c>
      <c r="EO292" s="368" t="str">
        <f t="shared" si="66"/>
        <v>Sa-Pa</v>
      </c>
      <c r="EP292" s="339" t="str">
        <f t="shared" si="67"/>
        <v>-</v>
      </c>
      <c r="EQ292" s="339" t="str">
        <f t="shared" si="68"/>
        <v>Sa-Pa</v>
      </c>
      <c r="ER292" s="339" t="str">
        <f t="shared" si="69"/>
        <v>Sa-Pa</v>
      </c>
      <c r="ES292" s="340" t="str">
        <f t="shared" si="70"/>
        <v>-</v>
      </c>
      <c r="ET292" s="363"/>
      <c r="EU292" s="376" t="b">
        <f>IFERROR(__xludf.DUMMYFUNCTION("arrayformula(sum(--REGEXMATCH(""SRGMPDNS"",split(REGEXREPLACE(C292,""(.)"",""$1~""),""~""))))=len(C292)
"),FALSE)</f>
        <v>0</v>
      </c>
      <c r="EV292" s="290" t="b">
        <f>IFERROR(__xludf.DUMMYFUNCTION("arrayformula(sum(--REGEXMATCH(""SRGmPDNS"",split(REGEXREPLACE(C292,""(.)"",""$1~""),""~""))))=len(C292)"),FALSE)</f>
        <v>0</v>
      </c>
      <c r="EW292" s="290" t="b">
        <f>IFERROR(__xludf.DUMMYFUNCTION("arrayformula(sum(--REGEXMATCH(""SRGmPDnS"",split(REGEXREPLACE(C292,""(.)"",""$1~""),""~""))))=len(C292)"),FALSE)</f>
        <v>0</v>
      </c>
      <c r="EX292" s="290" t="b">
        <f>IFERROR(__xludf.DUMMYFUNCTION("arrayformula(sum(--REGEXMATCH(""SRgmPDnS"",split(REGEXREPLACE(C292,""(.)"",""$1~""),""~""))))=len(C292)"),FALSE)</f>
        <v>0</v>
      </c>
      <c r="EY292" s="290" t="b">
        <f>IFERROR(__xludf.DUMMYFUNCTION("arrayformula(sum(--REGEXMATCH(""SRgmPdnS"",split(REGEXREPLACE(C292,""(.)"",""$1~""),""~""))))=len(C292)"),FALSE)</f>
        <v>0</v>
      </c>
      <c r="EZ292" s="290" t="b">
        <f>IFERROR(__xludf.DUMMYFUNCTION("arrayformula(sum(--REGEXMATCH(""SrgmPdnS"",split(REGEXREPLACE(C292,""(.)"",""$1~""),""~""))))=len(C292)"),FALSE)</f>
        <v>0</v>
      </c>
      <c r="FA292" s="290" t="b">
        <f>IFERROR(__xludf.DUMMYFUNCTION("arrayformula(sum(--REGEXMATCH(""SrGmPdNS"",split(REGEXREPLACE(C292,""(.)"",""$1~""),""~""))))=len(C292)"),TRUE)</f>
        <v>1</v>
      </c>
      <c r="FB292" s="290" t="b">
        <f>IFERROR(__xludf.DUMMYFUNCTION("arrayformula(sum(--REGEXMATCH(""SrGMPDNS"",split(REGEXREPLACE(C292,""(.)"",""$1~""),""~""))))=len(C292)"),FALSE)</f>
        <v>0</v>
      </c>
      <c r="FC292" s="290" t="b">
        <f>IFERROR(__xludf.DUMMYFUNCTION("arrayformula(sum(--REGEXMATCH(""SrGMPdNS"",split(REGEXREPLACE(C292,""(.)"",""$1~""),""~""))))=len(C292)"),TRUE)</f>
        <v>1</v>
      </c>
      <c r="FD292" s="377" t="b">
        <f>IFERROR(__xludf.DUMMYFUNCTION("arrayformula(sum(--REGEXMATCH(""SrgMPdNS"",split(REGEXREPLACE(C292,""(.)"",""$1~""),""~""))))=len(C292)"),FALSE)</f>
        <v>0</v>
      </c>
      <c r="FE292" s="269" t="str">
        <f t="shared" si="71"/>
        <v>xooxooxxooo</v>
      </c>
      <c r="FF292" s="269" t="str">
        <f t="shared" si="72"/>
        <v>-</v>
      </c>
      <c r="FG292" s="271" t="str">
        <f t="shared" si="73"/>
        <v>-</v>
      </c>
      <c r="FH292" s="269" t="str">
        <f t="shared" si="74"/>
        <v>xooxxoooxxo</v>
      </c>
      <c r="FI292" s="271" t="str">
        <f t="shared" si="75"/>
        <v>-</v>
      </c>
      <c r="FJ292" s="271" t="str">
        <f t="shared" si="76"/>
        <v>-</v>
      </c>
      <c r="FK292" s="271" t="str">
        <f t="shared" si="77"/>
        <v>xxoooxxooxo</v>
      </c>
      <c r="FL292" s="271" t="str">
        <f t="shared" si="78"/>
        <v>xoooxxooxoo</v>
      </c>
      <c r="FM292" s="271" t="str">
        <f t="shared" si="79"/>
        <v>-</v>
      </c>
      <c r="FN292" s="271" t="str">
        <f t="shared" si="80"/>
        <v>-</v>
      </c>
      <c r="FO292" s="274" t="str">
        <f t="shared" si="81"/>
        <v>-</v>
      </c>
      <c r="FP292" s="234" t="str">
        <f t="shared" si="82"/>
        <v>|</v>
      </c>
      <c r="FQ292" s="236" t="str">
        <f t="shared" si="83"/>
        <v>|</v>
      </c>
      <c r="FR292" s="237" t="str">
        <f t="shared" si="84"/>
        <v>-</v>
      </c>
      <c r="FS292" s="236" t="str">
        <f t="shared" si="85"/>
        <v>-</v>
      </c>
      <c r="FT292" s="237" t="str">
        <f t="shared" si="86"/>
        <v>|</v>
      </c>
      <c r="FU292" s="236" t="str">
        <f t="shared" si="87"/>
        <v>-</v>
      </c>
      <c r="FV292" s="237" t="str">
        <f t="shared" si="88"/>
        <v>-</v>
      </c>
      <c r="FW292" s="236" t="str">
        <f t="shared" si="89"/>
        <v>|</v>
      </c>
      <c r="FX292" s="237" t="str">
        <f t="shared" si="90"/>
        <v>|</v>
      </c>
      <c r="FY292" s="236" t="str">
        <f t="shared" si="91"/>
        <v>-</v>
      </c>
      <c r="FZ292" s="237" t="str">
        <f t="shared" si="92"/>
        <v>-</v>
      </c>
      <c r="GA292" s="236" t="str">
        <f t="shared" si="93"/>
        <v>-</v>
      </c>
      <c r="GB292" s="238" t="str">
        <f t="shared" si="94"/>
        <v>|</v>
      </c>
      <c r="GC292" s="244" t="str">
        <f>IFERROR(__xludf.DUMMYFUNCTION("IF(REGEXMATCH(C292, ""S""), ""1"","""")"),"1")</f>
        <v>1</v>
      </c>
      <c r="GD292" s="245" t="str">
        <f>IFERROR(__xludf.DUMMYFUNCTION("IF(REGEXMATCH(C292, ""r""), ""b2"","""")"),"b2")</f>
        <v>b2</v>
      </c>
      <c r="GE292" s="246" t="str">
        <f>IFERROR(__xludf.DUMMYFUNCTION("IF(REGEXMATCH(C292, ""R""), ""2"","""")"),"")</f>
        <v/>
      </c>
      <c r="GF292" s="246" t="str">
        <f>IFERROR(__xludf.DUMMYFUNCTION("IF(REGEXMATCH(C292, ""g""), ""b3"","""")"),"")</f>
        <v/>
      </c>
      <c r="GG292" s="245" t="str">
        <f>IFERROR(__xludf.DUMMYFUNCTION("IF(REGEXMATCH(C292, ""G""), ""3"","""")"),"3")</f>
        <v>3</v>
      </c>
      <c r="GH292" s="245" t="str">
        <f>IFERROR(__xludf.DUMMYFUNCTION("IF(REGEXMATCH(C292, ""m""), ""4"","""")"),"")</f>
        <v/>
      </c>
      <c r="GI292" s="246" t="str">
        <f>IFERROR(__xludf.DUMMYFUNCTION("IF(REGEXMATCH(C292, ""M""), ""#4"","""")"),"")</f>
        <v/>
      </c>
      <c r="GJ292" s="245" t="str">
        <f>IFERROR(__xludf.DUMMYFUNCTION("IF(REGEXMATCH(C292, ""P""), ""5"","""")"),"5")</f>
        <v>5</v>
      </c>
      <c r="GK292" s="246" t="str">
        <f>IFERROR(__xludf.DUMMYFUNCTION("IF(REGEXMATCH(C292, ""d""), ""b6"","""")"),"b6")</f>
        <v>b6</v>
      </c>
      <c r="GL292" s="245" t="str">
        <f>IFERROR(__xludf.DUMMYFUNCTION("IF(REGEXMATCH(C292, ""D""), ""6"","""")"),"")</f>
        <v/>
      </c>
      <c r="GM292" s="245" t="str">
        <f>IFERROR(__xludf.DUMMYFUNCTION("IF(REGEXMATCH(C292, ""n""), ""b7"","""")"),"")</f>
        <v/>
      </c>
      <c r="GN292" s="246" t="str">
        <f>IFERROR(__xludf.DUMMYFUNCTION("IF(REGEXMATCH(C292, ""N""), ""7"","""")"),"")</f>
        <v/>
      </c>
      <c r="GO292" s="249" t="str">
        <f>IFERROR(__xludf.DUMMYFUNCTION("IF(REGEXMATCH(C292, ""S""), ""8"","""")"),"8")</f>
        <v>8</v>
      </c>
      <c r="GP292" s="244" t="str">
        <f>IFERROR(__xludf.DUMMYFUNCTION("IF(REGEXMATCH(C292, ""S""), ""S"","""")"),"S")</f>
        <v>S</v>
      </c>
      <c r="GQ292" s="294" t="str">
        <f>IFERROR(__xludf.DUMMYFUNCTION("IF(REGEXMATCH(C292, ""r""), ""R1"","""")"),"R1")</f>
        <v>R1</v>
      </c>
      <c r="GR292" s="295" t="str">
        <f>IFERROR(__xludf.DUMMYFUNCTION("IF(REGEXMATCH(C292, ""R""), ""R2"","""")"),"")</f>
        <v/>
      </c>
      <c r="GS292" s="295" t="str">
        <f>IFERROR(__xludf.DUMMYFUNCTION("IF(REGEXMATCH(C292, ""g""), ""G2"","""")"),"")</f>
        <v/>
      </c>
      <c r="GT292" s="294" t="str">
        <f>IFERROR(__xludf.DUMMYFUNCTION("IF(REGEXMATCH(C292, ""G""), ""G3"","""")"),"G3")</f>
        <v>G3</v>
      </c>
      <c r="GU292" s="294" t="str">
        <f>IFERROR(__xludf.DUMMYFUNCTION("IF(REGEXMATCH(C292, ""m""), ""M1"","""")"),"")</f>
        <v/>
      </c>
      <c r="GV292" s="295" t="str">
        <f>IFERROR(__xludf.DUMMYFUNCTION("IF(REGEXMATCH(C292, ""M""), ""M2"","""")"),"")</f>
        <v/>
      </c>
      <c r="GW292" s="294" t="str">
        <f>IFERROR(__xludf.DUMMYFUNCTION("IF(REGEXMATCH(C292, ""P""), ""P"","""")"),"P")</f>
        <v>P</v>
      </c>
      <c r="GX292" s="295" t="str">
        <f>IFERROR(__xludf.DUMMYFUNCTION("IF(REGEXMATCH(C292, ""d""), ""D1"","""")"),"D1")</f>
        <v>D1</v>
      </c>
      <c r="GY292" s="294" t="str">
        <f>IFERROR(__xludf.DUMMYFUNCTION("IF(REGEXMATCH(C292, ""D""), ""D2"","""")"),"")</f>
        <v/>
      </c>
      <c r="GZ292" s="294" t="str">
        <f>IFERROR(__xludf.DUMMYFUNCTION("IF(REGEXMATCH(C292, ""n""), ""N2"","""")"),"")</f>
        <v/>
      </c>
      <c r="HA292" s="295" t="str">
        <f>IFERROR(__xludf.DUMMYFUNCTION("IF(REGEXMATCH(C292, ""N""), ""N3"","""")"),"")</f>
        <v/>
      </c>
      <c r="HB292" s="249" t="str">
        <f>IFERROR(__xludf.DUMMYFUNCTION("IF(REGEXMATCH(C292, ""S""), ""S"","""")"),"S")</f>
        <v>S</v>
      </c>
      <c r="HC292" s="331" t="str">
        <f t="shared" si="95"/>
        <v>S</v>
      </c>
      <c r="HD292" s="332" t="str">
        <f t="shared" si="96"/>
        <v/>
      </c>
      <c r="HE292" s="332" t="str">
        <f t="shared" si="97"/>
        <v/>
      </c>
      <c r="HF292" s="332" t="str">
        <f t="shared" si="98"/>
        <v/>
      </c>
      <c r="HG292" s="332" t="str">
        <f t="shared" si="99"/>
        <v>G</v>
      </c>
      <c r="HH292" s="332" t="str">
        <f t="shared" si="100"/>
        <v>m</v>
      </c>
      <c r="HI292" s="332" t="str">
        <f t="shared" si="101"/>
        <v/>
      </c>
      <c r="HJ292" s="332" t="str">
        <f t="shared" si="102"/>
        <v/>
      </c>
      <c r="HK292" s="332" t="str">
        <f t="shared" si="103"/>
        <v>d</v>
      </c>
      <c r="HL292" s="332" t="str">
        <f t="shared" si="104"/>
        <v/>
      </c>
      <c r="HM292" s="332" t="str">
        <f t="shared" si="105"/>
        <v/>
      </c>
      <c r="HN292" s="332" t="str">
        <f t="shared" si="106"/>
        <v>N</v>
      </c>
      <c r="HO292" s="343" t="str">
        <f t="shared" si="107"/>
        <v>S</v>
      </c>
      <c r="HP292" s="331" t="str">
        <f t="shared" si="108"/>
        <v>o</v>
      </c>
      <c r="HQ292" s="332" t="str">
        <f t="shared" si="109"/>
        <v>o</v>
      </c>
      <c r="HR292" s="332" t="str">
        <f t="shared" si="110"/>
        <v>•</v>
      </c>
      <c r="HS292" s="332" t="str">
        <f t="shared" si="111"/>
        <v>•</v>
      </c>
      <c r="HT292" s="332" t="str">
        <f t="shared" si="112"/>
        <v>o</v>
      </c>
      <c r="HU292" s="332" t="str">
        <f t="shared" si="113"/>
        <v>•</v>
      </c>
      <c r="HV292" s="332" t="str">
        <f t="shared" si="114"/>
        <v>•</v>
      </c>
      <c r="HW292" s="332" t="str">
        <f t="shared" si="115"/>
        <v>o</v>
      </c>
      <c r="HX292" s="332" t="str">
        <f t="shared" si="116"/>
        <v>o</v>
      </c>
      <c r="HY292" s="332" t="str">
        <f t="shared" si="117"/>
        <v>•</v>
      </c>
      <c r="HZ292" s="332" t="str">
        <f t="shared" si="118"/>
        <v>•</v>
      </c>
      <c r="IA292" s="332" t="str">
        <f t="shared" si="119"/>
        <v>•</v>
      </c>
      <c r="IB292" s="338" t="str">
        <f t="shared" si="120"/>
        <v>o</v>
      </c>
      <c r="IC292" s="331" t="str">
        <f t="shared" si="121"/>
        <v>•</v>
      </c>
      <c r="ID292" s="332" t="str">
        <f t="shared" si="122"/>
        <v>•</v>
      </c>
      <c r="IE292" s="332" t="str">
        <f t="shared" si="123"/>
        <v>o</v>
      </c>
      <c r="IF292" s="332" t="str">
        <f t="shared" si="124"/>
        <v>o</v>
      </c>
      <c r="IG292" s="332" t="str">
        <f t="shared" si="125"/>
        <v>•</v>
      </c>
      <c r="IH292" s="332" t="str">
        <f t="shared" si="126"/>
        <v>o</v>
      </c>
      <c r="II292" s="332" t="str">
        <f t="shared" si="127"/>
        <v>o</v>
      </c>
      <c r="IJ292" s="332" t="str">
        <f t="shared" si="128"/>
        <v>•</v>
      </c>
      <c r="IK292" s="332" t="str">
        <f t="shared" si="129"/>
        <v>•</v>
      </c>
      <c r="IL292" s="332" t="str">
        <f t="shared" si="130"/>
        <v>o</v>
      </c>
      <c r="IM292" s="332" t="str">
        <f t="shared" si="131"/>
        <v>o</v>
      </c>
      <c r="IN292" s="332" t="str">
        <f t="shared" si="132"/>
        <v>o</v>
      </c>
      <c r="IO292" s="338" t="str">
        <f t="shared" si="133"/>
        <v>•</v>
      </c>
      <c r="IP292" s="346" t="b">
        <f t="shared" si="134"/>
        <v>0</v>
      </c>
      <c r="IQ292" s="347" t="b">
        <f t="shared" si="135"/>
        <v>0</v>
      </c>
      <c r="IR292" s="347" t="b">
        <f t="shared" si="136"/>
        <v>0</v>
      </c>
      <c r="IS292" s="347" t="b">
        <f t="shared" si="137"/>
        <v>0</v>
      </c>
      <c r="IT292" s="347" t="b">
        <f t="shared" si="138"/>
        <v>1</v>
      </c>
      <c r="IU292" s="347" t="b">
        <f t="shared" si="139"/>
        <v>0</v>
      </c>
      <c r="IV292" s="347" t="b">
        <f t="shared" si="140"/>
        <v>0</v>
      </c>
      <c r="IW292" s="347" t="b">
        <f t="shared" si="141"/>
        <v>1</v>
      </c>
      <c r="IX292" s="347" t="b">
        <f t="shared" si="142"/>
        <v>1</v>
      </c>
      <c r="IY292" s="347" t="b">
        <f t="shared" si="143"/>
        <v>0</v>
      </c>
      <c r="IZ292" s="347" t="b">
        <f t="shared" si="144"/>
        <v>0</v>
      </c>
      <c r="JA292" s="347" t="b">
        <f t="shared" si="145"/>
        <v>0</v>
      </c>
      <c r="JB292" s="353" t="b">
        <f t="shared" si="146"/>
        <v>0</v>
      </c>
      <c r="JC292" s="354" t="str">
        <f t="shared" si="147"/>
        <v/>
      </c>
      <c r="JD292" s="355" t="str">
        <f t="shared" si="148"/>
        <v/>
      </c>
      <c r="JE292" s="355" t="str">
        <f t="shared" si="149"/>
        <v/>
      </c>
      <c r="JF292" s="355" t="str">
        <f t="shared" si="150"/>
        <v/>
      </c>
      <c r="JG292" s="355" t="str">
        <f t="shared" si="151"/>
        <v>Ga, </v>
      </c>
      <c r="JH292" s="355" t="str">
        <f t="shared" si="152"/>
        <v/>
      </c>
      <c r="JI292" s="355" t="str">
        <f t="shared" si="153"/>
        <v/>
      </c>
      <c r="JJ292" s="355" t="str">
        <f t="shared" si="154"/>
        <v>Pa, </v>
      </c>
      <c r="JK292" s="355" t="str">
        <f t="shared" si="155"/>
        <v>dha, </v>
      </c>
      <c r="JL292" s="355" t="str">
        <f t="shared" si="156"/>
        <v/>
      </c>
      <c r="JM292" s="355" t="str">
        <f t="shared" si="157"/>
        <v/>
      </c>
      <c r="JN292" s="355" t="str">
        <f t="shared" si="158"/>
        <v/>
      </c>
      <c r="JO292" s="359" t="str">
        <f t="shared" si="159"/>
        <v/>
      </c>
      <c r="JP292" s="346" t="b">
        <f t="shared" si="160"/>
        <v>0</v>
      </c>
      <c r="JQ292" s="347" t="b">
        <f t="shared" si="161"/>
        <v>0</v>
      </c>
      <c r="JR292" s="347" t="b">
        <f t="shared" si="162"/>
        <v>0</v>
      </c>
      <c r="JS292" s="347" t="b">
        <f t="shared" si="163"/>
        <v>0</v>
      </c>
      <c r="JT292" s="347" t="b">
        <f t="shared" si="164"/>
        <v>1</v>
      </c>
      <c r="JU292" s="347" t="b">
        <f t="shared" si="165"/>
        <v>0</v>
      </c>
      <c r="JV292" s="347" t="b">
        <f t="shared" si="166"/>
        <v>0</v>
      </c>
      <c r="JW292" s="347" t="b">
        <f t="shared" si="167"/>
        <v>0</v>
      </c>
      <c r="JX292" s="347" t="b">
        <f t="shared" si="168"/>
        <v>0</v>
      </c>
      <c r="JY292" s="347" t="b">
        <f t="shared" si="169"/>
        <v>0</v>
      </c>
      <c r="JZ292" s="347" t="b">
        <f t="shared" si="170"/>
        <v>0</v>
      </c>
      <c r="KA292" s="347" t="b">
        <f t="shared" si="171"/>
        <v>0</v>
      </c>
      <c r="KB292" s="365" t="b">
        <f t="shared" si="172"/>
        <v>0</v>
      </c>
      <c r="KC292" s="354" t="str">
        <f t="shared" si="173"/>
        <v/>
      </c>
      <c r="KD292" s="355" t="str">
        <f t="shared" si="174"/>
        <v/>
      </c>
      <c r="KE292" s="355" t="str">
        <f t="shared" si="175"/>
        <v/>
      </c>
      <c r="KF292" s="355" t="str">
        <f t="shared" si="176"/>
        <v/>
      </c>
      <c r="KG292" s="355" t="str">
        <f t="shared" si="177"/>
        <v>Ga, </v>
      </c>
      <c r="KH292" s="355" t="str">
        <f t="shared" si="178"/>
        <v/>
      </c>
      <c r="KI292" s="355" t="str">
        <f t="shared" si="179"/>
        <v/>
      </c>
      <c r="KJ292" s="355" t="str">
        <f t="shared" si="180"/>
        <v/>
      </c>
      <c r="KK292" s="355" t="str">
        <f t="shared" si="181"/>
        <v/>
      </c>
      <c r="KL292" s="355" t="str">
        <f t="shared" si="182"/>
        <v/>
      </c>
      <c r="KM292" s="355" t="str">
        <f t="shared" si="183"/>
        <v/>
      </c>
      <c r="KN292" s="355" t="str">
        <f t="shared" si="184"/>
        <v/>
      </c>
      <c r="KO292" s="359"/>
      <c r="KP292" s="378"/>
      <c r="KQ292" s="379" t="s">
        <v>624</v>
      </c>
      <c r="KR292" s="380" t="s">
        <v>1347</v>
      </c>
      <c r="KS292" s="381" t="str">
        <f t="shared" si="811"/>
        <v>S-r-G-P-d-S</v>
      </c>
      <c r="KT292" s="382">
        <f t="shared" si="186"/>
        <v>5</v>
      </c>
      <c r="KU292" s="383">
        <f t="shared" si="187"/>
        <v>5</v>
      </c>
      <c r="KV292" s="381" t="str">
        <f t="shared" si="205"/>
        <v>S-d-P-G-r-S</v>
      </c>
      <c r="KW292" s="382">
        <f t="shared" si="189"/>
        <v>5</v>
      </c>
      <c r="KX292" s="384">
        <f t="shared" si="190"/>
        <v>5</v>
      </c>
      <c r="KY292" s="382">
        <f t="shared" ref="KY292:KZ292" si="812">KW292-KT292</f>
        <v>0</v>
      </c>
      <c r="KZ292" s="369">
        <f t="shared" si="812"/>
        <v>0</v>
      </c>
      <c r="LA292" s="385" t="str">
        <f t="shared" si="192"/>
        <v>✔</v>
      </c>
      <c r="LB292" s="340" t="str">
        <f>IFERROR(__xludf.DUMMYFUNCTION("JOIN("""",ArrayFormula(MID(KS292,LEN(KS292)-SEQUENCE(1,LEN(KS292))+1,1)))"),"S-d-P-G-r-S")</f>
        <v>S-d-P-G-r-S</v>
      </c>
      <c r="LC292" s="373" t="str">
        <f>IFERROR(__xludf.DUMMYFUNCTION("JOIN("""",ArrayFormula(MID(KV292,LEN(KV292)-SEQUENCE(1,LEN(KV292))+1,1)))"),"S-r-G-P-d-S")</f>
        <v>S-r-G-P-d-S</v>
      </c>
      <c r="LD292" s="373" t="str">
        <f t="shared" si="193"/>
        <v>SrGPdS</v>
      </c>
      <c r="LE292" s="339" t="str">
        <f t="shared" si="194"/>
        <v>SrGPdS</v>
      </c>
      <c r="LF292" s="386" t="str">
        <f>IFERROR(__xludf.DUMMYFUNCTION("SUBSTITUTE(SUBSTITUTE(CONCATENATE(JOIN("""",LH292:LT292)),""1"",""""),""2"","""")"),"SrGPdS")</f>
        <v>SrGPdS</v>
      </c>
      <c r="LG292" s="369" t="str">
        <f t="shared" si="195"/>
        <v>✔</v>
      </c>
      <c r="LH292" s="387" t="str">
        <f>IFERROR(__xludf.DUMMYFUNCTION("IF(REGEXMATCH(LD292, ""S""), ""S"",IF(REGEXMATCH(LE292, ""S""), ""S"",""""))"),"S")</f>
        <v>S</v>
      </c>
      <c r="LI292" s="299" t="str">
        <f>IFERROR(__xludf.DUMMYFUNCTION("IF(REGEXMATCH(LD292, ""r""), ""r1"",IF(REGEXMATCH(LE292, ""r""), ""r2"",""""))"),"r1")</f>
        <v>r1</v>
      </c>
      <c r="LJ292" s="299" t="str">
        <f>IFERROR(__xludf.DUMMYFUNCTION("IF(REGEXMATCH(LD292, ""R""), ""R1"",IF(REGEXMATCH(LE292, ""R""), ""R2"",""""))"),"")</f>
        <v/>
      </c>
      <c r="LK292" s="299" t="str">
        <f>IFERROR(__xludf.DUMMYFUNCTION("IF(REGEXMATCH(LD292, ""g""), ""g1"",IF(REGEXMATCH(LE292, ""g""), ""g2"",""""))"),"")</f>
        <v/>
      </c>
      <c r="LL292" s="299" t="str">
        <f>IFERROR(__xludf.DUMMYFUNCTION("IF(REGEXMATCH(LD292, ""G""), ""G1"",IF(REGEXMATCH(LE292, ""G""), ""G2"",""""))"),"G1")</f>
        <v>G1</v>
      </c>
      <c r="LM292" s="299" t="str">
        <f>IFERROR(__xludf.DUMMYFUNCTION("IF(REGEXMATCH(LD292, ""m""), ""m1"",IF(REGEXMATCH(LE292, ""m""), ""m2"",""""))"),"")</f>
        <v/>
      </c>
      <c r="LN292" s="299" t="str">
        <f>IFERROR(__xludf.DUMMYFUNCTION("IF(REGEXMATCH(LD292, ""M""), ""M1"",IF(REGEXMATCH(LE292, ""M""), ""M2"",""""))"),"")</f>
        <v/>
      </c>
      <c r="LO292" s="299" t="str">
        <f>IFERROR(__xludf.DUMMYFUNCTION("IF(REGEXMATCH(LD292, ""P""), ""P1"",IF(REGEXMATCH(LE292, ""P""), ""P2"",""""))"),"P1")</f>
        <v>P1</v>
      </c>
      <c r="LP292" s="299" t="str">
        <f>IFERROR(__xludf.DUMMYFUNCTION("IF(REGEXMATCH(LD292, ""d""), ""d1"",IF(REGEXMATCH(LE292, ""d""), ""d2"",""""))"),"d1")</f>
        <v>d1</v>
      </c>
      <c r="LQ292" s="299" t="str">
        <f>IFERROR(__xludf.DUMMYFUNCTION("IF(REGEXMATCH(LD292, ""D""), ""D1"",IF(REGEXMATCH(LE292, ""D""), ""D2"",""""))"),"")</f>
        <v/>
      </c>
      <c r="LR292" s="299" t="str">
        <f>IFERROR(__xludf.DUMMYFUNCTION("IF(REGEXMATCH(LD292, ""n""), ""n1"",IF(REGEXMATCH(LE292, ""n""), ""n2"",""""))"),"")</f>
        <v/>
      </c>
      <c r="LS292" s="299" t="str">
        <f>IFERROR(__xludf.DUMMYFUNCTION("IF(REGEXMATCH(LD292, ""N""), ""N1"",IF(REGEXMATCH(LE292, ""N""), ""N2"",""""))"),"")</f>
        <v/>
      </c>
      <c r="LT292" s="388" t="str">
        <f>IFERROR(__xludf.DUMMYFUNCTION("IF(REGEXMATCH(LD292, ""S""), ""S"",IF(REGEXMATCH(LE292, ""S""), ""S"",""""))"),"S")</f>
        <v>S</v>
      </c>
      <c r="LU292" s="389">
        <f t="shared" si="196"/>
        <v>1</v>
      </c>
      <c r="LV292" s="378"/>
      <c r="LW292" s="369"/>
      <c r="LX292" s="369"/>
    </row>
    <row r="293" ht="18.0" customHeight="1">
      <c r="A293" s="298" t="s">
        <v>437</v>
      </c>
      <c r="B293" s="222" t="s">
        <v>438</v>
      </c>
      <c r="C293" s="233" t="str">
        <f t="shared" si="7"/>
        <v>SRGMPdnS</v>
      </c>
      <c r="D293" s="234" t="str">
        <f>IFERROR(__xludf.DUMMYFUNCTION("IF(REGEXMATCH(C293, ""S""), ""S"","""")"),"S")</f>
        <v>S</v>
      </c>
      <c r="E293" s="236" t="str">
        <f>IFERROR(__xludf.DUMMYFUNCTION("IF(REGEXMATCH(C293, ""r""), ""r"","""")"),"")</f>
        <v/>
      </c>
      <c r="F293" s="237" t="str">
        <f>IFERROR(__xludf.DUMMYFUNCTION("IF(REGEXMATCH(C293, ""R""), ""R"","""")"),"R")</f>
        <v>R</v>
      </c>
      <c r="G293" s="237" t="str">
        <f>IFERROR(__xludf.DUMMYFUNCTION("IF(REGEXMATCH(C293, ""g""), ""g"","""")"),"")</f>
        <v/>
      </c>
      <c r="H293" s="236" t="str">
        <f>IFERROR(__xludf.DUMMYFUNCTION("IF(REGEXMATCH(C293, ""G""), ""G"","""")"),"G")</f>
        <v>G</v>
      </c>
      <c r="I293" s="236" t="str">
        <f>IFERROR(__xludf.DUMMYFUNCTION("IF(REGEXMATCH(C293, ""m""), ""m"","""")"),"")</f>
        <v/>
      </c>
      <c r="J293" s="237" t="str">
        <f>IFERROR(__xludf.DUMMYFUNCTION("IF(REGEXMATCH(C293, ""M""), ""M"","""")"),"M")</f>
        <v>M</v>
      </c>
      <c r="K293" s="236" t="str">
        <f>IFERROR(__xludf.DUMMYFUNCTION("IF(REGEXMATCH(C293, ""P""), ""P"","""")"),"P")</f>
        <v>P</v>
      </c>
      <c r="L293" s="237" t="str">
        <f>IFERROR(__xludf.DUMMYFUNCTION("IF(REGEXMATCH(C293, ""d""), ""d"","""")"),"d")</f>
        <v>d</v>
      </c>
      <c r="M293" s="236" t="str">
        <f>IFERROR(__xludf.DUMMYFUNCTION("IF(REGEXMATCH(C293, ""D""), ""D"","""")"),"")</f>
        <v/>
      </c>
      <c r="N293" s="236" t="str">
        <f>IFERROR(__xludf.DUMMYFUNCTION("IF(REGEXMATCH(C293, ""n""), ""n"","""")"),"n")</f>
        <v>n</v>
      </c>
      <c r="O293" s="237" t="str">
        <f>IFERROR(__xludf.DUMMYFUNCTION("IF(REGEXMATCH(C293, ""N""), ""N"","""")"),"")</f>
        <v/>
      </c>
      <c r="P293" s="238" t="str">
        <f>IFERROR(__xludf.DUMMYFUNCTION("IF(REGEXMATCH(C293, ""S""), ""S"","""")"),"S")</f>
        <v>S</v>
      </c>
      <c r="Q293" s="239" t="str">
        <f>IFERROR(__xludf.DUMMYFUNCTION("SUBSTITUTE(CONCATENATE(JOIN(""-"",D293:J293)),""-"","""")"),"SRGM")</f>
        <v>SRGM</v>
      </c>
      <c r="R293" s="229" t="str">
        <f>IFERROR(__xludf.DUMMYFUNCTION("SUBSTITUTE(CONCATENATE(JOIN(""-"",K293:P293)),""-"","""")"),"PdnS")</f>
        <v>PdnS</v>
      </c>
      <c r="S293" s="282" t="str">
        <f t="shared" si="8"/>
        <v>S-R-G-M</v>
      </c>
      <c r="T293" s="282" t="str">
        <f t="shared" si="9"/>
        <v>P-D-N-S</v>
      </c>
      <c r="U293" s="237" t="str">
        <f>IFERROR(__xludf.DUMMYFUNCTION("SUBSTITUTE(JOIN(""-"",S293,T293),""--"",""-"")"),"S-R-G-M-P-D-N-S")</f>
        <v>S-R-G-M-P-D-N-S</v>
      </c>
      <c r="V293" s="309" t="str">
        <f t="shared" si="10"/>
        <v>RGMdn</v>
      </c>
      <c r="W293" s="244" t="str">
        <f>IFERROR(__xludf.DUMMYFUNCTION("IF(REGEXMATCH(C293, ""S""), ""0"","""")"),"0")</f>
        <v>0</v>
      </c>
      <c r="X293" s="245" t="str">
        <f>IFERROR(__xludf.DUMMYFUNCTION("IF(REGEXMATCH(C293, ""r""), ""1"","""")"),"")</f>
        <v/>
      </c>
      <c r="Y293" s="246" t="str">
        <f>IFERROR(__xludf.DUMMYFUNCTION("IF(REGEXMATCH(C293, ""R""), ""2"","""")"),"2")</f>
        <v>2</v>
      </c>
      <c r="Z293" s="246" t="str">
        <f>IFERROR(__xludf.DUMMYFUNCTION("IF(REGEXMATCH(C293, ""g""), ""3"","""")"),"")</f>
        <v/>
      </c>
      <c r="AA293" s="245" t="str">
        <f>IFERROR(__xludf.DUMMYFUNCTION("IF(REGEXMATCH(C293, ""G""), ""4"","""")"),"4")</f>
        <v>4</v>
      </c>
      <c r="AB293" s="245" t="str">
        <f>IFERROR(__xludf.DUMMYFUNCTION("IF(REGEXMATCH(C293, ""m""), ""5"","""")"),"")</f>
        <v/>
      </c>
      <c r="AC293" s="246" t="str">
        <f>IFERROR(__xludf.DUMMYFUNCTION("IF(REGEXMATCH(C293, ""M""), ""6"","""")"),"6")</f>
        <v>6</v>
      </c>
      <c r="AD293" s="245" t="str">
        <f>IFERROR(__xludf.DUMMYFUNCTION("IF(REGEXMATCH(C293, ""P""), ""7"","""")"),"7")</f>
        <v>7</v>
      </c>
      <c r="AE293" s="246" t="str">
        <f>IFERROR(__xludf.DUMMYFUNCTION("IF(REGEXMATCH(C293, ""d""), ""8"","""")"),"8")</f>
        <v>8</v>
      </c>
      <c r="AF293" s="245" t="str">
        <f>IFERROR(__xludf.DUMMYFUNCTION("IF(REGEXMATCH(C293, ""D""), ""9"","""")"),"")</f>
        <v/>
      </c>
      <c r="AG293" s="245" t="str">
        <f>IFERROR(__xludf.DUMMYFUNCTION("IF(REGEXMATCH(C293, ""n""), ""10"","""")"),"10")</f>
        <v>10</v>
      </c>
      <c r="AH293" s="246" t="str">
        <f>IFERROR(__xludf.DUMMYFUNCTION("IF(REGEXMATCH(C293, ""N""), ""11"","""")"),"")</f>
        <v/>
      </c>
      <c r="AI293" s="249" t="str">
        <f>IFERROR(__xludf.DUMMYFUNCTION("IF(REGEXMATCH(C293, ""S""), ""0"","""")"),"0")</f>
        <v>0</v>
      </c>
      <c r="AJ293" s="313" t="str">
        <f t="shared" si="11"/>
        <v>T</v>
      </c>
      <c r="AK293" s="313" t="str">
        <f t="shared" si="12"/>
        <v>-</v>
      </c>
      <c r="AL293" s="313" t="str">
        <f t="shared" si="13"/>
        <v>T</v>
      </c>
      <c r="AM293" s="313" t="str">
        <f t="shared" si="14"/>
        <v>-</v>
      </c>
      <c r="AN293" s="313" t="str">
        <f t="shared" si="15"/>
        <v>T</v>
      </c>
      <c r="AO293" s="314" t="str">
        <f t="shared" si="16"/>
        <v>-</v>
      </c>
      <c r="AP293" s="316">
        <f t="shared" si="17"/>
        <v>3</v>
      </c>
      <c r="AQ293" s="319" t="str">
        <f t="shared" si="18"/>
        <v>#REF!</v>
      </c>
      <c r="AR293" s="320">
        <f t="shared" si="19"/>
        <v>0</v>
      </c>
      <c r="AS293" s="250" t="str">
        <f>IFERROR(__xludf.DUMMYFUNCTION("SUBSTITUTE(SUBSTITUTE(CONCATENATE(JOIN("""",FP293:GA293)),""|"",""x""),""-"",""o"")"),"xoxoxoxxxoxo")</f>
        <v>xoxoxoxxxoxo</v>
      </c>
      <c r="AT293" s="323" t="str">
        <f>IFERROR(__xludf.DUMMYFUNCTION("JOIN("""",AS293,AS293)"),"xoxoxoxxxoxoxoxoxoxxxoxo")</f>
        <v>xoxoxoxxxoxoxoxoxoxxxoxo</v>
      </c>
      <c r="AU293" s="256" t="str">
        <f>IFERROR(__xludf.DUMMYFUNCTION("JOIN("""",ArrayFormula(MID(AS293,LEN(AS293)-SEQUENCE(1,LEN(AS293))+1,1)))"),"oxoxxxoxoxox")</f>
        <v>oxoxxxoxoxox</v>
      </c>
      <c r="AV293" s="256" t="str">
        <f>IFERROR(__xludf.DUMMYFUNCTION("LEFT(CONCATENATE(""x"",JOIN("""",ArrayFormula(MID(AS293,LEN(AS293)-SEQUENCE(1,LEN(AS293))+1,1)))),12)"),"xoxoxxxoxoxo")</f>
        <v>xoxoxxxoxoxo</v>
      </c>
      <c r="AW293" s="327" t="str">
        <f>IFERROR(__xludf.DUMMYFUNCTION("JOIN("""",AU293,AU293)"),"oxoxxxoxoxoxoxoxxxoxoxox")</f>
        <v>oxoxxxoxoxoxoxoxxxoxoxox</v>
      </c>
      <c r="AX293" s="239" t="str">
        <f>IFERROR(__xludf.DUMMYFUNCTION("IF(REGEXMATCH(AW293,AS293),""✔"",""-"")"),"✔")</f>
        <v>✔</v>
      </c>
      <c r="AY293" s="330" t="str">
        <f t="shared" si="20"/>
        <v>-</v>
      </c>
      <c r="AZ293" s="260" t="str">
        <f t="shared" si="21"/>
        <v>#REF!</v>
      </c>
      <c r="BA293" s="333" t="str">
        <f t="shared" si="22"/>
        <v>xoxoxox</v>
      </c>
      <c r="BB293" s="334" t="str">
        <f t="shared" si="23"/>
        <v>xxoxox</v>
      </c>
      <c r="BC293" s="335" t="str">
        <f t="shared" si="236"/>
        <v>-</v>
      </c>
      <c r="BD293" s="336" t="str">
        <f t="shared" si="25"/>
        <v>Rishabhapriya: 'xoxoxox' + 'xxoxox'</v>
      </c>
      <c r="BE293" s="337">
        <f>IFERROR(__xludf.DUMMYFUNCTION("COUNTUNIQUE(FILTER(AT:AT,REGEXMATCH(AT:AT,AS293)))-1"),1.0)</f>
        <v>1</v>
      </c>
      <c r="BF293" s="261" t="str">
        <f>IFERROR(__xludf.DUMMYFUNCTION("IF(BI293=0,""(n/a)"",IF(BJ293=2,""(PAIR)"",IF(REGEXMATCH(AT293,""xoxoxxoxoxox""),""Bilawal"",IF(REGEXMATCH(AT293,""xoxoxooxoxoo""),""Bhupali"",IF(REGEXMATCH(AT293,""xoxoxxoxxoxo""),""Charukeshi"",IF(REGEXMATCH(AT293,""xoxoooxxoxxo""),""Kameshwari"",IF(REG"&amp;"EXMATCH(AT293,""xoxoxooxoxox""),""Shankara"",IF(REGEXMATCH(AT293,""xxooxoxxxoox""),""Basant"",IF(REGEXMATCH(AT293,""xoxoxxxxoxox""),""Bihag"",IF(REGEXMATCH(AT293,""xoxxxxoxoxxx""),""Pilu"",IF(REGEXMATCH(AT293,""xoxxoxoxxoox""),""Kirwani"",IF(REGEXMATCH(AT"&amp;"293,""xoxxoxoxoxxx""),""Mk.Malhar"",IF(REGEXMATCH(AT293,""xxooxxoxxoox""),""Bhairav"",IF(REGEXMATCH(AT293,""xxoxooxxxoox""),""Todi"",IF(REGEXMATCH(AT293,""xxooxoxooxox""),""Marwa"",IF(REGEXMATCH(AT293,""xxoooxoxxooo""),""Gunkali"",IF(REGEXMATCH(AT293,""xo"&amp;"xoxxoxxoox""),""Nat Bhairav"",IF(REGEXMATCH(AT293,""xoxxoooxoxoo""),""Shivranjani"",IF(REGEXMATCH(AT293,""xooxxxoxooxo""),""Jog"",IF(REGEXMATCH(AT293,""xxooxoxoxoox""),""Hemshri"",IF(REGEXMATCH(AT293,""xoooxooxoxxo""),""Kalavati"",IF(REGEXMATCH(AT293,""xx"&amp;"oxoxxoxoox""),""Kedar"",IF(REGEXMATCH(AT293,""xoxxxxoxooxx""),""Gara"",IF(REGEXMATCH(AT293,""xooxoxooxoox""),""Chandrakauns"",IF(REGEXMATCH(AT293,""xoxxxxoxxxox""),""Mand"",IF(REGEXMATCH(AT293,""xoxxxxoxoxox""),""Hanskinkini"",IF(REGEXMATCH(AT293,""xxooxx"&amp;"oxooxo""),""Lilavati"",IF(REGEXMATCH(AT293,""xooxoxoooxox""),""Rajeshwari"",IF(REGEXMATCH(AT293,""xoooxxoxoxxx""),""Khokar"",IF(REGEXMATCH(AT293,""xxooxoxxxxox""),""Maligoura"",""-""))))))))))))))))))))))))))))))"),"(PAIR)")</f>
        <v>(PAIR)</v>
      </c>
      <c r="BG293" s="239" t="str">
        <f t="shared" si="26"/>
        <v>#REF!</v>
      </c>
      <c r="BH293" s="239">
        <f>IFERROR(__xludf.DUMMYFUNCTION("COUNTUNIQUE(FE293:FO293)-1"),6.0)</f>
        <v>6</v>
      </c>
      <c r="BI293" s="239">
        <f>IFERROR(__xludf.DUMMYFUNCTION("COUNTUNIQUE(FILTER(AT:AT,REGEXMATCH(AT:AT,AS293)))-1"),1.0)</f>
        <v>1</v>
      </c>
      <c r="BJ293" s="239">
        <f>IFERROR(__xludf.DUMMYFUNCTION("COUNTA(FILTER(AT:AT,REGEXMATCH(AT:AT,AS293)))"),2.0)</f>
        <v>2</v>
      </c>
      <c r="BK293" s="341">
        <f>IFERROR(__xludf.DUMMYFUNCTION("COUNTA(FILTER(AT:AT,REGEXMATCH(AT:AT,AS293)))-AR293"),2.0)</f>
        <v>2</v>
      </c>
      <c r="BL293" s="276" t="str">
        <f>IFERROR(__xludf.DUMMYFUNCTION("IF(AS293=""oooooooooooo"",""-"",IF(REGEXMATCH(AT293,""xx""), ""Hemi."", ""Anhemi.""))"),"Hemi.")</f>
        <v>Hemi.</v>
      </c>
      <c r="BM293" s="282" t="str">
        <f>IFERROR(__xludf.DUMMYFUNCTION("IF(AS293=""oooooooooooo"",""-"",IF(REGEXMATCH(AT293,""xxx""), ""Cohem."", ""-""))"),"Cohem.")</f>
        <v>Cohem.</v>
      </c>
      <c r="BN293" s="282" t="str">
        <f>IFERROR(__xludf.DUMMYFUNCTION("IF(AS293=""oooooooooooo"",""-"",IF(REGEXMATCH(AT293,""xxxx""), ""Co-Co."", ""-""))"),"-")</f>
        <v>-</v>
      </c>
      <c r="BO293" s="342" t="str">
        <f>IFERROR(__xludf.DUMMYFUNCTION("IF(AS293=""oooooooooooo"",""-"",IF(REGEXMATCH(AT293,""xxxxx""), ""CCC."", ""-""))"),"-")</f>
        <v>-</v>
      </c>
      <c r="BP293" s="344" t="str">
        <f t="shared" si="27"/>
        <v>-</v>
      </c>
      <c r="BQ293" s="282" t="str">
        <f>IFERROR(__xludf.DUMMYFUNCTION("IF(REGEXMATCH(JOIN(""-"",EU293:FD293),""TRUE""),""✔"",""-"")"),"-")</f>
        <v>-</v>
      </c>
      <c r="BR293" s="225">
        <f t="shared" si="28"/>
        <v>0</v>
      </c>
      <c r="BS293" s="345" t="str">
        <f>IFERROR(__xludf.DUMMYFUNCTION("SUBSTITUTE(SUBSTITUTE(SUBSTITUTE(SUBSTITUTE(CONCATENATE(JOIN(""-"",GC293:GO293)),""--"",""-""),""--"",""-""),""--"",""-""),""--"",""-"")"),"1-2-3-#4-5-b6-b7-8")</f>
        <v>1-2-3-#4-5-b6-b7-8</v>
      </c>
      <c r="BT293" s="299" t="str">
        <f>IFERROR(__xludf.DUMMYFUNCTION("SUBSTITUTE(SUBSTITUTE(SUBSTITUTE(SUBSTITUTE(CONCATENATE(JOIN(""-"",GP293:HB293)),""--"",""-""),""--"",""-""),""--"",""-""),""--"",""-"")"),"S-R2-G3-M2-P-D1-N2-S")</f>
        <v>S-R2-G3-M2-P-D1-N2-S</v>
      </c>
      <c r="BU293" s="348" t="str">
        <f t="shared" si="29"/>
        <v>C-D-E-F#-G-Ab-Bb-C</v>
      </c>
      <c r="BV293" s="349" t="str">
        <f t="shared" si="30"/>
        <v>SrgmDNS</v>
      </c>
      <c r="BW293" s="350">
        <f t="shared" si="31"/>
        <v>0</v>
      </c>
      <c r="BX293" s="351">
        <f t="shared" si="32"/>
        <v>1</v>
      </c>
      <c r="BY293" s="392"/>
      <c r="BZ293" s="309" t="str">
        <f>IFERROR(__xludf.DUMMYFUNCTION("IF(REGEXMATCH(C293, ""S""), ""x"",""x"")"),"x")</f>
        <v>x</v>
      </c>
      <c r="CA293" s="245" t="str">
        <f>IFERROR(__xludf.DUMMYFUNCTION("IF(REGEXMATCH(C293, ""r""), ""o"",""x"")"),"x")</f>
        <v>x</v>
      </c>
      <c r="CB293" s="246" t="str">
        <f>IFERROR(__xludf.DUMMYFUNCTION("IF(REGEXMATCH(C293, ""R""), ""o"",""x"")"),"o")</f>
        <v>o</v>
      </c>
      <c r="CC293" s="246" t="str">
        <f>IFERROR(__xludf.DUMMYFUNCTION("IF(REGEXMATCH(C293, ""g""), ""o"",""x"")"),"x")</f>
        <v>x</v>
      </c>
      <c r="CD293" s="245" t="str">
        <f>IFERROR(__xludf.DUMMYFUNCTION("IF(REGEXMATCH(C293, ""G""), ""o"",""x"")"),"o")</f>
        <v>o</v>
      </c>
      <c r="CE293" s="245" t="str">
        <f>IFERROR(__xludf.DUMMYFUNCTION("IF(REGEXMATCH(C293, ""m""), ""o"",""x"")"),"x")</f>
        <v>x</v>
      </c>
      <c r="CF293" s="246" t="str">
        <f>IFERROR(__xludf.DUMMYFUNCTION("IF(REGEXMATCH(C293, ""M""), ""o"",""x"")"),"o")</f>
        <v>o</v>
      </c>
      <c r="CG293" s="245" t="str">
        <f>IFERROR(__xludf.DUMMYFUNCTION("IF(REGEXMATCH(C293, ""P""), ""o"",""x"")"),"o")</f>
        <v>o</v>
      </c>
      <c r="CH293" s="246" t="str">
        <f>IFERROR(__xludf.DUMMYFUNCTION("IF(REGEXMATCH(C293, ""d""), ""o"",""x"")"),"o")</f>
        <v>o</v>
      </c>
      <c r="CI293" s="245" t="str">
        <f>IFERROR(__xludf.DUMMYFUNCTION("IF(REGEXMATCH(C293, ""D""), ""o"",""x"")"),"x")</f>
        <v>x</v>
      </c>
      <c r="CJ293" s="245" t="str">
        <f>IFERROR(__xludf.DUMMYFUNCTION("IF(REGEXMATCH(C293, ""n""), ""o"",""x"")"),"o")</f>
        <v>o</v>
      </c>
      <c r="CK293" s="245" t="str">
        <f>IFERROR(__xludf.DUMMYFUNCTION("IF(REGEXMATCH(C293, ""N""), ""o"",""x"")"),"x")</f>
        <v>x</v>
      </c>
      <c r="CL293" s="356" t="str">
        <f>IFERROR(__xludf.DUMMYFUNCTION("IF(REGEXMATCH(C293, ""S""), ""x"",""x"")"),"x")</f>
        <v>x</v>
      </c>
      <c r="CM293" s="357" t="str">
        <f t="shared" si="33"/>
        <v>xxoxoxoooxox</v>
      </c>
      <c r="CN293" s="358">
        <f t="shared" si="34"/>
        <v>0</v>
      </c>
      <c r="CO293" s="246" t="str">
        <f>IFERROR(__xludf.DUMMYFUNCTION("IF(REGEXMATCH($C293, ""S""), ""S"",""S"")"),"S")</f>
        <v>S</v>
      </c>
      <c r="CP293" s="246" t="str">
        <f>IFERROR(__xludf.DUMMYFUNCTION("IF(REGEXMATCH($C293, ""r""), """",""r"")"),"r")</f>
        <v>r</v>
      </c>
      <c r="CQ293" s="246" t="str">
        <f>IFERROR(__xludf.DUMMYFUNCTION("IF(REGEXMATCH($C293, ""R""), """",""R"")"),"")</f>
        <v/>
      </c>
      <c r="CR293" s="246" t="str">
        <f>IFERROR(__xludf.DUMMYFUNCTION("IF(REGEXMATCH($C293, ""g""), """",""g"")"),"g")</f>
        <v>g</v>
      </c>
      <c r="CS293" s="246" t="str">
        <f>IFERROR(__xludf.DUMMYFUNCTION("IF(REGEXMATCH($C293, ""G""), """",""G"")"),"")</f>
        <v/>
      </c>
      <c r="CT293" s="246" t="str">
        <f>IFERROR(__xludf.DUMMYFUNCTION("IF(REGEXMATCH($C293, ""m""), """",""m"")"),"m")</f>
        <v>m</v>
      </c>
      <c r="CU293" s="246" t="str">
        <f>IFERROR(__xludf.DUMMYFUNCTION("IF(REGEXMATCH($C293, ""M""), """",""M"")"),"")</f>
        <v/>
      </c>
      <c r="CV293" s="246" t="str">
        <f>IFERROR(__xludf.DUMMYFUNCTION("IF(REGEXMATCH($C293, ""P""), """",""P"")"),"")</f>
        <v/>
      </c>
      <c r="CW293" s="246" t="str">
        <f>IFERROR(__xludf.DUMMYFUNCTION("IF(REGEXMATCH($C293, ""d""), """",""d"")"),"")</f>
        <v/>
      </c>
      <c r="CX293" s="246" t="str">
        <f>IFERROR(__xludf.DUMMYFUNCTION("IF(REGEXMATCH($C293, ""D""), """",""D"")"),"D")</f>
        <v>D</v>
      </c>
      <c r="CY293" s="246" t="str">
        <f>IFERROR(__xludf.DUMMYFUNCTION("IF(REGEXMATCH($C293, ""n""), """",""n"")"),"")</f>
        <v/>
      </c>
      <c r="CZ293" s="246" t="str">
        <f>IFERROR(__xludf.DUMMYFUNCTION("IF(REGEXMATCH($C293, ""N""), """",""N"")"),"N")</f>
        <v>N</v>
      </c>
      <c r="DA293" s="246" t="str">
        <f>IFERROR(__xludf.DUMMYFUNCTION("IF(REGEXMATCH($C293, ""S""), ""S"",""S"")"),"S")</f>
        <v>S</v>
      </c>
      <c r="DB293" s="362" t="str">
        <f>IFERROR(__xludf.DUMMYFUNCTION("JOIN("""",CO293:DA293,"""","""")"),"SrgmDNS")</f>
        <v>SrgmDNS</v>
      </c>
      <c r="DC293" s="363"/>
      <c r="DD293" s="301" t="str">
        <f t="shared" si="35"/>
        <v>#REF!</v>
      </c>
      <c r="DE293" s="302" t="str">
        <f t="shared" si="36"/>
        <v>#REF!</v>
      </c>
      <c r="DF293" s="301" t="str">
        <f t="shared" ref="DF293:DG293" si="813">SUBSTITUTE(S293,"-","")</f>
        <v>SRGM</v>
      </c>
      <c r="DG293" s="301" t="str">
        <f t="shared" si="813"/>
        <v>PDNS</v>
      </c>
      <c r="DH293" s="302" t="str">
        <f t="shared" si="38"/>
        <v>(PAIR)</v>
      </c>
      <c r="DI293" s="301" t="str">
        <f t="shared" si="39"/>
        <v>Hemi.</v>
      </c>
      <c r="DJ293" s="364" t="str">
        <f t="shared" si="40"/>
        <v>Cohem.</v>
      </c>
      <c r="DK293" s="306" t="str">
        <f t="shared" si="41"/>
        <v>-</v>
      </c>
      <c r="DL293" s="366" t="str">
        <f t="shared" si="42"/>
        <v>-</v>
      </c>
      <c r="DM293" s="308" t="str">
        <f t="shared" si="43"/>
        <v>✔</v>
      </c>
      <c r="DN293" s="306" t="str">
        <f t="shared" si="44"/>
        <v>-</v>
      </c>
      <c r="DO293" s="306" t="str">
        <f t="shared" si="45"/>
        <v>-</v>
      </c>
      <c r="DP293" s="367" t="str">
        <f t="shared" si="46"/>
        <v>✔</v>
      </c>
      <c r="DQ293" s="310" t="str">
        <f t="shared" si="47"/>
        <v>-</v>
      </c>
      <c r="DR293" s="310" t="str">
        <f t="shared" si="48"/>
        <v>-</v>
      </c>
      <c r="DS293" s="310" t="str">
        <f t="shared" si="49"/>
        <v>-</v>
      </c>
      <c r="DT293" s="310" t="str">
        <f t="shared" si="50"/>
        <v>-</v>
      </c>
      <c r="DU293" s="370" t="str">
        <f t="shared" si="51"/>
        <v>-</v>
      </c>
      <c r="DV293" s="306" t="str">
        <f t="shared" si="52"/>
        <v>-</v>
      </c>
      <c r="DW293" s="306" t="str">
        <f t="shared" si="53"/>
        <v>-</v>
      </c>
      <c r="DX293" s="306" t="str">
        <f t="shared" si="54"/>
        <v>-</v>
      </c>
      <c r="DY293" s="306" t="str">
        <f t="shared" si="55"/>
        <v>-</v>
      </c>
      <c r="DZ293" s="306" t="str">
        <f t="shared" si="56"/>
        <v>-</v>
      </c>
      <c r="EA293" s="367" t="str">
        <f t="shared" si="57"/>
        <v>-</v>
      </c>
      <c r="EB293" s="310" t="str">
        <f>IFERROR(__xludf.DUMMYFUNCTION("IF(REGEXMATCH(AW293,AS293),""✔"",""-"")"),"✔")</f>
        <v>✔</v>
      </c>
      <c r="EC293" s="310" t="str">
        <f t="shared" si="58"/>
        <v>#REF!</v>
      </c>
      <c r="ED293" s="370" t="str">
        <f t="shared" si="59"/>
        <v>-</v>
      </c>
      <c r="EE293" s="340" t="str">
        <f t="shared" si="60"/>
        <v>S-R-G-M-P-d-n-S</v>
      </c>
      <c r="EF293" s="371" t="str">
        <f>IFERROR(__xludf.DUMMYFUNCTION("CONCATENATE(JOIN("""",HC293:HO293))"),"SRGmMdnS")</f>
        <v>SRGmMdnS</v>
      </c>
      <c r="EG293" s="372">
        <f t="shared" si="61"/>
        <v>5</v>
      </c>
      <c r="EH293" s="373" t="str">
        <f>IFERROR(__xludf.DUMMYFUNCTION("CONCATENATE(JOIN("""",JC293:JO293))"),"Re, Ga, Ma, dha, ni, ")</f>
        <v>Re, Ga, Ma, dha, ni, </v>
      </c>
      <c r="EI293" s="322">
        <f t="shared" si="62"/>
        <v>4</v>
      </c>
      <c r="EJ293" s="374" t="str">
        <f>IFERROR(__xludf.DUMMYFUNCTION("CONCATENATE(JOIN("""",KC293:KO293))"),"Ga, Ma, dha, ni, ")</f>
        <v>Ga, Ma, dha, ni, </v>
      </c>
      <c r="EK293" s="325" t="str">
        <f t="shared" si="63"/>
        <v>S-R2-G3-M2-P-D1-N2-S</v>
      </c>
      <c r="EL293" s="326" t="str">
        <f t="shared" si="64"/>
        <v>1-2-3-#4-5-b6-b7-8</v>
      </c>
      <c r="EM293" s="318" t="str">
        <f t="shared" si="65"/>
        <v>#REF!</v>
      </c>
      <c r="EN293" s="328" t="str">
        <f>IFERROR(__xludf.DUMMYFUNCTION("SUBSTITUTE(SUBSTITUTE(SUBSTITUTE(SUBSTITUTE(CONCATENATE(JOIN("" "",HP293:IB293)),""  "","" ""),""  "","" ""),""  "","" ""),""  "","" "")"),"o • o • o • o o o • o • o")</f>
        <v>o • o • o • o o o • o • o</v>
      </c>
      <c r="EO293" s="368" t="str">
        <f t="shared" si="66"/>
        <v>Sa-Pa</v>
      </c>
      <c r="EP293" s="339" t="str">
        <f t="shared" si="67"/>
        <v>Sa-Pa</v>
      </c>
      <c r="EQ293" s="339" t="str">
        <f t="shared" si="68"/>
        <v>Sa-Pa</v>
      </c>
      <c r="ER293" s="339" t="str">
        <f t="shared" si="69"/>
        <v>-</v>
      </c>
      <c r="ES293" s="340" t="str">
        <f t="shared" si="70"/>
        <v>-</v>
      </c>
      <c r="ET293" s="363"/>
      <c r="EU293" s="376" t="b">
        <f>IFERROR(__xludf.DUMMYFUNCTION("arrayformula(sum(--REGEXMATCH(""SRGMPDNS"",split(REGEXREPLACE(C293,""(.)"",""$1~""),""~""))))=len(C293)
"),FALSE)</f>
        <v>0</v>
      </c>
      <c r="EV293" s="290" t="b">
        <f>IFERROR(__xludf.DUMMYFUNCTION("arrayformula(sum(--REGEXMATCH(""SRGmPDNS"",split(REGEXREPLACE(C293,""(.)"",""$1~""),""~""))))=len(C293)"),FALSE)</f>
        <v>0</v>
      </c>
      <c r="EW293" s="290" t="b">
        <f>IFERROR(__xludf.DUMMYFUNCTION("arrayformula(sum(--REGEXMATCH(""SRGmPDnS"",split(REGEXREPLACE(C293,""(.)"",""$1~""),""~""))))=len(C293)"),FALSE)</f>
        <v>0</v>
      </c>
      <c r="EX293" s="290" t="b">
        <f>IFERROR(__xludf.DUMMYFUNCTION("arrayformula(sum(--REGEXMATCH(""SRgmPDnS"",split(REGEXREPLACE(C293,""(.)"",""$1~""),""~""))))=len(C293)"),FALSE)</f>
        <v>0</v>
      </c>
      <c r="EY293" s="290" t="b">
        <f>IFERROR(__xludf.DUMMYFUNCTION("arrayformula(sum(--REGEXMATCH(""SRgmPdnS"",split(REGEXREPLACE(C293,""(.)"",""$1~""),""~""))))=len(C293)"),FALSE)</f>
        <v>0</v>
      </c>
      <c r="EZ293" s="290" t="b">
        <f>IFERROR(__xludf.DUMMYFUNCTION("arrayformula(sum(--REGEXMATCH(""SrgmPdnS"",split(REGEXREPLACE(C293,""(.)"",""$1~""),""~""))))=len(C293)"),FALSE)</f>
        <v>0</v>
      </c>
      <c r="FA293" s="290" t="b">
        <f>IFERROR(__xludf.DUMMYFUNCTION("arrayformula(sum(--REGEXMATCH(""SrGmPdNS"",split(REGEXREPLACE(C293,""(.)"",""$1~""),""~""))))=len(C293)"),FALSE)</f>
        <v>0</v>
      </c>
      <c r="FB293" s="290" t="b">
        <f>IFERROR(__xludf.DUMMYFUNCTION("arrayformula(sum(--REGEXMATCH(""SrGMPDNS"",split(REGEXREPLACE(C293,""(.)"",""$1~""),""~""))))=len(C293)"),FALSE)</f>
        <v>0</v>
      </c>
      <c r="FC293" s="290" t="b">
        <f>IFERROR(__xludf.DUMMYFUNCTION("arrayformula(sum(--REGEXMATCH(""SrGMPdNS"",split(REGEXREPLACE(C293,""(.)"",""$1~""),""~""))))=len(C293)"),FALSE)</f>
        <v>0</v>
      </c>
      <c r="FD293" s="377" t="b">
        <f>IFERROR(__xludf.DUMMYFUNCTION("arrayformula(sum(--REGEXMATCH(""SrgMPdNS"",split(REGEXREPLACE(C293,""(.)"",""$1~""),""~""))))=len(C293)"),FALSE)</f>
        <v>0</v>
      </c>
      <c r="FE293" s="269" t="str">
        <f t="shared" si="71"/>
        <v>-</v>
      </c>
      <c r="FF293" s="269" t="str">
        <f t="shared" si="72"/>
        <v>xoxoxxxoxox</v>
      </c>
      <c r="FG293" s="271" t="str">
        <f t="shared" si="73"/>
        <v>-</v>
      </c>
      <c r="FH293" s="269" t="str">
        <f t="shared" si="74"/>
        <v>xoxxxoxoxox</v>
      </c>
      <c r="FI293" s="271" t="str">
        <f t="shared" si="75"/>
        <v>-</v>
      </c>
      <c r="FJ293" s="271" t="str">
        <f t="shared" si="76"/>
        <v>xxxoxoxoxox</v>
      </c>
      <c r="FK293" s="271" t="str">
        <f t="shared" si="77"/>
        <v>xxoxoxoxoxo</v>
      </c>
      <c r="FL293" s="271" t="str">
        <f t="shared" si="78"/>
        <v>xoxoxoxoxox</v>
      </c>
      <c r="FM293" s="271" t="str">
        <f t="shared" si="79"/>
        <v>-</v>
      </c>
      <c r="FN293" s="271" t="str">
        <f t="shared" si="80"/>
        <v>xoxoxoxoxxx</v>
      </c>
      <c r="FO293" s="274" t="str">
        <f t="shared" si="81"/>
        <v>-</v>
      </c>
      <c r="FP293" s="234" t="str">
        <f t="shared" si="82"/>
        <v>|</v>
      </c>
      <c r="FQ293" s="236" t="str">
        <f t="shared" si="83"/>
        <v>-</v>
      </c>
      <c r="FR293" s="237" t="str">
        <f t="shared" si="84"/>
        <v>|</v>
      </c>
      <c r="FS293" s="236" t="str">
        <f t="shared" si="85"/>
        <v>-</v>
      </c>
      <c r="FT293" s="237" t="str">
        <f t="shared" si="86"/>
        <v>|</v>
      </c>
      <c r="FU293" s="236" t="str">
        <f t="shared" si="87"/>
        <v>-</v>
      </c>
      <c r="FV293" s="237" t="str">
        <f t="shared" si="88"/>
        <v>|</v>
      </c>
      <c r="FW293" s="236" t="str">
        <f t="shared" si="89"/>
        <v>|</v>
      </c>
      <c r="FX293" s="237" t="str">
        <f t="shared" si="90"/>
        <v>|</v>
      </c>
      <c r="FY293" s="236" t="str">
        <f t="shared" si="91"/>
        <v>-</v>
      </c>
      <c r="FZ293" s="237" t="str">
        <f t="shared" si="92"/>
        <v>|</v>
      </c>
      <c r="GA293" s="236" t="str">
        <f t="shared" si="93"/>
        <v>-</v>
      </c>
      <c r="GB293" s="238" t="str">
        <f t="shared" si="94"/>
        <v>|</v>
      </c>
      <c r="GC293" s="244" t="str">
        <f>IFERROR(__xludf.DUMMYFUNCTION("IF(REGEXMATCH(C293, ""S""), ""1"","""")"),"1")</f>
        <v>1</v>
      </c>
      <c r="GD293" s="245" t="str">
        <f>IFERROR(__xludf.DUMMYFUNCTION("IF(REGEXMATCH(C293, ""r""), ""b2"","""")"),"")</f>
        <v/>
      </c>
      <c r="GE293" s="246" t="str">
        <f>IFERROR(__xludf.DUMMYFUNCTION("IF(REGEXMATCH(C293, ""R""), ""2"","""")"),"2")</f>
        <v>2</v>
      </c>
      <c r="GF293" s="246" t="str">
        <f>IFERROR(__xludf.DUMMYFUNCTION("IF(REGEXMATCH(C293, ""g""), ""b3"","""")"),"")</f>
        <v/>
      </c>
      <c r="GG293" s="245" t="str">
        <f>IFERROR(__xludf.DUMMYFUNCTION("IF(REGEXMATCH(C293, ""G""), ""3"","""")"),"3")</f>
        <v>3</v>
      </c>
      <c r="GH293" s="245" t="str">
        <f>IFERROR(__xludf.DUMMYFUNCTION("IF(REGEXMATCH(C293, ""m""), ""4"","""")"),"")</f>
        <v/>
      </c>
      <c r="GI293" s="246" t="str">
        <f>IFERROR(__xludf.DUMMYFUNCTION("IF(REGEXMATCH(C293, ""M""), ""#4"","""")"),"#4")</f>
        <v>#4</v>
      </c>
      <c r="GJ293" s="245" t="str">
        <f>IFERROR(__xludf.DUMMYFUNCTION("IF(REGEXMATCH(C293, ""P""), ""5"","""")"),"5")</f>
        <v>5</v>
      </c>
      <c r="GK293" s="246" t="str">
        <f>IFERROR(__xludf.DUMMYFUNCTION("IF(REGEXMATCH(C293, ""d""), ""b6"","""")"),"b6")</f>
        <v>b6</v>
      </c>
      <c r="GL293" s="245" t="str">
        <f>IFERROR(__xludf.DUMMYFUNCTION("IF(REGEXMATCH(C293, ""D""), ""6"","""")"),"")</f>
        <v/>
      </c>
      <c r="GM293" s="245" t="str">
        <f>IFERROR(__xludf.DUMMYFUNCTION("IF(REGEXMATCH(C293, ""n""), ""b7"","""")"),"b7")</f>
        <v>b7</v>
      </c>
      <c r="GN293" s="246" t="str">
        <f>IFERROR(__xludf.DUMMYFUNCTION("IF(REGEXMATCH(C293, ""N""), ""7"","""")"),"")</f>
        <v/>
      </c>
      <c r="GO293" s="249" t="str">
        <f>IFERROR(__xludf.DUMMYFUNCTION("IF(REGEXMATCH(C293, ""S""), ""8"","""")"),"8")</f>
        <v>8</v>
      </c>
      <c r="GP293" s="244" t="str">
        <f>IFERROR(__xludf.DUMMYFUNCTION("IF(REGEXMATCH(C293, ""S""), ""S"","""")"),"S")</f>
        <v>S</v>
      </c>
      <c r="GQ293" s="294" t="str">
        <f>IFERROR(__xludf.DUMMYFUNCTION("IF(REGEXMATCH(C293, ""r""), ""R1"","""")"),"")</f>
        <v/>
      </c>
      <c r="GR293" s="295" t="str">
        <f>IFERROR(__xludf.DUMMYFUNCTION("IF(REGEXMATCH(C293, ""R""), ""R2"","""")"),"R2")</f>
        <v>R2</v>
      </c>
      <c r="GS293" s="295" t="str">
        <f>IFERROR(__xludf.DUMMYFUNCTION("IF(REGEXMATCH(C293, ""g""), ""G2"","""")"),"")</f>
        <v/>
      </c>
      <c r="GT293" s="294" t="str">
        <f>IFERROR(__xludf.DUMMYFUNCTION("IF(REGEXMATCH(C293, ""G""), ""G3"","""")"),"G3")</f>
        <v>G3</v>
      </c>
      <c r="GU293" s="294" t="str">
        <f>IFERROR(__xludf.DUMMYFUNCTION("IF(REGEXMATCH(C293, ""m""), ""M1"","""")"),"")</f>
        <v/>
      </c>
      <c r="GV293" s="295" t="str">
        <f>IFERROR(__xludf.DUMMYFUNCTION("IF(REGEXMATCH(C293, ""M""), ""M2"","""")"),"M2")</f>
        <v>M2</v>
      </c>
      <c r="GW293" s="294" t="str">
        <f>IFERROR(__xludf.DUMMYFUNCTION("IF(REGEXMATCH(C293, ""P""), ""P"","""")"),"P")</f>
        <v>P</v>
      </c>
      <c r="GX293" s="295" t="str">
        <f>IFERROR(__xludf.DUMMYFUNCTION("IF(REGEXMATCH(C293, ""d""), ""D1"","""")"),"D1")</f>
        <v>D1</v>
      </c>
      <c r="GY293" s="294" t="str">
        <f>IFERROR(__xludf.DUMMYFUNCTION("IF(REGEXMATCH(C293, ""D""), ""D2"","""")"),"")</f>
        <v/>
      </c>
      <c r="GZ293" s="294" t="str">
        <f>IFERROR(__xludf.DUMMYFUNCTION("IF(REGEXMATCH(C293, ""n""), ""N2"","""")"),"N2")</f>
        <v>N2</v>
      </c>
      <c r="HA293" s="295" t="str">
        <f>IFERROR(__xludf.DUMMYFUNCTION("IF(REGEXMATCH(C293, ""N""), ""N3"","""")"),"")</f>
        <v/>
      </c>
      <c r="HB293" s="249" t="str">
        <f>IFERROR(__xludf.DUMMYFUNCTION("IF(REGEXMATCH(C293, ""S""), ""S"","""")"),"S")</f>
        <v>S</v>
      </c>
      <c r="HC293" s="331" t="str">
        <f t="shared" si="95"/>
        <v>S</v>
      </c>
      <c r="HD293" s="332" t="str">
        <f t="shared" si="96"/>
        <v/>
      </c>
      <c r="HE293" s="332" t="str">
        <f t="shared" si="97"/>
        <v>R</v>
      </c>
      <c r="HF293" s="332" t="str">
        <f t="shared" si="98"/>
        <v/>
      </c>
      <c r="HG293" s="332" t="str">
        <f t="shared" si="99"/>
        <v>G</v>
      </c>
      <c r="HH293" s="332" t="str">
        <f t="shared" si="100"/>
        <v>m</v>
      </c>
      <c r="HI293" s="332" t="str">
        <f t="shared" si="101"/>
        <v>M</v>
      </c>
      <c r="HJ293" s="332" t="str">
        <f t="shared" si="102"/>
        <v/>
      </c>
      <c r="HK293" s="332" t="str">
        <f t="shared" si="103"/>
        <v>d</v>
      </c>
      <c r="HL293" s="332" t="str">
        <f t="shared" si="104"/>
        <v/>
      </c>
      <c r="HM293" s="332" t="str">
        <f t="shared" si="105"/>
        <v>n</v>
      </c>
      <c r="HN293" s="332" t="str">
        <f t="shared" si="106"/>
        <v/>
      </c>
      <c r="HO293" s="343" t="str">
        <f t="shared" si="107"/>
        <v>S</v>
      </c>
      <c r="HP293" s="331" t="str">
        <f t="shared" si="108"/>
        <v>o</v>
      </c>
      <c r="HQ293" s="332" t="str">
        <f t="shared" si="109"/>
        <v>•</v>
      </c>
      <c r="HR293" s="332" t="str">
        <f t="shared" si="110"/>
        <v>o</v>
      </c>
      <c r="HS293" s="332" t="str">
        <f t="shared" si="111"/>
        <v>•</v>
      </c>
      <c r="HT293" s="332" t="str">
        <f t="shared" si="112"/>
        <v>o</v>
      </c>
      <c r="HU293" s="332" t="str">
        <f t="shared" si="113"/>
        <v>•</v>
      </c>
      <c r="HV293" s="332" t="str">
        <f t="shared" si="114"/>
        <v>o</v>
      </c>
      <c r="HW293" s="332" t="str">
        <f t="shared" si="115"/>
        <v>o</v>
      </c>
      <c r="HX293" s="332" t="str">
        <f t="shared" si="116"/>
        <v>o</v>
      </c>
      <c r="HY293" s="332" t="str">
        <f t="shared" si="117"/>
        <v>•</v>
      </c>
      <c r="HZ293" s="332" t="str">
        <f t="shared" si="118"/>
        <v>o</v>
      </c>
      <c r="IA293" s="332" t="str">
        <f t="shared" si="119"/>
        <v>•</v>
      </c>
      <c r="IB293" s="338" t="str">
        <f t="shared" si="120"/>
        <v>o</v>
      </c>
      <c r="IC293" s="331" t="str">
        <f t="shared" si="121"/>
        <v>•</v>
      </c>
      <c r="ID293" s="332" t="str">
        <f t="shared" si="122"/>
        <v>o</v>
      </c>
      <c r="IE293" s="332" t="str">
        <f t="shared" si="123"/>
        <v>•</v>
      </c>
      <c r="IF293" s="332" t="str">
        <f t="shared" si="124"/>
        <v>o</v>
      </c>
      <c r="IG293" s="332" t="str">
        <f t="shared" si="125"/>
        <v>•</v>
      </c>
      <c r="IH293" s="332" t="str">
        <f t="shared" si="126"/>
        <v>o</v>
      </c>
      <c r="II293" s="332" t="str">
        <f t="shared" si="127"/>
        <v>•</v>
      </c>
      <c r="IJ293" s="332" t="str">
        <f t="shared" si="128"/>
        <v>•</v>
      </c>
      <c r="IK293" s="332" t="str">
        <f t="shared" si="129"/>
        <v>•</v>
      </c>
      <c r="IL293" s="332" t="str">
        <f t="shared" si="130"/>
        <v>o</v>
      </c>
      <c r="IM293" s="332" t="str">
        <f t="shared" si="131"/>
        <v>•</v>
      </c>
      <c r="IN293" s="332" t="str">
        <f t="shared" si="132"/>
        <v>o</v>
      </c>
      <c r="IO293" s="338" t="str">
        <f t="shared" si="133"/>
        <v>•</v>
      </c>
      <c r="IP293" s="346" t="b">
        <f t="shared" si="134"/>
        <v>0</v>
      </c>
      <c r="IQ293" s="347" t="b">
        <f t="shared" si="135"/>
        <v>0</v>
      </c>
      <c r="IR293" s="347" t="b">
        <f t="shared" si="136"/>
        <v>1</v>
      </c>
      <c r="IS293" s="347" t="b">
        <f t="shared" si="137"/>
        <v>0</v>
      </c>
      <c r="IT293" s="347" t="b">
        <f t="shared" si="138"/>
        <v>1</v>
      </c>
      <c r="IU293" s="347" t="b">
        <f t="shared" si="139"/>
        <v>0</v>
      </c>
      <c r="IV293" s="347" t="b">
        <f t="shared" si="140"/>
        <v>1</v>
      </c>
      <c r="IW293" s="347" t="b">
        <f t="shared" si="141"/>
        <v>0</v>
      </c>
      <c r="IX293" s="347" t="b">
        <f t="shared" si="142"/>
        <v>1</v>
      </c>
      <c r="IY293" s="347" t="b">
        <f t="shared" si="143"/>
        <v>0</v>
      </c>
      <c r="IZ293" s="347" t="b">
        <f t="shared" si="144"/>
        <v>1</v>
      </c>
      <c r="JA293" s="347" t="b">
        <f t="shared" si="145"/>
        <v>0</v>
      </c>
      <c r="JB293" s="353" t="b">
        <f t="shared" si="146"/>
        <v>0</v>
      </c>
      <c r="JC293" s="354" t="str">
        <f t="shared" si="147"/>
        <v/>
      </c>
      <c r="JD293" s="355" t="str">
        <f t="shared" si="148"/>
        <v/>
      </c>
      <c r="JE293" s="355" t="str">
        <f t="shared" si="149"/>
        <v>Re, </v>
      </c>
      <c r="JF293" s="355" t="str">
        <f t="shared" si="150"/>
        <v/>
      </c>
      <c r="JG293" s="355" t="str">
        <f t="shared" si="151"/>
        <v>Ga, </v>
      </c>
      <c r="JH293" s="355" t="str">
        <f t="shared" si="152"/>
        <v/>
      </c>
      <c r="JI293" s="355" t="str">
        <f t="shared" si="153"/>
        <v>Ma, </v>
      </c>
      <c r="JJ293" s="355" t="str">
        <f t="shared" si="154"/>
        <v/>
      </c>
      <c r="JK293" s="355" t="str">
        <f t="shared" si="155"/>
        <v>dha, </v>
      </c>
      <c r="JL293" s="355" t="str">
        <f t="shared" si="156"/>
        <v/>
      </c>
      <c r="JM293" s="355" t="str">
        <f t="shared" si="157"/>
        <v>ni, </v>
      </c>
      <c r="JN293" s="355" t="str">
        <f t="shared" si="158"/>
        <v/>
      </c>
      <c r="JO293" s="359" t="str">
        <f t="shared" si="159"/>
        <v/>
      </c>
      <c r="JP293" s="346" t="b">
        <f t="shared" si="160"/>
        <v>0</v>
      </c>
      <c r="JQ293" s="347" t="b">
        <f t="shared" si="161"/>
        <v>0</v>
      </c>
      <c r="JR293" s="347" t="b">
        <f t="shared" si="162"/>
        <v>0</v>
      </c>
      <c r="JS293" s="347" t="b">
        <f t="shared" si="163"/>
        <v>0</v>
      </c>
      <c r="JT293" s="347" t="b">
        <f t="shared" si="164"/>
        <v>1</v>
      </c>
      <c r="JU293" s="347" t="b">
        <f t="shared" si="165"/>
        <v>0</v>
      </c>
      <c r="JV293" s="347" t="b">
        <f t="shared" si="166"/>
        <v>1</v>
      </c>
      <c r="JW293" s="347" t="b">
        <f t="shared" si="167"/>
        <v>0</v>
      </c>
      <c r="JX293" s="347" t="b">
        <f t="shared" si="168"/>
        <v>1</v>
      </c>
      <c r="JY293" s="347" t="b">
        <f t="shared" si="169"/>
        <v>0</v>
      </c>
      <c r="JZ293" s="347" t="b">
        <f t="shared" si="170"/>
        <v>1</v>
      </c>
      <c r="KA293" s="347" t="b">
        <f t="shared" si="171"/>
        <v>0</v>
      </c>
      <c r="KB293" s="365" t="b">
        <f t="shared" si="172"/>
        <v>0</v>
      </c>
      <c r="KC293" s="354" t="str">
        <f t="shared" si="173"/>
        <v/>
      </c>
      <c r="KD293" s="355" t="str">
        <f t="shared" si="174"/>
        <v/>
      </c>
      <c r="KE293" s="355" t="str">
        <f t="shared" si="175"/>
        <v/>
      </c>
      <c r="KF293" s="355" t="str">
        <f t="shared" si="176"/>
        <v/>
      </c>
      <c r="KG293" s="355" t="str">
        <f t="shared" si="177"/>
        <v>Ga, </v>
      </c>
      <c r="KH293" s="355" t="str">
        <f t="shared" si="178"/>
        <v/>
      </c>
      <c r="KI293" s="355" t="str">
        <f t="shared" si="179"/>
        <v>Ma, </v>
      </c>
      <c r="KJ293" s="355" t="str">
        <f t="shared" si="180"/>
        <v/>
      </c>
      <c r="KK293" s="355" t="str">
        <f t="shared" si="181"/>
        <v>dha, </v>
      </c>
      <c r="KL293" s="355" t="str">
        <f t="shared" si="182"/>
        <v/>
      </c>
      <c r="KM293" s="355" t="str">
        <f t="shared" si="183"/>
        <v>ni, </v>
      </c>
      <c r="KN293" s="355" t="str">
        <f t="shared" si="184"/>
        <v/>
      </c>
      <c r="KO293" s="359"/>
      <c r="KP293" s="378"/>
      <c r="KQ293" s="379" t="s">
        <v>9</v>
      </c>
      <c r="KR293" s="380" t="s">
        <v>9</v>
      </c>
      <c r="KS293" s="381" t="s">
        <v>9</v>
      </c>
      <c r="KT293" s="382">
        <f t="shared" si="186"/>
        <v>0</v>
      </c>
      <c r="KU293" s="383">
        <f t="shared" si="187"/>
        <v>0</v>
      </c>
      <c r="KV293" s="381" t="str">
        <f t="shared" si="205"/>
        <v>S</v>
      </c>
      <c r="KW293" s="382">
        <f t="shared" si="189"/>
        <v>0</v>
      </c>
      <c r="KX293" s="384">
        <f t="shared" si="190"/>
        <v>0</v>
      </c>
      <c r="KY293" s="382">
        <f t="shared" ref="KY293:KZ293" si="814">KW293-KT293</f>
        <v>0</v>
      </c>
      <c r="KZ293" s="369">
        <f t="shared" si="814"/>
        <v>0</v>
      </c>
      <c r="LA293" s="385" t="str">
        <f t="shared" si="192"/>
        <v>✔</v>
      </c>
      <c r="LB293" s="340" t="str">
        <f>IFERROR(__xludf.DUMMYFUNCTION("JOIN("""",ArrayFormula(MID(KS293,LEN(KS293)-SEQUENCE(1,LEN(KS293))+1,1)))"),"S")</f>
        <v>S</v>
      </c>
      <c r="LC293" s="373" t="str">
        <f>IFERROR(__xludf.DUMMYFUNCTION("JOIN("""",ArrayFormula(MID(KV293,LEN(KV293)-SEQUENCE(1,LEN(KV293))+1,1)))"),"S")</f>
        <v>S</v>
      </c>
      <c r="LD293" s="373" t="str">
        <f t="shared" si="193"/>
        <v>S</v>
      </c>
      <c r="LE293" s="339" t="str">
        <f t="shared" si="194"/>
        <v>S</v>
      </c>
      <c r="LF293" s="386" t="str">
        <f>IFERROR(__xludf.DUMMYFUNCTION("SUBSTITUTE(SUBSTITUTE(CONCATENATE(JOIN("""",LH293:LT293)),""1"",""""),""2"","""")"),"SS")</f>
        <v>SS</v>
      </c>
      <c r="LG293" s="369" t="str">
        <f t="shared" si="195"/>
        <v>-</v>
      </c>
      <c r="LH293" s="387" t="str">
        <f>IFERROR(__xludf.DUMMYFUNCTION("IF(REGEXMATCH(LD293, ""S""), ""S"",IF(REGEXMATCH(LE293, ""S""), ""S"",""""))"),"S")</f>
        <v>S</v>
      </c>
      <c r="LI293" s="299" t="str">
        <f>IFERROR(__xludf.DUMMYFUNCTION("IF(REGEXMATCH(LD293, ""r""), ""r1"",IF(REGEXMATCH(LE293, ""r""), ""r2"",""""))"),"")</f>
        <v/>
      </c>
      <c r="LJ293" s="299" t="str">
        <f>IFERROR(__xludf.DUMMYFUNCTION("IF(REGEXMATCH(LD293, ""R""), ""R1"",IF(REGEXMATCH(LE293, ""R""), ""R2"",""""))"),"")</f>
        <v/>
      </c>
      <c r="LK293" s="299" t="str">
        <f>IFERROR(__xludf.DUMMYFUNCTION("IF(REGEXMATCH(LD293, ""g""), ""g1"",IF(REGEXMATCH(LE293, ""g""), ""g2"",""""))"),"")</f>
        <v/>
      </c>
      <c r="LL293" s="299" t="str">
        <f>IFERROR(__xludf.DUMMYFUNCTION("IF(REGEXMATCH(LD293, ""G""), ""G1"",IF(REGEXMATCH(LE293, ""G""), ""G2"",""""))"),"")</f>
        <v/>
      </c>
      <c r="LM293" s="299" t="str">
        <f>IFERROR(__xludf.DUMMYFUNCTION("IF(REGEXMATCH(LD293, ""m""), ""m1"",IF(REGEXMATCH(LE293, ""m""), ""m2"",""""))"),"")</f>
        <v/>
      </c>
      <c r="LN293" s="299" t="str">
        <f>IFERROR(__xludf.DUMMYFUNCTION("IF(REGEXMATCH(LD293, ""M""), ""M1"",IF(REGEXMATCH(LE293, ""M""), ""M2"",""""))"),"")</f>
        <v/>
      </c>
      <c r="LO293" s="299" t="str">
        <f>IFERROR(__xludf.DUMMYFUNCTION("IF(REGEXMATCH(LD293, ""P""), ""P1"",IF(REGEXMATCH(LE293, ""P""), ""P2"",""""))"),"")</f>
        <v/>
      </c>
      <c r="LP293" s="299" t="str">
        <f>IFERROR(__xludf.DUMMYFUNCTION("IF(REGEXMATCH(LD293, ""d""), ""d1"",IF(REGEXMATCH(LE293, ""d""), ""d2"",""""))"),"")</f>
        <v/>
      </c>
      <c r="LQ293" s="299" t="str">
        <f>IFERROR(__xludf.DUMMYFUNCTION("IF(REGEXMATCH(LD293, ""D""), ""D1"",IF(REGEXMATCH(LE293, ""D""), ""D2"",""""))"),"")</f>
        <v/>
      </c>
      <c r="LR293" s="299" t="str">
        <f>IFERROR(__xludf.DUMMYFUNCTION("IF(REGEXMATCH(LD293, ""n""), ""n1"",IF(REGEXMATCH(LE293, ""n""), ""n2"",""""))"),"")</f>
        <v/>
      </c>
      <c r="LS293" s="299" t="str">
        <f>IFERROR(__xludf.DUMMYFUNCTION("IF(REGEXMATCH(LD293, ""N""), ""N1"",IF(REGEXMATCH(LE293, ""N""), ""N2"",""""))"),"")</f>
        <v/>
      </c>
      <c r="LT293" s="388" t="str">
        <f>IFERROR(__xludf.DUMMYFUNCTION("IF(REGEXMATCH(LD293, ""S""), ""S"",IF(REGEXMATCH(LE293, ""S""), ""S"",""""))"),"S")</f>
        <v>S</v>
      </c>
      <c r="LU293" s="389">
        <f t="shared" si="196"/>
        <v>1</v>
      </c>
      <c r="LV293" s="378"/>
      <c r="LW293" s="369"/>
      <c r="LX293" s="369"/>
    </row>
    <row r="294" ht="18.0" customHeight="1">
      <c r="A294" s="298" t="s">
        <v>1109</v>
      </c>
      <c r="B294" s="222" t="s">
        <v>1110</v>
      </c>
      <c r="C294" s="233" t="str">
        <f t="shared" si="7"/>
        <v>SrRGmMPdNS</v>
      </c>
      <c r="D294" s="234" t="str">
        <f>IFERROR(__xludf.DUMMYFUNCTION("IF(REGEXMATCH(C294, ""S""), ""S"","""")"),"S")</f>
        <v>S</v>
      </c>
      <c r="E294" s="236" t="str">
        <f>IFERROR(__xludf.DUMMYFUNCTION("IF(REGEXMATCH(C294, ""r""), ""r"","""")"),"r")</f>
        <v>r</v>
      </c>
      <c r="F294" s="237" t="str">
        <f>IFERROR(__xludf.DUMMYFUNCTION("IF(REGEXMATCH(C294, ""R""), ""R"","""")"),"R")</f>
        <v>R</v>
      </c>
      <c r="G294" s="237" t="str">
        <f>IFERROR(__xludf.DUMMYFUNCTION("IF(REGEXMATCH(C294, ""g""), ""g"","""")"),"")</f>
        <v/>
      </c>
      <c r="H294" s="236" t="str">
        <f>IFERROR(__xludf.DUMMYFUNCTION("IF(REGEXMATCH(C294, ""G""), ""G"","""")"),"G")</f>
        <v>G</v>
      </c>
      <c r="I294" s="236" t="str">
        <f>IFERROR(__xludf.DUMMYFUNCTION("IF(REGEXMATCH(C294, ""m""), ""m"","""")"),"m")</f>
        <v>m</v>
      </c>
      <c r="J294" s="237" t="str">
        <f>IFERROR(__xludf.DUMMYFUNCTION("IF(REGEXMATCH(C294, ""M""), ""M"","""")"),"M")</f>
        <v>M</v>
      </c>
      <c r="K294" s="236" t="str">
        <f>IFERROR(__xludf.DUMMYFUNCTION("IF(REGEXMATCH(C294, ""P""), ""P"","""")"),"P")</f>
        <v>P</v>
      </c>
      <c r="L294" s="237" t="str">
        <f>IFERROR(__xludf.DUMMYFUNCTION("IF(REGEXMATCH(C294, ""d""), ""d"","""")"),"d")</f>
        <v>d</v>
      </c>
      <c r="M294" s="236" t="str">
        <f>IFERROR(__xludf.DUMMYFUNCTION("IF(REGEXMATCH(C294, ""D""), ""D"","""")"),"")</f>
        <v/>
      </c>
      <c r="N294" s="236" t="str">
        <f>IFERROR(__xludf.DUMMYFUNCTION("IF(REGEXMATCH(C294, ""n""), ""n"","""")"),"")</f>
        <v/>
      </c>
      <c r="O294" s="237" t="str">
        <f>IFERROR(__xludf.DUMMYFUNCTION("IF(REGEXMATCH(C294, ""N""), ""N"","""")"),"N")</f>
        <v>N</v>
      </c>
      <c r="P294" s="238" t="str">
        <f>IFERROR(__xludf.DUMMYFUNCTION("IF(REGEXMATCH(C294, ""S""), ""S"","""")"),"S")</f>
        <v>S</v>
      </c>
      <c r="Q294" s="239" t="str">
        <f>IFERROR(__xludf.DUMMYFUNCTION("SUBSTITUTE(CONCATENATE(JOIN(""-"",D294:J294)),""-"","""")"),"SrRGmM")</f>
        <v>SrRGmM</v>
      </c>
      <c r="R294" s="229" t="str">
        <f>IFERROR(__xludf.DUMMYFUNCTION("SUBSTITUTE(CONCATENATE(JOIN(""-"",K294:P294)),""-"","""")"),"PdNS")</f>
        <v>PdNS</v>
      </c>
      <c r="S294" s="282" t="str">
        <f t="shared" si="8"/>
        <v>S-R-G-M</v>
      </c>
      <c r="T294" s="282" t="str">
        <f t="shared" si="9"/>
        <v>P-D-N-S</v>
      </c>
      <c r="U294" s="237" t="str">
        <f>IFERROR(__xludf.DUMMYFUNCTION("SUBSTITUTE(JOIN(""-"",S294,T294),""--"",""-"")"),"S-R-G-M-P-D-N-S")</f>
        <v>S-R-G-M-P-D-N-S</v>
      </c>
      <c r="V294" s="309" t="str">
        <f t="shared" si="10"/>
        <v>rRGmMdN</v>
      </c>
      <c r="W294" s="244" t="str">
        <f>IFERROR(__xludf.DUMMYFUNCTION("IF(REGEXMATCH(C294, ""S""), ""0"","""")"),"0")</f>
        <v>0</v>
      </c>
      <c r="X294" s="245" t="str">
        <f>IFERROR(__xludf.DUMMYFUNCTION("IF(REGEXMATCH(C294, ""r""), ""1"","""")"),"1")</f>
        <v>1</v>
      </c>
      <c r="Y294" s="246" t="str">
        <f>IFERROR(__xludf.DUMMYFUNCTION("IF(REGEXMATCH(C294, ""R""), ""2"","""")"),"2")</f>
        <v>2</v>
      </c>
      <c r="Z294" s="246" t="str">
        <f>IFERROR(__xludf.DUMMYFUNCTION("IF(REGEXMATCH(C294, ""g""), ""3"","""")"),"")</f>
        <v/>
      </c>
      <c r="AA294" s="245" t="str">
        <f>IFERROR(__xludf.DUMMYFUNCTION("IF(REGEXMATCH(C294, ""G""), ""4"","""")"),"4")</f>
        <v>4</v>
      </c>
      <c r="AB294" s="245" t="str">
        <f>IFERROR(__xludf.DUMMYFUNCTION("IF(REGEXMATCH(C294, ""m""), ""5"","""")"),"5")</f>
        <v>5</v>
      </c>
      <c r="AC294" s="246" t="str">
        <f>IFERROR(__xludf.DUMMYFUNCTION("IF(REGEXMATCH(C294, ""M""), ""6"","""")"),"6")</f>
        <v>6</v>
      </c>
      <c r="AD294" s="245" t="str">
        <f>IFERROR(__xludf.DUMMYFUNCTION("IF(REGEXMATCH(C294, ""P""), ""7"","""")"),"7")</f>
        <v>7</v>
      </c>
      <c r="AE294" s="246" t="str">
        <f>IFERROR(__xludf.DUMMYFUNCTION("IF(REGEXMATCH(C294, ""d""), ""8"","""")"),"8")</f>
        <v>8</v>
      </c>
      <c r="AF294" s="245" t="str">
        <f>IFERROR(__xludf.DUMMYFUNCTION("IF(REGEXMATCH(C294, ""D""), ""9"","""")"),"")</f>
        <v/>
      </c>
      <c r="AG294" s="245" t="str">
        <f>IFERROR(__xludf.DUMMYFUNCTION("IF(REGEXMATCH(C294, ""n""), ""10"","""")"),"")</f>
        <v/>
      </c>
      <c r="AH294" s="246" t="str">
        <f>IFERROR(__xludf.DUMMYFUNCTION("IF(REGEXMATCH(C294, ""N""), ""11"","""")"),"11")</f>
        <v>11</v>
      </c>
      <c r="AI294" s="249" t="str">
        <f>IFERROR(__xludf.DUMMYFUNCTION("IF(REGEXMATCH(C294, ""S""), ""0"","""")"),"0")</f>
        <v>0</v>
      </c>
      <c r="AJ294" s="313" t="str">
        <f t="shared" si="11"/>
        <v>T</v>
      </c>
      <c r="AK294" s="313" t="str">
        <f t="shared" si="12"/>
        <v>T</v>
      </c>
      <c r="AL294" s="313" t="str">
        <f t="shared" si="13"/>
        <v>T</v>
      </c>
      <c r="AM294" s="313" t="str">
        <f t="shared" si="14"/>
        <v>-</v>
      </c>
      <c r="AN294" s="313" t="str">
        <f t="shared" si="15"/>
        <v>-</v>
      </c>
      <c r="AO294" s="314" t="str">
        <f t="shared" si="16"/>
        <v>T</v>
      </c>
      <c r="AP294" s="316">
        <f t="shared" si="17"/>
        <v>4</v>
      </c>
      <c r="AQ294" s="319" t="str">
        <f t="shared" si="18"/>
        <v>-</v>
      </c>
      <c r="AR294" s="320">
        <f t="shared" si="19"/>
        <v>0</v>
      </c>
      <c r="AS294" s="250" t="str">
        <f>IFERROR(__xludf.DUMMYFUNCTION("SUBSTITUTE(SUBSTITUTE(CONCATENATE(JOIN("""",FP294:GA294)),""|"",""x""),""-"",""o"")"),"xxxoxxxxxoox")</f>
        <v>xxxoxxxxxoox</v>
      </c>
      <c r="AT294" s="323" t="str">
        <f>IFERROR(__xludf.DUMMYFUNCTION("JOIN("""",AS294,AS294)"),"xxxoxxxxxooxxxxoxxxxxoox")</f>
        <v>xxxoxxxxxooxxxxoxxxxxoox</v>
      </c>
      <c r="AU294" s="256" t="str">
        <f>IFERROR(__xludf.DUMMYFUNCTION("JOIN("""",ArrayFormula(MID(AS294,LEN(AS294)-SEQUENCE(1,LEN(AS294))+1,1)))"),"xooxxxxxoxxx")</f>
        <v>xooxxxxxoxxx</v>
      </c>
      <c r="AV294" s="256" t="str">
        <f>IFERROR(__xludf.DUMMYFUNCTION("LEFT(CONCATENATE(""x"",JOIN("""",ArrayFormula(MID(AS294,LEN(AS294)-SEQUENCE(1,LEN(AS294))+1,1)))),12)"),"xxooxxxxxoxx")</f>
        <v>xxooxxxxxoxx</v>
      </c>
      <c r="AW294" s="327" t="str">
        <f>IFERROR(__xludf.DUMMYFUNCTION("JOIN("""",AU294,AU294)"),"xooxxxxxoxxxxooxxxxxoxxx")</f>
        <v>xooxxxxxoxxxxooxxxxxoxxx</v>
      </c>
      <c r="AX294" s="239" t="str">
        <f>IFERROR(__xludf.DUMMYFUNCTION("IF(REGEXMATCH(AW294,AS294),""✔"",""-"")"),"-")</f>
        <v>-</v>
      </c>
      <c r="AY294" s="330" t="str">
        <f t="shared" si="20"/>
        <v>-</v>
      </c>
      <c r="AZ294" s="260" t="str">
        <f t="shared" si="21"/>
        <v>#REF!</v>
      </c>
      <c r="BA294" s="333" t="str">
        <f t="shared" si="22"/>
        <v>xxxoxxx</v>
      </c>
      <c r="BB294" s="334" t="str">
        <f t="shared" si="23"/>
        <v>xxooxx</v>
      </c>
      <c r="BC294" s="335" t="str">
        <f t="shared" si="236"/>
        <v>-</v>
      </c>
      <c r="BD294" s="336" t="str">
        <f t="shared" si="25"/>
        <v>Roopkali: 'xxxoxxx' + 'xxooxx'</v>
      </c>
      <c r="BE294" s="337">
        <f>IFERROR(__xludf.DUMMYFUNCTION("COUNTUNIQUE(FILTER(AT:AT,REGEXMATCH(AT:AT,AS294)))-1"),1.0)</f>
        <v>1</v>
      </c>
      <c r="BF294" s="261" t="str">
        <f>IFERROR(__xludf.DUMMYFUNCTION("IF(BI294=0,""(n/a)"",IF(BJ294=2,""(PAIR)"",IF(REGEXMATCH(AT294,""xoxoxxoxoxox""),""Bilawal"",IF(REGEXMATCH(AT294,""xoxoxooxoxoo""),""Bhupali"",IF(REGEXMATCH(AT294,""xoxoxxoxxoxo""),""Charukeshi"",IF(REGEXMATCH(AT294,""xoxoooxxoxxo""),""Kameshwari"",IF(REG"&amp;"EXMATCH(AT294,""xoxoxooxoxox""),""Shankara"",IF(REGEXMATCH(AT294,""xxooxoxxxoox""),""Basant"",IF(REGEXMATCH(AT294,""xoxoxxxxoxox""),""Bihag"",IF(REGEXMATCH(AT294,""xoxxxxoxoxxx""),""Pilu"",IF(REGEXMATCH(AT294,""xoxxoxoxxoox""),""Kirwani"",IF(REGEXMATCH(AT"&amp;"294,""xoxxoxoxoxxx""),""Mk.Malhar"",IF(REGEXMATCH(AT294,""xxooxxoxxoox""),""Bhairav"",IF(REGEXMATCH(AT294,""xxoxooxxxoox""),""Todi"",IF(REGEXMATCH(AT294,""xxooxoxooxox""),""Marwa"",IF(REGEXMATCH(AT294,""xxoooxoxxooo""),""Gunkali"",IF(REGEXMATCH(AT294,""xo"&amp;"xoxxoxxoox""),""Nat Bhairav"",IF(REGEXMATCH(AT294,""xoxxoooxoxoo""),""Shivranjani"",IF(REGEXMATCH(AT294,""xooxxxoxooxo""),""Jog"",IF(REGEXMATCH(AT294,""xxooxoxoxoox""),""Hemshri"",IF(REGEXMATCH(AT294,""xoooxooxoxxo""),""Kalavati"",IF(REGEXMATCH(AT294,""xx"&amp;"oxoxxoxoox""),""Kedar"",IF(REGEXMATCH(AT294,""xoxxxxoxooxx""),""Gara"",IF(REGEXMATCH(AT294,""xooxoxooxoox""),""Chandrakauns"",IF(REGEXMATCH(AT294,""xoxxxxoxxxox""),""Mand"",IF(REGEXMATCH(AT294,""xoxxxxoxoxox""),""Hanskinkini"",IF(REGEXMATCH(AT294,""xxooxx"&amp;"oxooxo""),""Lilavati"",IF(REGEXMATCH(AT294,""xooxoxoooxox""),""Rajeshwari"",IF(REGEXMATCH(AT294,""xoooxxoxoxxx""),""Khokar"",IF(REGEXMATCH(AT294,""xxooxoxxxxox""),""Maligoura"",""-""))))))))))))))))))))))))))))))"),"(PAIR)")</f>
        <v>(PAIR)</v>
      </c>
      <c r="BG294" s="239" t="str">
        <f t="shared" si="26"/>
        <v>#REF!</v>
      </c>
      <c r="BH294" s="239">
        <f>IFERROR(__xludf.DUMMYFUNCTION("COUNTUNIQUE(FE294:FO294)-1"),8.0)</f>
        <v>8</v>
      </c>
      <c r="BI294" s="239">
        <f>IFERROR(__xludf.DUMMYFUNCTION("COUNTUNIQUE(FILTER(AT:AT,REGEXMATCH(AT:AT,AS294)))-1"),1.0)</f>
        <v>1</v>
      </c>
      <c r="BJ294" s="239">
        <f>IFERROR(__xludf.DUMMYFUNCTION("COUNTA(FILTER(AT:AT,REGEXMATCH(AT:AT,AS294)))"),2.0)</f>
        <v>2</v>
      </c>
      <c r="BK294" s="341">
        <f>IFERROR(__xludf.DUMMYFUNCTION("COUNTA(FILTER(AT:AT,REGEXMATCH(AT:AT,AS294)))-AR294"),2.0)</f>
        <v>2</v>
      </c>
      <c r="BL294" s="276" t="str">
        <f>IFERROR(__xludf.DUMMYFUNCTION("IF(AS294=""oooooooooooo"",""-"",IF(REGEXMATCH(AT294,""xx""), ""Hemi."", ""Anhemi.""))"),"Hemi.")</f>
        <v>Hemi.</v>
      </c>
      <c r="BM294" s="282" t="str">
        <f>IFERROR(__xludf.DUMMYFUNCTION("IF(AS294=""oooooooooooo"",""-"",IF(REGEXMATCH(AT294,""xxx""), ""Cohem."", ""-""))"),"Cohem.")</f>
        <v>Cohem.</v>
      </c>
      <c r="BN294" s="282" t="str">
        <f>IFERROR(__xludf.DUMMYFUNCTION("IF(AS294=""oooooooooooo"",""-"",IF(REGEXMATCH(AT294,""xxxx""), ""Co-Co."", ""-""))"),"Co-Co.")</f>
        <v>Co-Co.</v>
      </c>
      <c r="BO294" s="342" t="str">
        <f>IFERROR(__xludf.DUMMYFUNCTION("IF(AS294=""oooooooooooo"",""-"",IF(REGEXMATCH(AT294,""xxxxx""), ""CCC."", ""-""))"),"CCC.")</f>
        <v>CCC.</v>
      </c>
      <c r="BP294" s="344" t="str">
        <f t="shared" si="27"/>
        <v>-</v>
      </c>
      <c r="BQ294" s="282" t="str">
        <f>IFERROR(__xludf.DUMMYFUNCTION("IF(REGEXMATCH(JOIN(""-"",EU294:FD294),""TRUE""),""✔"",""-"")"),"-")</f>
        <v>-</v>
      </c>
      <c r="BR294" s="225">
        <f t="shared" si="28"/>
        <v>0</v>
      </c>
      <c r="BS294" s="345" t="str">
        <f>IFERROR(__xludf.DUMMYFUNCTION("SUBSTITUTE(SUBSTITUTE(SUBSTITUTE(SUBSTITUTE(CONCATENATE(JOIN(""-"",GC294:GO294)),""--"",""-""),""--"",""-""),""--"",""-""),""--"",""-"")"),"1-b2-2-3-4-#4-5-b6-7-8")</f>
        <v>1-b2-2-3-4-#4-5-b6-7-8</v>
      </c>
      <c r="BT294" s="299" t="str">
        <f>IFERROR(__xludf.DUMMYFUNCTION("SUBSTITUTE(SUBSTITUTE(SUBSTITUTE(SUBSTITUTE(CONCATENATE(JOIN(""-"",GP294:HB294)),""--"",""-""),""--"",""-""),""--"",""-""),""--"",""-"")"),"S-R1-R2-G3-M1-M2-P-D1-N3-S")</f>
        <v>S-R1-R2-G3-M1-M2-P-D1-N3-S</v>
      </c>
      <c r="BU294" s="348" t="str">
        <f t="shared" si="29"/>
        <v>C-Db-D-E-F-F#-G-Ab-B-C</v>
      </c>
      <c r="BV294" s="349" t="str">
        <f t="shared" si="30"/>
        <v>SgDnS</v>
      </c>
      <c r="BW294" s="350">
        <f t="shared" si="31"/>
        <v>0</v>
      </c>
      <c r="BX294" s="351">
        <f t="shared" si="32"/>
        <v>1</v>
      </c>
      <c r="BY294" s="352" t="s">
        <v>275</v>
      </c>
      <c r="BZ294" s="309" t="str">
        <f>IFERROR(__xludf.DUMMYFUNCTION("IF(REGEXMATCH(C294, ""S""), ""x"",""x"")"),"x")</f>
        <v>x</v>
      </c>
      <c r="CA294" s="245" t="str">
        <f>IFERROR(__xludf.DUMMYFUNCTION("IF(REGEXMATCH(C294, ""r""), ""o"",""x"")"),"o")</f>
        <v>o</v>
      </c>
      <c r="CB294" s="246" t="str">
        <f>IFERROR(__xludf.DUMMYFUNCTION("IF(REGEXMATCH(C294, ""R""), ""o"",""x"")"),"o")</f>
        <v>o</v>
      </c>
      <c r="CC294" s="246" t="str">
        <f>IFERROR(__xludf.DUMMYFUNCTION("IF(REGEXMATCH(C294, ""g""), ""o"",""x"")"),"x")</f>
        <v>x</v>
      </c>
      <c r="CD294" s="245" t="str">
        <f>IFERROR(__xludf.DUMMYFUNCTION("IF(REGEXMATCH(C294, ""G""), ""o"",""x"")"),"o")</f>
        <v>o</v>
      </c>
      <c r="CE294" s="245" t="str">
        <f>IFERROR(__xludf.DUMMYFUNCTION("IF(REGEXMATCH(C294, ""m""), ""o"",""x"")"),"o")</f>
        <v>o</v>
      </c>
      <c r="CF294" s="246" t="str">
        <f>IFERROR(__xludf.DUMMYFUNCTION("IF(REGEXMATCH(C294, ""M""), ""o"",""x"")"),"o")</f>
        <v>o</v>
      </c>
      <c r="CG294" s="245" t="str">
        <f>IFERROR(__xludf.DUMMYFUNCTION("IF(REGEXMATCH(C294, ""P""), ""o"",""x"")"),"o")</f>
        <v>o</v>
      </c>
      <c r="CH294" s="246" t="str">
        <f>IFERROR(__xludf.DUMMYFUNCTION("IF(REGEXMATCH(C294, ""d""), ""o"",""x"")"),"o")</f>
        <v>o</v>
      </c>
      <c r="CI294" s="245" t="str">
        <f>IFERROR(__xludf.DUMMYFUNCTION("IF(REGEXMATCH(C294, ""D""), ""o"",""x"")"),"x")</f>
        <v>x</v>
      </c>
      <c r="CJ294" s="245" t="str">
        <f>IFERROR(__xludf.DUMMYFUNCTION("IF(REGEXMATCH(C294, ""n""), ""o"",""x"")"),"x")</f>
        <v>x</v>
      </c>
      <c r="CK294" s="245" t="str">
        <f>IFERROR(__xludf.DUMMYFUNCTION("IF(REGEXMATCH(C294, ""N""), ""o"",""x"")"),"o")</f>
        <v>o</v>
      </c>
      <c r="CL294" s="356" t="str">
        <f>IFERROR(__xludf.DUMMYFUNCTION("IF(REGEXMATCH(C294, ""S""), ""x"",""x"")"),"x")</f>
        <v>x</v>
      </c>
      <c r="CM294" s="357" t="str">
        <f t="shared" si="33"/>
        <v>xooxoooooxxo</v>
      </c>
      <c r="CN294" s="358">
        <f t="shared" si="34"/>
        <v>0</v>
      </c>
      <c r="CO294" s="246" t="str">
        <f>IFERROR(__xludf.DUMMYFUNCTION("IF(REGEXMATCH($C294, ""S""), ""S"",""S"")"),"S")</f>
        <v>S</v>
      </c>
      <c r="CP294" s="246" t="str">
        <f>IFERROR(__xludf.DUMMYFUNCTION("IF(REGEXMATCH($C294, ""r""), """",""r"")"),"")</f>
        <v/>
      </c>
      <c r="CQ294" s="246" t="str">
        <f>IFERROR(__xludf.DUMMYFUNCTION("IF(REGEXMATCH($C294, ""R""), """",""R"")"),"")</f>
        <v/>
      </c>
      <c r="CR294" s="246" t="str">
        <f>IFERROR(__xludf.DUMMYFUNCTION("IF(REGEXMATCH($C294, ""g""), """",""g"")"),"g")</f>
        <v>g</v>
      </c>
      <c r="CS294" s="246" t="str">
        <f>IFERROR(__xludf.DUMMYFUNCTION("IF(REGEXMATCH($C294, ""G""), """",""G"")"),"")</f>
        <v/>
      </c>
      <c r="CT294" s="246" t="str">
        <f>IFERROR(__xludf.DUMMYFUNCTION("IF(REGEXMATCH($C294, ""m""), """",""m"")"),"")</f>
        <v/>
      </c>
      <c r="CU294" s="246" t="str">
        <f>IFERROR(__xludf.DUMMYFUNCTION("IF(REGEXMATCH($C294, ""M""), """",""M"")"),"")</f>
        <v/>
      </c>
      <c r="CV294" s="246" t="str">
        <f>IFERROR(__xludf.DUMMYFUNCTION("IF(REGEXMATCH($C294, ""P""), """",""P"")"),"")</f>
        <v/>
      </c>
      <c r="CW294" s="246" t="str">
        <f>IFERROR(__xludf.DUMMYFUNCTION("IF(REGEXMATCH($C294, ""d""), """",""d"")"),"")</f>
        <v/>
      </c>
      <c r="CX294" s="246" t="str">
        <f>IFERROR(__xludf.DUMMYFUNCTION("IF(REGEXMATCH($C294, ""D""), """",""D"")"),"D")</f>
        <v>D</v>
      </c>
      <c r="CY294" s="246" t="str">
        <f>IFERROR(__xludf.DUMMYFUNCTION("IF(REGEXMATCH($C294, ""n""), """",""n"")"),"n")</f>
        <v>n</v>
      </c>
      <c r="CZ294" s="246" t="str">
        <f>IFERROR(__xludf.DUMMYFUNCTION("IF(REGEXMATCH($C294, ""N""), """",""N"")"),"")</f>
        <v/>
      </c>
      <c r="DA294" s="246" t="str">
        <f>IFERROR(__xludf.DUMMYFUNCTION("IF(REGEXMATCH($C294, ""S""), ""S"",""S"")"),"S")</f>
        <v>S</v>
      </c>
      <c r="DB294" s="362" t="str">
        <f>IFERROR(__xludf.DUMMYFUNCTION("JOIN("""",CO294:DA294,"""","""")"),"SgDnS")</f>
        <v>SgDnS</v>
      </c>
      <c r="DC294" s="363"/>
      <c r="DD294" s="301" t="str">
        <f t="shared" si="35"/>
        <v>#REF!</v>
      </c>
      <c r="DE294" s="302" t="str">
        <f t="shared" si="36"/>
        <v>#REF!</v>
      </c>
      <c r="DF294" s="301" t="str">
        <f t="shared" ref="DF294:DG294" si="815">SUBSTITUTE(S294,"-","")</f>
        <v>SRGM</v>
      </c>
      <c r="DG294" s="301" t="str">
        <f t="shared" si="815"/>
        <v>PDNS</v>
      </c>
      <c r="DH294" s="302" t="str">
        <f t="shared" si="38"/>
        <v>(PAIR)</v>
      </c>
      <c r="DI294" s="301" t="str">
        <f t="shared" si="39"/>
        <v>Hemi.</v>
      </c>
      <c r="DJ294" s="364" t="str">
        <f t="shared" si="40"/>
        <v>CCC.</v>
      </c>
      <c r="DK294" s="306" t="str">
        <f t="shared" si="41"/>
        <v>-</v>
      </c>
      <c r="DL294" s="366" t="str">
        <f t="shared" si="42"/>
        <v>-</v>
      </c>
      <c r="DM294" s="308" t="str">
        <f t="shared" si="43"/>
        <v>✔</v>
      </c>
      <c r="DN294" s="306" t="str">
        <f t="shared" si="44"/>
        <v>-</v>
      </c>
      <c r="DO294" s="306" t="str">
        <f t="shared" si="45"/>
        <v>-</v>
      </c>
      <c r="DP294" s="367" t="str">
        <f t="shared" si="46"/>
        <v>-</v>
      </c>
      <c r="DQ294" s="310" t="str">
        <f t="shared" si="47"/>
        <v>✔</v>
      </c>
      <c r="DR294" s="310" t="str">
        <f t="shared" si="48"/>
        <v>-</v>
      </c>
      <c r="DS294" s="310" t="str">
        <f t="shared" si="49"/>
        <v>✔</v>
      </c>
      <c r="DT294" s="310" t="str">
        <f t="shared" si="50"/>
        <v>-</v>
      </c>
      <c r="DU294" s="370" t="str">
        <f t="shared" si="51"/>
        <v>-</v>
      </c>
      <c r="DV294" s="306" t="str">
        <f t="shared" si="52"/>
        <v>-</v>
      </c>
      <c r="DW294" s="306" t="str">
        <f t="shared" si="53"/>
        <v>-</v>
      </c>
      <c r="DX294" s="306" t="str">
        <f t="shared" si="54"/>
        <v>-</v>
      </c>
      <c r="DY294" s="306" t="str">
        <f t="shared" si="55"/>
        <v>-</v>
      </c>
      <c r="DZ294" s="306" t="str">
        <f t="shared" si="56"/>
        <v>-</v>
      </c>
      <c r="EA294" s="367" t="str">
        <f t="shared" si="57"/>
        <v>-</v>
      </c>
      <c r="EB294" s="310" t="str">
        <f>IFERROR(__xludf.DUMMYFUNCTION("IF(REGEXMATCH(AW294,AS294),""✔"",""-"")"),"-")</f>
        <v>-</v>
      </c>
      <c r="EC294" s="310" t="str">
        <f t="shared" si="58"/>
        <v>#REF!</v>
      </c>
      <c r="ED294" s="370" t="str">
        <f t="shared" si="59"/>
        <v>-</v>
      </c>
      <c r="EE294" s="340" t="str">
        <f t="shared" si="60"/>
        <v>S-rR-G-mM-P-d-N-S</v>
      </c>
      <c r="EF294" s="371" t="str">
        <f>IFERROR(__xludf.DUMMYFUNCTION("CONCATENATE(JOIN("""",HC294:HO294))"),"SrGmMPdnNS")</f>
        <v>SrGmMPdnNS</v>
      </c>
      <c r="EG294" s="372">
        <f t="shared" si="61"/>
        <v>2</v>
      </c>
      <c r="EH294" s="373" t="str">
        <f>IFERROR(__xludf.DUMMYFUNCTION("CONCATENATE(JOIN("""",JC294:JO294))"),"Re, dha, ")</f>
        <v>Re, dha, </v>
      </c>
      <c r="EI294" s="322">
        <f t="shared" si="62"/>
        <v>0</v>
      </c>
      <c r="EJ294" s="374" t="str">
        <f>IFERROR(__xludf.DUMMYFUNCTION("CONCATENATE(JOIN("""",KC294:KO294))"),"")</f>
        <v/>
      </c>
      <c r="EK294" s="325" t="str">
        <f t="shared" si="63"/>
        <v>S-R1-R2-G3-M1-M2-P-D1-N3-S</v>
      </c>
      <c r="EL294" s="326" t="str">
        <f t="shared" si="64"/>
        <v>1-b2-2-3-4-#4-5-b6-7-8</v>
      </c>
      <c r="EM294" s="318" t="str">
        <f t="shared" si="65"/>
        <v>#REF!</v>
      </c>
      <c r="EN294" s="328" t="str">
        <f>IFERROR(__xludf.DUMMYFUNCTION("SUBSTITUTE(SUBSTITUTE(SUBSTITUTE(SUBSTITUTE(CONCATENATE(JOIN("" "",HP294:IB294)),""  "","" ""),""  "","" ""),""  "","" ""),""  "","" "")"),"o o o • o o o o o • • o o")</f>
        <v>o o o • o o o o o • • o o</v>
      </c>
      <c r="EO294" s="368" t="str">
        <f t="shared" si="66"/>
        <v>-</v>
      </c>
      <c r="EP294" s="339" t="str">
        <f t="shared" si="67"/>
        <v>-</v>
      </c>
      <c r="EQ294" s="339" t="str">
        <f t="shared" si="68"/>
        <v>Sa-Pa</v>
      </c>
      <c r="ER294" s="339" t="str">
        <f t="shared" si="69"/>
        <v>-</v>
      </c>
      <c r="ES294" s="340" t="str">
        <f t="shared" si="70"/>
        <v>-</v>
      </c>
      <c r="ET294" s="363"/>
      <c r="EU294" s="376" t="b">
        <f>IFERROR(__xludf.DUMMYFUNCTION("arrayformula(sum(--REGEXMATCH(""SRGMPDNS"",split(REGEXREPLACE(C294,""(.)"",""$1~""),""~""))))=len(C294)
"),FALSE)</f>
        <v>0</v>
      </c>
      <c r="EV294" s="290" t="b">
        <f>IFERROR(__xludf.DUMMYFUNCTION("arrayformula(sum(--REGEXMATCH(""SRGmPDNS"",split(REGEXREPLACE(C294,""(.)"",""$1~""),""~""))))=len(C294)"),FALSE)</f>
        <v>0</v>
      </c>
      <c r="EW294" s="290" t="b">
        <f>IFERROR(__xludf.DUMMYFUNCTION("arrayformula(sum(--REGEXMATCH(""SRGmPDnS"",split(REGEXREPLACE(C294,""(.)"",""$1~""),""~""))))=len(C294)"),FALSE)</f>
        <v>0</v>
      </c>
      <c r="EX294" s="290" t="b">
        <f>IFERROR(__xludf.DUMMYFUNCTION("arrayformula(sum(--REGEXMATCH(""SRgmPDnS"",split(REGEXREPLACE(C294,""(.)"",""$1~""),""~""))))=len(C294)"),FALSE)</f>
        <v>0</v>
      </c>
      <c r="EY294" s="290" t="b">
        <f>IFERROR(__xludf.DUMMYFUNCTION("arrayformula(sum(--REGEXMATCH(""SRgmPdnS"",split(REGEXREPLACE(C294,""(.)"",""$1~""),""~""))))=len(C294)"),FALSE)</f>
        <v>0</v>
      </c>
      <c r="EZ294" s="290" t="b">
        <f>IFERROR(__xludf.DUMMYFUNCTION("arrayformula(sum(--REGEXMATCH(""SrgmPdnS"",split(REGEXREPLACE(C294,""(.)"",""$1~""),""~""))))=len(C294)"),FALSE)</f>
        <v>0</v>
      </c>
      <c r="FA294" s="290" t="b">
        <f>IFERROR(__xludf.DUMMYFUNCTION("arrayformula(sum(--REGEXMATCH(""SrGmPdNS"",split(REGEXREPLACE(C294,""(.)"",""$1~""),""~""))))=len(C294)"),FALSE)</f>
        <v>0</v>
      </c>
      <c r="FB294" s="290" t="b">
        <f>IFERROR(__xludf.DUMMYFUNCTION("arrayformula(sum(--REGEXMATCH(""SrGMPDNS"",split(REGEXREPLACE(C294,""(.)"",""$1~""),""~""))))=len(C294)"),FALSE)</f>
        <v>0</v>
      </c>
      <c r="FC294" s="290" t="b">
        <f>IFERROR(__xludf.DUMMYFUNCTION("arrayformula(sum(--REGEXMATCH(""SrGMPdNS"",split(REGEXREPLACE(C294,""(.)"",""$1~""),""~""))))=len(C294)"),FALSE)</f>
        <v>0</v>
      </c>
      <c r="FD294" s="377" t="b">
        <f>IFERROR(__xludf.DUMMYFUNCTION("arrayformula(sum(--REGEXMATCH(""SrgMPdNS"",split(REGEXREPLACE(C294,""(.)"",""$1~""),""~""))))=len(C294)"),FALSE)</f>
        <v>0</v>
      </c>
      <c r="FE294" s="269" t="str">
        <f t="shared" si="71"/>
        <v>xxoxxxxxoox</v>
      </c>
      <c r="FF294" s="269" t="str">
        <f t="shared" si="72"/>
        <v>xoxxxxxooxx</v>
      </c>
      <c r="FG294" s="271" t="str">
        <f t="shared" si="73"/>
        <v>-</v>
      </c>
      <c r="FH294" s="269" t="str">
        <f t="shared" si="74"/>
        <v>xxxxxooxxxx</v>
      </c>
      <c r="FI294" s="271" t="str">
        <f t="shared" si="75"/>
        <v>xxxxooxxxxo</v>
      </c>
      <c r="FJ294" s="271" t="str">
        <f t="shared" si="76"/>
        <v>xxxooxxxxox</v>
      </c>
      <c r="FK294" s="271" t="str">
        <f t="shared" si="77"/>
        <v>xxooxxxxoxx</v>
      </c>
      <c r="FL294" s="271" t="str">
        <f t="shared" si="78"/>
        <v>xooxxxxoxxx</v>
      </c>
      <c r="FM294" s="271" t="str">
        <f t="shared" si="79"/>
        <v>-</v>
      </c>
      <c r="FN294" s="271" t="str">
        <f t="shared" si="80"/>
        <v>-</v>
      </c>
      <c r="FO294" s="274" t="str">
        <f t="shared" si="81"/>
        <v>xxxxoxxxxxo</v>
      </c>
      <c r="FP294" s="234" t="str">
        <f t="shared" si="82"/>
        <v>|</v>
      </c>
      <c r="FQ294" s="236" t="str">
        <f t="shared" si="83"/>
        <v>|</v>
      </c>
      <c r="FR294" s="237" t="str">
        <f t="shared" si="84"/>
        <v>|</v>
      </c>
      <c r="FS294" s="236" t="str">
        <f t="shared" si="85"/>
        <v>-</v>
      </c>
      <c r="FT294" s="237" t="str">
        <f t="shared" si="86"/>
        <v>|</v>
      </c>
      <c r="FU294" s="236" t="str">
        <f t="shared" si="87"/>
        <v>|</v>
      </c>
      <c r="FV294" s="237" t="str">
        <f t="shared" si="88"/>
        <v>|</v>
      </c>
      <c r="FW294" s="236" t="str">
        <f t="shared" si="89"/>
        <v>|</v>
      </c>
      <c r="FX294" s="237" t="str">
        <f t="shared" si="90"/>
        <v>|</v>
      </c>
      <c r="FY294" s="236" t="str">
        <f t="shared" si="91"/>
        <v>-</v>
      </c>
      <c r="FZ294" s="237" t="str">
        <f t="shared" si="92"/>
        <v>-</v>
      </c>
      <c r="GA294" s="236" t="str">
        <f t="shared" si="93"/>
        <v>|</v>
      </c>
      <c r="GB294" s="238" t="str">
        <f t="shared" si="94"/>
        <v>|</v>
      </c>
      <c r="GC294" s="244" t="str">
        <f>IFERROR(__xludf.DUMMYFUNCTION("IF(REGEXMATCH(C294, ""S""), ""1"","""")"),"1")</f>
        <v>1</v>
      </c>
      <c r="GD294" s="245" t="str">
        <f>IFERROR(__xludf.DUMMYFUNCTION("IF(REGEXMATCH(C294, ""r""), ""b2"","""")"),"b2")</f>
        <v>b2</v>
      </c>
      <c r="GE294" s="246" t="str">
        <f>IFERROR(__xludf.DUMMYFUNCTION("IF(REGEXMATCH(C294, ""R""), ""2"","""")"),"2")</f>
        <v>2</v>
      </c>
      <c r="GF294" s="246" t="str">
        <f>IFERROR(__xludf.DUMMYFUNCTION("IF(REGEXMATCH(C294, ""g""), ""b3"","""")"),"")</f>
        <v/>
      </c>
      <c r="GG294" s="245" t="str">
        <f>IFERROR(__xludf.DUMMYFUNCTION("IF(REGEXMATCH(C294, ""G""), ""3"","""")"),"3")</f>
        <v>3</v>
      </c>
      <c r="GH294" s="245" t="str">
        <f>IFERROR(__xludf.DUMMYFUNCTION("IF(REGEXMATCH(C294, ""m""), ""4"","""")"),"4")</f>
        <v>4</v>
      </c>
      <c r="GI294" s="246" t="str">
        <f>IFERROR(__xludf.DUMMYFUNCTION("IF(REGEXMATCH(C294, ""M""), ""#4"","""")"),"#4")</f>
        <v>#4</v>
      </c>
      <c r="GJ294" s="245" t="str">
        <f>IFERROR(__xludf.DUMMYFUNCTION("IF(REGEXMATCH(C294, ""P""), ""5"","""")"),"5")</f>
        <v>5</v>
      </c>
      <c r="GK294" s="246" t="str">
        <f>IFERROR(__xludf.DUMMYFUNCTION("IF(REGEXMATCH(C294, ""d""), ""b6"","""")"),"b6")</f>
        <v>b6</v>
      </c>
      <c r="GL294" s="245" t="str">
        <f>IFERROR(__xludf.DUMMYFUNCTION("IF(REGEXMATCH(C294, ""D""), ""6"","""")"),"")</f>
        <v/>
      </c>
      <c r="GM294" s="245" t="str">
        <f>IFERROR(__xludf.DUMMYFUNCTION("IF(REGEXMATCH(C294, ""n""), ""b7"","""")"),"")</f>
        <v/>
      </c>
      <c r="GN294" s="246" t="str">
        <f>IFERROR(__xludf.DUMMYFUNCTION("IF(REGEXMATCH(C294, ""N""), ""7"","""")"),"7")</f>
        <v>7</v>
      </c>
      <c r="GO294" s="249" t="str">
        <f>IFERROR(__xludf.DUMMYFUNCTION("IF(REGEXMATCH(C294, ""S""), ""8"","""")"),"8")</f>
        <v>8</v>
      </c>
      <c r="GP294" s="244" t="str">
        <f>IFERROR(__xludf.DUMMYFUNCTION("IF(REGEXMATCH(C294, ""S""), ""S"","""")"),"S")</f>
        <v>S</v>
      </c>
      <c r="GQ294" s="294" t="str">
        <f>IFERROR(__xludf.DUMMYFUNCTION("IF(REGEXMATCH(C294, ""r""), ""R1"","""")"),"R1")</f>
        <v>R1</v>
      </c>
      <c r="GR294" s="295" t="str">
        <f>IFERROR(__xludf.DUMMYFUNCTION("IF(REGEXMATCH(C294, ""R""), ""R2"","""")"),"R2")</f>
        <v>R2</v>
      </c>
      <c r="GS294" s="295" t="str">
        <f>IFERROR(__xludf.DUMMYFUNCTION("IF(REGEXMATCH(C294, ""g""), ""G2"","""")"),"")</f>
        <v/>
      </c>
      <c r="GT294" s="294" t="str">
        <f>IFERROR(__xludf.DUMMYFUNCTION("IF(REGEXMATCH(C294, ""G""), ""G3"","""")"),"G3")</f>
        <v>G3</v>
      </c>
      <c r="GU294" s="294" t="str">
        <f>IFERROR(__xludf.DUMMYFUNCTION("IF(REGEXMATCH(C294, ""m""), ""M1"","""")"),"M1")</f>
        <v>M1</v>
      </c>
      <c r="GV294" s="295" t="str">
        <f>IFERROR(__xludf.DUMMYFUNCTION("IF(REGEXMATCH(C294, ""M""), ""M2"","""")"),"M2")</f>
        <v>M2</v>
      </c>
      <c r="GW294" s="294" t="str">
        <f>IFERROR(__xludf.DUMMYFUNCTION("IF(REGEXMATCH(C294, ""P""), ""P"","""")"),"P")</f>
        <v>P</v>
      </c>
      <c r="GX294" s="295" t="str">
        <f>IFERROR(__xludf.DUMMYFUNCTION("IF(REGEXMATCH(C294, ""d""), ""D1"","""")"),"D1")</f>
        <v>D1</v>
      </c>
      <c r="GY294" s="294" t="str">
        <f>IFERROR(__xludf.DUMMYFUNCTION("IF(REGEXMATCH(C294, ""D""), ""D2"","""")"),"")</f>
        <v/>
      </c>
      <c r="GZ294" s="294" t="str">
        <f>IFERROR(__xludf.DUMMYFUNCTION("IF(REGEXMATCH(C294, ""n""), ""N2"","""")"),"")</f>
        <v/>
      </c>
      <c r="HA294" s="295" t="str">
        <f>IFERROR(__xludf.DUMMYFUNCTION("IF(REGEXMATCH(C294, ""N""), ""N3"","""")"),"N3")</f>
        <v>N3</v>
      </c>
      <c r="HB294" s="249" t="str">
        <f>IFERROR(__xludf.DUMMYFUNCTION("IF(REGEXMATCH(C294, ""S""), ""S"","""")"),"S")</f>
        <v>S</v>
      </c>
      <c r="HC294" s="331" t="str">
        <f t="shared" si="95"/>
        <v>S</v>
      </c>
      <c r="HD294" s="332" t="str">
        <f t="shared" si="96"/>
        <v>r</v>
      </c>
      <c r="HE294" s="332" t="str">
        <f t="shared" si="97"/>
        <v/>
      </c>
      <c r="HF294" s="332" t="str">
        <f t="shared" si="98"/>
        <v/>
      </c>
      <c r="HG294" s="332" t="str">
        <f t="shared" si="99"/>
        <v>G</v>
      </c>
      <c r="HH294" s="332" t="str">
        <f t="shared" si="100"/>
        <v>m</v>
      </c>
      <c r="HI294" s="332" t="str">
        <f t="shared" si="101"/>
        <v>M</v>
      </c>
      <c r="HJ294" s="332" t="str">
        <f t="shared" si="102"/>
        <v>P</v>
      </c>
      <c r="HK294" s="332" t="str">
        <f t="shared" si="103"/>
        <v>d</v>
      </c>
      <c r="HL294" s="332" t="str">
        <f t="shared" si="104"/>
        <v/>
      </c>
      <c r="HM294" s="332" t="str">
        <f t="shared" si="105"/>
        <v>n</v>
      </c>
      <c r="HN294" s="332" t="str">
        <f t="shared" si="106"/>
        <v>N</v>
      </c>
      <c r="HO294" s="343" t="str">
        <f t="shared" si="107"/>
        <v>S</v>
      </c>
      <c r="HP294" s="331" t="str">
        <f t="shared" si="108"/>
        <v>o</v>
      </c>
      <c r="HQ294" s="332" t="str">
        <f t="shared" si="109"/>
        <v>o</v>
      </c>
      <c r="HR294" s="332" t="str">
        <f t="shared" si="110"/>
        <v>o</v>
      </c>
      <c r="HS294" s="332" t="str">
        <f t="shared" si="111"/>
        <v>•</v>
      </c>
      <c r="HT294" s="332" t="str">
        <f t="shared" si="112"/>
        <v>o</v>
      </c>
      <c r="HU294" s="332" t="str">
        <f t="shared" si="113"/>
        <v>o</v>
      </c>
      <c r="HV294" s="332" t="str">
        <f t="shared" si="114"/>
        <v>o</v>
      </c>
      <c r="HW294" s="332" t="str">
        <f t="shared" si="115"/>
        <v>o</v>
      </c>
      <c r="HX294" s="332" t="str">
        <f t="shared" si="116"/>
        <v>o</v>
      </c>
      <c r="HY294" s="332" t="str">
        <f t="shared" si="117"/>
        <v>•</v>
      </c>
      <c r="HZ294" s="332" t="str">
        <f t="shared" si="118"/>
        <v>•</v>
      </c>
      <c r="IA294" s="332" t="str">
        <f t="shared" si="119"/>
        <v>o</v>
      </c>
      <c r="IB294" s="338" t="str">
        <f t="shared" si="120"/>
        <v>o</v>
      </c>
      <c r="IC294" s="331" t="str">
        <f t="shared" si="121"/>
        <v>•</v>
      </c>
      <c r="ID294" s="332" t="str">
        <f t="shared" si="122"/>
        <v>•</v>
      </c>
      <c r="IE294" s="332" t="str">
        <f t="shared" si="123"/>
        <v>•</v>
      </c>
      <c r="IF294" s="332" t="str">
        <f t="shared" si="124"/>
        <v>o</v>
      </c>
      <c r="IG294" s="332" t="str">
        <f t="shared" si="125"/>
        <v>•</v>
      </c>
      <c r="IH294" s="332" t="str">
        <f t="shared" si="126"/>
        <v>•</v>
      </c>
      <c r="II294" s="332" t="str">
        <f t="shared" si="127"/>
        <v>•</v>
      </c>
      <c r="IJ294" s="332" t="str">
        <f t="shared" si="128"/>
        <v>•</v>
      </c>
      <c r="IK294" s="332" t="str">
        <f t="shared" si="129"/>
        <v>•</v>
      </c>
      <c r="IL294" s="332" t="str">
        <f t="shared" si="130"/>
        <v>o</v>
      </c>
      <c r="IM294" s="332" t="str">
        <f t="shared" si="131"/>
        <v>o</v>
      </c>
      <c r="IN294" s="332" t="str">
        <f t="shared" si="132"/>
        <v>•</v>
      </c>
      <c r="IO294" s="338" t="str">
        <f t="shared" si="133"/>
        <v>•</v>
      </c>
      <c r="IP294" s="346" t="b">
        <f t="shared" si="134"/>
        <v>0</v>
      </c>
      <c r="IQ294" s="347" t="b">
        <f t="shared" si="135"/>
        <v>0</v>
      </c>
      <c r="IR294" s="347" t="b">
        <f t="shared" si="136"/>
        <v>1</v>
      </c>
      <c r="IS294" s="347" t="b">
        <f t="shared" si="137"/>
        <v>0</v>
      </c>
      <c r="IT294" s="347" t="b">
        <f t="shared" si="138"/>
        <v>0</v>
      </c>
      <c r="IU294" s="347" t="b">
        <f t="shared" si="139"/>
        <v>0</v>
      </c>
      <c r="IV294" s="347" t="b">
        <f t="shared" si="140"/>
        <v>0</v>
      </c>
      <c r="IW294" s="347" t="b">
        <f t="shared" si="141"/>
        <v>0</v>
      </c>
      <c r="IX294" s="347" t="b">
        <f t="shared" si="142"/>
        <v>1</v>
      </c>
      <c r="IY294" s="347" t="b">
        <f t="shared" si="143"/>
        <v>0</v>
      </c>
      <c r="IZ294" s="347" t="b">
        <f t="shared" si="144"/>
        <v>0</v>
      </c>
      <c r="JA294" s="347" t="b">
        <f t="shared" si="145"/>
        <v>0</v>
      </c>
      <c r="JB294" s="353" t="b">
        <f t="shared" si="146"/>
        <v>0</v>
      </c>
      <c r="JC294" s="354" t="str">
        <f t="shared" si="147"/>
        <v/>
      </c>
      <c r="JD294" s="355" t="str">
        <f t="shared" si="148"/>
        <v/>
      </c>
      <c r="JE294" s="355" t="str">
        <f t="shared" si="149"/>
        <v>Re, </v>
      </c>
      <c r="JF294" s="355" t="str">
        <f t="shared" si="150"/>
        <v/>
      </c>
      <c r="JG294" s="355" t="str">
        <f t="shared" si="151"/>
        <v/>
      </c>
      <c r="JH294" s="355" t="str">
        <f t="shared" si="152"/>
        <v/>
      </c>
      <c r="JI294" s="355" t="str">
        <f t="shared" si="153"/>
        <v/>
      </c>
      <c r="JJ294" s="355" t="str">
        <f t="shared" si="154"/>
        <v/>
      </c>
      <c r="JK294" s="355" t="str">
        <f t="shared" si="155"/>
        <v>dha, </v>
      </c>
      <c r="JL294" s="355" t="str">
        <f t="shared" si="156"/>
        <v/>
      </c>
      <c r="JM294" s="355" t="str">
        <f t="shared" si="157"/>
        <v/>
      </c>
      <c r="JN294" s="355" t="str">
        <f t="shared" si="158"/>
        <v/>
      </c>
      <c r="JO294" s="359" t="str">
        <f t="shared" si="159"/>
        <v/>
      </c>
      <c r="JP294" s="346" t="b">
        <f t="shared" si="160"/>
        <v>0</v>
      </c>
      <c r="JQ294" s="347" t="b">
        <f t="shared" si="161"/>
        <v>0</v>
      </c>
      <c r="JR294" s="347" t="b">
        <f t="shared" si="162"/>
        <v>0</v>
      </c>
      <c r="JS294" s="347" t="b">
        <f t="shared" si="163"/>
        <v>0</v>
      </c>
      <c r="JT294" s="347" t="b">
        <f t="shared" si="164"/>
        <v>0</v>
      </c>
      <c r="JU294" s="347" t="b">
        <f t="shared" si="165"/>
        <v>0</v>
      </c>
      <c r="JV294" s="347" t="b">
        <f t="shared" si="166"/>
        <v>0</v>
      </c>
      <c r="JW294" s="347" t="b">
        <f t="shared" si="167"/>
        <v>0</v>
      </c>
      <c r="JX294" s="347" t="b">
        <f t="shared" si="168"/>
        <v>0</v>
      </c>
      <c r="JY294" s="347" t="b">
        <f t="shared" si="169"/>
        <v>0</v>
      </c>
      <c r="JZ294" s="347" t="b">
        <f t="shared" si="170"/>
        <v>0</v>
      </c>
      <c r="KA294" s="347" t="b">
        <f t="shared" si="171"/>
        <v>0</v>
      </c>
      <c r="KB294" s="365" t="b">
        <f t="shared" si="172"/>
        <v>0</v>
      </c>
      <c r="KC294" s="354" t="str">
        <f t="shared" si="173"/>
        <v/>
      </c>
      <c r="KD294" s="355" t="str">
        <f t="shared" si="174"/>
        <v/>
      </c>
      <c r="KE294" s="355" t="str">
        <f t="shared" si="175"/>
        <v/>
      </c>
      <c r="KF294" s="355" t="str">
        <f t="shared" si="176"/>
        <v/>
      </c>
      <c r="KG294" s="355" t="str">
        <f t="shared" si="177"/>
        <v/>
      </c>
      <c r="KH294" s="355" t="str">
        <f t="shared" si="178"/>
        <v/>
      </c>
      <c r="KI294" s="355" t="str">
        <f t="shared" si="179"/>
        <v/>
      </c>
      <c r="KJ294" s="355" t="str">
        <f t="shared" si="180"/>
        <v/>
      </c>
      <c r="KK294" s="355" t="str">
        <f t="shared" si="181"/>
        <v/>
      </c>
      <c r="KL294" s="355" t="str">
        <f t="shared" si="182"/>
        <v/>
      </c>
      <c r="KM294" s="355" t="str">
        <f t="shared" si="183"/>
        <v/>
      </c>
      <c r="KN294" s="355" t="str">
        <f t="shared" si="184"/>
        <v/>
      </c>
      <c r="KO294" s="359"/>
      <c r="KP294" s="378"/>
      <c r="KQ294" s="379" t="s">
        <v>9</v>
      </c>
      <c r="KR294" s="380" t="s">
        <v>9</v>
      </c>
      <c r="KS294" s="381" t="s">
        <v>9</v>
      </c>
      <c r="KT294" s="382">
        <f t="shared" si="186"/>
        <v>0</v>
      </c>
      <c r="KU294" s="383">
        <f t="shared" si="187"/>
        <v>0</v>
      </c>
      <c r="KV294" s="381" t="str">
        <f t="shared" si="205"/>
        <v>S</v>
      </c>
      <c r="KW294" s="382">
        <f t="shared" si="189"/>
        <v>0</v>
      </c>
      <c r="KX294" s="384">
        <f t="shared" si="190"/>
        <v>0</v>
      </c>
      <c r="KY294" s="382">
        <f t="shared" ref="KY294:KZ294" si="816">KW294-KT294</f>
        <v>0</v>
      </c>
      <c r="KZ294" s="369">
        <f t="shared" si="816"/>
        <v>0</v>
      </c>
      <c r="LA294" s="385" t="str">
        <f t="shared" si="192"/>
        <v>✔</v>
      </c>
      <c r="LB294" s="340" t="str">
        <f>IFERROR(__xludf.DUMMYFUNCTION("JOIN("""",ArrayFormula(MID(KS294,LEN(KS294)-SEQUENCE(1,LEN(KS294))+1,1)))"),"S")</f>
        <v>S</v>
      </c>
      <c r="LC294" s="373" t="str">
        <f>IFERROR(__xludf.DUMMYFUNCTION("JOIN("""",ArrayFormula(MID(KV294,LEN(KV294)-SEQUENCE(1,LEN(KV294))+1,1)))"),"S")</f>
        <v>S</v>
      </c>
      <c r="LD294" s="373" t="str">
        <f t="shared" si="193"/>
        <v>S</v>
      </c>
      <c r="LE294" s="339" t="str">
        <f t="shared" si="194"/>
        <v>S</v>
      </c>
      <c r="LF294" s="386" t="str">
        <f>IFERROR(__xludf.DUMMYFUNCTION("SUBSTITUTE(SUBSTITUTE(CONCATENATE(JOIN("""",LH294:LT294)),""1"",""""),""2"","""")"),"SS")</f>
        <v>SS</v>
      </c>
      <c r="LG294" s="369" t="str">
        <f t="shared" si="195"/>
        <v>-</v>
      </c>
      <c r="LH294" s="387" t="str">
        <f>IFERROR(__xludf.DUMMYFUNCTION("IF(REGEXMATCH(LD294, ""S""), ""S"",IF(REGEXMATCH(LE294, ""S""), ""S"",""""))"),"S")</f>
        <v>S</v>
      </c>
      <c r="LI294" s="299" t="str">
        <f>IFERROR(__xludf.DUMMYFUNCTION("IF(REGEXMATCH(LD294, ""r""), ""r1"",IF(REGEXMATCH(LE294, ""r""), ""r2"",""""))"),"")</f>
        <v/>
      </c>
      <c r="LJ294" s="299" t="str">
        <f>IFERROR(__xludf.DUMMYFUNCTION("IF(REGEXMATCH(LD294, ""R""), ""R1"",IF(REGEXMATCH(LE294, ""R""), ""R2"",""""))"),"")</f>
        <v/>
      </c>
      <c r="LK294" s="299" t="str">
        <f>IFERROR(__xludf.DUMMYFUNCTION("IF(REGEXMATCH(LD294, ""g""), ""g1"",IF(REGEXMATCH(LE294, ""g""), ""g2"",""""))"),"")</f>
        <v/>
      </c>
      <c r="LL294" s="299" t="str">
        <f>IFERROR(__xludf.DUMMYFUNCTION("IF(REGEXMATCH(LD294, ""G""), ""G1"",IF(REGEXMATCH(LE294, ""G""), ""G2"",""""))"),"")</f>
        <v/>
      </c>
      <c r="LM294" s="299" t="str">
        <f>IFERROR(__xludf.DUMMYFUNCTION("IF(REGEXMATCH(LD294, ""m""), ""m1"",IF(REGEXMATCH(LE294, ""m""), ""m2"",""""))"),"")</f>
        <v/>
      </c>
      <c r="LN294" s="299" t="str">
        <f>IFERROR(__xludf.DUMMYFUNCTION("IF(REGEXMATCH(LD294, ""M""), ""M1"",IF(REGEXMATCH(LE294, ""M""), ""M2"",""""))"),"")</f>
        <v/>
      </c>
      <c r="LO294" s="299" t="str">
        <f>IFERROR(__xludf.DUMMYFUNCTION("IF(REGEXMATCH(LD294, ""P""), ""P1"",IF(REGEXMATCH(LE294, ""P""), ""P2"",""""))"),"")</f>
        <v/>
      </c>
      <c r="LP294" s="299" t="str">
        <f>IFERROR(__xludf.DUMMYFUNCTION("IF(REGEXMATCH(LD294, ""d""), ""d1"",IF(REGEXMATCH(LE294, ""d""), ""d2"",""""))"),"")</f>
        <v/>
      </c>
      <c r="LQ294" s="299" t="str">
        <f>IFERROR(__xludf.DUMMYFUNCTION("IF(REGEXMATCH(LD294, ""D""), ""D1"",IF(REGEXMATCH(LE294, ""D""), ""D2"",""""))"),"")</f>
        <v/>
      </c>
      <c r="LR294" s="299" t="str">
        <f>IFERROR(__xludf.DUMMYFUNCTION("IF(REGEXMATCH(LD294, ""n""), ""n1"",IF(REGEXMATCH(LE294, ""n""), ""n2"",""""))"),"")</f>
        <v/>
      </c>
      <c r="LS294" s="299" t="str">
        <f>IFERROR(__xludf.DUMMYFUNCTION("IF(REGEXMATCH(LD294, ""N""), ""N1"",IF(REGEXMATCH(LE294, ""N""), ""N2"",""""))"),"")</f>
        <v/>
      </c>
      <c r="LT294" s="388" t="str">
        <f>IFERROR(__xludf.DUMMYFUNCTION("IF(REGEXMATCH(LD294, ""S""), ""S"",IF(REGEXMATCH(LE294, ""S""), ""S"",""""))"),"S")</f>
        <v>S</v>
      </c>
      <c r="LU294" s="389">
        <f t="shared" si="196"/>
        <v>1</v>
      </c>
      <c r="LV294" s="378"/>
      <c r="LW294" s="369"/>
      <c r="LX294" s="369"/>
    </row>
    <row r="295" ht="18.0" customHeight="1">
      <c r="A295" s="298" t="s">
        <v>1112</v>
      </c>
      <c r="B295" s="222" t="s">
        <v>1113</v>
      </c>
      <c r="C295" s="233" t="str">
        <f t="shared" si="7"/>
        <v>SrgPdnS</v>
      </c>
      <c r="D295" s="234" t="str">
        <f>IFERROR(__xludf.DUMMYFUNCTION("IF(REGEXMATCH(C295, ""S""), ""S"","""")"),"S")</f>
        <v>S</v>
      </c>
      <c r="E295" s="236" t="str">
        <f>IFERROR(__xludf.DUMMYFUNCTION("IF(REGEXMATCH(C295, ""r""), ""r"","""")"),"r")</f>
        <v>r</v>
      </c>
      <c r="F295" s="237" t="str">
        <f>IFERROR(__xludf.DUMMYFUNCTION("IF(REGEXMATCH(C295, ""R""), ""R"","""")"),"")</f>
        <v/>
      </c>
      <c r="G295" s="237" t="str">
        <f>IFERROR(__xludf.DUMMYFUNCTION("IF(REGEXMATCH(C295, ""g""), ""g"","""")"),"g")</f>
        <v>g</v>
      </c>
      <c r="H295" s="236" t="str">
        <f>IFERROR(__xludf.DUMMYFUNCTION("IF(REGEXMATCH(C295, ""G""), ""G"","""")"),"")</f>
        <v/>
      </c>
      <c r="I295" s="236" t="str">
        <f>IFERROR(__xludf.DUMMYFUNCTION("IF(REGEXMATCH(C295, ""m""), ""m"","""")"),"")</f>
        <v/>
      </c>
      <c r="J295" s="237" t="str">
        <f>IFERROR(__xludf.DUMMYFUNCTION("IF(REGEXMATCH(C295, ""M""), ""M"","""")"),"")</f>
        <v/>
      </c>
      <c r="K295" s="236" t="str">
        <f>IFERROR(__xludf.DUMMYFUNCTION("IF(REGEXMATCH(C295, ""P""), ""P"","""")"),"P")</f>
        <v>P</v>
      </c>
      <c r="L295" s="237" t="str">
        <f>IFERROR(__xludf.DUMMYFUNCTION("IF(REGEXMATCH(C295, ""d""), ""d"","""")"),"d")</f>
        <v>d</v>
      </c>
      <c r="M295" s="236" t="str">
        <f>IFERROR(__xludf.DUMMYFUNCTION("IF(REGEXMATCH(C295, ""D""), ""D"","""")"),"")</f>
        <v/>
      </c>
      <c r="N295" s="236" t="str">
        <f>IFERROR(__xludf.DUMMYFUNCTION("IF(REGEXMATCH(C295, ""n""), ""n"","""")"),"n")</f>
        <v>n</v>
      </c>
      <c r="O295" s="237" t="str">
        <f>IFERROR(__xludf.DUMMYFUNCTION("IF(REGEXMATCH(C295, ""N""), ""N"","""")"),"")</f>
        <v/>
      </c>
      <c r="P295" s="238" t="str">
        <f>IFERROR(__xludf.DUMMYFUNCTION("IF(REGEXMATCH(C295, ""S""), ""S"","""")"),"S")</f>
        <v>S</v>
      </c>
      <c r="Q295" s="239" t="str">
        <f>IFERROR(__xludf.DUMMYFUNCTION("SUBSTITUTE(CONCATENATE(JOIN(""-"",D295:J295)),""-"","""")"),"Srg")</f>
        <v>Srg</v>
      </c>
      <c r="R295" s="229" t="str">
        <f>IFERROR(__xludf.DUMMYFUNCTION("SUBSTITUTE(CONCATENATE(JOIN(""-"",K295:P295)),""-"","""")"),"PdnS")</f>
        <v>PdnS</v>
      </c>
      <c r="S295" s="282" t="str">
        <f t="shared" si="8"/>
        <v>S-R-G-</v>
      </c>
      <c r="T295" s="282" t="str">
        <f t="shared" si="9"/>
        <v>P-D-N-S</v>
      </c>
      <c r="U295" s="237" t="str">
        <f>IFERROR(__xludf.DUMMYFUNCTION("SUBSTITUTE(JOIN(""-"",S295,T295),""--"",""-"")"),"S-R-G-P-D-N-S")</f>
        <v>S-R-G-P-D-N-S</v>
      </c>
      <c r="V295" s="309" t="str">
        <f t="shared" si="10"/>
        <v>rgdn</v>
      </c>
      <c r="W295" s="244" t="str">
        <f>IFERROR(__xludf.DUMMYFUNCTION("IF(REGEXMATCH(C295, ""S""), ""0"","""")"),"0")</f>
        <v>0</v>
      </c>
      <c r="X295" s="245" t="str">
        <f>IFERROR(__xludf.DUMMYFUNCTION("IF(REGEXMATCH(C295, ""r""), ""1"","""")"),"1")</f>
        <v>1</v>
      </c>
      <c r="Y295" s="246" t="str">
        <f>IFERROR(__xludf.DUMMYFUNCTION("IF(REGEXMATCH(C295, ""R""), ""2"","""")"),"")</f>
        <v/>
      </c>
      <c r="Z295" s="246" t="str">
        <f>IFERROR(__xludf.DUMMYFUNCTION("IF(REGEXMATCH(C295, ""g""), ""3"","""")"),"3")</f>
        <v>3</v>
      </c>
      <c r="AA295" s="245" t="str">
        <f>IFERROR(__xludf.DUMMYFUNCTION("IF(REGEXMATCH(C295, ""G""), ""4"","""")"),"")</f>
        <v/>
      </c>
      <c r="AB295" s="245" t="str">
        <f>IFERROR(__xludf.DUMMYFUNCTION("IF(REGEXMATCH(C295, ""m""), ""5"","""")"),"")</f>
        <v/>
      </c>
      <c r="AC295" s="246" t="str">
        <f>IFERROR(__xludf.DUMMYFUNCTION("IF(REGEXMATCH(C295, ""M""), ""6"","""")"),"")</f>
        <v/>
      </c>
      <c r="AD295" s="245" t="str">
        <f>IFERROR(__xludf.DUMMYFUNCTION("IF(REGEXMATCH(C295, ""P""), ""7"","""")"),"7")</f>
        <v>7</v>
      </c>
      <c r="AE295" s="246" t="str">
        <f>IFERROR(__xludf.DUMMYFUNCTION("IF(REGEXMATCH(C295, ""d""), ""8"","""")"),"8")</f>
        <v>8</v>
      </c>
      <c r="AF295" s="245" t="str">
        <f>IFERROR(__xludf.DUMMYFUNCTION("IF(REGEXMATCH(C295, ""D""), ""9"","""")"),"")</f>
        <v/>
      </c>
      <c r="AG295" s="245" t="str">
        <f>IFERROR(__xludf.DUMMYFUNCTION("IF(REGEXMATCH(C295, ""n""), ""10"","""")"),"10")</f>
        <v>10</v>
      </c>
      <c r="AH295" s="246" t="str">
        <f>IFERROR(__xludf.DUMMYFUNCTION("IF(REGEXMATCH(C295, ""N""), ""11"","""")"),"")</f>
        <v/>
      </c>
      <c r="AI295" s="249" t="str">
        <f>IFERROR(__xludf.DUMMYFUNCTION("IF(REGEXMATCH(C295, ""S""), ""0"","""")"),"0")</f>
        <v>0</v>
      </c>
      <c r="AJ295" s="313" t="str">
        <f t="shared" si="11"/>
        <v>-</v>
      </c>
      <c r="AK295" s="313" t="str">
        <f t="shared" si="12"/>
        <v>T</v>
      </c>
      <c r="AL295" s="313" t="str">
        <f t="shared" si="13"/>
        <v>-</v>
      </c>
      <c r="AM295" s="313" t="str">
        <f t="shared" si="14"/>
        <v>-</v>
      </c>
      <c r="AN295" s="313" t="str">
        <f t="shared" si="15"/>
        <v>-</v>
      </c>
      <c r="AO295" s="314" t="str">
        <f t="shared" si="16"/>
        <v>-</v>
      </c>
      <c r="AP295" s="316">
        <f t="shared" si="17"/>
        <v>1</v>
      </c>
      <c r="AQ295" s="319" t="str">
        <f t="shared" si="18"/>
        <v>-</v>
      </c>
      <c r="AR295" s="320">
        <f t="shared" si="19"/>
        <v>0</v>
      </c>
      <c r="AS295" s="250" t="str">
        <f>IFERROR(__xludf.DUMMYFUNCTION("SUBSTITUTE(SUBSTITUTE(CONCATENATE(JOIN("""",FP295:GA295)),""|"",""x""),""-"",""o"")"),"xxoxoooxxoxo")</f>
        <v>xxoxoooxxoxo</v>
      </c>
      <c r="AT295" s="323" t="str">
        <f>IFERROR(__xludf.DUMMYFUNCTION("JOIN("""",AS295,AS295)"),"xxoxoooxxoxoxxoxoooxxoxo")</f>
        <v>xxoxoooxxoxoxxoxoooxxoxo</v>
      </c>
      <c r="AU295" s="256" t="str">
        <f>IFERROR(__xludf.DUMMYFUNCTION("JOIN("""",ArrayFormula(MID(AS295,LEN(AS295)-SEQUENCE(1,LEN(AS295))+1,1)))"),"oxoxxoooxoxx")</f>
        <v>oxoxxoooxoxx</v>
      </c>
      <c r="AV295" s="256" t="str">
        <f>IFERROR(__xludf.DUMMYFUNCTION("LEFT(CONCATENATE(""x"",JOIN("""",ArrayFormula(MID(AS295,LEN(AS295)-SEQUENCE(1,LEN(AS295))+1,1)))),12)"),"xoxoxxoooxox")</f>
        <v>xoxoxxoooxox</v>
      </c>
      <c r="AW295" s="327" t="str">
        <f>IFERROR(__xludf.DUMMYFUNCTION("JOIN("""",AU295,AU295)"),"oxoxxoooxoxxoxoxxoooxoxx")</f>
        <v>oxoxxoooxoxxoxoxxoooxoxx</v>
      </c>
      <c r="AX295" s="239" t="str">
        <f>IFERROR(__xludf.DUMMYFUNCTION("IF(REGEXMATCH(AW295,AS295),""✔"",""-"")"),"-")</f>
        <v>-</v>
      </c>
      <c r="AY295" s="330" t="str">
        <f t="shared" si="20"/>
        <v>-</v>
      </c>
      <c r="AZ295" s="260" t="str">
        <f t="shared" si="21"/>
        <v>#REF!</v>
      </c>
      <c r="BA295" s="333" t="str">
        <f t="shared" si="22"/>
        <v>xxoxooo</v>
      </c>
      <c r="BB295" s="334" t="str">
        <f t="shared" si="23"/>
        <v>xxoxox</v>
      </c>
      <c r="BC295" s="335" t="str">
        <f t="shared" si="236"/>
        <v>-</v>
      </c>
      <c r="BD295" s="336" t="str">
        <f t="shared" si="25"/>
        <v>Saheli Todi: 'xxoxooo' + 'xxoxox'</v>
      </c>
      <c r="BE295" s="337">
        <f>IFERROR(__xludf.DUMMYFUNCTION("COUNTUNIQUE(FILTER(AT:AT,REGEXMATCH(AT:AT,AS295)))-1"),0.0)</f>
        <v>0</v>
      </c>
      <c r="BF295" s="261" t="str">
        <f>IFERROR(__xludf.DUMMYFUNCTION("IF(BI295=0,""(n/a)"",IF(BJ295=2,""(PAIR)"",IF(REGEXMATCH(AT295,""xoxoxxoxoxox""),""Bilawal"",IF(REGEXMATCH(AT295,""xoxoxooxoxoo""),""Bhupali"",IF(REGEXMATCH(AT295,""xoxoxxoxxoxo""),""Charukeshi"",IF(REGEXMATCH(AT295,""xoxoooxxoxxo""),""Kameshwari"",IF(REG"&amp;"EXMATCH(AT295,""xoxoxooxoxox""),""Shankara"",IF(REGEXMATCH(AT295,""xxooxoxxxoox""),""Basant"",IF(REGEXMATCH(AT295,""xoxoxxxxoxox""),""Bihag"",IF(REGEXMATCH(AT295,""xoxxxxoxoxxx""),""Pilu"",IF(REGEXMATCH(AT295,""xoxxoxoxxoox""),""Kirwani"",IF(REGEXMATCH(AT"&amp;"295,""xoxxoxoxoxxx""),""Mk.Malhar"",IF(REGEXMATCH(AT295,""xxooxxoxxoox""),""Bhairav"",IF(REGEXMATCH(AT295,""xxoxooxxxoox""),""Todi"",IF(REGEXMATCH(AT295,""xxooxoxooxox""),""Marwa"",IF(REGEXMATCH(AT295,""xxoooxoxxooo""),""Gunkali"",IF(REGEXMATCH(AT295,""xo"&amp;"xoxxoxxoox""),""Nat Bhairav"",IF(REGEXMATCH(AT295,""xoxxoooxoxoo""),""Shivranjani"",IF(REGEXMATCH(AT295,""xooxxxoxooxo""),""Jog"",IF(REGEXMATCH(AT295,""xxooxoxoxoox""),""Hemshri"",IF(REGEXMATCH(AT295,""xoooxooxoxxo""),""Kalavati"",IF(REGEXMATCH(AT295,""xx"&amp;"oxoxxoxoox""),""Kedar"",IF(REGEXMATCH(AT295,""xoxxxxoxooxx""),""Gara"",IF(REGEXMATCH(AT295,""xooxoxooxoox""),""Chandrakauns"",IF(REGEXMATCH(AT295,""xoxxxxoxxxox""),""Mand"",IF(REGEXMATCH(AT295,""xoxxxxoxoxox""),""Hanskinkini"",IF(REGEXMATCH(AT295,""xxooxx"&amp;"oxooxo""),""Lilavati"",IF(REGEXMATCH(AT295,""xooxoxoooxox""),""Rajeshwari"",IF(REGEXMATCH(AT295,""xoooxxoxoxxx""),""Khokar"",IF(REGEXMATCH(AT295,""xxooxoxxxxox""),""Maligoura"",""-""))))))))))))))))))))))))))))))"),"(n/a)")</f>
        <v>(n/a)</v>
      </c>
      <c r="BG295" s="239" t="str">
        <f t="shared" si="26"/>
        <v>#REF!</v>
      </c>
      <c r="BH295" s="239">
        <f>IFERROR(__xludf.DUMMYFUNCTION("COUNTUNIQUE(FE295:FO295)-1"),5.0)</f>
        <v>5</v>
      </c>
      <c r="BI295" s="239">
        <f>IFERROR(__xludf.DUMMYFUNCTION("COUNTUNIQUE(FILTER(AT:AT,REGEXMATCH(AT:AT,AS295)))-1"),0.0)</f>
        <v>0</v>
      </c>
      <c r="BJ295" s="239">
        <f>IFERROR(__xludf.DUMMYFUNCTION("COUNTA(FILTER(AT:AT,REGEXMATCH(AT:AT,AS295)))"),1.0)</f>
        <v>1</v>
      </c>
      <c r="BK295" s="341">
        <f>IFERROR(__xludf.DUMMYFUNCTION("COUNTA(FILTER(AT:AT,REGEXMATCH(AT:AT,AS295)))-AR295"),1.0)</f>
        <v>1</v>
      </c>
      <c r="BL295" s="276" t="str">
        <f>IFERROR(__xludf.DUMMYFUNCTION("IF(AS295=""oooooooooooo"",""-"",IF(REGEXMATCH(AT295,""xx""), ""Hemi."", ""Anhemi.""))"),"Hemi.")</f>
        <v>Hemi.</v>
      </c>
      <c r="BM295" s="282" t="str">
        <f>IFERROR(__xludf.DUMMYFUNCTION("IF(AS295=""oooooooooooo"",""-"",IF(REGEXMATCH(AT295,""xxx""), ""Cohem."", ""-""))"),"-")</f>
        <v>-</v>
      </c>
      <c r="BN295" s="282" t="str">
        <f>IFERROR(__xludf.DUMMYFUNCTION("IF(AS295=""oooooooooooo"",""-"",IF(REGEXMATCH(AT295,""xxxx""), ""Co-Co."", ""-""))"),"-")</f>
        <v>-</v>
      </c>
      <c r="BO295" s="342" t="str">
        <f>IFERROR(__xludf.DUMMYFUNCTION("IF(AS295=""oooooooooooo"",""-"",IF(REGEXMATCH(AT295,""xxxxx""), ""CCC."", ""-""))"),"-")</f>
        <v>-</v>
      </c>
      <c r="BP295" s="344" t="str">
        <f t="shared" si="27"/>
        <v>-</v>
      </c>
      <c r="BQ295" s="282" t="str">
        <f>IFERROR(__xludf.DUMMYFUNCTION("IF(REGEXMATCH(JOIN(""-"",EU295:FD295),""TRUE""),""✔"",""-"")"),"✔")</f>
        <v>✔</v>
      </c>
      <c r="BR295" s="225">
        <f t="shared" si="28"/>
        <v>1</v>
      </c>
      <c r="BS295" s="345" t="str">
        <f>IFERROR(__xludf.DUMMYFUNCTION("SUBSTITUTE(SUBSTITUTE(SUBSTITUTE(SUBSTITUTE(CONCATENATE(JOIN(""-"",GC295:GO295)),""--"",""-""),""--"",""-""),""--"",""-""),""--"",""-"")"),"1-b2-b3-5-b6-b7-8")</f>
        <v>1-b2-b3-5-b6-b7-8</v>
      </c>
      <c r="BT295" s="299" t="str">
        <f>IFERROR(__xludf.DUMMYFUNCTION("SUBSTITUTE(SUBSTITUTE(SUBSTITUTE(SUBSTITUTE(CONCATENATE(JOIN(""-"",GP295:HB295)),""--"",""-""),""--"",""-""),""--"",""-""),""--"",""-"")"),"S-R1-G2-P-D1-N2-S")</f>
        <v>S-R1-G2-P-D1-N2-S</v>
      </c>
      <c r="BU295" s="348" t="str">
        <f t="shared" si="29"/>
        <v>C-Db-Eb-G-Ab-Bb-C</v>
      </c>
      <c r="BV295" s="349" t="str">
        <f t="shared" si="30"/>
        <v>SRGmMDNS</v>
      </c>
      <c r="BW295" s="350">
        <f t="shared" si="31"/>
        <v>1</v>
      </c>
      <c r="BX295" s="351">
        <f t="shared" si="32"/>
        <v>1</v>
      </c>
      <c r="BY295" s="352" t="s">
        <v>275</v>
      </c>
      <c r="BZ295" s="309" t="str">
        <f>IFERROR(__xludf.DUMMYFUNCTION("IF(REGEXMATCH(C295, ""S""), ""x"",""x"")"),"x")</f>
        <v>x</v>
      </c>
      <c r="CA295" s="245" t="str">
        <f>IFERROR(__xludf.DUMMYFUNCTION("IF(REGEXMATCH(C295, ""r""), ""o"",""x"")"),"o")</f>
        <v>o</v>
      </c>
      <c r="CB295" s="246" t="str">
        <f>IFERROR(__xludf.DUMMYFUNCTION("IF(REGEXMATCH(C295, ""R""), ""o"",""x"")"),"x")</f>
        <v>x</v>
      </c>
      <c r="CC295" s="246" t="str">
        <f>IFERROR(__xludf.DUMMYFUNCTION("IF(REGEXMATCH(C295, ""g""), ""o"",""x"")"),"o")</f>
        <v>o</v>
      </c>
      <c r="CD295" s="245" t="str">
        <f>IFERROR(__xludf.DUMMYFUNCTION("IF(REGEXMATCH(C295, ""G""), ""o"",""x"")"),"x")</f>
        <v>x</v>
      </c>
      <c r="CE295" s="245" t="str">
        <f>IFERROR(__xludf.DUMMYFUNCTION("IF(REGEXMATCH(C295, ""m""), ""o"",""x"")"),"x")</f>
        <v>x</v>
      </c>
      <c r="CF295" s="246" t="str">
        <f>IFERROR(__xludf.DUMMYFUNCTION("IF(REGEXMATCH(C295, ""M""), ""o"",""x"")"),"x")</f>
        <v>x</v>
      </c>
      <c r="CG295" s="245" t="str">
        <f>IFERROR(__xludf.DUMMYFUNCTION("IF(REGEXMATCH(C295, ""P""), ""o"",""x"")"),"o")</f>
        <v>o</v>
      </c>
      <c r="CH295" s="246" t="str">
        <f>IFERROR(__xludf.DUMMYFUNCTION("IF(REGEXMATCH(C295, ""d""), ""o"",""x"")"),"o")</f>
        <v>o</v>
      </c>
      <c r="CI295" s="245" t="str">
        <f>IFERROR(__xludf.DUMMYFUNCTION("IF(REGEXMATCH(C295, ""D""), ""o"",""x"")"),"x")</f>
        <v>x</v>
      </c>
      <c r="CJ295" s="245" t="str">
        <f>IFERROR(__xludf.DUMMYFUNCTION("IF(REGEXMATCH(C295, ""n""), ""o"",""x"")"),"o")</f>
        <v>o</v>
      </c>
      <c r="CK295" s="245" t="str">
        <f>IFERROR(__xludf.DUMMYFUNCTION("IF(REGEXMATCH(C295, ""N""), ""o"",""x"")"),"x")</f>
        <v>x</v>
      </c>
      <c r="CL295" s="356" t="str">
        <f>IFERROR(__xludf.DUMMYFUNCTION("IF(REGEXMATCH(C295, ""S""), ""x"",""x"")"),"x")</f>
        <v>x</v>
      </c>
      <c r="CM295" s="357" t="str">
        <f t="shared" si="33"/>
        <v>xoxoxxxooxox</v>
      </c>
      <c r="CN295" s="358">
        <f t="shared" si="34"/>
        <v>1</v>
      </c>
      <c r="CO295" s="246" t="str">
        <f>IFERROR(__xludf.DUMMYFUNCTION("IF(REGEXMATCH($C295, ""S""), ""S"",""S"")"),"S")</f>
        <v>S</v>
      </c>
      <c r="CP295" s="246" t="str">
        <f>IFERROR(__xludf.DUMMYFUNCTION("IF(REGEXMATCH($C295, ""r""), """",""r"")"),"")</f>
        <v/>
      </c>
      <c r="CQ295" s="246" t="str">
        <f>IFERROR(__xludf.DUMMYFUNCTION("IF(REGEXMATCH($C295, ""R""), """",""R"")"),"R")</f>
        <v>R</v>
      </c>
      <c r="CR295" s="246" t="str">
        <f>IFERROR(__xludf.DUMMYFUNCTION("IF(REGEXMATCH($C295, ""g""), """",""g"")"),"")</f>
        <v/>
      </c>
      <c r="CS295" s="246" t="str">
        <f>IFERROR(__xludf.DUMMYFUNCTION("IF(REGEXMATCH($C295, ""G""), """",""G"")"),"G")</f>
        <v>G</v>
      </c>
      <c r="CT295" s="246" t="str">
        <f>IFERROR(__xludf.DUMMYFUNCTION("IF(REGEXMATCH($C295, ""m""), """",""m"")"),"m")</f>
        <v>m</v>
      </c>
      <c r="CU295" s="246" t="str">
        <f>IFERROR(__xludf.DUMMYFUNCTION("IF(REGEXMATCH($C295, ""M""), """",""M"")"),"M")</f>
        <v>M</v>
      </c>
      <c r="CV295" s="246" t="str">
        <f>IFERROR(__xludf.DUMMYFUNCTION("IF(REGEXMATCH($C295, ""P""), """",""P"")"),"")</f>
        <v/>
      </c>
      <c r="CW295" s="246" t="str">
        <f>IFERROR(__xludf.DUMMYFUNCTION("IF(REGEXMATCH($C295, ""d""), """",""d"")"),"")</f>
        <v/>
      </c>
      <c r="CX295" s="246" t="str">
        <f>IFERROR(__xludf.DUMMYFUNCTION("IF(REGEXMATCH($C295, ""D""), """",""D"")"),"D")</f>
        <v>D</v>
      </c>
      <c r="CY295" s="246" t="str">
        <f>IFERROR(__xludf.DUMMYFUNCTION("IF(REGEXMATCH($C295, ""n""), """",""n"")"),"")</f>
        <v/>
      </c>
      <c r="CZ295" s="246" t="str">
        <f>IFERROR(__xludf.DUMMYFUNCTION("IF(REGEXMATCH($C295, ""N""), """",""N"")"),"N")</f>
        <v>N</v>
      </c>
      <c r="DA295" s="246" t="str">
        <f>IFERROR(__xludf.DUMMYFUNCTION("IF(REGEXMATCH($C295, ""S""), ""S"",""S"")"),"S")</f>
        <v>S</v>
      </c>
      <c r="DB295" s="362" t="str">
        <f>IFERROR(__xludf.DUMMYFUNCTION("JOIN("""",CO295:DA295,"""","""")"),"SRGmMDNS")</f>
        <v>SRGmMDNS</v>
      </c>
      <c r="DC295" s="363"/>
      <c r="DD295" s="301" t="str">
        <f t="shared" si="35"/>
        <v>#REF!</v>
      </c>
      <c r="DE295" s="302" t="str">
        <f t="shared" si="36"/>
        <v>#REF!</v>
      </c>
      <c r="DF295" s="301" t="str">
        <f t="shared" ref="DF295:DG295" si="817">SUBSTITUTE(S295,"-","")</f>
        <v>SRG</v>
      </c>
      <c r="DG295" s="301" t="str">
        <f t="shared" si="817"/>
        <v>PDNS</v>
      </c>
      <c r="DH295" s="302" t="str">
        <f t="shared" si="38"/>
        <v>(n/a)</v>
      </c>
      <c r="DI295" s="301" t="str">
        <f t="shared" si="39"/>
        <v>Hemi.</v>
      </c>
      <c r="DJ295" s="364" t="str">
        <f t="shared" si="40"/>
        <v>-</v>
      </c>
      <c r="DK295" s="306" t="str">
        <f t="shared" si="41"/>
        <v>-</v>
      </c>
      <c r="DL295" s="366" t="str">
        <f t="shared" si="42"/>
        <v>✔</v>
      </c>
      <c r="DM295" s="308" t="str">
        <f t="shared" si="43"/>
        <v>-</v>
      </c>
      <c r="DN295" s="306" t="str">
        <f t="shared" si="44"/>
        <v>-</v>
      </c>
      <c r="DO295" s="306" t="str">
        <f t="shared" si="45"/>
        <v>✔</v>
      </c>
      <c r="DP295" s="367" t="str">
        <f t="shared" si="46"/>
        <v>-</v>
      </c>
      <c r="DQ295" s="310" t="str">
        <f t="shared" si="47"/>
        <v>-</v>
      </c>
      <c r="DR295" s="310" t="str">
        <f t="shared" si="48"/>
        <v>-</v>
      </c>
      <c r="DS295" s="310" t="str">
        <f t="shared" si="49"/>
        <v>-</v>
      </c>
      <c r="DT295" s="310" t="str">
        <f t="shared" si="50"/>
        <v>-</v>
      </c>
      <c r="DU295" s="370" t="str">
        <f t="shared" si="51"/>
        <v>-</v>
      </c>
      <c r="DV295" s="306" t="str">
        <f t="shared" si="52"/>
        <v>-</v>
      </c>
      <c r="DW295" s="306" t="str">
        <f t="shared" si="53"/>
        <v>-</v>
      </c>
      <c r="DX295" s="306" t="str">
        <f t="shared" si="54"/>
        <v>✔</v>
      </c>
      <c r="DY295" s="306" t="str">
        <f t="shared" si="55"/>
        <v>-</v>
      </c>
      <c r="DZ295" s="306" t="str">
        <f t="shared" si="56"/>
        <v>-</v>
      </c>
      <c r="EA295" s="367" t="str">
        <f t="shared" si="57"/>
        <v>-</v>
      </c>
      <c r="EB295" s="310" t="str">
        <f>IFERROR(__xludf.DUMMYFUNCTION("IF(REGEXMATCH(AW295,AS295),""✔"",""-"")"),"-")</f>
        <v>-</v>
      </c>
      <c r="EC295" s="310" t="str">
        <f t="shared" si="58"/>
        <v>#REF!</v>
      </c>
      <c r="ED295" s="370" t="str">
        <f t="shared" si="59"/>
        <v>-</v>
      </c>
      <c r="EE295" s="340" t="str">
        <f t="shared" si="60"/>
        <v>S-r-g-P-d-n-S</v>
      </c>
      <c r="EF295" s="371" t="str">
        <f>IFERROR(__xludf.DUMMYFUNCTION("CONCATENATE(JOIN("""",HC295:HO295))"),"SRGmDNS")</f>
        <v>SRGmDNS</v>
      </c>
      <c r="EG295" s="372">
        <f t="shared" si="61"/>
        <v>2</v>
      </c>
      <c r="EH295" s="373" t="str">
        <f>IFERROR(__xludf.DUMMYFUNCTION("CONCATENATE(JOIN("""",JC295:JO295))"),"Pa, ni, ")</f>
        <v>Pa, ni, </v>
      </c>
      <c r="EI295" s="322">
        <f t="shared" si="62"/>
        <v>0</v>
      </c>
      <c r="EJ295" s="374" t="str">
        <f>IFERROR(__xludf.DUMMYFUNCTION("CONCATENATE(JOIN("""",KC295:KO295))"),"")</f>
        <v/>
      </c>
      <c r="EK295" s="325" t="str">
        <f t="shared" si="63"/>
        <v>S-R1-G2-P-D1-N2-S</v>
      </c>
      <c r="EL295" s="326" t="str">
        <f t="shared" si="64"/>
        <v>1-b2-b3-5-b6-b7-8</v>
      </c>
      <c r="EM295" s="318" t="str">
        <f t="shared" si="65"/>
        <v>#REF!</v>
      </c>
      <c r="EN295" s="328" t="str">
        <f>IFERROR(__xludf.DUMMYFUNCTION("SUBSTITUTE(SUBSTITUTE(SUBSTITUTE(SUBSTITUTE(CONCATENATE(JOIN("" "",HP295:IB295)),""  "","" ""),""  "","" ""),""  "","" ""),""  "","" "")"),"o o • o • • • o o • o • o")</f>
        <v>o o • o • • • o o • o • o</v>
      </c>
      <c r="EO295" s="368" t="str">
        <f t="shared" si="66"/>
        <v>Sa-Pa</v>
      </c>
      <c r="EP295" s="339" t="str">
        <f t="shared" si="67"/>
        <v>-</v>
      </c>
      <c r="EQ295" s="339" t="str">
        <f t="shared" si="68"/>
        <v>Sa-Pa</v>
      </c>
      <c r="ER295" s="339" t="str">
        <f t="shared" si="69"/>
        <v>Sa-Pa</v>
      </c>
      <c r="ES295" s="340" t="str">
        <f t="shared" si="70"/>
        <v>-</v>
      </c>
      <c r="ET295" s="363"/>
      <c r="EU295" s="376" t="b">
        <f>IFERROR(__xludf.DUMMYFUNCTION("arrayformula(sum(--REGEXMATCH(""SRGMPDNS"",split(REGEXREPLACE(C295,""(.)"",""$1~""),""~""))))=len(C295)
"),FALSE)</f>
        <v>0</v>
      </c>
      <c r="EV295" s="290" t="b">
        <f>IFERROR(__xludf.DUMMYFUNCTION("arrayformula(sum(--REGEXMATCH(""SRGmPDNS"",split(REGEXREPLACE(C295,""(.)"",""$1~""),""~""))))=len(C295)"),FALSE)</f>
        <v>0</v>
      </c>
      <c r="EW295" s="290" t="b">
        <f>IFERROR(__xludf.DUMMYFUNCTION("arrayformula(sum(--REGEXMATCH(""SRGmPDnS"",split(REGEXREPLACE(C295,""(.)"",""$1~""),""~""))))=len(C295)"),FALSE)</f>
        <v>0</v>
      </c>
      <c r="EX295" s="290" t="b">
        <f>IFERROR(__xludf.DUMMYFUNCTION("arrayformula(sum(--REGEXMATCH(""SRgmPDnS"",split(REGEXREPLACE(C295,""(.)"",""$1~""),""~""))))=len(C295)"),FALSE)</f>
        <v>0</v>
      </c>
      <c r="EY295" s="290" t="b">
        <f>IFERROR(__xludf.DUMMYFUNCTION("arrayformula(sum(--REGEXMATCH(""SRgmPdnS"",split(REGEXREPLACE(C295,""(.)"",""$1~""),""~""))))=len(C295)"),FALSE)</f>
        <v>0</v>
      </c>
      <c r="EZ295" s="290" t="b">
        <f>IFERROR(__xludf.DUMMYFUNCTION("arrayformula(sum(--REGEXMATCH(""SrgmPdnS"",split(REGEXREPLACE(C295,""(.)"",""$1~""),""~""))))=len(C295)"),TRUE)</f>
        <v>1</v>
      </c>
      <c r="FA295" s="290" t="b">
        <f>IFERROR(__xludf.DUMMYFUNCTION("arrayformula(sum(--REGEXMATCH(""SrGmPdNS"",split(REGEXREPLACE(C295,""(.)"",""$1~""),""~""))))=len(C295)"),FALSE)</f>
        <v>0</v>
      </c>
      <c r="FB295" s="290" t="b">
        <f>IFERROR(__xludf.DUMMYFUNCTION("arrayformula(sum(--REGEXMATCH(""SrGMPDNS"",split(REGEXREPLACE(C295,""(.)"",""$1~""),""~""))))=len(C295)"),FALSE)</f>
        <v>0</v>
      </c>
      <c r="FC295" s="290" t="b">
        <f>IFERROR(__xludf.DUMMYFUNCTION("arrayformula(sum(--REGEXMATCH(""SrGMPdNS"",split(REGEXREPLACE(C295,""(.)"",""$1~""),""~""))))=len(C295)"),FALSE)</f>
        <v>0</v>
      </c>
      <c r="FD295" s="377" t="b">
        <f>IFERROR(__xludf.DUMMYFUNCTION("arrayformula(sum(--REGEXMATCH(""SrgMPdNS"",split(REGEXREPLACE(C295,""(.)"",""$1~""),""~""))))=len(C295)"),FALSE)</f>
        <v>0</v>
      </c>
      <c r="FE295" s="269" t="str">
        <f t="shared" si="71"/>
        <v>xoxoooxxoxo</v>
      </c>
      <c r="FF295" s="269" t="str">
        <f t="shared" si="72"/>
        <v>-</v>
      </c>
      <c r="FG295" s="271" t="str">
        <f t="shared" si="73"/>
        <v>xoooxxoxoxx</v>
      </c>
      <c r="FH295" s="269" t="str">
        <f t="shared" si="74"/>
        <v>-</v>
      </c>
      <c r="FI295" s="271" t="str">
        <f t="shared" si="75"/>
        <v>-</v>
      </c>
      <c r="FJ295" s="271" t="str">
        <f t="shared" si="76"/>
        <v>-</v>
      </c>
      <c r="FK295" s="271" t="str">
        <f t="shared" si="77"/>
        <v>xxoxoxxoxoo</v>
      </c>
      <c r="FL295" s="271" t="str">
        <f t="shared" si="78"/>
        <v>xoxoxxoxooo</v>
      </c>
      <c r="FM295" s="271" t="str">
        <f t="shared" si="79"/>
        <v>-</v>
      </c>
      <c r="FN295" s="271" t="str">
        <f t="shared" si="80"/>
        <v>xoxxoxoooxx</v>
      </c>
      <c r="FO295" s="274" t="str">
        <f t="shared" si="81"/>
        <v>-</v>
      </c>
      <c r="FP295" s="234" t="str">
        <f t="shared" si="82"/>
        <v>|</v>
      </c>
      <c r="FQ295" s="236" t="str">
        <f t="shared" si="83"/>
        <v>|</v>
      </c>
      <c r="FR295" s="237" t="str">
        <f t="shared" si="84"/>
        <v>-</v>
      </c>
      <c r="FS295" s="236" t="str">
        <f t="shared" si="85"/>
        <v>|</v>
      </c>
      <c r="FT295" s="237" t="str">
        <f t="shared" si="86"/>
        <v>-</v>
      </c>
      <c r="FU295" s="236" t="str">
        <f t="shared" si="87"/>
        <v>-</v>
      </c>
      <c r="FV295" s="237" t="str">
        <f t="shared" si="88"/>
        <v>-</v>
      </c>
      <c r="FW295" s="236" t="str">
        <f t="shared" si="89"/>
        <v>|</v>
      </c>
      <c r="FX295" s="237" t="str">
        <f t="shared" si="90"/>
        <v>|</v>
      </c>
      <c r="FY295" s="236" t="str">
        <f t="shared" si="91"/>
        <v>-</v>
      </c>
      <c r="FZ295" s="237" t="str">
        <f t="shared" si="92"/>
        <v>|</v>
      </c>
      <c r="GA295" s="236" t="str">
        <f t="shared" si="93"/>
        <v>-</v>
      </c>
      <c r="GB295" s="238" t="str">
        <f t="shared" si="94"/>
        <v>|</v>
      </c>
      <c r="GC295" s="244" t="str">
        <f>IFERROR(__xludf.DUMMYFUNCTION("IF(REGEXMATCH(C295, ""S""), ""1"","""")"),"1")</f>
        <v>1</v>
      </c>
      <c r="GD295" s="245" t="str">
        <f>IFERROR(__xludf.DUMMYFUNCTION("IF(REGEXMATCH(C295, ""r""), ""b2"","""")"),"b2")</f>
        <v>b2</v>
      </c>
      <c r="GE295" s="246" t="str">
        <f>IFERROR(__xludf.DUMMYFUNCTION("IF(REGEXMATCH(C295, ""R""), ""2"","""")"),"")</f>
        <v/>
      </c>
      <c r="GF295" s="246" t="str">
        <f>IFERROR(__xludf.DUMMYFUNCTION("IF(REGEXMATCH(C295, ""g""), ""b3"","""")"),"b3")</f>
        <v>b3</v>
      </c>
      <c r="GG295" s="245" t="str">
        <f>IFERROR(__xludf.DUMMYFUNCTION("IF(REGEXMATCH(C295, ""G""), ""3"","""")"),"")</f>
        <v/>
      </c>
      <c r="GH295" s="245" t="str">
        <f>IFERROR(__xludf.DUMMYFUNCTION("IF(REGEXMATCH(C295, ""m""), ""4"","""")"),"")</f>
        <v/>
      </c>
      <c r="GI295" s="246" t="str">
        <f>IFERROR(__xludf.DUMMYFUNCTION("IF(REGEXMATCH(C295, ""M""), ""#4"","""")"),"")</f>
        <v/>
      </c>
      <c r="GJ295" s="245" t="str">
        <f>IFERROR(__xludf.DUMMYFUNCTION("IF(REGEXMATCH(C295, ""P""), ""5"","""")"),"5")</f>
        <v>5</v>
      </c>
      <c r="GK295" s="246" t="str">
        <f>IFERROR(__xludf.DUMMYFUNCTION("IF(REGEXMATCH(C295, ""d""), ""b6"","""")"),"b6")</f>
        <v>b6</v>
      </c>
      <c r="GL295" s="245" t="str">
        <f>IFERROR(__xludf.DUMMYFUNCTION("IF(REGEXMATCH(C295, ""D""), ""6"","""")"),"")</f>
        <v/>
      </c>
      <c r="GM295" s="245" t="str">
        <f>IFERROR(__xludf.DUMMYFUNCTION("IF(REGEXMATCH(C295, ""n""), ""b7"","""")"),"b7")</f>
        <v>b7</v>
      </c>
      <c r="GN295" s="246" t="str">
        <f>IFERROR(__xludf.DUMMYFUNCTION("IF(REGEXMATCH(C295, ""N""), ""7"","""")"),"")</f>
        <v/>
      </c>
      <c r="GO295" s="249" t="str">
        <f>IFERROR(__xludf.DUMMYFUNCTION("IF(REGEXMATCH(C295, ""S""), ""8"","""")"),"8")</f>
        <v>8</v>
      </c>
      <c r="GP295" s="244" t="str">
        <f>IFERROR(__xludf.DUMMYFUNCTION("IF(REGEXMATCH(C295, ""S""), ""S"","""")"),"S")</f>
        <v>S</v>
      </c>
      <c r="GQ295" s="294" t="str">
        <f>IFERROR(__xludf.DUMMYFUNCTION("IF(REGEXMATCH(C295, ""r""), ""R1"","""")"),"R1")</f>
        <v>R1</v>
      </c>
      <c r="GR295" s="295" t="str">
        <f>IFERROR(__xludf.DUMMYFUNCTION("IF(REGEXMATCH(C295, ""R""), ""R2"","""")"),"")</f>
        <v/>
      </c>
      <c r="GS295" s="295" t="str">
        <f>IFERROR(__xludf.DUMMYFUNCTION("IF(REGEXMATCH(C295, ""g""), ""G2"","""")"),"G2")</f>
        <v>G2</v>
      </c>
      <c r="GT295" s="294" t="str">
        <f>IFERROR(__xludf.DUMMYFUNCTION("IF(REGEXMATCH(C295, ""G""), ""G3"","""")"),"")</f>
        <v/>
      </c>
      <c r="GU295" s="294" t="str">
        <f>IFERROR(__xludf.DUMMYFUNCTION("IF(REGEXMATCH(C295, ""m""), ""M1"","""")"),"")</f>
        <v/>
      </c>
      <c r="GV295" s="295" t="str">
        <f>IFERROR(__xludf.DUMMYFUNCTION("IF(REGEXMATCH(C295, ""M""), ""M2"","""")"),"")</f>
        <v/>
      </c>
      <c r="GW295" s="294" t="str">
        <f>IFERROR(__xludf.DUMMYFUNCTION("IF(REGEXMATCH(C295, ""P""), ""P"","""")"),"P")</f>
        <v>P</v>
      </c>
      <c r="GX295" s="295" t="str">
        <f>IFERROR(__xludf.DUMMYFUNCTION("IF(REGEXMATCH(C295, ""d""), ""D1"","""")"),"D1")</f>
        <v>D1</v>
      </c>
      <c r="GY295" s="294" t="str">
        <f>IFERROR(__xludf.DUMMYFUNCTION("IF(REGEXMATCH(C295, ""D""), ""D2"","""")"),"")</f>
        <v/>
      </c>
      <c r="GZ295" s="294" t="str">
        <f>IFERROR(__xludf.DUMMYFUNCTION("IF(REGEXMATCH(C295, ""n""), ""N2"","""")"),"N2")</f>
        <v>N2</v>
      </c>
      <c r="HA295" s="295" t="str">
        <f>IFERROR(__xludf.DUMMYFUNCTION("IF(REGEXMATCH(C295, ""N""), ""N3"","""")"),"")</f>
        <v/>
      </c>
      <c r="HB295" s="249" t="str">
        <f>IFERROR(__xludf.DUMMYFUNCTION("IF(REGEXMATCH(C295, ""S""), ""S"","""")"),"S")</f>
        <v>S</v>
      </c>
      <c r="HC295" s="331" t="str">
        <f t="shared" si="95"/>
        <v>S</v>
      </c>
      <c r="HD295" s="332" t="str">
        <f t="shared" si="96"/>
        <v/>
      </c>
      <c r="HE295" s="332" t="str">
        <f t="shared" si="97"/>
        <v>R</v>
      </c>
      <c r="HF295" s="332" t="str">
        <f t="shared" si="98"/>
        <v/>
      </c>
      <c r="HG295" s="332" t="str">
        <f t="shared" si="99"/>
        <v>G</v>
      </c>
      <c r="HH295" s="332" t="str">
        <f t="shared" si="100"/>
        <v>m</v>
      </c>
      <c r="HI295" s="332" t="str">
        <f t="shared" si="101"/>
        <v/>
      </c>
      <c r="HJ295" s="332" t="str">
        <f t="shared" si="102"/>
        <v/>
      </c>
      <c r="HK295" s="332" t="str">
        <f t="shared" si="103"/>
        <v/>
      </c>
      <c r="HL295" s="332" t="str">
        <f t="shared" si="104"/>
        <v>D</v>
      </c>
      <c r="HM295" s="332" t="str">
        <f t="shared" si="105"/>
        <v/>
      </c>
      <c r="HN295" s="332" t="str">
        <f t="shared" si="106"/>
        <v>N</v>
      </c>
      <c r="HO295" s="343" t="str">
        <f t="shared" si="107"/>
        <v>S</v>
      </c>
      <c r="HP295" s="331" t="str">
        <f t="shared" si="108"/>
        <v>o</v>
      </c>
      <c r="HQ295" s="332" t="str">
        <f t="shared" si="109"/>
        <v>o</v>
      </c>
      <c r="HR295" s="332" t="str">
        <f t="shared" si="110"/>
        <v>•</v>
      </c>
      <c r="HS295" s="332" t="str">
        <f t="shared" si="111"/>
        <v>o</v>
      </c>
      <c r="HT295" s="332" t="str">
        <f t="shared" si="112"/>
        <v>•</v>
      </c>
      <c r="HU295" s="332" t="str">
        <f t="shared" si="113"/>
        <v>•</v>
      </c>
      <c r="HV295" s="332" t="str">
        <f t="shared" si="114"/>
        <v>•</v>
      </c>
      <c r="HW295" s="332" t="str">
        <f t="shared" si="115"/>
        <v>o</v>
      </c>
      <c r="HX295" s="332" t="str">
        <f t="shared" si="116"/>
        <v>o</v>
      </c>
      <c r="HY295" s="332" t="str">
        <f t="shared" si="117"/>
        <v>•</v>
      </c>
      <c r="HZ295" s="332" t="str">
        <f t="shared" si="118"/>
        <v>o</v>
      </c>
      <c r="IA295" s="332" t="str">
        <f t="shared" si="119"/>
        <v>•</v>
      </c>
      <c r="IB295" s="338" t="str">
        <f t="shared" si="120"/>
        <v>o</v>
      </c>
      <c r="IC295" s="331" t="str">
        <f t="shared" si="121"/>
        <v>•</v>
      </c>
      <c r="ID295" s="332" t="str">
        <f t="shared" si="122"/>
        <v>•</v>
      </c>
      <c r="IE295" s="332" t="str">
        <f t="shared" si="123"/>
        <v>o</v>
      </c>
      <c r="IF295" s="332" t="str">
        <f t="shared" si="124"/>
        <v>•</v>
      </c>
      <c r="IG295" s="332" t="str">
        <f t="shared" si="125"/>
        <v>o</v>
      </c>
      <c r="IH295" s="332" t="str">
        <f t="shared" si="126"/>
        <v>o</v>
      </c>
      <c r="II295" s="332" t="str">
        <f t="shared" si="127"/>
        <v>o</v>
      </c>
      <c r="IJ295" s="332" t="str">
        <f t="shared" si="128"/>
        <v>•</v>
      </c>
      <c r="IK295" s="332" t="str">
        <f t="shared" si="129"/>
        <v>•</v>
      </c>
      <c r="IL295" s="332" t="str">
        <f t="shared" si="130"/>
        <v>o</v>
      </c>
      <c r="IM295" s="332" t="str">
        <f t="shared" si="131"/>
        <v>•</v>
      </c>
      <c r="IN295" s="332" t="str">
        <f t="shared" si="132"/>
        <v>o</v>
      </c>
      <c r="IO295" s="338" t="str">
        <f t="shared" si="133"/>
        <v>•</v>
      </c>
      <c r="IP295" s="346" t="b">
        <f t="shared" si="134"/>
        <v>0</v>
      </c>
      <c r="IQ295" s="347" t="b">
        <f t="shared" si="135"/>
        <v>0</v>
      </c>
      <c r="IR295" s="347" t="b">
        <f t="shared" si="136"/>
        <v>0</v>
      </c>
      <c r="IS295" s="347" t="b">
        <f t="shared" si="137"/>
        <v>0</v>
      </c>
      <c r="IT295" s="347" t="b">
        <f t="shared" si="138"/>
        <v>0</v>
      </c>
      <c r="IU295" s="347" t="b">
        <f t="shared" si="139"/>
        <v>0</v>
      </c>
      <c r="IV295" s="347" t="b">
        <f t="shared" si="140"/>
        <v>0</v>
      </c>
      <c r="IW295" s="347" t="b">
        <f t="shared" si="141"/>
        <v>1</v>
      </c>
      <c r="IX295" s="347" t="b">
        <f t="shared" si="142"/>
        <v>0</v>
      </c>
      <c r="IY295" s="347" t="b">
        <f t="shared" si="143"/>
        <v>0</v>
      </c>
      <c r="IZ295" s="347" t="b">
        <f t="shared" si="144"/>
        <v>1</v>
      </c>
      <c r="JA295" s="347" t="b">
        <f t="shared" si="145"/>
        <v>0</v>
      </c>
      <c r="JB295" s="353" t="b">
        <f t="shared" si="146"/>
        <v>0</v>
      </c>
      <c r="JC295" s="354" t="str">
        <f t="shared" si="147"/>
        <v/>
      </c>
      <c r="JD295" s="355" t="str">
        <f t="shared" si="148"/>
        <v/>
      </c>
      <c r="JE295" s="355" t="str">
        <f t="shared" si="149"/>
        <v/>
      </c>
      <c r="JF295" s="355" t="str">
        <f t="shared" si="150"/>
        <v/>
      </c>
      <c r="JG295" s="355" t="str">
        <f t="shared" si="151"/>
        <v/>
      </c>
      <c r="JH295" s="355" t="str">
        <f t="shared" si="152"/>
        <v/>
      </c>
      <c r="JI295" s="355" t="str">
        <f t="shared" si="153"/>
        <v/>
      </c>
      <c r="JJ295" s="355" t="str">
        <f t="shared" si="154"/>
        <v>Pa, </v>
      </c>
      <c r="JK295" s="355" t="str">
        <f t="shared" si="155"/>
        <v/>
      </c>
      <c r="JL295" s="355" t="str">
        <f t="shared" si="156"/>
        <v/>
      </c>
      <c r="JM295" s="355" t="str">
        <f t="shared" si="157"/>
        <v>ni, </v>
      </c>
      <c r="JN295" s="355" t="str">
        <f t="shared" si="158"/>
        <v/>
      </c>
      <c r="JO295" s="359" t="str">
        <f t="shared" si="159"/>
        <v/>
      </c>
      <c r="JP295" s="346" t="b">
        <f t="shared" si="160"/>
        <v>0</v>
      </c>
      <c r="JQ295" s="347" t="b">
        <f t="shared" si="161"/>
        <v>0</v>
      </c>
      <c r="JR295" s="347" t="b">
        <f t="shared" si="162"/>
        <v>0</v>
      </c>
      <c r="JS295" s="347" t="b">
        <f t="shared" si="163"/>
        <v>0</v>
      </c>
      <c r="JT295" s="347" t="b">
        <f t="shared" si="164"/>
        <v>0</v>
      </c>
      <c r="JU295" s="347" t="b">
        <f t="shared" si="165"/>
        <v>0</v>
      </c>
      <c r="JV295" s="347" t="b">
        <f t="shared" si="166"/>
        <v>0</v>
      </c>
      <c r="JW295" s="347" t="b">
        <f t="shared" si="167"/>
        <v>0</v>
      </c>
      <c r="JX295" s="347" t="b">
        <f t="shared" si="168"/>
        <v>0</v>
      </c>
      <c r="JY295" s="347" t="b">
        <f t="shared" si="169"/>
        <v>0</v>
      </c>
      <c r="JZ295" s="347" t="b">
        <f t="shared" si="170"/>
        <v>0</v>
      </c>
      <c r="KA295" s="347" t="b">
        <f t="shared" si="171"/>
        <v>0</v>
      </c>
      <c r="KB295" s="365" t="b">
        <f t="shared" si="172"/>
        <v>0</v>
      </c>
      <c r="KC295" s="354" t="str">
        <f t="shared" si="173"/>
        <v/>
      </c>
      <c r="KD295" s="355" t="str">
        <f t="shared" si="174"/>
        <v/>
      </c>
      <c r="KE295" s="355" t="str">
        <f t="shared" si="175"/>
        <v/>
      </c>
      <c r="KF295" s="355" t="str">
        <f t="shared" si="176"/>
        <v/>
      </c>
      <c r="KG295" s="355" t="str">
        <f t="shared" si="177"/>
        <v/>
      </c>
      <c r="KH295" s="355" t="str">
        <f t="shared" si="178"/>
        <v/>
      </c>
      <c r="KI295" s="355" t="str">
        <f t="shared" si="179"/>
        <v/>
      </c>
      <c r="KJ295" s="355" t="str">
        <f t="shared" si="180"/>
        <v/>
      </c>
      <c r="KK295" s="355" t="str">
        <f t="shared" si="181"/>
        <v/>
      </c>
      <c r="KL295" s="355" t="str">
        <f t="shared" si="182"/>
        <v/>
      </c>
      <c r="KM295" s="355" t="str">
        <f t="shared" si="183"/>
        <v/>
      </c>
      <c r="KN295" s="355" t="str">
        <f t="shared" si="184"/>
        <v/>
      </c>
      <c r="KO295" s="359"/>
      <c r="KP295" s="378"/>
      <c r="KQ295" s="379" t="s">
        <v>9</v>
      </c>
      <c r="KR295" s="380" t="s">
        <v>1477</v>
      </c>
      <c r="KS295" s="381" t="s">
        <v>9</v>
      </c>
      <c r="KT295" s="382">
        <f t="shared" si="186"/>
        <v>0</v>
      </c>
      <c r="KU295" s="383">
        <f t="shared" si="187"/>
        <v>0</v>
      </c>
      <c r="KV295" s="381" t="str">
        <f t="shared" si="205"/>
        <v>S-n-d-P-g-r-S</v>
      </c>
      <c r="KW295" s="382">
        <f t="shared" si="189"/>
        <v>6</v>
      </c>
      <c r="KX295" s="384">
        <f t="shared" si="190"/>
        <v>6</v>
      </c>
      <c r="KY295" s="382">
        <f t="shared" ref="KY295:KZ295" si="818">KW295-KT295</f>
        <v>6</v>
      </c>
      <c r="KZ295" s="369">
        <f t="shared" si="818"/>
        <v>6</v>
      </c>
      <c r="LA295" s="385" t="str">
        <f t="shared" si="192"/>
        <v>-</v>
      </c>
      <c r="LB295" s="340" t="str">
        <f>IFERROR(__xludf.DUMMYFUNCTION("JOIN("""",ArrayFormula(MID(KS295,LEN(KS295)-SEQUENCE(1,LEN(KS295))+1,1)))"),"S")</f>
        <v>S</v>
      </c>
      <c r="LC295" s="373" t="str">
        <f>IFERROR(__xludf.DUMMYFUNCTION("JOIN("""",ArrayFormula(MID(KV295,LEN(KV295)-SEQUENCE(1,LEN(KV295))+1,1)))"),"S-r-g-P-d-n-S")</f>
        <v>S-r-g-P-d-n-S</v>
      </c>
      <c r="LD295" s="373" t="str">
        <f t="shared" si="193"/>
        <v>S</v>
      </c>
      <c r="LE295" s="339" t="str">
        <f t="shared" si="194"/>
        <v>SrgPdnS</v>
      </c>
      <c r="LF295" s="386" t="str">
        <f>IFERROR(__xludf.DUMMYFUNCTION("SUBSTITUTE(SUBSTITUTE(CONCATENATE(JOIN("""",LH295:LT295)),""1"",""""),""2"","""")"),"SrgPdnS")</f>
        <v>SrgPdnS</v>
      </c>
      <c r="LG295" s="369" t="str">
        <f t="shared" si="195"/>
        <v>✔</v>
      </c>
      <c r="LH295" s="387" t="str">
        <f>IFERROR(__xludf.DUMMYFUNCTION("IF(REGEXMATCH(LD295, ""S""), ""S"",IF(REGEXMATCH(LE295, ""S""), ""S"",""""))"),"S")</f>
        <v>S</v>
      </c>
      <c r="LI295" s="299" t="str">
        <f>IFERROR(__xludf.DUMMYFUNCTION("IF(REGEXMATCH(LD295, ""r""), ""r1"",IF(REGEXMATCH(LE295, ""r""), ""r2"",""""))"),"r2")</f>
        <v>r2</v>
      </c>
      <c r="LJ295" s="299" t="str">
        <f>IFERROR(__xludf.DUMMYFUNCTION("IF(REGEXMATCH(LD295, ""R""), ""R1"",IF(REGEXMATCH(LE295, ""R""), ""R2"",""""))"),"")</f>
        <v/>
      </c>
      <c r="LK295" s="299" t="str">
        <f>IFERROR(__xludf.DUMMYFUNCTION("IF(REGEXMATCH(LD295, ""g""), ""g1"",IF(REGEXMATCH(LE295, ""g""), ""g2"",""""))"),"g2")</f>
        <v>g2</v>
      </c>
      <c r="LL295" s="299" t="str">
        <f>IFERROR(__xludf.DUMMYFUNCTION("IF(REGEXMATCH(LD295, ""G""), ""G1"",IF(REGEXMATCH(LE295, ""G""), ""G2"",""""))"),"")</f>
        <v/>
      </c>
      <c r="LM295" s="299" t="str">
        <f>IFERROR(__xludf.DUMMYFUNCTION("IF(REGEXMATCH(LD295, ""m""), ""m1"",IF(REGEXMATCH(LE295, ""m""), ""m2"",""""))"),"")</f>
        <v/>
      </c>
      <c r="LN295" s="299" t="str">
        <f>IFERROR(__xludf.DUMMYFUNCTION("IF(REGEXMATCH(LD295, ""M""), ""M1"",IF(REGEXMATCH(LE295, ""M""), ""M2"",""""))"),"")</f>
        <v/>
      </c>
      <c r="LO295" s="299" t="str">
        <f>IFERROR(__xludf.DUMMYFUNCTION("IF(REGEXMATCH(LD295, ""P""), ""P1"",IF(REGEXMATCH(LE295, ""P""), ""P2"",""""))"),"P2")</f>
        <v>P2</v>
      </c>
      <c r="LP295" s="299" t="str">
        <f>IFERROR(__xludf.DUMMYFUNCTION("IF(REGEXMATCH(LD295, ""d""), ""d1"",IF(REGEXMATCH(LE295, ""d""), ""d2"",""""))"),"d2")</f>
        <v>d2</v>
      </c>
      <c r="LQ295" s="299" t="str">
        <f>IFERROR(__xludf.DUMMYFUNCTION("IF(REGEXMATCH(LD295, ""D""), ""D1"",IF(REGEXMATCH(LE295, ""D""), ""D2"",""""))"),"")</f>
        <v/>
      </c>
      <c r="LR295" s="299" t="str">
        <f>IFERROR(__xludf.DUMMYFUNCTION("IF(REGEXMATCH(LD295, ""n""), ""n1"",IF(REGEXMATCH(LE295, ""n""), ""n2"",""""))"),"n2")</f>
        <v>n2</v>
      </c>
      <c r="LS295" s="299" t="str">
        <f>IFERROR(__xludf.DUMMYFUNCTION("IF(REGEXMATCH(LD295, ""N""), ""N1"",IF(REGEXMATCH(LE295, ""N""), ""N2"",""""))"),"")</f>
        <v/>
      </c>
      <c r="LT295" s="388" t="str">
        <f>IFERROR(__xludf.DUMMYFUNCTION("IF(REGEXMATCH(LD295, ""S""), ""S"",IF(REGEXMATCH(LE295, ""S""), ""S"",""""))"),"S")</f>
        <v>S</v>
      </c>
      <c r="LU295" s="389">
        <f t="shared" si="196"/>
        <v>-11</v>
      </c>
      <c r="LV295" s="378"/>
      <c r="LW295" s="369"/>
      <c r="LX295" s="369"/>
    </row>
    <row r="296" ht="18.0" customHeight="1">
      <c r="A296" s="298" t="s">
        <v>1115</v>
      </c>
      <c r="B296" s="222" t="s">
        <v>738</v>
      </c>
      <c r="C296" s="233" t="str">
        <f t="shared" si="7"/>
        <v>SRGmPDnS</v>
      </c>
      <c r="D296" s="234" t="str">
        <f>IFERROR(__xludf.DUMMYFUNCTION("IF(REGEXMATCH(C296, ""S""), ""S"","""")"),"S")</f>
        <v>S</v>
      </c>
      <c r="E296" s="236" t="str">
        <f>IFERROR(__xludf.DUMMYFUNCTION("IF(REGEXMATCH(C296, ""r""), ""r"","""")"),"")</f>
        <v/>
      </c>
      <c r="F296" s="237" t="str">
        <f>IFERROR(__xludf.DUMMYFUNCTION("IF(REGEXMATCH(C296, ""R""), ""R"","""")"),"R")</f>
        <v>R</v>
      </c>
      <c r="G296" s="237" t="str">
        <f>IFERROR(__xludf.DUMMYFUNCTION("IF(REGEXMATCH(C296, ""g""), ""g"","""")"),"")</f>
        <v/>
      </c>
      <c r="H296" s="236" t="str">
        <f>IFERROR(__xludf.DUMMYFUNCTION("IF(REGEXMATCH(C296, ""G""), ""G"","""")"),"G")</f>
        <v>G</v>
      </c>
      <c r="I296" s="236" t="str">
        <f>IFERROR(__xludf.DUMMYFUNCTION("IF(REGEXMATCH(C296, ""m""), ""m"","""")"),"m")</f>
        <v>m</v>
      </c>
      <c r="J296" s="237" t="str">
        <f>IFERROR(__xludf.DUMMYFUNCTION("IF(REGEXMATCH(C296, ""M""), ""M"","""")"),"")</f>
        <v/>
      </c>
      <c r="K296" s="236" t="str">
        <f>IFERROR(__xludf.DUMMYFUNCTION("IF(REGEXMATCH(C296, ""P""), ""P"","""")"),"P")</f>
        <v>P</v>
      </c>
      <c r="L296" s="237" t="str">
        <f>IFERROR(__xludf.DUMMYFUNCTION("IF(REGEXMATCH(C296, ""d""), ""d"","""")"),"")</f>
        <v/>
      </c>
      <c r="M296" s="236" t="str">
        <f>IFERROR(__xludf.DUMMYFUNCTION("IF(REGEXMATCH(C296, ""D""), ""D"","""")"),"D")</f>
        <v>D</v>
      </c>
      <c r="N296" s="236" t="str">
        <f>IFERROR(__xludf.DUMMYFUNCTION("IF(REGEXMATCH(C296, ""n""), ""n"","""")"),"n")</f>
        <v>n</v>
      </c>
      <c r="O296" s="237" t="str">
        <f>IFERROR(__xludf.DUMMYFUNCTION("IF(REGEXMATCH(C296, ""N""), ""N"","""")"),"")</f>
        <v/>
      </c>
      <c r="P296" s="238" t="str">
        <f>IFERROR(__xludf.DUMMYFUNCTION("IF(REGEXMATCH(C296, ""S""), ""S"","""")"),"S")</f>
        <v>S</v>
      </c>
      <c r="Q296" s="239" t="str">
        <f>IFERROR(__xludf.DUMMYFUNCTION("SUBSTITUTE(CONCATENATE(JOIN(""-"",D296:J296)),""-"","""")"),"SRGm")</f>
        <v>SRGm</v>
      </c>
      <c r="R296" s="229" t="str">
        <f>IFERROR(__xludf.DUMMYFUNCTION("SUBSTITUTE(CONCATENATE(JOIN(""-"",K296:P296)),""-"","""")"),"PDnS")</f>
        <v>PDnS</v>
      </c>
      <c r="S296" s="282" t="str">
        <f t="shared" si="8"/>
        <v>S-R-G-M</v>
      </c>
      <c r="T296" s="282" t="str">
        <f t="shared" si="9"/>
        <v>P-D-N-S</v>
      </c>
      <c r="U296" s="237" t="str">
        <f>IFERROR(__xludf.DUMMYFUNCTION("SUBSTITUTE(JOIN(""-"",S296,T296),""--"",""-"")"),"S-R-G-M-P-D-N-S")</f>
        <v>S-R-G-M-P-D-N-S</v>
      </c>
      <c r="V296" s="309" t="str">
        <f t="shared" si="10"/>
        <v>RGmDn</v>
      </c>
      <c r="W296" s="244" t="str">
        <f>IFERROR(__xludf.DUMMYFUNCTION("IF(REGEXMATCH(C296, ""S""), ""0"","""")"),"0")</f>
        <v>0</v>
      </c>
      <c r="X296" s="245" t="str">
        <f>IFERROR(__xludf.DUMMYFUNCTION("IF(REGEXMATCH(C296, ""r""), ""1"","""")"),"")</f>
        <v/>
      </c>
      <c r="Y296" s="246" t="str">
        <f>IFERROR(__xludf.DUMMYFUNCTION("IF(REGEXMATCH(C296, ""R""), ""2"","""")"),"2")</f>
        <v>2</v>
      </c>
      <c r="Z296" s="246" t="str">
        <f>IFERROR(__xludf.DUMMYFUNCTION("IF(REGEXMATCH(C296, ""g""), ""3"","""")"),"")</f>
        <v/>
      </c>
      <c r="AA296" s="245" t="str">
        <f>IFERROR(__xludf.DUMMYFUNCTION("IF(REGEXMATCH(C296, ""G""), ""4"","""")"),"4")</f>
        <v>4</v>
      </c>
      <c r="AB296" s="245" t="str">
        <f>IFERROR(__xludf.DUMMYFUNCTION("IF(REGEXMATCH(C296, ""m""), ""5"","""")"),"5")</f>
        <v>5</v>
      </c>
      <c r="AC296" s="246" t="str">
        <f>IFERROR(__xludf.DUMMYFUNCTION("IF(REGEXMATCH(C296, ""M""), ""6"","""")"),"")</f>
        <v/>
      </c>
      <c r="AD296" s="245" t="str">
        <f>IFERROR(__xludf.DUMMYFUNCTION("IF(REGEXMATCH(C296, ""P""), ""7"","""")"),"7")</f>
        <v>7</v>
      </c>
      <c r="AE296" s="246" t="str">
        <f>IFERROR(__xludf.DUMMYFUNCTION("IF(REGEXMATCH(C296, ""d""), ""8"","""")"),"")</f>
        <v/>
      </c>
      <c r="AF296" s="245" t="str">
        <f>IFERROR(__xludf.DUMMYFUNCTION("IF(REGEXMATCH(C296, ""D""), ""9"","""")"),"9")</f>
        <v>9</v>
      </c>
      <c r="AG296" s="245" t="str">
        <f>IFERROR(__xludf.DUMMYFUNCTION("IF(REGEXMATCH(C296, ""n""), ""10"","""")"),"10")</f>
        <v>10</v>
      </c>
      <c r="AH296" s="246" t="str">
        <f>IFERROR(__xludf.DUMMYFUNCTION("IF(REGEXMATCH(C296, ""N""), ""11"","""")"),"")</f>
        <v/>
      </c>
      <c r="AI296" s="249" t="str">
        <f>IFERROR(__xludf.DUMMYFUNCTION("IF(REGEXMATCH(C296, ""S""), ""0"","""")"),"0")</f>
        <v>0</v>
      </c>
      <c r="AJ296" s="313" t="str">
        <f t="shared" si="11"/>
        <v>-</v>
      </c>
      <c r="AK296" s="313" t="str">
        <f t="shared" si="12"/>
        <v>-</v>
      </c>
      <c r="AL296" s="313" t="str">
        <f t="shared" si="13"/>
        <v>-</v>
      </c>
      <c r="AM296" s="313" t="str">
        <f t="shared" si="14"/>
        <v>-</v>
      </c>
      <c r="AN296" s="313" t="str">
        <f t="shared" si="15"/>
        <v>T</v>
      </c>
      <c r="AO296" s="314" t="str">
        <f t="shared" si="16"/>
        <v>-</v>
      </c>
      <c r="AP296" s="316">
        <f t="shared" si="17"/>
        <v>1</v>
      </c>
      <c r="AQ296" s="319" t="str">
        <f t="shared" si="18"/>
        <v>-</v>
      </c>
      <c r="AR296" s="320">
        <f t="shared" si="19"/>
        <v>0</v>
      </c>
      <c r="AS296" s="250" t="str">
        <f>IFERROR(__xludf.DUMMYFUNCTION("SUBSTITUTE(SUBSTITUTE(CONCATENATE(JOIN("""",FP296:GA296)),""|"",""x""),""-"",""o"")"),"xoxoxxoxoxxo")</f>
        <v>xoxoxxoxoxxo</v>
      </c>
      <c r="AT296" s="323" t="str">
        <f>IFERROR(__xludf.DUMMYFUNCTION("JOIN("""",AS296,AS296)"),"xoxoxxoxoxxoxoxoxxoxoxxo")</f>
        <v>xoxoxxoxoxxoxoxoxxoxoxxo</v>
      </c>
      <c r="AU296" s="256" t="str">
        <f>IFERROR(__xludf.DUMMYFUNCTION("JOIN("""",ArrayFormula(MID(AS296,LEN(AS296)-SEQUENCE(1,LEN(AS296))+1,1)))"),"oxxoxoxxoxox")</f>
        <v>oxxoxoxxoxox</v>
      </c>
      <c r="AV296" s="256" t="str">
        <f>IFERROR(__xludf.DUMMYFUNCTION("LEFT(CONCATENATE(""x"",JOIN("""",ArrayFormula(MID(AS296,LEN(AS296)-SEQUENCE(1,LEN(AS296))+1,1)))),12)"),"xoxxoxoxxoxo")</f>
        <v>xoxxoxoxxoxo</v>
      </c>
      <c r="AW296" s="327" t="str">
        <f>IFERROR(__xludf.DUMMYFUNCTION("JOIN("""",AU296,AU296)"),"oxxoxoxxoxoxoxxoxoxxoxox")</f>
        <v>oxxoxoxxoxoxoxxoxoxxoxox</v>
      </c>
      <c r="AX296" s="239" t="str">
        <f>IFERROR(__xludf.DUMMYFUNCTION("IF(REGEXMATCH(AW296,AS296),""✔"",""-"")"),"✔")</f>
        <v>✔</v>
      </c>
      <c r="AY296" s="330" t="str">
        <f t="shared" si="20"/>
        <v>-</v>
      </c>
      <c r="AZ296" s="260" t="str">
        <f t="shared" si="21"/>
        <v>#REF!</v>
      </c>
      <c r="BA296" s="333" t="str">
        <f t="shared" si="22"/>
        <v>xoxoxxo</v>
      </c>
      <c r="BB296" s="334" t="str">
        <f t="shared" si="23"/>
        <v>xoxxox</v>
      </c>
      <c r="BC296" s="335" t="str">
        <f t="shared" si="236"/>
        <v>-</v>
      </c>
      <c r="BD296" s="336" t="str">
        <f t="shared" si="25"/>
        <v>Sakh: 'xoxoxxo' + 'xoxxox'</v>
      </c>
      <c r="BE296" s="337">
        <f>IFERROR(__xludf.DUMMYFUNCTION("COUNTUNIQUE(FILTER(AT:AT,REGEXMATCH(AT:AT,AS296)))-1"),6.0)</f>
        <v>6</v>
      </c>
      <c r="BF296" s="261" t="str">
        <f>IFERROR(__xludf.DUMMYFUNCTION("IF(BI296=0,""(n/a)"",IF(BJ296=2,""(PAIR)"",IF(REGEXMATCH(AT296,""xoxoxxoxoxox""),""Bilawal"",IF(REGEXMATCH(AT296,""xoxoxooxoxoo""),""Bhupali"",IF(REGEXMATCH(AT296,""xoxoxxoxxoxo""),""Charukeshi"",IF(REGEXMATCH(AT296,""xoxoooxxoxxo""),""Kameshwari"",IF(REG"&amp;"EXMATCH(AT296,""xoxoxooxoxox""),""Shankara"",IF(REGEXMATCH(AT296,""xxooxoxxxoox""),""Basant"",IF(REGEXMATCH(AT296,""xoxoxxxxoxox""),""Bihag"",IF(REGEXMATCH(AT296,""xoxxxxoxoxxx""),""Pilu"",IF(REGEXMATCH(AT296,""xoxxoxoxxoox""),""Kirwani"",IF(REGEXMATCH(AT"&amp;"296,""xoxxoxoxoxxx""),""Mk.Malhar"",IF(REGEXMATCH(AT296,""xxooxxoxxoox""),""Bhairav"",IF(REGEXMATCH(AT296,""xxoxooxxxoox""),""Todi"",IF(REGEXMATCH(AT296,""xxooxoxooxox""),""Marwa"",IF(REGEXMATCH(AT296,""xxoooxoxxooo""),""Gunkali"",IF(REGEXMATCH(AT296,""xo"&amp;"xoxxoxxoox""),""Nat Bhairav"",IF(REGEXMATCH(AT296,""xoxxoooxoxoo""),""Shivranjani"",IF(REGEXMATCH(AT296,""xooxxxoxooxo""),""Jog"",IF(REGEXMATCH(AT296,""xxooxoxoxoox""),""Hemshri"",IF(REGEXMATCH(AT296,""xoooxooxoxxo""),""Kalavati"",IF(REGEXMATCH(AT296,""xx"&amp;"oxoxxoxoox""),""Kedar"",IF(REGEXMATCH(AT296,""xoxxxxoxooxx""),""Gara"",IF(REGEXMATCH(AT296,""xooxoxooxoox""),""Chandrakauns"",IF(REGEXMATCH(AT296,""xoxxxxoxxxox""),""Mand"",IF(REGEXMATCH(AT296,""xoxxxxoxoxox""),""Hanskinkini"",IF(REGEXMATCH(AT296,""xxooxx"&amp;"oxooxo""),""Lilavati"",IF(REGEXMATCH(AT296,""xooxoxoooxox""),""Rajeshwari"",IF(REGEXMATCH(AT296,""xoooxxoxoxxx""),""Khokar"",IF(REGEXMATCH(AT296,""xxooxoxxxxox""),""Maligoura"",""-""))))))))))))))))))))))))))))))"),"Bilawal")</f>
        <v>Bilawal</v>
      </c>
      <c r="BG296" s="239" t="str">
        <f t="shared" si="26"/>
        <v>#REF!</v>
      </c>
      <c r="BH296" s="239">
        <f>IFERROR(__xludf.DUMMYFUNCTION("COUNTUNIQUE(FE296:FO296)-1"),6.0)</f>
        <v>6</v>
      </c>
      <c r="BI296" s="239">
        <f>IFERROR(__xludf.DUMMYFUNCTION("COUNTUNIQUE(FILTER(AT:AT,REGEXMATCH(AT:AT,AS296)))-1"),6.0)</f>
        <v>6</v>
      </c>
      <c r="BJ296" s="239">
        <f>IFERROR(__xludf.DUMMYFUNCTION("COUNTA(FILTER(AT:AT,REGEXMATCH(AT:AT,AS296)))"),48.0)</f>
        <v>48</v>
      </c>
      <c r="BK296" s="341">
        <f>IFERROR(__xludf.DUMMYFUNCTION("COUNTA(FILTER(AT:AT,REGEXMATCH(AT:AT,AS296)))-AR296"),48.0)</f>
        <v>48</v>
      </c>
      <c r="BL296" s="276" t="str">
        <f>IFERROR(__xludf.DUMMYFUNCTION("IF(AS296=""oooooooooooo"",""-"",IF(REGEXMATCH(AT296,""xx""), ""Hemi."", ""Anhemi.""))"),"Hemi.")</f>
        <v>Hemi.</v>
      </c>
      <c r="BM296" s="282" t="str">
        <f>IFERROR(__xludf.DUMMYFUNCTION("IF(AS296=""oooooooooooo"",""-"",IF(REGEXMATCH(AT296,""xxx""), ""Cohem."", ""-""))"),"-")</f>
        <v>-</v>
      </c>
      <c r="BN296" s="282" t="str">
        <f>IFERROR(__xludf.DUMMYFUNCTION("IF(AS296=""oooooooooooo"",""-"",IF(REGEXMATCH(AT296,""xxxx""), ""Co-Co."", ""-""))"),"-")</f>
        <v>-</v>
      </c>
      <c r="BO296" s="342" t="str">
        <f>IFERROR(__xludf.DUMMYFUNCTION("IF(AS296=""oooooooooooo"",""-"",IF(REGEXMATCH(AT296,""xxxxx""), ""CCC."", ""-""))"),"-")</f>
        <v>-</v>
      </c>
      <c r="BP296" s="344" t="str">
        <f t="shared" si="27"/>
        <v>Khamaj</v>
      </c>
      <c r="BQ296" s="282" t="str">
        <f>IFERROR(__xludf.DUMMYFUNCTION("IF(REGEXMATCH(JOIN(""-"",EU296:FD296),""TRUE""),""✔"",""-"")"),"✔")</f>
        <v>✔</v>
      </c>
      <c r="BR296" s="225">
        <f t="shared" si="28"/>
        <v>1</v>
      </c>
      <c r="BS296" s="345" t="str">
        <f>IFERROR(__xludf.DUMMYFUNCTION("SUBSTITUTE(SUBSTITUTE(SUBSTITUTE(SUBSTITUTE(CONCATENATE(JOIN(""-"",GC296:GO296)),""--"",""-""),""--"",""-""),""--"",""-""),""--"",""-"")"),"1-2-3-4-5-6-b7-8")</f>
        <v>1-2-3-4-5-6-b7-8</v>
      </c>
      <c r="BT296" s="299" t="str">
        <f>IFERROR(__xludf.DUMMYFUNCTION("SUBSTITUTE(SUBSTITUTE(SUBSTITUTE(SUBSTITUTE(CONCATENATE(JOIN(""-"",GP296:HB296)),""--"",""-""),""--"",""-""),""--"",""-""),""--"",""-"")"),"S-R2-G3-M1-P-D2-N2-S")</f>
        <v>S-R2-G3-M1-P-D2-N2-S</v>
      </c>
      <c r="BU296" s="348" t="str">
        <f t="shared" si="29"/>
        <v>C-D-E-F-G-A-Bb-C</v>
      </c>
      <c r="BV296" s="349" t="str">
        <f t="shared" si="30"/>
        <v>SrgMdNS</v>
      </c>
      <c r="BW296" s="350">
        <f t="shared" si="31"/>
        <v>1</v>
      </c>
      <c r="BX296" s="351">
        <f t="shared" si="32"/>
        <v>8</v>
      </c>
      <c r="BY296" s="392"/>
      <c r="BZ296" s="309" t="str">
        <f>IFERROR(__xludf.DUMMYFUNCTION("IF(REGEXMATCH(C296, ""S""), ""x"",""x"")"),"x")</f>
        <v>x</v>
      </c>
      <c r="CA296" s="245" t="str">
        <f>IFERROR(__xludf.DUMMYFUNCTION("IF(REGEXMATCH(C296, ""r""), ""o"",""x"")"),"x")</f>
        <v>x</v>
      </c>
      <c r="CB296" s="246" t="str">
        <f>IFERROR(__xludf.DUMMYFUNCTION("IF(REGEXMATCH(C296, ""R""), ""o"",""x"")"),"o")</f>
        <v>o</v>
      </c>
      <c r="CC296" s="246" t="str">
        <f>IFERROR(__xludf.DUMMYFUNCTION("IF(REGEXMATCH(C296, ""g""), ""o"",""x"")"),"x")</f>
        <v>x</v>
      </c>
      <c r="CD296" s="245" t="str">
        <f>IFERROR(__xludf.DUMMYFUNCTION("IF(REGEXMATCH(C296, ""G""), ""o"",""x"")"),"o")</f>
        <v>o</v>
      </c>
      <c r="CE296" s="245" t="str">
        <f>IFERROR(__xludf.DUMMYFUNCTION("IF(REGEXMATCH(C296, ""m""), ""o"",""x"")"),"o")</f>
        <v>o</v>
      </c>
      <c r="CF296" s="246" t="str">
        <f>IFERROR(__xludf.DUMMYFUNCTION("IF(REGEXMATCH(C296, ""M""), ""o"",""x"")"),"x")</f>
        <v>x</v>
      </c>
      <c r="CG296" s="245" t="str">
        <f>IFERROR(__xludf.DUMMYFUNCTION("IF(REGEXMATCH(C296, ""P""), ""o"",""x"")"),"o")</f>
        <v>o</v>
      </c>
      <c r="CH296" s="246" t="str">
        <f>IFERROR(__xludf.DUMMYFUNCTION("IF(REGEXMATCH(C296, ""d""), ""o"",""x"")"),"x")</f>
        <v>x</v>
      </c>
      <c r="CI296" s="245" t="str">
        <f>IFERROR(__xludf.DUMMYFUNCTION("IF(REGEXMATCH(C296, ""D""), ""o"",""x"")"),"o")</f>
        <v>o</v>
      </c>
      <c r="CJ296" s="245" t="str">
        <f>IFERROR(__xludf.DUMMYFUNCTION("IF(REGEXMATCH(C296, ""n""), ""o"",""x"")"),"o")</f>
        <v>o</v>
      </c>
      <c r="CK296" s="245" t="str">
        <f>IFERROR(__xludf.DUMMYFUNCTION("IF(REGEXMATCH(C296, ""N""), ""o"",""x"")"),"x")</f>
        <v>x</v>
      </c>
      <c r="CL296" s="356" t="str">
        <f>IFERROR(__xludf.DUMMYFUNCTION("IF(REGEXMATCH(C296, ""S""), ""x"",""x"")"),"x")</f>
        <v>x</v>
      </c>
      <c r="CM296" s="357" t="str">
        <f t="shared" si="33"/>
        <v>xxoxooxoxoox</v>
      </c>
      <c r="CN296" s="358">
        <f t="shared" si="34"/>
        <v>1</v>
      </c>
      <c r="CO296" s="246" t="str">
        <f>IFERROR(__xludf.DUMMYFUNCTION("IF(REGEXMATCH($C296, ""S""), ""S"",""S"")"),"S")</f>
        <v>S</v>
      </c>
      <c r="CP296" s="246" t="str">
        <f>IFERROR(__xludf.DUMMYFUNCTION("IF(REGEXMATCH($C296, ""r""), """",""r"")"),"r")</f>
        <v>r</v>
      </c>
      <c r="CQ296" s="246" t="str">
        <f>IFERROR(__xludf.DUMMYFUNCTION("IF(REGEXMATCH($C296, ""R""), """",""R"")"),"")</f>
        <v/>
      </c>
      <c r="CR296" s="246" t="str">
        <f>IFERROR(__xludf.DUMMYFUNCTION("IF(REGEXMATCH($C296, ""g""), """",""g"")"),"g")</f>
        <v>g</v>
      </c>
      <c r="CS296" s="246" t="str">
        <f>IFERROR(__xludf.DUMMYFUNCTION("IF(REGEXMATCH($C296, ""G""), """",""G"")"),"")</f>
        <v/>
      </c>
      <c r="CT296" s="246" t="str">
        <f>IFERROR(__xludf.DUMMYFUNCTION("IF(REGEXMATCH($C296, ""m""), """",""m"")"),"")</f>
        <v/>
      </c>
      <c r="CU296" s="246" t="str">
        <f>IFERROR(__xludf.DUMMYFUNCTION("IF(REGEXMATCH($C296, ""M""), """",""M"")"),"M")</f>
        <v>M</v>
      </c>
      <c r="CV296" s="246" t="str">
        <f>IFERROR(__xludf.DUMMYFUNCTION("IF(REGEXMATCH($C296, ""P""), """",""P"")"),"")</f>
        <v/>
      </c>
      <c r="CW296" s="246" t="str">
        <f>IFERROR(__xludf.DUMMYFUNCTION("IF(REGEXMATCH($C296, ""d""), """",""d"")"),"d")</f>
        <v>d</v>
      </c>
      <c r="CX296" s="246" t="str">
        <f>IFERROR(__xludf.DUMMYFUNCTION("IF(REGEXMATCH($C296, ""D""), """",""D"")"),"")</f>
        <v/>
      </c>
      <c r="CY296" s="246" t="str">
        <f>IFERROR(__xludf.DUMMYFUNCTION("IF(REGEXMATCH($C296, ""n""), """",""n"")"),"")</f>
        <v/>
      </c>
      <c r="CZ296" s="246" t="str">
        <f>IFERROR(__xludf.DUMMYFUNCTION("IF(REGEXMATCH($C296, ""N""), """",""N"")"),"N")</f>
        <v>N</v>
      </c>
      <c r="DA296" s="246" t="str">
        <f>IFERROR(__xludf.DUMMYFUNCTION("IF(REGEXMATCH($C296, ""S""), ""S"",""S"")"),"S")</f>
        <v>S</v>
      </c>
      <c r="DB296" s="362" t="str">
        <f>IFERROR(__xludf.DUMMYFUNCTION("JOIN("""",CO296:DA296,"""","""")"),"SrgMdNS")</f>
        <v>SrgMdNS</v>
      </c>
      <c r="DC296" s="363"/>
      <c r="DD296" s="301" t="str">
        <f t="shared" si="35"/>
        <v>#REF!</v>
      </c>
      <c r="DE296" s="302" t="str">
        <f t="shared" si="36"/>
        <v>#REF!</v>
      </c>
      <c r="DF296" s="301" t="str">
        <f t="shared" ref="DF296:DG296" si="819">SUBSTITUTE(S296,"-","")</f>
        <v>SRGM</v>
      </c>
      <c r="DG296" s="301" t="str">
        <f t="shared" si="819"/>
        <v>PDNS</v>
      </c>
      <c r="DH296" s="302" t="str">
        <f t="shared" si="38"/>
        <v>Bilawal</v>
      </c>
      <c r="DI296" s="301" t="str">
        <f t="shared" si="39"/>
        <v>Hemi.</v>
      </c>
      <c r="DJ296" s="364" t="str">
        <f t="shared" si="40"/>
        <v>-</v>
      </c>
      <c r="DK296" s="306" t="str">
        <f t="shared" si="41"/>
        <v>Khamaj</v>
      </c>
      <c r="DL296" s="366" t="str">
        <f t="shared" si="42"/>
        <v>-</v>
      </c>
      <c r="DM296" s="308" t="str">
        <f t="shared" si="43"/>
        <v>-</v>
      </c>
      <c r="DN296" s="306" t="str">
        <f t="shared" si="44"/>
        <v>-</v>
      </c>
      <c r="DO296" s="306" t="str">
        <f t="shared" si="45"/>
        <v>-</v>
      </c>
      <c r="DP296" s="367" t="str">
        <f t="shared" si="46"/>
        <v>-</v>
      </c>
      <c r="DQ296" s="310" t="str">
        <f t="shared" si="47"/>
        <v>-</v>
      </c>
      <c r="DR296" s="310" t="str">
        <f t="shared" si="48"/>
        <v>-</v>
      </c>
      <c r="DS296" s="310" t="str">
        <f t="shared" si="49"/>
        <v>-</v>
      </c>
      <c r="DT296" s="310" t="str">
        <f t="shared" si="50"/>
        <v>-</v>
      </c>
      <c r="DU296" s="370" t="str">
        <f t="shared" si="51"/>
        <v>-</v>
      </c>
      <c r="DV296" s="306" t="str">
        <f t="shared" si="52"/>
        <v>-</v>
      </c>
      <c r="DW296" s="306" t="str">
        <f t="shared" si="53"/>
        <v>-</v>
      </c>
      <c r="DX296" s="306" t="str">
        <f t="shared" si="54"/>
        <v>-</v>
      </c>
      <c r="DY296" s="306" t="str">
        <f t="shared" si="55"/>
        <v>-</v>
      </c>
      <c r="DZ296" s="306" t="str">
        <f t="shared" si="56"/>
        <v>-</v>
      </c>
      <c r="EA296" s="367" t="str">
        <f t="shared" si="57"/>
        <v>-</v>
      </c>
      <c r="EB296" s="310" t="str">
        <f>IFERROR(__xludf.DUMMYFUNCTION("IF(REGEXMATCH(AW296,AS296),""✔"",""-"")"),"✔")</f>
        <v>✔</v>
      </c>
      <c r="EC296" s="310" t="str">
        <f t="shared" si="58"/>
        <v>#REF!</v>
      </c>
      <c r="ED296" s="370" t="str">
        <f t="shared" si="59"/>
        <v>-</v>
      </c>
      <c r="EE296" s="340" t="str">
        <f t="shared" si="60"/>
        <v>S-R-G-m-P-D-n-S</v>
      </c>
      <c r="EF296" s="371" t="str">
        <f>IFERROR(__xludf.DUMMYFUNCTION("CONCATENATE(JOIN("""",HC296:HO296))"),"SRgmPdnS")</f>
        <v>SRgmPdnS</v>
      </c>
      <c r="EG296" s="372">
        <f t="shared" si="61"/>
        <v>1</v>
      </c>
      <c r="EH296" s="373" t="str">
        <f>IFERROR(__xludf.DUMMYFUNCTION("CONCATENATE(JOIN("""",JC296:JO296))"),"Ga, ")</f>
        <v>Ga, </v>
      </c>
      <c r="EI296" s="322">
        <f t="shared" si="62"/>
        <v>0</v>
      </c>
      <c r="EJ296" s="374" t="str">
        <f>IFERROR(__xludf.DUMMYFUNCTION("CONCATENATE(JOIN("""",KC296:KO296))"),"")</f>
        <v/>
      </c>
      <c r="EK296" s="325" t="str">
        <f t="shared" si="63"/>
        <v>S-R2-G3-M1-P-D2-N2-S</v>
      </c>
      <c r="EL296" s="326" t="str">
        <f t="shared" si="64"/>
        <v>1-2-3-4-5-6-b7-8</v>
      </c>
      <c r="EM296" s="318" t="str">
        <f t="shared" si="65"/>
        <v>#REF!</v>
      </c>
      <c r="EN296" s="328" t="str">
        <f>IFERROR(__xludf.DUMMYFUNCTION("SUBSTITUTE(SUBSTITUTE(SUBSTITUTE(SUBSTITUTE(CONCATENATE(JOIN("" "",HP296:IB296)),""  "","" ""),""  "","" ""),""  "","" ""),""  "","" "")"),"o • o • o o • o • o o • o")</f>
        <v>o • o • o o • o • o o • o</v>
      </c>
      <c r="EO296" s="368" t="str">
        <f t="shared" si="66"/>
        <v>-</v>
      </c>
      <c r="EP296" s="339" t="str">
        <f t="shared" si="67"/>
        <v>-</v>
      </c>
      <c r="EQ296" s="339" t="str">
        <f t="shared" si="68"/>
        <v>Sa-Pa</v>
      </c>
      <c r="ER296" s="339" t="str">
        <f t="shared" si="69"/>
        <v>-</v>
      </c>
      <c r="ES296" s="340" t="str">
        <f t="shared" si="70"/>
        <v>-</v>
      </c>
      <c r="ET296" s="363"/>
      <c r="EU296" s="376" t="b">
        <f>IFERROR(__xludf.DUMMYFUNCTION("arrayformula(sum(--REGEXMATCH(""SRGMPDNS"",split(REGEXREPLACE(C296,""(.)"",""$1~""),""~""))))=len(C296)
"),FALSE)</f>
        <v>0</v>
      </c>
      <c r="EV296" s="290" t="b">
        <f>IFERROR(__xludf.DUMMYFUNCTION("arrayformula(sum(--REGEXMATCH(""SRGmPDNS"",split(REGEXREPLACE(C296,""(.)"",""$1~""),""~""))))=len(C296)"),FALSE)</f>
        <v>0</v>
      </c>
      <c r="EW296" s="290" t="b">
        <f>IFERROR(__xludf.DUMMYFUNCTION("arrayformula(sum(--REGEXMATCH(""SRGmPDnS"",split(REGEXREPLACE(C296,""(.)"",""$1~""),""~""))))=len(C296)"),TRUE)</f>
        <v>1</v>
      </c>
      <c r="EX296" s="290" t="b">
        <f>IFERROR(__xludf.DUMMYFUNCTION("arrayformula(sum(--REGEXMATCH(""SRgmPDnS"",split(REGEXREPLACE(C296,""(.)"",""$1~""),""~""))))=len(C296)"),FALSE)</f>
        <v>0</v>
      </c>
      <c r="EY296" s="290" t="b">
        <f>IFERROR(__xludf.DUMMYFUNCTION("arrayformula(sum(--REGEXMATCH(""SRgmPdnS"",split(REGEXREPLACE(C296,""(.)"",""$1~""),""~""))))=len(C296)"),FALSE)</f>
        <v>0</v>
      </c>
      <c r="EZ296" s="290" t="b">
        <f>IFERROR(__xludf.DUMMYFUNCTION("arrayformula(sum(--REGEXMATCH(""SrgmPdnS"",split(REGEXREPLACE(C296,""(.)"",""$1~""),""~""))))=len(C296)"),FALSE)</f>
        <v>0</v>
      </c>
      <c r="FA296" s="290" t="b">
        <f>IFERROR(__xludf.DUMMYFUNCTION("arrayformula(sum(--REGEXMATCH(""SrGmPdNS"",split(REGEXREPLACE(C296,""(.)"",""$1~""),""~""))))=len(C296)"),FALSE)</f>
        <v>0</v>
      </c>
      <c r="FB296" s="290" t="b">
        <f>IFERROR(__xludf.DUMMYFUNCTION("arrayformula(sum(--REGEXMATCH(""SrGMPDNS"",split(REGEXREPLACE(C296,""(.)"",""$1~""),""~""))))=len(C296)"),FALSE)</f>
        <v>0</v>
      </c>
      <c r="FC296" s="290" t="b">
        <f>IFERROR(__xludf.DUMMYFUNCTION("arrayformula(sum(--REGEXMATCH(""SrGMPdNS"",split(REGEXREPLACE(C296,""(.)"",""$1~""),""~""))))=len(C296)"),FALSE)</f>
        <v>0</v>
      </c>
      <c r="FD296" s="377" t="b">
        <f>IFERROR(__xludf.DUMMYFUNCTION("arrayformula(sum(--REGEXMATCH(""SrgMPdNS"",split(REGEXREPLACE(C296,""(.)"",""$1~""),""~""))))=len(C296)"),FALSE)</f>
        <v>0</v>
      </c>
      <c r="FE296" s="269" t="str">
        <f t="shared" si="71"/>
        <v>-</v>
      </c>
      <c r="FF296" s="269" t="str">
        <f t="shared" si="72"/>
        <v>xoxxoxoxxox</v>
      </c>
      <c r="FG296" s="271" t="str">
        <f t="shared" si="73"/>
        <v>-</v>
      </c>
      <c r="FH296" s="269" t="str">
        <f t="shared" si="74"/>
        <v>xxoxoxxoxox</v>
      </c>
      <c r="FI296" s="271" t="str">
        <f t="shared" si="75"/>
        <v>xoxoxxoxoxo</v>
      </c>
      <c r="FJ296" s="271" t="str">
        <f t="shared" si="76"/>
        <v>-</v>
      </c>
      <c r="FK296" s="271" t="str">
        <f t="shared" si="77"/>
        <v>xoxxoxoxoxx</v>
      </c>
      <c r="FL296" s="271" t="str">
        <f t="shared" si="78"/>
        <v>-</v>
      </c>
      <c r="FM296" s="271" t="str">
        <f t="shared" si="79"/>
        <v>xxoxoxoxxox</v>
      </c>
      <c r="FN296" s="271" t="str">
        <f t="shared" si="80"/>
        <v>xoxoxoxxoxo</v>
      </c>
      <c r="FO296" s="274" t="str">
        <f t="shared" si="81"/>
        <v>-</v>
      </c>
      <c r="FP296" s="234" t="str">
        <f t="shared" si="82"/>
        <v>|</v>
      </c>
      <c r="FQ296" s="236" t="str">
        <f t="shared" si="83"/>
        <v>-</v>
      </c>
      <c r="FR296" s="237" t="str">
        <f t="shared" si="84"/>
        <v>|</v>
      </c>
      <c r="FS296" s="236" t="str">
        <f t="shared" si="85"/>
        <v>-</v>
      </c>
      <c r="FT296" s="237" t="str">
        <f t="shared" si="86"/>
        <v>|</v>
      </c>
      <c r="FU296" s="236" t="str">
        <f t="shared" si="87"/>
        <v>|</v>
      </c>
      <c r="FV296" s="237" t="str">
        <f t="shared" si="88"/>
        <v>-</v>
      </c>
      <c r="FW296" s="236" t="str">
        <f t="shared" si="89"/>
        <v>|</v>
      </c>
      <c r="FX296" s="237" t="str">
        <f t="shared" si="90"/>
        <v>-</v>
      </c>
      <c r="FY296" s="236" t="str">
        <f t="shared" si="91"/>
        <v>|</v>
      </c>
      <c r="FZ296" s="237" t="str">
        <f t="shared" si="92"/>
        <v>|</v>
      </c>
      <c r="GA296" s="236" t="str">
        <f t="shared" si="93"/>
        <v>-</v>
      </c>
      <c r="GB296" s="238" t="str">
        <f t="shared" si="94"/>
        <v>|</v>
      </c>
      <c r="GC296" s="244" t="str">
        <f>IFERROR(__xludf.DUMMYFUNCTION("IF(REGEXMATCH(C296, ""S""), ""1"","""")"),"1")</f>
        <v>1</v>
      </c>
      <c r="GD296" s="245" t="str">
        <f>IFERROR(__xludf.DUMMYFUNCTION("IF(REGEXMATCH(C296, ""r""), ""b2"","""")"),"")</f>
        <v/>
      </c>
      <c r="GE296" s="246" t="str">
        <f>IFERROR(__xludf.DUMMYFUNCTION("IF(REGEXMATCH(C296, ""R""), ""2"","""")"),"2")</f>
        <v>2</v>
      </c>
      <c r="GF296" s="246" t="str">
        <f>IFERROR(__xludf.DUMMYFUNCTION("IF(REGEXMATCH(C296, ""g""), ""b3"","""")"),"")</f>
        <v/>
      </c>
      <c r="GG296" s="245" t="str">
        <f>IFERROR(__xludf.DUMMYFUNCTION("IF(REGEXMATCH(C296, ""G""), ""3"","""")"),"3")</f>
        <v>3</v>
      </c>
      <c r="GH296" s="245" t="str">
        <f>IFERROR(__xludf.DUMMYFUNCTION("IF(REGEXMATCH(C296, ""m""), ""4"","""")"),"4")</f>
        <v>4</v>
      </c>
      <c r="GI296" s="246" t="str">
        <f>IFERROR(__xludf.DUMMYFUNCTION("IF(REGEXMATCH(C296, ""M""), ""#4"","""")"),"")</f>
        <v/>
      </c>
      <c r="GJ296" s="245" t="str">
        <f>IFERROR(__xludf.DUMMYFUNCTION("IF(REGEXMATCH(C296, ""P""), ""5"","""")"),"5")</f>
        <v>5</v>
      </c>
      <c r="GK296" s="246" t="str">
        <f>IFERROR(__xludf.DUMMYFUNCTION("IF(REGEXMATCH(C296, ""d""), ""b6"","""")"),"")</f>
        <v/>
      </c>
      <c r="GL296" s="245" t="str">
        <f>IFERROR(__xludf.DUMMYFUNCTION("IF(REGEXMATCH(C296, ""D""), ""6"","""")"),"6")</f>
        <v>6</v>
      </c>
      <c r="GM296" s="245" t="str">
        <f>IFERROR(__xludf.DUMMYFUNCTION("IF(REGEXMATCH(C296, ""n""), ""b7"","""")"),"b7")</f>
        <v>b7</v>
      </c>
      <c r="GN296" s="246" t="str">
        <f>IFERROR(__xludf.DUMMYFUNCTION("IF(REGEXMATCH(C296, ""N""), ""7"","""")"),"")</f>
        <v/>
      </c>
      <c r="GO296" s="249" t="str">
        <f>IFERROR(__xludf.DUMMYFUNCTION("IF(REGEXMATCH(C296, ""S""), ""8"","""")"),"8")</f>
        <v>8</v>
      </c>
      <c r="GP296" s="244" t="str">
        <f>IFERROR(__xludf.DUMMYFUNCTION("IF(REGEXMATCH(C296, ""S""), ""S"","""")"),"S")</f>
        <v>S</v>
      </c>
      <c r="GQ296" s="294" t="str">
        <f>IFERROR(__xludf.DUMMYFUNCTION("IF(REGEXMATCH(C296, ""r""), ""R1"","""")"),"")</f>
        <v/>
      </c>
      <c r="GR296" s="295" t="str">
        <f>IFERROR(__xludf.DUMMYFUNCTION("IF(REGEXMATCH(C296, ""R""), ""R2"","""")"),"R2")</f>
        <v>R2</v>
      </c>
      <c r="GS296" s="295" t="str">
        <f>IFERROR(__xludf.DUMMYFUNCTION("IF(REGEXMATCH(C296, ""g""), ""G2"","""")"),"")</f>
        <v/>
      </c>
      <c r="GT296" s="294" t="str">
        <f>IFERROR(__xludf.DUMMYFUNCTION("IF(REGEXMATCH(C296, ""G""), ""G3"","""")"),"G3")</f>
        <v>G3</v>
      </c>
      <c r="GU296" s="294" t="str">
        <f>IFERROR(__xludf.DUMMYFUNCTION("IF(REGEXMATCH(C296, ""m""), ""M1"","""")"),"M1")</f>
        <v>M1</v>
      </c>
      <c r="GV296" s="295" t="str">
        <f>IFERROR(__xludf.DUMMYFUNCTION("IF(REGEXMATCH(C296, ""M""), ""M2"","""")"),"")</f>
        <v/>
      </c>
      <c r="GW296" s="294" t="str">
        <f>IFERROR(__xludf.DUMMYFUNCTION("IF(REGEXMATCH(C296, ""P""), ""P"","""")"),"P")</f>
        <v>P</v>
      </c>
      <c r="GX296" s="295" t="str">
        <f>IFERROR(__xludf.DUMMYFUNCTION("IF(REGEXMATCH(C296, ""d""), ""D1"","""")"),"")</f>
        <v/>
      </c>
      <c r="GY296" s="294" t="str">
        <f>IFERROR(__xludf.DUMMYFUNCTION("IF(REGEXMATCH(C296, ""D""), ""D2"","""")"),"D2")</f>
        <v>D2</v>
      </c>
      <c r="GZ296" s="294" t="str">
        <f>IFERROR(__xludf.DUMMYFUNCTION("IF(REGEXMATCH(C296, ""n""), ""N2"","""")"),"N2")</f>
        <v>N2</v>
      </c>
      <c r="HA296" s="295" t="str">
        <f>IFERROR(__xludf.DUMMYFUNCTION("IF(REGEXMATCH(C296, ""N""), ""N3"","""")"),"")</f>
        <v/>
      </c>
      <c r="HB296" s="249" t="str">
        <f>IFERROR(__xludf.DUMMYFUNCTION("IF(REGEXMATCH(C296, ""S""), ""S"","""")"),"S")</f>
        <v>S</v>
      </c>
      <c r="HC296" s="331" t="str">
        <f t="shared" si="95"/>
        <v>S</v>
      </c>
      <c r="HD296" s="332" t="str">
        <f t="shared" si="96"/>
        <v/>
      </c>
      <c r="HE296" s="332" t="str">
        <f t="shared" si="97"/>
        <v>R</v>
      </c>
      <c r="HF296" s="332" t="str">
        <f t="shared" si="98"/>
        <v>g</v>
      </c>
      <c r="HG296" s="332" t="str">
        <f t="shared" si="99"/>
        <v/>
      </c>
      <c r="HH296" s="332" t="str">
        <f t="shared" si="100"/>
        <v>m</v>
      </c>
      <c r="HI296" s="332" t="str">
        <f t="shared" si="101"/>
        <v/>
      </c>
      <c r="HJ296" s="332" t="str">
        <f t="shared" si="102"/>
        <v>P</v>
      </c>
      <c r="HK296" s="332" t="str">
        <f t="shared" si="103"/>
        <v>d</v>
      </c>
      <c r="HL296" s="332" t="str">
        <f t="shared" si="104"/>
        <v/>
      </c>
      <c r="HM296" s="332" t="str">
        <f t="shared" si="105"/>
        <v>n</v>
      </c>
      <c r="HN296" s="332" t="str">
        <f t="shared" si="106"/>
        <v/>
      </c>
      <c r="HO296" s="343" t="str">
        <f t="shared" si="107"/>
        <v>S</v>
      </c>
      <c r="HP296" s="331" t="str">
        <f t="shared" si="108"/>
        <v>o</v>
      </c>
      <c r="HQ296" s="332" t="str">
        <f t="shared" si="109"/>
        <v>•</v>
      </c>
      <c r="HR296" s="332" t="str">
        <f t="shared" si="110"/>
        <v>o</v>
      </c>
      <c r="HS296" s="332" t="str">
        <f t="shared" si="111"/>
        <v>•</v>
      </c>
      <c r="HT296" s="332" t="str">
        <f t="shared" si="112"/>
        <v>o</v>
      </c>
      <c r="HU296" s="332" t="str">
        <f t="shared" si="113"/>
        <v>o</v>
      </c>
      <c r="HV296" s="332" t="str">
        <f t="shared" si="114"/>
        <v>•</v>
      </c>
      <c r="HW296" s="332" t="str">
        <f t="shared" si="115"/>
        <v>o</v>
      </c>
      <c r="HX296" s="332" t="str">
        <f t="shared" si="116"/>
        <v>•</v>
      </c>
      <c r="HY296" s="332" t="str">
        <f t="shared" si="117"/>
        <v>o</v>
      </c>
      <c r="HZ296" s="332" t="str">
        <f t="shared" si="118"/>
        <v>o</v>
      </c>
      <c r="IA296" s="332" t="str">
        <f t="shared" si="119"/>
        <v>•</v>
      </c>
      <c r="IB296" s="338" t="str">
        <f t="shared" si="120"/>
        <v>o</v>
      </c>
      <c r="IC296" s="331" t="str">
        <f t="shared" si="121"/>
        <v>•</v>
      </c>
      <c r="ID296" s="332" t="str">
        <f t="shared" si="122"/>
        <v>o</v>
      </c>
      <c r="IE296" s="332" t="str">
        <f t="shared" si="123"/>
        <v>•</v>
      </c>
      <c r="IF296" s="332" t="str">
        <f t="shared" si="124"/>
        <v>o</v>
      </c>
      <c r="IG296" s="332" t="str">
        <f t="shared" si="125"/>
        <v>•</v>
      </c>
      <c r="IH296" s="332" t="str">
        <f t="shared" si="126"/>
        <v>•</v>
      </c>
      <c r="II296" s="332" t="str">
        <f t="shared" si="127"/>
        <v>o</v>
      </c>
      <c r="IJ296" s="332" t="str">
        <f t="shared" si="128"/>
        <v>•</v>
      </c>
      <c r="IK296" s="332" t="str">
        <f t="shared" si="129"/>
        <v>o</v>
      </c>
      <c r="IL296" s="332" t="str">
        <f t="shared" si="130"/>
        <v>•</v>
      </c>
      <c r="IM296" s="332" t="str">
        <f t="shared" si="131"/>
        <v>•</v>
      </c>
      <c r="IN296" s="332" t="str">
        <f t="shared" si="132"/>
        <v>o</v>
      </c>
      <c r="IO296" s="338" t="str">
        <f t="shared" si="133"/>
        <v>•</v>
      </c>
      <c r="IP296" s="346" t="b">
        <f t="shared" si="134"/>
        <v>0</v>
      </c>
      <c r="IQ296" s="347" t="b">
        <f t="shared" si="135"/>
        <v>0</v>
      </c>
      <c r="IR296" s="347" t="b">
        <f t="shared" si="136"/>
        <v>0</v>
      </c>
      <c r="IS296" s="347" t="b">
        <f t="shared" si="137"/>
        <v>0</v>
      </c>
      <c r="IT296" s="347" t="b">
        <f t="shared" si="138"/>
        <v>1</v>
      </c>
      <c r="IU296" s="347" t="b">
        <f t="shared" si="139"/>
        <v>0</v>
      </c>
      <c r="IV296" s="347" t="b">
        <f t="shared" si="140"/>
        <v>0</v>
      </c>
      <c r="IW296" s="347" t="b">
        <f t="shared" si="141"/>
        <v>0</v>
      </c>
      <c r="IX296" s="347" t="b">
        <f t="shared" si="142"/>
        <v>0</v>
      </c>
      <c r="IY296" s="347" t="b">
        <f t="shared" si="143"/>
        <v>0</v>
      </c>
      <c r="IZ296" s="347" t="b">
        <f t="shared" si="144"/>
        <v>0</v>
      </c>
      <c r="JA296" s="347" t="b">
        <f t="shared" si="145"/>
        <v>0</v>
      </c>
      <c r="JB296" s="353" t="b">
        <f t="shared" si="146"/>
        <v>0</v>
      </c>
      <c r="JC296" s="354" t="str">
        <f t="shared" si="147"/>
        <v/>
      </c>
      <c r="JD296" s="355" t="str">
        <f t="shared" si="148"/>
        <v/>
      </c>
      <c r="JE296" s="355" t="str">
        <f t="shared" si="149"/>
        <v/>
      </c>
      <c r="JF296" s="355" t="str">
        <f t="shared" si="150"/>
        <v/>
      </c>
      <c r="JG296" s="355" t="str">
        <f t="shared" si="151"/>
        <v>Ga, </v>
      </c>
      <c r="JH296" s="355" t="str">
        <f t="shared" si="152"/>
        <v/>
      </c>
      <c r="JI296" s="355" t="str">
        <f t="shared" si="153"/>
        <v/>
      </c>
      <c r="JJ296" s="355" t="str">
        <f t="shared" si="154"/>
        <v/>
      </c>
      <c r="JK296" s="355" t="str">
        <f t="shared" si="155"/>
        <v/>
      </c>
      <c r="JL296" s="355" t="str">
        <f t="shared" si="156"/>
        <v/>
      </c>
      <c r="JM296" s="355" t="str">
        <f t="shared" si="157"/>
        <v/>
      </c>
      <c r="JN296" s="355" t="str">
        <f t="shared" si="158"/>
        <v/>
      </c>
      <c r="JO296" s="359" t="str">
        <f t="shared" si="159"/>
        <v/>
      </c>
      <c r="JP296" s="346" t="b">
        <f t="shared" si="160"/>
        <v>0</v>
      </c>
      <c r="JQ296" s="347" t="b">
        <f t="shared" si="161"/>
        <v>0</v>
      </c>
      <c r="JR296" s="347" t="b">
        <f t="shared" si="162"/>
        <v>0</v>
      </c>
      <c r="JS296" s="347" t="b">
        <f t="shared" si="163"/>
        <v>0</v>
      </c>
      <c r="JT296" s="347" t="b">
        <f t="shared" si="164"/>
        <v>0</v>
      </c>
      <c r="JU296" s="347" t="b">
        <f t="shared" si="165"/>
        <v>0</v>
      </c>
      <c r="JV296" s="347" t="b">
        <f t="shared" si="166"/>
        <v>0</v>
      </c>
      <c r="JW296" s="347" t="b">
        <f t="shared" si="167"/>
        <v>0</v>
      </c>
      <c r="JX296" s="347" t="b">
        <f t="shared" si="168"/>
        <v>0</v>
      </c>
      <c r="JY296" s="347" t="b">
        <f t="shared" si="169"/>
        <v>0</v>
      </c>
      <c r="JZ296" s="347" t="b">
        <f t="shared" si="170"/>
        <v>0</v>
      </c>
      <c r="KA296" s="347" t="b">
        <f t="shared" si="171"/>
        <v>0</v>
      </c>
      <c r="KB296" s="365" t="b">
        <f t="shared" si="172"/>
        <v>0</v>
      </c>
      <c r="KC296" s="354" t="str">
        <f t="shared" si="173"/>
        <v/>
      </c>
      <c r="KD296" s="355" t="str">
        <f t="shared" si="174"/>
        <v/>
      </c>
      <c r="KE296" s="355" t="str">
        <f t="shared" si="175"/>
        <v/>
      </c>
      <c r="KF296" s="355" t="str">
        <f t="shared" si="176"/>
        <v/>
      </c>
      <c r="KG296" s="355" t="str">
        <f t="shared" si="177"/>
        <v/>
      </c>
      <c r="KH296" s="355" t="str">
        <f t="shared" si="178"/>
        <v/>
      </c>
      <c r="KI296" s="355" t="str">
        <f t="shared" si="179"/>
        <v/>
      </c>
      <c r="KJ296" s="355" t="str">
        <f t="shared" si="180"/>
        <v/>
      </c>
      <c r="KK296" s="355" t="str">
        <f t="shared" si="181"/>
        <v/>
      </c>
      <c r="KL296" s="355" t="str">
        <f t="shared" si="182"/>
        <v/>
      </c>
      <c r="KM296" s="355" t="str">
        <f t="shared" si="183"/>
        <v/>
      </c>
      <c r="KN296" s="355" t="str">
        <f t="shared" si="184"/>
        <v/>
      </c>
      <c r="KO296" s="359"/>
      <c r="KP296" s="378"/>
      <c r="KQ296" s="379" t="s">
        <v>9</v>
      </c>
      <c r="KR296" s="380" t="s">
        <v>1478</v>
      </c>
      <c r="KS296" s="381" t="s">
        <v>9</v>
      </c>
      <c r="KT296" s="382">
        <f t="shared" si="186"/>
        <v>0</v>
      </c>
      <c r="KU296" s="383">
        <f t="shared" si="187"/>
        <v>0</v>
      </c>
      <c r="KV296" s="381" t="str">
        <f t="shared" si="205"/>
        <v>S-n-d-m-g-r-S</v>
      </c>
      <c r="KW296" s="382">
        <f t="shared" si="189"/>
        <v>6</v>
      </c>
      <c r="KX296" s="384">
        <f t="shared" si="190"/>
        <v>6</v>
      </c>
      <c r="KY296" s="382">
        <f t="shared" ref="KY296:KZ296" si="820">KW296-KT296</f>
        <v>6</v>
      </c>
      <c r="KZ296" s="369">
        <f t="shared" si="820"/>
        <v>6</v>
      </c>
      <c r="LA296" s="385" t="str">
        <f t="shared" si="192"/>
        <v>-</v>
      </c>
      <c r="LB296" s="340" t="str">
        <f>IFERROR(__xludf.DUMMYFUNCTION("JOIN("""",ArrayFormula(MID(KS296,LEN(KS296)-SEQUENCE(1,LEN(KS296))+1,1)))"),"S")</f>
        <v>S</v>
      </c>
      <c r="LC296" s="373" t="str">
        <f>IFERROR(__xludf.DUMMYFUNCTION("JOIN("""",ArrayFormula(MID(KV296,LEN(KV296)-SEQUENCE(1,LEN(KV296))+1,1)))"),"S-r-g-m-d-n-S")</f>
        <v>S-r-g-m-d-n-S</v>
      </c>
      <c r="LD296" s="373" t="str">
        <f t="shared" si="193"/>
        <v>S</v>
      </c>
      <c r="LE296" s="339" t="str">
        <f t="shared" si="194"/>
        <v>SrgmdnS</v>
      </c>
      <c r="LF296" s="386" t="str">
        <f>IFERROR(__xludf.DUMMYFUNCTION("SUBSTITUTE(SUBSTITUTE(CONCATENATE(JOIN("""",LH296:LT296)),""1"",""""),""2"","""")"),"SrgmdnS")</f>
        <v>SrgmdnS</v>
      </c>
      <c r="LG296" s="369" t="str">
        <f t="shared" si="195"/>
        <v>-</v>
      </c>
      <c r="LH296" s="387" t="str">
        <f>IFERROR(__xludf.DUMMYFUNCTION("IF(REGEXMATCH(LD296, ""S""), ""S"",IF(REGEXMATCH(LE296, ""S""), ""S"",""""))"),"S")</f>
        <v>S</v>
      </c>
      <c r="LI296" s="299" t="str">
        <f>IFERROR(__xludf.DUMMYFUNCTION("IF(REGEXMATCH(LD296, ""r""), ""r1"",IF(REGEXMATCH(LE296, ""r""), ""r2"",""""))"),"r2")</f>
        <v>r2</v>
      </c>
      <c r="LJ296" s="299" t="str">
        <f>IFERROR(__xludf.DUMMYFUNCTION("IF(REGEXMATCH(LD296, ""R""), ""R1"",IF(REGEXMATCH(LE296, ""R""), ""R2"",""""))"),"")</f>
        <v/>
      </c>
      <c r="LK296" s="299" t="str">
        <f>IFERROR(__xludf.DUMMYFUNCTION("IF(REGEXMATCH(LD296, ""g""), ""g1"",IF(REGEXMATCH(LE296, ""g""), ""g2"",""""))"),"g2")</f>
        <v>g2</v>
      </c>
      <c r="LL296" s="299" t="str">
        <f>IFERROR(__xludf.DUMMYFUNCTION("IF(REGEXMATCH(LD296, ""G""), ""G1"",IF(REGEXMATCH(LE296, ""G""), ""G2"",""""))"),"")</f>
        <v/>
      </c>
      <c r="LM296" s="299" t="str">
        <f>IFERROR(__xludf.DUMMYFUNCTION("IF(REGEXMATCH(LD296, ""m""), ""m1"",IF(REGEXMATCH(LE296, ""m""), ""m2"",""""))"),"m2")</f>
        <v>m2</v>
      </c>
      <c r="LN296" s="299" t="str">
        <f>IFERROR(__xludf.DUMMYFUNCTION("IF(REGEXMATCH(LD296, ""M""), ""M1"",IF(REGEXMATCH(LE296, ""M""), ""M2"",""""))"),"")</f>
        <v/>
      </c>
      <c r="LO296" s="299" t="str">
        <f>IFERROR(__xludf.DUMMYFUNCTION("IF(REGEXMATCH(LD296, ""P""), ""P1"",IF(REGEXMATCH(LE296, ""P""), ""P2"",""""))"),"")</f>
        <v/>
      </c>
      <c r="LP296" s="299" t="str">
        <f>IFERROR(__xludf.DUMMYFUNCTION("IF(REGEXMATCH(LD296, ""d""), ""d1"",IF(REGEXMATCH(LE296, ""d""), ""d2"",""""))"),"d2")</f>
        <v>d2</v>
      </c>
      <c r="LQ296" s="299" t="str">
        <f>IFERROR(__xludf.DUMMYFUNCTION("IF(REGEXMATCH(LD296, ""D""), ""D1"",IF(REGEXMATCH(LE296, ""D""), ""D2"",""""))"),"")</f>
        <v/>
      </c>
      <c r="LR296" s="299" t="str">
        <f>IFERROR(__xludf.DUMMYFUNCTION("IF(REGEXMATCH(LD296, ""n""), ""n1"",IF(REGEXMATCH(LE296, ""n""), ""n2"",""""))"),"n2")</f>
        <v>n2</v>
      </c>
      <c r="LS296" s="299" t="str">
        <f>IFERROR(__xludf.DUMMYFUNCTION("IF(REGEXMATCH(LD296, ""N""), ""N1"",IF(REGEXMATCH(LE296, ""N""), ""N2"",""""))"),"")</f>
        <v/>
      </c>
      <c r="LT296" s="388" t="str">
        <f>IFERROR(__xludf.DUMMYFUNCTION("IF(REGEXMATCH(LD296, ""S""), ""S"",IF(REGEXMATCH(LE296, ""S""), ""S"",""""))"),"S")</f>
        <v>S</v>
      </c>
      <c r="LU296" s="389">
        <f t="shared" si="196"/>
        <v>-11</v>
      </c>
      <c r="LV296" s="378"/>
      <c r="LW296" s="369"/>
      <c r="LX296" s="369"/>
    </row>
    <row r="297" ht="18.0" customHeight="1">
      <c r="A297" s="298" t="s">
        <v>1117</v>
      </c>
      <c r="B297" s="222" t="s">
        <v>1118</v>
      </c>
      <c r="C297" s="233" t="str">
        <f t="shared" si="7"/>
        <v>SrgPDnS</v>
      </c>
      <c r="D297" s="234" t="str">
        <f>IFERROR(__xludf.DUMMYFUNCTION("IF(REGEXMATCH(C297, ""S""), ""S"","""")"),"S")</f>
        <v>S</v>
      </c>
      <c r="E297" s="236" t="str">
        <f>IFERROR(__xludf.DUMMYFUNCTION("IF(REGEXMATCH(C297, ""r""), ""r"","""")"),"r")</f>
        <v>r</v>
      </c>
      <c r="F297" s="237" t="str">
        <f>IFERROR(__xludf.DUMMYFUNCTION("IF(REGEXMATCH(C297, ""R""), ""R"","""")"),"")</f>
        <v/>
      </c>
      <c r="G297" s="237" t="str">
        <f>IFERROR(__xludf.DUMMYFUNCTION("IF(REGEXMATCH(C297, ""g""), ""g"","""")"),"g")</f>
        <v>g</v>
      </c>
      <c r="H297" s="236" t="str">
        <f>IFERROR(__xludf.DUMMYFUNCTION("IF(REGEXMATCH(C297, ""G""), ""G"","""")"),"")</f>
        <v/>
      </c>
      <c r="I297" s="236" t="str">
        <f>IFERROR(__xludf.DUMMYFUNCTION("IF(REGEXMATCH(C297, ""m""), ""m"","""")"),"")</f>
        <v/>
      </c>
      <c r="J297" s="237" t="str">
        <f>IFERROR(__xludf.DUMMYFUNCTION("IF(REGEXMATCH(C297, ""M""), ""M"","""")"),"")</f>
        <v/>
      </c>
      <c r="K297" s="236" t="str">
        <f>IFERROR(__xludf.DUMMYFUNCTION("IF(REGEXMATCH(C297, ""P""), ""P"","""")"),"P")</f>
        <v>P</v>
      </c>
      <c r="L297" s="237" t="str">
        <f>IFERROR(__xludf.DUMMYFUNCTION("IF(REGEXMATCH(C297, ""d""), ""d"","""")"),"")</f>
        <v/>
      </c>
      <c r="M297" s="236" t="str">
        <f>IFERROR(__xludf.DUMMYFUNCTION("IF(REGEXMATCH(C297, ""D""), ""D"","""")"),"D")</f>
        <v>D</v>
      </c>
      <c r="N297" s="236" t="str">
        <f>IFERROR(__xludf.DUMMYFUNCTION("IF(REGEXMATCH(C297, ""n""), ""n"","""")"),"n")</f>
        <v>n</v>
      </c>
      <c r="O297" s="237" t="str">
        <f>IFERROR(__xludf.DUMMYFUNCTION("IF(REGEXMATCH(C297, ""N""), ""N"","""")"),"")</f>
        <v/>
      </c>
      <c r="P297" s="238" t="str">
        <f>IFERROR(__xludf.DUMMYFUNCTION("IF(REGEXMATCH(C297, ""S""), ""S"","""")"),"S")</f>
        <v>S</v>
      </c>
      <c r="Q297" s="239" t="str">
        <f>IFERROR(__xludf.DUMMYFUNCTION("SUBSTITUTE(CONCATENATE(JOIN(""-"",D297:J297)),""-"","""")"),"Srg")</f>
        <v>Srg</v>
      </c>
      <c r="R297" s="229" t="str">
        <f>IFERROR(__xludf.DUMMYFUNCTION("SUBSTITUTE(CONCATENATE(JOIN(""-"",K297:P297)),""-"","""")"),"PDnS")</f>
        <v>PDnS</v>
      </c>
      <c r="S297" s="282" t="str">
        <f t="shared" si="8"/>
        <v>S-R-G-</v>
      </c>
      <c r="T297" s="282" t="str">
        <f t="shared" si="9"/>
        <v>P-D-N-S</v>
      </c>
      <c r="U297" s="237" t="str">
        <f>IFERROR(__xludf.DUMMYFUNCTION("SUBSTITUTE(JOIN(""-"",S297,T297),""--"",""-"")"),"S-R-G-P-D-N-S")</f>
        <v>S-R-G-P-D-N-S</v>
      </c>
      <c r="V297" s="309" t="str">
        <f t="shared" si="10"/>
        <v>rgDn</v>
      </c>
      <c r="W297" s="244" t="str">
        <f>IFERROR(__xludf.DUMMYFUNCTION("IF(REGEXMATCH(C297, ""S""), ""0"","""")"),"0")</f>
        <v>0</v>
      </c>
      <c r="X297" s="245" t="str">
        <f>IFERROR(__xludf.DUMMYFUNCTION("IF(REGEXMATCH(C297, ""r""), ""1"","""")"),"1")</f>
        <v>1</v>
      </c>
      <c r="Y297" s="246" t="str">
        <f>IFERROR(__xludf.DUMMYFUNCTION("IF(REGEXMATCH(C297, ""R""), ""2"","""")"),"")</f>
        <v/>
      </c>
      <c r="Z297" s="246" t="str">
        <f>IFERROR(__xludf.DUMMYFUNCTION("IF(REGEXMATCH(C297, ""g""), ""3"","""")"),"3")</f>
        <v>3</v>
      </c>
      <c r="AA297" s="245" t="str">
        <f>IFERROR(__xludf.DUMMYFUNCTION("IF(REGEXMATCH(C297, ""G""), ""4"","""")"),"")</f>
        <v/>
      </c>
      <c r="AB297" s="245" t="str">
        <f>IFERROR(__xludf.DUMMYFUNCTION("IF(REGEXMATCH(C297, ""m""), ""5"","""")"),"")</f>
        <v/>
      </c>
      <c r="AC297" s="246" t="str">
        <f>IFERROR(__xludf.DUMMYFUNCTION("IF(REGEXMATCH(C297, ""M""), ""6"","""")"),"")</f>
        <v/>
      </c>
      <c r="AD297" s="245" t="str">
        <f>IFERROR(__xludf.DUMMYFUNCTION("IF(REGEXMATCH(C297, ""P""), ""7"","""")"),"7")</f>
        <v>7</v>
      </c>
      <c r="AE297" s="246" t="str">
        <f>IFERROR(__xludf.DUMMYFUNCTION("IF(REGEXMATCH(C297, ""d""), ""8"","""")"),"")</f>
        <v/>
      </c>
      <c r="AF297" s="245" t="str">
        <f>IFERROR(__xludf.DUMMYFUNCTION("IF(REGEXMATCH(C297, ""D""), ""9"","""")"),"9")</f>
        <v>9</v>
      </c>
      <c r="AG297" s="245" t="str">
        <f>IFERROR(__xludf.DUMMYFUNCTION("IF(REGEXMATCH(C297, ""n""), ""10"","""")"),"10")</f>
        <v>10</v>
      </c>
      <c r="AH297" s="246" t="str">
        <f>IFERROR(__xludf.DUMMYFUNCTION("IF(REGEXMATCH(C297, ""N""), ""11"","""")"),"")</f>
        <v/>
      </c>
      <c r="AI297" s="249" t="str">
        <f>IFERROR(__xludf.DUMMYFUNCTION("IF(REGEXMATCH(C297, ""S""), ""0"","""")"),"0")</f>
        <v>0</v>
      </c>
      <c r="AJ297" s="313" t="str">
        <f t="shared" si="11"/>
        <v>-</v>
      </c>
      <c r="AK297" s="313" t="str">
        <f t="shared" si="12"/>
        <v>T</v>
      </c>
      <c r="AL297" s="313" t="str">
        <f t="shared" si="13"/>
        <v>-</v>
      </c>
      <c r="AM297" s="313" t="str">
        <f t="shared" si="14"/>
        <v>T</v>
      </c>
      <c r="AN297" s="313" t="str">
        <f t="shared" si="15"/>
        <v>-</v>
      </c>
      <c r="AO297" s="314" t="str">
        <f t="shared" si="16"/>
        <v>-</v>
      </c>
      <c r="AP297" s="316">
        <f t="shared" si="17"/>
        <v>2</v>
      </c>
      <c r="AQ297" s="319" t="str">
        <f t="shared" si="18"/>
        <v>#REF!</v>
      </c>
      <c r="AR297" s="320">
        <f t="shared" si="19"/>
        <v>0</v>
      </c>
      <c r="AS297" s="250" t="str">
        <f>IFERROR(__xludf.DUMMYFUNCTION("SUBSTITUTE(SUBSTITUTE(CONCATENATE(JOIN("""",FP297:GA297)),""|"",""x""),""-"",""o"")"),"xxoxoooxoxxo")</f>
        <v>xxoxoooxoxxo</v>
      </c>
      <c r="AT297" s="323" t="str">
        <f>IFERROR(__xludf.DUMMYFUNCTION("JOIN("""",AS297,AS297)"),"xxoxoooxoxxoxxoxoooxoxxo")</f>
        <v>xxoxoooxoxxoxxoxoooxoxxo</v>
      </c>
      <c r="AU297" s="256" t="str">
        <f>IFERROR(__xludf.DUMMYFUNCTION("JOIN("""",ArrayFormula(MID(AS297,LEN(AS297)-SEQUENCE(1,LEN(AS297))+1,1)))"),"oxxoxoooxoxx")</f>
        <v>oxxoxoooxoxx</v>
      </c>
      <c r="AV297" s="256" t="str">
        <f>IFERROR(__xludf.DUMMYFUNCTION("LEFT(CONCATENATE(""x"",JOIN("""",ArrayFormula(MID(AS297,LEN(AS297)-SEQUENCE(1,LEN(AS297))+1,1)))),12)"),"xoxxoxoooxox")</f>
        <v>xoxxoxoooxox</v>
      </c>
      <c r="AW297" s="327" t="str">
        <f>IFERROR(__xludf.DUMMYFUNCTION("JOIN("""",AU297,AU297)"),"oxxoxoooxoxxoxxoxoooxoxx")</f>
        <v>oxxoxoooxoxxoxxoxoooxoxx</v>
      </c>
      <c r="AX297" s="239" t="str">
        <f>IFERROR(__xludf.DUMMYFUNCTION("IF(REGEXMATCH(AW297,AS297),""✔"",""-"")"),"✔")</f>
        <v>✔</v>
      </c>
      <c r="AY297" s="330" t="str">
        <f t="shared" si="20"/>
        <v>-</v>
      </c>
      <c r="AZ297" s="260" t="str">
        <f t="shared" si="21"/>
        <v>#REF!</v>
      </c>
      <c r="BA297" s="333" t="str">
        <f t="shared" si="22"/>
        <v>xxoxooo</v>
      </c>
      <c r="BB297" s="334" t="str">
        <f t="shared" si="23"/>
        <v>xoxxox</v>
      </c>
      <c r="BC297" s="335" t="str">
        <f t="shared" si="236"/>
        <v>-</v>
      </c>
      <c r="BD297" s="336" t="str">
        <f t="shared" si="25"/>
        <v>Salagavarali: 'xxoxooo' + 'xoxxox'</v>
      </c>
      <c r="BE297" s="337">
        <f>IFERROR(__xludf.DUMMYFUNCTION("COUNTUNIQUE(FILTER(AT:AT,REGEXMATCH(AT:AT,AS297)))-1"),0.0)</f>
        <v>0</v>
      </c>
      <c r="BF297" s="261" t="str">
        <f>IFERROR(__xludf.DUMMYFUNCTION("IF(BI297=0,""(n/a)"",IF(BJ297=2,""(PAIR)"",IF(REGEXMATCH(AT297,""xoxoxxoxoxox""),""Bilawal"",IF(REGEXMATCH(AT297,""xoxoxooxoxoo""),""Bhupali"",IF(REGEXMATCH(AT297,""xoxoxxoxxoxo""),""Charukeshi"",IF(REGEXMATCH(AT297,""xoxoooxxoxxo""),""Kameshwari"",IF(REG"&amp;"EXMATCH(AT297,""xoxoxooxoxox""),""Shankara"",IF(REGEXMATCH(AT297,""xxooxoxxxoox""),""Basant"",IF(REGEXMATCH(AT297,""xoxoxxxxoxox""),""Bihag"",IF(REGEXMATCH(AT297,""xoxxxxoxoxxx""),""Pilu"",IF(REGEXMATCH(AT297,""xoxxoxoxxoox""),""Kirwani"",IF(REGEXMATCH(AT"&amp;"297,""xoxxoxoxoxxx""),""Mk.Malhar"",IF(REGEXMATCH(AT297,""xxooxxoxxoox""),""Bhairav"",IF(REGEXMATCH(AT297,""xxoxooxxxoox""),""Todi"",IF(REGEXMATCH(AT297,""xxooxoxooxox""),""Marwa"",IF(REGEXMATCH(AT297,""xxoooxoxxooo""),""Gunkali"",IF(REGEXMATCH(AT297,""xo"&amp;"xoxxoxxoox""),""Nat Bhairav"",IF(REGEXMATCH(AT297,""xoxxoooxoxoo""),""Shivranjani"",IF(REGEXMATCH(AT297,""xooxxxoxooxo""),""Jog"",IF(REGEXMATCH(AT297,""xxooxoxoxoox""),""Hemshri"",IF(REGEXMATCH(AT297,""xoooxooxoxxo""),""Kalavati"",IF(REGEXMATCH(AT297,""xx"&amp;"oxoxxoxoox""),""Kedar"",IF(REGEXMATCH(AT297,""xoxxxxoxooxx""),""Gara"",IF(REGEXMATCH(AT297,""xooxoxooxoox""),""Chandrakauns"",IF(REGEXMATCH(AT297,""xoxxxxoxxxox""),""Mand"",IF(REGEXMATCH(AT297,""xoxxxxoxoxox""),""Hanskinkini"",IF(REGEXMATCH(AT297,""xxooxx"&amp;"oxooxo""),""Lilavati"",IF(REGEXMATCH(AT297,""xooxoxoooxox""),""Rajeshwari"",IF(REGEXMATCH(AT297,""xoooxxoxoxxx""),""Khokar"",IF(REGEXMATCH(AT297,""xxooxoxxxxox""),""Maligoura"",""-""))))))))))))))))))))))))))))))"),"(n/a)")</f>
        <v>(n/a)</v>
      </c>
      <c r="BG297" s="239" t="str">
        <f t="shared" si="26"/>
        <v>#REF!</v>
      </c>
      <c r="BH297" s="239">
        <f>IFERROR(__xludf.DUMMYFUNCTION("COUNTUNIQUE(FE297:FO297)-1"),5.0)</f>
        <v>5</v>
      </c>
      <c r="BI297" s="239">
        <f>IFERROR(__xludf.DUMMYFUNCTION("COUNTUNIQUE(FILTER(AT:AT,REGEXMATCH(AT:AT,AS297)))-1"),0.0)</f>
        <v>0</v>
      </c>
      <c r="BJ297" s="239">
        <f>IFERROR(__xludf.DUMMYFUNCTION("COUNTA(FILTER(AT:AT,REGEXMATCH(AT:AT,AS297)))"),1.0)</f>
        <v>1</v>
      </c>
      <c r="BK297" s="341">
        <f>IFERROR(__xludf.DUMMYFUNCTION("COUNTA(FILTER(AT:AT,REGEXMATCH(AT:AT,AS297)))-AR297"),1.0)</f>
        <v>1</v>
      </c>
      <c r="BL297" s="276" t="str">
        <f>IFERROR(__xludf.DUMMYFUNCTION("IF(AS297=""oooooooooooo"",""-"",IF(REGEXMATCH(AT297,""xx""), ""Hemi."", ""Anhemi.""))"),"Hemi.")</f>
        <v>Hemi.</v>
      </c>
      <c r="BM297" s="282" t="str">
        <f>IFERROR(__xludf.DUMMYFUNCTION("IF(AS297=""oooooooooooo"",""-"",IF(REGEXMATCH(AT297,""xxx""), ""Cohem."", ""-""))"),"-")</f>
        <v>-</v>
      </c>
      <c r="BN297" s="282" t="str">
        <f>IFERROR(__xludf.DUMMYFUNCTION("IF(AS297=""oooooooooooo"",""-"",IF(REGEXMATCH(AT297,""xxxx""), ""Co-Co."", ""-""))"),"-")</f>
        <v>-</v>
      </c>
      <c r="BO297" s="342" t="str">
        <f>IFERROR(__xludf.DUMMYFUNCTION("IF(AS297=""oooooooooooo"",""-"",IF(REGEXMATCH(AT297,""xxxxx""), ""CCC."", ""-""))"),"-")</f>
        <v>-</v>
      </c>
      <c r="BP297" s="344" t="str">
        <f t="shared" si="27"/>
        <v>-</v>
      </c>
      <c r="BQ297" s="282" t="str">
        <f>IFERROR(__xludf.DUMMYFUNCTION("IF(REGEXMATCH(JOIN(""-"",EU297:FD297),""TRUE""),""✔"",""-"")"),"-")</f>
        <v>-</v>
      </c>
      <c r="BR297" s="225">
        <f t="shared" si="28"/>
        <v>0</v>
      </c>
      <c r="BS297" s="345" t="str">
        <f>IFERROR(__xludf.DUMMYFUNCTION("SUBSTITUTE(SUBSTITUTE(SUBSTITUTE(SUBSTITUTE(CONCATENATE(JOIN(""-"",GC297:GO297)),""--"",""-""),""--"",""-""),""--"",""-""),""--"",""-"")"),"1-b2-b3-5-6-b7-8")</f>
        <v>1-b2-b3-5-6-b7-8</v>
      </c>
      <c r="BT297" s="299" t="str">
        <f>IFERROR(__xludf.DUMMYFUNCTION("SUBSTITUTE(SUBSTITUTE(SUBSTITUTE(SUBSTITUTE(CONCATENATE(JOIN(""-"",GP297:HB297)),""--"",""-""),""--"",""-""),""--"",""-""),""--"",""-"")"),"S-R1-G2-P-D2-N2-S")</f>
        <v>S-R1-G2-P-D2-N2-S</v>
      </c>
      <c r="BU297" s="348" t="str">
        <f t="shared" si="29"/>
        <v>C-Db-Eb-G-A-Bb-C</v>
      </c>
      <c r="BV297" s="349" t="str">
        <f t="shared" si="30"/>
        <v>SRGmMdNS</v>
      </c>
      <c r="BW297" s="350">
        <f t="shared" si="31"/>
        <v>0</v>
      </c>
      <c r="BX297" s="351">
        <f t="shared" si="32"/>
        <v>1</v>
      </c>
      <c r="BY297" s="352" t="s">
        <v>275</v>
      </c>
      <c r="BZ297" s="309" t="str">
        <f>IFERROR(__xludf.DUMMYFUNCTION("IF(REGEXMATCH(C297, ""S""), ""x"",""x"")"),"x")</f>
        <v>x</v>
      </c>
      <c r="CA297" s="245" t="str">
        <f>IFERROR(__xludf.DUMMYFUNCTION("IF(REGEXMATCH(C297, ""r""), ""o"",""x"")"),"o")</f>
        <v>o</v>
      </c>
      <c r="CB297" s="246" t="str">
        <f>IFERROR(__xludf.DUMMYFUNCTION("IF(REGEXMATCH(C297, ""R""), ""o"",""x"")"),"x")</f>
        <v>x</v>
      </c>
      <c r="CC297" s="246" t="str">
        <f>IFERROR(__xludf.DUMMYFUNCTION("IF(REGEXMATCH(C297, ""g""), ""o"",""x"")"),"o")</f>
        <v>o</v>
      </c>
      <c r="CD297" s="245" t="str">
        <f>IFERROR(__xludf.DUMMYFUNCTION("IF(REGEXMATCH(C297, ""G""), ""o"",""x"")"),"x")</f>
        <v>x</v>
      </c>
      <c r="CE297" s="245" t="str">
        <f>IFERROR(__xludf.DUMMYFUNCTION("IF(REGEXMATCH(C297, ""m""), ""o"",""x"")"),"x")</f>
        <v>x</v>
      </c>
      <c r="CF297" s="246" t="str">
        <f>IFERROR(__xludf.DUMMYFUNCTION("IF(REGEXMATCH(C297, ""M""), ""o"",""x"")"),"x")</f>
        <v>x</v>
      </c>
      <c r="CG297" s="245" t="str">
        <f>IFERROR(__xludf.DUMMYFUNCTION("IF(REGEXMATCH(C297, ""P""), ""o"",""x"")"),"o")</f>
        <v>o</v>
      </c>
      <c r="CH297" s="246" t="str">
        <f>IFERROR(__xludf.DUMMYFUNCTION("IF(REGEXMATCH(C297, ""d""), ""o"",""x"")"),"x")</f>
        <v>x</v>
      </c>
      <c r="CI297" s="245" t="str">
        <f>IFERROR(__xludf.DUMMYFUNCTION("IF(REGEXMATCH(C297, ""D""), ""o"",""x"")"),"o")</f>
        <v>o</v>
      </c>
      <c r="CJ297" s="245" t="str">
        <f>IFERROR(__xludf.DUMMYFUNCTION("IF(REGEXMATCH(C297, ""n""), ""o"",""x"")"),"o")</f>
        <v>o</v>
      </c>
      <c r="CK297" s="245" t="str">
        <f>IFERROR(__xludf.DUMMYFUNCTION("IF(REGEXMATCH(C297, ""N""), ""o"",""x"")"),"x")</f>
        <v>x</v>
      </c>
      <c r="CL297" s="356" t="str">
        <f>IFERROR(__xludf.DUMMYFUNCTION("IF(REGEXMATCH(C297, ""S""), ""x"",""x"")"),"x")</f>
        <v>x</v>
      </c>
      <c r="CM297" s="357" t="str">
        <f t="shared" si="33"/>
        <v>xoxoxxxoxoox</v>
      </c>
      <c r="CN297" s="358">
        <f t="shared" si="34"/>
        <v>0</v>
      </c>
      <c r="CO297" s="246" t="str">
        <f>IFERROR(__xludf.DUMMYFUNCTION("IF(REGEXMATCH($C297, ""S""), ""S"",""S"")"),"S")</f>
        <v>S</v>
      </c>
      <c r="CP297" s="246" t="str">
        <f>IFERROR(__xludf.DUMMYFUNCTION("IF(REGEXMATCH($C297, ""r""), """",""r"")"),"")</f>
        <v/>
      </c>
      <c r="CQ297" s="246" t="str">
        <f>IFERROR(__xludf.DUMMYFUNCTION("IF(REGEXMATCH($C297, ""R""), """",""R"")"),"R")</f>
        <v>R</v>
      </c>
      <c r="CR297" s="246" t="str">
        <f>IFERROR(__xludf.DUMMYFUNCTION("IF(REGEXMATCH($C297, ""g""), """",""g"")"),"")</f>
        <v/>
      </c>
      <c r="CS297" s="246" t="str">
        <f>IFERROR(__xludf.DUMMYFUNCTION("IF(REGEXMATCH($C297, ""G""), """",""G"")"),"G")</f>
        <v>G</v>
      </c>
      <c r="CT297" s="246" t="str">
        <f>IFERROR(__xludf.DUMMYFUNCTION("IF(REGEXMATCH($C297, ""m""), """",""m"")"),"m")</f>
        <v>m</v>
      </c>
      <c r="CU297" s="246" t="str">
        <f>IFERROR(__xludf.DUMMYFUNCTION("IF(REGEXMATCH($C297, ""M""), """",""M"")"),"M")</f>
        <v>M</v>
      </c>
      <c r="CV297" s="246" t="str">
        <f>IFERROR(__xludf.DUMMYFUNCTION("IF(REGEXMATCH($C297, ""P""), """",""P"")"),"")</f>
        <v/>
      </c>
      <c r="CW297" s="246" t="str">
        <f>IFERROR(__xludf.DUMMYFUNCTION("IF(REGEXMATCH($C297, ""d""), """",""d"")"),"d")</f>
        <v>d</v>
      </c>
      <c r="CX297" s="246" t="str">
        <f>IFERROR(__xludf.DUMMYFUNCTION("IF(REGEXMATCH($C297, ""D""), """",""D"")"),"")</f>
        <v/>
      </c>
      <c r="CY297" s="246" t="str">
        <f>IFERROR(__xludf.DUMMYFUNCTION("IF(REGEXMATCH($C297, ""n""), """",""n"")"),"")</f>
        <v/>
      </c>
      <c r="CZ297" s="246" t="str">
        <f>IFERROR(__xludf.DUMMYFUNCTION("IF(REGEXMATCH($C297, ""N""), """",""N"")"),"N")</f>
        <v>N</v>
      </c>
      <c r="DA297" s="246" t="str">
        <f>IFERROR(__xludf.DUMMYFUNCTION("IF(REGEXMATCH($C297, ""S""), ""S"",""S"")"),"S")</f>
        <v>S</v>
      </c>
      <c r="DB297" s="362" t="str">
        <f>IFERROR(__xludf.DUMMYFUNCTION("JOIN("""",CO297:DA297,"""","""")"),"SRGmMdNS")</f>
        <v>SRGmMdNS</v>
      </c>
      <c r="DC297" s="363"/>
      <c r="DD297" s="301" t="str">
        <f t="shared" si="35"/>
        <v>#REF!</v>
      </c>
      <c r="DE297" s="302" t="str">
        <f t="shared" si="36"/>
        <v>#REF!</v>
      </c>
      <c r="DF297" s="301" t="str">
        <f t="shared" ref="DF297:DG297" si="821">SUBSTITUTE(S297,"-","")</f>
        <v>SRG</v>
      </c>
      <c r="DG297" s="301" t="str">
        <f t="shared" si="821"/>
        <v>PDNS</v>
      </c>
      <c r="DH297" s="302" t="str">
        <f t="shared" si="38"/>
        <v>(n/a)</v>
      </c>
      <c r="DI297" s="301" t="str">
        <f t="shared" si="39"/>
        <v>Hemi.</v>
      </c>
      <c r="DJ297" s="364" t="str">
        <f t="shared" si="40"/>
        <v>-</v>
      </c>
      <c r="DK297" s="306" t="str">
        <f t="shared" si="41"/>
        <v>-</v>
      </c>
      <c r="DL297" s="366" t="str">
        <f t="shared" si="42"/>
        <v>-</v>
      </c>
      <c r="DM297" s="308" t="str">
        <f t="shared" si="43"/>
        <v>✔</v>
      </c>
      <c r="DN297" s="306" t="str">
        <f t="shared" si="44"/>
        <v>-</v>
      </c>
      <c r="DO297" s="306" t="str">
        <f t="shared" si="45"/>
        <v>-</v>
      </c>
      <c r="DP297" s="367" t="str">
        <f t="shared" si="46"/>
        <v>-</v>
      </c>
      <c r="DQ297" s="310" t="str">
        <f t="shared" si="47"/>
        <v>-</v>
      </c>
      <c r="DR297" s="310" t="str">
        <f t="shared" si="48"/>
        <v>-</v>
      </c>
      <c r="DS297" s="310" t="str">
        <f t="shared" si="49"/>
        <v>-</v>
      </c>
      <c r="DT297" s="310" t="str">
        <f t="shared" si="50"/>
        <v>-</v>
      </c>
      <c r="DU297" s="370" t="str">
        <f t="shared" si="51"/>
        <v>-</v>
      </c>
      <c r="DV297" s="306" t="str">
        <f t="shared" si="52"/>
        <v>-</v>
      </c>
      <c r="DW297" s="306" t="str">
        <f t="shared" si="53"/>
        <v>-</v>
      </c>
      <c r="DX297" s="306" t="str">
        <f t="shared" si="54"/>
        <v>✔</v>
      </c>
      <c r="DY297" s="306" t="str">
        <f t="shared" si="55"/>
        <v>-</v>
      </c>
      <c r="DZ297" s="306" t="str">
        <f t="shared" si="56"/>
        <v>-</v>
      </c>
      <c r="EA297" s="367" t="str">
        <f t="shared" si="57"/>
        <v>-</v>
      </c>
      <c r="EB297" s="310" t="str">
        <f>IFERROR(__xludf.DUMMYFUNCTION("IF(REGEXMATCH(AW297,AS297),""✔"",""-"")"),"✔")</f>
        <v>✔</v>
      </c>
      <c r="EC297" s="310" t="str">
        <f t="shared" si="58"/>
        <v>#REF!</v>
      </c>
      <c r="ED297" s="370" t="str">
        <f t="shared" si="59"/>
        <v>-</v>
      </c>
      <c r="EE297" s="340" t="str">
        <f t="shared" si="60"/>
        <v>S-r-g-P-D-n-S</v>
      </c>
      <c r="EF297" s="371" t="str">
        <f>IFERROR(__xludf.DUMMYFUNCTION("CONCATENATE(JOIN("""",HC297:HO297))"),"SRgmDNS")</f>
        <v>SRgmDNS</v>
      </c>
      <c r="EG297" s="372">
        <f t="shared" si="61"/>
        <v>4</v>
      </c>
      <c r="EH297" s="373" t="str">
        <f>IFERROR(__xludf.DUMMYFUNCTION("CONCATENATE(JOIN("""",JC297:JO297))"),"re, Pa, Dha, ni, ")</f>
        <v>re, Pa, Dha, ni, </v>
      </c>
      <c r="EI297" s="322">
        <f t="shared" si="62"/>
        <v>2</v>
      </c>
      <c r="EJ297" s="374" t="str">
        <f>IFERROR(__xludf.DUMMYFUNCTION("CONCATENATE(JOIN("""",KC297:KO297))"),"re, Dha, ")</f>
        <v>re, Dha, </v>
      </c>
      <c r="EK297" s="325" t="str">
        <f t="shared" si="63"/>
        <v>S-R1-G2-P-D2-N2-S</v>
      </c>
      <c r="EL297" s="326" t="str">
        <f t="shared" si="64"/>
        <v>1-b2-b3-5-6-b7-8</v>
      </c>
      <c r="EM297" s="318" t="str">
        <f t="shared" si="65"/>
        <v>#REF!</v>
      </c>
      <c r="EN297" s="328" t="str">
        <f>IFERROR(__xludf.DUMMYFUNCTION("SUBSTITUTE(SUBSTITUTE(SUBSTITUTE(SUBSTITUTE(CONCATENATE(JOIN("" "",HP297:IB297)),""  "","" ""),""  "","" ""),""  "","" ""),""  "","" "")"),"o o • o • • • o • o o • o")</f>
        <v>o o • o • • • o • o o • o</v>
      </c>
      <c r="EO297" s="368" t="str">
        <f t="shared" si="66"/>
        <v>Sa-Pa</v>
      </c>
      <c r="EP297" s="339" t="str">
        <f t="shared" si="67"/>
        <v>-</v>
      </c>
      <c r="EQ297" s="339" t="str">
        <f t="shared" si="68"/>
        <v>Sa-Pa</v>
      </c>
      <c r="ER297" s="339" t="str">
        <f t="shared" si="69"/>
        <v>Sa-Pa</v>
      </c>
      <c r="ES297" s="340" t="str">
        <f t="shared" si="70"/>
        <v>-</v>
      </c>
      <c r="ET297" s="363"/>
      <c r="EU297" s="376" t="b">
        <f>IFERROR(__xludf.DUMMYFUNCTION("arrayformula(sum(--REGEXMATCH(""SRGMPDNS"",split(REGEXREPLACE(C297,""(.)"",""$1~""),""~""))))=len(C297)
"),FALSE)</f>
        <v>0</v>
      </c>
      <c r="EV297" s="290" t="b">
        <f>IFERROR(__xludf.DUMMYFUNCTION("arrayformula(sum(--REGEXMATCH(""SRGmPDNS"",split(REGEXREPLACE(C297,""(.)"",""$1~""),""~""))))=len(C297)"),FALSE)</f>
        <v>0</v>
      </c>
      <c r="EW297" s="290" t="b">
        <f>IFERROR(__xludf.DUMMYFUNCTION("arrayformula(sum(--REGEXMATCH(""SRGmPDnS"",split(REGEXREPLACE(C297,""(.)"",""$1~""),""~""))))=len(C297)"),FALSE)</f>
        <v>0</v>
      </c>
      <c r="EX297" s="290" t="b">
        <f>IFERROR(__xludf.DUMMYFUNCTION("arrayformula(sum(--REGEXMATCH(""SRgmPDnS"",split(REGEXREPLACE(C297,""(.)"",""$1~""),""~""))))=len(C297)"),FALSE)</f>
        <v>0</v>
      </c>
      <c r="EY297" s="290" t="b">
        <f>IFERROR(__xludf.DUMMYFUNCTION("arrayformula(sum(--REGEXMATCH(""SRgmPdnS"",split(REGEXREPLACE(C297,""(.)"",""$1~""),""~""))))=len(C297)"),FALSE)</f>
        <v>0</v>
      </c>
      <c r="EZ297" s="290" t="b">
        <f>IFERROR(__xludf.DUMMYFUNCTION("arrayformula(sum(--REGEXMATCH(""SrgmPdnS"",split(REGEXREPLACE(C297,""(.)"",""$1~""),""~""))))=len(C297)"),FALSE)</f>
        <v>0</v>
      </c>
      <c r="FA297" s="290" t="b">
        <f>IFERROR(__xludf.DUMMYFUNCTION("arrayformula(sum(--REGEXMATCH(""SrGmPdNS"",split(REGEXREPLACE(C297,""(.)"",""$1~""),""~""))))=len(C297)"),FALSE)</f>
        <v>0</v>
      </c>
      <c r="FB297" s="290" t="b">
        <f>IFERROR(__xludf.DUMMYFUNCTION("arrayformula(sum(--REGEXMATCH(""SrGMPDNS"",split(REGEXREPLACE(C297,""(.)"",""$1~""),""~""))))=len(C297)"),FALSE)</f>
        <v>0</v>
      </c>
      <c r="FC297" s="290" t="b">
        <f>IFERROR(__xludf.DUMMYFUNCTION("arrayformula(sum(--REGEXMATCH(""SrGMPdNS"",split(REGEXREPLACE(C297,""(.)"",""$1~""),""~""))))=len(C297)"),FALSE)</f>
        <v>0</v>
      </c>
      <c r="FD297" s="377" t="b">
        <f>IFERROR(__xludf.DUMMYFUNCTION("arrayformula(sum(--REGEXMATCH(""SrgMPdNS"",split(REGEXREPLACE(C297,""(.)"",""$1~""),""~""))))=len(C297)"),FALSE)</f>
        <v>0</v>
      </c>
      <c r="FE297" s="269" t="str">
        <f t="shared" si="71"/>
        <v>xoxoooxoxxo</v>
      </c>
      <c r="FF297" s="269" t="str">
        <f t="shared" si="72"/>
        <v>-</v>
      </c>
      <c r="FG297" s="271" t="str">
        <f t="shared" si="73"/>
        <v>xoooxoxxoxx</v>
      </c>
      <c r="FH297" s="269" t="str">
        <f t="shared" si="74"/>
        <v>-</v>
      </c>
      <c r="FI297" s="271" t="str">
        <f t="shared" si="75"/>
        <v>-</v>
      </c>
      <c r="FJ297" s="271" t="str">
        <f t="shared" si="76"/>
        <v>-</v>
      </c>
      <c r="FK297" s="271" t="str">
        <f t="shared" si="77"/>
        <v>xoxxoxxoxoo</v>
      </c>
      <c r="FL297" s="271" t="str">
        <f t="shared" si="78"/>
        <v>-</v>
      </c>
      <c r="FM297" s="271" t="str">
        <f t="shared" si="79"/>
        <v>xxoxxoxooox</v>
      </c>
      <c r="FN297" s="271" t="str">
        <f t="shared" si="80"/>
        <v>xoxxoxoooxo</v>
      </c>
      <c r="FO297" s="274" t="str">
        <f t="shared" si="81"/>
        <v>-</v>
      </c>
      <c r="FP297" s="234" t="str">
        <f t="shared" si="82"/>
        <v>|</v>
      </c>
      <c r="FQ297" s="236" t="str">
        <f t="shared" si="83"/>
        <v>|</v>
      </c>
      <c r="FR297" s="237" t="str">
        <f t="shared" si="84"/>
        <v>-</v>
      </c>
      <c r="FS297" s="236" t="str">
        <f t="shared" si="85"/>
        <v>|</v>
      </c>
      <c r="FT297" s="237" t="str">
        <f t="shared" si="86"/>
        <v>-</v>
      </c>
      <c r="FU297" s="236" t="str">
        <f t="shared" si="87"/>
        <v>-</v>
      </c>
      <c r="FV297" s="237" t="str">
        <f t="shared" si="88"/>
        <v>-</v>
      </c>
      <c r="FW297" s="236" t="str">
        <f t="shared" si="89"/>
        <v>|</v>
      </c>
      <c r="FX297" s="237" t="str">
        <f t="shared" si="90"/>
        <v>-</v>
      </c>
      <c r="FY297" s="236" t="str">
        <f t="shared" si="91"/>
        <v>|</v>
      </c>
      <c r="FZ297" s="237" t="str">
        <f t="shared" si="92"/>
        <v>|</v>
      </c>
      <c r="GA297" s="236" t="str">
        <f t="shared" si="93"/>
        <v>-</v>
      </c>
      <c r="GB297" s="238" t="str">
        <f t="shared" si="94"/>
        <v>|</v>
      </c>
      <c r="GC297" s="244" t="str">
        <f>IFERROR(__xludf.DUMMYFUNCTION("IF(REGEXMATCH(C297, ""S""), ""1"","""")"),"1")</f>
        <v>1</v>
      </c>
      <c r="GD297" s="245" t="str">
        <f>IFERROR(__xludf.DUMMYFUNCTION("IF(REGEXMATCH(C297, ""r""), ""b2"","""")"),"b2")</f>
        <v>b2</v>
      </c>
      <c r="GE297" s="246" t="str">
        <f>IFERROR(__xludf.DUMMYFUNCTION("IF(REGEXMATCH(C297, ""R""), ""2"","""")"),"")</f>
        <v/>
      </c>
      <c r="GF297" s="246" t="str">
        <f>IFERROR(__xludf.DUMMYFUNCTION("IF(REGEXMATCH(C297, ""g""), ""b3"","""")"),"b3")</f>
        <v>b3</v>
      </c>
      <c r="GG297" s="245" t="str">
        <f>IFERROR(__xludf.DUMMYFUNCTION("IF(REGEXMATCH(C297, ""G""), ""3"","""")"),"")</f>
        <v/>
      </c>
      <c r="GH297" s="245" t="str">
        <f>IFERROR(__xludf.DUMMYFUNCTION("IF(REGEXMATCH(C297, ""m""), ""4"","""")"),"")</f>
        <v/>
      </c>
      <c r="GI297" s="246" t="str">
        <f>IFERROR(__xludf.DUMMYFUNCTION("IF(REGEXMATCH(C297, ""M""), ""#4"","""")"),"")</f>
        <v/>
      </c>
      <c r="GJ297" s="245" t="str">
        <f>IFERROR(__xludf.DUMMYFUNCTION("IF(REGEXMATCH(C297, ""P""), ""5"","""")"),"5")</f>
        <v>5</v>
      </c>
      <c r="GK297" s="246" t="str">
        <f>IFERROR(__xludf.DUMMYFUNCTION("IF(REGEXMATCH(C297, ""d""), ""b6"","""")"),"")</f>
        <v/>
      </c>
      <c r="GL297" s="245" t="str">
        <f>IFERROR(__xludf.DUMMYFUNCTION("IF(REGEXMATCH(C297, ""D""), ""6"","""")"),"6")</f>
        <v>6</v>
      </c>
      <c r="GM297" s="245" t="str">
        <f>IFERROR(__xludf.DUMMYFUNCTION("IF(REGEXMATCH(C297, ""n""), ""b7"","""")"),"b7")</f>
        <v>b7</v>
      </c>
      <c r="GN297" s="246" t="str">
        <f>IFERROR(__xludf.DUMMYFUNCTION("IF(REGEXMATCH(C297, ""N""), ""7"","""")"),"")</f>
        <v/>
      </c>
      <c r="GO297" s="249" t="str">
        <f>IFERROR(__xludf.DUMMYFUNCTION("IF(REGEXMATCH(C297, ""S""), ""8"","""")"),"8")</f>
        <v>8</v>
      </c>
      <c r="GP297" s="244" t="str">
        <f>IFERROR(__xludf.DUMMYFUNCTION("IF(REGEXMATCH(C297, ""S""), ""S"","""")"),"S")</f>
        <v>S</v>
      </c>
      <c r="GQ297" s="294" t="str">
        <f>IFERROR(__xludf.DUMMYFUNCTION("IF(REGEXMATCH(C297, ""r""), ""R1"","""")"),"R1")</f>
        <v>R1</v>
      </c>
      <c r="GR297" s="295" t="str">
        <f>IFERROR(__xludf.DUMMYFUNCTION("IF(REGEXMATCH(C297, ""R""), ""R2"","""")"),"")</f>
        <v/>
      </c>
      <c r="GS297" s="295" t="str">
        <f>IFERROR(__xludf.DUMMYFUNCTION("IF(REGEXMATCH(C297, ""g""), ""G2"","""")"),"G2")</f>
        <v>G2</v>
      </c>
      <c r="GT297" s="294" t="str">
        <f>IFERROR(__xludf.DUMMYFUNCTION("IF(REGEXMATCH(C297, ""G""), ""G3"","""")"),"")</f>
        <v/>
      </c>
      <c r="GU297" s="294" t="str">
        <f>IFERROR(__xludf.DUMMYFUNCTION("IF(REGEXMATCH(C297, ""m""), ""M1"","""")"),"")</f>
        <v/>
      </c>
      <c r="GV297" s="295" t="str">
        <f>IFERROR(__xludf.DUMMYFUNCTION("IF(REGEXMATCH(C297, ""M""), ""M2"","""")"),"")</f>
        <v/>
      </c>
      <c r="GW297" s="294" t="str">
        <f>IFERROR(__xludf.DUMMYFUNCTION("IF(REGEXMATCH(C297, ""P""), ""P"","""")"),"P")</f>
        <v>P</v>
      </c>
      <c r="GX297" s="295" t="str">
        <f>IFERROR(__xludf.DUMMYFUNCTION("IF(REGEXMATCH(C297, ""d""), ""D1"","""")"),"")</f>
        <v/>
      </c>
      <c r="GY297" s="294" t="str">
        <f>IFERROR(__xludf.DUMMYFUNCTION("IF(REGEXMATCH(C297, ""D""), ""D2"","""")"),"D2")</f>
        <v>D2</v>
      </c>
      <c r="GZ297" s="294" t="str">
        <f>IFERROR(__xludf.DUMMYFUNCTION("IF(REGEXMATCH(C297, ""n""), ""N2"","""")"),"N2")</f>
        <v>N2</v>
      </c>
      <c r="HA297" s="295" t="str">
        <f>IFERROR(__xludf.DUMMYFUNCTION("IF(REGEXMATCH(C297, ""N""), ""N3"","""")"),"")</f>
        <v/>
      </c>
      <c r="HB297" s="249" t="str">
        <f>IFERROR(__xludf.DUMMYFUNCTION("IF(REGEXMATCH(C297, ""S""), ""S"","""")"),"S")</f>
        <v>S</v>
      </c>
      <c r="HC297" s="331" t="str">
        <f t="shared" si="95"/>
        <v>S</v>
      </c>
      <c r="HD297" s="332" t="str">
        <f t="shared" si="96"/>
        <v/>
      </c>
      <c r="HE297" s="332" t="str">
        <f t="shared" si="97"/>
        <v>R</v>
      </c>
      <c r="HF297" s="332" t="str">
        <f t="shared" si="98"/>
        <v>g</v>
      </c>
      <c r="HG297" s="332" t="str">
        <f t="shared" si="99"/>
        <v/>
      </c>
      <c r="HH297" s="332" t="str">
        <f t="shared" si="100"/>
        <v>m</v>
      </c>
      <c r="HI297" s="332" t="str">
        <f t="shared" si="101"/>
        <v/>
      </c>
      <c r="HJ297" s="332" t="str">
        <f t="shared" si="102"/>
        <v/>
      </c>
      <c r="HK297" s="332" t="str">
        <f t="shared" si="103"/>
        <v/>
      </c>
      <c r="HL297" s="332" t="str">
        <f t="shared" si="104"/>
        <v>D</v>
      </c>
      <c r="HM297" s="332" t="str">
        <f t="shared" si="105"/>
        <v/>
      </c>
      <c r="HN297" s="332" t="str">
        <f t="shared" si="106"/>
        <v>N</v>
      </c>
      <c r="HO297" s="343" t="str">
        <f t="shared" si="107"/>
        <v>S</v>
      </c>
      <c r="HP297" s="331" t="str">
        <f t="shared" si="108"/>
        <v>o</v>
      </c>
      <c r="HQ297" s="332" t="str">
        <f t="shared" si="109"/>
        <v>o</v>
      </c>
      <c r="HR297" s="332" t="str">
        <f t="shared" si="110"/>
        <v>•</v>
      </c>
      <c r="HS297" s="332" t="str">
        <f t="shared" si="111"/>
        <v>o</v>
      </c>
      <c r="HT297" s="332" t="str">
        <f t="shared" si="112"/>
        <v>•</v>
      </c>
      <c r="HU297" s="332" t="str">
        <f t="shared" si="113"/>
        <v>•</v>
      </c>
      <c r="HV297" s="332" t="str">
        <f t="shared" si="114"/>
        <v>•</v>
      </c>
      <c r="HW297" s="332" t="str">
        <f t="shared" si="115"/>
        <v>o</v>
      </c>
      <c r="HX297" s="332" t="str">
        <f t="shared" si="116"/>
        <v>•</v>
      </c>
      <c r="HY297" s="332" t="str">
        <f t="shared" si="117"/>
        <v>o</v>
      </c>
      <c r="HZ297" s="332" t="str">
        <f t="shared" si="118"/>
        <v>o</v>
      </c>
      <c r="IA297" s="332" t="str">
        <f t="shared" si="119"/>
        <v>•</v>
      </c>
      <c r="IB297" s="338" t="str">
        <f t="shared" si="120"/>
        <v>o</v>
      </c>
      <c r="IC297" s="331" t="str">
        <f t="shared" si="121"/>
        <v>•</v>
      </c>
      <c r="ID297" s="332" t="str">
        <f t="shared" si="122"/>
        <v>•</v>
      </c>
      <c r="IE297" s="332" t="str">
        <f t="shared" si="123"/>
        <v>o</v>
      </c>
      <c r="IF297" s="332" t="str">
        <f t="shared" si="124"/>
        <v>•</v>
      </c>
      <c r="IG297" s="332" t="str">
        <f t="shared" si="125"/>
        <v>o</v>
      </c>
      <c r="IH297" s="332" t="str">
        <f t="shared" si="126"/>
        <v>o</v>
      </c>
      <c r="II297" s="332" t="str">
        <f t="shared" si="127"/>
        <v>o</v>
      </c>
      <c r="IJ297" s="332" t="str">
        <f t="shared" si="128"/>
        <v>•</v>
      </c>
      <c r="IK297" s="332" t="str">
        <f t="shared" si="129"/>
        <v>o</v>
      </c>
      <c r="IL297" s="332" t="str">
        <f t="shared" si="130"/>
        <v>•</v>
      </c>
      <c r="IM297" s="332" t="str">
        <f t="shared" si="131"/>
        <v>•</v>
      </c>
      <c r="IN297" s="332" t="str">
        <f t="shared" si="132"/>
        <v>o</v>
      </c>
      <c r="IO297" s="338" t="str">
        <f t="shared" si="133"/>
        <v>•</v>
      </c>
      <c r="IP297" s="346" t="b">
        <f t="shared" si="134"/>
        <v>0</v>
      </c>
      <c r="IQ297" s="347" t="b">
        <f t="shared" si="135"/>
        <v>1</v>
      </c>
      <c r="IR297" s="347" t="b">
        <f t="shared" si="136"/>
        <v>0</v>
      </c>
      <c r="IS297" s="347" t="b">
        <f t="shared" si="137"/>
        <v>0</v>
      </c>
      <c r="IT297" s="347" t="b">
        <f t="shared" si="138"/>
        <v>0</v>
      </c>
      <c r="IU297" s="347" t="b">
        <f t="shared" si="139"/>
        <v>0</v>
      </c>
      <c r="IV297" s="347" t="b">
        <f t="shared" si="140"/>
        <v>0</v>
      </c>
      <c r="IW297" s="347" t="b">
        <f t="shared" si="141"/>
        <v>1</v>
      </c>
      <c r="IX297" s="347" t="b">
        <f t="shared" si="142"/>
        <v>0</v>
      </c>
      <c r="IY297" s="347" t="b">
        <f t="shared" si="143"/>
        <v>1</v>
      </c>
      <c r="IZ297" s="347" t="b">
        <f t="shared" si="144"/>
        <v>1</v>
      </c>
      <c r="JA297" s="347" t="b">
        <f t="shared" si="145"/>
        <v>0</v>
      </c>
      <c r="JB297" s="353" t="b">
        <f t="shared" si="146"/>
        <v>0</v>
      </c>
      <c r="JC297" s="354" t="str">
        <f t="shared" si="147"/>
        <v/>
      </c>
      <c r="JD297" s="355" t="str">
        <f t="shared" si="148"/>
        <v>re, </v>
      </c>
      <c r="JE297" s="355" t="str">
        <f t="shared" si="149"/>
        <v/>
      </c>
      <c r="JF297" s="355" t="str">
        <f t="shared" si="150"/>
        <v/>
      </c>
      <c r="JG297" s="355" t="str">
        <f t="shared" si="151"/>
        <v/>
      </c>
      <c r="JH297" s="355" t="str">
        <f t="shared" si="152"/>
        <v/>
      </c>
      <c r="JI297" s="355" t="str">
        <f t="shared" si="153"/>
        <v/>
      </c>
      <c r="JJ297" s="355" t="str">
        <f t="shared" si="154"/>
        <v>Pa, </v>
      </c>
      <c r="JK297" s="355" t="str">
        <f t="shared" si="155"/>
        <v/>
      </c>
      <c r="JL297" s="355" t="str">
        <f t="shared" si="156"/>
        <v>Dha, </v>
      </c>
      <c r="JM297" s="355" t="str">
        <f t="shared" si="157"/>
        <v>ni, </v>
      </c>
      <c r="JN297" s="355" t="str">
        <f t="shared" si="158"/>
        <v/>
      </c>
      <c r="JO297" s="359" t="str">
        <f t="shared" si="159"/>
        <v/>
      </c>
      <c r="JP297" s="346" t="b">
        <f t="shared" si="160"/>
        <v>0</v>
      </c>
      <c r="JQ297" s="347" t="b">
        <f t="shared" si="161"/>
        <v>1</v>
      </c>
      <c r="JR297" s="347" t="b">
        <f t="shared" si="162"/>
        <v>0</v>
      </c>
      <c r="JS297" s="347" t="b">
        <f t="shared" si="163"/>
        <v>0</v>
      </c>
      <c r="JT297" s="347" t="b">
        <f t="shared" si="164"/>
        <v>0</v>
      </c>
      <c r="JU297" s="347" t="b">
        <f t="shared" si="165"/>
        <v>0</v>
      </c>
      <c r="JV297" s="347" t="b">
        <f t="shared" si="166"/>
        <v>0</v>
      </c>
      <c r="JW297" s="347" t="b">
        <f t="shared" si="167"/>
        <v>0</v>
      </c>
      <c r="JX297" s="347" t="b">
        <f t="shared" si="168"/>
        <v>0</v>
      </c>
      <c r="JY297" s="347" t="b">
        <f t="shared" si="169"/>
        <v>1</v>
      </c>
      <c r="JZ297" s="347" t="b">
        <f t="shared" si="170"/>
        <v>0</v>
      </c>
      <c r="KA297" s="347" t="b">
        <f t="shared" si="171"/>
        <v>0</v>
      </c>
      <c r="KB297" s="365" t="b">
        <f t="shared" si="172"/>
        <v>0</v>
      </c>
      <c r="KC297" s="354" t="str">
        <f t="shared" si="173"/>
        <v/>
      </c>
      <c r="KD297" s="355" t="str">
        <f t="shared" si="174"/>
        <v>re, </v>
      </c>
      <c r="KE297" s="355" t="str">
        <f t="shared" si="175"/>
        <v/>
      </c>
      <c r="KF297" s="355" t="str">
        <f t="shared" si="176"/>
        <v/>
      </c>
      <c r="KG297" s="355" t="str">
        <f t="shared" si="177"/>
        <v/>
      </c>
      <c r="KH297" s="355" t="str">
        <f t="shared" si="178"/>
        <v/>
      </c>
      <c r="KI297" s="355" t="str">
        <f t="shared" si="179"/>
        <v/>
      </c>
      <c r="KJ297" s="355" t="str">
        <f t="shared" si="180"/>
        <v/>
      </c>
      <c r="KK297" s="355" t="str">
        <f t="shared" si="181"/>
        <v/>
      </c>
      <c r="KL297" s="355" t="str">
        <f t="shared" si="182"/>
        <v>Dha, </v>
      </c>
      <c r="KM297" s="355" t="str">
        <f t="shared" si="183"/>
        <v/>
      </c>
      <c r="KN297" s="355" t="str">
        <f t="shared" si="184"/>
        <v/>
      </c>
      <c r="KO297" s="359"/>
      <c r="KP297" s="378"/>
      <c r="KQ297" s="379" t="s">
        <v>1118</v>
      </c>
      <c r="KR297" s="380" t="s">
        <v>1479</v>
      </c>
      <c r="KS297" s="381" t="str">
        <f>KQ297</f>
        <v>S-r-g-P-D-n-S</v>
      </c>
      <c r="KT297" s="382">
        <f t="shared" si="186"/>
        <v>6</v>
      </c>
      <c r="KU297" s="383">
        <f t="shared" si="187"/>
        <v>6</v>
      </c>
      <c r="KV297" s="381" t="str">
        <f t="shared" si="205"/>
        <v>S-n-D-P-g-r-S</v>
      </c>
      <c r="KW297" s="382">
        <f t="shared" si="189"/>
        <v>6</v>
      </c>
      <c r="KX297" s="384">
        <f t="shared" si="190"/>
        <v>6</v>
      </c>
      <c r="KY297" s="382">
        <f t="shared" ref="KY297:KZ297" si="822">KW297-KT297</f>
        <v>0</v>
      </c>
      <c r="KZ297" s="369">
        <f t="shared" si="822"/>
        <v>0</v>
      </c>
      <c r="LA297" s="385" t="str">
        <f t="shared" si="192"/>
        <v>✔</v>
      </c>
      <c r="LB297" s="340" t="str">
        <f>IFERROR(__xludf.DUMMYFUNCTION("JOIN("""",ArrayFormula(MID(KS297,LEN(KS297)-SEQUENCE(1,LEN(KS297))+1,1)))"),"S-n-D-P-g-r-S")</f>
        <v>S-n-D-P-g-r-S</v>
      </c>
      <c r="LC297" s="373" t="str">
        <f>IFERROR(__xludf.DUMMYFUNCTION("JOIN("""",ArrayFormula(MID(KV297,LEN(KV297)-SEQUENCE(1,LEN(KV297))+1,1)))"),"S-r-g-P-D-n-S")</f>
        <v>S-r-g-P-D-n-S</v>
      </c>
      <c r="LD297" s="373" t="str">
        <f t="shared" si="193"/>
        <v>SrgPDnS</v>
      </c>
      <c r="LE297" s="339" t="str">
        <f t="shared" si="194"/>
        <v>SrgPDnS</v>
      </c>
      <c r="LF297" s="386" t="str">
        <f>IFERROR(__xludf.DUMMYFUNCTION("SUBSTITUTE(SUBSTITUTE(CONCATENATE(JOIN("""",LH297:LT297)),""1"",""""),""2"","""")"),"SrgPDnS")</f>
        <v>SrgPDnS</v>
      </c>
      <c r="LG297" s="369" t="str">
        <f t="shared" si="195"/>
        <v>✔</v>
      </c>
      <c r="LH297" s="387" t="str">
        <f>IFERROR(__xludf.DUMMYFUNCTION("IF(REGEXMATCH(LD297, ""S""), ""S"",IF(REGEXMATCH(LE297, ""S""), ""S"",""""))"),"S")</f>
        <v>S</v>
      </c>
      <c r="LI297" s="299" t="str">
        <f>IFERROR(__xludf.DUMMYFUNCTION("IF(REGEXMATCH(LD297, ""r""), ""r1"",IF(REGEXMATCH(LE297, ""r""), ""r2"",""""))"),"r1")</f>
        <v>r1</v>
      </c>
      <c r="LJ297" s="299" t="str">
        <f>IFERROR(__xludf.DUMMYFUNCTION("IF(REGEXMATCH(LD297, ""R""), ""R1"",IF(REGEXMATCH(LE297, ""R""), ""R2"",""""))"),"")</f>
        <v/>
      </c>
      <c r="LK297" s="299" t="str">
        <f>IFERROR(__xludf.DUMMYFUNCTION("IF(REGEXMATCH(LD297, ""g""), ""g1"",IF(REGEXMATCH(LE297, ""g""), ""g2"",""""))"),"g1")</f>
        <v>g1</v>
      </c>
      <c r="LL297" s="299" t="str">
        <f>IFERROR(__xludf.DUMMYFUNCTION("IF(REGEXMATCH(LD297, ""G""), ""G1"",IF(REGEXMATCH(LE297, ""G""), ""G2"",""""))"),"")</f>
        <v/>
      </c>
      <c r="LM297" s="299" t="str">
        <f>IFERROR(__xludf.DUMMYFUNCTION("IF(REGEXMATCH(LD297, ""m""), ""m1"",IF(REGEXMATCH(LE297, ""m""), ""m2"",""""))"),"")</f>
        <v/>
      </c>
      <c r="LN297" s="299" t="str">
        <f>IFERROR(__xludf.DUMMYFUNCTION("IF(REGEXMATCH(LD297, ""M""), ""M1"",IF(REGEXMATCH(LE297, ""M""), ""M2"",""""))"),"")</f>
        <v/>
      </c>
      <c r="LO297" s="299" t="str">
        <f>IFERROR(__xludf.DUMMYFUNCTION("IF(REGEXMATCH(LD297, ""P""), ""P1"",IF(REGEXMATCH(LE297, ""P""), ""P2"",""""))"),"P1")</f>
        <v>P1</v>
      </c>
      <c r="LP297" s="299" t="str">
        <f>IFERROR(__xludf.DUMMYFUNCTION("IF(REGEXMATCH(LD297, ""d""), ""d1"",IF(REGEXMATCH(LE297, ""d""), ""d2"",""""))"),"")</f>
        <v/>
      </c>
      <c r="LQ297" s="299" t="str">
        <f>IFERROR(__xludf.DUMMYFUNCTION("IF(REGEXMATCH(LD297, ""D""), ""D1"",IF(REGEXMATCH(LE297, ""D""), ""D2"",""""))"),"D1")</f>
        <v>D1</v>
      </c>
      <c r="LR297" s="299" t="str">
        <f>IFERROR(__xludf.DUMMYFUNCTION("IF(REGEXMATCH(LD297, ""n""), ""n1"",IF(REGEXMATCH(LE297, ""n""), ""n2"",""""))"),"n1")</f>
        <v>n1</v>
      </c>
      <c r="LS297" s="299" t="str">
        <f>IFERROR(__xludf.DUMMYFUNCTION("IF(REGEXMATCH(LD297, ""N""), ""N1"",IF(REGEXMATCH(LE297, ""N""), ""N2"",""""))"),"")</f>
        <v/>
      </c>
      <c r="LT297" s="388" t="str">
        <f>IFERROR(__xludf.DUMMYFUNCTION("IF(REGEXMATCH(LD297, ""S""), ""S"",IF(REGEXMATCH(LE297, ""S""), ""S"",""""))"),"S")</f>
        <v>S</v>
      </c>
      <c r="LU297" s="389">
        <f t="shared" si="196"/>
        <v>1</v>
      </c>
      <c r="LV297" s="378"/>
      <c r="LW297" s="369"/>
      <c r="LX297" s="369"/>
    </row>
    <row r="298" ht="18.0" customHeight="1">
      <c r="A298" s="298" t="s">
        <v>1120</v>
      </c>
      <c r="B298" s="222" t="s">
        <v>997</v>
      </c>
      <c r="C298" s="233" t="str">
        <f t="shared" si="7"/>
        <v>SRmPDnNS</v>
      </c>
      <c r="D298" s="234" t="str">
        <f>IFERROR(__xludf.DUMMYFUNCTION("IF(REGEXMATCH(C298, ""S""), ""S"","""")"),"S")</f>
        <v>S</v>
      </c>
      <c r="E298" s="236" t="str">
        <f>IFERROR(__xludf.DUMMYFUNCTION("IF(REGEXMATCH(C298, ""r""), ""r"","""")"),"")</f>
        <v/>
      </c>
      <c r="F298" s="237" t="str">
        <f>IFERROR(__xludf.DUMMYFUNCTION("IF(REGEXMATCH(C298, ""R""), ""R"","""")"),"R")</f>
        <v>R</v>
      </c>
      <c r="G298" s="237" t="str">
        <f>IFERROR(__xludf.DUMMYFUNCTION("IF(REGEXMATCH(C298, ""g""), ""g"","""")"),"")</f>
        <v/>
      </c>
      <c r="H298" s="236" t="str">
        <f>IFERROR(__xludf.DUMMYFUNCTION("IF(REGEXMATCH(C298, ""G""), ""G"","""")"),"")</f>
        <v/>
      </c>
      <c r="I298" s="236" t="str">
        <f>IFERROR(__xludf.DUMMYFUNCTION("IF(REGEXMATCH(C298, ""m""), ""m"","""")"),"m")</f>
        <v>m</v>
      </c>
      <c r="J298" s="237" t="str">
        <f>IFERROR(__xludf.DUMMYFUNCTION("IF(REGEXMATCH(C298, ""M""), ""M"","""")"),"")</f>
        <v/>
      </c>
      <c r="K298" s="236" t="str">
        <f>IFERROR(__xludf.DUMMYFUNCTION("IF(REGEXMATCH(C298, ""P""), ""P"","""")"),"P")</f>
        <v>P</v>
      </c>
      <c r="L298" s="237" t="str">
        <f>IFERROR(__xludf.DUMMYFUNCTION("IF(REGEXMATCH(C298, ""d""), ""d"","""")"),"")</f>
        <v/>
      </c>
      <c r="M298" s="236" t="str">
        <f>IFERROR(__xludf.DUMMYFUNCTION("IF(REGEXMATCH(C298, ""D""), ""D"","""")"),"D")</f>
        <v>D</v>
      </c>
      <c r="N298" s="236" t="str">
        <f>IFERROR(__xludf.DUMMYFUNCTION("IF(REGEXMATCH(C298, ""n""), ""n"","""")"),"n")</f>
        <v>n</v>
      </c>
      <c r="O298" s="237" t="str">
        <f>IFERROR(__xludf.DUMMYFUNCTION("IF(REGEXMATCH(C298, ""N""), ""N"","""")"),"N")</f>
        <v>N</v>
      </c>
      <c r="P298" s="238" t="str">
        <f>IFERROR(__xludf.DUMMYFUNCTION("IF(REGEXMATCH(C298, ""S""), ""S"","""")"),"S")</f>
        <v>S</v>
      </c>
      <c r="Q298" s="239" t="str">
        <f>IFERROR(__xludf.DUMMYFUNCTION("SUBSTITUTE(CONCATENATE(JOIN(""-"",D298:J298)),""-"","""")"),"SRm")</f>
        <v>SRm</v>
      </c>
      <c r="R298" s="229" t="str">
        <f>IFERROR(__xludf.DUMMYFUNCTION("SUBSTITUTE(CONCATENATE(JOIN(""-"",K298:P298)),""-"","""")"),"PDnNS")</f>
        <v>PDnNS</v>
      </c>
      <c r="S298" s="282" t="str">
        <f t="shared" si="8"/>
        <v>S-R-M</v>
      </c>
      <c r="T298" s="282" t="str">
        <f t="shared" si="9"/>
        <v>P-D-N-S</v>
      </c>
      <c r="U298" s="237" t="str">
        <f>IFERROR(__xludf.DUMMYFUNCTION("SUBSTITUTE(JOIN(""-"",S298,T298),""--"",""-"")"),"S-R-M-P-D-N-S")</f>
        <v>S-R-M-P-D-N-S</v>
      </c>
      <c r="V298" s="309" t="str">
        <f t="shared" si="10"/>
        <v>RmDnN</v>
      </c>
      <c r="W298" s="244" t="str">
        <f>IFERROR(__xludf.DUMMYFUNCTION("IF(REGEXMATCH(C298, ""S""), ""0"","""")"),"0")</f>
        <v>0</v>
      </c>
      <c r="X298" s="245" t="str">
        <f>IFERROR(__xludf.DUMMYFUNCTION("IF(REGEXMATCH(C298, ""r""), ""1"","""")"),"")</f>
        <v/>
      </c>
      <c r="Y298" s="246" t="str">
        <f>IFERROR(__xludf.DUMMYFUNCTION("IF(REGEXMATCH(C298, ""R""), ""2"","""")"),"2")</f>
        <v>2</v>
      </c>
      <c r="Z298" s="246" t="str">
        <f>IFERROR(__xludf.DUMMYFUNCTION("IF(REGEXMATCH(C298, ""g""), ""3"","""")"),"")</f>
        <v/>
      </c>
      <c r="AA298" s="245" t="str">
        <f>IFERROR(__xludf.DUMMYFUNCTION("IF(REGEXMATCH(C298, ""G""), ""4"","""")"),"")</f>
        <v/>
      </c>
      <c r="AB298" s="245" t="str">
        <f>IFERROR(__xludf.DUMMYFUNCTION("IF(REGEXMATCH(C298, ""m""), ""5"","""")"),"5")</f>
        <v>5</v>
      </c>
      <c r="AC298" s="246" t="str">
        <f>IFERROR(__xludf.DUMMYFUNCTION("IF(REGEXMATCH(C298, ""M""), ""6"","""")"),"")</f>
        <v/>
      </c>
      <c r="AD298" s="245" t="str">
        <f>IFERROR(__xludf.DUMMYFUNCTION("IF(REGEXMATCH(C298, ""P""), ""7"","""")"),"7")</f>
        <v>7</v>
      </c>
      <c r="AE298" s="246" t="str">
        <f>IFERROR(__xludf.DUMMYFUNCTION("IF(REGEXMATCH(C298, ""d""), ""8"","""")"),"")</f>
        <v/>
      </c>
      <c r="AF298" s="245" t="str">
        <f>IFERROR(__xludf.DUMMYFUNCTION("IF(REGEXMATCH(C298, ""D""), ""9"","""")"),"9")</f>
        <v>9</v>
      </c>
      <c r="AG298" s="245" t="str">
        <f>IFERROR(__xludf.DUMMYFUNCTION("IF(REGEXMATCH(C298, ""n""), ""10"","""")"),"10")</f>
        <v>10</v>
      </c>
      <c r="AH298" s="246" t="str">
        <f>IFERROR(__xludf.DUMMYFUNCTION("IF(REGEXMATCH(C298, ""N""), ""11"","""")"),"11")</f>
        <v>11</v>
      </c>
      <c r="AI298" s="249" t="str">
        <f>IFERROR(__xludf.DUMMYFUNCTION("IF(REGEXMATCH(C298, ""S""), ""0"","""")"),"0")</f>
        <v>0</v>
      </c>
      <c r="AJ298" s="313" t="str">
        <f t="shared" si="11"/>
        <v>-</v>
      </c>
      <c r="AK298" s="313" t="str">
        <f t="shared" si="12"/>
        <v>-</v>
      </c>
      <c r="AL298" s="313" t="str">
        <f t="shared" si="13"/>
        <v>-</v>
      </c>
      <c r="AM298" s="313" t="str">
        <f t="shared" si="14"/>
        <v>-</v>
      </c>
      <c r="AN298" s="313" t="str">
        <f t="shared" si="15"/>
        <v>-</v>
      </c>
      <c r="AO298" s="314" t="str">
        <f t="shared" si="16"/>
        <v>T</v>
      </c>
      <c r="AP298" s="316">
        <f t="shared" si="17"/>
        <v>1</v>
      </c>
      <c r="AQ298" s="319" t="str">
        <f t="shared" si="18"/>
        <v>#REF!</v>
      </c>
      <c r="AR298" s="320">
        <f t="shared" si="19"/>
        <v>0</v>
      </c>
      <c r="AS298" s="250" t="str">
        <f>IFERROR(__xludf.DUMMYFUNCTION("SUBSTITUTE(SUBSTITUTE(CONCATENATE(JOIN("""",FP298:GA298)),""|"",""x""),""-"",""o"")"),"xoxooxoxoxxx")</f>
        <v>xoxooxoxoxxx</v>
      </c>
      <c r="AT298" s="323" t="str">
        <f>IFERROR(__xludf.DUMMYFUNCTION("JOIN("""",AS298,AS298)"),"xoxooxoxoxxxxoxooxoxoxxx")</f>
        <v>xoxooxoxoxxxxoxooxoxoxxx</v>
      </c>
      <c r="AU298" s="256" t="str">
        <f>IFERROR(__xludf.DUMMYFUNCTION("JOIN("""",ArrayFormula(MID(AS298,LEN(AS298)-SEQUENCE(1,LEN(AS298))+1,1)))"),"xxxoxoxooxox")</f>
        <v>xxxoxoxooxox</v>
      </c>
      <c r="AV298" s="256" t="str">
        <f>IFERROR(__xludf.DUMMYFUNCTION("LEFT(CONCATENATE(""x"",JOIN("""",ArrayFormula(MID(AS298,LEN(AS298)-SEQUENCE(1,LEN(AS298))+1,1)))),12)"),"xxxxoxoxooxo")</f>
        <v>xxxxoxoxooxo</v>
      </c>
      <c r="AW298" s="327" t="str">
        <f>IFERROR(__xludf.DUMMYFUNCTION("JOIN("""",AU298,AU298)"),"xxxoxoxooxoxxxxoxoxooxox")</f>
        <v>xxxoxoxooxoxxxxoxoxooxox</v>
      </c>
      <c r="AX298" s="239" t="str">
        <f>IFERROR(__xludf.DUMMYFUNCTION("IF(REGEXMATCH(AW298,AS298),""✔"",""-"")"),"-")</f>
        <v>-</v>
      </c>
      <c r="AY298" s="330" t="str">
        <f t="shared" si="20"/>
        <v>-</v>
      </c>
      <c r="AZ298" s="260" t="str">
        <f t="shared" si="21"/>
        <v>#REF!</v>
      </c>
      <c r="BA298" s="333" t="str">
        <f t="shared" si="22"/>
        <v>xoxooxo</v>
      </c>
      <c r="BB298" s="334" t="str">
        <f t="shared" si="23"/>
        <v>xoxxxx</v>
      </c>
      <c r="BC298" s="335" t="str">
        <f t="shared" si="236"/>
        <v>-</v>
      </c>
      <c r="BD298" s="336" t="str">
        <f t="shared" si="25"/>
        <v>Samant Sarang: 'xoxooxo' + 'xoxxxx'</v>
      </c>
      <c r="BE298" s="337">
        <f>IFERROR(__xludf.DUMMYFUNCTION("COUNTUNIQUE(FILTER(AT:AT,REGEXMATCH(AT:AT,AS298)))-1"),1.0)</f>
        <v>1</v>
      </c>
      <c r="BF298" s="261" t="str">
        <f>IFERROR(__xludf.DUMMYFUNCTION("IF(BI298=0,""(n/a)"",IF(BJ298=2,""(PAIR)"",IF(REGEXMATCH(AT298,""xoxoxxoxoxox""),""Bilawal"",IF(REGEXMATCH(AT298,""xoxoxooxoxoo""),""Bhupali"",IF(REGEXMATCH(AT298,""xoxoxxoxxoxo""),""Charukeshi"",IF(REGEXMATCH(AT298,""xoxoooxxoxxo""),""Kameshwari"",IF(REG"&amp;"EXMATCH(AT298,""xoxoxooxoxox""),""Shankara"",IF(REGEXMATCH(AT298,""xxooxoxxxoox""),""Basant"",IF(REGEXMATCH(AT298,""xoxoxxxxoxox""),""Bihag"",IF(REGEXMATCH(AT298,""xoxxxxoxoxxx""),""Pilu"",IF(REGEXMATCH(AT298,""xoxxoxoxxoox""),""Kirwani"",IF(REGEXMATCH(AT"&amp;"298,""xoxxoxoxoxxx""),""Mk.Malhar"",IF(REGEXMATCH(AT298,""xxooxxoxxoox""),""Bhairav"",IF(REGEXMATCH(AT298,""xxoxooxxxoox""),""Todi"",IF(REGEXMATCH(AT298,""xxooxoxooxox""),""Marwa"",IF(REGEXMATCH(AT298,""xxoooxoxxooo""),""Gunkali"",IF(REGEXMATCH(AT298,""xo"&amp;"xoxxoxxoox""),""Nat Bhairav"",IF(REGEXMATCH(AT298,""xoxxoooxoxoo""),""Shivranjani"",IF(REGEXMATCH(AT298,""xooxxxoxooxo""),""Jog"",IF(REGEXMATCH(AT298,""xxooxoxoxoox""),""Hemshri"",IF(REGEXMATCH(AT298,""xoooxooxoxxo""),""Kalavati"",IF(REGEXMATCH(AT298,""xx"&amp;"oxoxxoxoox""),""Kedar"",IF(REGEXMATCH(AT298,""xoxxxxoxooxx""),""Gara"",IF(REGEXMATCH(AT298,""xooxoxooxoox""),""Chandrakauns"",IF(REGEXMATCH(AT298,""xoxxxxoxxxox""),""Mand"",IF(REGEXMATCH(AT298,""xoxxxxoxoxox""),""Hanskinkini"",IF(REGEXMATCH(AT298,""xxooxx"&amp;"oxooxo""),""Lilavati"",IF(REGEXMATCH(AT298,""xooxoxoooxox""),""Rajeshwari"",IF(REGEXMATCH(AT298,""xoooxxoxoxxx""),""Khokar"",IF(REGEXMATCH(AT298,""xxooxoxxxxox""),""Maligoura"",""-""))))))))))))))))))))))))))))))"),"-")</f>
        <v>-</v>
      </c>
      <c r="BG298" s="239" t="str">
        <f t="shared" si="26"/>
        <v>#REF!</v>
      </c>
      <c r="BH298" s="239">
        <f>IFERROR(__xludf.DUMMYFUNCTION("COUNTUNIQUE(FE298:FO298)-1"),6.0)</f>
        <v>6</v>
      </c>
      <c r="BI298" s="239">
        <f>IFERROR(__xludf.DUMMYFUNCTION("COUNTUNIQUE(FILTER(AT:AT,REGEXMATCH(AT:AT,AS298)))-1"),1.0)</f>
        <v>1</v>
      </c>
      <c r="BJ298" s="239">
        <f>IFERROR(__xludf.DUMMYFUNCTION("COUNTA(FILTER(AT:AT,REGEXMATCH(AT:AT,AS298)))"),5.0)</f>
        <v>5</v>
      </c>
      <c r="BK298" s="341">
        <f>IFERROR(__xludf.DUMMYFUNCTION("COUNTA(FILTER(AT:AT,REGEXMATCH(AT:AT,AS298)))-AR298"),5.0)</f>
        <v>5</v>
      </c>
      <c r="BL298" s="276" t="str">
        <f>IFERROR(__xludf.DUMMYFUNCTION("IF(AS298=""oooooooooooo"",""-"",IF(REGEXMATCH(AT298,""xx""), ""Hemi."", ""Anhemi.""))"),"Hemi.")</f>
        <v>Hemi.</v>
      </c>
      <c r="BM298" s="282" t="str">
        <f>IFERROR(__xludf.DUMMYFUNCTION("IF(AS298=""oooooooooooo"",""-"",IF(REGEXMATCH(AT298,""xxx""), ""Cohem."", ""-""))"),"Cohem.")</f>
        <v>Cohem.</v>
      </c>
      <c r="BN298" s="282" t="str">
        <f>IFERROR(__xludf.DUMMYFUNCTION("IF(AS298=""oooooooooooo"",""-"",IF(REGEXMATCH(AT298,""xxxx""), ""Co-Co."", ""-""))"),"Co-Co.")</f>
        <v>Co-Co.</v>
      </c>
      <c r="BO298" s="342" t="str">
        <f>IFERROR(__xludf.DUMMYFUNCTION("IF(AS298=""oooooooooooo"",""-"",IF(REGEXMATCH(AT298,""xxxxx""), ""CCC."", ""-""))"),"-")</f>
        <v>-</v>
      </c>
      <c r="BP298" s="344" t="str">
        <f t="shared" si="27"/>
        <v>-</v>
      </c>
      <c r="BQ298" s="282" t="str">
        <f>IFERROR(__xludf.DUMMYFUNCTION("IF(REGEXMATCH(JOIN(""-"",EU298:FD298),""TRUE""),""✔"",""-"")"),"-")</f>
        <v>-</v>
      </c>
      <c r="BR298" s="225">
        <f t="shared" si="28"/>
        <v>0</v>
      </c>
      <c r="BS298" s="345" t="str">
        <f>IFERROR(__xludf.DUMMYFUNCTION("SUBSTITUTE(SUBSTITUTE(SUBSTITUTE(SUBSTITUTE(CONCATENATE(JOIN(""-"",GC298:GO298)),""--"",""-""),""--"",""-""),""--"",""-""),""--"",""-"")"),"1-2-4-5-6-b7-7-8")</f>
        <v>1-2-4-5-6-b7-7-8</v>
      </c>
      <c r="BT298" s="299" t="str">
        <f>IFERROR(__xludf.DUMMYFUNCTION("SUBSTITUTE(SUBSTITUTE(SUBSTITUTE(SUBSTITUTE(CONCATENATE(JOIN(""-"",GP298:HB298)),""--"",""-""),""--"",""-""),""--"",""-""),""--"",""-"")"),"S-R2-M1-P-D2-N2-N3-S")</f>
        <v>S-R2-M1-P-D2-N2-N3-S</v>
      </c>
      <c r="BU298" s="348" t="str">
        <f t="shared" si="29"/>
        <v>C-D-F-G-A-Bb-B-C</v>
      </c>
      <c r="BV298" s="349" t="str">
        <f t="shared" si="30"/>
        <v>SrgGMdS</v>
      </c>
      <c r="BW298" s="350">
        <f t="shared" si="31"/>
        <v>0</v>
      </c>
      <c r="BX298" s="351">
        <f t="shared" si="32"/>
        <v>4</v>
      </c>
      <c r="BY298" s="392"/>
      <c r="BZ298" s="309" t="str">
        <f>IFERROR(__xludf.DUMMYFUNCTION("IF(REGEXMATCH(C298, ""S""), ""x"",""x"")"),"x")</f>
        <v>x</v>
      </c>
      <c r="CA298" s="245" t="str">
        <f>IFERROR(__xludf.DUMMYFUNCTION("IF(REGEXMATCH(C298, ""r""), ""o"",""x"")"),"x")</f>
        <v>x</v>
      </c>
      <c r="CB298" s="246" t="str">
        <f>IFERROR(__xludf.DUMMYFUNCTION("IF(REGEXMATCH(C298, ""R""), ""o"",""x"")"),"o")</f>
        <v>o</v>
      </c>
      <c r="CC298" s="246" t="str">
        <f>IFERROR(__xludf.DUMMYFUNCTION("IF(REGEXMATCH(C298, ""g""), ""o"",""x"")"),"x")</f>
        <v>x</v>
      </c>
      <c r="CD298" s="245" t="str">
        <f>IFERROR(__xludf.DUMMYFUNCTION("IF(REGEXMATCH(C298, ""G""), ""o"",""x"")"),"x")</f>
        <v>x</v>
      </c>
      <c r="CE298" s="245" t="str">
        <f>IFERROR(__xludf.DUMMYFUNCTION("IF(REGEXMATCH(C298, ""m""), ""o"",""x"")"),"o")</f>
        <v>o</v>
      </c>
      <c r="CF298" s="246" t="str">
        <f>IFERROR(__xludf.DUMMYFUNCTION("IF(REGEXMATCH(C298, ""M""), ""o"",""x"")"),"x")</f>
        <v>x</v>
      </c>
      <c r="CG298" s="245" t="str">
        <f>IFERROR(__xludf.DUMMYFUNCTION("IF(REGEXMATCH(C298, ""P""), ""o"",""x"")"),"o")</f>
        <v>o</v>
      </c>
      <c r="CH298" s="246" t="str">
        <f>IFERROR(__xludf.DUMMYFUNCTION("IF(REGEXMATCH(C298, ""d""), ""o"",""x"")"),"x")</f>
        <v>x</v>
      </c>
      <c r="CI298" s="245" t="str">
        <f>IFERROR(__xludf.DUMMYFUNCTION("IF(REGEXMATCH(C298, ""D""), ""o"",""x"")"),"o")</f>
        <v>o</v>
      </c>
      <c r="CJ298" s="245" t="str">
        <f>IFERROR(__xludf.DUMMYFUNCTION("IF(REGEXMATCH(C298, ""n""), ""o"",""x"")"),"o")</f>
        <v>o</v>
      </c>
      <c r="CK298" s="245" t="str">
        <f>IFERROR(__xludf.DUMMYFUNCTION("IF(REGEXMATCH(C298, ""N""), ""o"",""x"")"),"o")</f>
        <v>o</v>
      </c>
      <c r="CL298" s="356" t="str">
        <f>IFERROR(__xludf.DUMMYFUNCTION("IF(REGEXMATCH(C298, ""S""), ""x"",""x"")"),"x")</f>
        <v>x</v>
      </c>
      <c r="CM298" s="357" t="str">
        <f t="shared" si="33"/>
        <v>xxoxxoxoxooo</v>
      </c>
      <c r="CN298" s="358">
        <f t="shared" si="34"/>
        <v>0</v>
      </c>
      <c r="CO298" s="246" t="str">
        <f>IFERROR(__xludf.DUMMYFUNCTION("IF(REGEXMATCH($C298, ""S""), ""S"",""S"")"),"S")</f>
        <v>S</v>
      </c>
      <c r="CP298" s="246" t="str">
        <f>IFERROR(__xludf.DUMMYFUNCTION("IF(REGEXMATCH($C298, ""r""), """",""r"")"),"r")</f>
        <v>r</v>
      </c>
      <c r="CQ298" s="246" t="str">
        <f>IFERROR(__xludf.DUMMYFUNCTION("IF(REGEXMATCH($C298, ""R""), """",""R"")"),"")</f>
        <v/>
      </c>
      <c r="CR298" s="246" t="str">
        <f>IFERROR(__xludf.DUMMYFUNCTION("IF(REGEXMATCH($C298, ""g""), """",""g"")"),"g")</f>
        <v>g</v>
      </c>
      <c r="CS298" s="246" t="str">
        <f>IFERROR(__xludf.DUMMYFUNCTION("IF(REGEXMATCH($C298, ""G""), """",""G"")"),"G")</f>
        <v>G</v>
      </c>
      <c r="CT298" s="246" t="str">
        <f>IFERROR(__xludf.DUMMYFUNCTION("IF(REGEXMATCH($C298, ""m""), """",""m"")"),"")</f>
        <v/>
      </c>
      <c r="CU298" s="246" t="str">
        <f>IFERROR(__xludf.DUMMYFUNCTION("IF(REGEXMATCH($C298, ""M""), """",""M"")"),"M")</f>
        <v>M</v>
      </c>
      <c r="CV298" s="246" t="str">
        <f>IFERROR(__xludf.DUMMYFUNCTION("IF(REGEXMATCH($C298, ""P""), """",""P"")"),"")</f>
        <v/>
      </c>
      <c r="CW298" s="246" t="str">
        <f>IFERROR(__xludf.DUMMYFUNCTION("IF(REGEXMATCH($C298, ""d""), """",""d"")"),"d")</f>
        <v>d</v>
      </c>
      <c r="CX298" s="246" t="str">
        <f>IFERROR(__xludf.DUMMYFUNCTION("IF(REGEXMATCH($C298, ""D""), """",""D"")"),"")</f>
        <v/>
      </c>
      <c r="CY298" s="246" t="str">
        <f>IFERROR(__xludf.DUMMYFUNCTION("IF(REGEXMATCH($C298, ""n""), """",""n"")"),"")</f>
        <v/>
      </c>
      <c r="CZ298" s="246" t="str">
        <f>IFERROR(__xludf.DUMMYFUNCTION("IF(REGEXMATCH($C298, ""N""), """",""N"")"),"")</f>
        <v/>
      </c>
      <c r="DA298" s="246" t="str">
        <f>IFERROR(__xludf.DUMMYFUNCTION("IF(REGEXMATCH($C298, ""S""), ""S"",""S"")"),"S")</f>
        <v>S</v>
      </c>
      <c r="DB298" s="362" t="str">
        <f>IFERROR(__xludf.DUMMYFUNCTION("JOIN("""",CO298:DA298,"""","""")"),"SrgGMdS")</f>
        <v>SrgGMdS</v>
      </c>
      <c r="DC298" s="363"/>
      <c r="DD298" s="301" t="str">
        <f t="shared" si="35"/>
        <v>#REF!</v>
      </c>
      <c r="DE298" s="302" t="str">
        <f t="shared" si="36"/>
        <v>#REF!</v>
      </c>
      <c r="DF298" s="301" t="str">
        <f t="shared" ref="DF298:DG298" si="823">SUBSTITUTE(S298,"-","")</f>
        <v>SRM</v>
      </c>
      <c r="DG298" s="301" t="str">
        <f t="shared" si="823"/>
        <v>PDNS</v>
      </c>
      <c r="DH298" s="302" t="str">
        <f t="shared" si="38"/>
        <v>-</v>
      </c>
      <c r="DI298" s="301" t="str">
        <f t="shared" si="39"/>
        <v>Hemi.</v>
      </c>
      <c r="DJ298" s="364" t="str">
        <f t="shared" si="40"/>
        <v>Co-Co.</v>
      </c>
      <c r="DK298" s="306" t="str">
        <f t="shared" si="41"/>
        <v>-</v>
      </c>
      <c r="DL298" s="366" t="str">
        <f t="shared" si="42"/>
        <v>-</v>
      </c>
      <c r="DM298" s="308" t="str">
        <f t="shared" si="43"/>
        <v>✔</v>
      </c>
      <c r="DN298" s="306" t="str">
        <f t="shared" si="44"/>
        <v>-</v>
      </c>
      <c r="DO298" s="306" t="str">
        <f t="shared" si="45"/>
        <v>-</v>
      </c>
      <c r="DP298" s="367" t="str">
        <f t="shared" si="46"/>
        <v>-</v>
      </c>
      <c r="DQ298" s="310" t="str">
        <f t="shared" si="47"/>
        <v>-</v>
      </c>
      <c r="DR298" s="310" t="str">
        <f t="shared" si="48"/>
        <v>-</v>
      </c>
      <c r="DS298" s="310" t="str">
        <f t="shared" si="49"/>
        <v>-</v>
      </c>
      <c r="DT298" s="310" t="str">
        <f t="shared" si="50"/>
        <v>-</v>
      </c>
      <c r="DU298" s="370" t="str">
        <f t="shared" si="51"/>
        <v>✔</v>
      </c>
      <c r="DV298" s="306" t="str">
        <f t="shared" si="52"/>
        <v>-</v>
      </c>
      <c r="DW298" s="306" t="str">
        <f t="shared" si="53"/>
        <v>✔</v>
      </c>
      <c r="DX298" s="306" t="str">
        <f t="shared" si="54"/>
        <v>-</v>
      </c>
      <c r="DY298" s="306" t="str">
        <f t="shared" si="55"/>
        <v>-</v>
      </c>
      <c r="DZ298" s="306" t="str">
        <f t="shared" si="56"/>
        <v>-</v>
      </c>
      <c r="EA298" s="367" t="str">
        <f t="shared" si="57"/>
        <v>-</v>
      </c>
      <c r="EB298" s="310" t="str">
        <f>IFERROR(__xludf.DUMMYFUNCTION("IF(REGEXMATCH(AW298,AS298),""✔"",""-"")"),"-")</f>
        <v>-</v>
      </c>
      <c r="EC298" s="310" t="str">
        <f t="shared" si="58"/>
        <v>#REF!</v>
      </c>
      <c r="ED298" s="370" t="str">
        <f t="shared" si="59"/>
        <v>-</v>
      </c>
      <c r="EE298" s="340" t="str">
        <f t="shared" si="60"/>
        <v>S-R-m-P-D-nN-S</v>
      </c>
      <c r="EF298" s="371" t="str">
        <f>IFERROR(__xludf.DUMMYFUNCTION("CONCATENATE(JOIN("""",HC298:HO298))"),"SrRgmPnS")</f>
        <v>SrRgmPnS</v>
      </c>
      <c r="EG298" s="372">
        <f t="shared" si="61"/>
        <v>2</v>
      </c>
      <c r="EH298" s="373" t="str">
        <f>IFERROR(__xludf.DUMMYFUNCTION("CONCATENATE(JOIN("""",JC298:JO298))"),"Dha, Ni, ")</f>
        <v>Dha, Ni, </v>
      </c>
      <c r="EI298" s="322">
        <f t="shared" si="62"/>
        <v>1</v>
      </c>
      <c r="EJ298" s="374" t="str">
        <f>IFERROR(__xludf.DUMMYFUNCTION("CONCATENATE(JOIN("""",KC298:KO298))"),"Ni, ")</f>
        <v>Ni, </v>
      </c>
      <c r="EK298" s="325" t="str">
        <f t="shared" si="63"/>
        <v>S-R2-M1-P-D2-N2-N3-S</v>
      </c>
      <c r="EL298" s="326" t="str">
        <f t="shared" si="64"/>
        <v>1-2-4-5-6-b7-7-8</v>
      </c>
      <c r="EM298" s="318" t="str">
        <f t="shared" si="65"/>
        <v>#REF!</v>
      </c>
      <c r="EN298" s="328" t="str">
        <f>IFERROR(__xludf.DUMMYFUNCTION("SUBSTITUTE(SUBSTITUTE(SUBSTITUTE(SUBSTITUTE(CONCATENATE(JOIN("" "",HP298:IB298)),""  "","" ""),""  "","" ""),""  "","" ""),""  "","" "")"),"o • o • • o • o • o o o o")</f>
        <v>o • o • • o • o • o o o o</v>
      </c>
      <c r="EO298" s="368" t="str">
        <f t="shared" si="66"/>
        <v>-</v>
      </c>
      <c r="EP298" s="339" t="str">
        <f t="shared" si="67"/>
        <v>-</v>
      </c>
      <c r="EQ298" s="339" t="str">
        <f t="shared" si="68"/>
        <v>Sa-Pa</v>
      </c>
      <c r="ER298" s="339" t="str">
        <f t="shared" si="69"/>
        <v>-</v>
      </c>
      <c r="ES298" s="340" t="str">
        <f t="shared" si="70"/>
        <v>-</v>
      </c>
      <c r="ET298" s="363"/>
      <c r="EU298" s="376" t="b">
        <f>IFERROR(__xludf.DUMMYFUNCTION("arrayformula(sum(--REGEXMATCH(""SRGMPDNS"",split(REGEXREPLACE(C298,""(.)"",""$1~""),""~""))))=len(C298)
"),FALSE)</f>
        <v>0</v>
      </c>
      <c r="EV298" s="290" t="b">
        <f>IFERROR(__xludf.DUMMYFUNCTION("arrayformula(sum(--REGEXMATCH(""SRGmPDNS"",split(REGEXREPLACE(C298,""(.)"",""$1~""),""~""))))=len(C298)"),FALSE)</f>
        <v>0</v>
      </c>
      <c r="EW298" s="290" t="b">
        <f>IFERROR(__xludf.DUMMYFUNCTION("arrayformula(sum(--REGEXMATCH(""SRGmPDnS"",split(REGEXREPLACE(C298,""(.)"",""$1~""),""~""))))=len(C298)"),FALSE)</f>
        <v>0</v>
      </c>
      <c r="EX298" s="290" t="b">
        <f>IFERROR(__xludf.DUMMYFUNCTION("arrayformula(sum(--REGEXMATCH(""SRgmPDnS"",split(REGEXREPLACE(C298,""(.)"",""$1~""),""~""))))=len(C298)"),FALSE)</f>
        <v>0</v>
      </c>
      <c r="EY298" s="290" t="b">
        <f>IFERROR(__xludf.DUMMYFUNCTION("arrayformula(sum(--REGEXMATCH(""SRgmPdnS"",split(REGEXREPLACE(C298,""(.)"",""$1~""),""~""))))=len(C298)"),FALSE)</f>
        <v>0</v>
      </c>
      <c r="EZ298" s="290" t="b">
        <f>IFERROR(__xludf.DUMMYFUNCTION("arrayformula(sum(--REGEXMATCH(""SrgmPdnS"",split(REGEXREPLACE(C298,""(.)"",""$1~""),""~""))))=len(C298)"),FALSE)</f>
        <v>0</v>
      </c>
      <c r="FA298" s="290" t="b">
        <f>IFERROR(__xludf.DUMMYFUNCTION("arrayformula(sum(--REGEXMATCH(""SrGmPdNS"",split(REGEXREPLACE(C298,""(.)"",""$1~""),""~""))))=len(C298)"),FALSE)</f>
        <v>0</v>
      </c>
      <c r="FB298" s="290" t="b">
        <f>IFERROR(__xludf.DUMMYFUNCTION("arrayformula(sum(--REGEXMATCH(""SrGMPDNS"",split(REGEXREPLACE(C298,""(.)"",""$1~""),""~""))))=len(C298)"),FALSE)</f>
        <v>0</v>
      </c>
      <c r="FC298" s="290" t="b">
        <f>IFERROR(__xludf.DUMMYFUNCTION("arrayformula(sum(--REGEXMATCH(""SrGMPdNS"",split(REGEXREPLACE(C298,""(.)"",""$1~""),""~""))))=len(C298)"),FALSE)</f>
        <v>0</v>
      </c>
      <c r="FD298" s="377" t="b">
        <f>IFERROR(__xludf.DUMMYFUNCTION("arrayformula(sum(--REGEXMATCH(""SrgMPdNS"",split(REGEXREPLACE(C298,""(.)"",""$1~""),""~""))))=len(C298)"),FALSE)</f>
        <v>0</v>
      </c>
      <c r="FE298" s="269" t="str">
        <f t="shared" si="71"/>
        <v>-</v>
      </c>
      <c r="FF298" s="269" t="str">
        <f t="shared" si="72"/>
        <v>xooxoxoxxxx</v>
      </c>
      <c r="FG298" s="271" t="str">
        <f t="shared" si="73"/>
        <v>-</v>
      </c>
      <c r="FH298" s="269" t="str">
        <f t="shared" si="74"/>
        <v>-</v>
      </c>
      <c r="FI298" s="271" t="str">
        <f t="shared" si="75"/>
        <v>xoxoxxxxoxo</v>
      </c>
      <c r="FJ298" s="271" t="str">
        <f t="shared" si="76"/>
        <v>-</v>
      </c>
      <c r="FK298" s="271" t="str">
        <f t="shared" si="77"/>
        <v>xoxxxxoxoox</v>
      </c>
      <c r="FL298" s="271" t="str">
        <f t="shared" si="78"/>
        <v>-</v>
      </c>
      <c r="FM298" s="271" t="str">
        <f t="shared" si="79"/>
        <v>xxxxoxooxox</v>
      </c>
      <c r="FN298" s="271" t="str">
        <f t="shared" si="80"/>
        <v>xxxoxooxoxo</v>
      </c>
      <c r="FO298" s="274" t="str">
        <f t="shared" si="81"/>
        <v>xxoxooxoxox</v>
      </c>
      <c r="FP298" s="234" t="str">
        <f t="shared" si="82"/>
        <v>|</v>
      </c>
      <c r="FQ298" s="236" t="str">
        <f t="shared" si="83"/>
        <v>-</v>
      </c>
      <c r="FR298" s="237" t="str">
        <f t="shared" si="84"/>
        <v>|</v>
      </c>
      <c r="FS298" s="236" t="str">
        <f t="shared" si="85"/>
        <v>-</v>
      </c>
      <c r="FT298" s="237" t="str">
        <f t="shared" si="86"/>
        <v>-</v>
      </c>
      <c r="FU298" s="236" t="str">
        <f t="shared" si="87"/>
        <v>|</v>
      </c>
      <c r="FV298" s="237" t="str">
        <f t="shared" si="88"/>
        <v>-</v>
      </c>
      <c r="FW298" s="236" t="str">
        <f t="shared" si="89"/>
        <v>|</v>
      </c>
      <c r="FX298" s="237" t="str">
        <f t="shared" si="90"/>
        <v>-</v>
      </c>
      <c r="FY298" s="236" t="str">
        <f t="shared" si="91"/>
        <v>|</v>
      </c>
      <c r="FZ298" s="237" t="str">
        <f t="shared" si="92"/>
        <v>|</v>
      </c>
      <c r="GA298" s="236" t="str">
        <f t="shared" si="93"/>
        <v>|</v>
      </c>
      <c r="GB298" s="238" t="str">
        <f t="shared" si="94"/>
        <v>|</v>
      </c>
      <c r="GC298" s="244" t="str">
        <f>IFERROR(__xludf.DUMMYFUNCTION("IF(REGEXMATCH(C298, ""S""), ""1"","""")"),"1")</f>
        <v>1</v>
      </c>
      <c r="GD298" s="245" t="str">
        <f>IFERROR(__xludf.DUMMYFUNCTION("IF(REGEXMATCH(C298, ""r""), ""b2"","""")"),"")</f>
        <v/>
      </c>
      <c r="GE298" s="246" t="str">
        <f>IFERROR(__xludf.DUMMYFUNCTION("IF(REGEXMATCH(C298, ""R""), ""2"","""")"),"2")</f>
        <v>2</v>
      </c>
      <c r="GF298" s="246" t="str">
        <f>IFERROR(__xludf.DUMMYFUNCTION("IF(REGEXMATCH(C298, ""g""), ""b3"","""")"),"")</f>
        <v/>
      </c>
      <c r="GG298" s="245" t="str">
        <f>IFERROR(__xludf.DUMMYFUNCTION("IF(REGEXMATCH(C298, ""G""), ""3"","""")"),"")</f>
        <v/>
      </c>
      <c r="GH298" s="245" t="str">
        <f>IFERROR(__xludf.DUMMYFUNCTION("IF(REGEXMATCH(C298, ""m""), ""4"","""")"),"4")</f>
        <v>4</v>
      </c>
      <c r="GI298" s="246" t="str">
        <f>IFERROR(__xludf.DUMMYFUNCTION("IF(REGEXMATCH(C298, ""M""), ""#4"","""")"),"")</f>
        <v/>
      </c>
      <c r="GJ298" s="245" t="str">
        <f>IFERROR(__xludf.DUMMYFUNCTION("IF(REGEXMATCH(C298, ""P""), ""5"","""")"),"5")</f>
        <v>5</v>
      </c>
      <c r="GK298" s="246" t="str">
        <f>IFERROR(__xludf.DUMMYFUNCTION("IF(REGEXMATCH(C298, ""d""), ""b6"","""")"),"")</f>
        <v/>
      </c>
      <c r="GL298" s="245" t="str">
        <f>IFERROR(__xludf.DUMMYFUNCTION("IF(REGEXMATCH(C298, ""D""), ""6"","""")"),"6")</f>
        <v>6</v>
      </c>
      <c r="GM298" s="245" t="str">
        <f>IFERROR(__xludf.DUMMYFUNCTION("IF(REGEXMATCH(C298, ""n""), ""b7"","""")"),"b7")</f>
        <v>b7</v>
      </c>
      <c r="GN298" s="246" t="str">
        <f>IFERROR(__xludf.DUMMYFUNCTION("IF(REGEXMATCH(C298, ""N""), ""7"","""")"),"7")</f>
        <v>7</v>
      </c>
      <c r="GO298" s="249" t="str">
        <f>IFERROR(__xludf.DUMMYFUNCTION("IF(REGEXMATCH(C298, ""S""), ""8"","""")"),"8")</f>
        <v>8</v>
      </c>
      <c r="GP298" s="244" t="str">
        <f>IFERROR(__xludf.DUMMYFUNCTION("IF(REGEXMATCH(C298, ""S""), ""S"","""")"),"S")</f>
        <v>S</v>
      </c>
      <c r="GQ298" s="294" t="str">
        <f>IFERROR(__xludf.DUMMYFUNCTION("IF(REGEXMATCH(C298, ""r""), ""R1"","""")"),"")</f>
        <v/>
      </c>
      <c r="GR298" s="295" t="str">
        <f>IFERROR(__xludf.DUMMYFUNCTION("IF(REGEXMATCH(C298, ""R""), ""R2"","""")"),"R2")</f>
        <v>R2</v>
      </c>
      <c r="GS298" s="295" t="str">
        <f>IFERROR(__xludf.DUMMYFUNCTION("IF(REGEXMATCH(C298, ""g""), ""G2"","""")"),"")</f>
        <v/>
      </c>
      <c r="GT298" s="294" t="str">
        <f>IFERROR(__xludf.DUMMYFUNCTION("IF(REGEXMATCH(C298, ""G""), ""G3"","""")"),"")</f>
        <v/>
      </c>
      <c r="GU298" s="294" t="str">
        <f>IFERROR(__xludf.DUMMYFUNCTION("IF(REGEXMATCH(C298, ""m""), ""M1"","""")"),"M1")</f>
        <v>M1</v>
      </c>
      <c r="GV298" s="295" t="str">
        <f>IFERROR(__xludf.DUMMYFUNCTION("IF(REGEXMATCH(C298, ""M""), ""M2"","""")"),"")</f>
        <v/>
      </c>
      <c r="GW298" s="294" t="str">
        <f>IFERROR(__xludf.DUMMYFUNCTION("IF(REGEXMATCH(C298, ""P""), ""P"","""")"),"P")</f>
        <v>P</v>
      </c>
      <c r="GX298" s="295" t="str">
        <f>IFERROR(__xludf.DUMMYFUNCTION("IF(REGEXMATCH(C298, ""d""), ""D1"","""")"),"")</f>
        <v/>
      </c>
      <c r="GY298" s="294" t="str">
        <f>IFERROR(__xludf.DUMMYFUNCTION("IF(REGEXMATCH(C298, ""D""), ""D2"","""")"),"D2")</f>
        <v>D2</v>
      </c>
      <c r="GZ298" s="294" t="str">
        <f>IFERROR(__xludf.DUMMYFUNCTION("IF(REGEXMATCH(C298, ""n""), ""N2"","""")"),"N2")</f>
        <v>N2</v>
      </c>
      <c r="HA298" s="295" t="str">
        <f>IFERROR(__xludf.DUMMYFUNCTION("IF(REGEXMATCH(C298, ""N""), ""N3"","""")"),"N3")</f>
        <v>N3</v>
      </c>
      <c r="HB298" s="249" t="str">
        <f>IFERROR(__xludf.DUMMYFUNCTION("IF(REGEXMATCH(C298, ""S""), ""S"","""")"),"S")</f>
        <v>S</v>
      </c>
      <c r="HC298" s="331" t="str">
        <f t="shared" si="95"/>
        <v>S</v>
      </c>
      <c r="HD298" s="332" t="str">
        <f t="shared" si="96"/>
        <v>r</v>
      </c>
      <c r="HE298" s="332" t="str">
        <f t="shared" si="97"/>
        <v>R</v>
      </c>
      <c r="HF298" s="332" t="str">
        <f t="shared" si="98"/>
        <v>g</v>
      </c>
      <c r="HG298" s="332" t="str">
        <f t="shared" si="99"/>
        <v/>
      </c>
      <c r="HH298" s="332" t="str">
        <f t="shared" si="100"/>
        <v>m</v>
      </c>
      <c r="HI298" s="332" t="str">
        <f t="shared" si="101"/>
        <v/>
      </c>
      <c r="HJ298" s="332" t="str">
        <f t="shared" si="102"/>
        <v>P</v>
      </c>
      <c r="HK298" s="332" t="str">
        <f t="shared" si="103"/>
        <v/>
      </c>
      <c r="HL298" s="332" t="str">
        <f t="shared" si="104"/>
        <v/>
      </c>
      <c r="HM298" s="332" t="str">
        <f t="shared" si="105"/>
        <v>n</v>
      </c>
      <c r="HN298" s="332" t="str">
        <f t="shared" si="106"/>
        <v/>
      </c>
      <c r="HO298" s="343" t="str">
        <f t="shared" si="107"/>
        <v>S</v>
      </c>
      <c r="HP298" s="331" t="str">
        <f t="shared" si="108"/>
        <v>o</v>
      </c>
      <c r="HQ298" s="332" t="str">
        <f t="shared" si="109"/>
        <v>•</v>
      </c>
      <c r="HR298" s="332" t="str">
        <f t="shared" si="110"/>
        <v>o</v>
      </c>
      <c r="HS298" s="332" t="str">
        <f t="shared" si="111"/>
        <v>•</v>
      </c>
      <c r="HT298" s="332" t="str">
        <f t="shared" si="112"/>
        <v>•</v>
      </c>
      <c r="HU298" s="332" t="str">
        <f t="shared" si="113"/>
        <v>o</v>
      </c>
      <c r="HV298" s="332" t="str">
        <f t="shared" si="114"/>
        <v>•</v>
      </c>
      <c r="HW298" s="332" t="str">
        <f t="shared" si="115"/>
        <v>o</v>
      </c>
      <c r="HX298" s="332" t="str">
        <f t="shared" si="116"/>
        <v>•</v>
      </c>
      <c r="HY298" s="332" t="str">
        <f t="shared" si="117"/>
        <v>o</v>
      </c>
      <c r="HZ298" s="332" t="str">
        <f t="shared" si="118"/>
        <v>o</v>
      </c>
      <c r="IA298" s="332" t="str">
        <f t="shared" si="119"/>
        <v>o</v>
      </c>
      <c r="IB298" s="338" t="str">
        <f t="shared" si="120"/>
        <v>o</v>
      </c>
      <c r="IC298" s="331" t="str">
        <f t="shared" si="121"/>
        <v>•</v>
      </c>
      <c r="ID298" s="332" t="str">
        <f t="shared" si="122"/>
        <v>o</v>
      </c>
      <c r="IE298" s="332" t="str">
        <f t="shared" si="123"/>
        <v>•</v>
      </c>
      <c r="IF298" s="332" t="str">
        <f t="shared" si="124"/>
        <v>o</v>
      </c>
      <c r="IG298" s="332" t="str">
        <f t="shared" si="125"/>
        <v>o</v>
      </c>
      <c r="IH298" s="332" t="str">
        <f t="shared" si="126"/>
        <v>•</v>
      </c>
      <c r="II298" s="332" t="str">
        <f t="shared" si="127"/>
        <v>o</v>
      </c>
      <c r="IJ298" s="332" t="str">
        <f t="shared" si="128"/>
        <v>•</v>
      </c>
      <c r="IK298" s="332" t="str">
        <f t="shared" si="129"/>
        <v>o</v>
      </c>
      <c r="IL298" s="332" t="str">
        <f t="shared" si="130"/>
        <v>•</v>
      </c>
      <c r="IM298" s="332" t="str">
        <f t="shared" si="131"/>
        <v>•</v>
      </c>
      <c r="IN298" s="332" t="str">
        <f t="shared" si="132"/>
        <v>•</v>
      </c>
      <c r="IO298" s="338" t="str">
        <f t="shared" si="133"/>
        <v>•</v>
      </c>
      <c r="IP298" s="346" t="b">
        <f t="shared" si="134"/>
        <v>0</v>
      </c>
      <c r="IQ298" s="347" t="b">
        <f t="shared" si="135"/>
        <v>0</v>
      </c>
      <c r="IR298" s="347" t="b">
        <f t="shared" si="136"/>
        <v>0</v>
      </c>
      <c r="IS298" s="347" t="b">
        <f t="shared" si="137"/>
        <v>0</v>
      </c>
      <c r="IT298" s="347" t="b">
        <f t="shared" si="138"/>
        <v>0</v>
      </c>
      <c r="IU298" s="347" t="b">
        <f t="shared" si="139"/>
        <v>0</v>
      </c>
      <c r="IV298" s="347" t="b">
        <f t="shared" si="140"/>
        <v>0</v>
      </c>
      <c r="IW298" s="347" t="b">
        <f t="shared" si="141"/>
        <v>0</v>
      </c>
      <c r="IX298" s="347" t="b">
        <f t="shared" si="142"/>
        <v>0</v>
      </c>
      <c r="IY298" s="347" t="b">
        <f t="shared" si="143"/>
        <v>1</v>
      </c>
      <c r="IZ298" s="347" t="b">
        <f t="shared" si="144"/>
        <v>0</v>
      </c>
      <c r="JA298" s="347" t="b">
        <f t="shared" si="145"/>
        <v>1</v>
      </c>
      <c r="JB298" s="353" t="b">
        <f t="shared" si="146"/>
        <v>0</v>
      </c>
      <c r="JC298" s="354" t="str">
        <f t="shared" si="147"/>
        <v/>
      </c>
      <c r="JD298" s="355" t="str">
        <f t="shared" si="148"/>
        <v/>
      </c>
      <c r="JE298" s="355" t="str">
        <f t="shared" si="149"/>
        <v/>
      </c>
      <c r="JF298" s="355" t="str">
        <f t="shared" si="150"/>
        <v/>
      </c>
      <c r="JG298" s="355" t="str">
        <f t="shared" si="151"/>
        <v/>
      </c>
      <c r="JH298" s="355" t="str">
        <f t="shared" si="152"/>
        <v/>
      </c>
      <c r="JI298" s="355" t="str">
        <f t="shared" si="153"/>
        <v/>
      </c>
      <c r="JJ298" s="355" t="str">
        <f t="shared" si="154"/>
        <v/>
      </c>
      <c r="JK298" s="355" t="str">
        <f t="shared" si="155"/>
        <v/>
      </c>
      <c r="JL298" s="355" t="str">
        <f t="shared" si="156"/>
        <v>Dha, </v>
      </c>
      <c r="JM298" s="355" t="str">
        <f t="shared" si="157"/>
        <v/>
      </c>
      <c r="JN298" s="355" t="str">
        <f t="shared" si="158"/>
        <v>Ni, </v>
      </c>
      <c r="JO298" s="359" t="str">
        <f t="shared" si="159"/>
        <v/>
      </c>
      <c r="JP298" s="346" t="b">
        <f t="shared" si="160"/>
        <v>0</v>
      </c>
      <c r="JQ298" s="347" t="b">
        <f t="shared" si="161"/>
        <v>0</v>
      </c>
      <c r="JR298" s="347" t="b">
        <f t="shared" si="162"/>
        <v>0</v>
      </c>
      <c r="JS298" s="347" t="b">
        <f t="shared" si="163"/>
        <v>0</v>
      </c>
      <c r="JT298" s="347" t="b">
        <f t="shared" si="164"/>
        <v>0</v>
      </c>
      <c r="JU298" s="347" t="b">
        <f t="shared" si="165"/>
        <v>0</v>
      </c>
      <c r="JV298" s="347" t="b">
        <f t="shared" si="166"/>
        <v>0</v>
      </c>
      <c r="JW298" s="347" t="b">
        <f t="shared" si="167"/>
        <v>0</v>
      </c>
      <c r="JX298" s="347" t="b">
        <f t="shared" si="168"/>
        <v>0</v>
      </c>
      <c r="JY298" s="347" t="b">
        <f t="shared" si="169"/>
        <v>0</v>
      </c>
      <c r="JZ298" s="347" t="b">
        <f t="shared" si="170"/>
        <v>0</v>
      </c>
      <c r="KA298" s="347" t="b">
        <f t="shared" si="171"/>
        <v>1</v>
      </c>
      <c r="KB298" s="365" t="b">
        <f t="shared" si="172"/>
        <v>0</v>
      </c>
      <c r="KC298" s="354" t="str">
        <f t="shared" si="173"/>
        <v/>
      </c>
      <c r="KD298" s="355" t="str">
        <f t="shared" si="174"/>
        <v/>
      </c>
      <c r="KE298" s="355" t="str">
        <f t="shared" si="175"/>
        <v/>
      </c>
      <c r="KF298" s="355" t="str">
        <f t="shared" si="176"/>
        <v/>
      </c>
      <c r="KG298" s="355" t="str">
        <f t="shared" si="177"/>
        <v/>
      </c>
      <c r="KH298" s="355" t="str">
        <f t="shared" si="178"/>
        <v/>
      </c>
      <c r="KI298" s="355" t="str">
        <f t="shared" si="179"/>
        <v/>
      </c>
      <c r="KJ298" s="355" t="str">
        <f t="shared" si="180"/>
        <v/>
      </c>
      <c r="KK298" s="355" t="str">
        <f t="shared" si="181"/>
        <v/>
      </c>
      <c r="KL298" s="355" t="str">
        <f t="shared" si="182"/>
        <v/>
      </c>
      <c r="KM298" s="355" t="str">
        <f t="shared" si="183"/>
        <v/>
      </c>
      <c r="KN298" s="355" t="str">
        <f t="shared" si="184"/>
        <v>Ni, </v>
      </c>
      <c r="KO298" s="359"/>
      <c r="KP298" s="378"/>
      <c r="KQ298" s="379" t="s">
        <v>9</v>
      </c>
      <c r="KR298" s="380" t="s">
        <v>9</v>
      </c>
      <c r="KS298" s="381" t="s">
        <v>9</v>
      </c>
      <c r="KT298" s="382">
        <f t="shared" si="186"/>
        <v>0</v>
      </c>
      <c r="KU298" s="383">
        <f t="shared" si="187"/>
        <v>0</v>
      </c>
      <c r="KV298" s="381" t="str">
        <f t="shared" si="205"/>
        <v>S</v>
      </c>
      <c r="KW298" s="382">
        <f t="shared" si="189"/>
        <v>0</v>
      </c>
      <c r="KX298" s="384">
        <f t="shared" si="190"/>
        <v>0</v>
      </c>
      <c r="KY298" s="382">
        <f t="shared" ref="KY298:KZ298" si="824">KW298-KT298</f>
        <v>0</v>
      </c>
      <c r="KZ298" s="369">
        <f t="shared" si="824"/>
        <v>0</v>
      </c>
      <c r="LA298" s="385" t="str">
        <f t="shared" si="192"/>
        <v>✔</v>
      </c>
      <c r="LB298" s="340" t="str">
        <f>IFERROR(__xludf.DUMMYFUNCTION("JOIN("""",ArrayFormula(MID(KS298,LEN(KS298)-SEQUENCE(1,LEN(KS298))+1,1)))"),"S")</f>
        <v>S</v>
      </c>
      <c r="LC298" s="373" t="str">
        <f>IFERROR(__xludf.DUMMYFUNCTION("JOIN("""",ArrayFormula(MID(KV298,LEN(KV298)-SEQUENCE(1,LEN(KV298))+1,1)))"),"S")</f>
        <v>S</v>
      </c>
      <c r="LD298" s="373" t="str">
        <f t="shared" si="193"/>
        <v>S</v>
      </c>
      <c r="LE298" s="339" t="str">
        <f t="shared" si="194"/>
        <v>S</v>
      </c>
      <c r="LF298" s="386" t="str">
        <f>IFERROR(__xludf.DUMMYFUNCTION("SUBSTITUTE(SUBSTITUTE(CONCATENATE(JOIN("""",LH298:LT298)),""1"",""""),""2"","""")"),"SS")</f>
        <v>SS</v>
      </c>
      <c r="LG298" s="369" t="str">
        <f t="shared" si="195"/>
        <v>-</v>
      </c>
      <c r="LH298" s="387" t="str">
        <f>IFERROR(__xludf.DUMMYFUNCTION("IF(REGEXMATCH(LD298, ""S""), ""S"",IF(REGEXMATCH(LE298, ""S""), ""S"",""""))"),"S")</f>
        <v>S</v>
      </c>
      <c r="LI298" s="299" t="str">
        <f>IFERROR(__xludf.DUMMYFUNCTION("IF(REGEXMATCH(LD298, ""r""), ""r1"",IF(REGEXMATCH(LE298, ""r""), ""r2"",""""))"),"")</f>
        <v/>
      </c>
      <c r="LJ298" s="299" t="str">
        <f>IFERROR(__xludf.DUMMYFUNCTION("IF(REGEXMATCH(LD298, ""R""), ""R1"",IF(REGEXMATCH(LE298, ""R""), ""R2"",""""))"),"")</f>
        <v/>
      </c>
      <c r="LK298" s="299" t="str">
        <f>IFERROR(__xludf.DUMMYFUNCTION("IF(REGEXMATCH(LD298, ""g""), ""g1"",IF(REGEXMATCH(LE298, ""g""), ""g2"",""""))"),"")</f>
        <v/>
      </c>
      <c r="LL298" s="299" t="str">
        <f>IFERROR(__xludf.DUMMYFUNCTION("IF(REGEXMATCH(LD298, ""G""), ""G1"",IF(REGEXMATCH(LE298, ""G""), ""G2"",""""))"),"")</f>
        <v/>
      </c>
      <c r="LM298" s="299" t="str">
        <f>IFERROR(__xludf.DUMMYFUNCTION("IF(REGEXMATCH(LD298, ""m""), ""m1"",IF(REGEXMATCH(LE298, ""m""), ""m2"",""""))"),"")</f>
        <v/>
      </c>
      <c r="LN298" s="299" t="str">
        <f>IFERROR(__xludf.DUMMYFUNCTION("IF(REGEXMATCH(LD298, ""M""), ""M1"",IF(REGEXMATCH(LE298, ""M""), ""M2"",""""))"),"")</f>
        <v/>
      </c>
      <c r="LO298" s="299" t="str">
        <f>IFERROR(__xludf.DUMMYFUNCTION("IF(REGEXMATCH(LD298, ""P""), ""P1"",IF(REGEXMATCH(LE298, ""P""), ""P2"",""""))"),"")</f>
        <v/>
      </c>
      <c r="LP298" s="299" t="str">
        <f>IFERROR(__xludf.DUMMYFUNCTION("IF(REGEXMATCH(LD298, ""d""), ""d1"",IF(REGEXMATCH(LE298, ""d""), ""d2"",""""))"),"")</f>
        <v/>
      </c>
      <c r="LQ298" s="299" t="str">
        <f>IFERROR(__xludf.DUMMYFUNCTION("IF(REGEXMATCH(LD298, ""D""), ""D1"",IF(REGEXMATCH(LE298, ""D""), ""D2"",""""))"),"")</f>
        <v/>
      </c>
      <c r="LR298" s="299" t="str">
        <f>IFERROR(__xludf.DUMMYFUNCTION("IF(REGEXMATCH(LD298, ""n""), ""n1"",IF(REGEXMATCH(LE298, ""n""), ""n2"",""""))"),"")</f>
        <v/>
      </c>
      <c r="LS298" s="299" t="str">
        <f>IFERROR(__xludf.DUMMYFUNCTION("IF(REGEXMATCH(LD298, ""N""), ""N1"",IF(REGEXMATCH(LE298, ""N""), ""N2"",""""))"),"")</f>
        <v/>
      </c>
      <c r="LT298" s="388" t="str">
        <f>IFERROR(__xludf.DUMMYFUNCTION("IF(REGEXMATCH(LD298, ""S""), ""S"",IF(REGEXMATCH(LE298, ""S""), ""S"",""""))"),"S")</f>
        <v>S</v>
      </c>
      <c r="LU298" s="389">
        <f t="shared" si="196"/>
        <v>1</v>
      </c>
      <c r="LV298" s="378"/>
      <c r="LW298" s="369"/>
      <c r="LX298" s="369"/>
    </row>
    <row r="299" ht="18.0" customHeight="1">
      <c r="A299" s="298" t="s">
        <v>1480</v>
      </c>
      <c r="B299" s="222" t="s">
        <v>738</v>
      </c>
      <c r="C299" s="233" t="str">
        <f t="shared" si="7"/>
        <v>SRGmPDnS</v>
      </c>
      <c r="D299" s="234" t="str">
        <f>IFERROR(__xludf.DUMMYFUNCTION("IF(REGEXMATCH(C299, ""S""), ""S"","""")"),"S")</f>
        <v>S</v>
      </c>
      <c r="E299" s="236" t="str">
        <f>IFERROR(__xludf.DUMMYFUNCTION("IF(REGEXMATCH(C299, ""r""), ""r"","""")"),"")</f>
        <v/>
      </c>
      <c r="F299" s="237" t="str">
        <f>IFERROR(__xludf.DUMMYFUNCTION("IF(REGEXMATCH(C299, ""R""), ""R"","""")"),"R")</f>
        <v>R</v>
      </c>
      <c r="G299" s="237" t="str">
        <f>IFERROR(__xludf.DUMMYFUNCTION("IF(REGEXMATCH(C299, ""g""), ""g"","""")"),"")</f>
        <v/>
      </c>
      <c r="H299" s="236" t="str">
        <f>IFERROR(__xludf.DUMMYFUNCTION("IF(REGEXMATCH(C299, ""G""), ""G"","""")"),"G")</f>
        <v>G</v>
      </c>
      <c r="I299" s="236" t="str">
        <f>IFERROR(__xludf.DUMMYFUNCTION("IF(REGEXMATCH(C299, ""m""), ""m"","""")"),"m")</f>
        <v>m</v>
      </c>
      <c r="J299" s="237" t="str">
        <f>IFERROR(__xludf.DUMMYFUNCTION("IF(REGEXMATCH(C299, ""M""), ""M"","""")"),"")</f>
        <v/>
      </c>
      <c r="K299" s="236" t="str">
        <f>IFERROR(__xludf.DUMMYFUNCTION("IF(REGEXMATCH(C299, ""P""), ""P"","""")"),"P")</f>
        <v>P</v>
      </c>
      <c r="L299" s="237" t="str">
        <f>IFERROR(__xludf.DUMMYFUNCTION("IF(REGEXMATCH(C299, ""d""), ""d"","""")"),"")</f>
        <v/>
      </c>
      <c r="M299" s="236" t="str">
        <f>IFERROR(__xludf.DUMMYFUNCTION("IF(REGEXMATCH(C299, ""D""), ""D"","""")"),"D")</f>
        <v>D</v>
      </c>
      <c r="N299" s="236" t="str">
        <f>IFERROR(__xludf.DUMMYFUNCTION("IF(REGEXMATCH(C299, ""n""), ""n"","""")"),"n")</f>
        <v>n</v>
      </c>
      <c r="O299" s="237" t="str">
        <f>IFERROR(__xludf.DUMMYFUNCTION("IF(REGEXMATCH(C299, ""N""), ""N"","""")"),"")</f>
        <v/>
      </c>
      <c r="P299" s="238" t="str">
        <f>IFERROR(__xludf.DUMMYFUNCTION("IF(REGEXMATCH(C299, ""S""), ""S"","""")"),"S")</f>
        <v>S</v>
      </c>
      <c r="Q299" s="239" t="str">
        <f>IFERROR(__xludf.DUMMYFUNCTION("SUBSTITUTE(CONCATENATE(JOIN(""-"",D299:J299)),""-"","""")"),"SRGm")</f>
        <v>SRGm</v>
      </c>
      <c r="R299" s="229" t="str">
        <f>IFERROR(__xludf.DUMMYFUNCTION("SUBSTITUTE(CONCATENATE(JOIN(""-"",K299:P299)),""-"","""")"),"PDnS")</f>
        <v>PDnS</v>
      </c>
      <c r="S299" s="282" t="str">
        <f t="shared" si="8"/>
        <v>S-R-G-M</v>
      </c>
      <c r="T299" s="282" t="str">
        <f t="shared" si="9"/>
        <v>P-D-N-S</v>
      </c>
      <c r="U299" s="237" t="str">
        <f>IFERROR(__xludf.DUMMYFUNCTION("SUBSTITUTE(JOIN(""-"",S299,T299),""--"",""-"")"),"S-R-G-M-P-D-N-S")</f>
        <v>S-R-G-M-P-D-N-S</v>
      </c>
      <c r="V299" s="309" t="str">
        <f t="shared" si="10"/>
        <v>RGmDn</v>
      </c>
      <c r="W299" s="244" t="str">
        <f>IFERROR(__xludf.DUMMYFUNCTION("IF(REGEXMATCH(C299, ""S""), ""0"","""")"),"0")</f>
        <v>0</v>
      </c>
      <c r="X299" s="245" t="str">
        <f>IFERROR(__xludf.DUMMYFUNCTION("IF(REGEXMATCH(C299, ""r""), ""1"","""")"),"")</f>
        <v/>
      </c>
      <c r="Y299" s="246" t="str">
        <f>IFERROR(__xludf.DUMMYFUNCTION("IF(REGEXMATCH(C299, ""R""), ""2"","""")"),"2")</f>
        <v>2</v>
      </c>
      <c r="Z299" s="246" t="str">
        <f>IFERROR(__xludf.DUMMYFUNCTION("IF(REGEXMATCH(C299, ""g""), ""3"","""")"),"")</f>
        <v/>
      </c>
      <c r="AA299" s="245" t="str">
        <f>IFERROR(__xludf.DUMMYFUNCTION("IF(REGEXMATCH(C299, ""G""), ""4"","""")"),"4")</f>
        <v>4</v>
      </c>
      <c r="AB299" s="245" t="str">
        <f>IFERROR(__xludf.DUMMYFUNCTION("IF(REGEXMATCH(C299, ""m""), ""5"","""")"),"5")</f>
        <v>5</v>
      </c>
      <c r="AC299" s="246" t="str">
        <f>IFERROR(__xludf.DUMMYFUNCTION("IF(REGEXMATCH(C299, ""M""), ""6"","""")"),"")</f>
        <v/>
      </c>
      <c r="AD299" s="245" t="str">
        <f>IFERROR(__xludf.DUMMYFUNCTION("IF(REGEXMATCH(C299, ""P""), ""7"","""")"),"7")</f>
        <v>7</v>
      </c>
      <c r="AE299" s="246" t="str">
        <f>IFERROR(__xludf.DUMMYFUNCTION("IF(REGEXMATCH(C299, ""d""), ""8"","""")"),"")</f>
        <v/>
      </c>
      <c r="AF299" s="245" t="str">
        <f>IFERROR(__xludf.DUMMYFUNCTION("IF(REGEXMATCH(C299, ""D""), ""9"","""")"),"9")</f>
        <v>9</v>
      </c>
      <c r="AG299" s="245" t="str">
        <f>IFERROR(__xludf.DUMMYFUNCTION("IF(REGEXMATCH(C299, ""n""), ""10"","""")"),"10")</f>
        <v>10</v>
      </c>
      <c r="AH299" s="246" t="str">
        <f>IFERROR(__xludf.DUMMYFUNCTION("IF(REGEXMATCH(C299, ""N""), ""11"","""")"),"")</f>
        <v/>
      </c>
      <c r="AI299" s="249" t="str">
        <f>IFERROR(__xludf.DUMMYFUNCTION("IF(REGEXMATCH(C299, ""S""), ""0"","""")"),"0")</f>
        <v>0</v>
      </c>
      <c r="AJ299" s="313" t="str">
        <f t="shared" si="11"/>
        <v>-</v>
      </c>
      <c r="AK299" s="313" t="str">
        <f t="shared" si="12"/>
        <v>-</v>
      </c>
      <c r="AL299" s="313" t="str">
        <f t="shared" si="13"/>
        <v>-</v>
      </c>
      <c r="AM299" s="313" t="str">
        <f t="shared" si="14"/>
        <v>-</v>
      </c>
      <c r="AN299" s="313" t="str">
        <f t="shared" si="15"/>
        <v>T</v>
      </c>
      <c r="AO299" s="314" t="str">
        <f t="shared" si="16"/>
        <v>-</v>
      </c>
      <c r="AP299" s="316">
        <f t="shared" si="17"/>
        <v>1</v>
      </c>
      <c r="AQ299" s="319" t="str">
        <f t="shared" si="18"/>
        <v>-</v>
      </c>
      <c r="AR299" s="320">
        <f t="shared" si="19"/>
        <v>0</v>
      </c>
      <c r="AS299" s="250" t="str">
        <f>IFERROR(__xludf.DUMMYFUNCTION("SUBSTITUTE(SUBSTITUTE(CONCATENATE(JOIN("""",FP299:GA299)),""|"",""x""),""-"",""o"")"),"xoxoxxoxoxxo")</f>
        <v>xoxoxxoxoxxo</v>
      </c>
      <c r="AT299" s="323" t="str">
        <f>IFERROR(__xludf.DUMMYFUNCTION("JOIN("""",AS299,AS299)"),"xoxoxxoxoxxoxoxoxxoxoxxo")</f>
        <v>xoxoxxoxoxxoxoxoxxoxoxxo</v>
      </c>
      <c r="AU299" s="256" t="str">
        <f>IFERROR(__xludf.DUMMYFUNCTION("JOIN("""",ArrayFormula(MID(AS299,LEN(AS299)-SEQUENCE(1,LEN(AS299))+1,1)))"),"oxxoxoxxoxox")</f>
        <v>oxxoxoxxoxox</v>
      </c>
      <c r="AV299" s="256" t="str">
        <f>IFERROR(__xludf.DUMMYFUNCTION("LEFT(CONCATENATE(""x"",JOIN("""",ArrayFormula(MID(AS299,LEN(AS299)-SEQUENCE(1,LEN(AS299))+1,1)))),12)"),"xoxxoxoxxoxo")</f>
        <v>xoxxoxoxxoxo</v>
      </c>
      <c r="AW299" s="327" t="str">
        <f>IFERROR(__xludf.DUMMYFUNCTION("JOIN("""",AU299,AU299)"),"oxxoxoxxoxoxoxxoxoxxoxox")</f>
        <v>oxxoxoxxoxoxoxxoxoxxoxox</v>
      </c>
      <c r="AX299" s="239" t="str">
        <f>IFERROR(__xludf.DUMMYFUNCTION("IF(REGEXMATCH(AW299,AS299),""✔"",""-"")"),"✔")</f>
        <v>✔</v>
      </c>
      <c r="AY299" s="330" t="str">
        <f t="shared" si="20"/>
        <v>-</v>
      </c>
      <c r="AZ299" s="260" t="str">
        <f t="shared" si="21"/>
        <v>#REF!</v>
      </c>
      <c r="BA299" s="333" t="str">
        <f t="shared" si="22"/>
        <v>xoxoxxo</v>
      </c>
      <c r="BB299" s="334" t="str">
        <f t="shared" si="23"/>
        <v>xoxxox</v>
      </c>
      <c r="BC299" s="335" t="str">
        <f t="shared" si="236"/>
        <v>-</v>
      </c>
      <c r="BD299" s="336" t="str">
        <f t="shared" si="25"/>
        <v>Sameshwari: 'xoxoxxo' + 'xoxxox'</v>
      </c>
      <c r="BE299" s="337">
        <f>IFERROR(__xludf.DUMMYFUNCTION("COUNTUNIQUE(FILTER(AT:AT,REGEXMATCH(AT:AT,AS299)))-1"),6.0)</f>
        <v>6</v>
      </c>
      <c r="BF299" s="261" t="str">
        <f>IFERROR(__xludf.DUMMYFUNCTION("IF(BI299=0,""(n/a)"",IF(BJ299=2,""(PAIR)"",IF(REGEXMATCH(AT299,""xoxoxxoxoxox""),""Bilawal"",IF(REGEXMATCH(AT299,""xoxoxooxoxoo""),""Bhupali"",IF(REGEXMATCH(AT299,""xoxoxxoxxoxo""),""Charukeshi"",IF(REGEXMATCH(AT299,""xoxoooxxoxxo""),""Kameshwari"",IF(REG"&amp;"EXMATCH(AT299,""xoxoxooxoxox""),""Shankara"",IF(REGEXMATCH(AT299,""xxooxoxxxoox""),""Basant"",IF(REGEXMATCH(AT299,""xoxoxxxxoxox""),""Bihag"",IF(REGEXMATCH(AT299,""xoxxxxoxoxxx""),""Pilu"",IF(REGEXMATCH(AT299,""xoxxoxoxxoox""),""Kirwani"",IF(REGEXMATCH(AT"&amp;"299,""xoxxoxoxoxxx""),""Mk.Malhar"",IF(REGEXMATCH(AT299,""xxooxxoxxoox""),""Bhairav"",IF(REGEXMATCH(AT299,""xxoxooxxxoox""),""Todi"",IF(REGEXMATCH(AT299,""xxooxoxooxox""),""Marwa"",IF(REGEXMATCH(AT299,""xxoooxoxxooo""),""Gunkali"",IF(REGEXMATCH(AT299,""xo"&amp;"xoxxoxxoox""),""Nat Bhairav"",IF(REGEXMATCH(AT299,""xoxxoooxoxoo""),""Shivranjani"",IF(REGEXMATCH(AT299,""xooxxxoxooxo""),""Jog"",IF(REGEXMATCH(AT299,""xxooxoxoxoox""),""Hemshri"",IF(REGEXMATCH(AT299,""xoooxooxoxxo""),""Kalavati"",IF(REGEXMATCH(AT299,""xx"&amp;"oxoxxoxoox""),""Kedar"",IF(REGEXMATCH(AT299,""xoxxxxoxooxx""),""Gara"",IF(REGEXMATCH(AT299,""xooxoxooxoox""),""Chandrakauns"",IF(REGEXMATCH(AT299,""xoxxxxoxxxox""),""Mand"",IF(REGEXMATCH(AT299,""xoxxxxoxoxox""),""Hanskinkini"",IF(REGEXMATCH(AT299,""xxooxx"&amp;"oxooxo""),""Lilavati"",IF(REGEXMATCH(AT299,""xooxoxoooxox""),""Rajeshwari"",IF(REGEXMATCH(AT299,""xoooxxoxoxxx""),""Khokar"",IF(REGEXMATCH(AT299,""xxooxoxxxxox""),""Maligoura"",""-""))))))))))))))))))))))))))))))"),"Bilawal")</f>
        <v>Bilawal</v>
      </c>
      <c r="BG299" s="239" t="str">
        <f t="shared" si="26"/>
        <v>#REF!</v>
      </c>
      <c r="BH299" s="239">
        <f>IFERROR(__xludf.DUMMYFUNCTION("COUNTUNIQUE(FE299:FO299)-1"),6.0)</f>
        <v>6</v>
      </c>
      <c r="BI299" s="239">
        <f>IFERROR(__xludf.DUMMYFUNCTION("COUNTUNIQUE(FILTER(AT:AT,REGEXMATCH(AT:AT,AS299)))-1"),6.0)</f>
        <v>6</v>
      </c>
      <c r="BJ299" s="239">
        <f>IFERROR(__xludf.DUMMYFUNCTION("COUNTA(FILTER(AT:AT,REGEXMATCH(AT:AT,AS299)))"),48.0)</f>
        <v>48</v>
      </c>
      <c r="BK299" s="341">
        <f>IFERROR(__xludf.DUMMYFUNCTION("COUNTA(FILTER(AT:AT,REGEXMATCH(AT:AT,AS299)))-AR299"),48.0)</f>
        <v>48</v>
      </c>
      <c r="BL299" s="276" t="str">
        <f>IFERROR(__xludf.DUMMYFUNCTION("IF(AS299=""oooooooooooo"",""-"",IF(REGEXMATCH(AT299,""xx""), ""Hemi."", ""Anhemi.""))"),"Hemi.")</f>
        <v>Hemi.</v>
      </c>
      <c r="BM299" s="282" t="str">
        <f>IFERROR(__xludf.DUMMYFUNCTION("IF(AS299=""oooooooooooo"",""-"",IF(REGEXMATCH(AT299,""xxx""), ""Cohem."", ""-""))"),"-")</f>
        <v>-</v>
      </c>
      <c r="BN299" s="282" t="str">
        <f>IFERROR(__xludf.DUMMYFUNCTION("IF(AS299=""oooooooooooo"",""-"",IF(REGEXMATCH(AT299,""xxxx""), ""Co-Co."", ""-""))"),"-")</f>
        <v>-</v>
      </c>
      <c r="BO299" s="342" t="str">
        <f>IFERROR(__xludf.DUMMYFUNCTION("IF(AS299=""oooooooooooo"",""-"",IF(REGEXMATCH(AT299,""xxxxx""), ""CCC."", ""-""))"),"-")</f>
        <v>-</v>
      </c>
      <c r="BP299" s="344" t="str">
        <f t="shared" si="27"/>
        <v>Khamaj</v>
      </c>
      <c r="BQ299" s="282" t="str">
        <f>IFERROR(__xludf.DUMMYFUNCTION("IF(REGEXMATCH(JOIN(""-"",EU299:FD299),""TRUE""),""✔"",""-"")"),"✔")</f>
        <v>✔</v>
      </c>
      <c r="BR299" s="225">
        <f t="shared" si="28"/>
        <v>1</v>
      </c>
      <c r="BS299" s="345" t="str">
        <f>IFERROR(__xludf.DUMMYFUNCTION("SUBSTITUTE(SUBSTITUTE(SUBSTITUTE(SUBSTITUTE(CONCATENATE(JOIN(""-"",GC299:GO299)),""--"",""-""),""--"",""-""),""--"",""-""),""--"",""-"")"),"1-2-3-4-5-6-b7-8")</f>
        <v>1-2-3-4-5-6-b7-8</v>
      </c>
      <c r="BT299" s="299" t="str">
        <f>IFERROR(__xludf.DUMMYFUNCTION("SUBSTITUTE(SUBSTITUTE(SUBSTITUTE(SUBSTITUTE(CONCATENATE(JOIN(""-"",GP299:HB299)),""--"",""-""),""--"",""-""),""--"",""-""),""--"",""-"")"),"S-R2-G3-M1-P-D2-N2-S")</f>
        <v>S-R2-G3-M1-P-D2-N2-S</v>
      </c>
      <c r="BU299" s="348" t="str">
        <f t="shared" si="29"/>
        <v>C-D-E-F-G-A-Bb-C</v>
      </c>
      <c r="BV299" s="349" t="str">
        <f t="shared" si="30"/>
        <v>SrgMdNS</v>
      </c>
      <c r="BW299" s="350">
        <f t="shared" si="31"/>
        <v>1</v>
      </c>
      <c r="BX299" s="351">
        <f t="shared" si="32"/>
        <v>8</v>
      </c>
      <c r="BY299" s="392"/>
      <c r="BZ299" s="309" t="str">
        <f>IFERROR(__xludf.DUMMYFUNCTION("IF(REGEXMATCH(C299, ""S""), ""x"",""x"")"),"x")</f>
        <v>x</v>
      </c>
      <c r="CA299" s="245" t="str">
        <f>IFERROR(__xludf.DUMMYFUNCTION("IF(REGEXMATCH(C299, ""r""), ""o"",""x"")"),"x")</f>
        <v>x</v>
      </c>
      <c r="CB299" s="246" t="str">
        <f>IFERROR(__xludf.DUMMYFUNCTION("IF(REGEXMATCH(C299, ""R""), ""o"",""x"")"),"o")</f>
        <v>o</v>
      </c>
      <c r="CC299" s="246" t="str">
        <f>IFERROR(__xludf.DUMMYFUNCTION("IF(REGEXMATCH(C299, ""g""), ""o"",""x"")"),"x")</f>
        <v>x</v>
      </c>
      <c r="CD299" s="245" t="str">
        <f>IFERROR(__xludf.DUMMYFUNCTION("IF(REGEXMATCH(C299, ""G""), ""o"",""x"")"),"o")</f>
        <v>o</v>
      </c>
      <c r="CE299" s="245" t="str">
        <f>IFERROR(__xludf.DUMMYFUNCTION("IF(REGEXMATCH(C299, ""m""), ""o"",""x"")"),"o")</f>
        <v>o</v>
      </c>
      <c r="CF299" s="246" t="str">
        <f>IFERROR(__xludf.DUMMYFUNCTION("IF(REGEXMATCH(C299, ""M""), ""o"",""x"")"),"x")</f>
        <v>x</v>
      </c>
      <c r="CG299" s="245" t="str">
        <f>IFERROR(__xludf.DUMMYFUNCTION("IF(REGEXMATCH(C299, ""P""), ""o"",""x"")"),"o")</f>
        <v>o</v>
      </c>
      <c r="CH299" s="246" t="str">
        <f>IFERROR(__xludf.DUMMYFUNCTION("IF(REGEXMATCH(C299, ""d""), ""o"",""x"")"),"x")</f>
        <v>x</v>
      </c>
      <c r="CI299" s="245" t="str">
        <f>IFERROR(__xludf.DUMMYFUNCTION("IF(REGEXMATCH(C299, ""D""), ""o"",""x"")"),"o")</f>
        <v>o</v>
      </c>
      <c r="CJ299" s="245" t="str">
        <f>IFERROR(__xludf.DUMMYFUNCTION("IF(REGEXMATCH(C299, ""n""), ""o"",""x"")"),"o")</f>
        <v>o</v>
      </c>
      <c r="CK299" s="245" t="str">
        <f>IFERROR(__xludf.DUMMYFUNCTION("IF(REGEXMATCH(C299, ""N""), ""o"",""x"")"),"x")</f>
        <v>x</v>
      </c>
      <c r="CL299" s="356" t="str">
        <f>IFERROR(__xludf.DUMMYFUNCTION("IF(REGEXMATCH(C299, ""S""), ""x"",""x"")"),"x")</f>
        <v>x</v>
      </c>
      <c r="CM299" s="357" t="str">
        <f t="shared" si="33"/>
        <v>xxoxooxoxoox</v>
      </c>
      <c r="CN299" s="358">
        <f t="shared" si="34"/>
        <v>1</v>
      </c>
      <c r="CO299" s="246" t="str">
        <f>IFERROR(__xludf.DUMMYFUNCTION("IF(REGEXMATCH($C299, ""S""), ""S"",""S"")"),"S")</f>
        <v>S</v>
      </c>
      <c r="CP299" s="246" t="str">
        <f>IFERROR(__xludf.DUMMYFUNCTION("IF(REGEXMATCH($C299, ""r""), """",""r"")"),"r")</f>
        <v>r</v>
      </c>
      <c r="CQ299" s="246" t="str">
        <f>IFERROR(__xludf.DUMMYFUNCTION("IF(REGEXMATCH($C299, ""R""), """",""R"")"),"")</f>
        <v/>
      </c>
      <c r="CR299" s="246" t="str">
        <f>IFERROR(__xludf.DUMMYFUNCTION("IF(REGEXMATCH($C299, ""g""), """",""g"")"),"g")</f>
        <v>g</v>
      </c>
      <c r="CS299" s="246" t="str">
        <f>IFERROR(__xludf.DUMMYFUNCTION("IF(REGEXMATCH($C299, ""G""), """",""G"")"),"")</f>
        <v/>
      </c>
      <c r="CT299" s="246" t="str">
        <f>IFERROR(__xludf.DUMMYFUNCTION("IF(REGEXMATCH($C299, ""m""), """",""m"")"),"")</f>
        <v/>
      </c>
      <c r="CU299" s="246" t="str">
        <f>IFERROR(__xludf.DUMMYFUNCTION("IF(REGEXMATCH($C299, ""M""), """",""M"")"),"M")</f>
        <v>M</v>
      </c>
      <c r="CV299" s="246" t="str">
        <f>IFERROR(__xludf.DUMMYFUNCTION("IF(REGEXMATCH($C299, ""P""), """",""P"")"),"")</f>
        <v/>
      </c>
      <c r="CW299" s="246" t="str">
        <f>IFERROR(__xludf.DUMMYFUNCTION("IF(REGEXMATCH($C299, ""d""), """",""d"")"),"d")</f>
        <v>d</v>
      </c>
      <c r="CX299" s="246" t="str">
        <f>IFERROR(__xludf.DUMMYFUNCTION("IF(REGEXMATCH($C299, ""D""), """",""D"")"),"")</f>
        <v/>
      </c>
      <c r="CY299" s="246" t="str">
        <f>IFERROR(__xludf.DUMMYFUNCTION("IF(REGEXMATCH($C299, ""n""), """",""n"")"),"")</f>
        <v/>
      </c>
      <c r="CZ299" s="246" t="str">
        <f>IFERROR(__xludf.DUMMYFUNCTION("IF(REGEXMATCH($C299, ""N""), """",""N"")"),"N")</f>
        <v>N</v>
      </c>
      <c r="DA299" s="246" t="str">
        <f>IFERROR(__xludf.DUMMYFUNCTION("IF(REGEXMATCH($C299, ""S""), ""S"",""S"")"),"S")</f>
        <v>S</v>
      </c>
      <c r="DB299" s="362" t="str">
        <f>IFERROR(__xludf.DUMMYFUNCTION("JOIN("""",CO299:DA299,"""","""")"),"SrgMdNS")</f>
        <v>SrgMdNS</v>
      </c>
      <c r="DC299" s="363"/>
      <c r="DD299" s="301" t="str">
        <f t="shared" si="35"/>
        <v>#REF!</v>
      </c>
      <c r="DE299" s="302" t="str">
        <f t="shared" si="36"/>
        <v>#REF!</v>
      </c>
      <c r="DF299" s="301" t="str">
        <f t="shared" ref="DF299:DG299" si="825">SUBSTITUTE(S299,"-","")</f>
        <v>SRGM</v>
      </c>
      <c r="DG299" s="301" t="str">
        <f t="shared" si="825"/>
        <v>PDNS</v>
      </c>
      <c r="DH299" s="302" t="str">
        <f t="shared" si="38"/>
        <v>Bilawal</v>
      </c>
      <c r="DI299" s="301" t="str">
        <f t="shared" si="39"/>
        <v>Hemi.</v>
      </c>
      <c r="DJ299" s="364" t="str">
        <f t="shared" si="40"/>
        <v>-</v>
      </c>
      <c r="DK299" s="306" t="str">
        <f t="shared" si="41"/>
        <v>Khamaj</v>
      </c>
      <c r="DL299" s="366" t="str">
        <f t="shared" si="42"/>
        <v>-</v>
      </c>
      <c r="DM299" s="308" t="str">
        <f t="shared" si="43"/>
        <v>-</v>
      </c>
      <c r="DN299" s="306" t="str">
        <f t="shared" si="44"/>
        <v>-</v>
      </c>
      <c r="DO299" s="306" t="str">
        <f t="shared" si="45"/>
        <v>-</v>
      </c>
      <c r="DP299" s="367" t="str">
        <f t="shared" si="46"/>
        <v>-</v>
      </c>
      <c r="DQ299" s="310" t="str">
        <f t="shared" si="47"/>
        <v>-</v>
      </c>
      <c r="DR299" s="310" t="str">
        <f t="shared" si="48"/>
        <v>-</v>
      </c>
      <c r="DS299" s="310" t="str">
        <f t="shared" si="49"/>
        <v>-</v>
      </c>
      <c r="DT299" s="310" t="str">
        <f t="shared" si="50"/>
        <v>-</v>
      </c>
      <c r="DU299" s="370" t="str">
        <f t="shared" si="51"/>
        <v>-</v>
      </c>
      <c r="DV299" s="306" t="str">
        <f t="shared" si="52"/>
        <v>-</v>
      </c>
      <c r="DW299" s="306" t="str">
        <f t="shared" si="53"/>
        <v>-</v>
      </c>
      <c r="DX299" s="306" t="str">
        <f t="shared" si="54"/>
        <v>-</v>
      </c>
      <c r="DY299" s="306" t="str">
        <f t="shared" si="55"/>
        <v>-</v>
      </c>
      <c r="DZ299" s="306" t="str">
        <f t="shared" si="56"/>
        <v>-</v>
      </c>
      <c r="EA299" s="367" t="str">
        <f t="shared" si="57"/>
        <v>-</v>
      </c>
      <c r="EB299" s="310" t="str">
        <f>IFERROR(__xludf.DUMMYFUNCTION("IF(REGEXMATCH(AW299,AS299),""✔"",""-"")"),"✔")</f>
        <v>✔</v>
      </c>
      <c r="EC299" s="310" t="str">
        <f t="shared" si="58"/>
        <v>#REF!</v>
      </c>
      <c r="ED299" s="370" t="str">
        <f t="shared" si="59"/>
        <v>-</v>
      </c>
      <c r="EE299" s="340" t="str">
        <f t="shared" si="60"/>
        <v>S-R-G-m-P-D-n-S</v>
      </c>
      <c r="EF299" s="371" t="str">
        <f>IFERROR(__xludf.DUMMYFUNCTION("CONCATENATE(JOIN("""",HC299:HO299))"),"SRgmPdnS")</f>
        <v>SRgmPdnS</v>
      </c>
      <c r="EG299" s="372">
        <f t="shared" si="61"/>
        <v>1</v>
      </c>
      <c r="EH299" s="373" t="str">
        <f>IFERROR(__xludf.DUMMYFUNCTION("CONCATENATE(JOIN("""",JC299:JO299))"),"Ga, ")</f>
        <v>Ga, </v>
      </c>
      <c r="EI299" s="322">
        <f t="shared" si="62"/>
        <v>0</v>
      </c>
      <c r="EJ299" s="374" t="str">
        <f>IFERROR(__xludf.DUMMYFUNCTION("CONCATENATE(JOIN("""",KC299:KO299))"),"")</f>
        <v/>
      </c>
      <c r="EK299" s="325" t="str">
        <f t="shared" si="63"/>
        <v>S-R2-G3-M1-P-D2-N2-S</v>
      </c>
      <c r="EL299" s="326" t="str">
        <f t="shared" si="64"/>
        <v>1-2-3-4-5-6-b7-8</v>
      </c>
      <c r="EM299" s="318" t="str">
        <f t="shared" si="65"/>
        <v>#REF!</v>
      </c>
      <c r="EN299" s="328" t="str">
        <f>IFERROR(__xludf.DUMMYFUNCTION("SUBSTITUTE(SUBSTITUTE(SUBSTITUTE(SUBSTITUTE(CONCATENATE(JOIN("" "",HP299:IB299)),""  "","" ""),""  "","" ""),""  "","" ""),""  "","" "")"),"o • o • o o • o • o o • o")</f>
        <v>o • o • o o • o • o o • o</v>
      </c>
      <c r="EO299" s="368" t="str">
        <f t="shared" si="66"/>
        <v>-</v>
      </c>
      <c r="EP299" s="339" t="str">
        <f t="shared" si="67"/>
        <v>-</v>
      </c>
      <c r="EQ299" s="339" t="str">
        <f t="shared" si="68"/>
        <v>Sa-Pa</v>
      </c>
      <c r="ER299" s="339" t="str">
        <f t="shared" si="69"/>
        <v>-</v>
      </c>
      <c r="ES299" s="340" t="str">
        <f t="shared" si="70"/>
        <v>-</v>
      </c>
      <c r="ET299" s="363"/>
      <c r="EU299" s="376" t="b">
        <f>IFERROR(__xludf.DUMMYFUNCTION("arrayformula(sum(--REGEXMATCH(""SRGMPDNS"",split(REGEXREPLACE(C299,""(.)"",""$1~""),""~""))))=len(C299)
"),FALSE)</f>
        <v>0</v>
      </c>
      <c r="EV299" s="290" t="b">
        <f>IFERROR(__xludf.DUMMYFUNCTION("arrayformula(sum(--REGEXMATCH(""SRGmPDNS"",split(REGEXREPLACE(C299,""(.)"",""$1~""),""~""))))=len(C299)"),FALSE)</f>
        <v>0</v>
      </c>
      <c r="EW299" s="290" t="b">
        <f>IFERROR(__xludf.DUMMYFUNCTION("arrayformula(sum(--REGEXMATCH(""SRGmPDnS"",split(REGEXREPLACE(C299,""(.)"",""$1~""),""~""))))=len(C299)"),TRUE)</f>
        <v>1</v>
      </c>
      <c r="EX299" s="290" t="b">
        <f>IFERROR(__xludf.DUMMYFUNCTION("arrayformula(sum(--REGEXMATCH(""SRgmPDnS"",split(REGEXREPLACE(C299,""(.)"",""$1~""),""~""))))=len(C299)"),FALSE)</f>
        <v>0</v>
      </c>
      <c r="EY299" s="290" t="b">
        <f>IFERROR(__xludf.DUMMYFUNCTION("arrayformula(sum(--REGEXMATCH(""SRgmPdnS"",split(REGEXREPLACE(C299,""(.)"",""$1~""),""~""))))=len(C299)"),FALSE)</f>
        <v>0</v>
      </c>
      <c r="EZ299" s="290" t="b">
        <f>IFERROR(__xludf.DUMMYFUNCTION("arrayformula(sum(--REGEXMATCH(""SrgmPdnS"",split(REGEXREPLACE(C299,""(.)"",""$1~""),""~""))))=len(C299)"),FALSE)</f>
        <v>0</v>
      </c>
      <c r="FA299" s="290" t="b">
        <f>IFERROR(__xludf.DUMMYFUNCTION("arrayformula(sum(--REGEXMATCH(""SrGmPdNS"",split(REGEXREPLACE(C299,""(.)"",""$1~""),""~""))))=len(C299)"),FALSE)</f>
        <v>0</v>
      </c>
      <c r="FB299" s="290" t="b">
        <f>IFERROR(__xludf.DUMMYFUNCTION("arrayformula(sum(--REGEXMATCH(""SrGMPDNS"",split(REGEXREPLACE(C299,""(.)"",""$1~""),""~""))))=len(C299)"),FALSE)</f>
        <v>0</v>
      </c>
      <c r="FC299" s="290" t="b">
        <f>IFERROR(__xludf.DUMMYFUNCTION("arrayformula(sum(--REGEXMATCH(""SrGMPdNS"",split(REGEXREPLACE(C299,""(.)"",""$1~""),""~""))))=len(C299)"),FALSE)</f>
        <v>0</v>
      </c>
      <c r="FD299" s="377" t="b">
        <f>IFERROR(__xludf.DUMMYFUNCTION("arrayformula(sum(--REGEXMATCH(""SrgMPdNS"",split(REGEXREPLACE(C299,""(.)"",""$1~""),""~""))))=len(C299)"),FALSE)</f>
        <v>0</v>
      </c>
      <c r="FE299" s="269" t="str">
        <f t="shared" si="71"/>
        <v>-</v>
      </c>
      <c r="FF299" s="269" t="str">
        <f t="shared" si="72"/>
        <v>xoxxoxoxxox</v>
      </c>
      <c r="FG299" s="271" t="str">
        <f t="shared" si="73"/>
        <v>-</v>
      </c>
      <c r="FH299" s="269" t="str">
        <f t="shared" si="74"/>
        <v>xxoxoxxoxox</v>
      </c>
      <c r="FI299" s="271" t="str">
        <f t="shared" si="75"/>
        <v>xoxoxxoxoxo</v>
      </c>
      <c r="FJ299" s="271" t="str">
        <f t="shared" si="76"/>
        <v>-</v>
      </c>
      <c r="FK299" s="271" t="str">
        <f t="shared" si="77"/>
        <v>xoxxoxoxoxx</v>
      </c>
      <c r="FL299" s="271" t="str">
        <f t="shared" si="78"/>
        <v>-</v>
      </c>
      <c r="FM299" s="271" t="str">
        <f t="shared" si="79"/>
        <v>xxoxoxoxxox</v>
      </c>
      <c r="FN299" s="271" t="str">
        <f t="shared" si="80"/>
        <v>xoxoxoxxoxo</v>
      </c>
      <c r="FO299" s="274" t="str">
        <f t="shared" si="81"/>
        <v>-</v>
      </c>
      <c r="FP299" s="234" t="str">
        <f t="shared" si="82"/>
        <v>|</v>
      </c>
      <c r="FQ299" s="236" t="str">
        <f t="shared" si="83"/>
        <v>-</v>
      </c>
      <c r="FR299" s="237" t="str">
        <f t="shared" si="84"/>
        <v>|</v>
      </c>
      <c r="FS299" s="236" t="str">
        <f t="shared" si="85"/>
        <v>-</v>
      </c>
      <c r="FT299" s="237" t="str">
        <f t="shared" si="86"/>
        <v>|</v>
      </c>
      <c r="FU299" s="236" t="str">
        <f t="shared" si="87"/>
        <v>|</v>
      </c>
      <c r="FV299" s="237" t="str">
        <f t="shared" si="88"/>
        <v>-</v>
      </c>
      <c r="FW299" s="236" t="str">
        <f t="shared" si="89"/>
        <v>|</v>
      </c>
      <c r="FX299" s="237" t="str">
        <f t="shared" si="90"/>
        <v>-</v>
      </c>
      <c r="FY299" s="236" t="str">
        <f t="shared" si="91"/>
        <v>|</v>
      </c>
      <c r="FZ299" s="237" t="str">
        <f t="shared" si="92"/>
        <v>|</v>
      </c>
      <c r="GA299" s="236" t="str">
        <f t="shared" si="93"/>
        <v>-</v>
      </c>
      <c r="GB299" s="238" t="str">
        <f t="shared" si="94"/>
        <v>|</v>
      </c>
      <c r="GC299" s="244" t="str">
        <f>IFERROR(__xludf.DUMMYFUNCTION("IF(REGEXMATCH(C299, ""S""), ""1"","""")"),"1")</f>
        <v>1</v>
      </c>
      <c r="GD299" s="245" t="str">
        <f>IFERROR(__xludf.DUMMYFUNCTION("IF(REGEXMATCH(C299, ""r""), ""b2"","""")"),"")</f>
        <v/>
      </c>
      <c r="GE299" s="246" t="str">
        <f>IFERROR(__xludf.DUMMYFUNCTION("IF(REGEXMATCH(C299, ""R""), ""2"","""")"),"2")</f>
        <v>2</v>
      </c>
      <c r="GF299" s="246" t="str">
        <f>IFERROR(__xludf.DUMMYFUNCTION("IF(REGEXMATCH(C299, ""g""), ""b3"","""")"),"")</f>
        <v/>
      </c>
      <c r="GG299" s="245" t="str">
        <f>IFERROR(__xludf.DUMMYFUNCTION("IF(REGEXMATCH(C299, ""G""), ""3"","""")"),"3")</f>
        <v>3</v>
      </c>
      <c r="GH299" s="245" t="str">
        <f>IFERROR(__xludf.DUMMYFUNCTION("IF(REGEXMATCH(C299, ""m""), ""4"","""")"),"4")</f>
        <v>4</v>
      </c>
      <c r="GI299" s="246" t="str">
        <f>IFERROR(__xludf.DUMMYFUNCTION("IF(REGEXMATCH(C299, ""M""), ""#4"","""")"),"")</f>
        <v/>
      </c>
      <c r="GJ299" s="245" t="str">
        <f>IFERROR(__xludf.DUMMYFUNCTION("IF(REGEXMATCH(C299, ""P""), ""5"","""")"),"5")</f>
        <v>5</v>
      </c>
      <c r="GK299" s="246" t="str">
        <f>IFERROR(__xludf.DUMMYFUNCTION("IF(REGEXMATCH(C299, ""d""), ""b6"","""")"),"")</f>
        <v/>
      </c>
      <c r="GL299" s="245" t="str">
        <f>IFERROR(__xludf.DUMMYFUNCTION("IF(REGEXMATCH(C299, ""D""), ""6"","""")"),"6")</f>
        <v>6</v>
      </c>
      <c r="GM299" s="245" t="str">
        <f>IFERROR(__xludf.DUMMYFUNCTION("IF(REGEXMATCH(C299, ""n""), ""b7"","""")"),"b7")</f>
        <v>b7</v>
      </c>
      <c r="GN299" s="246" t="str">
        <f>IFERROR(__xludf.DUMMYFUNCTION("IF(REGEXMATCH(C299, ""N""), ""7"","""")"),"")</f>
        <v/>
      </c>
      <c r="GO299" s="249" t="str">
        <f>IFERROR(__xludf.DUMMYFUNCTION("IF(REGEXMATCH(C299, ""S""), ""8"","""")"),"8")</f>
        <v>8</v>
      </c>
      <c r="GP299" s="244" t="str">
        <f>IFERROR(__xludf.DUMMYFUNCTION("IF(REGEXMATCH(C299, ""S""), ""S"","""")"),"S")</f>
        <v>S</v>
      </c>
      <c r="GQ299" s="294" t="str">
        <f>IFERROR(__xludf.DUMMYFUNCTION("IF(REGEXMATCH(C299, ""r""), ""R1"","""")"),"")</f>
        <v/>
      </c>
      <c r="GR299" s="295" t="str">
        <f>IFERROR(__xludf.DUMMYFUNCTION("IF(REGEXMATCH(C299, ""R""), ""R2"","""")"),"R2")</f>
        <v>R2</v>
      </c>
      <c r="GS299" s="295" t="str">
        <f>IFERROR(__xludf.DUMMYFUNCTION("IF(REGEXMATCH(C299, ""g""), ""G2"","""")"),"")</f>
        <v/>
      </c>
      <c r="GT299" s="294" t="str">
        <f>IFERROR(__xludf.DUMMYFUNCTION("IF(REGEXMATCH(C299, ""G""), ""G3"","""")"),"G3")</f>
        <v>G3</v>
      </c>
      <c r="GU299" s="294" t="str">
        <f>IFERROR(__xludf.DUMMYFUNCTION("IF(REGEXMATCH(C299, ""m""), ""M1"","""")"),"M1")</f>
        <v>M1</v>
      </c>
      <c r="GV299" s="295" t="str">
        <f>IFERROR(__xludf.DUMMYFUNCTION("IF(REGEXMATCH(C299, ""M""), ""M2"","""")"),"")</f>
        <v/>
      </c>
      <c r="GW299" s="294" t="str">
        <f>IFERROR(__xludf.DUMMYFUNCTION("IF(REGEXMATCH(C299, ""P""), ""P"","""")"),"P")</f>
        <v>P</v>
      </c>
      <c r="GX299" s="295" t="str">
        <f>IFERROR(__xludf.DUMMYFUNCTION("IF(REGEXMATCH(C299, ""d""), ""D1"","""")"),"")</f>
        <v/>
      </c>
      <c r="GY299" s="294" t="str">
        <f>IFERROR(__xludf.DUMMYFUNCTION("IF(REGEXMATCH(C299, ""D""), ""D2"","""")"),"D2")</f>
        <v>D2</v>
      </c>
      <c r="GZ299" s="294" t="str">
        <f>IFERROR(__xludf.DUMMYFUNCTION("IF(REGEXMATCH(C299, ""n""), ""N2"","""")"),"N2")</f>
        <v>N2</v>
      </c>
      <c r="HA299" s="295" t="str">
        <f>IFERROR(__xludf.DUMMYFUNCTION("IF(REGEXMATCH(C299, ""N""), ""N3"","""")"),"")</f>
        <v/>
      </c>
      <c r="HB299" s="249" t="str">
        <f>IFERROR(__xludf.DUMMYFUNCTION("IF(REGEXMATCH(C299, ""S""), ""S"","""")"),"S")</f>
        <v>S</v>
      </c>
      <c r="HC299" s="331" t="str">
        <f t="shared" si="95"/>
        <v>S</v>
      </c>
      <c r="HD299" s="332" t="str">
        <f t="shared" si="96"/>
        <v/>
      </c>
      <c r="HE299" s="332" t="str">
        <f t="shared" si="97"/>
        <v>R</v>
      </c>
      <c r="HF299" s="332" t="str">
        <f t="shared" si="98"/>
        <v>g</v>
      </c>
      <c r="HG299" s="332" t="str">
        <f t="shared" si="99"/>
        <v/>
      </c>
      <c r="HH299" s="332" t="str">
        <f t="shared" si="100"/>
        <v>m</v>
      </c>
      <c r="HI299" s="332" t="str">
        <f t="shared" si="101"/>
        <v/>
      </c>
      <c r="HJ299" s="332" t="str">
        <f t="shared" si="102"/>
        <v>P</v>
      </c>
      <c r="HK299" s="332" t="str">
        <f t="shared" si="103"/>
        <v>d</v>
      </c>
      <c r="HL299" s="332" t="str">
        <f t="shared" si="104"/>
        <v/>
      </c>
      <c r="HM299" s="332" t="str">
        <f t="shared" si="105"/>
        <v>n</v>
      </c>
      <c r="HN299" s="332" t="str">
        <f t="shared" si="106"/>
        <v/>
      </c>
      <c r="HO299" s="343" t="str">
        <f t="shared" si="107"/>
        <v>S</v>
      </c>
      <c r="HP299" s="331" t="str">
        <f t="shared" si="108"/>
        <v>o</v>
      </c>
      <c r="HQ299" s="332" t="str">
        <f t="shared" si="109"/>
        <v>•</v>
      </c>
      <c r="HR299" s="332" t="str">
        <f t="shared" si="110"/>
        <v>o</v>
      </c>
      <c r="HS299" s="332" t="str">
        <f t="shared" si="111"/>
        <v>•</v>
      </c>
      <c r="HT299" s="332" t="str">
        <f t="shared" si="112"/>
        <v>o</v>
      </c>
      <c r="HU299" s="332" t="str">
        <f t="shared" si="113"/>
        <v>o</v>
      </c>
      <c r="HV299" s="332" t="str">
        <f t="shared" si="114"/>
        <v>•</v>
      </c>
      <c r="HW299" s="332" t="str">
        <f t="shared" si="115"/>
        <v>o</v>
      </c>
      <c r="HX299" s="332" t="str">
        <f t="shared" si="116"/>
        <v>•</v>
      </c>
      <c r="HY299" s="332" t="str">
        <f t="shared" si="117"/>
        <v>o</v>
      </c>
      <c r="HZ299" s="332" t="str">
        <f t="shared" si="118"/>
        <v>o</v>
      </c>
      <c r="IA299" s="332" t="str">
        <f t="shared" si="119"/>
        <v>•</v>
      </c>
      <c r="IB299" s="338" t="str">
        <f t="shared" si="120"/>
        <v>o</v>
      </c>
      <c r="IC299" s="331" t="str">
        <f t="shared" si="121"/>
        <v>•</v>
      </c>
      <c r="ID299" s="332" t="str">
        <f t="shared" si="122"/>
        <v>o</v>
      </c>
      <c r="IE299" s="332" t="str">
        <f t="shared" si="123"/>
        <v>•</v>
      </c>
      <c r="IF299" s="332" t="str">
        <f t="shared" si="124"/>
        <v>o</v>
      </c>
      <c r="IG299" s="332" t="str">
        <f t="shared" si="125"/>
        <v>•</v>
      </c>
      <c r="IH299" s="332" t="str">
        <f t="shared" si="126"/>
        <v>•</v>
      </c>
      <c r="II299" s="332" t="str">
        <f t="shared" si="127"/>
        <v>o</v>
      </c>
      <c r="IJ299" s="332" t="str">
        <f t="shared" si="128"/>
        <v>•</v>
      </c>
      <c r="IK299" s="332" t="str">
        <f t="shared" si="129"/>
        <v>o</v>
      </c>
      <c r="IL299" s="332" t="str">
        <f t="shared" si="130"/>
        <v>•</v>
      </c>
      <c r="IM299" s="332" t="str">
        <f t="shared" si="131"/>
        <v>•</v>
      </c>
      <c r="IN299" s="332" t="str">
        <f t="shared" si="132"/>
        <v>o</v>
      </c>
      <c r="IO299" s="338" t="str">
        <f t="shared" si="133"/>
        <v>•</v>
      </c>
      <c r="IP299" s="346" t="b">
        <f t="shared" si="134"/>
        <v>0</v>
      </c>
      <c r="IQ299" s="347" t="b">
        <f t="shared" si="135"/>
        <v>0</v>
      </c>
      <c r="IR299" s="347" t="b">
        <f t="shared" si="136"/>
        <v>0</v>
      </c>
      <c r="IS299" s="347" t="b">
        <f t="shared" si="137"/>
        <v>0</v>
      </c>
      <c r="IT299" s="347" t="b">
        <f t="shared" si="138"/>
        <v>1</v>
      </c>
      <c r="IU299" s="347" t="b">
        <f t="shared" si="139"/>
        <v>0</v>
      </c>
      <c r="IV299" s="347" t="b">
        <f t="shared" si="140"/>
        <v>0</v>
      </c>
      <c r="IW299" s="347" t="b">
        <f t="shared" si="141"/>
        <v>0</v>
      </c>
      <c r="IX299" s="347" t="b">
        <f t="shared" si="142"/>
        <v>0</v>
      </c>
      <c r="IY299" s="347" t="b">
        <f t="shared" si="143"/>
        <v>0</v>
      </c>
      <c r="IZ299" s="347" t="b">
        <f t="shared" si="144"/>
        <v>0</v>
      </c>
      <c r="JA299" s="347" t="b">
        <f t="shared" si="145"/>
        <v>0</v>
      </c>
      <c r="JB299" s="353" t="b">
        <f t="shared" si="146"/>
        <v>0</v>
      </c>
      <c r="JC299" s="354" t="str">
        <f t="shared" si="147"/>
        <v/>
      </c>
      <c r="JD299" s="355" t="str">
        <f t="shared" si="148"/>
        <v/>
      </c>
      <c r="JE299" s="355" t="str">
        <f t="shared" si="149"/>
        <v/>
      </c>
      <c r="JF299" s="355" t="str">
        <f t="shared" si="150"/>
        <v/>
      </c>
      <c r="JG299" s="355" t="str">
        <f t="shared" si="151"/>
        <v>Ga, </v>
      </c>
      <c r="JH299" s="355" t="str">
        <f t="shared" si="152"/>
        <v/>
      </c>
      <c r="JI299" s="355" t="str">
        <f t="shared" si="153"/>
        <v/>
      </c>
      <c r="JJ299" s="355" t="str">
        <f t="shared" si="154"/>
        <v/>
      </c>
      <c r="JK299" s="355" t="str">
        <f t="shared" si="155"/>
        <v/>
      </c>
      <c r="JL299" s="355" t="str">
        <f t="shared" si="156"/>
        <v/>
      </c>
      <c r="JM299" s="355" t="str">
        <f t="shared" si="157"/>
        <v/>
      </c>
      <c r="JN299" s="355" t="str">
        <f t="shared" si="158"/>
        <v/>
      </c>
      <c r="JO299" s="359" t="str">
        <f t="shared" si="159"/>
        <v/>
      </c>
      <c r="JP299" s="346" t="b">
        <f t="shared" si="160"/>
        <v>0</v>
      </c>
      <c r="JQ299" s="347" t="b">
        <f t="shared" si="161"/>
        <v>0</v>
      </c>
      <c r="JR299" s="347" t="b">
        <f t="shared" si="162"/>
        <v>0</v>
      </c>
      <c r="JS299" s="347" t="b">
        <f t="shared" si="163"/>
        <v>0</v>
      </c>
      <c r="JT299" s="347" t="b">
        <f t="shared" si="164"/>
        <v>0</v>
      </c>
      <c r="JU299" s="347" t="b">
        <f t="shared" si="165"/>
        <v>0</v>
      </c>
      <c r="JV299" s="347" t="b">
        <f t="shared" si="166"/>
        <v>0</v>
      </c>
      <c r="JW299" s="347" t="b">
        <f t="shared" si="167"/>
        <v>0</v>
      </c>
      <c r="JX299" s="347" t="b">
        <f t="shared" si="168"/>
        <v>0</v>
      </c>
      <c r="JY299" s="347" t="b">
        <f t="shared" si="169"/>
        <v>0</v>
      </c>
      <c r="JZ299" s="347" t="b">
        <f t="shared" si="170"/>
        <v>0</v>
      </c>
      <c r="KA299" s="347" t="b">
        <f t="shared" si="171"/>
        <v>0</v>
      </c>
      <c r="KB299" s="365" t="b">
        <f t="shared" si="172"/>
        <v>0</v>
      </c>
      <c r="KC299" s="354" t="str">
        <f t="shared" si="173"/>
        <v/>
      </c>
      <c r="KD299" s="355" t="str">
        <f t="shared" si="174"/>
        <v/>
      </c>
      <c r="KE299" s="355" t="str">
        <f t="shared" si="175"/>
        <v/>
      </c>
      <c r="KF299" s="355" t="str">
        <f t="shared" si="176"/>
        <v/>
      </c>
      <c r="KG299" s="355" t="str">
        <f t="shared" si="177"/>
        <v/>
      </c>
      <c r="KH299" s="355" t="str">
        <f t="shared" si="178"/>
        <v/>
      </c>
      <c r="KI299" s="355" t="str">
        <f t="shared" si="179"/>
        <v/>
      </c>
      <c r="KJ299" s="355" t="str">
        <f t="shared" si="180"/>
        <v/>
      </c>
      <c r="KK299" s="355" t="str">
        <f t="shared" si="181"/>
        <v/>
      </c>
      <c r="KL299" s="355" t="str">
        <f t="shared" si="182"/>
        <v/>
      </c>
      <c r="KM299" s="355" t="str">
        <f t="shared" si="183"/>
        <v/>
      </c>
      <c r="KN299" s="355" t="str">
        <f t="shared" si="184"/>
        <v/>
      </c>
      <c r="KO299" s="359"/>
      <c r="KP299" s="378"/>
      <c r="KQ299" s="379" t="s">
        <v>9</v>
      </c>
      <c r="KR299" s="380" t="s">
        <v>9</v>
      </c>
      <c r="KS299" s="381" t="s">
        <v>9</v>
      </c>
      <c r="KT299" s="382">
        <f t="shared" si="186"/>
        <v>0</v>
      </c>
      <c r="KU299" s="383">
        <f t="shared" si="187"/>
        <v>0</v>
      </c>
      <c r="KV299" s="381" t="str">
        <f t="shared" si="205"/>
        <v>S</v>
      </c>
      <c r="KW299" s="382">
        <f t="shared" si="189"/>
        <v>0</v>
      </c>
      <c r="KX299" s="384">
        <f t="shared" si="190"/>
        <v>0</v>
      </c>
      <c r="KY299" s="382">
        <f t="shared" ref="KY299:KZ299" si="826">KW299-KT299</f>
        <v>0</v>
      </c>
      <c r="KZ299" s="369">
        <f t="shared" si="826"/>
        <v>0</v>
      </c>
      <c r="LA299" s="385" t="str">
        <f t="shared" si="192"/>
        <v>✔</v>
      </c>
      <c r="LB299" s="340" t="str">
        <f>IFERROR(__xludf.DUMMYFUNCTION("JOIN("""",ArrayFormula(MID(KS299,LEN(KS299)-SEQUENCE(1,LEN(KS299))+1,1)))"),"S")</f>
        <v>S</v>
      </c>
      <c r="LC299" s="373" t="str">
        <f>IFERROR(__xludf.DUMMYFUNCTION("JOIN("""",ArrayFormula(MID(KV299,LEN(KV299)-SEQUENCE(1,LEN(KV299))+1,1)))"),"S")</f>
        <v>S</v>
      </c>
      <c r="LD299" s="373" t="str">
        <f t="shared" si="193"/>
        <v>S</v>
      </c>
      <c r="LE299" s="339" t="str">
        <f t="shared" si="194"/>
        <v>S</v>
      </c>
      <c r="LF299" s="386" t="str">
        <f>IFERROR(__xludf.DUMMYFUNCTION("SUBSTITUTE(SUBSTITUTE(CONCATENATE(JOIN("""",LH299:LT299)),""1"",""""),""2"","""")"),"SS")</f>
        <v>SS</v>
      </c>
      <c r="LG299" s="369" t="str">
        <f t="shared" si="195"/>
        <v>-</v>
      </c>
      <c r="LH299" s="387" t="str">
        <f>IFERROR(__xludf.DUMMYFUNCTION("IF(REGEXMATCH(LD299, ""S""), ""S"",IF(REGEXMATCH(LE299, ""S""), ""S"",""""))"),"S")</f>
        <v>S</v>
      </c>
      <c r="LI299" s="299" t="str">
        <f>IFERROR(__xludf.DUMMYFUNCTION("IF(REGEXMATCH(LD299, ""r""), ""r1"",IF(REGEXMATCH(LE299, ""r""), ""r2"",""""))"),"")</f>
        <v/>
      </c>
      <c r="LJ299" s="299" t="str">
        <f>IFERROR(__xludf.DUMMYFUNCTION("IF(REGEXMATCH(LD299, ""R""), ""R1"",IF(REGEXMATCH(LE299, ""R""), ""R2"",""""))"),"")</f>
        <v/>
      </c>
      <c r="LK299" s="299" t="str">
        <f>IFERROR(__xludf.DUMMYFUNCTION("IF(REGEXMATCH(LD299, ""g""), ""g1"",IF(REGEXMATCH(LE299, ""g""), ""g2"",""""))"),"")</f>
        <v/>
      </c>
      <c r="LL299" s="299" t="str">
        <f>IFERROR(__xludf.DUMMYFUNCTION("IF(REGEXMATCH(LD299, ""G""), ""G1"",IF(REGEXMATCH(LE299, ""G""), ""G2"",""""))"),"")</f>
        <v/>
      </c>
      <c r="LM299" s="299" t="str">
        <f>IFERROR(__xludf.DUMMYFUNCTION("IF(REGEXMATCH(LD299, ""m""), ""m1"",IF(REGEXMATCH(LE299, ""m""), ""m2"",""""))"),"")</f>
        <v/>
      </c>
      <c r="LN299" s="299" t="str">
        <f>IFERROR(__xludf.DUMMYFUNCTION("IF(REGEXMATCH(LD299, ""M""), ""M1"",IF(REGEXMATCH(LE299, ""M""), ""M2"",""""))"),"")</f>
        <v/>
      </c>
      <c r="LO299" s="299" t="str">
        <f>IFERROR(__xludf.DUMMYFUNCTION("IF(REGEXMATCH(LD299, ""P""), ""P1"",IF(REGEXMATCH(LE299, ""P""), ""P2"",""""))"),"")</f>
        <v/>
      </c>
      <c r="LP299" s="299" t="str">
        <f>IFERROR(__xludf.DUMMYFUNCTION("IF(REGEXMATCH(LD299, ""d""), ""d1"",IF(REGEXMATCH(LE299, ""d""), ""d2"",""""))"),"")</f>
        <v/>
      </c>
      <c r="LQ299" s="299" t="str">
        <f>IFERROR(__xludf.DUMMYFUNCTION("IF(REGEXMATCH(LD299, ""D""), ""D1"",IF(REGEXMATCH(LE299, ""D""), ""D2"",""""))"),"")</f>
        <v/>
      </c>
      <c r="LR299" s="299" t="str">
        <f>IFERROR(__xludf.DUMMYFUNCTION("IF(REGEXMATCH(LD299, ""n""), ""n1"",IF(REGEXMATCH(LE299, ""n""), ""n2"",""""))"),"")</f>
        <v/>
      </c>
      <c r="LS299" s="299" t="str">
        <f>IFERROR(__xludf.DUMMYFUNCTION("IF(REGEXMATCH(LD299, ""N""), ""N1"",IF(REGEXMATCH(LE299, ""N""), ""N2"",""""))"),"")</f>
        <v/>
      </c>
      <c r="LT299" s="388" t="str">
        <f>IFERROR(__xludf.DUMMYFUNCTION("IF(REGEXMATCH(LD299, ""S""), ""S"",IF(REGEXMATCH(LE299, ""S""), ""S"",""""))"),"S")</f>
        <v>S</v>
      </c>
      <c r="LU299" s="389">
        <f t="shared" si="196"/>
        <v>1</v>
      </c>
      <c r="LV299" s="378"/>
      <c r="LW299" s="369"/>
      <c r="LX299" s="369"/>
    </row>
    <row r="300" ht="18.0" customHeight="1">
      <c r="A300" s="298" t="s">
        <v>788</v>
      </c>
      <c r="B300" s="222" t="s">
        <v>405</v>
      </c>
      <c r="C300" s="233" t="str">
        <f t="shared" si="7"/>
        <v>SRgmPdnS</v>
      </c>
      <c r="D300" s="234" t="str">
        <f>IFERROR(__xludf.DUMMYFUNCTION("IF(REGEXMATCH(C300, ""S""), ""S"","""")"),"S")</f>
        <v>S</v>
      </c>
      <c r="E300" s="236" t="str">
        <f>IFERROR(__xludf.DUMMYFUNCTION("IF(REGEXMATCH(C300, ""r""), ""r"","""")"),"")</f>
        <v/>
      </c>
      <c r="F300" s="237" t="str">
        <f>IFERROR(__xludf.DUMMYFUNCTION("IF(REGEXMATCH(C300, ""R""), ""R"","""")"),"R")</f>
        <v>R</v>
      </c>
      <c r="G300" s="237" t="str">
        <f>IFERROR(__xludf.DUMMYFUNCTION("IF(REGEXMATCH(C300, ""g""), ""g"","""")"),"g")</f>
        <v>g</v>
      </c>
      <c r="H300" s="236" t="str">
        <f>IFERROR(__xludf.DUMMYFUNCTION("IF(REGEXMATCH(C300, ""G""), ""G"","""")"),"")</f>
        <v/>
      </c>
      <c r="I300" s="236" t="str">
        <f>IFERROR(__xludf.DUMMYFUNCTION("IF(REGEXMATCH(C300, ""m""), ""m"","""")"),"m")</f>
        <v>m</v>
      </c>
      <c r="J300" s="237" t="str">
        <f>IFERROR(__xludf.DUMMYFUNCTION("IF(REGEXMATCH(C300, ""M""), ""M"","""")"),"")</f>
        <v/>
      </c>
      <c r="K300" s="236" t="str">
        <f>IFERROR(__xludf.DUMMYFUNCTION("IF(REGEXMATCH(C300, ""P""), ""P"","""")"),"P")</f>
        <v>P</v>
      </c>
      <c r="L300" s="237" t="str">
        <f>IFERROR(__xludf.DUMMYFUNCTION("IF(REGEXMATCH(C300, ""d""), ""d"","""")"),"d")</f>
        <v>d</v>
      </c>
      <c r="M300" s="236" t="str">
        <f>IFERROR(__xludf.DUMMYFUNCTION("IF(REGEXMATCH(C300, ""D""), ""D"","""")"),"")</f>
        <v/>
      </c>
      <c r="N300" s="236" t="str">
        <f>IFERROR(__xludf.DUMMYFUNCTION("IF(REGEXMATCH(C300, ""n""), ""n"","""")"),"n")</f>
        <v>n</v>
      </c>
      <c r="O300" s="237" t="str">
        <f>IFERROR(__xludf.DUMMYFUNCTION("IF(REGEXMATCH(C300, ""N""), ""N"","""")"),"")</f>
        <v/>
      </c>
      <c r="P300" s="238" t="str">
        <f>IFERROR(__xludf.DUMMYFUNCTION("IF(REGEXMATCH(C300, ""S""), ""S"","""")"),"S")</f>
        <v>S</v>
      </c>
      <c r="Q300" s="239" t="str">
        <f>IFERROR(__xludf.DUMMYFUNCTION("SUBSTITUTE(CONCATENATE(JOIN(""-"",D300:J300)),""-"","""")"),"SRgm")</f>
        <v>SRgm</v>
      </c>
      <c r="R300" s="229" t="str">
        <f>IFERROR(__xludf.DUMMYFUNCTION("SUBSTITUTE(CONCATENATE(JOIN(""-"",K300:P300)),""-"","""")"),"PdnS")</f>
        <v>PdnS</v>
      </c>
      <c r="S300" s="282" t="str">
        <f t="shared" si="8"/>
        <v>S-R-G-M</v>
      </c>
      <c r="T300" s="282" t="str">
        <f t="shared" si="9"/>
        <v>P-D-N-S</v>
      </c>
      <c r="U300" s="237" t="str">
        <f>IFERROR(__xludf.DUMMYFUNCTION("SUBSTITUTE(JOIN(""-"",S300,T300),""--"",""-"")"),"S-R-G-M-P-D-N-S")</f>
        <v>S-R-G-M-P-D-N-S</v>
      </c>
      <c r="V300" s="309" t="str">
        <f t="shared" si="10"/>
        <v>Rgmdn</v>
      </c>
      <c r="W300" s="244" t="str">
        <f>IFERROR(__xludf.DUMMYFUNCTION("IF(REGEXMATCH(C300, ""S""), ""0"","""")"),"0")</f>
        <v>0</v>
      </c>
      <c r="X300" s="245" t="str">
        <f>IFERROR(__xludf.DUMMYFUNCTION("IF(REGEXMATCH(C300, ""r""), ""1"","""")"),"")</f>
        <v/>
      </c>
      <c r="Y300" s="246" t="str">
        <f>IFERROR(__xludf.DUMMYFUNCTION("IF(REGEXMATCH(C300, ""R""), ""2"","""")"),"2")</f>
        <v>2</v>
      </c>
      <c r="Z300" s="246" t="str">
        <f>IFERROR(__xludf.DUMMYFUNCTION("IF(REGEXMATCH(C300, ""g""), ""3"","""")"),"3")</f>
        <v>3</v>
      </c>
      <c r="AA300" s="245" t="str">
        <f>IFERROR(__xludf.DUMMYFUNCTION("IF(REGEXMATCH(C300, ""G""), ""4"","""")"),"")</f>
        <v/>
      </c>
      <c r="AB300" s="245" t="str">
        <f>IFERROR(__xludf.DUMMYFUNCTION("IF(REGEXMATCH(C300, ""m""), ""5"","""")"),"5")</f>
        <v>5</v>
      </c>
      <c r="AC300" s="246" t="str">
        <f>IFERROR(__xludf.DUMMYFUNCTION("IF(REGEXMATCH(C300, ""M""), ""6"","""")"),"")</f>
        <v/>
      </c>
      <c r="AD300" s="245" t="str">
        <f>IFERROR(__xludf.DUMMYFUNCTION("IF(REGEXMATCH(C300, ""P""), ""7"","""")"),"7")</f>
        <v>7</v>
      </c>
      <c r="AE300" s="246" t="str">
        <f>IFERROR(__xludf.DUMMYFUNCTION("IF(REGEXMATCH(C300, ""d""), ""8"","""")"),"8")</f>
        <v>8</v>
      </c>
      <c r="AF300" s="245" t="str">
        <f>IFERROR(__xludf.DUMMYFUNCTION("IF(REGEXMATCH(C300, ""D""), ""9"","""")"),"")</f>
        <v/>
      </c>
      <c r="AG300" s="245" t="str">
        <f>IFERROR(__xludf.DUMMYFUNCTION("IF(REGEXMATCH(C300, ""n""), ""10"","""")"),"10")</f>
        <v>10</v>
      </c>
      <c r="AH300" s="246" t="str">
        <f>IFERROR(__xludf.DUMMYFUNCTION("IF(REGEXMATCH(C300, ""N""), ""11"","""")"),"")</f>
        <v/>
      </c>
      <c r="AI300" s="249" t="str">
        <f>IFERROR(__xludf.DUMMYFUNCTION("IF(REGEXMATCH(C300, ""S""), ""0"","""")"),"0")</f>
        <v>0</v>
      </c>
      <c r="AJ300" s="313" t="str">
        <f t="shared" si="11"/>
        <v>-</v>
      </c>
      <c r="AK300" s="313" t="str">
        <f t="shared" si="12"/>
        <v>-</v>
      </c>
      <c r="AL300" s="313" t="str">
        <f t="shared" si="13"/>
        <v>T</v>
      </c>
      <c r="AM300" s="313" t="str">
        <f t="shared" si="14"/>
        <v>-</v>
      </c>
      <c r="AN300" s="313" t="str">
        <f t="shared" si="15"/>
        <v>-</v>
      </c>
      <c r="AO300" s="314" t="str">
        <f t="shared" si="16"/>
        <v>-</v>
      </c>
      <c r="AP300" s="316">
        <f t="shared" si="17"/>
        <v>1</v>
      </c>
      <c r="AQ300" s="319" t="str">
        <f t="shared" si="18"/>
        <v>-</v>
      </c>
      <c r="AR300" s="320">
        <f t="shared" si="19"/>
        <v>0</v>
      </c>
      <c r="AS300" s="250" t="str">
        <f>IFERROR(__xludf.DUMMYFUNCTION("SUBSTITUTE(SUBSTITUTE(CONCATENATE(JOIN("""",FP300:GA300)),""|"",""x""),""-"",""o"")"),"xoxxoxoxxoxo")</f>
        <v>xoxxoxoxxoxo</v>
      </c>
      <c r="AT300" s="323" t="str">
        <f>IFERROR(__xludf.DUMMYFUNCTION("JOIN("""",AS300,AS300)"),"xoxxoxoxxoxoxoxxoxoxxoxo")</f>
        <v>xoxxoxoxxoxoxoxxoxoxxoxo</v>
      </c>
      <c r="AU300" s="256" t="str">
        <f>IFERROR(__xludf.DUMMYFUNCTION("JOIN("""",ArrayFormula(MID(AS300,LEN(AS300)-SEQUENCE(1,LEN(AS300))+1,1)))"),"oxoxxoxoxxox")</f>
        <v>oxoxxoxoxxox</v>
      </c>
      <c r="AV300" s="256" t="str">
        <f>IFERROR(__xludf.DUMMYFUNCTION("LEFT(CONCATENATE(""x"",JOIN("""",ArrayFormula(MID(AS300,LEN(AS300)-SEQUENCE(1,LEN(AS300))+1,1)))),12)"),"xoxoxxoxoxxo")</f>
        <v>xoxoxxoxoxxo</v>
      </c>
      <c r="AW300" s="327" t="str">
        <f>IFERROR(__xludf.DUMMYFUNCTION("JOIN("""",AU300,AU300)"),"oxoxxoxoxxoxoxoxxoxoxxox")</f>
        <v>oxoxxoxoxxoxoxoxxoxoxxox</v>
      </c>
      <c r="AX300" s="239" t="str">
        <f>IFERROR(__xludf.DUMMYFUNCTION("IF(REGEXMATCH(AW300,AS300),""✔"",""-"")"),"✔")</f>
        <v>✔</v>
      </c>
      <c r="AY300" s="330" t="str">
        <f t="shared" si="20"/>
        <v>-</v>
      </c>
      <c r="AZ300" s="260" t="str">
        <f t="shared" si="21"/>
        <v>#REF!</v>
      </c>
      <c r="BA300" s="333" t="str">
        <f t="shared" si="22"/>
        <v>xoxxoxo</v>
      </c>
      <c r="BB300" s="334" t="str">
        <f t="shared" si="23"/>
        <v>xxoxox</v>
      </c>
      <c r="BC300" s="335" t="str">
        <f t="shared" si="236"/>
        <v>-</v>
      </c>
      <c r="BD300" s="336" t="str">
        <f t="shared" si="25"/>
        <v>Sampurna Malkauns: 'xoxxoxo' + 'xxoxox'</v>
      </c>
      <c r="BE300" s="337">
        <f>IFERROR(__xludf.DUMMYFUNCTION("COUNTUNIQUE(FILTER(AT:AT,REGEXMATCH(AT:AT,AS300)))-1"),6.0)</f>
        <v>6</v>
      </c>
      <c r="BF300" s="261" t="str">
        <f>IFERROR(__xludf.DUMMYFUNCTION("IF(BI300=0,""(n/a)"",IF(BJ300=2,""(PAIR)"",IF(REGEXMATCH(AT300,""xoxoxxoxoxox""),""Bilawal"",IF(REGEXMATCH(AT300,""xoxoxooxoxoo""),""Bhupali"",IF(REGEXMATCH(AT300,""xoxoxxoxxoxo""),""Charukeshi"",IF(REGEXMATCH(AT300,""xoxoooxxoxxo""),""Kameshwari"",IF(REG"&amp;"EXMATCH(AT300,""xoxoxooxoxox""),""Shankara"",IF(REGEXMATCH(AT300,""xxooxoxxxoox""),""Basant"",IF(REGEXMATCH(AT300,""xoxoxxxxoxox""),""Bihag"",IF(REGEXMATCH(AT300,""xoxxxxoxoxxx""),""Pilu"",IF(REGEXMATCH(AT300,""xoxxoxoxxoox""),""Kirwani"",IF(REGEXMATCH(AT"&amp;"300,""xoxxoxoxoxxx""),""Mk.Malhar"",IF(REGEXMATCH(AT300,""xxooxxoxxoox""),""Bhairav"",IF(REGEXMATCH(AT300,""xxoxooxxxoox""),""Todi"",IF(REGEXMATCH(AT300,""xxooxoxooxox""),""Marwa"",IF(REGEXMATCH(AT300,""xxoooxoxxooo""),""Gunkali"",IF(REGEXMATCH(AT300,""xo"&amp;"xoxxoxxoox""),""Nat Bhairav"",IF(REGEXMATCH(AT300,""xoxxoooxoxoo""),""Shivranjani"",IF(REGEXMATCH(AT300,""xooxxxoxooxo""),""Jog"",IF(REGEXMATCH(AT300,""xxooxoxoxoox""),""Hemshri"",IF(REGEXMATCH(AT300,""xoooxooxoxxo""),""Kalavati"",IF(REGEXMATCH(AT300,""xx"&amp;"oxoxxoxoox""),""Kedar"",IF(REGEXMATCH(AT300,""xoxxxxoxooxx""),""Gara"",IF(REGEXMATCH(AT300,""xooxoxooxoox""),""Chandrakauns"",IF(REGEXMATCH(AT300,""xoxxxxoxxxox""),""Mand"",IF(REGEXMATCH(AT300,""xoxxxxoxoxox""),""Hanskinkini"",IF(REGEXMATCH(AT300,""xxooxx"&amp;"oxooxo""),""Lilavati"",IF(REGEXMATCH(AT300,""xooxoxoooxox""),""Rajeshwari"",IF(REGEXMATCH(AT300,""xoooxxoxoxxx""),""Khokar"",IF(REGEXMATCH(AT300,""xxooxoxxxxox""),""Maligoura"",""-""))))))))))))))))))))))))))))))"),"Bilawal")</f>
        <v>Bilawal</v>
      </c>
      <c r="BG300" s="239" t="str">
        <f t="shared" si="26"/>
        <v>#REF!</v>
      </c>
      <c r="BH300" s="239">
        <f>IFERROR(__xludf.DUMMYFUNCTION("COUNTUNIQUE(FE300:FO300)-1"),6.0)</f>
        <v>6</v>
      </c>
      <c r="BI300" s="239">
        <f>IFERROR(__xludf.DUMMYFUNCTION("COUNTUNIQUE(FILTER(AT:AT,REGEXMATCH(AT:AT,AS300)))-1"),6.0)</f>
        <v>6</v>
      </c>
      <c r="BJ300" s="239">
        <f>IFERROR(__xludf.DUMMYFUNCTION("COUNTA(FILTER(AT:AT,REGEXMATCH(AT:AT,AS300)))"),48.0)</f>
        <v>48</v>
      </c>
      <c r="BK300" s="341">
        <f>IFERROR(__xludf.DUMMYFUNCTION("COUNTA(FILTER(AT:AT,REGEXMATCH(AT:AT,AS300)))-AR300"),48.0)</f>
        <v>48</v>
      </c>
      <c r="BL300" s="276" t="str">
        <f>IFERROR(__xludf.DUMMYFUNCTION("IF(AS300=""oooooooooooo"",""-"",IF(REGEXMATCH(AT300,""xx""), ""Hemi."", ""Anhemi.""))"),"Hemi.")</f>
        <v>Hemi.</v>
      </c>
      <c r="BM300" s="282" t="str">
        <f>IFERROR(__xludf.DUMMYFUNCTION("IF(AS300=""oooooooooooo"",""-"",IF(REGEXMATCH(AT300,""xxx""), ""Cohem."", ""-""))"),"-")</f>
        <v>-</v>
      </c>
      <c r="BN300" s="282" t="str">
        <f>IFERROR(__xludf.DUMMYFUNCTION("IF(AS300=""oooooooooooo"",""-"",IF(REGEXMATCH(AT300,""xxxx""), ""Co-Co."", ""-""))"),"-")</f>
        <v>-</v>
      </c>
      <c r="BO300" s="342" t="str">
        <f>IFERROR(__xludf.DUMMYFUNCTION("IF(AS300=""oooooooooooo"",""-"",IF(REGEXMATCH(AT300,""xxxxx""), ""CCC."", ""-""))"),"-")</f>
        <v>-</v>
      </c>
      <c r="BP300" s="344" t="str">
        <f t="shared" si="27"/>
        <v>Asavari</v>
      </c>
      <c r="BQ300" s="282" t="str">
        <f>IFERROR(__xludf.DUMMYFUNCTION("IF(REGEXMATCH(JOIN(""-"",EU300:FD300),""TRUE""),""✔"",""-"")"),"✔")</f>
        <v>✔</v>
      </c>
      <c r="BR300" s="225">
        <f t="shared" si="28"/>
        <v>1</v>
      </c>
      <c r="BS300" s="345" t="str">
        <f>IFERROR(__xludf.DUMMYFUNCTION("SUBSTITUTE(SUBSTITUTE(SUBSTITUTE(SUBSTITUTE(CONCATENATE(JOIN(""-"",GC300:GO300)),""--"",""-""),""--"",""-""),""--"",""-""),""--"",""-"")"),"1-2-b3-4-5-b6-b7-8")</f>
        <v>1-2-b3-4-5-b6-b7-8</v>
      </c>
      <c r="BT300" s="299" t="str">
        <f>IFERROR(__xludf.DUMMYFUNCTION("SUBSTITUTE(SUBSTITUTE(SUBSTITUTE(SUBSTITUTE(CONCATENATE(JOIN(""-"",GP300:HB300)),""--"",""-""),""--"",""-""),""--"",""-""),""--"",""-"")"),"S-R2-G2-M1-P-D1-N2-S")</f>
        <v>S-R2-G2-M1-P-D1-N2-S</v>
      </c>
      <c r="BU300" s="348" t="str">
        <f t="shared" si="29"/>
        <v>C-D-Eb-F-G-Ab-Bb-C</v>
      </c>
      <c r="BV300" s="349" t="str">
        <f t="shared" si="30"/>
        <v>SrGMDNS</v>
      </c>
      <c r="BW300" s="350">
        <f t="shared" si="31"/>
        <v>3</v>
      </c>
      <c r="BX300" s="351">
        <f t="shared" si="32"/>
        <v>7</v>
      </c>
      <c r="BY300" s="392"/>
      <c r="BZ300" s="309" t="str">
        <f>IFERROR(__xludf.DUMMYFUNCTION("IF(REGEXMATCH(C300, ""S""), ""x"",""x"")"),"x")</f>
        <v>x</v>
      </c>
      <c r="CA300" s="245" t="str">
        <f>IFERROR(__xludf.DUMMYFUNCTION("IF(REGEXMATCH(C300, ""r""), ""o"",""x"")"),"x")</f>
        <v>x</v>
      </c>
      <c r="CB300" s="246" t="str">
        <f>IFERROR(__xludf.DUMMYFUNCTION("IF(REGEXMATCH(C300, ""R""), ""o"",""x"")"),"o")</f>
        <v>o</v>
      </c>
      <c r="CC300" s="246" t="str">
        <f>IFERROR(__xludf.DUMMYFUNCTION("IF(REGEXMATCH(C300, ""g""), ""o"",""x"")"),"o")</f>
        <v>o</v>
      </c>
      <c r="CD300" s="245" t="str">
        <f>IFERROR(__xludf.DUMMYFUNCTION("IF(REGEXMATCH(C300, ""G""), ""o"",""x"")"),"x")</f>
        <v>x</v>
      </c>
      <c r="CE300" s="245" t="str">
        <f>IFERROR(__xludf.DUMMYFUNCTION("IF(REGEXMATCH(C300, ""m""), ""o"",""x"")"),"o")</f>
        <v>o</v>
      </c>
      <c r="CF300" s="246" t="str">
        <f>IFERROR(__xludf.DUMMYFUNCTION("IF(REGEXMATCH(C300, ""M""), ""o"",""x"")"),"x")</f>
        <v>x</v>
      </c>
      <c r="CG300" s="245" t="str">
        <f>IFERROR(__xludf.DUMMYFUNCTION("IF(REGEXMATCH(C300, ""P""), ""o"",""x"")"),"o")</f>
        <v>o</v>
      </c>
      <c r="CH300" s="246" t="str">
        <f>IFERROR(__xludf.DUMMYFUNCTION("IF(REGEXMATCH(C300, ""d""), ""o"",""x"")"),"o")</f>
        <v>o</v>
      </c>
      <c r="CI300" s="245" t="str">
        <f>IFERROR(__xludf.DUMMYFUNCTION("IF(REGEXMATCH(C300, ""D""), ""o"",""x"")"),"x")</f>
        <v>x</v>
      </c>
      <c r="CJ300" s="245" t="str">
        <f>IFERROR(__xludf.DUMMYFUNCTION("IF(REGEXMATCH(C300, ""n""), ""o"",""x"")"),"o")</f>
        <v>o</v>
      </c>
      <c r="CK300" s="245" t="str">
        <f>IFERROR(__xludf.DUMMYFUNCTION("IF(REGEXMATCH(C300, ""N""), ""o"",""x"")"),"x")</f>
        <v>x</v>
      </c>
      <c r="CL300" s="356" t="str">
        <f>IFERROR(__xludf.DUMMYFUNCTION("IF(REGEXMATCH(C300, ""S""), ""x"",""x"")"),"x")</f>
        <v>x</v>
      </c>
      <c r="CM300" s="357" t="str">
        <f t="shared" si="33"/>
        <v>xxooxoxooxox</v>
      </c>
      <c r="CN300" s="358">
        <f t="shared" si="34"/>
        <v>3</v>
      </c>
      <c r="CO300" s="246" t="str">
        <f>IFERROR(__xludf.DUMMYFUNCTION("IF(REGEXMATCH($C300, ""S""), ""S"",""S"")"),"S")</f>
        <v>S</v>
      </c>
      <c r="CP300" s="246" t="str">
        <f>IFERROR(__xludf.DUMMYFUNCTION("IF(REGEXMATCH($C300, ""r""), """",""r"")"),"r")</f>
        <v>r</v>
      </c>
      <c r="CQ300" s="246" t="str">
        <f>IFERROR(__xludf.DUMMYFUNCTION("IF(REGEXMATCH($C300, ""R""), """",""R"")"),"")</f>
        <v/>
      </c>
      <c r="CR300" s="246" t="str">
        <f>IFERROR(__xludf.DUMMYFUNCTION("IF(REGEXMATCH($C300, ""g""), """",""g"")"),"")</f>
        <v/>
      </c>
      <c r="CS300" s="246" t="str">
        <f>IFERROR(__xludf.DUMMYFUNCTION("IF(REGEXMATCH($C300, ""G""), """",""G"")"),"G")</f>
        <v>G</v>
      </c>
      <c r="CT300" s="246" t="str">
        <f>IFERROR(__xludf.DUMMYFUNCTION("IF(REGEXMATCH($C300, ""m""), """",""m"")"),"")</f>
        <v/>
      </c>
      <c r="CU300" s="246" t="str">
        <f>IFERROR(__xludf.DUMMYFUNCTION("IF(REGEXMATCH($C300, ""M""), """",""M"")"),"M")</f>
        <v>M</v>
      </c>
      <c r="CV300" s="246" t="str">
        <f>IFERROR(__xludf.DUMMYFUNCTION("IF(REGEXMATCH($C300, ""P""), """",""P"")"),"")</f>
        <v/>
      </c>
      <c r="CW300" s="246" t="str">
        <f>IFERROR(__xludf.DUMMYFUNCTION("IF(REGEXMATCH($C300, ""d""), """",""d"")"),"")</f>
        <v/>
      </c>
      <c r="CX300" s="246" t="str">
        <f>IFERROR(__xludf.DUMMYFUNCTION("IF(REGEXMATCH($C300, ""D""), """",""D"")"),"D")</f>
        <v>D</v>
      </c>
      <c r="CY300" s="246" t="str">
        <f>IFERROR(__xludf.DUMMYFUNCTION("IF(REGEXMATCH($C300, ""n""), """",""n"")"),"")</f>
        <v/>
      </c>
      <c r="CZ300" s="246" t="str">
        <f>IFERROR(__xludf.DUMMYFUNCTION("IF(REGEXMATCH($C300, ""N""), """",""N"")"),"N")</f>
        <v>N</v>
      </c>
      <c r="DA300" s="246" t="str">
        <f>IFERROR(__xludf.DUMMYFUNCTION("IF(REGEXMATCH($C300, ""S""), ""S"",""S"")"),"S")</f>
        <v>S</v>
      </c>
      <c r="DB300" s="362" t="str">
        <f>IFERROR(__xludf.DUMMYFUNCTION("JOIN("""",CO300:DA300,"""","""")"),"SrGMDNS")</f>
        <v>SrGMDNS</v>
      </c>
      <c r="DC300" s="363"/>
      <c r="DD300" s="301" t="str">
        <f t="shared" si="35"/>
        <v>#REF!</v>
      </c>
      <c r="DE300" s="302" t="str">
        <f t="shared" si="36"/>
        <v>#REF!</v>
      </c>
      <c r="DF300" s="301" t="str">
        <f t="shared" ref="DF300:DG300" si="827">SUBSTITUTE(S300,"-","")</f>
        <v>SRGM</v>
      </c>
      <c r="DG300" s="301" t="str">
        <f t="shared" si="827"/>
        <v>PDNS</v>
      </c>
      <c r="DH300" s="302" t="str">
        <f t="shared" si="38"/>
        <v>Bilawal</v>
      </c>
      <c r="DI300" s="301" t="str">
        <f t="shared" si="39"/>
        <v>Hemi.</v>
      </c>
      <c r="DJ300" s="364" t="str">
        <f t="shared" si="40"/>
        <v>-</v>
      </c>
      <c r="DK300" s="306" t="str">
        <f t="shared" si="41"/>
        <v>Asavari</v>
      </c>
      <c r="DL300" s="366" t="str">
        <f t="shared" si="42"/>
        <v>-</v>
      </c>
      <c r="DM300" s="308" t="str">
        <f t="shared" si="43"/>
        <v>-</v>
      </c>
      <c r="DN300" s="306" t="str">
        <f t="shared" si="44"/>
        <v>-</v>
      </c>
      <c r="DO300" s="306" t="str">
        <f t="shared" si="45"/>
        <v>-</v>
      </c>
      <c r="DP300" s="367" t="str">
        <f t="shared" si="46"/>
        <v>-</v>
      </c>
      <c r="DQ300" s="310" t="str">
        <f t="shared" si="47"/>
        <v>-</v>
      </c>
      <c r="DR300" s="310" t="str">
        <f t="shared" si="48"/>
        <v>-</v>
      </c>
      <c r="DS300" s="310" t="str">
        <f t="shared" si="49"/>
        <v>-</v>
      </c>
      <c r="DT300" s="310" t="str">
        <f t="shared" si="50"/>
        <v>-</v>
      </c>
      <c r="DU300" s="370" t="str">
        <f t="shared" si="51"/>
        <v>-</v>
      </c>
      <c r="DV300" s="306" t="str">
        <f t="shared" si="52"/>
        <v>-</v>
      </c>
      <c r="DW300" s="306" t="str">
        <f t="shared" si="53"/>
        <v>-</v>
      </c>
      <c r="DX300" s="306" t="str">
        <f t="shared" si="54"/>
        <v>-</v>
      </c>
      <c r="DY300" s="306" t="str">
        <f t="shared" si="55"/>
        <v>-</v>
      </c>
      <c r="DZ300" s="306" t="str">
        <f t="shared" si="56"/>
        <v>-</v>
      </c>
      <c r="EA300" s="367" t="str">
        <f t="shared" si="57"/>
        <v>-</v>
      </c>
      <c r="EB300" s="310" t="str">
        <f>IFERROR(__xludf.DUMMYFUNCTION("IF(REGEXMATCH(AW300,AS300),""✔"",""-"")"),"✔")</f>
        <v>✔</v>
      </c>
      <c r="EC300" s="310" t="str">
        <f t="shared" si="58"/>
        <v>#REF!</v>
      </c>
      <c r="ED300" s="370" t="str">
        <f t="shared" si="59"/>
        <v>-</v>
      </c>
      <c r="EE300" s="340" t="str">
        <f t="shared" si="60"/>
        <v>S-R-g-m-P-d-n-S</v>
      </c>
      <c r="EF300" s="371" t="str">
        <f>IFERROR(__xludf.DUMMYFUNCTION("CONCATENATE(JOIN("""",HC300:HO300))"),"SRGmPDnS")</f>
        <v>SRGmPDnS</v>
      </c>
      <c r="EG300" s="372">
        <f t="shared" si="61"/>
        <v>1</v>
      </c>
      <c r="EH300" s="373" t="str">
        <f>IFERROR(__xludf.DUMMYFUNCTION("CONCATENATE(JOIN("""",JC300:JO300))"),"Re, ")</f>
        <v>Re, </v>
      </c>
      <c r="EI300" s="322">
        <f t="shared" si="62"/>
        <v>0</v>
      </c>
      <c r="EJ300" s="374" t="str">
        <f>IFERROR(__xludf.DUMMYFUNCTION("CONCATENATE(JOIN("""",KC300:KO300))"),"")</f>
        <v/>
      </c>
      <c r="EK300" s="325" t="str">
        <f t="shared" si="63"/>
        <v>S-R2-G2-M1-P-D1-N2-S</v>
      </c>
      <c r="EL300" s="326" t="str">
        <f t="shared" si="64"/>
        <v>1-2-b3-4-5-b6-b7-8</v>
      </c>
      <c r="EM300" s="318" t="str">
        <f t="shared" si="65"/>
        <v>#REF!</v>
      </c>
      <c r="EN300" s="328" t="str">
        <f>IFERROR(__xludf.DUMMYFUNCTION("SUBSTITUTE(SUBSTITUTE(SUBSTITUTE(SUBSTITUTE(CONCATENATE(JOIN("" "",HP300:IB300)),""  "","" ""),""  "","" ""),""  "","" ""),""  "","" "")"),"o • o o • o • o o • o • o")</f>
        <v>o • o o • o • o o • o • o</v>
      </c>
      <c r="EO300" s="368" t="str">
        <f t="shared" si="66"/>
        <v>-</v>
      </c>
      <c r="EP300" s="339" t="str">
        <f t="shared" si="67"/>
        <v>-</v>
      </c>
      <c r="EQ300" s="339" t="str">
        <f t="shared" si="68"/>
        <v>Sa-Pa</v>
      </c>
      <c r="ER300" s="339" t="str">
        <f t="shared" si="69"/>
        <v>-</v>
      </c>
      <c r="ES300" s="340" t="str">
        <f t="shared" si="70"/>
        <v>-</v>
      </c>
      <c r="ET300" s="363"/>
      <c r="EU300" s="376" t="b">
        <f>IFERROR(__xludf.DUMMYFUNCTION("arrayformula(sum(--REGEXMATCH(""SRGMPDNS"",split(REGEXREPLACE(C300,""(.)"",""$1~""),""~""))))=len(C300)
"),FALSE)</f>
        <v>0</v>
      </c>
      <c r="EV300" s="290" t="b">
        <f>IFERROR(__xludf.DUMMYFUNCTION("arrayformula(sum(--REGEXMATCH(""SRGmPDNS"",split(REGEXREPLACE(C300,""(.)"",""$1~""),""~""))))=len(C300)"),FALSE)</f>
        <v>0</v>
      </c>
      <c r="EW300" s="290" t="b">
        <f>IFERROR(__xludf.DUMMYFUNCTION("arrayformula(sum(--REGEXMATCH(""SRGmPDnS"",split(REGEXREPLACE(C300,""(.)"",""$1~""),""~""))))=len(C300)"),FALSE)</f>
        <v>0</v>
      </c>
      <c r="EX300" s="290" t="b">
        <f>IFERROR(__xludf.DUMMYFUNCTION("arrayformula(sum(--REGEXMATCH(""SRgmPDnS"",split(REGEXREPLACE(C300,""(.)"",""$1~""),""~""))))=len(C300)"),FALSE)</f>
        <v>0</v>
      </c>
      <c r="EY300" s="290" t="b">
        <f>IFERROR(__xludf.DUMMYFUNCTION("arrayformula(sum(--REGEXMATCH(""SRgmPdnS"",split(REGEXREPLACE(C300,""(.)"",""$1~""),""~""))))=len(C300)"),TRUE)</f>
        <v>1</v>
      </c>
      <c r="EZ300" s="290" t="b">
        <f>IFERROR(__xludf.DUMMYFUNCTION("arrayformula(sum(--REGEXMATCH(""SrgmPdnS"",split(REGEXREPLACE(C300,""(.)"",""$1~""),""~""))))=len(C300)"),FALSE)</f>
        <v>0</v>
      </c>
      <c r="FA300" s="290" t="b">
        <f>IFERROR(__xludf.DUMMYFUNCTION("arrayformula(sum(--REGEXMATCH(""SrGmPdNS"",split(REGEXREPLACE(C300,""(.)"",""$1~""),""~""))))=len(C300)"),FALSE)</f>
        <v>0</v>
      </c>
      <c r="FB300" s="290" t="b">
        <f>IFERROR(__xludf.DUMMYFUNCTION("arrayformula(sum(--REGEXMATCH(""SrGMPDNS"",split(REGEXREPLACE(C300,""(.)"",""$1~""),""~""))))=len(C300)"),FALSE)</f>
        <v>0</v>
      </c>
      <c r="FC300" s="290" t="b">
        <f>IFERROR(__xludf.DUMMYFUNCTION("arrayformula(sum(--REGEXMATCH(""SrGMPdNS"",split(REGEXREPLACE(C300,""(.)"",""$1~""),""~""))))=len(C300)"),FALSE)</f>
        <v>0</v>
      </c>
      <c r="FD300" s="377" t="b">
        <f>IFERROR(__xludf.DUMMYFUNCTION("arrayformula(sum(--REGEXMATCH(""SrgMPdNS"",split(REGEXREPLACE(C300,""(.)"",""$1~""),""~""))))=len(C300)"),FALSE)</f>
        <v>0</v>
      </c>
      <c r="FE300" s="269" t="str">
        <f t="shared" si="71"/>
        <v>-</v>
      </c>
      <c r="FF300" s="269" t="str">
        <f t="shared" si="72"/>
        <v>xxoxoxxoxox</v>
      </c>
      <c r="FG300" s="271" t="str">
        <f t="shared" si="73"/>
        <v>xoxoxxoxoxo</v>
      </c>
      <c r="FH300" s="269" t="str">
        <f t="shared" si="74"/>
        <v>-</v>
      </c>
      <c r="FI300" s="271" t="str">
        <f t="shared" si="75"/>
        <v>xoxxoxoxoxx</v>
      </c>
      <c r="FJ300" s="271" t="str">
        <f t="shared" si="76"/>
        <v>-</v>
      </c>
      <c r="FK300" s="271" t="str">
        <f t="shared" si="77"/>
        <v>xxoxoxoxxox</v>
      </c>
      <c r="FL300" s="271" t="str">
        <f t="shared" si="78"/>
        <v>xoxoxoxxoxo</v>
      </c>
      <c r="FM300" s="271" t="str">
        <f t="shared" si="79"/>
        <v>-</v>
      </c>
      <c r="FN300" s="271" t="str">
        <f t="shared" si="80"/>
        <v>xoxoxxoxoxx</v>
      </c>
      <c r="FO300" s="274" t="str">
        <f t="shared" si="81"/>
        <v>-</v>
      </c>
      <c r="FP300" s="234" t="str">
        <f t="shared" si="82"/>
        <v>|</v>
      </c>
      <c r="FQ300" s="236" t="str">
        <f t="shared" si="83"/>
        <v>-</v>
      </c>
      <c r="FR300" s="237" t="str">
        <f t="shared" si="84"/>
        <v>|</v>
      </c>
      <c r="FS300" s="236" t="str">
        <f t="shared" si="85"/>
        <v>|</v>
      </c>
      <c r="FT300" s="237" t="str">
        <f t="shared" si="86"/>
        <v>-</v>
      </c>
      <c r="FU300" s="236" t="str">
        <f t="shared" si="87"/>
        <v>|</v>
      </c>
      <c r="FV300" s="237" t="str">
        <f t="shared" si="88"/>
        <v>-</v>
      </c>
      <c r="FW300" s="236" t="str">
        <f t="shared" si="89"/>
        <v>|</v>
      </c>
      <c r="FX300" s="237" t="str">
        <f t="shared" si="90"/>
        <v>|</v>
      </c>
      <c r="FY300" s="236" t="str">
        <f t="shared" si="91"/>
        <v>-</v>
      </c>
      <c r="FZ300" s="237" t="str">
        <f t="shared" si="92"/>
        <v>|</v>
      </c>
      <c r="GA300" s="236" t="str">
        <f t="shared" si="93"/>
        <v>-</v>
      </c>
      <c r="GB300" s="238" t="str">
        <f t="shared" si="94"/>
        <v>|</v>
      </c>
      <c r="GC300" s="244" t="str">
        <f>IFERROR(__xludf.DUMMYFUNCTION("IF(REGEXMATCH(C300, ""S""), ""1"","""")"),"1")</f>
        <v>1</v>
      </c>
      <c r="GD300" s="245" t="str">
        <f>IFERROR(__xludf.DUMMYFUNCTION("IF(REGEXMATCH(C300, ""r""), ""b2"","""")"),"")</f>
        <v/>
      </c>
      <c r="GE300" s="246" t="str">
        <f>IFERROR(__xludf.DUMMYFUNCTION("IF(REGEXMATCH(C300, ""R""), ""2"","""")"),"2")</f>
        <v>2</v>
      </c>
      <c r="GF300" s="246" t="str">
        <f>IFERROR(__xludf.DUMMYFUNCTION("IF(REGEXMATCH(C300, ""g""), ""b3"","""")"),"b3")</f>
        <v>b3</v>
      </c>
      <c r="GG300" s="245" t="str">
        <f>IFERROR(__xludf.DUMMYFUNCTION("IF(REGEXMATCH(C300, ""G""), ""3"","""")"),"")</f>
        <v/>
      </c>
      <c r="GH300" s="245" t="str">
        <f>IFERROR(__xludf.DUMMYFUNCTION("IF(REGEXMATCH(C300, ""m""), ""4"","""")"),"4")</f>
        <v>4</v>
      </c>
      <c r="GI300" s="246" t="str">
        <f>IFERROR(__xludf.DUMMYFUNCTION("IF(REGEXMATCH(C300, ""M""), ""#4"","""")"),"")</f>
        <v/>
      </c>
      <c r="GJ300" s="245" t="str">
        <f>IFERROR(__xludf.DUMMYFUNCTION("IF(REGEXMATCH(C300, ""P""), ""5"","""")"),"5")</f>
        <v>5</v>
      </c>
      <c r="GK300" s="246" t="str">
        <f>IFERROR(__xludf.DUMMYFUNCTION("IF(REGEXMATCH(C300, ""d""), ""b6"","""")"),"b6")</f>
        <v>b6</v>
      </c>
      <c r="GL300" s="245" t="str">
        <f>IFERROR(__xludf.DUMMYFUNCTION("IF(REGEXMATCH(C300, ""D""), ""6"","""")"),"")</f>
        <v/>
      </c>
      <c r="GM300" s="245" t="str">
        <f>IFERROR(__xludf.DUMMYFUNCTION("IF(REGEXMATCH(C300, ""n""), ""b7"","""")"),"b7")</f>
        <v>b7</v>
      </c>
      <c r="GN300" s="246" t="str">
        <f>IFERROR(__xludf.DUMMYFUNCTION("IF(REGEXMATCH(C300, ""N""), ""7"","""")"),"")</f>
        <v/>
      </c>
      <c r="GO300" s="249" t="str">
        <f>IFERROR(__xludf.DUMMYFUNCTION("IF(REGEXMATCH(C300, ""S""), ""8"","""")"),"8")</f>
        <v>8</v>
      </c>
      <c r="GP300" s="244" t="str">
        <f>IFERROR(__xludf.DUMMYFUNCTION("IF(REGEXMATCH(C300, ""S""), ""S"","""")"),"S")</f>
        <v>S</v>
      </c>
      <c r="GQ300" s="294" t="str">
        <f>IFERROR(__xludf.DUMMYFUNCTION("IF(REGEXMATCH(C300, ""r""), ""R1"","""")"),"")</f>
        <v/>
      </c>
      <c r="GR300" s="295" t="str">
        <f>IFERROR(__xludf.DUMMYFUNCTION("IF(REGEXMATCH(C300, ""R""), ""R2"","""")"),"R2")</f>
        <v>R2</v>
      </c>
      <c r="GS300" s="295" t="str">
        <f>IFERROR(__xludf.DUMMYFUNCTION("IF(REGEXMATCH(C300, ""g""), ""G2"","""")"),"G2")</f>
        <v>G2</v>
      </c>
      <c r="GT300" s="294" t="str">
        <f>IFERROR(__xludf.DUMMYFUNCTION("IF(REGEXMATCH(C300, ""G""), ""G3"","""")"),"")</f>
        <v/>
      </c>
      <c r="GU300" s="294" t="str">
        <f>IFERROR(__xludf.DUMMYFUNCTION("IF(REGEXMATCH(C300, ""m""), ""M1"","""")"),"M1")</f>
        <v>M1</v>
      </c>
      <c r="GV300" s="295" t="str">
        <f>IFERROR(__xludf.DUMMYFUNCTION("IF(REGEXMATCH(C300, ""M""), ""M2"","""")"),"")</f>
        <v/>
      </c>
      <c r="GW300" s="294" t="str">
        <f>IFERROR(__xludf.DUMMYFUNCTION("IF(REGEXMATCH(C300, ""P""), ""P"","""")"),"P")</f>
        <v>P</v>
      </c>
      <c r="GX300" s="295" t="str">
        <f>IFERROR(__xludf.DUMMYFUNCTION("IF(REGEXMATCH(C300, ""d""), ""D1"","""")"),"D1")</f>
        <v>D1</v>
      </c>
      <c r="GY300" s="294" t="str">
        <f>IFERROR(__xludf.DUMMYFUNCTION("IF(REGEXMATCH(C300, ""D""), ""D2"","""")"),"")</f>
        <v/>
      </c>
      <c r="GZ300" s="294" t="str">
        <f>IFERROR(__xludf.DUMMYFUNCTION("IF(REGEXMATCH(C300, ""n""), ""N2"","""")"),"N2")</f>
        <v>N2</v>
      </c>
      <c r="HA300" s="295" t="str">
        <f>IFERROR(__xludf.DUMMYFUNCTION("IF(REGEXMATCH(C300, ""N""), ""N3"","""")"),"")</f>
        <v/>
      </c>
      <c r="HB300" s="249" t="str">
        <f>IFERROR(__xludf.DUMMYFUNCTION("IF(REGEXMATCH(C300, ""S""), ""S"","""")"),"S")</f>
        <v>S</v>
      </c>
      <c r="HC300" s="331" t="str">
        <f t="shared" si="95"/>
        <v>S</v>
      </c>
      <c r="HD300" s="332" t="str">
        <f t="shared" si="96"/>
        <v/>
      </c>
      <c r="HE300" s="332" t="str">
        <f t="shared" si="97"/>
        <v>R</v>
      </c>
      <c r="HF300" s="332" t="str">
        <f t="shared" si="98"/>
        <v/>
      </c>
      <c r="HG300" s="332" t="str">
        <f t="shared" si="99"/>
        <v>G</v>
      </c>
      <c r="HH300" s="332" t="str">
        <f t="shared" si="100"/>
        <v>m</v>
      </c>
      <c r="HI300" s="332" t="str">
        <f t="shared" si="101"/>
        <v/>
      </c>
      <c r="HJ300" s="332" t="str">
        <f t="shared" si="102"/>
        <v>P</v>
      </c>
      <c r="HK300" s="332" t="str">
        <f t="shared" si="103"/>
        <v/>
      </c>
      <c r="HL300" s="332" t="str">
        <f t="shared" si="104"/>
        <v>D</v>
      </c>
      <c r="HM300" s="332" t="str">
        <f t="shared" si="105"/>
        <v>n</v>
      </c>
      <c r="HN300" s="332" t="str">
        <f t="shared" si="106"/>
        <v/>
      </c>
      <c r="HO300" s="343" t="str">
        <f t="shared" si="107"/>
        <v>S</v>
      </c>
      <c r="HP300" s="331" t="str">
        <f t="shared" si="108"/>
        <v>o</v>
      </c>
      <c r="HQ300" s="332" t="str">
        <f t="shared" si="109"/>
        <v>•</v>
      </c>
      <c r="HR300" s="332" t="str">
        <f t="shared" si="110"/>
        <v>o</v>
      </c>
      <c r="HS300" s="332" t="str">
        <f t="shared" si="111"/>
        <v>o</v>
      </c>
      <c r="HT300" s="332" t="str">
        <f t="shared" si="112"/>
        <v>•</v>
      </c>
      <c r="HU300" s="332" t="str">
        <f t="shared" si="113"/>
        <v>o</v>
      </c>
      <c r="HV300" s="332" t="str">
        <f t="shared" si="114"/>
        <v>•</v>
      </c>
      <c r="HW300" s="332" t="str">
        <f t="shared" si="115"/>
        <v>o</v>
      </c>
      <c r="HX300" s="332" t="str">
        <f t="shared" si="116"/>
        <v>o</v>
      </c>
      <c r="HY300" s="332" t="str">
        <f t="shared" si="117"/>
        <v>•</v>
      </c>
      <c r="HZ300" s="332" t="str">
        <f t="shared" si="118"/>
        <v>o</v>
      </c>
      <c r="IA300" s="332" t="str">
        <f t="shared" si="119"/>
        <v>•</v>
      </c>
      <c r="IB300" s="338" t="str">
        <f t="shared" si="120"/>
        <v>o</v>
      </c>
      <c r="IC300" s="331" t="str">
        <f t="shared" si="121"/>
        <v>•</v>
      </c>
      <c r="ID300" s="332" t="str">
        <f t="shared" si="122"/>
        <v>o</v>
      </c>
      <c r="IE300" s="332" t="str">
        <f t="shared" si="123"/>
        <v>•</v>
      </c>
      <c r="IF300" s="332" t="str">
        <f t="shared" si="124"/>
        <v>•</v>
      </c>
      <c r="IG300" s="332" t="str">
        <f t="shared" si="125"/>
        <v>o</v>
      </c>
      <c r="IH300" s="332" t="str">
        <f t="shared" si="126"/>
        <v>•</v>
      </c>
      <c r="II300" s="332" t="str">
        <f t="shared" si="127"/>
        <v>o</v>
      </c>
      <c r="IJ300" s="332" t="str">
        <f t="shared" si="128"/>
        <v>•</v>
      </c>
      <c r="IK300" s="332" t="str">
        <f t="shared" si="129"/>
        <v>•</v>
      </c>
      <c r="IL300" s="332" t="str">
        <f t="shared" si="130"/>
        <v>o</v>
      </c>
      <c r="IM300" s="332" t="str">
        <f t="shared" si="131"/>
        <v>•</v>
      </c>
      <c r="IN300" s="332" t="str">
        <f t="shared" si="132"/>
        <v>o</v>
      </c>
      <c r="IO300" s="338" t="str">
        <f t="shared" si="133"/>
        <v>•</v>
      </c>
      <c r="IP300" s="346" t="b">
        <f t="shared" si="134"/>
        <v>0</v>
      </c>
      <c r="IQ300" s="347" t="b">
        <f t="shared" si="135"/>
        <v>0</v>
      </c>
      <c r="IR300" s="347" t="b">
        <f t="shared" si="136"/>
        <v>1</v>
      </c>
      <c r="IS300" s="347" t="b">
        <f t="shared" si="137"/>
        <v>0</v>
      </c>
      <c r="IT300" s="347" t="b">
        <f t="shared" si="138"/>
        <v>0</v>
      </c>
      <c r="IU300" s="347" t="b">
        <f t="shared" si="139"/>
        <v>0</v>
      </c>
      <c r="IV300" s="347" t="b">
        <f t="shared" si="140"/>
        <v>0</v>
      </c>
      <c r="IW300" s="347" t="b">
        <f t="shared" si="141"/>
        <v>0</v>
      </c>
      <c r="IX300" s="347" t="b">
        <f t="shared" si="142"/>
        <v>0</v>
      </c>
      <c r="IY300" s="347" t="b">
        <f t="shared" si="143"/>
        <v>0</v>
      </c>
      <c r="IZ300" s="347" t="b">
        <f t="shared" si="144"/>
        <v>0</v>
      </c>
      <c r="JA300" s="347" t="b">
        <f t="shared" si="145"/>
        <v>0</v>
      </c>
      <c r="JB300" s="353" t="b">
        <f t="shared" si="146"/>
        <v>0</v>
      </c>
      <c r="JC300" s="354" t="str">
        <f t="shared" si="147"/>
        <v/>
      </c>
      <c r="JD300" s="355" t="str">
        <f t="shared" si="148"/>
        <v/>
      </c>
      <c r="JE300" s="355" t="str">
        <f t="shared" si="149"/>
        <v>Re, </v>
      </c>
      <c r="JF300" s="355" t="str">
        <f t="shared" si="150"/>
        <v/>
      </c>
      <c r="JG300" s="355" t="str">
        <f t="shared" si="151"/>
        <v/>
      </c>
      <c r="JH300" s="355" t="str">
        <f t="shared" si="152"/>
        <v/>
      </c>
      <c r="JI300" s="355" t="str">
        <f t="shared" si="153"/>
        <v/>
      </c>
      <c r="JJ300" s="355" t="str">
        <f t="shared" si="154"/>
        <v/>
      </c>
      <c r="JK300" s="355" t="str">
        <f t="shared" si="155"/>
        <v/>
      </c>
      <c r="JL300" s="355" t="str">
        <f t="shared" si="156"/>
        <v/>
      </c>
      <c r="JM300" s="355" t="str">
        <f t="shared" si="157"/>
        <v/>
      </c>
      <c r="JN300" s="355" t="str">
        <f t="shared" si="158"/>
        <v/>
      </c>
      <c r="JO300" s="359" t="str">
        <f t="shared" si="159"/>
        <v/>
      </c>
      <c r="JP300" s="346" t="b">
        <f t="shared" si="160"/>
        <v>0</v>
      </c>
      <c r="JQ300" s="347" t="b">
        <f t="shared" si="161"/>
        <v>0</v>
      </c>
      <c r="JR300" s="347" t="b">
        <f t="shared" si="162"/>
        <v>0</v>
      </c>
      <c r="JS300" s="347" t="b">
        <f t="shared" si="163"/>
        <v>0</v>
      </c>
      <c r="JT300" s="347" t="b">
        <f t="shared" si="164"/>
        <v>0</v>
      </c>
      <c r="JU300" s="347" t="b">
        <f t="shared" si="165"/>
        <v>0</v>
      </c>
      <c r="JV300" s="347" t="b">
        <f t="shared" si="166"/>
        <v>0</v>
      </c>
      <c r="JW300" s="347" t="b">
        <f t="shared" si="167"/>
        <v>0</v>
      </c>
      <c r="JX300" s="347" t="b">
        <f t="shared" si="168"/>
        <v>0</v>
      </c>
      <c r="JY300" s="347" t="b">
        <f t="shared" si="169"/>
        <v>0</v>
      </c>
      <c r="JZ300" s="347" t="b">
        <f t="shared" si="170"/>
        <v>0</v>
      </c>
      <c r="KA300" s="347" t="b">
        <f t="shared" si="171"/>
        <v>0</v>
      </c>
      <c r="KB300" s="365" t="b">
        <f t="shared" si="172"/>
        <v>0</v>
      </c>
      <c r="KC300" s="354" t="str">
        <f t="shared" si="173"/>
        <v/>
      </c>
      <c r="KD300" s="355" t="str">
        <f t="shared" si="174"/>
        <v/>
      </c>
      <c r="KE300" s="355" t="str">
        <f t="shared" si="175"/>
        <v/>
      </c>
      <c r="KF300" s="355" t="str">
        <f t="shared" si="176"/>
        <v/>
      </c>
      <c r="KG300" s="355" t="str">
        <f t="shared" si="177"/>
        <v/>
      </c>
      <c r="KH300" s="355" t="str">
        <f t="shared" si="178"/>
        <v/>
      </c>
      <c r="KI300" s="355" t="str">
        <f t="shared" si="179"/>
        <v/>
      </c>
      <c r="KJ300" s="355" t="str">
        <f t="shared" si="180"/>
        <v/>
      </c>
      <c r="KK300" s="355" t="str">
        <f t="shared" si="181"/>
        <v/>
      </c>
      <c r="KL300" s="355" t="str">
        <f t="shared" si="182"/>
        <v/>
      </c>
      <c r="KM300" s="355" t="str">
        <f t="shared" si="183"/>
        <v/>
      </c>
      <c r="KN300" s="355" t="str">
        <f t="shared" si="184"/>
        <v/>
      </c>
      <c r="KO300" s="359"/>
      <c r="KP300" s="378"/>
      <c r="KQ300" s="379" t="s">
        <v>397</v>
      </c>
      <c r="KR300" s="380" t="s">
        <v>431</v>
      </c>
      <c r="KS300" s="381" t="str">
        <f>KQ300</f>
        <v>S-g-m-d-n-S</v>
      </c>
      <c r="KT300" s="382">
        <f t="shared" si="186"/>
        <v>5</v>
      </c>
      <c r="KU300" s="383">
        <f t="shared" si="187"/>
        <v>5</v>
      </c>
      <c r="KV300" s="381" t="str">
        <f t="shared" si="205"/>
        <v>S-n-d-P-m-g-R-S</v>
      </c>
      <c r="KW300" s="382">
        <f t="shared" si="189"/>
        <v>7</v>
      </c>
      <c r="KX300" s="384">
        <f t="shared" si="190"/>
        <v>7</v>
      </c>
      <c r="KY300" s="382">
        <f t="shared" ref="KY300:KZ300" si="828">KW300-KT300</f>
        <v>2</v>
      </c>
      <c r="KZ300" s="369">
        <f t="shared" si="828"/>
        <v>2</v>
      </c>
      <c r="LA300" s="385" t="str">
        <f t="shared" si="192"/>
        <v>-</v>
      </c>
      <c r="LB300" s="340" t="str">
        <f>IFERROR(__xludf.DUMMYFUNCTION("JOIN("""",ArrayFormula(MID(KS300,LEN(KS300)-SEQUENCE(1,LEN(KS300))+1,1)))"),"S-n-d-m-g-S")</f>
        <v>S-n-d-m-g-S</v>
      </c>
      <c r="LC300" s="373" t="str">
        <f>IFERROR(__xludf.DUMMYFUNCTION("JOIN("""",ArrayFormula(MID(KV300,LEN(KV300)-SEQUENCE(1,LEN(KV300))+1,1)))"),"S-R-g-m-P-d-n-S")</f>
        <v>S-R-g-m-P-d-n-S</v>
      </c>
      <c r="LD300" s="373" t="str">
        <f t="shared" si="193"/>
        <v>SgmdnS</v>
      </c>
      <c r="LE300" s="339" t="str">
        <f t="shared" si="194"/>
        <v>SRgmPdnS</v>
      </c>
      <c r="LF300" s="386" t="str">
        <f>IFERROR(__xludf.DUMMYFUNCTION("SUBSTITUTE(SUBSTITUTE(CONCATENATE(JOIN("""",LH300:LT300)),""1"",""""),""2"","""")"),"SRgmPdnS")</f>
        <v>SRgmPdnS</v>
      </c>
      <c r="LG300" s="369" t="str">
        <f t="shared" si="195"/>
        <v>✔</v>
      </c>
      <c r="LH300" s="387" t="str">
        <f>IFERROR(__xludf.DUMMYFUNCTION("IF(REGEXMATCH(LD300, ""S""), ""S"",IF(REGEXMATCH(LE300, ""S""), ""S"",""""))"),"S")</f>
        <v>S</v>
      </c>
      <c r="LI300" s="299" t="str">
        <f>IFERROR(__xludf.DUMMYFUNCTION("IF(REGEXMATCH(LD300, ""r""), ""r1"",IF(REGEXMATCH(LE300, ""r""), ""r2"",""""))"),"")</f>
        <v/>
      </c>
      <c r="LJ300" s="299" t="str">
        <f>IFERROR(__xludf.DUMMYFUNCTION("IF(REGEXMATCH(LD300, ""R""), ""R1"",IF(REGEXMATCH(LE300, ""R""), ""R2"",""""))"),"R2")</f>
        <v>R2</v>
      </c>
      <c r="LK300" s="299" t="str">
        <f>IFERROR(__xludf.DUMMYFUNCTION("IF(REGEXMATCH(LD300, ""g""), ""g1"",IF(REGEXMATCH(LE300, ""g""), ""g2"",""""))"),"g1")</f>
        <v>g1</v>
      </c>
      <c r="LL300" s="299" t="str">
        <f>IFERROR(__xludf.DUMMYFUNCTION("IF(REGEXMATCH(LD300, ""G""), ""G1"",IF(REGEXMATCH(LE300, ""G""), ""G2"",""""))"),"")</f>
        <v/>
      </c>
      <c r="LM300" s="299" t="str">
        <f>IFERROR(__xludf.DUMMYFUNCTION("IF(REGEXMATCH(LD300, ""m""), ""m1"",IF(REGEXMATCH(LE300, ""m""), ""m2"",""""))"),"m1")</f>
        <v>m1</v>
      </c>
      <c r="LN300" s="299" t="str">
        <f>IFERROR(__xludf.DUMMYFUNCTION("IF(REGEXMATCH(LD300, ""M""), ""M1"",IF(REGEXMATCH(LE300, ""M""), ""M2"",""""))"),"")</f>
        <v/>
      </c>
      <c r="LO300" s="299" t="str">
        <f>IFERROR(__xludf.DUMMYFUNCTION("IF(REGEXMATCH(LD300, ""P""), ""P1"",IF(REGEXMATCH(LE300, ""P""), ""P2"",""""))"),"P2")</f>
        <v>P2</v>
      </c>
      <c r="LP300" s="299" t="str">
        <f>IFERROR(__xludf.DUMMYFUNCTION("IF(REGEXMATCH(LD300, ""d""), ""d1"",IF(REGEXMATCH(LE300, ""d""), ""d2"",""""))"),"d1")</f>
        <v>d1</v>
      </c>
      <c r="LQ300" s="299" t="str">
        <f>IFERROR(__xludf.DUMMYFUNCTION("IF(REGEXMATCH(LD300, ""D""), ""D1"",IF(REGEXMATCH(LE300, ""D""), ""D2"",""""))"),"")</f>
        <v/>
      </c>
      <c r="LR300" s="299" t="str">
        <f>IFERROR(__xludf.DUMMYFUNCTION("IF(REGEXMATCH(LD300, ""n""), ""n1"",IF(REGEXMATCH(LE300, ""n""), ""n2"",""""))"),"n1")</f>
        <v>n1</v>
      </c>
      <c r="LS300" s="299" t="str">
        <f>IFERROR(__xludf.DUMMYFUNCTION("IF(REGEXMATCH(LD300, ""N""), ""N1"",IF(REGEXMATCH(LE300, ""N""), ""N2"",""""))"),"")</f>
        <v/>
      </c>
      <c r="LT300" s="388" t="str">
        <f>IFERROR(__xludf.DUMMYFUNCTION("IF(REGEXMATCH(LD300, ""S""), ""S"",IF(REGEXMATCH(LE300, ""S""), ""S"",""""))"),"S")</f>
        <v>S</v>
      </c>
      <c r="LU300" s="389">
        <f t="shared" si="196"/>
        <v>-3</v>
      </c>
      <c r="LV300" s="378"/>
      <c r="LW300" s="369"/>
      <c r="LX300" s="369"/>
    </row>
    <row r="301" ht="18.0" customHeight="1">
      <c r="A301" s="298" t="s">
        <v>1123</v>
      </c>
      <c r="B301" s="222" t="s">
        <v>632</v>
      </c>
      <c r="C301" s="233" t="str">
        <f t="shared" si="7"/>
        <v>SRGmMPDNS</v>
      </c>
      <c r="D301" s="234" t="str">
        <f>IFERROR(__xludf.DUMMYFUNCTION("IF(REGEXMATCH(C301, ""S""), ""S"","""")"),"S")</f>
        <v>S</v>
      </c>
      <c r="E301" s="236" t="str">
        <f>IFERROR(__xludf.DUMMYFUNCTION("IF(REGEXMATCH(C301, ""r""), ""r"","""")"),"")</f>
        <v/>
      </c>
      <c r="F301" s="237" t="str">
        <f>IFERROR(__xludf.DUMMYFUNCTION("IF(REGEXMATCH(C301, ""R""), ""R"","""")"),"R")</f>
        <v>R</v>
      </c>
      <c r="G301" s="237" t="str">
        <f>IFERROR(__xludf.DUMMYFUNCTION("IF(REGEXMATCH(C301, ""g""), ""g"","""")"),"")</f>
        <v/>
      </c>
      <c r="H301" s="236" t="str">
        <f>IFERROR(__xludf.DUMMYFUNCTION("IF(REGEXMATCH(C301, ""G""), ""G"","""")"),"G")</f>
        <v>G</v>
      </c>
      <c r="I301" s="236" t="str">
        <f>IFERROR(__xludf.DUMMYFUNCTION("IF(REGEXMATCH(C301, ""m""), ""m"","""")"),"m")</f>
        <v>m</v>
      </c>
      <c r="J301" s="237" t="str">
        <f>IFERROR(__xludf.DUMMYFUNCTION("IF(REGEXMATCH(C301, ""M""), ""M"","""")"),"M")</f>
        <v>M</v>
      </c>
      <c r="K301" s="236" t="str">
        <f>IFERROR(__xludf.DUMMYFUNCTION("IF(REGEXMATCH(C301, ""P""), ""P"","""")"),"P")</f>
        <v>P</v>
      </c>
      <c r="L301" s="237" t="str">
        <f>IFERROR(__xludf.DUMMYFUNCTION("IF(REGEXMATCH(C301, ""d""), ""d"","""")"),"")</f>
        <v/>
      </c>
      <c r="M301" s="236" t="str">
        <f>IFERROR(__xludf.DUMMYFUNCTION("IF(REGEXMATCH(C301, ""D""), ""D"","""")"),"D")</f>
        <v>D</v>
      </c>
      <c r="N301" s="236" t="str">
        <f>IFERROR(__xludf.DUMMYFUNCTION("IF(REGEXMATCH(C301, ""n""), ""n"","""")"),"")</f>
        <v/>
      </c>
      <c r="O301" s="237" t="str">
        <f>IFERROR(__xludf.DUMMYFUNCTION("IF(REGEXMATCH(C301, ""N""), ""N"","""")"),"N")</f>
        <v>N</v>
      </c>
      <c r="P301" s="238" t="str">
        <f>IFERROR(__xludf.DUMMYFUNCTION("IF(REGEXMATCH(C301, ""S""), ""S"","""")"),"S")</f>
        <v>S</v>
      </c>
      <c r="Q301" s="239" t="str">
        <f>IFERROR(__xludf.DUMMYFUNCTION("SUBSTITUTE(CONCATENATE(JOIN(""-"",D301:J301)),""-"","""")"),"SRGmM")</f>
        <v>SRGmM</v>
      </c>
      <c r="R301" s="229" t="str">
        <f>IFERROR(__xludf.DUMMYFUNCTION("SUBSTITUTE(CONCATENATE(JOIN(""-"",K301:P301)),""-"","""")"),"PDNS")</f>
        <v>PDNS</v>
      </c>
      <c r="S301" s="282" t="str">
        <f t="shared" si="8"/>
        <v>S-R-G-M</v>
      </c>
      <c r="T301" s="282" t="str">
        <f t="shared" si="9"/>
        <v>P-D-N-S</v>
      </c>
      <c r="U301" s="237" t="str">
        <f>IFERROR(__xludf.DUMMYFUNCTION("SUBSTITUTE(JOIN(""-"",S301,T301),""--"",""-"")"),"S-R-G-M-P-D-N-S")</f>
        <v>S-R-G-M-P-D-N-S</v>
      </c>
      <c r="V301" s="309" t="str">
        <f t="shared" si="10"/>
        <v>RGmMDN</v>
      </c>
      <c r="W301" s="244" t="str">
        <f>IFERROR(__xludf.DUMMYFUNCTION("IF(REGEXMATCH(C301, ""S""), ""0"","""")"),"0")</f>
        <v>0</v>
      </c>
      <c r="X301" s="245" t="str">
        <f>IFERROR(__xludf.DUMMYFUNCTION("IF(REGEXMATCH(C301, ""r""), ""1"","""")"),"")</f>
        <v/>
      </c>
      <c r="Y301" s="246" t="str">
        <f>IFERROR(__xludf.DUMMYFUNCTION("IF(REGEXMATCH(C301, ""R""), ""2"","""")"),"2")</f>
        <v>2</v>
      </c>
      <c r="Z301" s="246" t="str">
        <f>IFERROR(__xludf.DUMMYFUNCTION("IF(REGEXMATCH(C301, ""g""), ""3"","""")"),"")</f>
        <v/>
      </c>
      <c r="AA301" s="245" t="str">
        <f>IFERROR(__xludf.DUMMYFUNCTION("IF(REGEXMATCH(C301, ""G""), ""4"","""")"),"4")</f>
        <v>4</v>
      </c>
      <c r="AB301" s="245" t="str">
        <f>IFERROR(__xludf.DUMMYFUNCTION("IF(REGEXMATCH(C301, ""m""), ""5"","""")"),"5")</f>
        <v>5</v>
      </c>
      <c r="AC301" s="246" t="str">
        <f>IFERROR(__xludf.DUMMYFUNCTION("IF(REGEXMATCH(C301, ""M""), ""6"","""")"),"6")</f>
        <v>6</v>
      </c>
      <c r="AD301" s="245" t="str">
        <f>IFERROR(__xludf.DUMMYFUNCTION("IF(REGEXMATCH(C301, ""P""), ""7"","""")"),"7")</f>
        <v>7</v>
      </c>
      <c r="AE301" s="246" t="str">
        <f>IFERROR(__xludf.DUMMYFUNCTION("IF(REGEXMATCH(C301, ""d""), ""8"","""")"),"")</f>
        <v/>
      </c>
      <c r="AF301" s="245" t="str">
        <f>IFERROR(__xludf.DUMMYFUNCTION("IF(REGEXMATCH(C301, ""D""), ""9"","""")"),"9")</f>
        <v>9</v>
      </c>
      <c r="AG301" s="245" t="str">
        <f>IFERROR(__xludf.DUMMYFUNCTION("IF(REGEXMATCH(C301, ""n""), ""10"","""")"),"")</f>
        <v/>
      </c>
      <c r="AH301" s="246" t="str">
        <f>IFERROR(__xludf.DUMMYFUNCTION("IF(REGEXMATCH(C301, ""N""), ""11"","""")"),"11")</f>
        <v>11</v>
      </c>
      <c r="AI301" s="249" t="str">
        <f>IFERROR(__xludf.DUMMYFUNCTION("IF(REGEXMATCH(C301, ""S""), ""0"","""")"),"0")</f>
        <v>0</v>
      </c>
      <c r="AJ301" s="313" t="str">
        <f t="shared" si="11"/>
        <v>T</v>
      </c>
      <c r="AK301" s="313" t="str">
        <f t="shared" si="12"/>
        <v>-</v>
      </c>
      <c r="AL301" s="313" t="str">
        <f t="shared" si="13"/>
        <v>-</v>
      </c>
      <c r="AM301" s="313" t="str">
        <f t="shared" si="14"/>
        <v>-</v>
      </c>
      <c r="AN301" s="313" t="str">
        <f t="shared" si="15"/>
        <v>-</v>
      </c>
      <c r="AO301" s="314" t="str">
        <f t="shared" si="16"/>
        <v>T</v>
      </c>
      <c r="AP301" s="316">
        <f t="shared" si="17"/>
        <v>2</v>
      </c>
      <c r="AQ301" s="319" t="str">
        <f t="shared" si="18"/>
        <v>-</v>
      </c>
      <c r="AR301" s="320">
        <f t="shared" si="19"/>
        <v>0</v>
      </c>
      <c r="AS301" s="250" t="str">
        <f>IFERROR(__xludf.DUMMYFUNCTION("SUBSTITUTE(SUBSTITUTE(CONCATENATE(JOIN("""",FP301:GA301)),""|"",""x""),""-"",""o"")"),"xoxoxxxxoxox")</f>
        <v>xoxoxxxxoxox</v>
      </c>
      <c r="AT301" s="323" t="str">
        <f>IFERROR(__xludf.DUMMYFUNCTION("JOIN("""",AS301,AS301)"),"xoxoxxxxoxoxxoxoxxxxoxox")</f>
        <v>xoxoxxxxoxoxxoxoxxxxoxox</v>
      </c>
      <c r="AU301" s="256" t="str">
        <f>IFERROR(__xludf.DUMMYFUNCTION("JOIN("""",ArrayFormula(MID(AS301,LEN(AS301)-SEQUENCE(1,LEN(AS301))+1,1)))"),"xoxoxxxxoxox")</f>
        <v>xoxoxxxxoxox</v>
      </c>
      <c r="AV301" s="256" t="str">
        <f>IFERROR(__xludf.DUMMYFUNCTION("LEFT(CONCATENATE(""x"",JOIN("""",ArrayFormula(MID(AS301,LEN(AS301)-SEQUENCE(1,LEN(AS301))+1,1)))),12)"),"xxoxoxxxxoxo")</f>
        <v>xxoxoxxxxoxo</v>
      </c>
      <c r="AW301" s="327" t="str">
        <f>IFERROR(__xludf.DUMMYFUNCTION("JOIN("""",AU301,AU301)"),"xoxoxxxxoxoxxoxoxxxxoxox")</f>
        <v>xoxoxxxxoxoxxoxoxxxxoxox</v>
      </c>
      <c r="AX301" s="239" t="str">
        <f>IFERROR(__xludf.DUMMYFUNCTION("IF(REGEXMATCH(AW301,AS301),""✔"",""-"")"),"✔")</f>
        <v>✔</v>
      </c>
      <c r="AY301" s="330" t="str">
        <f t="shared" si="20"/>
        <v>-</v>
      </c>
      <c r="AZ301" s="260" t="str">
        <f t="shared" si="21"/>
        <v>#REF!</v>
      </c>
      <c r="BA301" s="333" t="str">
        <f t="shared" si="22"/>
        <v>xoxoxxx</v>
      </c>
      <c r="BB301" s="334" t="str">
        <f t="shared" si="23"/>
        <v>xoxoxx</v>
      </c>
      <c r="BC301" s="335" t="str">
        <f t="shared" si="236"/>
        <v>✔</v>
      </c>
      <c r="BD301" s="336" t="str">
        <f t="shared" si="25"/>
        <v>Sanjh Saravali: 'xoxoxxx' + 'xoxoxx'</v>
      </c>
      <c r="BE301" s="337">
        <f>IFERROR(__xludf.DUMMYFUNCTION("COUNTUNIQUE(FILTER(AT:AT,REGEXMATCH(AT:AT,AS301)))-1"),3.0)</f>
        <v>3</v>
      </c>
      <c r="BF301" s="261" t="str">
        <f>IFERROR(__xludf.DUMMYFUNCTION("IF(BI301=0,""(n/a)"",IF(BJ301=2,""(PAIR)"",IF(REGEXMATCH(AT301,""xoxoxxoxoxox""),""Bilawal"",IF(REGEXMATCH(AT301,""xoxoxooxoxoo""),""Bhupali"",IF(REGEXMATCH(AT301,""xoxoxxoxxoxo""),""Charukeshi"",IF(REGEXMATCH(AT301,""xoxoooxxoxxo""),""Kameshwari"",IF(REG"&amp;"EXMATCH(AT301,""xoxoxooxoxox""),""Shankara"",IF(REGEXMATCH(AT301,""xxooxoxxxoox""),""Basant"",IF(REGEXMATCH(AT301,""xoxoxxxxoxox""),""Bihag"",IF(REGEXMATCH(AT301,""xoxxxxoxoxxx""),""Pilu"",IF(REGEXMATCH(AT301,""xoxxoxoxxoox""),""Kirwani"",IF(REGEXMATCH(AT"&amp;"301,""xoxxoxoxoxxx""),""Mk.Malhar"",IF(REGEXMATCH(AT301,""xxooxxoxxoox""),""Bhairav"",IF(REGEXMATCH(AT301,""xxoxooxxxoox""),""Todi"",IF(REGEXMATCH(AT301,""xxooxoxooxox""),""Marwa"",IF(REGEXMATCH(AT301,""xxoooxoxxooo""),""Gunkali"",IF(REGEXMATCH(AT301,""xo"&amp;"xoxxoxxoox""),""Nat Bhairav"",IF(REGEXMATCH(AT301,""xoxxoooxoxoo""),""Shivranjani"",IF(REGEXMATCH(AT301,""xooxxxoxooxo""),""Jog"",IF(REGEXMATCH(AT301,""xxooxoxoxoox""),""Hemshri"",IF(REGEXMATCH(AT301,""xoooxooxoxxo""),""Kalavati"",IF(REGEXMATCH(AT301,""xx"&amp;"oxoxxoxoox""),""Kedar"",IF(REGEXMATCH(AT301,""xoxxxxoxooxx""),""Gara"",IF(REGEXMATCH(AT301,""xooxoxooxoox""),""Chandrakauns"",IF(REGEXMATCH(AT301,""xoxxxxoxxxox""),""Mand"",IF(REGEXMATCH(AT301,""xoxxxxoxoxox""),""Hanskinkini"",IF(REGEXMATCH(AT301,""xxooxx"&amp;"oxooxo""),""Lilavati"",IF(REGEXMATCH(AT301,""xooxoxoooxox""),""Rajeshwari"",IF(REGEXMATCH(AT301,""xoooxxoxoxxx""),""Khokar"",IF(REGEXMATCH(AT301,""xxooxoxxxxox""),""Maligoura"",""-""))))))))))))))))))))))))))))))"),"Bihag")</f>
        <v>Bihag</v>
      </c>
      <c r="BG301" s="239" t="str">
        <f t="shared" si="26"/>
        <v>#REF!</v>
      </c>
      <c r="BH301" s="239">
        <f>IFERROR(__xludf.DUMMYFUNCTION("COUNTUNIQUE(FE301:FO301)-1"),7.0)</f>
        <v>7</v>
      </c>
      <c r="BI301" s="239">
        <f>IFERROR(__xludf.DUMMYFUNCTION("COUNTUNIQUE(FILTER(AT:AT,REGEXMATCH(AT:AT,AS301)))-1"),3.0)</f>
        <v>3</v>
      </c>
      <c r="BJ301" s="239">
        <f>IFERROR(__xludf.DUMMYFUNCTION("COUNTA(FILTER(AT:AT,REGEXMATCH(AT:AT,AS301)))"),36.0)</f>
        <v>36</v>
      </c>
      <c r="BK301" s="341">
        <f>IFERROR(__xludf.DUMMYFUNCTION("COUNTA(FILTER(AT:AT,REGEXMATCH(AT:AT,AS301)))-AR301"),36.0)</f>
        <v>36</v>
      </c>
      <c r="BL301" s="276" t="str">
        <f>IFERROR(__xludf.DUMMYFUNCTION("IF(AS301=""oooooooooooo"",""-"",IF(REGEXMATCH(AT301,""xx""), ""Hemi."", ""Anhemi.""))"),"Hemi.")</f>
        <v>Hemi.</v>
      </c>
      <c r="BM301" s="282" t="str">
        <f>IFERROR(__xludf.DUMMYFUNCTION("IF(AS301=""oooooooooooo"",""-"",IF(REGEXMATCH(AT301,""xxx""), ""Cohem."", ""-""))"),"Cohem.")</f>
        <v>Cohem.</v>
      </c>
      <c r="BN301" s="282" t="str">
        <f>IFERROR(__xludf.DUMMYFUNCTION("IF(AS301=""oooooooooooo"",""-"",IF(REGEXMATCH(AT301,""xxxx""), ""Co-Co."", ""-""))"),"Co-Co.")</f>
        <v>Co-Co.</v>
      </c>
      <c r="BO301" s="342" t="str">
        <f>IFERROR(__xludf.DUMMYFUNCTION("IF(AS301=""oooooooooooo"",""-"",IF(REGEXMATCH(AT301,""xxxxx""), ""CCC."", ""-""))"),"-")</f>
        <v>-</v>
      </c>
      <c r="BP301" s="344" t="str">
        <f t="shared" si="27"/>
        <v>-</v>
      </c>
      <c r="BQ301" s="282" t="str">
        <f>IFERROR(__xludf.DUMMYFUNCTION("IF(REGEXMATCH(JOIN(""-"",EU301:FD301),""TRUE""),""✔"",""-"")"),"-")</f>
        <v>-</v>
      </c>
      <c r="BR301" s="225">
        <f t="shared" si="28"/>
        <v>0</v>
      </c>
      <c r="BS301" s="345" t="str">
        <f>IFERROR(__xludf.DUMMYFUNCTION("SUBSTITUTE(SUBSTITUTE(SUBSTITUTE(SUBSTITUTE(CONCATENATE(JOIN(""-"",GC301:GO301)),""--"",""-""),""--"",""-""),""--"",""-""),""--"",""-"")"),"1-2-3-4-#4-5-6-7-8")</f>
        <v>1-2-3-4-#4-5-6-7-8</v>
      </c>
      <c r="BT301" s="299" t="str">
        <f>IFERROR(__xludf.DUMMYFUNCTION("SUBSTITUTE(SUBSTITUTE(SUBSTITUTE(SUBSTITUTE(CONCATENATE(JOIN(""-"",GP301:HB301)),""--"",""-""),""--"",""-""),""--"",""-""),""--"",""-"")"),"S-R2-G3-M1-M2-P-D2-N3-S")</f>
        <v>S-R2-G3-M1-M2-P-D2-N3-S</v>
      </c>
      <c r="BU301" s="348" t="str">
        <f t="shared" si="29"/>
        <v>C-D-E-F-F#-G-A-B-C</v>
      </c>
      <c r="BV301" s="349" t="str">
        <f t="shared" si="30"/>
        <v>SrgdnS</v>
      </c>
      <c r="BW301" s="350">
        <f t="shared" si="31"/>
        <v>0</v>
      </c>
      <c r="BX301" s="351">
        <f t="shared" si="32"/>
        <v>13</v>
      </c>
      <c r="BY301" s="392"/>
      <c r="BZ301" s="309" t="str">
        <f>IFERROR(__xludf.DUMMYFUNCTION("IF(REGEXMATCH(C301, ""S""), ""x"",""x"")"),"x")</f>
        <v>x</v>
      </c>
      <c r="CA301" s="245" t="str">
        <f>IFERROR(__xludf.DUMMYFUNCTION("IF(REGEXMATCH(C301, ""r""), ""o"",""x"")"),"x")</f>
        <v>x</v>
      </c>
      <c r="CB301" s="246" t="str">
        <f>IFERROR(__xludf.DUMMYFUNCTION("IF(REGEXMATCH(C301, ""R""), ""o"",""x"")"),"o")</f>
        <v>o</v>
      </c>
      <c r="CC301" s="246" t="str">
        <f>IFERROR(__xludf.DUMMYFUNCTION("IF(REGEXMATCH(C301, ""g""), ""o"",""x"")"),"x")</f>
        <v>x</v>
      </c>
      <c r="CD301" s="245" t="str">
        <f>IFERROR(__xludf.DUMMYFUNCTION("IF(REGEXMATCH(C301, ""G""), ""o"",""x"")"),"o")</f>
        <v>o</v>
      </c>
      <c r="CE301" s="245" t="str">
        <f>IFERROR(__xludf.DUMMYFUNCTION("IF(REGEXMATCH(C301, ""m""), ""o"",""x"")"),"o")</f>
        <v>o</v>
      </c>
      <c r="CF301" s="246" t="str">
        <f>IFERROR(__xludf.DUMMYFUNCTION("IF(REGEXMATCH(C301, ""M""), ""o"",""x"")"),"o")</f>
        <v>o</v>
      </c>
      <c r="CG301" s="245" t="str">
        <f>IFERROR(__xludf.DUMMYFUNCTION("IF(REGEXMATCH(C301, ""P""), ""o"",""x"")"),"o")</f>
        <v>o</v>
      </c>
      <c r="CH301" s="246" t="str">
        <f>IFERROR(__xludf.DUMMYFUNCTION("IF(REGEXMATCH(C301, ""d""), ""o"",""x"")"),"x")</f>
        <v>x</v>
      </c>
      <c r="CI301" s="245" t="str">
        <f>IFERROR(__xludf.DUMMYFUNCTION("IF(REGEXMATCH(C301, ""D""), ""o"",""x"")"),"o")</f>
        <v>o</v>
      </c>
      <c r="CJ301" s="245" t="str">
        <f>IFERROR(__xludf.DUMMYFUNCTION("IF(REGEXMATCH(C301, ""n""), ""o"",""x"")"),"x")</f>
        <v>x</v>
      </c>
      <c r="CK301" s="245" t="str">
        <f>IFERROR(__xludf.DUMMYFUNCTION("IF(REGEXMATCH(C301, ""N""), ""o"",""x"")"),"o")</f>
        <v>o</v>
      </c>
      <c r="CL301" s="356" t="str">
        <f>IFERROR(__xludf.DUMMYFUNCTION("IF(REGEXMATCH(C301, ""S""), ""x"",""x"")"),"x")</f>
        <v>x</v>
      </c>
      <c r="CM301" s="357" t="str">
        <f t="shared" si="33"/>
        <v>xxoxooooxoxo</v>
      </c>
      <c r="CN301" s="358">
        <f t="shared" si="34"/>
        <v>0</v>
      </c>
      <c r="CO301" s="246" t="str">
        <f>IFERROR(__xludf.DUMMYFUNCTION("IF(REGEXMATCH($C301, ""S""), ""S"",""S"")"),"S")</f>
        <v>S</v>
      </c>
      <c r="CP301" s="246" t="str">
        <f>IFERROR(__xludf.DUMMYFUNCTION("IF(REGEXMATCH($C301, ""r""), """",""r"")"),"r")</f>
        <v>r</v>
      </c>
      <c r="CQ301" s="246" t="str">
        <f>IFERROR(__xludf.DUMMYFUNCTION("IF(REGEXMATCH($C301, ""R""), """",""R"")"),"")</f>
        <v/>
      </c>
      <c r="CR301" s="246" t="str">
        <f>IFERROR(__xludf.DUMMYFUNCTION("IF(REGEXMATCH($C301, ""g""), """",""g"")"),"g")</f>
        <v>g</v>
      </c>
      <c r="CS301" s="246" t="str">
        <f>IFERROR(__xludf.DUMMYFUNCTION("IF(REGEXMATCH($C301, ""G""), """",""G"")"),"")</f>
        <v/>
      </c>
      <c r="CT301" s="246" t="str">
        <f>IFERROR(__xludf.DUMMYFUNCTION("IF(REGEXMATCH($C301, ""m""), """",""m"")"),"")</f>
        <v/>
      </c>
      <c r="CU301" s="246" t="str">
        <f>IFERROR(__xludf.DUMMYFUNCTION("IF(REGEXMATCH($C301, ""M""), """",""M"")"),"")</f>
        <v/>
      </c>
      <c r="CV301" s="246" t="str">
        <f>IFERROR(__xludf.DUMMYFUNCTION("IF(REGEXMATCH($C301, ""P""), """",""P"")"),"")</f>
        <v/>
      </c>
      <c r="CW301" s="246" t="str">
        <f>IFERROR(__xludf.DUMMYFUNCTION("IF(REGEXMATCH($C301, ""d""), """",""d"")"),"d")</f>
        <v>d</v>
      </c>
      <c r="CX301" s="246" t="str">
        <f>IFERROR(__xludf.DUMMYFUNCTION("IF(REGEXMATCH($C301, ""D""), """",""D"")"),"")</f>
        <v/>
      </c>
      <c r="CY301" s="246" t="str">
        <f>IFERROR(__xludf.DUMMYFUNCTION("IF(REGEXMATCH($C301, ""n""), """",""n"")"),"n")</f>
        <v>n</v>
      </c>
      <c r="CZ301" s="246" t="str">
        <f>IFERROR(__xludf.DUMMYFUNCTION("IF(REGEXMATCH($C301, ""N""), """",""N"")"),"")</f>
        <v/>
      </c>
      <c r="DA301" s="246" t="str">
        <f>IFERROR(__xludf.DUMMYFUNCTION("IF(REGEXMATCH($C301, ""S""), ""S"",""S"")"),"S")</f>
        <v>S</v>
      </c>
      <c r="DB301" s="362" t="str">
        <f>IFERROR(__xludf.DUMMYFUNCTION("JOIN("""",CO301:DA301,"""","""")"),"SrgdnS")</f>
        <v>SrgdnS</v>
      </c>
      <c r="DC301" s="363"/>
      <c r="DD301" s="301" t="str">
        <f t="shared" si="35"/>
        <v>#REF!</v>
      </c>
      <c r="DE301" s="302" t="str">
        <f t="shared" si="36"/>
        <v>#REF!</v>
      </c>
      <c r="DF301" s="301" t="str">
        <f t="shared" ref="DF301:DG301" si="829">SUBSTITUTE(S301,"-","")</f>
        <v>SRGM</v>
      </c>
      <c r="DG301" s="301" t="str">
        <f t="shared" si="829"/>
        <v>PDNS</v>
      </c>
      <c r="DH301" s="302" t="str">
        <f t="shared" si="38"/>
        <v>Bihag</v>
      </c>
      <c r="DI301" s="301" t="str">
        <f t="shared" si="39"/>
        <v>Hemi.</v>
      </c>
      <c r="DJ301" s="364" t="str">
        <f t="shared" si="40"/>
        <v>Co-Co.</v>
      </c>
      <c r="DK301" s="306" t="str">
        <f t="shared" si="41"/>
        <v>-</v>
      </c>
      <c r="DL301" s="366" t="str">
        <f t="shared" si="42"/>
        <v>-</v>
      </c>
      <c r="DM301" s="308" t="str">
        <f t="shared" si="43"/>
        <v>✔</v>
      </c>
      <c r="DN301" s="306" t="str">
        <f t="shared" si="44"/>
        <v>-</v>
      </c>
      <c r="DO301" s="306" t="str">
        <f t="shared" si="45"/>
        <v>-</v>
      </c>
      <c r="DP301" s="367" t="str">
        <f t="shared" si="46"/>
        <v>-</v>
      </c>
      <c r="DQ301" s="310" t="str">
        <f t="shared" si="47"/>
        <v>-</v>
      </c>
      <c r="DR301" s="310" t="str">
        <f t="shared" si="48"/>
        <v>-</v>
      </c>
      <c r="DS301" s="310" t="str">
        <f t="shared" si="49"/>
        <v>✔</v>
      </c>
      <c r="DT301" s="310" t="str">
        <f t="shared" si="50"/>
        <v>-</v>
      </c>
      <c r="DU301" s="370" t="str">
        <f t="shared" si="51"/>
        <v>-</v>
      </c>
      <c r="DV301" s="306" t="str">
        <f t="shared" si="52"/>
        <v>-</v>
      </c>
      <c r="DW301" s="306" t="str">
        <f t="shared" si="53"/>
        <v>-</v>
      </c>
      <c r="DX301" s="306" t="str">
        <f t="shared" si="54"/>
        <v>-</v>
      </c>
      <c r="DY301" s="306" t="str">
        <f t="shared" si="55"/>
        <v>-</v>
      </c>
      <c r="DZ301" s="306" t="str">
        <f t="shared" si="56"/>
        <v>-</v>
      </c>
      <c r="EA301" s="367" t="str">
        <f t="shared" si="57"/>
        <v>-</v>
      </c>
      <c r="EB301" s="310" t="str">
        <f>IFERROR(__xludf.DUMMYFUNCTION("IF(REGEXMATCH(AW301,AS301),""✔"",""-"")"),"✔")</f>
        <v>✔</v>
      </c>
      <c r="EC301" s="310" t="str">
        <f t="shared" si="58"/>
        <v>#REF!</v>
      </c>
      <c r="ED301" s="370" t="str">
        <f t="shared" si="59"/>
        <v>-</v>
      </c>
      <c r="EE301" s="340" t="str">
        <f t="shared" si="60"/>
        <v>S-R-G-mM-P-D-N-S</v>
      </c>
      <c r="EF301" s="371" t="str">
        <f>IFERROR(__xludf.DUMMYFUNCTION("CONCATENATE(JOIN("""",HC301:HO301))"),"SrgmMPdnS")</f>
        <v>SrgmMPdnS</v>
      </c>
      <c r="EG301" s="372">
        <f t="shared" si="61"/>
        <v>1</v>
      </c>
      <c r="EH301" s="373" t="str">
        <f>IFERROR(__xludf.DUMMYFUNCTION("CONCATENATE(JOIN("""",JC301:JO301))"),"Ma, ")</f>
        <v>Ma, </v>
      </c>
      <c r="EI301" s="322">
        <f t="shared" si="62"/>
        <v>0</v>
      </c>
      <c r="EJ301" s="374" t="str">
        <f>IFERROR(__xludf.DUMMYFUNCTION("CONCATENATE(JOIN("""",KC301:KO301))"),"")</f>
        <v/>
      </c>
      <c r="EK301" s="325" t="str">
        <f t="shared" si="63"/>
        <v>S-R2-G3-M1-M2-P-D2-N3-S</v>
      </c>
      <c r="EL301" s="326" t="str">
        <f t="shared" si="64"/>
        <v>1-2-3-4-#4-5-6-7-8</v>
      </c>
      <c r="EM301" s="318" t="str">
        <f t="shared" si="65"/>
        <v>#REF!</v>
      </c>
      <c r="EN301" s="328" t="str">
        <f>IFERROR(__xludf.DUMMYFUNCTION("SUBSTITUTE(SUBSTITUTE(SUBSTITUTE(SUBSTITUTE(CONCATENATE(JOIN("" "",HP301:IB301)),""  "","" ""),""  "","" ""),""  "","" ""),""  "","" "")"),"o • o • o o o o • o • o o")</f>
        <v>o • o • o o o o • o • o o</v>
      </c>
      <c r="EO301" s="368" t="str">
        <f t="shared" si="66"/>
        <v>-</v>
      </c>
      <c r="EP301" s="339" t="str">
        <f t="shared" si="67"/>
        <v>-</v>
      </c>
      <c r="EQ301" s="339" t="str">
        <f t="shared" si="68"/>
        <v>Sa-Pa</v>
      </c>
      <c r="ER301" s="339" t="str">
        <f t="shared" si="69"/>
        <v>-</v>
      </c>
      <c r="ES301" s="340" t="str">
        <f t="shared" si="70"/>
        <v>-</v>
      </c>
      <c r="ET301" s="363"/>
      <c r="EU301" s="376" t="b">
        <f>IFERROR(__xludf.DUMMYFUNCTION("arrayformula(sum(--REGEXMATCH(""SRGMPDNS"",split(REGEXREPLACE(C301,""(.)"",""$1~""),""~""))))=len(C301)
"),FALSE)</f>
        <v>0</v>
      </c>
      <c r="EV301" s="290" t="b">
        <f>IFERROR(__xludf.DUMMYFUNCTION("arrayformula(sum(--REGEXMATCH(""SRGmPDNS"",split(REGEXREPLACE(C301,""(.)"",""$1~""),""~""))))=len(C301)"),FALSE)</f>
        <v>0</v>
      </c>
      <c r="EW301" s="290" t="b">
        <f>IFERROR(__xludf.DUMMYFUNCTION("arrayformula(sum(--REGEXMATCH(""SRGmPDnS"",split(REGEXREPLACE(C301,""(.)"",""$1~""),""~""))))=len(C301)"),FALSE)</f>
        <v>0</v>
      </c>
      <c r="EX301" s="290" t="b">
        <f>IFERROR(__xludf.DUMMYFUNCTION("arrayformula(sum(--REGEXMATCH(""SRgmPDnS"",split(REGEXREPLACE(C301,""(.)"",""$1~""),""~""))))=len(C301)"),FALSE)</f>
        <v>0</v>
      </c>
      <c r="EY301" s="290" t="b">
        <f>IFERROR(__xludf.DUMMYFUNCTION("arrayformula(sum(--REGEXMATCH(""SRgmPdnS"",split(REGEXREPLACE(C301,""(.)"",""$1~""),""~""))))=len(C301)"),FALSE)</f>
        <v>0</v>
      </c>
      <c r="EZ301" s="290" t="b">
        <f>IFERROR(__xludf.DUMMYFUNCTION("arrayformula(sum(--REGEXMATCH(""SrgmPdnS"",split(REGEXREPLACE(C301,""(.)"",""$1~""),""~""))))=len(C301)"),FALSE)</f>
        <v>0</v>
      </c>
      <c r="FA301" s="290" t="b">
        <f>IFERROR(__xludf.DUMMYFUNCTION("arrayformula(sum(--REGEXMATCH(""SrGmPdNS"",split(REGEXREPLACE(C301,""(.)"",""$1~""),""~""))))=len(C301)"),FALSE)</f>
        <v>0</v>
      </c>
      <c r="FB301" s="290" t="b">
        <f>IFERROR(__xludf.DUMMYFUNCTION("arrayformula(sum(--REGEXMATCH(""SrGMPDNS"",split(REGEXREPLACE(C301,""(.)"",""$1~""),""~""))))=len(C301)"),FALSE)</f>
        <v>0</v>
      </c>
      <c r="FC301" s="290" t="b">
        <f>IFERROR(__xludf.DUMMYFUNCTION("arrayformula(sum(--REGEXMATCH(""SrGMPdNS"",split(REGEXREPLACE(C301,""(.)"",""$1~""),""~""))))=len(C301)"),FALSE)</f>
        <v>0</v>
      </c>
      <c r="FD301" s="377" t="b">
        <f>IFERROR(__xludf.DUMMYFUNCTION("arrayformula(sum(--REGEXMATCH(""SrgMPdNS"",split(REGEXREPLACE(C301,""(.)"",""$1~""),""~""))))=len(C301)"),FALSE)</f>
        <v>0</v>
      </c>
      <c r="FE301" s="269" t="str">
        <f t="shared" si="71"/>
        <v>-</v>
      </c>
      <c r="FF301" s="269" t="str">
        <f t="shared" si="72"/>
        <v>xoxxxxoxoxx</v>
      </c>
      <c r="FG301" s="271" t="str">
        <f t="shared" si="73"/>
        <v>-</v>
      </c>
      <c r="FH301" s="269" t="str">
        <f t="shared" si="74"/>
        <v>xxxxoxoxxox</v>
      </c>
      <c r="FI301" s="271" t="str">
        <f t="shared" si="75"/>
        <v>xxxoxoxxoxo</v>
      </c>
      <c r="FJ301" s="271" t="str">
        <f t="shared" si="76"/>
        <v>xxoxoxxoxox</v>
      </c>
      <c r="FK301" s="271" t="str">
        <f t="shared" si="77"/>
        <v>xoxoxxoxoxx</v>
      </c>
      <c r="FL301" s="271" t="str">
        <f t="shared" si="78"/>
        <v>-</v>
      </c>
      <c r="FM301" s="271" t="str">
        <f t="shared" si="79"/>
        <v>xoxxoxoxxxx</v>
      </c>
      <c r="FN301" s="271" t="str">
        <f t="shared" si="80"/>
        <v>-</v>
      </c>
      <c r="FO301" s="274" t="str">
        <f t="shared" si="81"/>
        <v>xxoxoxxxxox</v>
      </c>
      <c r="FP301" s="234" t="str">
        <f t="shared" si="82"/>
        <v>|</v>
      </c>
      <c r="FQ301" s="236" t="str">
        <f t="shared" si="83"/>
        <v>-</v>
      </c>
      <c r="FR301" s="237" t="str">
        <f t="shared" si="84"/>
        <v>|</v>
      </c>
      <c r="FS301" s="236" t="str">
        <f t="shared" si="85"/>
        <v>-</v>
      </c>
      <c r="FT301" s="237" t="str">
        <f t="shared" si="86"/>
        <v>|</v>
      </c>
      <c r="FU301" s="236" t="str">
        <f t="shared" si="87"/>
        <v>|</v>
      </c>
      <c r="FV301" s="237" t="str">
        <f t="shared" si="88"/>
        <v>|</v>
      </c>
      <c r="FW301" s="236" t="str">
        <f t="shared" si="89"/>
        <v>|</v>
      </c>
      <c r="FX301" s="237" t="str">
        <f t="shared" si="90"/>
        <v>-</v>
      </c>
      <c r="FY301" s="236" t="str">
        <f t="shared" si="91"/>
        <v>|</v>
      </c>
      <c r="FZ301" s="237" t="str">
        <f t="shared" si="92"/>
        <v>-</v>
      </c>
      <c r="GA301" s="236" t="str">
        <f t="shared" si="93"/>
        <v>|</v>
      </c>
      <c r="GB301" s="238" t="str">
        <f t="shared" si="94"/>
        <v>|</v>
      </c>
      <c r="GC301" s="244" t="str">
        <f>IFERROR(__xludf.DUMMYFUNCTION("IF(REGEXMATCH(C301, ""S""), ""1"","""")"),"1")</f>
        <v>1</v>
      </c>
      <c r="GD301" s="245" t="str">
        <f>IFERROR(__xludf.DUMMYFUNCTION("IF(REGEXMATCH(C301, ""r""), ""b2"","""")"),"")</f>
        <v/>
      </c>
      <c r="GE301" s="246" t="str">
        <f>IFERROR(__xludf.DUMMYFUNCTION("IF(REGEXMATCH(C301, ""R""), ""2"","""")"),"2")</f>
        <v>2</v>
      </c>
      <c r="GF301" s="246" t="str">
        <f>IFERROR(__xludf.DUMMYFUNCTION("IF(REGEXMATCH(C301, ""g""), ""b3"","""")"),"")</f>
        <v/>
      </c>
      <c r="GG301" s="245" t="str">
        <f>IFERROR(__xludf.DUMMYFUNCTION("IF(REGEXMATCH(C301, ""G""), ""3"","""")"),"3")</f>
        <v>3</v>
      </c>
      <c r="GH301" s="245" t="str">
        <f>IFERROR(__xludf.DUMMYFUNCTION("IF(REGEXMATCH(C301, ""m""), ""4"","""")"),"4")</f>
        <v>4</v>
      </c>
      <c r="GI301" s="246" t="str">
        <f>IFERROR(__xludf.DUMMYFUNCTION("IF(REGEXMATCH(C301, ""M""), ""#4"","""")"),"#4")</f>
        <v>#4</v>
      </c>
      <c r="GJ301" s="245" t="str">
        <f>IFERROR(__xludf.DUMMYFUNCTION("IF(REGEXMATCH(C301, ""P""), ""5"","""")"),"5")</f>
        <v>5</v>
      </c>
      <c r="GK301" s="246" t="str">
        <f>IFERROR(__xludf.DUMMYFUNCTION("IF(REGEXMATCH(C301, ""d""), ""b6"","""")"),"")</f>
        <v/>
      </c>
      <c r="GL301" s="245" t="str">
        <f>IFERROR(__xludf.DUMMYFUNCTION("IF(REGEXMATCH(C301, ""D""), ""6"","""")"),"6")</f>
        <v>6</v>
      </c>
      <c r="GM301" s="245" t="str">
        <f>IFERROR(__xludf.DUMMYFUNCTION("IF(REGEXMATCH(C301, ""n""), ""b7"","""")"),"")</f>
        <v/>
      </c>
      <c r="GN301" s="246" t="str">
        <f>IFERROR(__xludf.DUMMYFUNCTION("IF(REGEXMATCH(C301, ""N""), ""7"","""")"),"7")</f>
        <v>7</v>
      </c>
      <c r="GO301" s="249" t="str">
        <f>IFERROR(__xludf.DUMMYFUNCTION("IF(REGEXMATCH(C301, ""S""), ""8"","""")"),"8")</f>
        <v>8</v>
      </c>
      <c r="GP301" s="244" t="str">
        <f>IFERROR(__xludf.DUMMYFUNCTION("IF(REGEXMATCH(C301, ""S""), ""S"","""")"),"S")</f>
        <v>S</v>
      </c>
      <c r="GQ301" s="294" t="str">
        <f>IFERROR(__xludf.DUMMYFUNCTION("IF(REGEXMATCH(C301, ""r""), ""R1"","""")"),"")</f>
        <v/>
      </c>
      <c r="GR301" s="295" t="str">
        <f>IFERROR(__xludf.DUMMYFUNCTION("IF(REGEXMATCH(C301, ""R""), ""R2"","""")"),"R2")</f>
        <v>R2</v>
      </c>
      <c r="GS301" s="295" t="str">
        <f>IFERROR(__xludf.DUMMYFUNCTION("IF(REGEXMATCH(C301, ""g""), ""G2"","""")"),"")</f>
        <v/>
      </c>
      <c r="GT301" s="294" t="str">
        <f>IFERROR(__xludf.DUMMYFUNCTION("IF(REGEXMATCH(C301, ""G""), ""G3"","""")"),"G3")</f>
        <v>G3</v>
      </c>
      <c r="GU301" s="294" t="str">
        <f>IFERROR(__xludf.DUMMYFUNCTION("IF(REGEXMATCH(C301, ""m""), ""M1"","""")"),"M1")</f>
        <v>M1</v>
      </c>
      <c r="GV301" s="295" t="str">
        <f>IFERROR(__xludf.DUMMYFUNCTION("IF(REGEXMATCH(C301, ""M""), ""M2"","""")"),"M2")</f>
        <v>M2</v>
      </c>
      <c r="GW301" s="294" t="str">
        <f>IFERROR(__xludf.DUMMYFUNCTION("IF(REGEXMATCH(C301, ""P""), ""P"","""")"),"P")</f>
        <v>P</v>
      </c>
      <c r="GX301" s="295" t="str">
        <f>IFERROR(__xludf.DUMMYFUNCTION("IF(REGEXMATCH(C301, ""d""), ""D1"","""")"),"")</f>
        <v/>
      </c>
      <c r="GY301" s="294" t="str">
        <f>IFERROR(__xludf.DUMMYFUNCTION("IF(REGEXMATCH(C301, ""D""), ""D2"","""")"),"D2")</f>
        <v>D2</v>
      </c>
      <c r="GZ301" s="294" t="str">
        <f>IFERROR(__xludf.DUMMYFUNCTION("IF(REGEXMATCH(C301, ""n""), ""N2"","""")"),"")</f>
        <v/>
      </c>
      <c r="HA301" s="295" t="str">
        <f>IFERROR(__xludf.DUMMYFUNCTION("IF(REGEXMATCH(C301, ""N""), ""N3"","""")"),"N3")</f>
        <v>N3</v>
      </c>
      <c r="HB301" s="249" t="str">
        <f>IFERROR(__xludf.DUMMYFUNCTION("IF(REGEXMATCH(C301, ""S""), ""S"","""")"),"S")</f>
        <v>S</v>
      </c>
      <c r="HC301" s="331" t="str">
        <f t="shared" si="95"/>
        <v>S</v>
      </c>
      <c r="HD301" s="332" t="str">
        <f t="shared" si="96"/>
        <v>r</v>
      </c>
      <c r="HE301" s="332" t="str">
        <f t="shared" si="97"/>
        <v/>
      </c>
      <c r="HF301" s="332" t="str">
        <f t="shared" si="98"/>
        <v>g</v>
      </c>
      <c r="HG301" s="332" t="str">
        <f t="shared" si="99"/>
        <v/>
      </c>
      <c r="HH301" s="332" t="str">
        <f t="shared" si="100"/>
        <v>m</v>
      </c>
      <c r="HI301" s="332" t="str">
        <f t="shared" si="101"/>
        <v>M</v>
      </c>
      <c r="HJ301" s="332" t="str">
        <f t="shared" si="102"/>
        <v>P</v>
      </c>
      <c r="HK301" s="332" t="str">
        <f t="shared" si="103"/>
        <v>d</v>
      </c>
      <c r="HL301" s="332" t="str">
        <f t="shared" si="104"/>
        <v/>
      </c>
      <c r="HM301" s="332" t="str">
        <f t="shared" si="105"/>
        <v>n</v>
      </c>
      <c r="HN301" s="332" t="str">
        <f t="shared" si="106"/>
        <v/>
      </c>
      <c r="HO301" s="343" t="str">
        <f t="shared" si="107"/>
        <v>S</v>
      </c>
      <c r="HP301" s="331" t="str">
        <f t="shared" si="108"/>
        <v>o</v>
      </c>
      <c r="HQ301" s="332" t="str">
        <f t="shared" si="109"/>
        <v>•</v>
      </c>
      <c r="HR301" s="332" t="str">
        <f t="shared" si="110"/>
        <v>o</v>
      </c>
      <c r="HS301" s="332" t="str">
        <f t="shared" si="111"/>
        <v>•</v>
      </c>
      <c r="HT301" s="332" t="str">
        <f t="shared" si="112"/>
        <v>o</v>
      </c>
      <c r="HU301" s="332" t="str">
        <f t="shared" si="113"/>
        <v>o</v>
      </c>
      <c r="HV301" s="332" t="str">
        <f t="shared" si="114"/>
        <v>o</v>
      </c>
      <c r="HW301" s="332" t="str">
        <f t="shared" si="115"/>
        <v>o</v>
      </c>
      <c r="HX301" s="332" t="str">
        <f t="shared" si="116"/>
        <v>•</v>
      </c>
      <c r="HY301" s="332" t="str">
        <f t="shared" si="117"/>
        <v>o</v>
      </c>
      <c r="HZ301" s="332" t="str">
        <f t="shared" si="118"/>
        <v>•</v>
      </c>
      <c r="IA301" s="332" t="str">
        <f t="shared" si="119"/>
        <v>o</v>
      </c>
      <c r="IB301" s="338" t="str">
        <f t="shared" si="120"/>
        <v>o</v>
      </c>
      <c r="IC301" s="331" t="str">
        <f t="shared" si="121"/>
        <v>•</v>
      </c>
      <c r="ID301" s="332" t="str">
        <f t="shared" si="122"/>
        <v>o</v>
      </c>
      <c r="IE301" s="332" t="str">
        <f t="shared" si="123"/>
        <v>•</v>
      </c>
      <c r="IF301" s="332" t="str">
        <f t="shared" si="124"/>
        <v>o</v>
      </c>
      <c r="IG301" s="332" t="str">
        <f t="shared" si="125"/>
        <v>•</v>
      </c>
      <c r="IH301" s="332" t="str">
        <f t="shared" si="126"/>
        <v>•</v>
      </c>
      <c r="II301" s="332" t="str">
        <f t="shared" si="127"/>
        <v>•</v>
      </c>
      <c r="IJ301" s="332" t="str">
        <f t="shared" si="128"/>
        <v>•</v>
      </c>
      <c r="IK301" s="332" t="str">
        <f t="shared" si="129"/>
        <v>o</v>
      </c>
      <c r="IL301" s="332" t="str">
        <f t="shared" si="130"/>
        <v>•</v>
      </c>
      <c r="IM301" s="332" t="str">
        <f t="shared" si="131"/>
        <v>o</v>
      </c>
      <c r="IN301" s="332" t="str">
        <f t="shared" si="132"/>
        <v>•</v>
      </c>
      <c r="IO301" s="338" t="str">
        <f t="shared" si="133"/>
        <v>•</v>
      </c>
      <c r="IP301" s="346" t="b">
        <f t="shared" si="134"/>
        <v>0</v>
      </c>
      <c r="IQ301" s="347" t="b">
        <f t="shared" si="135"/>
        <v>0</v>
      </c>
      <c r="IR301" s="347" t="b">
        <f t="shared" si="136"/>
        <v>0</v>
      </c>
      <c r="IS301" s="347" t="b">
        <f t="shared" si="137"/>
        <v>0</v>
      </c>
      <c r="IT301" s="347" t="b">
        <f t="shared" si="138"/>
        <v>0</v>
      </c>
      <c r="IU301" s="347" t="b">
        <f t="shared" si="139"/>
        <v>0</v>
      </c>
      <c r="IV301" s="347" t="b">
        <f t="shared" si="140"/>
        <v>1</v>
      </c>
      <c r="IW301" s="347" t="b">
        <f t="shared" si="141"/>
        <v>0</v>
      </c>
      <c r="IX301" s="347" t="b">
        <f t="shared" si="142"/>
        <v>0</v>
      </c>
      <c r="IY301" s="347" t="b">
        <f t="shared" si="143"/>
        <v>0</v>
      </c>
      <c r="IZ301" s="347" t="b">
        <f t="shared" si="144"/>
        <v>0</v>
      </c>
      <c r="JA301" s="347" t="b">
        <f t="shared" si="145"/>
        <v>0</v>
      </c>
      <c r="JB301" s="353" t="b">
        <f t="shared" si="146"/>
        <v>0</v>
      </c>
      <c r="JC301" s="354" t="str">
        <f t="shared" si="147"/>
        <v/>
      </c>
      <c r="JD301" s="355" t="str">
        <f t="shared" si="148"/>
        <v/>
      </c>
      <c r="JE301" s="355" t="str">
        <f t="shared" si="149"/>
        <v/>
      </c>
      <c r="JF301" s="355" t="str">
        <f t="shared" si="150"/>
        <v/>
      </c>
      <c r="JG301" s="355" t="str">
        <f t="shared" si="151"/>
        <v/>
      </c>
      <c r="JH301" s="355" t="str">
        <f t="shared" si="152"/>
        <v/>
      </c>
      <c r="JI301" s="355" t="str">
        <f t="shared" si="153"/>
        <v>Ma, </v>
      </c>
      <c r="JJ301" s="355" t="str">
        <f t="shared" si="154"/>
        <v/>
      </c>
      <c r="JK301" s="355" t="str">
        <f t="shared" si="155"/>
        <v/>
      </c>
      <c r="JL301" s="355" t="str">
        <f t="shared" si="156"/>
        <v/>
      </c>
      <c r="JM301" s="355" t="str">
        <f t="shared" si="157"/>
        <v/>
      </c>
      <c r="JN301" s="355" t="str">
        <f t="shared" si="158"/>
        <v/>
      </c>
      <c r="JO301" s="359" t="str">
        <f t="shared" si="159"/>
        <v/>
      </c>
      <c r="JP301" s="346" t="b">
        <f t="shared" si="160"/>
        <v>0</v>
      </c>
      <c r="JQ301" s="347" t="b">
        <f t="shared" si="161"/>
        <v>0</v>
      </c>
      <c r="JR301" s="347" t="b">
        <f t="shared" si="162"/>
        <v>0</v>
      </c>
      <c r="JS301" s="347" t="b">
        <f t="shared" si="163"/>
        <v>0</v>
      </c>
      <c r="JT301" s="347" t="b">
        <f t="shared" si="164"/>
        <v>0</v>
      </c>
      <c r="JU301" s="347" t="b">
        <f t="shared" si="165"/>
        <v>0</v>
      </c>
      <c r="JV301" s="347" t="b">
        <f t="shared" si="166"/>
        <v>0</v>
      </c>
      <c r="JW301" s="347" t="b">
        <f t="shared" si="167"/>
        <v>0</v>
      </c>
      <c r="JX301" s="347" t="b">
        <f t="shared" si="168"/>
        <v>0</v>
      </c>
      <c r="JY301" s="347" t="b">
        <f t="shared" si="169"/>
        <v>0</v>
      </c>
      <c r="JZ301" s="347" t="b">
        <f t="shared" si="170"/>
        <v>0</v>
      </c>
      <c r="KA301" s="347" t="b">
        <f t="shared" si="171"/>
        <v>0</v>
      </c>
      <c r="KB301" s="365" t="b">
        <f t="shared" si="172"/>
        <v>0</v>
      </c>
      <c r="KC301" s="354" t="str">
        <f t="shared" si="173"/>
        <v/>
      </c>
      <c r="KD301" s="355" t="str">
        <f t="shared" si="174"/>
        <v/>
      </c>
      <c r="KE301" s="355" t="str">
        <f t="shared" si="175"/>
        <v/>
      </c>
      <c r="KF301" s="355" t="str">
        <f t="shared" si="176"/>
        <v/>
      </c>
      <c r="KG301" s="355" t="str">
        <f t="shared" si="177"/>
        <v/>
      </c>
      <c r="KH301" s="355" t="str">
        <f t="shared" si="178"/>
        <v/>
      </c>
      <c r="KI301" s="355" t="str">
        <f t="shared" si="179"/>
        <v/>
      </c>
      <c r="KJ301" s="355" t="str">
        <f t="shared" si="180"/>
        <v/>
      </c>
      <c r="KK301" s="355" t="str">
        <f t="shared" si="181"/>
        <v/>
      </c>
      <c r="KL301" s="355" t="str">
        <f t="shared" si="182"/>
        <v/>
      </c>
      <c r="KM301" s="355" t="str">
        <f t="shared" si="183"/>
        <v/>
      </c>
      <c r="KN301" s="355" t="str">
        <f t="shared" si="184"/>
        <v/>
      </c>
      <c r="KO301" s="359"/>
      <c r="KP301" s="378"/>
      <c r="KQ301" s="379" t="s">
        <v>9</v>
      </c>
      <c r="KR301" s="380" t="s">
        <v>9</v>
      </c>
      <c r="KS301" s="381" t="s">
        <v>9</v>
      </c>
      <c r="KT301" s="382">
        <f t="shared" si="186"/>
        <v>0</v>
      </c>
      <c r="KU301" s="383">
        <f t="shared" si="187"/>
        <v>0</v>
      </c>
      <c r="KV301" s="381" t="str">
        <f t="shared" si="205"/>
        <v>S</v>
      </c>
      <c r="KW301" s="382">
        <f t="shared" si="189"/>
        <v>0</v>
      </c>
      <c r="KX301" s="384">
        <f t="shared" si="190"/>
        <v>0</v>
      </c>
      <c r="KY301" s="382">
        <f t="shared" ref="KY301:KZ301" si="830">KW301-KT301</f>
        <v>0</v>
      </c>
      <c r="KZ301" s="369">
        <f t="shared" si="830"/>
        <v>0</v>
      </c>
      <c r="LA301" s="385" t="str">
        <f t="shared" si="192"/>
        <v>✔</v>
      </c>
      <c r="LB301" s="340" t="str">
        <f>IFERROR(__xludf.DUMMYFUNCTION("JOIN("""",ArrayFormula(MID(KS301,LEN(KS301)-SEQUENCE(1,LEN(KS301))+1,1)))"),"S")</f>
        <v>S</v>
      </c>
      <c r="LC301" s="373" t="str">
        <f>IFERROR(__xludf.DUMMYFUNCTION("JOIN("""",ArrayFormula(MID(KV301,LEN(KV301)-SEQUENCE(1,LEN(KV301))+1,1)))"),"S")</f>
        <v>S</v>
      </c>
      <c r="LD301" s="373" t="str">
        <f t="shared" si="193"/>
        <v>S</v>
      </c>
      <c r="LE301" s="339" t="str">
        <f t="shared" si="194"/>
        <v>S</v>
      </c>
      <c r="LF301" s="386" t="str">
        <f>IFERROR(__xludf.DUMMYFUNCTION("SUBSTITUTE(SUBSTITUTE(CONCATENATE(JOIN("""",LH301:LT301)),""1"",""""),""2"","""")"),"SS")</f>
        <v>SS</v>
      </c>
      <c r="LG301" s="369" t="str">
        <f t="shared" si="195"/>
        <v>-</v>
      </c>
      <c r="LH301" s="387" t="str">
        <f>IFERROR(__xludf.DUMMYFUNCTION("IF(REGEXMATCH(LD301, ""S""), ""S"",IF(REGEXMATCH(LE301, ""S""), ""S"",""""))"),"S")</f>
        <v>S</v>
      </c>
      <c r="LI301" s="299" t="str">
        <f>IFERROR(__xludf.DUMMYFUNCTION("IF(REGEXMATCH(LD301, ""r""), ""r1"",IF(REGEXMATCH(LE301, ""r""), ""r2"",""""))"),"")</f>
        <v/>
      </c>
      <c r="LJ301" s="299" t="str">
        <f>IFERROR(__xludf.DUMMYFUNCTION("IF(REGEXMATCH(LD301, ""R""), ""R1"",IF(REGEXMATCH(LE301, ""R""), ""R2"",""""))"),"")</f>
        <v/>
      </c>
      <c r="LK301" s="299" t="str">
        <f>IFERROR(__xludf.DUMMYFUNCTION("IF(REGEXMATCH(LD301, ""g""), ""g1"",IF(REGEXMATCH(LE301, ""g""), ""g2"",""""))"),"")</f>
        <v/>
      </c>
      <c r="LL301" s="299" t="str">
        <f>IFERROR(__xludf.DUMMYFUNCTION("IF(REGEXMATCH(LD301, ""G""), ""G1"",IF(REGEXMATCH(LE301, ""G""), ""G2"",""""))"),"")</f>
        <v/>
      </c>
      <c r="LM301" s="299" t="str">
        <f>IFERROR(__xludf.DUMMYFUNCTION("IF(REGEXMATCH(LD301, ""m""), ""m1"",IF(REGEXMATCH(LE301, ""m""), ""m2"",""""))"),"")</f>
        <v/>
      </c>
      <c r="LN301" s="299" t="str">
        <f>IFERROR(__xludf.DUMMYFUNCTION("IF(REGEXMATCH(LD301, ""M""), ""M1"",IF(REGEXMATCH(LE301, ""M""), ""M2"",""""))"),"")</f>
        <v/>
      </c>
      <c r="LO301" s="299" t="str">
        <f>IFERROR(__xludf.DUMMYFUNCTION("IF(REGEXMATCH(LD301, ""P""), ""P1"",IF(REGEXMATCH(LE301, ""P""), ""P2"",""""))"),"")</f>
        <v/>
      </c>
      <c r="LP301" s="299" t="str">
        <f>IFERROR(__xludf.DUMMYFUNCTION("IF(REGEXMATCH(LD301, ""d""), ""d1"",IF(REGEXMATCH(LE301, ""d""), ""d2"",""""))"),"")</f>
        <v/>
      </c>
      <c r="LQ301" s="299" t="str">
        <f>IFERROR(__xludf.DUMMYFUNCTION("IF(REGEXMATCH(LD301, ""D""), ""D1"",IF(REGEXMATCH(LE301, ""D""), ""D2"",""""))"),"")</f>
        <v/>
      </c>
      <c r="LR301" s="299" t="str">
        <f>IFERROR(__xludf.DUMMYFUNCTION("IF(REGEXMATCH(LD301, ""n""), ""n1"",IF(REGEXMATCH(LE301, ""n""), ""n2"",""""))"),"")</f>
        <v/>
      </c>
      <c r="LS301" s="299" t="str">
        <f>IFERROR(__xludf.DUMMYFUNCTION("IF(REGEXMATCH(LD301, ""N""), ""N1"",IF(REGEXMATCH(LE301, ""N""), ""N2"",""""))"),"")</f>
        <v/>
      </c>
      <c r="LT301" s="388" t="str">
        <f>IFERROR(__xludf.DUMMYFUNCTION("IF(REGEXMATCH(LD301, ""S""), ""S"",IF(REGEXMATCH(LE301, ""S""), ""S"",""""))"),"S")</f>
        <v>S</v>
      </c>
      <c r="LU301" s="389">
        <f t="shared" si="196"/>
        <v>1</v>
      </c>
      <c r="LV301" s="378"/>
      <c r="LW301" s="369"/>
      <c r="LX301" s="369"/>
    </row>
    <row r="302" ht="18.0" customHeight="1">
      <c r="A302" s="298" t="s">
        <v>1125</v>
      </c>
      <c r="B302" s="222" t="s">
        <v>1126</v>
      </c>
      <c r="C302" s="233" t="str">
        <f t="shared" si="7"/>
        <v>SRmPnNS</v>
      </c>
      <c r="D302" s="234" t="str">
        <f>IFERROR(__xludf.DUMMYFUNCTION("IF(REGEXMATCH(C302, ""S""), ""S"","""")"),"S")</f>
        <v>S</v>
      </c>
      <c r="E302" s="236" t="str">
        <f>IFERROR(__xludf.DUMMYFUNCTION("IF(REGEXMATCH(C302, ""r""), ""r"","""")"),"")</f>
        <v/>
      </c>
      <c r="F302" s="237" t="str">
        <f>IFERROR(__xludf.DUMMYFUNCTION("IF(REGEXMATCH(C302, ""R""), ""R"","""")"),"R")</f>
        <v>R</v>
      </c>
      <c r="G302" s="237" t="str">
        <f>IFERROR(__xludf.DUMMYFUNCTION("IF(REGEXMATCH(C302, ""g""), ""g"","""")"),"")</f>
        <v/>
      </c>
      <c r="H302" s="236" t="str">
        <f>IFERROR(__xludf.DUMMYFUNCTION("IF(REGEXMATCH(C302, ""G""), ""G"","""")"),"")</f>
        <v/>
      </c>
      <c r="I302" s="236" t="str">
        <f>IFERROR(__xludf.DUMMYFUNCTION("IF(REGEXMATCH(C302, ""m""), ""m"","""")"),"m")</f>
        <v>m</v>
      </c>
      <c r="J302" s="237" t="str">
        <f>IFERROR(__xludf.DUMMYFUNCTION("IF(REGEXMATCH(C302, ""M""), ""M"","""")"),"")</f>
        <v/>
      </c>
      <c r="K302" s="236" t="str">
        <f>IFERROR(__xludf.DUMMYFUNCTION("IF(REGEXMATCH(C302, ""P""), ""P"","""")"),"P")</f>
        <v>P</v>
      </c>
      <c r="L302" s="237" t="str">
        <f>IFERROR(__xludf.DUMMYFUNCTION("IF(REGEXMATCH(C302, ""d""), ""d"","""")"),"")</f>
        <v/>
      </c>
      <c r="M302" s="236" t="str">
        <f>IFERROR(__xludf.DUMMYFUNCTION("IF(REGEXMATCH(C302, ""D""), ""D"","""")"),"")</f>
        <v/>
      </c>
      <c r="N302" s="236" t="str">
        <f>IFERROR(__xludf.DUMMYFUNCTION("IF(REGEXMATCH(C302, ""n""), ""n"","""")"),"n")</f>
        <v>n</v>
      </c>
      <c r="O302" s="237" t="str">
        <f>IFERROR(__xludf.DUMMYFUNCTION("IF(REGEXMATCH(C302, ""N""), ""N"","""")"),"N")</f>
        <v>N</v>
      </c>
      <c r="P302" s="238" t="str">
        <f>IFERROR(__xludf.DUMMYFUNCTION("IF(REGEXMATCH(C302, ""S""), ""S"","""")"),"S")</f>
        <v>S</v>
      </c>
      <c r="Q302" s="239" t="str">
        <f>IFERROR(__xludf.DUMMYFUNCTION("SUBSTITUTE(CONCATENATE(JOIN(""-"",D302:J302)),""-"","""")"),"SRm")</f>
        <v>SRm</v>
      </c>
      <c r="R302" s="229" t="str">
        <f>IFERROR(__xludf.DUMMYFUNCTION("SUBSTITUTE(CONCATENATE(JOIN(""-"",K302:P302)),""-"","""")"),"PnNS")</f>
        <v>PnNS</v>
      </c>
      <c r="S302" s="282" t="str">
        <f t="shared" si="8"/>
        <v>S-R-M</v>
      </c>
      <c r="T302" s="282" t="str">
        <f t="shared" si="9"/>
        <v>P-N-S</v>
      </c>
      <c r="U302" s="237" t="str">
        <f>IFERROR(__xludf.DUMMYFUNCTION("SUBSTITUTE(JOIN(""-"",S302,T302),""--"",""-"")"),"S-R-M-P-N-S")</f>
        <v>S-R-M-P-N-S</v>
      </c>
      <c r="V302" s="309" t="str">
        <f t="shared" si="10"/>
        <v>RmnN</v>
      </c>
      <c r="W302" s="244" t="str">
        <f>IFERROR(__xludf.DUMMYFUNCTION("IF(REGEXMATCH(C302, ""S""), ""0"","""")"),"0")</f>
        <v>0</v>
      </c>
      <c r="X302" s="245" t="str">
        <f>IFERROR(__xludf.DUMMYFUNCTION("IF(REGEXMATCH(C302, ""r""), ""1"","""")"),"")</f>
        <v/>
      </c>
      <c r="Y302" s="246" t="str">
        <f>IFERROR(__xludf.DUMMYFUNCTION("IF(REGEXMATCH(C302, ""R""), ""2"","""")"),"2")</f>
        <v>2</v>
      </c>
      <c r="Z302" s="246" t="str">
        <f>IFERROR(__xludf.DUMMYFUNCTION("IF(REGEXMATCH(C302, ""g""), ""3"","""")"),"")</f>
        <v/>
      </c>
      <c r="AA302" s="245" t="str">
        <f>IFERROR(__xludf.DUMMYFUNCTION("IF(REGEXMATCH(C302, ""G""), ""4"","""")"),"")</f>
        <v/>
      </c>
      <c r="AB302" s="245" t="str">
        <f>IFERROR(__xludf.DUMMYFUNCTION("IF(REGEXMATCH(C302, ""m""), ""5"","""")"),"5")</f>
        <v>5</v>
      </c>
      <c r="AC302" s="246" t="str">
        <f>IFERROR(__xludf.DUMMYFUNCTION("IF(REGEXMATCH(C302, ""M""), ""6"","""")"),"")</f>
        <v/>
      </c>
      <c r="AD302" s="245" t="str">
        <f>IFERROR(__xludf.DUMMYFUNCTION("IF(REGEXMATCH(C302, ""P""), ""7"","""")"),"7")</f>
        <v>7</v>
      </c>
      <c r="AE302" s="246" t="str">
        <f>IFERROR(__xludf.DUMMYFUNCTION("IF(REGEXMATCH(C302, ""d""), ""8"","""")"),"")</f>
        <v/>
      </c>
      <c r="AF302" s="245" t="str">
        <f>IFERROR(__xludf.DUMMYFUNCTION("IF(REGEXMATCH(C302, ""D""), ""9"","""")"),"")</f>
        <v/>
      </c>
      <c r="AG302" s="245" t="str">
        <f>IFERROR(__xludf.DUMMYFUNCTION("IF(REGEXMATCH(C302, ""n""), ""10"","""")"),"10")</f>
        <v>10</v>
      </c>
      <c r="AH302" s="246" t="str">
        <f>IFERROR(__xludf.DUMMYFUNCTION("IF(REGEXMATCH(C302, ""N""), ""11"","""")"),"11")</f>
        <v>11</v>
      </c>
      <c r="AI302" s="249" t="str">
        <f>IFERROR(__xludf.DUMMYFUNCTION("IF(REGEXMATCH(C302, ""S""), ""0"","""")"),"0")</f>
        <v>0</v>
      </c>
      <c r="AJ302" s="313" t="str">
        <f t="shared" si="11"/>
        <v>-</v>
      </c>
      <c r="AK302" s="313" t="str">
        <f t="shared" si="12"/>
        <v>-</v>
      </c>
      <c r="AL302" s="313" t="str">
        <f t="shared" si="13"/>
        <v>-</v>
      </c>
      <c r="AM302" s="313" t="str">
        <f t="shared" si="14"/>
        <v>-</v>
      </c>
      <c r="AN302" s="313" t="str">
        <f t="shared" si="15"/>
        <v>-</v>
      </c>
      <c r="AO302" s="314" t="str">
        <f t="shared" si="16"/>
        <v>T</v>
      </c>
      <c r="AP302" s="316">
        <f t="shared" si="17"/>
        <v>1</v>
      </c>
      <c r="AQ302" s="319" t="str">
        <f t="shared" si="18"/>
        <v>#REF!</v>
      </c>
      <c r="AR302" s="320">
        <f t="shared" si="19"/>
        <v>0</v>
      </c>
      <c r="AS302" s="250" t="str">
        <f>IFERROR(__xludf.DUMMYFUNCTION("SUBSTITUTE(SUBSTITUTE(CONCATENATE(JOIN("""",FP302:GA302)),""|"",""x""),""-"",""o"")"),"xoxooxoxooxx")</f>
        <v>xoxooxoxooxx</v>
      </c>
      <c r="AT302" s="323" t="str">
        <f>IFERROR(__xludf.DUMMYFUNCTION("JOIN("""",AS302,AS302)"),"xoxooxoxooxxxoxooxoxooxx")</f>
        <v>xoxooxoxooxxxoxooxoxooxx</v>
      </c>
      <c r="AU302" s="256" t="str">
        <f>IFERROR(__xludf.DUMMYFUNCTION("JOIN("""",ArrayFormula(MID(AS302,LEN(AS302)-SEQUENCE(1,LEN(AS302))+1,1)))"),"xxooxoxooxox")</f>
        <v>xxooxoxooxox</v>
      </c>
      <c r="AV302" s="256" t="str">
        <f>IFERROR(__xludf.DUMMYFUNCTION("LEFT(CONCATENATE(""x"",JOIN("""",ArrayFormula(MID(AS302,LEN(AS302)-SEQUENCE(1,LEN(AS302))+1,1)))),12)"),"xxxooxoxooxo")</f>
        <v>xxxooxoxooxo</v>
      </c>
      <c r="AW302" s="327" t="str">
        <f>IFERROR(__xludf.DUMMYFUNCTION("JOIN("""",AU302,AU302)"),"xxooxoxooxoxxxooxoxooxox")</f>
        <v>xxooxoxooxoxxxooxoxooxox</v>
      </c>
      <c r="AX302" s="239" t="str">
        <f>IFERROR(__xludf.DUMMYFUNCTION("IF(REGEXMATCH(AW302,AS302),""✔"",""-"")"),"-")</f>
        <v>-</v>
      </c>
      <c r="AY302" s="330" t="str">
        <f t="shared" si="20"/>
        <v>-</v>
      </c>
      <c r="AZ302" s="260" t="str">
        <f t="shared" si="21"/>
        <v>#REF!</v>
      </c>
      <c r="BA302" s="333" t="str">
        <f t="shared" si="22"/>
        <v>xoxooxo</v>
      </c>
      <c r="BB302" s="334" t="str">
        <f t="shared" si="23"/>
        <v>xooxxx</v>
      </c>
      <c r="BC302" s="335" t="str">
        <f t="shared" si="236"/>
        <v>-</v>
      </c>
      <c r="BD302" s="336" t="str">
        <f t="shared" si="25"/>
        <v>Sarang: 'xoxooxo' + 'xooxxx'</v>
      </c>
      <c r="BE302" s="337">
        <f>IFERROR(__xludf.DUMMYFUNCTION("COUNTUNIQUE(FILTER(AT:AT,REGEXMATCH(AT:AT,AS302)))-1"),3.0)</f>
        <v>3</v>
      </c>
      <c r="BF302" s="261" t="str">
        <f>IFERROR(__xludf.DUMMYFUNCTION("IF(BI302=0,""(n/a)"",IF(BJ302=2,""(PAIR)"",IF(REGEXMATCH(AT302,""xoxoxxoxoxox""),""Bilawal"",IF(REGEXMATCH(AT302,""xoxoxooxoxoo""),""Bhupali"",IF(REGEXMATCH(AT302,""xoxoxxoxxoxo""),""Charukeshi"",IF(REGEXMATCH(AT302,""xoxoooxxoxxo""),""Kameshwari"",IF(REG"&amp;"EXMATCH(AT302,""xoxoxooxoxox""),""Shankara"",IF(REGEXMATCH(AT302,""xxooxoxxxoox""),""Basant"",IF(REGEXMATCH(AT302,""xoxoxxxxoxox""),""Bihag"",IF(REGEXMATCH(AT302,""xoxxxxoxoxxx""),""Pilu"",IF(REGEXMATCH(AT302,""xoxxoxoxxoox""),""Kirwani"",IF(REGEXMATCH(AT"&amp;"302,""xoxxoxoxoxxx""),""Mk.Malhar"",IF(REGEXMATCH(AT302,""xxooxxoxxoox""),""Bhairav"",IF(REGEXMATCH(AT302,""xxoxooxxxoox""),""Todi"",IF(REGEXMATCH(AT302,""xxooxoxooxox""),""Marwa"",IF(REGEXMATCH(AT302,""xxoooxoxxooo""),""Gunkali"",IF(REGEXMATCH(AT302,""xo"&amp;"xoxxoxxoox""),""Nat Bhairav"",IF(REGEXMATCH(AT302,""xoxxoooxoxoo""),""Shivranjani"",IF(REGEXMATCH(AT302,""xooxxxoxooxo""),""Jog"",IF(REGEXMATCH(AT302,""xxooxoxoxoox""),""Hemshri"",IF(REGEXMATCH(AT302,""xoooxooxoxxo""),""Kalavati"",IF(REGEXMATCH(AT302,""xx"&amp;"oxoxxoxoox""),""Kedar"",IF(REGEXMATCH(AT302,""xoxxxxoxooxx""),""Gara"",IF(REGEXMATCH(AT302,""xooxoxooxoox""),""Chandrakauns"",IF(REGEXMATCH(AT302,""xoxxxxoxxxox""),""Mand"",IF(REGEXMATCH(AT302,""xoxxxxoxoxox""),""Hanskinkini"",IF(REGEXMATCH(AT302,""xxooxx"&amp;"oxooxo""),""Lilavati"",IF(REGEXMATCH(AT302,""xooxoxoooxox""),""Rajeshwari"",IF(REGEXMATCH(AT302,""xoooxxoxoxxx""),""Khokar"",IF(REGEXMATCH(AT302,""xxooxoxxxxox""),""Maligoura"",""-""))))))))))))))))))))))))))))))"),"Jog")</f>
        <v>Jog</v>
      </c>
      <c r="BG302" s="239" t="str">
        <f t="shared" si="26"/>
        <v>#REF!</v>
      </c>
      <c r="BH302" s="239">
        <f>IFERROR(__xludf.DUMMYFUNCTION("COUNTUNIQUE(FE302:FO302)-1"),5.0)</f>
        <v>5</v>
      </c>
      <c r="BI302" s="239">
        <f>IFERROR(__xludf.DUMMYFUNCTION("COUNTUNIQUE(FILTER(AT:AT,REGEXMATCH(AT:AT,AS302)))-1"),3.0)</f>
        <v>3</v>
      </c>
      <c r="BJ302" s="239">
        <f>IFERROR(__xludf.DUMMYFUNCTION("COUNTA(FILTER(AT:AT,REGEXMATCH(AT:AT,AS302)))"),4.0)</f>
        <v>4</v>
      </c>
      <c r="BK302" s="341">
        <f>IFERROR(__xludf.DUMMYFUNCTION("COUNTA(FILTER(AT:AT,REGEXMATCH(AT:AT,AS302)))-AR302"),4.0)</f>
        <v>4</v>
      </c>
      <c r="BL302" s="276" t="str">
        <f>IFERROR(__xludf.DUMMYFUNCTION("IF(AS302=""oooooooooooo"",""-"",IF(REGEXMATCH(AT302,""xx""), ""Hemi."", ""Anhemi.""))"),"Hemi.")</f>
        <v>Hemi.</v>
      </c>
      <c r="BM302" s="282" t="str">
        <f>IFERROR(__xludf.DUMMYFUNCTION("IF(AS302=""oooooooooooo"",""-"",IF(REGEXMATCH(AT302,""xxx""), ""Cohem."", ""-""))"),"Cohem.")</f>
        <v>Cohem.</v>
      </c>
      <c r="BN302" s="282" t="str">
        <f>IFERROR(__xludf.DUMMYFUNCTION("IF(AS302=""oooooooooooo"",""-"",IF(REGEXMATCH(AT302,""xxxx""), ""Co-Co."", ""-""))"),"-")</f>
        <v>-</v>
      </c>
      <c r="BO302" s="342" t="str">
        <f>IFERROR(__xludf.DUMMYFUNCTION("IF(AS302=""oooooooooooo"",""-"",IF(REGEXMATCH(AT302,""xxxxx""), ""CCC."", ""-""))"),"-")</f>
        <v>-</v>
      </c>
      <c r="BP302" s="344" t="str">
        <f t="shared" si="27"/>
        <v>-</v>
      </c>
      <c r="BQ302" s="282" t="str">
        <f>IFERROR(__xludf.DUMMYFUNCTION("IF(REGEXMATCH(JOIN(""-"",EU302:FD302),""TRUE""),""✔"",""-"")"),"-")</f>
        <v>-</v>
      </c>
      <c r="BR302" s="225">
        <f t="shared" si="28"/>
        <v>0</v>
      </c>
      <c r="BS302" s="345" t="str">
        <f>IFERROR(__xludf.DUMMYFUNCTION("SUBSTITUTE(SUBSTITUTE(SUBSTITUTE(SUBSTITUTE(CONCATENATE(JOIN(""-"",GC302:GO302)),""--"",""-""),""--"",""-""),""--"",""-""),""--"",""-"")"),"1-2-4-5-b7-7-8")</f>
        <v>1-2-4-5-b7-7-8</v>
      </c>
      <c r="BT302" s="299" t="str">
        <f>IFERROR(__xludf.DUMMYFUNCTION("SUBSTITUTE(SUBSTITUTE(SUBSTITUTE(SUBSTITUTE(CONCATENATE(JOIN(""-"",GP302:HB302)),""--"",""-""),""--"",""-""),""--"",""-""),""--"",""-"")"),"S-R2-M1-P-N2-N3-S")</f>
        <v>S-R2-M1-P-N2-N3-S</v>
      </c>
      <c r="BU302" s="348" t="str">
        <f t="shared" si="29"/>
        <v>C-D-F-G-Bb-B-C</v>
      </c>
      <c r="BV302" s="349" t="str">
        <f t="shared" si="30"/>
        <v>SrgGMdDS</v>
      </c>
      <c r="BW302" s="350">
        <f t="shared" si="31"/>
        <v>0</v>
      </c>
      <c r="BX302" s="351">
        <f t="shared" si="32"/>
        <v>1</v>
      </c>
      <c r="BY302" s="392"/>
      <c r="BZ302" s="309" t="str">
        <f>IFERROR(__xludf.DUMMYFUNCTION("IF(REGEXMATCH(C302, ""S""), ""x"",""x"")"),"x")</f>
        <v>x</v>
      </c>
      <c r="CA302" s="245" t="str">
        <f>IFERROR(__xludf.DUMMYFUNCTION("IF(REGEXMATCH(C302, ""r""), ""o"",""x"")"),"x")</f>
        <v>x</v>
      </c>
      <c r="CB302" s="246" t="str">
        <f>IFERROR(__xludf.DUMMYFUNCTION("IF(REGEXMATCH(C302, ""R""), ""o"",""x"")"),"o")</f>
        <v>o</v>
      </c>
      <c r="CC302" s="246" t="str">
        <f>IFERROR(__xludf.DUMMYFUNCTION("IF(REGEXMATCH(C302, ""g""), ""o"",""x"")"),"x")</f>
        <v>x</v>
      </c>
      <c r="CD302" s="245" t="str">
        <f>IFERROR(__xludf.DUMMYFUNCTION("IF(REGEXMATCH(C302, ""G""), ""o"",""x"")"),"x")</f>
        <v>x</v>
      </c>
      <c r="CE302" s="245" t="str">
        <f>IFERROR(__xludf.DUMMYFUNCTION("IF(REGEXMATCH(C302, ""m""), ""o"",""x"")"),"o")</f>
        <v>o</v>
      </c>
      <c r="CF302" s="246" t="str">
        <f>IFERROR(__xludf.DUMMYFUNCTION("IF(REGEXMATCH(C302, ""M""), ""o"",""x"")"),"x")</f>
        <v>x</v>
      </c>
      <c r="CG302" s="245" t="str">
        <f>IFERROR(__xludf.DUMMYFUNCTION("IF(REGEXMATCH(C302, ""P""), ""o"",""x"")"),"o")</f>
        <v>o</v>
      </c>
      <c r="CH302" s="246" t="str">
        <f>IFERROR(__xludf.DUMMYFUNCTION("IF(REGEXMATCH(C302, ""d""), ""o"",""x"")"),"x")</f>
        <v>x</v>
      </c>
      <c r="CI302" s="245" t="str">
        <f>IFERROR(__xludf.DUMMYFUNCTION("IF(REGEXMATCH(C302, ""D""), ""o"",""x"")"),"x")</f>
        <v>x</v>
      </c>
      <c r="CJ302" s="245" t="str">
        <f>IFERROR(__xludf.DUMMYFUNCTION("IF(REGEXMATCH(C302, ""n""), ""o"",""x"")"),"o")</f>
        <v>o</v>
      </c>
      <c r="CK302" s="245" t="str">
        <f>IFERROR(__xludf.DUMMYFUNCTION("IF(REGEXMATCH(C302, ""N""), ""o"",""x"")"),"o")</f>
        <v>o</v>
      </c>
      <c r="CL302" s="356" t="str">
        <f>IFERROR(__xludf.DUMMYFUNCTION("IF(REGEXMATCH(C302, ""S""), ""x"",""x"")"),"x")</f>
        <v>x</v>
      </c>
      <c r="CM302" s="357" t="str">
        <f t="shared" si="33"/>
        <v>xxoxxoxoxxoo</v>
      </c>
      <c r="CN302" s="358">
        <f t="shared" si="34"/>
        <v>0</v>
      </c>
      <c r="CO302" s="246" t="str">
        <f>IFERROR(__xludf.DUMMYFUNCTION("IF(REGEXMATCH($C302, ""S""), ""S"",""S"")"),"S")</f>
        <v>S</v>
      </c>
      <c r="CP302" s="246" t="str">
        <f>IFERROR(__xludf.DUMMYFUNCTION("IF(REGEXMATCH($C302, ""r""), """",""r"")"),"r")</f>
        <v>r</v>
      </c>
      <c r="CQ302" s="246" t="str">
        <f>IFERROR(__xludf.DUMMYFUNCTION("IF(REGEXMATCH($C302, ""R""), """",""R"")"),"")</f>
        <v/>
      </c>
      <c r="CR302" s="246" t="str">
        <f>IFERROR(__xludf.DUMMYFUNCTION("IF(REGEXMATCH($C302, ""g""), """",""g"")"),"g")</f>
        <v>g</v>
      </c>
      <c r="CS302" s="246" t="str">
        <f>IFERROR(__xludf.DUMMYFUNCTION("IF(REGEXMATCH($C302, ""G""), """",""G"")"),"G")</f>
        <v>G</v>
      </c>
      <c r="CT302" s="246" t="str">
        <f>IFERROR(__xludf.DUMMYFUNCTION("IF(REGEXMATCH($C302, ""m""), """",""m"")"),"")</f>
        <v/>
      </c>
      <c r="CU302" s="246" t="str">
        <f>IFERROR(__xludf.DUMMYFUNCTION("IF(REGEXMATCH($C302, ""M""), """",""M"")"),"M")</f>
        <v>M</v>
      </c>
      <c r="CV302" s="246" t="str">
        <f>IFERROR(__xludf.DUMMYFUNCTION("IF(REGEXMATCH($C302, ""P""), """",""P"")"),"")</f>
        <v/>
      </c>
      <c r="CW302" s="246" t="str">
        <f>IFERROR(__xludf.DUMMYFUNCTION("IF(REGEXMATCH($C302, ""d""), """",""d"")"),"d")</f>
        <v>d</v>
      </c>
      <c r="CX302" s="246" t="str">
        <f>IFERROR(__xludf.DUMMYFUNCTION("IF(REGEXMATCH($C302, ""D""), """",""D"")"),"D")</f>
        <v>D</v>
      </c>
      <c r="CY302" s="246" t="str">
        <f>IFERROR(__xludf.DUMMYFUNCTION("IF(REGEXMATCH($C302, ""n""), """",""n"")"),"")</f>
        <v/>
      </c>
      <c r="CZ302" s="246" t="str">
        <f>IFERROR(__xludf.DUMMYFUNCTION("IF(REGEXMATCH($C302, ""N""), """",""N"")"),"")</f>
        <v/>
      </c>
      <c r="DA302" s="246" t="str">
        <f>IFERROR(__xludf.DUMMYFUNCTION("IF(REGEXMATCH($C302, ""S""), ""S"",""S"")"),"S")</f>
        <v>S</v>
      </c>
      <c r="DB302" s="362" t="str">
        <f>IFERROR(__xludf.DUMMYFUNCTION("JOIN("""",CO302:DA302,"""","""")"),"SrgGMdDS")</f>
        <v>SrgGMdDS</v>
      </c>
      <c r="DC302" s="363"/>
      <c r="DD302" s="301" t="str">
        <f t="shared" si="35"/>
        <v>#REF!</v>
      </c>
      <c r="DE302" s="302" t="str">
        <f t="shared" si="36"/>
        <v>#REF!</v>
      </c>
      <c r="DF302" s="301" t="str">
        <f t="shared" ref="DF302:DG302" si="831">SUBSTITUTE(S302,"-","")</f>
        <v>SRM</v>
      </c>
      <c r="DG302" s="301" t="str">
        <f t="shared" si="831"/>
        <v>PNS</v>
      </c>
      <c r="DH302" s="302" t="str">
        <f t="shared" si="38"/>
        <v>Jog</v>
      </c>
      <c r="DI302" s="301" t="str">
        <f t="shared" si="39"/>
        <v>Hemi.</v>
      </c>
      <c r="DJ302" s="364" t="str">
        <f t="shared" si="40"/>
        <v>Cohem.</v>
      </c>
      <c r="DK302" s="306" t="str">
        <f t="shared" si="41"/>
        <v>-</v>
      </c>
      <c r="DL302" s="366" t="str">
        <f t="shared" si="42"/>
        <v>-</v>
      </c>
      <c r="DM302" s="308" t="str">
        <f t="shared" si="43"/>
        <v>✔</v>
      </c>
      <c r="DN302" s="306" t="str">
        <f t="shared" si="44"/>
        <v>-</v>
      </c>
      <c r="DO302" s="306" t="str">
        <f t="shared" si="45"/>
        <v>-</v>
      </c>
      <c r="DP302" s="367" t="str">
        <f t="shared" si="46"/>
        <v>-</v>
      </c>
      <c r="DQ302" s="310" t="str">
        <f t="shared" si="47"/>
        <v>-</v>
      </c>
      <c r="DR302" s="310" t="str">
        <f t="shared" si="48"/>
        <v>-</v>
      </c>
      <c r="DS302" s="310" t="str">
        <f t="shared" si="49"/>
        <v>-</v>
      </c>
      <c r="DT302" s="310" t="str">
        <f t="shared" si="50"/>
        <v>-</v>
      </c>
      <c r="DU302" s="370" t="str">
        <f t="shared" si="51"/>
        <v>✔</v>
      </c>
      <c r="DV302" s="306" t="str">
        <f t="shared" si="52"/>
        <v>-</v>
      </c>
      <c r="DW302" s="306" t="str">
        <f t="shared" si="53"/>
        <v>✔</v>
      </c>
      <c r="DX302" s="306" t="str">
        <f t="shared" si="54"/>
        <v>-</v>
      </c>
      <c r="DY302" s="306" t="str">
        <f t="shared" si="55"/>
        <v>-</v>
      </c>
      <c r="DZ302" s="306" t="str">
        <f t="shared" si="56"/>
        <v>✔</v>
      </c>
      <c r="EA302" s="367" t="str">
        <f t="shared" si="57"/>
        <v>-</v>
      </c>
      <c r="EB302" s="310" t="str">
        <f>IFERROR(__xludf.DUMMYFUNCTION("IF(REGEXMATCH(AW302,AS302),""✔"",""-"")"),"-")</f>
        <v>-</v>
      </c>
      <c r="EC302" s="310" t="str">
        <f t="shared" si="58"/>
        <v>#REF!</v>
      </c>
      <c r="ED302" s="370" t="str">
        <f t="shared" si="59"/>
        <v>-</v>
      </c>
      <c r="EE302" s="340" t="str">
        <f t="shared" si="60"/>
        <v>S-R-m-P-nN-S</v>
      </c>
      <c r="EF302" s="371" t="str">
        <f>IFERROR(__xludf.DUMMYFUNCTION("CONCATENATE(JOIN("""",HC302:HO302))"),"SrRmPnS")</f>
        <v>SrRmPnS</v>
      </c>
      <c r="EG302" s="372">
        <f t="shared" si="61"/>
        <v>2</v>
      </c>
      <c r="EH302" s="373" t="str">
        <f>IFERROR(__xludf.DUMMYFUNCTION("CONCATENATE(JOIN("""",JC302:JO302))"),"Re, Ni, ")</f>
        <v>Re, Ni, </v>
      </c>
      <c r="EI302" s="322">
        <f t="shared" si="62"/>
        <v>1</v>
      </c>
      <c r="EJ302" s="374" t="str">
        <f>IFERROR(__xludf.DUMMYFUNCTION("CONCATENATE(JOIN("""",KC302:KO302))"),"Ni, ")</f>
        <v>Ni, </v>
      </c>
      <c r="EK302" s="325" t="str">
        <f t="shared" si="63"/>
        <v>S-R2-M1-P-N2-N3-S</v>
      </c>
      <c r="EL302" s="326" t="str">
        <f t="shared" si="64"/>
        <v>1-2-4-5-b7-7-8</v>
      </c>
      <c r="EM302" s="318" t="str">
        <f t="shared" si="65"/>
        <v>#REF!</v>
      </c>
      <c r="EN302" s="328" t="str">
        <f>IFERROR(__xludf.DUMMYFUNCTION("SUBSTITUTE(SUBSTITUTE(SUBSTITUTE(SUBSTITUTE(CONCATENATE(JOIN("" "",HP302:IB302)),""  "","" ""),""  "","" ""),""  "","" ""),""  "","" "")"),"o • o • • o • o • • o o o")</f>
        <v>o • o • • o • o • • o o o</v>
      </c>
      <c r="EO302" s="368" t="str">
        <f t="shared" si="66"/>
        <v>-</v>
      </c>
      <c r="EP302" s="339" t="str">
        <f t="shared" si="67"/>
        <v>-</v>
      </c>
      <c r="EQ302" s="339" t="str">
        <f t="shared" si="68"/>
        <v>Sa-Pa</v>
      </c>
      <c r="ER302" s="339" t="str">
        <f t="shared" si="69"/>
        <v>-</v>
      </c>
      <c r="ES302" s="340" t="str">
        <f t="shared" si="70"/>
        <v>-</v>
      </c>
      <c r="ET302" s="363"/>
      <c r="EU302" s="376" t="b">
        <f>IFERROR(__xludf.DUMMYFUNCTION("arrayformula(sum(--REGEXMATCH(""SRGMPDNS"",split(REGEXREPLACE(C302,""(.)"",""$1~""),""~""))))=len(C302)
"),FALSE)</f>
        <v>0</v>
      </c>
      <c r="EV302" s="290" t="b">
        <f>IFERROR(__xludf.DUMMYFUNCTION("arrayformula(sum(--REGEXMATCH(""SRGmPDNS"",split(REGEXREPLACE(C302,""(.)"",""$1~""),""~""))))=len(C302)"),FALSE)</f>
        <v>0</v>
      </c>
      <c r="EW302" s="290" t="b">
        <f>IFERROR(__xludf.DUMMYFUNCTION("arrayformula(sum(--REGEXMATCH(""SRGmPDnS"",split(REGEXREPLACE(C302,""(.)"",""$1~""),""~""))))=len(C302)"),FALSE)</f>
        <v>0</v>
      </c>
      <c r="EX302" s="290" t="b">
        <f>IFERROR(__xludf.DUMMYFUNCTION("arrayformula(sum(--REGEXMATCH(""SRgmPDnS"",split(REGEXREPLACE(C302,""(.)"",""$1~""),""~""))))=len(C302)"),FALSE)</f>
        <v>0</v>
      </c>
      <c r="EY302" s="290" t="b">
        <f>IFERROR(__xludf.DUMMYFUNCTION("arrayformula(sum(--REGEXMATCH(""SRgmPdnS"",split(REGEXREPLACE(C302,""(.)"",""$1~""),""~""))))=len(C302)"),FALSE)</f>
        <v>0</v>
      </c>
      <c r="EZ302" s="290" t="b">
        <f>IFERROR(__xludf.DUMMYFUNCTION("arrayformula(sum(--REGEXMATCH(""SrgmPdnS"",split(REGEXREPLACE(C302,""(.)"",""$1~""),""~""))))=len(C302)"),FALSE)</f>
        <v>0</v>
      </c>
      <c r="FA302" s="290" t="b">
        <f>IFERROR(__xludf.DUMMYFUNCTION("arrayformula(sum(--REGEXMATCH(""SrGmPdNS"",split(REGEXREPLACE(C302,""(.)"",""$1~""),""~""))))=len(C302)"),FALSE)</f>
        <v>0</v>
      </c>
      <c r="FB302" s="290" t="b">
        <f>IFERROR(__xludf.DUMMYFUNCTION("arrayformula(sum(--REGEXMATCH(""SrGMPDNS"",split(REGEXREPLACE(C302,""(.)"",""$1~""),""~""))))=len(C302)"),FALSE)</f>
        <v>0</v>
      </c>
      <c r="FC302" s="290" t="b">
        <f>IFERROR(__xludf.DUMMYFUNCTION("arrayformula(sum(--REGEXMATCH(""SrGMPdNS"",split(REGEXREPLACE(C302,""(.)"",""$1~""),""~""))))=len(C302)"),FALSE)</f>
        <v>0</v>
      </c>
      <c r="FD302" s="377" t="b">
        <f>IFERROR(__xludf.DUMMYFUNCTION("arrayformula(sum(--REGEXMATCH(""SrgMPdNS"",split(REGEXREPLACE(C302,""(.)"",""$1~""),""~""))))=len(C302)"),FALSE)</f>
        <v>0</v>
      </c>
      <c r="FE302" s="269" t="str">
        <f t="shared" si="71"/>
        <v>-</v>
      </c>
      <c r="FF302" s="269" t="str">
        <f t="shared" si="72"/>
        <v>xooxoxooxxx</v>
      </c>
      <c r="FG302" s="271" t="str">
        <f t="shared" si="73"/>
        <v>-</v>
      </c>
      <c r="FH302" s="269" t="str">
        <f t="shared" si="74"/>
        <v>-</v>
      </c>
      <c r="FI302" s="271" t="str">
        <f t="shared" si="75"/>
        <v>xoxooxxxoxo</v>
      </c>
      <c r="FJ302" s="271" t="str">
        <f t="shared" si="76"/>
        <v>-</v>
      </c>
      <c r="FK302" s="271" t="str">
        <f t="shared" si="77"/>
        <v>xooxxxoxoox</v>
      </c>
      <c r="FL302" s="271" t="str">
        <f t="shared" si="78"/>
        <v>-</v>
      </c>
      <c r="FM302" s="271" t="str">
        <f t="shared" si="79"/>
        <v>-</v>
      </c>
      <c r="FN302" s="271" t="str">
        <f t="shared" si="80"/>
        <v>xxxoxooxoxo</v>
      </c>
      <c r="FO302" s="274" t="str">
        <f t="shared" si="81"/>
        <v>xxoxooxoxoo</v>
      </c>
      <c r="FP302" s="234" t="str">
        <f t="shared" si="82"/>
        <v>|</v>
      </c>
      <c r="FQ302" s="236" t="str">
        <f t="shared" si="83"/>
        <v>-</v>
      </c>
      <c r="FR302" s="237" t="str">
        <f t="shared" si="84"/>
        <v>|</v>
      </c>
      <c r="FS302" s="236" t="str">
        <f t="shared" si="85"/>
        <v>-</v>
      </c>
      <c r="FT302" s="237" t="str">
        <f t="shared" si="86"/>
        <v>-</v>
      </c>
      <c r="FU302" s="236" t="str">
        <f t="shared" si="87"/>
        <v>|</v>
      </c>
      <c r="FV302" s="237" t="str">
        <f t="shared" si="88"/>
        <v>-</v>
      </c>
      <c r="FW302" s="236" t="str">
        <f t="shared" si="89"/>
        <v>|</v>
      </c>
      <c r="FX302" s="237" t="str">
        <f t="shared" si="90"/>
        <v>-</v>
      </c>
      <c r="FY302" s="236" t="str">
        <f t="shared" si="91"/>
        <v>-</v>
      </c>
      <c r="FZ302" s="237" t="str">
        <f t="shared" si="92"/>
        <v>|</v>
      </c>
      <c r="GA302" s="236" t="str">
        <f t="shared" si="93"/>
        <v>|</v>
      </c>
      <c r="GB302" s="238" t="str">
        <f t="shared" si="94"/>
        <v>|</v>
      </c>
      <c r="GC302" s="244" t="str">
        <f>IFERROR(__xludf.DUMMYFUNCTION("IF(REGEXMATCH(C302, ""S""), ""1"","""")"),"1")</f>
        <v>1</v>
      </c>
      <c r="GD302" s="245" t="str">
        <f>IFERROR(__xludf.DUMMYFUNCTION("IF(REGEXMATCH(C302, ""r""), ""b2"","""")"),"")</f>
        <v/>
      </c>
      <c r="GE302" s="246" t="str">
        <f>IFERROR(__xludf.DUMMYFUNCTION("IF(REGEXMATCH(C302, ""R""), ""2"","""")"),"2")</f>
        <v>2</v>
      </c>
      <c r="GF302" s="246" t="str">
        <f>IFERROR(__xludf.DUMMYFUNCTION("IF(REGEXMATCH(C302, ""g""), ""b3"","""")"),"")</f>
        <v/>
      </c>
      <c r="GG302" s="245" t="str">
        <f>IFERROR(__xludf.DUMMYFUNCTION("IF(REGEXMATCH(C302, ""G""), ""3"","""")"),"")</f>
        <v/>
      </c>
      <c r="GH302" s="245" t="str">
        <f>IFERROR(__xludf.DUMMYFUNCTION("IF(REGEXMATCH(C302, ""m""), ""4"","""")"),"4")</f>
        <v>4</v>
      </c>
      <c r="GI302" s="246" t="str">
        <f>IFERROR(__xludf.DUMMYFUNCTION("IF(REGEXMATCH(C302, ""M""), ""#4"","""")"),"")</f>
        <v/>
      </c>
      <c r="GJ302" s="245" t="str">
        <f>IFERROR(__xludf.DUMMYFUNCTION("IF(REGEXMATCH(C302, ""P""), ""5"","""")"),"5")</f>
        <v>5</v>
      </c>
      <c r="GK302" s="246" t="str">
        <f>IFERROR(__xludf.DUMMYFUNCTION("IF(REGEXMATCH(C302, ""d""), ""b6"","""")"),"")</f>
        <v/>
      </c>
      <c r="GL302" s="245" t="str">
        <f>IFERROR(__xludf.DUMMYFUNCTION("IF(REGEXMATCH(C302, ""D""), ""6"","""")"),"")</f>
        <v/>
      </c>
      <c r="GM302" s="245" t="str">
        <f>IFERROR(__xludf.DUMMYFUNCTION("IF(REGEXMATCH(C302, ""n""), ""b7"","""")"),"b7")</f>
        <v>b7</v>
      </c>
      <c r="GN302" s="246" t="str">
        <f>IFERROR(__xludf.DUMMYFUNCTION("IF(REGEXMATCH(C302, ""N""), ""7"","""")"),"7")</f>
        <v>7</v>
      </c>
      <c r="GO302" s="249" t="str">
        <f>IFERROR(__xludf.DUMMYFUNCTION("IF(REGEXMATCH(C302, ""S""), ""8"","""")"),"8")</f>
        <v>8</v>
      </c>
      <c r="GP302" s="244" t="str">
        <f>IFERROR(__xludf.DUMMYFUNCTION("IF(REGEXMATCH(C302, ""S""), ""S"","""")"),"S")</f>
        <v>S</v>
      </c>
      <c r="GQ302" s="294" t="str">
        <f>IFERROR(__xludf.DUMMYFUNCTION("IF(REGEXMATCH(C302, ""r""), ""R1"","""")"),"")</f>
        <v/>
      </c>
      <c r="GR302" s="295" t="str">
        <f>IFERROR(__xludf.DUMMYFUNCTION("IF(REGEXMATCH(C302, ""R""), ""R2"","""")"),"R2")</f>
        <v>R2</v>
      </c>
      <c r="GS302" s="295" t="str">
        <f>IFERROR(__xludf.DUMMYFUNCTION("IF(REGEXMATCH(C302, ""g""), ""G2"","""")"),"")</f>
        <v/>
      </c>
      <c r="GT302" s="294" t="str">
        <f>IFERROR(__xludf.DUMMYFUNCTION("IF(REGEXMATCH(C302, ""G""), ""G3"","""")"),"")</f>
        <v/>
      </c>
      <c r="GU302" s="294" t="str">
        <f>IFERROR(__xludf.DUMMYFUNCTION("IF(REGEXMATCH(C302, ""m""), ""M1"","""")"),"M1")</f>
        <v>M1</v>
      </c>
      <c r="GV302" s="295" t="str">
        <f>IFERROR(__xludf.DUMMYFUNCTION("IF(REGEXMATCH(C302, ""M""), ""M2"","""")"),"")</f>
        <v/>
      </c>
      <c r="GW302" s="294" t="str">
        <f>IFERROR(__xludf.DUMMYFUNCTION("IF(REGEXMATCH(C302, ""P""), ""P"","""")"),"P")</f>
        <v>P</v>
      </c>
      <c r="GX302" s="295" t="str">
        <f>IFERROR(__xludf.DUMMYFUNCTION("IF(REGEXMATCH(C302, ""d""), ""D1"","""")"),"")</f>
        <v/>
      </c>
      <c r="GY302" s="294" t="str">
        <f>IFERROR(__xludf.DUMMYFUNCTION("IF(REGEXMATCH(C302, ""D""), ""D2"","""")"),"")</f>
        <v/>
      </c>
      <c r="GZ302" s="294" t="str">
        <f>IFERROR(__xludf.DUMMYFUNCTION("IF(REGEXMATCH(C302, ""n""), ""N2"","""")"),"N2")</f>
        <v>N2</v>
      </c>
      <c r="HA302" s="295" t="str">
        <f>IFERROR(__xludf.DUMMYFUNCTION("IF(REGEXMATCH(C302, ""N""), ""N3"","""")"),"N3")</f>
        <v>N3</v>
      </c>
      <c r="HB302" s="249" t="str">
        <f>IFERROR(__xludf.DUMMYFUNCTION("IF(REGEXMATCH(C302, ""S""), ""S"","""")"),"S")</f>
        <v>S</v>
      </c>
      <c r="HC302" s="331" t="str">
        <f t="shared" si="95"/>
        <v>S</v>
      </c>
      <c r="HD302" s="332" t="str">
        <f t="shared" si="96"/>
        <v>r</v>
      </c>
      <c r="HE302" s="332" t="str">
        <f t="shared" si="97"/>
        <v>R</v>
      </c>
      <c r="HF302" s="332" t="str">
        <f t="shared" si="98"/>
        <v/>
      </c>
      <c r="HG302" s="332" t="str">
        <f t="shared" si="99"/>
        <v/>
      </c>
      <c r="HH302" s="332" t="str">
        <f t="shared" si="100"/>
        <v>m</v>
      </c>
      <c r="HI302" s="332" t="str">
        <f t="shared" si="101"/>
        <v/>
      </c>
      <c r="HJ302" s="332" t="str">
        <f t="shared" si="102"/>
        <v>P</v>
      </c>
      <c r="HK302" s="332" t="str">
        <f t="shared" si="103"/>
        <v/>
      </c>
      <c r="HL302" s="332" t="str">
        <f t="shared" si="104"/>
        <v/>
      </c>
      <c r="HM302" s="332" t="str">
        <f t="shared" si="105"/>
        <v>n</v>
      </c>
      <c r="HN302" s="332" t="str">
        <f t="shared" si="106"/>
        <v/>
      </c>
      <c r="HO302" s="343" t="str">
        <f t="shared" si="107"/>
        <v>S</v>
      </c>
      <c r="HP302" s="331" t="str">
        <f t="shared" si="108"/>
        <v>o</v>
      </c>
      <c r="HQ302" s="332" t="str">
        <f t="shared" si="109"/>
        <v>•</v>
      </c>
      <c r="HR302" s="332" t="str">
        <f t="shared" si="110"/>
        <v>o</v>
      </c>
      <c r="HS302" s="332" t="str">
        <f t="shared" si="111"/>
        <v>•</v>
      </c>
      <c r="HT302" s="332" t="str">
        <f t="shared" si="112"/>
        <v>•</v>
      </c>
      <c r="HU302" s="332" t="str">
        <f t="shared" si="113"/>
        <v>o</v>
      </c>
      <c r="HV302" s="332" t="str">
        <f t="shared" si="114"/>
        <v>•</v>
      </c>
      <c r="HW302" s="332" t="str">
        <f t="shared" si="115"/>
        <v>o</v>
      </c>
      <c r="HX302" s="332" t="str">
        <f t="shared" si="116"/>
        <v>•</v>
      </c>
      <c r="HY302" s="332" t="str">
        <f t="shared" si="117"/>
        <v>•</v>
      </c>
      <c r="HZ302" s="332" t="str">
        <f t="shared" si="118"/>
        <v>o</v>
      </c>
      <c r="IA302" s="332" t="str">
        <f t="shared" si="119"/>
        <v>o</v>
      </c>
      <c r="IB302" s="338" t="str">
        <f t="shared" si="120"/>
        <v>o</v>
      </c>
      <c r="IC302" s="331" t="str">
        <f t="shared" si="121"/>
        <v>•</v>
      </c>
      <c r="ID302" s="332" t="str">
        <f t="shared" si="122"/>
        <v>o</v>
      </c>
      <c r="IE302" s="332" t="str">
        <f t="shared" si="123"/>
        <v>•</v>
      </c>
      <c r="IF302" s="332" t="str">
        <f t="shared" si="124"/>
        <v>o</v>
      </c>
      <c r="IG302" s="332" t="str">
        <f t="shared" si="125"/>
        <v>o</v>
      </c>
      <c r="IH302" s="332" t="str">
        <f t="shared" si="126"/>
        <v>•</v>
      </c>
      <c r="II302" s="332" t="str">
        <f t="shared" si="127"/>
        <v>o</v>
      </c>
      <c r="IJ302" s="332" t="str">
        <f t="shared" si="128"/>
        <v>•</v>
      </c>
      <c r="IK302" s="332" t="str">
        <f t="shared" si="129"/>
        <v>o</v>
      </c>
      <c r="IL302" s="332" t="str">
        <f t="shared" si="130"/>
        <v>o</v>
      </c>
      <c r="IM302" s="332" t="str">
        <f t="shared" si="131"/>
        <v>•</v>
      </c>
      <c r="IN302" s="332" t="str">
        <f t="shared" si="132"/>
        <v>•</v>
      </c>
      <c r="IO302" s="338" t="str">
        <f t="shared" si="133"/>
        <v>•</v>
      </c>
      <c r="IP302" s="346" t="b">
        <f t="shared" si="134"/>
        <v>0</v>
      </c>
      <c r="IQ302" s="347" t="b">
        <f t="shared" si="135"/>
        <v>0</v>
      </c>
      <c r="IR302" s="347" t="b">
        <f t="shared" si="136"/>
        <v>1</v>
      </c>
      <c r="IS302" s="347" t="b">
        <f t="shared" si="137"/>
        <v>0</v>
      </c>
      <c r="IT302" s="347" t="b">
        <f t="shared" si="138"/>
        <v>0</v>
      </c>
      <c r="IU302" s="347" t="b">
        <f t="shared" si="139"/>
        <v>0</v>
      </c>
      <c r="IV302" s="347" t="b">
        <f t="shared" si="140"/>
        <v>0</v>
      </c>
      <c r="IW302" s="347" t="b">
        <f t="shared" si="141"/>
        <v>0</v>
      </c>
      <c r="IX302" s="347" t="b">
        <f t="shared" si="142"/>
        <v>0</v>
      </c>
      <c r="IY302" s="347" t="b">
        <f t="shared" si="143"/>
        <v>0</v>
      </c>
      <c r="IZ302" s="347" t="b">
        <f t="shared" si="144"/>
        <v>0</v>
      </c>
      <c r="JA302" s="347" t="b">
        <f t="shared" si="145"/>
        <v>1</v>
      </c>
      <c r="JB302" s="353" t="b">
        <f t="shared" si="146"/>
        <v>0</v>
      </c>
      <c r="JC302" s="354" t="str">
        <f t="shared" si="147"/>
        <v/>
      </c>
      <c r="JD302" s="355" t="str">
        <f t="shared" si="148"/>
        <v/>
      </c>
      <c r="JE302" s="355" t="str">
        <f t="shared" si="149"/>
        <v>Re, </v>
      </c>
      <c r="JF302" s="355" t="str">
        <f t="shared" si="150"/>
        <v/>
      </c>
      <c r="JG302" s="355" t="str">
        <f t="shared" si="151"/>
        <v/>
      </c>
      <c r="JH302" s="355" t="str">
        <f t="shared" si="152"/>
        <v/>
      </c>
      <c r="JI302" s="355" t="str">
        <f t="shared" si="153"/>
        <v/>
      </c>
      <c r="JJ302" s="355" t="str">
        <f t="shared" si="154"/>
        <v/>
      </c>
      <c r="JK302" s="355" t="str">
        <f t="shared" si="155"/>
        <v/>
      </c>
      <c r="JL302" s="355" t="str">
        <f t="shared" si="156"/>
        <v/>
      </c>
      <c r="JM302" s="355" t="str">
        <f t="shared" si="157"/>
        <v/>
      </c>
      <c r="JN302" s="355" t="str">
        <f t="shared" si="158"/>
        <v>Ni, </v>
      </c>
      <c r="JO302" s="359" t="str">
        <f t="shared" si="159"/>
        <v/>
      </c>
      <c r="JP302" s="346" t="b">
        <f t="shared" si="160"/>
        <v>0</v>
      </c>
      <c r="JQ302" s="347" t="b">
        <f t="shared" si="161"/>
        <v>0</v>
      </c>
      <c r="JR302" s="347" t="b">
        <f t="shared" si="162"/>
        <v>0</v>
      </c>
      <c r="JS302" s="347" t="b">
        <f t="shared" si="163"/>
        <v>0</v>
      </c>
      <c r="JT302" s="347" t="b">
        <f t="shared" si="164"/>
        <v>0</v>
      </c>
      <c r="JU302" s="347" t="b">
        <f t="shared" si="165"/>
        <v>0</v>
      </c>
      <c r="JV302" s="347" t="b">
        <f t="shared" si="166"/>
        <v>0</v>
      </c>
      <c r="JW302" s="347" t="b">
        <f t="shared" si="167"/>
        <v>0</v>
      </c>
      <c r="JX302" s="347" t="b">
        <f t="shared" si="168"/>
        <v>0</v>
      </c>
      <c r="JY302" s="347" t="b">
        <f t="shared" si="169"/>
        <v>0</v>
      </c>
      <c r="JZ302" s="347" t="b">
        <f t="shared" si="170"/>
        <v>0</v>
      </c>
      <c r="KA302" s="347" t="b">
        <f t="shared" si="171"/>
        <v>1</v>
      </c>
      <c r="KB302" s="365" t="b">
        <f t="shared" si="172"/>
        <v>0</v>
      </c>
      <c r="KC302" s="354" t="str">
        <f t="shared" si="173"/>
        <v/>
      </c>
      <c r="KD302" s="355" t="str">
        <f t="shared" si="174"/>
        <v/>
      </c>
      <c r="KE302" s="355" t="str">
        <f t="shared" si="175"/>
        <v/>
      </c>
      <c r="KF302" s="355" t="str">
        <f t="shared" si="176"/>
        <v/>
      </c>
      <c r="KG302" s="355" t="str">
        <f t="shared" si="177"/>
        <v/>
      </c>
      <c r="KH302" s="355" t="str">
        <f t="shared" si="178"/>
        <v/>
      </c>
      <c r="KI302" s="355" t="str">
        <f t="shared" si="179"/>
        <v/>
      </c>
      <c r="KJ302" s="355" t="str">
        <f t="shared" si="180"/>
        <v/>
      </c>
      <c r="KK302" s="355" t="str">
        <f t="shared" si="181"/>
        <v/>
      </c>
      <c r="KL302" s="355" t="str">
        <f t="shared" si="182"/>
        <v/>
      </c>
      <c r="KM302" s="355" t="str">
        <f t="shared" si="183"/>
        <v/>
      </c>
      <c r="KN302" s="355" t="str">
        <f t="shared" si="184"/>
        <v>Ni, </v>
      </c>
      <c r="KO302" s="359"/>
      <c r="KP302" s="378"/>
      <c r="KQ302" s="379" t="s">
        <v>1434</v>
      </c>
      <c r="KR302" s="380" t="s">
        <v>1438</v>
      </c>
      <c r="KS302" s="381" t="str">
        <f>KQ302</f>
        <v>S-R-m-P-N-S</v>
      </c>
      <c r="KT302" s="382">
        <f t="shared" si="186"/>
        <v>5</v>
      </c>
      <c r="KU302" s="383">
        <f t="shared" si="187"/>
        <v>5</v>
      </c>
      <c r="KV302" s="381" t="str">
        <f t="shared" si="205"/>
        <v>S-n-P-m-R-S</v>
      </c>
      <c r="KW302" s="382">
        <f t="shared" si="189"/>
        <v>5</v>
      </c>
      <c r="KX302" s="384">
        <f t="shared" si="190"/>
        <v>5</v>
      </c>
      <c r="KY302" s="382">
        <f t="shared" ref="KY302:KZ302" si="832">KW302-KT302</f>
        <v>0</v>
      </c>
      <c r="KZ302" s="369">
        <f t="shared" si="832"/>
        <v>0</v>
      </c>
      <c r="LA302" s="385" t="str">
        <f t="shared" si="192"/>
        <v>✔</v>
      </c>
      <c r="LB302" s="340" t="str">
        <f>IFERROR(__xludf.DUMMYFUNCTION("JOIN("""",ArrayFormula(MID(KS302,LEN(KS302)-SEQUENCE(1,LEN(KS302))+1,1)))"),"S-N-P-m-R-S")</f>
        <v>S-N-P-m-R-S</v>
      </c>
      <c r="LC302" s="373" t="str">
        <f>IFERROR(__xludf.DUMMYFUNCTION("JOIN("""",ArrayFormula(MID(KV302,LEN(KV302)-SEQUENCE(1,LEN(KV302))+1,1)))"),"S-R-m-P-n-S")</f>
        <v>S-R-m-P-n-S</v>
      </c>
      <c r="LD302" s="373" t="str">
        <f t="shared" si="193"/>
        <v>SRmPNS</v>
      </c>
      <c r="LE302" s="339" t="str">
        <f t="shared" si="194"/>
        <v>SRmPnS</v>
      </c>
      <c r="LF302" s="386" t="str">
        <f>IFERROR(__xludf.DUMMYFUNCTION("SUBSTITUTE(SUBSTITUTE(CONCATENATE(JOIN("""",LH302:LT302)),""1"",""""),""2"","""")"),"SRmPnNS")</f>
        <v>SRmPnNS</v>
      </c>
      <c r="LG302" s="369" t="str">
        <f t="shared" si="195"/>
        <v>✔</v>
      </c>
      <c r="LH302" s="387" t="str">
        <f>IFERROR(__xludf.DUMMYFUNCTION("IF(REGEXMATCH(LD302, ""S""), ""S"",IF(REGEXMATCH(LE302, ""S""), ""S"",""""))"),"S")</f>
        <v>S</v>
      </c>
      <c r="LI302" s="299" t="str">
        <f>IFERROR(__xludf.DUMMYFUNCTION("IF(REGEXMATCH(LD302, ""r""), ""r1"",IF(REGEXMATCH(LE302, ""r""), ""r2"",""""))"),"")</f>
        <v/>
      </c>
      <c r="LJ302" s="299" t="str">
        <f>IFERROR(__xludf.DUMMYFUNCTION("IF(REGEXMATCH(LD302, ""R""), ""R1"",IF(REGEXMATCH(LE302, ""R""), ""R2"",""""))"),"R1")</f>
        <v>R1</v>
      </c>
      <c r="LK302" s="299" t="str">
        <f>IFERROR(__xludf.DUMMYFUNCTION("IF(REGEXMATCH(LD302, ""g""), ""g1"",IF(REGEXMATCH(LE302, ""g""), ""g2"",""""))"),"")</f>
        <v/>
      </c>
      <c r="LL302" s="299" t="str">
        <f>IFERROR(__xludf.DUMMYFUNCTION("IF(REGEXMATCH(LD302, ""G""), ""G1"",IF(REGEXMATCH(LE302, ""G""), ""G2"",""""))"),"")</f>
        <v/>
      </c>
      <c r="LM302" s="299" t="str">
        <f>IFERROR(__xludf.DUMMYFUNCTION("IF(REGEXMATCH(LD302, ""m""), ""m1"",IF(REGEXMATCH(LE302, ""m""), ""m2"",""""))"),"m1")</f>
        <v>m1</v>
      </c>
      <c r="LN302" s="299" t="str">
        <f>IFERROR(__xludf.DUMMYFUNCTION("IF(REGEXMATCH(LD302, ""M""), ""M1"",IF(REGEXMATCH(LE302, ""M""), ""M2"",""""))"),"")</f>
        <v/>
      </c>
      <c r="LO302" s="299" t="str">
        <f>IFERROR(__xludf.DUMMYFUNCTION("IF(REGEXMATCH(LD302, ""P""), ""P1"",IF(REGEXMATCH(LE302, ""P""), ""P2"",""""))"),"P1")</f>
        <v>P1</v>
      </c>
      <c r="LP302" s="299" t="str">
        <f>IFERROR(__xludf.DUMMYFUNCTION("IF(REGEXMATCH(LD302, ""d""), ""d1"",IF(REGEXMATCH(LE302, ""d""), ""d2"",""""))"),"")</f>
        <v/>
      </c>
      <c r="LQ302" s="299" t="str">
        <f>IFERROR(__xludf.DUMMYFUNCTION("IF(REGEXMATCH(LD302, ""D""), ""D1"",IF(REGEXMATCH(LE302, ""D""), ""D2"",""""))"),"")</f>
        <v/>
      </c>
      <c r="LR302" s="299" t="str">
        <f>IFERROR(__xludf.DUMMYFUNCTION("IF(REGEXMATCH(LD302, ""n""), ""n1"",IF(REGEXMATCH(LE302, ""n""), ""n2"",""""))"),"n2")</f>
        <v>n2</v>
      </c>
      <c r="LS302" s="299" t="str">
        <f>IFERROR(__xludf.DUMMYFUNCTION("IF(REGEXMATCH(LD302, ""N""), ""N1"",IF(REGEXMATCH(LE302, ""N""), ""N2"",""""))"),"N1")</f>
        <v>N1</v>
      </c>
      <c r="LT302" s="388" t="str">
        <f>IFERROR(__xludf.DUMMYFUNCTION("IF(REGEXMATCH(LD302, ""S""), ""S"",IF(REGEXMATCH(LE302, ""S""), ""S"",""""))"),"S")</f>
        <v>S</v>
      </c>
      <c r="LU302" s="389">
        <f t="shared" si="196"/>
        <v>1</v>
      </c>
      <c r="LV302" s="378"/>
      <c r="LW302" s="369"/>
      <c r="LX302" s="369"/>
    </row>
    <row r="303" ht="18.0" customHeight="1">
      <c r="A303" s="298" t="s">
        <v>1337</v>
      </c>
      <c r="B303" s="222" t="s">
        <v>1338</v>
      </c>
      <c r="C303" s="233" t="str">
        <f t="shared" si="7"/>
        <v>SRmdnS</v>
      </c>
      <c r="D303" s="234" t="str">
        <f>IFERROR(__xludf.DUMMYFUNCTION("IF(REGEXMATCH(C303, ""S""), ""S"","""")"),"S")</f>
        <v>S</v>
      </c>
      <c r="E303" s="236" t="str">
        <f>IFERROR(__xludf.DUMMYFUNCTION("IF(REGEXMATCH(C303, ""r""), ""r"","""")"),"")</f>
        <v/>
      </c>
      <c r="F303" s="237" t="str">
        <f>IFERROR(__xludf.DUMMYFUNCTION("IF(REGEXMATCH(C303, ""R""), ""R"","""")"),"R")</f>
        <v>R</v>
      </c>
      <c r="G303" s="237" t="str">
        <f>IFERROR(__xludf.DUMMYFUNCTION("IF(REGEXMATCH(C303, ""g""), ""g"","""")"),"")</f>
        <v/>
      </c>
      <c r="H303" s="236" t="str">
        <f>IFERROR(__xludf.DUMMYFUNCTION("IF(REGEXMATCH(C303, ""G""), ""G"","""")"),"")</f>
        <v/>
      </c>
      <c r="I303" s="236" t="str">
        <f>IFERROR(__xludf.DUMMYFUNCTION("IF(REGEXMATCH(C303, ""m""), ""m"","""")"),"m")</f>
        <v>m</v>
      </c>
      <c r="J303" s="237" t="str">
        <f>IFERROR(__xludf.DUMMYFUNCTION("IF(REGEXMATCH(C303, ""M""), ""M"","""")"),"")</f>
        <v/>
      </c>
      <c r="K303" s="236" t="str">
        <f>IFERROR(__xludf.DUMMYFUNCTION("IF(REGEXMATCH(C303, ""P""), ""P"","""")"),"")</f>
        <v/>
      </c>
      <c r="L303" s="237" t="str">
        <f>IFERROR(__xludf.DUMMYFUNCTION("IF(REGEXMATCH(C303, ""d""), ""d"","""")"),"d")</f>
        <v>d</v>
      </c>
      <c r="M303" s="236" t="str">
        <f>IFERROR(__xludf.DUMMYFUNCTION("IF(REGEXMATCH(C303, ""D""), ""D"","""")"),"")</f>
        <v/>
      </c>
      <c r="N303" s="236" t="str">
        <f>IFERROR(__xludf.DUMMYFUNCTION("IF(REGEXMATCH(C303, ""n""), ""n"","""")"),"n")</f>
        <v>n</v>
      </c>
      <c r="O303" s="237" t="str">
        <f>IFERROR(__xludf.DUMMYFUNCTION("IF(REGEXMATCH(C303, ""N""), ""N"","""")"),"")</f>
        <v/>
      </c>
      <c r="P303" s="238" t="str">
        <f>IFERROR(__xludf.DUMMYFUNCTION("IF(REGEXMATCH(C303, ""S""), ""S"","""")"),"S")</f>
        <v>S</v>
      </c>
      <c r="Q303" s="239" t="str">
        <f>IFERROR(__xludf.DUMMYFUNCTION("SUBSTITUTE(CONCATENATE(JOIN(""-"",D303:J303)),""-"","""")"),"SRm")</f>
        <v>SRm</v>
      </c>
      <c r="R303" s="229" t="str">
        <f>IFERROR(__xludf.DUMMYFUNCTION("SUBSTITUTE(CONCATENATE(JOIN(""-"",K303:P303)),""-"","""")"),"dnS")</f>
        <v>dnS</v>
      </c>
      <c r="S303" s="282" t="str">
        <f t="shared" si="8"/>
        <v>S-R-M</v>
      </c>
      <c r="T303" s="282" t="str">
        <f t="shared" si="9"/>
        <v>D-N-S</v>
      </c>
      <c r="U303" s="237" t="str">
        <f>IFERROR(__xludf.DUMMYFUNCTION("SUBSTITUTE(JOIN(""-"",S303,T303),""--"",""-"")"),"S-R-M-D-N-S")</f>
        <v>S-R-M-D-N-S</v>
      </c>
      <c r="V303" s="309" t="str">
        <f t="shared" si="10"/>
        <v>Rmdn</v>
      </c>
      <c r="W303" s="244" t="str">
        <f>IFERROR(__xludf.DUMMYFUNCTION("IF(REGEXMATCH(C303, ""S""), ""0"","""")"),"0")</f>
        <v>0</v>
      </c>
      <c r="X303" s="245" t="str">
        <f>IFERROR(__xludf.DUMMYFUNCTION("IF(REGEXMATCH(C303, ""r""), ""1"","""")"),"")</f>
        <v/>
      </c>
      <c r="Y303" s="246" t="str">
        <f>IFERROR(__xludf.DUMMYFUNCTION("IF(REGEXMATCH(C303, ""R""), ""2"","""")"),"2")</f>
        <v>2</v>
      </c>
      <c r="Z303" s="246" t="str">
        <f>IFERROR(__xludf.DUMMYFUNCTION("IF(REGEXMATCH(C303, ""g""), ""3"","""")"),"")</f>
        <v/>
      </c>
      <c r="AA303" s="245" t="str">
        <f>IFERROR(__xludf.DUMMYFUNCTION("IF(REGEXMATCH(C303, ""G""), ""4"","""")"),"")</f>
        <v/>
      </c>
      <c r="AB303" s="245" t="str">
        <f>IFERROR(__xludf.DUMMYFUNCTION("IF(REGEXMATCH(C303, ""m""), ""5"","""")"),"5")</f>
        <v>5</v>
      </c>
      <c r="AC303" s="246" t="str">
        <f>IFERROR(__xludf.DUMMYFUNCTION("IF(REGEXMATCH(C303, ""M""), ""6"","""")"),"")</f>
        <v/>
      </c>
      <c r="AD303" s="245" t="str">
        <f>IFERROR(__xludf.DUMMYFUNCTION("IF(REGEXMATCH(C303, ""P""), ""7"","""")"),"")</f>
        <v/>
      </c>
      <c r="AE303" s="246" t="str">
        <f>IFERROR(__xludf.DUMMYFUNCTION("IF(REGEXMATCH(C303, ""d""), ""8"","""")"),"8")</f>
        <v>8</v>
      </c>
      <c r="AF303" s="245" t="str">
        <f>IFERROR(__xludf.DUMMYFUNCTION("IF(REGEXMATCH(C303, ""D""), ""9"","""")"),"")</f>
        <v/>
      </c>
      <c r="AG303" s="245" t="str">
        <f>IFERROR(__xludf.DUMMYFUNCTION("IF(REGEXMATCH(C303, ""n""), ""10"","""")"),"10")</f>
        <v>10</v>
      </c>
      <c r="AH303" s="246" t="str">
        <f>IFERROR(__xludf.DUMMYFUNCTION("IF(REGEXMATCH(C303, ""N""), ""11"","""")"),"")</f>
        <v/>
      </c>
      <c r="AI303" s="249" t="str">
        <f>IFERROR(__xludf.DUMMYFUNCTION("IF(REGEXMATCH(C303, ""S""), ""0"","""")"),"0")</f>
        <v>0</v>
      </c>
      <c r="AJ303" s="313" t="str">
        <f t="shared" si="11"/>
        <v>-</v>
      </c>
      <c r="AK303" s="313" t="str">
        <f t="shared" si="12"/>
        <v>-</v>
      </c>
      <c r="AL303" s="313" t="str">
        <f t="shared" si="13"/>
        <v>T</v>
      </c>
      <c r="AM303" s="313" t="str">
        <f t="shared" si="14"/>
        <v>-</v>
      </c>
      <c r="AN303" s="313" t="str">
        <f t="shared" si="15"/>
        <v>-</v>
      </c>
      <c r="AO303" s="314" t="str">
        <f t="shared" si="16"/>
        <v>-</v>
      </c>
      <c r="AP303" s="316">
        <f t="shared" si="17"/>
        <v>1</v>
      </c>
      <c r="AQ303" s="319" t="str">
        <f t="shared" si="18"/>
        <v>#REF!</v>
      </c>
      <c r="AR303" s="320">
        <f t="shared" si="19"/>
        <v>0</v>
      </c>
      <c r="AS303" s="250" t="str">
        <f>IFERROR(__xludf.DUMMYFUNCTION("SUBSTITUTE(SUBSTITUTE(CONCATENATE(JOIN("""",FP303:GA303)),""|"",""x""),""-"",""o"")"),"xoxooxooxoxo")</f>
        <v>xoxooxooxoxo</v>
      </c>
      <c r="AT303" s="323" t="str">
        <f>IFERROR(__xludf.DUMMYFUNCTION("JOIN("""",AS303,AS303)"),"xoxooxooxoxoxoxooxooxoxo")</f>
        <v>xoxooxooxoxoxoxooxooxoxo</v>
      </c>
      <c r="AU303" s="256" t="str">
        <f>IFERROR(__xludf.DUMMYFUNCTION("JOIN("""",ArrayFormula(MID(AS303,LEN(AS303)-SEQUENCE(1,LEN(AS303))+1,1)))"),"oxoxooxooxox")</f>
        <v>oxoxooxooxox</v>
      </c>
      <c r="AV303" s="256" t="str">
        <f>IFERROR(__xludf.DUMMYFUNCTION("LEFT(CONCATENATE(""x"",JOIN("""",ArrayFormula(MID(AS303,LEN(AS303)-SEQUENCE(1,LEN(AS303))+1,1)))),12)"),"xoxoxooxooxo")</f>
        <v>xoxoxooxooxo</v>
      </c>
      <c r="AW303" s="327" t="str">
        <f>IFERROR(__xludf.DUMMYFUNCTION("JOIN("""",AU303,AU303)"),"oxoxooxooxoxoxoxooxooxox")</f>
        <v>oxoxooxooxoxoxoxooxooxox</v>
      </c>
      <c r="AX303" s="239" t="str">
        <f>IFERROR(__xludf.DUMMYFUNCTION("IF(REGEXMATCH(AW303,AS303),""✔"",""-"")"),"✔")</f>
        <v>✔</v>
      </c>
      <c r="AY303" s="330" t="str">
        <f t="shared" si="20"/>
        <v>-</v>
      </c>
      <c r="AZ303" s="260" t="str">
        <f t="shared" si="21"/>
        <v>#REF!</v>
      </c>
      <c r="BA303" s="333" t="str">
        <f t="shared" si="22"/>
        <v>xoxooxo</v>
      </c>
      <c r="BB303" s="334" t="str">
        <f t="shared" si="23"/>
        <v>oxoxox</v>
      </c>
      <c r="BC303" s="335" t="str">
        <f t="shared" si="236"/>
        <v>-</v>
      </c>
      <c r="BD303" s="336" t="str">
        <f t="shared" si="25"/>
        <v>Sarangkauns: 'xoxooxo' + 'oxoxox'</v>
      </c>
      <c r="BE303" s="337">
        <f>IFERROR(__xludf.DUMMYFUNCTION("COUNTUNIQUE(FILTER(AT:AT,REGEXMATCH(AT:AT,AS303)))-1"),2.0)</f>
        <v>2</v>
      </c>
      <c r="BF303" s="261" t="str">
        <f>IFERROR(__xludf.DUMMYFUNCTION("IF(BI303=0,""(n/a)"",IF(BJ303=2,""(PAIR)"",IF(REGEXMATCH(AT303,""xoxoxxoxoxox""),""Bilawal"",IF(REGEXMATCH(AT303,""xoxoxooxoxoo""),""Bhupali"",IF(REGEXMATCH(AT303,""xoxoxxoxxoxo""),""Charukeshi"",IF(REGEXMATCH(AT303,""xoxoooxxoxxo""),""Kameshwari"",IF(REG"&amp;"EXMATCH(AT303,""xoxoxooxoxox""),""Shankara"",IF(REGEXMATCH(AT303,""xxooxoxxxoox""),""Basant"",IF(REGEXMATCH(AT303,""xoxoxxxxoxox""),""Bihag"",IF(REGEXMATCH(AT303,""xoxxxxoxoxxx""),""Pilu"",IF(REGEXMATCH(AT303,""xoxxoxoxxoox""),""Kirwani"",IF(REGEXMATCH(AT"&amp;"303,""xoxxoxoxoxxx""),""Mk.Malhar"",IF(REGEXMATCH(AT303,""xxooxxoxxoox""),""Bhairav"",IF(REGEXMATCH(AT303,""xxoxooxxxoox""),""Todi"",IF(REGEXMATCH(AT303,""xxooxoxooxox""),""Marwa"",IF(REGEXMATCH(AT303,""xxoooxoxxooo""),""Gunkali"",IF(REGEXMATCH(AT303,""xo"&amp;"xoxxoxxoox""),""Nat Bhairav"",IF(REGEXMATCH(AT303,""xoxxoooxoxoo""),""Shivranjani"",IF(REGEXMATCH(AT303,""xooxxxoxooxo""),""Jog"",IF(REGEXMATCH(AT303,""xxooxoxoxoox""),""Hemshri"",IF(REGEXMATCH(AT303,""xoooxooxoxxo""),""Kalavati"",IF(REGEXMATCH(AT303,""xx"&amp;"oxoxxoxoox""),""Kedar"",IF(REGEXMATCH(AT303,""xoxxxxoxooxx""),""Gara"",IF(REGEXMATCH(AT303,""xooxoxooxoox""),""Chandrakauns"",IF(REGEXMATCH(AT303,""xoxxxxoxxxox""),""Mand"",IF(REGEXMATCH(AT303,""xoxxxxoxoxox""),""Hanskinkini"",IF(REGEXMATCH(AT303,""xxooxx"&amp;"oxooxo""),""Lilavati"",IF(REGEXMATCH(AT303,""xooxoxoooxox""),""Rajeshwari"",IF(REGEXMATCH(AT303,""xoooxxoxoxxx""),""Khokar"",IF(REGEXMATCH(AT303,""xxooxoxxxxox""),""Maligoura"",""-""))))))))))))))))))))))))))))))"),"-")</f>
        <v>-</v>
      </c>
      <c r="BG303" s="239" t="str">
        <f t="shared" si="26"/>
        <v>#REF!</v>
      </c>
      <c r="BH303" s="239">
        <f>IFERROR(__xludf.DUMMYFUNCTION("COUNTUNIQUE(FE303:FO303)-1"),4.0)</f>
        <v>4</v>
      </c>
      <c r="BI303" s="239">
        <f>IFERROR(__xludf.DUMMYFUNCTION("COUNTUNIQUE(FILTER(AT:AT,REGEXMATCH(AT:AT,AS303)))-1"),2.0)</f>
        <v>2</v>
      </c>
      <c r="BJ303" s="239">
        <f>IFERROR(__xludf.DUMMYFUNCTION("COUNTA(FILTER(AT:AT,REGEXMATCH(AT:AT,AS303)))"),3.0)</f>
        <v>3</v>
      </c>
      <c r="BK303" s="341">
        <f>IFERROR(__xludf.DUMMYFUNCTION("COUNTA(FILTER(AT:AT,REGEXMATCH(AT:AT,AS303)))-AR303"),3.0)</f>
        <v>3</v>
      </c>
      <c r="BL303" s="276" t="str">
        <f>IFERROR(__xludf.DUMMYFUNCTION("IF(AS303=""oooooooooooo"",""-"",IF(REGEXMATCH(AT303,""xx""), ""Hemi."", ""Anhemi.""))"),"Anhemi.")</f>
        <v>Anhemi.</v>
      </c>
      <c r="BM303" s="282" t="str">
        <f>IFERROR(__xludf.DUMMYFUNCTION("IF(AS303=""oooooooooooo"",""-"",IF(REGEXMATCH(AT303,""xxx""), ""Cohem."", ""-""))"),"-")</f>
        <v>-</v>
      </c>
      <c r="BN303" s="282" t="str">
        <f>IFERROR(__xludf.DUMMYFUNCTION("IF(AS303=""oooooooooooo"",""-"",IF(REGEXMATCH(AT303,""xxxx""), ""Co-Co."", ""-""))"),"-")</f>
        <v>-</v>
      </c>
      <c r="BO303" s="342" t="str">
        <f>IFERROR(__xludf.DUMMYFUNCTION("IF(AS303=""oooooooooooo"",""-"",IF(REGEXMATCH(AT303,""xxxxx""), ""CCC."", ""-""))"),"-")</f>
        <v>-</v>
      </c>
      <c r="BP303" s="344" t="str">
        <f t="shared" si="27"/>
        <v>-</v>
      </c>
      <c r="BQ303" s="282" t="str">
        <f>IFERROR(__xludf.DUMMYFUNCTION("IF(REGEXMATCH(JOIN(""-"",EU303:FD303),""TRUE""),""✔"",""-"")"),"✔")</f>
        <v>✔</v>
      </c>
      <c r="BR303" s="225">
        <f t="shared" si="28"/>
        <v>1</v>
      </c>
      <c r="BS303" s="345" t="str">
        <f>IFERROR(__xludf.DUMMYFUNCTION("SUBSTITUTE(SUBSTITUTE(SUBSTITUTE(SUBSTITUTE(CONCATENATE(JOIN(""-"",GC303:GO303)),""--"",""-""),""--"",""-""),""--"",""-""),""--"",""-"")"),"1-2-4-b6-b7-8")</f>
        <v>1-2-4-b6-b7-8</v>
      </c>
      <c r="BT303" s="299" t="str">
        <f>IFERROR(__xludf.DUMMYFUNCTION("SUBSTITUTE(SUBSTITUTE(SUBSTITUTE(SUBSTITUTE(CONCATENATE(JOIN(""-"",GP303:HB303)),""--"",""-""),""--"",""-""),""--"",""-""),""--"",""-"")"),"S-R2-M1-D1-N2-S")</f>
        <v>S-R2-M1-D1-N2-S</v>
      </c>
      <c r="BU303" s="348" t="str">
        <f t="shared" si="29"/>
        <v>C-D-F-Ab-Bb-C</v>
      </c>
      <c r="BV303" s="349" t="str">
        <f t="shared" si="30"/>
        <v>SrgGMPDNS</v>
      </c>
      <c r="BW303" s="350">
        <f t="shared" si="31"/>
        <v>0</v>
      </c>
      <c r="BX303" s="351">
        <f t="shared" si="32"/>
        <v>1</v>
      </c>
      <c r="BY303" s="392"/>
      <c r="BZ303" s="309" t="str">
        <f>IFERROR(__xludf.DUMMYFUNCTION("IF(REGEXMATCH(C303, ""S""), ""x"",""x"")"),"x")</f>
        <v>x</v>
      </c>
      <c r="CA303" s="245" t="str">
        <f>IFERROR(__xludf.DUMMYFUNCTION("IF(REGEXMATCH(C303, ""r""), ""o"",""x"")"),"x")</f>
        <v>x</v>
      </c>
      <c r="CB303" s="246" t="str">
        <f>IFERROR(__xludf.DUMMYFUNCTION("IF(REGEXMATCH(C303, ""R""), ""o"",""x"")"),"o")</f>
        <v>o</v>
      </c>
      <c r="CC303" s="246" t="str">
        <f>IFERROR(__xludf.DUMMYFUNCTION("IF(REGEXMATCH(C303, ""g""), ""o"",""x"")"),"x")</f>
        <v>x</v>
      </c>
      <c r="CD303" s="245" t="str">
        <f>IFERROR(__xludf.DUMMYFUNCTION("IF(REGEXMATCH(C303, ""G""), ""o"",""x"")"),"x")</f>
        <v>x</v>
      </c>
      <c r="CE303" s="245" t="str">
        <f>IFERROR(__xludf.DUMMYFUNCTION("IF(REGEXMATCH(C303, ""m""), ""o"",""x"")"),"o")</f>
        <v>o</v>
      </c>
      <c r="CF303" s="246" t="str">
        <f>IFERROR(__xludf.DUMMYFUNCTION("IF(REGEXMATCH(C303, ""M""), ""o"",""x"")"),"x")</f>
        <v>x</v>
      </c>
      <c r="CG303" s="245" t="str">
        <f>IFERROR(__xludf.DUMMYFUNCTION("IF(REGEXMATCH(C303, ""P""), ""o"",""x"")"),"x")</f>
        <v>x</v>
      </c>
      <c r="CH303" s="246" t="str">
        <f>IFERROR(__xludf.DUMMYFUNCTION("IF(REGEXMATCH(C303, ""d""), ""o"",""x"")"),"o")</f>
        <v>o</v>
      </c>
      <c r="CI303" s="245" t="str">
        <f>IFERROR(__xludf.DUMMYFUNCTION("IF(REGEXMATCH(C303, ""D""), ""o"",""x"")"),"x")</f>
        <v>x</v>
      </c>
      <c r="CJ303" s="245" t="str">
        <f>IFERROR(__xludf.DUMMYFUNCTION("IF(REGEXMATCH(C303, ""n""), ""o"",""x"")"),"o")</f>
        <v>o</v>
      </c>
      <c r="CK303" s="245" t="str">
        <f>IFERROR(__xludf.DUMMYFUNCTION("IF(REGEXMATCH(C303, ""N""), ""o"",""x"")"),"x")</f>
        <v>x</v>
      </c>
      <c r="CL303" s="356" t="str">
        <f>IFERROR(__xludf.DUMMYFUNCTION("IF(REGEXMATCH(C303, ""S""), ""x"",""x"")"),"x")</f>
        <v>x</v>
      </c>
      <c r="CM303" s="357" t="str">
        <f t="shared" si="33"/>
        <v>xxoxxoxxoxox</v>
      </c>
      <c r="CN303" s="358">
        <f t="shared" si="34"/>
        <v>0</v>
      </c>
      <c r="CO303" s="246" t="str">
        <f>IFERROR(__xludf.DUMMYFUNCTION("IF(REGEXMATCH($C303, ""S""), ""S"",""S"")"),"S")</f>
        <v>S</v>
      </c>
      <c r="CP303" s="246" t="str">
        <f>IFERROR(__xludf.DUMMYFUNCTION("IF(REGEXMATCH($C303, ""r""), """",""r"")"),"r")</f>
        <v>r</v>
      </c>
      <c r="CQ303" s="246" t="str">
        <f>IFERROR(__xludf.DUMMYFUNCTION("IF(REGEXMATCH($C303, ""R""), """",""R"")"),"")</f>
        <v/>
      </c>
      <c r="CR303" s="246" t="str">
        <f>IFERROR(__xludf.DUMMYFUNCTION("IF(REGEXMATCH($C303, ""g""), """",""g"")"),"g")</f>
        <v>g</v>
      </c>
      <c r="CS303" s="246" t="str">
        <f>IFERROR(__xludf.DUMMYFUNCTION("IF(REGEXMATCH($C303, ""G""), """",""G"")"),"G")</f>
        <v>G</v>
      </c>
      <c r="CT303" s="246" t="str">
        <f>IFERROR(__xludf.DUMMYFUNCTION("IF(REGEXMATCH($C303, ""m""), """",""m"")"),"")</f>
        <v/>
      </c>
      <c r="CU303" s="246" t="str">
        <f>IFERROR(__xludf.DUMMYFUNCTION("IF(REGEXMATCH($C303, ""M""), """",""M"")"),"M")</f>
        <v>M</v>
      </c>
      <c r="CV303" s="246" t="str">
        <f>IFERROR(__xludf.DUMMYFUNCTION("IF(REGEXMATCH($C303, ""P""), """",""P"")"),"P")</f>
        <v>P</v>
      </c>
      <c r="CW303" s="246" t="str">
        <f>IFERROR(__xludf.DUMMYFUNCTION("IF(REGEXMATCH($C303, ""d""), """",""d"")"),"")</f>
        <v/>
      </c>
      <c r="CX303" s="246" t="str">
        <f>IFERROR(__xludf.DUMMYFUNCTION("IF(REGEXMATCH($C303, ""D""), """",""D"")"),"D")</f>
        <v>D</v>
      </c>
      <c r="CY303" s="246" t="str">
        <f>IFERROR(__xludf.DUMMYFUNCTION("IF(REGEXMATCH($C303, ""n""), """",""n"")"),"")</f>
        <v/>
      </c>
      <c r="CZ303" s="246" t="str">
        <f>IFERROR(__xludf.DUMMYFUNCTION("IF(REGEXMATCH($C303, ""N""), """",""N"")"),"N")</f>
        <v>N</v>
      </c>
      <c r="DA303" s="246" t="str">
        <f>IFERROR(__xludf.DUMMYFUNCTION("IF(REGEXMATCH($C303, ""S""), ""S"",""S"")"),"S")</f>
        <v>S</v>
      </c>
      <c r="DB303" s="362" t="str">
        <f>IFERROR(__xludf.DUMMYFUNCTION("JOIN("""",CO303:DA303,"""","""")"),"SrgGMPDNS")</f>
        <v>SrgGMPDNS</v>
      </c>
      <c r="DC303" s="363"/>
      <c r="DD303" s="301" t="str">
        <f t="shared" si="35"/>
        <v>#REF!</v>
      </c>
      <c r="DE303" s="302" t="str">
        <f t="shared" si="36"/>
        <v>#REF!</v>
      </c>
      <c r="DF303" s="301" t="str">
        <f t="shared" ref="DF303:DG303" si="833">SUBSTITUTE(S303,"-","")</f>
        <v>SRM</v>
      </c>
      <c r="DG303" s="301" t="str">
        <f t="shared" si="833"/>
        <v>DNS</v>
      </c>
      <c r="DH303" s="302" t="str">
        <f t="shared" si="38"/>
        <v>-</v>
      </c>
      <c r="DI303" s="301" t="str">
        <f t="shared" si="39"/>
        <v>Anhemi.</v>
      </c>
      <c r="DJ303" s="364" t="str">
        <f t="shared" si="40"/>
        <v>-</v>
      </c>
      <c r="DK303" s="306" t="str">
        <f t="shared" si="41"/>
        <v>-</v>
      </c>
      <c r="DL303" s="366" t="str">
        <f t="shared" si="42"/>
        <v>✔</v>
      </c>
      <c r="DM303" s="308" t="str">
        <f t="shared" si="43"/>
        <v>-</v>
      </c>
      <c r="DN303" s="306" t="str">
        <f t="shared" si="44"/>
        <v>-</v>
      </c>
      <c r="DO303" s="306" t="str">
        <f t="shared" si="45"/>
        <v>-</v>
      </c>
      <c r="DP303" s="367" t="str">
        <f t="shared" si="46"/>
        <v>-</v>
      </c>
      <c r="DQ303" s="310" t="str">
        <f t="shared" si="47"/>
        <v>-</v>
      </c>
      <c r="DR303" s="310" t="str">
        <f t="shared" si="48"/>
        <v>-</v>
      </c>
      <c r="DS303" s="310" t="str">
        <f t="shared" si="49"/>
        <v>-</v>
      </c>
      <c r="DT303" s="310" t="str">
        <f t="shared" si="50"/>
        <v>-</v>
      </c>
      <c r="DU303" s="370" t="str">
        <f t="shared" si="51"/>
        <v>-</v>
      </c>
      <c r="DV303" s="306" t="str">
        <f t="shared" si="52"/>
        <v>-</v>
      </c>
      <c r="DW303" s="306" t="str">
        <f t="shared" si="53"/>
        <v>✔</v>
      </c>
      <c r="DX303" s="306" t="str">
        <f t="shared" si="54"/>
        <v>-</v>
      </c>
      <c r="DY303" s="306" t="str">
        <f t="shared" si="55"/>
        <v>✔</v>
      </c>
      <c r="DZ303" s="306" t="str">
        <f t="shared" si="56"/>
        <v>-</v>
      </c>
      <c r="EA303" s="367" t="str">
        <f t="shared" si="57"/>
        <v>-</v>
      </c>
      <c r="EB303" s="310" t="str">
        <f>IFERROR(__xludf.DUMMYFUNCTION("IF(REGEXMATCH(AW303,AS303),""✔"",""-"")"),"✔")</f>
        <v>✔</v>
      </c>
      <c r="EC303" s="310" t="str">
        <f t="shared" si="58"/>
        <v>#REF!</v>
      </c>
      <c r="ED303" s="370" t="str">
        <f t="shared" si="59"/>
        <v>-</v>
      </c>
      <c r="EE303" s="340" t="str">
        <f t="shared" si="60"/>
        <v>S-R-m-d-n-S</v>
      </c>
      <c r="EF303" s="371" t="str">
        <f>IFERROR(__xludf.DUMMYFUNCTION("CONCATENATE(JOIN("""",HC303:HO303))"),"SRGPnS")</f>
        <v>SRGPnS</v>
      </c>
      <c r="EG303" s="372">
        <f t="shared" si="61"/>
        <v>3</v>
      </c>
      <c r="EH303" s="373" t="str">
        <f>IFERROR(__xludf.DUMMYFUNCTION("CONCATENATE(JOIN("""",JC303:JO303))"),"Sa, Re, dha, ")</f>
        <v>Sa, Re, dha, </v>
      </c>
      <c r="EI303" s="322">
        <f t="shared" si="62"/>
        <v>2</v>
      </c>
      <c r="EJ303" s="374" t="str">
        <f>IFERROR(__xludf.DUMMYFUNCTION("CONCATENATE(JOIN("""",KC303:KO303))"),"Re, dha, ")</f>
        <v>Re, dha, </v>
      </c>
      <c r="EK303" s="325" t="str">
        <f t="shared" si="63"/>
        <v>S-R2-M1-D1-N2-S</v>
      </c>
      <c r="EL303" s="326" t="str">
        <f t="shared" si="64"/>
        <v>1-2-4-b6-b7-8</v>
      </c>
      <c r="EM303" s="318" t="str">
        <f t="shared" si="65"/>
        <v>#REF!</v>
      </c>
      <c r="EN303" s="328" t="str">
        <f>IFERROR(__xludf.DUMMYFUNCTION("SUBSTITUTE(SUBSTITUTE(SUBSTITUTE(SUBSTITUTE(CONCATENATE(JOIN("" "",HP303:IB303)),""  "","" ""),""  "","" ""),""  "","" ""),""  "","" "")"),"o • o • • o • • o • o • o")</f>
        <v>o • o • • o • • o • o • o</v>
      </c>
      <c r="EO303" s="368" t="str">
        <f t="shared" si="66"/>
        <v>Sa-ma</v>
      </c>
      <c r="EP303" s="339" t="str">
        <f t="shared" si="67"/>
        <v>-</v>
      </c>
      <c r="EQ303" s="339" t="str">
        <f t="shared" si="68"/>
        <v>-</v>
      </c>
      <c r="ER303" s="339" t="str">
        <f t="shared" si="69"/>
        <v>-</v>
      </c>
      <c r="ES303" s="340" t="str">
        <f t="shared" si="70"/>
        <v>Sa-ma</v>
      </c>
      <c r="ET303" s="363"/>
      <c r="EU303" s="376" t="b">
        <f>IFERROR(__xludf.DUMMYFUNCTION("arrayformula(sum(--REGEXMATCH(""SRGMPDNS"",split(REGEXREPLACE(C303,""(.)"",""$1~""),""~""))))=len(C303)
"),FALSE)</f>
        <v>0</v>
      </c>
      <c r="EV303" s="290" t="b">
        <f>IFERROR(__xludf.DUMMYFUNCTION("arrayformula(sum(--REGEXMATCH(""SRGmPDNS"",split(REGEXREPLACE(C303,""(.)"",""$1~""),""~""))))=len(C303)"),FALSE)</f>
        <v>0</v>
      </c>
      <c r="EW303" s="290" t="b">
        <f>IFERROR(__xludf.DUMMYFUNCTION("arrayformula(sum(--REGEXMATCH(""SRGmPDnS"",split(REGEXREPLACE(C303,""(.)"",""$1~""),""~""))))=len(C303)"),FALSE)</f>
        <v>0</v>
      </c>
      <c r="EX303" s="290" t="b">
        <f>IFERROR(__xludf.DUMMYFUNCTION("arrayformula(sum(--REGEXMATCH(""SRgmPDnS"",split(REGEXREPLACE(C303,""(.)"",""$1~""),""~""))))=len(C303)"),FALSE)</f>
        <v>0</v>
      </c>
      <c r="EY303" s="290" t="b">
        <f>IFERROR(__xludf.DUMMYFUNCTION("arrayformula(sum(--REGEXMATCH(""SRgmPdnS"",split(REGEXREPLACE(C303,""(.)"",""$1~""),""~""))))=len(C303)"),TRUE)</f>
        <v>1</v>
      </c>
      <c r="EZ303" s="290" t="b">
        <f>IFERROR(__xludf.DUMMYFUNCTION("arrayformula(sum(--REGEXMATCH(""SrgmPdnS"",split(REGEXREPLACE(C303,""(.)"",""$1~""),""~""))))=len(C303)"),FALSE)</f>
        <v>0</v>
      </c>
      <c r="FA303" s="290" t="b">
        <f>IFERROR(__xludf.DUMMYFUNCTION("arrayformula(sum(--REGEXMATCH(""SrGmPdNS"",split(REGEXREPLACE(C303,""(.)"",""$1~""),""~""))))=len(C303)"),FALSE)</f>
        <v>0</v>
      </c>
      <c r="FB303" s="290" t="b">
        <f>IFERROR(__xludf.DUMMYFUNCTION("arrayformula(sum(--REGEXMATCH(""SrGMPDNS"",split(REGEXREPLACE(C303,""(.)"",""$1~""),""~""))))=len(C303)"),FALSE)</f>
        <v>0</v>
      </c>
      <c r="FC303" s="290" t="b">
        <f>IFERROR(__xludf.DUMMYFUNCTION("arrayformula(sum(--REGEXMATCH(""SrGMPdNS"",split(REGEXREPLACE(C303,""(.)"",""$1~""),""~""))))=len(C303)"),FALSE)</f>
        <v>0</v>
      </c>
      <c r="FD303" s="377" t="b">
        <f>IFERROR(__xludf.DUMMYFUNCTION("arrayformula(sum(--REGEXMATCH(""SrgMPdNS"",split(REGEXREPLACE(C303,""(.)"",""$1~""),""~""))))=len(C303)"),FALSE)</f>
        <v>0</v>
      </c>
      <c r="FE303" s="269" t="str">
        <f t="shared" si="71"/>
        <v>-</v>
      </c>
      <c r="FF303" s="269" t="str">
        <f t="shared" si="72"/>
        <v>xooxooxoxox</v>
      </c>
      <c r="FG303" s="271" t="str">
        <f t="shared" si="73"/>
        <v>-</v>
      </c>
      <c r="FH303" s="269" t="str">
        <f t="shared" si="74"/>
        <v>-</v>
      </c>
      <c r="FI303" s="271" t="str">
        <f t="shared" si="75"/>
        <v>xooxoxoxoxo</v>
      </c>
      <c r="FJ303" s="271" t="str">
        <f t="shared" si="76"/>
        <v>-</v>
      </c>
      <c r="FK303" s="271" t="str">
        <f t="shared" si="77"/>
        <v>-</v>
      </c>
      <c r="FL303" s="271" t="str">
        <f t="shared" si="78"/>
        <v>xoxoxoxooxo</v>
      </c>
      <c r="FM303" s="271" t="str">
        <f t="shared" si="79"/>
        <v>-</v>
      </c>
      <c r="FN303" s="271" t="str">
        <f t="shared" si="80"/>
        <v>xoxoxooxoox</v>
      </c>
      <c r="FO303" s="274" t="str">
        <f t="shared" si="81"/>
        <v>-</v>
      </c>
      <c r="FP303" s="234" t="str">
        <f t="shared" si="82"/>
        <v>|</v>
      </c>
      <c r="FQ303" s="236" t="str">
        <f t="shared" si="83"/>
        <v>-</v>
      </c>
      <c r="FR303" s="237" t="str">
        <f t="shared" si="84"/>
        <v>|</v>
      </c>
      <c r="FS303" s="236" t="str">
        <f t="shared" si="85"/>
        <v>-</v>
      </c>
      <c r="FT303" s="237" t="str">
        <f t="shared" si="86"/>
        <v>-</v>
      </c>
      <c r="FU303" s="236" t="str">
        <f t="shared" si="87"/>
        <v>|</v>
      </c>
      <c r="FV303" s="237" t="str">
        <f t="shared" si="88"/>
        <v>-</v>
      </c>
      <c r="FW303" s="236" t="str">
        <f t="shared" si="89"/>
        <v>-</v>
      </c>
      <c r="FX303" s="237" t="str">
        <f t="shared" si="90"/>
        <v>|</v>
      </c>
      <c r="FY303" s="236" t="str">
        <f t="shared" si="91"/>
        <v>-</v>
      </c>
      <c r="FZ303" s="237" t="str">
        <f t="shared" si="92"/>
        <v>|</v>
      </c>
      <c r="GA303" s="236" t="str">
        <f t="shared" si="93"/>
        <v>-</v>
      </c>
      <c r="GB303" s="238" t="str">
        <f t="shared" si="94"/>
        <v>|</v>
      </c>
      <c r="GC303" s="244" t="str">
        <f>IFERROR(__xludf.DUMMYFUNCTION("IF(REGEXMATCH(C303, ""S""), ""1"","""")"),"1")</f>
        <v>1</v>
      </c>
      <c r="GD303" s="245" t="str">
        <f>IFERROR(__xludf.DUMMYFUNCTION("IF(REGEXMATCH(C303, ""r""), ""b2"","""")"),"")</f>
        <v/>
      </c>
      <c r="GE303" s="246" t="str">
        <f>IFERROR(__xludf.DUMMYFUNCTION("IF(REGEXMATCH(C303, ""R""), ""2"","""")"),"2")</f>
        <v>2</v>
      </c>
      <c r="GF303" s="246" t="str">
        <f>IFERROR(__xludf.DUMMYFUNCTION("IF(REGEXMATCH(C303, ""g""), ""b3"","""")"),"")</f>
        <v/>
      </c>
      <c r="GG303" s="245" t="str">
        <f>IFERROR(__xludf.DUMMYFUNCTION("IF(REGEXMATCH(C303, ""G""), ""3"","""")"),"")</f>
        <v/>
      </c>
      <c r="GH303" s="245" t="str">
        <f>IFERROR(__xludf.DUMMYFUNCTION("IF(REGEXMATCH(C303, ""m""), ""4"","""")"),"4")</f>
        <v>4</v>
      </c>
      <c r="GI303" s="246" t="str">
        <f>IFERROR(__xludf.DUMMYFUNCTION("IF(REGEXMATCH(C303, ""M""), ""#4"","""")"),"")</f>
        <v/>
      </c>
      <c r="GJ303" s="245" t="str">
        <f>IFERROR(__xludf.DUMMYFUNCTION("IF(REGEXMATCH(C303, ""P""), ""5"","""")"),"")</f>
        <v/>
      </c>
      <c r="GK303" s="246" t="str">
        <f>IFERROR(__xludf.DUMMYFUNCTION("IF(REGEXMATCH(C303, ""d""), ""b6"","""")"),"b6")</f>
        <v>b6</v>
      </c>
      <c r="GL303" s="245" t="str">
        <f>IFERROR(__xludf.DUMMYFUNCTION("IF(REGEXMATCH(C303, ""D""), ""6"","""")"),"")</f>
        <v/>
      </c>
      <c r="GM303" s="245" t="str">
        <f>IFERROR(__xludf.DUMMYFUNCTION("IF(REGEXMATCH(C303, ""n""), ""b7"","""")"),"b7")</f>
        <v>b7</v>
      </c>
      <c r="GN303" s="246" t="str">
        <f>IFERROR(__xludf.DUMMYFUNCTION("IF(REGEXMATCH(C303, ""N""), ""7"","""")"),"")</f>
        <v/>
      </c>
      <c r="GO303" s="249" t="str">
        <f>IFERROR(__xludf.DUMMYFUNCTION("IF(REGEXMATCH(C303, ""S""), ""8"","""")"),"8")</f>
        <v>8</v>
      </c>
      <c r="GP303" s="244" t="str">
        <f>IFERROR(__xludf.DUMMYFUNCTION("IF(REGEXMATCH(C303, ""S""), ""S"","""")"),"S")</f>
        <v>S</v>
      </c>
      <c r="GQ303" s="294" t="str">
        <f>IFERROR(__xludf.DUMMYFUNCTION("IF(REGEXMATCH(C303, ""r""), ""R1"","""")"),"")</f>
        <v/>
      </c>
      <c r="GR303" s="295" t="str">
        <f>IFERROR(__xludf.DUMMYFUNCTION("IF(REGEXMATCH(C303, ""R""), ""R2"","""")"),"R2")</f>
        <v>R2</v>
      </c>
      <c r="GS303" s="295" t="str">
        <f>IFERROR(__xludf.DUMMYFUNCTION("IF(REGEXMATCH(C303, ""g""), ""G2"","""")"),"")</f>
        <v/>
      </c>
      <c r="GT303" s="294" t="str">
        <f>IFERROR(__xludf.DUMMYFUNCTION("IF(REGEXMATCH(C303, ""G""), ""G3"","""")"),"")</f>
        <v/>
      </c>
      <c r="GU303" s="294" t="str">
        <f>IFERROR(__xludf.DUMMYFUNCTION("IF(REGEXMATCH(C303, ""m""), ""M1"","""")"),"M1")</f>
        <v>M1</v>
      </c>
      <c r="GV303" s="295" t="str">
        <f>IFERROR(__xludf.DUMMYFUNCTION("IF(REGEXMATCH(C303, ""M""), ""M2"","""")"),"")</f>
        <v/>
      </c>
      <c r="GW303" s="294" t="str">
        <f>IFERROR(__xludf.DUMMYFUNCTION("IF(REGEXMATCH(C303, ""P""), ""P"","""")"),"")</f>
        <v/>
      </c>
      <c r="GX303" s="295" t="str">
        <f>IFERROR(__xludf.DUMMYFUNCTION("IF(REGEXMATCH(C303, ""d""), ""D1"","""")"),"D1")</f>
        <v>D1</v>
      </c>
      <c r="GY303" s="294" t="str">
        <f>IFERROR(__xludf.DUMMYFUNCTION("IF(REGEXMATCH(C303, ""D""), ""D2"","""")"),"")</f>
        <v/>
      </c>
      <c r="GZ303" s="294" t="str">
        <f>IFERROR(__xludf.DUMMYFUNCTION("IF(REGEXMATCH(C303, ""n""), ""N2"","""")"),"N2")</f>
        <v>N2</v>
      </c>
      <c r="HA303" s="295" t="str">
        <f>IFERROR(__xludf.DUMMYFUNCTION("IF(REGEXMATCH(C303, ""N""), ""N3"","""")"),"")</f>
        <v/>
      </c>
      <c r="HB303" s="249" t="str">
        <f>IFERROR(__xludf.DUMMYFUNCTION("IF(REGEXMATCH(C303, ""S""), ""S"","""")"),"S")</f>
        <v>S</v>
      </c>
      <c r="HC303" s="331" t="str">
        <f t="shared" si="95"/>
        <v>S</v>
      </c>
      <c r="HD303" s="332" t="str">
        <f t="shared" si="96"/>
        <v/>
      </c>
      <c r="HE303" s="332" t="str">
        <f t="shared" si="97"/>
        <v>R</v>
      </c>
      <c r="HF303" s="332" t="str">
        <f t="shared" si="98"/>
        <v/>
      </c>
      <c r="HG303" s="332" t="str">
        <f t="shared" si="99"/>
        <v>G</v>
      </c>
      <c r="HH303" s="332" t="str">
        <f t="shared" si="100"/>
        <v/>
      </c>
      <c r="HI303" s="332" t="str">
        <f t="shared" si="101"/>
        <v/>
      </c>
      <c r="HJ303" s="332" t="str">
        <f t="shared" si="102"/>
        <v>P</v>
      </c>
      <c r="HK303" s="332" t="str">
        <f t="shared" si="103"/>
        <v/>
      </c>
      <c r="HL303" s="332" t="str">
        <f t="shared" si="104"/>
        <v/>
      </c>
      <c r="HM303" s="332" t="str">
        <f t="shared" si="105"/>
        <v>n</v>
      </c>
      <c r="HN303" s="332" t="str">
        <f t="shared" si="106"/>
        <v/>
      </c>
      <c r="HO303" s="343" t="str">
        <f t="shared" si="107"/>
        <v>S</v>
      </c>
      <c r="HP303" s="331" t="str">
        <f t="shared" si="108"/>
        <v>o</v>
      </c>
      <c r="HQ303" s="332" t="str">
        <f t="shared" si="109"/>
        <v>•</v>
      </c>
      <c r="HR303" s="332" t="str">
        <f t="shared" si="110"/>
        <v>o</v>
      </c>
      <c r="HS303" s="332" t="str">
        <f t="shared" si="111"/>
        <v>•</v>
      </c>
      <c r="HT303" s="332" t="str">
        <f t="shared" si="112"/>
        <v>•</v>
      </c>
      <c r="HU303" s="332" t="str">
        <f t="shared" si="113"/>
        <v>o</v>
      </c>
      <c r="HV303" s="332" t="str">
        <f t="shared" si="114"/>
        <v>•</v>
      </c>
      <c r="HW303" s="332" t="str">
        <f t="shared" si="115"/>
        <v>•</v>
      </c>
      <c r="HX303" s="332" t="str">
        <f t="shared" si="116"/>
        <v>o</v>
      </c>
      <c r="HY303" s="332" t="str">
        <f t="shared" si="117"/>
        <v>•</v>
      </c>
      <c r="HZ303" s="332" t="str">
        <f t="shared" si="118"/>
        <v>o</v>
      </c>
      <c r="IA303" s="332" t="str">
        <f t="shared" si="119"/>
        <v>•</v>
      </c>
      <c r="IB303" s="338" t="str">
        <f t="shared" si="120"/>
        <v>o</v>
      </c>
      <c r="IC303" s="331" t="str">
        <f t="shared" si="121"/>
        <v>•</v>
      </c>
      <c r="ID303" s="332" t="str">
        <f t="shared" si="122"/>
        <v>o</v>
      </c>
      <c r="IE303" s="332" t="str">
        <f t="shared" si="123"/>
        <v>•</v>
      </c>
      <c r="IF303" s="332" t="str">
        <f t="shared" si="124"/>
        <v>o</v>
      </c>
      <c r="IG303" s="332" t="str">
        <f t="shared" si="125"/>
        <v>o</v>
      </c>
      <c r="IH303" s="332" t="str">
        <f t="shared" si="126"/>
        <v>•</v>
      </c>
      <c r="II303" s="332" t="str">
        <f t="shared" si="127"/>
        <v>o</v>
      </c>
      <c r="IJ303" s="332" t="str">
        <f t="shared" si="128"/>
        <v>o</v>
      </c>
      <c r="IK303" s="332" t="str">
        <f t="shared" si="129"/>
        <v>•</v>
      </c>
      <c r="IL303" s="332" t="str">
        <f t="shared" si="130"/>
        <v>o</v>
      </c>
      <c r="IM303" s="332" t="str">
        <f t="shared" si="131"/>
        <v>•</v>
      </c>
      <c r="IN303" s="332" t="str">
        <f t="shared" si="132"/>
        <v>o</v>
      </c>
      <c r="IO303" s="338" t="str">
        <f t="shared" si="133"/>
        <v>•</v>
      </c>
      <c r="IP303" s="346" t="b">
        <f t="shared" si="134"/>
        <v>1</v>
      </c>
      <c r="IQ303" s="347" t="b">
        <f t="shared" si="135"/>
        <v>0</v>
      </c>
      <c r="IR303" s="347" t="b">
        <f t="shared" si="136"/>
        <v>1</v>
      </c>
      <c r="IS303" s="347" t="b">
        <f t="shared" si="137"/>
        <v>0</v>
      </c>
      <c r="IT303" s="347" t="b">
        <f t="shared" si="138"/>
        <v>0</v>
      </c>
      <c r="IU303" s="347" t="b">
        <f t="shared" si="139"/>
        <v>0</v>
      </c>
      <c r="IV303" s="347" t="b">
        <f t="shared" si="140"/>
        <v>0</v>
      </c>
      <c r="IW303" s="347" t="b">
        <f t="shared" si="141"/>
        <v>0</v>
      </c>
      <c r="IX303" s="347" t="b">
        <f t="shared" si="142"/>
        <v>1</v>
      </c>
      <c r="IY303" s="347" t="b">
        <f t="shared" si="143"/>
        <v>0</v>
      </c>
      <c r="IZ303" s="347" t="b">
        <f t="shared" si="144"/>
        <v>0</v>
      </c>
      <c r="JA303" s="347" t="b">
        <f t="shared" si="145"/>
        <v>0</v>
      </c>
      <c r="JB303" s="353" t="b">
        <f t="shared" si="146"/>
        <v>1</v>
      </c>
      <c r="JC303" s="354" t="str">
        <f t="shared" si="147"/>
        <v>Sa, </v>
      </c>
      <c r="JD303" s="355" t="str">
        <f t="shared" si="148"/>
        <v/>
      </c>
      <c r="JE303" s="355" t="str">
        <f t="shared" si="149"/>
        <v>Re, </v>
      </c>
      <c r="JF303" s="355" t="str">
        <f t="shared" si="150"/>
        <v/>
      </c>
      <c r="JG303" s="355" t="str">
        <f t="shared" si="151"/>
        <v/>
      </c>
      <c r="JH303" s="355" t="str">
        <f t="shared" si="152"/>
        <v/>
      </c>
      <c r="JI303" s="355" t="str">
        <f t="shared" si="153"/>
        <v/>
      </c>
      <c r="JJ303" s="355" t="str">
        <f t="shared" si="154"/>
        <v/>
      </c>
      <c r="JK303" s="355" t="str">
        <f t="shared" si="155"/>
        <v>dha, </v>
      </c>
      <c r="JL303" s="355" t="str">
        <f t="shared" si="156"/>
        <v/>
      </c>
      <c r="JM303" s="355" t="str">
        <f t="shared" si="157"/>
        <v/>
      </c>
      <c r="JN303" s="355" t="str">
        <f t="shared" si="158"/>
        <v/>
      </c>
      <c r="JO303" s="359" t="str">
        <f t="shared" si="159"/>
        <v/>
      </c>
      <c r="JP303" s="346" t="b">
        <f t="shared" si="160"/>
        <v>0</v>
      </c>
      <c r="JQ303" s="347" t="b">
        <f t="shared" si="161"/>
        <v>0</v>
      </c>
      <c r="JR303" s="347" t="b">
        <f t="shared" si="162"/>
        <v>1</v>
      </c>
      <c r="JS303" s="347" t="b">
        <f t="shared" si="163"/>
        <v>0</v>
      </c>
      <c r="JT303" s="347" t="b">
        <f t="shared" si="164"/>
        <v>0</v>
      </c>
      <c r="JU303" s="347" t="b">
        <f t="shared" si="165"/>
        <v>0</v>
      </c>
      <c r="JV303" s="347" t="b">
        <f t="shared" si="166"/>
        <v>0</v>
      </c>
      <c r="JW303" s="347" t="b">
        <f t="shared" si="167"/>
        <v>0</v>
      </c>
      <c r="JX303" s="347" t="b">
        <f t="shared" si="168"/>
        <v>1</v>
      </c>
      <c r="JY303" s="347" t="b">
        <f t="shared" si="169"/>
        <v>0</v>
      </c>
      <c r="JZ303" s="347" t="b">
        <f t="shared" si="170"/>
        <v>0</v>
      </c>
      <c r="KA303" s="347" t="b">
        <f t="shared" si="171"/>
        <v>0</v>
      </c>
      <c r="KB303" s="365" t="b">
        <f t="shared" si="172"/>
        <v>0</v>
      </c>
      <c r="KC303" s="354" t="str">
        <f t="shared" si="173"/>
        <v/>
      </c>
      <c r="KD303" s="355" t="str">
        <f t="shared" si="174"/>
        <v/>
      </c>
      <c r="KE303" s="355" t="str">
        <f t="shared" si="175"/>
        <v>Re, </v>
      </c>
      <c r="KF303" s="355" t="str">
        <f t="shared" si="176"/>
        <v/>
      </c>
      <c r="KG303" s="355" t="str">
        <f t="shared" si="177"/>
        <v/>
      </c>
      <c r="KH303" s="355" t="str">
        <f t="shared" si="178"/>
        <v/>
      </c>
      <c r="KI303" s="355" t="str">
        <f t="shared" si="179"/>
        <v/>
      </c>
      <c r="KJ303" s="355" t="str">
        <f t="shared" si="180"/>
        <v/>
      </c>
      <c r="KK303" s="355" t="str">
        <f t="shared" si="181"/>
        <v>dha, </v>
      </c>
      <c r="KL303" s="355" t="str">
        <f t="shared" si="182"/>
        <v/>
      </c>
      <c r="KM303" s="355" t="str">
        <f t="shared" si="183"/>
        <v/>
      </c>
      <c r="KN303" s="355" t="str">
        <f t="shared" si="184"/>
        <v/>
      </c>
      <c r="KO303" s="359"/>
      <c r="KP303" s="378"/>
      <c r="KQ303" s="379" t="s">
        <v>9</v>
      </c>
      <c r="KR303" s="380" t="s">
        <v>9</v>
      </c>
      <c r="KS303" s="381" t="s">
        <v>9</v>
      </c>
      <c r="KT303" s="382">
        <f t="shared" si="186"/>
        <v>0</v>
      </c>
      <c r="KU303" s="383">
        <f t="shared" si="187"/>
        <v>0</v>
      </c>
      <c r="KV303" s="381" t="str">
        <f t="shared" si="205"/>
        <v>S</v>
      </c>
      <c r="KW303" s="382">
        <f t="shared" si="189"/>
        <v>0</v>
      </c>
      <c r="KX303" s="384">
        <f t="shared" si="190"/>
        <v>0</v>
      </c>
      <c r="KY303" s="382">
        <f t="shared" ref="KY303:KZ303" si="834">KW303-KT303</f>
        <v>0</v>
      </c>
      <c r="KZ303" s="369">
        <f t="shared" si="834"/>
        <v>0</v>
      </c>
      <c r="LA303" s="385" t="str">
        <f t="shared" si="192"/>
        <v>✔</v>
      </c>
      <c r="LB303" s="340" t="str">
        <f>IFERROR(__xludf.DUMMYFUNCTION("JOIN("""",ArrayFormula(MID(KS303,LEN(KS303)-SEQUENCE(1,LEN(KS303))+1,1)))"),"S")</f>
        <v>S</v>
      </c>
      <c r="LC303" s="373" t="str">
        <f>IFERROR(__xludf.DUMMYFUNCTION("JOIN("""",ArrayFormula(MID(KV303,LEN(KV303)-SEQUENCE(1,LEN(KV303))+1,1)))"),"S")</f>
        <v>S</v>
      </c>
      <c r="LD303" s="373" t="str">
        <f t="shared" si="193"/>
        <v>S</v>
      </c>
      <c r="LE303" s="339" t="str">
        <f t="shared" si="194"/>
        <v>S</v>
      </c>
      <c r="LF303" s="386" t="str">
        <f>IFERROR(__xludf.DUMMYFUNCTION("SUBSTITUTE(SUBSTITUTE(CONCATENATE(JOIN("""",LH303:LT303)),""1"",""""),""2"","""")"),"SS")</f>
        <v>SS</v>
      </c>
      <c r="LG303" s="369" t="str">
        <f t="shared" si="195"/>
        <v>-</v>
      </c>
      <c r="LH303" s="387" t="str">
        <f>IFERROR(__xludf.DUMMYFUNCTION("IF(REGEXMATCH(LD303, ""S""), ""S"",IF(REGEXMATCH(LE303, ""S""), ""S"",""""))"),"S")</f>
        <v>S</v>
      </c>
      <c r="LI303" s="299" t="str">
        <f>IFERROR(__xludf.DUMMYFUNCTION("IF(REGEXMATCH(LD303, ""r""), ""r1"",IF(REGEXMATCH(LE303, ""r""), ""r2"",""""))"),"")</f>
        <v/>
      </c>
      <c r="LJ303" s="299" t="str">
        <f>IFERROR(__xludf.DUMMYFUNCTION("IF(REGEXMATCH(LD303, ""R""), ""R1"",IF(REGEXMATCH(LE303, ""R""), ""R2"",""""))"),"")</f>
        <v/>
      </c>
      <c r="LK303" s="299" t="str">
        <f>IFERROR(__xludf.DUMMYFUNCTION("IF(REGEXMATCH(LD303, ""g""), ""g1"",IF(REGEXMATCH(LE303, ""g""), ""g2"",""""))"),"")</f>
        <v/>
      </c>
      <c r="LL303" s="299" t="str">
        <f>IFERROR(__xludf.DUMMYFUNCTION("IF(REGEXMATCH(LD303, ""G""), ""G1"",IF(REGEXMATCH(LE303, ""G""), ""G2"",""""))"),"")</f>
        <v/>
      </c>
      <c r="LM303" s="299" t="str">
        <f>IFERROR(__xludf.DUMMYFUNCTION("IF(REGEXMATCH(LD303, ""m""), ""m1"",IF(REGEXMATCH(LE303, ""m""), ""m2"",""""))"),"")</f>
        <v/>
      </c>
      <c r="LN303" s="299" t="str">
        <f>IFERROR(__xludf.DUMMYFUNCTION("IF(REGEXMATCH(LD303, ""M""), ""M1"",IF(REGEXMATCH(LE303, ""M""), ""M2"",""""))"),"")</f>
        <v/>
      </c>
      <c r="LO303" s="299" t="str">
        <f>IFERROR(__xludf.DUMMYFUNCTION("IF(REGEXMATCH(LD303, ""P""), ""P1"",IF(REGEXMATCH(LE303, ""P""), ""P2"",""""))"),"")</f>
        <v/>
      </c>
      <c r="LP303" s="299" t="str">
        <f>IFERROR(__xludf.DUMMYFUNCTION("IF(REGEXMATCH(LD303, ""d""), ""d1"",IF(REGEXMATCH(LE303, ""d""), ""d2"",""""))"),"")</f>
        <v/>
      </c>
      <c r="LQ303" s="299" t="str">
        <f>IFERROR(__xludf.DUMMYFUNCTION("IF(REGEXMATCH(LD303, ""D""), ""D1"",IF(REGEXMATCH(LE303, ""D""), ""D2"",""""))"),"")</f>
        <v/>
      </c>
      <c r="LR303" s="299" t="str">
        <f>IFERROR(__xludf.DUMMYFUNCTION("IF(REGEXMATCH(LD303, ""n""), ""n1"",IF(REGEXMATCH(LE303, ""n""), ""n2"",""""))"),"")</f>
        <v/>
      </c>
      <c r="LS303" s="299" t="str">
        <f>IFERROR(__xludf.DUMMYFUNCTION("IF(REGEXMATCH(LD303, ""N""), ""N1"",IF(REGEXMATCH(LE303, ""N""), ""N2"",""""))"),"")</f>
        <v/>
      </c>
      <c r="LT303" s="388" t="str">
        <f>IFERROR(__xludf.DUMMYFUNCTION("IF(REGEXMATCH(LD303, ""S""), ""S"",IF(REGEXMATCH(LE303, ""S""), ""S"",""""))"),"S")</f>
        <v>S</v>
      </c>
      <c r="LU303" s="389">
        <f t="shared" si="196"/>
        <v>1</v>
      </c>
      <c r="LV303" s="378"/>
      <c r="LW303" s="369"/>
      <c r="LX303" s="369"/>
    </row>
    <row r="304" ht="18.0" customHeight="1">
      <c r="A304" s="298" t="s">
        <v>1128</v>
      </c>
      <c r="B304" s="222" t="s">
        <v>861</v>
      </c>
      <c r="C304" s="233" t="str">
        <f t="shared" si="7"/>
        <v>SRMPDnS</v>
      </c>
      <c r="D304" s="234" t="str">
        <f>IFERROR(__xludf.DUMMYFUNCTION("IF(REGEXMATCH(C304, ""S""), ""S"","""")"),"S")</f>
        <v>S</v>
      </c>
      <c r="E304" s="236" t="str">
        <f>IFERROR(__xludf.DUMMYFUNCTION("IF(REGEXMATCH(C304, ""r""), ""r"","""")"),"")</f>
        <v/>
      </c>
      <c r="F304" s="237" t="str">
        <f>IFERROR(__xludf.DUMMYFUNCTION("IF(REGEXMATCH(C304, ""R""), ""R"","""")"),"R")</f>
        <v>R</v>
      </c>
      <c r="G304" s="237" t="str">
        <f>IFERROR(__xludf.DUMMYFUNCTION("IF(REGEXMATCH(C304, ""g""), ""g"","""")"),"")</f>
        <v/>
      </c>
      <c r="H304" s="236" t="str">
        <f>IFERROR(__xludf.DUMMYFUNCTION("IF(REGEXMATCH(C304, ""G""), ""G"","""")"),"")</f>
        <v/>
      </c>
      <c r="I304" s="236" t="str">
        <f>IFERROR(__xludf.DUMMYFUNCTION("IF(REGEXMATCH(C304, ""m""), ""m"","""")"),"")</f>
        <v/>
      </c>
      <c r="J304" s="237" t="str">
        <f>IFERROR(__xludf.DUMMYFUNCTION("IF(REGEXMATCH(C304, ""M""), ""M"","""")"),"M")</f>
        <v>M</v>
      </c>
      <c r="K304" s="236" t="str">
        <f>IFERROR(__xludf.DUMMYFUNCTION("IF(REGEXMATCH(C304, ""P""), ""P"","""")"),"P")</f>
        <v>P</v>
      </c>
      <c r="L304" s="237" t="str">
        <f>IFERROR(__xludf.DUMMYFUNCTION("IF(REGEXMATCH(C304, ""d""), ""d"","""")"),"")</f>
        <v/>
      </c>
      <c r="M304" s="236" t="str">
        <f>IFERROR(__xludf.DUMMYFUNCTION("IF(REGEXMATCH(C304, ""D""), ""D"","""")"),"D")</f>
        <v>D</v>
      </c>
      <c r="N304" s="236" t="str">
        <f>IFERROR(__xludf.DUMMYFUNCTION("IF(REGEXMATCH(C304, ""n""), ""n"","""")"),"n")</f>
        <v>n</v>
      </c>
      <c r="O304" s="237" t="str">
        <f>IFERROR(__xludf.DUMMYFUNCTION("IF(REGEXMATCH(C304, ""N""), ""N"","""")"),"")</f>
        <v/>
      </c>
      <c r="P304" s="238" t="str">
        <f>IFERROR(__xludf.DUMMYFUNCTION("IF(REGEXMATCH(C304, ""S""), ""S"","""")"),"S")</f>
        <v>S</v>
      </c>
      <c r="Q304" s="239" t="str">
        <f>IFERROR(__xludf.DUMMYFUNCTION("SUBSTITUTE(CONCATENATE(JOIN(""-"",D304:J304)),""-"","""")"),"SRM")</f>
        <v>SRM</v>
      </c>
      <c r="R304" s="229" t="str">
        <f>IFERROR(__xludf.DUMMYFUNCTION("SUBSTITUTE(CONCATENATE(JOIN(""-"",K304:P304)),""-"","""")"),"PDnS")</f>
        <v>PDnS</v>
      </c>
      <c r="S304" s="282" t="str">
        <f t="shared" si="8"/>
        <v>S-R-M</v>
      </c>
      <c r="T304" s="282" t="str">
        <f t="shared" si="9"/>
        <v>P-D-N-S</v>
      </c>
      <c r="U304" s="237" t="str">
        <f>IFERROR(__xludf.DUMMYFUNCTION("SUBSTITUTE(JOIN(""-"",S304,T304),""--"",""-"")"),"S-R-M-P-D-N-S")</f>
        <v>S-R-M-P-D-N-S</v>
      </c>
      <c r="V304" s="309" t="str">
        <f t="shared" si="10"/>
        <v>RMDn</v>
      </c>
      <c r="W304" s="244" t="str">
        <f>IFERROR(__xludf.DUMMYFUNCTION("IF(REGEXMATCH(C304, ""S""), ""0"","""")"),"0")</f>
        <v>0</v>
      </c>
      <c r="X304" s="245" t="str">
        <f>IFERROR(__xludf.DUMMYFUNCTION("IF(REGEXMATCH(C304, ""r""), ""1"","""")"),"")</f>
        <v/>
      </c>
      <c r="Y304" s="246" t="str">
        <f>IFERROR(__xludf.DUMMYFUNCTION("IF(REGEXMATCH(C304, ""R""), ""2"","""")"),"2")</f>
        <v>2</v>
      </c>
      <c r="Z304" s="246" t="str">
        <f>IFERROR(__xludf.DUMMYFUNCTION("IF(REGEXMATCH(C304, ""g""), ""3"","""")"),"")</f>
        <v/>
      </c>
      <c r="AA304" s="245" t="str">
        <f>IFERROR(__xludf.DUMMYFUNCTION("IF(REGEXMATCH(C304, ""G""), ""4"","""")"),"")</f>
        <v/>
      </c>
      <c r="AB304" s="245" t="str">
        <f>IFERROR(__xludf.DUMMYFUNCTION("IF(REGEXMATCH(C304, ""m""), ""5"","""")"),"")</f>
        <v/>
      </c>
      <c r="AC304" s="246" t="str">
        <f>IFERROR(__xludf.DUMMYFUNCTION("IF(REGEXMATCH(C304, ""M""), ""6"","""")"),"6")</f>
        <v>6</v>
      </c>
      <c r="AD304" s="245" t="str">
        <f>IFERROR(__xludf.DUMMYFUNCTION("IF(REGEXMATCH(C304, ""P""), ""7"","""")"),"7")</f>
        <v>7</v>
      </c>
      <c r="AE304" s="246" t="str">
        <f>IFERROR(__xludf.DUMMYFUNCTION("IF(REGEXMATCH(C304, ""d""), ""8"","""")"),"")</f>
        <v/>
      </c>
      <c r="AF304" s="245" t="str">
        <f>IFERROR(__xludf.DUMMYFUNCTION("IF(REGEXMATCH(C304, ""D""), ""9"","""")"),"9")</f>
        <v>9</v>
      </c>
      <c r="AG304" s="245" t="str">
        <f>IFERROR(__xludf.DUMMYFUNCTION("IF(REGEXMATCH(C304, ""n""), ""10"","""")"),"10")</f>
        <v>10</v>
      </c>
      <c r="AH304" s="246" t="str">
        <f>IFERROR(__xludf.DUMMYFUNCTION("IF(REGEXMATCH(C304, ""N""), ""11"","""")"),"")</f>
        <v/>
      </c>
      <c r="AI304" s="249" t="str">
        <f>IFERROR(__xludf.DUMMYFUNCTION("IF(REGEXMATCH(C304, ""S""), ""0"","""")"),"0")</f>
        <v>0</v>
      </c>
      <c r="AJ304" s="313" t="str">
        <f t="shared" si="11"/>
        <v>T</v>
      </c>
      <c r="AK304" s="313" t="str">
        <f t="shared" si="12"/>
        <v>-</v>
      </c>
      <c r="AL304" s="313" t="str">
        <f t="shared" si="13"/>
        <v>-</v>
      </c>
      <c r="AM304" s="313" t="str">
        <f t="shared" si="14"/>
        <v>-</v>
      </c>
      <c r="AN304" s="313" t="str">
        <f t="shared" si="15"/>
        <v>-</v>
      </c>
      <c r="AO304" s="314" t="str">
        <f t="shared" si="16"/>
        <v>-</v>
      </c>
      <c r="AP304" s="316">
        <f t="shared" si="17"/>
        <v>1</v>
      </c>
      <c r="AQ304" s="319" t="str">
        <f t="shared" si="18"/>
        <v>#REF!</v>
      </c>
      <c r="AR304" s="320">
        <f t="shared" si="19"/>
        <v>0</v>
      </c>
      <c r="AS304" s="250" t="str">
        <f>IFERROR(__xludf.DUMMYFUNCTION("SUBSTITUTE(SUBSTITUTE(CONCATENATE(JOIN("""",FP304:GA304)),""|"",""x""),""-"",""o"")"),"xoxoooxxoxxo")</f>
        <v>xoxoooxxoxxo</v>
      </c>
      <c r="AT304" s="323" t="str">
        <f>IFERROR(__xludf.DUMMYFUNCTION("JOIN("""",AS304,AS304)"),"xoxoooxxoxxoxoxoooxxoxxo")</f>
        <v>xoxoooxxoxxoxoxoooxxoxxo</v>
      </c>
      <c r="AU304" s="256" t="str">
        <f>IFERROR(__xludf.DUMMYFUNCTION("JOIN("""",ArrayFormula(MID(AS304,LEN(AS304)-SEQUENCE(1,LEN(AS304))+1,1)))"),"oxxoxxoooxox")</f>
        <v>oxxoxxoooxox</v>
      </c>
      <c r="AV304" s="256" t="str">
        <f>IFERROR(__xludf.DUMMYFUNCTION("LEFT(CONCATENATE(""x"",JOIN("""",ArrayFormula(MID(AS304,LEN(AS304)-SEQUENCE(1,LEN(AS304))+1,1)))),12)"),"xoxxoxxoooxo")</f>
        <v>xoxxoxxoooxo</v>
      </c>
      <c r="AW304" s="327" t="str">
        <f>IFERROR(__xludf.DUMMYFUNCTION("JOIN("""",AU304,AU304)"),"oxxoxxoooxoxoxxoxxoooxox")</f>
        <v>oxxoxxoooxoxoxxoxxoooxox</v>
      </c>
      <c r="AX304" s="239" t="str">
        <f>IFERROR(__xludf.DUMMYFUNCTION("IF(REGEXMATCH(AW304,AS304),""✔"",""-"")"),"-")</f>
        <v>-</v>
      </c>
      <c r="AY304" s="330" t="str">
        <f t="shared" si="20"/>
        <v>-</v>
      </c>
      <c r="AZ304" s="260" t="str">
        <f t="shared" si="21"/>
        <v>#REF!</v>
      </c>
      <c r="BA304" s="333" t="str">
        <f t="shared" si="22"/>
        <v>xoxooox</v>
      </c>
      <c r="BB304" s="334" t="str">
        <f t="shared" si="23"/>
        <v>xoxxox</v>
      </c>
      <c r="BC304" s="335" t="str">
        <f t="shared" si="236"/>
        <v>-</v>
      </c>
      <c r="BD304" s="336" t="str">
        <f t="shared" si="25"/>
        <v>Saraswati: 'xoxooox' + 'xoxxox'</v>
      </c>
      <c r="BE304" s="337">
        <f>IFERROR(__xludf.DUMMYFUNCTION("COUNTUNIQUE(FILTER(AT:AT,REGEXMATCH(AT:AT,AS304)))-1"),3.0)</f>
        <v>3</v>
      </c>
      <c r="BF304" s="261" t="str">
        <f>IFERROR(__xludf.DUMMYFUNCTION("IF(BI304=0,""(n/a)"",IF(BJ304=2,""(PAIR)"",IF(REGEXMATCH(AT304,""xoxoxxoxoxox""),""Bilawal"",IF(REGEXMATCH(AT304,""xoxoxooxoxoo""),""Bhupali"",IF(REGEXMATCH(AT304,""xoxoxxoxxoxo""),""Charukeshi"",IF(REGEXMATCH(AT304,""xoxoooxxoxxo""),""Kameshwari"",IF(REG"&amp;"EXMATCH(AT304,""xoxoxooxoxox""),""Shankara"",IF(REGEXMATCH(AT304,""xxooxoxxxoox""),""Basant"",IF(REGEXMATCH(AT304,""xoxoxxxxoxox""),""Bihag"",IF(REGEXMATCH(AT304,""xoxxxxoxoxxx""),""Pilu"",IF(REGEXMATCH(AT304,""xoxxoxoxxoox""),""Kirwani"",IF(REGEXMATCH(AT"&amp;"304,""xoxxoxoxoxxx""),""Mk.Malhar"",IF(REGEXMATCH(AT304,""xxooxxoxxoox""),""Bhairav"",IF(REGEXMATCH(AT304,""xxoxooxxxoox""),""Todi"",IF(REGEXMATCH(AT304,""xxooxoxooxox""),""Marwa"",IF(REGEXMATCH(AT304,""xxoooxoxxooo""),""Gunkali"",IF(REGEXMATCH(AT304,""xo"&amp;"xoxxoxxoox""),""Nat Bhairav"",IF(REGEXMATCH(AT304,""xoxxoooxoxoo""),""Shivranjani"",IF(REGEXMATCH(AT304,""xooxxxoxooxo""),""Jog"",IF(REGEXMATCH(AT304,""xxooxoxoxoox""),""Hemshri"",IF(REGEXMATCH(AT304,""xoooxooxoxxo""),""Kalavati"",IF(REGEXMATCH(AT304,""xx"&amp;"oxoxxoxoox""),""Kedar"",IF(REGEXMATCH(AT304,""xoxxxxoxooxx""),""Gara"",IF(REGEXMATCH(AT304,""xooxoxooxoox""),""Chandrakauns"",IF(REGEXMATCH(AT304,""xoxxxxoxxxox""),""Mand"",IF(REGEXMATCH(AT304,""xoxxxxoxoxox""),""Hanskinkini"",IF(REGEXMATCH(AT304,""xxooxx"&amp;"oxooxo""),""Lilavati"",IF(REGEXMATCH(AT304,""xooxoxoooxox""),""Rajeshwari"",IF(REGEXMATCH(AT304,""xoooxxoxoxxx""),""Khokar"",IF(REGEXMATCH(AT304,""xxooxoxxxxox""),""Maligoura"",""-""))))))))))))))))))))))))))))))"),"Kameshwari")</f>
        <v>Kameshwari</v>
      </c>
      <c r="BG304" s="239" t="str">
        <f t="shared" si="26"/>
        <v>#REF!</v>
      </c>
      <c r="BH304" s="239">
        <f>IFERROR(__xludf.DUMMYFUNCTION("COUNTUNIQUE(FE304:FO304)-1"),5.0)</f>
        <v>5</v>
      </c>
      <c r="BI304" s="239">
        <f>IFERROR(__xludf.DUMMYFUNCTION("COUNTUNIQUE(FILTER(AT:AT,REGEXMATCH(AT:AT,AS304)))-1"),3.0)</f>
        <v>3</v>
      </c>
      <c r="BJ304" s="239">
        <f>IFERROR(__xludf.DUMMYFUNCTION("COUNTA(FILTER(AT:AT,REGEXMATCH(AT:AT,AS304)))"),6.0)</f>
        <v>6</v>
      </c>
      <c r="BK304" s="341">
        <f>IFERROR(__xludf.DUMMYFUNCTION("COUNTA(FILTER(AT:AT,REGEXMATCH(AT:AT,AS304)))-AR304"),6.0)</f>
        <v>6</v>
      </c>
      <c r="BL304" s="276" t="str">
        <f>IFERROR(__xludf.DUMMYFUNCTION("IF(AS304=""oooooooooooo"",""-"",IF(REGEXMATCH(AT304,""xx""), ""Hemi."", ""Anhemi.""))"),"Hemi.")</f>
        <v>Hemi.</v>
      </c>
      <c r="BM304" s="282" t="str">
        <f>IFERROR(__xludf.DUMMYFUNCTION("IF(AS304=""oooooooooooo"",""-"",IF(REGEXMATCH(AT304,""xxx""), ""Cohem."", ""-""))"),"-")</f>
        <v>-</v>
      </c>
      <c r="BN304" s="282" t="str">
        <f>IFERROR(__xludf.DUMMYFUNCTION("IF(AS304=""oooooooooooo"",""-"",IF(REGEXMATCH(AT304,""xxxx""), ""Co-Co."", ""-""))"),"-")</f>
        <v>-</v>
      </c>
      <c r="BO304" s="342" t="str">
        <f>IFERROR(__xludf.DUMMYFUNCTION("IF(AS304=""oooooooooooo"",""-"",IF(REGEXMATCH(AT304,""xxxxx""), ""CCC."", ""-""))"),"-")</f>
        <v>-</v>
      </c>
      <c r="BP304" s="344" t="str">
        <f t="shared" si="27"/>
        <v>-</v>
      </c>
      <c r="BQ304" s="282" t="str">
        <f>IFERROR(__xludf.DUMMYFUNCTION("IF(REGEXMATCH(JOIN(""-"",EU304:FD304),""TRUE""),""✔"",""-"")"),"-")</f>
        <v>-</v>
      </c>
      <c r="BR304" s="225">
        <f t="shared" si="28"/>
        <v>0</v>
      </c>
      <c r="BS304" s="345" t="str">
        <f>IFERROR(__xludf.DUMMYFUNCTION("SUBSTITUTE(SUBSTITUTE(SUBSTITUTE(SUBSTITUTE(CONCATENATE(JOIN(""-"",GC304:GO304)),""--"",""-""),""--"",""-""),""--"",""-""),""--"",""-"")"),"1-2-#4-5-6-b7-8")</f>
        <v>1-2-#4-5-6-b7-8</v>
      </c>
      <c r="BT304" s="299" t="str">
        <f>IFERROR(__xludf.DUMMYFUNCTION("SUBSTITUTE(SUBSTITUTE(SUBSTITUTE(SUBSTITUTE(CONCATENATE(JOIN(""-"",GP304:HB304)),""--"",""-""),""--"",""-""),""--"",""-""),""--"",""-"")"),"S-R2-M2-P-D2-N2-S")</f>
        <v>S-R2-M2-P-D2-N2-S</v>
      </c>
      <c r="BU304" s="348" t="str">
        <f t="shared" si="29"/>
        <v>C-D-F#-G-A-Bb-C</v>
      </c>
      <c r="BV304" s="349" t="str">
        <f t="shared" si="30"/>
        <v>SrgGmdNS</v>
      </c>
      <c r="BW304" s="350">
        <f t="shared" si="31"/>
        <v>0</v>
      </c>
      <c r="BX304" s="351">
        <f t="shared" si="32"/>
        <v>2</v>
      </c>
      <c r="BY304" s="392"/>
      <c r="BZ304" s="309" t="str">
        <f>IFERROR(__xludf.DUMMYFUNCTION("IF(REGEXMATCH(C304, ""S""), ""x"",""x"")"),"x")</f>
        <v>x</v>
      </c>
      <c r="CA304" s="245" t="str">
        <f>IFERROR(__xludf.DUMMYFUNCTION("IF(REGEXMATCH(C304, ""r""), ""o"",""x"")"),"x")</f>
        <v>x</v>
      </c>
      <c r="CB304" s="246" t="str">
        <f>IFERROR(__xludf.DUMMYFUNCTION("IF(REGEXMATCH(C304, ""R""), ""o"",""x"")"),"o")</f>
        <v>o</v>
      </c>
      <c r="CC304" s="246" t="str">
        <f>IFERROR(__xludf.DUMMYFUNCTION("IF(REGEXMATCH(C304, ""g""), ""o"",""x"")"),"x")</f>
        <v>x</v>
      </c>
      <c r="CD304" s="245" t="str">
        <f>IFERROR(__xludf.DUMMYFUNCTION("IF(REGEXMATCH(C304, ""G""), ""o"",""x"")"),"x")</f>
        <v>x</v>
      </c>
      <c r="CE304" s="245" t="str">
        <f>IFERROR(__xludf.DUMMYFUNCTION("IF(REGEXMATCH(C304, ""m""), ""o"",""x"")"),"x")</f>
        <v>x</v>
      </c>
      <c r="CF304" s="246" t="str">
        <f>IFERROR(__xludf.DUMMYFUNCTION("IF(REGEXMATCH(C304, ""M""), ""o"",""x"")"),"o")</f>
        <v>o</v>
      </c>
      <c r="CG304" s="245" t="str">
        <f>IFERROR(__xludf.DUMMYFUNCTION("IF(REGEXMATCH(C304, ""P""), ""o"",""x"")"),"o")</f>
        <v>o</v>
      </c>
      <c r="CH304" s="246" t="str">
        <f>IFERROR(__xludf.DUMMYFUNCTION("IF(REGEXMATCH(C304, ""d""), ""o"",""x"")"),"x")</f>
        <v>x</v>
      </c>
      <c r="CI304" s="245" t="str">
        <f>IFERROR(__xludf.DUMMYFUNCTION("IF(REGEXMATCH(C304, ""D""), ""o"",""x"")"),"o")</f>
        <v>o</v>
      </c>
      <c r="CJ304" s="245" t="str">
        <f>IFERROR(__xludf.DUMMYFUNCTION("IF(REGEXMATCH(C304, ""n""), ""o"",""x"")"),"o")</f>
        <v>o</v>
      </c>
      <c r="CK304" s="245" t="str">
        <f>IFERROR(__xludf.DUMMYFUNCTION("IF(REGEXMATCH(C304, ""N""), ""o"",""x"")"),"x")</f>
        <v>x</v>
      </c>
      <c r="CL304" s="356" t="str">
        <f>IFERROR(__xludf.DUMMYFUNCTION("IF(REGEXMATCH(C304, ""S""), ""x"",""x"")"),"x")</f>
        <v>x</v>
      </c>
      <c r="CM304" s="357" t="str">
        <f t="shared" si="33"/>
        <v>xxoxxxooxoox</v>
      </c>
      <c r="CN304" s="358">
        <f t="shared" si="34"/>
        <v>0</v>
      </c>
      <c r="CO304" s="246" t="str">
        <f>IFERROR(__xludf.DUMMYFUNCTION("IF(REGEXMATCH($C304, ""S""), ""S"",""S"")"),"S")</f>
        <v>S</v>
      </c>
      <c r="CP304" s="246" t="str">
        <f>IFERROR(__xludf.DUMMYFUNCTION("IF(REGEXMATCH($C304, ""r""), """",""r"")"),"r")</f>
        <v>r</v>
      </c>
      <c r="CQ304" s="246" t="str">
        <f>IFERROR(__xludf.DUMMYFUNCTION("IF(REGEXMATCH($C304, ""R""), """",""R"")"),"")</f>
        <v/>
      </c>
      <c r="CR304" s="246" t="str">
        <f>IFERROR(__xludf.DUMMYFUNCTION("IF(REGEXMATCH($C304, ""g""), """",""g"")"),"g")</f>
        <v>g</v>
      </c>
      <c r="CS304" s="246" t="str">
        <f>IFERROR(__xludf.DUMMYFUNCTION("IF(REGEXMATCH($C304, ""G""), """",""G"")"),"G")</f>
        <v>G</v>
      </c>
      <c r="CT304" s="246" t="str">
        <f>IFERROR(__xludf.DUMMYFUNCTION("IF(REGEXMATCH($C304, ""m""), """",""m"")"),"m")</f>
        <v>m</v>
      </c>
      <c r="CU304" s="246" t="str">
        <f>IFERROR(__xludf.DUMMYFUNCTION("IF(REGEXMATCH($C304, ""M""), """",""M"")"),"")</f>
        <v/>
      </c>
      <c r="CV304" s="246" t="str">
        <f>IFERROR(__xludf.DUMMYFUNCTION("IF(REGEXMATCH($C304, ""P""), """",""P"")"),"")</f>
        <v/>
      </c>
      <c r="CW304" s="246" t="str">
        <f>IFERROR(__xludf.DUMMYFUNCTION("IF(REGEXMATCH($C304, ""d""), """",""d"")"),"d")</f>
        <v>d</v>
      </c>
      <c r="CX304" s="246" t="str">
        <f>IFERROR(__xludf.DUMMYFUNCTION("IF(REGEXMATCH($C304, ""D""), """",""D"")"),"")</f>
        <v/>
      </c>
      <c r="CY304" s="246" t="str">
        <f>IFERROR(__xludf.DUMMYFUNCTION("IF(REGEXMATCH($C304, ""n""), """",""n"")"),"")</f>
        <v/>
      </c>
      <c r="CZ304" s="246" t="str">
        <f>IFERROR(__xludf.DUMMYFUNCTION("IF(REGEXMATCH($C304, ""N""), """",""N"")"),"N")</f>
        <v>N</v>
      </c>
      <c r="DA304" s="246" t="str">
        <f>IFERROR(__xludf.DUMMYFUNCTION("IF(REGEXMATCH($C304, ""S""), ""S"",""S"")"),"S")</f>
        <v>S</v>
      </c>
      <c r="DB304" s="362" t="str">
        <f>IFERROR(__xludf.DUMMYFUNCTION("JOIN("""",CO304:DA304,"""","""")"),"SrgGmdNS")</f>
        <v>SrgGmdNS</v>
      </c>
      <c r="DC304" s="363"/>
      <c r="DD304" s="301" t="str">
        <f t="shared" si="35"/>
        <v>#REF!</v>
      </c>
      <c r="DE304" s="302" t="str">
        <f t="shared" si="36"/>
        <v>#REF!</v>
      </c>
      <c r="DF304" s="301" t="str">
        <f t="shared" ref="DF304:DG304" si="835">SUBSTITUTE(S304,"-","")</f>
        <v>SRM</v>
      </c>
      <c r="DG304" s="301" t="str">
        <f t="shared" si="835"/>
        <v>PDNS</v>
      </c>
      <c r="DH304" s="302" t="str">
        <f t="shared" si="38"/>
        <v>Kameshwari</v>
      </c>
      <c r="DI304" s="301" t="str">
        <f t="shared" si="39"/>
        <v>Hemi.</v>
      </c>
      <c r="DJ304" s="364" t="str">
        <f t="shared" si="40"/>
        <v>-</v>
      </c>
      <c r="DK304" s="306" t="str">
        <f t="shared" si="41"/>
        <v>-</v>
      </c>
      <c r="DL304" s="366" t="str">
        <f t="shared" si="42"/>
        <v>-</v>
      </c>
      <c r="DM304" s="308" t="str">
        <f t="shared" si="43"/>
        <v>✔</v>
      </c>
      <c r="DN304" s="306" t="str">
        <f t="shared" si="44"/>
        <v>-</v>
      </c>
      <c r="DO304" s="306" t="str">
        <f t="shared" si="45"/>
        <v>-</v>
      </c>
      <c r="DP304" s="367" t="str">
        <f t="shared" si="46"/>
        <v>✔</v>
      </c>
      <c r="DQ304" s="310" t="str">
        <f t="shared" si="47"/>
        <v>-</v>
      </c>
      <c r="DR304" s="310" t="str">
        <f t="shared" si="48"/>
        <v>-</v>
      </c>
      <c r="DS304" s="310" t="str">
        <f t="shared" si="49"/>
        <v>-</v>
      </c>
      <c r="DT304" s="310" t="str">
        <f t="shared" si="50"/>
        <v>-</v>
      </c>
      <c r="DU304" s="370" t="str">
        <f t="shared" si="51"/>
        <v>-</v>
      </c>
      <c r="DV304" s="306" t="str">
        <f t="shared" si="52"/>
        <v>-</v>
      </c>
      <c r="DW304" s="306" t="str">
        <f t="shared" si="53"/>
        <v>✔</v>
      </c>
      <c r="DX304" s="306" t="str">
        <f t="shared" si="54"/>
        <v>-</v>
      </c>
      <c r="DY304" s="306" t="str">
        <f t="shared" si="55"/>
        <v>-</v>
      </c>
      <c r="DZ304" s="306" t="str">
        <f t="shared" si="56"/>
        <v>-</v>
      </c>
      <c r="EA304" s="367" t="str">
        <f t="shared" si="57"/>
        <v>-</v>
      </c>
      <c r="EB304" s="310" t="str">
        <f>IFERROR(__xludf.DUMMYFUNCTION("IF(REGEXMATCH(AW304,AS304),""✔"",""-"")"),"-")</f>
        <v>-</v>
      </c>
      <c r="EC304" s="310" t="str">
        <f t="shared" si="58"/>
        <v>#REF!</v>
      </c>
      <c r="ED304" s="370" t="str">
        <f t="shared" si="59"/>
        <v>-</v>
      </c>
      <c r="EE304" s="340" t="str">
        <f t="shared" si="60"/>
        <v>S-R-M-P-D-n-S</v>
      </c>
      <c r="EF304" s="371" t="str">
        <f>IFERROR(__xludf.DUMMYFUNCTION("CONCATENATE(JOIN("""",HC304:HO304))"),"SRgmMnS")</f>
        <v>SRgmMnS</v>
      </c>
      <c r="EG304" s="372">
        <f t="shared" si="61"/>
        <v>3</v>
      </c>
      <c r="EH304" s="373" t="str">
        <f>IFERROR(__xludf.DUMMYFUNCTION("CONCATENATE(JOIN("""",JC304:JO304))"),"Ma, Dha, ni, ")</f>
        <v>Ma, Dha, ni, </v>
      </c>
      <c r="EI304" s="322">
        <f t="shared" si="62"/>
        <v>2</v>
      </c>
      <c r="EJ304" s="374" t="str">
        <f>IFERROR(__xludf.DUMMYFUNCTION("CONCATENATE(JOIN("""",KC304:KO304))"),"Ma, ni, ")</f>
        <v>Ma, ni, </v>
      </c>
      <c r="EK304" s="325" t="str">
        <f t="shared" si="63"/>
        <v>S-R2-M2-P-D2-N2-S</v>
      </c>
      <c r="EL304" s="326" t="str">
        <f t="shared" si="64"/>
        <v>1-2-#4-5-6-b7-8</v>
      </c>
      <c r="EM304" s="318" t="str">
        <f t="shared" si="65"/>
        <v>#REF!</v>
      </c>
      <c r="EN304" s="328" t="str">
        <f>IFERROR(__xludf.DUMMYFUNCTION("SUBSTITUTE(SUBSTITUTE(SUBSTITUTE(SUBSTITUTE(CONCATENATE(JOIN("" "",HP304:IB304)),""  "","" ""),""  "","" ""),""  "","" ""),""  "","" "")"),"o • o • • • o o • o o • o")</f>
        <v>o • o • • • o o • o o • o</v>
      </c>
      <c r="EO304" s="368" t="str">
        <f t="shared" si="66"/>
        <v>Sa-Pa</v>
      </c>
      <c r="EP304" s="339" t="str">
        <f t="shared" si="67"/>
        <v>Sa-Pa</v>
      </c>
      <c r="EQ304" s="339" t="str">
        <f t="shared" si="68"/>
        <v>Sa-Pa</v>
      </c>
      <c r="ER304" s="339" t="str">
        <f t="shared" si="69"/>
        <v>-</v>
      </c>
      <c r="ES304" s="340" t="str">
        <f t="shared" si="70"/>
        <v>-</v>
      </c>
      <c r="ET304" s="363"/>
      <c r="EU304" s="376" t="b">
        <f>IFERROR(__xludf.DUMMYFUNCTION("arrayformula(sum(--REGEXMATCH(""SRGMPDNS"",split(REGEXREPLACE(C304,""(.)"",""$1~""),""~""))))=len(C304)
"),FALSE)</f>
        <v>0</v>
      </c>
      <c r="EV304" s="290" t="b">
        <f>IFERROR(__xludf.DUMMYFUNCTION("arrayformula(sum(--REGEXMATCH(""SRGmPDNS"",split(REGEXREPLACE(C304,""(.)"",""$1~""),""~""))))=len(C304)"),FALSE)</f>
        <v>0</v>
      </c>
      <c r="EW304" s="290" t="b">
        <f>IFERROR(__xludf.DUMMYFUNCTION("arrayformula(sum(--REGEXMATCH(""SRGmPDnS"",split(REGEXREPLACE(C304,""(.)"",""$1~""),""~""))))=len(C304)"),FALSE)</f>
        <v>0</v>
      </c>
      <c r="EX304" s="290" t="b">
        <f>IFERROR(__xludf.DUMMYFUNCTION("arrayformula(sum(--REGEXMATCH(""SRgmPDnS"",split(REGEXREPLACE(C304,""(.)"",""$1~""),""~""))))=len(C304)"),FALSE)</f>
        <v>0</v>
      </c>
      <c r="EY304" s="290" t="b">
        <f>IFERROR(__xludf.DUMMYFUNCTION("arrayformula(sum(--REGEXMATCH(""SRgmPdnS"",split(REGEXREPLACE(C304,""(.)"",""$1~""),""~""))))=len(C304)"),FALSE)</f>
        <v>0</v>
      </c>
      <c r="EZ304" s="290" t="b">
        <f>IFERROR(__xludf.DUMMYFUNCTION("arrayformula(sum(--REGEXMATCH(""SrgmPdnS"",split(REGEXREPLACE(C304,""(.)"",""$1~""),""~""))))=len(C304)"),FALSE)</f>
        <v>0</v>
      </c>
      <c r="FA304" s="290" t="b">
        <f>IFERROR(__xludf.DUMMYFUNCTION("arrayformula(sum(--REGEXMATCH(""SrGmPdNS"",split(REGEXREPLACE(C304,""(.)"",""$1~""),""~""))))=len(C304)"),FALSE)</f>
        <v>0</v>
      </c>
      <c r="FB304" s="290" t="b">
        <f>IFERROR(__xludf.DUMMYFUNCTION("arrayformula(sum(--REGEXMATCH(""SrGMPDNS"",split(REGEXREPLACE(C304,""(.)"",""$1~""),""~""))))=len(C304)"),FALSE)</f>
        <v>0</v>
      </c>
      <c r="FC304" s="290" t="b">
        <f>IFERROR(__xludf.DUMMYFUNCTION("arrayformula(sum(--REGEXMATCH(""SrGMPdNS"",split(REGEXREPLACE(C304,""(.)"",""$1~""),""~""))))=len(C304)"),FALSE)</f>
        <v>0</v>
      </c>
      <c r="FD304" s="377" t="b">
        <f>IFERROR(__xludf.DUMMYFUNCTION("arrayformula(sum(--REGEXMATCH(""SrgMPdNS"",split(REGEXREPLACE(C304,""(.)"",""$1~""),""~""))))=len(C304)"),FALSE)</f>
        <v>0</v>
      </c>
      <c r="FE304" s="269" t="str">
        <f t="shared" si="71"/>
        <v>-</v>
      </c>
      <c r="FF304" s="269" t="str">
        <f t="shared" si="72"/>
        <v>xoooxxoxxox</v>
      </c>
      <c r="FG304" s="271" t="str">
        <f t="shared" si="73"/>
        <v>-</v>
      </c>
      <c r="FH304" s="269" t="str">
        <f t="shared" si="74"/>
        <v>-</v>
      </c>
      <c r="FI304" s="271" t="str">
        <f t="shared" si="75"/>
        <v>-</v>
      </c>
      <c r="FJ304" s="271" t="str">
        <f t="shared" si="76"/>
        <v>xxoxxoxoxoo</v>
      </c>
      <c r="FK304" s="271" t="str">
        <f t="shared" si="77"/>
        <v>xoxxoxoxooo</v>
      </c>
      <c r="FL304" s="271" t="str">
        <f t="shared" si="78"/>
        <v>-</v>
      </c>
      <c r="FM304" s="271" t="str">
        <f t="shared" si="79"/>
        <v>xxoxoxoooxx</v>
      </c>
      <c r="FN304" s="271" t="str">
        <f t="shared" si="80"/>
        <v>xoxoxoooxxo</v>
      </c>
      <c r="FO304" s="274" t="str">
        <f t="shared" si="81"/>
        <v>-</v>
      </c>
      <c r="FP304" s="234" t="str">
        <f t="shared" si="82"/>
        <v>|</v>
      </c>
      <c r="FQ304" s="236" t="str">
        <f t="shared" si="83"/>
        <v>-</v>
      </c>
      <c r="FR304" s="237" t="str">
        <f t="shared" si="84"/>
        <v>|</v>
      </c>
      <c r="FS304" s="236" t="str">
        <f t="shared" si="85"/>
        <v>-</v>
      </c>
      <c r="FT304" s="237" t="str">
        <f t="shared" si="86"/>
        <v>-</v>
      </c>
      <c r="FU304" s="236" t="str">
        <f t="shared" si="87"/>
        <v>-</v>
      </c>
      <c r="FV304" s="237" t="str">
        <f t="shared" si="88"/>
        <v>|</v>
      </c>
      <c r="FW304" s="236" t="str">
        <f t="shared" si="89"/>
        <v>|</v>
      </c>
      <c r="FX304" s="237" t="str">
        <f t="shared" si="90"/>
        <v>-</v>
      </c>
      <c r="FY304" s="236" t="str">
        <f t="shared" si="91"/>
        <v>|</v>
      </c>
      <c r="FZ304" s="237" t="str">
        <f t="shared" si="92"/>
        <v>|</v>
      </c>
      <c r="GA304" s="236" t="str">
        <f t="shared" si="93"/>
        <v>-</v>
      </c>
      <c r="GB304" s="238" t="str">
        <f t="shared" si="94"/>
        <v>|</v>
      </c>
      <c r="GC304" s="244" t="str">
        <f>IFERROR(__xludf.DUMMYFUNCTION("IF(REGEXMATCH(C304, ""S""), ""1"","""")"),"1")</f>
        <v>1</v>
      </c>
      <c r="GD304" s="245" t="str">
        <f>IFERROR(__xludf.DUMMYFUNCTION("IF(REGEXMATCH(C304, ""r""), ""b2"","""")"),"")</f>
        <v/>
      </c>
      <c r="GE304" s="246" t="str">
        <f>IFERROR(__xludf.DUMMYFUNCTION("IF(REGEXMATCH(C304, ""R""), ""2"","""")"),"2")</f>
        <v>2</v>
      </c>
      <c r="GF304" s="246" t="str">
        <f>IFERROR(__xludf.DUMMYFUNCTION("IF(REGEXMATCH(C304, ""g""), ""b3"","""")"),"")</f>
        <v/>
      </c>
      <c r="GG304" s="245" t="str">
        <f>IFERROR(__xludf.DUMMYFUNCTION("IF(REGEXMATCH(C304, ""G""), ""3"","""")"),"")</f>
        <v/>
      </c>
      <c r="GH304" s="245" t="str">
        <f>IFERROR(__xludf.DUMMYFUNCTION("IF(REGEXMATCH(C304, ""m""), ""4"","""")"),"")</f>
        <v/>
      </c>
      <c r="GI304" s="246" t="str">
        <f>IFERROR(__xludf.DUMMYFUNCTION("IF(REGEXMATCH(C304, ""M""), ""#4"","""")"),"#4")</f>
        <v>#4</v>
      </c>
      <c r="GJ304" s="245" t="str">
        <f>IFERROR(__xludf.DUMMYFUNCTION("IF(REGEXMATCH(C304, ""P""), ""5"","""")"),"5")</f>
        <v>5</v>
      </c>
      <c r="GK304" s="246" t="str">
        <f>IFERROR(__xludf.DUMMYFUNCTION("IF(REGEXMATCH(C304, ""d""), ""b6"","""")"),"")</f>
        <v/>
      </c>
      <c r="GL304" s="245" t="str">
        <f>IFERROR(__xludf.DUMMYFUNCTION("IF(REGEXMATCH(C304, ""D""), ""6"","""")"),"6")</f>
        <v>6</v>
      </c>
      <c r="GM304" s="245" t="str">
        <f>IFERROR(__xludf.DUMMYFUNCTION("IF(REGEXMATCH(C304, ""n""), ""b7"","""")"),"b7")</f>
        <v>b7</v>
      </c>
      <c r="GN304" s="246" t="str">
        <f>IFERROR(__xludf.DUMMYFUNCTION("IF(REGEXMATCH(C304, ""N""), ""7"","""")"),"")</f>
        <v/>
      </c>
      <c r="GO304" s="249" t="str">
        <f>IFERROR(__xludf.DUMMYFUNCTION("IF(REGEXMATCH(C304, ""S""), ""8"","""")"),"8")</f>
        <v>8</v>
      </c>
      <c r="GP304" s="244" t="str">
        <f>IFERROR(__xludf.DUMMYFUNCTION("IF(REGEXMATCH(C304, ""S""), ""S"","""")"),"S")</f>
        <v>S</v>
      </c>
      <c r="GQ304" s="294" t="str">
        <f>IFERROR(__xludf.DUMMYFUNCTION("IF(REGEXMATCH(C304, ""r""), ""R1"","""")"),"")</f>
        <v/>
      </c>
      <c r="GR304" s="295" t="str">
        <f>IFERROR(__xludf.DUMMYFUNCTION("IF(REGEXMATCH(C304, ""R""), ""R2"","""")"),"R2")</f>
        <v>R2</v>
      </c>
      <c r="GS304" s="295" t="str">
        <f>IFERROR(__xludf.DUMMYFUNCTION("IF(REGEXMATCH(C304, ""g""), ""G2"","""")"),"")</f>
        <v/>
      </c>
      <c r="GT304" s="294" t="str">
        <f>IFERROR(__xludf.DUMMYFUNCTION("IF(REGEXMATCH(C304, ""G""), ""G3"","""")"),"")</f>
        <v/>
      </c>
      <c r="GU304" s="294" t="str">
        <f>IFERROR(__xludf.DUMMYFUNCTION("IF(REGEXMATCH(C304, ""m""), ""M1"","""")"),"")</f>
        <v/>
      </c>
      <c r="GV304" s="295" t="str">
        <f>IFERROR(__xludf.DUMMYFUNCTION("IF(REGEXMATCH(C304, ""M""), ""M2"","""")"),"M2")</f>
        <v>M2</v>
      </c>
      <c r="GW304" s="294" t="str">
        <f>IFERROR(__xludf.DUMMYFUNCTION("IF(REGEXMATCH(C304, ""P""), ""P"","""")"),"P")</f>
        <v>P</v>
      </c>
      <c r="GX304" s="295" t="str">
        <f>IFERROR(__xludf.DUMMYFUNCTION("IF(REGEXMATCH(C304, ""d""), ""D1"","""")"),"")</f>
        <v/>
      </c>
      <c r="GY304" s="294" t="str">
        <f>IFERROR(__xludf.DUMMYFUNCTION("IF(REGEXMATCH(C304, ""D""), ""D2"","""")"),"D2")</f>
        <v>D2</v>
      </c>
      <c r="GZ304" s="294" t="str">
        <f>IFERROR(__xludf.DUMMYFUNCTION("IF(REGEXMATCH(C304, ""n""), ""N2"","""")"),"N2")</f>
        <v>N2</v>
      </c>
      <c r="HA304" s="295" t="str">
        <f>IFERROR(__xludf.DUMMYFUNCTION("IF(REGEXMATCH(C304, ""N""), ""N3"","""")"),"")</f>
        <v/>
      </c>
      <c r="HB304" s="249" t="str">
        <f>IFERROR(__xludf.DUMMYFUNCTION("IF(REGEXMATCH(C304, ""S""), ""S"","""")"),"S")</f>
        <v>S</v>
      </c>
      <c r="HC304" s="331" t="str">
        <f t="shared" si="95"/>
        <v>S</v>
      </c>
      <c r="HD304" s="332" t="str">
        <f t="shared" si="96"/>
        <v/>
      </c>
      <c r="HE304" s="332" t="str">
        <f t="shared" si="97"/>
        <v>R</v>
      </c>
      <c r="HF304" s="332" t="str">
        <f t="shared" si="98"/>
        <v>g</v>
      </c>
      <c r="HG304" s="332" t="str">
        <f t="shared" si="99"/>
        <v/>
      </c>
      <c r="HH304" s="332" t="str">
        <f t="shared" si="100"/>
        <v>m</v>
      </c>
      <c r="HI304" s="332" t="str">
        <f t="shared" si="101"/>
        <v>M</v>
      </c>
      <c r="HJ304" s="332" t="str">
        <f t="shared" si="102"/>
        <v/>
      </c>
      <c r="HK304" s="332" t="str">
        <f t="shared" si="103"/>
        <v/>
      </c>
      <c r="HL304" s="332" t="str">
        <f t="shared" si="104"/>
        <v/>
      </c>
      <c r="HM304" s="332" t="str">
        <f t="shared" si="105"/>
        <v>n</v>
      </c>
      <c r="HN304" s="332" t="str">
        <f t="shared" si="106"/>
        <v/>
      </c>
      <c r="HO304" s="343" t="str">
        <f t="shared" si="107"/>
        <v>S</v>
      </c>
      <c r="HP304" s="331" t="str">
        <f t="shared" si="108"/>
        <v>o</v>
      </c>
      <c r="HQ304" s="332" t="str">
        <f t="shared" si="109"/>
        <v>•</v>
      </c>
      <c r="HR304" s="332" t="str">
        <f t="shared" si="110"/>
        <v>o</v>
      </c>
      <c r="HS304" s="332" t="str">
        <f t="shared" si="111"/>
        <v>•</v>
      </c>
      <c r="HT304" s="332" t="str">
        <f t="shared" si="112"/>
        <v>•</v>
      </c>
      <c r="HU304" s="332" t="str">
        <f t="shared" si="113"/>
        <v>•</v>
      </c>
      <c r="HV304" s="332" t="str">
        <f t="shared" si="114"/>
        <v>o</v>
      </c>
      <c r="HW304" s="332" t="str">
        <f t="shared" si="115"/>
        <v>o</v>
      </c>
      <c r="HX304" s="332" t="str">
        <f t="shared" si="116"/>
        <v>•</v>
      </c>
      <c r="HY304" s="332" t="str">
        <f t="shared" si="117"/>
        <v>o</v>
      </c>
      <c r="HZ304" s="332" t="str">
        <f t="shared" si="118"/>
        <v>o</v>
      </c>
      <c r="IA304" s="332" t="str">
        <f t="shared" si="119"/>
        <v>•</v>
      </c>
      <c r="IB304" s="338" t="str">
        <f t="shared" si="120"/>
        <v>o</v>
      </c>
      <c r="IC304" s="331" t="str">
        <f t="shared" si="121"/>
        <v>•</v>
      </c>
      <c r="ID304" s="332" t="str">
        <f t="shared" si="122"/>
        <v>o</v>
      </c>
      <c r="IE304" s="332" t="str">
        <f t="shared" si="123"/>
        <v>•</v>
      </c>
      <c r="IF304" s="332" t="str">
        <f t="shared" si="124"/>
        <v>o</v>
      </c>
      <c r="IG304" s="332" t="str">
        <f t="shared" si="125"/>
        <v>o</v>
      </c>
      <c r="IH304" s="332" t="str">
        <f t="shared" si="126"/>
        <v>o</v>
      </c>
      <c r="II304" s="332" t="str">
        <f t="shared" si="127"/>
        <v>•</v>
      </c>
      <c r="IJ304" s="332" t="str">
        <f t="shared" si="128"/>
        <v>•</v>
      </c>
      <c r="IK304" s="332" t="str">
        <f t="shared" si="129"/>
        <v>o</v>
      </c>
      <c r="IL304" s="332" t="str">
        <f t="shared" si="130"/>
        <v>•</v>
      </c>
      <c r="IM304" s="332" t="str">
        <f t="shared" si="131"/>
        <v>•</v>
      </c>
      <c r="IN304" s="332" t="str">
        <f t="shared" si="132"/>
        <v>o</v>
      </c>
      <c r="IO304" s="338" t="str">
        <f t="shared" si="133"/>
        <v>•</v>
      </c>
      <c r="IP304" s="346" t="b">
        <f t="shared" si="134"/>
        <v>0</v>
      </c>
      <c r="IQ304" s="347" t="b">
        <f t="shared" si="135"/>
        <v>0</v>
      </c>
      <c r="IR304" s="347" t="b">
        <f t="shared" si="136"/>
        <v>0</v>
      </c>
      <c r="IS304" s="347" t="b">
        <f t="shared" si="137"/>
        <v>0</v>
      </c>
      <c r="IT304" s="347" t="b">
        <f t="shared" si="138"/>
        <v>0</v>
      </c>
      <c r="IU304" s="347" t="b">
        <f t="shared" si="139"/>
        <v>0</v>
      </c>
      <c r="IV304" s="347" t="b">
        <f t="shared" si="140"/>
        <v>1</v>
      </c>
      <c r="IW304" s="347" t="b">
        <f t="shared" si="141"/>
        <v>0</v>
      </c>
      <c r="IX304" s="347" t="b">
        <f t="shared" si="142"/>
        <v>0</v>
      </c>
      <c r="IY304" s="347" t="b">
        <f t="shared" si="143"/>
        <v>1</v>
      </c>
      <c r="IZ304" s="347" t="b">
        <f t="shared" si="144"/>
        <v>1</v>
      </c>
      <c r="JA304" s="347" t="b">
        <f t="shared" si="145"/>
        <v>0</v>
      </c>
      <c r="JB304" s="353" t="b">
        <f t="shared" si="146"/>
        <v>0</v>
      </c>
      <c r="JC304" s="354" t="str">
        <f t="shared" si="147"/>
        <v/>
      </c>
      <c r="JD304" s="355" t="str">
        <f t="shared" si="148"/>
        <v/>
      </c>
      <c r="JE304" s="355" t="str">
        <f t="shared" si="149"/>
        <v/>
      </c>
      <c r="JF304" s="355" t="str">
        <f t="shared" si="150"/>
        <v/>
      </c>
      <c r="JG304" s="355" t="str">
        <f t="shared" si="151"/>
        <v/>
      </c>
      <c r="JH304" s="355" t="str">
        <f t="shared" si="152"/>
        <v/>
      </c>
      <c r="JI304" s="355" t="str">
        <f t="shared" si="153"/>
        <v>Ma, </v>
      </c>
      <c r="JJ304" s="355" t="str">
        <f t="shared" si="154"/>
        <v/>
      </c>
      <c r="JK304" s="355" t="str">
        <f t="shared" si="155"/>
        <v/>
      </c>
      <c r="JL304" s="355" t="str">
        <f t="shared" si="156"/>
        <v>Dha, </v>
      </c>
      <c r="JM304" s="355" t="str">
        <f t="shared" si="157"/>
        <v>ni, </v>
      </c>
      <c r="JN304" s="355" t="str">
        <f t="shared" si="158"/>
        <v/>
      </c>
      <c r="JO304" s="359" t="str">
        <f t="shared" si="159"/>
        <v/>
      </c>
      <c r="JP304" s="346" t="b">
        <f t="shared" si="160"/>
        <v>0</v>
      </c>
      <c r="JQ304" s="347" t="b">
        <f t="shared" si="161"/>
        <v>0</v>
      </c>
      <c r="JR304" s="347" t="b">
        <f t="shared" si="162"/>
        <v>0</v>
      </c>
      <c r="JS304" s="347" t="b">
        <f t="shared" si="163"/>
        <v>0</v>
      </c>
      <c r="JT304" s="347" t="b">
        <f t="shared" si="164"/>
        <v>0</v>
      </c>
      <c r="JU304" s="347" t="b">
        <f t="shared" si="165"/>
        <v>0</v>
      </c>
      <c r="JV304" s="347" t="b">
        <f t="shared" si="166"/>
        <v>1</v>
      </c>
      <c r="JW304" s="347" t="b">
        <f t="shared" si="167"/>
        <v>0</v>
      </c>
      <c r="JX304" s="347" t="b">
        <f t="shared" si="168"/>
        <v>0</v>
      </c>
      <c r="JY304" s="347" t="b">
        <f t="shared" si="169"/>
        <v>0</v>
      </c>
      <c r="JZ304" s="347" t="b">
        <f t="shared" si="170"/>
        <v>1</v>
      </c>
      <c r="KA304" s="347" t="b">
        <f t="shared" si="171"/>
        <v>0</v>
      </c>
      <c r="KB304" s="365" t="b">
        <f t="shared" si="172"/>
        <v>0</v>
      </c>
      <c r="KC304" s="354" t="str">
        <f t="shared" si="173"/>
        <v/>
      </c>
      <c r="KD304" s="355" t="str">
        <f t="shared" si="174"/>
        <v/>
      </c>
      <c r="KE304" s="355" t="str">
        <f t="shared" si="175"/>
        <v/>
      </c>
      <c r="KF304" s="355" t="str">
        <f t="shared" si="176"/>
        <v/>
      </c>
      <c r="KG304" s="355" t="str">
        <f t="shared" si="177"/>
        <v/>
      </c>
      <c r="KH304" s="355" t="str">
        <f t="shared" si="178"/>
        <v/>
      </c>
      <c r="KI304" s="355" t="str">
        <f t="shared" si="179"/>
        <v>Ma, </v>
      </c>
      <c r="KJ304" s="355" t="str">
        <f t="shared" si="180"/>
        <v/>
      </c>
      <c r="KK304" s="355" t="str">
        <f t="shared" si="181"/>
        <v/>
      </c>
      <c r="KL304" s="355" t="str">
        <f t="shared" si="182"/>
        <v/>
      </c>
      <c r="KM304" s="355" t="str">
        <f t="shared" si="183"/>
        <v>ni, </v>
      </c>
      <c r="KN304" s="355" t="str">
        <f t="shared" si="184"/>
        <v/>
      </c>
      <c r="KO304" s="359"/>
      <c r="KP304" s="378"/>
      <c r="KQ304" s="379" t="s">
        <v>1481</v>
      </c>
      <c r="KR304" s="380" t="s">
        <v>1424</v>
      </c>
      <c r="KS304" s="381" t="str">
        <f t="shared" ref="KS304:KS305" si="838">KQ304</f>
        <v>S-R-M-P-D-S</v>
      </c>
      <c r="KT304" s="382">
        <f t="shared" si="186"/>
        <v>5</v>
      </c>
      <c r="KU304" s="383">
        <f t="shared" si="187"/>
        <v>5</v>
      </c>
      <c r="KV304" s="381" t="str">
        <f t="shared" si="205"/>
        <v>S-n-D-P-M-R-S</v>
      </c>
      <c r="KW304" s="382">
        <f t="shared" si="189"/>
        <v>6</v>
      </c>
      <c r="KX304" s="384">
        <f t="shared" si="190"/>
        <v>6</v>
      </c>
      <c r="KY304" s="382">
        <f t="shared" ref="KY304:KZ304" si="836">KW304-KT304</f>
        <v>1</v>
      </c>
      <c r="KZ304" s="369">
        <f t="shared" si="836"/>
        <v>1</v>
      </c>
      <c r="LA304" s="385" t="str">
        <f t="shared" si="192"/>
        <v>-</v>
      </c>
      <c r="LB304" s="340" t="str">
        <f>IFERROR(__xludf.DUMMYFUNCTION("JOIN("""",ArrayFormula(MID(KS304,LEN(KS304)-SEQUENCE(1,LEN(KS304))+1,1)))"),"S-D-P-M-R-S")</f>
        <v>S-D-P-M-R-S</v>
      </c>
      <c r="LC304" s="373" t="str">
        <f>IFERROR(__xludf.DUMMYFUNCTION("JOIN("""",ArrayFormula(MID(KV304,LEN(KV304)-SEQUENCE(1,LEN(KV304))+1,1)))"),"S-R-M-P-D-n-S")</f>
        <v>S-R-M-P-D-n-S</v>
      </c>
      <c r="LD304" s="373" t="str">
        <f t="shared" si="193"/>
        <v>SRMPDS</v>
      </c>
      <c r="LE304" s="339" t="str">
        <f t="shared" si="194"/>
        <v>SRMPDnS</v>
      </c>
      <c r="LF304" s="386" t="str">
        <f>IFERROR(__xludf.DUMMYFUNCTION("SUBSTITUTE(SUBSTITUTE(CONCATENATE(JOIN("""",LH304:LT304)),""1"",""""),""2"","""")"),"SRMPDnS")</f>
        <v>SRMPDnS</v>
      </c>
      <c r="LG304" s="369" t="str">
        <f t="shared" si="195"/>
        <v>✔</v>
      </c>
      <c r="LH304" s="387" t="str">
        <f>IFERROR(__xludf.DUMMYFUNCTION("IF(REGEXMATCH(LD304, ""S""), ""S"",IF(REGEXMATCH(LE304, ""S""), ""S"",""""))"),"S")</f>
        <v>S</v>
      </c>
      <c r="LI304" s="299" t="str">
        <f>IFERROR(__xludf.DUMMYFUNCTION("IF(REGEXMATCH(LD304, ""r""), ""r1"",IF(REGEXMATCH(LE304, ""r""), ""r2"",""""))"),"")</f>
        <v/>
      </c>
      <c r="LJ304" s="299" t="str">
        <f>IFERROR(__xludf.DUMMYFUNCTION("IF(REGEXMATCH(LD304, ""R""), ""R1"",IF(REGEXMATCH(LE304, ""R""), ""R2"",""""))"),"R1")</f>
        <v>R1</v>
      </c>
      <c r="LK304" s="299" t="str">
        <f>IFERROR(__xludf.DUMMYFUNCTION("IF(REGEXMATCH(LD304, ""g""), ""g1"",IF(REGEXMATCH(LE304, ""g""), ""g2"",""""))"),"")</f>
        <v/>
      </c>
      <c r="LL304" s="299" t="str">
        <f>IFERROR(__xludf.DUMMYFUNCTION("IF(REGEXMATCH(LD304, ""G""), ""G1"",IF(REGEXMATCH(LE304, ""G""), ""G2"",""""))"),"")</f>
        <v/>
      </c>
      <c r="LM304" s="299" t="str">
        <f>IFERROR(__xludf.DUMMYFUNCTION("IF(REGEXMATCH(LD304, ""m""), ""m1"",IF(REGEXMATCH(LE304, ""m""), ""m2"",""""))"),"")</f>
        <v/>
      </c>
      <c r="LN304" s="299" t="str">
        <f>IFERROR(__xludf.DUMMYFUNCTION("IF(REGEXMATCH(LD304, ""M""), ""M1"",IF(REGEXMATCH(LE304, ""M""), ""M2"",""""))"),"M1")</f>
        <v>M1</v>
      </c>
      <c r="LO304" s="299" t="str">
        <f>IFERROR(__xludf.DUMMYFUNCTION("IF(REGEXMATCH(LD304, ""P""), ""P1"",IF(REGEXMATCH(LE304, ""P""), ""P2"",""""))"),"P1")</f>
        <v>P1</v>
      </c>
      <c r="LP304" s="299" t="str">
        <f>IFERROR(__xludf.DUMMYFUNCTION("IF(REGEXMATCH(LD304, ""d""), ""d1"",IF(REGEXMATCH(LE304, ""d""), ""d2"",""""))"),"")</f>
        <v/>
      </c>
      <c r="LQ304" s="299" t="str">
        <f>IFERROR(__xludf.DUMMYFUNCTION("IF(REGEXMATCH(LD304, ""D""), ""D1"",IF(REGEXMATCH(LE304, ""D""), ""D2"",""""))"),"D1")</f>
        <v>D1</v>
      </c>
      <c r="LR304" s="299" t="str">
        <f>IFERROR(__xludf.DUMMYFUNCTION("IF(REGEXMATCH(LD304, ""n""), ""n1"",IF(REGEXMATCH(LE304, ""n""), ""n2"",""""))"),"n2")</f>
        <v>n2</v>
      </c>
      <c r="LS304" s="299" t="str">
        <f>IFERROR(__xludf.DUMMYFUNCTION("IF(REGEXMATCH(LD304, ""N""), ""N1"",IF(REGEXMATCH(LE304, ""N""), ""N2"",""""))"),"")</f>
        <v/>
      </c>
      <c r="LT304" s="388" t="str">
        <f>IFERROR(__xludf.DUMMYFUNCTION("IF(REGEXMATCH(LD304, ""S""), ""S"",IF(REGEXMATCH(LE304, ""S""), ""S"",""""))"),"S")</f>
        <v>S</v>
      </c>
      <c r="LU304" s="389">
        <f t="shared" si="196"/>
        <v>-1</v>
      </c>
      <c r="LV304" s="378"/>
      <c r="LW304" s="369"/>
      <c r="LX304" s="369"/>
    </row>
    <row r="305" ht="18.0" customHeight="1">
      <c r="A305" s="298" t="s">
        <v>1130</v>
      </c>
      <c r="B305" s="222" t="s">
        <v>648</v>
      </c>
      <c r="C305" s="233" t="str">
        <f t="shared" si="7"/>
        <v>SRGmMPDnNS</v>
      </c>
      <c r="D305" s="234" t="str">
        <f>IFERROR(__xludf.DUMMYFUNCTION("IF(REGEXMATCH(C305, ""S""), ""S"","""")"),"S")</f>
        <v>S</v>
      </c>
      <c r="E305" s="236" t="str">
        <f>IFERROR(__xludf.DUMMYFUNCTION("IF(REGEXMATCH(C305, ""r""), ""r"","""")"),"")</f>
        <v/>
      </c>
      <c r="F305" s="237" t="str">
        <f>IFERROR(__xludf.DUMMYFUNCTION("IF(REGEXMATCH(C305, ""R""), ""R"","""")"),"R")</f>
        <v>R</v>
      </c>
      <c r="G305" s="237" t="str">
        <f>IFERROR(__xludf.DUMMYFUNCTION("IF(REGEXMATCH(C305, ""g""), ""g"","""")"),"")</f>
        <v/>
      </c>
      <c r="H305" s="236" t="str">
        <f>IFERROR(__xludf.DUMMYFUNCTION("IF(REGEXMATCH(C305, ""G""), ""G"","""")"),"G")</f>
        <v>G</v>
      </c>
      <c r="I305" s="236" t="str">
        <f>IFERROR(__xludf.DUMMYFUNCTION("IF(REGEXMATCH(C305, ""m""), ""m"","""")"),"m")</f>
        <v>m</v>
      </c>
      <c r="J305" s="237" t="str">
        <f>IFERROR(__xludf.DUMMYFUNCTION("IF(REGEXMATCH(C305, ""M""), ""M"","""")"),"M")</f>
        <v>M</v>
      </c>
      <c r="K305" s="236" t="str">
        <f>IFERROR(__xludf.DUMMYFUNCTION("IF(REGEXMATCH(C305, ""P""), ""P"","""")"),"P")</f>
        <v>P</v>
      </c>
      <c r="L305" s="237" t="str">
        <f>IFERROR(__xludf.DUMMYFUNCTION("IF(REGEXMATCH(C305, ""d""), ""d"","""")"),"")</f>
        <v/>
      </c>
      <c r="M305" s="236" t="str">
        <f>IFERROR(__xludf.DUMMYFUNCTION("IF(REGEXMATCH(C305, ""D""), ""D"","""")"),"D")</f>
        <v>D</v>
      </c>
      <c r="N305" s="236" t="str">
        <f>IFERROR(__xludf.DUMMYFUNCTION("IF(REGEXMATCH(C305, ""n""), ""n"","""")"),"n")</f>
        <v>n</v>
      </c>
      <c r="O305" s="237" t="str">
        <f>IFERROR(__xludf.DUMMYFUNCTION("IF(REGEXMATCH(C305, ""N""), ""N"","""")"),"N")</f>
        <v>N</v>
      </c>
      <c r="P305" s="238" t="str">
        <f>IFERROR(__xludf.DUMMYFUNCTION("IF(REGEXMATCH(C305, ""S""), ""S"","""")"),"S")</f>
        <v>S</v>
      </c>
      <c r="Q305" s="239" t="str">
        <f>IFERROR(__xludf.DUMMYFUNCTION("SUBSTITUTE(CONCATENATE(JOIN(""-"",D305:J305)),""-"","""")"),"SRGmM")</f>
        <v>SRGmM</v>
      </c>
      <c r="R305" s="229" t="str">
        <f>IFERROR(__xludf.DUMMYFUNCTION("SUBSTITUTE(CONCATENATE(JOIN(""-"",K305:P305)),""-"","""")"),"PDnNS")</f>
        <v>PDnNS</v>
      </c>
      <c r="S305" s="282" t="str">
        <f t="shared" si="8"/>
        <v>S-R-G-M</v>
      </c>
      <c r="T305" s="282" t="str">
        <f t="shared" si="9"/>
        <v>P-D-N-S</v>
      </c>
      <c r="U305" s="237" t="str">
        <f>IFERROR(__xludf.DUMMYFUNCTION("SUBSTITUTE(JOIN(""-"",S305,T305),""--"",""-"")"),"S-R-G-M-P-D-N-S")</f>
        <v>S-R-G-M-P-D-N-S</v>
      </c>
      <c r="V305" s="309" t="str">
        <f t="shared" si="10"/>
        <v>RGmMDnN</v>
      </c>
      <c r="W305" s="244" t="str">
        <f>IFERROR(__xludf.DUMMYFUNCTION("IF(REGEXMATCH(C305, ""S""), ""0"","""")"),"0")</f>
        <v>0</v>
      </c>
      <c r="X305" s="245" t="str">
        <f>IFERROR(__xludf.DUMMYFUNCTION("IF(REGEXMATCH(C305, ""r""), ""1"","""")"),"")</f>
        <v/>
      </c>
      <c r="Y305" s="246" t="str">
        <f>IFERROR(__xludf.DUMMYFUNCTION("IF(REGEXMATCH(C305, ""R""), ""2"","""")"),"2")</f>
        <v>2</v>
      </c>
      <c r="Z305" s="246" t="str">
        <f>IFERROR(__xludf.DUMMYFUNCTION("IF(REGEXMATCH(C305, ""g""), ""3"","""")"),"")</f>
        <v/>
      </c>
      <c r="AA305" s="245" t="str">
        <f>IFERROR(__xludf.DUMMYFUNCTION("IF(REGEXMATCH(C305, ""G""), ""4"","""")"),"4")</f>
        <v>4</v>
      </c>
      <c r="AB305" s="245" t="str">
        <f>IFERROR(__xludf.DUMMYFUNCTION("IF(REGEXMATCH(C305, ""m""), ""5"","""")"),"5")</f>
        <v>5</v>
      </c>
      <c r="AC305" s="246" t="str">
        <f>IFERROR(__xludf.DUMMYFUNCTION("IF(REGEXMATCH(C305, ""M""), ""6"","""")"),"6")</f>
        <v>6</v>
      </c>
      <c r="AD305" s="245" t="str">
        <f>IFERROR(__xludf.DUMMYFUNCTION("IF(REGEXMATCH(C305, ""P""), ""7"","""")"),"7")</f>
        <v>7</v>
      </c>
      <c r="AE305" s="246" t="str">
        <f>IFERROR(__xludf.DUMMYFUNCTION("IF(REGEXMATCH(C305, ""d""), ""8"","""")"),"")</f>
        <v/>
      </c>
      <c r="AF305" s="245" t="str">
        <f>IFERROR(__xludf.DUMMYFUNCTION("IF(REGEXMATCH(C305, ""D""), ""9"","""")"),"9")</f>
        <v>9</v>
      </c>
      <c r="AG305" s="245" t="str">
        <f>IFERROR(__xludf.DUMMYFUNCTION("IF(REGEXMATCH(C305, ""n""), ""10"","""")"),"10")</f>
        <v>10</v>
      </c>
      <c r="AH305" s="246" t="str">
        <f>IFERROR(__xludf.DUMMYFUNCTION("IF(REGEXMATCH(C305, ""N""), ""11"","""")"),"11")</f>
        <v>11</v>
      </c>
      <c r="AI305" s="249" t="str">
        <f>IFERROR(__xludf.DUMMYFUNCTION("IF(REGEXMATCH(C305, ""S""), ""0"","""")"),"0")</f>
        <v>0</v>
      </c>
      <c r="AJ305" s="313" t="str">
        <f t="shared" si="11"/>
        <v>T</v>
      </c>
      <c r="AK305" s="313" t="str">
        <f t="shared" si="12"/>
        <v>-</v>
      </c>
      <c r="AL305" s="313" t="str">
        <f t="shared" si="13"/>
        <v>-</v>
      </c>
      <c r="AM305" s="313" t="str">
        <f t="shared" si="14"/>
        <v>-</v>
      </c>
      <c r="AN305" s="313" t="str">
        <f t="shared" si="15"/>
        <v>T</v>
      </c>
      <c r="AO305" s="314" t="str">
        <f t="shared" si="16"/>
        <v>T</v>
      </c>
      <c r="AP305" s="316">
        <f t="shared" si="17"/>
        <v>3</v>
      </c>
      <c r="AQ305" s="319" t="str">
        <f t="shared" si="18"/>
        <v>-</v>
      </c>
      <c r="AR305" s="320">
        <f t="shared" si="19"/>
        <v>0</v>
      </c>
      <c r="AS305" s="250" t="str">
        <f>IFERROR(__xludf.DUMMYFUNCTION("SUBSTITUTE(SUBSTITUTE(CONCATENATE(JOIN("""",FP305:GA305)),""|"",""x""),""-"",""o"")"),"xoxoxxxxoxxx")</f>
        <v>xoxoxxxxoxxx</v>
      </c>
      <c r="AT305" s="323" t="str">
        <f>IFERROR(__xludf.DUMMYFUNCTION("JOIN("""",AS305,AS305)"),"xoxoxxxxoxxxxoxoxxxxoxxx")</f>
        <v>xoxoxxxxoxxxxoxoxxxxoxxx</v>
      </c>
      <c r="AU305" s="256" t="str">
        <f>IFERROR(__xludf.DUMMYFUNCTION("JOIN("""",ArrayFormula(MID(AS305,LEN(AS305)-SEQUENCE(1,LEN(AS305))+1,1)))"),"xxxoxxxxoxox")</f>
        <v>xxxoxxxxoxox</v>
      </c>
      <c r="AV305" s="256" t="str">
        <f>IFERROR(__xludf.DUMMYFUNCTION("LEFT(CONCATENATE(""x"",JOIN("""",ArrayFormula(MID(AS305,LEN(AS305)-SEQUENCE(1,LEN(AS305))+1,1)))),12)"),"xxxxoxxxxoxo")</f>
        <v>xxxxoxxxxoxo</v>
      </c>
      <c r="AW305" s="327" t="str">
        <f>IFERROR(__xludf.DUMMYFUNCTION("JOIN("""",AU305,AU305)"),"xxxoxxxxoxoxxxxoxxxxoxox")</f>
        <v>xxxoxxxxoxoxxxxoxxxxoxox</v>
      </c>
      <c r="AX305" s="239" t="str">
        <f>IFERROR(__xludf.DUMMYFUNCTION("IF(REGEXMATCH(AW305,AS305),""✔"",""-"")"),"✔")</f>
        <v>✔</v>
      </c>
      <c r="AY305" s="330" t="str">
        <f t="shared" si="20"/>
        <v>-</v>
      </c>
      <c r="AZ305" s="260" t="str">
        <f t="shared" si="21"/>
        <v>#REF!</v>
      </c>
      <c r="BA305" s="333" t="str">
        <f t="shared" si="22"/>
        <v>xoxoxxx</v>
      </c>
      <c r="BB305" s="334" t="str">
        <f t="shared" si="23"/>
        <v>xoxxxx</v>
      </c>
      <c r="BC305" s="335" t="str">
        <f t="shared" si="236"/>
        <v>-</v>
      </c>
      <c r="BD305" s="336" t="str">
        <f t="shared" si="25"/>
        <v>Saraswati Kedar: 'xoxoxxx' + 'xoxxxx'</v>
      </c>
      <c r="BE305" s="337">
        <f>IFERROR(__xludf.DUMMYFUNCTION("COUNTUNIQUE(FILTER(AT:AT,REGEXMATCH(AT:AT,AS305)))-1"),4.0)</f>
        <v>4</v>
      </c>
      <c r="BF305" s="261" t="str">
        <f>IFERROR(__xludf.DUMMYFUNCTION("IF(BI305=0,""(n/a)"",IF(BJ305=2,""(PAIR)"",IF(REGEXMATCH(AT305,""xoxoxxoxoxox""),""Bilawal"",IF(REGEXMATCH(AT305,""xoxoxooxoxoo""),""Bhupali"",IF(REGEXMATCH(AT305,""xoxoxxoxxoxo""),""Charukeshi"",IF(REGEXMATCH(AT305,""xoxoooxxoxxo""),""Kameshwari"",IF(REG"&amp;"EXMATCH(AT305,""xoxoxooxoxox""),""Shankara"",IF(REGEXMATCH(AT305,""xxooxoxxxoox""),""Basant"",IF(REGEXMATCH(AT305,""xoxoxxxxoxox""),""Bihag"",IF(REGEXMATCH(AT305,""xoxxxxoxoxxx""),""Pilu"",IF(REGEXMATCH(AT305,""xoxxoxoxxoox""),""Kirwani"",IF(REGEXMATCH(AT"&amp;"305,""xoxxoxoxoxxx""),""Mk.Malhar"",IF(REGEXMATCH(AT305,""xxooxxoxxoox""),""Bhairav"",IF(REGEXMATCH(AT305,""xxoxooxxxoox""),""Todi"",IF(REGEXMATCH(AT305,""xxooxoxooxox""),""Marwa"",IF(REGEXMATCH(AT305,""xxoooxoxxooo""),""Gunkali"",IF(REGEXMATCH(AT305,""xo"&amp;"xoxxoxxoox""),""Nat Bhairav"",IF(REGEXMATCH(AT305,""xoxxoooxoxoo""),""Shivranjani"",IF(REGEXMATCH(AT305,""xooxxxoxooxo""),""Jog"",IF(REGEXMATCH(AT305,""xxooxoxoxoox""),""Hemshri"",IF(REGEXMATCH(AT305,""xoooxooxoxxo""),""Kalavati"",IF(REGEXMATCH(AT305,""xx"&amp;"oxoxxoxoox""),""Kedar"",IF(REGEXMATCH(AT305,""xoxxxxoxooxx""),""Gara"",IF(REGEXMATCH(AT305,""xooxoxooxoox""),""Chandrakauns"",IF(REGEXMATCH(AT305,""xoxxxxoxxxox""),""Mand"",IF(REGEXMATCH(AT305,""xoxxxxoxoxox""),""Hanskinkini"",IF(REGEXMATCH(AT305,""xxooxx"&amp;"oxooxo""),""Lilavati"",IF(REGEXMATCH(AT305,""xooxoxoooxox""),""Rajeshwari"",IF(REGEXMATCH(AT305,""xoooxxoxoxxx""),""Khokar"",IF(REGEXMATCH(AT305,""xxooxoxxxxox""),""Maligoura"",""-""))))))))))))))))))))))))))))))"),"Pilu")</f>
        <v>Pilu</v>
      </c>
      <c r="BG305" s="239" t="str">
        <f t="shared" si="26"/>
        <v>#REF!</v>
      </c>
      <c r="BH305" s="239">
        <f>IFERROR(__xludf.DUMMYFUNCTION("COUNTUNIQUE(FE305:FO305)-1"),8.0)</f>
        <v>8</v>
      </c>
      <c r="BI305" s="239">
        <f>IFERROR(__xludf.DUMMYFUNCTION("COUNTUNIQUE(FILTER(AT:AT,REGEXMATCH(AT:AT,AS305)))-1"),4.0)</f>
        <v>4</v>
      </c>
      <c r="BJ305" s="239">
        <f>IFERROR(__xludf.DUMMYFUNCTION("COUNTA(FILTER(AT:AT,REGEXMATCH(AT:AT,AS305)))"),26.0)</f>
        <v>26</v>
      </c>
      <c r="BK305" s="341">
        <f>IFERROR(__xludf.DUMMYFUNCTION("COUNTA(FILTER(AT:AT,REGEXMATCH(AT:AT,AS305)))-AR305"),26.0)</f>
        <v>26</v>
      </c>
      <c r="BL305" s="276" t="str">
        <f>IFERROR(__xludf.DUMMYFUNCTION("IF(AS305=""oooooooooooo"",""-"",IF(REGEXMATCH(AT305,""xx""), ""Hemi."", ""Anhemi.""))"),"Hemi.")</f>
        <v>Hemi.</v>
      </c>
      <c r="BM305" s="282" t="str">
        <f>IFERROR(__xludf.DUMMYFUNCTION("IF(AS305=""oooooooooooo"",""-"",IF(REGEXMATCH(AT305,""xxx""), ""Cohem."", ""-""))"),"Cohem.")</f>
        <v>Cohem.</v>
      </c>
      <c r="BN305" s="282" t="str">
        <f>IFERROR(__xludf.DUMMYFUNCTION("IF(AS305=""oooooooooooo"",""-"",IF(REGEXMATCH(AT305,""xxxx""), ""Co-Co."", ""-""))"),"Co-Co.")</f>
        <v>Co-Co.</v>
      </c>
      <c r="BO305" s="342" t="str">
        <f>IFERROR(__xludf.DUMMYFUNCTION("IF(AS305=""oooooooooooo"",""-"",IF(REGEXMATCH(AT305,""xxxxx""), ""CCC."", ""-""))"),"-")</f>
        <v>-</v>
      </c>
      <c r="BP305" s="344" t="str">
        <f t="shared" si="27"/>
        <v>-</v>
      </c>
      <c r="BQ305" s="282" t="str">
        <f>IFERROR(__xludf.DUMMYFUNCTION("IF(REGEXMATCH(JOIN(""-"",EU305:FD305),""TRUE""),""✔"",""-"")"),"-")</f>
        <v>-</v>
      </c>
      <c r="BR305" s="225">
        <f t="shared" si="28"/>
        <v>0</v>
      </c>
      <c r="BS305" s="345" t="str">
        <f>IFERROR(__xludf.DUMMYFUNCTION("SUBSTITUTE(SUBSTITUTE(SUBSTITUTE(SUBSTITUTE(CONCATENATE(JOIN(""-"",GC305:GO305)),""--"",""-""),""--"",""-""),""--"",""-""),""--"",""-"")"),"1-2-3-4-#4-5-6-b7-7-8")</f>
        <v>1-2-3-4-#4-5-6-b7-7-8</v>
      </c>
      <c r="BT305" s="299" t="str">
        <f>IFERROR(__xludf.DUMMYFUNCTION("SUBSTITUTE(SUBSTITUTE(SUBSTITUTE(SUBSTITUTE(CONCATENATE(JOIN(""-"",GP305:HB305)),""--"",""-""),""--"",""-""),""--"",""-""),""--"",""-"")"),"S-R2-G3-M1-M2-P-D2-N2-N3-S")</f>
        <v>S-R2-G3-M1-M2-P-D2-N2-N3-S</v>
      </c>
      <c r="BU305" s="348" t="str">
        <f t="shared" si="29"/>
        <v>C-D-E-F-F#-G-A-Bb-B-C</v>
      </c>
      <c r="BV305" s="349" t="str">
        <f t="shared" si="30"/>
        <v>SrgdS</v>
      </c>
      <c r="BW305" s="350">
        <f t="shared" si="31"/>
        <v>0</v>
      </c>
      <c r="BX305" s="351">
        <f t="shared" si="32"/>
        <v>8</v>
      </c>
      <c r="BY305" s="392"/>
      <c r="BZ305" s="309" t="str">
        <f>IFERROR(__xludf.DUMMYFUNCTION("IF(REGEXMATCH(C305, ""S""), ""x"",""x"")"),"x")</f>
        <v>x</v>
      </c>
      <c r="CA305" s="245" t="str">
        <f>IFERROR(__xludf.DUMMYFUNCTION("IF(REGEXMATCH(C305, ""r""), ""o"",""x"")"),"x")</f>
        <v>x</v>
      </c>
      <c r="CB305" s="246" t="str">
        <f>IFERROR(__xludf.DUMMYFUNCTION("IF(REGEXMATCH(C305, ""R""), ""o"",""x"")"),"o")</f>
        <v>o</v>
      </c>
      <c r="CC305" s="246" t="str">
        <f>IFERROR(__xludf.DUMMYFUNCTION("IF(REGEXMATCH(C305, ""g""), ""o"",""x"")"),"x")</f>
        <v>x</v>
      </c>
      <c r="CD305" s="245" t="str">
        <f>IFERROR(__xludf.DUMMYFUNCTION("IF(REGEXMATCH(C305, ""G""), ""o"",""x"")"),"o")</f>
        <v>o</v>
      </c>
      <c r="CE305" s="245" t="str">
        <f>IFERROR(__xludf.DUMMYFUNCTION("IF(REGEXMATCH(C305, ""m""), ""o"",""x"")"),"o")</f>
        <v>o</v>
      </c>
      <c r="CF305" s="246" t="str">
        <f>IFERROR(__xludf.DUMMYFUNCTION("IF(REGEXMATCH(C305, ""M""), ""o"",""x"")"),"o")</f>
        <v>o</v>
      </c>
      <c r="CG305" s="245" t="str">
        <f>IFERROR(__xludf.DUMMYFUNCTION("IF(REGEXMATCH(C305, ""P""), ""o"",""x"")"),"o")</f>
        <v>o</v>
      </c>
      <c r="CH305" s="246" t="str">
        <f>IFERROR(__xludf.DUMMYFUNCTION("IF(REGEXMATCH(C305, ""d""), ""o"",""x"")"),"x")</f>
        <v>x</v>
      </c>
      <c r="CI305" s="245" t="str">
        <f>IFERROR(__xludf.DUMMYFUNCTION("IF(REGEXMATCH(C305, ""D""), ""o"",""x"")"),"o")</f>
        <v>o</v>
      </c>
      <c r="CJ305" s="245" t="str">
        <f>IFERROR(__xludf.DUMMYFUNCTION("IF(REGEXMATCH(C305, ""n""), ""o"",""x"")"),"o")</f>
        <v>o</v>
      </c>
      <c r="CK305" s="245" t="str">
        <f>IFERROR(__xludf.DUMMYFUNCTION("IF(REGEXMATCH(C305, ""N""), ""o"",""x"")"),"o")</f>
        <v>o</v>
      </c>
      <c r="CL305" s="356" t="str">
        <f>IFERROR(__xludf.DUMMYFUNCTION("IF(REGEXMATCH(C305, ""S""), ""x"",""x"")"),"x")</f>
        <v>x</v>
      </c>
      <c r="CM305" s="357" t="str">
        <f t="shared" si="33"/>
        <v>xxoxooooxooo</v>
      </c>
      <c r="CN305" s="358">
        <f t="shared" si="34"/>
        <v>0</v>
      </c>
      <c r="CO305" s="246" t="str">
        <f>IFERROR(__xludf.DUMMYFUNCTION("IF(REGEXMATCH($C305, ""S""), ""S"",""S"")"),"S")</f>
        <v>S</v>
      </c>
      <c r="CP305" s="246" t="str">
        <f>IFERROR(__xludf.DUMMYFUNCTION("IF(REGEXMATCH($C305, ""r""), """",""r"")"),"r")</f>
        <v>r</v>
      </c>
      <c r="CQ305" s="246" t="str">
        <f>IFERROR(__xludf.DUMMYFUNCTION("IF(REGEXMATCH($C305, ""R""), """",""R"")"),"")</f>
        <v/>
      </c>
      <c r="CR305" s="246" t="str">
        <f>IFERROR(__xludf.DUMMYFUNCTION("IF(REGEXMATCH($C305, ""g""), """",""g"")"),"g")</f>
        <v>g</v>
      </c>
      <c r="CS305" s="246" t="str">
        <f>IFERROR(__xludf.DUMMYFUNCTION("IF(REGEXMATCH($C305, ""G""), """",""G"")"),"")</f>
        <v/>
      </c>
      <c r="CT305" s="246" t="str">
        <f>IFERROR(__xludf.DUMMYFUNCTION("IF(REGEXMATCH($C305, ""m""), """",""m"")"),"")</f>
        <v/>
      </c>
      <c r="CU305" s="246" t="str">
        <f>IFERROR(__xludf.DUMMYFUNCTION("IF(REGEXMATCH($C305, ""M""), """",""M"")"),"")</f>
        <v/>
      </c>
      <c r="CV305" s="246" t="str">
        <f>IFERROR(__xludf.DUMMYFUNCTION("IF(REGEXMATCH($C305, ""P""), """",""P"")"),"")</f>
        <v/>
      </c>
      <c r="CW305" s="246" t="str">
        <f>IFERROR(__xludf.DUMMYFUNCTION("IF(REGEXMATCH($C305, ""d""), """",""d"")"),"d")</f>
        <v>d</v>
      </c>
      <c r="CX305" s="246" t="str">
        <f>IFERROR(__xludf.DUMMYFUNCTION("IF(REGEXMATCH($C305, ""D""), """",""D"")"),"")</f>
        <v/>
      </c>
      <c r="CY305" s="246" t="str">
        <f>IFERROR(__xludf.DUMMYFUNCTION("IF(REGEXMATCH($C305, ""n""), """",""n"")"),"")</f>
        <v/>
      </c>
      <c r="CZ305" s="246" t="str">
        <f>IFERROR(__xludf.DUMMYFUNCTION("IF(REGEXMATCH($C305, ""N""), """",""N"")"),"")</f>
        <v/>
      </c>
      <c r="DA305" s="246" t="str">
        <f>IFERROR(__xludf.DUMMYFUNCTION("IF(REGEXMATCH($C305, ""S""), ""S"",""S"")"),"S")</f>
        <v>S</v>
      </c>
      <c r="DB305" s="362" t="str">
        <f>IFERROR(__xludf.DUMMYFUNCTION("JOIN("""",CO305:DA305,"""","""")"),"SrgdS")</f>
        <v>SrgdS</v>
      </c>
      <c r="DC305" s="363"/>
      <c r="DD305" s="301" t="str">
        <f t="shared" si="35"/>
        <v>#REF!</v>
      </c>
      <c r="DE305" s="302" t="str">
        <f t="shared" si="36"/>
        <v>#REF!</v>
      </c>
      <c r="DF305" s="301" t="str">
        <f t="shared" ref="DF305:DG305" si="837">SUBSTITUTE(S305,"-","")</f>
        <v>SRGM</v>
      </c>
      <c r="DG305" s="301" t="str">
        <f t="shared" si="837"/>
        <v>PDNS</v>
      </c>
      <c r="DH305" s="302" t="str">
        <f t="shared" si="38"/>
        <v>Pilu</v>
      </c>
      <c r="DI305" s="301" t="str">
        <f t="shared" si="39"/>
        <v>Hemi.</v>
      </c>
      <c r="DJ305" s="364" t="str">
        <f t="shared" si="40"/>
        <v>Co-Co.</v>
      </c>
      <c r="DK305" s="306" t="str">
        <f t="shared" si="41"/>
        <v>-</v>
      </c>
      <c r="DL305" s="366" t="str">
        <f t="shared" si="42"/>
        <v>-</v>
      </c>
      <c r="DM305" s="308" t="str">
        <f t="shared" si="43"/>
        <v>✔</v>
      </c>
      <c r="DN305" s="306" t="str">
        <f t="shared" si="44"/>
        <v>-</v>
      </c>
      <c r="DO305" s="306" t="str">
        <f t="shared" si="45"/>
        <v>-</v>
      </c>
      <c r="DP305" s="367" t="str">
        <f t="shared" si="46"/>
        <v>-</v>
      </c>
      <c r="DQ305" s="310" t="str">
        <f t="shared" si="47"/>
        <v>-</v>
      </c>
      <c r="DR305" s="310" t="str">
        <f t="shared" si="48"/>
        <v>-</v>
      </c>
      <c r="DS305" s="310" t="str">
        <f t="shared" si="49"/>
        <v>✔</v>
      </c>
      <c r="DT305" s="310" t="str">
        <f t="shared" si="50"/>
        <v>-</v>
      </c>
      <c r="DU305" s="370" t="str">
        <f t="shared" si="51"/>
        <v>✔</v>
      </c>
      <c r="DV305" s="306" t="str">
        <f t="shared" si="52"/>
        <v>-</v>
      </c>
      <c r="DW305" s="306" t="str">
        <f t="shared" si="53"/>
        <v>-</v>
      </c>
      <c r="DX305" s="306" t="str">
        <f t="shared" si="54"/>
        <v>-</v>
      </c>
      <c r="DY305" s="306" t="str">
        <f t="shared" si="55"/>
        <v>-</v>
      </c>
      <c r="DZ305" s="306" t="str">
        <f t="shared" si="56"/>
        <v>-</v>
      </c>
      <c r="EA305" s="367" t="str">
        <f t="shared" si="57"/>
        <v>-</v>
      </c>
      <c r="EB305" s="310" t="str">
        <f>IFERROR(__xludf.DUMMYFUNCTION("IF(REGEXMATCH(AW305,AS305),""✔"",""-"")"),"✔")</f>
        <v>✔</v>
      </c>
      <c r="EC305" s="310" t="str">
        <f t="shared" si="58"/>
        <v>#REF!</v>
      </c>
      <c r="ED305" s="370" t="str">
        <f t="shared" si="59"/>
        <v>-</v>
      </c>
      <c r="EE305" s="340" t="str">
        <f t="shared" si="60"/>
        <v>S-R-G-mM-P-D-nN-S</v>
      </c>
      <c r="EF305" s="371" t="str">
        <f>IFERROR(__xludf.DUMMYFUNCTION("CONCATENATE(JOIN("""",HC305:HO305))"),"SrRgmMPdnS")</f>
        <v>SrRgmMPdnS</v>
      </c>
      <c r="EG305" s="372">
        <f t="shared" si="61"/>
        <v>1</v>
      </c>
      <c r="EH305" s="373" t="str">
        <f>IFERROR(__xludf.DUMMYFUNCTION("CONCATENATE(JOIN("""",JC305:JO305))"),"Ma, ")</f>
        <v>Ma, </v>
      </c>
      <c r="EI305" s="322">
        <f t="shared" si="62"/>
        <v>0</v>
      </c>
      <c r="EJ305" s="374" t="str">
        <f>IFERROR(__xludf.DUMMYFUNCTION("CONCATENATE(JOIN("""",KC305:KO305))"),"")</f>
        <v/>
      </c>
      <c r="EK305" s="325" t="str">
        <f t="shared" si="63"/>
        <v>S-R2-G3-M1-M2-P-D2-N2-N3-S</v>
      </c>
      <c r="EL305" s="326" t="str">
        <f t="shared" si="64"/>
        <v>1-2-3-4-#4-5-6-b7-7-8</v>
      </c>
      <c r="EM305" s="318" t="str">
        <f t="shared" si="65"/>
        <v>#REF!</v>
      </c>
      <c r="EN305" s="328" t="str">
        <f>IFERROR(__xludf.DUMMYFUNCTION("SUBSTITUTE(SUBSTITUTE(SUBSTITUTE(SUBSTITUTE(CONCATENATE(JOIN("" "",HP305:IB305)),""  "","" ""),""  "","" ""),""  "","" ""),""  "","" "")"),"o • o • o o o o • o o o o")</f>
        <v>o • o • o o o o • o o o o</v>
      </c>
      <c r="EO305" s="368" t="str">
        <f t="shared" si="66"/>
        <v>-</v>
      </c>
      <c r="EP305" s="339" t="str">
        <f t="shared" si="67"/>
        <v>-</v>
      </c>
      <c r="EQ305" s="339" t="str">
        <f t="shared" si="68"/>
        <v>Sa-Pa</v>
      </c>
      <c r="ER305" s="339" t="str">
        <f t="shared" si="69"/>
        <v>-</v>
      </c>
      <c r="ES305" s="340" t="str">
        <f t="shared" si="70"/>
        <v>-</v>
      </c>
      <c r="ET305" s="363"/>
      <c r="EU305" s="376" t="b">
        <f>IFERROR(__xludf.DUMMYFUNCTION("arrayformula(sum(--REGEXMATCH(""SRGMPDNS"",split(REGEXREPLACE(C305,""(.)"",""$1~""),""~""))))=len(C305)
"),FALSE)</f>
        <v>0</v>
      </c>
      <c r="EV305" s="290" t="b">
        <f>IFERROR(__xludf.DUMMYFUNCTION("arrayformula(sum(--REGEXMATCH(""SRGmPDNS"",split(REGEXREPLACE(C305,""(.)"",""$1~""),""~""))))=len(C305)"),FALSE)</f>
        <v>0</v>
      </c>
      <c r="EW305" s="290" t="b">
        <f>IFERROR(__xludf.DUMMYFUNCTION("arrayformula(sum(--REGEXMATCH(""SRGmPDnS"",split(REGEXREPLACE(C305,""(.)"",""$1~""),""~""))))=len(C305)"),FALSE)</f>
        <v>0</v>
      </c>
      <c r="EX305" s="290" t="b">
        <f>IFERROR(__xludf.DUMMYFUNCTION("arrayformula(sum(--REGEXMATCH(""SRgmPDnS"",split(REGEXREPLACE(C305,""(.)"",""$1~""),""~""))))=len(C305)"),FALSE)</f>
        <v>0</v>
      </c>
      <c r="EY305" s="290" t="b">
        <f>IFERROR(__xludf.DUMMYFUNCTION("arrayformula(sum(--REGEXMATCH(""SRgmPdnS"",split(REGEXREPLACE(C305,""(.)"",""$1~""),""~""))))=len(C305)"),FALSE)</f>
        <v>0</v>
      </c>
      <c r="EZ305" s="290" t="b">
        <f>IFERROR(__xludf.DUMMYFUNCTION("arrayformula(sum(--REGEXMATCH(""SrgmPdnS"",split(REGEXREPLACE(C305,""(.)"",""$1~""),""~""))))=len(C305)"),FALSE)</f>
        <v>0</v>
      </c>
      <c r="FA305" s="290" t="b">
        <f>IFERROR(__xludf.DUMMYFUNCTION("arrayformula(sum(--REGEXMATCH(""SrGmPdNS"",split(REGEXREPLACE(C305,""(.)"",""$1~""),""~""))))=len(C305)"),FALSE)</f>
        <v>0</v>
      </c>
      <c r="FB305" s="290" t="b">
        <f>IFERROR(__xludf.DUMMYFUNCTION("arrayformula(sum(--REGEXMATCH(""SrGMPDNS"",split(REGEXREPLACE(C305,""(.)"",""$1~""),""~""))))=len(C305)"),FALSE)</f>
        <v>0</v>
      </c>
      <c r="FC305" s="290" t="b">
        <f>IFERROR(__xludf.DUMMYFUNCTION("arrayformula(sum(--REGEXMATCH(""SrGMPdNS"",split(REGEXREPLACE(C305,""(.)"",""$1~""),""~""))))=len(C305)"),FALSE)</f>
        <v>0</v>
      </c>
      <c r="FD305" s="377" t="b">
        <f>IFERROR(__xludf.DUMMYFUNCTION("arrayformula(sum(--REGEXMATCH(""SrgMPdNS"",split(REGEXREPLACE(C305,""(.)"",""$1~""),""~""))))=len(C305)"),FALSE)</f>
        <v>0</v>
      </c>
      <c r="FE305" s="269" t="str">
        <f t="shared" si="71"/>
        <v>-</v>
      </c>
      <c r="FF305" s="269" t="str">
        <f t="shared" si="72"/>
        <v>xoxxxxoxxxx</v>
      </c>
      <c r="FG305" s="271" t="str">
        <f t="shared" si="73"/>
        <v>-</v>
      </c>
      <c r="FH305" s="269" t="str">
        <f t="shared" si="74"/>
        <v>xxxxoxxxxox</v>
      </c>
      <c r="FI305" s="271" t="str">
        <f t="shared" si="75"/>
        <v>xxxoxxxxoxo</v>
      </c>
      <c r="FJ305" s="271" t="str">
        <f t="shared" si="76"/>
        <v>xxoxxxxoxox</v>
      </c>
      <c r="FK305" s="271" t="str">
        <f t="shared" si="77"/>
        <v>xoxxxxoxoxx</v>
      </c>
      <c r="FL305" s="271" t="str">
        <f t="shared" si="78"/>
        <v>-</v>
      </c>
      <c r="FM305" s="271" t="str">
        <f t="shared" si="79"/>
        <v>xxxxoxoxxxx</v>
      </c>
      <c r="FN305" s="271" t="str">
        <f t="shared" si="80"/>
        <v>xxxoxoxxxxo</v>
      </c>
      <c r="FO305" s="274" t="str">
        <f t="shared" si="81"/>
        <v>xxoxoxxxxox</v>
      </c>
      <c r="FP305" s="234" t="str">
        <f t="shared" si="82"/>
        <v>|</v>
      </c>
      <c r="FQ305" s="236" t="str">
        <f t="shared" si="83"/>
        <v>-</v>
      </c>
      <c r="FR305" s="237" t="str">
        <f t="shared" si="84"/>
        <v>|</v>
      </c>
      <c r="FS305" s="236" t="str">
        <f t="shared" si="85"/>
        <v>-</v>
      </c>
      <c r="FT305" s="237" t="str">
        <f t="shared" si="86"/>
        <v>|</v>
      </c>
      <c r="FU305" s="236" t="str">
        <f t="shared" si="87"/>
        <v>|</v>
      </c>
      <c r="FV305" s="237" t="str">
        <f t="shared" si="88"/>
        <v>|</v>
      </c>
      <c r="FW305" s="236" t="str">
        <f t="shared" si="89"/>
        <v>|</v>
      </c>
      <c r="FX305" s="237" t="str">
        <f t="shared" si="90"/>
        <v>-</v>
      </c>
      <c r="FY305" s="236" t="str">
        <f t="shared" si="91"/>
        <v>|</v>
      </c>
      <c r="FZ305" s="237" t="str">
        <f t="shared" si="92"/>
        <v>|</v>
      </c>
      <c r="GA305" s="236" t="str">
        <f t="shared" si="93"/>
        <v>|</v>
      </c>
      <c r="GB305" s="238" t="str">
        <f t="shared" si="94"/>
        <v>|</v>
      </c>
      <c r="GC305" s="244" t="str">
        <f>IFERROR(__xludf.DUMMYFUNCTION("IF(REGEXMATCH(C305, ""S""), ""1"","""")"),"1")</f>
        <v>1</v>
      </c>
      <c r="GD305" s="245" t="str">
        <f>IFERROR(__xludf.DUMMYFUNCTION("IF(REGEXMATCH(C305, ""r""), ""b2"","""")"),"")</f>
        <v/>
      </c>
      <c r="GE305" s="246" t="str">
        <f>IFERROR(__xludf.DUMMYFUNCTION("IF(REGEXMATCH(C305, ""R""), ""2"","""")"),"2")</f>
        <v>2</v>
      </c>
      <c r="GF305" s="246" t="str">
        <f>IFERROR(__xludf.DUMMYFUNCTION("IF(REGEXMATCH(C305, ""g""), ""b3"","""")"),"")</f>
        <v/>
      </c>
      <c r="GG305" s="245" t="str">
        <f>IFERROR(__xludf.DUMMYFUNCTION("IF(REGEXMATCH(C305, ""G""), ""3"","""")"),"3")</f>
        <v>3</v>
      </c>
      <c r="GH305" s="245" t="str">
        <f>IFERROR(__xludf.DUMMYFUNCTION("IF(REGEXMATCH(C305, ""m""), ""4"","""")"),"4")</f>
        <v>4</v>
      </c>
      <c r="GI305" s="246" t="str">
        <f>IFERROR(__xludf.DUMMYFUNCTION("IF(REGEXMATCH(C305, ""M""), ""#4"","""")"),"#4")</f>
        <v>#4</v>
      </c>
      <c r="GJ305" s="245" t="str">
        <f>IFERROR(__xludf.DUMMYFUNCTION("IF(REGEXMATCH(C305, ""P""), ""5"","""")"),"5")</f>
        <v>5</v>
      </c>
      <c r="GK305" s="246" t="str">
        <f>IFERROR(__xludf.DUMMYFUNCTION("IF(REGEXMATCH(C305, ""d""), ""b6"","""")"),"")</f>
        <v/>
      </c>
      <c r="GL305" s="245" t="str">
        <f>IFERROR(__xludf.DUMMYFUNCTION("IF(REGEXMATCH(C305, ""D""), ""6"","""")"),"6")</f>
        <v>6</v>
      </c>
      <c r="GM305" s="245" t="str">
        <f>IFERROR(__xludf.DUMMYFUNCTION("IF(REGEXMATCH(C305, ""n""), ""b7"","""")"),"b7")</f>
        <v>b7</v>
      </c>
      <c r="GN305" s="246" t="str">
        <f>IFERROR(__xludf.DUMMYFUNCTION("IF(REGEXMATCH(C305, ""N""), ""7"","""")"),"7")</f>
        <v>7</v>
      </c>
      <c r="GO305" s="249" t="str">
        <f>IFERROR(__xludf.DUMMYFUNCTION("IF(REGEXMATCH(C305, ""S""), ""8"","""")"),"8")</f>
        <v>8</v>
      </c>
      <c r="GP305" s="244" t="str">
        <f>IFERROR(__xludf.DUMMYFUNCTION("IF(REGEXMATCH(C305, ""S""), ""S"","""")"),"S")</f>
        <v>S</v>
      </c>
      <c r="GQ305" s="294" t="str">
        <f>IFERROR(__xludf.DUMMYFUNCTION("IF(REGEXMATCH(C305, ""r""), ""R1"","""")"),"")</f>
        <v/>
      </c>
      <c r="GR305" s="295" t="str">
        <f>IFERROR(__xludf.DUMMYFUNCTION("IF(REGEXMATCH(C305, ""R""), ""R2"","""")"),"R2")</f>
        <v>R2</v>
      </c>
      <c r="GS305" s="295" t="str">
        <f>IFERROR(__xludf.DUMMYFUNCTION("IF(REGEXMATCH(C305, ""g""), ""G2"","""")"),"")</f>
        <v/>
      </c>
      <c r="GT305" s="294" t="str">
        <f>IFERROR(__xludf.DUMMYFUNCTION("IF(REGEXMATCH(C305, ""G""), ""G3"","""")"),"G3")</f>
        <v>G3</v>
      </c>
      <c r="GU305" s="294" t="str">
        <f>IFERROR(__xludf.DUMMYFUNCTION("IF(REGEXMATCH(C305, ""m""), ""M1"","""")"),"M1")</f>
        <v>M1</v>
      </c>
      <c r="GV305" s="295" t="str">
        <f>IFERROR(__xludf.DUMMYFUNCTION("IF(REGEXMATCH(C305, ""M""), ""M2"","""")"),"M2")</f>
        <v>M2</v>
      </c>
      <c r="GW305" s="294" t="str">
        <f>IFERROR(__xludf.DUMMYFUNCTION("IF(REGEXMATCH(C305, ""P""), ""P"","""")"),"P")</f>
        <v>P</v>
      </c>
      <c r="GX305" s="295" t="str">
        <f>IFERROR(__xludf.DUMMYFUNCTION("IF(REGEXMATCH(C305, ""d""), ""D1"","""")"),"")</f>
        <v/>
      </c>
      <c r="GY305" s="294" t="str">
        <f>IFERROR(__xludf.DUMMYFUNCTION("IF(REGEXMATCH(C305, ""D""), ""D2"","""")"),"D2")</f>
        <v>D2</v>
      </c>
      <c r="GZ305" s="294" t="str">
        <f>IFERROR(__xludf.DUMMYFUNCTION("IF(REGEXMATCH(C305, ""n""), ""N2"","""")"),"N2")</f>
        <v>N2</v>
      </c>
      <c r="HA305" s="295" t="str">
        <f>IFERROR(__xludf.DUMMYFUNCTION("IF(REGEXMATCH(C305, ""N""), ""N3"","""")"),"N3")</f>
        <v>N3</v>
      </c>
      <c r="HB305" s="249" t="str">
        <f>IFERROR(__xludf.DUMMYFUNCTION("IF(REGEXMATCH(C305, ""S""), ""S"","""")"),"S")</f>
        <v>S</v>
      </c>
      <c r="HC305" s="331" t="str">
        <f t="shared" si="95"/>
        <v>S</v>
      </c>
      <c r="HD305" s="332" t="str">
        <f t="shared" si="96"/>
        <v>r</v>
      </c>
      <c r="HE305" s="332" t="str">
        <f t="shared" si="97"/>
        <v>R</v>
      </c>
      <c r="HF305" s="332" t="str">
        <f t="shared" si="98"/>
        <v>g</v>
      </c>
      <c r="HG305" s="332" t="str">
        <f t="shared" si="99"/>
        <v/>
      </c>
      <c r="HH305" s="332" t="str">
        <f t="shared" si="100"/>
        <v>m</v>
      </c>
      <c r="HI305" s="332" t="str">
        <f t="shared" si="101"/>
        <v>M</v>
      </c>
      <c r="HJ305" s="332" t="str">
        <f t="shared" si="102"/>
        <v>P</v>
      </c>
      <c r="HK305" s="332" t="str">
        <f t="shared" si="103"/>
        <v>d</v>
      </c>
      <c r="HL305" s="332" t="str">
        <f t="shared" si="104"/>
        <v/>
      </c>
      <c r="HM305" s="332" t="str">
        <f t="shared" si="105"/>
        <v>n</v>
      </c>
      <c r="HN305" s="332" t="str">
        <f t="shared" si="106"/>
        <v/>
      </c>
      <c r="HO305" s="343" t="str">
        <f t="shared" si="107"/>
        <v>S</v>
      </c>
      <c r="HP305" s="331" t="str">
        <f t="shared" si="108"/>
        <v>o</v>
      </c>
      <c r="HQ305" s="332" t="str">
        <f t="shared" si="109"/>
        <v>•</v>
      </c>
      <c r="HR305" s="332" t="str">
        <f t="shared" si="110"/>
        <v>o</v>
      </c>
      <c r="HS305" s="332" t="str">
        <f t="shared" si="111"/>
        <v>•</v>
      </c>
      <c r="HT305" s="332" t="str">
        <f t="shared" si="112"/>
        <v>o</v>
      </c>
      <c r="HU305" s="332" t="str">
        <f t="shared" si="113"/>
        <v>o</v>
      </c>
      <c r="HV305" s="332" t="str">
        <f t="shared" si="114"/>
        <v>o</v>
      </c>
      <c r="HW305" s="332" t="str">
        <f t="shared" si="115"/>
        <v>o</v>
      </c>
      <c r="HX305" s="332" t="str">
        <f t="shared" si="116"/>
        <v>•</v>
      </c>
      <c r="HY305" s="332" t="str">
        <f t="shared" si="117"/>
        <v>o</v>
      </c>
      <c r="HZ305" s="332" t="str">
        <f t="shared" si="118"/>
        <v>o</v>
      </c>
      <c r="IA305" s="332" t="str">
        <f t="shared" si="119"/>
        <v>o</v>
      </c>
      <c r="IB305" s="338" t="str">
        <f t="shared" si="120"/>
        <v>o</v>
      </c>
      <c r="IC305" s="331" t="str">
        <f t="shared" si="121"/>
        <v>•</v>
      </c>
      <c r="ID305" s="332" t="str">
        <f t="shared" si="122"/>
        <v>o</v>
      </c>
      <c r="IE305" s="332" t="str">
        <f t="shared" si="123"/>
        <v>•</v>
      </c>
      <c r="IF305" s="332" t="str">
        <f t="shared" si="124"/>
        <v>o</v>
      </c>
      <c r="IG305" s="332" t="str">
        <f t="shared" si="125"/>
        <v>•</v>
      </c>
      <c r="IH305" s="332" t="str">
        <f t="shared" si="126"/>
        <v>•</v>
      </c>
      <c r="II305" s="332" t="str">
        <f t="shared" si="127"/>
        <v>•</v>
      </c>
      <c r="IJ305" s="332" t="str">
        <f t="shared" si="128"/>
        <v>•</v>
      </c>
      <c r="IK305" s="332" t="str">
        <f t="shared" si="129"/>
        <v>o</v>
      </c>
      <c r="IL305" s="332" t="str">
        <f t="shared" si="130"/>
        <v>•</v>
      </c>
      <c r="IM305" s="332" t="str">
        <f t="shared" si="131"/>
        <v>•</v>
      </c>
      <c r="IN305" s="332" t="str">
        <f t="shared" si="132"/>
        <v>•</v>
      </c>
      <c r="IO305" s="338" t="str">
        <f t="shared" si="133"/>
        <v>•</v>
      </c>
      <c r="IP305" s="346" t="b">
        <f t="shared" si="134"/>
        <v>0</v>
      </c>
      <c r="IQ305" s="347" t="b">
        <f t="shared" si="135"/>
        <v>0</v>
      </c>
      <c r="IR305" s="347" t="b">
        <f t="shared" si="136"/>
        <v>0</v>
      </c>
      <c r="IS305" s="347" t="b">
        <f t="shared" si="137"/>
        <v>0</v>
      </c>
      <c r="IT305" s="347" t="b">
        <f t="shared" si="138"/>
        <v>0</v>
      </c>
      <c r="IU305" s="347" t="b">
        <f t="shared" si="139"/>
        <v>0</v>
      </c>
      <c r="IV305" s="347" t="b">
        <f t="shared" si="140"/>
        <v>1</v>
      </c>
      <c r="IW305" s="347" t="b">
        <f t="shared" si="141"/>
        <v>0</v>
      </c>
      <c r="IX305" s="347" t="b">
        <f t="shared" si="142"/>
        <v>0</v>
      </c>
      <c r="IY305" s="347" t="b">
        <f t="shared" si="143"/>
        <v>0</v>
      </c>
      <c r="IZ305" s="347" t="b">
        <f t="shared" si="144"/>
        <v>0</v>
      </c>
      <c r="JA305" s="347" t="b">
        <f t="shared" si="145"/>
        <v>0</v>
      </c>
      <c r="JB305" s="353" t="b">
        <f t="shared" si="146"/>
        <v>0</v>
      </c>
      <c r="JC305" s="354" t="str">
        <f t="shared" si="147"/>
        <v/>
      </c>
      <c r="JD305" s="355" t="str">
        <f t="shared" si="148"/>
        <v/>
      </c>
      <c r="JE305" s="355" t="str">
        <f t="shared" si="149"/>
        <v/>
      </c>
      <c r="JF305" s="355" t="str">
        <f t="shared" si="150"/>
        <v/>
      </c>
      <c r="JG305" s="355" t="str">
        <f t="shared" si="151"/>
        <v/>
      </c>
      <c r="JH305" s="355" t="str">
        <f t="shared" si="152"/>
        <v/>
      </c>
      <c r="JI305" s="355" t="str">
        <f t="shared" si="153"/>
        <v>Ma, </v>
      </c>
      <c r="JJ305" s="355" t="str">
        <f t="shared" si="154"/>
        <v/>
      </c>
      <c r="JK305" s="355" t="str">
        <f t="shared" si="155"/>
        <v/>
      </c>
      <c r="JL305" s="355" t="str">
        <f t="shared" si="156"/>
        <v/>
      </c>
      <c r="JM305" s="355" t="str">
        <f t="shared" si="157"/>
        <v/>
      </c>
      <c r="JN305" s="355" t="str">
        <f t="shared" si="158"/>
        <v/>
      </c>
      <c r="JO305" s="359" t="str">
        <f t="shared" si="159"/>
        <v/>
      </c>
      <c r="JP305" s="346" t="b">
        <f t="shared" si="160"/>
        <v>0</v>
      </c>
      <c r="JQ305" s="347" t="b">
        <f t="shared" si="161"/>
        <v>0</v>
      </c>
      <c r="JR305" s="347" t="b">
        <f t="shared" si="162"/>
        <v>0</v>
      </c>
      <c r="JS305" s="347" t="b">
        <f t="shared" si="163"/>
        <v>0</v>
      </c>
      <c r="JT305" s="347" t="b">
        <f t="shared" si="164"/>
        <v>0</v>
      </c>
      <c r="JU305" s="347" t="b">
        <f t="shared" si="165"/>
        <v>0</v>
      </c>
      <c r="JV305" s="347" t="b">
        <f t="shared" si="166"/>
        <v>0</v>
      </c>
      <c r="JW305" s="347" t="b">
        <f t="shared" si="167"/>
        <v>0</v>
      </c>
      <c r="JX305" s="347" t="b">
        <f t="shared" si="168"/>
        <v>0</v>
      </c>
      <c r="JY305" s="347" t="b">
        <f t="shared" si="169"/>
        <v>0</v>
      </c>
      <c r="JZ305" s="347" t="b">
        <f t="shared" si="170"/>
        <v>0</v>
      </c>
      <c r="KA305" s="347" t="b">
        <f t="shared" si="171"/>
        <v>0</v>
      </c>
      <c r="KB305" s="365" t="b">
        <f t="shared" si="172"/>
        <v>0</v>
      </c>
      <c r="KC305" s="354" t="str">
        <f t="shared" si="173"/>
        <v/>
      </c>
      <c r="KD305" s="355" t="str">
        <f t="shared" si="174"/>
        <v/>
      </c>
      <c r="KE305" s="355" t="str">
        <f t="shared" si="175"/>
        <v/>
      </c>
      <c r="KF305" s="355" t="str">
        <f t="shared" si="176"/>
        <v/>
      </c>
      <c r="KG305" s="355" t="str">
        <f t="shared" si="177"/>
        <v/>
      </c>
      <c r="KH305" s="355" t="str">
        <f t="shared" si="178"/>
        <v/>
      </c>
      <c r="KI305" s="355" t="str">
        <f t="shared" si="179"/>
        <v/>
      </c>
      <c r="KJ305" s="355" t="str">
        <f t="shared" si="180"/>
        <v/>
      </c>
      <c r="KK305" s="355" t="str">
        <f t="shared" si="181"/>
        <v/>
      </c>
      <c r="KL305" s="355" t="str">
        <f t="shared" si="182"/>
        <v/>
      </c>
      <c r="KM305" s="355" t="str">
        <f t="shared" si="183"/>
        <v/>
      </c>
      <c r="KN305" s="355" t="str">
        <f t="shared" si="184"/>
        <v/>
      </c>
      <c r="KO305" s="359"/>
      <c r="KP305" s="378"/>
      <c r="KQ305" s="379" t="s">
        <v>1482</v>
      </c>
      <c r="KR305" s="380" t="s">
        <v>1483</v>
      </c>
      <c r="KS305" s="381" t="str">
        <f t="shared" si="838"/>
        <v>S-R-G-M-P-D-S</v>
      </c>
      <c r="KT305" s="382">
        <f t="shared" si="186"/>
        <v>6</v>
      </c>
      <c r="KU305" s="383">
        <f t="shared" si="187"/>
        <v>6</v>
      </c>
      <c r="KV305" s="381" t="str">
        <f t="shared" si="205"/>
        <v>S-n-D-P-Mm-R-S</v>
      </c>
      <c r="KW305" s="382">
        <f t="shared" si="189"/>
        <v>6</v>
      </c>
      <c r="KX305" s="384">
        <f t="shared" si="190"/>
        <v>7</v>
      </c>
      <c r="KY305" s="382">
        <f t="shared" ref="KY305:KZ305" si="839">KW305-KT305</f>
        <v>0</v>
      </c>
      <c r="KZ305" s="369">
        <f t="shared" si="839"/>
        <v>1</v>
      </c>
      <c r="LA305" s="385" t="str">
        <f t="shared" si="192"/>
        <v>-</v>
      </c>
      <c r="LB305" s="340" t="str">
        <f>IFERROR(__xludf.DUMMYFUNCTION("JOIN("""",ArrayFormula(MID(KS305,LEN(KS305)-SEQUENCE(1,LEN(KS305))+1,1)))"),"S-D-P-M-G-R-S")</f>
        <v>S-D-P-M-G-R-S</v>
      </c>
      <c r="LC305" s="373" t="str">
        <f>IFERROR(__xludf.DUMMYFUNCTION("JOIN("""",ArrayFormula(MID(KV305,LEN(KV305)-SEQUENCE(1,LEN(KV305))+1,1)))"),"S-R-mM-P-D-n-S")</f>
        <v>S-R-mM-P-D-n-S</v>
      </c>
      <c r="LD305" s="373" t="str">
        <f t="shared" si="193"/>
        <v>SRGMPDS</v>
      </c>
      <c r="LE305" s="339" t="str">
        <f t="shared" si="194"/>
        <v>SRmMPDnS</v>
      </c>
      <c r="LF305" s="386" t="str">
        <f>IFERROR(__xludf.DUMMYFUNCTION("SUBSTITUTE(SUBSTITUTE(CONCATENATE(JOIN("""",LH305:LT305)),""1"",""""),""2"","""")"),"SRGmMPDnS")</f>
        <v>SRGmMPDnS</v>
      </c>
      <c r="LG305" s="369" t="str">
        <f t="shared" si="195"/>
        <v>-</v>
      </c>
      <c r="LH305" s="387" t="str">
        <f>IFERROR(__xludf.DUMMYFUNCTION("IF(REGEXMATCH(LD305, ""S""), ""S"",IF(REGEXMATCH(LE305, ""S""), ""S"",""""))"),"S")</f>
        <v>S</v>
      </c>
      <c r="LI305" s="299" t="str">
        <f>IFERROR(__xludf.DUMMYFUNCTION("IF(REGEXMATCH(LD305, ""r""), ""r1"",IF(REGEXMATCH(LE305, ""r""), ""r2"",""""))"),"")</f>
        <v/>
      </c>
      <c r="LJ305" s="299" t="str">
        <f>IFERROR(__xludf.DUMMYFUNCTION("IF(REGEXMATCH(LD305, ""R""), ""R1"",IF(REGEXMATCH(LE305, ""R""), ""R2"",""""))"),"R1")</f>
        <v>R1</v>
      </c>
      <c r="LK305" s="299" t="str">
        <f>IFERROR(__xludf.DUMMYFUNCTION("IF(REGEXMATCH(LD305, ""g""), ""g1"",IF(REGEXMATCH(LE305, ""g""), ""g2"",""""))"),"")</f>
        <v/>
      </c>
      <c r="LL305" s="299" t="str">
        <f>IFERROR(__xludf.DUMMYFUNCTION("IF(REGEXMATCH(LD305, ""G""), ""G1"",IF(REGEXMATCH(LE305, ""G""), ""G2"",""""))"),"G1")</f>
        <v>G1</v>
      </c>
      <c r="LM305" s="299" t="str">
        <f>IFERROR(__xludf.DUMMYFUNCTION("IF(REGEXMATCH(LD305, ""m""), ""m1"",IF(REGEXMATCH(LE305, ""m""), ""m2"",""""))"),"m2")</f>
        <v>m2</v>
      </c>
      <c r="LN305" s="299" t="str">
        <f>IFERROR(__xludf.DUMMYFUNCTION("IF(REGEXMATCH(LD305, ""M""), ""M1"",IF(REGEXMATCH(LE305, ""M""), ""M2"",""""))"),"M1")</f>
        <v>M1</v>
      </c>
      <c r="LO305" s="299" t="str">
        <f>IFERROR(__xludf.DUMMYFUNCTION("IF(REGEXMATCH(LD305, ""P""), ""P1"",IF(REGEXMATCH(LE305, ""P""), ""P2"",""""))"),"P1")</f>
        <v>P1</v>
      </c>
      <c r="LP305" s="299" t="str">
        <f>IFERROR(__xludf.DUMMYFUNCTION("IF(REGEXMATCH(LD305, ""d""), ""d1"",IF(REGEXMATCH(LE305, ""d""), ""d2"",""""))"),"")</f>
        <v/>
      </c>
      <c r="LQ305" s="299" t="str">
        <f>IFERROR(__xludf.DUMMYFUNCTION("IF(REGEXMATCH(LD305, ""D""), ""D1"",IF(REGEXMATCH(LE305, ""D""), ""D2"",""""))"),"D1")</f>
        <v>D1</v>
      </c>
      <c r="LR305" s="299" t="str">
        <f>IFERROR(__xludf.DUMMYFUNCTION("IF(REGEXMATCH(LD305, ""n""), ""n1"",IF(REGEXMATCH(LE305, ""n""), ""n2"",""""))"),"n2")</f>
        <v>n2</v>
      </c>
      <c r="LS305" s="299" t="str">
        <f>IFERROR(__xludf.DUMMYFUNCTION("IF(REGEXMATCH(LD305, ""N""), ""N1"",IF(REGEXMATCH(LE305, ""N""), ""N2"",""""))"),"")</f>
        <v/>
      </c>
      <c r="LT305" s="388" t="str">
        <f>IFERROR(__xludf.DUMMYFUNCTION("IF(REGEXMATCH(LD305, ""S""), ""S"",IF(REGEXMATCH(LE305, ""S""), ""S"",""""))"),"S")</f>
        <v>S</v>
      </c>
      <c r="LU305" s="389">
        <f t="shared" si="196"/>
        <v>0</v>
      </c>
      <c r="LV305" s="378"/>
      <c r="LW305" s="369"/>
      <c r="LX305" s="369"/>
    </row>
    <row r="306" ht="18.0" customHeight="1">
      <c r="A306" s="298" t="s">
        <v>1132</v>
      </c>
      <c r="B306" s="222" t="s">
        <v>533</v>
      </c>
      <c r="C306" s="233" t="str">
        <f t="shared" si="7"/>
        <v>SRmMPDnNS</v>
      </c>
      <c r="D306" s="234" t="str">
        <f>IFERROR(__xludf.DUMMYFUNCTION("IF(REGEXMATCH(C306, ""S""), ""S"","""")"),"S")</f>
        <v>S</v>
      </c>
      <c r="E306" s="236" t="str">
        <f>IFERROR(__xludf.DUMMYFUNCTION("IF(REGEXMATCH(C306, ""r""), ""r"","""")"),"")</f>
        <v/>
      </c>
      <c r="F306" s="237" t="str">
        <f>IFERROR(__xludf.DUMMYFUNCTION("IF(REGEXMATCH(C306, ""R""), ""R"","""")"),"R")</f>
        <v>R</v>
      </c>
      <c r="G306" s="237" t="str">
        <f>IFERROR(__xludf.DUMMYFUNCTION("IF(REGEXMATCH(C306, ""g""), ""g"","""")"),"")</f>
        <v/>
      </c>
      <c r="H306" s="236" t="str">
        <f>IFERROR(__xludf.DUMMYFUNCTION("IF(REGEXMATCH(C306, ""G""), ""G"","""")"),"")</f>
        <v/>
      </c>
      <c r="I306" s="236" t="str">
        <f>IFERROR(__xludf.DUMMYFUNCTION("IF(REGEXMATCH(C306, ""m""), ""m"","""")"),"m")</f>
        <v>m</v>
      </c>
      <c r="J306" s="237" t="str">
        <f>IFERROR(__xludf.DUMMYFUNCTION("IF(REGEXMATCH(C306, ""M""), ""M"","""")"),"M")</f>
        <v>M</v>
      </c>
      <c r="K306" s="236" t="str">
        <f>IFERROR(__xludf.DUMMYFUNCTION("IF(REGEXMATCH(C306, ""P""), ""P"","""")"),"P")</f>
        <v>P</v>
      </c>
      <c r="L306" s="237" t="str">
        <f>IFERROR(__xludf.DUMMYFUNCTION("IF(REGEXMATCH(C306, ""d""), ""d"","""")"),"")</f>
        <v/>
      </c>
      <c r="M306" s="236" t="str">
        <f>IFERROR(__xludf.DUMMYFUNCTION("IF(REGEXMATCH(C306, ""D""), ""D"","""")"),"D")</f>
        <v>D</v>
      </c>
      <c r="N306" s="236" t="str">
        <f>IFERROR(__xludf.DUMMYFUNCTION("IF(REGEXMATCH(C306, ""n""), ""n"","""")"),"n")</f>
        <v>n</v>
      </c>
      <c r="O306" s="237" t="str">
        <f>IFERROR(__xludf.DUMMYFUNCTION("IF(REGEXMATCH(C306, ""N""), ""N"","""")"),"N")</f>
        <v>N</v>
      </c>
      <c r="P306" s="238" t="str">
        <f>IFERROR(__xludf.DUMMYFUNCTION("IF(REGEXMATCH(C306, ""S""), ""S"","""")"),"S")</f>
        <v>S</v>
      </c>
      <c r="Q306" s="239" t="str">
        <f>IFERROR(__xludf.DUMMYFUNCTION("SUBSTITUTE(CONCATENATE(JOIN(""-"",D306:J306)),""-"","""")"),"SRmM")</f>
        <v>SRmM</v>
      </c>
      <c r="R306" s="229" t="str">
        <f>IFERROR(__xludf.DUMMYFUNCTION("SUBSTITUTE(CONCATENATE(JOIN(""-"",K306:P306)),""-"","""")"),"PDnNS")</f>
        <v>PDnNS</v>
      </c>
      <c r="S306" s="282" t="str">
        <f t="shared" si="8"/>
        <v>S-R-M</v>
      </c>
      <c r="T306" s="282" t="str">
        <f t="shared" si="9"/>
        <v>P-D-N-S</v>
      </c>
      <c r="U306" s="237" t="str">
        <f>IFERROR(__xludf.DUMMYFUNCTION("SUBSTITUTE(JOIN(""-"",S306,T306),""--"",""-"")"),"S-R-M-P-D-N-S")</f>
        <v>S-R-M-P-D-N-S</v>
      </c>
      <c r="V306" s="309" t="str">
        <f t="shared" si="10"/>
        <v>RmMDnN</v>
      </c>
      <c r="W306" s="244" t="str">
        <f>IFERROR(__xludf.DUMMYFUNCTION("IF(REGEXMATCH(C306, ""S""), ""0"","""")"),"0")</f>
        <v>0</v>
      </c>
      <c r="X306" s="245" t="str">
        <f>IFERROR(__xludf.DUMMYFUNCTION("IF(REGEXMATCH(C306, ""r""), ""1"","""")"),"")</f>
        <v/>
      </c>
      <c r="Y306" s="246" t="str">
        <f>IFERROR(__xludf.DUMMYFUNCTION("IF(REGEXMATCH(C306, ""R""), ""2"","""")"),"2")</f>
        <v>2</v>
      </c>
      <c r="Z306" s="246" t="str">
        <f>IFERROR(__xludf.DUMMYFUNCTION("IF(REGEXMATCH(C306, ""g""), ""3"","""")"),"")</f>
        <v/>
      </c>
      <c r="AA306" s="245" t="str">
        <f>IFERROR(__xludf.DUMMYFUNCTION("IF(REGEXMATCH(C306, ""G""), ""4"","""")"),"")</f>
        <v/>
      </c>
      <c r="AB306" s="245" t="str">
        <f>IFERROR(__xludf.DUMMYFUNCTION("IF(REGEXMATCH(C306, ""m""), ""5"","""")"),"5")</f>
        <v>5</v>
      </c>
      <c r="AC306" s="246" t="str">
        <f>IFERROR(__xludf.DUMMYFUNCTION("IF(REGEXMATCH(C306, ""M""), ""6"","""")"),"6")</f>
        <v>6</v>
      </c>
      <c r="AD306" s="245" t="str">
        <f>IFERROR(__xludf.DUMMYFUNCTION("IF(REGEXMATCH(C306, ""P""), ""7"","""")"),"7")</f>
        <v>7</v>
      </c>
      <c r="AE306" s="246" t="str">
        <f>IFERROR(__xludf.DUMMYFUNCTION("IF(REGEXMATCH(C306, ""d""), ""8"","""")"),"")</f>
        <v/>
      </c>
      <c r="AF306" s="245" t="str">
        <f>IFERROR(__xludf.DUMMYFUNCTION("IF(REGEXMATCH(C306, ""D""), ""9"","""")"),"9")</f>
        <v>9</v>
      </c>
      <c r="AG306" s="245" t="str">
        <f>IFERROR(__xludf.DUMMYFUNCTION("IF(REGEXMATCH(C306, ""n""), ""10"","""")"),"10")</f>
        <v>10</v>
      </c>
      <c r="AH306" s="246" t="str">
        <f>IFERROR(__xludf.DUMMYFUNCTION("IF(REGEXMATCH(C306, ""N""), ""11"","""")"),"11")</f>
        <v>11</v>
      </c>
      <c r="AI306" s="249" t="str">
        <f>IFERROR(__xludf.DUMMYFUNCTION("IF(REGEXMATCH(C306, ""S""), ""0"","""")"),"0")</f>
        <v>0</v>
      </c>
      <c r="AJ306" s="313" t="str">
        <f t="shared" si="11"/>
        <v>T</v>
      </c>
      <c r="AK306" s="313" t="str">
        <f t="shared" si="12"/>
        <v>-</v>
      </c>
      <c r="AL306" s="313" t="str">
        <f t="shared" si="13"/>
        <v>-</v>
      </c>
      <c r="AM306" s="313" t="str">
        <f t="shared" si="14"/>
        <v>-</v>
      </c>
      <c r="AN306" s="313" t="str">
        <f t="shared" si="15"/>
        <v>-</v>
      </c>
      <c r="AO306" s="314" t="str">
        <f t="shared" si="16"/>
        <v>T</v>
      </c>
      <c r="AP306" s="316">
        <f t="shared" si="17"/>
        <v>2</v>
      </c>
      <c r="AQ306" s="319" t="str">
        <f t="shared" si="18"/>
        <v>-</v>
      </c>
      <c r="AR306" s="320">
        <f t="shared" si="19"/>
        <v>0</v>
      </c>
      <c r="AS306" s="250" t="str">
        <f>IFERROR(__xludf.DUMMYFUNCTION("SUBSTITUTE(SUBSTITUTE(CONCATENATE(JOIN("""",FP306:GA306)),""|"",""x""),""-"",""o"")"),"xoxooxxxoxxx")</f>
        <v>xoxooxxxoxxx</v>
      </c>
      <c r="AT306" s="323" t="str">
        <f>IFERROR(__xludf.DUMMYFUNCTION("JOIN("""",AS306,AS306)"),"xoxooxxxoxxxxoxooxxxoxxx")</f>
        <v>xoxooxxxoxxxxoxooxxxoxxx</v>
      </c>
      <c r="AU306" s="256" t="str">
        <f>IFERROR(__xludf.DUMMYFUNCTION("JOIN("""",ArrayFormula(MID(AS306,LEN(AS306)-SEQUENCE(1,LEN(AS306))+1,1)))"),"xxxoxxxooxox")</f>
        <v>xxxoxxxooxox</v>
      </c>
      <c r="AV306" s="256" t="str">
        <f>IFERROR(__xludf.DUMMYFUNCTION("LEFT(CONCATENATE(""x"",JOIN("""",ArrayFormula(MID(AS306,LEN(AS306)-SEQUENCE(1,LEN(AS306))+1,1)))),12)"),"xxxxoxxxooxo")</f>
        <v>xxxxoxxxooxo</v>
      </c>
      <c r="AW306" s="327" t="str">
        <f>IFERROR(__xludf.DUMMYFUNCTION("JOIN("""",AU306,AU306)"),"xxxoxxxooxoxxxxoxxxooxox")</f>
        <v>xxxoxxxooxoxxxxoxxxooxox</v>
      </c>
      <c r="AX306" s="239" t="str">
        <f>IFERROR(__xludf.DUMMYFUNCTION("IF(REGEXMATCH(AW306,AS306),""✔"",""-"")"),"-")</f>
        <v>-</v>
      </c>
      <c r="AY306" s="330" t="str">
        <f t="shared" si="20"/>
        <v>-</v>
      </c>
      <c r="AZ306" s="260" t="str">
        <f t="shared" si="21"/>
        <v>#REF!</v>
      </c>
      <c r="BA306" s="333" t="str">
        <f t="shared" si="22"/>
        <v>xoxooxx</v>
      </c>
      <c r="BB306" s="334" t="str">
        <f t="shared" si="23"/>
        <v>xoxxxx</v>
      </c>
      <c r="BC306" s="335" t="str">
        <f t="shared" si="236"/>
        <v>-</v>
      </c>
      <c r="BD306" s="336" t="str">
        <f t="shared" si="25"/>
        <v>Saraswati Sarang: 'xoxooxx' + 'xoxxxx'</v>
      </c>
      <c r="BE306" s="337">
        <f>IFERROR(__xludf.DUMMYFUNCTION("COUNTUNIQUE(FILTER(AT:AT,REGEXMATCH(AT:AT,AS306)))-1"),1.0)</f>
        <v>1</v>
      </c>
      <c r="BF306" s="261" t="str">
        <f>IFERROR(__xludf.DUMMYFUNCTION("IF(BI306=0,""(n/a)"",IF(BJ306=2,""(PAIR)"",IF(REGEXMATCH(AT306,""xoxoxxoxoxox""),""Bilawal"",IF(REGEXMATCH(AT306,""xoxoxooxoxoo""),""Bhupali"",IF(REGEXMATCH(AT306,""xoxoxxoxxoxo""),""Charukeshi"",IF(REGEXMATCH(AT306,""xoxoooxxoxxo""),""Kameshwari"",IF(REG"&amp;"EXMATCH(AT306,""xoxoxooxoxox""),""Shankara"",IF(REGEXMATCH(AT306,""xxooxoxxxoox""),""Basant"",IF(REGEXMATCH(AT306,""xoxoxxxxoxox""),""Bihag"",IF(REGEXMATCH(AT306,""xoxxxxoxoxxx""),""Pilu"",IF(REGEXMATCH(AT306,""xoxxoxoxxoox""),""Kirwani"",IF(REGEXMATCH(AT"&amp;"306,""xoxxoxoxoxxx""),""Mk.Malhar"",IF(REGEXMATCH(AT306,""xxooxxoxxoox""),""Bhairav"",IF(REGEXMATCH(AT306,""xxoxooxxxoox""),""Todi"",IF(REGEXMATCH(AT306,""xxooxoxooxox""),""Marwa"",IF(REGEXMATCH(AT306,""xxoooxoxxooo""),""Gunkali"",IF(REGEXMATCH(AT306,""xo"&amp;"xoxxoxxoox""),""Nat Bhairav"",IF(REGEXMATCH(AT306,""xoxxoooxoxoo""),""Shivranjani"",IF(REGEXMATCH(AT306,""xooxxxoxooxo""),""Jog"",IF(REGEXMATCH(AT306,""xxooxoxoxoox""),""Hemshri"",IF(REGEXMATCH(AT306,""xoooxooxoxxo""),""Kalavati"",IF(REGEXMATCH(AT306,""xx"&amp;"oxoxxoxoox""),""Kedar"",IF(REGEXMATCH(AT306,""xoxxxxoxooxx""),""Gara"",IF(REGEXMATCH(AT306,""xooxoxooxoox""),""Chandrakauns"",IF(REGEXMATCH(AT306,""xoxxxxoxxxox""),""Mand"",IF(REGEXMATCH(AT306,""xoxxxxoxoxox""),""Hanskinkini"",IF(REGEXMATCH(AT306,""xxooxx"&amp;"oxooxo""),""Lilavati"",IF(REGEXMATCH(AT306,""xooxoxoooxox""),""Rajeshwari"",IF(REGEXMATCH(AT306,""xoooxxoxoxxx""),""Khokar"",IF(REGEXMATCH(AT306,""xxooxoxxxxox""),""Maligoura"",""-""))))))))))))))))))))))))))))))"),"Gara")</f>
        <v>Gara</v>
      </c>
      <c r="BG306" s="239" t="str">
        <f t="shared" si="26"/>
        <v>#REF!</v>
      </c>
      <c r="BH306" s="239">
        <f>IFERROR(__xludf.DUMMYFUNCTION("COUNTUNIQUE(FE306:FO306)-1"),7.0)</f>
        <v>7</v>
      </c>
      <c r="BI306" s="239">
        <f>IFERROR(__xludf.DUMMYFUNCTION("COUNTUNIQUE(FILTER(AT:AT,REGEXMATCH(AT:AT,AS306)))-1"),1.0)</f>
        <v>1</v>
      </c>
      <c r="BJ306" s="239">
        <f>IFERROR(__xludf.DUMMYFUNCTION("COUNTA(FILTER(AT:AT,REGEXMATCH(AT:AT,AS306)))"),4.0)</f>
        <v>4</v>
      </c>
      <c r="BK306" s="341">
        <f>IFERROR(__xludf.DUMMYFUNCTION("COUNTA(FILTER(AT:AT,REGEXMATCH(AT:AT,AS306)))-AR306"),4.0)</f>
        <v>4</v>
      </c>
      <c r="BL306" s="276" t="str">
        <f>IFERROR(__xludf.DUMMYFUNCTION("IF(AS306=""oooooooooooo"",""-"",IF(REGEXMATCH(AT306,""xx""), ""Hemi."", ""Anhemi.""))"),"Hemi.")</f>
        <v>Hemi.</v>
      </c>
      <c r="BM306" s="282" t="str">
        <f>IFERROR(__xludf.DUMMYFUNCTION("IF(AS306=""oooooooooooo"",""-"",IF(REGEXMATCH(AT306,""xxx""), ""Cohem."", ""-""))"),"Cohem.")</f>
        <v>Cohem.</v>
      </c>
      <c r="BN306" s="282" t="str">
        <f>IFERROR(__xludf.DUMMYFUNCTION("IF(AS306=""oooooooooooo"",""-"",IF(REGEXMATCH(AT306,""xxxx""), ""Co-Co."", ""-""))"),"Co-Co.")</f>
        <v>Co-Co.</v>
      </c>
      <c r="BO306" s="342" t="str">
        <f>IFERROR(__xludf.DUMMYFUNCTION("IF(AS306=""oooooooooooo"",""-"",IF(REGEXMATCH(AT306,""xxxxx""), ""CCC."", ""-""))"),"-")</f>
        <v>-</v>
      </c>
      <c r="BP306" s="344" t="str">
        <f t="shared" si="27"/>
        <v>-</v>
      </c>
      <c r="BQ306" s="282" t="str">
        <f>IFERROR(__xludf.DUMMYFUNCTION("IF(REGEXMATCH(JOIN(""-"",EU306:FD306),""TRUE""),""✔"",""-"")"),"-")</f>
        <v>-</v>
      </c>
      <c r="BR306" s="225">
        <f t="shared" si="28"/>
        <v>0</v>
      </c>
      <c r="BS306" s="345" t="str">
        <f>IFERROR(__xludf.DUMMYFUNCTION("SUBSTITUTE(SUBSTITUTE(SUBSTITUTE(SUBSTITUTE(CONCATENATE(JOIN(""-"",GC306:GO306)),""--"",""-""),""--"",""-""),""--"",""-""),""--"",""-"")"),"1-2-4-#4-5-6-b7-7-8")</f>
        <v>1-2-4-#4-5-6-b7-7-8</v>
      </c>
      <c r="BT306" s="299" t="str">
        <f>IFERROR(__xludf.DUMMYFUNCTION("SUBSTITUTE(SUBSTITUTE(SUBSTITUTE(SUBSTITUTE(CONCATENATE(JOIN(""-"",GP306:HB306)),""--"",""-""),""--"",""-""),""--"",""-""),""--"",""-"")"),"S-R2-M1-M2-P-D2-N2-N3-S")</f>
        <v>S-R2-M1-M2-P-D2-N2-N3-S</v>
      </c>
      <c r="BU306" s="348" t="str">
        <f t="shared" si="29"/>
        <v>C-D-F-F#-G-A-Bb-B-C</v>
      </c>
      <c r="BV306" s="349" t="str">
        <f t="shared" si="30"/>
        <v>SrgGdS</v>
      </c>
      <c r="BW306" s="350">
        <f t="shared" si="31"/>
        <v>0</v>
      </c>
      <c r="BX306" s="351">
        <f t="shared" si="32"/>
        <v>3</v>
      </c>
      <c r="BY306" s="392"/>
      <c r="BZ306" s="309" t="str">
        <f>IFERROR(__xludf.DUMMYFUNCTION("IF(REGEXMATCH(C306, ""S""), ""x"",""x"")"),"x")</f>
        <v>x</v>
      </c>
      <c r="CA306" s="245" t="str">
        <f>IFERROR(__xludf.DUMMYFUNCTION("IF(REGEXMATCH(C306, ""r""), ""o"",""x"")"),"x")</f>
        <v>x</v>
      </c>
      <c r="CB306" s="246" t="str">
        <f>IFERROR(__xludf.DUMMYFUNCTION("IF(REGEXMATCH(C306, ""R""), ""o"",""x"")"),"o")</f>
        <v>o</v>
      </c>
      <c r="CC306" s="246" t="str">
        <f>IFERROR(__xludf.DUMMYFUNCTION("IF(REGEXMATCH(C306, ""g""), ""o"",""x"")"),"x")</f>
        <v>x</v>
      </c>
      <c r="CD306" s="245" t="str">
        <f>IFERROR(__xludf.DUMMYFUNCTION("IF(REGEXMATCH(C306, ""G""), ""o"",""x"")"),"x")</f>
        <v>x</v>
      </c>
      <c r="CE306" s="245" t="str">
        <f>IFERROR(__xludf.DUMMYFUNCTION("IF(REGEXMATCH(C306, ""m""), ""o"",""x"")"),"o")</f>
        <v>o</v>
      </c>
      <c r="CF306" s="246" t="str">
        <f>IFERROR(__xludf.DUMMYFUNCTION("IF(REGEXMATCH(C306, ""M""), ""o"",""x"")"),"o")</f>
        <v>o</v>
      </c>
      <c r="CG306" s="245" t="str">
        <f>IFERROR(__xludf.DUMMYFUNCTION("IF(REGEXMATCH(C306, ""P""), ""o"",""x"")"),"o")</f>
        <v>o</v>
      </c>
      <c r="CH306" s="246" t="str">
        <f>IFERROR(__xludf.DUMMYFUNCTION("IF(REGEXMATCH(C306, ""d""), ""o"",""x"")"),"x")</f>
        <v>x</v>
      </c>
      <c r="CI306" s="245" t="str">
        <f>IFERROR(__xludf.DUMMYFUNCTION("IF(REGEXMATCH(C306, ""D""), ""o"",""x"")"),"o")</f>
        <v>o</v>
      </c>
      <c r="CJ306" s="245" t="str">
        <f>IFERROR(__xludf.DUMMYFUNCTION("IF(REGEXMATCH(C306, ""n""), ""o"",""x"")"),"o")</f>
        <v>o</v>
      </c>
      <c r="CK306" s="245" t="str">
        <f>IFERROR(__xludf.DUMMYFUNCTION("IF(REGEXMATCH(C306, ""N""), ""o"",""x"")"),"o")</f>
        <v>o</v>
      </c>
      <c r="CL306" s="356" t="str">
        <f>IFERROR(__xludf.DUMMYFUNCTION("IF(REGEXMATCH(C306, ""S""), ""x"",""x"")"),"x")</f>
        <v>x</v>
      </c>
      <c r="CM306" s="357" t="str">
        <f t="shared" si="33"/>
        <v>xxoxxoooxooo</v>
      </c>
      <c r="CN306" s="358">
        <f t="shared" si="34"/>
        <v>0</v>
      </c>
      <c r="CO306" s="246" t="str">
        <f>IFERROR(__xludf.DUMMYFUNCTION("IF(REGEXMATCH($C306, ""S""), ""S"",""S"")"),"S")</f>
        <v>S</v>
      </c>
      <c r="CP306" s="246" t="str">
        <f>IFERROR(__xludf.DUMMYFUNCTION("IF(REGEXMATCH($C306, ""r""), """",""r"")"),"r")</f>
        <v>r</v>
      </c>
      <c r="CQ306" s="246" t="str">
        <f>IFERROR(__xludf.DUMMYFUNCTION("IF(REGEXMATCH($C306, ""R""), """",""R"")"),"")</f>
        <v/>
      </c>
      <c r="CR306" s="246" t="str">
        <f>IFERROR(__xludf.DUMMYFUNCTION("IF(REGEXMATCH($C306, ""g""), """",""g"")"),"g")</f>
        <v>g</v>
      </c>
      <c r="CS306" s="246" t="str">
        <f>IFERROR(__xludf.DUMMYFUNCTION("IF(REGEXMATCH($C306, ""G""), """",""G"")"),"G")</f>
        <v>G</v>
      </c>
      <c r="CT306" s="246" t="str">
        <f>IFERROR(__xludf.DUMMYFUNCTION("IF(REGEXMATCH($C306, ""m""), """",""m"")"),"")</f>
        <v/>
      </c>
      <c r="CU306" s="246" t="str">
        <f>IFERROR(__xludf.DUMMYFUNCTION("IF(REGEXMATCH($C306, ""M""), """",""M"")"),"")</f>
        <v/>
      </c>
      <c r="CV306" s="246" t="str">
        <f>IFERROR(__xludf.DUMMYFUNCTION("IF(REGEXMATCH($C306, ""P""), """",""P"")"),"")</f>
        <v/>
      </c>
      <c r="CW306" s="246" t="str">
        <f>IFERROR(__xludf.DUMMYFUNCTION("IF(REGEXMATCH($C306, ""d""), """",""d"")"),"d")</f>
        <v>d</v>
      </c>
      <c r="CX306" s="246" t="str">
        <f>IFERROR(__xludf.DUMMYFUNCTION("IF(REGEXMATCH($C306, ""D""), """",""D"")"),"")</f>
        <v/>
      </c>
      <c r="CY306" s="246" t="str">
        <f>IFERROR(__xludf.DUMMYFUNCTION("IF(REGEXMATCH($C306, ""n""), """",""n"")"),"")</f>
        <v/>
      </c>
      <c r="CZ306" s="246" t="str">
        <f>IFERROR(__xludf.DUMMYFUNCTION("IF(REGEXMATCH($C306, ""N""), """",""N"")"),"")</f>
        <v/>
      </c>
      <c r="DA306" s="246" t="str">
        <f>IFERROR(__xludf.DUMMYFUNCTION("IF(REGEXMATCH($C306, ""S""), ""S"",""S"")"),"S")</f>
        <v>S</v>
      </c>
      <c r="DB306" s="362" t="str">
        <f>IFERROR(__xludf.DUMMYFUNCTION("JOIN("""",CO306:DA306,"""","""")"),"SrgGdS")</f>
        <v>SrgGdS</v>
      </c>
      <c r="DC306" s="363"/>
      <c r="DD306" s="301" t="str">
        <f t="shared" si="35"/>
        <v>#REF!</v>
      </c>
      <c r="DE306" s="302" t="str">
        <f t="shared" si="36"/>
        <v>#REF!</v>
      </c>
      <c r="DF306" s="301" t="str">
        <f t="shared" ref="DF306:DG306" si="840">SUBSTITUTE(S306,"-","")</f>
        <v>SRM</v>
      </c>
      <c r="DG306" s="301" t="str">
        <f t="shared" si="840"/>
        <v>PDNS</v>
      </c>
      <c r="DH306" s="302" t="str">
        <f t="shared" si="38"/>
        <v>Gara</v>
      </c>
      <c r="DI306" s="301" t="str">
        <f t="shared" si="39"/>
        <v>Hemi.</v>
      </c>
      <c r="DJ306" s="364" t="str">
        <f t="shared" si="40"/>
        <v>Co-Co.</v>
      </c>
      <c r="DK306" s="306" t="str">
        <f t="shared" si="41"/>
        <v>-</v>
      </c>
      <c r="DL306" s="366" t="str">
        <f t="shared" si="42"/>
        <v>-</v>
      </c>
      <c r="DM306" s="308" t="str">
        <f t="shared" si="43"/>
        <v>✔</v>
      </c>
      <c r="DN306" s="306" t="str">
        <f t="shared" si="44"/>
        <v>-</v>
      </c>
      <c r="DO306" s="306" t="str">
        <f t="shared" si="45"/>
        <v>-</v>
      </c>
      <c r="DP306" s="367" t="str">
        <f t="shared" si="46"/>
        <v>-</v>
      </c>
      <c r="DQ306" s="310" t="str">
        <f t="shared" si="47"/>
        <v>-</v>
      </c>
      <c r="DR306" s="310" t="str">
        <f t="shared" si="48"/>
        <v>-</v>
      </c>
      <c r="DS306" s="310" t="str">
        <f t="shared" si="49"/>
        <v>✔</v>
      </c>
      <c r="DT306" s="310" t="str">
        <f t="shared" si="50"/>
        <v>-</v>
      </c>
      <c r="DU306" s="370" t="str">
        <f t="shared" si="51"/>
        <v>✔</v>
      </c>
      <c r="DV306" s="306" t="str">
        <f t="shared" si="52"/>
        <v>-</v>
      </c>
      <c r="DW306" s="306" t="str">
        <f t="shared" si="53"/>
        <v>✔</v>
      </c>
      <c r="DX306" s="306" t="str">
        <f t="shared" si="54"/>
        <v>-</v>
      </c>
      <c r="DY306" s="306" t="str">
        <f t="shared" si="55"/>
        <v>-</v>
      </c>
      <c r="DZ306" s="306" t="str">
        <f t="shared" si="56"/>
        <v>-</v>
      </c>
      <c r="EA306" s="367" t="str">
        <f t="shared" si="57"/>
        <v>-</v>
      </c>
      <c r="EB306" s="310" t="str">
        <f>IFERROR(__xludf.DUMMYFUNCTION("IF(REGEXMATCH(AW306,AS306),""✔"",""-"")"),"-")</f>
        <v>-</v>
      </c>
      <c r="EC306" s="310" t="str">
        <f t="shared" si="58"/>
        <v>#REF!</v>
      </c>
      <c r="ED306" s="370" t="str">
        <f t="shared" si="59"/>
        <v>-</v>
      </c>
      <c r="EE306" s="340" t="str">
        <f t="shared" si="60"/>
        <v>S-R-mM-P-D-nN-S</v>
      </c>
      <c r="EF306" s="371" t="str">
        <f>IFERROR(__xludf.DUMMYFUNCTION("CONCATENATE(JOIN("""",HC306:HO306))"),"SrRgmMPnS")</f>
        <v>SrRgmMPnS</v>
      </c>
      <c r="EG306" s="372">
        <f t="shared" si="61"/>
        <v>2</v>
      </c>
      <c r="EH306" s="373" t="str">
        <f>IFERROR(__xludf.DUMMYFUNCTION("CONCATENATE(JOIN("""",JC306:JO306))"),"Ma, Dha, ")</f>
        <v>Ma, Dha, </v>
      </c>
      <c r="EI306" s="322">
        <f t="shared" si="62"/>
        <v>0</v>
      </c>
      <c r="EJ306" s="374" t="str">
        <f>IFERROR(__xludf.DUMMYFUNCTION("CONCATENATE(JOIN("""",KC306:KO306))"),"")</f>
        <v/>
      </c>
      <c r="EK306" s="325" t="str">
        <f t="shared" si="63"/>
        <v>S-R2-M1-M2-P-D2-N2-N3-S</v>
      </c>
      <c r="EL306" s="326" t="str">
        <f t="shared" si="64"/>
        <v>1-2-4-#4-5-6-b7-7-8</v>
      </c>
      <c r="EM306" s="318" t="str">
        <f t="shared" si="65"/>
        <v>#REF!</v>
      </c>
      <c r="EN306" s="328" t="str">
        <f>IFERROR(__xludf.DUMMYFUNCTION("SUBSTITUTE(SUBSTITUTE(SUBSTITUTE(SUBSTITUTE(CONCATENATE(JOIN("" "",HP306:IB306)),""  "","" ""),""  "","" ""),""  "","" ""),""  "","" "")"),"o • o • • o o o • o o o o")</f>
        <v>o • o • • o o o • o o o o</v>
      </c>
      <c r="EO306" s="368" t="str">
        <f t="shared" si="66"/>
        <v>-</v>
      </c>
      <c r="EP306" s="339" t="str">
        <f t="shared" si="67"/>
        <v>-</v>
      </c>
      <c r="EQ306" s="339" t="str">
        <f t="shared" si="68"/>
        <v>Sa-Pa</v>
      </c>
      <c r="ER306" s="339" t="str">
        <f t="shared" si="69"/>
        <v>-</v>
      </c>
      <c r="ES306" s="340" t="str">
        <f t="shared" si="70"/>
        <v>-</v>
      </c>
      <c r="ET306" s="363"/>
      <c r="EU306" s="376" t="b">
        <f>IFERROR(__xludf.DUMMYFUNCTION("arrayformula(sum(--REGEXMATCH(""SRGMPDNS"",split(REGEXREPLACE(C306,""(.)"",""$1~""),""~""))))=len(C306)
"),FALSE)</f>
        <v>0</v>
      </c>
      <c r="EV306" s="290" t="b">
        <f>IFERROR(__xludf.DUMMYFUNCTION("arrayformula(sum(--REGEXMATCH(""SRGmPDNS"",split(REGEXREPLACE(C306,""(.)"",""$1~""),""~""))))=len(C306)"),FALSE)</f>
        <v>0</v>
      </c>
      <c r="EW306" s="290" t="b">
        <f>IFERROR(__xludf.DUMMYFUNCTION("arrayformula(sum(--REGEXMATCH(""SRGmPDnS"",split(REGEXREPLACE(C306,""(.)"",""$1~""),""~""))))=len(C306)"),FALSE)</f>
        <v>0</v>
      </c>
      <c r="EX306" s="290" t="b">
        <f>IFERROR(__xludf.DUMMYFUNCTION("arrayformula(sum(--REGEXMATCH(""SRgmPDnS"",split(REGEXREPLACE(C306,""(.)"",""$1~""),""~""))))=len(C306)"),FALSE)</f>
        <v>0</v>
      </c>
      <c r="EY306" s="290" t="b">
        <f>IFERROR(__xludf.DUMMYFUNCTION("arrayformula(sum(--REGEXMATCH(""SRgmPdnS"",split(REGEXREPLACE(C306,""(.)"",""$1~""),""~""))))=len(C306)"),FALSE)</f>
        <v>0</v>
      </c>
      <c r="EZ306" s="290" t="b">
        <f>IFERROR(__xludf.DUMMYFUNCTION("arrayformula(sum(--REGEXMATCH(""SrgmPdnS"",split(REGEXREPLACE(C306,""(.)"",""$1~""),""~""))))=len(C306)"),FALSE)</f>
        <v>0</v>
      </c>
      <c r="FA306" s="290" t="b">
        <f>IFERROR(__xludf.DUMMYFUNCTION("arrayformula(sum(--REGEXMATCH(""SrGmPdNS"",split(REGEXREPLACE(C306,""(.)"",""$1~""),""~""))))=len(C306)"),FALSE)</f>
        <v>0</v>
      </c>
      <c r="FB306" s="290" t="b">
        <f>IFERROR(__xludf.DUMMYFUNCTION("arrayformula(sum(--REGEXMATCH(""SrGMPDNS"",split(REGEXREPLACE(C306,""(.)"",""$1~""),""~""))))=len(C306)"),FALSE)</f>
        <v>0</v>
      </c>
      <c r="FC306" s="290" t="b">
        <f>IFERROR(__xludf.DUMMYFUNCTION("arrayformula(sum(--REGEXMATCH(""SrGMPdNS"",split(REGEXREPLACE(C306,""(.)"",""$1~""),""~""))))=len(C306)"),FALSE)</f>
        <v>0</v>
      </c>
      <c r="FD306" s="377" t="b">
        <f>IFERROR(__xludf.DUMMYFUNCTION("arrayformula(sum(--REGEXMATCH(""SrgMPdNS"",split(REGEXREPLACE(C306,""(.)"",""$1~""),""~""))))=len(C306)"),FALSE)</f>
        <v>0</v>
      </c>
      <c r="FE306" s="269" t="str">
        <f t="shared" si="71"/>
        <v>-</v>
      </c>
      <c r="FF306" s="269" t="str">
        <f t="shared" si="72"/>
        <v>xooxxxoxxxx</v>
      </c>
      <c r="FG306" s="271" t="str">
        <f t="shared" si="73"/>
        <v>-</v>
      </c>
      <c r="FH306" s="269" t="str">
        <f t="shared" si="74"/>
        <v>-</v>
      </c>
      <c r="FI306" s="271" t="str">
        <f t="shared" si="75"/>
        <v>xxxoxxxxoxo</v>
      </c>
      <c r="FJ306" s="271" t="str">
        <f t="shared" si="76"/>
        <v>xxoxxxxoxoo</v>
      </c>
      <c r="FK306" s="271" t="str">
        <f t="shared" si="77"/>
        <v>xoxxxxoxoox</v>
      </c>
      <c r="FL306" s="271" t="str">
        <f t="shared" si="78"/>
        <v>-</v>
      </c>
      <c r="FM306" s="271" t="str">
        <f t="shared" si="79"/>
        <v>xxxxoxooxxx</v>
      </c>
      <c r="FN306" s="271" t="str">
        <f t="shared" si="80"/>
        <v>xxxoxooxxxo</v>
      </c>
      <c r="FO306" s="274" t="str">
        <f t="shared" si="81"/>
        <v>xxoxooxxxox</v>
      </c>
      <c r="FP306" s="234" t="str">
        <f t="shared" si="82"/>
        <v>|</v>
      </c>
      <c r="FQ306" s="236" t="str">
        <f t="shared" si="83"/>
        <v>-</v>
      </c>
      <c r="FR306" s="237" t="str">
        <f t="shared" si="84"/>
        <v>|</v>
      </c>
      <c r="FS306" s="236" t="str">
        <f t="shared" si="85"/>
        <v>-</v>
      </c>
      <c r="FT306" s="237" t="str">
        <f t="shared" si="86"/>
        <v>-</v>
      </c>
      <c r="FU306" s="236" t="str">
        <f t="shared" si="87"/>
        <v>|</v>
      </c>
      <c r="FV306" s="237" t="str">
        <f t="shared" si="88"/>
        <v>|</v>
      </c>
      <c r="FW306" s="236" t="str">
        <f t="shared" si="89"/>
        <v>|</v>
      </c>
      <c r="FX306" s="237" t="str">
        <f t="shared" si="90"/>
        <v>-</v>
      </c>
      <c r="FY306" s="236" t="str">
        <f t="shared" si="91"/>
        <v>|</v>
      </c>
      <c r="FZ306" s="237" t="str">
        <f t="shared" si="92"/>
        <v>|</v>
      </c>
      <c r="GA306" s="236" t="str">
        <f t="shared" si="93"/>
        <v>|</v>
      </c>
      <c r="GB306" s="238" t="str">
        <f t="shared" si="94"/>
        <v>|</v>
      </c>
      <c r="GC306" s="244" t="str">
        <f>IFERROR(__xludf.DUMMYFUNCTION("IF(REGEXMATCH(C306, ""S""), ""1"","""")"),"1")</f>
        <v>1</v>
      </c>
      <c r="GD306" s="245" t="str">
        <f>IFERROR(__xludf.DUMMYFUNCTION("IF(REGEXMATCH(C306, ""r""), ""b2"","""")"),"")</f>
        <v/>
      </c>
      <c r="GE306" s="246" t="str">
        <f>IFERROR(__xludf.DUMMYFUNCTION("IF(REGEXMATCH(C306, ""R""), ""2"","""")"),"2")</f>
        <v>2</v>
      </c>
      <c r="GF306" s="246" t="str">
        <f>IFERROR(__xludf.DUMMYFUNCTION("IF(REGEXMATCH(C306, ""g""), ""b3"","""")"),"")</f>
        <v/>
      </c>
      <c r="GG306" s="245" t="str">
        <f>IFERROR(__xludf.DUMMYFUNCTION("IF(REGEXMATCH(C306, ""G""), ""3"","""")"),"")</f>
        <v/>
      </c>
      <c r="GH306" s="245" t="str">
        <f>IFERROR(__xludf.DUMMYFUNCTION("IF(REGEXMATCH(C306, ""m""), ""4"","""")"),"4")</f>
        <v>4</v>
      </c>
      <c r="GI306" s="246" t="str">
        <f>IFERROR(__xludf.DUMMYFUNCTION("IF(REGEXMATCH(C306, ""M""), ""#4"","""")"),"#4")</f>
        <v>#4</v>
      </c>
      <c r="GJ306" s="245" t="str">
        <f>IFERROR(__xludf.DUMMYFUNCTION("IF(REGEXMATCH(C306, ""P""), ""5"","""")"),"5")</f>
        <v>5</v>
      </c>
      <c r="GK306" s="246" t="str">
        <f>IFERROR(__xludf.DUMMYFUNCTION("IF(REGEXMATCH(C306, ""d""), ""b6"","""")"),"")</f>
        <v/>
      </c>
      <c r="GL306" s="245" t="str">
        <f>IFERROR(__xludf.DUMMYFUNCTION("IF(REGEXMATCH(C306, ""D""), ""6"","""")"),"6")</f>
        <v>6</v>
      </c>
      <c r="GM306" s="245" t="str">
        <f>IFERROR(__xludf.DUMMYFUNCTION("IF(REGEXMATCH(C306, ""n""), ""b7"","""")"),"b7")</f>
        <v>b7</v>
      </c>
      <c r="GN306" s="246" t="str">
        <f>IFERROR(__xludf.DUMMYFUNCTION("IF(REGEXMATCH(C306, ""N""), ""7"","""")"),"7")</f>
        <v>7</v>
      </c>
      <c r="GO306" s="249" t="str">
        <f>IFERROR(__xludf.DUMMYFUNCTION("IF(REGEXMATCH(C306, ""S""), ""8"","""")"),"8")</f>
        <v>8</v>
      </c>
      <c r="GP306" s="244" t="str">
        <f>IFERROR(__xludf.DUMMYFUNCTION("IF(REGEXMATCH(C306, ""S""), ""S"","""")"),"S")</f>
        <v>S</v>
      </c>
      <c r="GQ306" s="294" t="str">
        <f>IFERROR(__xludf.DUMMYFUNCTION("IF(REGEXMATCH(C306, ""r""), ""R1"","""")"),"")</f>
        <v/>
      </c>
      <c r="GR306" s="295" t="str">
        <f>IFERROR(__xludf.DUMMYFUNCTION("IF(REGEXMATCH(C306, ""R""), ""R2"","""")"),"R2")</f>
        <v>R2</v>
      </c>
      <c r="GS306" s="295" t="str">
        <f>IFERROR(__xludf.DUMMYFUNCTION("IF(REGEXMATCH(C306, ""g""), ""G2"","""")"),"")</f>
        <v/>
      </c>
      <c r="GT306" s="294" t="str">
        <f>IFERROR(__xludf.DUMMYFUNCTION("IF(REGEXMATCH(C306, ""G""), ""G3"","""")"),"")</f>
        <v/>
      </c>
      <c r="GU306" s="294" t="str">
        <f>IFERROR(__xludf.DUMMYFUNCTION("IF(REGEXMATCH(C306, ""m""), ""M1"","""")"),"M1")</f>
        <v>M1</v>
      </c>
      <c r="GV306" s="295" t="str">
        <f>IFERROR(__xludf.DUMMYFUNCTION("IF(REGEXMATCH(C306, ""M""), ""M2"","""")"),"M2")</f>
        <v>M2</v>
      </c>
      <c r="GW306" s="294" t="str">
        <f>IFERROR(__xludf.DUMMYFUNCTION("IF(REGEXMATCH(C306, ""P""), ""P"","""")"),"P")</f>
        <v>P</v>
      </c>
      <c r="GX306" s="295" t="str">
        <f>IFERROR(__xludf.DUMMYFUNCTION("IF(REGEXMATCH(C306, ""d""), ""D1"","""")"),"")</f>
        <v/>
      </c>
      <c r="GY306" s="294" t="str">
        <f>IFERROR(__xludf.DUMMYFUNCTION("IF(REGEXMATCH(C306, ""D""), ""D2"","""")"),"D2")</f>
        <v>D2</v>
      </c>
      <c r="GZ306" s="294" t="str">
        <f>IFERROR(__xludf.DUMMYFUNCTION("IF(REGEXMATCH(C306, ""n""), ""N2"","""")"),"N2")</f>
        <v>N2</v>
      </c>
      <c r="HA306" s="295" t="str">
        <f>IFERROR(__xludf.DUMMYFUNCTION("IF(REGEXMATCH(C306, ""N""), ""N3"","""")"),"N3")</f>
        <v>N3</v>
      </c>
      <c r="HB306" s="249" t="str">
        <f>IFERROR(__xludf.DUMMYFUNCTION("IF(REGEXMATCH(C306, ""S""), ""S"","""")"),"S")</f>
        <v>S</v>
      </c>
      <c r="HC306" s="331" t="str">
        <f t="shared" si="95"/>
        <v>S</v>
      </c>
      <c r="HD306" s="332" t="str">
        <f t="shared" si="96"/>
        <v>r</v>
      </c>
      <c r="HE306" s="332" t="str">
        <f t="shared" si="97"/>
        <v>R</v>
      </c>
      <c r="HF306" s="332" t="str">
        <f t="shared" si="98"/>
        <v>g</v>
      </c>
      <c r="HG306" s="332" t="str">
        <f t="shared" si="99"/>
        <v/>
      </c>
      <c r="HH306" s="332" t="str">
        <f t="shared" si="100"/>
        <v>m</v>
      </c>
      <c r="HI306" s="332" t="str">
        <f t="shared" si="101"/>
        <v>M</v>
      </c>
      <c r="HJ306" s="332" t="str">
        <f t="shared" si="102"/>
        <v>P</v>
      </c>
      <c r="HK306" s="332" t="str">
        <f t="shared" si="103"/>
        <v/>
      </c>
      <c r="HL306" s="332" t="str">
        <f t="shared" si="104"/>
        <v/>
      </c>
      <c r="HM306" s="332" t="str">
        <f t="shared" si="105"/>
        <v>n</v>
      </c>
      <c r="HN306" s="332" t="str">
        <f t="shared" si="106"/>
        <v/>
      </c>
      <c r="HO306" s="343" t="str">
        <f t="shared" si="107"/>
        <v>S</v>
      </c>
      <c r="HP306" s="331" t="str">
        <f t="shared" si="108"/>
        <v>o</v>
      </c>
      <c r="HQ306" s="332" t="str">
        <f t="shared" si="109"/>
        <v>•</v>
      </c>
      <c r="HR306" s="332" t="str">
        <f t="shared" si="110"/>
        <v>o</v>
      </c>
      <c r="HS306" s="332" t="str">
        <f t="shared" si="111"/>
        <v>•</v>
      </c>
      <c r="HT306" s="332" t="str">
        <f t="shared" si="112"/>
        <v>•</v>
      </c>
      <c r="HU306" s="332" t="str">
        <f t="shared" si="113"/>
        <v>o</v>
      </c>
      <c r="HV306" s="332" t="str">
        <f t="shared" si="114"/>
        <v>o</v>
      </c>
      <c r="HW306" s="332" t="str">
        <f t="shared" si="115"/>
        <v>o</v>
      </c>
      <c r="HX306" s="332" t="str">
        <f t="shared" si="116"/>
        <v>•</v>
      </c>
      <c r="HY306" s="332" t="str">
        <f t="shared" si="117"/>
        <v>o</v>
      </c>
      <c r="HZ306" s="332" t="str">
        <f t="shared" si="118"/>
        <v>o</v>
      </c>
      <c r="IA306" s="332" t="str">
        <f t="shared" si="119"/>
        <v>o</v>
      </c>
      <c r="IB306" s="338" t="str">
        <f t="shared" si="120"/>
        <v>o</v>
      </c>
      <c r="IC306" s="331" t="str">
        <f t="shared" si="121"/>
        <v>•</v>
      </c>
      <c r="ID306" s="332" t="str">
        <f t="shared" si="122"/>
        <v>o</v>
      </c>
      <c r="IE306" s="332" t="str">
        <f t="shared" si="123"/>
        <v>•</v>
      </c>
      <c r="IF306" s="332" t="str">
        <f t="shared" si="124"/>
        <v>o</v>
      </c>
      <c r="IG306" s="332" t="str">
        <f t="shared" si="125"/>
        <v>o</v>
      </c>
      <c r="IH306" s="332" t="str">
        <f t="shared" si="126"/>
        <v>•</v>
      </c>
      <c r="II306" s="332" t="str">
        <f t="shared" si="127"/>
        <v>•</v>
      </c>
      <c r="IJ306" s="332" t="str">
        <f t="shared" si="128"/>
        <v>•</v>
      </c>
      <c r="IK306" s="332" t="str">
        <f t="shared" si="129"/>
        <v>o</v>
      </c>
      <c r="IL306" s="332" t="str">
        <f t="shared" si="130"/>
        <v>•</v>
      </c>
      <c r="IM306" s="332" t="str">
        <f t="shared" si="131"/>
        <v>•</v>
      </c>
      <c r="IN306" s="332" t="str">
        <f t="shared" si="132"/>
        <v>•</v>
      </c>
      <c r="IO306" s="338" t="str">
        <f t="shared" si="133"/>
        <v>•</v>
      </c>
      <c r="IP306" s="346" t="b">
        <f t="shared" si="134"/>
        <v>0</v>
      </c>
      <c r="IQ306" s="347" t="b">
        <f t="shared" si="135"/>
        <v>0</v>
      </c>
      <c r="IR306" s="347" t="b">
        <f t="shared" si="136"/>
        <v>0</v>
      </c>
      <c r="IS306" s="347" t="b">
        <f t="shared" si="137"/>
        <v>0</v>
      </c>
      <c r="IT306" s="347" t="b">
        <f t="shared" si="138"/>
        <v>0</v>
      </c>
      <c r="IU306" s="347" t="b">
        <f t="shared" si="139"/>
        <v>0</v>
      </c>
      <c r="IV306" s="347" t="b">
        <f t="shared" si="140"/>
        <v>1</v>
      </c>
      <c r="IW306" s="347" t="b">
        <f t="shared" si="141"/>
        <v>0</v>
      </c>
      <c r="IX306" s="347" t="b">
        <f t="shared" si="142"/>
        <v>0</v>
      </c>
      <c r="IY306" s="347" t="b">
        <f t="shared" si="143"/>
        <v>1</v>
      </c>
      <c r="IZ306" s="347" t="b">
        <f t="shared" si="144"/>
        <v>0</v>
      </c>
      <c r="JA306" s="347" t="b">
        <f t="shared" si="145"/>
        <v>0</v>
      </c>
      <c r="JB306" s="353" t="b">
        <f t="shared" si="146"/>
        <v>0</v>
      </c>
      <c r="JC306" s="354" t="str">
        <f t="shared" si="147"/>
        <v/>
      </c>
      <c r="JD306" s="355" t="str">
        <f t="shared" si="148"/>
        <v/>
      </c>
      <c r="JE306" s="355" t="str">
        <f t="shared" si="149"/>
        <v/>
      </c>
      <c r="JF306" s="355" t="str">
        <f t="shared" si="150"/>
        <v/>
      </c>
      <c r="JG306" s="355" t="str">
        <f t="shared" si="151"/>
        <v/>
      </c>
      <c r="JH306" s="355" t="str">
        <f t="shared" si="152"/>
        <v/>
      </c>
      <c r="JI306" s="355" t="str">
        <f t="shared" si="153"/>
        <v>Ma, </v>
      </c>
      <c r="JJ306" s="355" t="str">
        <f t="shared" si="154"/>
        <v/>
      </c>
      <c r="JK306" s="355" t="str">
        <f t="shared" si="155"/>
        <v/>
      </c>
      <c r="JL306" s="355" t="str">
        <f t="shared" si="156"/>
        <v>Dha, </v>
      </c>
      <c r="JM306" s="355" t="str">
        <f t="shared" si="157"/>
        <v/>
      </c>
      <c r="JN306" s="355" t="str">
        <f t="shared" si="158"/>
        <v/>
      </c>
      <c r="JO306" s="359" t="str">
        <f t="shared" si="159"/>
        <v/>
      </c>
      <c r="JP306" s="346" t="b">
        <f t="shared" si="160"/>
        <v>0</v>
      </c>
      <c r="JQ306" s="347" t="b">
        <f t="shared" si="161"/>
        <v>0</v>
      </c>
      <c r="JR306" s="347" t="b">
        <f t="shared" si="162"/>
        <v>0</v>
      </c>
      <c r="JS306" s="347" t="b">
        <f t="shared" si="163"/>
        <v>0</v>
      </c>
      <c r="JT306" s="347" t="b">
        <f t="shared" si="164"/>
        <v>0</v>
      </c>
      <c r="JU306" s="347" t="b">
        <f t="shared" si="165"/>
        <v>0</v>
      </c>
      <c r="JV306" s="347" t="b">
        <f t="shared" si="166"/>
        <v>0</v>
      </c>
      <c r="JW306" s="347" t="b">
        <f t="shared" si="167"/>
        <v>0</v>
      </c>
      <c r="JX306" s="347" t="b">
        <f t="shared" si="168"/>
        <v>0</v>
      </c>
      <c r="JY306" s="347" t="b">
        <f t="shared" si="169"/>
        <v>0</v>
      </c>
      <c r="JZ306" s="347" t="b">
        <f t="shared" si="170"/>
        <v>0</v>
      </c>
      <c r="KA306" s="347" t="b">
        <f t="shared" si="171"/>
        <v>0</v>
      </c>
      <c r="KB306" s="365" t="b">
        <f t="shared" si="172"/>
        <v>0</v>
      </c>
      <c r="KC306" s="354" t="str">
        <f t="shared" si="173"/>
        <v/>
      </c>
      <c r="KD306" s="355" t="str">
        <f t="shared" si="174"/>
        <v/>
      </c>
      <c r="KE306" s="355" t="str">
        <f t="shared" si="175"/>
        <v/>
      </c>
      <c r="KF306" s="355" t="str">
        <f t="shared" si="176"/>
        <v/>
      </c>
      <c r="KG306" s="355" t="str">
        <f t="shared" si="177"/>
        <v/>
      </c>
      <c r="KH306" s="355" t="str">
        <f t="shared" si="178"/>
        <v/>
      </c>
      <c r="KI306" s="355" t="str">
        <f t="shared" si="179"/>
        <v/>
      </c>
      <c r="KJ306" s="355" t="str">
        <f t="shared" si="180"/>
        <v/>
      </c>
      <c r="KK306" s="355" t="str">
        <f t="shared" si="181"/>
        <v/>
      </c>
      <c r="KL306" s="355" t="str">
        <f t="shared" si="182"/>
        <v/>
      </c>
      <c r="KM306" s="355" t="str">
        <f t="shared" si="183"/>
        <v/>
      </c>
      <c r="KN306" s="355" t="str">
        <f t="shared" si="184"/>
        <v/>
      </c>
      <c r="KO306" s="359"/>
      <c r="KP306" s="378"/>
      <c r="KQ306" s="379" t="s">
        <v>9</v>
      </c>
      <c r="KR306" s="380" t="s">
        <v>9</v>
      </c>
      <c r="KS306" s="381" t="s">
        <v>9</v>
      </c>
      <c r="KT306" s="382">
        <f t="shared" si="186"/>
        <v>0</v>
      </c>
      <c r="KU306" s="383">
        <f t="shared" si="187"/>
        <v>0</v>
      </c>
      <c r="KV306" s="381" t="str">
        <f t="shared" si="205"/>
        <v>S</v>
      </c>
      <c r="KW306" s="382">
        <f t="shared" si="189"/>
        <v>0</v>
      </c>
      <c r="KX306" s="384">
        <f t="shared" si="190"/>
        <v>0</v>
      </c>
      <c r="KY306" s="382">
        <f t="shared" ref="KY306:KZ306" si="841">KW306-KT306</f>
        <v>0</v>
      </c>
      <c r="KZ306" s="369">
        <f t="shared" si="841"/>
        <v>0</v>
      </c>
      <c r="LA306" s="385" t="str">
        <f t="shared" si="192"/>
        <v>✔</v>
      </c>
      <c r="LB306" s="340" t="str">
        <f>IFERROR(__xludf.DUMMYFUNCTION("JOIN("""",ArrayFormula(MID(KS306,LEN(KS306)-SEQUENCE(1,LEN(KS306))+1,1)))"),"S")</f>
        <v>S</v>
      </c>
      <c r="LC306" s="373" t="str">
        <f>IFERROR(__xludf.DUMMYFUNCTION("JOIN("""",ArrayFormula(MID(KV306,LEN(KV306)-SEQUENCE(1,LEN(KV306))+1,1)))"),"S")</f>
        <v>S</v>
      </c>
      <c r="LD306" s="373" t="str">
        <f t="shared" si="193"/>
        <v>S</v>
      </c>
      <c r="LE306" s="339" t="str">
        <f t="shared" si="194"/>
        <v>S</v>
      </c>
      <c r="LF306" s="386" t="str">
        <f>IFERROR(__xludf.DUMMYFUNCTION("SUBSTITUTE(SUBSTITUTE(CONCATENATE(JOIN("""",LH306:LT306)),""1"",""""),""2"","""")"),"SS")</f>
        <v>SS</v>
      </c>
      <c r="LG306" s="369" t="str">
        <f t="shared" si="195"/>
        <v>-</v>
      </c>
      <c r="LH306" s="387" t="str">
        <f>IFERROR(__xludf.DUMMYFUNCTION("IF(REGEXMATCH(LD306, ""S""), ""S"",IF(REGEXMATCH(LE306, ""S""), ""S"",""""))"),"S")</f>
        <v>S</v>
      </c>
      <c r="LI306" s="299" t="str">
        <f>IFERROR(__xludf.DUMMYFUNCTION("IF(REGEXMATCH(LD306, ""r""), ""r1"",IF(REGEXMATCH(LE306, ""r""), ""r2"",""""))"),"")</f>
        <v/>
      </c>
      <c r="LJ306" s="299" t="str">
        <f>IFERROR(__xludf.DUMMYFUNCTION("IF(REGEXMATCH(LD306, ""R""), ""R1"",IF(REGEXMATCH(LE306, ""R""), ""R2"",""""))"),"")</f>
        <v/>
      </c>
      <c r="LK306" s="299" t="str">
        <f>IFERROR(__xludf.DUMMYFUNCTION("IF(REGEXMATCH(LD306, ""g""), ""g1"",IF(REGEXMATCH(LE306, ""g""), ""g2"",""""))"),"")</f>
        <v/>
      </c>
      <c r="LL306" s="299" t="str">
        <f>IFERROR(__xludf.DUMMYFUNCTION("IF(REGEXMATCH(LD306, ""G""), ""G1"",IF(REGEXMATCH(LE306, ""G""), ""G2"",""""))"),"")</f>
        <v/>
      </c>
      <c r="LM306" s="299" t="str">
        <f>IFERROR(__xludf.DUMMYFUNCTION("IF(REGEXMATCH(LD306, ""m""), ""m1"",IF(REGEXMATCH(LE306, ""m""), ""m2"",""""))"),"")</f>
        <v/>
      </c>
      <c r="LN306" s="299" t="str">
        <f>IFERROR(__xludf.DUMMYFUNCTION("IF(REGEXMATCH(LD306, ""M""), ""M1"",IF(REGEXMATCH(LE306, ""M""), ""M2"",""""))"),"")</f>
        <v/>
      </c>
      <c r="LO306" s="299" t="str">
        <f>IFERROR(__xludf.DUMMYFUNCTION("IF(REGEXMATCH(LD306, ""P""), ""P1"",IF(REGEXMATCH(LE306, ""P""), ""P2"",""""))"),"")</f>
        <v/>
      </c>
      <c r="LP306" s="299" t="str">
        <f>IFERROR(__xludf.DUMMYFUNCTION("IF(REGEXMATCH(LD306, ""d""), ""d1"",IF(REGEXMATCH(LE306, ""d""), ""d2"",""""))"),"")</f>
        <v/>
      </c>
      <c r="LQ306" s="299" t="str">
        <f>IFERROR(__xludf.DUMMYFUNCTION("IF(REGEXMATCH(LD306, ""D""), ""D1"",IF(REGEXMATCH(LE306, ""D""), ""D2"",""""))"),"")</f>
        <v/>
      </c>
      <c r="LR306" s="299" t="str">
        <f>IFERROR(__xludf.DUMMYFUNCTION("IF(REGEXMATCH(LD306, ""n""), ""n1"",IF(REGEXMATCH(LE306, ""n""), ""n2"",""""))"),"")</f>
        <v/>
      </c>
      <c r="LS306" s="299" t="str">
        <f>IFERROR(__xludf.DUMMYFUNCTION("IF(REGEXMATCH(LD306, ""N""), ""N1"",IF(REGEXMATCH(LE306, ""N""), ""N2"",""""))"),"")</f>
        <v/>
      </c>
      <c r="LT306" s="388" t="str">
        <f>IFERROR(__xludf.DUMMYFUNCTION("IF(REGEXMATCH(LD306, ""S""), ""S"",IF(REGEXMATCH(LE306, ""S""), ""S"",""""))"),"S")</f>
        <v>S</v>
      </c>
      <c r="LU306" s="389">
        <f t="shared" si="196"/>
        <v>1</v>
      </c>
      <c r="LV306" s="378"/>
      <c r="LW306" s="369"/>
      <c r="LX306" s="369"/>
    </row>
    <row r="307" ht="18.0" customHeight="1">
      <c r="A307" s="298" t="s">
        <v>1134</v>
      </c>
      <c r="B307" s="222" t="s">
        <v>1135</v>
      </c>
      <c r="C307" s="233" t="str">
        <f t="shared" si="7"/>
        <v>SrGmPdDNS</v>
      </c>
      <c r="D307" s="234" t="str">
        <f>IFERROR(__xludf.DUMMYFUNCTION("IF(REGEXMATCH(C307, ""S""), ""S"","""")"),"S")</f>
        <v>S</v>
      </c>
      <c r="E307" s="236" t="str">
        <f>IFERROR(__xludf.DUMMYFUNCTION("IF(REGEXMATCH(C307, ""r""), ""r"","""")"),"r")</f>
        <v>r</v>
      </c>
      <c r="F307" s="237" t="str">
        <f>IFERROR(__xludf.DUMMYFUNCTION("IF(REGEXMATCH(C307, ""R""), ""R"","""")"),"")</f>
        <v/>
      </c>
      <c r="G307" s="237" t="str">
        <f>IFERROR(__xludf.DUMMYFUNCTION("IF(REGEXMATCH(C307, ""g""), ""g"","""")"),"")</f>
        <v/>
      </c>
      <c r="H307" s="236" t="str">
        <f>IFERROR(__xludf.DUMMYFUNCTION("IF(REGEXMATCH(C307, ""G""), ""G"","""")"),"G")</f>
        <v>G</v>
      </c>
      <c r="I307" s="236" t="str">
        <f>IFERROR(__xludf.DUMMYFUNCTION("IF(REGEXMATCH(C307, ""m""), ""m"","""")"),"m")</f>
        <v>m</v>
      </c>
      <c r="J307" s="237" t="str">
        <f>IFERROR(__xludf.DUMMYFUNCTION("IF(REGEXMATCH(C307, ""M""), ""M"","""")"),"")</f>
        <v/>
      </c>
      <c r="K307" s="236" t="str">
        <f>IFERROR(__xludf.DUMMYFUNCTION("IF(REGEXMATCH(C307, ""P""), ""P"","""")"),"P")</f>
        <v>P</v>
      </c>
      <c r="L307" s="237" t="str">
        <f>IFERROR(__xludf.DUMMYFUNCTION("IF(REGEXMATCH(C307, ""d""), ""d"","""")"),"d")</f>
        <v>d</v>
      </c>
      <c r="M307" s="236" t="str">
        <f>IFERROR(__xludf.DUMMYFUNCTION("IF(REGEXMATCH(C307, ""D""), ""D"","""")"),"D")</f>
        <v>D</v>
      </c>
      <c r="N307" s="236" t="str">
        <f>IFERROR(__xludf.DUMMYFUNCTION("IF(REGEXMATCH(C307, ""n""), ""n"","""")"),"")</f>
        <v/>
      </c>
      <c r="O307" s="237" t="str">
        <f>IFERROR(__xludf.DUMMYFUNCTION("IF(REGEXMATCH(C307, ""N""), ""N"","""")"),"N")</f>
        <v>N</v>
      </c>
      <c r="P307" s="238" t="str">
        <f>IFERROR(__xludf.DUMMYFUNCTION("IF(REGEXMATCH(C307, ""S""), ""S"","""")"),"S")</f>
        <v>S</v>
      </c>
      <c r="Q307" s="239" t="str">
        <f>IFERROR(__xludf.DUMMYFUNCTION("SUBSTITUTE(CONCATENATE(JOIN(""-"",D307:J307)),""-"","""")"),"SrGm")</f>
        <v>SrGm</v>
      </c>
      <c r="R307" s="229" t="str">
        <f>IFERROR(__xludf.DUMMYFUNCTION("SUBSTITUTE(CONCATENATE(JOIN(""-"",K307:P307)),""-"","""")"),"PdDNS")</f>
        <v>PdDNS</v>
      </c>
      <c r="S307" s="282" t="str">
        <f t="shared" si="8"/>
        <v>S-R-G-M</v>
      </c>
      <c r="T307" s="282" t="str">
        <f t="shared" si="9"/>
        <v>P-D-N-S</v>
      </c>
      <c r="U307" s="237" t="str">
        <f>IFERROR(__xludf.DUMMYFUNCTION("SUBSTITUTE(JOIN(""-"",S307,T307),""--"",""-"")"),"S-R-G-M-P-D-N-S")</f>
        <v>S-R-G-M-P-D-N-S</v>
      </c>
      <c r="V307" s="309" t="str">
        <f t="shared" si="10"/>
        <v>rGmdDN</v>
      </c>
      <c r="W307" s="244" t="str">
        <f>IFERROR(__xludf.DUMMYFUNCTION("IF(REGEXMATCH(C307, ""S""), ""0"","""")"),"0")</f>
        <v>0</v>
      </c>
      <c r="X307" s="245" t="str">
        <f>IFERROR(__xludf.DUMMYFUNCTION("IF(REGEXMATCH(C307, ""r""), ""1"","""")"),"1")</f>
        <v>1</v>
      </c>
      <c r="Y307" s="246" t="str">
        <f>IFERROR(__xludf.DUMMYFUNCTION("IF(REGEXMATCH(C307, ""R""), ""2"","""")"),"")</f>
        <v/>
      </c>
      <c r="Z307" s="246" t="str">
        <f>IFERROR(__xludf.DUMMYFUNCTION("IF(REGEXMATCH(C307, ""g""), ""3"","""")"),"")</f>
        <v/>
      </c>
      <c r="AA307" s="245" t="str">
        <f>IFERROR(__xludf.DUMMYFUNCTION("IF(REGEXMATCH(C307, ""G""), ""4"","""")"),"4")</f>
        <v>4</v>
      </c>
      <c r="AB307" s="245" t="str">
        <f>IFERROR(__xludf.DUMMYFUNCTION("IF(REGEXMATCH(C307, ""m""), ""5"","""")"),"5")</f>
        <v>5</v>
      </c>
      <c r="AC307" s="246" t="str">
        <f>IFERROR(__xludf.DUMMYFUNCTION("IF(REGEXMATCH(C307, ""M""), ""6"","""")"),"")</f>
        <v/>
      </c>
      <c r="AD307" s="245" t="str">
        <f>IFERROR(__xludf.DUMMYFUNCTION("IF(REGEXMATCH(C307, ""P""), ""7"","""")"),"7")</f>
        <v>7</v>
      </c>
      <c r="AE307" s="246" t="str">
        <f>IFERROR(__xludf.DUMMYFUNCTION("IF(REGEXMATCH(C307, ""d""), ""8"","""")"),"8")</f>
        <v>8</v>
      </c>
      <c r="AF307" s="245" t="str">
        <f>IFERROR(__xludf.DUMMYFUNCTION("IF(REGEXMATCH(C307, ""D""), ""9"","""")"),"9")</f>
        <v>9</v>
      </c>
      <c r="AG307" s="245" t="str">
        <f>IFERROR(__xludf.DUMMYFUNCTION("IF(REGEXMATCH(C307, ""n""), ""10"","""")"),"")</f>
        <v/>
      </c>
      <c r="AH307" s="246" t="str">
        <f>IFERROR(__xludf.DUMMYFUNCTION("IF(REGEXMATCH(C307, ""N""), ""11"","""")"),"11")</f>
        <v>11</v>
      </c>
      <c r="AI307" s="249" t="str">
        <f>IFERROR(__xludf.DUMMYFUNCTION("IF(REGEXMATCH(C307, ""S""), ""0"","""")"),"0")</f>
        <v>0</v>
      </c>
      <c r="AJ307" s="313" t="str">
        <f t="shared" si="11"/>
        <v>-</v>
      </c>
      <c r="AK307" s="313" t="str">
        <f t="shared" si="12"/>
        <v>T</v>
      </c>
      <c r="AL307" s="313" t="str">
        <f t="shared" si="13"/>
        <v>-</v>
      </c>
      <c r="AM307" s="313" t="str">
        <f t="shared" si="14"/>
        <v>-</v>
      </c>
      <c r="AN307" s="313" t="str">
        <f t="shared" si="15"/>
        <v>-</v>
      </c>
      <c r="AO307" s="314" t="str">
        <f t="shared" si="16"/>
        <v>T</v>
      </c>
      <c r="AP307" s="316">
        <f t="shared" si="17"/>
        <v>2</v>
      </c>
      <c r="AQ307" s="319" t="str">
        <f t="shared" si="18"/>
        <v>-</v>
      </c>
      <c r="AR307" s="320">
        <f t="shared" si="19"/>
        <v>0</v>
      </c>
      <c r="AS307" s="250" t="str">
        <f>IFERROR(__xludf.DUMMYFUNCTION("SUBSTITUTE(SUBSTITUTE(CONCATENATE(JOIN("""",FP307:GA307)),""|"",""x""),""-"",""o"")"),"xxooxxoxxxox")</f>
        <v>xxooxxoxxxox</v>
      </c>
      <c r="AT307" s="323" t="str">
        <f>IFERROR(__xludf.DUMMYFUNCTION("JOIN("""",AS307,AS307)"),"xxooxxoxxxoxxxooxxoxxxox")</f>
        <v>xxooxxoxxxoxxxooxxoxxxox</v>
      </c>
      <c r="AU307" s="256" t="str">
        <f>IFERROR(__xludf.DUMMYFUNCTION("JOIN("""",ArrayFormula(MID(AS307,LEN(AS307)-SEQUENCE(1,LEN(AS307))+1,1)))"),"xoxxxoxxooxx")</f>
        <v>xoxxxoxxooxx</v>
      </c>
      <c r="AV307" s="256" t="str">
        <f>IFERROR(__xludf.DUMMYFUNCTION("LEFT(CONCATENATE(""x"",JOIN("""",ArrayFormula(MID(AS307,LEN(AS307)-SEQUENCE(1,LEN(AS307))+1,1)))),12)"),"xxoxxxoxxoox")</f>
        <v>xxoxxxoxxoox</v>
      </c>
      <c r="AW307" s="327" t="str">
        <f>IFERROR(__xludf.DUMMYFUNCTION("JOIN("""",AU307,AU307)"),"xoxxxoxxooxxxoxxxoxxooxx")</f>
        <v>xoxxxoxxooxxxoxxxoxxooxx</v>
      </c>
      <c r="AX307" s="239" t="str">
        <f>IFERROR(__xludf.DUMMYFUNCTION("IF(REGEXMATCH(AW307,AS307),""✔"",""-"")"),"-")</f>
        <v>-</v>
      </c>
      <c r="AY307" s="330" t="str">
        <f t="shared" si="20"/>
        <v>-</v>
      </c>
      <c r="AZ307" s="260" t="str">
        <f t="shared" si="21"/>
        <v>#REF!</v>
      </c>
      <c r="BA307" s="333" t="str">
        <f t="shared" si="22"/>
        <v>xxooxxo</v>
      </c>
      <c r="BB307" s="334" t="str">
        <f t="shared" si="23"/>
        <v>xxxoxx</v>
      </c>
      <c r="BC307" s="335" t="str">
        <f t="shared" si="236"/>
        <v>-</v>
      </c>
      <c r="BD307" s="336" t="str">
        <f t="shared" si="25"/>
        <v>Saurashtra Bhairav: 'xxooxxo' + 'xxxoxx'</v>
      </c>
      <c r="BE307" s="337">
        <f>IFERROR(__xludf.DUMMYFUNCTION("COUNTUNIQUE(FILTER(AT:AT,REGEXMATCH(AT:AT,AS307)))-1"),0.0)</f>
        <v>0</v>
      </c>
      <c r="BF307" s="261" t="str">
        <f>IFERROR(__xludf.DUMMYFUNCTION("IF(BI307=0,""(n/a)"",IF(BJ307=2,""(PAIR)"",IF(REGEXMATCH(AT307,""xoxoxxoxoxox""),""Bilawal"",IF(REGEXMATCH(AT307,""xoxoxooxoxoo""),""Bhupali"",IF(REGEXMATCH(AT307,""xoxoxxoxxoxo""),""Charukeshi"",IF(REGEXMATCH(AT307,""xoxoooxxoxxo""),""Kameshwari"",IF(REG"&amp;"EXMATCH(AT307,""xoxoxooxoxox""),""Shankara"",IF(REGEXMATCH(AT307,""xxooxoxxxoox""),""Basant"",IF(REGEXMATCH(AT307,""xoxoxxxxoxox""),""Bihag"",IF(REGEXMATCH(AT307,""xoxxxxoxoxxx""),""Pilu"",IF(REGEXMATCH(AT307,""xoxxoxoxxoox""),""Kirwani"",IF(REGEXMATCH(AT"&amp;"307,""xoxxoxoxoxxx""),""Mk.Malhar"",IF(REGEXMATCH(AT307,""xxooxxoxxoox""),""Bhairav"",IF(REGEXMATCH(AT307,""xxoxooxxxoox""),""Todi"",IF(REGEXMATCH(AT307,""xxooxoxooxox""),""Marwa"",IF(REGEXMATCH(AT307,""xxoooxoxxooo""),""Gunkali"",IF(REGEXMATCH(AT307,""xo"&amp;"xoxxoxxoox""),""Nat Bhairav"",IF(REGEXMATCH(AT307,""xoxxoooxoxoo""),""Shivranjani"",IF(REGEXMATCH(AT307,""xooxxxoxooxo""),""Jog"",IF(REGEXMATCH(AT307,""xxooxoxoxoox""),""Hemshri"",IF(REGEXMATCH(AT307,""xoooxooxoxxo""),""Kalavati"",IF(REGEXMATCH(AT307,""xx"&amp;"oxoxxoxoox""),""Kedar"",IF(REGEXMATCH(AT307,""xoxxxxoxooxx""),""Gara"",IF(REGEXMATCH(AT307,""xooxoxooxoox""),""Chandrakauns"",IF(REGEXMATCH(AT307,""xoxxxxoxxxox""),""Mand"",IF(REGEXMATCH(AT307,""xoxxxxoxoxox""),""Hanskinkini"",IF(REGEXMATCH(AT307,""xxooxx"&amp;"oxooxo""),""Lilavati"",IF(REGEXMATCH(AT307,""xooxoxoooxox""),""Rajeshwari"",IF(REGEXMATCH(AT307,""xoooxxoxoxxx""),""Khokar"",IF(REGEXMATCH(AT307,""xxooxoxxxxox""),""Maligoura"",""-""))))))))))))))))))))))))))))))"),"(n/a)")</f>
        <v>(n/a)</v>
      </c>
      <c r="BG307" s="239" t="str">
        <f t="shared" si="26"/>
        <v>#REF!</v>
      </c>
      <c r="BH307" s="239">
        <f>IFERROR(__xludf.DUMMYFUNCTION("COUNTUNIQUE(FE307:FO307)-1"),7.0)</f>
        <v>7</v>
      </c>
      <c r="BI307" s="239">
        <f>IFERROR(__xludf.DUMMYFUNCTION("COUNTUNIQUE(FILTER(AT:AT,REGEXMATCH(AT:AT,AS307)))-1"),0.0)</f>
        <v>0</v>
      </c>
      <c r="BJ307" s="239">
        <f>IFERROR(__xludf.DUMMYFUNCTION("COUNTA(FILTER(AT:AT,REGEXMATCH(AT:AT,AS307)))"),1.0)</f>
        <v>1</v>
      </c>
      <c r="BK307" s="341">
        <f>IFERROR(__xludf.DUMMYFUNCTION("COUNTA(FILTER(AT:AT,REGEXMATCH(AT:AT,AS307)))-AR307"),1.0)</f>
        <v>1</v>
      </c>
      <c r="BL307" s="276" t="str">
        <f>IFERROR(__xludf.DUMMYFUNCTION("IF(AS307=""oooooooooooo"",""-"",IF(REGEXMATCH(AT307,""xx""), ""Hemi."", ""Anhemi.""))"),"Hemi.")</f>
        <v>Hemi.</v>
      </c>
      <c r="BM307" s="282" t="str">
        <f>IFERROR(__xludf.DUMMYFUNCTION("IF(AS307=""oooooooooooo"",""-"",IF(REGEXMATCH(AT307,""xxx""), ""Cohem."", ""-""))"),"Cohem.")</f>
        <v>Cohem.</v>
      </c>
      <c r="BN307" s="282" t="str">
        <f>IFERROR(__xludf.DUMMYFUNCTION("IF(AS307=""oooooooooooo"",""-"",IF(REGEXMATCH(AT307,""xxxx""), ""Co-Co."", ""-""))"),"-")</f>
        <v>-</v>
      </c>
      <c r="BO307" s="342" t="str">
        <f>IFERROR(__xludf.DUMMYFUNCTION("IF(AS307=""oooooooooooo"",""-"",IF(REGEXMATCH(AT307,""xxxxx""), ""CCC."", ""-""))"),"-")</f>
        <v>-</v>
      </c>
      <c r="BP307" s="344" t="str">
        <f t="shared" si="27"/>
        <v>-</v>
      </c>
      <c r="BQ307" s="282" t="str">
        <f>IFERROR(__xludf.DUMMYFUNCTION("IF(REGEXMATCH(JOIN(""-"",EU307:FD307),""TRUE""),""✔"",""-"")"),"-")</f>
        <v>-</v>
      </c>
      <c r="BR307" s="225">
        <f t="shared" si="28"/>
        <v>0</v>
      </c>
      <c r="BS307" s="345" t="str">
        <f>IFERROR(__xludf.DUMMYFUNCTION("SUBSTITUTE(SUBSTITUTE(SUBSTITUTE(SUBSTITUTE(CONCATENATE(JOIN(""-"",GC307:GO307)),""--"",""-""),""--"",""-""),""--"",""-""),""--"",""-"")"),"1-b2-3-4-5-b6-6-7-8")</f>
        <v>1-b2-3-4-5-b6-6-7-8</v>
      </c>
      <c r="BT307" s="299" t="str">
        <f>IFERROR(__xludf.DUMMYFUNCTION("SUBSTITUTE(SUBSTITUTE(SUBSTITUTE(SUBSTITUTE(CONCATENATE(JOIN(""-"",GP307:HB307)),""--"",""-""),""--"",""-""),""--"",""-""),""--"",""-"")"),"S-R1-G3-M1-P-D1-D2-N3-S")</f>
        <v>S-R1-G3-M1-P-D1-D2-N3-S</v>
      </c>
      <c r="BU307" s="348" t="str">
        <f t="shared" si="29"/>
        <v>C-Db-E-F-G-Ab-A-B-C</v>
      </c>
      <c r="BV307" s="349" t="str">
        <f t="shared" si="30"/>
        <v>SRgMnS</v>
      </c>
      <c r="BW307" s="350">
        <f t="shared" si="31"/>
        <v>0</v>
      </c>
      <c r="BX307" s="351">
        <f t="shared" si="32"/>
        <v>1</v>
      </c>
      <c r="BY307" s="392"/>
      <c r="BZ307" s="309" t="str">
        <f>IFERROR(__xludf.DUMMYFUNCTION("IF(REGEXMATCH(C307, ""S""), ""x"",""x"")"),"x")</f>
        <v>x</v>
      </c>
      <c r="CA307" s="245" t="str">
        <f>IFERROR(__xludf.DUMMYFUNCTION("IF(REGEXMATCH(C307, ""r""), ""o"",""x"")"),"o")</f>
        <v>o</v>
      </c>
      <c r="CB307" s="246" t="str">
        <f>IFERROR(__xludf.DUMMYFUNCTION("IF(REGEXMATCH(C307, ""R""), ""o"",""x"")"),"x")</f>
        <v>x</v>
      </c>
      <c r="CC307" s="246" t="str">
        <f>IFERROR(__xludf.DUMMYFUNCTION("IF(REGEXMATCH(C307, ""g""), ""o"",""x"")"),"x")</f>
        <v>x</v>
      </c>
      <c r="CD307" s="245" t="str">
        <f>IFERROR(__xludf.DUMMYFUNCTION("IF(REGEXMATCH(C307, ""G""), ""o"",""x"")"),"o")</f>
        <v>o</v>
      </c>
      <c r="CE307" s="245" t="str">
        <f>IFERROR(__xludf.DUMMYFUNCTION("IF(REGEXMATCH(C307, ""m""), ""o"",""x"")"),"o")</f>
        <v>o</v>
      </c>
      <c r="CF307" s="246" t="str">
        <f>IFERROR(__xludf.DUMMYFUNCTION("IF(REGEXMATCH(C307, ""M""), ""o"",""x"")"),"x")</f>
        <v>x</v>
      </c>
      <c r="CG307" s="245" t="str">
        <f>IFERROR(__xludf.DUMMYFUNCTION("IF(REGEXMATCH(C307, ""P""), ""o"",""x"")"),"o")</f>
        <v>o</v>
      </c>
      <c r="CH307" s="246" t="str">
        <f>IFERROR(__xludf.DUMMYFUNCTION("IF(REGEXMATCH(C307, ""d""), ""o"",""x"")"),"o")</f>
        <v>o</v>
      </c>
      <c r="CI307" s="245" t="str">
        <f>IFERROR(__xludf.DUMMYFUNCTION("IF(REGEXMATCH(C307, ""D""), ""o"",""x"")"),"o")</f>
        <v>o</v>
      </c>
      <c r="CJ307" s="245" t="str">
        <f>IFERROR(__xludf.DUMMYFUNCTION("IF(REGEXMATCH(C307, ""n""), ""o"",""x"")"),"x")</f>
        <v>x</v>
      </c>
      <c r="CK307" s="245" t="str">
        <f>IFERROR(__xludf.DUMMYFUNCTION("IF(REGEXMATCH(C307, ""N""), ""o"",""x"")"),"o")</f>
        <v>o</v>
      </c>
      <c r="CL307" s="356" t="str">
        <f>IFERROR(__xludf.DUMMYFUNCTION("IF(REGEXMATCH(C307, ""S""), ""x"",""x"")"),"x")</f>
        <v>x</v>
      </c>
      <c r="CM307" s="357" t="str">
        <f t="shared" si="33"/>
        <v>xoxxooxoooxo</v>
      </c>
      <c r="CN307" s="358">
        <f t="shared" si="34"/>
        <v>0</v>
      </c>
      <c r="CO307" s="246" t="str">
        <f>IFERROR(__xludf.DUMMYFUNCTION("IF(REGEXMATCH($C307, ""S""), ""S"",""S"")"),"S")</f>
        <v>S</v>
      </c>
      <c r="CP307" s="246" t="str">
        <f>IFERROR(__xludf.DUMMYFUNCTION("IF(REGEXMATCH($C307, ""r""), """",""r"")"),"")</f>
        <v/>
      </c>
      <c r="CQ307" s="246" t="str">
        <f>IFERROR(__xludf.DUMMYFUNCTION("IF(REGEXMATCH($C307, ""R""), """",""R"")"),"R")</f>
        <v>R</v>
      </c>
      <c r="CR307" s="246" t="str">
        <f>IFERROR(__xludf.DUMMYFUNCTION("IF(REGEXMATCH($C307, ""g""), """",""g"")"),"g")</f>
        <v>g</v>
      </c>
      <c r="CS307" s="246" t="str">
        <f>IFERROR(__xludf.DUMMYFUNCTION("IF(REGEXMATCH($C307, ""G""), """",""G"")"),"")</f>
        <v/>
      </c>
      <c r="CT307" s="246" t="str">
        <f>IFERROR(__xludf.DUMMYFUNCTION("IF(REGEXMATCH($C307, ""m""), """",""m"")"),"")</f>
        <v/>
      </c>
      <c r="CU307" s="246" t="str">
        <f>IFERROR(__xludf.DUMMYFUNCTION("IF(REGEXMATCH($C307, ""M""), """",""M"")"),"M")</f>
        <v>M</v>
      </c>
      <c r="CV307" s="246" t="str">
        <f>IFERROR(__xludf.DUMMYFUNCTION("IF(REGEXMATCH($C307, ""P""), """",""P"")"),"")</f>
        <v/>
      </c>
      <c r="CW307" s="246" t="str">
        <f>IFERROR(__xludf.DUMMYFUNCTION("IF(REGEXMATCH($C307, ""d""), """",""d"")"),"")</f>
        <v/>
      </c>
      <c r="CX307" s="246" t="str">
        <f>IFERROR(__xludf.DUMMYFUNCTION("IF(REGEXMATCH($C307, ""D""), """",""D"")"),"")</f>
        <v/>
      </c>
      <c r="CY307" s="246" t="str">
        <f>IFERROR(__xludf.DUMMYFUNCTION("IF(REGEXMATCH($C307, ""n""), """",""n"")"),"n")</f>
        <v>n</v>
      </c>
      <c r="CZ307" s="246" t="str">
        <f>IFERROR(__xludf.DUMMYFUNCTION("IF(REGEXMATCH($C307, ""N""), """",""N"")"),"")</f>
        <v/>
      </c>
      <c r="DA307" s="246" t="str">
        <f>IFERROR(__xludf.DUMMYFUNCTION("IF(REGEXMATCH($C307, ""S""), ""S"",""S"")"),"S")</f>
        <v>S</v>
      </c>
      <c r="DB307" s="362" t="str">
        <f>IFERROR(__xludf.DUMMYFUNCTION("JOIN("""",CO307:DA307,"""","""")"),"SRgMnS")</f>
        <v>SRgMnS</v>
      </c>
      <c r="DC307" s="363"/>
      <c r="DD307" s="301" t="str">
        <f t="shared" si="35"/>
        <v>#REF!</v>
      </c>
      <c r="DE307" s="302" t="str">
        <f t="shared" si="36"/>
        <v>#REF!</v>
      </c>
      <c r="DF307" s="301" t="str">
        <f t="shared" ref="DF307:DG307" si="842">SUBSTITUTE(S307,"-","")</f>
        <v>SRGM</v>
      </c>
      <c r="DG307" s="301" t="str">
        <f t="shared" si="842"/>
        <v>PDNS</v>
      </c>
      <c r="DH307" s="302" t="str">
        <f t="shared" si="38"/>
        <v>(n/a)</v>
      </c>
      <c r="DI307" s="301" t="str">
        <f t="shared" si="39"/>
        <v>Hemi.</v>
      </c>
      <c r="DJ307" s="364" t="str">
        <f t="shared" si="40"/>
        <v>Cohem.</v>
      </c>
      <c r="DK307" s="306" t="str">
        <f t="shared" si="41"/>
        <v>-</v>
      </c>
      <c r="DL307" s="366" t="str">
        <f t="shared" si="42"/>
        <v>-</v>
      </c>
      <c r="DM307" s="308" t="str">
        <f t="shared" si="43"/>
        <v>✔</v>
      </c>
      <c r="DN307" s="306" t="str">
        <f t="shared" si="44"/>
        <v>-</v>
      </c>
      <c r="DO307" s="306" t="str">
        <f t="shared" si="45"/>
        <v>-</v>
      </c>
      <c r="DP307" s="367" t="str">
        <f t="shared" si="46"/>
        <v>-</v>
      </c>
      <c r="DQ307" s="310" t="str">
        <f t="shared" si="47"/>
        <v>-</v>
      </c>
      <c r="DR307" s="310" t="str">
        <f t="shared" si="48"/>
        <v>-</v>
      </c>
      <c r="DS307" s="310" t="str">
        <f t="shared" si="49"/>
        <v>-</v>
      </c>
      <c r="DT307" s="310" t="str">
        <f t="shared" si="50"/>
        <v>✔</v>
      </c>
      <c r="DU307" s="370" t="str">
        <f t="shared" si="51"/>
        <v>-</v>
      </c>
      <c r="DV307" s="306" t="str">
        <f t="shared" si="52"/>
        <v>-</v>
      </c>
      <c r="DW307" s="306" t="str">
        <f t="shared" si="53"/>
        <v>-</v>
      </c>
      <c r="DX307" s="306" t="str">
        <f t="shared" si="54"/>
        <v>-</v>
      </c>
      <c r="DY307" s="306" t="str">
        <f t="shared" si="55"/>
        <v>-</v>
      </c>
      <c r="DZ307" s="306" t="str">
        <f t="shared" si="56"/>
        <v>-</v>
      </c>
      <c r="EA307" s="367" t="str">
        <f t="shared" si="57"/>
        <v>-</v>
      </c>
      <c r="EB307" s="310" t="str">
        <f>IFERROR(__xludf.DUMMYFUNCTION("IF(REGEXMATCH(AW307,AS307),""✔"",""-"")"),"-")</f>
        <v>-</v>
      </c>
      <c r="EC307" s="310" t="str">
        <f t="shared" si="58"/>
        <v>#REF!</v>
      </c>
      <c r="ED307" s="370" t="str">
        <f t="shared" si="59"/>
        <v>-</v>
      </c>
      <c r="EE307" s="340" t="str">
        <f t="shared" si="60"/>
        <v>S-r-G-m-P-dD-N-S</v>
      </c>
      <c r="EF307" s="371" t="str">
        <f>IFERROR(__xludf.DUMMYFUNCTION("CONCATENATE(JOIN("""",HC307:HO307))"),"SrgGmPdNS")</f>
        <v>SrgGmPdNS</v>
      </c>
      <c r="EG307" s="372">
        <f t="shared" si="61"/>
        <v>3</v>
      </c>
      <c r="EH307" s="373" t="str">
        <f>IFERROR(__xludf.DUMMYFUNCTION("CONCATENATE(JOIN("""",JC307:JO307))"),"Pa, dha, Ni, ")</f>
        <v>Pa, dha, Ni, </v>
      </c>
      <c r="EI307" s="322">
        <f t="shared" si="62"/>
        <v>0</v>
      </c>
      <c r="EJ307" s="374" t="str">
        <f>IFERROR(__xludf.DUMMYFUNCTION("CONCATENATE(JOIN("""",KC307:KO307))"),"")</f>
        <v/>
      </c>
      <c r="EK307" s="325" t="str">
        <f t="shared" si="63"/>
        <v>S-R1-G3-M1-P-D1-D2-N3-S</v>
      </c>
      <c r="EL307" s="326" t="str">
        <f t="shared" si="64"/>
        <v>1-b2-3-4-5-b6-6-7-8</v>
      </c>
      <c r="EM307" s="318" t="str">
        <f t="shared" si="65"/>
        <v>#REF!</v>
      </c>
      <c r="EN307" s="328" t="str">
        <f>IFERROR(__xludf.DUMMYFUNCTION("SUBSTITUTE(SUBSTITUTE(SUBSTITUTE(SUBSTITUTE(CONCATENATE(JOIN("" "",HP307:IB307)),""  "","" ""),""  "","" ""),""  "","" ""),""  "","" "")"),"o o • • o o • o o o • o o")</f>
        <v>o o • • o o • o o o • o o</v>
      </c>
      <c r="EO307" s="368" t="str">
        <f t="shared" si="66"/>
        <v>-</v>
      </c>
      <c r="EP307" s="339" t="str">
        <f t="shared" si="67"/>
        <v>-</v>
      </c>
      <c r="EQ307" s="339" t="str">
        <f t="shared" si="68"/>
        <v>Sa-Pa</v>
      </c>
      <c r="ER307" s="339" t="str">
        <f t="shared" si="69"/>
        <v>-</v>
      </c>
      <c r="ES307" s="340" t="str">
        <f t="shared" si="70"/>
        <v>-</v>
      </c>
      <c r="ET307" s="363"/>
      <c r="EU307" s="376" t="b">
        <f>IFERROR(__xludf.DUMMYFUNCTION("arrayformula(sum(--REGEXMATCH(""SRGMPDNS"",split(REGEXREPLACE(C307,""(.)"",""$1~""),""~""))))=len(C307)
"),FALSE)</f>
        <v>0</v>
      </c>
      <c r="EV307" s="290" t="b">
        <f>IFERROR(__xludf.DUMMYFUNCTION("arrayformula(sum(--REGEXMATCH(""SRGmPDNS"",split(REGEXREPLACE(C307,""(.)"",""$1~""),""~""))))=len(C307)"),FALSE)</f>
        <v>0</v>
      </c>
      <c r="EW307" s="290" t="b">
        <f>IFERROR(__xludf.DUMMYFUNCTION("arrayformula(sum(--REGEXMATCH(""SRGmPDnS"",split(REGEXREPLACE(C307,""(.)"",""$1~""),""~""))))=len(C307)"),FALSE)</f>
        <v>0</v>
      </c>
      <c r="EX307" s="290" t="b">
        <f>IFERROR(__xludf.DUMMYFUNCTION("arrayformula(sum(--REGEXMATCH(""SRgmPDnS"",split(REGEXREPLACE(C307,""(.)"",""$1~""),""~""))))=len(C307)"),FALSE)</f>
        <v>0</v>
      </c>
      <c r="EY307" s="290" t="b">
        <f>IFERROR(__xludf.DUMMYFUNCTION("arrayformula(sum(--REGEXMATCH(""SRgmPdnS"",split(REGEXREPLACE(C307,""(.)"",""$1~""),""~""))))=len(C307)"),FALSE)</f>
        <v>0</v>
      </c>
      <c r="EZ307" s="290" t="b">
        <f>IFERROR(__xludf.DUMMYFUNCTION("arrayformula(sum(--REGEXMATCH(""SrgmPdnS"",split(REGEXREPLACE(C307,""(.)"",""$1~""),""~""))))=len(C307)"),FALSE)</f>
        <v>0</v>
      </c>
      <c r="FA307" s="290" t="b">
        <f>IFERROR(__xludf.DUMMYFUNCTION("arrayformula(sum(--REGEXMATCH(""SrGmPdNS"",split(REGEXREPLACE(C307,""(.)"",""$1~""),""~""))))=len(C307)"),FALSE)</f>
        <v>0</v>
      </c>
      <c r="FB307" s="290" t="b">
        <f>IFERROR(__xludf.DUMMYFUNCTION("arrayformula(sum(--REGEXMATCH(""SrGMPDNS"",split(REGEXREPLACE(C307,""(.)"",""$1~""),""~""))))=len(C307)"),FALSE)</f>
        <v>0</v>
      </c>
      <c r="FC307" s="290" t="b">
        <f>IFERROR(__xludf.DUMMYFUNCTION("arrayformula(sum(--REGEXMATCH(""SrGMPdNS"",split(REGEXREPLACE(C307,""(.)"",""$1~""),""~""))))=len(C307)"),FALSE)</f>
        <v>0</v>
      </c>
      <c r="FD307" s="377" t="b">
        <f>IFERROR(__xludf.DUMMYFUNCTION("arrayformula(sum(--REGEXMATCH(""SrgMPdNS"",split(REGEXREPLACE(C307,""(.)"",""$1~""),""~""))))=len(C307)"),FALSE)</f>
        <v>0</v>
      </c>
      <c r="FE307" s="269" t="str">
        <f t="shared" si="71"/>
        <v>xooxxoxxxox</v>
      </c>
      <c r="FF307" s="269" t="str">
        <f t="shared" si="72"/>
        <v>-</v>
      </c>
      <c r="FG307" s="271" t="str">
        <f t="shared" si="73"/>
        <v>-</v>
      </c>
      <c r="FH307" s="269" t="str">
        <f t="shared" si="74"/>
        <v>xxoxxxoxxxo</v>
      </c>
      <c r="FI307" s="271" t="str">
        <f t="shared" si="75"/>
        <v>xoxxxoxxxoo</v>
      </c>
      <c r="FJ307" s="271" t="str">
        <f t="shared" si="76"/>
        <v>-</v>
      </c>
      <c r="FK307" s="271" t="str">
        <f t="shared" si="77"/>
        <v>xxxoxxxooxx</v>
      </c>
      <c r="FL307" s="271" t="str">
        <f t="shared" si="78"/>
        <v>xxoxxxooxxo</v>
      </c>
      <c r="FM307" s="271" t="str">
        <f t="shared" si="79"/>
        <v>xoxxxooxxox</v>
      </c>
      <c r="FN307" s="271" t="str">
        <f t="shared" si="80"/>
        <v>-</v>
      </c>
      <c r="FO307" s="274" t="str">
        <f t="shared" si="81"/>
        <v>xxxooxxoxxx</v>
      </c>
      <c r="FP307" s="234" t="str">
        <f t="shared" si="82"/>
        <v>|</v>
      </c>
      <c r="FQ307" s="236" t="str">
        <f t="shared" si="83"/>
        <v>|</v>
      </c>
      <c r="FR307" s="237" t="str">
        <f t="shared" si="84"/>
        <v>-</v>
      </c>
      <c r="FS307" s="236" t="str">
        <f t="shared" si="85"/>
        <v>-</v>
      </c>
      <c r="FT307" s="237" t="str">
        <f t="shared" si="86"/>
        <v>|</v>
      </c>
      <c r="FU307" s="236" t="str">
        <f t="shared" si="87"/>
        <v>|</v>
      </c>
      <c r="FV307" s="237" t="str">
        <f t="shared" si="88"/>
        <v>-</v>
      </c>
      <c r="FW307" s="236" t="str">
        <f t="shared" si="89"/>
        <v>|</v>
      </c>
      <c r="FX307" s="237" t="str">
        <f t="shared" si="90"/>
        <v>|</v>
      </c>
      <c r="FY307" s="236" t="str">
        <f t="shared" si="91"/>
        <v>|</v>
      </c>
      <c r="FZ307" s="237" t="str">
        <f t="shared" si="92"/>
        <v>-</v>
      </c>
      <c r="GA307" s="236" t="str">
        <f t="shared" si="93"/>
        <v>|</v>
      </c>
      <c r="GB307" s="238" t="str">
        <f t="shared" si="94"/>
        <v>|</v>
      </c>
      <c r="GC307" s="244" t="str">
        <f>IFERROR(__xludf.DUMMYFUNCTION("IF(REGEXMATCH(C307, ""S""), ""1"","""")"),"1")</f>
        <v>1</v>
      </c>
      <c r="GD307" s="245" t="str">
        <f>IFERROR(__xludf.DUMMYFUNCTION("IF(REGEXMATCH(C307, ""r""), ""b2"","""")"),"b2")</f>
        <v>b2</v>
      </c>
      <c r="GE307" s="246" t="str">
        <f>IFERROR(__xludf.DUMMYFUNCTION("IF(REGEXMATCH(C307, ""R""), ""2"","""")"),"")</f>
        <v/>
      </c>
      <c r="GF307" s="246" t="str">
        <f>IFERROR(__xludf.DUMMYFUNCTION("IF(REGEXMATCH(C307, ""g""), ""b3"","""")"),"")</f>
        <v/>
      </c>
      <c r="GG307" s="245" t="str">
        <f>IFERROR(__xludf.DUMMYFUNCTION("IF(REGEXMATCH(C307, ""G""), ""3"","""")"),"3")</f>
        <v>3</v>
      </c>
      <c r="GH307" s="245" t="str">
        <f>IFERROR(__xludf.DUMMYFUNCTION("IF(REGEXMATCH(C307, ""m""), ""4"","""")"),"4")</f>
        <v>4</v>
      </c>
      <c r="GI307" s="246" t="str">
        <f>IFERROR(__xludf.DUMMYFUNCTION("IF(REGEXMATCH(C307, ""M""), ""#4"","""")"),"")</f>
        <v/>
      </c>
      <c r="GJ307" s="245" t="str">
        <f>IFERROR(__xludf.DUMMYFUNCTION("IF(REGEXMATCH(C307, ""P""), ""5"","""")"),"5")</f>
        <v>5</v>
      </c>
      <c r="GK307" s="246" t="str">
        <f>IFERROR(__xludf.DUMMYFUNCTION("IF(REGEXMATCH(C307, ""d""), ""b6"","""")"),"b6")</f>
        <v>b6</v>
      </c>
      <c r="GL307" s="245" t="str">
        <f>IFERROR(__xludf.DUMMYFUNCTION("IF(REGEXMATCH(C307, ""D""), ""6"","""")"),"6")</f>
        <v>6</v>
      </c>
      <c r="GM307" s="245" t="str">
        <f>IFERROR(__xludf.DUMMYFUNCTION("IF(REGEXMATCH(C307, ""n""), ""b7"","""")"),"")</f>
        <v/>
      </c>
      <c r="GN307" s="246" t="str">
        <f>IFERROR(__xludf.DUMMYFUNCTION("IF(REGEXMATCH(C307, ""N""), ""7"","""")"),"7")</f>
        <v>7</v>
      </c>
      <c r="GO307" s="249" t="str">
        <f>IFERROR(__xludf.DUMMYFUNCTION("IF(REGEXMATCH(C307, ""S""), ""8"","""")"),"8")</f>
        <v>8</v>
      </c>
      <c r="GP307" s="244" t="str">
        <f>IFERROR(__xludf.DUMMYFUNCTION("IF(REGEXMATCH(C307, ""S""), ""S"","""")"),"S")</f>
        <v>S</v>
      </c>
      <c r="GQ307" s="294" t="str">
        <f>IFERROR(__xludf.DUMMYFUNCTION("IF(REGEXMATCH(C307, ""r""), ""R1"","""")"),"R1")</f>
        <v>R1</v>
      </c>
      <c r="GR307" s="295" t="str">
        <f>IFERROR(__xludf.DUMMYFUNCTION("IF(REGEXMATCH(C307, ""R""), ""R2"","""")"),"")</f>
        <v/>
      </c>
      <c r="GS307" s="295" t="str">
        <f>IFERROR(__xludf.DUMMYFUNCTION("IF(REGEXMATCH(C307, ""g""), ""G2"","""")"),"")</f>
        <v/>
      </c>
      <c r="GT307" s="294" t="str">
        <f>IFERROR(__xludf.DUMMYFUNCTION("IF(REGEXMATCH(C307, ""G""), ""G3"","""")"),"G3")</f>
        <v>G3</v>
      </c>
      <c r="GU307" s="294" t="str">
        <f>IFERROR(__xludf.DUMMYFUNCTION("IF(REGEXMATCH(C307, ""m""), ""M1"","""")"),"M1")</f>
        <v>M1</v>
      </c>
      <c r="GV307" s="295" t="str">
        <f>IFERROR(__xludf.DUMMYFUNCTION("IF(REGEXMATCH(C307, ""M""), ""M2"","""")"),"")</f>
        <v/>
      </c>
      <c r="GW307" s="294" t="str">
        <f>IFERROR(__xludf.DUMMYFUNCTION("IF(REGEXMATCH(C307, ""P""), ""P"","""")"),"P")</f>
        <v>P</v>
      </c>
      <c r="GX307" s="295" t="str">
        <f>IFERROR(__xludf.DUMMYFUNCTION("IF(REGEXMATCH(C307, ""d""), ""D1"","""")"),"D1")</f>
        <v>D1</v>
      </c>
      <c r="GY307" s="294" t="str">
        <f>IFERROR(__xludf.DUMMYFUNCTION("IF(REGEXMATCH(C307, ""D""), ""D2"","""")"),"D2")</f>
        <v>D2</v>
      </c>
      <c r="GZ307" s="294" t="str">
        <f>IFERROR(__xludf.DUMMYFUNCTION("IF(REGEXMATCH(C307, ""n""), ""N2"","""")"),"")</f>
        <v/>
      </c>
      <c r="HA307" s="295" t="str">
        <f>IFERROR(__xludf.DUMMYFUNCTION("IF(REGEXMATCH(C307, ""N""), ""N3"","""")"),"N3")</f>
        <v>N3</v>
      </c>
      <c r="HB307" s="249" t="str">
        <f>IFERROR(__xludf.DUMMYFUNCTION("IF(REGEXMATCH(C307, ""S""), ""S"","""")"),"S")</f>
        <v>S</v>
      </c>
      <c r="HC307" s="331" t="str">
        <f t="shared" si="95"/>
        <v>S</v>
      </c>
      <c r="HD307" s="332" t="str">
        <f t="shared" si="96"/>
        <v>r</v>
      </c>
      <c r="HE307" s="332" t="str">
        <f t="shared" si="97"/>
        <v/>
      </c>
      <c r="HF307" s="332" t="str">
        <f t="shared" si="98"/>
        <v>g</v>
      </c>
      <c r="HG307" s="332" t="str">
        <f t="shared" si="99"/>
        <v>G</v>
      </c>
      <c r="HH307" s="332" t="str">
        <f t="shared" si="100"/>
        <v>m</v>
      </c>
      <c r="HI307" s="332" t="str">
        <f t="shared" si="101"/>
        <v/>
      </c>
      <c r="HJ307" s="332" t="str">
        <f t="shared" si="102"/>
        <v>P</v>
      </c>
      <c r="HK307" s="332" t="str">
        <f t="shared" si="103"/>
        <v>d</v>
      </c>
      <c r="HL307" s="332" t="str">
        <f t="shared" si="104"/>
        <v/>
      </c>
      <c r="HM307" s="332" t="str">
        <f t="shared" si="105"/>
        <v/>
      </c>
      <c r="HN307" s="332" t="str">
        <f t="shared" si="106"/>
        <v>N</v>
      </c>
      <c r="HO307" s="343" t="str">
        <f t="shared" si="107"/>
        <v>S</v>
      </c>
      <c r="HP307" s="331" t="str">
        <f t="shared" si="108"/>
        <v>o</v>
      </c>
      <c r="HQ307" s="332" t="str">
        <f t="shared" si="109"/>
        <v>o</v>
      </c>
      <c r="HR307" s="332" t="str">
        <f t="shared" si="110"/>
        <v>•</v>
      </c>
      <c r="HS307" s="332" t="str">
        <f t="shared" si="111"/>
        <v>•</v>
      </c>
      <c r="HT307" s="332" t="str">
        <f t="shared" si="112"/>
        <v>o</v>
      </c>
      <c r="HU307" s="332" t="str">
        <f t="shared" si="113"/>
        <v>o</v>
      </c>
      <c r="HV307" s="332" t="str">
        <f t="shared" si="114"/>
        <v>•</v>
      </c>
      <c r="HW307" s="332" t="str">
        <f t="shared" si="115"/>
        <v>o</v>
      </c>
      <c r="HX307" s="332" t="str">
        <f t="shared" si="116"/>
        <v>o</v>
      </c>
      <c r="HY307" s="332" t="str">
        <f t="shared" si="117"/>
        <v>o</v>
      </c>
      <c r="HZ307" s="332" t="str">
        <f t="shared" si="118"/>
        <v>•</v>
      </c>
      <c r="IA307" s="332" t="str">
        <f t="shared" si="119"/>
        <v>o</v>
      </c>
      <c r="IB307" s="338" t="str">
        <f t="shared" si="120"/>
        <v>o</v>
      </c>
      <c r="IC307" s="331" t="str">
        <f t="shared" si="121"/>
        <v>•</v>
      </c>
      <c r="ID307" s="332" t="str">
        <f t="shared" si="122"/>
        <v>•</v>
      </c>
      <c r="IE307" s="332" t="str">
        <f t="shared" si="123"/>
        <v>o</v>
      </c>
      <c r="IF307" s="332" t="str">
        <f t="shared" si="124"/>
        <v>o</v>
      </c>
      <c r="IG307" s="332" t="str">
        <f t="shared" si="125"/>
        <v>•</v>
      </c>
      <c r="IH307" s="332" t="str">
        <f t="shared" si="126"/>
        <v>•</v>
      </c>
      <c r="II307" s="332" t="str">
        <f t="shared" si="127"/>
        <v>o</v>
      </c>
      <c r="IJ307" s="332" t="str">
        <f t="shared" si="128"/>
        <v>•</v>
      </c>
      <c r="IK307" s="332" t="str">
        <f t="shared" si="129"/>
        <v>•</v>
      </c>
      <c r="IL307" s="332" t="str">
        <f t="shared" si="130"/>
        <v>•</v>
      </c>
      <c r="IM307" s="332" t="str">
        <f t="shared" si="131"/>
        <v>o</v>
      </c>
      <c r="IN307" s="332" t="str">
        <f t="shared" si="132"/>
        <v>•</v>
      </c>
      <c r="IO307" s="338" t="str">
        <f t="shared" si="133"/>
        <v>•</v>
      </c>
      <c r="IP307" s="346" t="b">
        <f t="shared" si="134"/>
        <v>0</v>
      </c>
      <c r="IQ307" s="347" t="b">
        <f t="shared" si="135"/>
        <v>0</v>
      </c>
      <c r="IR307" s="347" t="b">
        <f t="shared" si="136"/>
        <v>0</v>
      </c>
      <c r="IS307" s="347" t="b">
        <f t="shared" si="137"/>
        <v>0</v>
      </c>
      <c r="IT307" s="347" t="b">
        <f t="shared" si="138"/>
        <v>0</v>
      </c>
      <c r="IU307" s="347" t="b">
        <f t="shared" si="139"/>
        <v>0</v>
      </c>
      <c r="IV307" s="347" t="b">
        <f t="shared" si="140"/>
        <v>0</v>
      </c>
      <c r="IW307" s="347" t="b">
        <f t="shared" si="141"/>
        <v>1</v>
      </c>
      <c r="IX307" s="347" t="b">
        <f t="shared" si="142"/>
        <v>1</v>
      </c>
      <c r="IY307" s="347" t="b">
        <f t="shared" si="143"/>
        <v>0</v>
      </c>
      <c r="IZ307" s="347" t="b">
        <f t="shared" si="144"/>
        <v>0</v>
      </c>
      <c r="JA307" s="347" t="b">
        <f t="shared" si="145"/>
        <v>1</v>
      </c>
      <c r="JB307" s="353" t="b">
        <f t="shared" si="146"/>
        <v>0</v>
      </c>
      <c r="JC307" s="354" t="str">
        <f t="shared" si="147"/>
        <v/>
      </c>
      <c r="JD307" s="355" t="str">
        <f t="shared" si="148"/>
        <v/>
      </c>
      <c r="JE307" s="355" t="str">
        <f t="shared" si="149"/>
        <v/>
      </c>
      <c r="JF307" s="355" t="str">
        <f t="shared" si="150"/>
        <v/>
      </c>
      <c r="JG307" s="355" t="str">
        <f t="shared" si="151"/>
        <v/>
      </c>
      <c r="JH307" s="355" t="str">
        <f t="shared" si="152"/>
        <v/>
      </c>
      <c r="JI307" s="355" t="str">
        <f t="shared" si="153"/>
        <v/>
      </c>
      <c r="JJ307" s="355" t="str">
        <f t="shared" si="154"/>
        <v>Pa, </v>
      </c>
      <c r="JK307" s="355" t="str">
        <f t="shared" si="155"/>
        <v>dha, </v>
      </c>
      <c r="JL307" s="355" t="str">
        <f t="shared" si="156"/>
        <v/>
      </c>
      <c r="JM307" s="355" t="str">
        <f t="shared" si="157"/>
        <v/>
      </c>
      <c r="JN307" s="355" t="str">
        <f t="shared" si="158"/>
        <v>Ni, </v>
      </c>
      <c r="JO307" s="359" t="str">
        <f t="shared" si="159"/>
        <v/>
      </c>
      <c r="JP307" s="346" t="b">
        <f t="shared" si="160"/>
        <v>0</v>
      </c>
      <c r="JQ307" s="347" t="b">
        <f t="shared" si="161"/>
        <v>0</v>
      </c>
      <c r="JR307" s="347" t="b">
        <f t="shared" si="162"/>
        <v>0</v>
      </c>
      <c r="JS307" s="347" t="b">
        <f t="shared" si="163"/>
        <v>0</v>
      </c>
      <c r="JT307" s="347" t="b">
        <f t="shared" si="164"/>
        <v>0</v>
      </c>
      <c r="JU307" s="347" t="b">
        <f t="shared" si="165"/>
        <v>0</v>
      </c>
      <c r="JV307" s="347" t="b">
        <f t="shared" si="166"/>
        <v>0</v>
      </c>
      <c r="JW307" s="347" t="b">
        <f t="shared" si="167"/>
        <v>0</v>
      </c>
      <c r="JX307" s="347" t="b">
        <f t="shared" si="168"/>
        <v>0</v>
      </c>
      <c r="JY307" s="347" t="b">
        <f t="shared" si="169"/>
        <v>0</v>
      </c>
      <c r="JZ307" s="347" t="b">
        <f t="shared" si="170"/>
        <v>0</v>
      </c>
      <c r="KA307" s="347" t="b">
        <f t="shared" si="171"/>
        <v>0</v>
      </c>
      <c r="KB307" s="365" t="b">
        <f t="shared" si="172"/>
        <v>0</v>
      </c>
      <c r="KC307" s="354" t="str">
        <f t="shared" si="173"/>
        <v/>
      </c>
      <c r="KD307" s="355" t="str">
        <f t="shared" si="174"/>
        <v/>
      </c>
      <c r="KE307" s="355" t="str">
        <f t="shared" si="175"/>
        <v/>
      </c>
      <c r="KF307" s="355" t="str">
        <f t="shared" si="176"/>
        <v/>
      </c>
      <c r="KG307" s="355" t="str">
        <f t="shared" si="177"/>
        <v/>
      </c>
      <c r="KH307" s="355" t="str">
        <f t="shared" si="178"/>
        <v/>
      </c>
      <c r="KI307" s="355" t="str">
        <f t="shared" si="179"/>
        <v/>
      </c>
      <c r="KJ307" s="355" t="str">
        <f t="shared" si="180"/>
        <v/>
      </c>
      <c r="KK307" s="355" t="str">
        <f t="shared" si="181"/>
        <v/>
      </c>
      <c r="KL307" s="355" t="str">
        <f t="shared" si="182"/>
        <v/>
      </c>
      <c r="KM307" s="355" t="str">
        <f t="shared" si="183"/>
        <v/>
      </c>
      <c r="KN307" s="355" t="str">
        <f t="shared" si="184"/>
        <v/>
      </c>
      <c r="KO307" s="359"/>
      <c r="KP307" s="378"/>
      <c r="KQ307" s="379" t="s">
        <v>9</v>
      </c>
      <c r="KR307" s="380" t="s">
        <v>9</v>
      </c>
      <c r="KS307" s="381" t="s">
        <v>9</v>
      </c>
      <c r="KT307" s="382">
        <f t="shared" si="186"/>
        <v>0</v>
      </c>
      <c r="KU307" s="383">
        <f t="shared" si="187"/>
        <v>0</v>
      </c>
      <c r="KV307" s="381" t="str">
        <f t="shared" si="205"/>
        <v>S</v>
      </c>
      <c r="KW307" s="382">
        <f t="shared" si="189"/>
        <v>0</v>
      </c>
      <c r="KX307" s="384">
        <f t="shared" si="190"/>
        <v>0</v>
      </c>
      <c r="KY307" s="382">
        <f t="shared" ref="KY307:KZ307" si="843">KW307-KT307</f>
        <v>0</v>
      </c>
      <c r="KZ307" s="369">
        <f t="shared" si="843"/>
        <v>0</v>
      </c>
      <c r="LA307" s="385" t="str">
        <f t="shared" si="192"/>
        <v>✔</v>
      </c>
      <c r="LB307" s="340" t="str">
        <f>IFERROR(__xludf.DUMMYFUNCTION("JOIN("""",ArrayFormula(MID(KS307,LEN(KS307)-SEQUENCE(1,LEN(KS307))+1,1)))"),"S")</f>
        <v>S</v>
      </c>
      <c r="LC307" s="373" t="str">
        <f>IFERROR(__xludf.DUMMYFUNCTION("JOIN("""",ArrayFormula(MID(KV307,LEN(KV307)-SEQUENCE(1,LEN(KV307))+1,1)))"),"S")</f>
        <v>S</v>
      </c>
      <c r="LD307" s="373" t="str">
        <f t="shared" si="193"/>
        <v>S</v>
      </c>
      <c r="LE307" s="339" t="str">
        <f t="shared" si="194"/>
        <v>S</v>
      </c>
      <c r="LF307" s="386" t="str">
        <f>IFERROR(__xludf.DUMMYFUNCTION("SUBSTITUTE(SUBSTITUTE(CONCATENATE(JOIN("""",LH307:LT307)),""1"",""""),""2"","""")"),"SS")</f>
        <v>SS</v>
      </c>
      <c r="LG307" s="369" t="str">
        <f t="shared" si="195"/>
        <v>-</v>
      </c>
      <c r="LH307" s="387" t="str">
        <f>IFERROR(__xludf.DUMMYFUNCTION("IF(REGEXMATCH(LD307, ""S""), ""S"",IF(REGEXMATCH(LE307, ""S""), ""S"",""""))"),"S")</f>
        <v>S</v>
      </c>
      <c r="LI307" s="299" t="str">
        <f>IFERROR(__xludf.DUMMYFUNCTION("IF(REGEXMATCH(LD307, ""r""), ""r1"",IF(REGEXMATCH(LE307, ""r""), ""r2"",""""))"),"")</f>
        <v/>
      </c>
      <c r="LJ307" s="299" t="str">
        <f>IFERROR(__xludf.DUMMYFUNCTION("IF(REGEXMATCH(LD307, ""R""), ""R1"",IF(REGEXMATCH(LE307, ""R""), ""R2"",""""))"),"")</f>
        <v/>
      </c>
      <c r="LK307" s="299" t="str">
        <f>IFERROR(__xludf.DUMMYFUNCTION("IF(REGEXMATCH(LD307, ""g""), ""g1"",IF(REGEXMATCH(LE307, ""g""), ""g2"",""""))"),"")</f>
        <v/>
      </c>
      <c r="LL307" s="299" t="str">
        <f>IFERROR(__xludf.DUMMYFUNCTION("IF(REGEXMATCH(LD307, ""G""), ""G1"",IF(REGEXMATCH(LE307, ""G""), ""G2"",""""))"),"")</f>
        <v/>
      </c>
      <c r="LM307" s="299" t="str">
        <f>IFERROR(__xludf.DUMMYFUNCTION("IF(REGEXMATCH(LD307, ""m""), ""m1"",IF(REGEXMATCH(LE307, ""m""), ""m2"",""""))"),"")</f>
        <v/>
      </c>
      <c r="LN307" s="299" t="str">
        <f>IFERROR(__xludf.DUMMYFUNCTION("IF(REGEXMATCH(LD307, ""M""), ""M1"",IF(REGEXMATCH(LE307, ""M""), ""M2"",""""))"),"")</f>
        <v/>
      </c>
      <c r="LO307" s="299" t="str">
        <f>IFERROR(__xludf.DUMMYFUNCTION("IF(REGEXMATCH(LD307, ""P""), ""P1"",IF(REGEXMATCH(LE307, ""P""), ""P2"",""""))"),"")</f>
        <v/>
      </c>
      <c r="LP307" s="299" t="str">
        <f>IFERROR(__xludf.DUMMYFUNCTION("IF(REGEXMATCH(LD307, ""d""), ""d1"",IF(REGEXMATCH(LE307, ""d""), ""d2"",""""))"),"")</f>
        <v/>
      </c>
      <c r="LQ307" s="299" t="str">
        <f>IFERROR(__xludf.DUMMYFUNCTION("IF(REGEXMATCH(LD307, ""D""), ""D1"",IF(REGEXMATCH(LE307, ""D""), ""D2"",""""))"),"")</f>
        <v/>
      </c>
      <c r="LR307" s="299" t="str">
        <f>IFERROR(__xludf.DUMMYFUNCTION("IF(REGEXMATCH(LD307, ""n""), ""n1"",IF(REGEXMATCH(LE307, ""n""), ""n2"",""""))"),"")</f>
        <v/>
      </c>
      <c r="LS307" s="299" t="str">
        <f>IFERROR(__xludf.DUMMYFUNCTION("IF(REGEXMATCH(LD307, ""N""), ""N1"",IF(REGEXMATCH(LE307, ""N""), ""N2"",""""))"),"")</f>
        <v/>
      </c>
      <c r="LT307" s="388" t="str">
        <f>IFERROR(__xludf.DUMMYFUNCTION("IF(REGEXMATCH(LD307, ""S""), ""S"",IF(REGEXMATCH(LE307, ""S""), ""S"",""""))"),"S")</f>
        <v>S</v>
      </c>
      <c r="LU307" s="389">
        <f t="shared" si="196"/>
        <v>1</v>
      </c>
      <c r="LV307" s="378"/>
      <c r="LW307" s="369"/>
      <c r="LX307" s="369"/>
    </row>
    <row r="308" ht="18.0" customHeight="1">
      <c r="A308" s="298" t="s">
        <v>1137</v>
      </c>
      <c r="B308" s="222" t="s">
        <v>554</v>
      </c>
      <c r="C308" s="233" t="str">
        <f t="shared" si="7"/>
        <v>SRGmPDNS</v>
      </c>
      <c r="D308" s="234" t="str">
        <f>IFERROR(__xludf.DUMMYFUNCTION("IF(REGEXMATCH(C308, ""S""), ""S"","""")"),"S")</f>
        <v>S</v>
      </c>
      <c r="E308" s="236" t="str">
        <f>IFERROR(__xludf.DUMMYFUNCTION("IF(REGEXMATCH(C308, ""r""), ""r"","""")"),"")</f>
        <v/>
      </c>
      <c r="F308" s="237" t="str">
        <f>IFERROR(__xludf.DUMMYFUNCTION("IF(REGEXMATCH(C308, ""R""), ""R"","""")"),"R")</f>
        <v>R</v>
      </c>
      <c r="G308" s="237" t="str">
        <f>IFERROR(__xludf.DUMMYFUNCTION("IF(REGEXMATCH(C308, ""g""), ""g"","""")"),"")</f>
        <v/>
      </c>
      <c r="H308" s="236" t="str">
        <f>IFERROR(__xludf.DUMMYFUNCTION("IF(REGEXMATCH(C308, ""G""), ""G"","""")"),"G")</f>
        <v>G</v>
      </c>
      <c r="I308" s="236" t="str">
        <f>IFERROR(__xludf.DUMMYFUNCTION("IF(REGEXMATCH(C308, ""m""), ""m"","""")"),"m")</f>
        <v>m</v>
      </c>
      <c r="J308" s="237" t="str">
        <f>IFERROR(__xludf.DUMMYFUNCTION("IF(REGEXMATCH(C308, ""M""), ""M"","""")"),"")</f>
        <v/>
      </c>
      <c r="K308" s="236" t="str">
        <f>IFERROR(__xludf.DUMMYFUNCTION("IF(REGEXMATCH(C308, ""P""), ""P"","""")"),"P")</f>
        <v>P</v>
      </c>
      <c r="L308" s="237" t="str">
        <f>IFERROR(__xludf.DUMMYFUNCTION("IF(REGEXMATCH(C308, ""d""), ""d"","""")"),"")</f>
        <v/>
      </c>
      <c r="M308" s="236" t="str">
        <f>IFERROR(__xludf.DUMMYFUNCTION("IF(REGEXMATCH(C308, ""D""), ""D"","""")"),"D")</f>
        <v>D</v>
      </c>
      <c r="N308" s="236" t="str">
        <f>IFERROR(__xludf.DUMMYFUNCTION("IF(REGEXMATCH(C308, ""n""), ""n"","""")"),"")</f>
        <v/>
      </c>
      <c r="O308" s="237" t="str">
        <f>IFERROR(__xludf.DUMMYFUNCTION("IF(REGEXMATCH(C308, ""N""), ""N"","""")"),"N")</f>
        <v>N</v>
      </c>
      <c r="P308" s="238" t="str">
        <f>IFERROR(__xludf.DUMMYFUNCTION("IF(REGEXMATCH(C308, ""S""), ""S"","""")"),"S")</f>
        <v>S</v>
      </c>
      <c r="Q308" s="239" t="str">
        <f>IFERROR(__xludf.DUMMYFUNCTION("SUBSTITUTE(CONCATENATE(JOIN(""-"",D308:J308)),""-"","""")"),"SRGm")</f>
        <v>SRGm</v>
      </c>
      <c r="R308" s="229" t="str">
        <f>IFERROR(__xludf.DUMMYFUNCTION("SUBSTITUTE(CONCATENATE(JOIN(""-"",K308:P308)),""-"","""")"),"PDNS")</f>
        <v>PDNS</v>
      </c>
      <c r="S308" s="282" t="str">
        <f t="shared" si="8"/>
        <v>S-R-G-M</v>
      </c>
      <c r="T308" s="282" t="str">
        <f t="shared" si="9"/>
        <v>P-D-N-S</v>
      </c>
      <c r="U308" s="237" t="str">
        <f>IFERROR(__xludf.DUMMYFUNCTION("SUBSTITUTE(JOIN(""-"",S308,T308),""--"",""-"")"),"S-R-G-M-P-D-N-S")</f>
        <v>S-R-G-M-P-D-N-S</v>
      </c>
      <c r="V308" s="309" t="str">
        <f t="shared" si="10"/>
        <v>RGmDN</v>
      </c>
      <c r="W308" s="244" t="str">
        <f>IFERROR(__xludf.DUMMYFUNCTION("IF(REGEXMATCH(C308, ""S""), ""0"","""")"),"0")</f>
        <v>0</v>
      </c>
      <c r="X308" s="245" t="str">
        <f>IFERROR(__xludf.DUMMYFUNCTION("IF(REGEXMATCH(C308, ""r""), ""1"","""")"),"")</f>
        <v/>
      </c>
      <c r="Y308" s="246" t="str">
        <f>IFERROR(__xludf.DUMMYFUNCTION("IF(REGEXMATCH(C308, ""R""), ""2"","""")"),"2")</f>
        <v>2</v>
      </c>
      <c r="Z308" s="246" t="str">
        <f>IFERROR(__xludf.DUMMYFUNCTION("IF(REGEXMATCH(C308, ""g""), ""3"","""")"),"")</f>
        <v/>
      </c>
      <c r="AA308" s="245" t="str">
        <f>IFERROR(__xludf.DUMMYFUNCTION("IF(REGEXMATCH(C308, ""G""), ""4"","""")"),"4")</f>
        <v>4</v>
      </c>
      <c r="AB308" s="245" t="str">
        <f>IFERROR(__xludf.DUMMYFUNCTION("IF(REGEXMATCH(C308, ""m""), ""5"","""")"),"5")</f>
        <v>5</v>
      </c>
      <c r="AC308" s="246" t="str">
        <f>IFERROR(__xludf.DUMMYFUNCTION("IF(REGEXMATCH(C308, ""M""), ""6"","""")"),"")</f>
        <v/>
      </c>
      <c r="AD308" s="245" t="str">
        <f>IFERROR(__xludf.DUMMYFUNCTION("IF(REGEXMATCH(C308, ""P""), ""7"","""")"),"7")</f>
        <v>7</v>
      </c>
      <c r="AE308" s="246" t="str">
        <f>IFERROR(__xludf.DUMMYFUNCTION("IF(REGEXMATCH(C308, ""d""), ""8"","""")"),"")</f>
        <v/>
      </c>
      <c r="AF308" s="245" t="str">
        <f>IFERROR(__xludf.DUMMYFUNCTION("IF(REGEXMATCH(C308, ""D""), ""9"","""")"),"9")</f>
        <v>9</v>
      </c>
      <c r="AG308" s="245" t="str">
        <f>IFERROR(__xludf.DUMMYFUNCTION("IF(REGEXMATCH(C308, ""n""), ""10"","""")"),"")</f>
        <v/>
      </c>
      <c r="AH308" s="246" t="str">
        <f>IFERROR(__xludf.DUMMYFUNCTION("IF(REGEXMATCH(C308, ""N""), ""11"","""")"),"11")</f>
        <v>11</v>
      </c>
      <c r="AI308" s="249" t="str">
        <f>IFERROR(__xludf.DUMMYFUNCTION("IF(REGEXMATCH(C308, ""S""), ""0"","""")"),"0")</f>
        <v>0</v>
      </c>
      <c r="AJ308" s="313" t="str">
        <f t="shared" si="11"/>
        <v>-</v>
      </c>
      <c r="AK308" s="313" t="str">
        <f t="shared" si="12"/>
        <v>-</v>
      </c>
      <c r="AL308" s="313" t="str">
        <f t="shared" si="13"/>
        <v>-</v>
      </c>
      <c r="AM308" s="313" t="str">
        <f t="shared" si="14"/>
        <v>-</v>
      </c>
      <c r="AN308" s="313" t="str">
        <f t="shared" si="15"/>
        <v>-</v>
      </c>
      <c r="AO308" s="314" t="str">
        <f t="shared" si="16"/>
        <v>T</v>
      </c>
      <c r="AP308" s="316">
        <f t="shared" si="17"/>
        <v>1</v>
      </c>
      <c r="AQ308" s="319" t="str">
        <f t="shared" si="18"/>
        <v>-</v>
      </c>
      <c r="AR308" s="320">
        <f t="shared" si="19"/>
        <v>0</v>
      </c>
      <c r="AS308" s="250" t="str">
        <f>IFERROR(__xludf.DUMMYFUNCTION("SUBSTITUTE(SUBSTITUTE(CONCATENATE(JOIN("""",FP308:GA308)),""|"",""x""),""-"",""o"")"),"xoxoxxoxoxox")</f>
        <v>xoxoxxoxoxox</v>
      </c>
      <c r="AT308" s="323" t="str">
        <f>IFERROR(__xludf.DUMMYFUNCTION("JOIN("""",AS308,AS308)"),"xoxoxxoxoxoxxoxoxxoxoxox")</f>
        <v>xoxoxxoxoxoxxoxoxxoxoxox</v>
      </c>
      <c r="AU308" s="256" t="str">
        <f>IFERROR(__xludf.DUMMYFUNCTION("JOIN("""",ArrayFormula(MID(AS308,LEN(AS308)-SEQUENCE(1,LEN(AS308))+1,1)))"),"xoxoxoxxoxox")</f>
        <v>xoxoxoxxoxox</v>
      </c>
      <c r="AV308" s="256" t="str">
        <f>IFERROR(__xludf.DUMMYFUNCTION("LEFT(CONCATENATE(""x"",JOIN("""",ArrayFormula(MID(AS308,LEN(AS308)-SEQUENCE(1,LEN(AS308))+1,1)))),12)"),"xxoxoxoxxoxo")</f>
        <v>xxoxoxoxxoxo</v>
      </c>
      <c r="AW308" s="327" t="str">
        <f>IFERROR(__xludf.DUMMYFUNCTION("JOIN("""",AU308,AU308)"),"xoxoxoxxoxoxxoxoxoxxoxox")</f>
        <v>xoxoxoxxoxoxxoxoxoxxoxox</v>
      </c>
      <c r="AX308" s="239" t="str">
        <f>IFERROR(__xludf.DUMMYFUNCTION("IF(REGEXMATCH(AW308,AS308),""✔"",""-"")"),"✔")</f>
        <v>✔</v>
      </c>
      <c r="AY308" s="330" t="str">
        <f t="shared" si="20"/>
        <v>-</v>
      </c>
      <c r="AZ308" s="260" t="str">
        <f t="shared" si="21"/>
        <v>#REF!</v>
      </c>
      <c r="BA308" s="333" t="str">
        <f t="shared" si="22"/>
        <v>xoxoxxo</v>
      </c>
      <c r="BB308" s="334" t="str">
        <f t="shared" si="23"/>
        <v>xoxoxx</v>
      </c>
      <c r="BC308" s="335" t="str">
        <f t="shared" si="236"/>
        <v>✔</v>
      </c>
      <c r="BD308" s="336" t="str">
        <f t="shared" si="25"/>
        <v>Savani: 'xoxoxxo' + 'xoxoxx'</v>
      </c>
      <c r="BE308" s="337">
        <f>IFERROR(__xludf.DUMMYFUNCTION("COUNTUNIQUE(FILTER(AT:AT,REGEXMATCH(AT:AT,AS308)))-1"),6.0)</f>
        <v>6</v>
      </c>
      <c r="BF308" s="261" t="str">
        <f>IFERROR(__xludf.DUMMYFUNCTION("IF(BI308=0,""(n/a)"",IF(BJ308=2,""(PAIR)"",IF(REGEXMATCH(AT308,""xoxoxxoxoxox""),""Bilawal"",IF(REGEXMATCH(AT308,""xoxoxooxoxoo""),""Bhupali"",IF(REGEXMATCH(AT308,""xoxoxxoxxoxo""),""Charukeshi"",IF(REGEXMATCH(AT308,""xoxoooxxoxxo""),""Kameshwari"",IF(REG"&amp;"EXMATCH(AT308,""xoxoxooxoxox""),""Shankara"",IF(REGEXMATCH(AT308,""xxooxoxxxoox""),""Basant"",IF(REGEXMATCH(AT308,""xoxoxxxxoxox""),""Bihag"",IF(REGEXMATCH(AT308,""xoxxxxoxoxxx""),""Pilu"",IF(REGEXMATCH(AT308,""xoxxoxoxxoox""),""Kirwani"",IF(REGEXMATCH(AT"&amp;"308,""xoxxoxoxoxxx""),""Mk.Malhar"",IF(REGEXMATCH(AT308,""xxooxxoxxoox""),""Bhairav"",IF(REGEXMATCH(AT308,""xxoxooxxxoox""),""Todi"",IF(REGEXMATCH(AT308,""xxooxoxooxox""),""Marwa"",IF(REGEXMATCH(AT308,""xxoooxoxxooo""),""Gunkali"",IF(REGEXMATCH(AT308,""xo"&amp;"xoxxoxxoox""),""Nat Bhairav"",IF(REGEXMATCH(AT308,""xoxxoooxoxoo""),""Shivranjani"",IF(REGEXMATCH(AT308,""xooxxxoxooxo""),""Jog"",IF(REGEXMATCH(AT308,""xxooxoxoxoox""),""Hemshri"",IF(REGEXMATCH(AT308,""xoooxooxoxxo""),""Kalavati"",IF(REGEXMATCH(AT308,""xx"&amp;"oxoxxoxoox""),""Kedar"",IF(REGEXMATCH(AT308,""xoxxxxoxooxx""),""Gara"",IF(REGEXMATCH(AT308,""xooxoxooxoox""),""Chandrakauns"",IF(REGEXMATCH(AT308,""xoxxxxoxxxox""),""Mand"",IF(REGEXMATCH(AT308,""xoxxxxoxoxox""),""Hanskinkini"",IF(REGEXMATCH(AT308,""xxooxx"&amp;"oxooxo""),""Lilavati"",IF(REGEXMATCH(AT308,""xooxoxoooxox""),""Rajeshwari"",IF(REGEXMATCH(AT308,""xoooxxoxoxxx""),""Khokar"",IF(REGEXMATCH(AT308,""xxooxoxxxxox""),""Maligoura"",""-""))))))))))))))))))))))))))))))"),"Bilawal")</f>
        <v>Bilawal</v>
      </c>
      <c r="BG308" s="239" t="str">
        <f t="shared" si="26"/>
        <v>#REF!</v>
      </c>
      <c r="BH308" s="239">
        <f>IFERROR(__xludf.DUMMYFUNCTION("COUNTUNIQUE(FE308:FO308)-1"),6.0)</f>
        <v>6</v>
      </c>
      <c r="BI308" s="239">
        <f>IFERROR(__xludf.DUMMYFUNCTION("COUNTUNIQUE(FILTER(AT:AT,REGEXMATCH(AT:AT,AS308)))-1"),6.0)</f>
        <v>6</v>
      </c>
      <c r="BJ308" s="239">
        <f>IFERROR(__xludf.DUMMYFUNCTION("COUNTA(FILTER(AT:AT,REGEXMATCH(AT:AT,AS308)))"),48.0)</f>
        <v>48</v>
      </c>
      <c r="BK308" s="341">
        <f>IFERROR(__xludf.DUMMYFUNCTION("COUNTA(FILTER(AT:AT,REGEXMATCH(AT:AT,AS308)))-AR308"),48.0)</f>
        <v>48</v>
      </c>
      <c r="BL308" s="276" t="str">
        <f>IFERROR(__xludf.DUMMYFUNCTION("IF(AS308=""oooooooooooo"",""-"",IF(REGEXMATCH(AT308,""xx""), ""Hemi."", ""Anhemi.""))"),"Hemi.")</f>
        <v>Hemi.</v>
      </c>
      <c r="BM308" s="282" t="str">
        <f>IFERROR(__xludf.DUMMYFUNCTION("IF(AS308=""oooooooooooo"",""-"",IF(REGEXMATCH(AT308,""xxx""), ""Cohem."", ""-""))"),"-")</f>
        <v>-</v>
      </c>
      <c r="BN308" s="282" t="str">
        <f>IFERROR(__xludf.DUMMYFUNCTION("IF(AS308=""oooooooooooo"",""-"",IF(REGEXMATCH(AT308,""xxxx""), ""Co-Co."", ""-""))"),"-")</f>
        <v>-</v>
      </c>
      <c r="BO308" s="342" t="str">
        <f>IFERROR(__xludf.DUMMYFUNCTION("IF(AS308=""oooooooooooo"",""-"",IF(REGEXMATCH(AT308,""xxxxx""), ""CCC."", ""-""))"),"-")</f>
        <v>-</v>
      </c>
      <c r="BP308" s="344" t="str">
        <f t="shared" si="27"/>
        <v>Bilawal</v>
      </c>
      <c r="BQ308" s="282" t="str">
        <f>IFERROR(__xludf.DUMMYFUNCTION("IF(REGEXMATCH(JOIN(""-"",EU308:FD308),""TRUE""),""✔"",""-"")"),"✔")</f>
        <v>✔</v>
      </c>
      <c r="BR308" s="225">
        <f t="shared" si="28"/>
        <v>1</v>
      </c>
      <c r="BS308" s="345" t="str">
        <f>IFERROR(__xludf.DUMMYFUNCTION("SUBSTITUTE(SUBSTITUTE(SUBSTITUTE(SUBSTITUTE(CONCATENATE(JOIN(""-"",GC308:GO308)),""--"",""-""),""--"",""-""),""--"",""-""),""--"",""-"")"),"1-2-3-4-5-6-7-8")</f>
        <v>1-2-3-4-5-6-7-8</v>
      </c>
      <c r="BT308" s="299" t="str">
        <f>IFERROR(__xludf.DUMMYFUNCTION("SUBSTITUTE(SUBSTITUTE(SUBSTITUTE(SUBSTITUTE(CONCATENATE(JOIN(""-"",GP308:HB308)),""--"",""-""),""--"",""-""),""--"",""-""),""--"",""-"")"),"S-R2-G3-M1-P-D2-N3-S")</f>
        <v>S-R2-G3-M1-P-D2-N3-S</v>
      </c>
      <c r="BU308" s="348" t="str">
        <f t="shared" si="29"/>
        <v>C-D-E-F-G-A-B-C</v>
      </c>
      <c r="BV308" s="349" t="str">
        <f t="shared" si="30"/>
        <v>SrgMdnS</v>
      </c>
      <c r="BW308" s="350">
        <f t="shared" si="31"/>
        <v>1</v>
      </c>
      <c r="BX308" s="351">
        <f t="shared" si="32"/>
        <v>17</v>
      </c>
      <c r="BY308" s="392"/>
      <c r="BZ308" s="309" t="str">
        <f>IFERROR(__xludf.DUMMYFUNCTION("IF(REGEXMATCH(C308, ""S""), ""x"",""x"")"),"x")</f>
        <v>x</v>
      </c>
      <c r="CA308" s="245" t="str">
        <f>IFERROR(__xludf.DUMMYFUNCTION("IF(REGEXMATCH(C308, ""r""), ""o"",""x"")"),"x")</f>
        <v>x</v>
      </c>
      <c r="CB308" s="246" t="str">
        <f>IFERROR(__xludf.DUMMYFUNCTION("IF(REGEXMATCH(C308, ""R""), ""o"",""x"")"),"o")</f>
        <v>o</v>
      </c>
      <c r="CC308" s="246" t="str">
        <f>IFERROR(__xludf.DUMMYFUNCTION("IF(REGEXMATCH(C308, ""g""), ""o"",""x"")"),"x")</f>
        <v>x</v>
      </c>
      <c r="CD308" s="245" t="str">
        <f>IFERROR(__xludf.DUMMYFUNCTION("IF(REGEXMATCH(C308, ""G""), ""o"",""x"")"),"o")</f>
        <v>o</v>
      </c>
      <c r="CE308" s="245" t="str">
        <f>IFERROR(__xludf.DUMMYFUNCTION("IF(REGEXMATCH(C308, ""m""), ""o"",""x"")"),"o")</f>
        <v>o</v>
      </c>
      <c r="CF308" s="246" t="str">
        <f>IFERROR(__xludf.DUMMYFUNCTION("IF(REGEXMATCH(C308, ""M""), ""o"",""x"")"),"x")</f>
        <v>x</v>
      </c>
      <c r="CG308" s="245" t="str">
        <f>IFERROR(__xludf.DUMMYFUNCTION("IF(REGEXMATCH(C308, ""P""), ""o"",""x"")"),"o")</f>
        <v>o</v>
      </c>
      <c r="CH308" s="246" t="str">
        <f>IFERROR(__xludf.DUMMYFUNCTION("IF(REGEXMATCH(C308, ""d""), ""o"",""x"")"),"x")</f>
        <v>x</v>
      </c>
      <c r="CI308" s="245" t="str">
        <f>IFERROR(__xludf.DUMMYFUNCTION("IF(REGEXMATCH(C308, ""D""), ""o"",""x"")"),"o")</f>
        <v>o</v>
      </c>
      <c r="CJ308" s="245" t="str">
        <f>IFERROR(__xludf.DUMMYFUNCTION("IF(REGEXMATCH(C308, ""n""), ""o"",""x"")"),"x")</f>
        <v>x</v>
      </c>
      <c r="CK308" s="245" t="str">
        <f>IFERROR(__xludf.DUMMYFUNCTION("IF(REGEXMATCH(C308, ""N""), ""o"",""x"")"),"o")</f>
        <v>o</v>
      </c>
      <c r="CL308" s="356" t="str">
        <f>IFERROR(__xludf.DUMMYFUNCTION("IF(REGEXMATCH(C308, ""S""), ""x"",""x"")"),"x")</f>
        <v>x</v>
      </c>
      <c r="CM308" s="357" t="str">
        <f t="shared" si="33"/>
        <v>xxoxooxoxoxo</v>
      </c>
      <c r="CN308" s="358">
        <f t="shared" si="34"/>
        <v>1</v>
      </c>
      <c r="CO308" s="246" t="str">
        <f>IFERROR(__xludf.DUMMYFUNCTION("IF(REGEXMATCH($C308, ""S""), ""S"",""S"")"),"S")</f>
        <v>S</v>
      </c>
      <c r="CP308" s="246" t="str">
        <f>IFERROR(__xludf.DUMMYFUNCTION("IF(REGEXMATCH($C308, ""r""), """",""r"")"),"r")</f>
        <v>r</v>
      </c>
      <c r="CQ308" s="246" t="str">
        <f>IFERROR(__xludf.DUMMYFUNCTION("IF(REGEXMATCH($C308, ""R""), """",""R"")"),"")</f>
        <v/>
      </c>
      <c r="CR308" s="246" t="str">
        <f>IFERROR(__xludf.DUMMYFUNCTION("IF(REGEXMATCH($C308, ""g""), """",""g"")"),"g")</f>
        <v>g</v>
      </c>
      <c r="CS308" s="246" t="str">
        <f>IFERROR(__xludf.DUMMYFUNCTION("IF(REGEXMATCH($C308, ""G""), """",""G"")"),"")</f>
        <v/>
      </c>
      <c r="CT308" s="246" t="str">
        <f>IFERROR(__xludf.DUMMYFUNCTION("IF(REGEXMATCH($C308, ""m""), """",""m"")"),"")</f>
        <v/>
      </c>
      <c r="CU308" s="246" t="str">
        <f>IFERROR(__xludf.DUMMYFUNCTION("IF(REGEXMATCH($C308, ""M""), """",""M"")"),"M")</f>
        <v>M</v>
      </c>
      <c r="CV308" s="246" t="str">
        <f>IFERROR(__xludf.DUMMYFUNCTION("IF(REGEXMATCH($C308, ""P""), """",""P"")"),"")</f>
        <v/>
      </c>
      <c r="CW308" s="246" t="str">
        <f>IFERROR(__xludf.DUMMYFUNCTION("IF(REGEXMATCH($C308, ""d""), """",""d"")"),"d")</f>
        <v>d</v>
      </c>
      <c r="CX308" s="246" t="str">
        <f>IFERROR(__xludf.DUMMYFUNCTION("IF(REGEXMATCH($C308, ""D""), """",""D"")"),"")</f>
        <v/>
      </c>
      <c r="CY308" s="246" t="str">
        <f>IFERROR(__xludf.DUMMYFUNCTION("IF(REGEXMATCH($C308, ""n""), """",""n"")"),"n")</f>
        <v>n</v>
      </c>
      <c r="CZ308" s="246" t="str">
        <f>IFERROR(__xludf.DUMMYFUNCTION("IF(REGEXMATCH($C308, ""N""), """",""N"")"),"")</f>
        <v/>
      </c>
      <c r="DA308" s="246" t="str">
        <f>IFERROR(__xludf.DUMMYFUNCTION("IF(REGEXMATCH($C308, ""S""), ""S"",""S"")"),"S")</f>
        <v>S</v>
      </c>
      <c r="DB308" s="362" t="str">
        <f>IFERROR(__xludf.DUMMYFUNCTION("JOIN("""",CO308:DA308,"""","""")"),"SrgMdnS")</f>
        <v>SrgMdnS</v>
      </c>
      <c r="DC308" s="363"/>
      <c r="DD308" s="301" t="str">
        <f t="shared" si="35"/>
        <v>#REF!</v>
      </c>
      <c r="DE308" s="302" t="str">
        <f t="shared" si="36"/>
        <v>#REF!</v>
      </c>
      <c r="DF308" s="301" t="str">
        <f t="shared" ref="DF308:DG308" si="844">SUBSTITUTE(S308,"-","")</f>
        <v>SRGM</v>
      </c>
      <c r="DG308" s="301" t="str">
        <f t="shared" si="844"/>
        <v>PDNS</v>
      </c>
      <c r="DH308" s="302" t="str">
        <f t="shared" si="38"/>
        <v>Bilawal</v>
      </c>
      <c r="DI308" s="301" t="str">
        <f t="shared" si="39"/>
        <v>Hemi.</v>
      </c>
      <c r="DJ308" s="364" t="str">
        <f t="shared" si="40"/>
        <v>-</v>
      </c>
      <c r="DK308" s="306" t="str">
        <f t="shared" si="41"/>
        <v>Bilawal</v>
      </c>
      <c r="DL308" s="366" t="str">
        <f t="shared" si="42"/>
        <v>-</v>
      </c>
      <c r="DM308" s="308" t="str">
        <f t="shared" si="43"/>
        <v>-</v>
      </c>
      <c r="DN308" s="306" t="str">
        <f t="shared" si="44"/>
        <v>✔</v>
      </c>
      <c r="DO308" s="306" t="str">
        <f t="shared" si="45"/>
        <v>-</v>
      </c>
      <c r="DP308" s="367" t="str">
        <f t="shared" si="46"/>
        <v>-</v>
      </c>
      <c r="DQ308" s="310" t="str">
        <f t="shared" si="47"/>
        <v>-</v>
      </c>
      <c r="DR308" s="310" t="str">
        <f t="shared" si="48"/>
        <v>-</v>
      </c>
      <c r="DS308" s="310" t="str">
        <f t="shared" si="49"/>
        <v>-</v>
      </c>
      <c r="DT308" s="310" t="str">
        <f t="shared" si="50"/>
        <v>-</v>
      </c>
      <c r="DU308" s="370" t="str">
        <f t="shared" si="51"/>
        <v>-</v>
      </c>
      <c r="DV308" s="306" t="str">
        <f t="shared" si="52"/>
        <v>-</v>
      </c>
      <c r="DW308" s="306" t="str">
        <f t="shared" si="53"/>
        <v>-</v>
      </c>
      <c r="DX308" s="306" t="str">
        <f t="shared" si="54"/>
        <v>-</v>
      </c>
      <c r="DY308" s="306" t="str">
        <f t="shared" si="55"/>
        <v>-</v>
      </c>
      <c r="DZ308" s="306" t="str">
        <f t="shared" si="56"/>
        <v>-</v>
      </c>
      <c r="EA308" s="367" t="str">
        <f t="shared" si="57"/>
        <v>-</v>
      </c>
      <c r="EB308" s="310" t="str">
        <f>IFERROR(__xludf.DUMMYFUNCTION("IF(REGEXMATCH(AW308,AS308),""✔"",""-"")"),"✔")</f>
        <v>✔</v>
      </c>
      <c r="EC308" s="310" t="str">
        <f t="shared" si="58"/>
        <v>#REF!</v>
      </c>
      <c r="ED308" s="370" t="str">
        <f t="shared" si="59"/>
        <v>-</v>
      </c>
      <c r="EE308" s="340" t="str">
        <f t="shared" si="60"/>
        <v>S-R-G-m-P-D-N-S</v>
      </c>
      <c r="EF308" s="371" t="str">
        <f>IFERROR(__xludf.DUMMYFUNCTION("CONCATENATE(JOIN("""",HC308:HO308))"),"SrgmPdnS")</f>
        <v>SrgmPdnS</v>
      </c>
      <c r="EG308" s="372">
        <f t="shared" si="61"/>
        <v>1</v>
      </c>
      <c r="EH308" s="373" t="str">
        <f>IFERROR(__xludf.DUMMYFUNCTION("CONCATENATE(JOIN("""",JC308:JO308))"),"Ni, ")</f>
        <v>Ni, </v>
      </c>
      <c r="EI308" s="322">
        <f t="shared" si="62"/>
        <v>0</v>
      </c>
      <c r="EJ308" s="374" t="str">
        <f>IFERROR(__xludf.DUMMYFUNCTION("CONCATENATE(JOIN("""",KC308:KO308))"),"")</f>
        <v/>
      </c>
      <c r="EK308" s="325" t="str">
        <f t="shared" si="63"/>
        <v>S-R2-G3-M1-P-D2-N3-S</v>
      </c>
      <c r="EL308" s="326" t="str">
        <f t="shared" si="64"/>
        <v>1-2-3-4-5-6-7-8</v>
      </c>
      <c r="EM308" s="318" t="str">
        <f t="shared" si="65"/>
        <v>#REF!</v>
      </c>
      <c r="EN308" s="328" t="str">
        <f>IFERROR(__xludf.DUMMYFUNCTION("SUBSTITUTE(SUBSTITUTE(SUBSTITUTE(SUBSTITUTE(CONCATENATE(JOIN("" "",HP308:IB308)),""  "","" ""),""  "","" ""),""  "","" ""),""  "","" "")"),"o • o • o o • o • o • o o")</f>
        <v>o • o • o o • o • o • o o</v>
      </c>
      <c r="EO308" s="368" t="str">
        <f t="shared" si="66"/>
        <v>-</v>
      </c>
      <c r="EP308" s="339" t="str">
        <f t="shared" si="67"/>
        <v>-</v>
      </c>
      <c r="EQ308" s="339" t="str">
        <f t="shared" si="68"/>
        <v>Sa-Pa</v>
      </c>
      <c r="ER308" s="339" t="str">
        <f t="shared" si="69"/>
        <v>-</v>
      </c>
      <c r="ES308" s="340" t="str">
        <f t="shared" si="70"/>
        <v>-</v>
      </c>
      <c r="ET308" s="363"/>
      <c r="EU308" s="376" t="b">
        <f>IFERROR(__xludf.DUMMYFUNCTION("arrayformula(sum(--REGEXMATCH(""SRGMPDNS"",split(REGEXREPLACE(C308,""(.)"",""$1~""),""~""))))=len(C308)
"),FALSE)</f>
        <v>0</v>
      </c>
      <c r="EV308" s="290" t="b">
        <f>IFERROR(__xludf.DUMMYFUNCTION("arrayformula(sum(--REGEXMATCH(""SRGmPDNS"",split(REGEXREPLACE(C308,""(.)"",""$1~""),""~""))))=len(C308)"),TRUE)</f>
        <v>1</v>
      </c>
      <c r="EW308" s="290" t="b">
        <f>IFERROR(__xludf.DUMMYFUNCTION("arrayformula(sum(--REGEXMATCH(""SRGmPDnS"",split(REGEXREPLACE(C308,""(.)"",""$1~""),""~""))))=len(C308)"),FALSE)</f>
        <v>0</v>
      </c>
      <c r="EX308" s="290" t="b">
        <f>IFERROR(__xludf.DUMMYFUNCTION("arrayformula(sum(--REGEXMATCH(""SRgmPDnS"",split(REGEXREPLACE(C308,""(.)"",""$1~""),""~""))))=len(C308)"),FALSE)</f>
        <v>0</v>
      </c>
      <c r="EY308" s="290" t="b">
        <f>IFERROR(__xludf.DUMMYFUNCTION("arrayformula(sum(--REGEXMATCH(""SRgmPdnS"",split(REGEXREPLACE(C308,""(.)"",""$1~""),""~""))))=len(C308)"),FALSE)</f>
        <v>0</v>
      </c>
      <c r="EZ308" s="290" t="b">
        <f>IFERROR(__xludf.DUMMYFUNCTION("arrayformula(sum(--REGEXMATCH(""SrgmPdnS"",split(REGEXREPLACE(C308,""(.)"",""$1~""),""~""))))=len(C308)"),FALSE)</f>
        <v>0</v>
      </c>
      <c r="FA308" s="290" t="b">
        <f>IFERROR(__xludf.DUMMYFUNCTION("arrayformula(sum(--REGEXMATCH(""SrGmPdNS"",split(REGEXREPLACE(C308,""(.)"",""$1~""),""~""))))=len(C308)"),FALSE)</f>
        <v>0</v>
      </c>
      <c r="FB308" s="290" t="b">
        <f>IFERROR(__xludf.DUMMYFUNCTION("arrayformula(sum(--REGEXMATCH(""SrGMPDNS"",split(REGEXREPLACE(C308,""(.)"",""$1~""),""~""))))=len(C308)"),FALSE)</f>
        <v>0</v>
      </c>
      <c r="FC308" s="290" t="b">
        <f>IFERROR(__xludf.DUMMYFUNCTION("arrayformula(sum(--REGEXMATCH(""SrGMPdNS"",split(REGEXREPLACE(C308,""(.)"",""$1~""),""~""))))=len(C308)"),FALSE)</f>
        <v>0</v>
      </c>
      <c r="FD308" s="377" t="b">
        <f>IFERROR(__xludf.DUMMYFUNCTION("arrayformula(sum(--REGEXMATCH(""SrgMPdNS"",split(REGEXREPLACE(C308,""(.)"",""$1~""),""~""))))=len(C308)"),FALSE)</f>
        <v>0</v>
      </c>
      <c r="FE308" s="269" t="str">
        <f t="shared" si="71"/>
        <v>-</v>
      </c>
      <c r="FF308" s="269" t="str">
        <f t="shared" si="72"/>
        <v>xoxxoxoxoxx</v>
      </c>
      <c r="FG308" s="271" t="str">
        <f t="shared" si="73"/>
        <v>-</v>
      </c>
      <c r="FH308" s="269" t="str">
        <f t="shared" si="74"/>
        <v>xxoxoxoxxox</v>
      </c>
      <c r="FI308" s="271" t="str">
        <f t="shared" si="75"/>
        <v>xoxoxoxxoxo</v>
      </c>
      <c r="FJ308" s="271" t="str">
        <f t="shared" si="76"/>
        <v>-</v>
      </c>
      <c r="FK308" s="271" t="str">
        <f t="shared" si="77"/>
        <v>xoxoxxoxoxx</v>
      </c>
      <c r="FL308" s="271" t="str">
        <f t="shared" si="78"/>
        <v>-</v>
      </c>
      <c r="FM308" s="271" t="str">
        <f t="shared" si="79"/>
        <v>xoxxoxoxxox</v>
      </c>
      <c r="FN308" s="271" t="str">
        <f t="shared" si="80"/>
        <v>-</v>
      </c>
      <c r="FO308" s="274" t="str">
        <f t="shared" si="81"/>
        <v>xxoxoxxoxox</v>
      </c>
      <c r="FP308" s="234" t="str">
        <f t="shared" si="82"/>
        <v>|</v>
      </c>
      <c r="FQ308" s="236" t="str">
        <f t="shared" si="83"/>
        <v>-</v>
      </c>
      <c r="FR308" s="237" t="str">
        <f t="shared" si="84"/>
        <v>|</v>
      </c>
      <c r="FS308" s="236" t="str">
        <f t="shared" si="85"/>
        <v>-</v>
      </c>
      <c r="FT308" s="237" t="str">
        <f t="shared" si="86"/>
        <v>|</v>
      </c>
      <c r="FU308" s="236" t="str">
        <f t="shared" si="87"/>
        <v>|</v>
      </c>
      <c r="FV308" s="237" t="str">
        <f t="shared" si="88"/>
        <v>-</v>
      </c>
      <c r="FW308" s="236" t="str">
        <f t="shared" si="89"/>
        <v>|</v>
      </c>
      <c r="FX308" s="237" t="str">
        <f t="shared" si="90"/>
        <v>-</v>
      </c>
      <c r="FY308" s="236" t="str">
        <f t="shared" si="91"/>
        <v>|</v>
      </c>
      <c r="FZ308" s="237" t="str">
        <f t="shared" si="92"/>
        <v>-</v>
      </c>
      <c r="GA308" s="236" t="str">
        <f t="shared" si="93"/>
        <v>|</v>
      </c>
      <c r="GB308" s="238" t="str">
        <f t="shared" si="94"/>
        <v>|</v>
      </c>
      <c r="GC308" s="244" t="str">
        <f>IFERROR(__xludf.DUMMYFUNCTION("IF(REGEXMATCH(C308, ""S""), ""1"","""")"),"1")</f>
        <v>1</v>
      </c>
      <c r="GD308" s="245" t="str">
        <f>IFERROR(__xludf.DUMMYFUNCTION("IF(REGEXMATCH(C308, ""r""), ""b2"","""")"),"")</f>
        <v/>
      </c>
      <c r="GE308" s="246" t="str">
        <f>IFERROR(__xludf.DUMMYFUNCTION("IF(REGEXMATCH(C308, ""R""), ""2"","""")"),"2")</f>
        <v>2</v>
      </c>
      <c r="GF308" s="246" t="str">
        <f>IFERROR(__xludf.DUMMYFUNCTION("IF(REGEXMATCH(C308, ""g""), ""b3"","""")"),"")</f>
        <v/>
      </c>
      <c r="GG308" s="245" t="str">
        <f>IFERROR(__xludf.DUMMYFUNCTION("IF(REGEXMATCH(C308, ""G""), ""3"","""")"),"3")</f>
        <v>3</v>
      </c>
      <c r="GH308" s="245" t="str">
        <f>IFERROR(__xludf.DUMMYFUNCTION("IF(REGEXMATCH(C308, ""m""), ""4"","""")"),"4")</f>
        <v>4</v>
      </c>
      <c r="GI308" s="246" t="str">
        <f>IFERROR(__xludf.DUMMYFUNCTION("IF(REGEXMATCH(C308, ""M""), ""#4"","""")"),"")</f>
        <v/>
      </c>
      <c r="GJ308" s="245" t="str">
        <f>IFERROR(__xludf.DUMMYFUNCTION("IF(REGEXMATCH(C308, ""P""), ""5"","""")"),"5")</f>
        <v>5</v>
      </c>
      <c r="GK308" s="246" t="str">
        <f>IFERROR(__xludf.DUMMYFUNCTION("IF(REGEXMATCH(C308, ""d""), ""b6"","""")"),"")</f>
        <v/>
      </c>
      <c r="GL308" s="245" t="str">
        <f>IFERROR(__xludf.DUMMYFUNCTION("IF(REGEXMATCH(C308, ""D""), ""6"","""")"),"6")</f>
        <v>6</v>
      </c>
      <c r="GM308" s="245" t="str">
        <f>IFERROR(__xludf.DUMMYFUNCTION("IF(REGEXMATCH(C308, ""n""), ""b7"","""")"),"")</f>
        <v/>
      </c>
      <c r="GN308" s="246" t="str">
        <f>IFERROR(__xludf.DUMMYFUNCTION("IF(REGEXMATCH(C308, ""N""), ""7"","""")"),"7")</f>
        <v>7</v>
      </c>
      <c r="GO308" s="249" t="str">
        <f>IFERROR(__xludf.DUMMYFUNCTION("IF(REGEXMATCH(C308, ""S""), ""8"","""")"),"8")</f>
        <v>8</v>
      </c>
      <c r="GP308" s="244" t="str">
        <f>IFERROR(__xludf.DUMMYFUNCTION("IF(REGEXMATCH(C308, ""S""), ""S"","""")"),"S")</f>
        <v>S</v>
      </c>
      <c r="GQ308" s="294" t="str">
        <f>IFERROR(__xludf.DUMMYFUNCTION("IF(REGEXMATCH(C308, ""r""), ""R1"","""")"),"")</f>
        <v/>
      </c>
      <c r="GR308" s="295" t="str">
        <f>IFERROR(__xludf.DUMMYFUNCTION("IF(REGEXMATCH(C308, ""R""), ""R2"","""")"),"R2")</f>
        <v>R2</v>
      </c>
      <c r="GS308" s="295" t="str">
        <f>IFERROR(__xludf.DUMMYFUNCTION("IF(REGEXMATCH(C308, ""g""), ""G2"","""")"),"")</f>
        <v/>
      </c>
      <c r="GT308" s="294" t="str">
        <f>IFERROR(__xludf.DUMMYFUNCTION("IF(REGEXMATCH(C308, ""G""), ""G3"","""")"),"G3")</f>
        <v>G3</v>
      </c>
      <c r="GU308" s="294" t="str">
        <f>IFERROR(__xludf.DUMMYFUNCTION("IF(REGEXMATCH(C308, ""m""), ""M1"","""")"),"M1")</f>
        <v>M1</v>
      </c>
      <c r="GV308" s="295" t="str">
        <f>IFERROR(__xludf.DUMMYFUNCTION("IF(REGEXMATCH(C308, ""M""), ""M2"","""")"),"")</f>
        <v/>
      </c>
      <c r="GW308" s="294" t="str">
        <f>IFERROR(__xludf.DUMMYFUNCTION("IF(REGEXMATCH(C308, ""P""), ""P"","""")"),"P")</f>
        <v>P</v>
      </c>
      <c r="GX308" s="295" t="str">
        <f>IFERROR(__xludf.DUMMYFUNCTION("IF(REGEXMATCH(C308, ""d""), ""D1"","""")"),"")</f>
        <v/>
      </c>
      <c r="GY308" s="294" t="str">
        <f>IFERROR(__xludf.DUMMYFUNCTION("IF(REGEXMATCH(C308, ""D""), ""D2"","""")"),"D2")</f>
        <v>D2</v>
      </c>
      <c r="GZ308" s="294" t="str">
        <f>IFERROR(__xludf.DUMMYFUNCTION("IF(REGEXMATCH(C308, ""n""), ""N2"","""")"),"")</f>
        <v/>
      </c>
      <c r="HA308" s="295" t="str">
        <f>IFERROR(__xludf.DUMMYFUNCTION("IF(REGEXMATCH(C308, ""N""), ""N3"","""")"),"N3")</f>
        <v>N3</v>
      </c>
      <c r="HB308" s="249" t="str">
        <f>IFERROR(__xludf.DUMMYFUNCTION("IF(REGEXMATCH(C308, ""S""), ""S"","""")"),"S")</f>
        <v>S</v>
      </c>
      <c r="HC308" s="331" t="str">
        <f t="shared" si="95"/>
        <v>S</v>
      </c>
      <c r="HD308" s="332" t="str">
        <f t="shared" si="96"/>
        <v>r</v>
      </c>
      <c r="HE308" s="332" t="str">
        <f t="shared" si="97"/>
        <v/>
      </c>
      <c r="HF308" s="332" t="str">
        <f t="shared" si="98"/>
        <v>g</v>
      </c>
      <c r="HG308" s="332" t="str">
        <f t="shared" si="99"/>
        <v/>
      </c>
      <c r="HH308" s="332" t="str">
        <f t="shared" si="100"/>
        <v>m</v>
      </c>
      <c r="HI308" s="332" t="str">
        <f t="shared" si="101"/>
        <v/>
      </c>
      <c r="HJ308" s="332" t="str">
        <f t="shared" si="102"/>
        <v>P</v>
      </c>
      <c r="HK308" s="332" t="str">
        <f t="shared" si="103"/>
        <v>d</v>
      </c>
      <c r="HL308" s="332" t="str">
        <f t="shared" si="104"/>
        <v/>
      </c>
      <c r="HM308" s="332" t="str">
        <f t="shared" si="105"/>
        <v>n</v>
      </c>
      <c r="HN308" s="332" t="str">
        <f t="shared" si="106"/>
        <v/>
      </c>
      <c r="HO308" s="343" t="str">
        <f t="shared" si="107"/>
        <v>S</v>
      </c>
      <c r="HP308" s="331" t="str">
        <f t="shared" si="108"/>
        <v>o</v>
      </c>
      <c r="HQ308" s="332" t="str">
        <f t="shared" si="109"/>
        <v>•</v>
      </c>
      <c r="HR308" s="332" t="str">
        <f t="shared" si="110"/>
        <v>o</v>
      </c>
      <c r="HS308" s="332" t="str">
        <f t="shared" si="111"/>
        <v>•</v>
      </c>
      <c r="HT308" s="332" t="str">
        <f t="shared" si="112"/>
        <v>o</v>
      </c>
      <c r="HU308" s="332" t="str">
        <f t="shared" si="113"/>
        <v>o</v>
      </c>
      <c r="HV308" s="332" t="str">
        <f t="shared" si="114"/>
        <v>•</v>
      </c>
      <c r="HW308" s="332" t="str">
        <f t="shared" si="115"/>
        <v>o</v>
      </c>
      <c r="HX308" s="332" t="str">
        <f t="shared" si="116"/>
        <v>•</v>
      </c>
      <c r="HY308" s="332" t="str">
        <f t="shared" si="117"/>
        <v>o</v>
      </c>
      <c r="HZ308" s="332" t="str">
        <f t="shared" si="118"/>
        <v>•</v>
      </c>
      <c r="IA308" s="332" t="str">
        <f t="shared" si="119"/>
        <v>o</v>
      </c>
      <c r="IB308" s="338" t="str">
        <f t="shared" si="120"/>
        <v>o</v>
      </c>
      <c r="IC308" s="331" t="str">
        <f t="shared" si="121"/>
        <v>•</v>
      </c>
      <c r="ID308" s="332" t="str">
        <f t="shared" si="122"/>
        <v>o</v>
      </c>
      <c r="IE308" s="332" t="str">
        <f t="shared" si="123"/>
        <v>•</v>
      </c>
      <c r="IF308" s="332" t="str">
        <f t="shared" si="124"/>
        <v>o</v>
      </c>
      <c r="IG308" s="332" t="str">
        <f t="shared" si="125"/>
        <v>•</v>
      </c>
      <c r="IH308" s="332" t="str">
        <f t="shared" si="126"/>
        <v>•</v>
      </c>
      <c r="II308" s="332" t="str">
        <f t="shared" si="127"/>
        <v>o</v>
      </c>
      <c r="IJ308" s="332" t="str">
        <f t="shared" si="128"/>
        <v>•</v>
      </c>
      <c r="IK308" s="332" t="str">
        <f t="shared" si="129"/>
        <v>o</v>
      </c>
      <c r="IL308" s="332" t="str">
        <f t="shared" si="130"/>
        <v>•</v>
      </c>
      <c r="IM308" s="332" t="str">
        <f t="shared" si="131"/>
        <v>o</v>
      </c>
      <c r="IN308" s="332" t="str">
        <f t="shared" si="132"/>
        <v>•</v>
      </c>
      <c r="IO308" s="338" t="str">
        <f t="shared" si="133"/>
        <v>•</v>
      </c>
      <c r="IP308" s="346" t="b">
        <f t="shared" si="134"/>
        <v>0</v>
      </c>
      <c r="IQ308" s="347" t="b">
        <f t="shared" si="135"/>
        <v>0</v>
      </c>
      <c r="IR308" s="347" t="b">
        <f t="shared" si="136"/>
        <v>0</v>
      </c>
      <c r="IS308" s="347" t="b">
        <f t="shared" si="137"/>
        <v>0</v>
      </c>
      <c r="IT308" s="347" t="b">
        <f t="shared" si="138"/>
        <v>0</v>
      </c>
      <c r="IU308" s="347" t="b">
        <f t="shared" si="139"/>
        <v>0</v>
      </c>
      <c r="IV308" s="347" t="b">
        <f t="shared" si="140"/>
        <v>0</v>
      </c>
      <c r="IW308" s="347" t="b">
        <f t="shared" si="141"/>
        <v>0</v>
      </c>
      <c r="IX308" s="347" t="b">
        <f t="shared" si="142"/>
        <v>0</v>
      </c>
      <c r="IY308" s="347" t="b">
        <f t="shared" si="143"/>
        <v>0</v>
      </c>
      <c r="IZ308" s="347" t="b">
        <f t="shared" si="144"/>
        <v>0</v>
      </c>
      <c r="JA308" s="347" t="b">
        <f t="shared" si="145"/>
        <v>1</v>
      </c>
      <c r="JB308" s="353" t="b">
        <f t="shared" si="146"/>
        <v>0</v>
      </c>
      <c r="JC308" s="354" t="str">
        <f t="shared" si="147"/>
        <v/>
      </c>
      <c r="JD308" s="355" t="str">
        <f t="shared" si="148"/>
        <v/>
      </c>
      <c r="JE308" s="355" t="str">
        <f t="shared" si="149"/>
        <v/>
      </c>
      <c r="JF308" s="355" t="str">
        <f t="shared" si="150"/>
        <v/>
      </c>
      <c r="JG308" s="355" t="str">
        <f t="shared" si="151"/>
        <v/>
      </c>
      <c r="JH308" s="355" t="str">
        <f t="shared" si="152"/>
        <v/>
      </c>
      <c r="JI308" s="355" t="str">
        <f t="shared" si="153"/>
        <v/>
      </c>
      <c r="JJ308" s="355" t="str">
        <f t="shared" si="154"/>
        <v/>
      </c>
      <c r="JK308" s="355" t="str">
        <f t="shared" si="155"/>
        <v/>
      </c>
      <c r="JL308" s="355" t="str">
        <f t="shared" si="156"/>
        <v/>
      </c>
      <c r="JM308" s="355" t="str">
        <f t="shared" si="157"/>
        <v/>
      </c>
      <c r="JN308" s="355" t="str">
        <f t="shared" si="158"/>
        <v>Ni, </v>
      </c>
      <c r="JO308" s="359" t="str">
        <f t="shared" si="159"/>
        <v/>
      </c>
      <c r="JP308" s="346" t="b">
        <f t="shared" si="160"/>
        <v>0</v>
      </c>
      <c r="JQ308" s="347" t="b">
        <f t="shared" si="161"/>
        <v>0</v>
      </c>
      <c r="JR308" s="347" t="b">
        <f t="shared" si="162"/>
        <v>0</v>
      </c>
      <c r="JS308" s="347" t="b">
        <f t="shared" si="163"/>
        <v>0</v>
      </c>
      <c r="JT308" s="347" t="b">
        <f t="shared" si="164"/>
        <v>0</v>
      </c>
      <c r="JU308" s="347" t="b">
        <f t="shared" si="165"/>
        <v>0</v>
      </c>
      <c r="JV308" s="347" t="b">
        <f t="shared" si="166"/>
        <v>0</v>
      </c>
      <c r="JW308" s="347" t="b">
        <f t="shared" si="167"/>
        <v>0</v>
      </c>
      <c r="JX308" s="347" t="b">
        <f t="shared" si="168"/>
        <v>0</v>
      </c>
      <c r="JY308" s="347" t="b">
        <f t="shared" si="169"/>
        <v>0</v>
      </c>
      <c r="JZ308" s="347" t="b">
        <f t="shared" si="170"/>
        <v>0</v>
      </c>
      <c r="KA308" s="347" t="b">
        <f t="shared" si="171"/>
        <v>0</v>
      </c>
      <c r="KB308" s="365" t="b">
        <f t="shared" si="172"/>
        <v>0</v>
      </c>
      <c r="KC308" s="354" t="str">
        <f t="shared" si="173"/>
        <v/>
      </c>
      <c r="KD308" s="355" t="str">
        <f t="shared" si="174"/>
        <v/>
      </c>
      <c r="KE308" s="355" t="str">
        <f t="shared" si="175"/>
        <v/>
      </c>
      <c r="KF308" s="355" t="str">
        <f t="shared" si="176"/>
        <v/>
      </c>
      <c r="KG308" s="355" t="str">
        <f t="shared" si="177"/>
        <v/>
      </c>
      <c r="KH308" s="355" t="str">
        <f t="shared" si="178"/>
        <v/>
      </c>
      <c r="KI308" s="355" t="str">
        <f t="shared" si="179"/>
        <v/>
      </c>
      <c r="KJ308" s="355" t="str">
        <f t="shared" si="180"/>
        <v/>
      </c>
      <c r="KK308" s="355" t="str">
        <f t="shared" si="181"/>
        <v/>
      </c>
      <c r="KL308" s="355" t="str">
        <f t="shared" si="182"/>
        <v/>
      </c>
      <c r="KM308" s="355" t="str">
        <f t="shared" si="183"/>
        <v/>
      </c>
      <c r="KN308" s="355" t="str">
        <f t="shared" si="184"/>
        <v/>
      </c>
      <c r="KO308" s="359"/>
      <c r="KP308" s="378"/>
      <c r="KQ308" s="379" t="s">
        <v>9</v>
      </c>
      <c r="KR308" s="380" t="s">
        <v>1256</v>
      </c>
      <c r="KS308" s="381" t="s">
        <v>9</v>
      </c>
      <c r="KT308" s="382">
        <f t="shared" si="186"/>
        <v>0</v>
      </c>
      <c r="KU308" s="383">
        <f t="shared" si="187"/>
        <v>0</v>
      </c>
      <c r="KV308" s="381" t="str">
        <f t="shared" si="205"/>
        <v>S-n-D-P-m-G-R-S</v>
      </c>
      <c r="KW308" s="382">
        <f t="shared" si="189"/>
        <v>7</v>
      </c>
      <c r="KX308" s="384">
        <f t="shared" si="190"/>
        <v>7</v>
      </c>
      <c r="KY308" s="382">
        <f t="shared" ref="KY308:KZ308" si="845">KW308-KT308</f>
        <v>7</v>
      </c>
      <c r="KZ308" s="369">
        <f t="shared" si="845"/>
        <v>7</v>
      </c>
      <c r="LA308" s="385" t="str">
        <f t="shared" si="192"/>
        <v>-</v>
      </c>
      <c r="LB308" s="340" t="str">
        <f>IFERROR(__xludf.DUMMYFUNCTION("JOIN("""",ArrayFormula(MID(KS308,LEN(KS308)-SEQUENCE(1,LEN(KS308))+1,1)))"),"S")</f>
        <v>S</v>
      </c>
      <c r="LC308" s="373" t="str">
        <f>IFERROR(__xludf.DUMMYFUNCTION("JOIN("""",ArrayFormula(MID(KV308,LEN(KV308)-SEQUENCE(1,LEN(KV308))+1,1)))"),"S-R-G-m-P-D-n-S")</f>
        <v>S-R-G-m-P-D-n-S</v>
      </c>
      <c r="LD308" s="373" t="str">
        <f t="shared" si="193"/>
        <v>S</v>
      </c>
      <c r="LE308" s="339" t="str">
        <f t="shared" si="194"/>
        <v>SRGmPDnS</v>
      </c>
      <c r="LF308" s="386" t="str">
        <f>IFERROR(__xludf.DUMMYFUNCTION("SUBSTITUTE(SUBSTITUTE(CONCATENATE(JOIN("""",LH308:LT308)),""1"",""""),""2"","""")"),"SRGmPDnS")</f>
        <v>SRGmPDnS</v>
      </c>
      <c r="LG308" s="369" t="str">
        <f t="shared" si="195"/>
        <v>✔</v>
      </c>
      <c r="LH308" s="387" t="str">
        <f>IFERROR(__xludf.DUMMYFUNCTION("IF(REGEXMATCH(LD308, ""S""), ""S"",IF(REGEXMATCH(LE308, ""S""), ""S"",""""))"),"S")</f>
        <v>S</v>
      </c>
      <c r="LI308" s="299" t="str">
        <f>IFERROR(__xludf.DUMMYFUNCTION("IF(REGEXMATCH(LD308, ""r""), ""r1"",IF(REGEXMATCH(LE308, ""r""), ""r2"",""""))"),"")</f>
        <v/>
      </c>
      <c r="LJ308" s="299" t="str">
        <f>IFERROR(__xludf.DUMMYFUNCTION("IF(REGEXMATCH(LD308, ""R""), ""R1"",IF(REGEXMATCH(LE308, ""R""), ""R2"",""""))"),"R2")</f>
        <v>R2</v>
      </c>
      <c r="LK308" s="299" t="str">
        <f>IFERROR(__xludf.DUMMYFUNCTION("IF(REGEXMATCH(LD308, ""g""), ""g1"",IF(REGEXMATCH(LE308, ""g""), ""g2"",""""))"),"")</f>
        <v/>
      </c>
      <c r="LL308" s="299" t="str">
        <f>IFERROR(__xludf.DUMMYFUNCTION("IF(REGEXMATCH(LD308, ""G""), ""G1"",IF(REGEXMATCH(LE308, ""G""), ""G2"",""""))"),"G2")</f>
        <v>G2</v>
      </c>
      <c r="LM308" s="299" t="str">
        <f>IFERROR(__xludf.DUMMYFUNCTION("IF(REGEXMATCH(LD308, ""m""), ""m1"",IF(REGEXMATCH(LE308, ""m""), ""m2"",""""))"),"m2")</f>
        <v>m2</v>
      </c>
      <c r="LN308" s="299" t="str">
        <f>IFERROR(__xludf.DUMMYFUNCTION("IF(REGEXMATCH(LD308, ""M""), ""M1"",IF(REGEXMATCH(LE308, ""M""), ""M2"",""""))"),"")</f>
        <v/>
      </c>
      <c r="LO308" s="299" t="str">
        <f>IFERROR(__xludf.DUMMYFUNCTION("IF(REGEXMATCH(LD308, ""P""), ""P1"",IF(REGEXMATCH(LE308, ""P""), ""P2"",""""))"),"P2")</f>
        <v>P2</v>
      </c>
      <c r="LP308" s="299" t="str">
        <f>IFERROR(__xludf.DUMMYFUNCTION("IF(REGEXMATCH(LD308, ""d""), ""d1"",IF(REGEXMATCH(LE308, ""d""), ""d2"",""""))"),"")</f>
        <v/>
      </c>
      <c r="LQ308" s="299" t="str">
        <f>IFERROR(__xludf.DUMMYFUNCTION("IF(REGEXMATCH(LD308, ""D""), ""D1"",IF(REGEXMATCH(LE308, ""D""), ""D2"",""""))"),"D2")</f>
        <v>D2</v>
      </c>
      <c r="LR308" s="299" t="str">
        <f>IFERROR(__xludf.DUMMYFUNCTION("IF(REGEXMATCH(LD308, ""n""), ""n1"",IF(REGEXMATCH(LE308, ""n""), ""n2"",""""))"),"n2")</f>
        <v>n2</v>
      </c>
      <c r="LS308" s="299" t="str">
        <f>IFERROR(__xludf.DUMMYFUNCTION("IF(REGEXMATCH(LD308, ""N""), ""N1"",IF(REGEXMATCH(LE308, ""N""), ""N2"",""""))"),"")</f>
        <v/>
      </c>
      <c r="LT308" s="388" t="str">
        <f>IFERROR(__xludf.DUMMYFUNCTION("IF(REGEXMATCH(LD308, ""S""), ""S"",IF(REGEXMATCH(LE308, ""S""), ""S"",""""))"),"S")</f>
        <v>S</v>
      </c>
      <c r="LU308" s="389">
        <f t="shared" si="196"/>
        <v>-13</v>
      </c>
      <c r="LV308" s="378"/>
      <c r="LW308" s="369"/>
      <c r="LX308" s="369"/>
    </row>
    <row r="309" ht="18.0" customHeight="1">
      <c r="A309" s="298" t="s">
        <v>1139</v>
      </c>
      <c r="B309" s="222" t="s">
        <v>912</v>
      </c>
      <c r="C309" s="233" t="str">
        <f t="shared" si="7"/>
        <v>SrGmMPdDNS</v>
      </c>
      <c r="D309" s="234" t="str">
        <f>IFERROR(__xludf.DUMMYFUNCTION("IF(REGEXMATCH(C309, ""S""), ""S"","""")"),"S")</f>
        <v>S</v>
      </c>
      <c r="E309" s="236" t="str">
        <f>IFERROR(__xludf.DUMMYFUNCTION("IF(REGEXMATCH(C309, ""r""), ""r"","""")"),"r")</f>
        <v>r</v>
      </c>
      <c r="F309" s="237" t="str">
        <f>IFERROR(__xludf.DUMMYFUNCTION("IF(REGEXMATCH(C309, ""R""), ""R"","""")"),"")</f>
        <v/>
      </c>
      <c r="G309" s="237" t="str">
        <f>IFERROR(__xludf.DUMMYFUNCTION("IF(REGEXMATCH(C309, ""g""), ""g"","""")"),"")</f>
        <v/>
      </c>
      <c r="H309" s="236" t="str">
        <f>IFERROR(__xludf.DUMMYFUNCTION("IF(REGEXMATCH(C309, ""G""), ""G"","""")"),"G")</f>
        <v>G</v>
      </c>
      <c r="I309" s="236" t="str">
        <f>IFERROR(__xludf.DUMMYFUNCTION("IF(REGEXMATCH(C309, ""m""), ""m"","""")"),"m")</f>
        <v>m</v>
      </c>
      <c r="J309" s="237" t="str">
        <f>IFERROR(__xludf.DUMMYFUNCTION("IF(REGEXMATCH(C309, ""M""), ""M"","""")"),"M")</f>
        <v>M</v>
      </c>
      <c r="K309" s="236" t="str">
        <f>IFERROR(__xludf.DUMMYFUNCTION("IF(REGEXMATCH(C309, ""P""), ""P"","""")"),"P")</f>
        <v>P</v>
      </c>
      <c r="L309" s="237" t="str">
        <f>IFERROR(__xludf.DUMMYFUNCTION("IF(REGEXMATCH(C309, ""d""), ""d"","""")"),"d")</f>
        <v>d</v>
      </c>
      <c r="M309" s="236" t="str">
        <f>IFERROR(__xludf.DUMMYFUNCTION("IF(REGEXMATCH(C309, ""D""), ""D"","""")"),"D")</f>
        <v>D</v>
      </c>
      <c r="N309" s="236" t="str">
        <f>IFERROR(__xludf.DUMMYFUNCTION("IF(REGEXMATCH(C309, ""n""), ""n"","""")"),"")</f>
        <v/>
      </c>
      <c r="O309" s="237" t="str">
        <f>IFERROR(__xludf.DUMMYFUNCTION("IF(REGEXMATCH(C309, ""N""), ""N"","""")"),"N")</f>
        <v>N</v>
      </c>
      <c r="P309" s="238" t="str">
        <f>IFERROR(__xludf.DUMMYFUNCTION("IF(REGEXMATCH(C309, ""S""), ""S"","""")"),"S")</f>
        <v>S</v>
      </c>
      <c r="Q309" s="239" t="str">
        <f>IFERROR(__xludf.DUMMYFUNCTION("SUBSTITUTE(CONCATENATE(JOIN(""-"",D309:J309)),""-"","""")"),"SrGmM")</f>
        <v>SrGmM</v>
      </c>
      <c r="R309" s="229" t="str">
        <f>IFERROR(__xludf.DUMMYFUNCTION("SUBSTITUTE(CONCATENATE(JOIN(""-"",K309:P309)),""-"","""")"),"PdDNS")</f>
        <v>PdDNS</v>
      </c>
      <c r="S309" s="282" t="str">
        <f t="shared" si="8"/>
        <v>S-R-G-M</v>
      </c>
      <c r="T309" s="282" t="str">
        <f t="shared" si="9"/>
        <v>P-D-N-S</v>
      </c>
      <c r="U309" s="237" t="str">
        <f>IFERROR(__xludf.DUMMYFUNCTION("SUBSTITUTE(JOIN(""-"",S309,T309),""--"",""-"")"),"S-R-G-M-P-D-N-S")</f>
        <v>S-R-G-M-P-D-N-S</v>
      </c>
      <c r="V309" s="309" t="str">
        <f t="shared" si="10"/>
        <v>rGmMdDN</v>
      </c>
      <c r="W309" s="244" t="str">
        <f>IFERROR(__xludf.DUMMYFUNCTION("IF(REGEXMATCH(C309, ""S""), ""0"","""")"),"0")</f>
        <v>0</v>
      </c>
      <c r="X309" s="245" t="str">
        <f>IFERROR(__xludf.DUMMYFUNCTION("IF(REGEXMATCH(C309, ""r""), ""1"","""")"),"1")</f>
        <v>1</v>
      </c>
      <c r="Y309" s="246" t="str">
        <f>IFERROR(__xludf.DUMMYFUNCTION("IF(REGEXMATCH(C309, ""R""), ""2"","""")"),"")</f>
        <v/>
      </c>
      <c r="Z309" s="246" t="str">
        <f>IFERROR(__xludf.DUMMYFUNCTION("IF(REGEXMATCH(C309, ""g""), ""3"","""")"),"")</f>
        <v/>
      </c>
      <c r="AA309" s="245" t="str">
        <f>IFERROR(__xludf.DUMMYFUNCTION("IF(REGEXMATCH(C309, ""G""), ""4"","""")"),"4")</f>
        <v>4</v>
      </c>
      <c r="AB309" s="245" t="str">
        <f>IFERROR(__xludf.DUMMYFUNCTION("IF(REGEXMATCH(C309, ""m""), ""5"","""")"),"5")</f>
        <v>5</v>
      </c>
      <c r="AC309" s="246" t="str">
        <f>IFERROR(__xludf.DUMMYFUNCTION("IF(REGEXMATCH(C309, ""M""), ""6"","""")"),"6")</f>
        <v>6</v>
      </c>
      <c r="AD309" s="245" t="str">
        <f>IFERROR(__xludf.DUMMYFUNCTION("IF(REGEXMATCH(C309, ""P""), ""7"","""")"),"7")</f>
        <v>7</v>
      </c>
      <c r="AE309" s="246" t="str">
        <f>IFERROR(__xludf.DUMMYFUNCTION("IF(REGEXMATCH(C309, ""d""), ""8"","""")"),"8")</f>
        <v>8</v>
      </c>
      <c r="AF309" s="245" t="str">
        <f>IFERROR(__xludf.DUMMYFUNCTION("IF(REGEXMATCH(C309, ""D""), ""9"","""")"),"9")</f>
        <v>9</v>
      </c>
      <c r="AG309" s="245" t="str">
        <f>IFERROR(__xludf.DUMMYFUNCTION("IF(REGEXMATCH(C309, ""n""), ""10"","""")"),"")</f>
        <v/>
      </c>
      <c r="AH309" s="246" t="str">
        <f>IFERROR(__xludf.DUMMYFUNCTION("IF(REGEXMATCH(C309, ""N""), ""11"","""")"),"11")</f>
        <v>11</v>
      </c>
      <c r="AI309" s="249" t="str">
        <f>IFERROR(__xludf.DUMMYFUNCTION("IF(REGEXMATCH(C309, ""S""), ""0"","""")"),"0")</f>
        <v>0</v>
      </c>
      <c r="AJ309" s="313" t="str">
        <f t="shared" si="11"/>
        <v>T</v>
      </c>
      <c r="AK309" s="313" t="str">
        <f t="shared" si="12"/>
        <v>T</v>
      </c>
      <c r="AL309" s="313" t="str">
        <f t="shared" si="13"/>
        <v>-</v>
      </c>
      <c r="AM309" s="313" t="str">
        <f t="shared" si="14"/>
        <v>-</v>
      </c>
      <c r="AN309" s="313" t="str">
        <f t="shared" si="15"/>
        <v>-</v>
      </c>
      <c r="AO309" s="314" t="str">
        <f t="shared" si="16"/>
        <v>T</v>
      </c>
      <c r="AP309" s="316">
        <f t="shared" si="17"/>
        <v>3</v>
      </c>
      <c r="AQ309" s="319" t="str">
        <f t="shared" si="18"/>
        <v>-</v>
      </c>
      <c r="AR309" s="320">
        <f t="shared" si="19"/>
        <v>0</v>
      </c>
      <c r="AS309" s="250" t="str">
        <f>IFERROR(__xludf.DUMMYFUNCTION("SUBSTITUTE(SUBSTITUTE(CONCATENATE(JOIN("""",FP309:GA309)),""|"",""x""),""-"",""o"")"),"xxooxxxxxxox")</f>
        <v>xxooxxxxxxox</v>
      </c>
      <c r="AT309" s="323" t="str">
        <f>IFERROR(__xludf.DUMMYFUNCTION("JOIN("""",AS309,AS309)"),"xxooxxxxxxoxxxooxxxxxxox")</f>
        <v>xxooxxxxxxoxxxooxxxxxxox</v>
      </c>
      <c r="AU309" s="256" t="str">
        <f>IFERROR(__xludf.DUMMYFUNCTION("JOIN("""",ArrayFormula(MID(AS309,LEN(AS309)-SEQUENCE(1,LEN(AS309))+1,1)))"),"xoxxxxxxooxx")</f>
        <v>xoxxxxxxooxx</v>
      </c>
      <c r="AV309" s="256" t="str">
        <f>IFERROR(__xludf.DUMMYFUNCTION("LEFT(CONCATENATE(""x"",JOIN("""",ArrayFormula(MID(AS309,LEN(AS309)-SEQUENCE(1,LEN(AS309))+1,1)))),12)"),"xxoxxxxxxoox")</f>
        <v>xxoxxxxxxoox</v>
      </c>
      <c r="AW309" s="327" t="str">
        <f>IFERROR(__xludf.DUMMYFUNCTION("JOIN("""",AU309,AU309)"),"xoxxxxxxooxxxoxxxxxxooxx")</f>
        <v>xoxxxxxxooxxxoxxxxxxooxx</v>
      </c>
      <c r="AX309" s="239" t="str">
        <f>IFERROR(__xludf.DUMMYFUNCTION("IF(REGEXMATCH(AW309,AS309),""✔"",""-"")"),"-")</f>
        <v>-</v>
      </c>
      <c r="AY309" s="330" t="str">
        <f t="shared" si="20"/>
        <v>-</v>
      </c>
      <c r="AZ309" s="260" t="str">
        <f t="shared" si="21"/>
        <v>#REF!</v>
      </c>
      <c r="BA309" s="333" t="str">
        <f t="shared" si="22"/>
        <v>xxooxxx</v>
      </c>
      <c r="BB309" s="334" t="str">
        <f t="shared" si="23"/>
        <v>xxxoxx</v>
      </c>
      <c r="BC309" s="335" t="str">
        <f t="shared" si="236"/>
        <v>-</v>
      </c>
      <c r="BD309" s="336" t="str">
        <f t="shared" si="25"/>
        <v>Sazgiri: 'xxooxxx' + 'xxxoxx'</v>
      </c>
      <c r="BE309" s="337">
        <f>IFERROR(__xludf.DUMMYFUNCTION("COUNTUNIQUE(FILTER(AT:AT,REGEXMATCH(AT:AT,AS309)))-1"),0.0)</f>
        <v>0</v>
      </c>
      <c r="BF309" s="261" t="str">
        <f>IFERROR(__xludf.DUMMYFUNCTION("IF(BI309=0,""(n/a)"",IF(BJ309=2,""(PAIR)"",IF(REGEXMATCH(AT309,""xoxoxxoxoxox""),""Bilawal"",IF(REGEXMATCH(AT309,""xoxoxooxoxoo""),""Bhupali"",IF(REGEXMATCH(AT309,""xoxoxxoxxoxo""),""Charukeshi"",IF(REGEXMATCH(AT309,""xoxoooxxoxxo""),""Kameshwari"",IF(REG"&amp;"EXMATCH(AT309,""xoxoxooxoxox""),""Shankara"",IF(REGEXMATCH(AT309,""xxooxoxxxoox""),""Basant"",IF(REGEXMATCH(AT309,""xoxoxxxxoxox""),""Bihag"",IF(REGEXMATCH(AT309,""xoxxxxoxoxxx""),""Pilu"",IF(REGEXMATCH(AT309,""xoxxoxoxxoox""),""Kirwani"",IF(REGEXMATCH(AT"&amp;"309,""xoxxoxoxoxxx""),""Mk.Malhar"",IF(REGEXMATCH(AT309,""xxooxxoxxoox""),""Bhairav"",IF(REGEXMATCH(AT309,""xxoxooxxxoox""),""Todi"",IF(REGEXMATCH(AT309,""xxooxoxooxox""),""Marwa"",IF(REGEXMATCH(AT309,""xxoooxoxxooo""),""Gunkali"",IF(REGEXMATCH(AT309,""xo"&amp;"xoxxoxxoox""),""Nat Bhairav"",IF(REGEXMATCH(AT309,""xoxxoooxoxoo""),""Shivranjani"",IF(REGEXMATCH(AT309,""xooxxxoxooxo""),""Jog"",IF(REGEXMATCH(AT309,""xxooxoxoxoox""),""Hemshri"",IF(REGEXMATCH(AT309,""xoooxooxoxxo""),""Kalavati"",IF(REGEXMATCH(AT309,""xx"&amp;"oxoxxoxoox""),""Kedar"",IF(REGEXMATCH(AT309,""xoxxxxoxooxx""),""Gara"",IF(REGEXMATCH(AT309,""xooxoxooxoox""),""Chandrakauns"",IF(REGEXMATCH(AT309,""xoxxxxoxxxox""),""Mand"",IF(REGEXMATCH(AT309,""xoxxxxoxoxox""),""Hanskinkini"",IF(REGEXMATCH(AT309,""xxooxx"&amp;"oxooxo""),""Lilavati"",IF(REGEXMATCH(AT309,""xooxoxoooxox""),""Rajeshwari"",IF(REGEXMATCH(AT309,""xoooxxoxoxxx""),""Khokar"",IF(REGEXMATCH(AT309,""xxooxoxxxxox""),""Maligoura"",""-""))))))))))))))))))))))))))))))"),"(n/a)")</f>
        <v>(n/a)</v>
      </c>
      <c r="BG309" s="239" t="str">
        <f t="shared" si="26"/>
        <v>#REF!</v>
      </c>
      <c r="BH309" s="239">
        <f>IFERROR(__xludf.DUMMYFUNCTION("COUNTUNIQUE(FE309:FO309)-1"),8.0)</f>
        <v>8</v>
      </c>
      <c r="BI309" s="239">
        <f>IFERROR(__xludf.DUMMYFUNCTION("COUNTUNIQUE(FILTER(AT:AT,REGEXMATCH(AT:AT,AS309)))-1"),0.0)</f>
        <v>0</v>
      </c>
      <c r="BJ309" s="239">
        <f>IFERROR(__xludf.DUMMYFUNCTION("COUNTA(FILTER(AT:AT,REGEXMATCH(AT:AT,AS309)))"),5.0)</f>
        <v>5</v>
      </c>
      <c r="BK309" s="341">
        <f>IFERROR(__xludf.DUMMYFUNCTION("COUNTA(FILTER(AT:AT,REGEXMATCH(AT:AT,AS309)))-AR309"),5.0)</f>
        <v>5</v>
      </c>
      <c r="BL309" s="276" t="str">
        <f>IFERROR(__xludf.DUMMYFUNCTION("IF(AS309=""oooooooooooo"",""-"",IF(REGEXMATCH(AT309,""xx""), ""Hemi."", ""Anhemi.""))"),"Hemi.")</f>
        <v>Hemi.</v>
      </c>
      <c r="BM309" s="282" t="str">
        <f>IFERROR(__xludf.DUMMYFUNCTION("IF(AS309=""oooooooooooo"",""-"",IF(REGEXMATCH(AT309,""xxx""), ""Cohem."", ""-""))"),"Cohem.")</f>
        <v>Cohem.</v>
      </c>
      <c r="BN309" s="282" t="str">
        <f>IFERROR(__xludf.DUMMYFUNCTION("IF(AS309=""oooooooooooo"",""-"",IF(REGEXMATCH(AT309,""xxxx""), ""Co-Co."", ""-""))"),"Co-Co.")</f>
        <v>Co-Co.</v>
      </c>
      <c r="BO309" s="342" t="str">
        <f>IFERROR(__xludf.DUMMYFUNCTION("IF(AS309=""oooooooooooo"",""-"",IF(REGEXMATCH(AT309,""xxxxx""), ""CCC."", ""-""))"),"CCC.")</f>
        <v>CCC.</v>
      </c>
      <c r="BP309" s="344" t="str">
        <f t="shared" si="27"/>
        <v>-</v>
      </c>
      <c r="BQ309" s="282" t="str">
        <f>IFERROR(__xludf.DUMMYFUNCTION("IF(REGEXMATCH(JOIN(""-"",EU309:FD309),""TRUE""),""✔"",""-"")"),"-")</f>
        <v>-</v>
      </c>
      <c r="BR309" s="225">
        <f t="shared" si="28"/>
        <v>0</v>
      </c>
      <c r="BS309" s="345" t="str">
        <f>IFERROR(__xludf.DUMMYFUNCTION("SUBSTITUTE(SUBSTITUTE(SUBSTITUTE(SUBSTITUTE(CONCATENATE(JOIN(""-"",GC309:GO309)),""--"",""-""),""--"",""-""),""--"",""-""),""--"",""-"")"),"1-b2-3-4-#4-5-b6-6-7-8")</f>
        <v>1-b2-3-4-#4-5-b6-6-7-8</v>
      </c>
      <c r="BT309" s="299" t="str">
        <f>IFERROR(__xludf.DUMMYFUNCTION("SUBSTITUTE(SUBSTITUTE(SUBSTITUTE(SUBSTITUTE(CONCATENATE(JOIN(""-"",GP309:HB309)),""--"",""-""),""--"",""-""),""--"",""-""),""--"",""-"")"),"S-R1-G3-M1-M2-P-D1-D2-N3-S")</f>
        <v>S-R1-G3-M1-M2-P-D1-D2-N3-S</v>
      </c>
      <c r="BU309" s="348" t="str">
        <f t="shared" si="29"/>
        <v>C-Db-E-F-F#-G-Ab-A-B-C</v>
      </c>
      <c r="BV309" s="349" t="str">
        <f t="shared" si="30"/>
        <v>SRgnS</v>
      </c>
      <c r="BW309" s="350">
        <f t="shared" si="31"/>
        <v>0</v>
      </c>
      <c r="BX309" s="351">
        <f t="shared" si="32"/>
        <v>5</v>
      </c>
      <c r="BY309" s="352" t="s">
        <v>275</v>
      </c>
      <c r="BZ309" s="309" t="str">
        <f>IFERROR(__xludf.DUMMYFUNCTION("IF(REGEXMATCH(C309, ""S""), ""x"",""x"")"),"x")</f>
        <v>x</v>
      </c>
      <c r="CA309" s="245" t="str">
        <f>IFERROR(__xludf.DUMMYFUNCTION("IF(REGEXMATCH(C309, ""r""), ""o"",""x"")"),"o")</f>
        <v>o</v>
      </c>
      <c r="CB309" s="246" t="str">
        <f>IFERROR(__xludf.DUMMYFUNCTION("IF(REGEXMATCH(C309, ""R""), ""o"",""x"")"),"x")</f>
        <v>x</v>
      </c>
      <c r="CC309" s="246" t="str">
        <f>IFERROR(__xludf.DUMMYFUNCTION("IF(REGEXMATCH(C309, ""g""), ""o"",""x"")"),"x")</f>
        <v>x</v>
      </c>
      <c r="CD309" s="245" t="str">
        <f>IFERROR(__xludf.DUMMYFUNCTION("IF(REGEXMATCH(C309, ""G""), ""o"",""x"")"),"o")</f>
        <v>o</v>
      </c>
      <c r="CE309" s="245" t="str">
        <f>IFERROR(__xludf.DUMMYFUNCTION("IF(REGEXMATCH(C309, ""m""), ""o"",""x"")"),"o")</f>
        <v>o</v>
      </c>
      <c r="CF309" s="246" t="str">
        <f>IFERROR(__xludf.DUMMYFUNCTION("IF(REGEXMATCH(C309, ""M""), ""o"",""x"")"),"o")</f>
        <v>o</v>
      </c>
      <c r="CG309" s="245" t="str">
        <f>IFERROR(__xludf.DUMMYFUNCTION("IF(REGEXMATCH(C309, ""P""), ""o"",""x"")"),"o")</f>
        <v>o</v>
      </c>
      <c r="CH309" s="246" t="str">
        <f>IFERROR(__xludf.DUMMYFUNCTION("IF(REGEXMATCH(C309, ""d""), ""o"",""x"")"),"o")</f>
        <v>o</v>
      </c>
      <c r="CI309" s="245" t="str">
        <f>IFERROR(__xludf.DUMMYFUNCTION("IF(REGEXMATCH(C309, ""D""), ""o"",""x"")"),"o")</f>
        <v>o</v>
      </c>
      <c r="CJ309" s="245" t="str">
        <f>IFERROR(__xludf.DUMMYFUNCTION("IF(REGEXMATCH(C309, ""n""), ""o"",""x"")"),"x")</f>
        <v>x</v>
      </c>
      <c r="CK309" s="245" t="str">
        <f>IFERROR(__xludf.DUMMYFUNCTION("IF(REGEXMATCH(C309, ""N""), ""o"",""x"")"),"o")</f>
        <v>o</v>
      </c>
      <c r="CL309" s="356" t="str">
        <f>IFERROR(__xludf.DUMMYFUNCTION("IF(REGEXMATCH(C309, ""S""), ""x"",""x"")"),"x")</f>
        <v>x</v>
      </c>
      <c r="CM309" s="357" t="str">
        <f t="shared" si="33"/>
        <v>xoxxooooooxo</v>
      </c>
      <c r="CN309" s="358">
        <f t="shared" si="34"/>
        <v>0</v>
      </c>
      <c r="CO309" s="246" t="str">
        <f>IFERROR(__xludf.DUMMYFUNCTION("IF(REGEXMATCH($C309, ""S""), ""S"",""S"")"),"S")</f>
        <v>S</v>
      </c>
      <c r="CP309" s="246" t="str">
        <f>IFERROR(__xludf.DUMMYFUNCTION("IF(REGEXMATCH($C309, ""r""), """",""r"")"),"")</f>
        <v/>
      </c>
      <c r="CQ309" s="246" t="str">
        <f>IFERROR(__xludf.DUMMYFUNCTION("IF(REGEXMATCH($C309, ""R""), """",""R"")"),"R")</f>
        <v>R</v>
      </c>
      <c r="CR309" s="246" t="str">
        <f>IFERROR(__xludf.DUMMYFUNCTION("IF(REGEXMATCH($C309, ""g""), """",""g"")"),"g")</f>
        <v>g</v>
      </c>
      <c r="CS309" s="246" t="str">
        <f>IFERROR(__xludf.DUMMYFUNCTION("IF(REGEXMATCH($C309, ""G""), """",""G"")"),"")</f>
        <v/>
      </c>
      <c r="CT309" s="246" t="str">
        <f>IFERROR(__xludf.DUMMYFUNCTION("IF(REGEXMATCH($C309, ""m""), """",""m"")"),"")</f>
        <v/>
      </c>
      <c r="CU309" s="246" t="str">
        <f>IFERROR(__xludf.DUMMYFUNCTION("IF(REGEXMATCH($C309, ""M""), """",""M"")"),"")</f>
        <v/>
      </c>
      <c r="CV309" s="246" t="str">
        <f>IFERROR(__xludf.DUMMYFUNCTION("IF(REGEXMATCH($C309, ""P""), """",""P"")"),"")</f>
        <v/>
      </c>
      <c r="CW309" s="246" t="str">
        <f>IFERROR(__xludf.DUMMYFUNCTION("IF(REGEXMATCH($C309, ""d""), """",""d"")"),"")</f>
        <v/>
      </c>
      <c r="CX309" s="246" t="str">
        <f>IFERROR(__xludf.DUMMYFUNCTION("IF(REGEXMATCH($C309, ""D""), """",""D"")"),"")</f>
        <v/>
      </c>
      <c r="CY309" s="246" t="str">
        <f>IFERROR(__xludf.DUMMYFUNCTION("IF(REGEXMATCH($C309, ""n""), """",""n"")"),"n")</f>
        <v>n</v>
      </c>
      <c r="CZ309" s="246" t="str">
        <f>IFERROR(__xludf.DUMMYFUNCTION("IF(REGEXMATCH($C309, ""N""), """",""N"")"),"")</f>
        <v/>
      </c>
      <c r="DA309" s="246" t="str">
        <f>IFERROR(__xludf.DUMMYFUNCTION("IF(REGEXMATCH($C309, ""S""), ""S"",""S"")"),"S")</f>
        <v>S</v>
      </c>
      <c r="DB309" s="362" t="str">
        <f>IFERROR(__xludf.DUMMYFUNCTION("JOIN("""",CO309:DA309,"""","""")"),"SRgnS")</f>
        <v>SRgnS</v>
      </c>
      <c r="DC309" s="363"/>
      <c r="DD309" s="301" t="str">
        <f t="shared" si="35"/>
        <v>#REF!</v>
      </c>
      <c r="DE309" s="302" t="str">
        <f t="shared" si="36"/>
        <v>#REF!</v>
      </c>
      <c r="DF309" s="301" t="str">
        <f t="shared" ref="DF309:DG309" si="846">SUBSTITUTE(S309,"-","")</f>
        <v>SRGM</v>
      </c>
      <c r="DG309" s="301" t="str">
        <f t="shared" si="846"/>
        <v>PDNS</v>
      </c>
      <c r="DH309" s="302" t="str">
        <f t="shared" si="38"/>
        <v>(n/a)</v>
      </c>
      <c r="DI309" s="301" t="str">
        <f t="shared" si="39"/>
        <v>Hemi.</v>
      </c>
      <c r="DJ309" s="364" t="str">
        <f t="shared" si="40"/>
        <v>CCC.</v>
      </c>
      <c r="DK309" s="306" t="str">
        <f t="shared" si="41"/>
        <v>-</v>
      </c>
      <c r="DL309" s="366" t="str">
        <f t="shared" si="42"/>
        <v>-</v>
      </c>
      <c r="DM309" s="308" t="str">
        <f t="shared" si="43"/>
        <v>✔</v>
      </c>
      <c r="DN309" s="306" t="str">
        <f t="shared" si="44"/>
        <v>-</v>
      </c>
      <c r="DO309" s="306" t="str">
        <f t="shared" si="45"/>
        <v>-</v>
      </c>
      <c r="DP309" s="367" t="str">
        <f t="shared" si="46"/>
        <v>-</v>
      </c>
      <c r="DQ309" s="310" t="str">
        <f t="shared" si="47"/>
        <v>-</v>
      </c>
      <c r="DR309" s="310" t="str">
        <f t="shared" si="48"/>
        <v>-</v>
      </c>
      <c r="DS309" s="310" t="str">
        <f t="shared" si="49"/>
        <v>✔</v>
      </c>
      <c r="DT309" s="310" t="str">
        <f t="shared" si="50"/>
        <v>✔</v>
      </c>
      <c r="DU309" s="370" t="str">
        <f t="shared" si="51"/>
        <v>-</v>
      </c>
      <c r="DV309" s="306" t="str">
        <f t="shared" si="52"/>
        <v>-</v>
      </c>
      <c r="DW309" s="306" t="str">
        <f t="shared" si="53"/>
        <v>-</v>
      </c>
      <c r="DX309" s="306" t="str">
        <f t="shared" si="54"/>
        <v>-</v>
      </c>
      <c r="DY309" s="306" t="str">
        <f t="shared" si="55"/>
        <v>-</v>
      </c>
      <c r="DZ309" s="306" t="str">
        <f t="shared" si="56"/>
        <v>-</v>
      </c>
      <c r="EA309" s="367" t="str">
        <f t="shared" si="57"/>
        <v>-</v>
      </c>
      <c r="EB309" s="310" t="str">
        <f>IFERROR(__xludf.DUMMYFUNCTION("IF(REGEXMATCH(AW309,AS309),""✔"",""-"")"),"-")</f>
        <v>-</v>
      </c>
      <c r="EC309" s="310" t="str">
        <f t="shared" si="58"/>
        <v>#REF!</v>
      </c>
      <c r="ED309" s="370" t="str">
        <f t="shared" si="59"/>
        <v>-</v>
      </c>
      <c r="EE309" s="340" t="str">
        <f t="shared" si="60"/>
        <v>S-r-G-mM-P-dD-N-S</v>
      </c>
      <c r="EF309" s="371" t="str">
        <f>IFERROR(__xludf.DUMMYFUNCTION("CONCATENATE(JOIN("""",HC309:HO309))"),"SrgGmMPdNS")</f>
        <v>SrgGmMPdNS</v>
      </c>
      <c r="EG309" s="372">
        <f t="shared" si="61"/>
        <v>2</v>
      </c>
      <c r="EH309" s="373" t="str">
        <f>IFERROR(__xludf.DUMMYFUNCTION("CONCATENATE(JOIN("""",JC309:JO309))"),"Pa, dha, ")</f>
        <v>Pa, dha, </v>
      </c>
      <c r="EI309" s="322">
        <f t="shared" si="62"/>
        <v>0</v>
      </c>
      <c r="EJ309" s="374" t="str">
        <f>IFERROR(__xludf.DUMMYFUNCTION("CONCATENATE(JOIN("""",KC309:KO309))"),"")</f>
        <v/>
      </c>
      <c r="EK309" s="325" t="str">
        <f t="shared" si="63"/>
        <v>S-R1-G3-M1-M2-P-D1-D2-N3-S</v>
      </c>
      <c r="EL309" s="326" t="str">
        <f t="shared" si="64"/>
        <v>1-b2-3-4-#4-5-b6-6-7-8</v>
      </c>
      <c r="EM309" s="318" t="str">
        <f t="shared" si="65"/>
        <v>#REF!</v>
      </c>
      <c r="EN309" s="328" t="str">
        <f>IFERROR(__xludf.DUMMYFUNCTION("SUBSTITUTE(SUBSTITUTE(SUBSTITUTE(SUBSTITUTE(CONCATENATE(JOIN("" "",HP309:IB309)),""  "","" ""),""  "","" ""),""  "","" ""),""  "","" "")"),"o o • • o o o o o o • o o")</f>
        <v>o o • • o o o o o o • o o</v>
      </c>
      <c r="EO309" s="368" t="str">
        <f t="shared" si="66"/>
        <v>-</v>
      </c>
      <c r="EP309" s="339" t="str">
        <f t="shared" si="67"/>
        <v>-</v>
      </c>
      <c r="EQ309" s="339" t="str">
        <f t="shared" si="68"/>
        <v>Sa-Pa</v>
      </c>
      <c r="ER309" s="339" t="str">
        <f t="shared" si="69"/>
        <v>-</v>
      </c>
      <c r="ES309" s="340" t="str">
        <f t="shared" si="70"/>
        <v>-</v>
      </c>
      <c r="ET309" s="363"/>
      <c r="EU309" s="376" t="b">
        <f>IFERROR(__xludf.DUMMYFUNCTION("arrayformula(sum(--REGEXMATCH(""SRGMPDNS"",split(REGEXREPLACE(C309,""(.)"",""$1~""),""~""))))=len(C309)
"),FALSE)</f>
        <v>0</v>
      </c>
      <c r="EV309" s="290" t="b">
        <f>IFERROR(__xludf.DUMMYFUNCTION("arrayformula(sum(--REGEXMATCH(""SRGmPDNS"",split(REGEXREPLACE(C309,""(.)"",""$1~""),""~""))))=len(C309)"),FALSE)</f>
        <v>0</v>
      </c>
      <c r="EW309" s="290" t="b">
        <f>IFERROR(__xludf.DUMMYFUNCTION("arrayformula(sum(--REGEXMATCH(""SRGmPDnS"",split(REGEXREPLACE(C309,""(.)"",""$1~""),""~""))))=len(C309)"),FALSE)</f>
        <v>0</v>
      </c>
      <c r="EX309" s="290" t="b">
        <f>IFERROR(__xludf.DUMMYFUNCTION("arrayformula(sum(--REGEXMATCH(""SRgmPDnS"",split(REGEXREPLACE(C309,""(.)"",""$1~""),""~""))))=len(C309)"),FALSE)</f>
        <v>0</v>
      </c>
      <c r="EY309" s="290" t="b">
        <f>IFERROR(__xludf.DUMMYFUNCTION("arrayformula(sum(--REGEXMATCH(""SRgmPdnS"",split(REGEXREPLACE(C309,""(.)"",""$1~""),""~""))))=len(C309)"),FALSE)</f>
        <v>0</v>
      </c>
      <c r="EZ309" s="290" t="b">
        <f>IFERROR(__xludf.DUMMYFUNCTION("arrayformula(sum(--REGEXMATCH(""SrgmPdnS"",split(REGEXREPLACE(C309,""(.)"",""$1~""),""~""))))=len(C309)"),FALSE)</f>
        <v>0</v>
      </c>
      <c r="FA309" s="290" t="b">
        <f>IFERROR(__xludf.DUMMYFUNCTION("arrayformula(sum(--REGEXMATCH(""SrGmPdNS"",split(REGEXREPLACE(C309,""(.)"",""$1~""),""~""))))=len(C309)"),FALSE)</f>
        <v>0</v>
      </c>
      <c r="FB309" s="290" t="b">
        <f>IFERROR(__xludf.DUMMYFUNCTION("arrayformula(sum(--REGEXMATCH(""SrGMPDNS"",split(REGEXREPLACE(C309,""(.)"",""$1~""),""~""))))=len(C309)"),FALSE)</f>
        <v>0</v>
      </c>
      <c r="FC309" s="290" t="b">
        <f>IFERROR(__xludf.DUMMYFUNCTION("arrayformula(sum(--REGEXMATCH(""SrGMPdNS"",split(REGEXREPLACE(C309,""(.)"",""$1~""),""~""))))=len(C309)"),FALSE)</f>
        <v>0</v>
      </c>
      <c r="FD309" s="377" t="b">
        <f>IFERROR(__xludf.DUMMYFUNCTION("arrayformula(sum(--REGEXMATCH(""SrgMPdNS"",split(REGEXREPLACE(C309,""(.)"",""$1~""),""~""))))=len(C309)"),FALSE)</f>
        <v>0</v>
      </c>
      <c r="FE309" s="269" t="str">
        <f t="shared" si="71"/>
        <v>xooxxxxxxox</v>
      </c>
      <c r="FF309" s="269" t="str">
        <f t="shared" si="72"/>
        <v>-</v>
      </c>
      <c r="FG309" s="271" t="str">
        <f t="shared" si="73"/>
        <v>-</v>
      </c>
      <c r="FH309" s="269" t="str">
        <f t="shared" si="74"/>
        <v>xxxxxxoxxxo</v>
      </c>
      <c r="FI309" s="271" t="str">
        <f t="shared" si="75"/>
        <v>xxxxxoxxxoo</v>
      </c>
      <c r="FJ309" s="271" t="str">
        <f t="shared" si="76"/>
        <v>xxxxoxxxoox</v>
      </c>
      <c r="FK309" s="271" t="str">
        <f t="shared" si="77"/>
        <v>xxxoxxxooxx</v>
      </c>
      <c r="FL309" s="271" t="str">
        <f t="shared" si="78"/>
        <v>xxoxxxooxxx</v>
      </c>
      <c r="FM309" s="271" t="str">
        <f t="shared" si="79"/>
        <v>xoxxxooxxxx</v>
      </c>
      <c r="FN309" s="271" t="str">
        <f t="shared" si="80"/>
        <v>-</v>
      </c>
      <c r="FO309" s="274" t="str">
        <f t="shared" si="81"/>
        <v>xxxooxxxxxx</v>
      </c>
      <c r="FP309" s="234" t="str">
        <f t="shared" si="82"/>
        <v>|</v>
      </c>
      <c r="FQ309" s="236" t="str">
        <f t="shared" si="83"/>
        <v>|</v>
      </c>
      <c r="FR309" s="237" t="str">
        <f t="shared" si="84"/>
        <v>-</v>
      </c>
      <c r="FS309" s="236" t="str">
        <f t="shared" si="85"/>
        <v>-</v>
      </c>
      <c r="FT309" s="237" t="str">
        <f t="shared" si="86"/>
        <v>|</v>
      </c>
      <c r="FU309" s="236" t="str">
        <f t="shared" si="87"/>
        <v>|</v>
      </c>
      <c r="FV309" s="237" t="str">
        <f t="shared" si="88"/>
        <v>|</v>
      </c>
      <c r="FW309" s="236" t="str">
        <f t="shared" si="89"/>
        <v>|</v>
      </c>
      <c r="FX309" s="237" t="str">
        <f t="shared" si="90"/>
        <v>|</v>
      </c>
      <c r="FY309" s="236" t="str">
        <f t="shared" si="91"/>
        <v>|</v>
      </c>
      <c r="FZ309" s="237" t="str">
        <f t="shared" si="92"/>
        <v>-</v>
      </c>
      <c r="GA309" s="236" t="str">
        <f t="shared" si="93"/>
        <v>|</v>
      </c>
      <c r="GB309" s="238" t="str">
        <f t="shared" si="94"/>
        <v>|</v>
      </c>
      <c r="GC309" s="244" t="str">
        <f>IFERROR(__xludf.DUMMYFUNCTION("IF(REGEXMATCH(C309, ""S""), ""1"","""")"),"1")</f>
        <v>1</v>
      </c>
      <c r="GD309" s="245" t="str">
        <f>IFERROR(__xludf.DUMMYFUNCTION("IF(REGEXMATCH(C309, ""r""), ""b2"","""")"),"b2")</f>
        <v>b2</v>
      </c>
      <c r="GE309" s="246" t="str">
        <f>IFERROR(__xludf.DUMMYFUNCTION("IF(REGEXMATCH(C309, ""R""), ""2"","""")"),"")</f>
        <v/>
      </c>
      <c r="GF309" s="246" t="str">
        <f>IFERROR(__xludf.DUMMYFUNCTION("IF(REGEXMATCH(C309, ""g""), ""b3"","""")"),"")</f>
        <v/>
      </c>
      <c r="GG309" s="245" t="str">
        <f>IFERROR(__xludf.DUMMYFUNCTION("IF(REGEXMATCH(C309, ""G""), ""3"","""")"),"3")</f>
        <v>3</v>
      </c>
      <c r="GH309" s="245" t="str">
        <f>IFERROR(__xludf.DUMMYFUNCTION("IF(REGEXMATCH(C309, ""m""), ""4"","""")"),"4")</f>
        <v>4</v>
      </c>
      <c r="GI309" s="246" t="str">
        <f>IFERROR(__xludf.DUMMYFUNCTION("IF(REGEXMATCH(C309, ""M""), ""#4"","""")"),"#4")</f>
        <v>#4</v>
      </c>
      <c r="GJ309" s="245" t="str">
        <f>IFERROR(__xludf.DUMMYFUNCTION("IF(REGEXMATCH(C309, ""P""), ""5"","""")"),"5")</f>
        <v>5</v>
      </c>
      <c r="GK309" s="246" t="str">
        <f>IFERROR(__xludf.DUMMYFUNCTION("IF(REGEXMATCH(C309, ""d""), ""b6"","""")"),"b6")</f>
        <v>b6</v>
      </c>
      <c r="GL309" s="245" t="str">
        <f>IFERROR(__xludf.DUMMYFUNCTION("IF(REGEXMATCH(C309, ""D""), ""6"","""")"),"6")</f>
        <v>6</v>
      </c>
      <c r="GM309" s="245" t="str">
        <f>IFERROR(__xludf.DUMMYFUNCTION("IF(REGEXMATCH(C309, ""n""), ""b7"","""")"),"")</f>
        <v/>
      </c>
      <c r="GN309" s="246" t="str">
        <f>IFERROR(__xludf.DUMMYFUNCTION("IF(REGEXMATCH(C309, ""N""), ""7"","""")"),"7")</f>
        <v>7</v>
      </c>
      <c r="GO309" s="249" t="str">
        <f>IFERROR(__xludf.DUMMYFUNCTION("IF(REGEXMATCH(C309, ""S""), ""8"","""")"),"8")</f>
        <v>8</v>
      </c>
      <c r="GP309" s="244" t="str">
        <f>IFERROR(__xludf.DUMMYFUNCTION("IF(REGEXMATCH(C309, ""S""), ""S"","""")"),"S")</f>
        <v>S</v>
      </c>
      <c r="GQ309" s="294" t="str">
        <f>IFERROR(__xludf.DUMMYFUNCTION("IF(REGEXMATCH(C309, ""r""), ""R1"","""")"),"R1")</f>
        <v>R1</v>
      </c>
      <c r="GR309" s="295" t="str">
        <f>IFERROR(__xludf.DUMMYFUNCTION("IF(REGEXMATCH(C309, ""R""), ""R2"","""")"),"")</f>
        <v/>
      </c>
      <c r="GS309" s="295" t="str">
        <f>IFERROR(__xludf.DUMMYFUNCTION("IF(REGEXMATCH(C309, ""g""), ""G2"","""")"),"")</f>
        <v/>
      </c>
      <c r="GT309" s="294" t="str">
        <f>IFERROR(__xludf.DUMMYFUNCTION("IF(REGEXMATCH(C309, ""G""), ""G3"","""")"),"G3")</f>
        <v>G3</v>
      </c>
      <c r="GU309" s="294" t="str">
        <f>IFERROR(__xludf.DUMMYFUNCTION("IF(REGEXMATCH(C309, ""m""), ""M1"","""")"),"M1")</f>
        <v>M1</v>
      </c>
      <c r="GV309" s="295" t="str">
        <f>IFERROR(__xludf.DUMMYFUNCTION("IF(REGEXMATCH(C309, ""M""), ""M2"","""")"),"M2")</f>
        <v>M2</v>
      </c>
      <c r="GW309" s="294" t="str">
        <f>IFERROR(__xludf.DUMMYFUNCTION("IF(REGEXMATCH(C309, ""P""), ""P"","""")"),"P")</f>
        <v>P</v>
      </c>
      <c r="GX309" s="295" t="str">
        <f>IFERROR(__xludf.DUMMYFUNCTION("IF(REGEXMATCH(C309, ""d""), ""D1"","""")"),"D1")</f>
        <v>D1</v>
      </c>
      <c r="GY309" s="294" t="str">
        <f>IFERROR(__xludf.DUMMYFUNCTION("IF(REGEXMATCH(C309, ""D""), ""D2"","""")"),"D2")</f>
        <v>D2</v>
      </c>
      <c r="GZ309" s="294" t="str">
        <f>IFERROR(__xludf.DUMMYFUNCTION("IF(REGEXMATCH(C309, ""n""), ""N2"","""")"),"")</f>
        <v/>
      </c>
      <c r="HA309" s="295" t="str">
        <f>IFERROR(__xludf.DUMMYFUNCTION("IF(REGEXMATCH(C309, ""N""), ""N3"","""")"),"N3")</f>
        <v>N3</v>
      </c>
      <c r="HB309" s="249" t="str">
        <f>IFERROR(__xludf.DUMMYFUNCTION("IF(REGEXMATCH(C309, ""S""), ""S"","""")"),"S")</f>
        <v>S</v>
      </c>
      <c r="HC309" s="331" t="str">
        <f t="shared" si="95"/>
        <v>S</v>
      </c>
      <c r="HD309" s="332" t="str">
        <f t="shared" si="96"/>
        <v>r</v>
      </c>
      <c r="HE309" s="332" t="str">
        <f t="shared" si="97"/>
        <v/>
      </c>
      <c r="HF309" s="332" t="str">
        <f t="shared" si="98"/>
        <v>g</v>
      </c>
      <c r="HG309" s="332" t="str">
        <f t="shared" si="99"/>
        <v>G</v>
      </c>
      <c r="HH309" s="332" t="str">
        <f t="shared" si="100"/>
        <v>m</v>
      </c>
      <c r="HI309" s="332" t="str">
        <f t="shared" si="101"/>
        <v>M</v>
      </c>
      <c r="HJ309" s="332" t="str">
        <f t="shared" si="102"/>
        <v>P</v>
      </c>
      <c r="HK309" s="332" t="str">
        <f t="shared" si="103"/>
        <v>d</v>
      </c>
      <c r="HL309" s="332" t="str">
        <f t="shared" si="104"/>
        <v/>
      </c>
      <c r="HM309" s="332" t="str">
        <f t="shared" si="105"/>
        <v/>
      </c>
      <c r="HN309" s="332" t="str">
        <f t="shared" si="106"/>
        <v>N</v>
      </c>
      <c r="HO309" s="343" t="str">
        <f t="shared" si="107"/>
        <v>S</v>
      </c>
      <c r="HP309" s="331" t="str">
        <f t="shared" si="108"/>
        <v>o</v>
      </c>
      <c r="HQ309" s="332" t="str">
        <f t="shared" si="109"/>
        <v>o</v>
      </c>
      <c r="HR309" s="332" t="str">
        <f t="shared" si="110"/>
        <v>•</v>
      </c>
      <c r="HS309" s="332" t="str">
        <f t="shared" si="111"/>
        <v>•</v>
      </c>
      <c r="HT309" s="332" t="str">
        <f t="shared" si="112"/>
        <v>o</v>
      </c>
      <c r="HU309" s="332" t="str">
        <f t="shared" si="113"/>
        <v>o</v>
      </c>
      <c r="HV309" s="332" t="str">
        <f t="shared" si="114"/>
        <v>o</v>
      </c>
      <c r="HW309" s="332" t="str">
        <f t="shared" si="115"/>
        <v>o</v>
      </c>
      <c r="HX309" s="332" t="str">
        <f t="shared" si="116"/>
        <v>o</v>
      </c>
      <c r="HY309" s="332" t="str">
        <f t="shared" si="117"/>
        <v>o</v>
      </c>
      <c r="HZ309" s="332" t="str">
        <f t="shared" si="118"/>
        <v>•</v>
      </c>
      <c r="IA309" s="332" t="str">
        <f t="shared" si="119"/>
        <v>o</v>
      </c>
      <c r="IB309" s="338" t="str">
        <f t="shared" si="120"/>
        <v>o</v>
      </c>
      <c r="IC309" s="331" t="str">
        <f t="shared" si="121"/>
        <v>•</v>
      </c>
      <c r="ID309" s="332" t="str">
        <f t="shared" si="122"/>
        <v>•</v>
      </c>
      <c r="IE309" s="332" t="str">
        <f t="shared" si="123"/>
        <v>o</v>
      </c>
      <c r="IF309" s="332" t="str">
        <f t="shared" si="124"/>
        <v>o</v>
      </c>
      <c r="IG309" s="332" t="str">
        <f t="shared" si="125"/>
        <v>•</v>
      </c>
      <c r="IH309" s="332" t="str">
        <f t="shared" si="126"/>
        <v>•</v>
      </c>
      <c r="II309" s="332" t="str">
        <f t="shared" si="127"/>
        <v>•</v>
      </c>
      <c r="IJ309" s="332" t="str">
        <f t="shared" si="128"/>
        <v>•</v>
      </c>
      <c r="IK309" s="332" t="str">
        <f t="shared" si="129"/>
        <v>•</v>
      </c>
      <c r="IL309" s="332" t="str">
        <f t="shared" si="130"/>
        <v>•</v>
      </c>
      <c r="IM309" s="332" t="str">
        <f t="shared" si="131"/>
        <v>o</v>
      </c>
      <c r="IN309" s="332" t="str">
        <f t="shared" si="132"/>
        <v>•</v>
      </c>
      <c r="IO309" s="338" t="str">
        <f t="shared" si="133"/>
        <v>•</v>
      </c>
      <c r="IP309" s="346" t="b">
        <f t="shared" si="134"/>
        <v>0</v>
      </c>
      <c r="IQ309" s="347" t="b">
        <f t="shared" si="135"/>
        <v>0</v>
      </c>
      <c r="IR309" s="347" t="b">
        <f t="shared" si="136"/>
        <v>0</v>
      </c>
      <c r="IS309" s="347" t="b">
        <f t="shared" si="137"/>
        <v>0</v>
      </c>
      <c r="IT309" s="347" t="b">
        <f t="shared" si="138"/>
        <v>0</v>
      </c>
      <c r="IU309" s="347" t="b">
        <f t="shared" si="139"/>
        <v>0</v>
      </c>
      <c r="IV309" s="347" t="b">
        <f t="shared" si="140"/>
        <v>0</v>
      </c>
      <c r="IW309" s="347" t="b">
        <f t="shared" si="141"/>
        <v>1</v>
      </c>
      <c r="IX309" s="347" t="b">
        <f t="shared" si="142"/>
        <v>1</v>
      </c>
      <c r="IY309" s="347" t="b">
        <f t="shared" si="143"/>
        <v>0</v>
      </c>
      <c r="IZ309" s="347" t="b">
        <f t="shared" si="144"/>
        <v>0</v>
      </c>
      <c r="JA309" s="347" t="b">
        <f t="shared" si="145"/>
        <v>0</v>
      </c>
      <c r="JB309" s="353" t="b">
        <f t="shared" si="146"/>
        <v>0</v>
      </c>
      <c r="JC309" s="354" t="str">
        <f t="shared" si="147"/>
        <v/>
      </c>
      <c r="JD309" s="355" t="str">
        <f t="shared" si="148"/>
        <v/>
      </c>
      <c r="JE309" s="355" t="str">
        <f t="shared" si="149"/>
        <v/>
      </c>
      <c r="JF309" s="355" t="str">
        <f t="shared" si="150"/>
        <v/>
      </c>
      <c r="JG309" s="355" t="str">
        <f t="shared" si="151"/>
        <v/>
      </c>
      <c r="JH309" s="355" t="str">
        <f t="shared" si="152"/>
        <v/>
      </c>
      <c r="JI309" s="355" t="str">
        <f t="shared" si="153"/>
        <v/>
      </c>
      <c r="JJ309" s="355" t="str">
        <f t="shared" si="154"/>
        <v>Pa, </v>
      </c>
      <c r="JK309" s="355" t="str">
        <f t="shared" si="155"/>
        <v>dha, </v>
      </c>
      <c r="JL309" s="355" t="str">
        <f t="shared" si="156"/>
        <v/>
      </c>
      <c r="JM309" s="355" t="str">
        <f t="shared" si="157"/>
        <v/>
      </c>
      <c r="JN309" s="355" t="str">
        <f t="shared" si="158"/>
        <v/>
      </c>
      <c r="JO309" s="359" t="str">
        <f t="shared" si="159"/>
        <v/>
      </c>
      <c r="JP309" s="346" t="b">
        <f t="shared" si="160"/>
        <v>0</v>
      </c>
      <c r="JQ309" s="347" t="b">
        <f t="shared" si="161"/>
        <v>0</v>
      </c>
      <c r="JR309" s="347" t="b">
        <f t="shared" si="162"/>
        <v>0</v>
      </c>
      <c r="JS309" s="347" t="b">
        <f t="shared" si="163"/>
        <v>0</v>
      </c>
      <c r="JT309" s="347" t="b">
        <f t="shared" si="164"/>
        <v>0</v>
      </c>
      <c r="JU309" s="347" t="b">
        <f t="shared" si="165"/>
        <v>0</v>
      </c>
      <c r="JV309" s="347" t="b">
        <f t="shared" si="166"/>
        <v>0</v>
      </c>
      <c r="JW309" s="347" t="b">
        <f t="shared" si="167"/>
        <v>0</v>
      </c>
      <c r="JX309" s="347" t="b">
        <f t="shared" si="168"/>
        <v>0</v>
      </c>
      <c r="JY309" s="347" t="b">
        <f t="shared" si="169"/>
        <v>0</v>
      </c>
      <c r="JZ309" s="347" t="b">
        <f t="shared" si="170"/>
        <v>0</v>
      </c>
      <c r="KA309" s="347" t="b">
        <f t="shared" si="171"/>
        <v>0</v>
      </c>
      <c r="KB309" s="365" t="b">
        <f t="shared" si="172"/>
        <v>0</v>
      </c>
      <c r="KC309" s="354" t="str">
        <f t="shared" si="173"/>
        <v/>
      </c>
      <c r="KD309" s="355" t="str">
        <f t="shared" si="174"/>
        <v/>
      </c>
      <c r="KE309" s="355" t="str">
        <f t="shared" si="175"/>
        <v/>
      </c>
      <c r="KF309" s="355" t="str">
        <f t="shared" si="176"/>
        <v/>
      </c>
      <c r="KG309" s="355" t="str">
        <f t="shared" si="177"/>
        <v/>
      </c>
      <c r="KH309" s="355" t="str">
        <f t="shared" si="178"/>
        <v/>
      </c>
      <c r="KI309" s="355" t="str">
        <f t="shared" si="179"/>
        <v/>
      </c>
      <c r="KJ309" s="355" t="str">
        <f t="shared" si="180"/>
        <v/>
      </c>
      <c r="KK309" s="355" t="str">
        <f t="shared" si="181"/>
        <v/>
      </c>
      <c r="KL309" s="355" t="str">
        <f t="shared" si="182"/>
        <v/>
      </c>
      <c r="KM309" s="355" t="str">
        <f t="shared" si="183"/>
        <v/>
      </c>
      <c r="KN309" s="355" t="str">
        <f t="shared" si="184"/>
        <v/>
      </c>
      <c r="KO309" s="359"/>
      <c r="KP309" s="378"/>
      <c r="KQ309" s="379" t="s">
        <v>9</v>
      </c>
      <c r="KR309" s="380" t="s">
        <v>9</v>
      </c>
      <c r="KS309" s="381" t="s">
        <v>9</v>
      </c>
      <c r="KT309" s="382">
        <f t="shared" si="186"/>
        <v>0</v>
      </c>
      <c r="KU309" s="383">
        <f t="shared" si="187"/>
        <v>0</v>
      </c>
      <c r="KV309" s="381" t="str">
        <f t="shared" si="205"/>
        <v>S</v>
      </c>
      <c r="KW309" s="382">
        <f t="shared" si="189"/>
        <v>0</v>
      </c>
      <c r="KX309" s="384">
        <f t="shared" si="190"/>
        <v>0</v>
      </c>
      <c r="KY309" s="382">
        <f t="shared" ref="KY309:KZ309" si="847">KW309-KT309</f>
        <v>0</v>
      </c>
      <c r="KZ309" s="369">
        <f t="shared" si="847"/>
        <v>0</v>
      </c>
      <c r="LA309" s="385" t="str">
        <f t="shared" si="192"/>
        <v>✔</v>
      </c>
      <c r="LB309" s="340" t="str">
        <f>IFERROR(__xludf.DUMMYFUNCTION("JOIN("""",ArrayFormula(MID(KS309,LEN(KS309)-SEQUENCE(1,LEN(KS309))+1,1)))"),"S")</f>
        <v>S</v>
      </c>
      <c r="LC309" s="373" t="str">
        <f>IFERROR(__xludf.DUMMYFUNCTION("JOIN("""",ArrayFormula(MID(KV309,LEN(KV309)-SEQUENCE(1,LEN(KV309))+1,1)))"),"S")</f>
        <v>S</v>
      </c>
      <c r="LD309" s="373" t="str">
        <f t="shared" si="193"/>
        <v>S</v>
      </c>
      <c r="LE309" s="339" t="str">
        <f t="shared" si="194"/>
        <v>S</v>
      </c>
      <c r="LF309" s="386" t="str">
        <f>IFERROR(__xludf.DUMMYFUNCTION("SUBSTITUTE(SUBSTITUTE(CONCATENATE(JOIN("""",LH309:LT309)),""1"",""""),""2"","""")"),"SS")</f>
        <v>SS</v>
      </c>
      <c r="LG309" s="369" t="str">
        <f t="shared" si="195"/>
        <v>-</v>
      </c>
      <c r="LH309" s="387" t="str">
        <f>IFERROR(__xludf.DUMMYFUNCTION("IF(REGEXMATCH(LD309, ""S""), ""S"",IF(REGEXMATCH(LE309, ""S""), ""S"",""""))"),"S")</f>
        <v>S</v>
      </c>
      <c r="LI309" s="299" t="str">
        <f>IFERROR(__xludf.DUMMYFUNCTION("IF(REGEXMATCH(LD309, ""r""), ""r1"",IF(REGEXMATCH(LE309, ""r""), ""r2"",""""))"),"")</f>
        <v/>
      </c>
      <c r="LJ309" s="299" t="str">
        <f>IFERROR(__xludf.DUMMYFUNCTION("IF(REGEXMATCH(LD309, ""R""), ""R1"",IF(REGEXMATCH(LE309, ""R""), ""R2"",""""))"),"")</f>
        <v/>
      </c>
      <c r="LK309" s="299" t="str">
        <f>IFERROR(__xludf.DUMMYFUNCTION("IF(REGEXMATCH(LD309, ""g""), ""g1"",IF(REGEXMATCH(LE309, ""g""), ""g2"",""""))"),"")</f>
        <v/>
      </c>
      <c r="LL309" s="299" t="str">
        <f>IFERROR(__xludf.DUMMYFUNCTION("IF(REGEXMATCH(LD309, ""G""), ""G1"",IF(REGEXMATCH(LE309, ""G""), ""G2"",""""))"),"")</f>
        <v/>
      </c>
      <c r="LM309" s="299" t="str">
        <f>IFERROR(__xludf.DUMMYFUNCTION("IF(REGEXMATCH(LD309, ""m""), ""m1"",IF(REGEXMATCH(LE309, ""m""), ""m2"",""""))"),"")</f>
        <v/>
      </c>
      <c r="LN309" s="299" t="str">
        <f>IFERROR(__xludf.DUMMYFUNCTION("IF(REGEXMATCH(LD309, ""M""), ""M1"",IF(REGEXMATCH(LE309, ""M""), ""M2"",""""))"),"")</f>
        <v/>
      </c>
      <c r="LO309" s="299" t="str">
        <f>IFERROR(__xludf.DUMMYFUNCTION("IF(REGEXMATCH(LD309, ""P""), ""P1"",IF(REGEXMATCH(LE309, ""P""), ""P2"",""""))"),"")</f>
        <v/>
      </c>
      <c r="LP309" s="299" t="str">
        <f>IFERROR(__xludf.DUMMYFUNCTION("IF(REGEXMATCH(LD309, ""d""), ""d1"",IF(REGEXMATCH(LE309, ""d""), ""d2"",""""))"),"")</f>
        <v/>
      </c>
      <c r="LQ309" s="299" t="str">
        <f>IFERROR(__xludf.DUMMYFUNCTION("IF(REGEXMATCH(LD309, ""D""), ""D1"",IF(REGEXMATCH(LE309, ""D""), ""D2"",""""))"),"")</f>
        <v/>
      </c>
      <c r="LR309" s="299" t="str">
        <f>IFERROR(__xludf.DUMMYFUNCTION("IF(REGEXMATCH(LD309, ""n""), ""n1"",IF(REGEXMATCH(LE309, ""n""), ""n2"",""""))"),"")</f>
        <v/>
      </c>
      <c r="LS309" s="299" t="str">
        <f>IFERROR(__xludf.DUMMYFUNCTION("IF(REGEXMATCH(LD309, ""N""), ""N1"",IF(REGEXMATCH(LE309, ""N""), ""N2"",""""))"),"")</f>
        <v/>
      </c>
      <c r="LT309" s="388" t="str">
        <f>IFERROR(__xludf.DUMMYFUNCTION("IF(REGEXMATCH(LD309, ""S""), ""S"",IF(REGEXMATCH(LE309, ""S""), ""S"",""""))"),"S")</f>
        <v>S</v>
      </c>
      <c r="LU309" s="389">
        <f t="shared" si="196"/>
        <v>1</v>
      </c>
      <c r="LV309" s="378"/>
      <c r="LW309" s="369"/>
      <c r="LX309" s="369"/>
    </row>
    <row r="310" ht="18.0" customHeight="1">
      <c r="A310" s="298" t="s">
        <v>1141</v>
      </c>
      <c r="B310" s="222" t="s">
        <v>1142</v>
      </c>
      <c r="C310" s="233" t="str">
        <f t="shared" si="7"/>
        <v>SRGMdnS</v>
      </c>
      <c r="D310" s="234" t="str">
        <f>IFERROR(__xludf.DUMMYFUNCTION("IF(REGEXMATCH(C310, ""S""), ""S"","""")"),"S")</f>
        <v>S</v>
      </c>
      <c r="E310" s="236" t="str">
        <f>IFERROR(__xludf.DUMMYFUNCTION("IF(REGEXMATCH(C310, ""r""), ""r"","""")"),"")</f>
        <v/>
      </c>
      <c r="F310" s="237" t="str">
        <f>IFERROR(__xludf.DUMMYFUNCTION("IF(REGEXMATCH(C310, ""R""), ""R"","""")"),"R")</f>
        <v>R</v>
      </c>
      <c r="G310" s="237" t="str">
        <f>IFERROR(__xludf.DUMMYFUNCTION("IF(REGEXMATCH(C310, ""g""), ""g"","""")"),"")</f>
        <v/>
      </c>
      <c r="H310" s="236" t="str">
        <f>IFERROR(__xludf.DUMMYFUNCTION("IF(REGEXMATCH(C310, ""G""), ""G"","""")"),"G")</f>
        <v>G</v>
      </c>
      <c r="I310" s="236" t="str">
        <f>IFERROR(__xludf.DUMMYFUNCTION("IF(REGEXMATCH(C310, ""m""), ""m"","""")"),"")</f>
        <v/>
      </c>
      <c r="J310" s="237" t="str">
        <f>IFERROR(__xludf.DUMMYFUNCTION("IF(REGEXMATCH(C310, ""M""), ""M"","""")"),"M")</f>
        <v>M</v>
      </c>
      <c r="K310" s="236" t="str">
        <f>IFERROR(__xludf.DUMMYFUNCTION("IF(REGEXMATCH(C310, ""P""), ""P"","""")"),"")</f>
        <v/>
      </c>
      <c r="L310" s="237" t="str">
        <f>IFERROR(__xludf.DUMMYFUNCTION("IF(REGEXMATCH(C310, ""d""), ""d"","""")"),"d")</f>
        <v>d</v>
      </c>
      <c r="M310" s="236" t="str">
        <f>IFERROR(__xludf.DUMMYFUNCTION("IF(REGEXMATCH(C310, ""D""), ""D"","""")"),"")</f>
        <v/>
      </c>
      <c r="N310" s="236" t="str">
        <f>IFERROR(__xludf.DUMMYFUNCTION("IF(REGEXMATCH(C310, ""n""), ""n"","""")"),"n")</f>
        <v>n</v>
      </c>
      <c r="O310" s="237" t="str">
        <f>IFERROR(__xludf.DUMMYFUNCTION("IF(REGEXMATCH(C310, ""N""), ""N"","""")"),"")</f>
        <v/>
      </c>
      <c r="P310" s="238" t="str">
        <f>IFERROR(__xludf.DUMMYFUNCTION("IF(REGEXMATCH(C310, ""S""), ""S"","""")"),"S")</f>
        <v>S</v>
      </c>
      <c r="Q310" s="239" t="str">
        <f>IFERROR(__xludf.DUMMYFUNCTION("SUBSTITUTE(CONCATENATE(JOIN(""-"",D310:J310)),""-"","""")"),"SRGM")</f>
        <v>SRGM</v>
      </c>
      <c r="R310" s="229" t="str">
        <f>IFERROR(__xludf.DUMMYFUNCTION("SUBSTITUTE(CONCATENATE(JOIN(""-"",K310:P310)),""-"","""")"),"dnS")</f>
        <v>dnS</v>
      </c>
      <c r="S310" s="282" t="str">
        <f t="shared" si="8"/>
        <v>S-R-G-M</v>
      </c>
      <c r="T310" s="282" t="str">
        <f t="shared" si="9"/>
        <v>D-N-S</v>
      </c>
      <c r="U310" s="237" t="str">
        <f>IFERROR(__xludf.DUMMYFUNCTION("SUBSTITUTE(JOIN(""-"",S310,T310),""--"",""-"")"),"S-R-G-M-D-N-S")</f>
        <v>S-R-G-M-D-N-S</v>
      </c>
      <c r="V310" s="309" t="str">
        <f t="shared" si="10"/>
        <v>RGMdn</v>
      </c>
      <c r="W310" s="244" t="str">
        <f>IFERROR(__xludf.DUMMYFUNCTION("IF(REGEXMATCH(C310, ""S""), ""0"","""")"),"0")</f>
        <v>0</v>
      </c>
      <c r="X310" s="245" t="str">
        <f>IFERROR(__xludf.DUMMYFUNCTION("IF(REGEXMATCH(C310, ""r""), ""1"","""")"),"")</f>
        <v/>
      </c>
      <c r="Y310" s="246" t="str">
        <f>IFERROR(__xludf.DUMMYFUNCTION("IF(REGEXMATCH(C310, ""R""), ""2"","""")"),"2")</f>
        <v>2</v>
      </c>
      <c r="Z310" s="246" t="str">
        <f>IFERROR(__xludf.DUMMYFUNCTION("IF(REGEXMATCH(C310, ""g""), ""3"","""")"),"")</f>
        <v/>
      </c>
      <c r="AA310" s="245" t="str">
        <f>IFERROR(__xludf.DUMMYFUNCTION("IF(REGEXMATCH(C310, ""G""), ""4"","""")"),"4")</f>
        <v>4</v>
      </c>
      <c r="AB310" s="245" t="str">
        <f>IFERROR(__xludf.DUMMYFUNCTION("IF(REGEXMATCH(C310, ""m""), ""5"","""")"),"")</f>
        <v/>
      </c>
      <c r="AC310" s="246" t="str">
        <f>IFERROR(__xludf.DUMMYFUNCTION("IF(REGEXMATCH(C310, ""M""), ""6"","""")"),"6")</f>
        <v>6</v>
      </c>
      <c r="AD310" s="245" t="str">
        <f>IFERROR(__xludf.DUMMYFUNCTION("IF(REGEXMATCH(C310, ""P""), ""7"","""")"),"")</f>
        <v/>
      </c>
      <c r="AE310" s="246" t="str">
        <f>IFERROR(__xludf.DUMMYFUNCTION("IF(REGEXMATCH(C310, ""d""), ""8"","""")"),"8")</f>
        <v>8</v>
      </c>
      <c r="AF310" s="245" t="str">
        <f>IFERROR(__xludf.DUMMYFUNCTION("IF(REGEXMATCH(C310, ""D""), ""9"","""")"),"")</f>
        <v/>
      </c>
      <c r="AG310" s="245" t="str">
        <f>IFERROR(__xludf.DUMMYFUNCTION("IF(REGEXMATCH(C310, ""n""), ""10"","""")"),"10")</f>
        <v>10</v>
      </c>
      <c r="AH310" s="246" t="str">
        <f>IFERROR(__xludf.DUMMYFUNCTION("IF(REGEXMATCH(C310, ""N""), ""11"","""")"),"")</f>
        <v/>
      </c>
      <c r="AI310" s="249" t="str">
        <f>IFERROR(__xludf.DUMMYFUNCTION("IF(REGEXMATCH(C310, ""S""), ""0"","""")"),"0")</f>
        <v>0</v>
      </c>
      <c r="AJ310" s="313" t="str">
        <f t="shared" si="11"/>
        <v>T</v>
      </c>
      <c r="AK310" s="313" t="str">
        <f t="shared" si="12"/>
        <v>-</v>
      </c>
      <c r="AL310" s="313" t="str">
        <f t="shared" si="13"/>
        <v>T</v>
      </c>
      <c r="AM310" s="313" t="str">
        <f t="shared" si="14"/>
        <v>-</v>
      </c>
      <c r="AN310" s="313" t="str">
        <f t="shared" si="15"/>
        <v>T</v>
      </c>
      <c r="AO310" s="314" t="str">
        <f t="shared" si="16"/>
        <v>-</v>
      </c>
      <c r="AP310" s="316">
        <f t="shared" si="17"/>
        <v>3</v>
      </c>
      <c r="AQ310" s="319" t="str">
        <f t="shared" si="18"/>
        <v>#REF!</v>
      </c>
      <c r="AR310" s="320">
        <f t="shared" si="19"/>
        <v>0</v>
      </c>
      <c r="AS310" s="250" t="str">
        <f>IFERROR(__xludf.DUMMYFUNCTION("SUBSTITUTE(SUBSTITUTE(CONCATENATE(JOIN("""",FP310:GA310)),""|"",""x""),""-"",""o"")"),"xoxoxoxoxoxo")</f>
        <v>xoxoxoxoxoxo</v>
      </c>
      <c r="AT310" s="323" t="str">
        <f>IFERROR(__xludf.DUMMYFUNCTION("JOIN("""",AS310,AS310)"),"xoxoxoxoxoxoxoxoxoxoxoxo")</f>
        <v>xoxoxoxoxoxoxoxoxoxoxoxo</v>
      </c>
      <c r="AU310" s="256" t="str">
        <f>IFERROR(__xludf.DUMMYFUNCTION("JOIN("""",ArrayFormula(MID(AS310,LEN(AS310)-SEQUENCE(1,LEN(AS310))+1,1)))"),"oxoxoxoxoxox")</f>
        <v>oxoxoxoxoxox</v>
      </c>
      <c r="AV310" s="256" t="str">
        <f>IFERROR(__xludf.DUMMYFUNCTION("LEFT(CONCATENATE(""x"",JOIN("""",ArrayFormula(MID(AS310,LEN(AS310)-SEQUENCE(1,LEN(AS310))+1,1)))),12)"),"xoxoxoxoxoxo")</f>
        <v>xoxoxoxoxoxo</v>
      </c>
      <c r="AW310" s="327" t="str">
        <f>IFERROR(__xludf.DUMMYFUNCTION("JOIN("""",AU310,AU310)"),"oxoxoxoxoxoxoxoxoxoxoxox")</f>
        <v>oxoxoxoxoxoxoxoxoxoxoxox</v>
      </c>
      <c r="AX310" s="239" t="str">
        <f>IFERROR(__xludf.DUMMYFUNCTION("IF(REGEXMATCH(AW310,AS310),""✔"",""-"")"),"✔")</f>
        <v>✔</v>
      </c>
      <c r="AY310" s="330" t="str">
        <f t="shared" si="20"/>
        <v>✔</v>
      </c>
      <c r="AZ310" s="260" t="str">
        <f t="shared" si="21"/>
        <v>#REF!</v>
      </c>
      <c r="BA310" s="333" t="str">
        <f t="shared" si="22"/>
        <v>xoxoxox</v>
      </c>
      <c r="BB310" s="334" t="str">
        <f t="shared" si="23"/>
        <v>oxoxox</v>
      </c>
      <c r="BC310" s="335" t="str">
        <f t="shared" si="236"/>
        <v>-</v>
      </c>
      <c r="BD310" s="336" t="str">
        <f t="shared" si="25"/>
        <v>Sehera: 'xoxoxox' + 'oxoxox'</v>
      </c>
      <c r="BE310" s="337">
        <f>IFERROR(__xludf.DUMMYFUNCTION("COUNTUNIQUE(FILTER(AT:AT,REGEXMATCH(AT:AT,AS310)))-1"),0.0)</f>
        <v>0</v>
      </c>
      <c r="BF310" s="261" t="str">
        <f>IFERROR(__xludf.DUMMYFUNCTION("IF(BI310=0,""(n/a)"",IF(BJ310=2,""(PAIR)"",IF(REGEXMATCH(AT310,""xoxoxxoxoxox""),""Bilawal"",IF(REGEXMATCH(AT310,""xoxoxooxoxoo""),""Bhupali"",IF(REGEXMATCH(AT310,""xoxoxxoxxoxo""),""Charukeshi"",IF(REGEXMATCH(AT310,""xoxoooxxoxxo""),""Kameshwari"",IF(REG"&amp;"EXMATCH(AT310,""xoxoxooxoxox""),""Shankara"",IF(REGEXMATCH(AT310,""xxooxoxxxoox""),""Basant"",IF(REGEXMATCH(AT310,""xoxoxxxxoxox""),""Bihag"",IF(REGEXMATCH(AT310,""xoxxxxoxoxxx""),""Pilu"",IF(REGEXMATCH(AT310,""xoxxoxoxxoox""),""Kirwani"",IF(REGEXMATCH(AT"&amp;"310,""xoxxoxoxoxxx""),""Mk.Malhar"",IF(REGEXMATCH(AT310,""xxooxxoxxoox""),""Bhairav"",IF(REGEXMATCH(AT310,""xxoxooxxxoox""),""Todi"",IF(REGEXMATCH(AT310,""xxooxoxooxox""),""Marwa"",IF(REGEXMATCH(AT310,""xxoooxoxxooo""),""Gunkali"",IF(REGEXMATCH(AT310,""xo"&amp;"xoxxoxxoox""),""Nat Bhairav"",IF(REGEXMATCH(AT310,""xoxxoooxoxoo""),""Shivranjani"",IF(REGEXMATCH(AT310,""xooxxxoxooxo""),""Jog"",IF(REGEXMATCH(AT310,""xxooxoxoxoox""),""Hemshri"",IF(REGEXMATCH(AT310,""xoooxooxoxxo""),""Kalavati"",IF(REGEXMATCH(AT310,""xx"&amp;"oxoxxoxoox""),""Kedar"",IF(REGEXMATCH(AT310,""xoxxxxoxooxx""),""Gara"",IF(REGEXMATCH(AT310,""xooxoxooxoox""),""Chandrakauns"",IF(REGEXMATCH(AT310,""xoxxxxoxxxox""),""Mand"",IF(REGEXMATCH(AT310,""xoxxxxoxoxox""),""Hanskinkini"",IF(REGEXMATCH(AT310,""xxooxx"&amp;"oxooxo""),""Lilavati"",IF(REGEXMATCH(AT310,""xooxoxoooxox""),""Rajeshwari"",IF(REGEXMATCH(AT310,""xoooxxoxoxxx""),""Khokar"",IF(REGEXMATCH(AT310,""xxooxoxxxxox""),""Maligoura"",""-""))))))))))))))))))))))))))))))"),"(n/a)")</f>
        <v>(n/a)</v>
      </c>
      <c r="BG310" s="239" t="str">
        <f t="shared" si="26"/>
        <v>#REF!</v>
      </c>
      <c r="BH310" s="239">
        <f>IFERROR(__xludf.DUMMYFUNCTION("COUNTUNIQUE(FE310:FO310)-1"),1.0)</f>
        <v>1</v>
      </c>
      <c r="BI310" s="239">
        <f>IFERROR(__xludf.DUMMYFUNCTION("COUNTUNIQUE(FILTER(AT:AT,REGEXMATCH(AT:AT,AS310)))-1"),0.0)</f>
        <v>0</v>
      </c>
      <c r="BJ310" s="239">
        <f>IFERROR(__xludf.DUMMYFUNCTION("COUNTA(FILTER(AT:AT,REGEXMATCH(AT:AT,AS310)))"),1.0)</f>
        <v>1</v>
      </c>
      <c r="BK310" s="341">
        <f>IFERROR(__xludf.DUMMYFUNCTION("COUNTA(FILTER(AT:AT,REGEXMATCH(AT:AT,AS310)))-AR310"),1.0)</f>
        <v>1</v>
      </c>
      <c r="BL310" s="276" t="str">
        <f>IFERROR(__xludf.DUMMYFUNCTION("IF(AS310=""oooooooooooo"",""-"",IF(REGEXMATCH(AT310,""xx""), ""Hemi."", ""Anhemi.""))"),"Anhemi.")</f>
        <v>Anhemi.</v>
      </c>
      <c r="BM310" s="282" t="str">
        <f>IFERROR(__xludf.DUMMYFUNCTION("IF(AS310=""oooooooooooo"",""-"",IF(REGEXMATCH(AT310,""xxx""), ""Cohem."", ""-""))"),"-")</f>
        <v>-</v>
      </c>
      <c r="BN310" s="282" t="str">
        <f>IFERROR(__xludf.DUMMYFUNCTION("IF(AS310=""oooooooooooo"",""-"",IF(REGEXMATCH(AT310,""xxxx""), ""Co-Co."", ""-""))"),"-")</f>
        <v>-</v>
      </c>
      <c r="BO310" s="342" t="str">
        <f>IFERROR(__xludf.DUMMYFUNCTION("IF(AS310=""oooooooooooo"",""-"",IF(REGEXMATCH(AT310,""xxxxx""), ""CCC."", ""-""))"),"-")</f>
        <v>-</v>
      </c>
      <c r="BP310" s="344" t="str">
        <f t="shared" si="27"/>
        <v>-</v>
      </c>
      <c r="BQ310" s="282" t="str">
        <f>IFERROR(__xludf.DUMMYFUNCTION("IF(REGEXMATCH(JOIN(""-"",EU310:FD310),""TRUE""),""✔"",""-"")"),"-")</f>
        <v>-</v>
      </c>
      <c r="BR310" s="225">
        <f t="shared" si="28"/>
        <v>0</v>
      </c>
      <c r="BS310" s="345" t="str">
        <f>IFERROR(__xludf.DUMMYFUNCTION("SUBSTITUTE(SUBSTITUTE(SUBSTITUTE(SUBSTITUTE(CONCATENATE(JOIN(""-"",GC310:GO310)),""--"",""-""),""--"",""-""),""--"",""-""),""--"",""-"")"),"1-2-3-#4-b6-b7-8")</f>
        <v>1-2-3-#4-b6-b7-8</v>
      </c>
      <c r="BT310" s="299" t="str">
        <f>IFERROR(__xludf.DUMMYFUNCTION("SUBSTITUTE(SUBSTITUTE(SUBSTITUTE(SUBSTITUTE(CONCATENATE(JOIN(""-"",GP310:HB310)),""--"",""-""),""--"",""-""),""--"",""-""),""--"",""-"")"),"S-R2-G3-M2-D1-N2-S")</f>
        <v>S-R2-G3-M2-D1-N2-S</v>
      </c>
      <c r="BU310" s="348" t="str">
        <f t="shared" si="29"/>
        <v>C-D-E-F#-Ab-Bb-C</v>
      </c>
      <c r="BV310" s="349" t="str">
        <f t="shared" si="30"/>
        <v>SrgmPDNS</v>
      </c>
      <c r="BW310" s="350">
        <f t="shared" si="31"/>
        <v>1</v>
      </c>
      <c r="BX310" s="351">
        <f t="shared" si="32"/>
        <v>1</v>
      </c>
      <c r="BY310" s="392"/>
      <c r="BZ310" s="309" t="str">
        <f>IFERROR(__xludf.DUMMYFUNCTION("IF(REGEXMATCH(C310, ""S""), ""x"",""x"")"),"x")</f>
        <v>x</v>
      </c>
      <c r="CA310" s="245" t="str">
        <f>IFERROR(__xludf.DUMMYFUNCTION("IF(REGEXMATCH(C310, ""r""), ""o"",""x"")"),"x")</f>
        <v>x</v>
      </c>
      <c r="CB310" s="246" t="str">
        <f>IFERROR(__xludf.DUMMYFUNCTION("IF(REGEXMATCH(C310, ""R""), ""o"",""x"")"),"o")</f>
        <v>o</v>
      </c>
      <c r="CC310" s="246" t="str">
        <f>IFERROR(__xludf.DUMMYFUNCTION("IF(REGEXMATCH(C310, ""g""), ""o"",""x"")"),"x")</f>
        <v>x</v>
      </c>
      <c r="CD310" s="245" t="str">
        <f>IFERROR(__xludf.DUMMYFUNCTION("IF(REGEXMATCH(C310, ""G""), ""o"",""x"")"),"o")</f>
        <v>o</v>
      </c>
      <c r="CE310" s="245" t="str">
        <f>IFERROR(__xludf.DUMMYFUNCTION("IF(REGEXMATCH(C310, ""m""), ""o"",""x"")"),"x")</f>
        <v>x</v>
      </c>
      <c r="CF310" s="246" t="str">
        <f>IFERROR(__xludf.DUMMYFUNCTION("IF(REGEXMATCH(C310, ""M""), ""o"",""x"")"),"o")</f>
        <v>o</v>
      </c>
      <c r="CG310" s="245" t="str">
        <f>IFERROR(__xludf.DUMMYFUNCTION("IF(REGEXMATCH(C310, ""P""), ""o"",""x"")"),"x")</f>
        <v>x</v>
      </c>
      <c r="CH310" s="246" t="str">
        <f>IFERROR(__xludf.DUMMYFUNCTION("IF(REGEXMATCH(C310, ""d""), ""o"",""x"")"),"o")</f>
        <v>o</v>
      </c>
      <c r="CI310" s="245" t="str">
        <f>IFERROR(__xludf.DUMMYFUNCTION("IF(REGEXMATCH(C310, ""D""), ""o"",""x"")"),"x")</f>
        <v>x</v>
      </c>
      <c r="CJ310" s="245" t="str">
        <f>IFERROR(__xludf.DUMMYFUNCTION("IF(REGEXMATCH(C310, ""n""), ""o"",""x"")"),"o")</f>
        <v>o</v>
      </c>
      <c r="CK310" s="245" t="str">
        <f>IFERROR(__xludf.DUMMYFUNCTION("IF(REGEXMATCH(C310, ""N""), ""o"",""x"")"),"x")</f>
        <v>x</v>
      </c>
      <c r="CL310" s="356" t="str">
        <f>IFERROR(__xludf.DUMMYFUNCTION("IF(REGEXMATCH(C310, ""S""), ""x"",""x"")"),"x")</f>
        <v>x</v>
      </c>
      <c r="CM310" s="357" t="str">
        <f t="shared" si="33"/>
        <v>xxoxoxoxoxox</v>
      </c>
      <c r="CN310" s="358">
        <f t="shared" si="34"/>
        <v>1</v>
      </c>
      <c r="CO310" s="246" t="str">
        <f>IFERROR(__xludf.DUMMYFUNCTION("IF(REGEXMATCH($C310, ""S""), ""S"",""S"")"),"S")</f>
        <v>S</v>
      </c>
      <c r="CP310" s="246" t="str">
        <f>IFERROR(__xludf.DUMMYFUNCTION("IF(REGEXMATCH($C310, ""r""), """",""r"")"),"r")</f>
        <v>r</v>
      </c>
      <c r="CQ310" s="246" t="str">
        <f>IFERROR(__xludf.DUMMYFUNCTION("IF(REGEXMATCH($C310, ""R""), """",""R"")"),"")</f>
        <v/>
      </c>
      <c r="CR310" s="246" t="str">
        <f>IFERROR(__xludf.DUMMYFUNCTION("IF(REGEXMATCH($C310, ""g""), """",""g"")"),"g")</f>
        <v>g</v>
      </c>
      <c r="CS310" s="246" t="str">
        <f>IFERROR(__xludf.DUMMYFUNCTION("IF(REGEXMATCH($C310, ""G""), """",""G"")"),"")</f>
        <v/>
      </c>
      <c r="CT310" s="246" t="str">
        <f>IFERROR(__xludf.DUMMYFUNCTION("IF(REGEXMATCH($C310, ""m""), """",""m"")"),"m")</f>
        <v>m</v>
      </c>
      <c r="CU310" s="246" t="str">
        <f>IFERROR(__xludf.DUMMYFUNCTION("IF(REGEXMATCH($C310, ""M""), """",""M"")"),"")</f>
        <v/>
      </c>
      <c r="CV310" s="246" t="str">
        <f>IFERROR(__xludf.DUMMYFUNCTION("IF(REGEXMATCH($C310, ""P""), """",""P"")"),"P")</f>
        <v>P</v>
      </c>
      <c r="CW310" s="246" t="str">
        <f>IFERROR(__xludf.DUMMYFUNCTION("IF(REGEXMATCH($C310, ""d""), """",""d"")"),"")</f>
        <v/>
      </c>
      <c r="CX310" s="246" t="str">
        <f>IFERROR(__xludf.DUMMYFUNCTION("IF(REGEXMATCH($C310, ""D""), """",""D"")"),"D")</f>
        <v>D</v>
      </c>
      <c r="CY310" s="246" t="str">
        <f>IFERROR(__xludf.DUMMYFUNCTION("IF(REGEXMATCH($C310, ""n""), """",""n"")"),"")</f>
        <v/>
      </c>
      <c r="CZ310" s="246" t="str">
        <f>IFERROR(__xludf.DUMMYFUNCTION("IF(REGEXMATCH($C310, ""N""), """",""N"")"),"N")</f>
        <v>N</v>
      </c>
      <c r="DA310" s="246" t="str">
        <f>IFERROR(__xludf.DUMMYFUNCTION("IF(REGEXMATCH($C310, ""S""), ""S"",""S"")"),"S")</f>
        <v>S</v>
      </c>
      <c r="DB310" s="362" t="str">
        <f>IFERROR(__xludf.DUMMYFUNCTION("JOIN("""",CO310:DA310,"""","""")"),"SrgmPDNS")</f>
        <v>SrgmPDNS</v>
      </c>
      <c r="DC310" s="363"/>
      <c r="DD310" s="301" t="str">
        <f t="shared" si="35"/>
        <v>#REF!</v>
      </c>
      <c r="DE310" s="302" t="str">
        <f t="shared" si="36"/>
        <v>#REF!</v>
      </c>
      <c r="DF310" s="301" t="str">
        <f t="shared" ref="DF310:DG310" si="848">SUBSTITUTE(S310,"-","")</f>
        <v>SRGM</v>
      </c>
      <c r="DG310" s="301" t="str">
        <f t="shared" si="848"/>
        <v>DNS</v>
      </c>
      <c r="DH310" s="302" t="str">
        <f t="shared" si="38"/>
        <v>(n/a)</v>
      </c>
      <c r="DI310" s="301" t="str">
        <f t="shared" si="39"/>
        <v>Anhemi.</v>
      </c>
      <c r="DJ310" s="364" t="str">
        <f t="shared" si="40"/>
        <v>-</v>
      </c>
      <c r="DK310" s="306" t="str">
        <f t="shared" si="41"/>
        <v>-</v>
      </c>
      <c r="DL310" s="366" t="str">
        <f t="shared" si="42"/>
        <v>-</v>
      </c>
      <c r="DM310" s="308" t="str">
        <f t="shared" si="43"/>
        <v>✔</v>
      </c>
      <c r="DN310" s="306" t="str">
        <f t="shared" si="44"/>
        <v>-</v>
      </c>
      <c r="DO310" s="306" t="str">
        <f t="shared" si="45"/>
        <v>-</v>
      </c>
      <c r="DP310" s="367" t="str">
        <f t="shared" si="46"/>
        <v>✔</v>
      </c>
      <c r="DQ310" s="310" t="str">
        <f t="shared" si="47"/>
        <v>-</v>
      </c>
      <c r="DR310" s="310" t="str">
        <f t="shared" si="48"/>
        <v>-</v>
      </c>
      <c r="DS310" s="310" t="str">
        <f t="shared" si="49"/>
        <v>-</v>
      </c>
      <c r="DT310" s="310" t="str">
        <f t="shared" si="50"/>
        <v>-</v>
      </c>
      <c r="DU310" s="370" t="str">
        <f t="shared" si="51"/>
        <v>-</v>
      </c>
      <c r="DV310" s="306" t="str">
        <f t="shared" si="52"/>
        <v>-</v>
      </c>
      <c r="DW310" s="306" t="str">
        <f t="shared" si="53"/>
        <v>-</v>
      </c>
      <c r="DX310" s="306" t="str">
        <f t="shared" si="54"/>
        <v>-</v>
      </c>
      <c r="DY310" s="306" t="str">
        <f t="shared" si="55"/>
        <v>✔</v>
      </c>
      <c r="DZ310" s="306" t="str">
        <f t="shared" si="56"/>
        <v>-</v>
      </c>
      <c r="EA310" s="367" t="str">
        <f t="shared" si="57"/>
        <v>-</v>
      </c>
      <c r="EB310" s="310" t="str">
        <f>IFERROR(__xludf.DUMMYFUNCTION("IF(REGEXMATCH(AW310,AS310),""✔"",""-"")"),"✔")</f>
        <v>✔</v>
      </c>
      <c r="EC310" s="310" t="str">
        <f t="shared" si="58"/>
        <v>#REF!</v>
      </c>
      <c r="ED310" s="370" t="str">
        <f t="shared" si="59"/>
        <v>✔</v>
      </c>
      <c r="EE310" s="340" t="str">
        <f t="shared" si="60"/>
        <v>S-R-G-M-d-n-S</v>
      </c>
      <c r="EF310" s="371" t="str">
        <f>IFERROR(__xludf.DUMMYFUNCTION("CONCATENATE(JOIN("""",HC310:HO310))"),"SRGMdnS")</f>
        <v>SRGMdnS</v>
      </c>
      <c r="EG310" s="372">
        <f t="shared" si="61"/>
        <v>6</v>
      </c>
      <c r="EH310" s="373" t="str">
        <f>IFERROR(__xludf.DUMMYFUNCTION("CONCATENATE(JOIN("""",JC310:JO310))"),"Sa, Re, Ga, Ma, dha, ni, ")</f>
        <v>Sa, Re, Ga, Ma, dha, ni, </v>
      </c>
      <c r="EI310" s="322">
        <f t="shared" si="62"/>
        <v>6</v>
      </c>
      <c r="EJ310" s="374" t="str">
        <f>IFERROR(__xludf.DUMMYFUNCTION("CONCATENATE(JOIN("""",KC310:KO310))"),"Sa, Re, Ga, Ma, dha, ni, ")</f>
        <v>Sa, Re, Ga, Ma, dha, ni, </v>
      </c>
      <c r="EK310" s="325" t="str">
        <f t="shared" si="63"/>
        <v>S-R2-G3-M2-D1-N2-S</v>
      </c>
      <c r="EL310" s="326" t="str">
        <f t="shared" si="64"/>
        <v>1-2-3-#4-b6-b7-8</v>
      </c>
      <c r="EM310" s="318" t="str">
        <f t="shared" si="65"/>
        <v>#REF!</v>
      </c>
      <c r="EN310" s="328" t="str">
        <f>IFERROR(__xludf.DUMMYFUNCTION("SUBSTITUTE(SUBSTITUTE(SUBSTITUTE(SUBSTITUTE(CONCATENATE(JOIN("" "",HP310:IB310)),""  "","" ""),""  "","" ""),""  "","" ""),""  "","" "")"),"o • o • o • o • o • o • o")</f>
        <v>o • o • o • o • o • o • o</v>
      </c>
      <c r="EO310" s="368" t="str">
        <f t="shared" si="66"/>
        <v>Sa-Pa</v>
      </c>
      <c r="EP310" s="339" t="str">
        <f t="shared" si="67"/>
        <v>Sa-Pa</v>
      </c>
      <c r="EQ310" s="339" t="str">
        <f t="shared" si="68"/>
        <v>-</v>
      </c>
      <c r="ER310" s="339" t="str">
        <f t="shared" si="69"/>
        <v>-</v>
      </c>
      <c r="ES310" s="340" t="str">
        <f t="shared" si="70"/>
        <v>-</v>
      </c>
      <c r="ET310" s="363"/>
      <c r="EU310" s="376" t="b">
        <f>IFERROR(__xludf.DUMMYFUNCTION("arrayformula(sum(--REGEXMATCH(""SRGMPDNS"",split(REGEXREPLACE(C310,""(.)"",""$1~""),""~""))))=len(C310)
"),FALSE)</f>
        <v>0</v>
      </c>
      <c r="EV310" s="290" t="b">
        <f>IFERROR(__xludf.DUMMYFUNCTION("arrayformula(sum(--REGEXMATCH(""SRGmPDNS"",split(REGEXREPLACE(C310,""(.)"",""$1~""),""~""))))=len(C310)"),FALSE)</f>
        <v>0</v>
      </c>
      <c r="EW310" s="290" t="b">
        <f>IFERROR(__xludf.DUMMYFUNCTION("arrayformula(sum(--REGEXMATCH(""SRGmPDnS"",split(REGEXREPLACE(C310,""(.)"",""$1~""),""~""))))=len(C310)"),FALSE)</f>
        <v>0</v>
      </c>
      <c r="EX310" s="290" t="b">
        <f>IFERROR(__xludf.DUMMYFUNCTION("arrayformula(sum(--REGEXMATCH(""SRgmPDnS"",split(REGEXREPLACE(C310,""(.)"",""$1~""),""~""))))=len(C310)"),FALSE)</f>
        <v>0</v>
      </c>
      <c r="EY310" s="290" t="b">
        <f>IFERROR(__xludf.DUMMYFUNCTION("arrayformula(sum(--REGEXMATCH(""SRgmPdnS"",split(REGEXREPLACE(C310,""(.)"",""$1~""),""~""))))=len(C310)"),FALSE)</f>
        <v>0</v>
      </c>
      <c r="EZ310" s="290" t="b">
        <f>IFERROR(__xludf.DUMMYFUNCTION("arrayformula(sum(--REGEXMATCH(""SrgmPdnS"",split(REGEXREPLACE(C310,""(.)"",""$1~""),""~""))))=len(C310)"),FALSE)</f>
        <v>0</v>
      </c>
      <c r="FA310" s="290" t="b">
        <f>IFERROR(__xludf.DUMMYFUNCTION("arrayformula(sum(--REGEXMATCH(""SrGmPdNS"",split(REGEXREPLACE(C310,""(.)"",""$1~""),""~""))))=len(C310)"),FALSE)</f>
        <v>0</v>
      </c>
      <c r="FB310" s="290" t="b">
        <f>IFERROR(__xludf.DUMMYFUNCTION("arrayformula(sum(--REGEXMATCH(""SrGMPDNS"",split(REGEXREPLACE(C310,""(.)"",""$1~""),""~""))))=len(C310)"),FALSE)</f>
        <v>0</v>
      </c>
      <c r="FC310" s="290" t="b">
        <f>IFERROR(__xludf.DUMMYFUNCTION("arrayformula(sum(--REGEXMATCH(""SrGMPdNS"",split(REGEXREPLACE(C310,""(.)"",""$1~""),""~""))))=len(C310)"),FALSE)</f>
        <v>0</v>
      </c>
      <c r="FD310" s="377" t="b">
        <f>IFERROR(__xludf.DUMMYFUNCTION("arrayformula(sum(--REGEXMATCH(""SrgMPdNS"",split(REGEXREPLACE(C310,""(.)"",""$1~""),""~""))))=len(C310)"),FALSE)</f>
        <v>0</v>
      </c>
      <c r="FE310" s="269" t="str">
        <f t="shared" si="71"/>
        <v>-</v>
      </c>
      <c r="FF310" s="269" t="str">
        <f t="shared" si="72"/>
        <v>xoxoxoxoxox</v>
      </c>
      <c r="FG310" s="271" t="str">
        <f t="shared" si="73"/>
        <v>-</v>
      </c>
      <c r="FH310" s="269" t="str">
        <f t="shared" si="74"/>
        <v>xoxoxoxoxox</v>
      </c>
      <c r="FI310" s="271" t="str">
        <f t="shared" si="75"/>
        <v>-</v>
      </c>
      <c r="FJ310" s="271" t="str">
        <f t="shared" si="76"/>
        <v>xoxoxoxoxox</v>
      </c>
      <c r="FK310" s="271" t="str">
        <f t="shared" si="77"/>
        <v>-</v>
      </c>
      <c r="FL310" s="271" t="str">
        <f t="shared" si="78"/>
        <v>xoxoxoxoxox</v>
      </c>
      <c r="FM310" s="271" t="str">
        <f t="shared" si="79"/>
        <v>-</v>
      </c>
      <c r="FN310" s="271" t="str">
        <f t="shared" si="80"/>
        <v>xoxoxoxoxox</v>
      </c>
      <c r="FO310" s="274" t="str">
        <f t="shared" si="81"/>
        <v>-</v>
      </c>
      <c r="FP310" s="234" t="str">
        <f t="shared" si="82"/>
        <v>|</v>
      </c>
      <c r="FQ310" s="236" t="str">
        <f t="shared" si="83"/>
        <v>-</v>
      </c>
      <c r="FR310" s="237" t="str">
        <f t="shared" si="84"/>
        <v>|</v>
      </c>
      <c r="FS310" s="236" t="str">
        <f t="shared" si="85"/>
        <v>-</v>
      </c>
      <c r="FT310" s="237" t="str">
        <f t="shared" si="86"/>
        <v>|</v>
      </c>
      <c r="FU310" s="236" t="str">
        <f t="shared" si="87"/>
        <v>-</v>
      </c>
      <c r="FV310" s="237" t="str">
        <f t="shared" si="88"/>
        <v>|</v>
      </c>
      <c r="FW310" s="236" t="str">
        <f t="shared" si="89"/>
        <v>-</v>
      </c>
      <c r="FX310" s="237" t="str">
        <f t="shared" si="90"/>
        <v>|</v>
      </c>
      <c r="FY310" s="236" t="str">
        <f t="shared" si="91"/>
        <v>-</v>
      </c>
      <c r="FZ310" s="237" t="str">
        <f t="shared" si="92"/>
        <v>|</v>
      </c>
      <c r="GA310" s="236" t="str">
        <f t="shared" si="93"/>
        <v>-</v>
      </c>
      <c r="GB310" s="238" t="str">
        <f t="shared" si="94"/>
        <v>|</v>
      </c>
      <c r="GC310" s="244" t="str">
        <f>IFERROR(__xludf.DUMMYFUNCTION("IF(REGEXMATCH(C310, ""S""), ""1"","""")"),"1")</f>
        <v>1</v>
      </c>
      <c r="GD310" s="245" t="str">
        <f>IFERROR(__xludf.DUMMYFUNCTION("IF(REGEXMATCH(C310, ""r""), ""b2"","""")"),"")</f>
        <v/>
      </c>
      <c r="GE310" s="246" t="str">
        <f>IFERROR(__xludf.DUMMYFUNCTION("IF(REGEXMATCH(C310, ""R""), ""2"","""")"),"2")</f>
        <v>2</v>
      </c>
      <c r="GF310" s="246" t="str">
        <f>IFERROR(__xludf.DUMMYFUNCTION("IF(REGEXMATCH(C310, ""g""), ""b3"","""")"),"")</f>
        <v/>
      </c>
      <c r="GG310" s="245" t="str">
        <f>IFERROR(__xludf.DUMMYFUNCTION("IF(REGEXMATCH(C310, ""G""), ""3"","""")"),"3")</f>
        <v>3</v>
      </c>
      <c r="GH310" s="245" t="str">
        <f>IFERROR(__xludf.DUMMYFUNCTION("IF(REGEXMATCH(C310, ""m""), ""4"","""")"),"")</f>
        <v/>
      </c>
      <c r="GI310" s="246" t="str">
        <f>IFERROR(__xludf.DUMMYFUNCTION("IF(REGEXMATCH(C310, ""M""), ""#4"","""")"),"#4")</f>
        <v>#4</v>
      </c>
      <c r="GJ310" s="245" t="str">
        <f>IFERROR(__xludf.DUMMYFUNCTION("IF(REGEXMATCH(C310, ""P""), ""5"","""")"),"")</f>
        <v/>
      </c>
      <c r="GK310" s="246" t="str">
        <f>IFERROR(__xludf.DUMMYFUNCTION("IF(REGEXMATCH(C310, ""d""), ""b6"","""")"),"b6")</f>
        <v>b6</v>
      </c>
      <c r="GL310" s="245" t="str">
        <f>IFERROR(__xludf.DUMMYFUNCTION("IF(REGEXMATCH(C310, ""D""), ""6"","""")"),"")</f>
        <v/>
      </c>
      <c r="GM310" s="245" t="str">
        <f>IFERROR(__xludf.DUMMYFUNCTION("IF(REGEXMATCH(C310, ""n""), ""b7"","""")"),"b7")</f>
        <v>b7</v>
      </c>
      <c r="GN310" s="246" t="str">
        <f>IFERROR(__xludf.DUMMYFUNCTION("IF(REGEXMATCH(C310, ""N""), ""7"","""")"),"")</f>
        <v/>
      </c>
      <c r="GO310" s="249" t="str">
        <f>IFERROR(__xludf.DUMMYFUNCTION("IF(REGEXMATCH(C310, ""S""), ""8"","""")"),"8")</f>
        <v>8</v>
      </c>
      <c r="GP310" s="244" t="str">
        <f>IFERROR(__xludf.DUMMYFUNCTION("IF(REGEXMATCH(C310, ""S""), ""S"","""")"),"S")</f>
        <v>S</v>
      </c>
      <c r="GQ310" s="294" t="str">
        <f>IFERROR(__xludf.DUMMYFUNCTION("IF(REGEXMATCH(C310, ""r""), ""R1"","""")"),"")</f>
        <v/>
      </c>
      <c r="GR310" s="295" t="str">
        <f>IFERROR(__xludf.DUMMYFUNCTION("IF(REGEXMATCH(C310, ""R""), ""R2"","""")"),"R2")</f>
        <v>R2</v>
      </c>
      <c r="GS310" s="295" t="str">
        <f>IFERROR(__xludf.DUMMYFUNCTION("IF(REGEXMATCH(C310, ""g""), ""G2"","""")"),"")</f>
        <v/>
      </c>
      <c r="GT310" s="294" t="str">
        <f>IFERROR(__xludf.DUMMYFUNCTION("IF(REGEXMATCH(C310, ""G""), ""G3"","""")"),"G3")</f>
        <v>G3</v>
      </c>
      <c r="GU310" s="294" t="str">
        <f>IFERROR(__xludf.DUMMYFUNCTION("IF(REGEXMATCH(C310, ""m""), ""M1"","""")"),"")</f>
        <v/>
      </c>
      <c r="GV310" s="295" t="str">
        <f>IFERROR(__xludf.DUMMYFUNCTION("IF(REGEXMATCH(C310, ""M""), ""M2"","""")"),"M2")</f>
        <v>M2</v>
      </c>
      <c r="GW310" s="294" t="str">
        <f>IFERROR(__xludf.DUMMYFUNCTION("IF(REGEXMATCH(C310, ""P""), ""P"","""")"),"")</f>
        <v/>
      </c>
      <c r="GX310" s="295" t="str">
        <f>IFERROR(__xludf.DUMMYFUNCTION("IF(REGEXMATCH(C310, ""d""), ""D1"","""")"),"D1")</f>
        <v>D1</v>
      </c>
      <c r="GY310" s="294" t="str">
        <f>IFERROR(__xludf.DUMMYFUNCTION("IF(REGEXMATCH(C310, ""D""), ""D2"","""")"),"")</f>
        <v/>
      </c>
      <c r="GZ310" s="294" t="str">
        <f>IFERROR(__xludf.DUMMYFUNCTION("IF(REGEXMATCH(C310, ""n""), ""N2"","""")"),"N2")</f>
        <v>N2</v>
      </c>
      <c r="HA310" s="295" t="str">
        <f>IFERROR(__xludf.DUMMYFUNCTION("IF(REGEXMATCH(C310, ""N""), ""N3"","""")"),"")</f>
        <v/>
      </c>
      <c r="HB310" s="249" t="str">
        <f>IFERROR(__xludf.DUMMYFUNCTION("IF(REGEXMATCH(C310, ""S""), ""S"","""")"),"S")</f>
        <v>S</v>
      </c>
      <c r="HC310" s="331" t="str">
        <f t="shared" si="95"/>
        <v>S</v>
      </c>
      <c r="HD310" s="332" t="str">
        <f t="shared" si="96"/>
        <v/>
      </c>
      <c r="HE310" s="332" t="str">
        <f t="shared" si="97"/>
        <v>R</v>
      </c>
      <c r="HF310" s="332" t="str">
        <f t="shared" si="98"/>
        <v/>
      </c>
      <c r="HG310" s="332" t="str">
        <f t="shared" si="99"/>
        <v>G</v>
      </c>
      <c r="HH310" s="332" t="str">
        <f t="shared" si="100"/>
        <v/>
      </c>
      <c r="HI310" s="332" t="str">
        <f t="shared" si="101"/>
        <v>M</v>
      </c>
      <c r="HJ310" s="332" t="str">
        <f t="shared" si="102"/>
        <v/>
      </c>
      <c r="HK310" s="332" t="str">
        <f t="shared" si="103"/>
        <v>d</v>
      </c>
      <c r="HL310" s="332" t="str">
        <f t="shared" si="104"/>
        <v/>
      </c>
      <c r="HM310" s="332" t="str">
        <f t="shared" si="105"/>
        <v>n</v>
      </c>
      <c r="HN310" s="332" t="str">
        <f t="shared" si="106"/>
        <v/>
      </c>
      <c r="HO310" s="343" t="str">
        <f t="shared" si="107"/>
        <v>S</v>
      </c>
      <c r="HP310" s="331" t="str">
        <f t="shared" si="108"/>
        <v>o</v>
      </c>
      <c r="HQ310" s="332" t="str">
        <f t="shared" si="109"/>
        <v>•</v>
      </c>
      <c r="HR310" s="332" t="str">
        <f t="shared" si="110"/>
        <v>o</v>
      </c>
      <c r="HS310" s="332" t="str">
        <f t="shared" si="111"/>
        <v>•</v>
      </c>
      <c r="HT310" s="332" t="str">
        <f t="shared" si="112"/>
        <v>o</v>
      </c>
      <c r="HU310" s="332" t="str">
        <f t="shared" si="113"/>
        <v>•</v>
      </c>
      <c r="HV310" s="332" t="str">
        <f t="shared" si="114"/>
        <v>o</v>
      </c>
      <c r="HW310" s="332" t="str">
        <f t="shared" si="115"/>
        <v>•</v>
      </c>
      <c r="HX310" s="332" t="str">
        <f t="shared" si="116"/>
        <v>o</v>
      </c>
      <c r="HY310" s="332" t="str">
        <f t="shared" si="117"/>
        <v>•</v>
      </c>
      <c r="HZ310" s="332" t="str">
        <f t="shared" si="118"/>
        <v>o</v>
      </c>
      <c r="IA310" s="332" t="str">
        <f t="shared" si="119"/>
        <v>•</v>
      </c>
      <c r="IB310" s="338" t="str">
        <f t="shared" si="120"/>
        <v>o</v>
      </c>
      <c r="IC310" s="331" t="str">
        <f t="shared" si="121"/>
        <v>•</v>
      </c>
      <c r="ID310" s="332" t="str">
        <f t="shared" si="122"/>
        <v>o</v>
      </c>
      <c r="IE310" s="332" t="str">
        <f t="shared" si="123"/>
        <v>•</v>
      </c>
      <c r="IF310" s="332" t="str">
        <f t="shared" si="124"/>
        <v>o</v>
      </c>
      <c r="IG310" s="332" t="str">
        <f t="shared" si="125"/>
        <v>•</v>
      </c>
      <c r="IH310" s="332" t="str">
        <f t="shared" si="126"/>
        <v>o</v>
      </c>
      <c r="II310" s="332" t="str">
        <f t="shared" si="127"/>
        <v>•</v>
      </c>
      <c r="IJ310" s="332" t="str">
        <f t="shared" si="128"/>
        <v>o</v>
      </c>
      <c r="IK310" s="332" t="str">
        <f t="shared" si="129"/>
        <v>•</v>
      </c>
      <c r="IL310" s="332" t="str">
        <f t="shared" si="130"/>
        <v>o</v>
      </c>
      <c r="IM310" s="332" t="str">
        <f t="shared" si="131"/>
        <v>•</v>
      </c>
      <c r="IN310" s="332" t="str">
        <f t="shared" si="132"/>
        <v>o</v>
      </c>
      <c r="IO310" s="338" t="str">
        <f t="shared" si="133"/>
        <v>•</v>
      </c>
      <c r="IP310" s="346" t="b">
        <f t="shared" si="134"/>
        <v>1</v>
      </c>
      <c r="IQ310" s="347" t="b">
        <f t="shared" si="135"/>
        <v>0</v>
      </c>
      <c r="IR310" s="347" t="b">
        <f t="shared" si="136"/>
        <v>1</v>
      </c>
      <c r="IS310" s="347" t="b">
        <f t="shared" si="137"/>
        <v>0</v>
      </c>
      <c r="IT310" s="347" t="b">
        <f t="shared" si="138"/>
        <v>1</v>
      </c>
      <c r="IU310" s="347" t="b">
        <f t="shared" si="139"/>
        <v>0</v>
      </c>
      <c r="IV310" s="347" t="b">
        <f t="shared" si="140"/>
        <v>1</v>
      </c>
      <c r="IW310" s="347" t="b">
        <f t="shared" si="141"/>
        <v>0</v>
      </c>
      <c r="IX310" s="347" t="b">
        <f t="shared" si="142"/>
        <v>1</v>
      </c>
      <c r="IY310" s="347" t="b">
        <f t="shared" si="143"/>
        <v>0</v>
      </c>
      <c r="IZ310" s="347" t="b">
        <f t="shared" si="144"/>
        <v>1</v>
      </c>
      <c r="JA310" s="347" t="b">
        <f t="shared" si="145"/>
        <v>0</v>
      </c>
      <c r="JB310" s="353" t="b">
        <f t="shared" si="146"/>
        <v>1</v>
      </c>
      <c r="JC310" s="354" t="str">
        <f t="shared" si="147"/>
        <v>Sa, </v>
      </c>
      <c r="JD310" s="355" t="str">
        <f t="shared" si="148"/>
        <v/>
      </c>
      <c r="JE310" s="355" t="str">
        <f t="shared" si="149"/>
        <v>Re, </v>
      </c>
      <c r="JF310" s="355" t="str">
        <f t="shared" si="150"/>
        <v/>
      </c>
      <c r="JG310" s="355" t="str">
        <f t="shared" si="151"/>
        <v>Ga, </v>
      </c>
      <c r="JH310" s="355" t="str">
        <f t="shared" si="152"/>
        <v/>
      </c>
      <c r="JI310" s="355" t="str">
        <f t="shared" si="153"/>
        <v>Ma, </v>
      </c>
      <c r="JJ310" s="355" t="str">
        <f t="shared" si="154"/>
        <v/>
      </c>
      <c r="JK310" s="355" t="str">
        <f t="shared" si="155"/>
        <v>dha, </v>
      </c>
      <c r="JL310" s="355" t="str">
        <f t="shared" si="156"/>
        <v/>
      </c>
      <c r="JM310" s="355" t="str">
        <f t="shared" si="157"/>
        <v>ni, </v>
      </c>
      <c r="JN310" s="355" t="str">
        <f t="shared" si="158"/>
        <v/>
      </c>
      <c r="JO310" s="359" t="str">
        <f t="shared" si="159"/>
        <v/>
      </c>
      <c r="JP310" s="346" t="b">
        <f t="shared" si="160"/>
        <v>1</v>
      </c>
      <c r="JQ310" s="347" t="b">
        <f t="shared" si="161"/>
        <v>0</v>
      </c>
      <c r="JR310" s="347" t="b">
        <f t="shared" si="162"/>
        <v>1</v>
      </c>
      <c r="JS310" s="347" t="b">
        <f t="shared" si="163"/>
        <v>0</v>
      </c>
      <c r="JT310" s="347" t="b">
        <f t="shared" si="164"/>
        <v>1</v>
      </c>
      <c r="JU310" s="347" t="b">
        <f t="shared" si="165"/>
        <v>0</v>
      </c>
      <c r="JV310" s="347" t="b">
        <f t="shared" si="166"/>
        <v>1</v>
      </c>
      <c r="JW310" s="347" t="b">
        <f t="shared" si="167"/>
        <v>0</v>
      </c>
      <c r="JX310" s="347" t="b">
        <f t="shared" si="168"/>
        <v>1</v>
      </c>
      <c r="JY310" s="347" t="b">
        <f t="shared" si="169"/>
        <v>0</v>
      </c>
      <c r="JZ310" s="347" t="b">
        <f t="shared" si="170"/>
        <v>1</v>
      </c>
      <c r="KA310" s="347" t="b">
        <f t="shared" si="171"/>
        <v>0</v>
      </c>
      <c r="KB310" s="365" t="b">
        <f t="shared" si="172"/>
        <v>1</v>
      </c>
      <c r="KC310" s="354" t="str">
        <f t="shared" si="173"/>
        <v>Sa, </v>
      </c>
      <c r="KD310" s="355" t="str">
        <f t="shared" si="174"/>
        <v/>
      </c>
      <c r="KE310" s="355" t="str">
        <f t="shared" si="175"/>
        <v>Re, </v>
      </c>
      <c r="KF310" s="355" t="str">
        <f t="shared" si="176"/>
        <v/>
      </c>
      <c r="KG310" s="355" t="str">
        <f t="shared" si="177"/>
        <v>Ga, </v>
      </c>
      <c r="KH310" s="355" t="str">
        <f t="shared" si="178"/>
        <v/>
      </c>
      <c r="KI310" s="355" t="str">
        <f t="shared" si="179"/>
        <v>Ma, </v>
      </c>
      <c r="KJ310" s="355" t="str">
        <f t="shared" si="180"/>
        <v/>
      </c>
      <c r="KK310" s="355" t="str">
        <f t="shared" si="181"/>
        <v>dha, </v>
      </c>
      <c r="KL310" s="355" t="str">
        <f t="shared" si="182"/>
        <v/>
      </c>
      <c r="KM310" s="355" t="str">
        <f t="shared" si="183"/>
        <v>ni, </v>
      </c>
      <c r="KN310" s="355" t="str">
        <f t="shared" si="184"/>
        <v/>
      </c>
      <c r="KO310" s="359"/>
      <c r="KP310" s="378"/>
      <c r="KQ310" s="379" t="s">
        <v>1142</v>
      </c>
      <c r="KR310" s="380" t="s">
        <v>1484</v>
      </c>
      <c r="KS310" s="381" t="str">
        <f t="shared" ref="KS310:KS312" si="851">KQ310</f>
        <v>S-R-G-M-d-n-S</v>
      </c>
      <c r="KT310" s="382">
        <f t="shared" si="186"/>
        <v>6</v>
      </c>
      <c r="KU310" s="383">
        <f t="shared" si="187"/>
        <v>6</v>
      </c>
      <c r="KV310" s="381" t="str">
        <f t="shared" si="205"/>
        <v>S-n-d-M-G-R-S</v>
      </c>
      <c r="KW310" s="382">
        <f t="shared" si="189"/>
        <v>6</v>
      </c>
      <c r="KX310" s="384">
        <f t="shared" si="190"/>
        <v>6</v>
      </c>
      <c r="KY310" s="382">
        <f t="shared" ref="KY310:KZ310" si="849">KW310-KT310</f>
        <v>0</v>
      </c>
      <c r="KZ310" s="369">
        <f t="shared" si="849"/>
        <v>0</v>
      </c>
      <c r="LA310" s="385" t="str">
        <f t="shared" si="192"/>
        <v>✔</v>
      </c>
      <c r="LB310" s="340" t="str">
        <f>IFERROR(__xludf.DUMMYFUNCTION("JOIN("""",ArrayFormula(MID(KS310,LEN(KS310)-SEQUENCE(1,LEN(KS310))+1,1)))"),"S-n-d-M-G-R-S")</f>
        <v>S-n-d-M-G-R-S</v>
      </c>
      <c r="LC310" s="373" t="str">
        <f>IFERROR(__xludf.DUMMYFUNCTION("JOIN("""",ArrayFormula(MID(KV310,LEN(KV310)-SEQUENCE(1,LEN(KV310))+1,1)))"),"S-R-G-M-d-n-S")</f>
        <v>S-R-G-M-d-n-S</v>
      </c>
      <c r="LD310" s="373" t="str">
        <f t="shared" si="193"/>
        <v>SRGMdnS</v>
      </c>
      <c r="LE310" s="339" t="str">
        <f t="shared" si="194"/>
        <v>SRGMdnS</v>
      </c>
      <c r="LF310" s="386" t="str">
        <f>IFERROR(__xludf.DUMMYFUNCTION("SUBSTITUTE(SUBSTITUTE(CONCATENATE(JOIN("""",LH310:LT310)),""1"",""""),""2"","""")"),"SRGMdnS")</f>
        <v>SRGMdnS</v>
      </c>
      <c r="LG310" s="369" t="str">
        <f t="shared" si="195"/>
        <v>✔</v>
      </c>
      <c r="LH310" s="387" t="str">
        <f>IFERROR(__xludf.DUMMYFUNCTION("IF(REGEXMATCH(LD310, ""S""), ""S"",IF(REGEXMATCH(LE310, ""S""), ""S"",""""))"),"S")</f>
        <v>S</v>
      </c>
      <c r="LI310" s="299" t="str">
        <f>IFERROR(__xludf.DUMMYFUNCTION("IF(REGEXMATCH(LD310, ""r""), ""r1"",IF(REGEXMATCH(LE310, ""r""), ""r2"",""""))"),"")</f>
        <v/>
      </c>
      <c r="LJ310" s="299" t="str">
        <f>IFERROR(__xludf.DUMMYFUNCTION("IF(REGEXMATCH(LD310, ""R""), ""R1"",IF(REGEXMATCH(LE310, ""R""), ""R2"",""""))"),"R1")</f>
        <v>R1</v>
      </c>
      <c r="LK310" s="299" t="str">
        <f>IFERROR(__xludf.DUMMYFUNCTION("IF(REGEXMATCH(LD310, ""g""), ""g1"",IF(REGEXMATCH(LE310, ""g""), ""g2"",""""))"),"")</f>
        <v/>
      </c>
      <c r="LL310" s="299" t="str">
        <f>IFERROR(__xludf.DUMMYFUNCTION("IF(REGEXMATCH(LD310, ""G""), ""G1"",IF(REGEXMATCH(LE310, ""G""), ""G2"",""""))"),"G1")</f>
        <v>G1</v>
      </c>
      <c r="LM310" s="299" t="str">
        <f>IFERROR(__xludf.DUMMYFUNCTION("IF(REGEXMATCH(LD310, ""m""), ""m1"",IF(REGEXMATCH(LE310, ""m""), ""m2"",""""))"),"")</f>
        <v/>
      </c>
      <c r="LN310" s="299" t="str">
        <f>IFERROR(__xludf.DUMMYFUNCTION("IF(REGEXMATCH(LD310, ""M""), ""M1"",IF(REGEXMATCH(LE310, ""M""), ""M2"",""""))"),"M1")</f>
        <v>M1</v>
      </c>
      <c r="LO310" s="299" t="str">
        <f>IFERROR(__xludf.DUMMYFUNCTION("IF(REGEXMATCH(LD310, ""P""), ""P1"",IF(REGEXMATCH(LE310, ""P""), ""P2"",""""))"),"")</f>
        <v/>
      </c>
      <c r="LP310" s="299" t="str">
        <f>IFERROR(__xludf.DUMMYFUNCTION("IF(REGEXMATCH(LD310, ""d""), ""d1"",IF(REGEXMATCH(LE310, ""d""), ""d2"",""""))"),"d1")</f>
        <v>d1</v>
      </c>
      <c r="LQ310" s="299" t="str">
        <f>IFERROR(__xludf.DUMMYFUNCTION("IF(REGEXMATCH(LD310, ""D""), ""D1"",IF(REGEXMATCH(LE310, ""D""), ""D2"",""""))"),"")</f>
        <v/>
      </c>
      <c r="LR310" s="299" t="str">
        <f>IFERROR(__xludf.DUMMYFUNCTION("IF(REGEXMATCH(LD310, ""n""), ""n1"",IF(REGEXMATCH(LE310, ""n""), ""n2"",""""))"),"n1")</f>
        <v>n1</v>
      </c>
      <c r="LS310" s="299" t="str">
        <f>IFERROR(__xludf.DUMMYFUNCTION("IF(REGEXMATCH(LD310, ""N""), ""N1"",IF(REGEXMATCH(LE310, ""N""), ""N2"",""""))"),"")</f>
        <v/>
      </c>
      <c r="LT310" s="388" t="str">
        <f>IFERROR(__xludf.DUMMYFUNCTION("IF(REGEXMATCH(LD310, ""S""), ""S"",IF(REGEXMATCH(LE310, ""S""), ""S"",""""))"),"S")</f>
        <v>S</v>
      </c>
      <c r="LU310" s="389">
        <f t="shared" si="196"/>
        <v>1</v>
      </c>
      <c r="LV310" s="378"/>
      <c r="LW310" s="369"/>
      <c r="LX310" s="369"/>
    </row>
    <row r="311" ht="18.0" customHeight="1">
      <c r="A311" s="298" t="s">
        <v>1144</v>
      </c>
      <c r="B311" s="222" t="s">
        <v>561</v>
      </c>
      <c r="C311" s="233" t="str">
        <f t="shared" si="7"/>
        <v>SRgmPDnS</v>
      </c>
      <c r="D311" s="234" t="str">
        <f>IFERROR(__xludf.DUMMYFUNCTION("IF(REGEXMATCH(C311, ""S""), ""S"","""")"),"S")</f>
        <v>S</v>
      </c>
      <c r="E311" s="236" t="str">
        <f>IFERROR(__xludf.DUMMYFUNCTION("IF(REGEXMATCH(C311, ""r""), ""r"","""")"),"")</f>
        <v/>
      </c>
      <c r="F311" s="237" t="str">
        <f>IFERROR(__xludf.DUMMYFUNCTION("IF(REGEXMATCH(C311, ""R""), ""R"","""")"),"R")</f>
        <v>R</v>
      </c>
      <c r="G311" s="237" t="str">
        <f>IFERROR(__xludf.DUMMYFUNCTION("IF(REGEXMATCH(C311, ""g""), ""g"","""")"),"g")</f>
        <v>g</v>
      </c>
      <c r="H311" s="236" t="str">
        <f>IFERROR(__xludf.DUMMYFUNCTION("IF(REGEXMATCH(C311, ""G""), ""G"","""")"),"")</f>
        <v/>
      </c>
      <c r="I311" s="236" t="str">
        <f>IFERROR(__xludf.DUMMYFUNCTION("IF(REGEXMATCH(C311, ""m""), ""m"","""")"),"m")</f>
        <v>m</v>
      </c>
      <c r="J311" s="237" t="str">
        <f>IFERROR(__xludf.DUMMYFUNCTION("IF(REGEXMATCH(C311, ""M""), ""M"","""")"),"")</f>
        <v/>
      </c>
      <c r="K311" s="236" t="str">
        <f>IFERROR(__xludf.DUMMYFUNCTION("IF(REGEXMATCH(C311, ""P""), ""P"","""")"),"P")</f>
        <v>P</v>
      </c>
      <c r="L311" s="237" t="str">
        <f>IFERROR(__xludf.DUMMYFUNCTION("IF(REGEXMATCH(C311, ""d""), ""d"","""")"),"")</f>
        <v/>
      </c>
      <c r="M311" s="236" t="str">
        <f>IFERROR(__xludf.DUMMYFUNCTION("IF(REGEXMATCH(C311, ""D""), ""D"","""")"),"D")</f>
        <v>D</v>
      </c>
      <c r="N311" s="236" t="str">
        <f>IFERROR(__xludf.DUMMYFUNCTION("IF(REGEXMATCH(C311, ""n""), ""n"","""")"),"n")</f>
        <v>n</v>
      </c>
      <c r="O311" s="237" t="str">
        <f>IFERROR(__xludf.DUMMYFUNCTION("IF(REGEXMATCH(C311, ""N""), ""N"","""")"),"")</f>
        <v/>
      </c>
      <c r="P311" s="238" t="str">
        <f>IFERROR(__xludf.DUMMYFUNCTION("IF(REGEXMATCH(C311, ""S""), ""S"","""")"),"S")</f>
        <v>S</v>
      </c>
      <c r="Q311" s="239" t="str">
        <f>IFERROR(__xludf.DUMMYFUNCTION("SUBSTITUTE(CONCATENATE(JOIN(""-"",D311:J311)),""-"","""")"),"SRgm")</f>
        <v>SRgm</v>
      </c>
      <c r="R311" s="229" t="str">
        <f>IFERROR(__xludf.DUMMYFUNCTION("SUBSTITUTE(CONCATENATE(JOIN(""-"",K311:P311)),""-"","""")"),"PDnS")</f>
        <v>PDnS</v>
      </c>
      <c r="S311" s="282" t="str">
        <f t="shared" si="8"/>
        <v>S-R-G-M</v>
      </c>
      <c r="T311" s="282" t="str">
        <f t="shared" si="9"/>
        <v>P-D-N-S</v>
      </c>
      <c r="U311" s="237" t="str">
        <f>IFERROR(__xludf.DUMMYFUNCTION("SUBSTITUTE(JOIN(""-"",S311,T311),""--"",""-"")"),"S-R-G-M-P-D-N-S")</f>
        <v>S-R-G-M-P-D-N-S</v>
      </c>
      <c r="V311" s="309" t="str">
        <f t="shared" si="10"/>
        <v>RgmDn</v>
      </c>
      <c r="W311" s="244" t="str">
        <f>IFERROR(__xludf.DUMMYFUNCTION("IF(REGEXMATCH(C311, ""S""), ""0"","""")"),"0")</f>
        <v>0</v>
      </c>
      <c r="X311" s="245" t="str">
        <f>IFERROR(__xludf.DUMMYFUNCTION("IF(REGEXMATCH(C311, ""r""), ""1"","""")"),"")</f>
        <v/>
      </c>
      <c r="Y311" s="246" t="str">
        <f>IFERROR(__xludf.DUMMYFUNCTION("IF(REGEXMATCH(C311, ""R""), ""2"","""")"),"2")</f>
        <v>2</v>
      </c>
      <c r="Z311" s="246" t="str">
        <f>IFERROR(__xludf.DUMMYFUNCTION("IF(REGEXMATCH(C311, ""g""), ""3"","""")"),"3")</f>
        <v>3</v>
      </c>
      <c r="AA311" s="245" t="str">
        <f>IFERROR(__xludf.DUMMYFUNCTION("IF(REGEXMATCH(C311, ""G""), ""4"","""")"),"")</f>
        <v/>
      </c>
      <c r="AB311" s="245" t="str">
        <f>IFERROR(__xludf.DUMMYFUNCTION("IF(REGEXMATCH(C311, ""m""), ""5"","""")"),"5")</f>
        <v>5</v>
      </c>
      <c r="AC311" s="246" t="str">
        <f>IFERROR(__xludf.DUMMYFUNCTION("IF(REGEXMATCH(C311, ""M""), ""6"","""")"),"")</f>
        <v/>
      </c>
      <c r="AD311" s="245" t="str">
        <f>IFERROR(__xludf.DUMMYFUNCTION("IF(REGEXMATCH(C311, ""P""), ""7"","""")"),"7")</f>
        <v>7</v>
      </c>
      <c r="AE311" s="246" t="str">
        <f>IFERROR(__xludf.DUMMYFUNCTION("IF(REGEXMATCH(C311, ""d""), ""8"","""")"),"")</f>
        <v/>
      </c>
      <c r="AF311" s="245" t="str">
        <f>IFERROR(__xludf.DUMMYFUNCTION("IF(REGEXMATCH(C311, ""D""), ""9"","""")"),"9")</f>
        <v>9</v>
      </c>
      <c r="AG311" s="245" t="str">
        <f>IFERROR(__xludf.DUMMYFUNCTION("IF(REGEXMATCH(C311, ""n""), ""10"","""")"),"10")</f>
        <v>10</v>
      </c>
      <c r="AH311" s="246" t="str">
        <f>IFERROR(__xludf.DUMMYFUNCTION("IF(REGEXMATCH(C311, ""N""), ""11"","""")"),"")</f>
        <v/>
      </c>
      <c r="AI311" s="249" t="str">
        <f>IFERROR(__xludf.DUMMYFUNCTION("IF(REGEXMATCH(C311, ""S""), ""0"","""")"),"0")</f>
        <v>0</v>
      </c>
      <c r="AJ311" s="313" t="str">
        <f t="shared" si="11"/>
        <v>-</v>
      </c>
      <c r="AK311" s="313" t="str">
        <f t="shared" si="12"/>
        <v>-</v>
      </c>
      <c r="AL311" s="313" t="str">
        <f t="shared" si="13"/>
        <v>-</v>
      </c>
      <c r="AM311" s="313" t="str">
        <f t="shared" si="14"/>
        <v>T</v>
      </c>
      <c r="AN311" s="313" t="str">
        <f t="shared" si="15"/>
        <v>-</v>
      </c>
      <c r="AO311" s="314" t="str">
        <f t="shared" si="16"/>
        <v>-</v>
      </c>
      <c r="AP311" s="316">
        <f t="shared" si="17"/>
        <v>1</v>
      </c>
      <c r="AQ311" s="319" t="str">
        <f t="shared" si="18"/>
        <v>-</v>
      </c>
      <c r="AR311" s="320">
        <f t="shared" si="19"/>
        <v>0</v>
      </c>
      <c r="AS311" s="250" t="str">
        <f>IFERROR(__xludf.DUMMYFUNCTION("SUBSTITUTE(SUBSTITUTE(CONCATENATE(JOIN("""",FP311:GA311)),""|"",""x""),""-"",""o"")"),"xoxxoxoxoxxo")</f>
        <v>xoxxoxoxoxxo</v>
      </c>
      <c r="AT311" s="323" t="str">
        <f>IFERROR(__xludf.DUMMYFUNCTION("JOIN("""",AS311,AS311)"),"xoxxoxoxoxxoxoxxoxoxoxxo")</f>
        <v>xoxxoxoxoxxoxoxxoxoxoxxo</v>
      </c>
      <c r="AU311" s="256" t="str">
        <f>IFERROR(__xludf.DUMMYFUNCTION("JOIN("""",ArrayFormula(MID(AS311,LEN(AS311)-SEQUENCE(1,LEN(AS311))+1,1)))"),"oxxoxoxoxxox")</f>
        <v>oxxoxoxoxxox</v>
      </c>
      <c r="AV311" s="256" t="str">
        <f>IFERROR(__xludf.DUMMYFUNCTION("LEFT(CONCATENATE(""x"",JOIN("""",ArrayFormula(MID(AS311,LEN(AS311)-SEQUENCE(1,LEN(AS311))+1,1)))),12)"),"xoxxoxoxoxxo")</f>
        <v>xoxxoxoxoxxo</v>
      </c>
      <c r="AW311" s="327" t="str">
        <f>IFERROR(__xludf.DUMMYFUNCTION("JOIN("""",AU311,AU311)"),"oxxoxoxoxxoxoxxoxoxoxxox")</f>
        <v>oxxoxoxoxxoxoxxoxoxoxxox</v>
      </c>
      <c r="AX311" s="239" t="str">
        <f>IFERROR(__xludf.DUMMYFUNCTION("IF(REGEXMATCH(AW311,AS311),""✔"",""-"")"),"✔")</f>
        <v>✔</v>
      </c>
      <c r="AY311" s="330" t="str">
        <f t="shared" si="20"/>
        <v>✔</v>
      </c>
      <c r="AZ311" s="260" t="str">
        <f t="shared" si="21"/>
        <v>#REF!</v>
      </c>
      <c r="BA311" s="333" t="str">
        <f t="shared" si="22"/>
        <v>xoxxoxo</v>
      </c>
      <c r="BB311" s="334" t="str">
        <f t="shared" si="23"/>
        <v>xoxxox</v>
      </c>
      <c r="BC311" s="335" t="str">
        <f t="shared" si="236"/>
        <v>✔</v>
      </c>
      <c r="BD311" s="336" t="str">
        <f t="shared" si="25"/>
        <v>Shahana: 'xoxxoxo' + 'xoxxox'</v>
      </c>
      <c r="BE311" s="337">
        <f>IFERROR(__xludf.DUMMYFUNCTION("COUNTUNIQUE(FILTER(AT:AT,REGEXMATCH(AT:AT,AS311)))-1"),6.0)</f>
        <v>6</v>
      </c>
      <c r="BF311" s="261" t="str">
        <f>IFERROR(__xludf.DUMMYFUNCTION("IF(BI311=0,""(n/a)"",IF(BJ311=2,""(PAIR)"",IF(REGEXMATCH(AT311,""xoxoxxoxoxox""),""Bilawal"",IF(REGEXMATCH(AT311,""xoxoxooxoxoo""),""Bhupali"",IF(REGEXMATCH(AT311,""xoxoxxoxxoxo""),""Charukeshi"",IF(REGEXMATCH(AT311,""xoxoooxxoxxo""),""Kameshwari"",IF(REG"&amp;"EXMATCH(AT311,""xoxoxooxoxox""),""Shankara"",IF(REGEXMATCH(AT311,""xxooxoxxxoox""),""Basant"",IF(REGEXMATCH(AT311,""xoxoxxxxoxox""),""Bihag"",IF(REGEXMATCH(AT311,""xoxxxxoxoxxx""),""Pilu"",IF(REGEXMATCH(AT311,""xoxxoxoxxoox""),""Kirwani"",IF(REGEXMATCH(AT"&amp;"311,""xoxxoxoxoxxx""),""Mk.Malhar"",IF(REGEXMATCH(AT311,""xxooxxoxxoox""),""Bhairav"",IF(REGEXMATCH(AT311,""xxoxooxxxoox""),""Todi"",IF(REGEXMATCH(AT311,""xxooxoxooxox""),""Marwa"",IF(REGEXMATCH(AT311,""xxoooxoxxooo""),""Gunkali"",IF(REGEXMATCH(AT311,""xo"&amp;"xoxxoxxoox""),""Nat Bhairav"",IF(REGEXMATCH(AT311,""xoxxoooxoxoo""),""Shivranjani"",IF(REGEXMATCH(AT311,""xooxxxoxooxo""),""Jog"",IF(REGEXMATCH(AT311,""xxooxoxoxoox""),""Hemshri"",IF(REGEXMATCH(AT311,""xoooxooxoxxo""),""Kalavati"",IF(REGEXMATCH(AT311,""xx"&amp;"oxoxxoxoox""),""Kedar"",IF(REGEXMATCH(AT311,""xoxxxxoxooxx""),""Gara"",IF(REGEXMATCH(AT311,""xooxoxooxoox""),""Chandrakauns"",IF(REGEXMATCH(AT311,""xoxxxxoxxxox""),""Mand"",IF(REGEXMATCH(AT311,""xoxxxxoxoxox""),""Hanskinkini"",IF(REGEXMATCH(AT311,""xxooxx"&amp;"oxooxo""),""Lilavati"",IF(REGEXMATCH(AT311,""xooxoxoooxox""),""Rajeshwari"",IF(REGEXMATCH(AT311,""xoooxxoxoxxx""),""Khokar"",IF(REGEXMATCH(AT311,""xxooxoxxxxox""),""Maligoura"",""-""))))))))))))))))))))))))))))))"),"Bilawal")</f>
        <v>Bilawal</v>
      </c>
      <c r="BG311" s="239" t="str">
        <f t="shared" si="26"/>
        <v>#REF!</v>
      </c>
      <c r="BH311" s="239">
        <f>IFERROR(__xludf.DUMMYFUNCTION("COUNTUNIQUE(FE311:FO311)-1"),6.0)</f>
        <v>6</v>
      </c>
      <c r="BI311" s="239">
        <f>IFERROR(__xludf.DUMMYFUNCTION("COUNTUNIQUE(FILTER(AT:AT,REGEXMATCH(AT:AT,AS311)))-1"),6.0)</f>
        <v>6</v>
      </c>
      <c r="BJ311" s="239">
        <f>IFERROR(__xludf.DUMMYFUNCTION("COUNTA(FILTER(AT:AT,REGEXMATCH(AT:AT,AS311)))"),48.0)</f>
        <v>48</v>
      </c>
      <c r="BK311" s="341">
        <f>IFERROR(__xludf.DUMMYFUNCTION("COUNTA(FILTER(AT:AT,REGEXMATCH(AT:AT,AS311)))-AR311"),48.0)</f>
        <v>48</v>
      </c>
      <c r="BL311" s="276" t="str">
        <f>IFERROR(__xludf.DUMMYFUNCTION("IF(AS311=""oooooooooooo"",""-"",IF(REGEXMATCH(AT311,""xx""), ""Hemi."", ""Anhemi.""))"),"Hemi.")</f>
        <v>Hemi.</v>
      </c>
      <c r="BM311" s="282" t="str">
        <f>IFERROR(__xludf.DUMMYFUNCTION("IF(AS311=""oooooooooooo"",""-"",IF(REGEXMATCH(AT311,""xxx""), ""Cohem."", ""-""))"),"-")</f>
        <v>-</v>
      </c>
      <c r="BN311" s="282" t="str">
        <f>IFERROR(__xludf.DUMMYFUNCTION("IF(AS311=""oooooooooooo"",""-"",IF(REGEXMATCH(AT311,""xxxx""), ""Co-Co."", ""-""))"),"-")</f>
        <v>-</v>
      </c>
      <c r="BO311" s="342" t="str">
        <f>IFERROR(__xludf.DUMMYFUNCTION("IF(AS311=""oooooooooooo"",""-"",IF(REGEXMATCH(AT311,""xxxxx""), ""CCC."", ""-""))"),"-")</f>
        <v>-</v>
      </c>
      <c r="BP311" s="344" t="str">
        <f t="shared" si="27"/>
        <v>Kafi</v>
      </c>
      <c r="BQ311" s="282" t="str">
        <f>IFERROR(__xludf.DUMMYFUNCTION("IF(REGEXMATCH(JOIN(""-"",EU311:FD311),""TRUE""),""✔"",""-"")"),"✔")</f>
        <v>✔</v>
      </c>
      <c r="BR311" s="225">
        <f t="shared" si="28"/>
        <v>1</v>
      </c>
      <c r="BS311" s="345" t="str">
        <f>IFERROR(__xludf.DUMMYFUNCTION("SUBSTITUTE(SUBSTITUTE(SUBSTITUTE(SUBSTITUTE(CONCATENATE(JOIN(""-"",GC311:GO311)),""--"",""-""),""--"",""-""),""--"",""-""),""--"",""-"")"),"1-2-b3-4-5-6-b7-8")</f>
        <v>1-2-b3-4-5-6-b7-8</v>
      </c>
      <c r="BT311" s="299" t="str">
        <f>IFERROR(__xludf.DUMMYFUNCTION("SUBSTITUTE(SUBSTITUTE(SUBSTITUTE(SUBSTITUTE(CONCATENATE(JOIN(""-"",GP311:HB311)),""--"",""-""),""--"",""-""),""--"",""-""),""--"",""-"")"),"S-R2-G2-M1-P-D2-N2-S")</f>
        <v>S-R2-G2-M1-P-D2-N2-S</v>
      </c>
      <c r="BU311" s="348" t="str">
        <f t="shared" si="29"/>
        <v>C-D-Eb-F-G-A-Bb-C</v>
      </c>
      <c r="BV311" s="349" t="str">
        <f t="shared" si="30"/>
        <v>SrGMdNS</v>
      </c>
      <c r="BW311" s="350">
        <f t="shared" si="31"/>
        <v>1</v>
      </c>
      <c r="BX311" s="351">
        <f t="shared" si="32"/>
        <v>9</v>
      </c>
      <c r="BY311" s="392"/>
      <c r="BZ311" s="309" t="str">
        <f>IFERROR(__xludf.DUMMYFUNCTION("IF(REGEXMATCH(C311, ""S""), ""x"",""x"")"),"x")</f>
        <v>x</v>
      </c>
      <c r="CA311" s="245" t="str">
        <f>IFERROR(__xludf.DUMMYFUNCTION("IF(REGEXMATCH(C311, ""r""), ""o"",""x"")"),"x")</f>
        <v>x</v>
      </c>
      <c r="CB311" s="246" t="str">
        <f>IFERROR(__xludf.DUMMYFUNCTION("IF(REGEXMATCH(C311, ""R""), ""o"",""x"")"),"o")</f>
        <v>o</v>
      </c>
      <c r="CC311" s="246" t="str">
        <f>IFERROR(__xludf.DUMMYFUNCTION("IF(REGEXMATCH(C311, ""g""), ""o"",""x"")"),"o")</f>
        <v>o</v>
      </c>
      <c r="CD311" s="245" t="str">
        <f>IFERROR(__xludf.DUMMYFUNCTION("IF(REGEXMATCH(C311, ""G""), ""o"",""x"")"),"x")</f>
        <v>x</v>
      </c>
      <c r="CE311" s="245" t="str">
        <f>IFERROR(__xludf.DUMMYFUNCTION("IF(REGEXMATCH(C311, ""m""), ""o"",""x"")"),"o")</f>
        <v>o</v>
      </c>
      <c r="CF311" s="246" t="str">
        <f>IFERROR(__xludf.DUMMYFUNCTION("IF(REGEXMATCH(C311, ""M""), ""o"",""x"")"),"x")</f>
        <v>x</v>
      </c>
      <c r="CG311" s="245" t="str">
        <f>IFERROR(__xludf.DUMMYFUNCTION("IF(REGEXMATCH(C311, ""P""), ""o"",""x"")"),"o")</f>
        <v>o</v>
      </c>
      <c r="CH311" s="246" t="str">
        <f>IFERROR(__xludf.DUMMYFUNCTION("IF(REGEXMATCH(C311, ""d""), ""o"",""x"")"),"x")</f>
        <v>x</v>
      </c>
      <c r="CI311" s="245" t="str">
        <f>IFERROR(__xludf.DUMMYFUNCTION("IF(REGEXMATCH(C311, ""D""), ""o"",""x"")"),"o")</f>
        <v>o</v>
      </c>
      <c r="CJ311" s="245" t="str">
        <f>IFERROR(__xludf.DUMMYFUNCTION("IF(REGEXMATCH(C311, ""n""), ""o"",""x"")"),"o")</f>
        <v>o</v>
      </c>
      <c r="CK311" s="245" t="str">
        <f>IFERROR(__xludf.DUMMYFUNCTION("IF(REGEXMATCH(C311, ""N""), ""o"",""x"")"),"x")</f>
        <v>x</v>
      </c>
      <c r="CL311" s="356" t="str">
        <f>IFERROR(__xludf.DUMMYFUNCTION("IF(REGEXMATCH(C311, ""S""), ""x"",""x"")"),"x")</f>
        <v>x</v>
      </c>
      <c r="CM311" s="357" t="str">
        <f t="shared" si="33"/>
        <v>xxooxoxoxoox</v>
      </c>
      <c r="CN311" s="358">
        <f t="shared" si="34"/>
        <v>1</v>
      </c>
      <c r="CO311" s="246" t="str">
        <f>IFERROR(__xludf.DUMMYFUNCTION("IF(REGEXMATCH($C311, ""S""), ""S"",""S"")"),"S")</f>
        <v>S</v>
      </c>
      <c r="CP311" s="246" t="str">
        <f>IFERROR(__xludf.DUMMYFUNCTION("IF(REGEXMATCH($C311, ""r""), """",""r"")"),"r")</f>
        <v>r</v>
      </c>
      <c r="CQ311" s="246" t="str">
        <f>IFERROR(__xludf.DUMMYFUNCTION("IF(REGEXMATCH($C311, ""R""), """",""R"")"),"")</f>
        <v/>
      </c>
      <c r="CR311" s="246" t="str">
        <f>IFERROR(__xludf.DUMMYFUNCTION("IF(REGEXMATCH($C311, ""g""), """",""g"")"),"")</f>
        <v/>
      </c>
      <c r="CS311" s="246" t="str">
        <f>IFERROR(__xludf.DUMMYFUNCTION("IF(REGEXMATCH($C311, ""G""), """",""G"")"),"G")</f>
        <v>G</v>
      </c>
      <c r="CT311" s="246" t="str">
        <f>IFERROR(__xludf.DUMMYFUNCTION("IF(REGEXMATCH($C311, ""m""), """",""m"")"),"")</f>
        <v/>
      </c>
      <c r="CU311" s="246" t="str">
        <f>IFERROR(__xludf.DUMMYFUNCTION("IF(REGEXMATCH($C311, ""M""), """",""M"")"),"M")</f>
        <v>M</v>
      </c>
      <c r="CV311" s="246" t="str">
        <f>IFERROR(__xludf.DUMMYFUNCTION("IF(REGEXMATCH($C311, ""P""), """",""P"")"),"")</f>
        <v/>
      </c>
      <c r="CW311" s="246" t="str">
        <f>IFERROR(__xludf.DUMMYFUNCTION("IF(REGEXMATCH($C311, ""d""), """",""d"")"),"d")</f>
        <v>d</v>
      </c>
      <c r="CX311" s="246" t="str">
        <f>IFERROR(__xludf.DUMMYFUNCTION("IF(REGEXMATCH($C311, ""D""), """",""D"")"),"")</f>
        <v/>
      </c>
      <c r="CY311" s="246" t="str">
        <f>IFERROR(__xludf.DUMMYFUNCTION("IF(REGEXMATCH($C311, ""n""), """",""n"")"),"")</f>
        <v/>
      </c>
      <c r="CZ311" s="246" t="str">
        <f>IFERROR(__xludf.DUMMYFUNCTION("IF(REGEXMATCH($C311, ""N""), """",""N"")"),"N")</f>
        <v>N</v>
      </c>
      <c r="DA311" s="246" t="str">
        <f>IFERROR(__xludf.DUMMYFUNCTION("IF(REGEXMATCH($C311, ""S""), ""S"",""S"")"),"S")</f>
        <v>S</v>
      </c>
      <c r="DB311" s="362" t="str">
        <f>IFERROR(__xludf.DUMMYFUNCTION("JOIN("""",CO311:DA311,"""","""")"),"SrGMdNS")</f>
        <v>SrGMdNS</v>
      </c>
      <c r="DC311" s="363"/>
      <c r="DD311" s="301" t="str">
        <f t="shared" si="35"/>
        <v>#REF!</v>
      </c>
      <c r="DE311" s="302" t="str">
        <f t="shared" si="36"/>
        <v>#REF!</v>
      </c>
      <c r="DF311" s="301" t="str">
        <f t="shared" ref="DF311:DG311" si="850">SUBSTITUTE(S311,"-","")</f>
        <v>SRGM</v>
      </c>
      <c r="DG311" s="301" t="str">
        <f t="shared" si="850"/>
        <v>PDNS</v>
      </c>
      <c r="DH311" s="302" t="str">
        <f t="shared" si="38"/>
        <v>Bilawal</v>
      </c>
      <c r="DI311" s="301" t="str">
        <f t="shared" si="39"/>
        <v>Hemi.</v>
      </c>
      <c r="DJ311" s="364" t="str">
        <f t="shared" si="40"/>
        <v>-</v>
      </c>
      <c r="DK311" s="306" t="str">
        <f t="shared" si="41"/>
        <v>Kafi</v>
      </c>
      <c r="DL311" s="366" t="str">
        <f t="shared" si="42"/>
        <v>-</v>
      </c>
      <c r="DM311" s="308" t="str">
        <f t="shared" si="43"/>
        <v>-</v>
      </c>
      <c r="DN311" s="306" t="str">
        <f t="shared" si="44"/>
        <v>-</v>
      </c>
      <c r="DO311" s="306" t="str">
        <f t="shared" si="45"/>
        <v>-</v>
      </c>
      <c r="DP311" s="367" t="str">
        <f t="shared" si="46"/>
        <v>-</v>
      </c>
      <c r="DQ311" s="310" t="str">
        <f t="shared" si="47"/>
        <v>-</v>
      </c>
      <c r="DR311" s="310" t="str">
        <f t="shared" si="48"/>
        <v>-</v>
      </c>
      <c r="DS311" s="310" t="str">
        <f t="shared" si="49"/>
        <v>-</v>
      </c>
      <c r="DT311" s="310" t="str">
        <f t="shared" si="50"/>
        <v>-</v>
      </c>
      <c r="DU311" s="370" t="str">
        <f t="shared" si="51"/>
        <v>-</v>
      </c>
      <c r="DV311" s="306" t="str">
        <f t="shared" si="52"/>
        <v>-</v>
      </c>
      <c r="DW311" s="306" t="str">
        <f t="shared" si="53"/>
        <v>-</v>
      </c>
      <c r="DX311" s="306" t="str">
        <f t="shared" si="54"/>
        <v>-</v>
      </c>
      <c r="DY311" s="306" t="str">
        <f t="shared" si="55"/>
        <v>-</v>
      </c>
      <c r="DZ311" s="306" t="str">
        <f t="shared" si="56"/>
        <v>-</v>
      </c>
      <c r="EA311" s="367" t="str">
        <f t="shared" si="57"/>
        <v>-</v>
      </c>
      <c r="EB311" s="310" t="str">
        <f>IFERROR(__xludf.DUMMYFUNCTION("IF(REGEXMATCH(AW311,AS311),""✔"",""-"")"),"✔")</f>
        <v>✔</v>
      </c>
      <c r="EC311" s="310" t="str">
        <f t="shared" si="58"/>
        <v>#REF!</v>
      </c>
      <c r="ED311" s="370" t="str">
        <f t="shared" si="59"/>
        <v>✔</v>
      </c>
      <c r="EE311" s="340" t="str">
        <f t="shared" si="60"/>
        <v>S-R-g-m-P-D-n-S</v>
      </c>
      <c r="EF311" s="371" t="str">
        <f>IFERROR(__xludf.DUMMYFUNCTION("CONCATENATE(JOIN("""",HC311:HO311))"),"SRgmPDnS")</f>
        <v>SRgmPDnS</v>
      </c>
      <c r="EG311" s="372">
        <f t="shared" si="61"/>
        <v>1</v>
      </c>
      <c r="EH311" s="373" t="str">
        <f>IFERROR(__xludf.DUMMYFUNCTION("CONCATENATE(JOIN("""",JC311:JO311))"),"Dha, ")</f>
        <v>Dha, </v>
      </c>
      <c r="EI311" s="322">
        <f t="shared" si="62"/>
        <v>0</v>
      </c>
      <c r="EJ311" s="374" t="str">
        <f>IFERROR(__xludf.DUMMYFUNCTION("CONCATENATE(JOIN("""",KC311:KO311))"),"")</f>
        <v/>
      </c>
      <c r="EK311" s="325" t="str">
        <f t="shared" si="63"/>
        <v>S-R2-G2-M1-P-D2-N2-S</v>
      </c>
      <c r="EL311" s="326" t="str">
        <f t="shared" si="64"/>
        <v>1-2-b3-4-5-6-b7-8</v>
      </c>
      <c r="EM311" s="318" t="str">
        <f t="shared" si="65"/>
        <v>#REF!</v>
      </c>
      <c r="EN311" s="328" t="str">
        <f>IFERROR(__xludf.DUMMYFUNCTION("SUBSTITUTE(SUBSTITUTE(SUBSTITUTE(SUBSTITUTE(CONCATENATE(JOIN("" "",HP311:IB311)),""  "","" ""),""  "","" ""),""  "","" ""),""  "","" "")"),"o • o o • o • o • o o • o")</f>
        <v>o • o o • o • o • o o • o</v>
      </c>
      <c r="EO311" s="368" t="str">
        <f t="shared" si="66"/>
        <v>-</v>
      </c>
      <c r="EP311" s="339" t="str">
        <f t="shared" si="67"/>
        <v>-</v>
      </c>
      <c r="EQ311" s="339" t="str">
        <f t="shared" si="68"/>
        <v>Sa-Pa</v>
      </c>
      <c r="ER311" s="339" t="str">
        <f t="shared" si="69"/>
        <v>-</v>
      </c>
      <c r="ES311" s="340" t="str">
        <f t="shared" si="70"/>
        <v>-</v>
      </c>
      <c r="ET311" s="363"/>
      <c r="EU311" s="376" t="b">
        <f>IFERROR(__xludf.DUMMYFUNCTION("arrayformula(sum(--REGEXMATCH(""SRGMPDNS"",split(REGEXREPLACE(C311,""(.)"",""$1~""),""~""))))=len(C311)
"),FALSE)</f>
        <v>0</v>
      </c>
      <c r="EV311" s="290" t="b">
        <f>IFERROR(__xludf.DUMMYFUNCTION("arrayformula(sum(--REGEXMATCH(""SRGmPDNS"",split(REGEXREPLACE(C311,""(.)"",""$1~""),""~""))))=len(C311)"),FALSE)</f>
        <v>0</v>
      </c>
      <c r="EW311" s="290" t="b">
        <f>IFERROR(__xludf.DUMMYFUNCTION("arrayformula(sum(--REGEXMATCH(""SRGmPDnS"",split(REGEXREPLACE(C311,""(.)"",""$1~""),""~""))))=len(C311)"),FALSE)</f>
        <v>0</v>
      </c>
      <c r="EX311" s="290" t="b">
        <f>IFERROR(__xludf.DUMMYFUNCTION("arrayformula(sum(--REGEXMATCH(""SRgmPDnS"",split(REGEXREPLACE(C311,""(.)"",""$1~""),""~""))))=len(C311)"),TRUE)</f>
        <v>1</v>
      </c>
      <c r="EY311" s="290" t="b">
        <f>IFERROR(__xludf.DUMMYFUNCTION("arrayformula(sum(--REGEXMATCH(""SRgmPdnS"",split(REGEXREPLACE(C311,""(.)"",""$1~""),""~""))))=len(C311)"),FALSE)</f>
        <v>0</v>
      </c>
      <c r="EZ311" s="290" t="b">
        <f>IFERROR(__xludf.DUMMYFUNCTION("arrayformula(sum(--REGEXMATCH(""SrgmPdnS"",split(REGEXREPLACE(C311,""(.)"",""$1~""),""~""))))=len(C311)"),FALSE)</f>
        <v>0</v>
      </c>
      <c r="FA311" s="290" t="b">
        <f>IFERROR(__xludf.DUMMYFUNCTION("arrayformula(sum(--REGEXMATCH(""SrGmPdNS"",split(REGEXREPLACE(C311,""(.)"",""$1~""),""~""))))=len(C311)"),FALSE)</f>
        <v>0</v>
      </c>
      <c r="FB311" s="290" t="b">
        <f>IFERROR(__xludf.DUMMYFUNCTION("arrayformula(sum(--REGEXMATCH(""SrGMPDNS"",split(REGEXREPLACE(C311,""(.)"",""$1~""),""~""))))=len(C311)"),FALSE)</f>
        <v>0</v>
      </c>
      <c r="FC311" s="290" t="b">
        <f>IFERROR(__xludf.DUMMYFUNCTION("arrayformula(sum(--REGEXMATCH(""SrGMPdNS"",split(REGEXREPLACE(C311,""(.)"",""$1~""),""~""))))=len(C311)"),FALSE)</f>
        <v>0</v>
      </c>
      <c r="FD311" s="377" t="b">
        <f>IFERROR(__xludf.DUMMYFUNCTION("arrayformula(sum(--REGEXMATCH(""SrgMPdNS"",split(REGEXREPLACE(C311,""(.)"",""$1~""),""~""))))=len(C311)"),FALSE)</f>
        <v>0</v>
      </c>
      <c r="FE311" s="269" t="str">
        <f t="shared" si="71"/>
        <v>-</v>
      </c>
      <c r="FF311" s="269" t="str">
        <f t="shared" si="72"/>
        <v>xxoxoxoxxox</v>
      </c>
      <c r="FG311" s="271" t="str">
        <f t="shared" si="73"/>
        <v>xoxoxoxxoxo</v>
      </c>
      <c r="FH311" s="269" t="str">
        <f t="shared" si="74"/>
        <v>-</v>
      </c>
      <c r="FI311" s="271" t="str">
        <f t="shared" si="75"/>
        <v>xoxoxxoxoxx</v>
      </c>
      <c r="FJ311" s="271" t="str">
        <f t="shared" si="76"/>
        <v>-</v>
      </c>
      <c r="FK311" s="271" t="str">
        <f t="shared" si="77"/>
        <v>xoxxoxoxxox</v>
      </c>
      <c r="FL311" s="271" t="str">
        <f t="shared" si="78"/>
        <v>-</v>
      </c>
      <c r="FM311" s="271" t="str">
        <f t="shared" si="79"/>
        <v>xxoxoxxoxox</v>
      </c>
      <c r="FN311" s="271" t="str">
        <f t="shared" si="80"/>
        <v>xoxoxxoxoxo</v>
      </c>
      <c r="FO311" s="274" t="str">
        <f t="shared" si="81"/>
        <v>-</v>
      </c>
      <c r="FP311" s="234" t="str">
        <f t="shared" si="82"/>
        <v>|</v>
      </c>
      <c r="FQ311" s="236" t="str">
        <f t="shared" si="83"/>
        <v>-</v>
      </c>
      <c r="FR311" s="237" t="str">
        <f t="shared" si="84"/>
        <v>|</v>
      </c>
      <c r="FS311" s="236" t="str">
        <f t="shared" si="85"/>
        <v>|</v>
      </c>
      <c r="FT311" s="237" t="str">
        <f t="shared" si="86"/>
        <v>-</v>
      </c>
      <c r="FU311" s="236" t="str">
        <f t="shared" si="87"/>
        <v>|</v>
      </c>
      <c r="FV311" s="237" t="str">
        <f t="shared" si="88"/>
        <v>-</v>
      </c>
      <c r="FW311" s="236" t="str">
        <f t="shared" si="89"/>
        <v>|</v>
      </c>
      <c r="FX311" s="237" t="str">
        <f t="shared" si="90"/>
        <v>-</v>
      </c>
      <c r="FY311" s="236" t="str">
        <f t="shared" si="91"/>
        <v>|</v>
      </c>
      <c r="FZ311" s="237" t="str">
        <f t="shared" si="92"/>
        <v>|</v>
      </c>
      <c r="GA311" s="236" t="str">
        <f t="shared" si="93"/>
        <v>-</v>
      </c>
      <c r="GB311" s="238" t="str">
        <f t="shared" si="94"/>
        <v>|</v>
      </c>
      <c r="GC311" s="244" t="str">
        <f>IFERROR(__xludf.DUMMYFUNCTION("IF(REGEXMATCH(C311, ""S""), ""1"","""")"),"1")</f>
        <v>1</v>
      </c>
      <c r="GD311" s="245" t="str">
        <f>IFERROR(__xludf.DUMMYFUNCTION("IF(REGEXMATCH(C311, ""r""), ""b2"","""")"),"")</f>
        <v/>
      </c>
      <c r="GE311" s="246" t="str">
        <f>IFERROR(__xludf.DUMMYFUNCTION("IF(REGEXMATCH(C311, ""R""), ""2"","""")"),"2")</f>
        <v>2</v>
      </c>
      <c r="GF311" s="246" t="str">
        <f>IFERROR(__xludf.DUMMYFUNCTION("IF(REGEXMATCH(C311, ""g""), ""b3"","""")"),"b3")</f>
        <v>b3</v>
      </c>
      <c r="GG311" s="245" t="str">
        <f>IFERROR(__xludf.DUMMYFUNCTION("IF(REGEXMATCH(C311, ""G""), ""3"","""")"),"")</f>
        <v/>
      </c>
      <c r="GH311" s="245" t="str">
        <f>IFERROR(__xludf.DUMMYFUNCTION("IF(REGEXMATCH(C311, ""m""), ""4"","""")"),"4")</f>
        <v>4</v>
      </c>
      <c r="GI311" s="246" t="str">
        <f>IFERROR(__xludf.DUMMYFUNCTION("IF(REGEXMATCH(C311, ""M""), ""#4"","""")"),"")</f>
        <v/>
      </c>
      <c r="GJ311" s="245" t="str">
        <f>IFERROR(__xludf.DUMMYFUNCTION("IF(REGEXMATCH(C311, ""P""), ""5"","""")"),"5")</f>
        <v>5</v>
      </c>
      <c r="GK311" s="246" t="str">
        <f>IFERROR(__xludf.DUMMYFUNCTION("IF(REGEXMATCH(C311, ""d""), ""b6"","""")"),"")</f>
        <v/>
      </c>
      <c r="GL311" s="245" t="str">
        <f>IFERROR(__xludf.DUMMYFUNCTION("IF(REGEXMATCH(C311, ""D""), ""6"","""")"),"6")</f>
        <v>6</v>
      </c>
      <c r="GM311" s="245" t="str">
        <f>IFERROR(__xludf.DUMMYFUNCTION("IF(REGEXMATCH(C311, ""n""), ""b7"","""")"),"b7")</f>
        <v>b7</v>
      </c>
      <c r="GN311" s="246" t="str">
        <f>IFERROR(__xludf.DUMMYFUNCTION("IF(REGEXMATCH(C311, ""N""), ""7"","""")"),"")</f>
        <v/>
      </c>
      <c r="GO311" s="249" t="str">
        <f>IFERROR(__xludf.DUMMYFUNCTION("IF(REGEXMATCH(C311, ""S""), ""8"","""")"),"8")</f>
        <v>8</v>
      </c>
      <c r="GP311" s="244" t="str">
        <f>IFERROR(__xludf.DUMMYFUNCTION("IF(REGEXMATCH(C311, ""S""), ""S"","""")"),"S")</f>
        <v>S</v>
      </c>
      <c r="GQ311" s="294" t="str">
        <f>IFERROR(__xludf.DUMMYFUNCTION("IF(REGEXMATCH(C311, ""r""), ""R1"","""")"),"")</f>
        <v/>
      </c>
      <c r="GR311" s="295" t="str">
        <f>IFERROR(__xludf.DUMMYFUNCTION("IF(REGEXMATCH(C311, ""R""), ""R2"","""")"),"R2")</f>
        <v>R2</v>
      </c>
      <c r="GS311" s="295" t="str">
        <f>IFERROR(__xludf.DUMMYFUNCTION("IF(REGEXMATCH(C311, ""g""), ""G2"","""")"),"G2")</f>
        <v>G2</v>
      </c>
      <c r="GT311" s="294" t="str">
        <f>IFERROR(__xludf.DUMMYFUNCTION("IF(REGEXMATCH(C311, ""G""), ""G3"","""")"),"")</f>
        <v/>
      </c>
      <c r="GU311" s="294" t="str">
        <f>IFERROR(__xludf.DUMMYFUNCTION("IF(REGEXMATCH(C311, ""m""), ""M1"","""")"),"M1")</f>
        <v>M1</v>
      </c>
      <c r="GV311" s="295" t="str">
        <f>IFERROR(__xludf.DUMMYFUNCTION("IF(REGEXMATCH(C311, ""M""), ""M2"","""")"),"")</f>
        <v/>
      </c>
      <c r="GW311" s="294" t="str">
        <f>IFERROR(__xludf.DUMMYFUNCTION("IF(REGEXMATCH(C311, ""P""), ""P"","""")"),"P")</f>
        <v>P</v>
      </c>
      <c r="GX311" s="295" t="str">
        <f>IFERROR(__xludf.DUMMYFUNCTION("IF(REGEXMATCH(C311, ""d""), ""D1"","""")"),"")</f>
        <v/>
      </c>
      <c r="GY311" s="294" t="str">
        <f>IFERROR(__xludf.DUMMYFUNCTION("IF(REGEXMATCH(C311, ""D""), ""D2"","""")"),"D2")</f>
        <v>D2</v>
      </c>
      <c r="GZ311" s="294" t="str">
        <f>IFERROR(__xludf.DUMMYFUNCTION("IF(REGEXMATCH(C311, ""n""), ""N2"","""")"),"N2")</f>
        <v>N2</v>
      </c>
      <c r="HA311" s="295" t="str">
        <f>IFERROR(__xludf.DUMMYFUNCTION("IF(REGEXMATCH(C311, ""N""), ""N3"","""")"),"")</f>
        <v/>
      </c>
      <c r="HB311" s="249" t="str">
        <f>IFERROR(__xludf.DUMMYFUNCTION("IF(REGEXMATCH(C311, ""S""), ""S"","""")"),"S")</f>
        <v>S</v>
      </c>
      <c r="HC311" s="331" t="str">
        <f t="shared" si="95"/>
        <v>S</v>
      </c>
      <c r="HD311" s="332" t="str">
        <f t="shared" si="96"/>
        <v/>
      </c>
      <c r="HE311" s="332" t="str">
        <f t="shared" si="97"/>
        <v>R</v>
      </c>
      <c r="HF311" s="332" t="str">
        <f t="shared" si="98"/>
        <v>g</v>
      </c>
      <c r="HG311" s="332" t="str">
        <f t="shared" si="99"/>
        <v/>
      </c>
      <c r="HH311" s="332" t="str">
        <f t="shared" si="100"/>
        <v>m</v>
      </c>
      <c r="HI311" s="332" t="str">
        <f t="shared" si="101"/>
        <v/>
      </c>
      <c r="HJ311" s="332" t="str">
        <f t="shared" si="102"/>
        <v>P</v>
      </c>
      <c r="HK311" s="332" t="str">
        <f t="shared" si="103"/>
        <v/>
      </c>
      <c r="HL311" s="332" t="str">
        <f t="shared" si="104"/>
        <v>D</v>
      </c>
      <c r="HM311" s="332" t="str">
        <f t="shared" si="105"/>
        <v>n</v>
      </c>
      <c r="HN311" s="332" t="str">
        <f t="shared" si="106"/>
        <v/>
      </c>
      <c r="HO311" s="343" t="str">
        <f t="shared" si="107"/>
        <v>S</v>
      </c>
      <c r="HP311" s="331" t="str">
        <f t="shared" si="108"/>
        <v>o</v>
      </c>
      <c r="HQ311" s="332" t="str">
        <f t="shared" si="109"/>
        <v>•</v>
      </c>
      <c r="HR311" s="332" t="str">
        <f t="shared" si="110"/>
        <v>o</v>
      </c>
      <c r="HS311" s="332" t="str">
        <f t="shared" si="111"/>
        <v>o</v>
      </c>
      <c r="HT311" s="332" t="str">
        <f t="shared" si="112"/>
        <v>•</v>
      </c>
      <c r="HU311" s="332" t="str">
        <f t="shared" si="113"/>
        <v>o</v>
      </c>
      <c r="HV311" s="332" t="str">
        <f t="shared" si="114"/>
        <v>•</v>
      </c>
      <c r="HW311" s="332" t="str">
        <f t="shared" si="115"/>
        <v>o</v>
      </c>
      <c r="HX311" s="332" t="str">
        <f t="shared" si="116"/>
        <v>•</v>
      </c>
      <c r="HY311" s="332" t="str">
        <f t="shared" si="117"/>
        <v>o</v>
      </c>
      <c r="HZ311" s="332" t="str">
        <f t="shared" si="118"/>
        <v>o</v>
      </c>
      <c r="IA311" s="332" t="str">
        <f t="shared" si="119"/>
        <v>•</v>
      </c>
      <c r="IB311" s="338" t="str">
        <f t="shared" si="120"/>
        <v>o</v>
      </c>
      <c r="IC311" s="331" t="str">
        <f t="shared" si="121"/>
        <v>•</v>
      </c>
      <c r="ID311" s="332" t="str">
        <f t="shared" si="122"/>
        <v>o</v>
      </c>
      <c r="IE311" s="332" t="str">
        <f t="shared" si="123"/>
        <v>•</v>
      </c>
      <c r="IF311" s="332" t="str">
        <f t="shared" si="124"/>
        <v>•</v>
      </c>
      <c r="IG311" s="332" t="str">
        <f t="shared" si="125"/>
        <v>o</v>
      </c>
      <c r="IH311" s="332" t="str">
        <f t="shared" si="126"/>
        <v>•</v>
      </c>
      <c r="II311" s="332" t="str">
        <f t="shared" si="127"/>
        <v>o</v>
      </c>
      <c r="IJ311" s="332" t="str">
        <f t="shared" si="128"/>
        <v>•</v>
      </c>
      <c r="IK311" s="332" t="str">
        <f t="shared" si="129"/>
        <v>o</v>
      </c>
      <c r="IL311" s="332" t="str">
        <f t="shared" si="130"/>
        <v>•</v>
      </c>
      <c r="IM311" s="332" t="str">
        <f t="shared" si="131"/>
        <v>•</v>
      </c>
      <c r="IN311" s="332" t="str">
        <f t="shared" si="132"/>
        <v>o</v>
      </c>
      <c r="IO311" s="338" t="str">
        <f t="shared" si="133"/>
        <v>•</v>
      </c>
      <c r="IP311" s="346" t="b">
        <f t="shared" si="134"/>
        <v>0</v>
      </c>
      <c r="IQ311" s="347" t="b">
        <f t="shared" si="135"/>
        <v>0</v>
      </c>
      <c r="IR311" s="347" t="b">
        <f t="shared" si="136"/>
        <v>0</v>
      </c>
      <c r="IS311" s="347" t="b">
        <f t="shared" si="137"/>
        <v>0</v>
      </c>
      <c r="IT311" s="347" t="b">
        <f t="shared" si="138"/>
        <v>0</v>
      </c>
      <c r="IU311" s="347" t="b">
        <f t="shared" si="139"/>
        <v>0</v>
      </c>
      <c r="IV311" s="347" t="b">
        <f t="shared" si="140"/>
        <v>0</v>
      </c>
      <c r="IW311" s="347" t="b">
        <f t="shared" si="141"/>
        <v>0</v>
      </c>
      <c r="IX311" s="347" t="b">
        <f t="shared" si="142"/>
        <v>0</v>
      </c>
      <c r="IY311" s="347" t="b">
        <f t="shared" si="143"/>
        <v>1</v>
      </c>
      <c r="IZ311" s="347" t="b">
        <f t="shared" si="144"/>
        <v>0</v>
      </c>
      <c r="JA311" s="347" t="b">
        <f t="shared" si="145"/>
        <v>0</v>
      </c>
      <c r="JB311" s="353" t="b">
        <f t="shared" si="146"/>
        <v>0</v>
      </c>
      <c r="JC311" s="354" t="str">
        <f t="shared" si="147"/>
        <v/>
      </c>
      <c r="JD311" s="355" t="str">
        <f t="shared" si="148"/>
        <v/>
      </c>
      <c r="JE311" s="355" t="str">
        <f t="shared" si="149"/>
        <v/>
      </c>
      <c r="JF311" s="355" t="str">
        <f t="shared" si="150"/>
        <v/>
      </c>
      <c r="JG311" s="355" t="str">
        <f t="shared" si="151"/>
        <v/>
      </c>
      <c r="JH311" s="355" t="str">
        <f t="shared" si="152"/>
        <v/>
      </c>
      <c r="JI311" s="355" t="str">
        <f t="shared" si="153"/>
        <v/>
      </c>
      <c r="JJ311" s="355" t="str">
        <f t="shared" si="154"/>
        <v/>
      </c>
      <c r="JK311" s="355" t="str">
        <f t="shared" si="155"/>
        <v/>
      </c>
      <c r="JL311" s="355" t="str">
        <f t="shared" si="156"/>
        <v>Dha, </v>
      </c>
      <c r="JM311" s="355" t="str">
        <f t="shared" si="157"/>
        <v/>
      </c>
      <c r="JN311" s="355" t="str">
        <f t="shared" si="158"/>
        <v/>
      </c>
      <c r="JO311" s="359" t="str">
        <f t="shared" si="159"/>
        <v/>
      </c>
      <c r="JP311" s="346" t="b">
        <f t="shared" si="160"/>
        <v>0</v>
      </c>
      <c r="JQ311" s="347" t="b">
        <f t="shared" si="161"/>
        <v>0</v>
      </c>
      <c r="JR311" s="347" t="b">
        <f t="shared" si="162"/>
        <v>0</v>
      </c>
      <c r="JS311" s="347" t="b">
        <f t="shared" si="163"/>
        <v>0</v>
      </c>
      <c r="JT311" s="347" t="b">
        <f t="shared" si="164"/>
        <v>0</v>
      </c>
      <c r="JU311" s="347" t="b">
        <f t="shared" si="165"/>
        <v>0</v>
      </c>
      <c r="JV311" s="347" t="b">
        <f t="shared" si="166"/>
        <v>0</v>
      </c>
      <c r="JW311" s="347" t="b">
        <f t="shared" si="167"/>
        <v>0</v>
      </c>
      <c r="JX311" s="347" t="b">
        <f t="shared" si="168"/>
        <v>0</v>
      </c>
      <c r="JY311" s="347" t="b">
        <f t="shared" si="169"/>
        <v>0</v>
      </c>
      <c r="JZ311" s="347" t="b">
        <f t="shared" si="170"/>
        <v>0</v>
      </c>
      <c r="KA311" s="347" t="b">
        <f t="shared" si="171"/>
        <v>0</v>
      </c>
      <c r="KB311" s="365" t="b">
        <f t="shared" si="172"/>
        <v>0</v>
      </c>
      <c r="KC311" s="354" t="str">
        <f t="shared" si="173"/>
        <v/>
      </c>
      <c r="KD311" s="355" t="str">
        <f t="shared" si="174"/>
        <v/>
      </c>
      <c r="KE311" s="355" t="str">
        <f t="shared" si="175"/>
        <v/>
      </c>
      <c r="KF311" s="355" t="str">
        <f t="shared" si="176"/>
        <v/>
      </c>
      <c r="KG311" s="355" t="str">
        <f t="shared" si="177"/>
        <v/>
      </c>
      <c r="KH311" s="355" t="str">
        <f t="shared" si="178"/>
        <v/>
      </c>
      <c r="KI311" s="355" t="str">
        <f t="shared" si="179"/>
        <v/>
      </c>
      <c r="KJ311" s="355" t="str">
        <f t="shared" si="180"/>
        <v/>
      </c>
      <c r="KK311" s="355" t="str">
        <f t="shared" si="181"/>
        <v/>
      </c>
      <c r="KL311" s="355" t="str">
        <f t="shared" si="182"/>
        <v/>
      </c>
      <c r="KM311" s="355" t="str">
        <f t="shared" si="183"/>
        <v/>
      </c>
      <c r="KN311" s="355" t="str">
        <f t="shared" si="184"/>
        <v/>
      </c>
      <c r="KO311" s="359"/>
      <c r="KP311" s="378"/>
      <c r="KQ311" s="379" t="s">
        <v>561</v>
      </c>
      <c r="KR311" s="380" t="s">
        <v>1297</v>
      </c>
      <c r="KS311" s="381" t="str">
        <f t="shared" si="851"/>
        <v>S-R-g-m-P-D-n-S</v>
      </c>
      <c r="KT311" s="382">
        <f t="shared" si="186"/>
        <v>7</v>
      </c>
      <c r="KU311" s="383">
        <f t="shared" si="187"/>
        <v>7</v>
      </c>
      <c r="KV311" s="381" t="str">
        <f t="shared" si="205"/>
        <v>S-n-D-P-m-g-R-S</v>
      </c>
      <c r="KW311" s="382">
        <f t="shared" si="189"/>
        <v>7</v>
      </c>
      <c r="KX311" s="384">
        <f t="shared" si="190"/>
        <v>7</v>
      </c>
      <c r="KY311" s="382">
        <f t="shared" ref="KY311:KZ311" si="852">KW311-KT311</f>
        <v>0</v>
      </c>
      <c r="KZ311" s="369">
        <f t="shared" si="852"/>
        <v>0</v>
      </c>
      <c r="LA311" s="385" t="str">
        <f t="shared" si="192"/>
        <v>✔</v>
      </c>
      <c r="LB311" s="340" t="str">
        <f>IFERROR(__xludf.DUMMYFUNCTION("JOIN("""",ArrayFormula(MID(KS311,LEN(KS311)-SEQUENCE(1,LEN(KS311))+1,1)))"),"S-n-D-P-m-g-R-S")</f>
        <v>S-n-D-P-m-g-R-S</v>
      </c>
      <c r="LC311" s="373" t="str">
        <f>IFERROR(__xludf.DUMMYFUNCTION("JOIN("""",ArrayFormula(MID(KV311,LEN(KV311)-SEQUENCE(1,LEN(KV311))+1,1)))"),"S-R-g-m-P-D-n-S")</f>
        <v>S-R-g-m-P-D-n-S</v>
      </c>
      <c r="LD311" s="373" t="str">
        <f t="shared" si="193"/>
        <v>SRgmPDnS</v>
      </c>
      <c r="LE311" s="339" t="str">
        <f t="shared" si="194"/>
        <v>SRgmPDnS</v>
      </c>
      <c r="LF311" s="386" t="str">
        <f>IFERROR(__xludf.DUMMYFUNCTION("SUBSTITUTE(SUBSTITUTE(CONCATENATE(JOIN("""",LH311:LT311)),""1"",""""),""2"","""")"),"SRgmPDnS")</f>
        <v>SRgmPDnS</v>
      </c>
      <c r="LG311" s="369" t="str">
        <f t="shared" si="195"/>
        <v>✔</v>
      </c>
      <c r="LH311" s="387" t="str">
        <f>IFERROR(__xludf.DUMMYFUNCTION("IF(REGEXMATCH(LD311, ""S""), ""S"",IF(REGEXMATCH(LE311, ""S""), ""S"",""""))"),"S")</f>
        <v>S</v>
      </c>
      <c r="LI311" s="299" t="str">
        <f>IFERROR(__xludf.DUMMYFUNCTION("IF(REGEXMATCH(LD311, ""r""), ""r1"",IF(REGEXMATCH(LE311, ""r""), ""r2"",""""))"),"")</f>
        <v/>
      </c>
      <c r="LJ311" s="299" t="str">
        <f>IFERROR(__xludf.DUMMYFUNCTION("IF(REGEXMATCH(LD311, ""R""), ""R1"",IF(REGEXMATCH(LE311, ""R""), ""R2"",""""))"),"R1")</f>
        <v>R1</v>
      </c>
      <c r="LK311" s="299" t="str">
        <f>IFERROR(__xludf.DUMMYFUNCTION("IF(REGEXMATCH(LD311, ""g""), ""g1"",IF(REGEXMATCH(LE311, ""g""), ""g2"",""""))"),"g1")</f>
        <v>g1</v>
      </c>
      <c r="LL311" s="299" t="str">
        <f>IFERROR(__xludf.DUMMYFUNCTION("IF(REGEXMATCH(LD311, ""G""), ""G1"",IF(REGEXMATCH(LE311, ""G""), ""G2"",""""))"),"")</f>
        <v/>
      </c>
      <c r="LM311" s="299" t="str">
        <f>IFERROR(__xludf.DUMMYFUNCTION("IF(REGEXMATCH(LD311, ""m""), ""m1"",IF(REGEXMATCH(LE311, ""m""), ""m2"",""""))"),"m1")</f>
        <v>m1</v>
      </c>
      <c r="LN311" s="299" t="str">
        <f>IFERROR(__xludf.DUMMYFUNCTION("IF(REGEXMATCH(LD311, ""M""), ""M1"",IF(REGEXMATCH(LE311, ""M""), ""M2"",""""))"),"")</f>
        <v/>
      </c>
      <c r="LO311" s="299" t="str">
        <f>IFERROR(__xludf.DUMMYFUNCTION("IF(REGEXMATCH(LD311, ""P""), ""P1"",IF(REGEXMATCH(LE311, ""P""), ""P2"",""""))"),"P1")</f>
        <v>P1</v>
      </c>
      <c r="LP311" s="299" t="str">
        <f>IFERROR(__xludf.DUMMYFUNCTION("IF(REGEXMATCH(LD311, ""d""), ""d1"",IF(REGEXMATCH(LE311, ""d""), ""d2"",""""))"),"")</f>
        <v/>
      </c>
      <c r="LQ311" s="299" t="str">
        <f>IFERROR(__xludf.DUMMYFUNCTION("IF(REGEXMATCH(LD311, ""D""), ""D1"",IF(REGEXMATCH(LE311, ""D""), ""D2"",""""))"),"D1")</f>
        <v>D1</v>
      </c>
      <c r="LR311" s="299" t="str">
        <f>IFERROR(__xludf.DUMMYFUNCTION("IF(REGEXMATCH(LD311, ""n""), ""n1"",IF(REGEXMATCH(LE311, ""n""), ""n2"",""""))"),"n1")</f>
        <v>n1</v>
      </c>
      <c r="LS311" s="299" t="str">
        <f>IFERROR(__xludf.DUMMYFUNCTION("IF(REGEXMATCH(LD311, ""N""), ""N1"",IF(REGEXMATCH(LE311, ""N""), ""N2"",""""))"),"")</f>
        <v/>
      </c>
      <c r="LT311" s="388" t="str">
        <f>IFERROR(__xludf.DUMMYFUNCTION("IF(REGEXMATCH(LD311, ""S""), ""S"",IF(REGEXMATCH(LE311, ""S""), ""S"",""""))"),"S")</f>
        <v>S</v>
      </c>
      <c r="LU311" s="389">
        <f t="shared" si="196"/>
        <v>1</v>
      </c>
      <c r="LV311" s="378"/>
      <c r="LW311" s="369"/>
      <c r="LX311" s="369"/>
    </row>
    <row r="312" ht="18.0" customHeight="1">
      <c r="A312" s="298" t="s">
        <v>1146</v>
      </c>
      <c r="B312" s="222" t="s">
        <v>871</v>
      </c>
      <c r="C312" s="233" t="str">
        <f t="shared" si="7"/>
        <v>SRGPDNS</v>
      </c>
      <c r="D312" s="234" t="str">
        <f>IFERROR(__xludf.DUMMYFUNCTION("IF(REGEXMATCH(C312, ""S""), ""S"","""")"),"S")</f>
        <v>S</v>
      </c>
      <c r="E312" s="236" t="str">
        <f>IFERROR(__xludf.DUMMYFUNCTION("IF(REGEXMATCH(C312, ""r""), ""r"","""")"),"")</f>
        <v/>
      </c>
      <c r="F312" s="237" t="str">
        <f>IFERROR(__xludf.DUMMYFUNCTION("IF(REGEXMATCH(C312, ""R""), ""R"","""")"),"R")</f>
        <v>R</v>
      </c>
      <c r="G312" s="237" t="str">
        <f>IFERROR(__xludf.DUMMYFUNCTION("IF(REGEXMATCH(C312, ""g""), ""g"","""")"),"")</f>
        <v/>
      </c>
      <c r="H312" s="236" t="str">
        <f>IFERROR(__xludf.DUMMYFUNCTION("IF(REGEXMATCH(C312, ""G""), ""G"","""")"),"G")</f>
        <v>G</v>
      </c>
      <c r="I312" s="236" t="str">
        <f>IFERROR(__xludf.DUMMYFUNCTION("IF(REGEXMATCH(C312, ""m""), ""m"","""")"),"")</f>
        <v/>
      </c>
      <c r="J312" s="237" t="str">
        <f>IFERROR(__xludf.DUMMYFUNCTION("IF(REGEXMATCH(C312, ""M""), ""M"","""")"),"")</f>
        <v/>
      </c>
      <c r="K312" s="236" t="str">
        <f>IFERROR(__xludf.DUMMYFUNCTION("IF(REGEXMATCH(C312, ""P""), ""P"","""")"),"P")</f>
        <v>P</v>
      </c>
      <c r="L312" s="237" t="str">
        <f>IFERROR(__xludf.DUMMYFUNCTION("IF(REGEXMATCH(C312, ""d""), ""d"","""")"),"")</f>
        <v/>
      </c>
      <c r="M312" s="236" t="str">
        <f>IFERROR(__xludf.DUMMYFUNCTION("IF(REGEXMATCH(C312, ""D""), ""D"","""")"),"D")</f>
        <v>D</v>
      </c>
      <c r="N312" s="236" t="str">
        <f>IFERROR(__xludf.DUMMYFUNCTION("IF(REGEXMATCH(C312, ""n""), ""n"","""")"),"")</f>
        <v/>
      </c>
      <c r="O312" s="237" t="str">
        <f>IFERROR(__xludf.DUMMYFUNCTION("IF(REGEXMATCH(C312, ""N""), ""N"","""")"),"N")</f>
        <v>N</v>
      </c>
      <c r="P312" s="238" t="str">
        <f>IFERROR(__xludf.DUMMYFUNCTION("IF(REGEXMATCH(C312, ""S""), ""S"","""")"),"S")</f>
        <v>S</v>
      </c>
      <c r="Q312" s="239" t="str">
        <f>IFERROR(__xludf.DUMMYFUNCTION("SUBSTITUTE(CONCATENATE(JOIN(""-"",D312:J312)),""-"","""")"),"SRG")</f>
        <v>SRG</v>
      </c>
      <c r="R312" s="229" t="str">
        <f>IFERROR(__xludf.DUMMYFUNCTION("SUBSTITUTE(CONCATENATE(JOIN(""-"",K312:P312)),""-"","""")"),"PDNS")</f>
        <v>PDNS</v>
      </c>
      <c r="S312" s="282" t="str">
        <f t="shared" si="8"/>
        <v>S-R-G-</v>
      </c>
      <c r="T312" s="282" t="str">
        <f t="shared" si="9"/>
        <v>P-D-N-S</v>
      </c>
      <c r="U312" s="237" t="str">
        <f>IFERROR(__xludf.DUMMYFUNCTION("SUBSTITUTE(JOIN(""-"",S312,T312),""--"",""-"")"),"S-R-G-P-D-N-S")</f>
        <v>S-R-G-P-D-N-S</v>
      </c>
      <c r="V312" s="309" t="str">
        <f t="shared" si="10"/>
        <v>RGDN</v>
      </c>
      <c r="W312" s="244" t="str">
        <f>IFERROR(__xludf.DUMMYFUNCTION("IF(REGEXMATCH(C312, ""S""), ""0"","""")"),"0")</f>
        <v>0</v>
      </c>
      <c r="X312" s="245" t="str">
        <f>IFERROR(__xludf.DUMMYFUNCTION("IF(REGEXMATCH(C312, ""r""), ""1"","""")"),"")</f>
        <v/>
      </c>
      <c r="Y312" s="246" t="str">
        <f>IFERROR(__xludf.DUMMYFUNCTION("IF(REGEXMATCH(C312, ""R""), ""2"","""")"),"2")</f>
        <v>2</v>
      </c>
      <c r="Z312" s="246" t="str">
        <f>IFERROR(__xludf.DUMMYFUNCTION("IF(REGEXMATCH(C312, ""g""), ""3"","""")"),"")</f>
        <v/>
      </c>
      <c r="AA312" s="245" t="str">
        <f>IFERROR(__xludf.DUMMYFUNCTION("IF(REGEXMATCH(C312, ""G""), ""4"","""")"),"4")</f>
        <v>4</v>
      </c>
      <c r="AB312" s="245" t="str">
        <f>IFERROR(__xludf.DUMMYFUNCTION("IF(REGEXMATCH(C312, ""m""), ""5"","""")"),"")</f>
        <v/>
      </c>
      <c r="AC312" s="246" t="str">
        <f>IFERROR(__xludf.DUMMYFUNCTION("IF(REGEXMATCH(C312, ""M""), ""6"","""")"),"")</f>
        <v/>
      </c>
      <c r="AD312" s="245" t="str">
        <f>IFERROR(__xludf.DUMMYFUNCTION("IF(REGEXMATCH(C312, ""P""), ""7"","""")"),"7")</f>
        <v>7</v>
      </c>
      <c r="AE312" s="246" t="str">
        <f>IFERROR(__xludf.DUMMYFUNCTION("IF(REGEXMATCH(C312, ""d""), ""8"","""")"),"")</f>
        <v/>
      </c>
      <c r="AF312" s="245" t="str">
        <f>IFERROR(__xludf.DUMMYFUNCTION("IF(REGEXMATCH(C312, ""D""), ""9"","""")"),"9")</f>
        <v>9</v>
      </c>
      <c r="AG312" s="245" t="str">
        <f>IFERROR(__xludf.DUMMYFUNCTION("IF(REGEXMATCH(C312, ""n""), ""10"","""")"),"")</f>
        <v/>
      </c>
      <c r="AH312" s="246" t="str">
        <f>IFERROR(__xludf.DUMMYFUNCTION("IF(REGEXMATCH(C312, ""N""), ""11"","""")"),"11")</f>
        <v>11</v>
      </c>
      <c r="AI312" s="249" t="str">
        <f>IFERROR(__xludf.DUMMYFUNCTION("IF(REGEXMATCH(C312, ""S""), ""0"","""")"),"0")</f>
        <v>0</v>
      </c>
      <c r="AJ312" s="313" t="str">
        <f t="shared" si="11"/>
        <v>-</v>
      </c>
      <c r="AK312" s="313" t="str">
        <f t="shared" si="12"/>
        <v>-</v>
      </c>
      <c r="AL312" s="313" t="str">
        <f t="shared" si="13"/>
        <v>-</v>
      </c>
      <c r="AM312" s="313" t="str">
        <f t="shared" si="14"/>
        <v>-</v>
      </c>
      <c r="AN312" s="313" t="str">
        <f t="shared" si="15"/>
        <v>-</v>
      </c>
      <c r="AO312" s="314" t="str">
        <f t="shared" si="16"/>
        <v>-</v>
      </c>
      <c r="AP312" s="316">
        <f t="shared" si="17"/>
        <v>0</v>
      </c>
      <c r="AQ312" s="319" t="str">
        <f t="shared" si="18"/>
        <v>-</v>
      </c>
      <c r="AR312" s="320">
        <f t="shared" si="19"/>
        <v>0</v>
      </c>
      <c r="AS312" s="250" t="str">
        <f>IFERROR(__xludf.DUMMYFUNCTION("SUBSTITUTE(SUBSTITUTE(CONCATENATE(JOIN("""",FP312:GA312)),""|"",""x""),""-"",""o"")"),"xoxoxooxoxox")</f>
        <v>xoxoxooxoxox</v>
      </c>
      <c r="AT312" s="323" t="str">
        <f>IFERROR(__xludf.DUMMYFUNCTION("JOIN("""",AS312,AS312)"),"xoxoxooxoxoxxoxoxooxoxox")</f>
        <v>xoxoxooxoxoxxoxoxooxoxox</v>
      </c>
      <c r="AU312" s="256" t="str">
        <f>IFERROR(__xludf.DUMMYFUNCTION("JOIN("""",ArrayFormula(MID(AS312,LEN(AS312)-SEQUENCE(1,LEN(AS312))+1,1)))"),"xoxoxooxoxox")</f>
        <v>xoxoxooxoxox</v>
      </c>
      <c r="AV312" s="256" t="str">
        <f>IFERROR(__xludf.DUMMYFUNCTION("LEFT(CONCATENATE(""x"",JOIN("""",ArrayFormula(MID(AS312,LEN(AS312)-SEQUENCE(1,LEN(AS312))+1,1)))),12)"),"xxoxoxooxoxo")</f>
        <v>xxoxoxooxoxo</v>
      </c>
      <c r="AW312" s="327" t="str">
        <f>IFERROR(__xludf.DUMMYFUNCTION("JOIN("""",AU312,AU312)"),"xoxoxooxoxoxxoxoxooxoxox")</f>
        <v>xoxoxooxoxoxxoxoxooxoxox</v>
      </c>
      <c r="AX312" s="239" t="str">
        <f>IFERROR(__xludf.DUMMYFUNCTION("IF(REGEXMATCH(AW312,AS312),""✔"",""-"")"),"✔")</f>
        <v>✔</v>
      </c>
      <c r="AY312" s="330" t="str">
        <f t="shared" si="20"/>
        <v>-</v>
      </c>
      <c r="AZ312" s="260" t="str">
        <f t="shared" si="21"/>
        <v>#REF!</v>
      </c>
      <c r="BA312" s="333" t="str">
        <f t="shared" si="22"/>
        <v>xoxoxoo</v>
      </c>
      <c r="BB312" s="334" t="str">
        <f t="shared" si="23"/>
        <v>xoxoxx</v>
      </c>
      <c r="BC312" s="335" t="str">
        <f t="shared" si="236"/>
        <v>-</v>
      </c>
      <c r="BD312" s="336" t="str">
        <f t="shared" si="25"/>
        <v>Shankara: 'xoxoxoo' + 'xoxoxx'</v>
      </c>
      <c r="BE312" s="337">
        <f>IFERROR(__xludf.DUMMYFUNCTION("COUNTUNIQUE(FILTER(AT:AT,REGEXMATCH(AT:AT,AS312)))-1"),3.0)</f>
        <v>3</v>
      </c>
      <c r="BF312" s="261" t="str">
        <f>IFERROR(__xludf.DUMMYFUNCTION("IF(BI312=0,""(n/a)"",IF(BJ312=2,""(PAIR)"",IF(REGEXMATCH(AT312,""xoxoxxoxoxox""),""Bilawal"",IF(REGEXMATCH(AT312,""xoxoxooxoxoo""),""Bhupali"",IF(REGEXMATCH(AT312,""xoxoxxoxxoxo""),""Charukeshi"",IF(REGEXMATCH(AT312,""xoxoooxxoxxo""),""Kameshwari"",IF(REG"&amp;"EXMATCH(AT312,""xoxoxooxoxox""),""Shankara"",IF(REGEXMATCH(AT312,""xxooxoxxxoox""),""Basant"",IF(REGEXMATCH(AT312,""xoxoxxxxoxox""),""Bihag"",IF(REGEXMATCH(AT312,""xoxxxxoxoxxx""),""Pilu"",IF(REGEXMATCH(AT312,""xoxxoxoxxoox""),""Kirwani"",IF(REGEXMATCH(AT"&amp;"312,""xoxxoxoxoxxx""),""Mk.Malhar"",IF(REGEXMATCH(AT312,""xxooxxoxxoox""),""Bhairav"",IF(REGEXMATCH(AT312,""xxoxooxxxoox""),""Todi"",IF(REGEXMATCH(AT312,""xxooxoxooxox""),""Marwa"",IF(REGEXMATCH(AT312,""xxoooxoxxooo""),""Gunkali"",IF(REGEXMATCH(AT312,""xo"&amp;"xoxxoxxoox""),""Nat Bhairav"",IF(REGEXMATCH(AT312,""xoxxoooxoxoo""),""Shivranjani"",IF(REGEXMATCH(AT312,""xooxxxoxooxo""),""Jog"",IF(REGEXMATCH(AT312,""xxooxoxoxoox""),""Hemshri"",IF(REGEXMATCH(AT312,""xoooxooxoxxo""),""Kalavati"",IF(REGEXMATCH(AT312,""xx"&amp;"oxoxxoxoox""),""Kedar"",IF(REGEXMATCH(AT312,""xoxxxxoxooxx""),""Gara"",IF(REGEXMATCH(AT312,""xooxoxooxoox""),""Chandrakauns"",IF(REGEXMATCH(AT312,""xoxxxxoxxxox""),""Mand"",IF(REGEXMATCH(AT312,""xoxxxxoxoxox""),""Hanskinkini"",IF(REGEXMATCH(AT312,""xxooxx"&amp;"oxooxo""),""Lilavati"",IF(REGEXMATCH(AT312,""xooxoxoooxox""),""Rajeshwari"",IF(REGEXMATCH(AT312,""xoooxxoxoxxx""),""Khokar"",IF(REGEXMATCH(AT312,""xxooxoxxxxox""),""Maligoura"",""-""))))))))))))))))))))))))))))))"),"Shankara")</f>
        <v>Shankara</v>
      </c>
      <c r="BG312" s="239" t="str">
        <f t="shared" si="26"/>
        <v>#REF!</v>
      </c>
      <c r="BH312" s="239">
        <f>IFERROR(__xludf.DUMMYFUNCTION("COUNTUNIQUE(FE312:FO312)-1"),5.0)</f>
        <v>5</v>
      </c>
      <c r="BI312" s="239">
        <f>IFERROR(__xludf.DUMMYFUNCTION("COUNTUNIQUE(FILTER(AT:AT,REGEXMATCH(AT:AT,AS312)))-1"),3.0)</f>
        <v>3</v>
      </c>
      <c r="BJ312" s="239">
        <f>IFERROR(__xludf.DUMMYFUNCTION("COUNTA(FILTER(AT:AT,REGEXMATCH(AT:AT,AS312)))"),11.0)</f>
        <v>11</v>
      </c>
      <c r="BK312" s="341">
        <f>IFERROR(__xludf.DUMMYFUNCTION("COUNTA(FILTER(AT:AT,REGEXMATCH(AT:AT,AS312)))-AR312"),11.0)</f>
        <v>11</v>
      </c>
      <c r="BL312" s="276" t="str">
        <f>IFERROR(__xludf.DUMMYFUNCTION("IF(AS312=""oooooooooooo"",""-"",IF(REGEXMATCH(AT312,""xx""), ""Hemi."", ""Anhemi.""))"),"Hemi.")</f>
        <v>Hemi.</v>
      </c>
      <c r="BM312" s="282" t="str">
        <f>IFERROR(__xludf.DUMMYFUNCTION("IF(AS312=""oooooooooooo"",""-"",IF(REGEXMATCH(AT312,""xxx""), ""Cohem."", ""-""))"),"-")</f>
        <v>-</v>
      </c>
      <c r="BN312" s="282" t="str">
        <f>IFERROR(__xludf.DUMMYFUNCTION("IF(AS312=""oooooooooooo"",""-"",IF(REGEXMATCH(AT312,""xxxx""), ""Co-Co."", ""-""))"),"-")</f>
        <v>-</v>
      </c>
      <c r="BO312" s="342" t="str">
        <f>IFERROR(__xludf.DUMMYFUNCTION("IF(AS312=""oooooooooooo"",""-"",IF(REGEXMATCH(AT312,""xxxxx""), ""CCC."", ""-""))"),"-")</f>
        <v>-</v>
      </c>
      <c r="BP312" s="344" t="str">
        <f t="shared" si="27"/>
        <v>-</v>
      </c>
      <c r="BQ312" s="282" t="str">
        <f>IFERROR(__xludf.DUMMYFUNCTION("IF(REGEXMATCH(JOIN(""-"",EU312:FD312),""TRUE""),""✔"",""-"")"),"✔")</f>
        <v>✔</v>
      </c>
      <c r="BR312" s="225">
        <f t="shared" si="28"/>
        <v>2</v>
      </c>
      <c r="BS312" s="345" t="str">
        <f>IFERROR(__xludf.DUMMYFUNCTION("SUBSTITUTE(SUBSTITUTE(SUBSTITUTE(SUBSTITUTE(CONCATENATE(JOIN(""-"",GC312:GO312)),""--"",""-""),""--"",""-""),""--"",""-""),""--"",""-"")"),"1-2-3-5-6-7-8")</f>
        <v>1-2-3-5-6-7-8</v>
      </c>
      <c r="BT312" s="299" t="str">
        <f>IFERROR(__xludf.DUMMYFUNCTION("SUBSTITUTE(SUBSTITUTE(SUBSTITUTE(SUBSTITUTE(CONCATENATE(JOIN(""-"",GP312:HB312)),""--"",""-""),""--"",""-""),""--"",""-""),""--"",""-"")"),"S-R2-G3-P-D2-N3-S")</f>
        <v>S-R2-G3-P-D2-N3-S</v>
      </c>
      <c r="BU312" s="348" t="str">
        <f t="shared" si="29"/>
        <v>C-D-E-G-A-B-C</v>
      </c>
      <c r="BV312" s="349" t="str">
        <f t="shared" si="30"/>
        <v>SrgmMdnS</v>
      </c>
      <c r="BW312" s="350">
        <f t="shared" si="31"/>
        <v>1</v>
      </c>
      <c r="BX312" s="351">
        <f t="shared" si="32"/>
        <v>2</v>
      </c>
      <c r="BY312" s="392"/>
      <c r="BZ312" s="309" t="str">
        <f>IFERROR(__xludf.DUMMYFUNCTION("IF(REGEXMATCH(C312, ""S""), ""x"",""x"")"),"x")</f>
        <v>x</v>
      </c>
      <c r="CA312" s="245" t="str">
        <f>IFERROR(__xludf.DUMMYFUNCTION("IF(REGEXMATCH(C312, ""r""), ""o"",""x"")"),"x")</f>
        <v>x</v>
      </c>
      <c r="CB312" s="246" t="str">
        <f>IFERROR(__xludf.DUMMYFUNCTION("IF(REGEXMATCH(C312, ""R""), ""o"",""x"")"),"o")</f>
        <v>o</v>
      </c>
      <c r="CC312" s="246" t="str">
        <f>IFERROR(__xludf.DUMMYFUNCTION("IF(REGEXMATCH(C312, ""g""), ""o"",""x"")"),"x")</f>
        <v>x</v>
      </c>
      <c r="CD312" s="245" t="str">
        <f>IFERROR(__xludf.DUMMYFUNCTION("IF(REGEXMATCH(C312, ""G""), ""o"",""x"")"),"o")</f>
        <v>o</v>
      </c>
      <c r="CE312" s="245" t="str">
        <f>IFERROR(__xludf.DUMMYFUNCTION("IF(REGEXMATCH(C312, ""m""), ""o"",""x"")"),"x")</f>
        <v>x</v>
      </c>
      <c r="CF312" s="246" t="str">
        <f>IFERROR(__xludf.DUMMYFUNCTION("IF(REGEXMATCH(C312, ""M""), ""o"",""x"")"),"x")</f>
        <v>x</v>
      </c>
      <c r="CG312" s="245" t="str">
        <f>IFERROR(__xludf.DUMMYFUNCTION("IF(REGEXMATCH(C312, ""P""), ""o"",""x"")"),"o")</f>
        <v>o</v>
      </c>
      <c r="CH312" s="246" t="str">
        <f>IFERROR(__xludf.DUMMYFUNCTION("IF(REGEXMATCH(C312, ""d""), ""o"",""x"")"),"x")</f>
        <v>x</v>
      </c>
      <c r="CI312" s="245" t="str">
        <f>IFERROR(__xludf.DUMMYFUNCTION("IF(REGEXMATCH(C312, ""D""), ""o"",""x"")"),"o")</f>
        <v>o</v>
      </c>
      <c r="CJ312" s="245" t="str">
        <f>IFERROR(__xludf.DUMMYFUNCTION("IF(REGEXMATCH(C312, ""n""), ""o"",""x"")"),"x")</f>
        <v>x</v>
      </c>
      <c r="CK312" s="245" t="str">
        <f>IFERROR(__xludf.DUMMYFUNCTION("IF(REGEXMATCH(C312, ""N""), ""o"",""x"")"),"o")</f>
        <v>o</v>
      </c>
      <c r="CL312" s="356" t="str">
        <f>IFERROR(__xludf.DUMMYFUNCTION("IF(REGEXMATCH(C312, ""S""), ""x"",""x"")"),"x")</f>
        <v>x</v>
      </c>
      <c r="CM312" s="357" t="str">
        <f t="shared" si="33"/>
        <v>xxoxoxxoxoxo</v>
      </c>
      <c r="CN312" s="358">
        <f t="shared" si="34"/>
        <v>1</v>
      </c>
      <c r="CO312" s="246" t="str">
        <f>IFERROR(__xludf.DUMMYFUNCTION("IF(REGEXMATCH($C312, ""S""), ""S"",""S"")"),"S")</f>
        <v>S</v>
      </c>
      <c r="CP312" s="246" t="str">
        <f>IFERROR(__xludf.DUMMYFUNCTION("IF(REGEXMATCH($C312, ""r""), """",""r"")"),"r")</f>
        <v>r</v>
      </c>
      <c r="CQ312" s="246" t="str">
        <f>IFERROR(__xludf.DUMMYFUNCTION("IF(REGEXMATCH($C312, ""R""), """",""R"")"),"")</f>
        <v/>
      </c>
      <c r="CR312" s="246" t="str">
        <f>IFERROR(__xludf.DUMMYFUNCTION("IF(REGEXMATCH($C312, ""g""), """",""g"")"),"g")</f>
        <v>g</v>
      </c>
      <c r="CS312" s="246" t="str">
        <f>IFERROR(__xludf.DUMMYFUNCTION("IF(REGEXMATCH($C312, ""G""), """",""G"")"),"")</f>
        <v/>
      </c>
      <c r="CT312" s="246" t="str">
        <f>IFERROR(__xludf.DUMMYFUNCTION("IF(REGEXMATCH($C312, ""m""), """",""m"")"),"m")</f>
        <v>m</v>
      </c>
      <c r="CU312" s="246" t="str">
        <f>IFERROR(__xludf.DUMMYFUNCTION("IF(REGEXMATCH($C312, ""M""), """",""M"")"),"M")</f>
        <v>M</v>
      </c>
      <c r="CV312" s="246" t="str">
        <f>IFERROR(__xludf.DUMMYFUNCTION("IF(REGEXMATCH($C312, ""P""), """",""P"")"),"")</f>
        <v/>
      </c>
      <c r="CW312" s="246" t="str">
        <f>IFERROR(__xludf.DUMMYFUNCTION("IF(REGEXMATCH($C312, ""d""), """",""d"")"),"d")</f>
        <v>d</v>
      </c>
      <c r="CX312" s="246" t="str">
        <f>IFERROR(__xludf.DUMMYFUNCTION("IF(REGEXMATCH($C312, ""D""), """",""D"")"),"")</f>
        <v/>
      </c>
      <c r="CY312" s="246" t="str">
        <f>IFERROR(__xludf.DUMMYFUNCTION("IF(REGEXMATCH($C312, ""n""), """",""n"")"),"n")</f>
        <v>n</v>
      </c>
      <c r="CZ312" s="246" t="str">
        <f>IFERROR(__xludf.DUMMYFUNCTION("IF(REGEXMATCH($C312, ""N""), """",""N"")"),"")</f>
        <v/>
      </c>
      <c r="DA312" s="246" t="str">
        <f>IFERROR(__xludf.DUMMYFUNCTION("IF(REGEXMATCH($C312, ""S""), ""S"",""S"")"),"S")</f>
        <v>S</v>
      </c>
      <c r="DB312" s="362" t="str">
        <f>IFERROR(__xludf.DUMMYFUNCTION("JOIN("""",CO312:DA312,"""","""")"),"SrgmMdnS")</f>
        <v>SrgmMdnS</v>
      </c>
      <c r="DC312" s="363"/>
      <c r="DD312" s="301" t="str">
        <f t="shared" si="35"/>
        <v>#REF!</v>
      </c>
      <c r="DE312" s="302" t="str">
        <f t="shared" si="36"/>
        <v>#REF!</v>
      </c>
      <c r="DF312" s="301" t="str">
        <f t="shared" ref="DF312:DG312" si="853">SUBSTITUTE(S312,"-","")</f>
        <v>SRG</v>
      </c>
      <c r="DG312" s="301" t="str">
        <f t="shared" si="853"/>
        <v>PDNS</v>
      </c>
      <c r="DH312" s="302" t="str">
        <f t="shared" si="38"/>
        <v>Shankara</v>
      </c>
      <c r="DI312" s="301" t="str">
        <f t="shared" si="39"/>
        <v>Hemi.</v>
      </c>
      <c r="DJ312" s="364" t="str">
        <f t="shared" si="40"/>
        <v>-</v>
      </c>
      <c r="DK312" s="306" t="str">
        <f t="shared" si="41"/>
        <v>-</v>
      </c>
      <c r="DL312" s="366" t="str">
        <f t="shared" si="42"/>
        <v>✔</v>
      </c>
      <c r="DM312" s="308" t="str">
        <f t="shared" si="43"/>
        <v>-</v>
      </c>
      <c r="DN312" s="306" t="str">
        <f t="shared" si="44"/>
        <v>✔</v>
      </c>
      <c r="DO312" s="306" t="str">
        <f t="shared" si="45"/>
        <v>-</v>
      </c>
      <c r="DP312" s="367" t="str">
        <f t="shared" si="46"/>
        <v>-</v>
      </c>
      <c r="DQ312" s="310" t="str">
        <f t="shared" si="47"/>
        <v>-</v>
      </c>
      <c r="DR312" s="310" t="str">
        <f t="shared" si="48"/>
        <v>-</v>
      </c>
      <c r="DS312" s="310" t="str">
        <f t="shared" si="49"/>
        <v>-</v>
      </c>
      <c r="DT312" s="310" t="str">
        <f t="shared" si="50"/>
        <v>-</v>
      </c>
      <c r="DU312" s="370" t="str">
        <f t="shared" si="51"/>
        <v>-</v>
      </c>
      <c r="DV312" s="306" t="str">
        <f t="shared" si="52"/>
        <v>-</v>
      </c>
      <c r="DW312" s="306" t="str">
        <f t="shared" si="53"/>
        <v>-</v>
      </c>
      <c r="DX312" s="306" t="str">
        <f t="shared" si="54"/>
        <v>✔</v>
      </c>
      <c r="DY312" s="306" t="str">
        <f t="shared" si="55"/>
        <v>-</v>
      </c>
      <c r="DZ312" s="306" t="str">
        <f t="shared" si="56"/>
        <v>-</v>
      </c>
      <c r="EA312" s="367" t="str">
        <f t="shared" si="57"/>
        <v>-</v>
      </c>
      <c r="EB312" s="310" t="str">
        <f>IFERROR(__xludf.DUMMYFUNCTION("IF(REGEXMATCH(AW312,AS312),""✔"",""-"")"),"✔")</f>
        <v>✔</v>
      </c>
      <c r="EC312" s="310" t="str">
        <f t="shared" si="58"/>
        <v>#REF!</v>
      </c>
      <c r="ED312" s="370" t="str">
        <f t="shared" si="59"/>
        <v>-</v>
      </c>
      <c r="EE312" s="340" t="str">
        <f t="shared" si="60"/>
        <v>S-R-G-P-D-N-S</v>
      </c>
      <c r="EF312" s="371" t="str">
        <f>IFERROR(__xludf.DUMMYFUNCTION("CONCATENATE(JOIN("""",HC312:HO312))"),"SrgmdnS")</f>
        <v>SrgmdnS</v>
      </c>
      <c r="EG312" s="372">
        <f t="shared" si="61"/>
        <v>1</v>
      </c>
      <c r="EH312" s="373" t="str">
        <f>IFERROR(__xludf.DUMMYFUNCTION("CONCATENATE(JOIN("""",JC312:JO312))"),"Ni, ")</f>
        <v>Ni, </v>
      </c>
      <c r="EI312" s="322">
        <f t="shared" si="62"/>
        <v>0</v>
      </c>
      <c r="EJ312" s="374" t="str">
        <f>IFERROR(__xludf.DUMMYFUNCTION("CONCATENATE(JOIN("""",KC312:KO312))"),"")</f>
        <v/>
      </c>
      <c r="EK312" s="325" t="str">
        <f t="shared" si="63"/>
        <v>S-R2-G3-P-D2-N3-S</v>
      </c>
      <c r="EL312" s="326" t="str">
        <f t="shared" si="64"/>
        <v>1-2-3-5-6-7-8</v>
      </c>
      <c r="EM312" s="318" t="str">
        <f t="shared" si="65"/>
        <v>#REF!</v>
      </c>
      <c r="EN312" s="328" t="str">
        <f>IFERROR(__xludf.DUMMYFUNCTION("SUBSTITUTE(SUBSTITUTE(SUBSTITUTE(SUBSTITUTE(CONCATENATE(JOIN("" "",HP312:IB312)),""  "","" ""),""  "","" ""),""  "","" ""),""  "","" "")"),"o • o • o • • o • o • o o")</f>
        <v>o • o • o • • o • o • o o</v>
      </c>
      <c r="EO312" s="368" t="str">
        <f t="shared" si="66"/>
        <v>Sa-Pa</v>
      </c>
      <c r="EP312" s="339" t="str">
        <f t="shared" si="67"/>
        <v>-</v>
      </c>
      <c r="EQ312" s="339" t="str">
        <f t="shared" si="68"/>
        <v>Sa-Pa</v>
      </c>
      <c r="ER312" s="339" t="str">
        <f t="shared" si="69"/>
        <v>Sa-Pa</v>
      </c>
      <c r="ES312" s="340" t="str">
        <f t="shared" si="70"/>
        <v>-</v>
      </c>
      <c r="ET312" s="363"/>
      <c r="EU312" s="376" t="b">
        <f>IFERROR(__xludf.DUMMYFUNCTION("arrayformula(sum(--REGEXMATCH(""SRGMPDNS"",split(REGEXREPLACE(C312,""(.)"",""$1~""),""~""))))=len(C312)
"),TRUE)</f>
        <v>1</v>
      </c>
      <c r="EV312" s="290" t="b">
        <f>IFERROR(__xludf.DUMMYFUNCTION("arrayformula(sum(--REGEXMATCH(""SRGmPDNS"",split(REGEXREPLACE(C312,""(.)"",""$1~""),""~""))))=len(C312)"),TRUE)</f>
        <v>1</v>
      </c>
      <c r="EW312" s="290" t="b">
        <f>IFERROR(__xludf.DUMMYFUNCTION("arrayformula(sum(--REGEXMATCH(""SRGmPDnS"",split(REGEXREPLACE(C312,""(.)"",""$1~""),""~""))))=len(C312)"),FALSE)</f>
        <v>0</v>
      </c>
      <c r="EX312" s="290" t="b">
        <f>IFERROR(__xludf.DUMMYFUNCTION("arrayformula(sum(--REGEXMATCH(""SRgmPDnS"",split(REGEXREPLACE(C312,""(.)"",""$1~""),""~""))))=len(C312)"),FALSE)</f>
        <v>0</v>
      </c>
      <c r="EY312" s="290" t="b">
        <f>IFERROR(__xludf.DUMMYFUNCTION("arrayformula(sum(--REGEXMATCH(""SRgmPdnS"",split(REGEXREPLACE(C312,""(.)"",""$1~""),""~""))))=len(C312)"),FALSE)</f>
        <v>0</v>
      </c>
      <c r="EZ312" s="290" t="b">
        <f>IFERROR(__xludf.DUMMYFUNCTION("arrayformula(sum(--REGEXMATCH(""SrgmPdnS"",split(REGEXREPLACE(C312,""(.)"",""$1~""),""~""))))=len(C312)"),FALSE)</f>
        <v>0</v>
      </c>
      <c r="FA312" s="290" t="b">
        <f>IFERROR(__xludf.DUMMYFUNCTION("arrayformula(sum(--REGEXMATCH(""SrGmPdNS"",split(REGEXREPLACE(C312,""(.)"",""$1~""),""~""))))=len(C312)"),FALSE)</f>
        <v>0</v>
      </c>
      <c r="FB312" s="290" t="b">
        <f>IFERROR(__xludf.DUMMYFUNCTION("arrayformula(sum(--REGEXMATCH(""SrGMPDNS"",split(REGEXREPLACE(C312,""(.)"",""$1~""),""~""))))=len(C312)"),FALSE)</f>
        <v>0</v>
      </c>
      <c r="FC312" s="290" t="b">
        <f>IFERROR(__xludf.DUMMYFUNCTION("arrayformula(sum(--REGEXMATCH(""SrGMPdNS"",split(REGEXREPLACE(C312,""(.)"",""$1~""),""~""))))=len(C312)"),FALSE)</f>
        <v>0</v>
      </c>
      <c r="FD312" s="377" t="b">
        <f>IFERROR(__xludf.DUMMYFUNCTION("arrayformula(sum(--REGEXMATCH(""SrgMPdNS"",split(REGEXREPLACE(C312,""(.)"",""$1~""),""~""))))=len(C312)"),FALSE)</f>
        <v>0</v>
      </c>
      <c r="FE312" s="269" t="str">
        <f t="shared" si="71"/>
        <v>-</v>
      </c>
      <c r="FF312" s="269" t="str">
        <f t="shared" si="72"/>
        <v>xoxooxoxoxx</v>
      </c>
      <c r="FG312" s="271" t="str">
        <f t="shared" si="73"/>
        <v>-</v>
      </c>
      <c r="FH312" s="269" t="str">
        <f t="shared" si="74"/>
        <v>xooxoxoxxox</v>
      </c>
      <c r="FI312" s="271" t="str">
        <f t="shared" si="75"/>
        <v>-</v>
      </c>
      <c r="FJ312" s="271" t="str">
        <f t="shared" si="76"/>
        <v>-</v>
      </c>
      <c r="FK312" s="271" t="str">
        <f t="shared" si="77"/>
        <v>xoxoxxoxoxo</v>
      </c>
      <c r="FL312" s="271" t="str">
        <f t="shared" si="78"/>
        <v>-</v>
      </c>
      <c r="FM312" s="271" t="str">
        <f t="shared" si="79"/>
        <v>xoxxoxoxoox</v>
      </c>
      <c r="FN312" s="271" t="str">
        <f t="shared" si="80"/>
        <v>-</v>
      </c>
      <c r="FO312" s="274" t="str">
        <f t="shared" si="81"/>
        <v>xxoxoxooxox</v>
      </c>
      <c r="FP312" s="234" t="str">
        <f t="shared" si="82"/>
        <v>|</v>
      </c>
      <c r="FQ312" s="236" t="str">
        <f t="shared" si="83"/>
        <v>-</v>
      </c>
      <c r="FR312" s="237" t="str">
        <f t="shared" si="84"/>
        <v>|</v>
      </c>
      <c r="FS312" s="236" t="str">
        <f t="shared" si="85"/>
        <v>-</v>
      </c>
      <c r="FT312" s="237" t="str">
        <f t="shared" si="86"/>
        <v>|</v>
      </c>
      <c r="FU312" s="236" t="str">
        <f t="shared" si="87"/>
        <v>-</v>
      </c>
      <c r="FV312" s="237" t="str">
        <f t="shared" si="88"/>
        <v>-</v>
      </c>
      <c r="FW312" s="236" t="str">
        <f t="shared" si="89"/>
        <v>|</v>
      </c>
      <c r="FX312" s="237" t="str">
        <f t="shared" si="90"/>
        <v>-</v>
      </c>
      <c r="FY312" s="236" t="str">
        <f t="shared" si="91"/>
        <v>|</v>
      </c>
      <c r="FZ312" s="237" t="str">
        <f t="shared" si="92"/>
        <v>-</v>
      </c>
      <c r="GA312" s="236" t="str">
        <f t="shared" si="93"/>
        <v>|</v>
      </c>
      <c r="GB312" s="238" t="str">
        <f t="shared" si="94"/>
        <v>|</v>
      </c>
      <c r="GC312" s="244" t="str">
        <f>IFERROR(__xludf.DUMMYFUNCTION("IF(REGEXMATCH(C312, ""S""), ""1"","""")"),"1")</f>
        <v>1</v>
      </c>
      <c r="GD312" s="245" t="str">
        <f>IFERROR(__xludf.DUMMYFUNCTION("IF(REGEXMATCH(C312, ""r""), ""b2"","""")"),"")</f>
        <v/>
      </c>
      <c r="GE312" s="246" t="str">
        <f>IFERROR(__xludf.DUMMYFUNCTION("IF(REGEXMATCH(C312, ""R""), ""2"","""")"),"2")</f>
        <v>2</v>
      </c>
      <c r="GF312" s="246" t="str">
        <f>IFERROR(__xludf.DUMMYFUNCTION("IF(REGEXMATCH(C312, ""g""), ""b3"","""")"),"")</f>
        <v/>
      </c>
      <c r="GG312" s="245" t="str">
        <f>IFERROR(__xludf.DUMMYFUNCTION("IF(REGEXMATCH(C312, ""G""), ""3"","""")"),"3")</f>
        <v>3</v>
      </c>
      <c r="GH312" s="245" t="str">
        <f>IFERROR(__xludf.DUMMYFUNCTION("IF(REGEXMATCH(C312, ""m""), ""4"","""")"),"")</f>
        <v/>
      </c>
      <c r="GI312" s="246" t="str">
        <f>IFERROR(__xludf.DUMMYFUNCTION("IF(REGEXMATCH(C312, ""M""), ""#4"","""")"),"")</f>
        <v/>
      </c>
      <c r="GJ312" s="245" t="str">
        <f>IFERROR(__xludf.DUMMYFUNCTION("IF(REGEXMATCH(C312, ""P""), ""5"","""")"),"5")</f>
        <v>5</v>
      </c>
      <c r="GK312" s="246" t="str">
        <f>IFERROR(__xludf.DUMMYFUNCTION("IF(REGEXMATCH(C312, ""d""), ""b6"","""")"),"")</f>
        <v/>
      </c>
      <c r="GL312" s="245" t="str">
        <f>IFERROR(__xludf.DUMMYFUNCTION("IF(REGEXMATCH(C312, ""D""), ""6"","""")"),"6")</f>
        <v>6</v>
      </c>
      <c r="GM312" s="245" t="str">
        <f>IFERROR(__xludf.DUMMYFUNCTION("IF(REGEXMATCH(C312, ""n""), ""b7"","""")"),"")</f>
        <v/>
      </c>
      <c r="GN312" s="246" t="str">
        <f>IFERROR(__xludf.DUMMYFUNCTION("IF(REGEXMATCH(C312, ""N""), ""7"","""")"),"7")</f>
        <v>7</v>
      </c>
      <c r="GO312" s="249" t="str">
        <f>IFERROR(__xludf.DUMMYFUNCTION("IF(REGEXMATCH(C312, ""S""), ""8"","""")"),"8")</f>
        <v>8</v>
      </c>
      <c r="GP312" s="244" t="str">
        <f>IFERROR(__xludf.DUMMYFUNCTION("IF(REGEXMATCH(C312, ""S""), ""S"","""")"),"S")</f>
        <v>S</v>
      </c>
      <c r="GQ312" s="294" t="str">
        <f>IFERROR(__xludf.DUMMYFUNCTION("IF(REGEXMATCH(C312, ""r""), ""R1"","""")"),"")</f>
        <v/>
      </c>
      <c r="GR312" s="295" t="str">
        <f>IFERROR(__xludf.DUMMYFUNCTION("IF(REGEXMATCH(C312, ""R""), ""R2"","""")"),"R2")</f>
        <v>R2</v>
      </c>
      <c r="GS312" s="295" t="str">
        <f>IFERROR(__xludf.DUMMYFUNCTION("IF(REGEXMATCH(C312, ""g""), ""G2"","""")"),"")</f>
        <v/>
      </c>
      <c r="GT312" s="294" t="str">
        <f>IFERROR(__xludf.DUMMYFUNCTION("IF(REGEXMATCH(C312, ""G""), ""G3"","""")"),"G3")</f>
        <v>G3</v>
      </c>
      <c r="GU312" s="294" t="str">
        <f>IFERROR(__xludf.DUMMYFUNCTION("IF(REGEXMATCH(C312, ""m""), ""M1"","""")"),"")</f>
        <v/>
      </c>
      <c r="GV312" s="295" t="str">
        <f>IFERROR(__xludf.DUMMYFUNCTION("IF(REGEXMATCH(C312, ""M""), ""M2"","""")"),"")</f>
        <v/>
      </c>
      <c r="GW312" s="294" t="str">
        <f>IFERROR(__xludf.DUMMYFUNCTION("IF(REGEXMATCH(C312, ""P""), ""P"","""")"),"P")</f>
        <v>P</v>
      </c>
      <c r="GX312" s="295" t="str">
        <f>IFERROR(__xludf.DUMMYFUNCTION("IF(REGEXMATCH(C312, ""d""), ""D1"","""")"),"")</f>
        <v/>
      </c>
      <c r="GY312" s="294" t="str">
        <f>IFERROR(__xludf.DUMMYFUNCTION("IF(REGEXMATCH(C312, ""D""), ""D2"","""")"),"D2")</f>
        <v>D2</v>
      </c>
      <c r="GZ312" s="294" t="str">
        <f>IFERROR(__xludf.DUMMYFUNCTION("IF(REGEXMATCH(C312, ""n""), ""N2"","""")"),"")</f>
        <v/>
      </c>
      <c r="HA312" s="295" t="str">
        <f>IFERROR(__xludf.DUMMYFUNCTION("IF(REGEXMATCH(C312, ""N""), ""N3"","""")"),"N3")</f>
        <v>N3</v>
      </c>
      <c r="HB312" s="249" t="str">
        <f>IFERROR(__xludf.DUMMYFUNCTION("IF(REGEXMATCH(C312, ""S""), ""S"","""")"),"S")</f>
        <v>S</v>
      </c>
      <c r="HC312" s="331" t="str">
        <f t="shared" si="95"/>
        <v>S</v>
      </c>
      <c r="HD312" s="332" t="str">
        <f t="shared" si="96"/>
        <v>r</v>
      </c>
      <c r="HE312" s="332" t="str">
        <f t="shared" si="97"/>
        <v/>
      </c>
      <c r="HF312" s="332" t="str">
        <f t="shared" si="98"/>
        <v>g</v>
      </c>
      <c r="HG312" s="332" t="str">
        <f t="shared" si="99"/>
        <v/>
      </c>
      <c r="HH312" s="332" t="str">
        <f t="shared" si="100"/>
        <v>m</v>
      </c>
      <c r="HI312" s="332" t="str">
        <f t="shared" si="101"/>
        <v/>
      </c>
      <c r="HJ312" s="332" t="str">
        <f t="shared" si="102"/>
        <v/>
      </c>
      <c r="HK312" s="332" t="str">
        <f t="shared" si="103"/>
        <v>d</v>
      </c>
      <c r="HL312" s="332" t="str">
        <f t="shared" si="104"/>
        <v/>
      </c>
      <c r="HM312" s="332" t="str">
        <f t="shared" si="105"/>
        <v>n</v>
      </c>
      <c r="HN312" s="332" t="str">
        <f t="shared" si="106"/>
        <v/>
      </c>
      <c r="HO312" s="343" t="str">
        <f t="shared" si="107"/>
        <v>S</v>
      </c>
      <c r="HP312" s="331" t="str">
        <f t="shared" si="108"/>
        <v>o</v>
      </c>
      <c r="HQ312" s="332" t="str">
        <f t="shared" si="109"/>
        <v>•</v>
      </c>
      <c r="HR312" s="332" t="str">
        <f t="shared" si="110"/>
        <v>o</v>
      </c>
      <c r="HS312" s="332" t="str">
        <f t="shared" si="111"/>
        <v>•</v>
      </c>
      <c r="HT312" s="332" t="str">
        <f t="shared" si="112"/>
        <v>o</v>
      </c>
      <c r="HU312" s="332" t="str">
        <f t="shared" si="113"/>
        <v>•</v>
      </c>
      <c r="HV312" s="332" t="str">
        <f t="shared" si="114"/>
        <v>•</v>
      </c>
      <c r="HW312" s="332" t="str">
        <f t="shared" si="115"/>
        <v>o</v>
      </c>
      <c r="HX312" s="332" t="str">
        <f t="shared" si="116"/>
        <v>•</v>
      </c>
      <c r="HY312" s="332" t="str">
        <f t="shared" si="117"/>
        <v>o</v>
      </c>
      <c r="HZ312" s="332" t="str">
        <f t="shared" si="118"/>
        <v>•</v>
      </c>
      <c r="IA312" s="332" t="str">
        <f t="shared" si="119"/>
        <v>o</v>
      </c>
      <c r="IB312" s="338" t="str">
        <f t="shared" si="120"/>
        <v>o</v>
      </c>
      <c r="IC312" s="331" t="str">
        <f t="shared" si="121"/>
        <v>•</v>
      </c>
      <c r="ID312" s="332" t="str">
        <f t="shared" si="122"/>
        <v>o</v>
      </c>
      <c r="IE312" s="332" t="str">
        <f t="shared" si="123"/>
        <v>•</v>
      </c>
      <c r="IF312" s="332" t="str">
        <f t="shared" si="124"/>
        <v>o</v>
      </c>
      <c r="IG312" s="332" t="str">
        <f t="shared" si="125"/>
        <v>•</v>
      </c>
      <c r="IH312" s="332" t="str">
        <f t="shared" si="126"/>
        <v>o</v>
      </c>
      <c r="II312" s="332" t="str">
        <f t="shared" si="127"/>
        <v>o</v>
      </c>
      <c r="IJ312" s="332" t="str">
        <f t="shared" si="128"/>
        <v>•</v>
      </c>
      <c r="IK312" s="332" t="str">
        <f t="shared" si="129"/>
        <v>o</v>
      </c>
      <c r="IL312" s="332" t="str">
        <f t="shared" si="130"/>
        <v>•</v>
      </c>
      <c r="IM312" s="332" t="str">
        <f t="shared" si="131"/>
        <v>o</v>
      </c>
      <c r="IN312" s="332" t="str">
        <f t="shared" si="132"/>
        <v>•</v>
      </c>
      <c r="IO312" s="338" t="str">
        <f t="shared" si="133"/>
        <v>•</v>
      </c>
      <c r="IP312" s="346" t="b">
        <f t="shared" si="134"/>
        <v>0</v>
      </c>
      <c r="IQ312" s="347" t="b">
        <f t="shared" si="135"/>
        <v>0</v>
      </c>
      <c r="IR312" s="347" t="b">
        <f t="shared" si="136"/>
        <v>0</v>
      </c>
      <c r="IS312" s="347" t="b">
        <f t="shared" si="137"/>
        <v>0</v>
      </c>
      <c r="IT312" s="347" t="b">
        <f t="shared" si="138"/>
        <v>0</v>
      </c>
      <c r="IU312" s="347" t="b">
        <f t="shared" si="139"/>
        <v>0</v>
      </c>
      <c r="IV312" s="347" t="b">
        <f t="shared" si="140"/>
        <v>0</v>
      </c>
      <c r="IW312" s="347" t="b">
        <f t="shared" si="141"/>
        <v>0</v>
      </c>
      <c r="IX312" s="347" t="b">
        <f t="shared" si="142"/>
        <v>0</v>
      </c>
      <c r="IY312" s="347" t="b">
        <f t="shared" si="143"/>
        <v>0</v>
      </c>
      <c r="IZ312" s="347" t="b">
        <f t="shared" si="144"/>
        <v>0</v>
      </c>
      <c r="JA312" s="347" t="b">
        <f t="shared" si="145"/>
        <v>1</v>
      </c>
      <c r="JB312" s="353" t="b">
        <f t="shared" si="146"/>
        <v>0</v>
      </c>
      <c r="JC312" s="354" t="str">
        <f t="shared" si="147"/>
        <v/>
      </c>
      <c r="JD312" s="355" t="str">
        <f t="shared" si="148"/>
        <v/>
      </c>
      <c r="JE312" s="355" t="str">
        <f t="shared" si="149"/>
        <v/>
      </c>
      <c r="JF312" s="355" t="str">
        <f t="shared" si="150"/>
        <v/>
      </c>
      <c r="JG312" s="355" t="str">
        <f t="shared" si="151"/>
        <v/>
      </c>
      <c r="JH312" s="355" t="str">
        <f t="shared" si="152"/>
        <v/>
      </c>
      <c r="JI312" s="355" t="str">
        <f t="shared" si="153"/>
        <v/>
      </c>
      <c r="JJ312" s="355" t="str">
        <f t="shared" si="154"/>
        <v/>
      </c>
      <c r="JK312" s="355" t="str">
        <f t="shared" si="155"/>
        <v/>
      </c>
      <c r="JL312" s="355" t="str">
        <f t="shared" si="156"/>
        <v/>
      </c>
      <c r="JM312" s="355" t="str">
        <f t="shared" si="157"/>
        <v/>
      </c>
      <c r="JN312" s="355" t="str">
        <f t="shared" si="158"/>
        <v>Ni, </v>
      </c>
      <c r="JO312" s="359" t="str">
        <f t="shared" si="159"/>
        <v/>
      </c>
      <c r="JP312" s="346" t="b">
        <f t="shared" si="160"/>
        <v>0</v>
      </c>
      <c r="JQ312" s="347" t="b">
        <f t="shared" si="161"/>
        <v>0</v>
      </c>
      <c r="JR312" s="347" t="b">
        <f t="shared" si="162"/>
        <v>0</v>
      </c>
      <c r="JS312" s="347" t="b">
        <f t="shared" si="163"/>
        <v>0</v>
      </c>
      <c r="JT312" s="347" t="b">
        <f t="shared" si="164"/>
        <v>0</v>
      </c>
      <c r="JU312" s="347" t="b">
        <f t="shared" si="165"/>
        <v>0</v>
      </c>
      <c r="JV312" s="347" t="b">
        <f t="shared" si="166"/>
        <v>0</v>
      </c>
      <c r="JW312" s="347" t="b">
        <f t="shared" si="167"/>
        <v>0</v>
      </c>
      <c r="JX312" s="347" t="b">
        <f t="shared" si="168"/>
        <v>0</v>
      </c>
      <c r="JY312" s="347" t="b">
        <f t="shared" si="169"/>
        <v>0</v>
      </c>
      <c r="JZ312" s="347" t="b">
        <f t="shared" si="170"/>
        <v>0</v>
      </c>
      <c r="KA312" s="347" t="b">
        <f t="shared" si="171"/>
        <v>0</v>
      </c>
      <c r="KB312" s="365" t="b">
        <f t="shared" si="172"/>
        <v>0</v>
      </c>
      <c r="KC312" s="354" t="str">
        <f t="shared" si="173"/>
        <v/>
      </c>
      <c r="KD312" s="355" t="str">
        <f t="shared" si="174"/>
        <v/>
      </c>
      <c r="KE312" s="355" t="str">
        <f t="shared" si="175"/>
        <v/>
      </c>
      <c r="KF312" s="355" t="str">
        <f t="shared" si="176"/>
        <v/>
      </c>
      <c r="KG312" s="355" t="str">
        <f t="shared" si="177"/>
        <v/>
      </c>
      <c r="KH312" s="355" t="str">
        <f t="shared" si="178"/>
        <v/>
      </c>
      <c r="KI312" s="355" t="str">
        <f t="shared" si="179"/>
        <v/>
      </c>
      <c r="KJ312" s="355" t="str">
        <f t="shared" si="180"/>
        <v/>
      </c>
      <c r="KK312" s="355" t="str">
        <f t="shared" si="181"/>
        <v/>
      </c>
      <c r="KL312" s="355" t="str">
        <f t="shared" si="182"/>
        <v/>
      </c>
      <c r="KM312" s="355" t="str">
        <f t="shared" si="183"/>
        <v/>
      </c>
      <c r="KN312" s="355" t="str">
        <f t="shared" si="184"/>
        <v/>
      </c>
      <c r="KO312" s="359"/>
      <c r="KP312" s="378"/>
      <c r="KQ312" s="379" t="s">
        <v>1485</v>
      </c>
      <c r="KR312" s="380" t="s">
        <v>1429</v>
      </c>
      <c r="KS312" s="381" t="str">
        <f t="shared" si="851"/>
        <v>S-G-P-D-N-S</v>
      </c>
      <c r="KT312" s="382">
        <f t="shared" si="186"/>
        <v>5</v>
      </c>
      <c r="KU312" s="383">
        <f t="shared" si="187"/>
        <v>5</v>
      </c>
      <c r="KV312" s="381" t="str">
        <f t="shared" si="205"/>
        <v>S-N-D-P-G-R-S</v>
      </c>
      <c r="KW312" s="382">
        <f t="shared" si="189"/>
        <v>6</v>
      </c>
      <c r="KX312" s="384">
        <f t="shared" si="190"/>
        <v>6</v>
      </c>
      <c r="KY312" s="382">
        <f t="shared" ref="KY312:KZ312" si="854">KW312-KT312</f>
        <v>1</v>
      </c>
      <c r="KZ312" s="369">
        <f t="shared" si="854"/>
        <v>1</v>
      </c>
      <c r="LA312" s="385" t="str">
        <f t="shared" si="192"/>
        <v>-</v>
      </c>
      <c r="LB312" s="340" t="str">
        <f>IFERROR(__xludf.DUMMYFUNCTION("JOIN("""",ArrayFormula(MID(KS312,LEN(KS312)-SEQUENCE(1,LEN(KS312))+1,1)))"),"S-N-D-P-G-S")</f>
        <v>S-N-D-P-G-S</v>
      </c>
      <c r="LC312" s="373" t="str">
        <f>IFERROR(__xludf.DUMMYFUNCTION("JOIN("""",ArrayFormula(MID(KV312,LEN(KV312)-SEQUENCE(1,LEN(KV312))+1,1)))"),"S-R-G-P-D-N-S")</f>
        <v>S-R-G-P-D-N-S</v>
      </c>
      <c r="LD312" s="373" t="str">
        <f t="shared" si="193"/>
        <v>SGPDNS</v>
      </c>
      <c r="LE312" s="339" t="str">
        <f t="shared" si="194"/>
        <v>SRGPDNS</v>
      </c>
      <c r="LF312" s="386" t="str">
        <f>IFERROR(__xludf.DUMMYFUNCTION("SUBSTITUTE(SUBSTITUTE(CONCATENATE(JOIN("""",LH312:LT312)),""1"",""""),""2"","""")"),"SRGPDNS")</f>
        <v>SRGPDNS</v>
      </c>
      <c r="LG312" s="369" t="str">
        <f t="shared" si="195"/>
        <v>✔</v>
      </c>
      <c r="LH312" s="387" t="str">
        <f>IFERROR(__xludf.DUMMYFUNCTION("IF(REGEXMATCH(LD312, ""S""), ""S"",IF(REGEXMATCH(LE312, ""S""), ""S"",""""))"),"S")</f>
        <v>S</v>
      </c>
      <c r="LI312" s="299" t="str">
        <f>IFERROR(__xludf.DUMMYFUNCTION("IF(REGEXMATCH(LD312, ""r""), ""r1"",IF(REGEXMATCH(LE312, ""r""), ""r2"",""""))"),"")</f>
        <v/>
      </c>
      <c r="LJ312" s="299" t="str">
        <f>IFERROR(__xludf.DUMMYFUNCTION("IF(REGEXMATCH(LD312, ""R""), ""R1"",IF(REGEXMATCH(LE312, ""R""), ""R2"",""""))"),"R2")</f>
        <v>R2</v>
      </c>
      <c r="LK312" s="299" t="str">
        <f>IFERROR(__xludf.DUMMYFUNCTION("IF(REGEXMATCH(LD312, ""g""), ""g1"",IF(REGEXMATCH(LE312, ""g""), ""g2"",""""))"),"")</f>
        <v/>
      </c>
      <c r="LL312" s="299" t="str">
        <f>IFERROR(__xludf.DUMMYFUNCTION("IF(REGEXMATCH(LD312, ""G""), ""G1"",IF(REGEXMATCH(LE312, ""G""), ""G2"",""""))"),"G1")</f>
        <v>G1</v>
      </c>
      <c r="LM312" s="299" t="str">
        <f>IFERROR(__xludf.DUMMYFUNCTION("IF(REGEXMATCH(LD312, ""m""), ""m1"",IF(REGEXMATCH(LE312, ""m""), ""m2"",""""))"),"")</f>
        <v/>
      </c>
      <c r="LN312" s="299" t="str">
        <f>IFERROR(__xludf.DUMMYFUNCTION("IF(REGEXMATCH(LD312, ""M""), ""M1"",IF(REGEXMATCH(LE312, ""M""), ""M2"",""""))"),"")</f>
        <v/>
      </c>
      <c r="LO312" s="299" t="str">
        <f>IFERROR(__xludf.DUMMYFUNCTION("IF(REGEXMATCH(LD312, ""P""), ""P1"",IF(REGEXMATCH(LE312, ""P""), ""P2"",""""))"),"P1")</f>
        <v>P1</v>
      </c>
      <c r="LP312" s="299" t="str">
        <f>IFERROR(__xludf.DUMMYFUNCTION("IF(REGEXMATCH(LD312, ""d""), ""d1"",IF(REGEXMATCH(LE312, ""d""), ""d2"",""""))"),"")</f>
        <v/>
      </c>
      <c r="LQ312" s="299" t="str">
        <f>IFERROR(__xludf.DUMMYFUNCTION("IF(REGEXMATCH(LD312, ""D""), ""D1"",IF(REGEXMATCH(LE312, ""D""), ""D2"",""""))"),"D1")</f>
        <v>D1</v>
      </c>
      <c r="LR312" s="299" t="str">
        <f>IFERROR(__xludf.DUMMYFUNCTION("IF(REGEXMATCH(LD312, ""n""), ""n1"",IF(REGEXMATCH(LE312, ""n""), ""n2"",""""))"),"")</f>
        <v/>
      </c>
      <c r="LS312" s="299" t="str">
        <f>IFERROR(__xludf.DUMMYFUNCTION("IF(REGEXMATCH(LD312, ""N""), ""N1"",IF(REGEXMATCH(LE312, ""N""), ""N2"",""""))"),"N1")</f>
        <v>N1</v>
      </c>
      <c r="LT312" s="388" t="str">
        <f>IFERROR(__xludf.DUMMYFUNCTION("IF(REGEXMATCH(LD312, ""S""), ""S"",IF(REGEXMATCH(LE312, ""S""), ""S"",""""))"),"S")</f>
        <v>S</v>
      </c>
      <c r="LU312" s="389">
        <f t="shared" si="196"/>
        <v>-1</v>
      </c>
      <c r="LV312" s="378"/>
      <c r="LW312" s="369"/>
      <c r="LX312" s="369"/>
    </row>
    <row r="313" ht="18.0" customHeight="1">
      <c r="A313" s="298" t="s">
        <v>1148</v>
      </c>
      <c r="B313" s="222" t="s">
        <v>1149</v>
      </c>
      <c r="C313" s="233" t="str">
        <f t="shared" si="7"/>
        <v>SRGMPDnNS</v>
      </c>
      <c r="D313" s="234" t="str">
        <f>IFERROR(__xludf.DUMMYFUNCTION("IF(REGEXMATCH(C313, ""S""), ""S"","""")"),"S")</f>
        <v>S</v>
      </c>
      <c r="E313" s="236" t="str">
        <f>IFERROR(__xludf.DUMMYFUNCTION("IF(REGEXMATCH(C313, ""r""), ""r"","""")"),"")</f>
        <v/>
      </c>
      <c r="F313" s="237" t="str">
        <f>IFERROR(__xludf.DUMMYFUNCTION("IF(REGEXMATCH(C313, ""R""), ""R"","""")"),"R")</f>
        <v>R</v>
      </c>
      <c r="G313" s="237" t="str">
        <f>IFERROR(__xludf.DUMMYFUNCTION("IF(REGEXMATCH(C313, ""g""), ""g"","""")"),"")</f>
        <v/>
      </c>
      <c r="H313" s="236" t="str">
        <f>IFERROR(__xludf.DUMMYFUNCTION("IF(REGEXMATCH(C313, ""G""), ""G"","""")"),"G")</f>
        <v>G</v>
      </c>
      <c r="I313" s="236" t="str">
        <f>IFERROR(__xludf.DUMMYFUNCTION("IF(REGEXMATCH(C313, ""m""), ""m"","""")"),"")</f>
        <v/>
      </c>
      <c r="J313" s="237" t="str">
        <f>IFERROR(__xludf.DUMMYFUNCTION("IF(REGEXMATCH(C313, ""M""), ""M"","""")"),"M")</f>
        <v>M</v>
      </c>
      <c r="K313" s="236" t="str">
        <f>IFERROR(__xludf.DUMMYFUNCTION("IF(REGEXMATCH(C313, ""P""), ""P"","""")"),"P")</f>
        <v>P</v>
      </c>
      <c r="L313" s="237" t="str">
        <f>IFERROR(__xludf.DUMMYFUNCTION("IF(REGEXMATCH(C313, ""d""), ""d"","""")"),"")</f>
        <v/>
      </c>
      <c r="M313" s="236" t="str">
        <f>IFERROR(__xludf.DUMMYFUNCTION("IF(REGEXMATCH(C313, ""D""), ""D"","""")"),"D")</f>
        <v>D</v>
      </c>
      <c r="N313" s="236" t="str">
        <f>IFERROR(__xludf.DUMMYFUNCTION("IF(REGEXMATCH(C313, ""n""), ""n"","""")"),"n")</f>
        <v>n</v>
      </c>
      <c r="O313" s="237" t="str">
        <f>IFERROR(__xludf.DUMMYFUNCTION("IF(REGEXMATCH(C313, ""N""), ""N"","""")"),"N")</f>
        <v>N</v>
      </c>
      <c r="P313" s="238" t="str">
        <f>IFERROR(__xludf.DUMMYFUNCTION("IF(REGEXMATCH(C313, ""S""), ""S"","""")"),"S")</f>
        <v>S</v>
      </c>
      <c r="Q313" s="239" t="str">
        <f>IFERROR(__xludf.DUMMYFUNCTION("SUBSTITUTE(CONCATENATE(JOIN(""-"",D313:J313)),""-"","""")"),"SRGM")</f>
        <v>SRGM</v>
      </c>
      <c r="R313" s="229" t="str">
        <f>IFERROR(__xludf.DUMMYFUNCTION("SUBSTITUTE(CONCATENATE(JOIN(""-"",K313:P313)),""-"","""")"),"PDnNS")</f>
        <v>PDnNS</v>
      </c>
      <c r="S313" s="282" t="str">
        <f t="shared" si="8"/>
        <v>S-R-G-M</v>
      </c>
      <c r="T313" s="282" t="str">
        <f t="shared" si="9"/>
        <v>P-D-N-S</v>
      </c>
      <c r="U313" s="237" t="str">
        <f>IFERROR(__xludf.DUMMYFUNCTION("SUBSTITUTE(JOIN(""-"",S313,T313),""--"",""-"")"),"S-R-G-M-P-D-N-S")</f>
        <v>S-R-G-M-P-D-N-S</v>
      </c>
      <c r="V313" s="309" t="str">
        <f t="shared" si="10"/>
        <v>RGMDnN</v>
      </c>
      <c r="W313" s="244" t="str">
        <f>IFERROR(__xludf.DUMMYFUNCTION("IF(REGEXMATCH(C313, ""S""), ""0"","""")"),"0")</f>
        <v>0</v>
      </c>
      <c r="X313" s="245" t="str">
        <f>IFERROR(__xludf.DUMMYFUNCTION("IF(REGEXMATCH(C313, ""r""), ""1"","""")"),"")</f>
        <v/>
      </c>
      <c r="Y313" s="246" t="str">
        <f>IFERROR(__xludf.DUMMYFUNCTION("IF(REGEXMATCH(C313, ""R""), ""2"","""")"),"2")</f>
        <v>2</v>
      </c>
      <c r="Z313" s="246" t="str">
        <f>IFERROR(__xludf.DUMMYFUNCTION("IF(REGEXMATCH(C313, ""g""), ""3"","""")"),"")</f>
        <v/>
      </c>
      <c r="AA313" s="245" t="str">
        <f>IFERROR(__xludf.DUMMYFUNCTION("IF(REGEXMATCH(C313, ""G""), ""4"","""")"),"4")</f>
        <v>4</v>
      </c>
      <c r="AB313" s="245" t="str">
        <f>IFERROR(__xludf.DUMMYFUNCTION("IF(REGEXMATCH(C313, ""m""), ""5"","""")"),"")</f>
        <v/>
      </c>
      <c r="AC313" s="246" t="str">
        <f>IFERROR(__xludf.DUMMYFUNCTION("IF(REGEXMATCH(C313, ""M""), ""6"","""")"),"6")</f>
        <v>6</v>
      </c>
      <c r="AD313" s="245" t="str">
        <f>IFERROR(__xludf.DUMMYFUNCTION("IF(REGEXMATCH(C313, ""P""), ""7"","""")"),"7")</f>
        <v>7</v>
      </c>
      <c r="AE313" s="246" t="str">
        <f>IFERROR(__xludf.DUMMYFUNCTION("IF(REGEXMATCH(C313, ""d""), ""8"","""")"),"")</f>
        <v/>
      </c>
      <c r="AF313" s="245" t="str">
        <f>IFERROR(__xludf.DUMMYFUNCTION("IF(REGEXMATCH(C313, ""D""), ""9"","""")"),"9")</f>
        <v>9</v>
      </c>
      <c r="AG313" s="245" t="str">
        <f>IFERROR(__xludf.DUMMYFUNCTION("IF(REGEXMATCH(C313, ""n""), ""10"","""")"),"10")</f>
        <v>10</v>
      </c>
      <c r="AH313" s="246" t="str">
        <f>IFERROR(__xludf.DUMMYFUNCTION("IF(REGEXMATCH(C313, ""N""), ""11"","""")"),"11")</f>
        <v>11</v>
      </c>
      <c r="AI313" s="249" t="str">
        <f>IFERROR(__xludf.DUMMYFUNCTION("IF(REGEXMATCH(C313, ""S""), ""0"","""")"),"0")</f>
        <v>0</v>
      </c>
      <c r="AJ313" s="313" t="str">
        <f t="shared" si="11"/>
        <v>T</v>
      </c>
      <c r="AK313" s="313" t="str">
        <f t="shared" si="12"/>
        <v>-</v>
      </c>
      <c r="AL313" s="313" t="str">
        <f t="shared" si="13"/>
        <v>-</v>
      </c>
      <c r="AM313" s="313" t="str">
        <f t="shared" si="14"/>
        <v>-</v>
      </c>
      <c r="AN313" s="313" t="str">
        <f t="shared" si="15"/>
        <v>T</v>
      </c>
      <c r="AO313" s="314" t="str">
        <f t="shared" si="16"/>
        <v>-</v>
      </c>
      <c r="AP313" s="316">
        <f t="shared" si="17"/>
        <v>2</v>
      </c>
      <c r="AQ313" s="319" t="str">
        <f t="shared" si="18"/>
        <v>#REF!</v>
      </c>
      <c r="AR313" s="320">
        <f t="shared" si="19"/>
        <v>0</v>
      </c>
      <c r="AS313" s="250" t="str">
        <f>IFERROR(__xludf.DUMMYFUNCTION("SUBSTITUTE(SUBSTITUTE(CONCATENATE(JOIN("""",FP313:GA313)),""|"",""x""),""-"",""o"")"),"xoxoxoxxoxxx")</f>
        <v>xoxoxoxxoxxx</v>
      </c>
      <c r="AT313" s="323" t="str">
        <f>IFERROR(__xludf.DUMMYFUNCTION("JOIN("""",AS313,AS313)"),"xoxoxoxxoxxxxoxoxoxxoxxx")</f>
        <v>xoxoxoxxoxxxxoxoxoxxoxxx</v>
      </c>
      <c r="AU313" s="256" t="str">
        <f>IFERROR(__xludf.DUMMYFUNCTION("JOIN("""",ArrayFormula(MID(AS313,LEN(AS313)-SEQUENCE(1,LEN(AS313))+1,1)))"),"xxxoxxoxoxox")</f>
        <v>xxxoxxoxoxox</v>
      </c>
      <c r="AV313" s="256" t="str">
        <f>IFERROR(__xludf.DUMMYFUNCTION("LEFT(CONCATENATE(""x"",JOIN("""",ArrayFormula(MID(AS313,LEN(AS313)-SEQUENCE(1,LEN(AS313))+1,1)))),12)"),"xxxxoxxoxoxo")</f>
        <v>xxxxoxxoxoxo</v>
      </c>
      <c r="AW313" s="327" t="str">
        <f>IFERROR(__xludf.DUMMYFUNCTION("JOIN("""",AU313,AU313)"),"xxxoxxoxoxoxxxxoxxoxoxox")</f>
        <v>xxxoxxoxoxoxxxxoxxoxoxox</v>
      </c>
      <c r="AX313" s="239" t="str">
        <f>IFERROR(__xludf.DUMMYFUNCTION("IF(REGEXMATCH(AW313,AS313),""✔"",""-"")"),"-")</f>
        <v>-</v>
      </c>
      <c r="AY313" s="330" t="str">
        <f t="shared" si="20"/>
        <v>-</v>
      </c>
      <c r="AZ313" s="260" t="str">
        <f t="shared" si="21"/>
        <v>#REF!</v>
      </c>
      <c r="BA313" s="333" t="str">
        <f t="shared" si="22"/>
        <v>xoxoxox</v>
      </c>
      <c r="BB313" s="334" t="str">
        <f t="shared" si="23"/>
        <v>xoxxxx</v>
      </c>
      <c r="BC313" s="335" t="str">
        <f t="shared" si="236"/>
        <v>-</v>
      </c>
      <c r="BD313" s="336" t="str">
        <f t="shared" si="25"/>
        <v>Shankara Karan: 'xoxoxox' + 'xoxxxx'</v>
      </c>
      <c r="BE313" s="337">
        <f>IFERROR(__xludf.DUMMYFUNCTION("COUNTUNIQUE(FILTER(AT:AT,REGEXMATCH(AT:AT,AS313)))-1"),0.0)</f>
        <v>0</v>
      </c>
      <c r="BF313" s="261" t="str">
        <f>IFERROR(__xludf.DUMMYFUNCTION("IF(BI313=0,""(n/a)"",IF(BJ313=2,""(PAIR)"",IF(REGEXMATCH(AT313,""xoxoxxoxoxox""),""Bilawal"",IF(REGEXMATCH(AT313,""xoxoxooxoxoo""),""Bhupali"",IF(REGEXMATCH(AT313,""xoxoxxoxxoxo""),""Charukeshi"",IF(REGEXMATCH(AT313,""xoxoooxxoxxo""),""Kameshwari"",IF(REG"&amp;"EXMATCH(AT313,""xoxoxooxoxox""),""Shankara"",IF(REGEXMATCH(AT313,""xxooxoxxxoox""),""Basant"",IF(REGEXMATCH(AT313,""xoxoxxxxoxox""),""Bihag"",IF(REGEXMATCH(AT313,""xoxxxxoxoxxx""),""Pilu"",IF(REGEXMATCH(AT313,""xoxxoxoxxoox""),""Kirwani"",IF(REGEXMATCH(AT"&amp;"313,""xoxxoxoxoxxx""),""Mk.Malhar"",IF(REGEXMATCH(AT313,""xxooxxoxxoox""),""Bhairav"",IF(REGEXMATCH(AT313,""xxoxooxxxoox""),""Todi"",IF(REGEXMATCH(AT313,""xxooxoxooxox""),""Marwa"",IF(REGEXMATCH(AT313,""xxoooxoxxooo""),""Gunkali"",IF(REGEXMATCH(AT313,""xo"&amp;"xoxxoxxoox""),""Nat Bhairav"",IF(REGEXMATCH(AT313,""xoxxoooxoxoo""),""Shivranjani"",IF(REGEXMATCH(AT313,""xooxxxoxooxo""),""Jog"",IF(REGEXMATCH(AT313,""xxooxoxoxoox""),""Hemshri"",IF(REGEXMATCH(AT313,""xoooxooxoxxo""),""Kalavati"",IF(REGEXMATCH(AT313,""xx"&amp;"oxoxxoxoox""),""Kedar"",IF(REGEXMATCH(AT313,""xoxxxxoxooxx""),""Gara"",IF(REGEXMATCH(AT313,""xooxoxooxoox""),""Chandrakauns"",IF(REGEXMATCH(AT313,""xoxxxxoxxxox""),""Mand"",IF(REGEXMATCH(AT313,""xoxxxxoxoxox""),""Hanskinkini"",IF(REGEXMATCH(AT313,""xxooxx"&amp;"oxooxo""),""Lilavati"",IF(REGEXMATCH(AT313,""xooxoxoooxox""),""Rajeshwari"",IF(REGEXMATCH(AT313,""xoooxxoxoxxx""),""Khokar"",IF(REGEXMATCH(AT313,""xxooxoxxxxox""),""Maligoura"",""-""))))))))))))))))))))))))))))))"),"(n/a)")</f>
        <v>(n/a)</v>
      </c>
      <c r="BG313" s="239" t="str">
        <f t="shared" si="26"/>
        <v>#REF!</v>
      </c>
      <c r="BH313" s="239">
        <f>IFERROR(__xludf.DUMMYFUNCTION("COUNTUNIQUE(FE313:FO313)-1"),7.0)</f>
        <v>7</v>
      </c>
      <c r="BI313" s="239">
        <f>IFERROR(__xludf.DUMMYFUNCTION("COUNTUNIQUE(FILTER(AT:AT,REGEXMATCH(AT:AT,AS313)))-1"),0.0)</f>
        <v>0</v>
      </c>
      <c r="BJ313" s="239">
        <f>IFERROR(__xludf.DUMMYFUNCTION("COUNTA(FILTER(AT:AT,REGEXMATCH(AT:AT,AS313)))"),1.0)</f>
        <v>1</v>
      </c>
      <c r="BK313" s="341">
        <f>IFERROR(__xludf.DUMMYFUNCTION("COUNTA(FILTER(AT:AT,REGEXMATCH(AT:AT,AS313)))-AR313"),1.0)</f>
        <v>1</v>
      </c>
      <c r="BL313" s="276" t="str">
        <f>IFERROR(__xludf.DUMMYFUNCTION("IF(AS313=""oooooooooooo"",""-"",IF(REGEXMATCH(AT313,""xx""), ""Hemi."", ""Anhemi.""))"),"Hemi.")</f>
        <v>Hemi.</v>
      </c>
      <c r="BM313" s="282" t="str">
        <f>IFERROR(__xludf.DUMMYFUNCTION("IF(AS313=""oooooooooooo"",""-"",IF(REGEXMATCH(AT313,""xxx""), ""Cohem."", ""-""))"),"Cohem.")</f>
        <v>Cohem.</v>
      </c>
      <c r="BN313" s="282" t="str">
        <f>IFERROR(__xludf.DUMMYFUNCTION("IF(AS313=""oooooooooooo"",""-"",IF(REGEXMATCH(AT313,""xxxx""), ""Co-Co."", ""-""))"),"Co-Co.")</f>
        <v>Co-Co.</v>
      </c>
      <c r="BO313" s="342" t="str">
        <f>IFERROR(__xludf.DUMMYFUNCTION("IF(AS313=""oooooooooooo"",""-"",IF(REGEXMATCH(AT313,""xxxxx""), ""CCC."", ""-""))"),"-")</f>
        <v>-</v>
      </c>
      <c r="BP313" s="344" t="str">
        <f t="shared" si="27"/>
        <v>-</v>
      </c>
      <c r="BQ313" s="282" t="str">
        <f>IFERROR(__xludf.DUMMYFUNCTION("IF(REGEXMATCH(JOIN(""-"",EU313:FD313),""TRUE""),""✔"",""-"")"),"-")</f>
        <v>-</v>
      </c>
      <c r="BR313" s="225">
        <f t="shared" si="28"/>
        <v>0</v>
      </c>
      <c r="BS313" s="345" t="str">
        <f>IFERROR(__xludf.DUMMYFUNCTION("SUBSTITUTE(SUBSTITUTE(SUBSTITUTE(SUBSTITUTE(CONCATENATE(JOIN(""-"",GC313:GO313)),""--"",""-""),""--"",""-""),""--"",""-""),""--"",""-"")"),"1-2-3-#4-5-6-b7-7-8")</f>
        <v>1-2-3-#4-5-6-b7-7-8</v>
      </c>
      <c r="BT313" s="299" t="str">
        <f>IFERROR(__xludf.DUMMYFUNCTION("SUBSTITUTE(SUBSTITUTE(SUBSTITUTE(SUBSTITUTE(CONCATENATE(JOIN(""-"",GP313:HB313)),""--"",""-""),""--"",""-""),""--"",""-""),""--"",""-"")"),"S-R2-G3-M2-P-D2-N2-N3-S")</f>
        <v>S-R2-G3-M2-P-D2-N2-N3-S</v>
      </c>
      <c r="BU313" s="348" t="str">
        <f t="shared" si="29"/>
        <v>C-D-E-F#-G-A-Bb-B-C</v>
      </c>
      <c r="BV313" s="349" t="str">
        <f t="shared" si="30"/>
        <v>SrgmdS</v>
      </c>
      <c r="BW313" s="350">
        <f t="shared" si="31"/>
        <v>0</v>
      </c>
      <c r="BX313" s="351">
        <f t="shared" si="32"/>
        <v>1</v>
      </c>
      <c r="BY313" s="392"/>
      <c r="BZ313" s="309" t="str">
        <f>IFERROR(__xludf.DUMMYFUNCTION("IF(REGEXMATCH(C313, ""S""), ""x"",""x"")"),"x")</f>
        <v>x</v>
      </c>
      <c r="CA313" s="245" t="str">
        <f>IFERROR(__xludf.DUMMYFUNCTION("IF(REGEXMATCH(C313, ""r""), ""o"",""x"")"),"x")</f>
        <v>x</v>
      </c>
      <c r="CB313" s="246" t="str">
        <f>IFERROR(__xludf.DUMMYFUNCTION("IF(REGEXMATCH(C313, ""R""), ""o"",""x"")"),"o")</f>
        <v>o</v>
      </c>
      <c r="CC313" s="246" t="str">
        <f>IFERROR(__xludf.DUMMYFUNCTION("IF(REGEXMATCH(C313, ""g""), ""o"",""x"")"),"x")</f>
        <v>x</v>
      </c>
      <c r="CD313" s="245" t="str">
        <f>IFERROR(__xludf.DUMMYFUNCTION("IF(REGEXMATCH(C313, ""G""), ""o"",""x"")"),"o")</f>
        <v>o</v>
      </c>
      <c r="CE313" s="245" t="str">
        <f>IFERROR(__xludf.DUMMYFUNCTION("IF(REGEXMATCH(C313, ""m""), ""o"",""x"")"),"x")</f>
        <v>x</v>
      </c>
      <c r="CF313" s="246" t="str">
        <f>IFERROR(__xludf.DUMMYFUNCTION("IF(REGEXMATCH(C313, ""M""), ""o"",""x"")"),"o")</f>
        <v>o</v>
      </c>
      <c r="CG313" s="245" t="str">
        <f>IFERROR(__xludf.DUMMYFUNCTION("IF(REGEXMATCH(C313, ""P""), ""o"",""x"")"),"o")</f>
        <v>o</v>
      </c>
      <c r="CH313" s="246" t="str">
        <f>IFERROR(__xludf.DUMMYFUNCTION("IF(REGEXMATCH(C313, ""d""), ""o"",""x"")"),"x")</f>
        <v>x</v>
      </c>
      <c r="CI313" s="245" t="str">
        <f>IFERROR(__xludf.DUMMYFUNCTION("IF(REGEXMATCH(C313, ""D""), ""o"",""x"")"),"o")</f>
        <v>o</v>
      </c>
      <c r="CJ313" s="245" t="str">
        <f>IFERROR(__xludf.DUMMYFUNCTION("IF(REGEXMATCH(C313, ""n""), ""o"",""x"")"),"o")</f>
        <v>o</v>
      </c>
      <c r="CK313" s="245" t="str">
        <f>IFERROR(__xludf.DUMMYFUNCTION("IF(REGEXMATCH(C313, ""N""), ""o"",""x"")"),"o")</f>
        <v>o</v>
      </c>
      <c r="CL313" s="356" t="str">
        <f>IFERROR(__xludf.DUMMYFUNCTION("IF(REGEXMATCH(C313, ""S""), ""x"",""x"")"),"x")</f>
        <v>x</v>
      </c>
      <c r="CM313" s="357" t="str">
        <f t="shared" si="33"/>
        <v>xxoxoxooxooo</v>
      </c>
      <c r="CN313" s="358">
        <f t="shared" si="34"/>
        <v>0</v>
      </c>
      <c r="CO313" s="246" t="str">
        <f>IFERROR(__xludf.DUMMYFUNCTION("IF(REGEXMATCH($C313, ""S""), ""S"",""S"")"),"S")</f>
        <v>S</v>
      </c>
      <c r="CP313" s="246" t="str">
        <f>IFERROR(__xludf.DUMMYFUNCTION("IF(REGEXMATCH($C313, ""r""), """",""r"")"),"r")</f>
        <v>r</v>
      </c>
      <c r="CQ313" s="246" t="str">
        <f>IFERROR(__xludf.DUMMYFUNCTION("IF(REGEXMATCH($C313, ""R""), """",""R"")"),"")</f>
        <v/>
      </c>
      <c r="CR313" s="246" t="str">
        <f>IFERROR(__xludf.DUMMYFUNCTION("IF(REGEXMATCH($C313, ""g""), """",""g"")"),"g")</f>
        <v>g</v>
      </c>
      <c r="CS313" s="246" t="str">
        <f>IFERROR(__xludf.DUMMYFUNCTION("IF(REGEXMATCH($C313, ""G""), """",""G"")"),"")</f>
        <v/>
      </c>
      <c r="CT313" s="246" t="str">
        <f>IFERROR(__xludf.DUMMYFUNCTION("IF(REGEXMATCH($C313, ""m""), """",""m"")"),"m")</f>
        <v>m</v>
      </c>
      <c r="CU313" s="246" t="str">
        <f>IFERROR(__xludf.DUMMYFUNCTION("IF(REGEXMATCH($C313, ""M""), """",""M"")"),"")</f>
        <v/>
      </c>
      <c r="CV313" s="246" t="str">
        <f>IFERROR(__xludf.DUMMYFUNCTION("IF(REGEXMATCH($C313, ""P""), """",""P"")"),"")</f>
        <v/>
      </c>
      <c r="CW313" s="246" t="str">
        <f>IFERROR(__xludf.DUMMYFUNCTION("IF(REGEXMATCH($C313, ""d""), """",""d"")"),"d")</f>
        <v>d</v>
      </c>
      <c r="CX313" s="246" t="str">
        <f>IFERROR(__xludf.DUMMYFUNCTION("IF(REGEXMATCH($C313, ""D""), """",""D"")"),"")</f>
        <v/>
      </c>
      <c r="CY313" s="246" t="str">
        <f>IFERROR(__xludf.DUMMYFUNCTION("IF(REGEXMATCH($C313, ""n""), """",""n"")"),"")</f>
        <v/>
      </c>
      <c r="CZ313" s="246" t="str">
        <f>IFERROR(__xludf.DUMMYFUNCTION("IF(REGEXMATCH($C313, ""N""), """",""N"")"),"")</f>
        <v/>
      </c>
      <c r="DA313" s="246" t="str">
        <f>IFERROR(__xludf.DUMMYFUNCTION("IF(REGEXMATCH($C313, ""S""), ""S"",""S"")"),"S")</f>
        <v>S</v>
      </c>
      <c r="DB313" s="362" t="str">
        <f>IFERROR(__xludf.DUMMYFUNCTION("JOIN("""",CO313:DA313,"""","""")"),"SrgmdS")</f>
        <v>SrgmdS</v>
      </c>
      <c r="DC313" s="363"/>
      <c r="DD313" s="301" t="str">
        <f t="shared" si="35"/>
        <v>#REF!</v>
      </c>
      <c r="DE313" s="302" t="str">
        <f t="shared" si="36"/>
        <v>#REF!</v>
      </c>
      <c r="DF313" s="301" t="str">
        <f t="shared" ref="DF313:DG313" si="855">SUBSTITUTE(S313,"-","")</f>
        <v>SRGM</v>
      </c>
      <c r="DG313" s="301" t="str">
        <f t="shared" si="855"/>
        <v>PDNS</v>
      </c>
      <c r="DH313" s="302" t="str">
        <f t="shared" si="38"/>
        <v>(n/a)</v>
      </c>
      <c r="DI313" s="301" t="str">
        <f t="shared" si="39"/>
        <v>Hemi.</v>
      </c>
      <c r="DJ313" s="364" t="str">
        <f t="shared" si="40"/>
        <v>Co-Co.</v>
      </c>
      <c r="DK313" s="306" t="str">
        <f t="shared" si="41"/>
        <v>-</v>
      </c>
      <c r="DL313" s="366" t="str">
        <f t="shared" si="42"/>
        <v>-</v>
      </c>
      <c r="DM313" s="308" t="str">
        <f t="shared" si="43"/>
        <v>✔</v>
      </c>
      <c r="DN313" s="306" t="str">
        <f t="shared" si="44"/>
        <v>-</v>
      </c>
      <c r="DO313" s="306" t="str">
        <f t="shared" si="45"/>
        <v>-</v>
      </c>
      <c r="DP313" s="367" t="str">
        <f t="shared" si="46"/>
        <v>✔</v>
      </c>
      <c r="DQ313" s="310" t="str">
        <f t="shared" si="47"/>
        <v>-</v>
      </c>
      <c r="DR313" s="310" t="str">
        <f t="shared" si="48"/>
        <v>-</v>
      </c>
      <c r="DS313" s="310" t="str">
        <f t="shared" si="49"/>
        <v>-</v>
      </c>
      <c r="DT313" s="310" t="str">
        <f t="shared" si="50"/>
        <v>-</v>
      </c>
      <c r="DU313" s="370" t="str">
        <f t="shared" si="51"/>
        <v>✔</v>
      </c>
      <c r="DV313" s="306" t="str">
        <f t="shared" si="52"/>
        <v>-</v>
      </c>
      <c r="DW313" s="306" t="str">
        <f t="shared" si="53"/>
        <v>-</v>
      </c>
      <c r="DX313" s="306" t="str">
        <f t="shared" si="54"/>
        <v>-</v>
      </c>
      <c r="DY313" s="306" t="str">
        <f t="shared" si="55"/>
        <v>-</v>
      </c>
      <c r="DZ313" s="306" t="str">
        <f t="shared" si="56"/>
        <v>-</v>
      </c>
      <c r="EA313" s="367" t="str">
        <f t="shared" si="57"/>
        <v>-</v>
      </c>
      <c r="EB313" s="310" t="str">
        <f>IFERROR(__xludf.DUMMYFUNCTION("IF(REGEXMATCH(AW313,AS313),""✔"",""-"")"),"-")</f>
        <v>-</v>
      </c>
      <c r="EC313" s="310" t="str">
        <f t="shared" si="58"/>
        <v>#REF!</v>
      </c>
      <c r="ED313" s="370" t="str">
        <f t="shared" si="59"/>
        <v>-</v>
      </c>
      <c r="EE313" s="340" t="str">
        <f t="shared" si="60"/>
        <v>S-R-G-M-P-D-nN-S</v>
      </c>
      <c r="EF313" s="371" t="str">
        <f>IFERROR(__xludf.DUMMYFUNCTION("CONCATENATE(JOIN("""",HC313:HO313))"),"SrRgmMdnS")</f>
        <v>SrRgmMdnS</v>
      </c>
      <c r="EG313" s="372">
        <f t="shared" si="61"/>
        <v>2</v>
      </c>
      <c r="EH313" s="373" t="str">
        <f>IFERROR(__xludf.DUMMYFUNCTION("CONCATENATE(JOIN("""",JC313:JO313))"),"Ma, ni, ")</f>
        <v>Ma, ni, </v>
      </c>
      <c r="EI313" s="322">
        <f t="shared" si="62"/>
        <v>1</v>
      </c>
      <c r="EJ313" s="374" t="str">
        <f>IFERROR(__xludf.DUMMYFUNCTION("CONCATENATE(JOIN("""",KC313:KO313))"),"ni, ")</f>
        <v>ni, </v>
      </c>
      <c r="EK313" s="325" t="str">
        <f t="shared" si="63"/>
        <v>S-R2-G3-M2-P-D2-N2-N3-S</v>
      </c>
      <c r="EL313" s="326" t="str">
        <f t="shared" si="64"/>
        <v>1-2-3-#4-5-6-b7-7-8</v>
      </c>
      <c r="EM313" s="318" t="str">
        <f t="shared" si="65"/>
        <v>#REF!</v>
      </c>
      <c r="EN313" s="328" t="str">
        <f>IFERROR(__xludf.DUMMYFUNCTION("SUBSTITUTE(SUBSTITUTE(SUBSTITUTE(SUBSTITUTE(CONCATENATE(JOIN("" "",HP313:IB313)),""  "","" ""),""  "","" ""),""  "","" ""),""  "","" "")"),"o • o • o • o o • o o o o")</f>
        <v>o • o • o • o o • o o o o</v>
      </c>
      <c r="EO313" s="368" t="str">
        <f t="shared" si="66"/>
        <v>Sa-Pa</v>
      </c>
      <c r="EP313" s="339" t="str">
        <f t="shared" si="67"/>
        <v>Sa-Pa</v>
      </c>
      <c r="EQ313" s="339" t="str">
        <f t="shared" si="68"/>
        <v>Sa-Pa</v>
      </c>
      <c r="ER313" s="339" t="str">
        <f t="shared" si="69"/>
        <v>-</v>
      </c>
      <c r="ES313" s="340" t="str">
        <f t="shared" si="70"/>
        <v>-</v>
      </c>
      <c r="ET313" s="363"/>
      <c r="EU313" s="376" t="b">
        <f>IFERROR(__xludf.DUMMYFUNCTION("arrayformula(sum(--REGEXMATCH(""SRGMPDNS"",split(REGEXREPLACE(C313,""(.)"",""$1~""),""~""))))=len(C313)
"),FALSE)</f>
        <v>0</v>
      </c>
      <c r="EV313" s="290" t="b">
        <f>IFERROR(__xludf.DUMMYFUNCTION("arrayformula(sum(--REGEXMATCH(""SRGmPDNS"",split(REGEXREPLACE(C313,""(.)"",""$1~""),""~""))))=len(C313)"),FALSE)</f>
        <v>0</v>
      </c>
      <c r="EW313" s="290" t="b">
        <f>IFERROR(__xludf.DUMMYFUNCTION("arrayformula(sum(--REGEXMATCH(""SRGmPDnS"",split(REGEXREPLACE(C313,""(.)"",""$1~""),""~""))))=len(C313)"),FALSE)</f>
        <v>0</v>
      </c>
      <c r="EX313" s="290" t="b">
        <f>IFERROR(__xludf.DUMMYFUNCTION("arrayformula(sum(--REGEXMATCH(""SRgmPDnS"",split(REGEXREPLACE(C313,""(.)"",""$1~""),""~""))))=len(C313)"),FALSE)</f>
        <v>0</v>
      </c>
      <c r="EY313" s="290" t="b">
        <f>IFERROR(__xludf.DUMMYFUNCTION("arrayformula(sum(--REGEXMATCH(""SRgmPdnS"",split(REGEXREPLACE(C313,""(.)"",""$1~""),""~""))))=len(C313)"),FALSE)</f>
        <v>0</v>
      </c>
      <c r="EZ313" s="290" t="b">
        <f>IFERROR(__xludf.DUMMYFUNCTION("arrayformula(sum(--REGEXMATCH(""SrgmPdnS"",split(REGEXREPLACE(C313,""(.)"",""$1~""),""~""))))=len(C313)"),FALSE)</f>
        <v>0</v>
      </c>
      <c r="FA313" s="290" t="b">
        <f>IFERROR(__xludf.DUMMYFUNCTION("arrayformula(sum(--REGEXMATCH(""SrGmPdNS"",split(REGEXREPLACE(C313,""(.)"",""$1~""),""~""))))=len(C313)"),FALSE)</f>
        <v>0</v>
      </c>
      <c r="FB313" s="290" t="b">
        <f>IFERROR(__xludf.DUMMYFUNCTION("arrayformula(sum(--REGEXMATCH(""SrGMPDNS"",split(REGEXREPLACE(C313,""(.)"",""$1~""),""~""))))=len(C313)"),FALSE)</f>
        <v>0</v>
      </c>
      <c r="FC313" s="290" t="b">
        <f>IFERROR(__xludf.DUMMYFUNCTION("arrayformula(sum(--REGEXMATCH(""SrGMPdNS"",split(REGEXREPLACE(C313,""(.)"",""$1~""),""~""))))=len(C313)"),FALSE)</f>
        <v>0</v>
      </c>
      <c r="FD313" s="377" t="b">
        <f>IFERROR(__xludf.DUMMYFUNCTION("arrayformula(sum(--REGEXMATCH(""SrgMPdNS"",split(REGEXREPLACE(C313,""(.)"",""$1~""),""~""))))=len(C313)"),FALSE)</f>
        <v>0</v>
      </c>
      <c r="FE313" s="269" t="str">
        <f t="shared" si="71"/>
        <v>-</v>
      </c>
      <c r="FF313" s="269" t="str">
        <f t="shared" si="72"/>
        <v>xoxoxxoxxxx</v>
      </c>
      <c r="FG313" s="271" t="str">
        <f t="shared" si="73"/>
        <v>-</v>
      </c>
      <c r="FH313" s="269" t="str">
        <f t="shared" si="74"/>
        <v>xoxxoxxxxox</v>
      </c>
      <c r="FI313" s="271" t="str">
        <f t="shared" si="75"/>
        <v>-</v>
      </c>
      <c r="FJ313" s="271" t="str">
        <f t="shared" si="76"/>
        <v>xxoxxxxoxox</v>
      </c>
      <c r="FK313" s="271" t="str">
        <f t="shared" si="77"/>
        <v>xoxxxxoxoxo</v>
      </c>
      <c r="FL313" s="271" t="str">
        <f t="shared" si="78"/>
        <v>-</v>
      </c>
      <c r="FM313" s="271" t="str">
        <f t="shared" si="79"/>
        <v>xxxxoxoxoxx</v>
      </c>
      <c r="FN313" s="271" t="str">
        <f t="shared" si="80"/>
        <v>xxxoxoxoxxo</v>
      </c>
      <c r="FO313" s="274" t="str">
        <f t="shared" si="81"/>
        <v>xxoxoxoxxox</v>
      </c>
      <c r="FP313" s="234" t="str">
        <f t="shared" si="82"/>
        <v>|</v>
      </c>
      <c r="FQ313" s="236" t="str">
        <f t="shared" si="83"/>
        <v>-</v>
      </c>
      <c r="FR313" s="237" t="str">
        <f t="shared" si="84"/>
        <v>|</v>
      </c>
      <c r="FS313" s="236" t="str">
        <f t="shared" si="85"/>
        <v>-</v>
      </c>
      <c r="FT313" s="237" t="str">
        <f t="shared" si="86"/>
        <v>|</v>
      </c>
      <c r="FU313" s="236" t="str">
        <f t="shared" si="87"/>
        <v>-</v>
      </c>
      <c r="FV313" s="237" t="str">
        <f t="shared" si="88"/>
        <v>|</v>
      </c>
      <c r="FW313" s="236" t="str">
        <f t="shared" si="89"/>
        <v>|</v>
      </c>
      <c r="FX313" s="237" t="str">
        <f t="shared" si="90"/>
        <v>-</v>
      </c>
      <c r="FY313" s="236" t="str">
        <f t="shared" si="91"/>
        <v>|</v>
      </c>
      <c r="FZ313" s="237" t="str">
        <f t="shared" si="92"/>
        <v>|</v>
      </c>
      <c r="GA313" s="236" t="str">
        <f t="shared" si="93"/>
        <v>|</v>
      </c>
      <c r="GB313" s="238" t="str">
        <f t="shared" si="94"/>
        <v>|</v>
      </c>
      <c r="GC313" s="244" t="str">
        <f>IFERROR(__xludf.DUMMYFUNCTION("IF(REGEXMATCH(C313, ""S""), ""1"","""")"),"1")</f>
        <v>1</v>
      </c>
      <c r="GD313" s="245" t="str">
        <f>IFERROR(__xludf.DUMMYFUNCTION("IF(REGEXMATCH(C313, ""r""), ""b2"","""")"),"")</f>
        <v/>
      </c>
      <c r="GE313" s="246" t="str">
        <f>IFERROR(__xludf.DUMMYFUNCTION("IF(REGEXMATCH(C313, ""R""), ""2"","""")"),"2")</f>
        <v>2</v>
      </c>
      <c r="GF313" s="246" t="str">
        <f>IFERROR(__xludf.DUMMYFUNCTION("IF(REGEXMATCH(C313, ""g""), ""b3"","""")"),"")</f>
        <v/>
      </c>
      <c r="GG313" s="245" t="str">
        <f>IFERROR(__xludf.DUMMYFUNCTION("IF(REGEXMATCH(C313, ""G""), ""3"","""")"),"3")</f>
        <v>3</v>
      </c>
      <c r="GH313" s="245" t="str">
        <f>IFERROR(__xludf.DUMMYFUNCTION("IF(REGEXMATCH(C313, ""m""), ""4"","""")"),"")</f>
        <v/>
      </c>
      <c r="GI313" s="246" t="str">
        <f>IFERROR(__xludf.DUMMYFUNCTION("IF(REGEXMATCH(C313, ""M""), ""#4"","""")"),"#4")</f>
        <v>#4</v>
      </c>
      <c r="GJ313" s="245" t="str">
        <f>IFERROR(__xludf.DUMMYFUNCTION("IF(REGEXMATCH(C313, ""P""), ""5"","""")"),"5")</f>
        <v>5</v>
      </c>
      <c r="GK313" s="246" t="str">
        <f>IFERROR(__xludf.DUMMYFUNCTION("IF(REGEXMATCH(C313, ""d""), ""b6"","""")"),"")</f>
        <v/>
      </c>
      <c r="GL313" s="245" t="str">
        <f>IFERROR(__xludf.DUMMYFUNCTION("IF(REGEXMATCH(C313, ""D""), ""6"","""")"),"6")</f>
        <v>6</v>
      </c>
      <c r="GM313" s="245" t="str">
        <f>IFERROR(__xludf.DUMMYFUNCTION("IF(REGEXMATCH(C313, ""n""), ""b7"","""")"),"b7")</f>
        <v>b7</v>
      </c>
      <c r="GN313" s="246" t="str">
        <f>IFERROR(__xludf.DUMMYFUNCTION("IF(REGEXMATCH(C313, ""N""), ""7"","""")"),"7")</f>
        <v>7</v>
      </c>
      <c r="GO313" s="249" t="str">
        <f>IFERROR(__xludf.DUMMYFUNCTION("IF(REGEXMATCH(C313, ""S""), ""8"","""")"),"8")</f>
        <v>8</v>
      </c>
      <c r="GP313" s="244" t="str">
        <f>IFERROR(__xludf.DUMMYFUNCTION("IF(REGEXMATCH(C313, ""S""), ""S"","""")"),"S")</f>
        <v>S</v>
      </c>
      <c r="GQ313" s="294" t="str">
        <f>IFERROR(__xludf.DUMMYFUNCTION("IF(REGEXMATCH(C313, ""r""), ""R1"","""")"),"")</f>
        <v/>
      </c>
      <c r="GR313" s="295" t="str">
        <f>IFERROR(__xludf.DUMMYFUNCTION("IF(REGEXMATCH(C313, ""R""), ""R2"","""")"),"R2")</f>
        <v>R2</v>
      </c>
      <c r="GS313" s="295" t="str">
        <f>IFERROR(__xludf.DUMMYFUNCTION("IF(REGEXMATCH(C313, ""g""), ""G2"","""")"),"")</f>
        <v/>
      </c>
      <c r="GT313" s="294" t="str">
        <f>IFERROR(__xludf.DUMMYFUNCTION("IF(REGEXMATCH(C313, ""G""), ""G3"","""")"),"G3")</f>
        <v>G3</v>
      </c>
      <c r="GU313" s="294" t="str">
        <f>IFERROR(__xludf.DUMMYFUNCTION("IF(REGEXMATCH(C313, ""m""), ""M1"","""")"),"")</f>
        <v/>
      </c>
      <c r="GV313" s="295" t="str">
        <f>IFERROR(__xludf.DUMMYFUNCTION("IF(REGEXMATCH(C313, ""M""), ""M2"","""")"),"M2")</f>
        <v>M2</v>
      </c>
      <c r="GW313" s="294" t="str">
        <f>IFERROR(__xludf.DUMMYFUNCTION("IF(REGEXMATCH(C313, ""P""), ""P"","""")"),"P")</f>
        <v>P</v>
      </c>
      <c r="GX313" s="295" t="str">
        <f>IFERROR(__xludf.DUMMYFUNCTION("IF(REGEXMATCH(C313, ""d""), ""D1"","""")"),"")</f>
        <v/>
      </c>
      <c r="GY313" s="294" t="str">
        <f>IFERROR(__xludf.DUMMYFUNCTION("IF(REGEXMATCH(C313, ""D""), ""D2"","""")"),"D2")</f>
        <v>D2</v>
      </c>
      <c r="GZ313" s="294" t="str">
        <f>IFERROR(__xludf.DUMMYFUNCTION("IF(REGEXMATCH(C313, ""n""), ""N2"","""")"),"N2")</f>
        <v>N2</v>
      </c>
      <c r="HA313" s="295" t="str">
        <f>IFERROR(__xludf.DUMMYFUNCTION("IF(REGEXMATCH(C313, ""N""), ""N3"","""")"),"N3")</f>
        <v>N3</v>
      </c>
      <c r="HB313" s="249" t="str">
        <f>IFERROR(__xludf.DUMMYFUNCTION("IF(REGEXMATCH(C313, ""S""), ""S"","""")"),"S")</f>
        <v>S</v>
      </c>
      <c r="HC313" s="331" t="str">
        <f t="shared" si="95"/>
        <v>S</v>
      </c>
      <c r="HD313" s="332" t="str">
        <f t="shared" si="96"/>
        <v>r</v>
      </c>
      <c r="HE313" s="332" t="str">
        <f t="shared" si="97"/>
        <v>R</v>
      </c>
      <c r="HF313" s="332" t="str">
        <f t="shared" si="98"/>
        <v>g</v>
      </c>
      <c r="HG313" s="332" t="str">
        <f t="shared" si="99"/>
        <v/>
      </c>
      <c r="HH313" s="332" t="str">
        <f t="shared" si="100"/>
        <v>m</v>
      </c>
      <c r="HI313" s="332" t="str">
        <f t="shared" si="101"/>
        <v>M</v>
      </c>
      <c r="HJ313" s="332" t="str">
        <f t="shared" si="102"/>
        <v/>
      </c>
      <c r="HK313" s="332" t="str">
        <f t="shared" si="103"/>
        <v>d</v>
      </c>
      <c r="HL313" s="332" t="str">
        <f t="shared" si="104"/>
        <v/>
      </c>
      <c r="HM313" s="332" t="str">
        <f t="shared" si="105"/>
        <v>n</v>
      </c>
      <c r="HN313" s="332" t="str">
        <f t="shared" si="106"/>
        <v/>
      </c>
      <c r="HO313" s="343" t="str">
        <f t="shared" si="107"/>
        <v>S</v>
      </c>
      <c r="HP313" s="331" t="str">
        <f t="shared" si="108"/>
        <v>o</v>
      </c>
      <c r="HQ313" s="332" t="str">
        <f t="shared" si="109"/>
        <v>•</v>
      </c>
      <c r="HR313" s="332" t="str">
        <f t="shared" si="110"/>
        <v>o</v>
      </c>
      <c r="HS313" s="332" t="str">
        <f t="shared" si="111"/>
        <v>•</v>
      </c>
      <c r="HT313" s="332" t="str">
        <f t="shared" si="112"/>
        <v>o</v>
      </c>
      <c r="HU313" s="332" t="str">
        <f t="shared" si="113"/>
        <v>•</v>
      </c>
      <c r="HV313" s="332" t="str">
        <f t="shared" si="114"/>
        <v>o</v>
      </c>
      <c r="HW313" s="332" t="str">
        <f t="shared" si="115"/>
        <v>o</v>
      </c>
      <c r="HX313" s="332" t="str">
        <f t="shared" si="116"/>
        <v>•</v>
      </c>
      <c r="HY313" s="332" t="str">
        <f t="shared" si="117"/>
        <v>o</v>
      </c>
      <c r="HZ313" s="332" t="str">
        <f t="shared" si="118"/>
        <v>o</v>
      </c>
      <c r="IA313" s="332" t="str">
        <f t="shared" si="119"/>
        <v>o</v>
      </c>
      <c r="IB313" s="338" t="str">
        <f t="shared" si="120"/>
        <v>o</v>
      </c>
      <c r="IC313" s="331" t="str">
        <f t="shared" si="121"/>
        <v>•</v>
      </c>
      <c r="ID313" s="332" t="str">
        <f t="shared" si="122"/>
        <v>o</v>
      </c>
      <c r="IE313" s="332" t="str">
        <f t="shared" si="123"/>
        <v>•</v>
      </c>
      <c r="IF313" s="332" t="str">
        <f t="shared" si="124"/>
        <v>o</v>
      </c>
      <c r="IG313" s="332" t="str">
        <f t="shared" si="125"/>
        <v>•</v>
      </c>
      <c r="IH313" s="332" t="str">
        <f t="shared" si="126"/>
        <v>o</v>
      </c>
      <c r="II313" s="332" t="str">
        <f t="shared" si="127"/>
        <v>•</v>
      </c>
      <c r="IJ313" s="332" t="str">
        <f t="shared" si="128"/>
        <v>•</v>
      </c>
      <c r="IK313" s="332" t="str">
        <f t="shared" si="129"/>
        <v>o</v>
      </c>
      <c r="IL313" s="332" t="str">
        <f t="shared" si="130"/>
        <v>•</v>
      </c>
      <c r="IM313" s="332" t="str">
        <f t="shared" si="131"/>
        <v>•</v>
      </c>
      <c r="IN313" s="332" t="str">
        <f t="shared" si="132"/>
        <v>•</v>
      </c>
      <c r="IO313" s="338" t="str">
        <f t="shared" si="133"/>
        <v>•</v>
      </c>
      <c r="IP313" s="346" t="b">
        <f t="shared" si="134"/>
        <v>0</v>
      </c>
      <c r="IQ313" s="347" t="b">
        <f t="shared" si="135"/>
        <v>0</v>
      </c>
      <c r="IR313" s="347" t="b">
        <f t="shared" si="136"/>
        <v>0</v>
      </c>
      <c r="IS313" s="347" t="b">
        <f t="shared" si="137"/>
        <v>0</v>
      </c>
      <c r="IT313" s="347" t="b">
        <f t="shared" si="138"/>
        <v>0</v>
      </c>
      <c r="IU313" s="347" t="b">
        <f t="shared" si="139"/>
        <v>0</v>
      </c>
      <c r="IV313" s="347" t="b">
        <f t="shared" si="140"/>
        <v>1</v>
      </c>
      <c r="IW313" s="347" t="b">
        <f t="shared" si="141"/>
        <v>0</v>
      </c>
      <c r="IX313" s="347" t="b">
        <f t="shared" si="142"/>
        <v>0</v>
      </c>
      <c r="IY313" s="347" t="b">
        <f t="shared" si="143"/>
        <v>0</v>
      </c>
      <c r="IZ313" s="347" t="b">
        <f t="shared" si="144"/>
        <v>1</v>
      </c>
      <c r="JA313" s="347" t="b">
        <f t="shared" si="145"/>
        <v>0</v>
      </c>
      <c r="JB313" s="353" t="b">
        <f t="shared" si="146"/>
        <v>0</v>
      </c>
      <c r="JC313" s="354" t="str">
        <f t="shared" si="147"/>
        <v/>
      </c>
      <c r="JD313" s="355" t="str">
        <f t="shared" si="148"/>
        <v/>
      </c>
      <c r="JE313" s="355" t="str">
        <f t="shared" si="149"/>
        <v/>
      </c>
      <c r="JF313" s="355" t="str">
        <f t="shared" si="150"/>
        <v/>
      </c>
      <c r="JG313" s="355" t="str">
        <f t="shared" si="151"/>
        <v/>
      </c>
      <c r="JH313" s="355" t="str">
        <f t="shared" si="152"/>
        <v/>
      </c>
      <c r="JI313" s="355" t="str">
        <f t="shared" si="153"/>
        <v>Ma, </v>
      </c>
      <c r="JJ313" s="355" t="str">
        <f t="shared" si="154"/>
        <v/>
      </c>
      <c r="JK313" s="355" t="str">
        <f t="shared" si="155"/>
        <v/>
      </c>
      <c r="JL313" s="355" t="str">
        <f t="shared" si="156"/>
        <v/>
      </c>
      <c r="JM313" s="355" t="str">
        <f t="shared" si="157"/>
        <v>ni, </v>
      </c>
      <c r="JN313" s="355" t="str">
        <f t="shared" si="158"/>
        <v/>
      </c>
      <c r="JO313" s="359" t="str">
        <f t="shared" si="159"/>
        <v/>
      </c>
      <c r="JP313" s="346" t="b">
        <f t="shared" si="160"/>
        <v>0</v>
      </c>
      <c r="JQ313" s="347" t="b">
        <f t="shared" si="161"/>
        <v>0</v>
      </c>
      <c r="JR313" s="347" t="b">
        <f t="shared" si="162"/>
        <v>0</v>
      </c>
      <c r="JS313" s="347" t="b">
        <f t="shared" si="163"/>
        <v>0</v>
      </c>
      <c r="JT313" s="347" t="b">
        <f t="shared" si="164"/>
        <v>0</v>
      </c>
      <c r="JU313" s="347" t="b">
        <f t="shared" si="165"/>
        <v>0</v>
      </c>
      <c r="JV313" s="347" t="b">
        <f t="shared" si="166"/>
        <v>0</v>
      </c>
      <c r="JW313" s="347" t="b">
        <f t="shared" si="167"/>
        <v>0</v>
      </c>
      <c r="JX313" s="347" t="b">
        <f t="shared" si="168"/>
        <v>0</v>
      </c>
      <c r="JY313" s="347" t="b">
        <f t="shared" si="169"/>
        <v>0</v>
      </c>
      <c r="JZ313" s="347" t="b">
        <f t="shared" si="170"/>
        <v>1</v>
      </c>
      <c r="KA313" s="347" t="b">
        <f t="shared" si="171"/>
        <v>0</v>
      </c>
      <c r="KB313" s="365" t="b">
        <f t="shared" si="172"/>
        <v>0</v>
      </c>
      <c r="KC313" s="354" t="str">
        <f t="shared" si="173"/>
        <v/>
      </c>
      <c r="KD313" s="355" t="str">
        <f t="shared" si="174"/>
        <v/>
      </c>
      <c r="KE313" s="355" t="str">
        <f t="shared" si="175"/>
        <v/>
      </c>
      <c r="KF313" s="355" t="str">
        <f t="shared" si="176"/>
        <v/>
      </c>
      <c r="KG313" s="355" t="str">
        <f t="shared" si="177"/>
        <v/>
      </c>
      <c r="KH313" s="355" t="str">
        <f t="shared" si="178"/>
        <v/>
      </c>
      <c r="KI313" s="355" t="str">
        <f t="shared" si="179"/>
        <v/>
      </c>
      <c r="KJ313" s="355" t="str">
        <f t="shared" si="180"/>
        <v/>
      </c>
      <c r="KK313" s="355" t="str">
        <f t="shared" si="181"/>
        <v/>
      </c>
      <c r="KL313" s="355" t="str">
        <f t="shared" si="182"/>
        <v/>
      </c>
      <c r="KM313" s="355" t="str">
        <f t="shared" si="183"/>
        <v>ni, </v>
      </c>
      <c r="KN313" s="355" t="str">
        <f t="shared" si="184"/>
        <v/>
      </c>
      <c r="KO313" s="359"/>
      <c r="KP313" s="378"/>
      <c r="KQ313" s="379" t="s">
        <v>9</v>
      </c>
      <c r="KR313" s="380" t="s">
        <v>9</v>
      </c>
      <c r="KS313" s="381" t="s">
        <v>9</v>
      </c>
      <c r="KT313" s="382">
        <f t="shared" si="186"/>
        <v>0</v>
      </c>
      <c r="KU313" s="383">
        <f t="shared" si="187"/>
        <v>0</v>
      </c>
      <c r="KV313" s="381" t="str">
        <f t="shared" si="205"/>
        <v>S</v>
      </c>
      <c r="KW313" s="382">
        <f t="shared" si="189"/>
        <v>0</v>
      </c>
      <c r="KX313" s="384">
        <f t="shared" si="190"/>
        <v>0</v>
      </c>
      <c r="KY313" s="382">
        <f t="shared" ref="KY313:KZ313" si="856">KW313-KT313</f>
        <v>0</v>
      </c>
      <c r="KZ313" s="369">
        <f t="shared" si="856"/>
        <v>0</v>
      </c>
      <c r="LA313" s="385" t="str">
        <f t="shared" si="192"/>
        <v>✔</v>
      </c>
      <c r="LB313" s="340" t="str">
        <f>IFERROR(__xludf.DUMMYFUNCTION("JOIN("""",ArrayFormula(MID(KS313,LEN(KS313)-SEQUENCE(1,LEN(KS313))+1,1)))"),"S")</f>
        <v>S</v>
      </c>
      <c r="LC313" s="373" t="str">
        <f>IFERROR(__xludf.DUMMYFUNCTION("JOIN("""",ArrayFormula(MID(KV313,LEN(KV313)-SEQUENCE(1,LEN(KV313))+1,1)))"),"S")</f>
        <v>S</v>
      </c>
      <c r="LD313" s="373" t="str">
        <f t="shared" si="193"/>
        <v>S</v>
      </c>
      <c r="LE313" s="339" t="str">
        <f t="shared" si="194"/>
        <v>S</v>
      </c>
      <c r="LF313" s="386" t="str">
        <f>IFERROR(__xludf.DUMMYFUNCTION("SUBSTITUTE(SUBSTITUTE(CONCATENATE(JOIN("""",LH313:LT313)),""1"",""""),""2"","""")"),"SS")</f>
        <v>SS</v>
      </c>
      <c r="LG313" s="369" t="str">
        <f t="shared" si="195"/>
        <v>-</v>
      </c>
      <c r="LH313" s="387" t="str">
        <f>IFERROR(__xludf.DUMMYFUNCTION("IF(REGEXMATCH(LD313, ""S""), ""S"",IF(REGEXMATCH(LE313, ""S""), ""S"",""""))"),"S")</f>
        <v>S</v>
      </c>
      <c r="LI313" s="299" t="str">
        <f>IFERROR(__xludf.DUMMYFUNCTION("IF(REGEXMATCH(LD313, ""r""), ""r1"",IF(REGEXMATCH(LE313, ""r""), ""r2"",""""))"),"")</f>
        <v/>
      </c>
      <c r="LJ313" s="299" t="str">
        <f>IFERROR(__xludf.DUMMYFUNCTION("IF(REGEXMATCH(LD313, ""R""), ""R1"",IF(REGEXMATCH(LE313, ""R""), ""R2"",""""))"),"")</f>
        <v/>
      </c>
      <c r="LK313" s="299" t="str">
        <f>IFERROR(__xludf.DUMMYFUNCTION("IF(REGEXMATCH(LD313, ""g""), ""g1"",IF(REGEXMATCH(LE313, ""g""), ""g2"",""""))"),"")</f>
        <v/>
      </c>
      <c r="LL313" s="299" t="str">
        <f>IFERROR(__xludf.DUMMYFUNCTION("IF(REGEXMATCH(LD313, ""G""), ""G1"",IF(REGEXMATCH(LE313, ""G""), ""G2"",""""))"),"")</f>
        <v/>
      </c>
      <c r="LM313" s="299" t="str">
        <f>IFERROR(__xludf.DUMMYFUNCTION("IF(REGEXMATCH(LD313, ""m""), ""m1"",IF(REGEXMATCH(LE313, ""m""), ""m2"",""""))"),"")</f>
        <v/>
      </c>
      <c r="LN313" s="299" t="str">
        <f>IFERROR(__xludf.DUMMYFUNCTION("IF(REGEXMATCH(LD313, ""M""), ""M1"",IF(REGEXMATCH(LE313, ""M""), ""M2"",""""))"),"")</f>
        <v/>
      </c>
      <c r="LO313" s="299" t="str">
        <f>IFERROR(__xludf.DUMMYFUNCTION("IF(REGEXMATCH(LD313, ""P""), ""P1"",IF(REGEXMATCH(LE313, ""P""), ""P2"",""""))"),"")</f>
        <v/>
      </c>
      <c r="LP313" s="299" t="str">
        <f>IFERROR(__xludf.DUMMYFUNCTION("IF(REGEXMATCH(LD313, ""d""), ""d1"",IF(REGEXMATCH(LE313, ""d""), ""d2"",""""))"),"")</f>
        <v/>
      </c>
      <c r="LQ313" s="299" t="str">
        <f>IFERROR(__xludf.DUMMYFUNCTION("IF(REGEXMATCH(LD313, ""D""), ""D1"",IF(REGEXMATCH(LE313, ""D""), ""D2"",""""))"),"")</f>
        <v/>
      </c>
      <c r="LR313" s="299" t="str">
        <f>IFERROR(__xludf.DUMMYFUNCTION("IF(REGEXMATCH(LD313, ""n""), ""n1"",IF(REGEXMATCH(LE313, ""n""), ""n2"",""""))"),"")</f>
        <v/>
      </c>
      <c r="LS313" s="299" t="str">
        <f>IFERROR(__xludf.DUMMYFUNCTION("IF(REGEXMATCH(LD313, ""N""), ""N1"",IF(REGEXMATCH(LE313, ""N""), ""N2"",""""))"),"")</f>
        <v/>
      </c>
      <c r="LT313" s="388" t="str">
        <f>IFERROR(__xludf.DUMMYFUNCTION("IF(REGEXMATCH(LD313, ""S""), ""S"",IF(REGEXMATCH(LE313, ""S""), ""S"",""""))"),"S")</f>
        <v>S</v>
      </c>
      <c r="LU313" s="389">
        <f t="shared" si="196"/>
        <v>1</v>
      </c>
      <c r="LV313" s="378"/>
      <c r="LW313" s="369"/>
      <c r="LX313" s="369"/>
    </row>
    <row r="314" ht="18.0" customHeight="1">
      <c r="A314" s="298" t="s">
        <v>1486</v>
      </c>
      <c r="B314" s="222" t="s">
        <v>1487</v>
      </c>
      <c r="C314" s="233" t="str">
        <f t="shared" si="7"/>
        <v>SRGPnS</v>
      </c>
      <c r="D314" s="234" t="str">
        <f>IFERROR(__xludf.DUMMYFUNCTION("IF(REGEXMATCH(C314, ""S""), ""S"","""")"),"S")</f>
        <v>S</v>
      </c>
      <c r="E314" s="236" t="str">
        <f>IFERROR(__xludf.DUMMYFUNCTION("IF(REGEXMATCH(C314, ""r""), ""r"","""")"),"")</f>
        <v/>
      </c>
      <c r="F314" s="237" t="str">
        <f>IFERROR(__xludf.DUMMYFUNCTION("IF(REGEXMATCH(C314, ""R""), ""R"","""")"),"R")</f>
        <v>R</v>
      </c>
      <c r="G314" s="237" t="str">
        <f>IFERROR(__xludf.DUMMYFUNCTION("IF(REGEXMATCH(C314, ""g""), ""g"","""")"),"")</f>
        <v/>
      </c>
      <c r="H314" s="236" t="str">
        <f>IFERROR(__xludf.DUMMYFUNCTION("IF(REGEXMATCH(C314, ""G""), ""G"","""")"),"G")</f>
        <v>G</v>
      </c>
      <c r="I314" s="236" t="str">
        <f>IFERROR(__xludf.DUMMYFUNCTION("IF(REGEXMATCH(C314, ""m""), ""m"","""")"),"")</f>
        <v/>
      </c>
      <c r="J314" s="237" t="str">
        <f>IFERROR(__xludf.DUMMYFUNCTION("IF(REGEXMATCH(C314, ""M""), ""M"","""")"),"")</f>
        <v/>
      </c>
      <c r="K314" s="236" t="str">
        <f>IFERROR(__xludf.DUMMYFUNCTION("IF(REGEXMATCH(C314, ""P""), ""P"","""")"),"P")</f>
        <v>P</v>
      </c>
      <c r="L314" s="237" t="str">
        <f>IFERROR(__xludf.DUMMYFUNCTION("IF(REGEXMATCH(C314, ""d""), ""d"","""")"),"")</f>
        <v/>
      </c>
      <c r="M314" s="236" t="str">
        <f>IFERROR(__xludf.DUMMYFUNCTION("IF(REGEXMATCH(C314, ""D""), ""D"","""")"),"")</f>
        <v/>
      </c>
      <c r="N314" s="236" t="str">
        <f>IFERROR(__xludf.DUMMYFUNCTION("IF(REGEXMATCH(C314, ""n""), ""n"","""")"),"n")</f>
        <v>n</v>
      </c>
      <c r="O314" s="237" t="str">
        <f>IFERROR(__xludf.DUMMYFUNCTION("IF(REGEXMATCH(C314, ""N""), ""N"","""")"),"")</f>
        <v/>
      </c>
      <c r="P314" s="238" t="str">
        <f>IFERROR(__xludf.DUMMYFUNCTION("IF(REGEXMATCH(C314, ""S""), ""S"","""")"),"S")</f>
        <v>S</v>
      </c>
      <c r="Q314" s="239" t="str">
        <f>IFERROR(__xludf.DUMMYFUNCTION("SUBSTITUTE(CONCATENATE(JOIN(""-"",D314:J314)),""-"","""")"),"SRG")</f>
        <v>SRG</v>
      </c>
      <c r="R314" s="229" t="str">
        <f>IFERROR(__xludf.DUMMYFUNCTION("SUBSTITUTE(CONCATENATE(JOIN(""-"",K314:P314)),""-"","""")"),"PnS")</f>
        <v>PnS</v>
      </c>
      <c r="S314" s="282" t="str">
        <f t="shared" si="8"/>
        <v>S-R-G-</v>
      </c>
      <c r="T314" s="282" t="str">
        <f t="shared" si="9"/>
        <v>P-N-S</v>
      </c>
      <c r="U314" s="237" t="str">
        <f>IFERROR(__xludf.DUMMYFUNCTION("SUBSTITUTE(JOIN(""-"",S314,T314),""--"",""-"")"),"S-R-G-P-N-S")</f>
        <v>S-R-G-P-N-S</v>
      </c>
      <c r="V314" s="309" t="str">
        <f t="shared" si="10"/>
        <v>RGn</v>
      </c>
      <c r="W314" s="244" t="str">
        <f>IFERROR(__xludf.DUMMYFUNCTION("IF(REGEXMATCH(C314, ""S""), ""0"","""")"),"0")</f>
        <v>0</v>
      </c>
      <c r="X314" s="245" t="str">
        <f>IFERROR(__xludf.DUMMYFUNCTION("IF(REGEXMATCH(C314, ""r""), ""1"","""")"),"")</f>
        <v/>
      </c>
      <c r="Y314" s="246" t="str">
        <f>IFERROR(__xludf.DUMMYFUNCTION("IF(REGEXMATCH(C314, ""R""), ""2"","""")"),"2")</f>
        <v>2</v>
      </c>
      <c r="Z314" s="246" t="str">
        <f>IFERROR(__xludf.DUMMYFUNCTION("IF(REGEXMATCH(C314, ""g""), ""3"","""")"),"")</f>
        <v/>
      </c>
      <c r="AA314" s="245" t="str">
        <f>IFERROR(__xludf.DUMMYFUNCTION("IF(REGEXMATCH(C314, ""G""), ""4"","""")"),"4")</f>
        <v>4</v>
      </c>
      <c r="AB314" s="245" t="str">
        <f>IFERROR(__xludf.DUMMYFUNCTION("IF(REGEXMATCH(C314, ""m""), ""5"","""")"),"")</f>
        <v/>
      </c>
      <c r="AC314" s="246" t="str">
        <f>IFERROR(__xludf.DUMMYFUNCTION("IF(REGEXMATCH(C314, ""M""), ""6"","""")"),"")</f>
        <v/>
      </c>
      <c r="AD314" s="245" t="str">
        <f>IFERROR(__xludf.DUMMYFUNCTION("IF(REGEXMATCH(C314, ""P""), ""7"","""")"),"7")</f>
        <v>7</v>
      </c>
      <c r="AE314" s="246" t="str">
        <f>IFERROR(__xludf.DUMMYFUNCTION("IF(REGEXMATCH(C314, ""d""), ""8"","""")"),"")</f>
        <v/>
      </c>
      <c r="AF314" s="245" t="str">
        <f>IFERROR(__xludf.DUMMYFUNCTION("IF(REGEXMATCH(C314, ""D""), ""9"","""")"),"")</f>
        <v/>
      </c>
      <c r="AG314" s="245" t="str">
        <f>IFERROR(__xludf.DUMMYFUNCTION("IF(REGEXMATCH(C314, ""n""), ""10"","""")"),"10")</f>
        <v>10</v>
      </c>
      <c r="AH314" s="246" t="str">
        <f>IFERROR(__xludf.DUMMYFUNCTION("IF(REGEXMATCH(C314, ""N""), ""11"","""")"),"")</f>
        <v/>
      </c>
      <c r="AI314" s="249" t="str">
        <f>IFERROR(__xludf.DUMMYFUNCTION("IF(REGEXMATCH(C314, ""S""), ""0"","""")"),"0")</f>
        <v>0</v>
      </c>
      <c r="AJ314" s="313" t="str">
        <f t="shared" si="11"/>
        <v>-</v>
      </c>
      <c r="AK314" s="313" t="str">
        <f t="shared" si="12"/>
        <v>-</v>
      </c>
      <c r="AL314" s="313" t="str">
        <f t="shared" si="13"/>
        <v>-</v>
      </c>
      <c r="AM314" s="313" t="str">
        <f t="shared" si="14"/>
        <v>-</v>
      </c>
      <c r="AN314" s="313" t="str">
        <f t="shared" si="15"/>
        <v>T</v>
      </c>
      <c r="AO314" s="314" t="str">
        <f t="shared" si="16"/>
        <v>-</v>
      </c>
      <c r="AP314" s="316">
        <f t="shared" si="17"/>
        <v>1</v>
      </c>
      <c r="AQ314" s="319" t="str">
        <f t="shared" si="18"/>
        <v>#REF!</v>
      </c>
      <c r="AR314" s="320">
        <f t="shared" si="19"/>
        <v>0</v>
      </c>
      <c r="AS314" s="250" t="str">
        <f>IFERROR(__xludf.DUMMYFUNCTION("SUBSTITUTE(SUBSTITUTE(CONCATENATE(JOIN("""",FP314:GA314)),""|"",""x""),""-"",""o"")"),"xoxoxooxooxo")</f>
        <v>xoxoxooxooxo</v>
      </c>
      <c r="AT314" s="323" t="str">
        <f>IFERROR(__xludf.DUMMYFUNCTION("JOIN("""",AS314,AS314)"),"xoxoxooxooxoxoxoxooxooxo")</f>
        <v>xoxoxooxooxoxoxoxooxooxo</v>
      </c>
      <c r="AU314" s="256" t="str">
        <f>IFERROR(__xludf.DUMMYFUNCTION("JOIN("""",ArrayFormula(MID(AS314,LEN(AS314)-SEQUENCE(1,LEN(AS314))+1,1)))"),"oxooxooxoxox")</f>
        <v>oxooxooxoxox</v>
      </c>
      <c r="AV314" s="256" t="str">
        <f>IFERROR(__xludf.DUMMYFUNCTION("LEFT(CONCATENATE(""x"",JOIN("""",ArrayFormula(MID(AS314,LEN(AS314)-SEQUENCE(1,LEN(AS314))+1,1)))),12)"),"xoxooxooxoxo")</f>
        <v>xoxooxooxoxo</v>
      </c>
      <c r="AW314" s="327" t="str">
        <f>IFERROR(__xludf.DUMMYFUNCTION("JOIN("""",AU314,AU314)"),"oxooxooxoxoxoxooxooxoxox")</f>
        <v>oxooxooxoxoxoxooxooxoxox</v>
      </c>
      <c r="AX314" s="239" t="str">
        <f>IFERROR(__xludf.DUMMYFUNCTION("IF(REGEXMATCH(AW314,AS314),""✔"",""-"")"),"✔")</f>
        <v>✔</v>
      </c>
      <c r="AY314" s="330" t="str">
        <f t="shared" si="20"/>
        <v>-</v>
      </c>
      <c r="AZ314" s="260" t="str">
        <f t="shared" si="21"/>
        <v>#REF!</v>
      </c>
      <c r="BA314" s="333" t="str">
        <f t="shared" si="22"/>
        <v>xoxoxoo</v>
      </c>
      <c r="BB314" s="334" t="str">
        <f t="shared" si="23"/>
        <v>xooxox</v>
      </c>
      <c r="BC314" s="335" t="str">
        <f t="shared" si="236"/>
        <v>-</v>
      </c>
      <c r="BD314" s="336" t="str">
        <f t="shared" si="25"/>
        <v>Shankh Dhwani: 'xoxoxoo' + 'xooxox'</v>
      </c>
      <c r="BE314" s="337">
        <f>IFERROR(__xludf.DUMMYFUNCTION("COUNTUNIQUE(FILTER(AT:AT,REGEXMATCH(AT:AT,AS314)))-1"),2.0)</f>
        <v>2</v>
      </c>
      <c r="BF314" s="261" t="str">
        <f>IFERROR(__xludf.DUMMYFUNCTION("IF(BI314=0,""(n/a)"",IF(BJ314=2,""(PAIR)"",IF(REGEXMATCH(AT314,""xoxoxxoxoxox""),""Bilawal"",IF(REGEXMATCH(AT314,""xoxoxooxoxoo""),""Bhupali"",IF(REGEXMATCH(AT314,""xoxoxxoxxoxo""),""Charukeshi"",IF(REGEXMATCH(AT314,""xoxoooxxoxxo""),""Kameshwari"",IF(REG"&amp;"EXMATCH(AT314,""xoxoxooxoxox""),""Shankara"",IF(REGEXMATCH(AT314,""xxooxoxxxoox""),""Basant"",IF(REGEXMATCH(AT314,""xoxoxxxxoxox""),""Bihag"",IF(REGEXMATCH(AT314,""xoxxxxoxoxxx""),""Pilu"",IF(REGEXMATCH(AT314,""xoxxoxoxxoox""),""Kirwani"",IF(REGEXMATCH(AT"&amp;"314,""xoxxoxoxoxxx""),""Mk.Malhar"",IF(REGEXMATCH(AT314,""xxooxxoxxoox""),""Bhairav"",IF(REGEXMATCH(AT314,""xxoxooxxxoox""),""Todi"",IF(REGEXMATCH(AT314,""xxooxoxooxox""),""Marwa"",IF(REGEXMATCH(AT314,""xxoooxoxxooo""),""Gunkali"",IF(REGEXMATCH(AT314,""xo"&amp;"xoxxoxxoox""),""Nat Bhairav"",IF(REGEXMATCH(AT314,""xoxxoooxoxoo""),""Shivranjani"",IF(REGEXMATCH(AT314,""xooxxxoxooxo""),""Jog"",IF(REGEXMATCH(AT314,""xxooxoxoxoox""),""Hemshri"",IF(REGEXMATCH(AT314,""xoooxooxoxxo""),""Kalavati"",IF(REGEXMATCH(AT314,""xx"&amp;"oxoxxoxoox""),""Kedar"",IF(REGEXMATCH(AT314,""xoxxxxoxooxx""),""Gara"",IF(REGEXMATCH(AT314,""xooxoxooxoox""),""Chandrakauns"",IF(REGEXMATCH(AT314,""xoxxxxoxxxox""),""Mand"",IF(REGEXMATCH(AT314,""xoxxxxoxoxox""),""Hanskinkini"",IF(REGEXMATCH(AT314,""xxooxx"&amp;"oxooxo""),""Lilavati"",IF(REGEXMATCH(AT314,""xooxoxoooxox""),""Rajeshwari"",IF(REGEXMATCH(AT314,""xoooxxoxoxxx""),""Khokar"",IF(REGEXMATCH(AT314,""xxooxoxxxxox""),""Maligoura"",""-""))))))))))))))))))))))))))))))"),"-")</f>
        <v>-</v>
      </c>
      <c r="BG314" s="239" t="str">
        <f t="shared" si="26"/>
        <v>#REF!</v>
      </c>
      <c r="BH314" s="239">
        <f>IFERROR(__xludf.DUMMYFUNCTION("COUNTUNIQUE(FE314:FO314)-1"),4.0)</f>
        <v>4</v>
      </c>
      <c r="BI314" s="239">
        <f>IFERROR(__xludf.DUMMYFUNCTION("COUNTUNIQUE(FILTER(AT:AT,REGEXMATCH(AT:AT,AS314)))-1"),2.0)</f>
        <v>2</v>
      </c>
      <c r="BJ314" s="239">
        <f>IFERROR(__xludf.DUMMYFUNCTION("COUNTA(FILTER(AT:AT,REGEXMATCH(AT:AT,AS314)))"),3.0)</f>
        <v>3</v>
      </c>
      <c r="BK314" s="341">
        <f>IFERROR(__xludf.DUMMYFUNCTION("COUNTA(FILTER(AT:AT,REGEXMATCH(AT:AT,AS314)))-AR314"),3.0)</f>
        <v>3</v>
      </c>
      <c r="BL314" s="276" t="str">
        <f>IFERROR(__xludf.DUMMYFUNCTION("IF(AS314=""oooooooooooo"",""-"",IF(REGEXMATCH(AT314,""xx""), ""Hemi."", ""Anhemi.""))"),"Anhemi.")</f>
        <v>Anhemi.</v>
      </c>
      <c r="BM314" s="282" t="str">
        <f>IFERROR(__xludf.DUMMYFUNCTION("IF(AS314=""oooooooooooo"",""-"",IF(REGEXMATCH(AT314,""xxx""), ""Cohem."", ""-""))"),"-")</f>
        <v>-</v>
      </c>
      <c r="BN314" s="282" t="str">
        <f>IFERROR(__xludf.DUMMYFUNCTION("IF(AS314=""oooooooooooo"",""-"",IF(REGEXMATCH(AT314,""xxxx""), ""Co-Co."", ""-""))"),"-")</f>
        <v>-</v>
      </c>
      <c r="BO314" s="342" t="str">
        <f>IFERROR(__xludf.DUMMYFUNCTION("IF(AS314=""oooooooooooo"",""-"",IF(REGEXMATCH(AT314,""xxxxx""), ""CCC."", ""-""))"),"-")</f>
        <v>-</v>
      </c>
      <c r="BP314" s="344" t="str">
        <f t="shared" si="27"/>
        <v>-</v>
      </c>
      <c r="BQ314" s="282" t="str">
        <f>IFERROR(__xludf.DUMMYFUNCTION("IF(REGEXMATCH(JOIN(""-"",EU314:FD314),""TRUE""),""✔"",""-"")"),"✔")</f>
        <v>✔</v>
      </c>
      <c r="BR314" s="225">
        <f t="shared" si="28"/>
        <v>1</v>
      </c>
      <c r="BS314" s="345" t="str">
        <f>IFERROR(__xludf.DUMMYFUNCTION("SUBSTITUTE(SUBSTITUTE(SUBSTITUTE(SUBSTITUTE(CONCATENATE(JOIN(""-"",GC314:GO314)),""--"",""-""),""--"",""-""),""--"",""-""),""--"",""-"")"),"1-2-3-5-b7-8")</f>
        <v>1-2-3-5-b7-8</v>
      </c>
      <c r="BT314" s="299" t="str">
        <f>IFERROR(__xludf.DUMMYFUNCTION("SUBSTITUTE(SUBSTITUTE(SUBSTITUTE(SUBSTITUTE(CONCATENATE(JOIN(""-"",GP314:HB314)),""--"",""-""),""--"",""-""),""--"",""-""),""--"",""-"")"),"S-R2-G3-P-N2-S")</f>
        <v>S-R2-G3-P-N2-S</v>
      </c>
      <c r="BU314" s="348" t="str">
        <f t="shared" si="29"/>
        <v>C-D-E-G-Bb-C</v>
      </c>
      <c r="BV314" s="349" t="str">
        <f t="shared" si="30"/>
        <v>SrgmMdDNS</v>
      </c>
      <c r="BW314" s="350">
        <f t="shared" si="31"/>
        <v>0</v>
      </c>
      <c r="BX314" s="351">
        <f t="shared" si="32"/>
        <v>1</v>
      </c>
      <c r="BY314" s="392"/>
      <c r="BZ314" s="309" t="str">
        <f>IFERROR(__xludf.DUMMYFUNCTION("IF(REGEXMATCH(C314, ""S""), ""x"",""x"")"),"x")</f>
        <v>x</v>
      </c>
      <c r="CA314" s="245" t="str">
        <f>IFERROR(__xludf.DUMMYFUNCTION("IF(REGEXMATCH(C314, ""r""), ""o"",""x"")"),"x")</f>
        <v>x</v>
      </c>
      <c r="CB314" s="246" t="str">
        <f>IFERROR(__xludf.DUMMYFUNCTION("IF(REGEXMATCH(C314, ""R""), ""o"",""x"")"),"o")</f>
        <v>o</v>
      </c>
      <c r="CC314" s="246" t="str">
        <f>IFERROR(__xludf.DUMMYFUNCTION("IF(REGEXMATCH(C314, ""g""), ""o"",""x"")"),"x")</f>
        <v>x</v>
      </c>
      <c r="CD314" s="245" t="str">
        <f>IFERROR(__xludf.DUMMYFUNCTION("IF(REGEXMATCH(C314, ""G""), ""o"",""x"")"),"o")</f>
        <v>o</v>
      </c>
      <c r="CE314" s="245" t="str">
        <f>IFERROR(__xludf.DUMMYFUNCTION("IF(REGEXMATCH(C314, ""m""), ""o"",""x"")"),"x")</f>
        <v>x</v>
      </c>
      <c r="CF314" s="246" t="str">
        <f>IFERROR(__xludf.DUMMYFUNCTION("IF(REGEXMATCH(C314, ""M""), ""o"",""x"")"),"x")</f>
        <v>x</v>
      </c>
      <c r="CG314" s="245" t="str">
        <f>IFERROR(__xludf.DUMMYFUNCTION("IF(REGEXMATCH(C314, ""P""), ""o"",""x"")"),"o")</f>
        <v>o</v>
      </c>
      <c r="CH314" s="246" t="str">
        <f>IFERROR(__xludf.DUMMYFUNCTION("IF(REGEXMATCH(C314, ""d""), ""o"",""x"")"),"x")</f>
        <v>x</v>
      </c>
      <c r="CI314" s="245" t="str">
        <f>IFERROR(__xludf.DUMMYFUNCTION("IF(REGEXMATCH(C314, ""D""), ""o"",""x"")"),"x")</f>
        <v>x</v>
      </c>
      <c r="CJ314" s="245" t="str">
        <f>IFERROR(__xludf.DUMMYFUNCTION("IF(REGEXMATCH(C314, ""n""), ""o"",""x"")"),"o")</f>
        <v>o</v>
      </c>
      <c r="CK314" s="245" t="str">
        <f>IFERROR(__xludf.DUMMYFUNCTION("IF(REGEXMATCH(C314, ""N""), ""o"",""x"")"),"x")</f>
        <v>x</v>
      </c>
      <c r="CL314" s="356" t="str">
        <f>IFERROR(__xludf.DUMMYFUNCTION("IF(REGEXMATCH(C314, ""S""), ""x"",""x"")"),"x")</f>
        <v>x</v>
      </c>
      <c r="CM314" s="357" t="str">
        <f t="shared" si="33"/>
        <v>xxoxoxxoxxox</v>
      </c>
      <c r="CN314" s="358">
        <f t="shared" si="34"/>
        <v>0</v>
      </c>
      <c r="CO314" s="246" t="str">
        <f>IFERROR(__xludf.DUMMYFUNCTION("IF(REGEXMATCH($C314, ""S""), ""S"",""S"")"),"S")</f>
        <v>S</v>
      </c>
      <c r="CP314" s="246" t="str">
        <f>IFERROR(__xludf.DUMMYFUNCTION("IF(REGEXMATCH($C314, ""r""), """",""r"")"),"r")</f>
        <v>r</v>
      </c>
      <c r="CQ314" s="246" t="str">
        <f>IFERROR(__xludf.DUMMYFUNCTION("IF(REGEXMATCH($C314, ""R""), """",""R"")"),"")</f>
        <v/>
      </c>
      <c r="CR314" s="246" t="str">
        <f>IFERROR(__xludf.DUMMYFUNCTION("IF(REGEXMATCH($C314, ""g""), """",""g"")"),"g")</f>
        <v>g</v>
      </c>
      <c r="CS314" s="246" t="str">
        <f>IFERROR(__xludf.DUMMYFUNCTION("IF(REGEXMATCH($C314, ""G""), """",""G"")"),"")</f>
        <v/>
      </c>
      <c r="CT314" s="246" t="str">
        <f>IFERROR(__xludf.DUMMYFUNCTION("IF(REGEXMATCH($C314, ""m""), """",""m"")"),"m")</f>
        <v>m</v>
      </c>
      <c r="CU314" s="246" t="str">
        <f>IFERROR(__xludf.DUMMYFUNCTION("IF(REGEXMATCH($C314, ""M""), """",""M"")"),"M")</f>
        <v>M</v>
      </c>
      <c r="CV314" s="246" t="str">
        <f>IFERROR(__xludf.DUMMYFUNCTION("IF(REGEXMATCH($C314, ""P""), """",""P"")"),"")</f>
        <v/>
      </c>
      <c r="CW314" s="246" t="str">
        <f>IFERROR(__xludf.DUMMYFUNCTION("IF(REGEXMATCH($C314, ""d""), """",""d"")"),"d")</f>
        <v>d</v>
      </c>
      <c r="CX314" s="246" t="str">
        <f>IFERROR(__xludf.DUMMYFUNCTION("IF(REGEXMATCH($C314, ""D""), """",""D"")"),"D")</f>
        <v>D</v>
      </c>
      <c r="CY314" s="246" t="str">
        <f>IFERROR(__xludf.DUMMYFUNCTION("IF(REGEXMATCH($C314, ""n""), """",""n"")"),"")</f>
        <v/>
      </c>
      <c r="CZ314" s="246" t="str">
        <f>IFERROR(__xludf.DUMMYFUNCTION("IF(REGEXMATCH($C314, ""N""), """",""N"")"),"N")</f>
        <v>N</v>
      </c>
      <c r="DA314" s="246" t="str">
        <f>IFERROR(__xludf.DUMMYFUNCTION("IF(REGEXMATCH($C314, ""S""), ""S"",""S"")"),"S")</f>
        <v>S</v>
      </c>
      <c r="DB314" s="362" t="str">
        <f>IFERROR(__xludf.DUMMYFUNCTION("JOIN("""",CO314:DA314,"""","""")"),"SrgmMdDNS")</f>
        <v>SrgmMdDNS</v>
      </c>
      <c r="DC314" s="363"/>
      <c r="DD314" s="301" t="str">
        <f t="shared" si="35"/>
        <v>#REF!</v>
      </c>
      <c r="DE314" s="302" t="str">
        <f t="shared" si="36"/>
        <v>#REF!</v>
      </c>
      <c r="DF314" s="301" t="str">
        <f t="shared" ref="DF314:DG314" si="857">SUBSTITUTE(S314,"-","")</f>
        <v>SRG</v>
      </c>
      <c r="DG314" s="301" t="str">
        <f t="shared" si="857"/>
        <v>PNS</v>
      </c>
      <c r="DH314" s="302" t="str">
        <f t="shared" si="38"/>
        <v>-</v>
      </c>
      <c r="DI314" s="301" t="str">
        <f t="shared" si="39"/>
        <v>Anhemi.</v>
      </c>
      <c r="DJ314" s="364" t="str">
        <f t="shared" si="40"/>
        <v>-</v>
      </c>
      <c r="DK314" s="306" t="str">
        <f t="shared" si="41"/>
        <v>-</v>
      </c>
      <c r="DL314" s="366" t="str">
        <f t="shared" si="42"/>
        <v>✔</v>
      </c>
      <c r="DM314" s="308" t="str">
        <f t="shared" si="43"/>
        <v>-</v>
      </c>
      <c r="DN314" s="306" t="str">
        <f t="shared" si="44"/>
        <v>-</v>
      </c>
      <c r="DO314" s="306" t="str">
        <f t="shared" si="45"/>
        <v>-</v>
      </c>
      <c r="DP314" s="367" t="str">
        <f t="shared" si="46"/>
        <v>-</v>
      </c>
      <c r="DQ314" s="310" t="str">
        <f t="shared" si="47"/>
        <v>-</v>
      </c>
      <c r="DR314" s="310" t="str">
        <f t="shared" si="48"/>
        <v>-</v>
      </c>
      <c r="DS314" s="310" t="str">
        <f t="shared" si="49"/>
        <v>-</v>
      </c>
      <c r="DT314" s="310" t="str">
        <f t="shared" si="50"/>
        <v>-</v>
      </c>
      <c r="DU314" s="370" t="str">
        <f t="shared" si="51"/>
        <v>-</v>
      </c>
      <c r="DV314" s="306" t="str">
        <f t="shared" si="52"/>
        <v>-</v>
      </c>
      <c r="DW314" s="306" t="str">
        <f t="shared" si="53"/>
        <v>-</v>
      </c>
      <c r="DX314" s="306" t="str">
        <f t="shared" si="54"/>
        <v>✔</v>
      </c>
      <c r="DY314" s="306" t="str">
        <f t="shared" si="55"/>
        <v>-</v>
      </c>
      <c r="DZ314" s="306" t="str">
        <f t="shared" si="56"/>
        <v>✔</v>
      </c>
      <c r="EA314" s="367" t="str">
        <f t="shared" si="57"/>
        <v>-</v>
      </c>
      <c r="EB314" s="310" t="str">
        <f>IFERROR(__xludf.DUMMYFUNCTION("IF(REGEXMATCH(AW314,AS314),""✔"",""-"")"),"✔")</f>
        <v>✔</v>
      </c>
      <c r="EC314" s="310" t="str">
        <f t="shared" si="58"/>
        <v>#REF!</v>
      </c>
      <c r="ED314" s="370" t="str">
        <f t="shared" si="59"/>
        <v>-</v>
      </c>
      <c r="EE314" s="340" t="str">
        <f t="shared" si="60"/>
        <v>S-R-G-P-n-S</v>
      </c>
      <c r="EF314" s="371" t="str">
        <f>IFERROR(__xludf.DUMMYFUNCTION("CONCATENATE(JOIN("""",HC314:HO314))"),"SRmdnS")</f>
        <v>SRmdnS</v>
      </c>
      <c r="EG314" s="372">
        <f t="shared" si="61"/>
        <v>3</v>
      </c>
      <c r="EH314" s="373" t="str">
        <f>IFERROR(__xludf.DUMMYFUNCTION("CONCATENATE(JOIN("""",JC314:JO314))"),"Re, Ga, ni, ")</f>
        <v>Re, Ga, ni, </v>
      </c>
      <c r="EI314" s="322">
        <f t="shared" si="62"/>
        <v>2</v>
      </c>
      <c r="EJ314" s="374" t="str">
        <f>IFERROR(__xludf.DUMMYFUNCTION("CONCATENATE(JOIN("""",KC314:KO314))"),"Ga, ni, ")</f>
        <v>Ga, ni, </v>
      </c>
      <c r="EK314" s="325" t="str">
        <f t="shared" si="63"/>
        <v>S-R2-G3-P-N2-S</v>
      </c>
      <c r="EL314" s="326" t="str">
        <f t="shared" si="64"/>
        <v>1-2-3-5-b7-8</v>
      </c>
      <c r="EM314" s="318" t="str">
        <f t="shared" si="65"/>
        <v>#REF!</v>
      </c>
      <c r="EN314" s="328" t="str">
        <f>IFERROR(__xludf.DUMMYFUNCTION("SUBSTITUTE(SUBSTITUTE(SUBSTITUTE(SUBSTITUTE(CONCATENATE(JOIN("" "",HP314:IB314)),""  "","" ""),""  "","" ""),""  "","" ""),""  "","" "")"),"o • o • o • • o • • o • o")</f>
        <v>o • o • o • • o • • o • o</v>
      </c>
      <c r="EO314" s="368" t="str">
        <f t="shared" si="66"/>
        <v>Sa-Pa</v>
      </c>
      <c r="EP314" s="339" t="str">
        <f t="shared" si="67"/>
        <v>-</v>
      </c>
      <c r="EQ314" s="339" t="str">
        <f t="shared" si="68"/>
        <v>Sa-Pa</v>
      </c>
      <c r="ER314" s="339" t="str">
        <f t="shared" si="69"/>
        <v>Sa-Pa</v>
      </c>
      <c r="ES314" s="340" t="str">
        <f t="shared" si="70"/>
        <v>-</v>
      </c>
      <c r="ET314" s="363"/>
      <c r="EU314" s="376" t="b">
        <f>IFERROR(__xludf.DUMMYFUNCTION("arrayformula(sum(--REGEXMATCH(""SRGMPDNS"",split(REGEXREPLACE(C314,""(.)"",""$1~""),""~""))))=len(C314)
"),FALSE)</f>
        <v>0</v>
      </c>
      <c r="EV314" s="290" t="b">
        <f>IFERROR(__xludf.DUMMYFUNCTION("arrayformula(sum(--REGEXMATCH(""SRGmPDNS"",split(REGEXREPLACE(C314,""(.)"",""$1~""),""~""))))=len(C314)"),FALSE)</f>
        <v>0</v>
      </c>
      <c r="EW314" s="290" t="b">
        <f>IFERROR(__xludf.DUMMYFUNCTION("arrayformula(sum(--REGEXMATCH(""SRGmPDnS"",split(REGEXREPLACE(C314,""(.)"",""$1~""),""~""))))=len(C314)"),TRUE)</f>
        <v>1</v>
      </c>
      <c r="EX314" s="290" t="b">
        <f>IFERROR(__xludf.DUMMYFUNCTION("arrayformula(sum(--REGEXMATCH(""SRgmPDnS"",split(REGEXREPLACE(C314,""(.)"",""$1~""),""~""))))=len(C314)"),FALSE)</f>
        <v>0</v>
      </c>
      <c r="EY314" s="290" t="b">
        <f>IFERROR(__xludf.DUMMYFUNCTION("arrayformula(sum(--REGEXMATCH(""SRgmPdnS"",split(REGEXREPLACE(C314,""(.)"",""$1~""),""~""))))=len(C314)"),FALSE)</f>
        <v>0</v>
      </c>
      <c r="EZ314" s="290" t="b">
        <f>IFERROR(__xludf.DUMMYFUNCTION("arrayformula(sum(--REGEXMATCH(""SrgmPdnS"",split(REGEXREPLACE(C314,""(.)"",""$1~""),""~""))))=len(C314)"),FALSE)</f>
        <v>0</v>
      </c>
      <c r="FA314" s="290" t="b">
        <f>IFERROR(__xludf.DUMMYFUNCTION("arrayformula(sum(--REGEXMATCH(""SrGmPdNS"",split(REGEXREPLACE(C314,""(.)"",""$1~""),""~""))))=len(C314)"),FALSE)</f>
        <v>0</v>
      </c>
      <c r="FB314" s="290" t="b">
        <f>IFERROR(__xludf.DUMMYFUNCTION("arrayformula(sum(--REGEXMATCH(""SrGMPDNS"",split(REGEXREPLACE(C314,""(.)"",""$1~""),""~""))))=len(C314)"),FALSE)</f>
        <v>0</v>
      </c>
      <c r="FC314" s="290" t="b">
        <f>IFERROR(__xludf.DUMMYFUNCTION("arrayformula(sum(--REGEXMATCH(""SrGMPdNS"",split(REGEXREPLACE(C314,""(.)"",""$1~""),""~""))))=len(C314)"),FALSE)</f>
        <v>0</v>
      </c>
      <c r="FD314" s="377" t="b">
        <f>IFERROR(__xludf.DUMMYFUNCTION("arrayformula(sum(--REGEXMATCH(""SrgMPdNS"",split(REGEXREPLACE(C314,""(.)"",""$1~""),""~""))))=len(C314)"),FALSE)</f>
        <v>0</v>
      </c>
      <c r="FE314" s="269" t="str">
        <f t="shared" si="71"/>
        <v>-</v>
      </c>
      <c r="FF314" s="269" t="str">
        <f t="shared" si="72"/>
        <v>xoxooxooxox</v>
      </c>
      <c r="FG314" s="271" t="str">
        <f t="shared" si="73"/>
        <v>-</v>
      </c>
      <c r="FH314" s="269" t="str">
        <f t="shared" si="74"/>
        <v>xooxooxoxox</v>
      </c>
      <c r="FI314" s="271" t="str">
        <f t="shared" si="75"/>
        <v>-</v>
      </c>
      <c r="FJ314" s="271" t="str">
        <f t="shared" si="76"/>
        <v>-</v>
      </c>
      <c r="FK314" s="271" t="str">
        <f t="shared" si="77"/>
        <v>xooxoxoxoxo</v>
      </c>
      <c r="FL314" s="271" t="str">
        <f t="shared" si="78"/>
        <v>-</v>
      </c>
      <c r="FM314" s="271" t="str">
        <f t="shared" si="79"/>
        <v>-</v>
      </c>
      <c r="FN314" s="271" t="str">
        <f t="shared" si="80"/>
        <v>xoxoxoxooxo</v>
      </c>
      <c r="FO314" s="274" t="str">
        <f t="shared" si="81"/>
        <v>-</v>
      </c>
      <c r="FP314" s="234" t="str">
        <f t="shared" si="82"/>
        <v>|</v>
      </c>
      <c r="FQ314" s="236" t="str">
        <f t="shared" si="83"/>
        <v>-</v>
      </c>
      <c r="FR314" s="237" t="str">
        <f t="shared" si="84"/>
        <v>|</v>
      </c>
      <c r="FS314" s="236" t="str">
        <f t="shared" si="85"/>
        <v>-</v>
      </c>
      <c r="FT314" s="237" t="str">
        <f t="shared" si="86"/>
        <v>|</v>
      </c>
      <c r="FU314" s="236" t="str">
        <f t="shared" si="87"/>
        <v>-</v>
      </c>
      <c r="FV314" s="237" t="str">
        <f t="shared" si="88"/>
        <v>-</v>
      </c>
      <c r="FW314" s="236" t="str">
        <f t="shared" si="89"/>
        <v>|</v>
      </c>
      <c r="FX314" s="237" t="str">
        <f t="shared" si="90"/>
        <v>-</v>
      </c>
      <c r="FY314" s="236" t="str">
        <f t="shared" si="91"/>
        <v>-</v>
      </c>
      <c r="FZ314" s="237" t="str">
        <f t="shared" si="92"/>
        <v>|</v>
      </c>
      <c r="GA314" s="236" t="str">
        <f t="shared" si="93"/>
        <v>-</v>
      </c>
      <c r="GB314" s="238" t="str">
        <f t="shared" si="94"/>
        <v>|</v>
      </c>
      <c r="GC314" s="244" t="str">
        <f>IFERROR(__xludf.DUMMYFUNCTION("IF(REGEXMATCH(C314, ""S""), ""1"","""")"),"1")</f>
        <v>1</v>
      </c>
      <c r="GD314" s="245" t="str">
        <f>IFERROR(__xludf.DUMMYFUNCTION("IF(REGEXMATCH(C314, ""r""), ""b2"","""")"),"")</f>
        <v/>
      </c>
      <c r="GE314" s="246" t="str">
        <f>IFERROR(__xludf.DUMMYFUNCTION("IF(REGEXMATCH(C314, ""R""), ""2"","""")"),"2")</f>
        <v>2</v>
      </c>
      <c r="GF314" s="246" t="str">
        <f>IFERROR(__xludf.DUMMYFUNCTION("IF(REGEXMATCH(C314, ""g""), ""b3"","""")"),"")</f>
        <v/>
      </c>
      <c r="GG314" s="245" t="str">
        <f>IFERROR(__xludf.DUMMYFUNCTION("IF(REGEXMATCH(C314, ""G""), ""3"","""")"),"3")</f>
        <v>3</v>
      </c>
      <c r="GH314" s="245" t="str">
        <f>IFERROR(__xludf.DUMMYFUNCTION("IF(REGEXMATCH(C314, ""m""), ""4"","""")"),"")</f>
        <v/>
      </c>
      <c r="GI314" s="246" t="str">
        <f>IFERROR(__xludf.DUMMYFUNCTION("IF(REGEXMATCH(C314, ""M""), ""#4"","""")"),"")</f>
        <v/>
      </c>
      <c r="GJ314" s="245" t="str">
        <f>IFERROR(__xludf.DUMMYFUNCTION("IF(REGEXMATCH(C314, ""P""), ""5"","""")"),"5")</f>
        <v>5</v>
      </c>
      <c r="GK314" s="246" t="str">
        <f>IFERROR(__xludf.DUMMYFUNCTION("IF(REGEXMATCH(C314, ""d""), ""b6"","""")"),"")</f>
        <v/>
      </c>
      <c r="GL314" s="245" t="str">
        <f>IFERROR(__xludf.DUMMYFUNCTION("IF(REGEXMATCH(C314, ""D""), ""6"","""")"),"")</f>
        <v/>
      </c>
      <c r="GM314" s="245" t="str">
        <f>IFERROR(__xludf.DUMMYFUNCTION("IF(REGEXMATCH(C314, ""n""), ""b7"","""")"),"b7")</f>
        <v>b7</v>
      </c>
      <c r="GN314" s="246" t="str">
        <f>IFERROR(__xludf.DUMMYFUNCTION("IF(REGEXMATCH(C314, ""N""), ""7"","""")"),"")</f>
        <v/>
      </c>
      <c r="GO314" s="249" t="str">
        <f>IFERROR(__xludf.DUMMYFUNCTION("IF(REGEXMATCH(C314, ""S""), ""8"","""")"),"8")</f>
        <v>8</v>
      </c>
      <c r="GP314" s="244" t="str">
        <f>IFERROR(__xludf.DUMMYFUNCTION("IF(REGEXMATCH(C314, ""S""), ""S"","""")"),"S")</f>
        <v>S</v>
      </c>
      <c r="GQ314" s="294" t="str">
        <f>IFERROR(__xludf.DUMMYFUNCTION("IF(REGEXMATCH(C314, ""r""), ""R1"","""")"),"")</f>
        <v/>
      </c>
      <c r="GR314" s="295" t="str">
        <f>IFERROR(__xludf.DUMMYFUNCTION("IF(REGEXMATCH(C314, ""R""), ""R2"","""")"),"R2")</f>
        <v>R2</v>
      </c>
      <c r="GS314" s="295" t="str">
        <f>IFERROR(__xludf.DUMMYFUNCTION("IF(REGEXMATCH(C314, ""g""), ""G2"","""")"),"")</f>
        <v/>
      </c>
      <c r="GT314" s="294" t="str">
        <f>IFERROR(__xludf.DUMMYFUNCTION("IF(REGEXMATCH(C314, ""G""), ""G3"","""")"),"G3")</f>
        <v>G3</v>
      </c>
      <c r="GU314" s="294" t="str">
        <f>IFERROR(__xludf.DUMMYFUNCTION("IF(REGEXMATCH(C314, ""m""), ""M1"","""")"),"")</f>
        <v/>
      </c>
      <c r="GV314" s="295" t="str">
        <f>IFERROR(__xludf.DUMMYFUNCTION("IF(REGEXMATCH(C314, ""M""), ""M2"","""")"),"")</f>
        <v/>
      </c>
      <c r="GW314" s="294" t="str">
        <f>IFERROR(__xludf.DUMMYFUNCTION("IF(REGEXMATCH(C314, ""P""), ""P"","""")"),"P")</f>
        <v>P</v>
      </c>
      <c r="GX314" s="295" t="str">
        <f>IFERROR(__xludf.DUMMYFUNCTION("IF(REGEXMATCH(C314, ""d""), ""D1"","""")"),"")</f>
        <v/>
      </c>
      <c r="GY314" s="294" t="str">
        <f>IFERROR(__xludf.DUMMYFUNCTION("IF(REGEXMATCH(C314, ""D""), ""D2"","""")"),"")</f>
        <v/>
      </c>
      <c r="GZ314" s="294" t="str">
        <f>IFERROR(__xludf.DUMMYFUNCTION("IF(REGEXMATCH(C314, ""n""), ""N2"","""")"),"N2")</f>
        <v>N2</v>
      </c>
      <c r="HA314" s="295" t="str">
        <f>IFERROR(__xludf.DUMMYFUNCTION("IF(REGEXMATCH(C314, ""N""), ""N3"","""")"),"")</f>
        <v/>
      </c>
      <c r="HB314" s="249" t="str">
        <f>IFERROR(__xludf.DUMMYFUNCTION("IF(REGEXMATCH(C314, ""S""), ""S"","""")"),"S")</f>
        <v>S</v>
      </c>
      <c r="HC314" s="331" t="str">
        <f t="shared" si="95"/>
        <v>S</v>
      </c>
      <c r="HD314" s="332" t="str">
        <f t="shared" si="96"/>
        <v/>
      </c>
      <c r="HE314" s="332" t="str">
        <f t="shared" si="97"/>
        <v>R</v>
      </c>
      <c r="HF314" s="332" t="str">
        <f t="shared" si="98"/>
        <v/>
      </c>
      <c r="HG314" s="332" t="str">
        <f t="shared" si="99"/>
        <v/>
      </c>
      <c r="HH314" s="332" t="str">
        <f t="shared" si="100"/>
        <v>m</v>
      </c>
      <c r="HI314" s="332" t="str">
        <f t="shared" si="101"/>
        <v/>
      </c>
      <c r="HJ314" s="332" t="str">
        <f t="shared" si="102"/>
        <v/>
      </c>
      <c r="HK314" s="332" t="str">
        <f t="shared" si="103"/>
        <v>d</v>
      </c>
      <c r="HL314" s="332" t="str">
        <f t="shared" si="104"/>
        <v/>
      </c>
      <c r="HM314" s="332" t="str">
        <f t="shared" si="105"/>
        <v>n</v>
      </c>
      <c r="HN314" s="332" t="str">
        <f t="shared" si="106"/>
        <v/>
      </c>
      <c r="HO314" s="343" t="str">
        <f t="shared" si="107"/>
        <v>S</v>
      </c>
      <c r="HP314" s="331" t="str">
        <f t="shared" si="108"/>
        <v>o</v>
      </c>
      <c r="HQ314" s="332" t="str">
        <f t="shared" si="109"/>
        <v>•</v>
      </c>
      <c r="HR314" s="332" t="str">
        <f t="shared" si="110"/>
        <v>o</v>
      </c>
      <c r="HS314" s="332" t="str">
        <f t="shared" si="111"/>
        <v>•</v>
      </c>
      <c r="HT314" s="332" t="str">
        <f t="shared" si="112"/>
        <v>o</v>
      </c>
      <c r="HU314" s="332" t="str">
        <f t="shared" si="113"/>
        <v>•</v>
      </c>
      <c r="HV314" s="332" t="str">
        <f t="shared" si="114"/>
        <v>•</v>
      </c>
      <c r="HW314" s="332" t="str">
        <f t="shared" si="115"/>
        <v>o</v>
      </c>
      <c r="HX314" s="332" t="str">
        <f t="shared" si="116"/>
        <v>•</v>
      </c>
      <c r="HY314" s="332" t="str">
        <f t="shared" si="117"/>
        <v>•</v>
      </c>
      <c r="HZ314" s="332" t="str">
        <f t="shared" si="118"/>
        <v>o</v>
      </c>
      <c r="IA314" s="332" t="str">
        <f t="shared" si="119"/>
        <v>•</v>
      </c>
      <c r="IB314" s="338" t="str">
        <f t="shared" si="120"/>
        <v>o</v>
      </c>
      <c r="IC314" s="331" t="str">
        <f t="shared" si="121"/>
        <v>•</v>
      </c>
      <c r="ID314" s="332" t="str">
        <f t="shared" si="122"/>
        <v>o</v>
      </c>
      <c r="IE314" s="332" t="str">
        <f t="shared" si="123"/>
        <v>•</v>
      </c>
      <c r="IF314" s="332" t="str">
        <f t="shared" si="124"/>
        <v>o</v>
      </c>
      <c r="IG314" s="332" t="str">
        <f t="shared" si="125"/>
        <v>•</v>
      </c>
      <c r="IH314" s="332" t="str">
        <f t="shared" si="126"/>
        <v>o</v>
      </c>
      <c r="II314" s="332" t="str">
        <f t="shared" si="127"/>
        <v>o</v>
      </c>
      <c r="IJ314" s="332" t="str">
        <f t="shared" si="128"/>
        <v>•</v>
      </c>
      <c r="IK314" s="332" t="str">
        <f t="shared" si="129"/>
        <v>o</v>
      </c>
      <c r="IL314" s="332" t="str">
        <f t="shared" si="130"/>
        <v>o</v>
      </c>
      <c r="IM314" s="332" t="str">
        <f t="shared" si="131"/>
        <v>•</v>
      </c>
      <c r="IN314" s="332" t="str">
        <f t="shared" si="132"/>
        <v>o</v>
      </c>
      <c r="IO314" s="338" t="str">
        <f t="shared" si="133"/>
        <v>•</v>
      </c>
      <c r="IP314" s="346" t="b">
        <f t="shared" si="134"/>
        <v>0</v>
      </c>
      <c r="IQ314" s="347" t="b">
        <f t="shared" si="135"/>
        <v>0</v>
      </c>
      <c r="IR314" s="347" t="b">
        <f t="shared" si="136"/>
        <v>1</v>
      </c>
      <c r="IS314" s="347" t="b">
        <f t="shared" si="137"/>
        <v>0</v>
      </c>
      <c r="IT314" s="347" t="b">
        <f t="shared" si="138"/>
        <v>1</v>
      </c>
      <c r="IU314" s="347" t="b">
        <f t="shared" si="139"/>
        <v>0</v>
      </c>
      <c r="IV314" s="347" t="b">
        <f t="shared" si="140"/>
        <v>0</v>
      </c>
      <c r="IW314" s="347" t="b">
        <f t="shared" si="141"/>
        <v>0</v>
      </c>
      <c r="IX314" s="347" t="b">
        <f t="shared" si="142"/>
        <v>0</v>
      </c>
      <c r="IY314" s="347" t="b">
        <f t="shared" si="143"/>
        <v>0</v>
      </c>
      <c r="IZ314" s="347" t="b">
        <f t="shared" si="144"/>
        <v>1</v>
      </c>
      <c r="JA314" s="347" t="b">
        <f t="shared" si="145"/>
        <v>0</v>
      </c>
      <c r="JB314" s="353" t="b">
        <f t="shared" si="146"/>
        <v>0</v>
      </c>
      <c r="JC314" s="354" t="str">
        <f t="shared" si="147"/>
        <v/>
      </c>
      <c r="JD314" s="355" t="str">
        <f t="shared" si="148"/>
        <v/>
      </c>
      <c r="JE314" s="355" t="str">
        <f t="shared" si="149"/>
        <v>Re, </v>
      </c>
      <c r="JF314" s="355" t="str">
        <f t="shared" si="150"/>
        <v/>
      </c>
      <c r="JG314" s="355" t="str">
        <f t="shared" si="151"/>
        <v>Ga, </v>
      </c>
      <c r="JH314" s="355" t="str">
        <f t="shared" si="152"/>
        <v/>
      </c>
      <c r="JI314" s="355" t="str">
        <f t="shared" si="153"/>
        <v/>
      </c>
      <c r="JJ314" s="355" t="str">
        <f t="shared" si="154"/>
        <v/>
      </c>
      <c r="JK314" s="355" t="str">
        <f t="shared" si="155"/>
        <v/>
      </c>
      <c r="JL314" s="355" t="str">
        <f t="shared" si="156"/>
        <v/>
      </c>
      <c r="JM314" s="355" t="str">
        <f t="shared" si="157"/>
        <v>ni, </v>
      </c>
      <c r="JN314" s="355" t="str">
        <f t="shared" si="158"/>
        <v/>
      </c>
      <c r="JO314" s="359" t="str">
        <f t="shared" si="159"/>
        <v/>
      </c>
      <c r="JP314" s="346" t="b">
        <f t="shared" si="160"/>
        <v>0</v>
      </c>
      <c r="JQ314" s="347" t="b">
        <f t="shared" si="161"/>
        <v>0</v>
      </c>
      <c r="JR314" s="347" t="b">
        <f t="shared" si="162"/>
        <v>0</v>
      </c>
      <c r="JS314" s="347" t="b">
        <f t="shared" si="163"/>
        <v>0</v>
      </c>
      <c r="JT314" s="347" t="b">
        <f t="shared" si="164"/>
        <v>1</v>
      </c>
      <c r="JU314" s="347" t="b">
        <f t="shared" si="165"/>
        <v>0</v>
      </c>
      <c r="JV314" s="347" t="b">
        <f t="shared" si="166"/>
        <v>0</v>
      </c>
      <c r="JW314" s="347" t="b">
        <f t="shared" si="167"/>
        <v>0</v>
      </c>
      <c r="JX314" s="347" t="b">
        <f t="shared" si="168"/>
        <v>0</v>
      </c>
      <c r="JY314" s="347" t="b">
        <f t="shared" si="169"/>
        <v>0</v>
      </c>
      <c r="JZ314" s="347" t="b">
        <f t="shared" si="170"/>
        <v>1</v>
      </c>
      <c r="KA314" s="347" t="b">
        <f t="shared" si="171"/>
        <v>0</v>
      </c>
      <c r="KB314" s="365" t="b">
        <f t="shared" si="172"/>
        <v>0</v>
      </c>
      <c r="KC314" s="354" t="str">
        <f t="shared" si="173"/>
        <v/>
      </c>
      <c r="KD314" s="355" t="str">
        <f t="shared" si="174"/>
        <v/>
      </c>
      <c r="KE314" s="355" t="str">
        <f t="shared" si="175"/>
        <v/>
      </c>
      <c r="KF314" s="355" t="str">
        <f t="shared" si="176"/>
        <v/>
      </c>
      <c r="KG314" s="355" t="str">
        <f t="shared" si="177"/>
        <v>Ga, </v>
      </c>
      <c r="KH314" s="355" t="str">
        <f t="shared" si="178"/>
        <v/>
      </c>
      <c r="KI314" s="355" t="str">
        <f t="shared" si="179"/>
        <v/>
      </c>
      <c r="KJ314" s="355" t="str">
        <f t="shared" si="180"/>
        <v/>
      </c>
      <c r="KK314" s="355" t="str">
        <f t="shared" si="181"/>
        <v/>
      </c>
      <c r="KL314" s="355" t="str">
        <f t="shared" si="182"/>
        <v/>
      </c>
      <c r="KM314" s="355" t="str">
        <f t="shared" si="183"/>
        <v>ni, </v>
      </c>
      <c r="KN314" s="355" t="str">
        <f t="shared" si="184"/>
        <v/>
      </c>
      <c r="KO314" s="359"/>
      <c r="KP314" s="378"/>
      <c r="KQ314" s="379" t="s">
        <v>9</v>
      </c>
      <c r="KR314" s="380" t="s">
        <v>9</v>
      </c>
      <c r="KS314" s="381" t="s">
        <v>9</v>
      </c>
      <c r="KT314" s="382">
        <f t="shared" si="186"/>
        <v>0</v>
      </c>
      <c r="KU314" s="383">
        <f t="shared" si="187"/>
        <v>0</v>
      </c>
      <c r="KV314" s="381" t="str">
        <f t="shared" si="205"/>
        <v>S</v>
      </c>
      <c r="KW314" s="382">
        <f t="shared" si="189"/>
        <v>0</v>
      </c>
      <c r="KX314" s="384">
        <f t="shared" si="190"/>
        <v>0</v>
      </c>
      <c r="KY314" s="382">
        <f t="shared" ref="KY314:KZ314" si="858">KW314-KT314</f>
        <v>0</v>
      </c>
      <c r="KZ314" s="369">
        <f t="shared" si="858"/>
        <v>0</v>
      </c>
      <c r="LA314" s="385" t="str">
        <f t="shared" si="192"/>
        <v>✔</v>
      </c>
      <c r="LB314" s="340" t="str">
        <f>IFERROR(__xludf.DUMMYFUNCTION("JOIN("""",ArrayFormula(MID(KS314,LEN(KS314)-SEQUENCE(1,LEN(KS314))+1,1)))"),"S")</f>
        <v>S</v>
      </c>
      <c r="LC314" s="373" t="str">
        <f>IFERROR(__xludf.DUMMYFUNCTION("JOIN("""",ArrayFormula(MID(KV314,LEN(KV314)-SEQUENCE(1,LEN(KV314))+1,1)))"),"S")</f>
        <v>S</v>
      </c>
      <c r="LD314" s="373" t="str">
        <f t="shared" si="193"/>
        <v>S</v>
      </c>
      <c r="LE314" s="339" t="str">
        <f t="shared" si="194"/>
        <v>S</v>
      </c>
      <c r="LF314" s="386" t="str">
        <f>IFERROR(__xludf.DUMMYFUNCTION("SUBSTITUTE(SUBSTITUTE(CONCATENATE(JOIN("""",LH314:LT314)),""1"",""""),""2"","""")"),"SS")</f>
        <v>SS</v>
      </c>
      <c r="LG314" s="369" t="str">
        <f t="shared" si="195"/>
        <v>-</v>
      </c>
      <c r="LH314" s="387" t="str">
        <f>IFERROR(__xludf.DUMMYFUNCTION("IF(REGEXMATCH(LD314, ""S""), ""S"",IF(REGEXMATCH(LE314, ""S""), ""S"",""""))"),"S")</f>
        <v>S</v>
      </c>
      <c r="LI314" s="299" t="str">
        <f>IFERROR(__xludf.DUMMYFUNCTION("IF(REGEXMATCH(LD314, ""r""), ""r1"",IF(REGEXMATCH(LE314, ""r""), ""r2"",""""))"),"")</f>
        <v/>
      </c>
      <c r="LJ314" s="299" t="str">
        <f>IFERROR(__xludf.DUMMYFUNCTION("IF(REGEXMATCH(LD314, ""R""), ""R1"",IF(REGEXMATCH(LE314, ""R""), ""R2"",""""))"),"")</f>
        <v/>
      </c>
      <c r="LK314" s="299" t="str">
        <f>IFERROR(__xludf.DUMMYFUNCTION("IF(REGEXMATCH(LD314, ""g""), ""g1"",IF(REGEXMATCH(LE314, ""g""), ""g2"",""""))"),"")</f>
        <v/>
      </c>
      <c r="LL314" s="299" t="str">
        <f>IFERROR(__xludf.DUMMYFUNCTION("IF(REGEXMATCH(LD314, ""G""), ""G1"",IF(REGEXMATCH(LE314, ""G""), ""G2"",""""))"),"")</f>
        <v/>
      </c>
      <c r="LM314" s="299" t="str">
        <f>IFERROR(__xludf.DUMMYFUNCTION("IF(REGEXMATCH(LD314, ""m""), ""m1"",IF(REGEXMATCH(LE314, ""m""), ""m2"",""""))"),"")</f>
        <v/>
      </c>
      <c r="LN314" s="299" t="str">
        <f>IFERROR(__xludf.DUMMYFUNCTION("IF(REGEXMATCH(LD314, ""M""), ""M1"",IF(REGEXMATCH(LE314, ""M""), ""M2"",""""))"),"")</f>
        <v/>
      </c>
      <c r="LO314" s="299" t="str">
        <f>IFERROR(__xludf.DUMMYFUNCTION("IF(REGEXMATCH(LD314, ""P""), ""P1"",IF(REGEXMATCH(LE314, ""P""), ""P2"",""""))"),"")</f>
        <v/>
      </c>
      <c r="LP314" s="299" t="str">
        <f>IFERROR(__xludf.DUMMYFUNCTION("IF(REGEXMATCH(LD314, ""d""), ""d1"",IF(REGEXMATCH(LE314, ""d""), ""d2"",""""))"),"")</f>
        <v/>
      </c>
      <c r="LQ314" s="299" t="str">
        <f>IFERROR(__xludf.DUMMYFUNCTION("IF(REGEXMATCH(LD314, ""D""), ""D1"",IF(REGEXMATCH(LE314, ""D""), ""D2"",""""))"),"")</f>
        <v/>
      </c>
      <c r="LR314" s="299" t="str">
        <f>IFERROR(__xludf.DUMMYFUNCTION("IF(REGEXMATCH(LD314, ""n""), ""n1"",IF(REGEXMATCH(LE314, ""n""), ""n2"",""""))"),"")</f>
        <v/>
      </c>
      <c r="LS314" s="299" t="str">
        <f>IFERROR(__xludf.DUMMYFUNCTION("IF(REGEXMATCH(LD314, ""N""), ""N1"",IF(REGEXMATCH(LE314, ""N""), ""N2"",""""))"),"")</f>
        <v/>
      </c>
      <c r="LT314" s="388" t="str">
        <f>IFERROR(__xludf.DUMMYFUNCTION("IF(REGEXMATCH(LD314, ""S""), ""S"",IF(REGEXMATCH(LE314, ""S""), ""S"",""""))"),"S")</f>
        <v>S</v>
      </c>
      <c r="LU314" s="389">
        <f t="shared" si="196"/>
        <v>1</v>
      </c>
      <c r="LV314" s="378"/>
      <c r="LW314" s="369"/>
      <c r="LX314" s="369"/>
    </row>
    <row r="315" ht="18.0" customHeight="1">
      <c r="A315" s="298" t="s">
        <v>485</v>
      </c>
      <c r="B315" s="222" t="s">
        <v>486</v>
      </c>
      <c r="C315" s="233" t="str">
        <f t="shared" si="7"/>
        <v>SRgMPdnS</v>
      </c>
      <c r="D315" s="234" t="str">
        <f>IFERROR(__xludf.DUMMYFUNCTION("IF(REGEXMATCH(C315, ""S""), ""S"","""")"),"S")</f>
        <v>S</v>
      </c>
      <c r="E315" s="236" t="str">
        <f>IFERROR(__xludf.DUMMYFUNCTION("IF(REGEXMATCH(C315, ""r""), ""r"","""")"),"")</f>
        <v/>
      </c>
      <c r="F315" s="237" t="str">
        <f>IFERROR(__xludf.DUMMYFUNCTION("IF(REGEXMATCH(C315, ""R""), ""R"","""")"),"R")</f>
        <v>R</v>
      </c>
      <c r="G315" s="237" t="str">
        <f>IFERROR(__xludf.DUMMYFUNCTION("IF(REGEXMATCH(C315, ""g""), ""g"","""")"),"g")</f>
        <v>g</v>
      </c>
      <c r="H315" s="236" t="str">
        <f>IFERROR(__xludf.DUMMYFUNCTION("IF(REGEXMATCH(C315, ""G""), ""G"","""")"),"")</f>
        <v/>
      </c>
      <c r="I315" s="236" t="str">
        <f>IFERROR(__xludf.DUMMYFUNCTION("IF(REGEXMATCH(C315, ""m""), ""m"","""")"),"")</f>
        <v/>
      </c>
      <c r="J315" s="237" t="str">
        <f>IFERROR(__xludf.DUMMYFUNCTION("IF(REGEXMATCH(C315, ""M""), ""M"","""")"),"M")</f>
        <v>M</v>
      </c>
      <c r="K315" s="236" t="str">
        <f>IFERROR(__xludf.DUMMYFUNCTION("IF(REGEXMATCH(C315, ""P""), ""P"","""")"),"P")</f>
        <v>P</v>
      </c>
      <c r="L315" s="237" t="str">
        <f>IFERROR(__xludf.DUMMYFUNCTION("IF(REGEXMATCH(C315, ""d""), ""d"","""")"),"d")</f>
        <v>d</v>
      </c>
      <c r="M315" s="236" t="str">
        <f>IFERROR(__xludf.DUMMYFUNCTION("IF(REGEXMATCH(C315, ""D""), ""D"","""")"),"")</f>
        <v/>
      </c>
      <c r="N315" s="236" t="str">
        <f>IFERROR(__xludf.DUMMYFUNCTION("IF(REGEXMATCH(C315, ""n""), ""n"","""")"),"n")</f>
        <v>n</v>
      </c>
      <c r="O315" s="237" t="str">
        <f>IFERROR(__xludf.DUMMYFUNCTION("IF(REGEXMATCH(C315, ""N""), ""N"","""")"),"")</f>
        <v/>
      </c>
      <c r="P315" s="238" t="str">
        <f>IFERROR(__xludf.DUMMYFUNCTION("IF(REGEXMATCH(C315, ""S""), ""S"","""")"),"S")</f>
        <v>S</v>
      </c>
      <c r="Q315" s="239" t="str">
        <f>IFERROR(__xludf.DUMMYFUNCTION("SUBSTITUTE(CONCATENATE(JOIN(""-"",D315:J315)),""-"","""")"),"SRgM")</f>
        <v>SRgM</v>
      </c>
      <c r="R315" s="229" t="str">
        <f>IFERROR(__xludf.DUMMYFUNCTION("SUBSTITUTE(CONCATENATE(JOIN(""-"",K315:P315)),""-"","""")"),"PdnS")</f>
        <v>PdnS</v>
      </c>
      <c r="S315" s="282" t="str">
        <f t="shared" si="8"/>
        <v>S-R-G-M</v>
      </c>
      <c r="T315" s="282" t="str">
        <f t="shared" si="9"/>
        <v>P-D-N-S</v>
      </c>
      <c r="U315" s="237" t="str">
        <f>IFERROR(__xludf.DUMMYFUNCTION("SUBSTITUTE(JOIN(""-"",S315,T315),""--"",""-"")"),"S-R-G-M-P-D-N-S")</f>
        <v>S-R-G-M-P-D-N-S</v>
      </c>
      <c r="V315" s="309" t="str">
        <f t="shared" si="10"/>
        <v>RgMdn</v>
      </c>
      <c r="W315" s="244" t="str">
        <f>IFERROR(__xludf.DUMMYFUNCTION("IF(REGEXMATCH(C315, ""S""), ""0"","""")"),"0")</f>
        <v>0</v>
      </c>
      <c r="X315" s="245" t="str">
        <f>IFERROR(__xludf.DUMMYFUNCTION("IF(REGEXMATCH(C315, ""r""), ""1"","""")"),"")</f>
        <v/>
      </c>
      <c r="Y315" s="246" t="str">
        <f>IFERROR(__xludf.DUMMYFUNCTION("IF(REGEXMATCH(C315, ""R""), ""2"","""")"),"2")</f>
        <v>2</v>
      </c>
      <c r="Z315" s="246" t="str">
        <f>IFERROR(__xludf.DUMMYFUNCTION("IF(REGEXMATCH(C315, ""g""), ""3"","""")"),"3")</f>
        <v>3</v>
      </c>
      <c r="AA315" s="245" t="str">
        <f>IFERROR(__xludf.DUMMYFUNCTION("IF(REGEXMATCH(C315, ""G""), ""4"","""")"),"")</f>
        <v/>
      </c>
      <c r="AB315" s="245" t="str">
        <f>IFERROR(__xludf.DUMMYFUNCTION("IF(REGEXMATCH(C315, ""m""), ""5"","""")"),"")</f>
        <v/>
      </c>
      <c r="AC315" s="246" t="str">
        <f>IFERROR(__xludf.DUMMYFUNCTION("IF(REGEXMATCH(C315, ""M""), ""6"","""")"),"6")</f>
        <v>6</v>
      </c>
      <c r="AD315" s="245" t="str">
        <f>IFERROR(__xludf.DUMMYFUNCTION("IF(REGEXMATCH(C315, ""P""), ""7"","""")"),"7")</f>
        <v>7</v>
      </c>
      <c r="AE315" s="246" t="str">
        <f>IFERROR(__xludf.DUMMYFUNCTION("IF(REGEXMATCH(C315, ""d""), ""8"","""")"),"8")</f>
        <v>8</v>
      </c>
      <c r="AF315" s="245" t="str">
        <f>IFERROR(__xludf.DUMMYFUNCTION("IF(REGEXMATCH(C315, ""D""), ""9"","""")"),"")</f>
        <v/>
      </c>
      <c r="AG315" s="245" t="str">
        <f>IFERROR(__xludf.DUMMYFUNCTION("IF(REGEXMATCH(C315, ""n""), ""10"","""")"),"10")</f>
        <v>10</v>
      </c>
      <c r="AH315" s="246" t="str">
        <f>IFERROR(__xludf.DUMMYFUNCTION("IF(REGEXMATCH(C315, ""N""), ""11"","""")"),"")</f>
        <v/>
      </c>
      <c r="AI315" s="249" t="str">
        <f>IFERROR(__xludf.DUMMYFUNCTION("IF(REGEXMATCH(C315, ""S""), ""0"","""")"),"0")</f>
        <v>0</v>
      </c>
      <c r="AJ315" s="313" t="str">
        <f t="shared" si="11"/>
        <v>T</v>
      </c>
      <c r="AK315" s="313" t="str">
        <f t="shared" si="12"/>
        <v>-</v>
      </c>
      <c r="AL315" s="313" t="str">
        <f t="shared" si="13"/>
        <v>T</v>
      </c>
      <c r="AM315" s="313" t="str">
        <f t="shared" si="14"/>
        <v>-</v>
      </c>
      <c r="AN315" s="313" t="str">
        <f t="shared" si="15"/>
        <v>-</v>
      </c>
      <c r="AO315" s="314" t="str">
        <f t="shared" si="16"/>
        <v>-</v>
      </c>
      <c r="AP315" s="316">
        <f t="shared" si="17"/>
        <v>2</v>
      </c>
      <c r="AQ315" s="319" t="str">
        <f t="shared" si="18"/>
        <v>#REF!</v>
      </c>
      <c r="AR315" s="320">
        <f t="shared" si="19"/>
        <v>0</v>
      </c>
      <c r="AS315" s="250" t="str">
        <f>IFERROR(__xludf.DUMMYFUNCTION("SUBSTITUTE(SUBSTITUTE(CONCATENATE(JOIN("""",FP315:GA315)),""|"",""x""),""-"",""o"")"),"xoxxooxxxoxo")</f>
        <v>xoxxooxxxoxo</v>
      </c>
      <c r="AT315" s="323" t="str">
        <f>IFERROR(__xludf.DUMMYFUNCTION("JOIN("""",AS315,AS315)"),"xoxxooxxxoxoxoxxooxxxoxo")</f>
        <v>xoxxooxxxoxoxoxxooxxxoxo</v>
      </c>
      <c r="AU315" s="256" t="str">
        <f>IFERROR(__xludf.DUMMYFUNCTION("JOIN("""",ArrayFormula(MID(AS315,LEN(AS315)-SEQUENCE(1,LEN(AS315))+1,1)))"),"oxoxxxooxxox")</f>
        <v>oxoxxxooxxox</v>
      </c>
      <c r="AV315" s="256" t="str">
        <f>IFERROR(__xludf.DUMMYFUNCTION("LEFT(CONCATENATE(""x"",JOIN("""",ArrayFormula(MID(AS315,LEN(AS315)-SEQUENCE(1,LEN(AS315))+1,1)))),12)"),"xoxoxxxooxxo")</f>
        <v>xoxoxxxooxxo</v>
      </c>
      <c r="AW315" s="327" t="str">
        <f>IFERROR(__xludf.DUMMYFUNCTION("JOIN("""",AU315,AU315)"),"oxoxxxooxxoxoxoxxxooxxox")</f>
        <v>oxoxxxooxxoxoxoxxxooxxox</v>
      </c>
      <c r="AX315" s="239" t="str">
        <f>IFERROR(__xludf.DUMMYFUNCTION("IF(REGEXMATCH(AW315,AS315),""✔"",""-"")"),"-")</f>
        <v>-</v>
      </c>
      <c r="AY315" s="330" t="str">
        <f t="shared" si="20"/>
        <v>-</v>
      </c>
      <c r="AZ315" s="260" t="str">
        <f t="shared" si="21"/>
        <v>#REF!</v>
      </c>
      <c r="BA315" s="333" t="str">
        <f t="shared" si="22"/>
        <v>xoxxoox</v>
      </c>
      <c r="BB315" s="334" t="str">
        <f t="shared" si="23"/>
        <v>xxoxox</v>
      </c>
      <c r="BC315" s="335" t="str">
        <f t="shared" si="236"/>
        <v>-</v>
      </c>
      <c r="BD315" s="336" t="str">
        <f t="shared" si="25"/>
        <v>Shanmukhpriya: 'xoxxoox' + 'xxoxox'</v>
      </c>
      <c r="BE315" s="337">
        <f>IFERROR(__xludf.DUMMYFUNCTION("COUNTUNIQUE(FILTER(AT:AT,REGEXMATCH(AT:AT,AS315)))-1"),1.0)</f>
        <v>1</v>
      </c>
      <c r="BF315" s="261" t="str">
        <f>IFERROR(__xludf.DUMMYFUNCTION("IF(BI315=0,""(n/a)"",IF(BJ315=2,""(PAIR)"",IF(REGEXMATCH(AT315,""xoxoxxoxoxox""),""Bilawal"",IF(REGEXMATCH(AT315,""xoxoxooxoxoo""),""Bhupali"",IF(REGEXMATCH(AT315,""xoxoxxoxxoxo""),""Charukeshi"",IF(REGEXMATCH(AT315,""xoxoooxxoxxo""),""Kameshwari"",IF(REG"&amp;"EXMATCH(AT315,""xoxoxooxoxox""),""Shankara"",IF(REGEXMATCH(AT315,""xxooxoxxxoox""),""Basant"",IF(REGEXMATCH(AT315,""xoxoxxxxoxox""),""Bihag"",IF(REGEXMATCH(AT315,""xoxxxxoxoxxx""),""Pilu"",IF(REGEXMATCH(AT315,""xoxxoxoxxoox""),""Kirwani"",IF(REGEXMATCH(AT"&amp;"315,""xoxxoxoxoxxx""),""Mk.Malhar"",IF(REGEXMATCH(AT315,""xxooxxoxxoox""),""Bhairav"",IF(REGEXMATCH(AT315,""xxoxooxxxoox""),""Todi"",IF(REGEXMATCH(AT315,""xxooxoxooxox""),""Marwa"",IF(REGEXMATCH(AT315,""xxoooxoxxooo""),""Gunkali"",IF(REGEXMATCH(AT315,""xo"&amp;"xoxxoxxoox""),""Nat Bhairav"",IF(REGEXMATCH(AT315,""xoxxoooxoxoo""),""Shivranjani"",IF(REGEXMATCH(AT315,""xooxxxoxooxo""),""Jog"",IF(REGEXMATCH(AT315,""xxooxoxoxoox""),""Hemshri"",IF(REGEXMATCH(AT315,""xoooxooxoxxo""),""Kalavati"",IF(REGEXMATCH(AT315,""xx"&amp;"oxoxxoxoox""),""Kedar"",IF(REGEXMATCH(AT315,""xoxxxxoxooxx""),""Gara"",IF(REGEXMATCH(AT315,""xooxoxooxoox""),""Chandrakauns"",IF(REGEXMATCH(AT315,""xoxxxxoxxxox""),""Mand"",IF(REGEXMATCH(AT315,""xoxxxxoxoxox""),""Hanskinkini"",IF(REGEXMATCH(AT315,""xxooxx"&amp;"oxooxo""),""Lilavati"",IF(REGEXMATCH(AT315,""xooxoxoooxox""),""Rajeshwari"",IF(REGEXMATCH(AT315,""xoooxxoxoxxx""),""Khokar"",IF(REGEXMATCH(AT315,""xxooxoxxxxox""),""Maligoura"",""-""))))))))))))))))))))))))))))))"),"(PAIR)")</f>
        <v>(PAIR)</v>
      </c>
      <c r="BG315" s="239" t="str">
        <f t="shared" si="26"/>
        <v>#REF!</v>
      </c>
      <c r="BH315" s="239">
        <f>IFERROR(__xludf.DUMMYFUNCTION("COUNTUNIQUE(FE315:FO315)-1"),6.0)</f>
        <v>6</v>
      </c>
      <c r="BI315" s="239">
        <f>IFERROR(__xludf.DUMMYFUNCTION("COUNTUNIQUE(FILTER(AT:AT,REGEXMATCH(AT:AT,AS315)))-1"),1.0)</f>
        <v>1</v>
      </c>
      <c r="BJ315" s="239">
        <f>IFERROR(__xludf.DUMMYFUNCTION("COUNTA(FILTER(AT:AT,REGEXMATCH(AT:AT,AS315)))"),2.0)</f>
        <v>2</v>
      </c>
      <c r="BK315" s="341">
        <f>IFERROR(__xludf.DUMMYFUNCTION("COUNTA(FILTER(AT:AT,REGEXMATCH(AT:AT,AS315)))-AR315"),2.0)</f>
        <v>2</v>
      </c>
      <c r="BL315" s="276" t="str">
        <f>IFERROR(__xludf.DUMMYFUNCTION("IF(AS315=""oooooooooooo"",""-"",IF(REGEXMATCH(AT315,""xx""), ""Hemi."", ""Anhemi.""))"),"Hemi.")</f>
        <v>Hemi.</v>
      </c>
      <c r="BM315" s="282" t="str">
        <f>IFERROR(__xludf.DUMMYFUNCTION("IF(AS315=""oooooooooooo"",""-"",IF(REGEXMATCH(AT315,""xxx""), ""Cohem."", ""-""))"),"Cohem.")</f>
        <v>Cohem.</v>
      </c>
      <c r="BN315" s="282" t="str">
        <f>IFERROR(__xludf.DUMMYFUNCTION("IF(AS315=""oooooooooooo"",""-"",IF(REGEXMATCH(AT315,""xxxx""), ""Co-Co."", ""-""))"),"-")</f>
        <v>-</v>
      </c>
      <c r="BO315" s="342" t="str">
        <f>IFERROR(__xludf.DUMMYFUNCTION("IF(AS315=""oooooooooooo"",""-"",IF(REGEXMATCH(AT315,""xxxxx""), ""CCC."", ""-""))"),"-")</f>
        <v>-</v>
      </c>
      <c r="BP315" s="344" t="str">
        <f t="shared" si="27"/>
        <v>-</v>
      </c>
      <c r="BQ315" s="282" t="str">
        <f>IFERROR(__xludf.DUMMYFUNCTION("IF(REGEXMATCH(JOIN(""-"",EU315:FD315),""TRUE""),""✔"",""-"")"),"-")</f>
        <v>-</v>
      </c>
      <c r="BR315" s="225">
        <f t="shared" si="28"/>
        <v>0</v>
      </c>
      <c r="BS315" s="345" t="str">
        <f>IFERROR(__xludf.DUMMYFUNCTION("SUBSTITUTE(SUBSTITUTE(SUBSTITUTE(SUBSTITUTE(CONCATENATE(JOIN(""-"",GC315:GO315)),""--"",""-""),""--"",""-""),""--"",""-""),""--"",""-"")"),"1-2-b3-#4-5-b6-b7-8")</f>
        <v>1-2-b3-#4-5-b6-b7-8</v>
      </c>
      <c r="BT315" s="299" t="str">
        <f>IFERROR(__xludf.DUMMYFUNCTION("SUBSTITUTE(SUBSTITUTE(SUBSTITUTE(SUBSTITUTE(CONCATENATE(JOIN(""-"",GP315:HB315)),""--"",""-""),""--"",""-""),""--"",""-""),""--"",""-"")"),"S-R2-G2-M2-P-D1-N2-S")</f>
        <v>S-R2-G2-M2-P-D1-N2-S</v>
      </c>
      <c r="BU315" s="348" t="str">
        <f t="shared" si="29"/>
        <v>C-D-Eb-F#-G-Ab-Bb-C</v>
      </c>
      <c r="BV315" s="349" t="str">
        <f t="shared" si="30"/>
        <v>SrGmDNS</v>
      </c>
      <c r="BW315" s="350">
        <f t="shared" si="31"/>
        <v>0</v>
      </c>
      <c r="BX315" s="351">
        <f t="shared" si="32"/>
        <v>1</v>
      </c>
      <c r="BY315" s="392"/>
      <c r="BZ315" s="309" t="str">
        <f>IFERROR(__xludf.DUMMYFUNCTION("IF(REGEXMATCH(C315, ""S""), ""x"",""x"")"),"x")</f>
        <v>x</v>
      </c>
      <c r="CA315" s="245" t="str">
        <f>IFERROR(__xludf.DUMMYFUNCTION("IF(REGEXMATCH(C315, ""r""), ""o"",""x"")"),"x")</f>
        <v>x</v>
      </c>
      <c r="CB315" s="246" t="str">
        <f>IFERROR(__xludf.DUMMYFUNCTION("IF(REGEXMATCH(C315, ""R""), ""o"",""x"")"),"o")</f>
        <v>o</v>
      </c>
      <c r="CC315" s="246" t="str">
        <f>IFERROR(__xludf.DUMMYFUNCTION("IF(REGEXMATCH(C315, ""g""), ""o"",""x"")"),"o")</f>
        <v>o</v>
      </c>
      <c r="CD315" s="245" t="str">
        <f>IFERROR(__xludf.DUMMYFUNCTION("IF(REGEXMATCH(C315, ""G""), ""o"",""x"")"),"x")</f>
        <v>x</v>
      </c>
      <c r="CE315" s="245" t="str">
        <f>IFERROR(__xludf.DUMMYFUNCTION("IF(REGEXMATCH(C315, ""m""), ""o"",""x"")"),"x")</f>
        <v>x</v>
      </c>
      <c r="CF315" s="246" t="str">
        <f>IFERROR(__xludf.DUMMYFUNCTION("IF(REGEXMATCH(C315, ""M""), ""o"",""x"")"),"o")</f>
        <v>o</v>
      </c>
      <c r="CG315" s="245" t="str">
        <f>IFERROR(__xludf.DUMMYFUNCTION("IF(REGEXMATCH(C315, ""P""), ""o"",""x"")"),"o")</f>
        <v>o</v>
      </c>
      <c r="CH315" s="246" t="str">
        <f>IFERROR(__xludf.DUMMYFUNCTION("IF(REGEXMATCH(C315, ""d""), ""o"",""x"")"),"o")</f>
        <v>o</v>
      </c>
      <c r="CI315" s="245" t="str">
        <f>IFERROR(__xludf.DUMMYFUNCTION("IF(REGEXMATCH(C315, ""D""), ""o"",""x"")"),"x")</f>
        <v>x</v>
      </c>
      <c r="CJ315" s="245" t="str">
        <f>IFERROR(__xludf.DUMMYFUNCTION("IF(REGEXMATCH(C315, ""n""), ""o"",""x"")"),"o")</f>
        <v>o</v>
      </c>
      <c r="CK315" s="245" t="str">
        <f>IFERROR(__xludf.DUMMYFUNCTION("IF(REGEXMATCH(C315, ""N""), ""o"",""x"")"),"x")</f>
        <v>x</v>
      </c>
      <c r="CL315" s="356" t="str">
        <f>IFERROR(__xludf.DUMMYFUNCTION("IF(REGEXMATCH(C315, ""S""), ""x"",""x"")"),"x")</f>
        <v>x</v>
      </c>
      <c r="CM315" s="357" t="str">
        <f t="shared" si="33"/>
        <v>xxooxxoooxox</v>
      </c>
      <c r="CN315" s="358">
        <f t="shared" si="34"/>
        <v>0</v>
      </c>
      <c r="CO315" s="246" t="str">
        <f>IFERROR(__xludf.DUMMYFUNCTION("IF(REGEXMATCH($C315, ""S""), ""S"",""S"")"),"S")</f>
        <v>S</v>
      </c>
      <c r="CP315" s="246" t="str">
        <f>IFERROR(__xludf.DUMMYFUNCTION("IF(REGEXMATCH($C315, ""r""), """",""r"")"),"r")</f>
        <v>r</v>
      </c>
      <c r="CQ315" s="246" t="str">
        <f>IFERROR(__xludf.DUMMYFUNCTION("IF(REGEXMATCH($C315, ""R""), """",""R"")"),"")</f>
        <v/>
      </c>
      <c r="CR315" s="246" t="str">
        <f>IFERROR(__xludf.DUMMYFUNCTION("IF(REGEXMATCH($C315, ""g""), """",""g"")"),"")</f>
        <v/>
      </c>
      <c r="CS315" s="246" t="str">
        <f>IFERROR(__xludf.DUMMYFUNCTION("IF(REGEXMATCH($C315, ""G""), """",""G"")"),"G")</f>
        <v>G</v>
      </c>
      <c r="CT315" s="246" t="str">
        <f>IFERROR(__xludf.DUMMYFUNCTION("IF(REGEXMATCH($C315, ""m""), """",""m"")"),"m")</f>
        <v>m</v>
      </c>
      <c r="CU315" s="246" t="str">
        <f>IFERROR(__xludf.DUMMYFUNCTION("IF(REGEXMATCH($C315, ""M""), """",""M"")"),"")</f>
        <v/>
      </c>
      <c r="CV315" s="246" t="str">
        <f>IFERROR(__xludf.DUMMYFUNCTION("IF(REGEXMATCH($C315, ""P""), """",""P"")"),"")</f>
        <v/>
      </c>
      <c r="CW315" s="246" t="str">
        <f>IFERROR(__xludf.DUMMYFUNCTION("IF(REGEXMATCH($C315, ""d""), """",""d"")"),"")</f>
        <v/>
      </c>
      <c r="CX315" s="246" t="str">
        <f>IFERROR(__xludf.DUMMYFUNCTION("IF(REGEXMATCH($C315, ""D""), """",""D"")"),"D")</f>
        <v>D</v>
      </c>
      <c r="CY315" s="246" t="str">
        <f>IFERROR(__xludf.DUMMYFUNCTION("IF(REGEXMATCH($C315, ""n""), """",""n"")"),"")</f>
        <v/>
      </c>
      <c r="CZ315" s="246" t="str">
        <f>IFERROR(__xludf.DUMMYFUNCTION("IF(REGEXMATCH($C315, ""N""), """",""N"")"),"N")</f>
        <v>N</v>
      </c>
      <c r="DA315" s="246" t="str">
        <f>IFERROR(__xludf.DUMMYFUNCTION("IF(REGEXMATCH($C315, ""S""), ""S"",""S"")"),"S")</f>
        <v>S</v>
      </c>
      <c r="DB315" s="362" t="str">
        <f>IFERROR(__xludf.DUMMYFUNCTION("JOIN("""",CO315:DA315,"""","""")"),"SrGmDNS")</f>
        <v>SrGmDNS</v>
      </c>
      <c r="DC315" s="363"/>
      <c r="DD315" s="301" t="str">
        <f t="shared" si="35"/>
        <v>#REF!</v>
      </c>
      <c r="DE315" s="302" t="str">
        <f t="shared" si="36"/>
        <v>#REF!</v>
      </c>
      <c r="DF315" s="301" t="str">
        <f t="shared" ref="DF315:DG315" si="859">SUBSTITUTE(S315,"-","")</f>
        <v>SRGM</v>
      </c>
      <c r="DG315" s="301" t="str">
        <f t="shared" si="859"/>
        <v>PDNS</v>
      </c>
      <c r="DH315" s="302" t="str">
        <f t="shared" si="38"/>
        <v>(PAIR)</v>
      </c>
      <c r="DI315" s="301" t="str">
        <f t="shared" si="39"/>
        <v>Hemi.</v>
      </c>
      <c r="DJ315" s="364" t="str">
        <f t="shared" si="40"/>
        <v>Cohem.</v>
      </c>
      <c r="DK315" s="306" t="str">
        <f t="shared" si="41"/>
        <v>-</v>
      </c>
      <c r="DL315" s="366" t="str">
        <f t="shared" si="42"/>
        <v>-</v>
      </c>
      <c r="DM315" s="308" t="str">
        <f t="shared" si="43"/>
        <v>✔</v>
      </c>
      <c r="DN315" s="306" t="str">
        <f t="shared" si="44"/>
        <v>-</v>
      </c>
      <c r="DO315" s="306" t="str">
        <f t="shared" si="45"/>
        <v>-</v>
      </c>
      <c r="DP315" s="367" t="str">
        <f t="shared" si="46"/>
        <v>✔</v>
      </c>
      <c r="DQ315" s="310" t="str">
        <f t="shared" si="47"/>
        <v>-</v>
      </c>
      <c r="DR315" s="310" t="str">
        <f t="shared" si="48"/>
        <v>-</v>
      </c>
      <c r="DS315" s="310" t="str">
        <f t="shared" si="49"/>
        <v>-</v>
      </c>
      <c r="DT315" s="310" t="str">
        <f t="shared" si="50"/>
        <v>-</v>
      </c>
      <c r="DU315" s="370" t="str">
        <f t="shared" si="51"/>
        <v>-</v>
      </c>
      <c r="DV315" s="306" t="str">
        <f t="shared" si="52"/>
        <v>-</v>
      </c>
      <c r="DW315" s="306" t="str">
        <f t="shared" si="53"/>
        <v>-</v>
      </c>
      <c r="DX315" s="306" t="str">
        <f t="shared" si="54"/>
        <v>-</v>
      </c>
      <c r="DY315" s="306" t="str">
        <f t="shared" si="55"/>
        <v>-</v>
      </c>
      <c r="DZ315" s="306" t="str">
        <f t="shared" si="56"/>
        <v>-</v>
      </c>
      <c r="EA315" s="367" t="str">
        <f t="shared" si="57"/>
        <v>-</v>
      </c>
      <c r="EB315" s="310" t="str">
        <f>IFERROR(__xludf.DUMMYFUNCTION("IF(REGEXMATCH(AW315,AS315),""✔"",""-"")"),"-")</f>
        <v>-</v>
      </c>
      <c r="EC315" s="310" t="str">
        <f t="shared" si="58"/>
        <v>#REF!</v>
      </c>
      <c r="ED315" s="370" t="str">
        <f t="shared" si="59"/>
        <v>-</v>
      </c>
      <c r="EE315" s="340" t="str">
        <f t="shared" si="60"/>
        <v>S-R-g-M-P-d-n-S</v>
      </c>
      <c r="EF315" s="371" t="str">
        <f>IFERROR(__xludf.DUMMYFUNCTION("CONCATENATE(JOIN("""",HC315:HO315))"),"SRGmMDnS")</f>
        <v>SRGmMDnS</v>
      </c>
      <c r="EG315" s="372">
        <f t="shared" si="61"/>
        <v>3</v>
      </c>
      <c r="EH315" s="373" t="str">
        <f>IFERROR(__xludf.DUMMYFUNCTION("CONCATENATE(JOIN("""",JC315:JO315))"),"Re, Ma, ni, ")</f>
        <v>Re, Ma, ni, </v>
      </c>
      <c r="EI315" s="322">
        <f t="shared" si="62"/>
        <v>1</v>
      </c>
      <c r="EJ315" s="374" t="str">
        <f>IFERROR(__xludf.DUMMYFUNCTION("CONCATENATE(JOIN("""",KC315:KO315))"),"Ma, ")</f>
        <v>Ma, </v>
      </c>
      <c r="EK315" s="325" t="str">
        <f t="shared" si="63"/>
        <v>S-R2-G2-M2-P-D1-N2-S</v>
      </c>
      <c r="EL315" s="326" t="str">
        <f t="shared" si="64"/>
        <v>1-2-b3-#4-5-b6-b7-8</v>
      </c>
      <c r="EM315" s="318" t="str">
        <f t="shared" si="65"/>
        <v>#REF!</v>
      </c>
      <c r="EN315" s="328" t="str">
        <f>IFERROR(__xludf.DUMMYFUNCTION("SUBSTITUTE(SUBSTITUTE(SUBSTITUTE(SUBSTITUTE(CONCATENATE(JOIN("" "",HP315:IB315)),""  "","" ""),""  "","" ""),""  "","" ""),""  "","" "")"),"o • o o • • o o o • o • o")</f>
        <v>o • o o • • o o o • o • o</v>
      </c>
      <c r="EO315" s="368" t="str">
        <f t="shared" si="66"/>
        <v>Sa-Pa</v>
      </c>
      <c r="EP315" s="339" t="str">
        <f t="shared" si="67"/>
        <v>Sa-Pa</v>
      </c>
      <c r="EQ315" s="339" t="str">
        <f t="shared" si="68"/>
        <v>Sa-Pa</v>
      </c>
      <c r="ER315" s="339" t="str">
        <f t="shared" si="69"/>
        <v>-</v>
      </c>
      <c r="ES315" s="340" t="str">
        <f t="shared" si="70"/>
        <v>-</v>
      </c>
      <c r="ET315" s="363"/>
      <c r="EU315" s="376" t="b">
        <f>IFERROR(__xludf.DUMMYFUNCTION("arrayformula(sum(--REGEXMATCH(""SRGMPDNS"",split(REGEXREPLACE(C315,""(.)"",""$1~""),""~""))))=len(C315)
"),FALSE)</f>
        <v>0</v>
      </c>
      <c r="EV315" s="290" t="b">
        <f>IFERROR(__xludf.DUMMYFUNCTION("arrayformula(sum(--REGEXMATCH(""SRGmPDNS"",split(REGEXREPLACE(C315,""(.)"",""$1~""),""~""))))=len(C315)"),FALSE)</f>
        <v>0</v>
      </c>
      <c r="EW315" s="290" t="b">
        <f>IFERROR(__xludf.DUMMYFUNCTION("arrayformula(sum(--REGEXMATCH(""SRGmPDnS"",split(REGEXREPLACE(C315,""(.)"",""$1~""),""~""))))=len(C315)"),FALSE)</f>
        <v>0</v>
      </c>
      <c r="EX315" s="290" t="b">
        <f>IFERROR(__xludf.DUMMYFUNCTION("arrayformula(sum(--REGEXMATCH(""SRgmPDnS"",split(REGEXREPLACE(C315,""(.)"",""$1~""),""~""))))=len(C315)"),FALSE)</f>
        <v>0</v>
      </c>
      <c r="EY315" s="290" t="b">
        <f>IFERROR(__xludf.DUMMYFUNCTION("arrayformula(sum(--REGEXMATCH(""SRgmPdnS"",split(REGEXREPLACE(C315,""(.)"",""$1~""),""~""))))=len(C315)"),FALSE)</f>
        <v>0</v>
      </c>
      <c r="EZ315" s="290" t="b">
        <f>IFERROR(__xludf.DUMMYFUNCTION("arrayformula(sum(--REGEXMATCH(""SrgmPdnS"",split(REGEXREPLACE(C315,""(.)"",""$1~""),""~""))))=len(C315)"),FALSE)</f>
        <v>0</v>
      </c>
      <c r="FA315" s="290" t="b">
        <f>IFERROR(__xludf.DUMMYFUNCTION("arrayformula(sum(--REGEXMATCH(""SrGmPdNS"",split(REGEXREPLACE(C315,""(.)"",""$1~""),""~""))))=len(C315)"),FALSE)</f>
        <v>0</v>
      </c>
      <c r="FB315" s="290" t="b">
        <f>IFERROR(__xludf.DUMMYFUNCTION("arrayformula(sum(--REGEXMATCH(""SrGMPDNS"",split(REGEXREPLACE(C315,""(.)"",""$1~""),""~""))))=len(C315)"),FALSE)</f>
        <v>0</v>
      </c>
      <c r="FC315" s="290" t="b">
        <f>IFERROR(__xludf.DUMMYFUNCTION("arrayformula(sum(--REGEXMATCH(""SrGMPdNS"",split(REGEXREPLACE(C315,""(.)"",""$1~""),""~""))))=len(C315)"),FALSE)</f>
        <v>0</v>
      </c>
      <c r="FD315" s="377" t="b">
        <f>IFERROR(__xludf.DUMMYFUNCTION("arrayformula(sum(--REGEXMATCH(""SrgMPdNS"",split(REGEXREPLACE(C315,""(.)"",""$1~""),""~""))))=len(C315)"),FALSE)</f>
        <v>0</v>
      </c>
      <c r="FE315" s="269" t="str">
        <f t="shared" si="71"/>
        <v>-</v>
      </c>
      <c r="FF315" s="269" t="str">
        <f t="shared" si="72"/>
        <v>xxooxxxoxox</v>
      </c>
      <c r="FG315" s="271" t="str">
        <f t="shared" si="73"/>
        <v>xooxxxoxoxo</v>
      </c>
      <c r="FH315" s="269" t="str">
        <f t="shared" si="74"/>
        <v>-</v>
      </c>
      <c r="FI315" s="271" t="str">
        <f t="shared" si="75"/>
        <v>-</v>
      </c>
      <c r="FJ315" s="271" t="str">
        <f t="shared" si="76"/>
        <v>xxxoxoxoxxo</v>
      </c>
      <c r="FK315" s="271" t="str">
        <f t="shared" si="77"/>
        <v>xxoxoxoxxoo</v>
      </c>
      <c r="FL315" s="271" t="str">
        <f t="shared" si="78"/>
        <v>xoxoxoxxoox</v>
      </c>
      <c r="FM315" s="271" t="str">
        <f t="shared" si="79"/>
        <v>-</v>
      </c>
      <c r="FN315" s="271" t="str">
        <f t="shared" si="80"/>
        <v>xoxoxxooxxx</v>
      </c>
      <c r="FO315" s="274" t="str">
        <f t="shared" si="81"/>
        <v>-</v>
      </c>
      <c r="FP315" s="234" t="str">
        <f t="shared" si="82"/>
        <v>|</v>
      </c>
      <c r="FQ315" s="236" t="str">
        <f t="shared" si="83"/>
        <v>-</v>
      </c>
      <c r="FR315" s="237" t="str">
        <f t="shared" si="84"/>
        <v>|</v>
      </c>
      <c r="FS315" s="236" t="str">
        <f t="shared" si="85"/>
        <v>|</v>
      </c>
      <c r="FT315" s="237" t="str">
        <f t="shared" si="86"/>
        <v>-</v>
      </c>
      <c r="FU315" s="236" t="str">
        <f t="shared" si="87"/>
        <v>-</v>
      </c>
      <c r="FV315" s="237" t="str">
        <f t="shared" si="88"/>
        <v>|</v>
      </c>
      <c r="FW315" s="236" t="str">
        <f t="shared" si="89"/>
        <v>|</v>
      </c>
      <c r="FX315" s="237" t="str">
        <f t="shared" si="90"/>
        <v>|</v>
      </c>
      <c r="FY315" s="236" t="str">
        <f t="shared" si="91"/>
        <v>-</v>
      </c>
      <c r="FZ315" s="237" t="str">
        <f t="shared" si="92"/>
        <v>|</v>
      </c>
      <c r="GA315" s="236" t="str">
        <f t="shared" si="93"/>
        <v>-</v>
      </c>
      <c r="GB315" s="238" t="str">
        <f t="shared" si="94"/>
        <v>|</v>
      </c>
      <c r="GC315" s="244" t="str">
        <f>IFERROR(__xludf.DUMMYFUNCTION("IF(REGEXMATCH(C315, ""S""), ""1"","""")"),"1")</f>
        <v>1</v>
      </c>
      <c r="GD315" s="245" t="str">
        <f>IFERROR(__xludf.DUMMYFUNCTION("IF(REGEXMATCH(C315, ""r""), ""b2"","""")"),"")</f>
        <v/>
      </c>
      <c r="GE315" s="246" t="str">
        <f>IFERROR(__xludf.DUMMYFUNCTION("IF(REGEXMATCH(C315, ""R""), ""2"","""")"),"2")</f>
        <v>2</v>
      </c>
      <c r="GF315" s="246" t="str">
        <f>IFERROR(__xludf.DUMMYFUNCTION("IF(REGEXMATCH(C315, ""g""), ""b3"","""")"),"b3")</f>
        <v>b3</v>
      </c>
      <c r="GG315" s="245" t="str">
        <f>IFERROR(__xludf.DUMMYFUNCTION("IF(REGEXMATCH(C315, ""G""), ""3"","""")"),"")</f>
        <v/>
      </c>
      <c r="GH315" s="245" t="str">
        <f>IFERROR(__xludf.DUMMYFUNCTION("IF(REGEXMATCH(C315, ""m""), ""4"","""")"),"")</f>
        <v/>
      </c>
      <c r="GI315" s="246" t="str">
        <f>IFERROR(__xludf.DUMMYFUNCTION("IF(REGEXMATCH(C315, ""M""), ""#4"","""")"),"#4")</f>
        <v>#4</v>
      </c>
      <c r="GJ315" s="245" t="str">
        <f>IFERROR(__xludf.DUMMYFUNCTION("IF(REGEXMATCH(C315, ""P""), ""5"","""")"),"5")</f>
        <v>5</v>
      </c>
      <c r="GK315" s="246" t="str">
        <f>IFERROR(__xludf.DUMMYFUNCTION("IF(REGEXMATCH(C315, ""d""), ""b6"","""")"),"b6")</f>
        <v>b6</v>
      </c>
      <c r="GL315" s="245" t="str">
        <f>IFERROR(__xludf.DUMMYFUNCTION("IF(REGEXMATCH(C315, ""D""), ""6"","""")"),"")</f>
        <v/>
      </c>
      <c r="GM315" s="245" t="str">
        <f>IFERROR(__xludf.DUMMYFUNCTION("IF(REGEXMATCH(C315, ""n""), ""b7"","""")"),"b7")</f>
        <v>b7</v>
      </c>
      <c r="GN315" s="246" t="str">
        <f>IFERROR(__xludf.DUMMYFUNCTION("IF(REGEXMATCH(C315, ""N""), ""7"","""")"),"")</f>
        <v/>
      </c>
      <c r="GO315" s="249" t="str">
        <f>IFERROR(__xludf.DUMMYFUNCTION("IF(REGEXMATCH(C315, ""S""), ""8"","""")"),"8")</f>
        <v>8</v>
      </c>
      <c r="GP315" s="244" t="str">
        <f>IFERROR(__xludf.DUMMYFUNCTION("IF(REGEXMATCH(C315, ""S""), ""S"","""")"),"S")</f>
        <v>S</v>
      </c>
      <c r="GQ315" s="294" t="str">
        <f>IFERROR(__xludf.DUMMYFUNCTION("IF(REGEXMATCH(C315, ""r""), ""R1"","""")"),"")</f>
        <v/>
      </c>
      <c r="GR315" s="295" t="str">
        <f>IFERROR(__xludf.DUMMYFUNCTION("IF(REGEXMATCH(C315, ""R""), ""R2"","""")"),"R2")</f>
        <v>R2</v>
      </c>
      <c r="GS315" s="295" t="str">
        <f>IFERROR(__xludf.DUMMYFUNCTION("IF(REGEXMATCH(C315, ""g""), ""G2"","""")"),"G2")</f>
        <v>G2</v>
      </c>
      <c r="GT315" s="294" t="str">
        <f>IFERROR(__xludf.DUMMYFUNCTION("IF(REGEXMATCH(C315, ""G""), ""G3"","""")"),"")</f>
        <v/>
      </c>
      <c r="GU315" s="294" t="str">
        <f>IFERROR(__xludf.DUMMYFUNCTION("IF(REGEXMATCH(C315, ""m""), ""M1"","""")"),"")</f>
        <v/>
      </c>
      <c r="GV315" s="295" t="str">
        <f>IFERROR(__xludf.DUMMYFUNCTION("IF(REGEXMATCH(C315, ""M""), ""M2"","""")"),"M2")</f>
        <v>M2</v>
      </c>
      <c r="GW315" s="294" t="str">
        <f>IFERROR(__xludf.DUMMYFUNCTION("IF(REGEXMATCH(C315, ""P""), ""P"","""")"),"P")</f>
        <v>P</v>
      </c>
      <c r="GX315" s="295" t="str">
        <f>IFERROR(__xludf.DUMMYFUNCTION("IF(REGEXMATCH(C315, ""d""), ""D1"","""")"),"D1")</f>
        <v>D1</v>
      </c>
      <c r="GY315" s="294" t="str">
        <f>IFERROR(__xludf.DUMMYFUNCTION("IF(REGEXMATCH(C315, ""D""), ""D2"","""")"),"")</f>
        <v/>
      </c>
      <c r="GZ315" s="294" t="str">
        <f>IFERROR(__xludf.DUMMYFUNCTION("IF(REGEXMATCH(C315, ""n""), ""N2"","""")"),"N2")</f>
        <v>N2</v>
      </c>
      <c r="HA315" s="295" t="str">
        <f>IFERROR(__xludf.DUMMYFUNCTION("IF(REGEXMATCH(C315, ""N""), ""N3"","""")"),"")</f>
        <v/>
      </c>
      <c r="HB315" s="249" t="str">
        <f>IFERROR(__xludf.DUMMYFUNCTION("IF(REGEXMATCH(C315, ""S""), ""S"","""")"),"S")</f>
        <v>S</v>
      </c>
      <c r="HC315" s="331" t="str">
        <f t="shared" si="95"/>
        <v>S</v>
      </c>
      <c r="HD315" s="332" t="str">
        <f t="shared" si="96"/>
        <v/>
      </c>
      <c r="HE315" s="332" t="str">
        <f t="shared" si="97"/>
        <v>R</v>
      </c>
      <c r="HF315" s="332" t="str">
        <f t="shared" si="98"/>
        <v/>
      </c>
      <c r="HG315" s="332" t="str">
        <f t="shared" si="99"/>
        <v>G</v>
      </c>
      <c r="HH315" s="332" t="str">
        <f t="shared" si="100"/>
        <v>m</v>
      </c>
      <c r="HI315" s="332" t="str">
        <f t="shared" si="101"/>
        <v>M</v>
      </c>
      <c r="HJ315" s="332" t="str">
        <f t="shared" si="102"/>
        <v/>
      </c>
      <c r="HK315" s="332" t="str">
        <f t="shared" si="103"/>
        <v/>
      </c>
      <c r="HL315" s="332" t="str">
        <f t="shared" si="104"/>
        <v>D</v>
      </c>
      <c r="HM315" s="332" t="str">
        <f t="shared" si="105"/>
        <v>n</v>
      </c>
      <c r="HN315" s="332" t="str">
        <f t="shared" si="106"/>
        <v/>
      </c>
      <c r="HO315" s="343" t="str">
        <f t="shared" si="107"/>
        <v>S</v>
      </c>
      <c r="HP315" s="331" t="str">
        <f t="shared" si="108"/>
        <v>o</v>
      </c>
      <c r="HQ315" s="332" t="str">
        <f t="shared" si="109"/>
        <v>•</v>
      </c>
      <c r="HR315" s="332" t="str">
        <f t="shared" si="110"/>
        <v>o</v>
      </c>
      <c r="HS315" s="332" t="str">
        <f t="shared" si="111"/>
        <v>o</v>
      </c>
      <c r="HT315" s="332" t="str">
        <f t="shared" si="112"/>
        <v>•</v>
      </c>
      <c r="HU315" s="332" t="str">
        <f t="shared" si="113"/>
        <v>•</v>
      </c>
      <c r="HV315" s="332" t="str">
        <f t="shared" si="114"/>
        <v>o</v>
      </c>
      <c r="HW315" s="332" t="str">
        <f t="shared" si="115"/>
        <v>o</v>
      </c>
      <c r="HX315" s="332" t="str">
        <f t="shared" si="116"/>
        <v>o</v>
      </c>
      <c r="HY315" s="332" t="str">
        <f t="shared" si="117"/>
        <v>•</v>
      </c>
      <c r="HZ315" s="332" t="str">
        <f t="shared" si="118"/>
        <v>o</v>
      </c>
      <c r="IA315" s="332" t="str">
        <f t="shared" si="119"/>
        <v>•</v>
      </c>
      <c r="IB315" s="338" t="str">
        <f t="shared" si="120"/>
        <v>o</v>
      </c>
      <c r="IC315" s="331" t="str">
        <f t="shared" si="121"/>
        <v>•</v>
      </c>
      <c r="ID315" s="332" t="str">
        <f t="shared" si="122"/>
        <v>o</v>
      </c>
      <c r="IE315" s="332" t="str">
        <f t="shared" si="123"/>
        <v>•</v>
      </c>
      <c r="IF315" s="332" t="str">
        <f t="shared" si="124"/>
        <v>•</v>
      </c>
      <c r="IG315" s="332" t="str">
        <f t="shared" si="125"/>
        <v>o</v>
      </c>
      <c r="IH315" s="332" t="str">
        <f t="shared" si="126"/>
        <v>o</v>
      </c>
      <c r="II315" s="332" t="str">
        <f t="shared" si="127"/>
        <v>•</v>
      </c>
      <c r="IJ315" s="332" t="str">
        <f t="shared" si="128"/>
        <v>•</v>
      </c>
      <c r="IK315" s="332" t="str">
        <f t="shared" si="129"/>
        <v>•</v>
      </c>
      <c r="IL315" s="332" t="str">
        <f t="shared" si="130"/>
        <v>o</v>
      </c>
      <c r="IM315" s="332" t="str">
        <f t="shared" si="131"/>
        <v>•</v>
      </c>
      <c r="IN315" s="332" t="str">
        <f t="shared" si="132"/>
        <v>o</v>
      </c>
      <c r="IO315" s="338" t="str">
        <f t="shared" si="133"/>
        <v>•</v>
      </c>
      <c r="IP315" s="346" t="b">
        <f t="shared" si="134"/>
        <v>0</v>
      </c>
      <c r="IQ315" s="347" t="b">
        <f t="shared" si="135"/>
        <v>0</v>
      </c>
      <c r="IR315" s="347" t="b">
        <f t="shared" si="136"/>
        <v>1</v>
      </c>
      <c r="IS315" s="347" t="b">
        <f t="shared" si="137"/>
        <v>0</v>
      </c>
      <c r="IT315" s="347" t="b">
        <f t="shared" si="138"/>
        <v>0</v>
      </c>
      <c r="IU315" s="347" t="b">
        <f t="shared" si="139"/>
        <v>0</v>
      </c>
      <c r="IV315" s="347" t="b">
        <f t="shared" si="140"/>
        <v>1</v>
      </c>
      <c r="IW315" s="347" t="b">
        <f t="shared" si="141"/>
        <v>0</v>
      </c>
      <c r="IX315" s="347" t="b">
        <f t="shared" si="142"/>
        <v>0</v>
      </c>
      <c r="IY315" s="347" t="b">
        <f t="shared" si="143"/>
        <v>0</v>
      </c>
      <c r="IZ315" s="347" t="b">
        <f t="shared" si="144"/>
        <v>1</v>
      </c>
      <c r="JA315" s="347" t="b">
        <f t="shared" si="145"/>
        <v>0</v>
      </c>
      <c r="JB315" s="353" t="b">
        <f t="shared" si="146"/>
        <v>0</v>
      </c>
      <c r="JC315" s="354" t="str">
        <f t="shared" si="147"/>
        <v/>
      </c>
      <c r="JD315" s="355" t="str">
        <f t="shared" si="148"/>
        <v/>
      </c>
      <c r="JE315" s="355" t="str">
        <f t="shared" si="149"/>
        <v>Re, </v>
      </c>
      <c r="JF315" s="355" t="str">
        <f t="shared" si="150"/>
        <v/>
      </c>
      <c r="JG315" s="355" t="str">
        <f t="shared" si="151"/>
        <v/>
      </c>
      <c r="JH315" s="355" t="str">
        <f t="shared" si="152"/>
        <v/>
      </c>
      <c r="JI315" s="355" t="str">
        <f t="shared" si="153"/>
        <v>Ma, </v>
      </c>
      <c r="JJ315" s="355" t="str">
        <f t="shared" si="154"/>
        <v/>
      </c>
      <c r="JK315" s="355" t="str">
        <f t="shared" si="155"/>
        <v/>
      </c>
      <c r="JL315" s="355" t="str">
        <f t="shared" si="156"/>
        <v/>
      </c>
      <c r="JM315" s="355" t="str">
        <f t="shared" si="157"/>
        <v>ni, </v>
      </c>
      <c r="JN315" s="355" t="str">
        <f t="shared" si="158"/>
        <v/>
      </c>
      <c r="JO315" s="359" t="str">
        <f t="shared" si="159"/>
        <v/>
      </c>
      <c r="JP315" s="346" t="b">
        <f t="shared" si="160"/>
        <v>0</v>
      </c>
      <c r="JQ315" s="347" t="b">
        <f t="shared" si="161"/>
        <v>0</v>
      </c>
      <c r="JR315" s="347" t="b">
        <f t="shared" si="162"/>
        <v>0</v>
      </c>
      <c r="JS315" s="347" t="b">
        <f t="shared" si="163"/>
        <v>0</v>
      </c>
      <c r="JT315" s="347" t="b">
        <f t="shared" si="164"/>
        <v>0</v>
      </c>
      <c r="JU315" s="347" t="b">
        <f t="shared" si="165"/>
        <v>0</v>
      </c>
      <c r="JV315" s="347" t="b">
        <f t="shared" si="166"/>
        <v>1</v>
      </c>
      <c r="JW315" s="347" t="b">
        <f t="shared" si="167"/>
        <v>0</v>
      </c>
      <c r="JX315" s="347" t="b">
        <f t="shared" si="168"/>
        <v>0</v>
      </c>
      <c r="JY315" s="347" t="b">
        <f t="shared" si="169"/>
        <v>0</v>
      </c>
      <c r="JZ315" s="347" t="b">
        <f t="shared" si="170"/>
        <v>0</v>
      </c>
      <c r="KA315" s="347" t="b">
        <f t="shared" si="171"/>
        <v>0</v>
      </c>
      <c r="KB315" s="365" t="b">
        <f t="shared" si="172"/>
        <v>0</v>
      </c>
      <c r="KC315" s="354" t="str">
        <f t="shared" si="173"/>
        <v/>
      </c>
      <c r="KD315" s="355" t="str">
        <f t="shared" si="174"/>
        <v/>
      </c>
      <c r="KE315" s="355" t="str">
        <f t="shared" si="175"/>
        <v/>
      </c>
      <c r="KF315" s="355" t="str">
        <f t="shared" si="176"/>
        <v/>
      </c>
      <c r="KG315" s="355" t="str">
        <f t="shared" si="177"/>
        <v/>
      </c>
      <c r="KH315" s="355" t="str">
        <f t="shared" si="178"/>
        <v/>
      </c>
      <c r="KI315" s="355" t="str">
        <f t="shared" si="179"/>
        <v>Ma, </v>
      </c>
      <c r="KJ315" s="355" t="str">
        <f t="shared" si="180"/>
        <v/>
      </c>
      <c r="KK315" s="355" t="str">
        <f t="shared" si="181"/>
        <v/>
      </c>
      <c r="KL315" s="355" t="str">
        <f t="shared" si="182"/>
        <v/>
      </c>
      <c r="KM315" s="355" t="str">
        <f t="shared" si="183"/>
        <v/>
      </c>
      <c r="KN315" s="355" t="str">
        <f t="shared" si="184"/>
        <v/>
      </c>
      <c r="KO315" s="359"/>
      <c r="KP315" s="378"/>
      <c r="KQ315" s="379" t="s">
        <v>9</v>
      </c>
      <c r="KR315" s="380" t="s">
        <v>9</v>
      </c>
      <c r="KS315" s="381" t="s">
        <v>9</v>
      </c>
      <c r="KT315" s="382">
        <f t="shared" si="186"/>
        <v>0</v>
      </c>
      <c r="KU315" s="383">
        <f t="shared" si="187"/>
        <v>0</v>
      </c>
      <c r="KV315" s="381" t="str">
        <f t="shared" si="205"/>
        <v>S</v>
      </c>
      <c r="KW315" s="382">
        <f t="shared" si="189"/>
        <v>0</v>
      </c>
      <c r="KX315" s="384">
        <f t="shared" si="190"/>
        <v>0</v>
      </c>
      <c r="KY315" s="382">
        <f t="shared" ref="KY315:KZ315" si="860">KW315-KT315</f>
        <v>0</v>
      </c>
      <c r="KZ315" s="369">
        <f t="shared" si="860"/>
        <v>0</v>
      </c>
      <c r="LA315" s="385" t="str">
        <f t="shared" si="192"/>
        <v>✔</v>
      </c>
      <c r="LB315" s="340" t="str">
        <f>IFERROR(__xludf.DUMMYFUNCTION("JOIN("""",ArrayFormula(MID(KS315,LEN(KS315)-SEQUENCE(1,LEN(KS315))+1,1)))"),"S")</f>
        <v>S</v>
      </c>
      <c r="LC315" s="373" t="str">
        <f>IFERROR(__xludf.DUMMYFUNCTION("JOIN("""",ArrayFormula(MID(KV315,LEN(KV315)-SEQUENCE(1,LEN(KV315))+1,1)))"),"S")</f>
        <v>S</v>
      </c>
      <c r="LD315" s="373" t="str">
        <f t="shared" si="193"/>
        <v>S</v>
      </c>
      <c r="LE315" s="339" t="str">
        <f t="shared" si="194"/>
        <v>S</v>
      </c>
      <c r="LF315" s="386" t="str">
        <f>IFERROR(__xludf.DUMMYFUNCTION("SUBSTITUTE(SUBSTITUTE(CONCATENATE(JOIN("""",LH315:LT315)),""1"",""""),""2"","""")"),"SS")</f>
        <v>SS</v>
      </c>
      <c r="LG315" s="369" t="str">
        <f t="shared" si="195"/>
        <v>-</v>
      </c>
      <c r="LH315" s="387" t="str">
        <f>IFERROR(__xludf.DUMMYFUNCTION("IF(REGEXMATCH(LD315, ""S""), ""S"",IF(REGEXMATCH(LE315, ""S""), ""S"",""""))"),"S")</f>
        <v>S</v>
      </c>
      <c r="LI315" s="299" t="str">
        <f>IFERROR(__xludf.DUMMYFUNCTION("IF(REGEXMATCH(LD315, ""r""), ""r1"",IF(REGEXMATCH(LE315, ""r""), ""r2"",""""))"),"")</f>
        <v/>
      </c>
      <c r="LJ315" s="299" t="str">
        <f>IFERROR(__xludf.DUMMYFUNCTION("IF(REGEXMATCH(LD315, ""R""), ""R1"",IF(REGEXMATCH(LE315, ""R""), ""R2"",""""))"),"")</f>
        <v/>
      </c>
      <c r="LK315" s="299" t="str">
        <f>IFERROR(__xludf.DUMMYFUNCTION("IF(REGEXMATCH(LD315, ""g""), ""g1"",IF(REGEXMATCH(LE315, ""g""), ""g2"",""""))"),"")</f>
        <v/>
      </c>
      <c r="LL315" s="299" t="str">
        <f>IFERROR(__xludf.DUMMYFUNCTION("IF(REGEXMATCH(LD315, ""G""), ""G1"",IF(REGEXMATCH(LE315, ""G""), ""G2"",""""))"),"")</f>
        <v/>
      </c>
      <c r="LM315" s="299" t="str">
        <f>IFERROR(__xludf.DUMMYFUNCTION("IF(REGEXMATCH(LD315, ""m""), ""m1"",IF(REGEXMATCH(LE315, ""m""), ""m2"",""""))"),"")</f>
        <v/>
      </c>
      <c r="LN315" s="299" t="str">
        <f>IFERROR(__xludf.DUMMYFUNCTION("IF(REGEXMATCH(LD315, ""M""), ""M1"",IF(REGEXMATCH(LE315, ""M""), ""M2"",""""))"),"")</f>
        <v/>
      </c>
      <c r="LO315" s="299" t="str">
        <f>IFERROR(__xludf.DUMMYFUNCTION("IF(REGEXMATCH(LD315, ""P""), ""P1"",IF(REGEXMATCH(LE315, ""P""), ""P2"",""""))"),"")</f>
        <v/>
      </c>
      <c r="LP315" s="299" t="str">
        <f>IFERROR(__xludf.DUMMYFUNCTION("IF(REGEXMATCH(LD315, ""d""), ""d1"",IF(REGEXMATCH(LE315, ""d""), ""d2"",""""))"),"")</f>
        <v/>
      </c>
      <c r="LQ315" s="299" t="str">
        <f>IFERROR(__xludf.DUMMYFUNCTION("IF(REGEXMATCH(LD315, ""D""), ""D1"",IF(REGEXMATCH(LE315, ""D""), ""D2"",""""))"),"")</f>
        <v/>
      </c>
      <c r="LR315" s="299" t="str">
        <f>IFERROR(__xludf.DUMMYFUNCTION("IF(REGEXMATCH(LD315, ""n""), ""n1"",IF(REGEXMATCH(LE315, ""n""), ""n2"",""""))"),"")</f>
        <v/>
      </c>
      <c r="LS315" s="299" t="str">
        <f>IFERROR(__xludf.DUMMYFUNCTION("IF(REGEXMATCH(LD315, ""N""), ""N1"",IF(REGEXMATCH(LE315, ""N""), ""N2"",""""))"),"")</f>
        <v/>
      </c>
      <c r="LT315" s="388" t="str">
        <f>IFERROR(__xludf.DUMMYFUNCTION("IF(REGEXMATCH(LD315, ""S""), ""S"",IF(REGEXMATCH(LE315, ""S""), ""S"",""""))"),"S")</f>
        <v>S</v>
      </c>
      <c r="LU315" s="389">
        <f t="shared" si="196"/>
        <v>1</v>
      </c>
      <c r="LV315" s="378"/>
      <c r="LW315" s="369"/>
      <c r="LX315" s="369"/>
    </row>
    <row r="316" ht="20.25" customHeight="1">
      <c r="A316" s="298" t="s">
        <v>1488</v>
      </c>
      <c r="B316" s="222" t="s">
        <v>805</v>
      </c>
      <c r="C316" s="233" t="str">
        <f t="shared" si="7"/>
        <v>SRGmdnS</v>
      </c>
      <c r="D316" s="234" t="str">
        <f>IFERROR(__xludf.DUMMYFUNCTION("IF(REGEXMATCH(C316, ""S""), ""S"","""")"),"S")</f>
        <v>S</v>
      </c>
      <c r="E316" s="236" t="str">
        <f>IFERROR(__xludf.DUMMYFUNCTION("IF(REGEXMATCH(C316, ""r""), ""r"","""")"),"")</f>
        <v/>
      </c>
      <c r="F316" s="237" t="str">
        <f>IFERROR(__xludf.DUMMYFUNCTION("IF(REGEXMATCH(C316, ""R""), ""R"","""")"),"R")</f>
        <v>R</v>
      </c>
      <c r="G316" s="237" t="str">
        <f>IFERROR(__xludf.DUMMYFUNCTION("IF(REGEXMATCH(C316, ""g""), ""g"","""")"),"")</f>
        <v/>
      </c>
      <c r="H316" s="236" t="str">
        <f>IFERROR(__xludf.DUMMYFUNCTION("IF(REGEXMATCH(C316, ""G""), ""G"","""")"),"G")</f>
        <v>G</v>
      </c>
      <c r="I316" s="236" t="str">
        <f>IFERROR(__xludf.DUMMYFUNCTION("IF(REGEXMATCH(C316, ""m""), ""m"","""")"),"m")</f>
        <v>m</v>
      </c>
      <c r="J316" s="237" t="str">
        <f>IFERROR(__xludf.DUMMYFUNCTION("IF(REGEXMATCH(C316, ""M""), ""M"","""")"),"")</f>
        <v/>
      </c>
      <c r="K316" s="236" t="str">
        <f>IFERROR(__xludf.DUMMYFUNCTION("IF(REGEXMATCH(C316, ""P""), ""P"","""")"),"")</f>
        <v/>
      </c>
      <c r="L316" s="237" t="str">
        <f>IFERROR(__xludf.DUMMYFUNCTION("IF(REGEXMATCH(C316, ""d""), ""d"","""")"),"d")</f>
        <v>d</v>
      </c>
      <c r="M316" s="236" t="str">
        <f>IFERROR(__xludf.DUMMYFUNCTION("IF(REGEXMATCH(C316, ""D""), ""D"","""")"),"")</f>
        <v/>
      </c>
      <c r="N316" s="236" t="str">
        <f>IFERROR(__xludf.DUMMYFUNCTION("IF(REGEXMATCH(C316, ""n""), ""n"","""")"),"n")</f>
        <v>n</v>
      </c>
      <c r="O316" s="237" t="str">
        <f>IFERROR(__xludf.DUMMYFUNCTION("IF(REGEXMATCH(C316, ""N""), ""N"","""")"),"")</f>
        <v/>
      </c>
      <c r="P316" s="238" t="str">
        <f>IFERROR(__xludf.DUMMYFUNCTION("IF(REGEXMATCH(C316, ""S""), ""S"","""")"),"S")</f>
        <v>S</v>
      </c>
      <c r="Q316" s="239" t="str">
        <f>IFERROR(__xludf.DUMMYFUNCTION("SUBSTITUTE(CONCATENATE(JOIN(""-"",D316:J316)),""-"","""")"),"SRGm")</f>
        <v>SRGm</v>
      </c>
      <c r="R316" s="229" t="str">
        <f>IFERROR(__xludf.DUMMYFUNCTION("SUBSTITUTE(CONCATENATE(JOIN(""-"",K316:P316)),""-"","""")"),"dnS")</f>
        <v>dnS</v>
      </c>
      <c r="S316" s="282" t="str">
        <f t="shared" si="8"/>
        <v>S-R-G-M</v>
      </c>
      <c r="T316" s="282" t="str">
        <f t="shared" si="9"/>
        <v>D-N-S</v>
      </c>
      <c r="U316" s="237" t="str">
        <f>IFERROR(__xludf.DUMMYFUNCTION("SUBSTITUTE(JOIN(""-"",S316,T316),""--"",""-"")"),"S-R-G-M-D-N-S")</f>
        <v>S-R-G-M-D-N-S</v>
      </c>
      <c r="V316" s="309" t="str">
        <f t="shared" si="10"/>
        <v>RGmdn</v>
      </c>
      <c r="W316" s="244" t="str">
        <f>IFERROR(__xludf.DUMMYFUNCTION("IF(REGEXMATCH(C316, ""S""), ""0"","""")"),"0")</f>
        <v>0</v>
      </c>
      <c r="X316" s="245" t="str">
        <f>IFERROR(__xludf.DUMMYFUNCTION("IF(REGEXMATCH(C316, ""r""), ""1"","""")"),"")</f>
        <v/>
      </c>
      <c r="Y316" s="246" t="str">
        <f>IFERROR(__xludf.DUMMYFUNCTION("IF(REGEXMATCH(C316, ""R""), ""2"","""")"),"2")</f>
        <v>2</v>
      </c>
      <c r="Z316" s="246" t="str">
        <f>IFERROR(__xludf.DUMMYFUNCTION("IF(REGEXMATCH(C316, ""g""), ""3"","""")"),"")</f>
        <v/>
      </c>
      <c r="AA316" s="245" t="str">
        <f>IFERROR(__xludf.DUMMYFUNCTION("IF(REGEXMATCH(C316, ""G""), ""4"","""")"),"4")</f>
        <v>4</v>
      </c>
      <c r="AB316" s="245" t="str">
        <f>IFERROR(__xludf.DUMMYFUNCTION("IF(REGEXMATCH(C316, ""m""), ""5"","""")"),"5")</f>
        <v>5</v>
      </c>
      <c r="AC316" s="246" t="str">
        <f>IFERROR(__xludf.DUMMYFUNCTION("IF(REGEXMATCH(C316, ""M""), ""6"","""")"),"")</f>
        <v/>
      </c>
      <c r="AD316" s="245" t="str">
        <f>IFERROR(__xludf.DUMMYFUNCTION("IF(REGEXMATCH(C316, ""P""), ""7"","""")"),"")</f>
        <v/>
      </c>
      <c r="AE316" s="246" t="str">
        <f>IFERROR(__xludf.DUMMYFUNCTION("IF(REGEXMATCH(C316, ""d""), ""8"","""")"),"8")</f>
        <v>8</v>
      </c>
      <c r="AF316" s="245" t="str">
        <f>IFERROR(__xludf.DUMMYFUNCTION("IF(REGEXMATCH(C316, ""D""), ""9"","""")"),"")</f>
        <v/>
      </c>
      <c r="AG316" s="245" t="str">
        <f>IFERROR(__xludf.DUMMYFUNCTION("IF(REGEXMATCH(C316, ""n""), ""10"","""")"),"10")</f>
        <v>10</v>
      </c>
      <c r="AH316" s="246" t="str">
        <f>IFERROR(__xludf.DUMMYFUNCTION("IF(REGEXMATCH(C316, ""N""), ""11"","""")"),"")</f>
        <v/>
      </c>
      <c r="AI316" s="249" t="str">
        <f>IFERROR(__xludf.DUMMYFUNCTION("IF(REGEXMATCH(C316, ""S""), ""0"","""")"),"0")</f>
        <v>0</v>
      </c>
      <c r="AJ316" s="313" t="str">
        <f t="shared" si="11"/>
        <v>-</v>
      </c>
      <c r="AK316" s="313" t="str">
        <f t="shared" si="12"/>
        <v>-</v>
      </c>
      <c r="AL316" s="313" t="str">
        <f t="shared" si="13"/>
        <v>T</v>
      </c>
      <c r="AM316" s="313" t="str">
        <f t="shared" si="14"/>
        <v>-</v>
      </c>
      <c r="AN316" s="313" t="str">
        <f t="shared" si="15"/>
        <v>T</v>
      </c>
      <c r="AO316" s="314" t="str">
        <f t="shared" si="16"/>
        <v>-</v>
      </c>
      <c r="AP316" s="316">
        <f t="shared" si="17"/>
        <v>2</v>
      </c>
      <c r="AQ316" s="319" t="str">
        <f t="shared" si="18"/>
        <v>#REF!</v>
      </c>
      <c r="AR316" s="320">
        <f t="shared" si="19"/>
        <v>0</v>
      </c>
      <c r="AS316" s="250" t="str">
        <f>IFERROR(__xludf.DUMMYFUNCTION("SUBSTITUTE(SUBSTITUTE(CONCATENATE(JOIN("""",FP316:GA316)),""|"",""x""),""-"",""o"")"),"xoxoxxooxoxo")</f>
        <v>xoxoxxooxoxo</v>
      </c>
      <c r="AT316" s="323" t="str">
        <f>IFERROR(__xludf.DUMMYFUNCTION("JOIN("""",AS316,AS316)"),"xoxoxxooxoxoxoxoxxooxoxo")</f>
        <v>xoxoxxooxoxoxoxoxxooxoxo</v>
      </c>
      <c r="AU316" s="256" t="str">
        <f>IFERROR(__xludf.DUMMYFUNCTION("JOIN("""",ArrayFormula(MID(AS316,LEN(AS316)-SEQUENCE(1,LEN(AS316))+1,1)))"),"oxoxooxxoxox")</f>
        <v>oxoxooxxoxox</v>
      </c>
      <c r="AV316" s="256" t="str">
        <f>IFERROR(__xludf.DUMMYFUNCTION("LEFT(CONCATENATE(""x"",JOIN("""",ArrayFormula(MID(AS316,LEN(AS316)-SEQUENCE(1,LEN(AS316))+1,1)))),12)"),"xoxoxooxxoxo")</f>
        <v>xoxoxooxxoxo</v>
      </c>
      <c r="AW316" s="327" t="str">
        <f>IFERROR(__xludf.DUMMYFUNCTION("JOIN("""",AU316,AU316)"),"oxoxooxxoxoxoxoxooxxoxox")</f>
        <v>oxoxooxxoxoxoxoxooxxoxox</v>
      </c>
      <c r="AX316" s="239" t="str">
        <f>IFERROR(__xludf.DUMMYFUNCTION("IF(REGEXMATCH(AW316,AS316),""✔"",""-"")"),"-")</f>
        <v>-</v>
      </c>
      <c r="AY316" s="330" t="str">
        <f t="shared" si="20"/>
        <v>-</v>
      </c>
      <c r="AZ316" s="260" t="str">
        <f t="shared" si="21"/>
        <v>#REF!</v>
      </c>
      <c r="BA316" s="333" t="str">
        <f t="shared" si="22"/>
        <v>xoxoxxo</v>
      </c>
      <c r="BB316" s="334" t="str">
        <f t="shared" si="23"/>
        <v>oxoxox</v>
      </c>
      <c r="BC316" s="335" t="str">
        <f t="shared" si="236"/>
        <v>-</v>
      </c>
      <c r="BD316" s="336" t="str">
        <f t="shared" si="25"/>
        <v>Shiv Manjari: 'xoxoxxo' + 'oxoxox'</v>
      </c>
      <c r="BE316" s="337">
        <f>IFERROR(__xludf.DUMMYFUNCTION("COUNTUNIQUE(FILTER(AT:AT,REGEXMATCH(AT:AT,AS316)))-1"),0.0)</f>
        <v>0</v>
      </c>
      <c r="BF316" s="261" t="str">
        <f>IFERROR(__xludf.DUMMYFUNCTION("IF(BI316=0,""(n/a)"",IF(BJ316=2,""(PAIR)"",IF(REGEXMATCH(AT316,""xoxoxxoxoxox""),""Bilawal"",IF(REGEXMATCH(AT316,""xoxoxooxoxoo""),""Bhupali"",IF(REGEXMATCH(AT316,""xoxoxxoxxoxo""),""Charukeshi"",IF(REGEXMATCH(AT316,""xoxoooxxoxxo""),""Kameshwari"",IF(REG"&amp;"EXMATCH(AT316,""xoxoxooxoxox""),""Shankara"",IF(REGEXMATCH(AT316,""xxooxoxxxoox""),""Basant"",IF(REGEXMATCH(AT316,""xoxoxxxxoxox""),""Bihag"",IF(REGEXMATCH(AT316,""xoxxxxoxoxxx""),""Pilu"",IF(REGEXMATCH(AT316,""xoxxoxoxxoox""),""Kirwani"",IF(REGEXMATCH(AT"&amp;"316,""xoxxoxoxoxxx""),""Mk.Malhar"",IF(REGEXMATCH(AT316,""xxooxxoxxoox""),""Bhairav"",IF(REGEXMATCH(AT316,""xxoxooxxxoox""),""Todi"",IF(REGEXMATCH(AT316,""xxooxoxooxox""),""Marwa"",IF(REGEXMATCH(AT316,""xxoooxoxxooo""),""Gunkali"",IF(REGEXMATCH(AT316,""xo"&amp;"xoxxoxxoox""),""Nat Bhairav"",IF(REGEXMATCH(AT316,""xoxxoooxoxoo""),""Shivranjani"",IF(REGEXMATCH(AT316,""xooxxxoxooxo""),""Jog"",IF(REGEXMATCH(AT316,""xxooxoxoxoox""),""Hemshri"",IF(REGEXMATCH(AT316,""xoooxooxoxxo""),""Kalavati"",IF(REGEXMATCH(AT316,""xx"&amp;"oxoxxoxoox""),""Kedar"",IF(REGEXMATCH(AT316,""xoxxxxoxooxx""),""Gara"",IF(REGEXMATCH(AT316,""xooxoxooxoox""),""Chandrakauns"",IF(REGEXMATCH(AT316,""xoxxxxoxxxox""),""Mand"",IF(REGEXMATCH(AT316,""xoxxxxoxoxox""),""Hanskinkini"",IF(REGEXMATCH(AT316,""xxooxx"&amp;"oxooxo""),""Lilavati"",IF(REGEXMATCH(AT316,""xooxoxoooxox""),""Rajeshwari"",IF(REGEXMATCH(AT316,""xoooxxoxoxxx""),""Khokar"",IF(REGEXMATCH(AT316,""xxooxoxxxxox""),""Maligoura"",""-""))))))))))))))))))))))))))))))"),"(n/a)")</f>
        <v>(n/a)</v>
      </c>
      <c r="BG316" s="239" t="str">
        <f t="shared" si="26"/>
        <v>#REF!</v>
      </c>
      <c r="BH316" s="239">
        <f>IFERROR(__xludf.DUMMYFUNCTION("COUNTUNIQUE(FE316:FO316)-1"),5.0)</f>
        <v>5</v>
      </c>
      <c r="BI316" s="239">
        <f>IFERROR(__xludf.DUMMYFUNCTION("COUNTUNIQUE(FILTER(AT:AT,REGEXMATCH(AT:AT,AS316)))-1"),0.0)</f>
        <v>0</v>
      </c>
      <c r="BJ316" s="239">
        <f>IFERROR(__xludf.DUMMYFUNCTION("COUNTA(FILTER(AT:AT,REGEXMATCH(AT:AT,AS316)))"),2.0)</f>
        <v>2</v>
      </c>
      <c r="BK316" s="341">
        <f>IFERROR(__xludf.DUMMYFUNCTION("COUNTA(FILTER(AT:AT,REGEXMATCH(AT:AT,AS316)))-AR316"),2.0)</f>
        <v>2</v>
      </c>
      <c r="BL316" s="276" t="str">
        <f>IFERROR(__xludf.DUMMYFUNCTION("IF(AS316=""oooooooooooo"",""-"",IF(REGEXMATCH(AT316,""xx""), ""Hemi."", ""Anhemi.""))"),"Hemi.")</f>
        <v>Hemi.</v>
      </c>
      <c r="BM316" s="282" t="str">
        <f>IFERROR(__xludf.DUMMYFUNCTION("IF(AS316=""oooooooooooo"",""-"",IF(REGEXMATCH(AT316,""xxx""), ""Cohem."", ""-""))"),"-")</f>
        <v>-</v>
      </c>
      <c r="BN316" s="282" t="str">
        <f>IFERROR(__xludf.DUMMYFUNCTION("IF(AS316=""oooooooooooo"",""-"",IF(REGEXMATCH(AT316,""xxxx""), ""Co-Co."", ""-""))"),"-")</f>
        <v>-</v>
      </c>
      <c r="BO316" s="342" t="str">
        <f>IFERROR(__xludf.DUMMYFUNCTION("IF(AS316=""oooooooooooo"",""-"",IF(REGEXMATCH(AT316,""xxxxx""), ""CCC."", ""-""))"),"-")</f>
        <v>-</v>
      </c>
      <c r="BP316" s="344" t="str">
        <f t="shared" si="27"/>
        <v>-</v>
      </c>
      <c r="BQ316" s="282" t="str">
        <f>IFERROR(__xludf.DUMMYFUNCTION("IF(REGEXMATCH(JOIN(""-"",EU316:FD316),""TRUE""),""✔"",""-"")"),"-")</f>
        <v>-</v>
      </c>
      <c r="BR316" s="225">
        <f t="shared" si="28"/>
        <v>0</v>
      </c>
      <c r="BS316" s="345" t="str">
        <f>IFERROR(__xludf.DUMMYFUNCTION("SUBSTITUTE(SUBSTITUTE(SUBSTITUTE(SUBSTITUTE(CONCATENATE(JOIN(""-"",GC316:GO316)),""--"",""-""),""--"",""-""),""--"",""-""),""--"",""-"")"),"1-2-3-4-b6-b7-8")</f>
        <v>1-2-3-4-b6-b7-8</v>
      </c>
      <c r="BT316" s="299" t="str">
        <f>IFERROR(__xludf.DUMMYFUNCTION("SUBSTITUTE(SUBSTITUTE(SUBSTITUTE(SUBSTITUTE(CONCATENATE(JOIN(""-"",GP316:HB316)),""--"",""-""),""--"",""-""),""--"",""-""),""--"",""-"")"),"S-R2-G3-M1-D1-N2-S")</f>
        <v>S-R2-G3-M1-D1-N2-S</v>
      </c>
      <c r="BU316" s="348" t="str">
        <f t="shared" si="29"/>
        <v>C-D-E-F-Ab-Bb-C</v>
      </c>
      <c r="BV316" s="349" t="str">
        <f t="shared" si="30"/>
        <v>SrgMPDNS</v>
      </c>
      <c r="BW316" s="350">
        <f t="shared" si="31"/>
        <v>1</v>
      </c>
      <c r="BX316" s="351">
        <f t="shared" si="32"/>
        <v>2</v>
      </c>
      <c r="BY316" s="392"/>
      <c r="BZ316" s="309" t="str">
        <f>IFERROR(__xludf.DUMMYFUNCTION("IF(REGEXMATCH(C316, ""S""), ""x"",""x"")"),"x")</f>
        <v>x</v>
      </c>
      <c r="CA316" s="245" t="str">
        <f>IFERROR(__xludf.DUMMYFUNCTION("IF(REGEXMATCH(C316, ""r""), ""o"",""x"")"),"x")</f>
        <v>x</v>
      </c>
      <c r="CB316" s="246" t="str">
        <f>IFERROR(__xludf.DUMMYFUNCTION("IF(REGEXMATCH(C316, ""R""), ""o"",""x"")"),"o")</f>
        <v>o</v>
      </c>
      <c r="CC316" s="246" t="str">
        <f>IFERROR(__xludf.DUMMYFUNCTION("IF(REGEXMATCH(C316, ""g""), ""o"",""x"")"),"x")</f>
        <v>x</v>
      </c>
      <c r="CD316" s="245" t="str">
        <f>IFERROR(__xludf.DUMMYFUNCTION("IF(REGEXMATCH(C316, ""G""), ""o"",""x"")"),"o")</f>
        <v>o</v>
      </c>
      <c r="CE316" s="245" t="str">
        <f>IFERROR(__xludf.DUMMYFUNCTION("IF(REGEXMATCH(C316, ""m""), ""o"",""x"")"),"o")</f>
        <v>o</v>
      </c>
      <c r="CF316" s="246" t="str">
        <f>IFERROR(__xludf.DUMMYFUNCTION("IF(REGEXMATCH(C316, ""M""), ""o"",""x"")"),"x")</f>
        <v>x</v>
      </c>
      <c r="CG316" s="245" t="str">
        <f>IFERROR(__xludf.DUMMYFUNCTION("IF(REGEXMATCH(C316, ""P""), ""o"",""x"")"),"x")</f>
        <v>x</v>
      </c>
      <c r="CH316" s="246" t="str">
        <f>IFERROR(__xludf.DUMMYFUNCTION("IF(REGEXMATCH(C316, ""d""), ""o"",""x"")"),"o")</f>
        <v>o</v>
      </c>
      <c r="CI316" s="245" t="str">
        <f>IFERROR(__xludf.DUMMYFUNCTION("IF(REGEXMATCH(C316, ""D""), ""o"",""x"")"),"x")</f>
        <v>x</v>
      </c>
      <c r="CJ316" s="245" t="str">
        <f>IFERROR(__xludf.DUMMYFUNCTION("IF(REGEXMATCH(C316, ""n""), ""o"",""x"")"),"o")</f>
        <v>o</v>
      </c>
      <c r="CK316" s="245" t="str">
        <f>IFERROR(__xludf.DUMMYFUNCTION("IF(REGEXMATCH(C316, ""N""), ""o"",""x"")"),"x")</f>
        <v>x</v>
      </c>
      <c r="CL316" s="356" t="str">
        <f>IFERROR(__xludf.DUMMYFUNCTION("IF(REGEXMATCH(C316, ""S""), ""x"",""x"")"),"x")</f>
        <v>x</v>
      </c>
      <c r="CM316" s="357" t="str">
        <f t="shared" si="33"/>
        <v>xxoxooxxoxox</v>
      </c>
      <c r="CN316" s="358">
        <f t="shared" si="34"/>
        <v>1</v>
      </c>
      <c r="CO316" s="246" t="str">
        <f>IFERROR(__xludf.DUMMYFUNCTION("IF(REGEXMATCH($C316, ""S""), ""S"",""S"")"),"S")</f>
        <v>S</v>
      </c>
      <c r="CP316" s="246" t="str">
        <f>IFERROR(__xludf.DUMMYFUNCTION("IF(REGEXMATCH($C316, ""r""), """",""r"")"),"r")</f>
        <v>r</v>
      </c>
      <c r="CQ316" s="246" t="str">
        <f>IFERROR(__xludf.DUMMYFUNCTION("IF(REGEXMATCH($C316, ""R""), """",""R"")"),"")</f>
        <v/>
      </c>
      <c r="CR316" s="246" t="str">
        <f>IFERROR(__xludf.DUMMYFUNCTION("IF(REGEXMATCH($C316, ""g""), """",""g"")"),"g")</f>
        <v>g</v>
      </c>
      <c r="CS316" s="246" t="str">
        <f>IFERROR(__xludf.DUMMYFUNCTION("IF(REGEXMATCH($C316, ""G""), """",""G"")"),"")</f>
        <v/>
      </c>
      <c r="CT316" s="246" t="str">
        <f>IFERROR(__xludf.DUMMYFUNCTION("IF(REGEXMATCH($C316, ""m""), """",""m"")"),"")</f>
        <v/>
      </c>
      <c r="CU316" s="246" t="str">
        <f>IFERROR(__xludf.DUMMYFUNCTION("IF(REGEXMATCH($C316, ""M""), """",""M"")"),"M")</f>
        <v>M</v>
      </c>
      <c r="CV316" s="246" t="str">
        <f>IFERROR(__xludf.DUMMYFUNCTION("IF(REGEXMATCH($C316, ""P""), """",""P"")"),"P")</f>
        <v>P</v>
      </c>
      <c r="CW316" s="246" t="str">
        <f>IFERROR(__xludf.DUMMYFUNCTION("IF(REGEXMATCH($C316, ""d""), """",""d"")"),"")</f>
        <v/>
      </c>
      <c r="CX316" s="246" t="str">
        <f>IFERROR(__xludf.DUMMYFUNCTION("IF(REGEXMATCH($C316, ""D""), """",""D"")"),"D")</f>
        <v>D</v>
      </c>
      <c r="CY316" s="246" t="str">
        <f>IFERROR(__xludf.DUMMYFUNCTION("IF(REGEXMATCH($C316, ""n""), """",""n"")"),"")</f>
        <v/>
      </c>
      <c r="CZ316" s="246" t="str">
        <f>IFERROR(__xludf.DUMMYFUNCTION("IF(REGEXMATCH($C316, ""N""), """",""N"")"),"N")</f>
        <v>N</v>
      </c>
      <c r="DA316" s="246" t="str">
        <f>IFERROR(__xludf.DUMMYFUNCTION("IF(REGEXMATCH($C316, ""S""), ""S"",""S"")"),"S")</f>
        <v>S</v>
      </c>
      <c r="DB316" s="362" t="str">
        <f>IFERROR(__xludf.DUMMYFUNCTION("JOIN("""",CO316:DA316,"""","""")"),"SrgMPDNS")</f>
        <v>SrgMPDNS</v>
      </c>
      <c r="DC316" s="363"/>
      <c r="DD316" s="301" t="str">
        <f t="shared" si="35"/>
        <v>#REF!</v>
      </c>
      <c r="DE316" s="302" t="str">
        <f t="shared" si="36"/>
        <v>#REF!</v>
      </c>
      <c r="DF316" s="301" t="str">
        <f t="shared" ref="DF316:DG316" si="861">SUBSTITUTE(S316,"-","")</f>
        <v>SRGM</v>
      </c>
      <c r="DG316" s="301" t="str">
        <f t="shared" si="861"/>
        <v>DNS</v>
      </c>
      <c r="DH316" s="302" t="str">
        <f t="shared" si="38"/>
        <v>(n/a)</v>
      </c>
      <c r="DI316" s="301" t="str">
        <f t="shared" si="39"/>
        <v>Hemi.</v>
      </c>
      <c r="DJ316" s="364" t="str">
        <f t="shared" si="40"/>
        <v>-</v>
      </c>
      <c r="DK316" s="306" t="str">
        <f t="shared" si="41"/>
        <v>-</v>
      </c>
      <c r="DL316" s="366" t="str">
        <f t="shared" si="42"/>
        <v>-</v>
      </c>
      <c r="DM316" s="308" t="str">
        <f t="shared" si="43"/>
        <v>✔</v>
      </c>
      <c r="DN316" s="306" t="str">
        <f t="shared" si="44"/>
        <v>-</v>
      </c>
      <c r="DO316" s="306" t="str">
        <f t="shared" si="45"/>
        <v>-</v>
      </c>
      <c r="DP316" s="367" t="str">
        <f t="shared" si="46"/>
        <v>-</v>
      </c>
      <c r="DQ316" s="310" t="str">
        <f t="shared" si="47"/>
        <v>-</v>
      </c>
      <c r="DR316" s="310" t="str">
        <f t="shared" si="48"/>
        <v>-</v>
      </c>
      <c r="DS316" s="310" t="str">
        <f t="shared" si="49"/>
        <v>-</v>
      </c>
      <c r="DT316" s="310" t="str">
        <f t="shared" si="50"/>
        <v>-</v>
      </c>
      <c r="DU316" s="370" t="str">
        <f t="shared" si="51"/>
        <v>-</v>
      </c>
      <c r="DV316" s="306" t="str">
        <f t="shared" si="52"/>
        <v>-</v>
      </c>
      <c r="DW316" s="306" t="str">
        <f t="shared" si="53"/>
        <v>-</v>
      </c>
      <c r="DX316" s="306" t="str">
        <f t="shared" si="54"/>
        <v>-</v>
      </c>
      <c r="DY316" s="306" t="str">
        <f t="shared" si="55"/>
        <v>✔</v>
      </c>
      <c r="DZ316" s="306" t="str">
        <f t="shared" si="56"/>
        <v>-</v>
      </c>
      <c r="EA316" s="367" t="str">
        <f t="shared" si="57"/>
        <v>-</v>
      </c>
      <c r="EB316" s="310" t="str">
        <f>IFERROR(__xludf.DUMMYFUNCTION("IF(REGEXMATCH(AW316,AS316),""✔"",""-"")"),"-")</f>
        <v>-</v>
      </c>
      <c r="EC316" s="310" t="str">
        <f t="shared" si="58"/>
        <v>#REF!</v>
      </c>
      <c r="ED316" s="370" t="str">
        <f t="shared" si="59"/>
        <v>-</v>
      </c>
      <c r="EE316" s="340" t="str">
        <f t="shared" si="60"/>
        <v>S-R-G-m-d-n-S</v>
      </c>
      <c r="EF316" s="371" t="str">
        <f>IFERROR(__xludf.DUMMYFUNCTION("CONCATENATE(JOIN("""",HC316:HO316))"),"SRGPdnS")</f>
        <v>SRGPdnS</v>
      </c>
      <c r="EG316" s="372">
        <f t="shared" si="61"/>
        <v>4</v>
      </c>
      <c r="EH316" s="373" t="str">
        <f>IFERROR(__xludf.DUMMYFUNCTION("CONCATENATE(JOIN("""",JC316:JO316))"),"Sa, Re, Ga, dha, ")</f>
        <v>Sa, Re, Ga, dha, </v>
      </c>
      <c r="EI316" s="322">
        <f t="shared" si="62"/>
        <v>3</v>
      </c>
      <c r="EJ316" s="374" t="str">
        <f>IFERROR(__xludf.DUMMYFUNCTION("CONCATENATE(JOIN("""",KC316:KO316))"),"Re, Ga, dha, ")</f>
        <v>Re, Ga, dha, </v>
      </c>
      <c r="EK316" s="325" t="str">
        <f t="shared" si="63"/>
        <v>S-R2-G3-M1-D1-N2-S</v>
      </c>
      <c r="EL316" s="326" t="str">
        <f t="shared" si="64"/>
        <v>1-2-3-4-b6-b7-8</v>
      </c>
      <c r="EM316" s="318" t="str">
        <f t="shared" si="65"/>
        <v>#REF!</v>
      </c>
      <c r="EN316" s="328" t="str">
        <f>IFERROR(__xludf.DUMMYFUNCTION("SUBSTITUTE(SUBSTITUTE(SUBSTITUTE(SUBSTITUTE(CONCATENATE(JOIN("" "",HP316:IB316)),""  "","" ""),""  "","" ""),""  "","" ""),""  "","" "")"),"o • o • o o • • o • o • o")</f>
        <v>o • o • o o • • o • o • o</v>
      </c>
      <c r="EO316" s="368" t="str">
        <f t="shared" si="66"/>
        <v>Sa-ma</v>
      </c>
      <c r="EP316" s="339" t="str">
        <f t="shared" si="67"/>
        <v>-</v>
      </c>
      <c r="EQ316" s="339" t="str">
        <f t="shared" si="68"/>
        <v>-</v>
      </c>
      <c r="ER316" s="339" t="str">
        <f t="shared" si="69"/>
        <v>-</v>
      </c>
      <c r="ES316" s="340" t="str">
        <f t="shared" si="70"/>
        <v>Sa-ma</v>
      </c>
      <c r="ET316" s="363"/>
      <c r="EU316" s="376" t="b">
        <f>IFERROR(__xludf.DUMMYFUNCTION("arrayformula(sum(--REGEXMATCH(""SRGMPDNS"",split(REGEXREPLACE(C316,""(.)"",""$1~""),""~""))))=len(C316)
"),FALSE)</f>
        <v>0</v>
      </c>
      <c r="EV316" s="290" t="b">
        <f>IFERROR(__xludf.DUMMYFUNCTION("arrayformula(sum(--REGEXMATCH(""SRGmPDNS"",split(REGEXREPLACE(C316,""(.)"",""$1~""),""~""))))=len(C316)"),FALSE)</f>
        <v>0</v>
      </c>
      <c r="EW316" s="290" t="b">
        <f>IFERROR(__xludf.DUMMYFUNCTION("arrayformula(sum(--REGEXMATCH(""SRGmPDnS"",split(REGEXREPLACE(C316,""(.)"",""$1~""),""~""))))=len(C316)"),FALSE)</f>
        <v>0</v>
      </c>
      <c r="EX316" s="290" t="b">
        <f>IFERROR(__xludf.DUMMYFUNCTION("arrayformula(sum(--REGEXMATCH(""SRgmPDnS"",split(REGEXREPLACE(C316,""(.)"",""$1~""),""~""))))=len(C316)"),FALSE)</f>
        <v>0</v>
      </c>
      <c r="EY316" s="290" t="b">
        <f>IFERROR(__xludf.DUMMYFUNCTION("arrayformula(sum(--REGEXMATCH(""SRgmPdnS"",split(REGEXREPLACE(C316,""(.)"",""$1~""),""~""))))=len(C316)"),FALSE)</f>
        <v>0</v>
      </c>
      <c r="EZ316" s="290" t="b">
        <f>IFERROR(__xludf.DUMMYFUNCTION("arrayformula(sum(--REGEXMATCH(""SrgmPdnS"",split(REGEXREPLACE(C316,""(.)"",""$1~""),""~""))))=len(C316)"),FALSE)</f>
        <v>0</v>
      </c>
      <c r="FA316" s="290" t="b">
        <f>IFERROR(__xludf.DUMMYFUNCTION("arrayformula(sum(--REGEXMATCH(""SrGmPdNS"",split(REGEXREPLACE(C316,""(.)"",""$1~""),""~""))))=len(C316)"),FALSE)</f>
        <v>0</v>
      </c>
      <c r="FB316" s="290" t="b">
        <f>IFERROR(__xludf.DUMMYFUNCTION("arrayformula(sum(--REGEXMATCH(""SrGMPDNS"",split(REGEXREPLACE(C316,""(.)"",""$1~""),""~""))))=len(C316)"),FALSE)</f>
        <v>0</v>
      </c>
      <c r="FC316" s="290" t="b">
        <f>IFERROR(__xludf.DUMMYFUNCTION("arrayformula(sum(--REGEXMATCH(""SrGMPdNS"",split(REGEXREPLACE(C316,""(.)"",""$1~""),""~""))))=len(C316)"),FALSE)</f>
        <v>0</v>
      </c>
      <c r="FD316" s="377" t="b">
        <f>IFERROR(__xludf.DUMMYFUNCTION("arrayformula(sum(--REGEXMATCH(""SrgMPdNS"",split(REGEXREPLACE(C316,""(.)"",""$1~""),""~""))))=len(C316)"),FALSE)</f>
        <v>0</v>
      </c>
      <c r="FE316" s="269" t="str">
        <f t="shared" si="71"/>
        <v>-</v>
      </c>
      <c r="FF316" s="269" t="str">
        <f t="shared" si="72"/>
        <v>xoxxooxoxox</v>
      </c>
      <c r="FG316" s="271" t="str">
        <f t="shared" si="73"/>
        <v>-</v>
      </c>
      <c r="FH316" s="269" t="str">
        <f t="shared" si="74"/>
        <v>xxooxoxoxox</v>
      </c>
      <c r="FI316" s="271" t="str">
        <f t="shared" si="75"/>
        <v>xooxoxoxoxo</v>
      </c>
      <c r="FJ316" s="271" t="str">
        <f t="shared" si="76"/>
        <v>-</v>
      </c>
      <c r="FK316" s="271" t="str">
        <f t="shared" si="77"/>
        <v>-</v>
      </c>
      <c r="FL316" s="271" t="str">
        <f t="shared" si="78"/>
        <v>xoxoxoxoxxo</v>
      </c>
      <c r="FM316" s="271" t="str">
        <f t="shared" si="79"/>
        <v>-</v>
      </c>
      <c r="FN316" s="271" t="str">
        <f t="shared" si="80"/>
        <v>xoxoxoxxoox</v>
      </c>
      <c r="FO316" s="274" t="str">
        <f t="shared" si="81"/>
        <v>-</v>
      </c>
      <c r="FP316" s="234" t="str">
        <f t="shared" si="82"/>
        <v>|</v>
      </c>
      <c r="FQ316" s="236" t="str">
        <f t="shared" si="83"/>
        <v>-</v>
      </c>
      <c r="FR316" s="237" t="str">
        <f t="shared" si="84"/>
        <v>|</v>
      </c>
      <c r="FS316" s="236" t="str">
        <f t="shared" si="85"/>
        <v>-</v>
      </c>
      <c r="FT316" s="237" t="str">
        <f t="shared" si="86"/>
        <v>|</v>
      </c>
      <c r="FU316" s="236" t="str">
        <f t="shared" si="87"/>
        <v>|</v>
      </c>
      <c r="FV316" s="237" t="str">
        <f t="shared" si="88"/>
        <v>-</v>
      </c>
      <c r="FW316" s="236" t="str">
        <f t="shared" si="89"/>
        <v>-</v>
      </c>
      <c r="FX316" s="237" t="str">
        <f t="shared" si="90"/>
        <v>|</v>
      </c>
      <c r="FY316" s="236" t="str">
        <f t="shared" si="91"/>
        <v>-</v>
      </c>
      <c r="FZ316" s="237" t="str">
        <f t="shared" si="92"/>
        <v>|</v>
      </c>
      <c r="GA316" s="236" t="str">
        <f t="shared" si="93"/>
        <v>-</v>
      </c>
      <c r="GB316" s="238" t="str">
        <f t="shared" si="94"/>
        <v>|</v>
      </c>
      <c r="GC316" s="244" t="str">
        <f>IFERROR(__xludf.DUMMYFUNCTION("IF(REGEXMATCH(C316, ""S""), ""1"","""")"),"1")</f>
        <v>1</v>
      </c>
      <c r="GD316" s="245" t="str">
        <f>IFERROR(__xludf.DUMMYFUNCTION("IF(REGEXMATCH(C316, ""r""), ""b2"","""")"),"")</f>
        <v/>
      </c>
      <c r="GE316" s="246" t="str">
        <f>IFERROR(__xludf.DUMMYFUNCTION("IF(REGEXMATCH(C316, ""R""), ""2"","""")"),"2")</f>
        <v>2</v>
      </c>
      <c r="GF316" s="246" t="str">
        <f>IFERROR(__xludf.DUMMYFUNCTION("IF(REGEXMATCH(C316, ""g""), ""b3"","""")"),"")</f>
        <v/>
      </c>
      <c r="GG316" s="245" t="str">
        <f>IFERROR(__xludf.DUMMYFUNCTION("IF(REGEXMATCH(C316, ""G""), ""3"","""")"),"3")</f>
        <v>3</v>
      </c>
      <c r="GH316" s="245" t="str">
        <f>IFERROR(__xludf.DUMMYFUNCTION("IF(REGEXMATCH(C316, ""m""), ""4"","""")"),"4")</f>
        <v>4</v>
      </c>
      <c r="GI316" s="246" t="str">
        <f>IFERROR(__xludf.DUMMYFUNCTION("IF(REGEXMATCH(C316, ""M""), ""#4"","""")"),"")</f>
        <v/>
      </c>
      <c r="GJ316" s="245" t="str">
        <f>IFERROR(__xludf.DUMMYFUNCTION("IF(REGEXMATCH(C316, ""P""), ""5"","""")"),"")</f>
        <v/>
      </c>
      <c r="GK316" s="246" t="str">
        <f>IFERROR(__xludf.DUMMYFUNCTION("IF(REGEXMATCH(C316, ""d""), ""b6"","""")"),"b6")</f>
        <v>b6</v>
      </c>
      <c r="GL316" s="245" t="str">
        <f>IFERROR(__xludf.DUMMYFUNCTION("IF(REGEXMATCH(C316, ""D""), ""6"","""")"),"")</f>
        <v/>
      </c>
      <c r="GM316" s="245" t="str">
        <f>IFERROR(__xludf.DUMMYFUNCTION("IF(REGEXMATCH(C316, ""n""), ""b7"","""")"),"b7")</f>
        <v>b7</v>
      </c>
      <c r="GN316" s="246" t="str">
        <f>IFERROR(__xludf.DUMMYFUNCTION("IF(REGEXMATCH(C316, ""N""), ""7"","""")"),"")</f>
        <v/>
      </c>
      <c r="GO316" s="249" t="str">
        <f>IFERROR(__xludf.DUMMYFUNCTION("IF(REGEXMATCH(C316, ""S""), ""8"","""")"),"8")</f>
        <v>8</v>
      </c>
      <c r="GP316" s="244" t="str">
        <f>IFERROR(__xludf.DUMMYFUNCTION("IF(REGEXMATCH(C316, ""S""), ""S"","""")"),"S")</f>
        <v>S</v>
      </c>
      <c r="GQ316" s="294" t="str">
        <f>IFERROR(__xludf.DUMMYFUNCTION("IF(REGEXMATCH(C316, ""r""), ""R1"","""")"),"")</f>
        <v/>
      </c>
      <c r="GR316" s="295" t="str">
        <f>IFERROR(__xludf.DUMMYFUNCTION("IF(REGEXMATCH(C316, ""R""), ""R2"","""")"),"R2")</f>
        <v>R2</v>
      </c>
      <c r="GS316" s="295" t="str">
        <f>IFERROR(__xludf.DUMMYFUNCTION("IF(REGEXMATCH(C316, ""g""), ""G2"","""")"),"")</f>
        <v/>
      </c>
      <c r="GT316" s="294" t="str">
        <f>IFERROR(__xludf.DUMMYFUNCTION("IF(REGEXMATCH(C316, ""G""), ""G3"","""")"),"G3")</f>
        <v>G3</v>
      </c>
      <c r="GU316" s="294" t="str">
        <f>IFERROR(__xludf.DUMMYFUNCTION("IF(REGEXMATCH(C316, ""m""), ""M1"","""")"),"M1")</f>
        <v>M1</v>
      </c>
      <c r="GV316" s="295" t="str">
        <f>IFERROR(__xludf.DUMMYFUNCTION("IF(REGEXMATCH(C316, ""M""), ""M2"","""")"),"")</f>
        <v/>
      </c>
      <c r="GW316" s="294" t="str">
        <f>IFERROR(__xludf.DUMMYFUNCTION("IF(REGEXMATCH(C316, ""P""), ""P"","""")"),"")</f>
        <v/>
      </c>
      <c r="GX316" s="295" t="str">
        <f>IFERROR(__xludf.DUMMYFUNCTION("IF(REGEXMATCH(C316, ""d""), ""D1"","""")"),"D1")</f>
        <v>D1</v>
      </c>
      <c r="GY316" s="294" t="str">
        <f>IFERROR(__xludf.DUMMYFUNCTION("IF(REGEXMATCH(C316, ""D""), ""D2"","""")"),"")</f>
        <v/>
      </c>
      <c r="GZ316" s="294" t="str">
        <f>IFERROR(__xludf.DUMMYFUNCTION("IF(REGEXMATCH(C316, ""n""), ""N2"","""")"),"N2")</f>
        <v>N2</v>
      </c>
      <c r="HA316" s="295" t="str">
        <f>IFERROR(__xludf.DUMMYFUNCTION("IF(REGEXMATCH(C316, ""N""), ""N3"","""")"),"")</f>
        <v/>
      </c>
      <c r="HB316" s="249" t="str">
        <f>IFERROR(__xludf.DUMMYFUNCTION("IF(REGEXMATCH(C316, ""S""), ""S"","""")"),"S")</f>
        <v>S</v>
      </c>
      <c r="HC316" s="331" t="str">
        <f t="shared" si="95"/>
        <v>S</v>
      </c>
      <c r="HD316" s="332" t="str">
        <f t="shared" si="96"/>
        <v/>
      </c>
      <c r="HE316" s="332" t="str">
        <f t="shared" si="97"/>
        <v>R</v>
      </c>
      <c r="HF316" s="332" t="str">
        <f t="shared" si="98"/>
        <v/>
      </c>
      <c r="HG316" s="332" t="str">
        <f t="shared" si="99"/>
        <v>G</v>
      </c>
      <c r="HH316" s="332" t="str">
        <f t="shared" si="100"/>
        <v/>
      </c>
      <c r="HI316" s="332" t="str">
        <f t="shared" si="101"/>
        <v/>
      </c>
      <c r="HJ316" s="332" t="str">
        <f t="shared" si="102"/>
        <v>P</v>
      </c>
      <c r="HK316" s="332" t="str">
        <f t="shared" si="103"/>
        <v>d</v>
      </c>
      <c r="HL316" s="332" t="str">
        <f t="shared" si="104"/>
        <v/>
      </c>
      <c r="HM316" s="332" t="str">
        <f t="shared" si="105"/>
        <v>n</v>
      </c>
      <c r="HN316" s="332" t="str">
        <f t="shared" si="106"/>
        <v/>
      </c>
      <c r="HO316" s="343" t="str">
        <f t="shared" si="107"/>
        <v>S</v>
      </c>
      <c r="HP316" s="331" t="str">
        <f t="shared" si="108"/>
        <v>o</v>
      </c>
      <c r="HQ316" s="332" t="str">
        <f t="shared" si="109"/>
        <v>•</v>
      </c>
      <c r="HR316" s="332" t="str">
        <f t="shared" si="110"/>
        <v>o</v>
      </c>
      <c r="HS316" s="332" t="str">
        <f t="shared" si="111"/>
        <v>•</v>
      </c>
      <c r="HT316" s="332" t="str">
        <f t="shared" si="112"/>
        <v>o</v>
      </c>
      <c r="HU316" s="332" t="str">
        <f t="shared" si="113"/>
        <v>o</v>
      </c>
      <c r="HV316" s="332" t="str">
        <f t="shared" si="114"/>
        <v>•</v>
      </c>
      <c r="HW316" s="332" t="str">
        <f t="shared" si="115"/>
        <v>•</v>
      </c>
      <c r="HX316" s="332" t="str">
        <f t="shared" si="116"/>
        <v>o</v>
      </c>
      <c r="HY316" s="332" t="str">
        <f t="shared" si="117"/>
        <v>•</v>
      </c>
      <c r="HZ316" s="332" t="str">
        <f t="shared" si="118"/>
        <v>o</v>
      </c>
      <c r="IA316" s="332" t="str">
        <f t="shared" si="119"/>
        <v>•</v>
      </c>
      <c r="IB316" s="338" t="str">
        <f t="shared" si="120"/>
        <v>o</v>
      </c>
      <c r="IC316" s="331" t="str">
        <f t="shared" si="121"/>
        <v>•</v>
      </c>
      <c r="ID316" s="332" t="str">
        <f t="shared" si="122"/>
        <v>o</v>
      </c>
      <c r="IE316" s="332" t="str">
        <f t="shared" si="123"/>
        <v>•</v>
      </c>
      <c r="IF316" s="332" t="str">
        <f t="shared" si="124"/>
        <v>o</v>
      </c>
      <c r="IG316" s="332" t="str">
        <f t="shared" si="125"/>
        <v>•</v>
      </c>
      <c r="IH316" s="332" t="str">
        <f t="shared" si="126"/>
        <v>•</v>
      </c>
      <c r="II316" s="332" t="str">
        <f t="shared" si="127"/>
        <v>o</v>
      </c>
      <c r="IJ316" s="332" t="str">
        <f t="shared" si="128"/>
        <v>o</v>
      </c>
      <c r="IK316" s="332" t="str">
        <f t="shared" si="129"/>
        <v>•</v>
      </c>
      <c r="IL316" s="332" t="str">
        <f t="shared" si="130"/>
        <v>o</v>
      </c>
      <c r="IM316" s="332" t="str">
        <f t="shared" si="131"/>
        <v>•</v>
      </c>
      <c r="IN316" s="332" t="str">
        <f t="shared" si="132"/>
        <v>o</v>
      </c>
      <c r="IO316" s="338" t="str">
        <f t="shared" si="133"/>
        <v>•</v>
      </c>
      <c r="IP316" s="346" t="b">
        <f t="shared" si="134"/>
        <v>1</v>
      </c>
      <c r="IQ316" s="347" t="b">
        <f t="shared" si="135"/>
        <v>0</v>
      </c>
      <c r="IR316" s="347" t="b">
        <f t="shared" si="136"/>
        <v>1</v>
      </c>
      <c r="IS316" s="347" t="b">
        <f t="shared" si="137"/>
        <v>0</v>
      </c>
      <c r="IT316" s="347" t="b">
        <f t="shared" si="138"/>
        <v>1</v>
      </c>
      <c r="IU316" s="347" t="b">
        <f t="shared" si="139"/>
        <v>0</v>
      </c>
      <c r="IV316" s="347" t="b">
        <f t="shared" si="140"/>
        <v>0</v>
      </c>
      <c r="IW316" s="347" t="b">
        <f t="shared" si="141"/>
        <v>0</v>
      </c>
      <c r="IX316" s="347" t="b">
        <f t="shared" si="142"/>
        <v>1</v>
      </c>
      <c r="IY316" s="347" t="b">
        <f t="shared" si="143"/>
        <v>0</v>
      </c>
      <c r="IZ316" s="347" t="b">
        <f t="shared" si="144"/>
        <v>0</v>
      </c>
      <c r="JA316" s="347" t="b">
        <f t="shared" si="145"/>
        <v>0</v>
      </c>
      <c r="JB316" s="353" t="b">
        <f t="shared" si="146"/>
        <v>1</v>
      </c>
      <c r="JC316" s="354" t="str">
        <f t="shared" si="147"/>
        <v>Sa, </v>
      </c>
      <c r="JD316" s="355" t="str">
        <f t="shared" si="148"/>
        <v/>
      </c>
      <c r="JE316" s="355" t="str">
        <f t="shared" si="149"/>
        <v>Re, </v>
      </c>
      <c r="JF316" s="355" t="str">
        <f t="shared" si="150"/>
        <v/>
      </c>
      <c r="JG316" s="355" t="str">
        <f t="shared" si="151"/>
        <v>Ga, </v>
      </c>
      <c r="JH316" s="355" t="str">
        <f t="shared" si="152"/>
        <v/>
      </c>
      <c r="JI316" s="355" t="str">
        <f t="shared" si="153"/>
        <v/>
      </c>
      <c r="JJ316" s="355" t="str">
        <f t="shared" si="154"/>
        <v/>
      </c>
      <c r="JK316" s="355" t="str">
        <f t="shared" si="155"/>
        <v>dha, </v>
      </c>
      <c r="JL316" s="355" t="str">
        <f t="shared" si="156"/>
        <v/>
      </c>
      <c r="JM316" s="355" t="str">
        <f t="shared" si="157"/>
        <v/>
      </c>
      <c r="JN316" s="355" t="str">
        <f t="shared" si="158"/>
        <v/>
      </c>
      <c r="JO316" s="359" t="str">
        <f t="shared" si="159"/>
        <v/>
      </c>
      <c r="JP316" s="346" t="b">
        <f t="shared" si="160"/>
        <v>0</v>
      </c>
      <c r="JQ316" s="347" t="b">
        <f t="shared" si="161"/>
        <v>0</v>
      </c>
      <c r="JR316" s="347" t="b">
        <f t="shared" si="162"/>
        <v>1</v>
      </c>
      <c r="JS316" s="347" t="b">
        <f t="shared" si="163"/>
        <v>0</v>
      </c>
      <c r="JT316" s="347" t="b">
        <f t="shared" si="164"/>
        <v>1</v>
      </c>
      <c r="JU316" s="347" t="b">
        <f t="shared" si="165"/>
        <v>0</v>
      </c>
      <c r="JV316" s="347" t="b">
        <f t="shared" si="166"/>
        <v>0</v>
      </c>
      <c r="JW316" s="347" t="b">
        <f t="shared" si="167"/>
        <v>0</v>
      </c>
      <c r="JX316" s="347" t="b">
        <f t="shared" si="168"/>
        <v>1</v>
      </c>
      <c r="JY316" s="347" t="b">
        <f t="shared" si="169"/>
        <v>0</v>
      </c>
      <c r="JZ316" s="347" t="b">
        <f t="shared" si="170"/>
        <v>0</v>
      </c>
      <c r="KA316" s="347" t="b">
        <f t="shared" si="171"/>
        <v>0</v>
      </c>
      <c r="KB316" s="365" t="b">
        <f t="shared" si="172"/>
        <v>0</v>
      </c>
      <c r="KC316" s="354" t="str">
        <f t="shared" si="173"/>
        <v/>
      </c>
      <c r="KD316" s="355" t="str">
        <f t="shared" si="174"/>
        <v/>
      </c>
      <c r="KE316" s="355" t="str">
        <f t="shared" si="175"/>
        <v>Re, </v>
      </c>
      <c r="KF316" s="355" t="str">
        <f t="shared" si="176"/>
        <v/>
      </c>
      <c r="KG316" s="355" t="str">
        <f t="shared" si="177"/>
        <v>Ga, </v>
      </c>
      <c r="KH316" s="355" t="str">
        <f t="shared" si="178"/>
        <v/>
      </c>
      <c r="KI316" s="355" t="str">
        <f t="shared" si="179"/>
        <v/>
      </c>
      <c r="KJ316" s="355" t="str">
        <f t="shared" si="180"/>
        <v/>
      </c>
      <c r="KK316" s="355" t="str">
        <f t="shared" si="181"/>
        <v>dha, </v>
      </c>
      <c r="KL316" s="355" t="str">
        <f t="shared" si="182"/>
        <v/>
      </c>
      <c r="KM316" s="355" t="str">
        <f t="shared" si="183"/>
        <v/>
      </c>
      <c r="KN316" s="355" t="str">
        <f t="shared" si="184"/>
        <v/>
      </c>
      <c r="KO316" s="359"/>
      <c r="KP316" s="378"/>
      <c r="KQ316" s="379" t="s">
        <v>9</v>
      </c>
      <c r="KR316" s="380" t="s">
        <v>9</v>
      </c>
      <c r="KS316" s="381" t="s">
        <v>9</v>
      </c>
      <c r="KT316" s="382">
        <f t="shared" si="186"/>
        <v>0</v>
      </c>
      <c r="KU316" s="383">
        <f t="shared" si="187"/>
        <v>0</v>
      </c>
      <c r="KV316" s="381" t="str">
        <f t="shared" si="205"/>
        <v>S</v>
      </c>
      <c r="KW316" s="382">
        <f t="shared" si="189"/>
        <v>0</v>
      </c>
      <c r="KX316" s="384">
        <f t="shared" si="190"/>
        <v>0</v>
      </c>
      <c r="KY316" s="382">
        <f t="shared" ref="KY316:KZ316" si="862">KW316-KT316</f>
        <v>0</v>
      </c>
      <c r="KZ316" s="369">
        <f t="shared" si="862"/>
        <v>0</v>
      </c>
      <c r="LA316" s="385" t="str">
        <f t="shared" si="192"/>
        <v>✔</v>
      </c>
      <c r="LB316" s="340" t="str">
        <f>IFERROR(__xludf.DUMMYFUNCTION("JOIN("""",ArrayFormula(MID(KS316,LEN(KS316)-SEQUENCE(1,LEN(KS316))+1,1)))"),"S")</f>
        <v>S</v>
      </c>
      <c r="LC316" s="373" t="str">
        <f>IFERROR(__xludf.DUMMYFUNCTION("JOIN("""",ArrayFormula(MID(KV316,LEN(KV316)-SEQUENCE(1,LEN(KV316))+1,1)))"),"S")</f>
        <v>S</v>
      </c>
      <c r="LD316" s="373" t="str">
        <f t="shared" si="193"/>
        <v>S</v>
      </c>
      <c r="LE316" s="339" t="str">
        <f t="shared" si="194"/>
        <v>S</v>
      </c>
      <c r="LF316" s="386" t="str">
        <f>IFERROR(__xludf.DUMMYFUNCTION("SUBSTITUTE(SUBSTITUTE(CONCATENATE(JOIN("""",LH316:LT316)),""1"",""""),""2"","""")"),"SS")</f>
        <v>SS</v>
      </c>
      <c r="LG316" s="369" t="str">
        <f t="shared" si="195"/>
        <v>-</v>
      </c>
      <c r="LH316" s="387" t="str">
        <f>IFERROR(__xludf.DUMMYFUNCTION("IF(REGEXMATCH(LD316, ""S""), ""S"",IF(REGEXMATCH(LE316, ""S""), ""S"",""""))"),"S")</f>
        <v>S</v>
      </c>
      <c r="LI316" s="299" t="str">
        <f>IFERROR(__xludf.DUMMYFUNCTION("IF(REGEXMATCH(LD316, ""r""), ""r1"",IF(REGEXMATCH(LE316, ""r""), ""r2"",""""))"),"")</f>
        <v/>
      </c>
      <c r="LJ316" s="299" t="str">
        <f>IFERROR(__xludf.DUMMYFUNCTION("IF(REGEXMATCH(LD316, ""R""), ""R1"",IF(REGEXMATCH(LE316, ""R""), ""R2"",""""))"),"")</f>
        <v/>
      </c>
      <c r="LK316" s="299" t="str">
        <f>IFERROR(__xludf.DUMMYFUNCTION("IF(REGEXMATCH(LD316, ""g""), ""g1"",IF(REGEXMATCH(LE316, ""g""), ""g2"",""""))"),"")</f>
        <v/>
      </c>
      <c r="LL316" s="299" t="str">
        <f>IFERROR(__xludf.DUMMYFUNCTION("IF(REGEXMATCH(LD316, ""G""), ""G1"",IF(REGEXMATCH(LE316, ""G""), ""G2"",""""))"),"")</f>
        <v/>
      </c>
      <c r="LM316" s="299" t="str">
        <f>IFERROR(__xludf.DUMMYFUNCTION("IF(REGEXMATCH(LD316, ""m""), ""m1"",IF(REGEXMATCH(LE316, ""m""), ""m2"",""""))"),"")</f>
        <v/>
      </c>
      <c r="LN316" s="299" t="str">
        <f>IFERROR(__xludf.DUMMYFUNCTION("IF(REGEXMATCH(LD316, ""M""), ""M1"",IF(REGEXMATCH(LE316, ""M""), ""M2"",""""))"),"")</f>
        <v/>
      </c>
      <c r="LO316" s="299" t="str">
        <f>IFERROR(__xludf.DUMMYFUNCTION("IF(REGEXMATCH(LD316, ""P""), ""P1"",IF(REGEXMATCH(LE316, ""P""), ""P2"",""""))"),"")</f>
        <v/>
      </c>
      <c r="LP316" s="299" t="str">
        <f>IFERROR(__xludf.DUMMYFUNCTION("IF(REGEXMATCH(LD316, ""d""), ""d1"",IF(REGEXMATCH(LE316, ""d""), ""d2"",""""))"),"")</f>
        <v/>
      </c>
      <c r="LQ316" s="299" t="str">
        <f>IFERROR(__xludf.DUMMYFUNCTION("IF(REGEXMATCH(LD316, ""D""), ""D1"",IF(REGEXMATCH(LE316, ""D""), ""D2"",""""))"),"")</f>
        <v/>
      </c>
      <c r="LR316" s="299" t="str">
        <f>IFERROR(__xludf.DUMMYFUNCTION("IF(REGEXMATCH(LD316, ""n""), ""n1"",IF(REGEXMATCH(LE316, ""n""), ""n2"",""""))"),"")</f>
        <v/>
      </c>
      <c r="LS316" s="299" t="str">
        <f>IFERROR(__xludf.DUMMYFUNCTION("IF(REGEXMATCH(LD316, ""N""), ""N1"",IF(REGEXMATCH(LE316, ""N""), ""N2"",""""))"),"")</f>
        <v/>
      </c>
      <c r="LT316" s="388" t="str">
        <f>IFERROR(__xludf.DUMMYFUNCTION("IF(REGEXMATCH(LD316, ""S""), ""S"",IF(REGEXMATCH(LE316, ""S""), ""S"",""""))"),"S")</f>
        <v>S</v>
      </c>
      <c r="LU316" s="389">
        <f t="shared" si="196"/>
        <v>1</v>
      </c>
      <c r="LV316" s="378"/>
      <c r="LW316" s="369"/>
      <c r="LX316" s="369"/>
    </row>
    <row r="317" ht="18.0" customHeight="1">
      <c r="A317" s="298" t="s">
        <v>1489</v>
      </c>
      <c r="B317" s="222" t="s">
        <v>1490</v>
      </c>
      <c r="C317" s="233" t="str">
        <f t="shared" si="7"/>
        <v>SGPDS</v>
      </c>
      <c r="D317" s="234" t="str">
        <f>IFERROR(__xludf.DUMMYFUNCTION("IF(REGEXMATCH(C317, ""S""), ""S"","""")"),"S")</f>
        <v>S</v>
      </c>
      <c r="E317" s="236" t="str">
        <f>IFERROR(__xludf.DUMMYFUNCTION("IF(REGEXMATCH(C317, ""r""), ""r"","""")"),"")</f>
        <v/>
      </c>
      <c r="F317" s="237" t="str">
        <f>IFERROR(__xludf.DUMMYFUNCTION("IF(REGEXMATCH(C317, ""R""), ""R"","""")"),"")</f>
        <v/>
      </c>
      <c r="G317" s="237" t="str">
        <f>IFERROR(__xludf.DUMMYFUNCTION("IF(REGEXMATCH(C317, ""g""), ""g"","""")"),"")</f>
        <v/>
      </c>
      <c r="H317" s="236" t="str">
        <f>IFERROR(__xludf.DUMMYFUNCTION("IF(REGEXMATCH(C317, ""G""), ""G"","""")"),"G")</f>
        <v>G</v>
      </c>
      <c r="I317" s="236" t="str">
        <f>IFERROR(__xludf.DUMMYFUNCTION("IF(REGEXMATCH(C317, ""m""), ""m"","""")"),"")</f>
        <v/>
      </c>
      <c r="J317" s="237" t="str">
        <f>IFERROR(__xludf.DUMMYFUNCTION("IF(REGEXMATCH(C317, ""M""), ""M"","""")"),"")</f>
        <v/>
      </c>
      <c r="K317" s="236" t="str">
        <f>IFERROR(__xludf.DUMMYFUNCTION("IF(REGEXMATCH(C317, ""P""), ""P"","""")"),"P")</f>
        <v>P</v>
      </c>
      <c r="L317" s="237" t="str">
        <f>IFERROR(__xludf.DUMMYFUNCTION("IF(REGEXMATCH(C317, ""d""), ""d"","""")"),"")</f>
        <v/>
      </c>
      <c r="M317" s="236" t="str">
        <f>IFERROR(__xludf.DUMMYFUNCTION("IF(REGEXMATCH(C317, ""D""), ""D"","""")"),"D")</f>
        <v>D</v>
      </c>
      <c r="N317" s="236" t="str">
        <f>IFERROR(__xludf.DUMMYFUNCTION("IF(REGEXMATCH(C317, ""n""), ""n"","""")"),"")</f>
        <v/>
      </c>
      <c r="O317" s="237" t="str">
        <f>IFERROR(__xludf.DUMMYFUNCTION("IF(REGEXMATCH(C317, ""N""), ""N"","""")"),"")</f>
        <v/>
      </c>
      <c r="P317" s="238" t="str">
        <f>IFERROR(__xludf.DUMMYFUNCTION("IF(REGEXMATCH(C317, ""S""), ""S"","""")"),"S")</f>
        <v>S</v>
      </c>
      <c r="Q317" s="239" t="str">
        <f>IFERROR(__xludf.DUMMYFUNCTION("SUBSTITUTE(CONCATENATE(JOIN(""-"",D317:J317)),""-"","""")"),"SG")</f>
        <v>SG</v>
      </c>
      <c r="R317" s="229" t="str">
        <f>IFERROR(__xludf.DUMMYFUNCTION("SUBSTITUTE(CONCATENATE(JOIN(""-"",K317:P317)),""-"","""")"),"PDS")</f>
        <v>PDS</v>
      </c>
      <c r="S317" s="282" t="str">
        <f t="shared" si="8"/>
        <v>S-G-</v>
      </c>
      <c r="T317" s="282" t="str">
        <f t="shared" si="9"/>
        <v>P-D-S</v>
      </c>
      <c r="U317" s="237" t="str">
        <f>IFERROR(__xludf.DUMMYFUNCTION("SUBSTITUTE(JOIN(""-"",S317,T317),""--"",""-"")"),"S-G-P-D-S")</f>
        <v>S-G-P-D-S</v>
      </c>
      <c r="V317" s="309" t="str">
        <f t="shared" si="10"/>
        <v>GD</v>
      </c>
      <c r="W317" s="244" t="str">
        <f>IFERROR(__xludf.DUMMYFUNCTION("IF(REGEXMATCH(C317, ""S""), ""0"","""")"),"0")</f>
        <v>0</v>
      </c>
      <c r="X317" s="245" t="str">
        <f>IFERROR(__xludf.DUMMYFUNCTION("IF(REGEXMATCH(C317, ""r""), ""1"","""")"),"")</f>
        <v/>
      </c>
      <c r="Y317" s="246" t="str">
        <f>IFERROR(__xludf.DUMMYFUNCTION("IF(REGEXMATCH(C317, ""R""), ""2"","""")"),"")</f>
        <v/>
      </c>
      <c r="Z317" s="246" t="str">
        <f>IFERROR(__xludf.DUMMYFUNCTION("IF(REGEXMATCH(C317, ""g""), ""3"","""")"),"")</f>
        <v/>
      </c>
      <c r="AA317" s="245" t="str">
        <f>IFERROR(__xludf.DUMMYFUNCTION("IF(REGEXMATCH(C317, ""G""), ""4"","""")"),"4")</f>
        <v>4</v>
      </c>
      <c r="AB317" s="245" t="str">
        <f>IFERROR(__xludf.DUMMYFUNCTION("IF(REGEXMATCH(C317, ""m""), ""5"","""")"),"")</f>
        <v/>
      </c>
      <c r="AC317" s="246" t="str">
        <f>IFERROR(__xludf.DUMMYFUNCTION("IF(REGEXMATCH(C317, ""M""), ""6"","""")"),"")</f>
        <v/>
      </c>
      <c r="AD317" s="245" t="str">
        <f>IFERROR(__xludf.DUMMYFUNCTION("IF(REGEXMATCH(C317, ""P""), ""7"","""")"),"7")</f>
        <v>7</v>
      </c>
      <c r="AE317" s="246" t="str">
        <f>IFERROR(__xludf.DUMMYFUNCTION("IF(REGEXMATCH(C317, ""d""), ""8"","""")"),"")</f>
        <v/>
      </c>
      <c r="AF317" s="245" t="str">
        <f>IFERROR(__xludf.DUMMYFUNCTION("IF(REGEXMATCH(C317, ""D""), ""9"","""")"),"9")</f>
        <v>9</v>
      </c>
      <c r="AG317" s="245" t="str">
        <f>IFERROR(__xludf.DUMMYFUNCTION("IF(REGEXMATCH(C317, ""n""), ""10"","""")"),"")</f>
        <v/>
      </c>
      <c r="AH317" s="246" t="str">
        <f>IFERROR(__xludf.DUMMYFUNCTION("IF(REGEXMATCH(C317, ""N""), ""11"","""")"),"")</f>
        <v/>
      </c>
      <c r="AI317" s="249" t="str">
        <f>IFERROR(__xludf.DUMMYFUNCTION("IF(REGEXMATCH(C317, ""S""), ""0"","""")"),"0")</f>
        <v>0</v>
      </c>
      <c r="AJ317" s="313" t="str">
        <f t="shared" si="11"/>
        <v>-</v>
      </c>
      <c r="AK317" s="313" t="str">
        <f t="shared" si="12"/>
        <v>-</v>
      </c>
      <c r="AL317" s="313" t="str">
        <f t="shared" si="13"/>
        <v>-</v>
      </c>
      <c r="AM317" s="313" t="str">
        <f t="shared" si="14"/>
        <v>-</v>
      </c>
      <c r="AN317" s="313" t="str">
        <f t="shared" si="15"/>
        <v>-</v>
      </c>
      <c r="AO317" s="314" t="str">
        <f t="shared" si="16"/>
        <v>-</v>
      </c>
      <c r="AP317" s="316">
        <f t="shared" si="17"/>
        <v>0</v>
      </c>
      <c r="AQ317" s="319" t="str">
        <f t="shared" si="18"/>
        <v>-</v>
      </c>
      <c r="AR317" s="320">
        <f t="shared" si="19"/>
        <v>0</v>
      </c>
      <c r="AS317" s="250" t="str">
        <f>IFERROR(__xludf.DUMMYFUNCTION("SUBSTITUTE(SUBSTITUTE(CONCATENATE(JOIN("""",FP317:GA317)),""|"",""x""),""-"",""o"")"),"xoooxooxoxoo")</f>
        <v>xoooxooxoxoo</v>
      </c>
      <c r="AT317" s="323" t="str">
        <f>IFERROR(__xludf.DUMMYFUNCTION("JOIN("""",AS317,AS317)"),"xoooxooxoxooxoooxooxoxoo")</f>
        <v>xoooxooxoxooxoooxooxoxoo</v>
      </c>
      <c r="AU317" s="256" t="str">
        <f>IFERROR(__xludf.DUMMYFUNCTION("JOIN("""",ArrayFormula(MID(AS317,LEN(AS317)-SEQUENCE(1,LEN(AS317))+1,1)))"),"ooxoxooxooox")</f>
        <v>ooxoxooxooox</v>
      </c>
      <c r="AV317" s="256" t="str">
        <f>IFERROR(__xludf.DUMMYFUNCTION("LEFT(CONCATENATE(""x"",JOIN("""",ArrayFormula(MID(AS317,LEN(AS317)-SEQUENCE(1,LEN(AS317))+1,1)))),12)"),"xooxoxooxooo")</f>
        <v>xooxoxooxooo</v>
      </c>
      <c r="AW317" s="327" t="str">
        <f>IFERROR(__xludf.DUMMYFUNCTION("JOIN("""",AU317,AU317)"),"ooxoxooxoooxooxoxooxooox")</f>
        <v>ooxoxooxoooxooxoxooxooox</v>
      </c>
      <c r="AX317" s="239" t="str">
        <f>IFERROR(__xludf.DUMMYFUNCTION("IF(REGEXMATCH(AW317,AS317),""✔"",""-"")"),"✔")</f>
        <v>✔</v>
      </c>
      <c r="AY317" s="330" t="str">
        <f t="shared" si="20"/>
        <v>-</v>
      </c>
      <c r="AZ317" s="260" t="str">
        <f t="shared" si="21"/>
        <v>#REF!</v>
      </c>
      <c r="BA317" s="333" t="str">
        <f t="shared" si="22"/>
        <v>xoooxoo</v>
      </c>
      <c r="BB317" s="334" t="str">
        <f t="shared" si="23"/>
        <v>xoxoox</v>
      </c>
      <c r="BC317" s="335" t="str">
        <f t="shared" si="236"/>
        <v>-</v>
      </c>
      <c r="BD317" s="336" t="str">
        <f t="shared" si="25"/>
        <v>Shivangi: 'xoooxoo' + 'xoxoox'</v>
      </c>
      <c r="BE317" s="337">
        <f>IFERROR(__xludf.DUMMYFUNCTION("COUNTUNIQUE(FILTER(AT:AT,REGEXMATCH(AT:AT,AS317)))-1"),1.0)</f>
        <v>1</v>
      </c>
      <c r="BF317" s="261" t="str">
        <f>IFERROR(__xludf.DUMMYFUNCTION("IF(BI317=0,""(n/a)"",IF(BJ317=2,""(PAIR)"",IF(REGEXMATCH(AT317,""xoxoxxoxoxox""),""Bilawal"",IF(REGEXMATCH(AT317,""xoxoxooxoxoo""),""Bhupali"",IF(REGEXMATCH(AT317,""xoxoxxoxxoxo""),""Charukeshi"",IF(REGEXMATCH(AT317,""xoxoooxxoxxo""),""Kameshwari"",IF(REG"&amp;"EXMATCH(AT317,""xoxoxooxoxox""),""Shankara"",IF(REGEXMATCH(AT317,""xxooxoxxxoox""),""Basant"",IF(REGEXMATCH(AT317,""xoxoxxxxoxox""),""Bihag"",IF(REGEXMATCH(AT317,""xoxxxxoxoxxx""),""Pilu"",IF(REGEXMATCH(AT317,""xoxxoxoxxoox""),""Kirwani"",IF(REGEXMATCH(AT"&amp;"317,""xoxxoxoxoxxx""),""Mk.Malhar"",IF(REGEXMATCH(AT317,""xxooxxoxxoox""),""Bhairav"",IF(REGEXMATCH(AT317,""xxoxooxxxoox""),""Todi"",IF(REGEXMATCH(AT317,""xxooxoxooxox""),""Marwa"",IF(REGEXMATCH(AT317,""xxoooxoxxooo""),""Gunkali"",IF(REGEXMATCH(AT317,""xo"&amp;"xoxxoxxoox""),""Nat Bhairav"",IF(REGEXMATCH(AT317,""xoxxoooxoxoo""),""Shivranjani"",IF(REGEXMATCH(AT317,""xooxxxoxooxo""),""Jog"",IF(REGEXMATCH(AT317,""xxooxoxoxoox""),""Hemshri"",IF(REGEXMATCH(AT317,""xoooxooxoxxo""),""Kalavati"",IF(REGEXMATCH(AT317,""xx"&amp;"oxoxxoxoox""),""Kedar"",IF(REGEXMATCH(AT317,""xoxxxxoxooxx""),""Gara"",IF(REGEXMATCH(AT317,""xooxoxooxoox""),""Chandrakauns"",IF(REGEXMATCH(AT317,""xoxxxxoxxxox""),""Mand"",IF(REGEXMATCH(AT317,""xoxxxxoxoxox""),""Hanskinkini"",IF(REGEXMATCH(AT317,""xxooxx"&amp;"oxooxo""),""Lilavati"",IF(REGEXMATCH(AT317,""xooxoxoooxox""),""Rajeshwari"",IF(REGEXMATCH(AT317,""xoooxxoxoxxx""),""Khokar"",IF(REGEXMATCH(AT317,""xxooxoxxxxox""),""Maligoura"",""-""))))))))))))))))))))))))))))))"),"(PAIR)")</f>
        <v>(PAIR)</v>
      </c>
      <c r="BG317" s="239" t="str">
        <f t="shared" si="26"/>
        <v>#REF!</v>
      </c>
      <c r="BH317" s="239">
        <f>IFERROR(__xludf.DUMMYFUNCTION("COUNTUNIQUE(FE317:FO317)-1"),3.0)</f>
        <v>3</v>
      </c>
      <c r="BI317" s="239">
        <f>IFERROR(__xludf.DUMMYFUNCTION("COUNTUNIQUE(FILTER(AT:AT,REGEXMATCH(AT:AT,AS317)))-1"),1.0)</f>
        <v>1</v>
      </c>
      <c r="BJ317" s="239">
        <f>IFERROR(__xludf.DUMMYFUNCTION("COUNTA(FILTER(AT:AT,REGEXMATCH(AT:AT,AS317)))"),2.0)</f>
        <v>2</v>
      </c>
      <c r="BK317" s="341">
        <f>IFERROR(__xludf.DUMMYFUNCTION("COUNTA(FILTER(AT:AT,REGEXMATCH(AT:AT,AS317)))-AR317"),2.0)</f>
        <v>2</v>
      </c>
      <c r="BL317" s="276" t="str">
        <f>IFERROR(__xludf.DUMMYFUNCTION("IF(AS317=""oooooooooooo"",""-"",IF(REGEXMATCH(AT317,""xx""), ""Hemi."", ""Anhemi.""))"),"Anhemi.")</f>
        <v>Anhemi.</v>
      </c>
      <c r="BM317" s="282" t="str">
        <f>IFERROR(__xludf.DUMMYFUNCTION("IF(AS317=""oooooooooooo"",""-"",IF(REGEXMATCH(AT317,""xxx""), ""Cohem."", ""-""))"),"-")</f>
        <v>-</v>
      </c>
      <c r="BN317" s="282" t="str">
        <f>IFERROR(__xludf.DUMMYFUNCTION("IF(AS317=""oooooooooooo"",""-"",IF(REGEXMATCH(AT317,""xxxx""), ""Co-Co."", ""-""))"),"-")</f>
        <v>-</v>
      </c>
      <c r="BO317" s="342" t="str">
        <f>IFERROR(__xludf.DUMMYFUNCTION("IF(AS317=""oooooooooooo"",""-"",IF(REGEXMATCH(AT317,""xxxxx""), ""CCC."", ""-""))"),"-")</f>
        <v>-</v>
      </c>
      <c r="BP317" s="344" t="str">
        <f t="shared" si="27"/>
        <v>-</v>
      </c>
      <c r="BQ317" s="282" t="str">
        <f>IFERROR(__xludf.DUMMYFUNCTION("IF(REGEXMATCH(JOIN(""-"",EU317:FD317),""TRUE""),""✔"",""-"")"),"✔")</f>
        <v>✔</v>
      </c>
      <c r="BR317" s="225">
        <f t="shared" si="28"/>
        <v>4</v>
      </c>
      <c r="BS317" s="345" t="str">
        <f>IFERROR(__xludf.DUMMYFUNCTION("SUBSTITUTE(SUBSTITUTE(SUBSTITUTE(SUBSTITUTE(CONCATENATE(JOIN(""-"",GC317:GO317)),""--"",""-""),""--"",""-""),""--"",""-""),""--"",""-"")"),"1-3-5-6-8")</f>
        <v>1-3-5-6-8</v>
      </c>
      <c r="BT317" s="299" t="str">
        <f>IFERROR(__xludf.DUMMYFUNCTION("SUBSTITUTE(SUBSTITUTE(SUBSTITUTE(SUBSTITUTE(CONCATENATE(JOIN(""-"",GP317:HB317)),""--"",""-""),""--"",""-""),""--"",""-""),""--"",""-"")"),"S-G3-P-D2-S")</f>
        <v>S-G3-P-D2-S</v>
      </c>
      <c r="BU317" s="348" t="str">
        <f t="shared" si="29"/>
        <v>C-E-G-A-C</v>
      </c>
      <c r="BV317" s="349" t="str">
        <f t="shared" si="30"/>
        <v>SrRgmMdnNS</v>
      </c>
      <c r="BW317" s="350">
        <f t="shared" si="31"/>
        <v>0</v>
      </c>
      <c r="BX317" s="351">
        <f t="shared" si="32"/>
        <v>1</v>
      </c>
      <c r="BY317" s="392"/>
      <c r="BZ317" s="309" t="str">
        <f>IFERROR(__xludf.DUMMYFUNCTION("IF(REGEXMATCH(C317, ""S""), ""x"",""x"")"),"x")</f>
        <v>x</v>
      </c>
      <c r="CA317" s="245" t="str">
        <f>IFERROR(__xludf.DUMMYFUNCTION("IF(REGEXMATCH(C317, ""r""), ""o"",""x"")"),"x")</f>
        <v>x</v>
      </c>
      <c r="CB317" s="246" t="str">
        <f>IFERROR(__xludf.DUMMYFUNCTION("IF(REGEXMATCH(C317, ""R""), ""o"",""x"")"),"x")</f>
        <v>x</v>
      </c>
      <c r="CC317" s="246" t="str">
        <f>IFERROR(__xludf.DUMMYFUNCTION("IF(REGEXMATCH(C317, ""g""), ""o"",""x"")"),"x")</f>
        <v>x</v>
      </c>
      <c r="CD317" s="245" t="str">
        <f>IFERROR(__xludf.DUMMYFUNCTION("IF(REGEXMATCH(C317, ""G""), ""o"",""x"")"),"o")</f>
        <v>o</v>
      </c>
      <c r="CE317" s="245" t="str">
        <f>IFERROR(__xludf.DUMMYFUNCTION("IF(REGEXMATCH(C317, ""m""), ""o"",""x"")"),"x")</f>
        <v>x</v>
      </c>
      <c r="CF317" s="246" t="str">
        <f>IFERROR(__xludf.DUMMYFUNCTION("IF(REGEXMATCH(C317, ""M""), ""o"",""x"")"),"x")</f>
        <v>x</v>
      </c>
      <c r="CG317" s="245" t="str">
        <f>IFERROR(__xludf.DUMMYFUNCTION("IF(REGEXMATCH(C317, ""P""), ""o"",""x"")"),"o")</f>
        <v>o</v>
      </c>
      <c r="CH317" s="246" t="str">
        <f>IFERROR(__xludf.DUMMYFUNCTION("IF(REGEXMATCH(C317, ""d""), ""o"",""x"")"),"x")</f>
        <v>x</v>
      </c>
      <c r="CI317" s="245" t="str">
        <f>IFERROR(__xludf.DUMMYFUNCTION("IF(REGEXMATCH(C317, ""D""), ""o"",""x"")"),"o")</f>
        <v>o</v>
      </c>
      <c r="CJ317" s="245" t="str">
        <f>IFERROR(__xludf.DUMMYFUNCTION("IF(REGEXMATCH(C317, ""n""), ""o"",""x"")"),"x")</f>
        <v>x</v>
      </c>
      <c r="CK317" s="245" t="str">
        <f>IFERROR(__xludf.DUMMYFUNCTION("IF(REGEXMATCH(C317, ""N""), ""o"",""x"")"),"x")</f>
        <v>x</v>
      </c>
      <c r="CL317" s="356" t="str">
        <f>IFERROR(__xludf.DUMMYFUNCTION("IF(REGEXMATCH(C317, ""S""), ""x"",""x"")"),"x")</f>
        <v>x</v>
      </c>
      <c r="CM317" s="357" t="str">
        <f t="shared" si="33"/>
        <v>xxxxoxxoxoxx</v>
      </c>
      <c r="CN317" s="358">
        <f t="shared" si="34"/>
        <v>0</v>
      </c>
      <c r="CO317" s="246" t="str">
        <f>IFERROR(__xludf.DUMMYFUNCTION("IF(REGEXMATCH($C317, ""S""), ""S"",""S"")"),"S")</f>
        <v>S</v>
      </c>
      <c r="CP317" s="246" t="str">
        <f>IFERROR(__xludf.DUMMYFUNCTION("IF(REGEXMATCH($C317, ""r""), """",""r"")"),"r")</f>
        <v>r</v>
      </c>
      <c r="CQ317" s="246" t="str">
        <f>IFERROR(__xludf.DUMMYFUNCTION("IF(REGEXMATCH($C317, ""R""), """",""R"")"),"R")</f>
        <v>R</v>
      </c>
      <c r="CR317" s="246" t="str">
        <f>IFERROR(__xludf.DUMMYFUNCTION("IF(REGEXMATCH($C317, ""g""), """",""g"")"),"g")</f>
        <v>g</v>
      </c>
      <c r="CS317" s="246" t="str">
        <f>IFERROR(__xludf.DUMMYFUNCTION("IF(REGEXMATCH($C317, ""G""), """",""G"")"),"")</f>
        <v/>
      </c>
      <c r="CT317" s="246" t="str">
        <f>IFERROR(__xludf.DUMMYFUNCTION("IF(REGEXMATCH($C317, ""m""), """",""m"")"),"m")</f>
        <v>m</v>
      </c>
      <c r="CU317" s="246" t="str">
        <f>IFERROR(__xludf.DUMMYFUNCTION("IF(REGEXMATCH($C317, ""M""), """",""M"")"),"M")</f>
        <v>M</v>
      </c>
      <c r="CV317" s="246" t="str">
        <f>IFERROR(__xludf.DUMMYFUNCTION("IF(REGEXMATCH($C317, ""P""), """",""P"")"),"")</f>
        <v/>
      </c>
      <c r="CW317" s="246" t="str">
        <f>IFERROR(__xludf.DUMMYFUNCTION("IF(REGEXMATCH($C317, ""d""), """",""d"")"),"d")</f>
        <v>d</v>
      </c>
      <c r="CX317" s="246" t="str">
        <f>IFERROR(__xludf.DUMMYFUNCTION("IF(REGEXMATCH($C317, ""D""), """",""D"")"),"")</f>
        <v/>
      </c>
      <c r="CY317" s="246" t="str">
        <f>IFERROR(__xludf.DUMMYFUNCTION("IF(REGEXMATCH($C317, ""n""), """",""n"")"),"n")</f>
        <v>n</v>
      </c>
      <c r="CZ317" s="246" t="str">
        <f>IFERROR(__xludf.DUMMYFUNCTION("IF(REGEXMATCH($C317, ""N""), """",""N"")"),"N")</f>
        <v>N</v>
      </c>
      <c r="DA317" s="246" t="str">
        <f>IFERROR(__xludf.DUMMYFUNCTION("IF(REGEXMATCH($C317, ""S""), ""S"",""S"")"),"S")</f>
        <v>S</v>
      </c>
      <c r="DB317" s="362" t="str">
        <f>IFERROR(__xludf.DUMMYFUNCTION("JOIN("""",CO317:DA317,"""","""")"),"SrRgmMdnNS")</f>
        <v>SrRgmMdnNS</v>
      </c>
      <c r="DC317" s="363"/>
      <c r="DD317" s="301" t="str">
        <f t="shared" si="35"/>
        <v>#REF!</v>
      </c>
      <c r="DE317" s="302" t="str">
        <f t="shared" si="36"/>
        <v>#REF!</v>
      </c>
      <c r="DF317" s="301" t="str">
        <f t="shared" ref="DF317:DG317" si="863">SUBSTITUTE(S317,"-","")</f>
        <v>SG</v>
      </c>
      <c r="DG317" s="301" t="str">
        <f t="shared" si="863"/>
        <v>PDS</v>
      </c>
      <c r="DH317" s="302" t="str">
        <f t="shared" si="38"/>
        <v>(PAIR)</v>
      </c>
      <c r="DI317" s="301" t="str">
        <f t="shared" si="39"/>
        <v>Anhemi.</v>
      </c>
      <c r="DJ317" s="364" t="str">
        <f t="shared" si="40"/>
        <v>-</v>
      </c>
      <c r="DK317" s="306" t="str">
        <f t="shared" si="41"/>
        <v>-</v>
      </c>
      <c r="DL317" s="366" t="str">
        <f t="shared" si="42"/>
        <v>✔</v>
      </c>
      <c r="DM317" s="308" t="str">
        <f t="shared" si="43"/>
        <v>-</v>
      </c>
      <c r="DN317" s="306" t="str">
        <f t="shared" si="44"/>
        <v>✔</v>
      </c>
      <c r="DO317" s="306" t="str">
        <f t="shared" si="45"/>
        <v>-</v>
      </c>
      <c r="DP317" s="367" t="str">
        <f t="shared" si="46"/>
        <v>-</v>
      </c>
      <c r="DQ317" s="310" t="str">
        <f t="shared" si="47"/>
        <v>-</v>
      </c>
      <c r="DR317" s="310" t="str">
        <f t="shared" si="48"/>
        <v>-</v>
      </c>
      <c r="DS317" s="310" t="str">
        <f t="shared" si="49"/>
        <v>-</v>
      </c>
      <c r="DT317" s="310" t="str">
        <f t="shared" si="50"/>
        <v>-</v>
      </c>
      <c r="DU317" s="370" t="str">
        <f t="shared" si="51"/>
        <v>-</v>
      </c>
      <c r="DV317" s="306" t="str">
        <f t="shared" si="52"/>
        <v>✔</v>
      </c>
      <c r="DW317" s="306" t="str">
        <f t="shared" si="53"/>
        <v>-</v>
      </c>
      <c r="DX317" s="306" t="str">
        <f t="shared" si="54"/>
        <v>✔</v>
      </c>
      <c r="DY317" s="306" t="str">
        <f t="shared" si="55"/>
        <v>-</v>
      </c>
      <c r="DZ317" s="306" t="str">
        <f t="shared" si="56"/>
        <v>-</v>
      </c>
      <c r="EA317" s="367" t="str">
        <f t="shared" si="57"/>
        <v>✔</v>
      </c>
      <c r="EB317" s="310" t="str">
        <f>IFERROR(__xludf.DUMMYFUNCTION("IF(REGEXMATCH(AW317,AS317),""✔"",""-"")"),"✔")</f>
        <v>✔</v>
      </c>
      <c r="EC317" s="310" t="str">
        <f t="shared" si="58"/>
        <v>#REF!</v>
      </c>
      <c r="ED317" s="370" t="str">
        <f t="shared" si="59"/>
        <v>-</v>
      </c>
      <c r="EE317" s="340" t="str">
        <f t="shared" si="60"/>
        <v>S-G-P-D-S</v>
      </c>
      <c r="EF317" s="371" t="str">
        <f>IFERROR(__xludf.DUMMYFUNCTION("CONCATENATE(JOIN("""",HC317:HO317))"),"SgmdS")</f>
        <v>SgmdS</v>
      </c>
      <c r="EG317" s="372">
        <f t="shared" si="61"/>
        <v>2</v>
      </c>
      <c r="EH317" s="373" t="str">
        <f>IFERROR(__xludf.DUMMYFUNCTION("CONCATENATE(JOIN("""",JC317:JO317))"),"Ga, Pa, ")</f>
        <v>Ga, Pa, </v>
      </c>
      <c r="EI317" s="322">
        <f t="shared" si="62"/>
        <v>0</v>
      </c>
      <c r="EJ317" s="374" t="str">
        <f>IFERROR(__xludf.DUMMYFUNCTION("CONCATENATE(JOIN("""",KC317:KO317))"),"")</f>
        <v/>
      </c>
      <c r="EK317" s="325" t="str">
        <f t="shared" si="63"/>
        <v>S-G3-P-D2-S</v>
      </c>
      <c r="EL317" s="326" t="str">
        <f t="shared" si="64"/>
        <v>1-3-5-6-8</v>
      </c>
      <c r="EM317" s="318" t="str">
        <f t="shared" si="65"/>
        <v>#REF!</v>
      </c>
      <c r="EN317" s="328" t="str">
        <f>IFERROR(__xludf.DUMMYFUNCTION("SUBSTITUTE(SUBSTITUTE(SUBSTITUTE(SUBSTITUTE(CONCATENATE(JOIN("" "",HP317:IB317)),""  "","" ""),""  "","" ""),""  "","" ""),""  "","" "")"),"o • • • o • • o • o • • o")</f>
        <v>o • • • o • • o • o • • o</v>
      </c>
      <c r="EO317" s="368" t="str">
        <f t="shared" si="66"/>
        <v>Sa-Pa</v>
      </c>
      <c r="EP317" s="339" t="str">
        <f t="shared" si="67"/>
        <v>-</v>
      </c>
      <c r="EQ317" s="339" t="str">
        <f t="shared" si="68"/>
        <v>Sa-Pa</v>
      </c>
      <c r="ER317" s="339" t="str">
        <f t="shared" si="69"/>
        <v>Sa-Pa</v>
      </c>
      <c r="ES317" s="340" t="str">
        <f t="shared" si="70"/>
        <v>-</v>
      </c>
      <c r="ET317" s="363"/>
      <c r="EU317" s="376" t="b">
        <f>IFERROR(__xludf.DUMMYFUNCTION("arrayformula(sum(--REGEXMATCH(""SRGMPDNS"",split(REGEXREPLACE(C317,""(.)"",""$1~""),""~""))))=len(C317)
"),TRUE)</f>
        <v>1</v>
      </c>
      <c r="EV317" s="290" t="b">
        <f>IFERROR(__xludf.DUMMYFUNCTION("arrayformula(sum(--REGEXMATCH(""SRGmPDNS"",split(REGEXREPLACE(C317,""(.)"",""$1~""),""~""))))=len(C317)"),TRUE)</f>
        <v>1</v>
      </c>
      <c r="EW317" s="290" t="b">
        <f>IFERROR(__xludf.DUMMYFUNCTION("arrayformula(sum(--REGEXMATCH(""SRGmPDnS"",split(REGEXREPLACE(C317,""(.)"",""$1~""),""~""))))=len(C317)"),TRUE)</f>
        <v>1</v>
      </c>
      <c r="EX317" s="290" t="b">
        <f>IFERROR(__xludf.DUMMYFUNCTION("arrayformula(sum(--REGEXMATCH(""SRgmPDnS"",split(REGEXREPLACE(C317,""(.)"",""$1~""),""~""))))=len(C317)"),FALSE)</f>
        <v>0</v>
      </c>
      <c r="EY317" s="290" t="b">
        <f>IFERROR(__xludf.DUMMYFUNCTION("arrayformula(sum(--REGEXMATCH(""SRgmPdnS"",split(REGEXREPLACE(C317,""(.)"",""$1~""),""~""))))=len(C317)"),FALSE)</f>
        <v>0</v>
      </c>
      <c r="EZ317" s="290" t="b">
        <f>IFERROR(__xludf.DUMMYFUNCTION("arrayformula(sum(--REGEXMATCH(""SrgmPdnS"",split(REGEXREPLACE(C317,""(.)"",""$1~""),""~""))))=len(C317)"),FALSE)</f>
        <v>0</v>
      </c>
      <c r="FA317" s="290" t="b">
        <f>IFERROR(__xludf.DUMMYFUNCTION("arrayformula(sum(--REGEXMATCH(""SrGmPdNS"",split(REGEXREPLACE(C317,""(.)"",""$1~""),""~""))))=len(C317)"),FALSE)</f>
        <v>0</v>
      </c>
      <c r="FB317" s="290" t="b">
        <f>IFERROR(__xludf.DUMMYFUNCTION("arrayformula(sum(--REGEXMATCH(""SrGMPDNS"",split(REGEXREPLACE(C317,""(.)"",""$1~""),""~""))))=len(C317)"),TRUE)</f>
        <v>1</v>
      </c>
      <c r="FC317" s="290" t="b">
        <f>IFERROR(__xludf.DUMMYFUNCTION("arrayformula(sum(--REGEXMATCH(""SrGMPdNS"",split(REGEXREPLACE(C317,""(.)"",""$1~""),""~""))))=len(C317)"),FALSE)</f>
        <v>0</v>
      </c>
      <c r="FD317" s="377" t="b">
        <f>IFERROR(__xludf.DUMMYFUNCTION("arrayformula(sum(--REGEXMATCH(""SrgMPdNS"",split(REGEXREPLACE(C317,""(.)"",""$1~""),""~""))))=len(C317)"),FALSE)</f>
        <v>0</v>
      </c>
      <c r="FE317" s="269" t="str">
        <f t="shared" si="71"/>
        <v>-</v>
      </c>
      <c r="FF317" s="269" t="str">
        <f t="shared" si="72"/>
        <v>-</v>
      </c>
      <c r="FG317" s="271" t="str">
        <f t="shared" si="73"/>
        <v>-</v>
      </c>
      <c r="FH317" s="269" t="str">
        <f t="shared" si="74"/>
        <v>xooxoxooxoo</v>
      </c>
      <c r="FI317" s="271" t="str">
        <f t="shared" si="75"/>
        <v>-</v>
      </c>
      <c r="FJ317" s="271" t="str">
        <f t="shared" si="76"/>
        <v>-</v>
      </c>
      <c r="FK317" s="271" t="str">
        <f t="shared" si="77"/>
        <v>xoxooxoooxo</v>
      </c>
      <c r="FL317" s="271" t="str">
        <f t="shared" si="78"/>
        <v>-</v>
      </c>
      <c r="FM317" s="271" t="str">
        <f t="shared" si="79"/>
        <v>xooxoooxoox</v>
      </c>
      <c r="FN317" s="271" t="str">
        <f t="shared" si="80"/>
        <v>-</v>
      </c>
      <c r="FO317" s="274" t="str">
        <f t="shared" si="81"/>
        <v>-</v>
      </c>
      <c r="FP317" s="234" t="str">
        <f t="shared" si="82"/>
        <v>|</v>
      </c>
      <c r="FQ317" s="236" t="str">
        <f t="shared" si="83"/>
        <v>-</v>
      </c>
      <c r="FR317" s="237" t="str">
        <f t="shared" si="84"/>
        <v>-</v>
      </c>
      <c r="FS317" s="236" t="str">
        <f t="shared" si="85"/>
        <v>-</v>
      </c>
      <c r="FT317" s="237" t="str">
        <f t="shared" si="86"/>
        <v>|</v>
      </c>
      <c r="FU317" s="236" t="str">
        <f t="shared" si="87"/>
        <v>-</v>
      </c>
      <c r="FV317" s="237" t="str">
        <f t="shared" si="88"/>
        <v>-</v>
      </c>
      <c r="FW317" s="236" t="str">
        <f t="shared" si="89"/>
        <v>|</v>
      </c>
      <c r="FX317" s="237" t="str">
        <f t="shared" si="90"/>
        <v>-</v>
      </c>
      <c r="FY317" s="236" t="str">
        <f t="shared" si="91"/>
        <v>|</v>
      </c>
      <c r="FZ317" s="237" t="str">
        <f t="shared" si="92"/>
        <v>-</v>
      </c>
      <c r="GA317" s="236" t="str">
        <f t="shared" si="93"/>
        <v>-</v>
      </c>
      <c r="GB317" s="238" t="str">
        <f t="shared" si="94"/>
        <v>|</v>
      </c>
      <c r="GC317" s="244" t="str">
        <f>IFERROR(__xludf.DUMMYFUNCTION("IF(REGEXMATCH(C317, ""S""), ""1"","""")"),"1")</f>
        <v>1</v>
      </c>
      <c r="GD317" s="245" t="str">
        <f>IFERROR(__xludf.DUMMYFUNCTION("IF(REGEXMATCH(C317, ""r""), ""b2"","""")"),"")</f>
        <v/>
      </c>
      <c r="GE317" s="246" t="str">
        <f>IFERROR(__xludf.DUMMYFUNCTION("IF(REGEXMATCH(C317, ""R""), ""2"","""")"),"")</f>
        <v/>
      </c>
      <c r="GF317" s="246" t="str">
        <f>IFERROR(__xludf.DUMMYFUNCTION("IF(REGEXMATCH(C317, ""g""), ""b3"","""")"),"")</f>
        <v/>
      </c>
      <c r="GG317" s="245" t="str">
        <f>IFERROR(__xludf.DUMMYFUNCTION("IF(REGEXMATCH(C317, ""G""), ""3"","""")"),"3")</f>
        <v>3</v>
      </c>
      <c r="GH317" s="245" t="str">
        <f>IFERROR(__xludf.DUMMYFUNCTION("IF(REGEXMATCH(C317, ""m""), ""4"","""")"),"")</f>
        <v/>
      </c>
      <c r="GI317" s="246" t="str">
        <f>IFERROR(__xludf.DUMMYFUNCTION("IF(REGEXMATCH(C317, ""M""), ""#4"","""")"),"")</f>
        <v/>
      </c>
      <c r="GJ317" s="245" t="str">
        <f>IFERROR(__xludf.DUMMYFUNCTION("IF(REGEXMATCH(C317, ""P""), ""5"","""")"),"5")</f>
        <v>5</v>
      </c>
      <c r="GK317" s="246" t="str">
        <f>IFERROR(__xludf.DUMMYFUNCTION("IF(REGEXMATCH(C317, ""d""), ""b6"","""")"),"")</f>
        <v/>
      </c>
      <c r="GL317" s="245" t="str">
        <f>IFERROR(__xludf.DUMMYFUNCTION("IF(REGEXMATCH(C317, ""D""), ""6"","""")"),"6")</f>
        <v>6</v>
      </c>
      <c r="GM317" s="245" t="str">
        <f>IFERROR(__xludf.DUMMYFUNCTION("IF(REGEXMATCH(C317, ""n""), ""b7"","""")"),"")</f>
        <v/>
      </c>
      <c r="GN317" s="246" t="str">
        <f>IFERROR(__xludf.DUMMYFUNCTION("IF(REGEXMATCH(C317, ""N""), ""7"","""")"),"")</f>
        <v/>
      </c>
      <c r="GO317" s="249" t="str">
        <f>IFERROR(__xludf.DUMMYFUNCTION("IF(REGEXMATCH(C317, ""S""), ""8"","""")"),"8")</f>
        <v>8</v>
      </c>
      <c r="GP317" s="244" t="str">
        <f>IFERROR(__xludf.DUMMYFUNCTION("IF(REGEXMATCH(C317, ""S""), ""S"","""")"),"S")</f>
        <v>S</v>
      </c>
      <c r="GQ317" s="294" t="str">
        <f>IFERROR(__xludf.DUMMYFUNCTION("IF(REGEXMATCH(C317, ""r""), ""R1"","""")"),"")</f>
        <v/>
      </c>
      <c r="GR317" s="295" t="str">
        <f>IFERROR(__xludf.DUMMYFUNCTION("IF(REGEXMATCH(C317, ""R""), ""R2"","""")"),"")</f>
        <v/>
      </c>
      <c r="GS317" s="295" t="str">
        <f>IFERROR(__xludf.DUMMYFUNCTION("IF(REGEXMATCH(C317, ""g""), ""G2"","""")"),"")</f>
        <v/>
      </c>
      <c r="GT317" s="294" t="str">
        <f>IFERROR(__xludf.DUMMYFUNCTION("IF(REGEXMATCH(C317, ""G""), ""G3"","""")"),"G3")</f>
        <v>G3</v>
      </c>
      <c r="GU317" s="294" t="str">
        <f>IFERROR(__xludf.DUMMYFUNCTION("IF(REGEXMATCH(C317, ""m""), ""M1"","""")"),"")</f>
        <v/>
      </c>
      <c r="GV317" s="295" t="str">
        <f>IFERROR(__xludf.DUMMYFUNCTION("IF(REGEXMATCH(C317, ""M""), ""M2"","""")"),"")</f>
        <v/>
      </c>
      <c r="GW317" s="294" t="str">
        <f>IFERROR(__xludf.DUMMYFUNCTION("IF(REGEXMATCH(C317, ""P""), ""P"","""")"),"P")</f>
        <v>P</v>
      </c>
      <c r="GX317" s="295" t="str">
        <f>IFERROR(__xludf.DUMMYFUNCTION("IF(REGEXMATCH(C317, ""d""), ""D1"","""")"),"")</f>
        <v/>
      </c>
      <c r="GY317" s="294" t="str">
        <f>IFERROR(__xludf.DUMMYFUNCTION("IF(REGEXMATCH(C317, ""D""), ""D2"","""")"),"D2")</f>
        <v>D2</v>
      </c>
      <c r="GZ317" s="294" t="str">
        <f>IFERROR(__xludf.DUMMYFUNCTION("IF(REGEXMATCH(C317, ""n""), ""N2"","""")"),"")</f>
        <v/>
      </c>
      <c r="HA317" s="295" t="str">
        <f>IFERROR(__xludf.DUMMYFUNCTION("IF(REGEXMATCH(C317, ""N""), ""N3"","""")"),"")</f>
        <v/>
      </c>
      <c r="HB317" s="249" t="str">
        <f>IFERROR(__xludf.DUMMYFUNCTION("IF(REGEXMATCH(C317, ""S""), ""S"","""")"),"S")</f>
        <v>S</v>
      </c>
      <c r="HC317" s="331" t="str">
        <f t="shared" si="95"/>
        <v>S</v>
      </c>
      <c r="HD317" s="332" t="str">
        <f t="shared" si="96"/>
        <v/>
      </c>
      <c r="HE317" s="332" t="str">
        <f t="shared" si="97"/>
        <v/>
      </c>
      <c r="HF317" s="332" t="str">
        <f t="shared" si="98"/>
        <v>g</v>
      </c>
      <c r="HG317" s="332" t="str">
        <f t="shared" si="99"/>
        <v/>
      </c>
      <c r="HH317" s="332" t="str">
        <f t="shared" si="100"/>
        <v>m</v>
      </c>
      <c r="HI317" s="332" t="str">
        <f t="shared" si="101"/>
        <v/>
      </c>
      <c r="HJ317" s="332" t="str">
        <f t="shared" si="102"/>
        <v/>
      </c>
      <c r="HK317" s="332" t="str">
        <f t="shared" si="103"/>
        <v>d</v>
      </c>
      <c r="HL317" s="332" t="str">
        <f t="shared" si="104"/>
        <v/>
      </c>
      <c r="HM317" s="332" t="str">
        <f t="shared" si="105"/>
        <v/>
      </c>
      <c r="HN317" s="332" t="str">
        <f t="shared" si="106"/>
        <v/>
      </c>
      <c r="HO317" s="343" t="str">
        <f t="shared" si="107"/>
        <v>S</v>
      </c>
      <c r="HP317" s="331" t="str">
        <f t="shared" si="108"/>
        <v>o</v>
      </c>
      <c r="HQ317" s="332" t="str">
        <f t="shared" si="109"/>
        <v>•</v>
      </c>
      <c r="HR317" s="332" t="str">
        <f t="shared" si="110"/>
        <v>•</v>
      </c>
      <c r="HS317" s="332" t="str">
        <f t="shared" si="111"/>
        <v>•</v>
      </c>
      <c r="HT317" s="332" t="str">
        <f t="shared" si="112"/>
        <v>o</v>
      </c>
      <c r="HU317" s="332" t="str">
        <f t="shared" si="113"/>
        <v>•</v>
      </c>
      <c r="HV317" s="332" t="str">
        <f t="shared" si="114"/>
        <v>•</v>
      </c>
      <c r="HW317" s="332" t="str">
        <f t="shared" si="115"/>
        <v>o</v>
      </c>
      <c r="HX317" s="332" t="str">
        <f t="shared" si="116"/>
        <v>•</v>
      </c>
      <c r="HY317" s="332" t="str">
        <f t="shared" si="117"/>
        <v>o</v>
      </c>
      <c r="HZ317" s="332" t="str">
        <f t="shared" si="118"/>
        <v>•</v>
      </c>
      <c r="IA317" s="332" t="str">
        <f t="shared" si="119"/>
        <v>•</v>
      </c>
      <c r="IB317" s="338" t="str">
        <f t="shared" si="120"/>
        <v>o</v>
      </c>
      <c r="IC317" s="331" t="str">
        <f t="shared" si="121"/>
        <v>•</v>
      </c>
      <c r="ID317" s="332" t="str">
        <f t="shared" si="122"/>
        <v>o</v>
      </c>
      <c r="IE317" s="332" t="str">
        <f t="shared" si="123"/>
        <v>o</v>
      </c>
      <c r="IF317" s="332" t="str">
        <f t="shared" si="124"/>
        <v>o</v>
      </c>
      <c r="IG317" s="332" t="str">
        <f t="shared" si="125"/>
        <v>•</v>
      </c>
      <c r="IH317" s="332" t="str">
        <f t="shared" si="126"/>
        <v>o</v>
      </c>
      <c r="II317" s="332" t="str">
        <f t="shared" si="127"/>
        <v>o</v>
      </c>
      <c r="IJ317" s="332" t="str">
        <f t="shared" si="128"/>
        <v>•</v>
      </c>
      <c r="IK317" s="332" t="str">
        <f t="shared" si="129"/>
        <v>o</v>
      </c>
      <c r="IL317" s="332" t="str">
        <f t="shared" si="130"/>
        <v>•</v>
      </c>
      <c r="IM317" s="332" t="str">
        <f t="shared" si="131"/>
        <v>o</v>
      </c>
      <c r="IN317" s="332" t="str">
        <f t="shared" si="132"/>
        <v>o</v>
      </c>
      <c r="IO317" s="338" t="str">
        <f t="shared" si="133"/>
        <v>•</v>
      </c>
      <c r="IP317" s="346" t="b">
        <f t="shared" si="134"/>
        <v>0</v>
      </c>
      <c r="IQ317" s="347" t="b">
        <f t="shared" si="135"/>
        <v>0</v>
      </c>
      <c r="IR317" s="347" t="b">
        <f t="shared" si="136"/>
        <v>0</v>
      </c>
      <c r="IS317" s="347" t="b">
        <f t="shared" si="137"/>
        <v>0</v>
      </c>
      <c r="IT317" s="347" t="b">
        <f t="shared" si="138"/>
        <v>1</v>
      </c>
      <c r="IU317" s="347" t="b">
        <f t="shared" si="139"/>
        <v>0</v>
      </c>
      <c r="IV317" s="347" t="b">
        <f t="shared" si="140"/>
        <v>0</v>
      </c>
      <c r="IW317" s="347" t="b">
        <f t="shared" si="141"/>
        <v>1</v>
      </c>
      <c r="IX317" s="347" t="b">
        <f t="shared" si="142"/>
        <v>0</v>
      </c>
      <c r="IY317" s="347" t="b">
        <f t="shared" si="143"/>
        <v>0</v>
      </c>
      <c r="IZ317" s="347" t="b">
        <f t="shared" si="144"/>
        <v>0</v>
      </c>
      <c r="JA317" s="347" t="b">
        <f t="shared" si="145"/>
        <v>0</v>
      </c>
      <c r="JB317" s="353" t="b">
        <f t="shared" si="146"/>
        <v>0</v>
      </c>
      <c r="JC317" s="354" t="str">
        <f t="shared" si="147"/>
        <v/>
      </c>
      <c r="JD317" s="355" t="str">
        <f t="shared" si="148"/>
        <v/>
      </c>
      <c r="JE317" s="355" t="str">
        <f t="shared" si="149"/>
        <v/>
      </c>
      <c r="JF317" s="355" t="str">
        <f t="shared" si="150"/>
        <v/>
      </c>
      <c r="JG317" s="355" t="str">
        <f t="shared" si="151"/>
        <v>Ga, </v>
      </c>
      <c r="JH317" s="355" t="str">
        <f t="shared" si="152"/>
        <v/>
      </c>
      <c r="JI317" s="355" t="str">
        <f t="shared" si="153"/>
        <v/>
      </c>
      <c r="JJ317" s="355" t="str">
        <f t="shared" si="154"/>
        <v>Pa, </v>
      </c>
      <c r="JK317" s="355" t="str">
        <f t="shared" si="155"/>
        <v/>
      </c>
      <c r="JL317" s="355" t="str">
        <f t="shared" si="156"/>
        <v/>
      </c>
      <c r="JM317" s="355" t="str">
        <f t="shared" si="157"/>
        <v/>
      </c>
      <c r="JN317" s="355" t="str">
        <f t="shared" si="158"/>
        <v/>
      </c>
      <c r="JO317" s="359" t="str">
        <f t="shared" si="159"/>
        <v/>
      </c>
      <c r="JP317" s="346" t="b">
        <f t="shared" si="160"/>
        <v>0</v>
      </c>
      <c r="JQ317" s="347" t="b">
        <f t="shared" si="161"/>
        <v>0</v>
      </c>
      <c r="JR317" s="347" t="b">
        <f t="shared" si="162"/>
        <v>0</v>
      </c>
      <c r="JS317" s="347" t="b">
        <f t="shared" si="163"/>
        <v>0</v>
      </c>
      <c r="JT317" s="347" t="b">
        <f t="shared" si="164"/>
        <v>0</v>
      </c>
      <c r="JU317" s="347" t="b">
        <f t="shared" si="165"/>
        <v>0</v>
      </c>
      <c r="JV317" s="347" t="b">
        <f t="shared" si="166"/>
        <v>0</v>
      </c>
      <c r="JW317" s="347" t="b">
        <f t="shared" si="167"/>
        <v>0</v>
      </c>
      <c r="JX317" s="347" t="b">
        <f t="shared" si="168"/>
        <v>0</v>
      </c>
      <c r="JY317" s="347" t="b">
        <f t="shared" si="169"/>
        <v>0</v>
      </c>
      <c r="JZ317" s="347" t="b">
        <f t="shared" si="170"/>
        <v>0</v>
      </c>
      <c r="KA317" s="347" t="b">
        <f t="shared" si="171"/>
        <v>0</v>
      </c>
      <c r="KB317" s="365" t="b">
        <f t="shared" si="172"/>
        <v>0</v>
      </c>
      <c r="KC317" s="354" t="str">
        <f t="shared" si="173"/>
        <v/>
      </c>
      <c r="KD317" s="355" t="str">
        <f t="shared" si="174"/>
        <v/>
      </c>
      <c r="KE317" s="355" t="str">
        <f t="shared" si="175"/>
        <v/>
      </c>
      <c r="KF317" s="355" t="str">
        <f t="shared" si="176"/>
        <v/>
      </c>
      <c r="KG317" s="355" t="str">
        <f t="shared" si="177"/>
        <v/>
      </c>
      <c r="KH317" s="355" t="str">
        <f t="shared" si="178"/>
        <v/>
      </c>
      <c r="KI317" s="355" t="str">
        <f t="shared" si="179"/>
        <v/>
      </c>
      <c r="KJ317" s="355" t="str">
        <f t="shared" si="180"/>
        <v/>
      </c>
      <c r="KK317" s="355" t="str">
        <f t="shared" si="181"/>
        <v/>
      </c>
      <c r="KL317" s="355" t="str">
        <f t="shared" si="182"/>
        <v/>
      </c>
      <c r="KM317" s="355" t="str">
        <f t="shared" si="183"/>
        <v/>
      </c>
      <c r="KN317" s="355" t="str">
        <f t="shared" si="184"/>
        <v/>
      </c>
      <c r="KO317" s="359"/>
      <c r="KP317" s="378"/>
      <c r="KQ317" s="379" t="s">
        <v>9</v>
      </c>
      <c r="KR317" s="380" t="s">
        <v>9</v>
      </c>
      <c r="KS317" s="381" t="s">
        <v>9</v>
      </c>
      <c r="KT317" s="382">
        <f t="shared" si="186"/>
        <v>0</v>
      </c>
      <c r="KU317" s="383">
        <f t="shared" si="187"/>
        <v>0</v>
      </c>
      <c r="KV317" s="381" t="str">
        <f t="shared" si="205"/>
        <v>S</v>
      </c>
      <c r="KW317" s="382">
        <f t="shared" si="189"/>
        <v>0</v>
      </c>
      <c r="KX317" s="384">
        <f t="shared" si="190"/>
        <v>0</v>
      </c>
      <c r="KY317" s="382">
        <f t="shared" ref="KY317:KZ317" si="864">KW317-KT317</f>
        <v>0</v>
      </c>
      <c r="KZ317" s="369">
        <f t="shared" si="864"/>
        <v>0</v>
      </c>
      <c r="LA317" s="385" t="str">
        <f t="shared" si="192"/>
        <v>✔</v>
      </c>
      <c r="LB317" s="340" t="str">
        <f>IFERROR(__xludf.DUMMYFUNCTION("JOIN("""",ArrayFormula(MID(KS317,LEN(KS317)-SEQUENCE(1,LEN(KS317))+1,1)))"),"S")</f>
        <v>S</v>
      </c>
      <c r="LC317" s="373" t="str">
        <f>IFERROR(__xludf.DUMMYFUNCTION("JOIN("""",ArrayFormula(MID(KV317,LEN(KV317)-SEQUENCE(1,LEN(KV317))+1,1)))"),"S")</f>
        <v>S</v>
      </c>
      <c r="LD317" s="373" t="str">
        <f t="shared" si="193"/>
        <v>S</v>
      </c>
      <c r="LE317" s="339" t="str">
        <f t="shared" si="194"/>
        <v>S</v>
      </c>
      <c r="LF317" s="386" t="str">
        <f>IFERROR(__xludf.DUMMYFUNCTION("SUBSTITUTE(SUBSTITUTE(CONCATENATE(JOIN("""",LH317:LT317)),""1"",""""),""2"","""")"),"SS")</f>
        <v>SS</v>
      </c>
      <c r="LG317" s="369" t="str">
        <f t="shared" si="195"/>
        <v>-</v>
      </c>
      <c r="LH317" s="387" t="str">
        <f>IFERROR(__xludf.DUMMYFUNCTION("IF(REGEXMATCH(LD317, ""S""), ""S"",IF(REGEXMATCH(LE317, ""S""), ""S"",""""))"),"S")</f>
        <v>S</v>
      </c>
      <c r="LI317" s="299" t="str">
        <f>IFERROR(__xludf.DUMMYFUNCTION("IF(REGEXMATCH(LD317, ""r""), ""r1"",IF(REGEXMATCH(LE317, ""r""), ""r2"",""""))"),"")</f>
        <v/>
      </c>
      <c r="LJ317" s="299" t="str">
        <f>IFERROR(__xludf.DUMMYFUNCTION("IF(REGEXMATCH(LD317, ""R""), ""R1"",IF(REGEXMATCH(LE317, ""R""), ""R2"",""""))"),"")</f>
        <v/>
      </c>
      <c r="LK317" s="299" t="str">
        <f>IFERROR(__xludf.DUMMYFUNCTION("IF(REGEXMATCH(LD317, ""g""), ""g1"",IF(REGEXMATCH(LE317, ""g""), ""g2"",""""))"),"")</f>
        <v/>
      </c>
      <c r="LL317" s="299" t="str">
        <f>IFERROR(__xludf.DUMMYFUNCTION("IF(REGEXMATCH(LD317, ""G""), ""G1"",IF(REGEXMATCH(LE317, ""G""), ""G2"",""""))"),"")</f>
        <v/>
      </c>
      <c r="LM317" s="299" t="str">
        <f>IFERROR(__xludf.DUMMYFUNCTION("IF(REGEXMATCH(LD317, ""m""), ""m1"",IF(REGEXMATCH(LE317, ""m""), ""m2"",""""))"),"")</f>
        <v/>
      </c>
      <c r="LN317" s="299" t="str">
        <f>IFERROR(__xludf.DUMMYFUNCTION("IF(REGEXMATCH(LD317, ""M""), ""M1"",IF(REGEXMATCH(LE317, ""M""), ""M2"",""""))"),"")</f>
        <v/>
      </c>
      <c r="LO317" s="299" t="str">
        <f>IFERROR(__xludf.DUMMYFUNCTION("IF(REGEXMATCH(LD317, ""P""), ""P1"",IF(REGEXMATCH(LE317, ""P""), ""P2"",""""))"),"")</f>
        <v/>
      </c>
      <c r="LP317" s="299" t="str">
        <f>IFERROR(__xludf.DUMMYFUNCTION("IF(REGEXMATCH(LD317, ""d""), ""d1"",IF(REGEXMATCH(LE317, ""d""), ""d2"",""""))"),"")</f>
        <v/>
      </c>
      <c r="LQ317" s="299" t="str">
        <f>IFERROR(__xludf.DUMMYFUNCTION("IF(REGEXMATCH(LD317, ""D""), ""D1"",IF(REGEXMATCH(LE317, ""D""), ""D2"",""""))"),"")</f>
        <v/>
      </c>
      <c r="LR317" s="299" t="str">
        <f>IFERROR(__xludf.DUMMYFUNCTION("IF(REGEXMATCH(LD317, ""n""), ""n1"",IF(REGEXMATCH(LE317, ""n""), ""n2"",""""))"),"")</f>
        <v/>
      </c>
      <c r="LS317" s="299" t="str">
        <f>IFERROR(__xludf.DUMMYFUNCTION("IF(REGEXMATCH(LD317, ""N""), ""N1"",IF(REGEXMATCH(LE317, ""N""), ""N2"",""""))"),"")</f>
        <v/>
      </c>
      <c r="LT317" s="388" t="str">
        <f>IFERROR(__xludf.DUMMYFUNCTION("IF(REGEXMATCH(LD317, ""S""), ""S"",IF(REGEXMATCH(LE317, ""S""), ""S"",""""))"),"S")</f>
        <v>S</v>
      </c>
      <c r="LU317" s="389">
        <f t="shared" si="196"/>
        <v>1</v>
      </c>
      <c r="LV317" s="378"/>
      <c r="LW317" s="369"/>
      <c r="LX317" s="369"/>
    </row>
    <row r="318" ht="18.0" customHeight="1">
      <c r="A318" s="298" t="s">
        <v>1491</v>
      </c>
      <c r="B318" s="222" t="s">
        <v>1492</v>
      </c>
      <c r="C318" s="233" t="str">
        <f t="shared" si="7"/>
        <v>SgGmPdnNS</v>
      </c>
      <c r="D318" s="234" t="str">
        <f>IFERROR(__xludf.DUMMYFUNCTION("IF(REGEXMATCH(C318, ""S""), ""S"","""")"),"S")</f>
        <v>S</v>
      </c>
      <c r="E318" s="236" t="str">
        <f>IFERROR(__xludf.DUMMYFUNCTION("IF(REGEXMATCH(C318, ""r""), ""r"","""")"),"")</f>
        <v/>
      </c>
      <c r="F318" s="237" t="str">
        <f>IFERROR(__xludf.DUMMYFUNCTION("IF(REGEXMATCH(C318, ""R""), ""R"","""")"),"")</f>
        <v/>
      </c>
      <c r="G318" s="237" t="str">
        <f>IFERROR(__xludf.DUMMYFUNCTION("IF(REGEXMATCH(C318, ""g""), ""g"","""")"),"g")</f>
        <v>g</v>
      </c>
      <c r="H318" s="236" t="str">
        <f>IFERROR(__xludf.DUMMYFUNCTION("IF(REGEXMATCH(C318, ""G""), ""G"","""")"),"G")</f>
        <v>G</v>
      </c>
      <c r="I318" s="236" t="str">
        <f>IFERROR(__xludf.DUMMYFUNCTION("IF(REGEXMATCH(C318, ""m""), ""m"","""")"),"m")</f>
        <v>m</v>
      </c>
      <c r="J318" s="237" t="str">
        <f>IFERROR(__xludf.DUMMYFUNCTION("IF(REGEXMATCH(C318, ""M""), ""M"","""")"),"")</f>
        <v/>
      </c>
      <c r="K318" s="236" t="str">
        <f>IFERROR(__xludf.DUMMYFUNCTION("IF(REGEXMATCH(C318, ""P""), ""P"","""")"),"P")</f>
        <v>P</v>
      </c>
      <c r="L318" s="237" t="str">
        <f>IFERROR(__xludf.DUMMYFUNCTION("IF(REGEXMATCH(C318, ""d""), ""d"","""")"),"d")</f>
        <v>d</v>
      </c>
      <c r="M318" s="236" t="str">
        <f>IFERROR(__xludf.DUMMYFUNCTION("IF(REGEXMATCH(C318, ""D""), ""D"","""")"),"")</f>
        <v/>
      </c>
      <c r="N318" s="236" t="str">
        <f>IFERROR(__xludf.DUMMYFUNCTION("IF(REGEXMATCH(C318, ""n""), ""n"","""")"),"n")</f>
        <v>n</v>
      </c>
      <c r="O318" s="237" t="str">
        <f>IFERROR(__xludf.DUMMYFUNCTION("IF(REGEXMATCH(C318, ""N""), ""N"","""")"),"N")</f>
        <v>N</v>
      </c>
      <c r="P318" s="238" t="str">
        <f>IFERROR(__xludf.DUMMYFUNCTION("IF(REGEXMATCH(C318, ""S""), ""S"","""")"),"S")</f>
        <v>S</v>
      </c>
      <c r="Q318" s="239" t="str">
        <f>IFERROR(__xludf.DUMMYFUNCTION("SUBSTITUTE(CONCATENATE(JOIN(""-"",D318:J318)),""-"","""")"),"SgGm")</f>
        <v>SgGm</v>
      </c>
      <c r="R318" s="229" t="str">
        <f>IFERROR(__xludf.DUMMYFUNCTION("SUBSTITUTE(CONCATENATE(JOIN(""-"",K318:P318)),""-"","""")"),"PdnNS")</f>
        <v>PdnNS</v>
      </c>
      <c r="S318" s="282" t="str">
        <f t="shared" si="8"/>
        <v>S-G-M</v>
      </c>
      <c r="T318" s="282" t="str">
        <f t="shared" si="9"/>
        <v>P-D-N-S</v>
      </c>
      <c r="U318" s="237" t="str">
        <f>IFERROR(__xludf.DUMMYFUNCTION("SUBSTITUTE(JOIN(""-"",S318,T318),""--"",""-"")"),"S-G-M-P-D-N-S")</f>
        <v>S-G-M-P-D-N-S</v>
      </c>
      <c r="V318" s="309" t="str">
        <f t="shared" si="10"/>
        <v>gGmdnN</v>
      </c>
      <c r="W318" s="244" t="str">
        <f>IFERROR(__xludf.DUMMYFUNCTION("IF(REGEXMATCH(C318, ""S""), ""0"","""")"),"0")</f>
        <v>0</v>
      </c>
      <c r="X318" s="245" t="str">
        <f>IFERROR(__xludf.DUMMYFUNCTION("IF(REGEXMATCH(C318, ""r""), ""1"","""")"),"")</f>
        <v/>
      </c>
      <c r="Y318" s="246" t="str">
        <f>IFERROR(__xludf.DUMMYFUNCTION("IF(REGEXMATCH(C318, ""R""), ""2"","""")"),"")</f>
        <v/>
      </c>
      <c r="Z318" s="246" t="str">
        <f>IFERROR(__xludf.DUMMYFUNCTION("IF(REGEXMATCH(C318, ""g""), ""3"","""")"),"3")</f>
        <v>3</v>
      </c>
      <c r="AA318" s="245" t="str">
        <f>IFERROR(__xludf.DUMMYFUNCTION("IF(REGEXMATCH(C318, ""G""), ""4"","""")"),"4")</f>
        <v>4</v>
      </c>
      <c r="AB318" s="245" t="str">
        <f>IFERROR(__xludf.DUMMYFUNCTION("IF(REGEXMATCH(C318, ""m""), ""5"","""")"),"5")</f>
        <v>5</v>
      </c>
      <c r="AC318" s="246" t="str">
        <f>IFERROR(__xludf.DUMMYFUNCTION("IF(REGEXMATCH(C318, ""M""), ""6"","""")"),"")</f>
        <v/>
      </c>
      <c r="AD318" s="245" t="str">
        <f>IFERROR(__xludf.DUMMYFUNCTION("IF(REGEXMATCH(C318, ""P""), ""7"","""")"),"7")</f>
        <v>7</v>
      </c>
      <c r="AE318" s="246" t="str">
        <f>IFERROR(__xludf.DUMMYFUNCTION("IF(REGEXMATCH(C318, ""d""), ""8"","""")"),"8")</f>
        <v>8</v>
      </c>
      <c r="AF318" s="245" t="str">
        <f>IFERROR(__xludf.DUMMYFUNCTION("IF(REGEXMATCH(C318, ""D""), ""9"","""")"),"")</f>
        <v/>
      </c>
      <c r="AG318" s="245" t="str">
        <f>IFERROR(__xludf.DUMMYFUNCTION("IF(REGEXMATCH(C318, ""n""), ""10"","""")"),"10")</f>
        <v>10</v>
      </c>
      <c r="AH318" s="246" t="str">
        <f>IFERROR(__xludf.DUMMYFUNCTION("IF(REGEXMATCH(C318, ""N""), ""11"","""")"),"11")</f>
        <v>11</v>
      </c>
      <c r="AI318" s="249" t="str">
        <f>IFERROR(__xludf.DUMMYFUNCTION("IF(REGEXMATCH(C318, ""S""), ""0"","""")"),"0")</f>
        <v>0</v>
      </c>
      <c r="AJ318" s="313" t="str">
        <f t="shared" si="11"/>
        <v>-</v>
      </c>
      <c r="AK318" s="313" t="str">
        <f t="shared" si="12"/>
        <v>-</v>
      </c>
      <c r="AL318" s="313" t="str">
        <f t="shared" si="13"/>
        <v>-</v>
      </c>
      <c r="AM318" s="313" t="str">
        <f t="shared" si="14"/>
        <v>-</v>
      </c>
      <c r="AN318" s="313" t="str">
        <f t="shared" si="15"/>
        <v>T</v>
      </c>
      <c r="AO318" s="314" t="str">
        <f t="shared" si="16"/>
        <v>T</v>
      </c>
      <c r="AP318" s="316">
        <f t="shared" si="17"/>
        <v>2</v>
      </c>
      <c r="AQ318" s="319" t="str">
        <f t="shared" si="18"/>
        <v>-</v>
      </c>
      <c r="AR318" s="320">
        <f t="shared" si="19"/>
        <v>0</v>
      </c>
      <c r="AS318" s="250" t="str">
        <f>IFERROR(__xludf.DUMMYFUNCTION("SUBSTITUTE(SUBSTITUTE(CONCATENATE(JOIN("""",FP318:GA318)),""|"",""x""),""-"",""o"")"),"xooxxxoxxoxx")</f>
        <v>xooxxxoxxoxx</v>
      </c>
      <c r="AT318" s="323" t="str">
        <f>IFERROR(__xludf.DUMMYFUNCTION("JOIN("""",AS318,AS318)"),"xooxxxoxxoxxxooxxxoxxoxx")</f>
        <v>xooxxxoxxoxxxooxxxoxxoxx</v>
      </c>
      <c r="AU318" s="256" t="str">
        <f>IFERROR(__xludf.DUMMYFUNCTION("JOIN("""",ArrayFormula(MID(AS318,LEN(AS318)-SEQUENCE(1,LEN(AS318))+1,1)))"),"xxoxxoxxxoox")</f>
        <v>xxoxxoxxxoox</v>
      </c>
      <c r="AV318" s="256" t="str">
        <f>IFERROR(__xludf.DUMMYFUNCTION("LEFT(CONCATENATE(""x"",JOIN("""",ArrayFormula(MID(AS318,LEN(AS318)-SEQUENCE(1,LEN(AS318))+1,1)))),12)"),"xxxoxxoxxxoo")</f>
        <v>xxxoxxoxxxoo</v>
      </c>
      <c r="AW318" s="327" t="str">
        <f>IFERROR(__xludf.DUMMYFUNCTION("JOIN("""",AU318,AU318)"),"xxoxxoxxxooxxxoxxoxxxoox")</f>
        <v>xxoxxoxxxooxxxoxxoxxxoox</v>
      </c>
      <c r="AX318" s="239" t="str">
        <f>IFERROR(__xludf.DUMMYFUNCTION("IF(REGEXMATCH(AW318,AS318),""✔"",""-"")"),"✔")</f>
        <v>✔</v>
      </c>
      <c r="AY318" s="330" t="str">
        <f t="shared" si="20"/>
        <v>-</v>
      </c>
      <c r="AZ318" s="260" t="str">
        <f t="shared" si="21"/>
        <v>#REF!</v>
      </c>
      <c r="BA318" s="333" t="str">
        <f t="shared" si="22"/>
        <v>xooxxxo</v>
      </c>
      <c r="BB318" s="334" t="str">
        <f t="shared" si="23"/>
        <v>xxoxxx</v>
      </c>
      <c r="BC318" s="335" t="str">
        <f t="shared" si="236"/>
        <v>-</v>
      </c>
      <c r="BD318" s="336" t="str">
        <f t="shared" si="25"/>
        <v>Shivanjali: 'xooxxxo' + 'xxoxxx'</v>
      </c>
      <c r="BE318" s="337">
        <f>IFERROR(__xludf.DUMMYFUNCTION("COUNTUNIQUE(FILTER(AT:AT,REGEXMATCH(AT:AT,AS318)))-1"),0.0)</f>
        <v>0</v>
      </c>
      <c r="BF318" s="261" t="str">
        <f>IFERROR(__xludf.DUMMYFUNCTION("IF(BI318=0,""(n/a)"",IF(BJ318=2,""(PAIR)"",IF(REGEXMATCH(AT318,""xoxoxxoxoxox""),""Bilawal"",IF(REGEXMATCH(AT318,""xoxoxooxoxoo""),""Bhupali"",IF(REGEXMATCH(AT318,""xoxoxxoxxoxo""),""Charukeshi"",IF(REGEXMATCH(AT318,""xoxoooxxoxxo""),""Kameshwari"",IF(REG"&amp;"EXMATCH(AT318,""xoxoxooxoxox""),""Shankara"",IF(REGEXMATCH(AT318,""xxooxoxxxoox""),""Basant"",IF(REGEXMATCH(AT318,""xoxoxxxxoxox""),""Bihag"",IF(REGEXMATCH(AT318,""xoxxxxoxoxxx""),""Pilu"",IF(REGEXMATCH(AT318,""xoxxoxoxxoox""),""Kirwani"",IF(REGEXMATCH(AT"&amp;"318,""xoxxoxoxoxxx""),""Mk.Malhar"",IF(REGEXMATCH(AT318,""xxooxxoxxoox""),""Bhairav"",IF(REGEXMATCH(AT318,""xxoxooxxxoox""),""Todi"",IF(REGEXMATCH(AT318,""xxooxoxooxox""),""Marwa"",IF(REGEXMATCH(AT318,""xxoooxoxxooo""),""Gunkali"",IF(REGEXMATCH(AT318,""xo"&amp;"xoxxoxxoox""),""Nat Bhairav"",IF(REGEXMATCH(AT318,""xoxxoooxoxoo""),""Shivranjani"",IF(REGEXMATCH(AT318,""xooxxxoxooxo""),""Jog"",IF(REGEXMATCH(AT318,""xxooxoxoxoox""),""Hemshri"",IF(REGEXMATCH(AT318,""xoooxooxoxxo""),""Kalavati"",IF(REGEXMATCH(AT318,""xx"&amp;"oxoxxoxoox""),""Kedar"",IF(REGEXMATCH(AT318,""xoxxxxoxooxx""),""Gara"",IF(REGEXMATCH(AT318,""xooxoxooxoox""),""Chandrakauns"",IF(REGEXMATCH(AT318,""xoxxxxoxxxox""),""Mand"",IF(REGEXMATCH(AT318,""xoxxxxoxoxox""),""Hanskinkini"",IF(REGEXMATCH(AT318,""xxooxx"&amp;"oxooxo""),""Lilavati"",IF(REGEXMATCH(AT318,""xooxoxoooxox""),""Rajeshwari"",IF(REGEXMATCH(AT318,""xoooxxoxoxxx""),""Khokar"",IF(REGEXMATCH(AT318,""xxooxoxxxxox""),""Maligoura"",""-""))))))))))))))))))))))))))))))"),"(n/a)")</f>
        <v>(n/a)</v>
      </c>
      <c r="BG318" s="239" t="str">
        <f t="shared" si="26"/>
        <v>#REF!</v>
      </c>
      <c r="BH318" s="239">
        <f>IFERROR(__xludf.DUMMYFUNCTION("COUNTUNIQUE(FE318:FO318)-1"),7.0)</f>
        <v>7</v>
      </c>
      <c r="BI318" s="239">
        <f>IFERROR(__xludf.DUMMYFUNCTION("COUNTUNIQUE(FILTER(AT:AT,REGEXMATCH(AT:AT,AS318)))-1"),0.0)</f>
        <v>0</v>
      </c>
      <c r="BJ318" s="239">
        <f>IFERROR(__xludf.DUMMYFUNCTION("COUNTA(FILTER(AT:AT,REGEXMATCH(AT:AT,AS318)))"),1.0)</f>
        <v>1</v>
      </c>
      <c r="BK318" s="341">
        <f>IFERROR(__xludf.DUMMYFUNCTION("COUNTA(FILTER(AT:AT,REGEXMATCH(AT:AT,AS318)))-AR318"),1.0)</f>
        <v>1</v>
      </c>
      <c r="BL318" s="276" t="str">
        <f>IFERROR(__xludf.DUMMYFUNCTION("IF(AS318=""oooooooooooo"",""-"",IF(REGEXMATCH(AT318,""xx""), ""Hemi."", ""Anhemi.""))"),"Hemi.")</f>
        <v>Hemi.</v>
      </c>
      <c r="BM318" s="282" t="str">
        <f>IFERROR(__xludf.DUMMYFUNCTION("IF(AS318=""oooooooooooo"",""-"",IF(REGEXMATCH(AT318,""xxx""), ""Cohem."", ""-""))"),"Cohem.")</f>
        <v>Cohem.</v>
      </c>
      <c r="BN318" s="282" t="str">
        <f>IFERROR(__xludf.DUMMYFUNCTION("IF(AS318=""oooooooooooo"",""-"",IF(REGEXMATCH(AT318,""xxxx""), ""Co-Co."", ""-""))"),"-")</f>
        <v>-</v>
      </c>
      <c r="BO318" s="342" t="str">
        <f>IFERROR(__xludf.DUMMYFUNCTION("IF(AS318=""oooooooooooo"",""-"",IF(REGEXMATCH(AT318,""xxxxx""), ""CCC."", ""-""))"),"-")</f>
        <v>-</v>
      </c>
      <c r="BP318" s="344" t="str">
        <f t="shared" si="27"/>
        <v>-</v>
      </c>
      <c r="BQ318" s="282" t="str">
        <f>IFERROR(__xludf.DUMMYFUNCTION("IF(REGEXMATCH(JOIN(""-"",EU318:FD318),""TRUE""),""✔"",""-"")"),"-")</f>
        <v>-</v>
      </c>
      <c r="BR318" s="225">
        <f t="shared" si="28"/>
        <v>0</v>
      </c>
      <c r="BS318" s="345" t="str">
        <f>IFERROR(__xludf.DUMMYFUNCTION("SUBSTITUTE(SUBSTITUTE(SUBSTITUTE(SUBSTITUTE(CONCATENATE(JOIN(""-"",GC318:GO318)),""--"",""-""),""--"",""-""),""--"",""-""),""--"",""-"")"),"1-b3-3-4-5-b6-b7-7-8")</f>
        <v>1-b3-3-4-5-b6-b7-7-8</v>
      </c>
      <c r="BT318" s="299" t="str">
        <f>IFERROR(__xludf.DUMMYFUNCTION("SUBSTITUTE(SUBSTITUTE(SUBSTITUTE(SUBSTITUTE(CONCATENATE(JOIN(""-"",GP318:HB318)),""--"",""-""),""--"",""-""),""--"",""-""),""--"",""-"")"),"S-G2-G3-M1-P-D1-N2-N3-S")</f>
        <v>S-G2-G3-M1-P-D1-N2-N3-S</v>
      </c>
      <c r="BU318" s="348" t="str">
        <f t="shared" si="29"/>
        <v>C-Eb-E-F-G-Ab-Bb-B-C</v>
      </c>
      <c r="BV318" s="349" t="str">
        <f t="shared" si="30"/>
        <v>SrRMDS</v>
      </c>
      <c r="BW318" s="350">
        <f t="shared" si="31"/>
        <v>0</v>
      </c>
      <c r="BX318" s="351">
        <f t="shared" si="32"/>
        <v>1</v>
      </c>
      <c r="BY318" s="392"/>
      <c r="BZ318" s="309" t="str">
        <f>IFERROR(__xludf.DUMMYFUNCTION("IF(REGEXMATCH(C318, ""S""), ""x"",""x"")"),"x")</f>
        <v>x</v>
      </c>
      <c r="CA318" s="245" t="str">
        <f>IFERROR(__xludf.DUMMYFUNCTION("IF(REGEXMATCH(C318, ""r""), ""o"",""x"")"),"x")</f>
        <v>x</v>
      </c>
      <c r="CB318" s="246" t="str">
        <f>IFERROR(__xludf.DUMMYFUNCTION("IF(REGEXMATCH(C318, ""R""), ""o"",""x"")"),"x")</f>
        <v>x</v>
      </c>
      <c r="CC318" s="246" t="str">
        <f>IFERROR(__xludf.DUMMYFUNCTION("IF(REGEXMATCH(C318, ""g""), ""o"",""x"")"),"o")</f>
        <v>o</v>
      </c>
      <c r="CD318" s="245" t="str">
        <f>IFERROR(__xludf.DUMMYFUNCTION("IF(REGEXMATCH(C318, ""G""), ""o"",""x"")"),"o")</f>
        <v>o</v>
      </c>
      <c r="CE318" s="245" t="str">
        <f>IFERROR(__xludf.DUMMYFUNCTION("IF(REGEXMATCH(C318, ""m""), ""o"",""x"")"),"o")</f>
        <v>o</v>
      </c>
      <c r="CF318" s="246" t="str">
        <f>IFERROR(__xludf.DUMMYFUNCTION("IF(REGEXMATCH(C318, ""M""), ""o"",""x"")"),"x")</f>
        <v>x</v>
      </c>
      <c r="CG318" s="245" t="str">
        <f>IFERROR(__xludf.DUMMYFUNCTION("IF(REGEXMATCH(C318, ""P""), ""o"",""x"")"),"o")</f>
        <v>o</v>
      </c>
      <c r="CH318" s="246" t="str">
        <f>IFERROR(__xludf.DUMMYFUNCTION("IF(REGEXMATCH(C318, ""d""), ""o"",""x"")"),"o")</f>
        <v>o</v>
      </c>
      <c r="CI318" s="245" t="str">
        <f>IFERROR(__xludf.DUMMYFUNCTION("IF(REGEXMATCH(C318, ""D""), ""o"",""x"")"),"x")</f>
        <v>x</v>
      </c>
      <c r="CJ318" s="245" t="str">
        <f>IFERROR(__xludf.DUMMYFUNCTION("IF(REGEXMATCH(C318, ""n""), ""o"",""x"")"),"o")</f>
        <v>o</v>
      </c>
      <c r="CK318" s="245" t="str">
        <f>IFERROR(__xludf.DUMMYFUNCTION("IF(REGEXMATCH(C318, ""N""), ""o"",""x"")"),"o")</f>
        <v>o</v>
      </c>
      <c r="CL318" s="356" t="str">
        <f>IFERROR(__xludf.DUMMYFUNCTION("IF(REGEXMATCH(C318, ""S""), ""x"",""x"")"),"x")</f>
        <v>x</v>
      </c>
      <c r="CM318" s="357" t="str">
        <f t="shared" si="33"/>
        <v>xxxoooxooxoo</v>
      </c>
      <c r="CN318" s="358">
        <f t="shared" si="34"/>
        <v>0</v>
      </c>
      <c r="CO318" s="246" t="str">
        <f>IFERROR(__xludf.DUMMYFUNCTION("IF(REGEXMATCH($C318, ""S""), ""S"",""S"")"),"S")</f>
        <v>S</v>
      </c>
      <c r="CP318" s="246" t="str">
        <f>IFERROR(__xludf.DUMMYFUNCTION("IF(REGEXMATCH($C318, ""r""), """",""r"")"),"r")</f>
        <v>r</v>
      </c>
      <c r="CQ318" s="246" t="str">
        <f>IFERROR(__xludf.DUMMYFUNCTION("IF(REGEXMATCH($C318, ""R""), """",""R"")"),"R")</f>
        <v>R</v>
      </c>
      <c r="CR318" s="246" t="str">
        <f>IFERROR(__xludf.DUMMYFUNCTION("IF(REGEXMATCH($C318, ""g""), """",""g"")"),"")</f>
        <v/>
      </c>
      <c r="CS318" s="246" t="str">
        <f>IFERROR(__xludf.DUMMYFUNCTION("IF(REGEXMATCH($C318, ""G""), """",""G"")"),"")</f>
        <v/>
      </c>
      <c r="CT318" s="246" t="str">
        <f>IFERROR(__xludf.DUMMYFUNCTION("IF(REGEXMATCH($C318, ""m""), """",""m"")"),"")</f>
        <v/>
      </c>
      <c r="CU318" s="246" t="str">
        <f>IFERROR(__xludf.DUMMYFUNCTION("IF(REGEXMATCH($C318, ""M""), """",""M"")"),"M")</f>
        <v>M</v>
      </c>
      <c r="CV318" s="246" t="str">
        <f>IFERROR(__xludf.DUMMYFUNCTION("IF(REGEXMATCH($C318, ""P""), """",""P"")"),"")</f>
        <v/>
      </c>
      <c r="CW318" s="246" t="str">
        <f>IFERROR(__xludf.DUMMYFUNCTION("IF(REGEXMATCH($C318, ""d""), """",""d"")"),"")</f>
        <v/>
      </c>
      <c r="CX318" s="246" t="str">
        <f>IFERROR(__xludf.DUMMYFUNCTION("IF(REGEXMATCH($C318, ""D""), """",""D"")"),"D")</f>
        <v>D</v>
      </c>
      <c r="CY318" s="246" t="str">
        <f>IFERROR(__xludf.DUMMYFUNCTION("IF(REGEXMATCH($C318, ""n""), """",""n"")"),"")</f>
        <v/>
      </c>
      <c r="CZ318" s="246" t="str">
        <f>IFERROR(__xludf.DUMMYFUNCTION("IF(REGEXMATCH($C318, ""N""), """",""N"")"),"")</f>
        <v/>
      </c>
      <c r="DA318" s="246" t="str">
        <f>IFERROR(__xludf.DUMMYFUNCTION("IF(REGEXMATCH($C318, ""S""), ""S"",""S"")"),"S")</f>
        <v>S</v>
      </c>
      <c r="DB318" s="362" t="str">
        <f>IFERROR(__xludf.DUMMYFUNCTION("JOIN("""",CO318:DA318,"""","""")"),"SrRMDS")</f>
        <v>SrRMDS</v>
      </c>
      <c r="DC318" s="363"/>
      <c r="DD318" s="301" t="str">
        <f t="shared" si="35"/>
        <v>#REF!</v>
      </c>
      <c r="DE318" s="302" t="str">
        <f t="shared" si="36"/>
        <v>#REF!</v>
      </c>
      <c r="DF318" s="301" t="str">
        <f t="shared" ref="DF318:DG318" si="865">SUBSTITUTE(S318,"-","")</f>
        <v>SGM</v>
      </c>
      <c r="DG318" s="301" t="str">
        <f t="shared" si="865"/>
        <v>PDNS</v>
      </c>
      <c r="DH318" s="302" t="str">
        <f t="shared" si="38"/>
        <v>(n/a)</v>
      </c>
      <c r="DI318" s="301" t="str">
        <f t="shared" si="39"/>
        <v>Hemi.</v>
      </c>
      <c r="DJ318" s="364" t="str">
        <f t="shared" si="40"/>
        <v>Cohem.</v>
      </c>
      <c r="DK318" s="306" t="str">
        <f t="shared" si="41"/>
        <v>-</v>
      </c>
      <c r="DL318" s="366" t="str">
        <f t="shared" si="42"/>
        <v>-</v>
      </c>
      <c r="DM318" s="308" t="str">
        <f t="shared" si="43"/>
        <v>✔</v>
      </c>
      <c r="DN318" s="306" t="str">
        <f t="shared" si="44"/>
        <v>-</v>
      </c>
      <c r="DO318" s="306" t="str">
        <f t="shared" si="45"/>
        <v>-</v>
      </c>
      <c r="DP318" s="367" t="str">
        <f t="shared" si="46"/>
        <v>-</v>
      </c>
      <c r="DQ318" s="310" t="str">
        <f t="shared" si="47"/>
        <v>-</v>
      </c>
      <c r="DR318" s="310" t="str">
        <f t="shared" si="48"/>
        <v>✔</v>
      </c>
      <c r="DS318" s="310" t="str">
        <f t="shared" si="49"/>
        <v>-</v>
      </c>
      <c r="DT318" s="310" t="str">
        <f t="shared" si="50"/>
        <v>-</v>
      </c>
      <c r="DU318" s="370" t="str">
        <f t="shared" si="51"/>
        <v>✔</v>
      </c>
      <c r="DV318" s="306" t="str">
        <f t="shared" si="52"/>
        <v>✔</v>
      </c>
      <c r="DW318" s="306" t="str">
        <f t="shared" si="53"/>
        <v>-</v>
      </c>
      <c r="DX318" s="306" t="str">
        <f t="shared" si="54"/>
        <v>-</v>
      </c>
      <c r="DY318" s="306" t="str">
        <f t="shared" si="55"/>
        <v>-</v>
      </c>
      <c r="DZ318" s="306" t="str">
        <f t="shared" si="56"/>
        <v>-</v>
      </c>
      <c r="EA318" s="367" t="str">
        <f t="shared" si="57"/>
        <v>-</v>
      </c>
      <c r="EB318" s="310" t="str">
        <f>IFERROR(__xludf.DUMMYFUNCTION("IF(REGEXMATCH(AW318,AS318),""✔"",""-"")"),"✔")</f>
        <v>✔</v>
      </c>
      <c r="EC318" s="310" t="str">
        <f t="shared" si="58"/>
        <v>#REF!</v>
      </c>
      <c r="ED318" s="370" t="str">
        <f t="shared" si="59"/>
        <v>-</v>
      </c>
      <c r="EE318" s="340" t="str">
        <f t="shared" si="60"/>
        <v>S-gG-m-P-d-nN-S</v>
      </c>
      <c r="EF318" s="371" t="str">
        <f>IFERROR(__xludf.DUMMYFUNCTION("CONCATENATE(JOIN("""",HC318:HO318))"),"SrRGmPdDS")</f>
        <v>SrRGmPdDS</v>
      </c>
      <c r="EG318" s="372">
        <f t="shared" si="61"/>
        <v>2</v>
      </c>
      <c r="EH318" s="373" t="str">
        <f>IFERROR(__xludf.DUMMYFUNCTION("CONCATENATE(JOIN("""",JC318:JO318))"),"Pa, Ni, ")</f>
        <v>Pa, Ni, </v>
      </c>
      <c r="EI318" s="322">
        <f t="shared" si="62"/>
        <v>0</v>
      </c>
      <c r="EJ318" s="374" t="str">
        <f>IFERROR(__xludf.DUMMYFUNCTION("CONCATENATE(JOIN("""",KC318:KO318))"),"")</f>
        <v/>
      </c>
      <c r="EK318" s="325" t="str">
        <f t="shared" si="63"/>
        <v>S-G2-G3-M1-P-D1-N2-N3-S</v>
      </c>
      <c r="EL318" s="326" t="str">
        <f t="shared" si="64"/>
        <v>1-b3-3-4-5-b6-b7-7-8</v>
      </c>
      <c r="EM318" s="318" t="str">
        <f t="shared" si="65"/>
        <v>#REF!</v>
      </c>
      <c r="EN318" s="328" t="str">
        <f>IFERROR(__xludf.DUMMYFUNCTION("SUBSTITUTE(SUBSTITUTE(SUBSTITUTE(SUBSTITUTE(CONCATENATE(JOIN("" "",HP318:IB318)),""  "","" ""),""  "","" ""),""  "","" ""),""  "","" "")"),"o • • o o o • o o • o o o")</f>
        <v>o • • o o o • o o • o o o</v>
      </c>
      <c r="EO318" s="368" t="str">
        <f t="shared" si="66"/>
        <v>-</v>
      </c>
      <c r="EP318" s="339" t="str">
        <f t="shared" si="67"/>
        <v>-</v>
      </c>
      <c r="EQ318" s="339" t="str">
        <f t="shared" si="68"/>
        <v>Sa-Pa</v>
      </c>
      <c r="ER318" s="339" t="str">
        <f t="shared" si="69"/>
        <v>-</v>
      </c>
      <c r="ES318" s="340" t="str">
        <f t="shared" si="70"/>
        <v>-</v>
      </c>
      <c r="ET318" s="363"/>
      <c r="EU318" s="376" t="b">
        <f>IFERROR(__xludf.DUMMYFUNCTION("arrayformula(sum(--REGEXMATCH(""SRGMPDNS"",split(REGEXREPLACE(C318,""(.)"",""$1~""),""~""))))=len(C318)
"),FALSE)</f>
        <v>0</v>
      </c>
      <c r="EV318" s="290" t="b">
        <f>IFERROR(__xludf.DUMMYFUNCTION("arrayformula(sum(--REGEXMATCH(""SRGmPDNS"",split(REGEXREPLACE(C318,""(.)"",""$1~""),""~""))))=len(C318)"),FALSE)</f>
        <v>0</v>
      </c>
      <c r="EW318" s="290" t="b">
        <f>IFERROR(__xludf.DUMMYFUNCTION("arrayformula(sum(--REGEXMATCH(""SRGmPDnS"",split(REGEXREPLACE(C318,""(.)"",""$1~""),""~""))))=len(C318)"),FALSE)</f>
        <v>0</v>
      </c>
      <c r="EX318" s="290" t="b">
        <f>IFERROR(__xludf.DUMMYFUNCTION("arrayformula(sum(--REGEXMATCH(""SRgmPDnS"",split(REGEXREPLACE(C318,""(.)"",""$1~""),""~""))))=len(C318)"),FALSE)</f>
        <v>0</v>
      </c>
      <c r="EY318" s="290" t="b">
        <f>IFERROR(__xludf.DUMMYFUNCTION("arrayformula(sum(--REGEXMATCH(""SRgmPdnS"",split(REGEXREPLACE(C318,""(.)"",""$1~""),""~""))))=len(C318)"),FALSE)</f>
        <v>0</v>
      </c>
      <c r="EZ318" s="290" t="b">
        <f>IFERROR(__xludf.DUMMYFUNCTION("arrayformula(sum(--REGEXMATCH(""SrgmPdnS"",split(REGEXREPLACE(C318,""(.)"",""$1~""),""~""))))=len(C318)"),FALSE)</f>
        <v>0</v>
      </c>
      <c r="FA318" s="290" t="b">
        <f>IFERROR(__xludf.DUMMYFUNCTION("arrayformula(sum(--REGEXMATCH(""SrGmPdNS"",split(REGEXREPLACE(C318,""(.)"",""$1~""),""~""))))=len(C318)"),FALSE)</f>
        <v>0</v>
      </c>
      <c r="FB318" s="290" t="b">
        <f>IFERROR(__xludf.DUMMYFUNCTION("arrayformula(sum(--REGEXMATCH(""SrGMPDNS"",split(REGEXREPLACE(C318,""(.)"",""$1~""),""~""))))=len(C318)"),FALSE)</f>
        <v>0</v>
      </c>
      <c r="FC318" s="290" t="b">
        <f>IFERROR(__xludf.DUMMYFUNCTION("arrayformula(sum(--REGEXMATCH(""SrGMPdNS"",split(REGEXREPLACE(C318,""(.)"",""$1~""),""~""))))=len(C318)"),FALSE)</f>
        <v>0</v>
      </c>
      <c r="FD318" s="377" t="b">
        <f>IFERROR(__xludf.DUMMYFUNCTION("arrayformula(sum(--REGEXMATCH(""SrgMPdNS"",split(REGEXREPLACE(C318,""(.)"",""$1~""),""~""))))=len(C318)"),FALSE)</f>
        <v>0</v>
      </c>
      <c r="FE318" s="269" t="str">
        <f t="shared" si="71"/>
        <v>-</v>
      </c>
      <c r="FF318" s="269" t="str">
        <f t="shared" si="72"/>
        <v>-</v>
      </c>
      <c r="FG318" s="271" t="str">
        <f t="shared" si="73"/>
        <v>xxxoxxoxxxo</v>
      </c>
      <c r="FH318" s="269" t="str">
        <f t="shared" si="74"/>
        <v>xxoxxoxxxoo</v>
      </c>
      <c r="FI318" s="271" t="str">
        <f t="shared" si="75"/>
        <v>xoxxoxxxoox</v>
      </c>
      <c r="FJ318" s="271" t="str">
        <f t="shared" si="76"/>
        <v>-</v>
      </c>
      <c r="FK318" s="271" t="str">
        <f t="shared" si="77"/>
        <v>xxoxxxooxxx</v>
      </c>
      <c r="FL318" s="271" t="str">
        <f t="shared" si="78"/>
        <v>xoxxxooxxxo</v>
      </c>
      <c r="FM318" s="271" t="str">
        <f t="shared" si="79"/>
        <v>-</v>
      </c>
      <c r="FN318" s="271" t="str">
        <f t="shared" si="80"/>
        <v>xxxooxxxoxx</v>
      </c>
      <c r="FO318" s="274" t="str">
        <f t="shared" si="81"/>
        <v>xxooxxxoxxo</v>
      </c>
      <c r="FP318" s="234" t="str">
        <f t="shared" si="82"/>
        <v>|</v>
      </c>
      <c r="FQ318" s="236" t="str">
        <f t="shared" si="83"/>
        <v>-</v>
      </c>
      <c r="FR318" s="237" t="str">
        <f t="shared" si="84"/>
        <v>-</v>
      </c>
      <c r="FS318" s="236" t="str">
        <f t="shared" si="85"/>
        <v>|</v>
      </c>
      <c r="FT318" s="237" t="str">
        <f t="shared" si="86"/>
        <v>|</v>
      </c>
      <c r="FU318" s="236" t="str">
        <f t="shared" si="87"/>
        <v>|</v>
      </c>
      <c r="FV318" s="237" t="str">
        <f t="shared" si="88"/>
        <v>-</v>
      </c>
      <c r="FW318" s="236" t="str">
        <f t="shared" si="89"/>
        <v>|</v>
      </c>
      <c r="FX318" s="237" t="str">
        <f t="shared" si="90"/>
        <v>|</v>
      </c>
      <c r="FY318" s="236" t="str">
        <f t="shared" si="91"/>
        <v>-</v>
      </c>
      <c r="FZ318" s="237" t="str">
        <f t="shared" si="92"/>
        <v>|</v>
      </c>
      <c r="GA318" s="236" t="str">
        <f t="shared" si="93"/>
        <v>|</v>
      </c>
      <c r="GB318" s="238" t="str">
        <f t="shared" si="94"/>
        <v>|</v>
      </c>
      <c r="GC318" s="244" t="str">
        <f>IFERROR(__xludf.DUMMYFUNCTION("IF(REGEXMATCH(C318, ""S""), ""1"","""")"),"1")</f>
        <v>1</v>
      </c>
      <c r="GD318" s="245" t="str">
        <f>IFERROR(__xludf.DUMMYFUNCTION("IF(REGEXMATCH(C318, ""r""), ""b2"","""")"),"")</f>
        <v/>
      </c>
      <c r="GE318" s="246" t="str">
        <f>IFERROR(__xludf.DUMMYFUNCTION("IF(REGEXMATCH(C318, ""R""), ""2"","""")"),"")</f>
        <v/>
      </c>
      <c r="GF318" s="246" t="str">
        <f>IFERROR(__xludf.DUMMYFUNCTION("IF(REGEXMATCH(C318, ""g""), ""b3"","""")"),"b3")</f>
        <v>b3</v>
      </c>
      <c r="GG318" s="245" t="str">
        <f>IFERROR(__xludf.DUMMYFUNCTION("IF(REGEXMATCH(C318, ""G""), ""3"","""")"),"3")</f>
        <v>3</v>
      </c>
      <c r="GH318" s="245" t="str">
        <f>IFERROR(__xludf.DUMMYFUNCTION("IF(REGEXMATCH(C318, ""m""), ""4"","""")"),"4")</f>
        <v>4</v>
      </c>
      <c r="GI318" s="246" t="str">
        <f>IFERROR(__xludf.DUMMYFUNCTION("IF(REGEXMATCH(C318, ""M""), ""#4"","""")"),"")</f>
        <v/>
      </c>
      <c r="GJ318" s="245" t="str">
        <f>IFERROR(__xludf.DUMMYFUNCTION("IF(REGEXMATCH(C318, ""P""), ""5"","""")"),"5")</f>
        <v>5</v>
      </c>
      <c r="GK318" s="246" t="str">
        <f>IFERROR(__xludf.DUMMYFUNCTION("IF(REGEXMATCH(C318, ""d""), ""b6"","""")"),"b6")</f>
        <v>b6</v>
      </c>
      <c r="GL318" s="245" t="str">
        <f>IFERROR(__xludf.DUMMYFUNCTION("IF(REGEXMATCH(C318, ""D""), ""6"","""")"),"")</f>
        <v/>
      </c>
      <c r="GM318" s="245" t="str">
        <f>IFERROR(__xludf.DUMMYFUNCTION("IF(REGEXMATCH(C318, ""n""), ""b7"","""")"),"b7")</f>
        <v>b7</v>
      </c>
      <c r="GN318" s="246" t="str">
        <f>IFERROR(__xludf.DUMMYFUNCTION("IF(REGEXMATCH(C318, ""N""), ""7"","""")"),"7")</f>
        <v>7</v>
      </c>
      <c r="GO318" s="249" t="str">
        <f>IFERROR(__xludf.DUMMYFUNCTION("IF(REGEXMATCH(C318, ""S""), ""8"","""")"),"8")</f>
        <v>8</v>
      </c>
      <c r="GP318" s="244" t="str">
        <f>IFERROR(__xludf.DUMMYFUNCTION("IF(REGEXMATCH(C318, ""S""), ""S"","""")"),"S")</f>
        <v>S</v>
      </c>
      <c r="GQ318" s="294" t="str">
        <f>IFERROR(__xludf.DUMMYFUNCTION("IF(REGEXMATCH(C318, ""r""), ""R1"","""")"),"")</f>
        <v/>
      </c>
      <c r="GR318" s="295" t="str">
        <f>IFERROR(__xludf.DUMMYFUNCTION("IF(REGEXMATCH(C318, ""R""), ""R2"","""")"),"")</f>
        <v/>
      </c>
      <c r="GS318" s="295" t="str">
        <f>IFERROR(__xludf.DUMMYFUNCTION("IF(REGEXMATCH(C318, ""g""), ""G2"","""")"),"G2")</f>
        <v>G2</v>
      </c>
      <c r="GT318" s="294" t="str">
        <f>IFERROR(__xludf.DUMMYFUNCTION("IF(REGEXMATCH(C318, ""G""), ""G3"","""")"),"G3")</f>
        <v>G3</v>
      </c>
      <c r="GU318" s="294" t="str">
        <f>IFERROR(__xludf.DUMMYFUNCTION("IF(REGEXMATCH(C318, ""m""), ""M1"","""")"),"M1")</f>
        <v>M1</v>
      </c>
      <c r="GV318" s="295" t="str">
        <f>IFERROR(__xludf.DUMMYFUNCTION("IF(REGEXMATCH(C318, ""M""), ""M2"","""")"),"")</f>
        <v/>
      </c>
      <c r="GW318" s="294" t="str">
        <f>IFERROR(__xludf.DUMMYFUNCTION("IF(REGEXMATCH(C318, ""P""), ""P"","""")"),"P")</f>
        <v>P</v>
      </c>
      <c r="GX318" s="295" t="str">
        <f>IFERROR(__xludf.DUMMYFUNCTION("IF(REGEXMATCH(C318, ""d""), ""D1"","""")"),"D1")</f>
        <v>D1</v>
      </c>
      <c r="GY318" s="294" t="str">
        <f>IFERROR(__xludf.DUMMYFUNCTION("IF(REGEXMATCH(C318, ""D""), ""D2"","""")"),"")</f>
        <v/>
      </c>
      <c r="GZ318" s="294" t="str">
        <f>IFERROR(__xludf.DUMMYFUNCTION("IF(REGEXMATCH(C318, ""n""), ""N2"","""")"),"N2")</f>
        <v>N2</v>
      </c>
      <c r="HA318" s="295" t="str">
        <f>IFERROR(__xludf.DUMMYFUNCTION("IF(REGEXMATCH(C318, ""N""), ""N3"","""")"),"N3")</f>
        <v>N3</v>
      </c>
      <c r="HB318" s="249" t="str">
        <f>IFERROR(__xludf.DUMMYFUNCTION("IF(REGEXMATCH(C318, ""S""), ""S"","""")"),"S")</f>
        <v>S</v>
      </c>
      <c r="HC318" s="331" t="str">
        <f t="shared" si="95"/>
        <v>S</v>
      </c>
      <c r="HD318" s="332" t="str">
        <f t="shared" si="96"/>
        <v>r</v>
      </c>
      <c r="HE318" s="332" t="str">
        <f t="shared" si="97"/>
        <v>R</v>
      </c>
      <c r="HF318" s="332" t="str">
        <f t="shared" si="98"/>
        <v/>
      </c>
      <c r="HG318" s="332" t="str">
        <f t="shared" si="99"/>
        <v>G</v>
      </c>
      <c r="HH318" s="332" t="str">
        <f t="shared" si="100"/>
        <v>m</v>
      </c>
      <c r="HI318" s="332" t="str">
        <f t="shared" si="101"/>
        <v/>
      </c>
      <c r="HJ318" s="332" t="str">
        <f t="shared" si="102"/>
        <v>P</v>
      </c>
      <c r="HK318" s="332" t="str">
        <f t="shared" si="103"/>
        <v>d</v>
      </c>
      <c r="HL318" s="332" t="str">
        <f t="shared" si="104"/>
        <v>D</v>
      </c>
      <c r="HM318" s="332" t="str">
        <f t="shared" si="105"/>
        <v/>
      </c>
      <c r="HN318" s="332" t="str">
        <f t="shared" si="106"/>
        <v/>
      </c>
      <c r="HO318" s="343" t="str">
        <f t="shared" si="107"/>
        <v>S</v>
      </c>
      <c r="HP318" s="331" t="str">
        <f t="shared" si="108"/>
        <v>o</v>
      </c>
      <c r="HQ318" s="332" t="str">
        <f t="shared" si="109"/>
        <v>•</v>
      </c>
      <c r="HR318" s="332" t="str">
        <f t="shared" si="110"/>
        <v>•</v>
      </c>
      <c r="HS318" s="332" t="str">
        <f t="shared" si="111"/>
        <v>o</v>
      </c>
      <c r="HT318" s="332" t="str">
        <f t="shared" si="112"/>
        <v>o</v>
      </c>
      <c r="HU318" s="332" t="str">
        <f t="shared" si="113"/>
        <v>o</v>
      </c>
      <c r="HV318" s="332" t="str">
        <f t="shared" si="114"/>
        <v>•</v>
      </c>
      <c r="HW318" s="332" t="str">
        <f t="shared" si="115"/>
        <v>o</v>
      </c>
      <c r="HX318" s="332" t="str">
        <f t="shared" si="116"/>
        <v>o</v>
      </c>
      <c r="HY318" s="332" t="str">
        <f t="shared" si="117"/>
        <v>•</v>
      </c>
      <c r="HZ318" s="332" t="str">
        <f t="shared" si="118"/>
        <v>o</v>
      </c>
      <c r="IA318" s="332" t="str">
        <f t="shared" si="119"/>
        <v>o</v>
      </c>
      <c r="IB318" s="338" t="str">
        <f t="shared" si="120"/>
        <v>o</v>
      </c>
      <c r="IC318" s="331" t="str">
        <f t="shared" si="121"/>
        <v>•</v>
      </c>
      <c r="ID318" s="332" t="str">
        <f t="shared" si="122"/>
        <v>o</v>
      </c>
      <c r="IE318" s="332" t="str">
        <f t="shared" si="123"/>
        <v>o</v>
      </c>
      <c r="IF318" s="332" t="str">
        <f t="shared" si="124"/>
        <v>•</v>
      </c>
      <c r="IG318" s="332" t="str">
        <f t="shared" si="125"/>
        <v>•</v>
      </c>
      <c r="IH318" s="332" t="str">
        <f t="shared" si="126"/>
        <v>•</v>
      </c>
      <c r="II318" s="332" t="str">
        <f t="shared" si="127"/>
        <v>o</v>
      </c>
      <c r="IJ318" s="332" t="str">
        <f t="shared" si="128"/>
        <v>•</v>
      </c>
      <c r="IK318" s="332" t="str">
        <f t="shared" si="129"/>
        <v>•</v>
      </c>
      <c r="IL318" s="332" t="str">
        <f t="shared" si="130"/>
        <v>o</v>
      </c>
      <c r="IM318" s="332" t="str">
        <f t="shared" si="131"/>
        <v>•</v>
      </c>
      <c r="IN318" s="332" t="str">
        <f t="shared" si="132"/>
        <v>•</v>
      </c>
      <c r="IO318" s="338" t="str">
        <f t="shared" si="133"/>
        <v>•</v>
      </c>
      <c r="IP318" s="346" t="b">
        <f t="shared" si="134"/>
        <v>0</v>
      </c>
      <c r="IQ318" s="347" t="b">
        <f t="shared" si="135"/>
        <v>0</v>
      </c>
      <c r="IR318" s="347" t="b">
        <f t="shared" si="136"/>
        <v>0</v>
      </c>
      <c r="IS318" s="347" t="b">
        <f t="shared" si="137"/>
        <v>0</v>
      </c>
      <c r="IT318" s="347" t="b">
        <f t="shared" si="138"/>
        <v>0</v>
      </c>
      <c r="IU318" s="347" t="b">
        <f t="shared" si="139"/>
        <v>0</v>
      </c>
      <c r="IV318" s="347" t="b">
        <f t="shared" si="140"/>
        <v>0</v>
      </c>
      <c r="IW318" s="347" t="b">
        <f t="shared" si="141"/>
        <v>1</v>
      </c>
      <c r="IX318" s="347" t="b">
        <f t="shared" si="142"/>
        <v>0</v>
      </c>
      <c r="IY318" s="347" t="b">
        <f t="shared" si="143"/>
        <v>0</v>
      </c>
      <c r="IZ318" s="347" t="b">
        <f t="shared" si="144"/>
        <v>0</v>
      </c>
      <c r="JA318" s="347" t="b">
        <f t="shared" si="145"/>
        <v>1</v>
      </c>
      <c r="JB318" s="353" t="b">
        <f t="shared" si="146"/>
        <v>0</v>
      </c>
      <c r="JC318" s="354" t="str">
        <f t="shared" si="147"/>
        <v/>
      </c>
      <c r="JD318" s="355" t="str">
        <f t="shared" si="148"/>
        <v/>
      </c>
      <c r="JE318" s="355" t="str">
        <f t="shared" si="149"/>
        <v/>
      </c>
      <c r="JF318" s="355" t="str">
        <f t="shared" si="150"/>
        <v/>
      </c>
      <c r="JG318" s="355" t="str">
        <f t="shared" si="151"/>
        <v/>
      </c>
      <c r="JH318" s="355" t="str">
        <f t="shared" si="152"/>
        <v/>
      </c>
      <c r="JI318" s="355" t="str">
        <f t="shared" si="153"/>
        <v/>
      </c>
      <c r="JJ318" s="355" t="str">
        <f t="shared" si="154"/>
        <v>Pa, </v>
      </c>
      <c r="JK318" s="355" t="str">
        <f t="shared" si="155"/>
        <v/>
      </c>
      <c r="JL318" s="355" t="str">
        <f t="shared" si="156"/>
        <v/>
      </c>
      <c r="JM318" s="355" t="str">
        <f t="shared" si="157"/>
        <v/>
      </c>
      <c r="JN318" s="355" t="str">
        <f t="shared" si="158"/>
        <v>Ni, </v>
      </c>
      <c r="JO318" s="359" t="str">
        <f t="shared" si="159"/>
        <v/>
      </c>
      <c r="JP318" s="346" t="b">
        <f t="shared" si="160"/>
        <v>0</v>
      </c>
      <c r="JQ318" s="347" t="b">
        <f t="shared" si="161"/>
        <v>0</v>
      </c>
      <c r="JR318" s="347" t="b">
        <f t="shared" si="162"/>
        <v>0</v>
      </c>
      <c r="JS318" s="347" t="b">
        <f t="shared" si="163"/>
        <v>0</v>
      </c>
      <c r="JT318" s="347" t="b">
        <f t="shared" si="164"/>
        <v>0</v>
      </c>
      <c r="JU318" s="347" t="b">
        <f t="shared" si="165"/>
        <v>0</v>
      </c>
      <c r="JV318" s="347" t="b">
        <f t="shared" si="166"/>
        <v>0</v>
      </c>
      <c r="JW318" s="347" t="b">
        <f t="shared" si="167"/>
        <v>0</v>
      </c>
      <c r="JX318" s="347" t="b">
        <f t="shared" si="168"/>
        <v>0</v>
      </c>
      <c r="JY318" s="347" t="b">
        <f t="shared" si="169"/>
        <v>0</v>
      </c>
      <c r="JZ318" s="347" t="b">
        <f t="shared" si="170"/>
        <v>0</v>
      </c>
      <c r="KA318" s="347" t="b">
        <f t="shared" si="171"/>
        <v>0</v>
      </c>
      <c r="KB318" s="365" t="b">
        <f t="shared" si="172"/>
        <v>0</v>
      </c>
      <c r="KC318" s="354" t="str">
        <f t="shared" si="173"/>
        <v/>
      </c>
      <c r="KD318" s="355" t="str">
        <f t="shared" si="174"/>
        <v/>
      </c>
      <c r="KE318" s="355" t="str">
        <f t="shared" si="175"/>
        <v/>
      </c>
      <c r="KF318" s="355" t="str">
        <f t="shared" si="176"/>
        <v/>
      </c>
      <c r="KG318" s="355" t="str">
        <f t="shared" si="177"/>
        <v/>
      </c>
      <c r="KH318" s="355" t="str">
        <f t="shared" si="178"/>
        <v/>
      </c>
      <c r="KI318" s="355" t="str">
        <f t="shared" si="179"/>
        <v/>
      </c>
      <c r="KJ318" s="355" t="str">
        <f t="shared" si="180"/>
        <v/>
      </c>
      <c r="KK318" s="355" t="str">
        <f t="shared" si="181"/>
        <v/>
      </c>
      <c r="KL318" s="355" t="str">
        <f t="shared" si="182"/>
        <v/>
      </c>
      <c r="KM318" s="355" t="str">
        <f t="shared" si="183"/>
        <v/>
      </c>
      <c r="KN318" s="355" t="str">
        <f t="shared" si="184"/>
        <v/>
      </c>
      <c r="KO318" s="359"/>
      <c r="KP318" s="378"/>
      <c r="KQ318" s="379" t="s">
        <v>9</v>
      </c>
      <c r="KR318" s="380" t="s">
        <v>9</v>
      </c>
      <c r="KS318" s="381" t="s">
        <v>9</v>
      </c>
      <c r="KT318" s="382">
        <f t="shared" si="186"/>
        <v>0</v>
      </c>
      <c r="KU318" s="383">
        <f t="shared" si="187"/>
        <v>0</v>
      </c>
      <c r="KV318" s="381" t="str">
        <f t="shared" si="205"/>
        <v>S</v>
      </c>
      <c r="KW318" s="382">
        <f t="shared" si="189"/>
        <v>0</v>
      </c>
      <c r="KX318" s="384">
        <f t="shared" si="190"/>
        <v>0</v>
      </c>
      <c r="KY318" s="382">
        <f t="shared" ref="KY318:KZ318" si="866">KW318-KT318</f>
        <v>0</v>
      </c>
      <c r="KZ318" s="369">
        <f t="shared" si="866"/>
        <v>0</v>
      </c>
      <c r="LA318" s="385" t="str">
        <f t="shared" si="192"/>
        <v>✔</v>
      </c>
      <c r="LB318" s="340" t="str">
        <f>IFERROR(__xludf.DUMMYFUNCTION("JOIN("""",ArrayFormula(MID(KS318,LEN(KS318)-SEQUENCE(1,LEN(KS318))+1,1)))"),"S")</f>
        <v>S</v>
      </c>
      <c r="LC318" s="373" t="str">
        <f>IFERROR(__xludf.DUMMYFUNCTION("JOIN("""",ArrayFormula(MID(KV318,LEN(KV318)-SEQUENCE(1,LEN(KV318))+1,1)))"),"S")</f>
        <v>S</v>
      </c>
      <c r="LD318" s="373" t="str">
        <f t="shared" si="193"/>
        <v>S</v>
      </c>
      <c r="LE318" s="339" t="str">
        <f t="shared" si="194"/>
        <v>S</v>
      </c>
      <c r="LF318" s="386" t="str">
        <f>IFERROR(__xludf.DUMMYFUNCTION("SUBSTITUTE(SUBSTITUTE(CONCATENATE(JOIN("""",LH318:LT318)),""1"",""""),""2"","""")"),"SS")</f>
        <v>SS</v>
      </c>
      <c r="LG318" s="369" t="str">
        <f t="shared" si="195"/>
        <v>-</v>
      </c>
      <c r="LH318" s="387" t="str">
        <f>IFERROR(__xludf.DUMMYFUNCTION("IF(REGEXMATCH(LD318, ""S""), ""S"",IF(REGEXMATCH(LE318, ""S""), ""S"",""""))"),"S")</f>
        <v>S</v>
      </c>
      <c r="LI318" s="299" t="str">
        <f>IFERROR(__xludf.DUMMYFUNCTION("IF(REGEXMATCH(LD318, ""r""), ""r1"",IF(REGEXMATCH(LE318, ""r""), ""r2"",""""))"),"")</f>
        <v/>
      </c>
      <c r="LJ318" s="299" t="str">
        <f>IFERROR(__xludf.DUMMYFUNCTION("IF(REGEXMATCH(LD318, ""R""), ""R1"",IF(REGEXMATCH(LE318, ""R""), ""R2"",""""))"),"")</f>
        <v/>
      </c>
      <c r="LK318" s="299" t="str">
        <f>IFERROR(__xludf.DUMMYFUNCTION("IF(REGEXMATCH(LD318, ""g""), ""g1"",IF(REGEXMATCH(LE318, ""g""), ""g2"",""""))"),"")</f>
        <v/>
      </c>
      <c r="LL318" s="299" t="str">
        <f>IFERROR(__xludf.DUMMYFUNCTION("IF(REGEXMATCH(LD318, ""G""), ""G1"",IF(REGEXMATCH(LE318, ""G""), ""G2"",""""))"),"")</f>
        <v/>
      </c>
      <c r="LM318" s="299" t="str">
        <f>IFERROR(__xludf.DUMMYFUNCTION("IF(REGEXMATCH(LD318, ""m""), ""m1"",IF(REGEXMATCH(LE318, ""m""), ""m2"",""""))"),"")</f>
        <v/>
      </c>
      <c r="LN318" s="299" t="str">
        <f>IFERROR(__xludf.DUMMYFUNCTION("IF(REGEXMATCH(LD318, ""M""), ""M1"",IF(REGEXMATCH(LE318, ""M""), ""M2"",""""))"),"")</f>
        <v/>
      </c>
      <c r="LO318" s="299" t="str">
        <f>IFERROR(__xludf.DUMMYFUNCTION("IF(REGEXMATCH(LD318, ""P""), ""P1"",IF(REGEXMATCH(LE318, ""P""), ""P2"",""""))"),"")</f>
        <v/>
      </c>
      <c r="LP318" s="299" t="str">
        <f>IFERROR(__xludf.DUMMYFUNCTION("IF(REGEXMATCH(LD318, ""d""), ""d1"",IF(REGEXMATCH(LE318, ""d""), ""d2"",""""))"),"")</f>
        <v/>
      </c>
      <c r="LQ318" s="299" t="str">
        <f>IFERROR(__xludf.DUMMYFUNCTION("IF(REGEXMATCH(LD318, ""D""), ""D1"",IF(REGEXMATCH(LE318, ""D""), ""D2"",""""))"),"")</f>
        <v/>
      </c>
      <c r="LR318" s="299" t="str">
        <f>IFERROR(__xludf.DUMMYFUNCTION("IF(REGEXMATCH(LD318, ""n""), ""n1"",IF(REGEXMATCH(LE318, ""n""), ""n2"",""""))"),"")</f>
        <v/>
      </c>
      <c r="LS318" s="299" t="str">
        <f>IFERROR(__xludf.DUMMYFUNCTION("IF(REGEXMATCH(LD318, ""N""), ""N1"",IF(REGEXMATCH(LE318, ""N""), ""N2"",""""))"),"")</f>
        <v/>
      </c>
      <c r="LT318" s="388" t="str">
        <f>IFERROR(__xludf.DUMMYFUNCTION("IF(REGEXMATCH(LD318, ""S""), ""S"",IF(REGEXMATCH(LE318, ""S""), ""S"",""""))"),"S")</f>
        <v>S</v>
      </c>
      <c r="LU318" s="389">
        <f t="shared" si="196"/>
        <v>1</v>
      </c>
      <c r="LV318" s="378"/>
      <c r="LW318" s="369"/>
      <c r="LX318" s="369"/>
    </row>
    <row r="319" ht="18.0" customHeight="1">
      <c r="A319" s="298" t="s">
        <v>1151</v>
      </c>
      <c r="B319" s="222" t="s">
        <v>1152</v>
      </c>
      <c r="C319" s="233" t="str">
        <f t="shared" si="7"/>
        <v>SRgMPDS</v>
      </c>
      <c r="D319" s="234" t="str">
        <f>IFERROR(__xludf.DUMMYFUNCTION("IF(REGEXMATCH(C319, ""S""), ""S"","""")"),"S")</f>
        <v>S</v>
      </c>
      <c r="E319" s="236" t="str">
        <f>IFERROR(__xludf.DUMMYFUNCTION("IF(REGEXMATCH(C319, ""r""), ""r"","""")"),"")</f>
        <v/>
      </c>
      <c r="F319" s="237" t="str">
        <f>IFERROR(__xludf.DUMMYFUNCTION("IF(REGEXMATCH(C319, ""R""), ""R"","""")"),"R")</f>
        <v>R</v>
      </c>
      <c r="G319" s="237" t="str">
        <f>IFERROR(__xludf.DUMMYFUNCTION("IF(REGEXMATCH(C319, ""g""), ""g"","""")"),"g")</f>
        <v>g</v>
      </c>
      <c r="H319" s="236" t="str">
        <f>IFERROR(__xludf.DUMMYFUNCTION("IF(REGEXMATCH(C319, ""G""), ""G"","""")"),"")</f>
        <v/>
      </c>
      <c r="I319" s="236" t="str">
        <f>IFERROR(__xludf.DUMMYFUNCTION("IF(REGEXMATCH(C319, ""m""), ""m"","""")"),"")</f>
        <v/>
      </c>
      <c r="J319" s="237" t="str">
        <f>IFERROR(__xludf.DUMMYFUNCTION("IF(REGEXMATCH(C319, ""M""), ""M"","""")"),"M")</f>
        <v>M</v>
      </c>
      <c r="K319" s="236" t="str">
        <f>IFERROR(__xludf.DUMMYFUNCTION("IF(REGEXMATCH(C319, ""P""), ""P"","""")"),"P")</f>
        <v>P</v>
      </c>
      <c r="L319" s="237" t="str">
        <f>IFERROR(__xludf.DUMMYFUNCTION("IF(REGEXMATCH(C319, ""d""), ""d"","""")"),"")</f>
        <v/>
      </c>
      <c r="M319" s="236" t="str">
        <f>IFERROR(__xludf.DUMMYFUNCTION("IF(REGEXMATCH(C319, ""D""), ""D"","""")"),"D")</f>
        <v>D</v>
      </c>
      <c r="N319" s="236" t="str">
        <f>IFERROR(__xludf.DUMMYFUNCTION("IF(REGEXMATCH(C319, ""n""), ""n"","""")"),"")</f>
        <v/>
      </c>
      <c r="O319" s="237" t="str">
        <f>IFERROR(__xludf.DUMMYFUNCTION("IF(REGEXMATCH(C319, ""N""), ""N"","""")"),"")</f>
        <v/>
      </c>
      <c r="P319" s="238" t="str">
        <f>IFERROR(__xludf.DUMMYFUNCTION("IF(REGEXMATCH(C319, ""S""), ""S"","""")"),"S")</f>
        <v>S</v>
      </c>
      <c r="Q319" s="239" t="str">
        <f>IFERROR(__xludf.DUMMYFUNCTION("SUBSTITUTE(CONCATENATE(JOIN(""-"",D319:J319)),""-"","""")"),"SRgM")</f>
        <v>SRgM</v>
      </c>
      <c r="R319" s="229" t="str">
        <f>IFERROR(__xludf.DUMMYFUNCTION("SUBSTITUTE(CONCATENATE(JOIN(""-"",K319:P319)),""-"","""")"),"PDS")</f>
        <v>PDS</v>
      </c>
      <c r="S319" s="282" t="str">
        <f t="shared" si="8"/>
        <v>S-R-G-M</v>
      </c>
      <c r="T319" s="282" t="str">
        <f t="shared" si="9"/>
        <v>P-D-S</v>
      </c>
      <c r="U319" s="237" t="str">
        <f>IFERROR(__xludf.DUMMYFUNCTION("SUBSTITUTE(JOIN(""-"",S319,T319),""--"",""-"")"),"S-R-G-M-P-D-S")</f>
        <v>S-R-G-M-P-D-S</v>
      </c>
      <c r="V319" s="309" t="str">
        <f t="shared" si="10"/>
        <v>RgMD</v>
      </c>
      <c r="W319" s="244" t="str">
        <f>IFERROR(__xludf.DUMMYFUNCTION("IF(REGEXMATCH(C319, ""S""), ""0"","""")"),"0")</f>
        <v>0</v>
      </c>
      <c r="X319" s="245" t="str">
        <f>IFERROR(__xludf.DUMMYFUNCTION("IF(REGEXMATCH(C319, ""r""), ""1"","""")"),"")</f>
        <v/>
      </c>
      <c r="Y319" s="246" t="str">
        <f>IFERROR(__xludf.DUMMYFUNCTION("IF(REGEXMATCH(C319, ""R""), ""2"","""")"),"2")</f>
        <v>2</v>
      </c>
      <c r="Z319" s="246" t="str">
        <f>IFERROR(__xludf.DUMMYFUNCTION("IF(REGEXMATCH(C319, ""g""), ""3"","""")"),"3")</f>
        <v>3</v>
      </c>
      <c r="AA319" s="245" t="str">
        <f>IFERROR(__xludf.DUMMYFUNCTION("IF(REGEXMATCH(C319, ""G""), ""4"","""")"),"")</f>
        <v/>
      </c>
      <c r="AB319" s="245" t="str">
        <f>IFERROR(__xludf.DUMMYFUNCTION("IF(REGEXMATCH(C319, ""m""), ""5"","""")"),"")</f>
        <v/>
      </c>
      <c r="AC319" s="246" t="str">
        <f>IFERROR(__xludf.DUMMYFUNCTION("IF(REGEXMATCH(C319, ""M""), ""6"","""")"),"6")</f>
        <v>6</v>
      </c>
      <c r="AD319" s="245" t="str">
        <f>IFERROR(__xludf.DUMMYFUNCTION("IF(REGEXMATCH(C319, ""P""), ""7"","""")"),"7")</f>
        <v>7</v>
      </c>
      <c r="AE319" s="246" t="str">
        <f>IFERROR(__xludf.DUMMYFUNCTION("IF(REGEXMATCH(C319, ""d""), ""8"","""")"),"")</f>
        <v/>
      </c>
      <c r="AF319" s="245" t="str">
        <f>IFERROR(__xludf.DUMMYFUNCTION("IF(REGEXMATCH(C319, ""D""), ""9"","""")"),"9")</f>
        <v>9</v>
      </c>
      <c r="AG319" s="245" t="str">
        <f>IFERROR(__xludf.DUMMYFUNCTION("IF(REGEXMATCH(C319, ""n""), ""10"","""")"),"")</f>
        <v/>
      </c>
      <c r="AH319" s="246" t="str">
        <f>IFERROR(__xludf.DUMMYFUNCTION("IF(REGEXMATCH(C319, ""N""), ""11"","""")"),"")</f>
        <v/>
      </c>
      <c r="AI319" s="249" t="str">
        <f>IFERROR(__xludf.DUMMYFUNCTION("IF(REGEXMATCH(C319, ""S""), ""0"","""")"),"0")</f>
        <v>0</v>
      </c>
      <c r="AJ319" s="313" t="str">
        <f t="shared" si="11"/>
        <v>T</v>
      </c>
      <c r="AK319" s="313" t="str">
        <f t="shared" si="12"/>
        <v>-</v>
      </c>
      <c r="AL319" s="313" t="str">
        <f t="shared" si="13"/>
        <v>-</v>
      </c>
      <c r="AM319" s="313" t="str">
        <f t="shared" si="14"/>
        <v>T</v>
      </c>
      <c r="AN319" s="313" t="str">
        <f t="shared" si="15"/>
        <v>-</v>
      </c>
      <c r="AO319" s="314" t="str">
        <f t="shared" si="16"/>
        <v>-</v>
      </c>
      <c r="AP319" s="316">
        <f t="shared" si="17"/>
        <v>2</v>
      </c>
      <c r="AQ319" s="319" t="str">
        <f t="shared" si="18"/>
        <v>#REF!</v>
      </c>
      <c r="AR319" s="320">
        <f t="shared" si="19"/>
        <v>0</v>
      </c>
      <c r="AS319" s="250" t="str">
        <f>IFERROR(__xludf.DUMMYFUNCTION("SUBSTITUTE(SUBSTITUTE(CONCATENATE(JOIN("""",FP319:GA319)),""|"",""x""),""-"",""o"")"),"xoxxooxxoxoo")</f>
        <v>xoxxooxxoxoo</v>
      </c>
      <c r="AT319" s="323" t="str">
        <f>IFERROR(__xludf.DUMMYFUNCTION("JOIN("""",AS319,AS319)"),"xoxxooxxoxooxoxxooxxoxoo")</f>
        <v>xoxxooxxoxooxoxxooxxoxoo</v>
      </c>
      <c r="AU319" s="256" t="str">
        <f>IFERROR(__xludf.DUMMYFUNCTION("JOIN("""",ArrayFormula(MID(AS319,LEN(AS319)-SEQUENCE(1,LEN(AS319))+1,1)))"),"ooxoxxooxxox")</f>
        <v>ooxoxxooxxox</v>
      </c>
      <c r="AV319" s="256" t="str">
        <f>IFERROR(__xludf.DUMMYFUNCTION("LEFT(CONCATENATE(""x"",JOIN("""",ArrayFormula(MID(AS319,LEN(AS319)-SEQUENCE(1,LEN(AS319))+1,1)))),12)"),"xooxoxxooxxo")</f>
        <v>xooxoxxooxxo</v>
      </c>
      <c r="AW319" s="327" t="str">
        <f>IFERROR(__xludf.DUMMYFUNCTION("JOIN("""",AU319,AU319)"),"ooxoxxooxxoxooxoxxooxxox")</f>
        <v>ooxoxxooxxoxooxoxxooxxox</v>
      </c>
      <c r="AX319" s="239" t="str">
        <f>IFERROR(__xludf.DUMMYFUNCTION("IF(REGEXMATCH(AW319,AS319),""✔"",""-"")"),"✔")</f>
        <v>✔</v>
      </c>
      <c r="AY319" s="330" t="str">
        <f t="shared" si="20"/>
        <v>-</v>
      </c>
      <c r="AZ319" s="260" t="str">
        <f t="shared" si="21"/>
        <v>#REF!</v>
      </c>
      <c r="BA319" s="333" t="str">
        <f t="shared" si="22"/>
        <v>xoxxoox</v>
      </c>
      <c r="BB319" s="334" t="str">
        <f t="shared" si="23"/>
        <v>xoxoox</v>
      </c>
      <c r="BC319" s="335" t="str">
        <f t="shared" si="236"/>
        <v>-</v>
      </c>
      <c r="BD319" s="336" t="str">
        <f t="shared" si="25"/>
        <v>Shivawanti: 'xoxxoox' + 'xoxoox'</v>
      </c>
      <c r="BE319" s="337">
        <f>IFERROR(__xludf.DUMMYFUNCTION("COUNTUNIQUE(FILTER(AT:AT,REGEXMATCH(AT:AT,AS319)))-1"),0.0)</f>
        <v>0</v>
      </c>
      <c r="BF319" s="261" t="str">
        <f>IFERROR(__xludf.DUMMYFUNCTION("IF(BI319=0,""(n/a)"",IF(BJ319=2,""(PAIR)"",IF(REGEXMATCH(AT319,""xoxoxxoxoxox""),""Bilawal"",IF(REGEXMATCH(AT319,""xoxoxooxoxoo""),""Bhupali"",IF(REGEXMATCH(AT319,""xoxoxxoxxoxo""),""Charukeshi"",IF(REGEXMATCH(AT319,""xoxoooxxoxxo""),""Kameshwari"",IF(REG"&amp;"EXMATCH(AT319,""xoxoxooxoxox""),""Shankara"",IF(REGEXMATCH(AT319,""xxooxoxxxoox""),""Basant"",IF(REGEXMATCH(AT319,""xoxoxxxxoxox""),""Bihag"",IF(REGEXMATCH(AT319,""xoxxxxoxoxxx""),""Pilu"",IF(REGEXMATCH(AT319,""xoxxoxoxxoox""),""Kirwani"",IF(REGEXMATCH(AT"&amp;"319,""xoxxoxoxoxxx""),""Mk.Malhar"",IF(REGEXMATCH(AT319,""xxooxxoxxoox""),""Bhairav"",IF(REGEXMATCH(AT319,""xxoxooxxxoox""),""Todi"",IF(REGEXMATCH(AT319,""xxooxoxooxox""),""Marwa"",IF(REGEXMATCH(AT319,""xxoooxoxxooo""),""Gunkali"",IF(REGEXMATCH(AT319,""xo"&amp;"xoxxoxxoox""),""Nat Bhairav"",IF(REGEXMATCH(AT319,""xoxxoooxoxoo""),""Shivranjani"",IF(REGEXMATCH(AT319,""xooxxxoxooxo""),""Jog"",IF(REGEXMATCH(AT319,""xxooxoxoxoox""),""Hemshri"",IF(REGEXMATCH(AT319,""xoooxooxoxxo""),""Kalavati"",IF(REGEXMATCH(AT319,""xx"&amp;"oxoxxoxoox""),""Kedar"",IF(REGEXMATCH(AT319,""xoxxxxoxooxx""),""Gara"",IF(REGEXMATCH(AT319,""xooxoxooxoox""),""Chandrakauns"",IF(REGEXMATCH(AT319,""xoxxxxoxxxox""),""Mand"",IF(REGEXMATCH(AT319,""xoxxxxoxoxox""),""Hanskinkini"",IF(REGEXMATCH(AT319,""xxooxx"&amp;"oxooxo""),""Lilavati"",IF(REGEXMATCH(AT319,""xooxoxoooxox""),""Rajeshwari"",IF(REGEXMATCH(AT319,""xoooxxoxoxxx""),""Khokar"",IF(REGEXMATCH(AT319,""xxooxoxxxxox""),""Maligoura"",""-""))))))))))))))))))))))))))))))"),"(n/a)")</f>
        <v>(n/a)</v>
      </c>
      <c r="BG319" s="239" t="str">
        <f t="shared" si="26"/>
        <v>#REF!</v>
      </c>
      <c r="BH319" s="239">
        <f>IFERROR(__xludf.DUMMYFUNCTION("COUNTUNIQUE(FE319:FO319)-1"),5.0)</f>
        <v>5</v>
      </c>
      <c r="BI319" s="239">
        <f>IFERROR(__xludf.DUMMYFUNCTION("COUNTUNIQUE(FILTER(AT:AT,REGEXMATCH(AT:AT,AS319)))-1"),0.0)</f>
        <v>0</v>
      </c>
      <c r="BJ319" s="239">
        <f>IFERROR(__xludf.DUMMYFUNCTION("COUNTA(FILTER(AT:AT,REGEXMATCH(AT:AT,AS319)))"),2.0)</f>
        <v>2</v>
      </c>
      <c r="BK319" s="341">
        <f>IFERROR(__xludf.DUMMYFUNCTION("COUNTA(FILTER(AT:AT,REGEXMATCH(AT:AT,AS319)))-AR319"),2.0)</f>
        <v>2</v>
      </c>
      <c r="BL319" s="276" t="str">
        <f>IFERROR(__xludf.DUMMYFUNCTION("IF(AS319=""oooooooooooo"",""-"",IF(REGEXMATCH(AT319,""xx""), ""Hemi."", ""Anhemi.""))"),"Hemi.")</f>
        <v>Hemi.</v>
      </c>
      <c r="BM319" s="282" t="str">
        <f>IFERROR(__xludf.DUMMYFUNCTION("IF(AS319=""oooooooooooo"",""-"",IF(REGEXMATCH(AT319,""xxx""), ""Cohem."", ""-""))"),"-")</f>
        <v>-</v>
      </c>
      <c r="BN319" s="282" t="str">
        <f>IFERROR(__xludf.DUMMYFUNCTION("IF(AS319=""oooooooooooo"",""-"",IF(REGEXMATCH(AT319,""xxxx""), ""Co-Co."", ""-""))"),"-")</f>
        <v>-</v>
      </c>
      <c r="BO319" s="342" t="str">
        <f>IFERROR(__xludf.DUMMYFUNCTION("IF(AS319=""oooooooooooo"",""-"",IF(REGEXMATCH(AT319,""xxxxx""), ""CCC."", ""-""))"),"-")</f>
        <v>-</v>
      </c>
      <c r="BP319" s="344" t="str">
        <f t="shared" si="27"/>
        <v>-</v>
      </c>
      <c r="BQ319" s="282" t="str">
        <f>IFERROR(__xludf.DUMMYFUNCTION("IF(REGEXMATCH(JOIN(""-"",EU319:FD319),""TRUE""),""✔"",""-"")"),"-")</f>
        <v>-</v>
      </c>
      <c r="BR319" s="225">
        <f t="shared" si="28"/>
        <v>0</v>
      </c>
      <c r="BS319" s="345" t="str">
        <f>IFERROR(__xludf.DUMMYFUNCTION("SUBSTITUTE(SUBSTITUTE(SUBSTITUTE(SUBSTITUTE(CONCATENATE(JOIN(""-"",GC319:GO319)),""--"",""-""),""--"",""-""),""--"",""-""),""--"",""-"")"),"1-2-b3-#4-5-6-8")</f>
        <v>1-2-b3-#4-5-6-8</v>
      </c>
      <c r="BT319" s="299" t="str">
        <f>IFERROR(__xludf.DUMMYFUNCTION("SUBSTITUTE(SUBSTITUTE(SUBSTITUTE(SUBSTITUTE(CONCATENATE(JOIN(""-"",GP319:HB319)),""--"",""-""),""--"",""-""),""--"",""-""),""--"",""-"")"),"S-R2-G2-M2-P-D2-S")</f>
        <v>S-R2-G2-M2-P-D2-S</v>
      </c>
      <c r="BU319" s="348" t="str">
        <f t="shared" si="29"/>
        <v>C-D-Eb-F#-G-A-C</v>
      </c>
      <c r="BV319" s="349" t="str">
        <f t="shared" si="30"/>
        <v>SrGmdnNS</v>
      </c>
      <c r="BW319" s="350">
        <f t="shared" si="31"/>
        <v>0</v>
      </c>
      <c r="BX319" s="351">
        <f t="shared" si="32"/>
        <v>2</v>
      </c>
      <c r="BY319" s="392"/>
      <c r="BZ319" s="309" t="str">
        <f>IFERROR(__xludf.DUMMYFUNCTION("IF(REGEXMATCH(C319, ""S""), ""x"",""x"")"),"x")</f>
        <v>x</v>
      </c>
      <c r="CA319" s="245" t="str">
        <f>IFERROR(__xludf.DUMMYFUNCTION("IF(REGEXMATCH(C319, ""r""), ""o"",""x"")"),"x")</f>
        <v>x</v>
      </c>
      <c r="CB319" s="246" t="str">
        <f>IFERROR(__xludf.DUMMYFUNCTION("IF(REGEXMATCH(C319, ""R""), ""o"",""x"")"),"o")</f>
        <v>o</v>
      </c>
      <c r="CC319" s="246" t="str">
        <f>IFERROR(__xludf.DUMMYFUNCTION("IF(REGEXMATCH(C319, ""g""), ""o"",""x"")"),"o")</f>
        <v>o</v>
      </c>
      <c r="CD319" s="245" t="str">
        <f>IFERROR(__xludf.DUMMYFUNCTION("IF(REGEXMATCH(C319, ""G""), ""o"",""x"")"),"x")</f>
        <v>x</v>
      </c>
      <c r="CE319" s="245" t="str">
        <f>IFERROR(__xludf.DUMMYFUNCTION("IF(REGEXMATCH(C319, ""m""), ""o"",""x"")"),"x")</f>
        <v>x</v>
      </c>
      <c r="CF319" s="246" t="str">
        <f>IFERROR(__xludf.DUMMYFUNCTION("IF(REGEXMATCH(C319, ""M""), ""o"",""x"")"),"o")</f>
        <v>o</v>
      </c>
      <c r="CG319" s="245" t="str">
        <f>IFERROR(__xludf.DUMMYFUNCTION("IF(REGEXMATCH(C319, ""P""), ""o"",""x"")"),"o")</f>
        <v>o</v>
      </c>
      <c r="CH319" s="246" t="str">
        <f>IFERROR(__xludf.DUMMYFUNCTION("IF(REGEXMATCH(C319, ""d""), ""o"",""x"")"),"x")</f>
        <v>x</v>
      </c>
      <c r="CI319" s="245" t="str">
        <f>IFERROR(__xludf.DUMMYFUNCTION("IF(REGEXMATCH(C319, ""D""), ""o"",""x"")"),"o")</f>
        <v>o</v>
      </c>
      <c r="CJ319" s="245" t="str">
        <f>IFERROR(__xludf.DUMMYFUNCTION("IF(REGEXMATCH(C319, ""n""), ""o"",""x"")"),"x")</f>
        <v>x</v>
      </c>
      <c r="CK319" s="245" t="str">
        <f>IFERROR(__xludf.DUMMYFUNCTION("IF(REGEXMATCH(C319, ""N""), ""o"",""x"")"),"x")</f>
        <v>x</v>
      </c>
      <c r="CL319" s="356" t="str">
        <f>IFERROR(__xludf.DUMMYFUNCTION("IF(REGEXMATCH(C319, ""S""), ""x"",""x"")"),"x")</f>
        <v>x</v>
      </c>
      <c r="CM319" s="357" t="str">
        <f t="shared" si="33"/>
        <v>xxooxxooxoxx</v>
      </c>
      <c r="CN319" s="358">
        <f t="shared" si="34"/>
        <v>0</v>
      </c>
      <c r="CO319" s="246" t="str">
        <f>IFERROR(__xludf.DUMMYFUNCTION("IF(REGEXMATCH($C319, ""S""), ""S"",""S"")"),"S")</f>
        <v>S</v>
      </c>
      <c r="CP319" s="246" t="str">
        <f>IFERROR(__xludf.DUMMYFUNCTION("IF(REGEXMATCH($C319, ""r""), """",""r"")"),"r")</f>
        <v>r</v>
      </c>
      <c r="CQ319" s="246" t="str">
        <f>IFERROR(__xludf.DUMMYFUNCTION("IF(REGEXMATCH($C319, ""R""), """",""R"")"),"")</f>
        <v/>
      </c>
      <c r="CR319" s="246" t="str">
        <f>IFERROR(__xludf.DUMMYFUNCTION("IF(REGEXMATCH($C319, ""g""), """",""g"")"),"")</f>
        <v/>
      </c>
      <c r="CS319" s="246" t="str">
        <f>IFERROR(__xludf.DUMMYFUNCTION("IF(REGEXMATCH($C319, ""G""), """",""G"")"),"G")</f>
        <v>G</v>
      </c>
      <c r="CT319" s="246" t="str">
        <f>IFERROR(__xludf.DUMMYFUNCTION("IF(REGEXMATCH($C319, ""m""), """",""m"")"),"m")</f>
        <v>m</v>
      </c>
      <c r="CU319" s="246" t="str">
        <f>IFERROR(__xludf.DUMMYFUNCTION("IF(REGEXMATCH($C319, ""M""), """",""M"")"),"")</f>
        <v/>
      </c>
      <c r="CV319" s="246" t="str">
        <f>IFERROR(__xludf.DUMMYFUNCTION("IF(REGEXMATCH($C319, ""P""), """",""P"")"),"")</f>
        <v/>
      </c>
      <c r="CW319" s="246" t="str">
        <f>IFERROR(__xludf.DUMMYFUNCTION("IF(REGEXMATCH($C319, ""d""), """",""d"")"),"d")</f>
        <v>d</v>
      </c>
      <c r="CX319" s="246" t="str">
        <f>IFERROR(__xludf.DUMMYFUNCTION("IF(REGEXMATCH($C319, ""D""), """",""D"")"),"")</f>
        <v/>
      </c>
      <c r="CY319" s="246" t="str">
        <f>IFERROR(__xludf.DUMMYFUNCTION("IF(REGEXMATCH($C319, ""n""), """",""n"")"),"n")</f>
        <v>n</v>
      </c>
      <c r="CZ319" s="246" t="str">
        <f>IFERROR(__xludf.DUMMYFUNCTION("IF(REGEXMATCH($C319, ""N""), """",""N"")"),"N")</f>
        <v>N</v>
      </c>
      <c r="DA319" s="246" t="str">
        <f>IFERROR(__xludf.DUMMYFUNCTION("IF(REGEXMATCH($C319, ""S""), ""S"",""S"")"),"S")</f>
        <v>S</v>
      </c>
      <c r="DB319" s="362" t="str">
        <f>IFERROR(__xludf.DUMMYFUNCTION("JOIN("""",CO319:DA319,"""","""")"),"SrGmdnNS")</f>
        <v>SrGmdnNS</v>
      </c>
      <c r="DC319" s="363"/>
      <c r="DD319" s="301" t="str">
        <f t="shared" si="35"/>
        <v>#REF!</v>
      </c>
      <c r="DE319" s="302" t="str">
        <f t="shared" si="36"/>
        <v>#REF!</v>
      </c>
      <c r="DF319" s="301" t="str">
        <f t="shared" ref="DF319:DG319" si="867">SUBSTITUTE(S319,"-","")</f>
        <v>SRGM</v>
      </c>
      <c r="DG319" s="301" t="str">
        <f t="shared" si="867"/>
        <v>PDS</v>
      </c>
      <c r="DH319" s="302" t="str">
        <f t="shared" si="38"/>
        <v>(n/a)</v>
      </c>
      <c r="DI319" s="301" t="str">
        <f t="shared" si="39"/>
        <v>Hemi.</v>
      </c>
      <c r="DJ319" s="364" t="str">
        <f t="shared" si="40"/>
        <v>-</v>
      </c>
      <c r="DK319" s="306" t="str">
        <f t="shared" si="41"/>
        <v>-</v>
      </c>
      <c r="DL319" s="366" t="str">
        <f t="shared" si="42"/>
        <v>-</v>
      </c>
      <c r="DM319" s="308" t="str">
        <f t="shared" si="43"/>
        <v>✔</v>
      </c>
      <c r="DN319" s="306" t="str">
        <f t="shared" si="44"/>
        <v>-</v>
      </c>
      <c r="DO319" s="306" t="str">
        <f t="shared" si="45"/>
        <v>-</v>
      </c>
      <c r="DP319" s="367" t="str">
        <f t="shared" si="46"/>
        <v>✔</v>
      </c>
      <c r="DQ319" s="310" t="str">
        <f t="shared" si="47"/>
        <v>-</v>
      </c>
      <c r="DR319" s="310" t="str">
        <f t="shared" si="48"/>
        <v>-</v>
      </c>
      <c r="DS319" s="310" t="str">
        <f t="shared" si="49"/>
        <v>-</v>
      </c>
      <c r="DT319" s="310" t="str">
        <f t="shared" si="50"/>
        <v>-</v>
      </c>
      <c r="DU319" s="370" t="str">
        <f t="shared" si="51"/>
        <v>-</v>
      </c>
      <c r="DV319" s="306" t="str">
        <f t="shared" si="52"/>
        <v>-</v>
      </c>
      <c r="DW319" s="306" t="str">
        <f t="shared" si="53"/>
        <v>-</v>
      </c>
      <c r="DX319" s="306" t="str">
        <f t="shared" si="54"/>
        <v>-</v>
      </c>
      <c r="DY319" s="306" t="str">
        <f t="shared" si="55"/>
        <v>-</v>
      </c>
      <c r="DZ319" s="306" t="str">
        <f t="shared" si="56"/>
        <v>-</v>
      </c>
      <c r="EA319" s="367" t="str">
        <f t="shared" si="57"/>
        <v>✔</v>
      </c>
      <c r="EB319" s="310" t="str">
        <f>IFERROR(__xludf.DUMMYFUNCTION("IF(REGEXMATCH(AW319,AS319),""✔"",""-"")"),"✔")</f>
        <v>✔</v>
      </c>
      <c r="EC319" s="310" t="str">
        <f t="shared" si="58"/>
        <v>#REF!</v>
      </c>
      <c r="ED319" s="370" t="str">
        <f t="shared" si="59"/>
        <v>-</v>
      </c>
      <c r="EE319" s="340" t="str">
        <f t="shared" si="60"/>
        <v>S-R-g-M-P-D-S</v>
      </c>
      <c r="EF319" s="371" t="str">
        <f>IFERROR(__xludf.DUMMYFUNCTION("CONCATENATE(JOIN("""",HC319:HO319))"),"SgmMDnS")</f>
        <v>SgmMDnS</v>
      </c>
      <c r="EG319" s="372">
        <f t="shared" si="61"/>
        <v>3</v>
      </c>
      <c r="EH319" s="373" t="str">
        <f>IFERROR(__xludf.DUMMYFUNCTION("CONCATENATE(JOIN("""",JC319:JO319))"),"ga, Ma, Dha, ")</f>
        <v>ga, Ma, Dha, </v>
      </c>
      <c r="EI319" s="322">
        <f t="shared" si="62"/>
        <v>2</v>
      </c>
      <c r="EJ319" s="374" t="str">
        <f>IFERROR(__xludf.DUMMYFUNCTION("CONCATENATE(JOIN("""",KC319:KO319))"),"ga, Ma, ")</f>
        <v>ga, Ma, </v>
      </c>
      <c r="EK319" s="325" t="str">
        <f t="shared" si="63"/>
        <v>S-R2-G2-M2-P-D2-S</v>
      </c>
      <c r="EL319" s="326" t="str">
        <f t="shared" si="64"/>
        <v>1-2-b3-#4-5-6-8</v>
      </c>
      <c r="EM319" s="318" t="str">
        <f t="shared" si="65"/>
        <v>#REF!</v>
      </c>
      <c r="EN319" s="328" t="str">
        <f>IFERROR(__xludf.DUMMYFUNCTION("SUBSTITUTE(SUBSTITUTE(SUBSTITUTE(SUBSTITUTE(CONCATENATE(JOIN("" "",HP319:IB319)),""  "","" ""),""  "","" ""),""  "","" ""),""  "","" "")"),"o • o o • • o o • o • • o")</f>
        <v>o • o o • • o o • o • • o</v>
      </c>
      <c r="EO319" s="368" t="str">
        <f t="shared" si="66"/>
        <v>Sa-Pa</v>
      </c>
      <c r="EP319" s="339" t="str">
        <f t="shared" si="67"/>
        <v>Sa-Pa</v>
      </c>
      <c r="EQ319" s="339" t="str">
        <f t="shared" si="68"/>
        <v>Sa-Pa</v>
      </c>
      <c r="ER319" s="339" t="str">
        <f t="shared" si="69"/>
        <v>-</v>
      </c>
      <c r="ES319" s="340" t="str">
        <f t="shared" si="70"/>
        <v>-</v>
      </c>
      <c r="ET319" s="363"/>
      <c r="EU319" s="376" t="b">
        <f>IFERROR(__xludf.DUMMYFUNCTION("arrayformula(sum(--REGEXMATCH(""SRGMPDNS"",split(REGEXREPLACE(C319,""(.)"",""$1~""),""~""))))=len(C319)
"),FALSE)</f>
        <v>0</v>
      </c>
      <c r="EV319" s="290" t="b">
        <f>IFERROR(__xludf.DUMMYFUNCTION("arrayformula(sum(--REGEXMATCH(""SRGmPDNS"",split(REGEXREPLACE(C319,""(.)"",""$1~""),""~""))))=len(C319)"),FALSE)</f>
        <v>0</v>
      </c>
      <c r="EW319" s="290" t="b">
        <f>IFERROR(__xludf.DUMMYFUNCTION("arrayformula(sum(--REGEXMATCH(""SRGmPDnS"",split(REGEXREPLACE(C319,""(.)"",""$1~""),""~""))))=len(C319)"),FALSE)</f>
        <v>0</v>
      </c>
      <c r="EX319" s="290" t="b">
        <f>IFERROR(__xludf.DUMMYFUNCTION("arrayformula(sum(--REGEXMATCH(""SRgmPDnS"",split(REGEXREPLACE(C319,""(.)"",""$1~""),""~""))))=len(C319)"),FALSE)</f>
        <v>0</v>
      </c>
      <c r="EY319" s="290" t="b">
        <f>IFERROR(__xludf.DUMMYFUNCTION("arrayformula(sum(--REGEXMATCH(""SRgmPdnS"",split(REGEXREPLACE(C319,""(.)"",""$1~""),""~""))))=len(C319)"),FALSE)</f>
        <v>0</v>
      </c>
      <c r="EZ319" s="290" t="b">
        <f>IFERROR(__xludf.DUMMYFUNCTION("arrayformula(sum(--REGEXMATCH(""SrgmPdnS"",split(REGEXREPLACE(C319,""(.)"",""$1~""),""~""))))=len(C319)"),FALSE)</f>
        <v>0</v>
      </c>
      <c r="FA319" s="290" t="b">
        <f>IFERROR(__xludf.DUMMYFUNCTION("arrayformula(sum(--REGEXMATCH(""SrGmPdNS"",split(REGEXREPLACE(C319,""(.)"",""$1~""),""~""))))=len(C319)"),FALSE)</f>
        <v>0</v>
      </c>
      <c r="FB319" s="290" t="b">
        <f>IFERROR(__xludf.DUMMYFUNCTION("arrayformula(sum(--REGEXMATCH(""SrGMPDNS"",split(REGEXREPLACE(C319,""(.)"",""$1~""),""~""))))=len(C319)"),FALSE)</f>
        <v>0</v>
      </c>
      <c r="FC319" s="290" t="b">
        <f>IFERROR(__xludf.DUMMYFUNCTION("arrayformula(sum(--REGEXMATCH(""SrGMPdNS"",split(REGEXREPLACE(C319,""(.)"",""$1~""),""~""))))=len(C319)"),FALSE)</f>
        <v>0</v>
      </c>
      <c r="FD319" s="377" t="b">
        <f>IFERROR(__xludf.DUMMYFUNCTION("arrayformula(sum(--REGEXMATCH(""SrgMPdNS"",split(REGEXREPLACE(C319,""(.)"",""$1~""),""~""))))=len(C319)"),FALSE)</f>
        <v>0</v>
      </c>
      <c r="FE319" s="269" t="str">
        <f t="shared" si="71"/>
        <v>-</v>
      </c>
      <c r="FF319" s="269" t="str">
        <f t="shared" si="72"/>
        <v>xxooxxoxoox</v>
      </c>
      <c r="FG319" s="271" t="str">
        <f t="shared" si="73"/>
        <v>xooxxoxooxo</v>
      </c>
      <c r="FH319" s="269" t="str">
        <f t="shared" si="74"/>
        <v>-</v>
      </c>
      <c r="FI319" s="271" t="str">
        <f t="shared" si="75"/>
        <v>-</v>
      </c>
      <c r="FJ319" s="271" t="str">
        <f t="shared" si="76"/>
        <v>xxoxooxoxxo</v>
      </c>
      <c r="FK319" s="271" t="str">
        <f t="shared" si="77"/>
        <v>xoxooxoxxoo</v>
      </c>
      <c r="FL319" s="271" t="str">
        <f t="shared" si="78"/>
        <v>-</v>
      </c>
      <c r="FM319" s="271" t="str">
        <f t="shared" si="79"/>
        <v>xooxoxxooxx</v>
      </c>
      <c r="FN319" s="271" t="str">
        <f t="shared" si="80"/>
        <v>-</v>
      </c>
      <c r="FO319" s="274" t="str">
        <f t="shared" si="81"/>
        <v>-</v>
      </c>
      <c r="FP319" s="234" t="str">
        <f t="shared" si="82"/>
        <v>|</v>
      </c>
      <c r="FQ319" s="236" t="str">
        <f t="shared" si="83"/>
        <v>-</v>
      </c>
      <c r="FR319" s="237" t="str">
        <f t="shared" si="84"/>
        <v>|</v>
      </c>
      <c r="FS319" s="236" t="str">
        <f t="shared" si="85"/>
        <v>|</v>
      </c>
      <c r="FT319" s="237" t="str">
        <f t="shared" si="86"/>
        <v>-</v>
      </c>
      <c r="FU319" s="236" t="str">
        <f t="shared" si="87"/>
        <v>-</v>
      </c>
      <c r="FV319" s="237" t="str">
        <f t="shared" si="88"/>
        <v>|</v>
      </c>
      <c r="FW319" s="236" t="str">
        <f t="shared" si="89"/>
        <v>|</v>
      </c>
      <c r="FX319" s="237" t="str">
        <f t="shared" si="90"/>
        <v>-</v>
      </c>
      <c r="FY319" s="236" t="str">
        <f t="shared" si="91"/>
        <v>|</v>
      </c>
      <c r="FZ319" s="237" t="str">
        <f t="shared" si="92"/>
        <v>-</v>
      </c>
      <c r="GA319" s="236" t="str">
        <f t="shared" si="93"/>
        <v>-</v>
      </c>
      <c r="GB319" s="238" t="str">
        <f t="shared" si="94"/>
        <v>|</v>
      </c>
      <c r="GC319" s="244" t="str">
        <f>IFERROR(__xludf.DUMMYFUNCTION("IF(REGEXMATCH(C319, ""S""), ""1"","""")"),"1")</f>
        <v>1</v>
      </c>
      <c r="GD319" s="245" t="str">
        <f>IFERROR(__xludf.DUMMYFUNCTION("IF(REGEXMATCH(C319, ""r""), ""b2"","""")"),"")</f>
        <v/>
      </c>
      <c r="GE319" s="246" t="str">
        <f>IFERROR(__xludf.DUMMYFUNCTION("IF(REGEXMATCH(C319, ""R""), ""2"","""")"),"2")</f>
        <v>2</v>
      </c>
      <c r="GF319" s="246" t="str">
        <f>IFERROR(__xludf.DUMMYFUNCTION("IF(REGEXMATCH(C319, ""g""), ""b3"","""")"),"b3")</f>
        <v>b3</v>
      </c>
      <c r="GG319" s="245" t="str">
        <f>IFERROR(__xludf.DUMMYFUNCTION("IF(REGEXMATCH(C319, ""G""), ""3"","""")"),"")</f>
        <v/>
      </c>
      <c r="GH319" s="245" t="str">
        <f>IFERROR(__xludf.DUMMYFUNCTION("IF(REGEXMATCH(C319, ""m""), ""4"","""")"),"")</f>
        <v/>
      </c>
      <c r="GI319" s="246" t="str">
        <f>IFERROR(__xludf.DUMMYFUNCTION("IF(REGEXMATCH(C319, ""M""), ""#4"","""")"),"#4")</f>
        <v>#4</v>
      </c>
      <c r="GJ319" s="245" t="str">
        <f>IFERROR(__xludf.DUMMYFUNCTION("IF(REGEXMATCH(C319, ""P""), ""5"","""")"),"5")</f>
        <v>5</v>
      </c>
      <c r="GK319" s="246" t="str">
        <f>IFERROR(__xludf.DUMMYFUNCTION("IF(REGEXMATCH(C319, ""d""), ""b6"","""")"),"")</f>
        <v/>
      </c>
      <c r="GL319" s="245" t="str">
        <f>IFERROR(__xludf.DUMMYFUNCTION("IF(REGEXMATCH(C319, ""D""), ""6"","""")"),"6")</f>
        <v>6</v>
      </c>
      <c r="GM319" s="245" t="str">
        <f>IFERROR(__xludf.DUMMYFUNCTION("IF(REGEXMATCH(C319, ""n""), ""b7"","""")"),"")</f>
        <v/>
      </c>
      <c r="GN319" s="246" t="str">
        <f>IFERROR(__xludf.DUMMYFUNCTION("IF(REGEXMATCH(C319, ""N""), ""7"","""")"),"")</f>
        <v/>
      </c>
      <c r="GO319" s="249" t="str">
        <f>IFERROR(__xludf.DUMMYFUNCTION("IF(REGEXMATCH(C319, ""S""), ""8"","""")"),"8")</f>
        <v>8</v>
      </c>
      <c r="GP319" s="244" t="str">
        <f>IFERROR(__xludf.DUMMYFUNCTION("IF(REGEXMATCH(C319, ""S""), ""S"","""")"),"S")</f>
        <v>S</v>
      </c>
      <c r="GQ319" s="294" t="str">
        <f>IFERROR(__xludf.DUMMYFUNCTION("IF(REGEXMATCH(C319, ""r""), ""R1"","""")"),"")</f>
        <v/>
      </c>
      <c r="GR319" s="295" t="str">
        <f>IFERROR(__xludf.DUMMYFUNCTION("IF(REGEXMATCH(C319, ""R""), ""R2"","""")"),"R2")</f>
        <v>R2</v>
      </c>
      <c r="GS319" s="295" t="str">
        <f>IFERROR(__xludf.DUMMYFUNCTION("IF(REGEXMATCH(C319, ""g""), ""G2"","""")"),"G2")</f>
        <v>G2</v>
      </c>
      <c r="GT319" s="294" t="str">
        <f>IFERROR(__xludf.DUMMYFUNCTION("IF(REGEXMATCH(C319, ""G""), ""G3"","""")"),"")</f>
        <v/>
      </c>
      <c r="GU319" s="294" t="str">
        <f>IFERROR(__xludf.DUMMYFUNCTION("IF(REGEXMATCH(C319, ""m""), ""M1"","""")"),"")</f>
        <v/>
      </c>
      <c r="GV319" s="295" t="str">
        <f>IFERROR(__xludf.DUMMYFUNCTION("IF(REGEXMATCH(C319, ""M""), ""M2"","""")"),"M2")</f>
        <v>M2</v>
      </c>
      <c r="GW319" s="294" t="str">
        <f>IFERROR(__xludf.DUMMYFUNCTION("IF(REGEXMATCH(C319, ""P""), ""P"","""")"),"P")</f>
        <v>P</v>
      </c>
      <c r="GX319" s="295" t="str">
        <f>IFERROR(__xludf.DUMMYFUNCTION("IF(REGEXMATCH(C319, ""d""), ""D1"","""")"),"")</f>
        <v/>
      </c>
      <c r="GY319" s="294" t="str">
        <f>IFERROR(__xludf.DUMMYFUNCTION("IF(REGEXMATCH(C319, ""D""), ""D2"","""")"),"D2")</f>
        <v>D2</v>
      </c>
      <c r="GZ319" s="294" t="str">
        <f>IFERROR(__xludf.DUMMYFUNCTION("IF(REGEXMATCH(C319, ""n""), ""N2"","""")"),"")</f>
        <v/>
      </c>
      <c r="HA319" s="295" t="str">
        <f>IFERROR(__xludf.DUMMYFUNCTION("IF(REGEXMATCH(C319, ""N""), ""N3"","""")"),"")</f>
        <v/>
      </c>
      <c r="HB319" s="249" t="str">
        <f>IFERROR(__xludf.DUMMYFUNCTION("IF(REGEXMATCH(C319, ""S""), ""S"","""")"),"S")</f>
        <v>S</v>
      </c>
      <c r="HC319" s="331" t="str">
        <f t="shared" si="95"/>
        <v>S</v>
      </c>
      <c r="HD319" s="332" t="str">
        <f t="shared" si="96"/>
        <v/>
      </c>
      <c r="HE319" s="332" t="str">
        <f t="shared" si="97"/>
        <v/>
      </c>
      <c r="HF319" s="332" t="str">
        <f t="shared" si="98"/>
        <v>g</v>
      </c>
      <c r="HG319" s="332" t="str">
        <f t="shared" si="99"/>
        <v/>
      </c>
      <c r="HH319" s="332" t="str">
        <f t="shared" si="100"/>
        <v>m</v>
      </c>
      <c r="HI319" s="332" t="str">
        <f t="shared" si="101"/>
        <v>M</v>
      </c>
      <c r="HJ319" s="332" t="str">
        <f t="shared" si="102"/>
        <v/>
      </c>
      <c r="HK319" s="332" t="str">
        <f t="shared" si="103"/>
        <v/>
      </c>
      <c r="HL319" s="332" t="str">
        <f t="shared" si="104"/>
        <v>D</v>
      </c>
      <c r="HM319" s="332" t="str">
        <f t="shared" si="105"/>
        <v>n</v>
      </c>
      <c r="HN319" s="332" t="str">
        <f t="shared" si="106"/>
        <v/>
      </c>
      <c r="HO319" s="343" t="str">
        <f t="shared" si="107"/>
        <v>S</v>
      </c>
      <c r="HP319" s="331" t="str">
        <f t="shared" si="108"/>
        <v>o</v>
      </c>
      <c r="HQ319" s="332" t="str">
        <f t="shared" si="109"/>
        <v>•</v>
      </c>
      <c r="HR319" s="332" t="str">
        <f t="shared" si="110"/>
        <v>o</v>
      </c>
      <c r="HS319" s="332" t="str">
        <f t="shared" si="111"/>
        <v>o</v>
      </c>
      <c r="HT319" s="332" t="str">
        <f t="shared" si="112"/>
        <v>•</v>
      </c>
      <c r="HU319" s="332" t="str">
        <f t="shared" si="113"/>
        <v>•</v>
      </c>
      <c r="HV319" s="332" t="str">
        <f t="shared" si="114"/>
        <v>o</v>
      </c>
      <c r="HW319" s="332" t="str">
        <f t="shared" si="115"/>
        <v>o</v>
      </c>
      <c r="HX319" s="332" t="str">
        <f t="shared" si="116"/>
        <v>•</v>
      </c>
      <c r="HY319" s="332" t="str">
        <f t="shared" si="117"/>
        <v>o</v>
      </c>
      <c r="HZ319" s="332" t="str">
        <f t="shared" si="118"/>
        <v>•</v>
      </c>
      <c r="IA319" s="332" t="str">
        <f t="shared" si="119"/>
        <v>•</v>
      </c>
      <c r="IB319" s="338" t="str">
        <f t="shared" si="120"/>
        <v>o</v>
      </c>
      <c r="IC319" s="331" t="str">
        <f t="shared" si="121"/>
        <v>•</v>
      </c>
      <c r="ID319" s="332" t="str">
        <f t="shared" si="122"/>
        <v>o</v>
      </c>
      <c r="IE319" s="332" t="str">
        <f t="shared" si="123"/>
        <v>•</v>
      </c>
      <c r="IF319" s="332" t="str">
        <f t="shared" si="124"/>
        <v>•</v>
      </c>
      <c r="IG319" s="332" t="str">
        <f t="shared" si="125"/>
        <v>o</v>
      </c>
      <c r="IH319" s="332" t="str">
        <f t="shared" si="126"/>
        <v>o</v>
      </c>
      <c r="II319" s="332" t="str">
        <f t="shared" si="127"/>
        <v>•</v>
      </c>
      <c r="IJ319" s="332" t="str">
        <f t="shared" si="128"/>
        <v>•</v>
      </c>
      <c r="IK319" s="332" t="str">
        <f t="shared" si="129"/>
        <v>o</v>
      </c>
      <c r="IL319" s="332" t="str">
        <f t="shared" si="130"/>
        <v>•</v>
      </c>
      <c r="IM319" s="332" t="str">
        <f t="shared" si="131"/>
        <v>o</v>
      </c>
      <c r="IN319" s="332" t="str">
        <f t="shared" si="132"/>
        <v>o</v>
      </c>
      <c r="IO319" s="338" t="str">
        <f t="shared" si="133"/>
        <v>•</v>
      </c>
      <c r="IP319" s="346" t="b">
        <f t="shared" si="134"/>
        <v>0</v>
      </c>
      <c r="IQ319" s="347" t="b">
        <f t="shared" si="135"/>
        <v>0</v>
      </c>
      <c r="IR319" s="347" t="b">
        <f t="shared" si="136"/>
        <v>0</v>
      </c>
      <c r="IS319" s="347" t="b">
        <f t="shared" si="137"/>
        <v>1</v>
      </c>
      <c r="IT319" s="347" t="b">
        <f t="shared" si="138"/>
        <v>0</v>
      </c>
      <c r="IU319" s="347" t="b">
        <f t="shared" si="139"/>
        <v>0</v>
      </c>
      <c r="IV319" s="347" t="b">
        <f t="shared" si="140"/>
        <v>1</v>
      </c>
      <c r="IW319" s="347" t="b">
        <f t="shared" si="141"/>
        <v>0</v>
      </c>
      <c r="IX319" s="347" t="b">
        <f t="shared" si="142"/>
        <v>0</v>
      </c>
      <c r="IY319" s="347" t="b">
        <f t="shared" si="143"/>
        <v>1</v>
      </c>
      <c r="IZ319" s="347" t="b">
        <f t="shared" si="144"/>
        <v>0</v>
      </c>
      <c r="JA319" s="347" t="b">
        <f t="shared" si="145"/>
        <v>0</v>
      </c>
      <c r="JB319" s="353" t="b">
        <f t="shared" si="146"/>
        <v>0</v>
      </c>
      <c r="JC319" s="354" t="str">
        <f t="shared" si="147"/>
        <v/>
      </c>
      <c r="JD319" s="355" t="str">
        <f t="shared" si="148"/>
        <v/>
      </c>
      <c r="JE319" s="355" t="str">
        <f t="shared" si="149"/>
        <v/>
      </c>
      <c r="JF319" s="355" t="str">
        <f t="shared" si="150"/>
        <v>ga, </v>
      </c>
      <c r="JG319" s="355" t="str">
        <f t="shared" si="151"/>
        <v/>
      </c>
      <c r="JH319" s="355" t="str">
        <f t="shared" si="152"/>
        <v/>
      </c>
      <c r="JI319" s="355" t="str">
        <f t="shared" si="153"/>
        <v>Ma, </v>
      </c>
      <c r="JJ319" s="355" t="str">
        <f t="shared" si="154"/>
        <v/>
      </c>
      <c r="JK319" s="355" t="str">
        <f t="shared" si="155"/>
        <v/>
      </c>
      <c r="JL319" s="355" t="str">
        <f t="shared" si="156"/>
        <v>Dha, </v>
      </c>
      <c r="JM319" s="355" t="str">
        <f t="shared" si="157"/>
        <v/>
      </c>
      <c r="JN319" s="355" t="str">
        <f t="shared" si="158"/>
        <v/>
      </c>
      <c r="JO319" s="359" t="str">
        <f t="shared" si="159"/>
        <v/>
      </c>
      <c r="JP319" s="346" t="b">
        <f t="shared" si="160"/>
        <v>0</v>
      </c>
      <c r="JQ319" s="347" t="b">
        <f t="shared" si="161"/>
        <v>0</v>
      </c>
      <c r="JR319" s="347" t="b">
        <f t="shared" si="162"/>
        <v>0</v>
      </c>
      <c r="JS319" s="347" t="b">
        <f t="shared" si="163"/>
        <v>1</v>
      </c>
      <c r="JT319" s="347" t="b">
        <f t="shared" si="164"/>
        <v>0</v>
      </c>
      <c r="JU319" s="347" t="b">
        <f t="shared" si="165"/>
        <v>0</v>
      </c>
      <c r="JV319" s="347" t="b">
        <f t="shared" si="166"/>
        <v>1</v>
      </c>
      <c r="JW319" s="347" t="b">
        <f t="shared" si="167"/>
        <v>0</v>
      </c>
      <c r="JX319" s="347" t="b">
        <f t="shared" si="168"/>
        <v>0</v>
      </c>
      <c r="JY319" s="347" t="b">
        <f t="shared" si="169"/>
        <v>0</v>
      </c>
      <c r="JZ319" s="347" t="b">
        <f t="shared" si="170"/>
        <v>0</v>
      </c>
      <c r="KA319" s="347" t="b">
        <f t="shared" si="171"/>
        <v>0</v>
      </c>
      <c r="KB319" s="365" t="b">
        <f t="shared" si="172"/>
        <v>0</v>
      </c>
      <c r="KC319" s="354" t="str">
        <f t="shared" si="173"/>
        <v/>
      </c>
      <c r="KD319" s="355" t="str">
        <f t="shared" si="174"/>
        <v/>
      </c>
      <c r="KE319" s="355" t="str">
        <f t="shared" si="175"/>
        <v/>
      </c>
      <c r="KF319" s="355" t="str">
        <f t="shared" si="176"/>
        <v>ga, </v>
      </c>
      <c r="KG319" s="355" t="str">
        <f t="shared" si="177"/>
        <v/>
      </c>
      <c r="KH319" s="355" t="str">
        <f t="shared" si="178"/>
        <v/>
      </c>
      <c r="KI319" s="355" t="str">
        <f t="shared" si="179"/>
        <v>Ma, </v>
      </c>
      <c r="KJ319" s="355" t="str">
        <f t="shared" si="180"/>
        <v/>
      </c>
      <c r="KK319" s="355" t="str">
        <f t="shared" si="181"/>
        <v/>
      </c>
      <c r="KL319" s="355" t="str">
        <f t="shared" si="182"/>
        <v/>
      </c>
      <c r="KM319" s="355" t="str">
        <f t="shared" si="183"/>
        <v/>
      </c>
      <c r="KN319" s="355" t="str">
        <f t="shared" si="184"/>
        <v/>
      </c>
      <c r="KO319" s="359"/>
      <c r="KP319" s="378"/>
      <c r="KQ319" s="379" t="s">
        <v>9</v>
      </c>
      <c r="KR319" s="380" t="s">
        <v>1493</v>
      </c>
      <c r="KS319" s="381" t="s">
        <v>9</v>
      </c>
      <c r="KT319" s="382">
        <f t="shared" si="186"/>
        <v>0</v>
      </c>
      <c r="KU319" s="383">
        <f t="shared" si="187"/>
        <v>0</v>
      </c>
      <c r="KV319" s="381" t="str">
        <f t="shared" si="205"/>
        <v>S-D-P-M-g-R-S</v>
      </c>
      <c r="KW319" s="382">
        <f t="shared" si="189"/>
        <v>6</v>
      </c>
      <c r="KX319" s="384">
        <f t="shared" si="190"/>
        <v>6</v>
      </c>
      <c r="KY319" s="382">
        <f t="shared" ref="KY319:KZ319" si="868">KW319-KT319</f>
        <v>6</v>
      </c>
      <c r="KZ319" s="369">
        <f t="shared" si="868"/>
        <v>6</v>
      </c>
      <c r="LA319" s="385" t="str">
        <f t="shared" si="192"/>
        <v>-</v>
      </c>
      <c r="LB319" s="340" t="str">
        <f>IFERROR(__xludf.DUMMYFUNCTION("JOIN("""",ArrayFormula(MID(KS319,LEN(KS319)-SEQUENCE(1,LEN(KS319))+1,1)))"),"S")</f>
        <v>S</v>
      </c>
      <c r="LC319" s="373" t="str">
        <f>IFERROR(__xludf.DUMMYFUNCTION("JOIN("""",ArrayFormula(MID(KV319,LEN(KV319)-SEQUENCE(1,LEN(KV319))+1,1)))"),"S-R-g-M-P-D-S")</f>
        <v>S-R-g-M-P-D-S</v>
      </c>
      <c r="LD319" s="373" t="str">
        <f t="shared" si="193"/>
        <v>S</v>
      </c>
      <c r="LE319" s="339" t="str">
        <f t="shared" si="194"/>
        <v>SRgMPDS</v>
      </c>
      <c r="LF319" s="386" t="str">
        <f>IFERROR(__xludf.DUMMYFUNCTION("SUBSTITUTE(SUBSTITUTE(CONCATENATE(JOIN("""",LH319:LT319)),""1"",""""),""2"","""")"),"SRgMPDS")</f>
        <v>SRgMPDS</v>
      </c>
      <c r="LG319" s="369" t="str">
        <f t="shared" si="195"/>
        <v>✔</v>
      </c>
      <c r="LH319" s="387" t="str">
        <f>IFERROR(__xludf.DUMMYFUNCTION("IF(REGEXMATCH(LD319, ""S""), ""S"",IF(REGEXMATCH(LE319, ""S""), ""S"",""""))"),"S")</f>
        <v>S</v>
      </c>
      <c r="LI319" s="299" t="str">
        <f>IFERROR(__xludf.DUMMYFUNCTION("IF(REGEXMATCH(LD319, ""r""), ""r1"",IF(REGEXMATCH(LE319, ""r""), ""r2"",""""))"),"")</f>
        <v/>
      </c>
      <c r="LJ319" s="299" t="str">
        <f>IFERROR(__xludf.DUMMYFUNCTION("IF(REGEXMATCH(LD319, ""R""), ""R1"",IF(REGEXMATCH(LE319, ""R""), ""R2"",""""))"),"R2")</f>
        <v>R2</v>
      </c>
      <c r="LK319" s="299" t="str">
        <f>IFERROR(__xludf.DUMMYFUNCTION("IF(REGEXMATCH(LD319, ""g""), ""g1"",IF(REGEXMATCH(LE319, ""g""), ""g2"",""""))"),"g2")</f>
        <v>g2</v>
      </c>
      <c r="LL319" s="299" t="str">
        <f>IFERROR(__xludf.DUMMYFUNCTION("IF(REGEXMATCH(LD319, ""G""), ""G1"",IF(REGEXMATCH(LE319, ""G""), ""G2"",""""))"),"")</f>
        <v/>
      </c>
      <c r="LM319" s="299" t="str">
        <f>IFERROR(__xludf.DUMMYFUNCTION("IF(REGEXMATCH(LD319, ""m""), ""m1"",IF(REGEXMATCH(LE319, ""m""), ""m2"",""""))"),"")</f>
        <v/>
      </c>
      <c r="LN319" s="299" t="str">
        <f>IFERROR(__xludf.DUMMYFUNCTION("IF(REGEXMATCH(LD319, ""M""), ""M1"",IF(REGEXMATCH(LE319, ""M""), ""M2"",""""))"),"M2")</f>
        <v>M2</v>
      </c>
      <c r="LO319" s="299" t="str">
        <f>IFERROR(__xludf.DUMMYFUNCTION("IF(REGEXMATCH(LD319, ""P""), ""P1"",IF(REGEXMATCH(LE319, ""P""), ""P2"",""""))"),"P2")</f>
        <v>P2</v>
      </c>
      <c r="LP319" s="299" t="str">
        <f>IFERROR(__xludf.DUMMYFUNCTION("IF(REGEXMATCH(LD319, ""d""), ""d1"",IF(REGEXMATCH(LE319, ""d""), ""d2"",""""))"),"")</f>
        <v/>
      </c>
      <c r="LQ319" s="299" t="str">
        <f>IFERROR(__xludf.DUMMYFUNCTION("IF(REGEXMATCH(LD319, ""D""), ""D1"",IF(REGEXMATCH(LE319, ""D""), ""D2"",""""))"),"D2")</f>
        <v>D2</v>
      </c>
      <c r="LR319" s="299" t="str">
        <f>IFERROR(__xludf.DUMMYFUNCTION("IF(REGEXMATCH(LD319, ""n""), ""n1"",IF(REGEXMATCH(LE319, ""n""), ""n2"",""""))"),"")</f>
        <v/>
      </c>
      <c r="LS319" s="299" t="str">
        <f>IFERROR(__xludf.DUMMYFUNCTION("IF(REGEXMATCH(LD319, ""N""), ""N1"",IF(REGEXMATCH(LE319, ""N""), ""N2"",""""))"),"")</f>
        <v/>
      </c>
      <c r="LT319" s="388" t="str">
        <f>IFERROR(__xludf.DUMMYFUNCTION("IF(REGEXMATCH(LD319, ""S""), ""S"",IF(REGEXMATCH(LE319, ""S""), ""S"",""""))"),"S")</f>
        <v>S</v>
      </c>
      <c r="LU319" s="389">
        <f t="shared" si="196"/>
        <v>-11</v>
      </c>
      <c r="LV319" s="378"/>
      <c r="LW319" s="369"/>
      <c r="LX319" s="369"/>
    </row>
    <row r="320" ht="18.0" customHeight="1">
      <c r="A320" s="298" t="s">
        <v>1154</v>
      </c>
      <c r="B320" s="222" t="s">
        <v>609</v>
      </c>
      <c r="C320" s="233" t="str">
        <f t="shared" si="7"/>
        <v>SrgGmPdnNS</v>
      </c>
      <c r="D320" s="234" t="str">
        <f>IFERROR(__xludf.DUMMYFUNCTION("IF(REGEXMATCH(C320, ""S""), ""S"","""")"),"S")</f>
        <v>S</v>
      </c>
      <c r="E320" s="236" t="str">
        <f>IFERROR(__xludf.DUMMYFUNCTION("IF(REGEXMATCH(C320, ""r""), ""r"","""")"),"r")</f>
        <v>r</v>
      </c>
      <c r="F320" s="237" t="str">
        <f>IFERROR(__xludf.DUMMYFUNCTION("IF(REGEXMATCH(C320, ""R""), ""R"","""")"),"")</f>
        <v/>
      </c>
      <c r="G320" s="237" t="str">
        <f>IFERROR(__xludf.DUMMYFUNCTION("IF(REGEXMATCH(C320, ""g""), ""g"","""")"),"g")</f>
        <v>g</v>
      </c>
      <c r="H320" s="236" t="str">
        <f>IFERROR(__xludf.DUMMYFUNCTION("IF(REGEXMATCH(C320, ""G""), ""G"","""")"),"G")</f>
        <v>G</v>
      </c>
      <c r="I320" s="236" t="str">
        <f>IFERROR(__xludf.DUMMYFUNCTION("IF(REGEXMATCH(C320, ""m""), ""m"","""")"),"m")</f>
        <v>m</v>
      </c>
      <c r="J320" s="237" t="str">
        <f>IFERROR(__xludf.DUMMYFUNCTION("IF(REGEXMATCH(C320, ""M""), ""M"","""")"),"")</f>
        <v/>
      </c>
      <c r="K320" s="236" t="str">
        <f>IFERROR(__xludf.DUMMYFUNCTION("IF(REGEXMATCH(C320, ""P""), ""P"","""")"),"P")</f>
        <v>P</v>
      </c>
      <c r="L320" s="237" t="str">
        <f>IFERROR(__xludf.DUMMYFUNCTION("IF(REGEXMATCH(C320, ""d""), ""d"","""")"),"d")</f>
        <v>d</v>
      </c>
      <c r="M320" s="236" t="str">
        <f>IFERROR(__xludf.DUMMYFUNCTION("IF(REGEXMATCH(C320, ""D""), ""D"","""")"),"")</f>
        <v/>
      </c>
      <c r="N320" s="236" t="str">
        <f>IFERROR(__xludf.DUMMYFUNCTION("IF(REGEXMATCH(C320, ""n""), ""n"","""")"),"n")</f>
        <v>n</v>
      </c>
      <c r="O320" s="237" t="str">
        <f>IFERROR(__xludf.DUMMYFUNCTION("IF(REGEXMATCH(C320, ""N""), ""N"","""")"),"N")</f>
        <v>N</v>
      </c>
      <c r="P320" s="238" t="str">
        <f>IFERROR(__xludf.DUMMYFUNCTION("IF(REGEXMATCH(C320, ""S""), ""S"","""")"),"S")</f>
        <v>S</v>
      </c>
      <c r="Q320" s="239" t="str">
        <f>IFERROR(__xludf.DUMMYFUNCTION("SUBSTITUTE(CONCATENATE(JOIN(""-"",D320:J320)),""-"","""")"),"SrgGm")</f>
        <v>SrgGm</v>
      </c>
      <c r="R320" s="229" t="str">
        <f>IFERROR(__xludf.DUMMYFUNCTION("SUBSTITUTE(CONCATENATE(JOIN(""-"",K320:P320)),""-"","""")"),"PdnNS")</f>
        <v>PdnNS</v>
      </c>
      <c r="S320" s="282" t="str">
        <f t="shared" si="8"/>
        <v>S-R-G-M</v>
      </c>
      <c r="T320" s="282" t="str">
        <f t="shared" si="9"/>
        <v>P-D-N-S</v>
      </c>
      <c r="U320" s="237" t="str">
        <f>IFERROR(__xludf.DUMMYFUNCTION("SUBSTITUTE(JOIN(""-"",S320,T320),""--"",""-"")"),"S-R-G-M-P-D-N-S")</f>
        <v>S-R-G-M-P-D-N-S</v>
      </c>
      <c r="V320" s="309" t="str">
        <f t="shared" si="10"/>
        <v>rgGmdnN</v>
      </c>
      <c r="W320" s="244" t="str">
        <f>IFERROR(__xludf.DUMMYFUNCTION("IF(REGEXMATCH(C320, ""S""), ""0"","""")"),"0")</f>
        <v>0</v>
      </c>
      <c r="X320" s="245" t="str">
        <f>IFERROR(__xludf.DUMMYFUNCTION("IF(REGEXMATCH(C320, ""r""), ""1"","""")"),"1")</f>
        <v>1</v>
      </c>
      <c r="Y320" s="246" t="str">
        <f>IFERROR(__xludf.DUMMYFUNCTION("IF(REGEXMATCH(C320, ""R""), ""2"","""")"),"")</f>
        <v/>
      </c>
      <c r="Z320" s="246" t="str">
        <f>IFERROR(__xludf.DUMMYFUNCTION("IF(REGEXMATCH(C320, ""g""), ""3"","""")"),"3")</f>
        <v>3</v>
      </c>
      <c r="AA320" s="245" t="str">
        <f>IFERROR(__xludf.DUMMYFUNCTION("IF(REGEXMATCH(C320, ""G""), ""4"","""")"),"4")</f>
        <v>4</v>
      </c>
      <c r="AB320" s="245" t="str">
        <f>IFERROR(__xludf.DUMMYFUNCTION("IF(REGEXMATCH(C320, ""m""), ""5"","""")"),"5")</f>
        <v>5</v>
      </c>
      <c r="AC320" s="246" t="str">
        <f>IFERROR(__xludf.DUMMYFUNCTION("IF(REGEXMATCH(C320, ""M""), ""6"","""")"),"")</f>
        <v/>
      </c>
      <c r="AD320" s="245" t="str">
        <f>IFERROR(__xludf.DUMMYFUNCTION("IF(REGEXMATCH(C320, ""P""), ""7"","""")"),"7")</f>
        <v>7</v>
      </c>
      <c r="AE320" s="246" t="str">
        <f>IFERROR(__xludf.DUMMYFUNCTION("IF(REGEXMATCH(C320, ""d""), ""8"","""")"),"8")</f>
        <v>8</v>
      </c>
      <c r="AF320" s="245" t="str">
        <f>IFERROR(__xludf.DUMMYFUNCTION("IF(REGEXMATCH(C320, ""D""), ""9"","""")"),"")</f>
        <v/>
      </c>
      <c r="AG320" s="245" t="str">
        <f>IFERROR(__xludf.DUMMYFUNCTION("IF(REGEXMATCH(C320, ""n""), ""10"","""")"),"10")</f>
        <v>10</v>
      </c>
      <c r="AH320" s="246" t="str">
        <f>IFERROR(__xludf.DUMMYFUNCTION("IF(REGEXMATCH(C320, ""N""), ""11"","""")"),"11")</f>
        <v>11</v>
      </c>
      <c r="AI320" s="249" t="str">
        <f>IFERROR(__xludf.DUMMYFUNCTION("IF(REGEXMATCH(C320, ""S""), ""0"","""")"),"0")</f>
        <v>0</v>
      </c>
      <c r="AJ320" s="313" t="str">
        <f t="shared" si="11"/>
        <v>-</v>
      </c>
      <c r="AK320" s="313" t="str">
        <f t="shared" si="12"/>
        <v>T</v>
      </c>
      <c r="AL320" s="313" t="str">
        <f t="shared" si="13"/>
        <v>-</v>
      </c>
      <c r="AM320" s="313" t="str">
        <f t="shared" si="14"/>
        <v>-</v>
      </c>
      <c r="AN320" s="313" t="str">
        <f t="shared" si="15"/>
        <v>T</v>
      </c>
      <c r="AO320" s="314" t="str">
        <f t="shared" si="16"/>
        <v>T</v>
      </c>
      <c r="AP320" s="316">
        <f t="shared" si="17"/>
        <v>3</v>
      </c>
      <c r="AQ320" s="319" t="str">
        <f t="shared" si="18"/>
        <v>-</v>
      </c>
      <c r="AR320" s="320">
        <f t="shared" si="19"/>
        <v>0</v>
      </c>
      <c r="AS320" s="250" t="str">
        <f>IFERROR(__xludf.DUMMYFUNCTION("SUBSTITUTE(SUBSTITUTE(CONCATENATE(JOIN("""",FP320:GA320)),""|"",""x""),""-"",""o"")"),"xxoxxxoxxoxx")</f>
        <v>xxoxxxoxxoxx</v>
      </c>
      <c r="AT320" s="323" t="str">
        <f>IFERROR(__xludf.DUMMYFUNCTION("JOIN("""",AS320,AS320)"),"xxoxxxoxxoxxxxoxxxoxxoxx")</f>
        <v>xxoxxxoxxoxxxxoxxxoxxoxx</v>
      </c>
      <c r="AU320" s="256" t="str">
        <f>IFERROR(__xludf.DUMMYFUNCTION("JOIN("""",ArrayFormula(MID(AS320,LEN(AS320)-SEQUENCE(1,LEN(AS320))+1,1)))"),"xxoxxoxxxoxx")</f>
        <v>xxoxxoxxxoxx</v>
      </c>
      <c r="AV320" s="256" t="str">
        <f>IFERROR(__xludf.DUMMYFUNCTION("LEFT(CONCATENATE(""x"",JOIN("""",ArrayFormula(MID(AS320,LEN(AS320)-SEQUENCE(1,LEN(AS320))+1,1)))),12)"),"xxxoxxoxxxox")</f>
        <v>xxxoxxoxxxox</v>
      </c>
      <c r="AW320" s="327" t="str">
        <f>IFERROR(__xludf.DUMMYFUNCTION("JOIN("""",AU320,AU320)"),"xxoxxoxxxoxxxxoxxoxxxoxx")</f>
        <v>xxoxxoxxxoxxxxoxxoxxxoxx</v>
      </c>
      <c r="AX320" s="239" t="str">
        <f>IFERROR(__xludf.DUMMYFUNCTION("IF(REGEXMATCH(AW320,AS320),""✔"",""-"")"),"-")</f>
        <v>-</v>
      </c>
      <c r="AY320" s="330" t="str">
        <f t="shared" si="20"/>
        <v>-</v>
      </c>
      <c r="AZ320" s="260" t="str">
        <f t="shared" si="21"/>
        <v>#REF!</v>
      </c>
      <c r="BA320" s="333" t="str">
        <f t="shared" si="22"/>
        <v>xxoxxxo</v>
      </c>
      <c r="BB320" s="334" t="str">
        <f t="shared" si="23"/>
        <v>xxoxxx</v>
      </c>
      <c r="BC320" s="335" t="str">
        <f t="shared" si="236"/>
        <v>✔</v>
      </c>
      <c r="BD320" s="336" t="str">
        <f t="shared" si="25"/>
        <v>Shivmat Bhairav: 'xxoxxxo' + 'xxoxxx'</v>
      </c>
      <c r="BE320" s="337">
        <f>IFERROR(__xludf.DUMMYFUNCTION("COUNTUNIQUE(FILTER(AT:AT,REGEXMATCH(AT:AT,AS320)))-1"),0.0)</f>
        <v>0</v>
      </c>
      <c r="BF320" s="261" t="str">
        <f>IFERROR(__xludf.DUMMYFUNCTION("IF(BI320=0,""(n/a)"",IF(BJ320=2,""(PAIR)"",IF(REGEXMATCH(AT320,""xoxoxxoxoxox""),""Bilawal"",IF(REGEXMATCH(AT320,""xoxoxooxoxoo""),""Bhupali"",IF(REGEXMATCH(AT320,""xoxoxxoxxoxo""),""Charukeshi"",IF(REGEXMATCH(AT320,""xoxoooxxoxxo""),""Kameshwari"",IF(REG"&amp;"EXMATCH(AT320,""xoxoxooxoxox""),""Shankara"",IF(REGEXMATCH(AT320,""xxooxoxxxoox""),""Basant"",IF(REGEXMATCH(AT320,""xoxoxxxxoxox""),""Bihag"",IF(REGEXMATCH(AT320,""xoxxxxoxoxxx""),""Pilu"",IF(REGEXMATCH(AT320,""xoxxoxoxxoox""),""Kirwani"",IF(REGEXMATCH(AT"&amp;"320,""xoxxoxoxoxxx""),""Mk.Malhar"",IF(REGEXMATCH(AT320,""xxooxxoxxoox""),""Bhairav"",IF(REGEXMATCH(AT320,""xxoxooxxxoox""),""Todi"",IF(REGEXMATCH(AT320,""xxooxoxooxox""),""Marwa"",IF(REGEXMATCH(AT320,""xxoooxoxxooo""),""Gunkali"",IF(REGEXMATCH(AT320,""xo"&amp;"xoxxoxxoox""),""Nat Bhairav"",IF(REGEXMATCH(AT320,""xoxxoooxoxoo""),""Shivranjani"",IF(REGEXMATCH(AT320,""xooxxxoxooxo""),""Jog"",IF(REGEXMATCH(AT320,""xxooxoxoxoox""),""Hemshri"",IF(REGEXMATCH(AT320,""xoooxooxoxxo""),""Kalavati"",IF(REGEXMATCH(AT320,""xx"&amp;"oxoxxoxoox""),""Kedar"",IF(REGEXMATCH(AT320,""xoxxxxoxooxx""),""Gara"",IF(REGEXMATCH(AT320,""xooxoxooxoox""),""Chandrakauns"",IF(REGEXMATCH(AT320,""xoxxxxoxxxox""),""Mand"",IF(REGEXMATCH(AT320,""xoxxxxoxoxox""),""Hanskinkini"",IF(REGEXMATCH(AT320,""xxooxx"&amp;"oxooxo""),""Lilavati"",IF(REGEXMATCH(AT320,""xooxoxoooxox""),""Rajeshwari"",IF(REGEXMATCH(AT320,""xoooxxoxoxxx""),""Khokar"",IF(REGEXMATCH(AT320,""xxooxoxxxxox""),""Maligoura"",""-""))))))))))))))))))))))))))))))"),"(n/a)")</f>
        <v>(n/a)</v>
      </c>
      <c r="BG320" s="239" t="str">
        <f t="shared" si="26"/>
        <v>#REF!</v>
      </c>
      <c r="BH320" s="239">
        <f>IFERROR(__xludf.DUMMYFUNCTION("COUNTUNIQUE(FE320:FO320)-1"),8.0)</f>
        <v>8</v>
      </c>
      <c r="BI320" s="239">
        <f>IFERROR(__xludf.DUMMYFUNCTION("COUNTUNIQUE(FILTER(AT:AT,REGEXMATCH(AT:AT,AS320)))-1"),0.0)</f>
        <v>0</v>
      </c>
      <c r="BJ320" s="239">
        <f>IFERROR(__xludf.DUMMYFUNCTION("COUNTA(FILTER(AT:AT,REGEXMATCH(AT:AT,AS320)))"),1.0)</f>
        <v>1</v>
      </c>
      <c r="BK320" s="341">
        <f>IFERROR(__xludf.DUMMYFUNCTION("COUNTA(FILTER(AT:AT,REGEXMATCH(AT:AT,AS320)))-AR320"),1.0)</f>
        <v>1</v>
      </c>
      <c r="BL320" s="276" t="str">
        <f>IFERROR(__xludf.DUMMYFUNCTION("IF(AS320=""oooooooooooo"",""-"",IF(REGEXMATCH(AT320,""xx""), ""Hemi."", ""Anhemi.""))"),"Hemi.")</f>
        <v>Hemi.</v>
      </c>
      <c r="BM320" s="282" t="str">
        <f>IFERROR(__xludf.DUMMYFUNCTION("IF(AS320=""oooooooooooo"",""-"",IF(REGEXMATCH(AT320,""xxx""), ""Cohem."", ""-""))"),"Cohem.")</f>
        <v>Cohem.</v>
      </c>
      <c r="BN320" s="282" t="str">
        <f>IFERROR(__xludf.DUMMYFUNCTION("IF(AS320=""oooooooooooo"",""-"",IF(REGEXMATCH(AT320,""xxxx""), ""Co-Co."", ""-""))"),"Co-Co.")</f>
        <v>Co-Co.</v>
      </c>
      <c r="BO320" s="342" t="str">
        <f>IFERROR(__xludf.DUMMYFUNCTION("IF(AS320=""oooooooooooo"",""-"",IF(REGEXMATCH(AT320,""xxxxx""), ""CCC."", ""-""))"),"-")</f>
        <v>-</v>
      </c>
      <c r="BP320" s="344" t="str">
        <f t="shared" si="27"/>
        <v>-</v>
      </c>
      <c r="BQ320" s="282" t="str">
        <f>IFERROR(__xludf.DUMMYFUNCTION("IF(REGEXMATCH(JOIN(""-"",EU320:FD320),""TRUE""),""✔"",""-"")"),"-")</f>
        <v>-</v>
      </c>
      <c r="BR320" s="225">
        <f t="shared" si="28"/>
        <v>0</v>
      </c>
      <c r="BS320" s="345" t="str">
        <f>IFERROR(__xludf.DUMMYFUNCTION("SUBSTITUTE(SUBSTITUTE(SUBSTITUTE(SUBSTITUTE(CONCATENATE(JOIN(""-"",GC320:GO320)),""--"",""-""),""--"",""-""),""--"",""-""),""--"",""-"")"),"1-b2-b3-3-4-5-b6-b7-7-8")</f>
        <v>1-b2-b3-3-4-5-b6-b7-7-8</v>
      </c>
      <c r="BT320" s="299" t="str">
        <f>IFERROR(__xludf.DUMMYFUNCTION("SUBSTITUTE(SUBSTITUTE(SUBSTITUTE(SUBSTITUTE(CONCATENATE(JOIN(""-"",GP320:HB320)),""--"",""-""),""--"",""-""),""--"",""-""),""--"",""-"")"),"S-R1-G2-G3-M1-P-D1-N2-N3-S")</f>
        <v>S-R1-G2-G3-M1-P-D1-N2-N3-S</v>
      </c>
      <c r="BU320" s="348" t="str">
        <f t="shared" si="29"/>
        <v>C-Db-Eb-E-F-G-Ab-Bb-B-C</v>
      </c>
      <c r="BV320" s="349" t="str">
        <f t="shared" si="30"/>
        <v>SRMDS</v>
      </c>
      <c r="BW320" s="350">
        <f t="shared" si="31"/>
        <v>0</v>
      </c>
      <c r="BX320" s="351">
        <f t="shared" si="32"/>
        <v>1</v>
      </c>
      <c r="BY320" s="352" t="s">
        <v>275</v>
      </c>
      <c r="BZ320" s="309" t="str">
        <f>IFERROR(__xludf.DUMMYFUNCTION("IF(REGEXMATCH(C320, ""S""), ""x"",""x"")"),"x")</f>
        <v>x</v>
      </c>
      <c r="CA320" s="245" t="str">
        <f>IFERROR(__xludf.DUMMYFUNCTION("IF(REGEXMATCH(C320, ""r""), ""o"",""x"")"),"o")</f>
        <v>o</v>
      </c>
      <c r="CB320" s="246" t="str">
        <f>IFERROR(__xludf.DUMMYFUNCTION("IF(REGEXMATCH(C320, ""R""), ""o"",""x"")"),"x")</f>
        <v>x</v>
      </c>
      <c r="CC320" s="246" t="str">
        <f>IFERROR(__xludf.DUMMYFUNCTION("IF(REGEXMATCH(C320, ""g""), ""o"",""x"")"),"o")</f>
        <v>o</v>
      </c>
      <c r="CD320" s="245" t="str">
        <f>IFERROR(__xludf.DUMMYFUNCTION("IF(REGEXMATCH(C320, ""G""), ""o"",""x"")"),"o")</f>
        <v>o</v>
      </c>
      <c r="CE320" s="245" t="str">
        <f>IFERROR(__xludf.DUMMYFUNCTION("IF(REGEXMATCH(C320, ""m""), ""o"",""x"")"),"o")</f>
        <v>o</v>
      </c>
      <c r="CF320" s="246" t="str">
        <f>IFERROR(__xludf.DUMMYFUNCTION("IF(REGEXMATCH(C320, ""M""), ""o"",""x"")"),"x")</f>
        <v>x</v>
      </c>
      <c r="CG320" s="245" t="str">
        <f>IFERROR(__xludf.DUMMYFUNCTION("IF(REGEXMATCH(C320, ""P""), ""o"",""x"")"),"o")</f>
        <v>o</v>
      </c>
      <c r="CH320" s="246" t="str">
        <f>IFERROR(__xludf.DUMMYFUNCTION("IF(REGEXMATCH(C320, ""d""), ""o"",""x"")"),"o")</f>
        <v>o</v>
      </c>
      <c r="CI320" s="245" t="str">
        <f>IFERROR(__xludf.DUMMYFUNCTION("IF(REGEXMATCH(C320, ""D""), ""o"",""x"")"),"x")</f>
        <v>x</v>
      </c>
      <c r="CJ320" s="245" t="str">
        <f>IFERROR(__xludf.DUMMYFUNCTION("IF(REGEXMATCH(C320, ""n""), ""o"",""x"")"),"o")</f>
        <v>o</v>
      </c>
      <c r="CK320" s="245" t="str">
        <f>IFERROR(__xludf.DUMMYFUNCTION("IF(REGEXMATCH(C320, ""N""), ""o"",""x"")"),"o")</f>
        <v>o</v>
      </c>
      <c r="CL320" s="356" t="str">
        <f>IFERROR(__xludf.DUMMYFUNCTION("IF(REGEXMATCH(C320, ""S""), ""x"",""x"")"),"x")</f>
        <v>x</v>
      </c>
      <c r="CM320" s="357" t="str">
        <f t="shared" si="33"/>
        <v>xoxoooxooxoo</v>
      </c>
      <c r="CN320" s="358">
        <f t="shared" si="34"/>
        <v>0</v>
      </c>
      <c r="CO320" s="246" t="str">
        <f>IFERROR(__xludf.DUMMYFUNCTION("IF(REGEXMATCH($C320, ""S""), ""S"",""S"")"),"S")</f>
        <v>S</v>
      </c>
      <c r="CP320" s="246" t="str">
        <f>IFERROR(__xludf.DUMMYFUNCTION("IF(REGEXMATCH($C320, ""r""), """",""r"")"),"")</f>
        <v/>
      </c>
      <c r="CQ320" s="246" t="str">
        <f>IFERROR(__xludf.DUMMYFUNCTION("IF(REGEXMATCH($C320, ""R""), """",""R"")"),"R")</f>
        <v>R</v>
      </c>
      <c r="CR320" s="246" t="str">
        <f>IFERROR(__xludf.DUMMYFUNCTION("IF(REGEXMATCH($C320, ""g""), """",""g"")"),"")</f>
        <v/>
      </c>
      <c r="CS320" s="246" t="str">
        <f>IFERROR(__xludf.DUMMYFUNCTION("IF(REGEXMATCH($C320, ""G""), """",""G"")"),"")</f>
        <v/>
      </c>
      <c r="CT320" s="246" t="str">
        <f>IFERROR(__xludf.DUMMYFUNCTION("IF(REGEXMATCH($C320, ""m""), """",""m"")"),"")</f>
        <v/>
      </c>
      <c r="CU320" s="246" t="str">
        <f>IFERROR(__xludf.DUMMYFUNCTION("IF(REGEXMATCH($C320, ""M""), """",""M"")"),"M")</f>
        <v>M</v>
      </c>
      <c r="CV320" s="246" t="str">
        <f>IFERROR(__xludf.DUMMYFUNCTION("IF(REGEXMATCH($C320, ""P""), """",""P"")"),"")</f>
        <v/>
      </c>
      <c r="CW320" s="246" t="str">
        <f>IFERROR(__xludf.DUMMYFUNCTION("IF(REGEXMATCH($C320, ""d""), """",""d"")"),"")</f>
        <v/>
      </c>
      <c r="CX320" s="246" t="str">
        <f>IFERROR(__xludf.DUMMYFUNCTION("IF(REGEXMATCH($C320, ""D""), """",""D"")"),"D")</f>
        <v>D</v>
      </c>
      <c r="CY320" s="246" t="str">
        <f>IFERROR(__xludf.DUMMYFUNCTION("IF(REGEXMATCH($C320, ""n""), """",""n"")"),"")</f>
        <v/>
      </c>
      <c r="CZ320" s="246" t="str">
        <f>IFERROR(__xludf.DUMMYFUNCTION("IF(REGEXMATCH($C320, ""N""), """",""N"")"),"")</f>
        <v/>
      </c>
      <c r="DA320" s="246" t="str">
        <f>IFERROR(__xludf.DUMMYFUNCTION("IF(REGEXMATCH($C320, ""S""), ""S"",""S"")"),"S")</f>
        <v>S</v>
      </c>
      <c r="DB320" s="362" t="str">
        <f>IFERROR(__xludf.DUMMYFUNCTION("JOIN("""",CO320:DA320,"""","""")"),"SRMDS")</f>
        <v>SRMDS</v>
      </c>
      <c r="DC320" s="363"/>
      <c r="DD320" s="301" t="str">
        <f t="shared" si="35"/>
        <v>#REF!</v>
      </c>
      <c r="DE320" s="302" t="str">
        <f t="shared" si="36"/>
        <v>#REF!</v>
      </c>
      <c r="DF320" s="301" t="str">
        <f t="shared" ref="DF320:DG320" si="869">SUBSTITUTE(S320,"-","")</f>
        <v>SRGM</v>
      </c>
      <c r="DG320" s="301" t="str">
        <f t="shared" si="869"/>
        <v>PDNS</v>
      </c>
      <c r="DH320" s="302" t="str">
        <f t="shared" si="38"/>
        <v>(n/a)</v>
      </c>
      <c r="DI320" s="301" t="str">
        <f t="shared" si="39"/>
        <v>Hemi.</v>
      </c>
      <c r="DJ320" s="364" t="str">
        <f t="shared" si="40"/>
        <v>Co-Co.</v>
      </c>
      <c r="DK320" s="306" t="str">
        <f t="shared" si="41"/>
        <v>-</v>
      </c>
      <c r="DL320" s="366" t="str">
        <f t="shared" si="42"/>
        <v>-</v>
      </c>
      <c r="DM320" s="308" t="str">
        <f t="shared" si="43"/>
        <v>✔</v>
      </c>
      <c r="DN320" s="306" t="str">
        <f t="shared" si="44"/>
        <v>-</v>
      </c>
      <c r="DO320" s="306" t="str">
        <f t="shared" si="45"/>
        <v>-</v>
      </c>
      <c r="DP320" s="367" t="str">
        <f t="shared" si="46"/>
        <v>-</v>
      </c>
      <c r="DQ320" s="310" t="str">
        <f t="shared" si="47"/>
        <v>-</v>
      </c>
      <c r="DR320" s="310" t="str">
        <f t="shared" si="48"/>
        <v>✔</v>
      </c>
      <c r="DS320" s="310" t="str">
        <f t="shared" si="49"/>
        <v>-</v>
      </c>
      <c r="DT320" s="310" t="str">
        <f t="shared" si="50"/>
        <v>-</v>
      </c>
      <c r="DU320" s="370" t="str">
        <f t="shared" si="51"/>
        <v>✔</v>
      </c>
      <c r="DV320" s="306" t="str">
        <f t="shared" si="52"/>
        <v>-</v>
      </c>
      <c r="DW320" s="306" t="str">
        <f t="shared" si="53"/>
        <v>-</v>
      </c>
      <c r="DX320" s="306" t="str">
        <f t="shared" si="54"/>
        <v>-</v>
      </c>
      <c r="DY320" s="306" t="str">
        <f t="shared" si="55"/>
        <v>-</v>
      </c>
      <c r="DZ320" s="306" t="str">
        <f t="shared" si="56"/>
        <v>-</v>
      </c>
      <c r="EA320" s="367" t="str">
        <f t="shared" si="57"/>
        <v>-</v>
      </c>
      <c r="EB320" s="310" t="str">
        <f>IFERROR(__xludf.DUMMYFUNCTION("IF(REGEXMATCH(AW320,AS320),""✔"",""-"")"),"-")</f>
        <v>-</v>
      </c>
      <c r="EC320" s="310" t="str">
        <f t="shared" si="58"/>
        <v>#REF!</v>
      </c>
      <c r="ED320" s="370" t="str">
        <f t="shared" si="59"/>
        <v>-</v>
      </c>
      <c r="EE320" s="340" t="str">
        <f t="shared" si="60"/>
        <v>S-r-gG-m-P-d-nN-S</v>
      </c>
      <c r="EF320" s="371" t="str">
        <f>IFERROR(__xludf.DUMMYFUNCTION("CONCATENATE(JOIN("""",HC320:HO320))"),"SrRGmPdDNS")</f>
        <v>SrRGmPdDNS</v>
      </c>
      <c r="EG320" s="372">
        <f t="shared" si="61"/>
        <v>2</v>
      </c>
      <c r="EH320" s="373" t="str">
        <f>IFERROR(__xludf.DUMMYFUNCTION("CONCATENATE(JOIN("""",JC320:JO320))"),"Pa, Ni, ")</f>
        <v>Pa, Ni, </v>
      </c>
      <c r="EI320" s="322">
        <f t="shared" si="62"/>
        <v>0</v>
      </c>
      <c r="EJ320" s="374" t="str">
        <f>IFERROR(__xludf.DUMMYFUNCTION("CONCATENATE(JOIN("""",KC320:KO320))"),"")</f>
        <v/>
      </c>
      <c r="EK320" s="325" t="str">
        <f t="shared" si="63"/>
        <v>S-R1-G2-G3-M1-P-D1-N2-N3-S</v>
      </c>
      <c r="EL320" s="326" t="str">
        <f t="shared" si="64"/>
        <v>1-b2-b3-3-4-5-b6-b7-7-8</v>
      </c>
      <c r="EM320" s="318" t="str">
        <f t="shared" si="65"/>
        <v>#REF!</v>
      </c>
      <c r="EN320" s="328" t="str">
        <f>IFERROR(__xludf.DUMMYFUNCTION("SUBSTITUTE(SUBSTITUTE(SUBSTITUTE(SUBSTITUTE(CONCATENATE(JOIN("" "",HP320:IB320)),""  "","" ""),""  "","" ""),""  "","" ""),""  "","" "")"),"o o • o o o • o o • o o o")</f>
        <v>o o • o o o • o o • o o o</v>
      </c>
      <c r="EO320" s="368" t="str">
        <f t="shared" si="66"/>
        <v>-</v>
      </c>
      <c r="EP320" s="339" t="str">
        <f t="shared" si="67"/>
        <v>-</v>
      </c>
      <c r="EQ320" s="339" t="str">
        <f t="shared" si="68"/>
        <v>Sa-Pa</v>
      </c>
      <c r="ER320" s="339" t="str">
        <f t="shared" si="69"/>
        <v>-</v>
      </c>
      <c r="ES320" s="340" t="str">
        <f t="shared" si="70"/>
        <v>-</v>
      </c>
      <c r="ET320" s="363"/>
      <c r="EU320" s="376" t="b">
        <f>IFERROR(__xludf.DUMMYFUNCTION("arrayformula(sum(--REGEXMATCH(""SRGMPDNS"",split(REGEXREPLACE(C320,""(.)"",""$1~""),""~""))))=len(C320)
"),FALSE)</f>
        <v>0</v>
      </c>
      <c r="EV320" s="290" t="b">
        <f>IFERROR(__xludf.DUMMYFUNCTION("arrayformula(sum(--REGEXMATCH(""SRGmPDNS"",split(REGEXREPLACE(C320,""(.)"",""$1~""),""~""))))=len(C320)"),FALSE)</f>
        <v>0</v>
      </c>
      <c r="EW320" s="290" t="b">
        <f>IFERROR(__xludf.DUMMYFUNCTION("arrayformula(sum(--REGEXMATCH(""SRGmPDnS"",split(REGEXREPLACE(C320,""(.)"",""$1~""),""~""))))=len(C320)"),FALSE)</f>
        <v>0</v>
      </c>
      <c r="EX320" s="290" t="b">
        <f>IFERROR(__xludf.DUMMYFUNCTION("arrayformula(sum(--REGEXMATCH(""SRgmPDnS"",split(REGEXREPLACE(C320,""(.)"",""$1~""),""~""))))=len(C320)"),FALSE)</f>
        <v>0</v>
      </c>
      <c r="EY320" s="290" t="b">
        <f>IFERROR(__xludf.DUMMYFUNCTION("arrayformula(sum(--REGEXMATCH(""SRgmPdnS"",split(REGEXREPLACE(C320,""(.)"",""$1~""),""~""))))=len(C320)"),FALSE)</f>
        <v>0</v>
      </c>
      <c r="EZ320" s="290" t="b">
        <f>IFERROR(__xludf.DUMMYFUNCTION("arrayformula(sum(--REGEXMATCH(""SrgmPdnS"",split(REGEXREPLACE(C320,""(.)"",""$1~""),""~""))))=len(C320)"),FALSE)</f>
        <v>0</v>
      </c>
      <c r="FA320" s="290" t="b">
        <f>IFERROR(__xludf.DUMMYFUNCTION("arrayformula(sum(--REGEXMATCH(""SrGmPdNS"",split(REGEXREPLACE(C320,""(.)"",""$1~""),""~""))))=len(C320)"),FALSE)</f>
        <v>0</v>
      </c>
      <c r="FB320" s="290" t="b">
        <f>IFERROR(__xludf.DUMMYFUNCTION("arrayformula(sum(--REGEXMATCH(""SrGMPDNS"",split(REGEXREPLACE(C320,""(.)"",""$1~""),""~""))))=len(C320)"),FALSE)</f>
        <v>0</v>
      </c>
      <c r="FC320" s="290" t="b">
        <f>IFERROR(__xludf.DUMMYFUNCTION("arrayformula(sum(--REGEXMATCH(""SrGMPdNS"",split(REGEXREPLACE(C320,""(.)"",""$1~""),""~""))))=len(C320)"),FALSE)</f>
        <v>0</v>
      </c>
      <c r="FD320" s="377" t="b">
        <f>IFERROR(__xludf.DUMMYFUNCTION("arrayformula(sum(--REGEXMATCH(""SrgMPdNS"",split(REGEXREPLACE(C320,""(.)"",""$1~""),""~""))))=len(C320)"),FALSE)</f>
        <v>0</v>
      </c>
      <c r="FE320" s="269" t="str">
        <f t="shared" si="71"/>
        <v>xoxxxoxxoxx</v>
      </c>
      <c r="FF320" s="269" t="str">
        <f t="shared" si="72"/>
        <v>-</v>
      </c>
      <c r="FG320" s="271" t="str">
        <f t="shared" si="73"/>
        <v>xxxoxxoxxxx</v>
      </c>
      <c r="FH320" s="269" t="str">
        <f t="shared" si="74"/>
        <v>xxoxxoxxxxo</v>
      </c>
      <c r="FI320" s="271" t="str">
        <f t="shared" si="75"/>
        <v>xoxxoxxxxox</v>
      </c>
      <c r="FJ320" s="271" t="str">
        <f t="shared" si="76"/>
        <v>-</v>
      </c>
      <c r="FK320" s="271" t="str">
        <f t="shared" si="77"/>
        <v>xxoxxxxoxxx</v>
      </c>
      <c r="FL320" s="271" t="str">
        <f t="shared" si="78"/>
        <v>xoxxxxoxxxo</v>
      </c>
      <c r="FM320" s="271" t="str">
        <f t="shared" si="79"/>
        <v>-</v>
      </c>
      <c r="FN320" s="271" t="str">
        <f t="shared" si="80"/>
        <v>xxxxoxxxoxx</v>
      </c>
      <c r="FO320" s="274" t="str">
        <f t="shared" si="81"/>
        <v>xxxoxxxoxxo</v>
      </c>
      <c r="FP320" s="234" t="str">
        <f t="shared" si="82"/>
        <v>|</v>
      </c>
      <c r="FQ320" s="236" t="str">
        <f t="shared" si="83"/>
        <v>|</v>
      </c>
      <c r="FR320" s="237" t="str">
        <f t="shared" si="84"/>
        <v>-</v>
      </c>
      <c r="FS320" s="236" t="str">
        <f t="shared" si="85"/>
        <v>|</v>
      </c>
      <c r="FT320" s="237" t="str">
        <f t="shared" si="86"/>
        <v>|</v>
      </c>
      <c r="FU320" s="236" t="str">
        <f t="shared" si="87"/>
        <v>|</v>
      </c>
      <c r="FV320" s="237" t="str">
        <f t="shared" si="88"/>
        <v>-</v>
      </c>
      <c r="FW320" s="236" t="str">
        <f t="shared" si="89"/>
        <v>|</v>
      </c>
      <c r="FX320" s="237" t="str">
        <f t="shared" si="90"/>
        <v>|</v>
      </c>
      <c r="FY320" s="236" t="str">
        <f t="shared" si="91"/>
        <v>-</v>
      </c>
      <c r="FZ320" s="237" t="str">
        <f t="shared" si="92"/>
        <v>|</v>
      </c>
      <c r="GA320" s="236" t="str">
        <f t="shared" si="93"/>
        <v>|</v>
      </c>
      <c r="GB320" s="238" t="str">
        <f t="shared" si="94"/>
        <v>|</v>
      </c>
      <c r="GC320" s="244" t="str">
        <f>IFERROR(__xludf.DUMMYFUNCTION("IF(REGEXMATCH(C320, ""S""), ""1"","""")"),"1")</f>
        <v>1</v>
      </c>
      <c r="GD320" s="245" t="str">
        <f>IFERROR(__xludf.DUMMYFUNCTION("IF(REGEXMATCH(C320, ""r""), ""b2"","""")"),"b2")</f>
        <v>b2</v>
      </c>
      <c r="GE320" s="246" t="str">
        <f>IFERROR(__xludf.DUMMYFUNCTION("IF(REGEXMATCH(C320, ""R""), ""2"","""")"),"")</f>
        <v/>
      </c>
      <c r="GF320" s="246" t="str">
        <f>IFERROR(__xludf.DUMMYFUNCTION("IF(REGEXMATCH(C320, ""g""), ""b3"","""")"),"b3")</f>
        <v>b3</v>
      </c>
      <c r="GG320" s="245" t="str">
        <f>IFERROR(__xludf.DUMMYFUNCTION("IF(REGEXMATCH(C320, ""G""), ""3"","""")"),"3")</f>
        <v>3</v>
      </c>
      <c r="GH320" s="245" t="str">
        <f>IFERROR(__xludf.DUMMYFUNCTION("IF(REGEXMATCH(C320, ""m""), ""4"","""")"),"4")</f>
        <v>4</v>
      </c>
      <c r="GI320" s="246" t="str">
        <f>IFERROR(__xludf.DUMMYFUNCTION("IF(REGEXMATCH(C320, ""M""), ""#4"","""")"),"")</f>
        <v/>
      </c>
      <c r="GJ320" s="245" t="str">
        <f>IFERROR(__xludf.DUMMYFUNCTION("IF(REGEXMATCH(C320, ""P""), ""5"","""")"),"5")</f>
        <v>5</v>
      </c>
      <c r="GK320" s="246" t="str">
        <f>IFERROR(__xludf.DUMMYFUNCTION("IF(REGEXMATCH(C320, ""d""), ""b6"","""")"),"b6")</f>
        <v>b6</v>
      </c>
      <c r="GL320" s="245" t="str">
        <f>IFERROR(__xludf.DUMMYFUNCTION("IF(REGEXMATCH(C320, ""D""), ""6"","""")"),"")</f>
        <v/>
      </c>
      <c r="GM320" s="245" t="str">
        <f>IFERROR(__xludf.DUMMYFUNCTION("IF(REGEXMATCH(C320, ""n""), ""b7"","""")"),"b7")</f>
        <v>b7</v>
      </c>
      <c r="GN320" s="246" t="str">
        <f>IFERROR(__xludf.DUMMYFUNCTION("IF(REGEXMATCH(C320, ""N""), ""7"","""")"),"7")</f>
        <v>7</v>
      </c>
      <c r="GO320" s="249" t="str">
        <f>IFERROR(__xludf.DUMMYFUNCTION("IF(REGEXMATCH(C320, ""S""), ""8"","""")"),"8")</f>
        <v>8</v>
      </c>
      <c r="GP320" s="244" t="str">
        <f>IFERROR(__xludf.DUMMYFUNCTION("IF(REGEXMATCH(C320, ""S""), ""S"","""")"),"S")</f>
        <v>S</v>
      </c>
      <c r="GQ320" s="294" t="str">
        <f>IFERROR(__xludf.DUMMYFUNCTION("IF(REGEXMATCH(C320, ""r""), ""R1"","""")"),"R1")</f>
        <v>R1</v>
      </c>
      <c r="GR320" s="295" t="str">
        <f>IFERROR(__xludf.DUMMYFUNCTION("IF(REGEXMATCH(C320, ""R""), ""R2"","""")"),"")</f>
        <v/>
      </c>
      <c r="GS320" s="295" t="str">
        <f>IFERROR(__xludf.DUMMYFUNCTION("IF(REGEXMATCH(C320, ""g""), ""G2"","""")"),"G2")</f>
        <v>G2</v>
      </c>
      <c r="GT320" s="294" t="str">
        <f>IFERROR(__xludf.DUMMYFUNCTION("IF(REGEXMATCH(C320, ""G""), ""G3"","""")"),"G3")</f>
        <v>G3</v>
      </c>
      <c r="GU320" s="294" t="str">
        <f>IFERROR(__xludf.DUMMYFUNCTION("IF(REGEXMATCH(C320, ""m""), ""M1"","""")"),"M1")</f>
        <v>M1</v>
      </c>
      <c r="GV320" s="295" t="str">
        <f>IFERROR(__xludf.DUMMYFUNCTION("IF(REGEXMATCH(C320, ""M""), ""M2"","""")"),"")</f>
        <v/>
      </c>
      <c r="GW320" s="294" t="str">
        <f>IFERROR(__xludf.DUMMYFUNCTION("IF(REGEXMATCH(C320, ""P""), ""P"","""")"),"P")</f>
        <v>P</v>
      </c>
      <c r="GX320" s="295" t="str">
        <f>IFERROR(__xludf.DUMMYFUNCTION("IF(REGEXMATCH(C320, ""d""), ""D1"","""")"),"D1")</f>
        <v>D1</v>
      </c>
      <c r="GY320" s="294" t="str">
        <f>IFERROR(__xludf.DUMMYFUNCTION("IF(REGEXMATCH(C320, ""D""), ""D2"","""")"),"")</f>
        <v/>
      </c>
      <c r="GZ320" s="294" t="str">
        <f>IFERROR(__xludf.DUMMYFUNCTION("IF(REGEXMATCH(C320, ""n""), ""N2"","""")"),"N2")</f>
        <v>N2</v>
      </c>
      <c r="HA320" s="295" t="str">
        <f>IFERROR(__xludf.DUMMYFUNCTION("IF(REGEXMATCH(C320, ""N""), ""N3"","""")"),"N3")</f>
        <v>N3</v>
      </c>
      <c r="HB320" s="249" t="str">
        <f>IFERROR(__xludf.DUMMYFUNCTION("IF(REGEXMATCH(C320, ""S""), ""S"","""")"),"S")</f>
        <v>S</v>
      </c>
      <c r="HC320" s="331" t="str">
        <f t="shared" si="95"/>
        <v>S</v>
      </c>
      <c r="HD320" s="332" t="str">
        <f t="shared" si="96"/>
        <v>r</v>
      </c>
      <c r="HE320" s="332" t="str">
        <f t="shared" si="97"/>
        <v>R</v>
      </c>
      <c r="HF320" s="332" t="str">
        <f t="shared" si="98"/>
        <v/>
      </c>
      <c r="HG320" s="332" t="str">
        <f t="shared" si="99"/>
        <v>G</v>
      </c>
      <c r="HH320" s="332" t="str">
        <f t="shared" si="100"/>
        <v>m</v>
      </c>
      <c r="HI320" s="332" t="str">
        <f t="shared" si="101"/>
        <v/>
      </c>
      <c r="HJ320" s="332" t="str">
        <f t="shared" si="102"/>
        <v>P</v>
      </c>
      <c r="HK320" s="332" t="str">
        <f t="shared" si="103"/>
        <v>d</v>
      </c>
      <c r="HL320" s="332" t="str">
        <f t="shared" si="104"/>
        <v>D</v>
      </c>
      <c r="HM320" s="332" t="str">
        <f t="shared" si="105"/>
        <v/>
      </c>
      <c r="HN320" s="332" t="str">
        <f t="shared" si="106"/>
        <v>N</v>
      </c>
      <c r="HO320" s="343" t="str">
        <f t="shared" si="107"/>
        <v>S</v>
      </c>
      <c r="HP320" s="331" t="str">
        <f t="shared" si="108"/>
        <v>o</v>
      </c>
      <c r="HQ320" s="332" t="str">
        <f t="shared" si="109"/>
        <v>o</v>
      </c>
      <c r="HR320" s="332" t="str">
        <f t="shared" si="110"/>
        <v>•</v>
      </c>
      <c r="HS320" s="332" t="str">
        <f t="shared" si="111"/>
        <v>o</v>
      </c>
      <c r="HT320" s="332" t="str">
        <f t="shared" si="112"/>
        <v>o</v>
      </c>
      <c r="HU320" s="332" t="str">
        <f t="shared" si="113"/>
        <v>o</v>
      </c>
      <c r="HV320" s="332" t="str">
        <f t="shared" si="114"/>
        <v>•</v>
      </c>
      <c r="HW320" s="332" t="str">
        <f t="shared" si="115"/>
        <v>o</v>
      </c>
      <c r="HX320" s="332" t="str">
        <f t="shared" si="116"/>
        <v>o</v>
      </c>
      <c r="HY320" s="332" t="str">
        <f t="shared" si="117"/>
        <v>•</v>
      </c>
      <c r="HZ320" s="332" t="str">
        <f t="shared" si="118"/>
        <v>o</v>
      </c>
      <c r="IA320" s="332" t="str">
        <f t="shared" si="119"/>
        <v>o</v>
      </c>
      <c r="IB320" s="338" t="str">
        <f t="shared" si="120"/>
        <v>o</v>
      </c>
      <c r="IC320" s="331" t="str">
        <f t="shared" si="121"/>
        <v>•</v>
      </c>
      <c r="ID320" s="332" t="str">
        <f t="shared" si="122"/>
        <v>•</v>
      </c>
      <c r="IE320" s="332" t="str">
        <f t="shared" si="123"/>
        <v>o</v>
      </c>
      <c r="IF320" s="332" t="str">
        <f t="shared" si="124"/>
        <v>•</v>
      </c>
      <c r="IG320" s="332" t="str">
        <f t="shared" si="125"/>
        <v>•</v>
      </c>
      <c r="IH320" s="332" t="str">
        <f t="shared" si="126"/>
        <v>•</v>
      </c>
      <c r="II320" s="332" t="str">
        <f t="shared" si="127"/>
        <v>o</v>
      </c>
      <c r="IJ320" s="332" t="str">
        <f t="shared" si="128"/>
        <v>•</v>
      </c>
      <c r="IK320" s="332" t="str">
        <f t="shared" si="129"/>
        <v>•</v>
      </c>
      <c r="IL320" s="332" t="str">
        <f t="shared" si="130"/>
        <v>o</v>
      </c>
      <c r="IM320" s="332" t="str">
        <f t="shared" si="131"/>
        <v>•</v>
      </c>
      <c r="IN320" s="332" t="str">
        <f t="shared" si="132"/>
        <v>•</v>
      </c>
      <c r="IO320" s="338" t="str">
        <f t="shared" si="133"/>
        <v>•</v>
      </c>
      <c r="IP320" s="346" t="b">
        <f t="shared" si="134"/>
        <v>0</v>
      </c>
      <c r="IQ320" s="347" t="b">
        <f t="shared" si="135"/>
        <v>0</v>
      </c>
      <c r="IR320" s="347" t="b">
        <f t="shared" si="136"/>
        <v>0</v>
      </c>
      <c r="IS320" s="347" t="b">
        <f t="shared" si="137"/>
        <v>0</v>
      </c>
      <c r="IT320" s="347" t="b">
        <f t="shared" si="138"/>
        <v>0</v>
      </c>
      <c r="IU320" s="347" t="b">
        <f t="shared" si="139"/>
        <v>0</v>
      </c>
      <c r="IV320" s="347" t="b">
        <f t="shared" si="140"/>
        <v>0</v>
      </c>
      <c r="IW320" s="347" t="b">
        <f t="shared" si="141"/>
        <v>1</v>
      </c>
      <c r="IX320" s="347" t="b">
        <f t="shared" si="142"/>
        <v>0</v>
      </c>
      <c r="IY320" s="347" t="b">
        <f t="shared" si="143"/>
        <v>0</v>
      </c>
      <c r="IZ320" s="347" t="b">
        <f t="shared" si="144"/>
        <v>0</v>
      </c>
      <c r="JA320" s="347" t="b">
        <f t="shared" si="145"/>
        <v>1</v>
      </c>
      <c r="JB320" s="353" t="b">
        <f t="shared" si="146"/>
        <v>0</v>
      </c>
      <c r="JC320" s="354" t="str">
        <f t="shared" si="147"/>
        <v/>
      </c>
      <c r="JD320" s="355" t="str">
        <f t="shared" si="148"/>
        <v/>
      </c>
      <c r="JE320" s="355" t="str">
        <f t="shared" si="149"/>
        <v/>
      </c>
      <c r="JF320" s="355" t="str">
        <f t="shared" si="150"/>
        <v/>
      </c>
      <c r="JG320" s="355" t="str">
        <f t="shared" si="151"/>
        <v/>
      </c>
      <c r="JH320" s="355" t="str">
        <f t="shared" si="152"/>
        <v/>
      </c>
      <c r="JI320" s="355" t="str">
        <f t="shared" si="153"/>
        <v/>
      </c>
      <c r="JJ320" s="355" t="str">
        <f t="shared" si="154"/>
        <v>Pa, </v>
      </c>
      <c r="JK320" s="355" t="str">
        <f t="shared" si="155"/>
        <v/>
      </c>
      <c r="JL320" s="355" t="str">
        <f t="shared" si="156"/>
        <v/>
      </c>
      <c r="JM320" s="355" t="str">
        <f t="shared" si="157"/>
        <v/>
      </c>
      <c r="JN320" s="355" t="str">
        <f t="shared" si="158"/>
        <v>Ni, </v>
      </c>
      <c r="JO320" s="359" t="str">
        <f t="shared" si="159"/>
        <v/>
      </c>
      <c r="JP320" s="346" t="b">
        <f t="shared" si="160"/>
        <v>0</v>
      </c>
      <c r="JQ320" s="347" t="b">
        <f t="shared" si="161"/>
        <v>0</v>
      </c>
      <c r="JR320" s="347" t="b">
        <f t="shared" si="162"/>
        <v>0</v>
      </c>
      <c r="JS320" s="347" t="b">
        <f t="shared" si="163"/>
        <v>0</v>
      </c>
      <c r="JT320" s="347" t="b">
        <f t="shared" si="164"/>
        <v>0</v>
      </c>
      <c r="JU320" s="347" t="b">
        <f t="shared" si="165"/>
        <v>0</v>
      </c>
      <c r="JV320" s="347" t="b">
        <f t="shared" si="166"/>
        <v>0</v>
      </c>
      <c r="JW320" s="347" t="b">
        <f t="shared" si="167"/>
        <v>0</v>
      </c>
      <c r="JX320" s="347" t="b">
        <f t="shared" si="168"/>
        <v>0</v>
      </c>
      <c r="JY320" s="347" t="b">
        <f t="shared" si="169"/>
        <v>0</v>
      </c>
      <c r="JZ320" s="347" t="b">
        <f t="shared" si="170"/>
        <v>0</v>
      </c>
      <c r="KA320" s="347" t="b">
        <f t="shared" si="171"/>
        <v>0</v>
      </c>
      <c r="KB320" s="365" t="b">
        <f t="shared" si="172"/>
        <v>0</v>
      </c>
      <c r="KC320" s="354" t="str">
        <f t="shared" si="173"/>
        <v/>
      </c>
      <c r="KD320" s="355" t="str">
        <f t="shared" si="174"/>
        <v/>
      </c>
      <c r="KE320" s="355" t="str">
        <f t="shared" si="175"/>
        <v/>
      </c>
      <c r="KF320" s="355" t="str">
        <f t="shared" si="176"/>
        <v/>
      </c>
      <c r="KG320" s="355" t="str">
        <f t="shared" si="177"/>
        <v/>
      </c>
      <c r="KH320" s="355" t="str">
        <f t="shared" si="178"/>
        <v/>
      </c>
      <c r="KI320" s="355" t="str">
        <f t="shared" si="179"/>
        <v/>
      </c>
      <c r="KJ320" s="355" t="str">
        <f t="shared" si="180"/>
        <v/>
      </c>
      <c r="KK320" s="355" t="str">
        <f t="shared" si="181"/>
        <v/>
      </c>
      <c r="KL320" s="355" t="str">
        <f t="shared" si="182"/>
        <v/>
      </c>
      <c r="KM320" s="355" t="str">
        <f t="shared" si="183"/>
        <v/>
      </c>
      <c r="KN320" s="355" t="str">
        <f t="shared" si="184"/>
        <v/>
      </c>
      <c r="KO320" s="359"/>
      <c r="KP320" s="378"/>
      <c r="KQ320" s="379" t="s">
        <v>9</v>
      </c>
      <c r="KR320" s="380" t="s">
        <v>9</v>
      </c>
      <c r="KS320" s="381" t="s">
        <v>9</v>
      </c>
      <c r="KT320" s="382">
        <f t="shared" si="186"/>
        <v>0</v>
      </c>
      <c r="KU320" s="383">
        <f t="shared" si="187"/>
        <v>0</v>
      </c>
      <c r="KV320" s="381" t="str">
        <f t="shared" si="205"/>
        <v>S</v>
      </c>
      <c r="KW320" s="382">
        <f t="shared" si="189"/>
        <v>0</v>
      </c>
      <c r="KX320" s="384">
        <f t="shared" si="190"/>
        <v>0</v>
      </c>
      <c r="KY320" s="382">
        <f t="shared" ref="KY320:KZ320" si="870">KW320-KT320</f>
        <v>0</v>
      </c>
      <c r="KZ320" s="369">
        <f t="shared" si="870"/>
        <v>0</v>
      </c>
      <c r="LA320" s="385" t="str">
        <f t="shared" si="192"/>
        <v>✔</v>
      </c>
      <c r="LB320" s="340" t="str">
        <f>IFERROR(__xludf.DUMMYFUNCTION("JOIN("""",ArrayFormula(MID(KS320,LEN(KS320)-SEQUENCE(1,LEN(KS320))+1,1)))"),"S")</f>
        <v>S</v>
      </c>
      <c r="LC320" s="373" t="str">
        <f>IFERROR(__xludf.DUMMYFUNCTION("JOIN("""",ArrayFormula(MID(KV320,LEN(KV320)-SEQUENCE(1,LEN(KV320))+1,1)))"),"S")</f>
        <v>S</v>
      </c>
      <c r="LD320" s="373" t="str">
        <f t="shared" si="193"/>
        <v>S</v>
      </c>
      <c r="LE320" s="339" t="str">
        <f t="shared" si="194"/>
        <v>S</v>
      </c>
      <c r="LF320" s="386" t="str">
        <f>IFERROR(__xludf.DUMMYFUNCTION("SUBSTITUTE(SUBSTITUTE(CONCATENATE(JOIN("""",LH320:LT320)),""1"",""""),""2"","""")"),"SS")</f>
        <v>SS</v>
      </c>
      <c r="LG320" s="369" t="str">
        <f t="shared" si="195"/>
        <v>-</v>
      </c>
      <c r="LH320" s="387" t="str">
        <f>IFERROR(__xludf.DUMMYFUNCTION("IF(REGEXMATCH(LD320, ""S""), ""S"",IF(REGEXMATCH(LE320, ""S""), ""S"",""""))"),"S")</f>
        <v>S</v>
      </c>
      <c r="LI320" s="299" t="str">
        <f>IFERROR(__xludf.DUMMYFUNCTION("IF(REGEXMATCH(LD320, ""r""), ""r1"",IF(REGEXMATCH(LE320, ""r""), ""r2"",""""))"),"")</f>
        <v/>
      </c>
      <c r="LJ320" s="299" t="str">
        <f>IFERROR(__xludf.DUMMYFUNCTION("IF(REGEXMATCH(LD320, ""R""), ""R1"",IF(REGEXMATCH(LE320, ""R""), ""R2"",""""))"),"")</f>
        <v/>
      </c>
      <c r="LK320" s="299" t="str">
        <f>IFERROR(__xludf.DUMMYFUNCTION("IF(REGEXMATCH(LD320, ""g""), ""g1"",IF(REGEXMATCH(LE320, ""g""), ""g2"",""""))"),"")</f>
        <v/>
      </c>
      <c r="LL320" s="299" t="str">
        <f>IFERROR(__xludf.DUMMYFUNCTION("IF(REGEXMATCH(LD320, ""G""), ""G1"",IF(REGEXMATCH(LE320, ""G""), ""G2"",""""))"),"")</f>
        <v/>
      </c>
      <c r="LM320" s="299" t="str">
        <f>IFERROR(__xludf.DUMMYFUNCTION("IF(REGEXMATCH(LD320, ""m""), ""m1"",IF(REGEXMATCH(LE320, ""m""), ""m2"",""""))"),"")</f>
        <v/>
      </c>
      <c r="LN320" s="299" t="str">
        <f>IFERROR(__xludf.DUMMYFUNCTION("IF(REGEXMATCH(LD320, ""M""), ""M1"",IF(REGEXMATCH(LE320, ""M""), ""M2"",""""))"),"")</f>
        <v/>
      </c>
      <c r="LO320" s="299" t="str">
        <f>IFERROR(__xludf.DUMMYFUNCTION("IF(REGEXMATCH(LD320, ""P""), ""P1"",IF(REGEXMATCH(LE320, ""P""), ""P2"",""""))"),"")</f>
        <v/>
      </c>
      <c r="LP320" s="299" t="str">
        <f>IFERROR(__xludf.DUMMYFUNCTION("IF(REGEXMATCH(LD320, ""d""), ""d1"",IF(REGEXMATCH(LE320, ""d""), ""d2"",""""))"),"")</f>
        <v/>
      </c>
      <c r="LQ320" s="299" t="str">
        <f>IFERROR(__xludf.DUMMYFUNCTION("IF(REGEXMATCH(LD320, ""D""), ""D1"",IF(REGEXMATCH(LE320, ""D""), ""D2"",""""))"),"")</f>
        <v/>
      </c>
      <c r="LR320" s="299" t="str">
        <f>IFERROR(__xludf.DUMMYFUNCTION("IF(REGEXMATCH(LD320, ""n""), ""n1"",IF(REGEXMATCH(LE320, ""n""), ""n2"",""""))"),"")</f>
        <v/>
      </c>
      <c r="LS320" s="299" t="str">
        <f>IFERROR(__xludf.DUMMYFUNCTION("IF(REGEXMATCH(LD320, ""N""), ""N1"",IF(REGEXMATCH(LE320, ""N""), ""N2"",""""))"),"")</f>
        <v/>
      </c>
      <c r="LT320" s="388" t="str">
        <f>IFERROR(__xludf.DUMMYFUNCTION("IF(REGEXMATCH(LD320, ""S""), ""S"",IF(REGEXMATCH(LE320, ""S""), ""S"",""""))"),"S")</f>
        <v>S</v>
      </c>
      <c r="LU320" s="389">
        <f t="shared" si="196"/>
        <v>1</v>
      </c>
      <c r="LV320" s="378"/>
      <c r="LW320" s="369"/>
      <c r="LX320" s="369"/>
    </row>
    <row r="321" ht="18.0" customHeight="1">
      <c r="A321" s="298" t="s">
        <v>1156</v>
      </c>
      <c r="B321" s="222" t="s">
        <v>1157</v>
      </c>
      <c r="C321" s="233" t="str">
        <f t="shared" si="7"/>
        <v>SRgPDS</v>
      </c>
      <c r="D321" s="234" t="str">
        <f>IFERROR(__xludf.DUMMYFUNCTION("IF(REGEXMATCH(C321, ""S""), ""S"","""")"),"S")</f>
        <v>S</v>
      </c>
      <c r="E321" s="236" t="str">
        <f>IFERROR(__xludf.DUMMYFUNCTION("IF(REGEXMATCH(C321, ""r""), ""r"","""")"),"")</f>
        <v/>
      </c>
      <c r="F321" s="237" t="str">
        <f>IFERROR(__xludf.DUMMYFUNCTION("IF(REGEXMATCH(C321, ""R""), ""R"","""")"),"R")</f>
        <v>R</v>
      </c>
      <c r="G321" s="237" t="str">
        <f>IFERROR(__xludf.DUMMYFUNCTION("IF(REGEXMATCH(C321, ""g""), ""g"","""")"),"g")</f>
        <v>g</v>
      </c>
      <c r="H321" s="236" t="str">
        <f>IFERROR(__xludf.DUMMYFUNCTION("IF(REGEXMATCH(C321, ""G""), ""G"","""")"),"")</f>
        <v/>
      </c>
      <c r="I321" s="236" t="str">
        <f>IFERROR(__xludf.DUMMYFUNCTION("IF(REGEXMATCH(C321, ""m""), ""m"","""")"),"")</f>
        <v/>
      </c>
      <c r="J321" s="237" t="str">
        <f>IFERROR(__xludf.DUMMYFUNCTION("IF(REGEXMATCH(C321, ""M""), ""M"","""")"),"")</f>
        <v/>
      </c>
      <c r="K321" s="236" t="str">
        <f>IFERROR(__xludf.DUMMYFUNCTION("IF(REGEXMATCH(C321, ""P""), ""P"","""")"),"P")</f>
        <v>P</v>
      </c>
      <c r="L321" s="237" t="str">
        <f>IFERROR(__xludf.DUMMYFUNCTION("IF(REGEXMATCH(C321, ""d""), ""d"","""")"),"")</f>
        <v/>
      </c>
      <c r="M321" s="236" t="str">
        <f>IFERROR(__xludf.DUMMYFUNCTION("IF(REGEXMATCH(C321, ""D""), ""D"","""")"),"D")</f>
        <v>D</v>
      </c>
      <c r="N321" s="236" t="str">
        <f>IFERROR(__xludf.DUMMYFUNCTION("IF(REGEXMATCH(C321, ""n""), ""n"","""")"),"")</f>
        <v/>
      </c>
      <c r="O321" s="237" t="str">
        <f>IFERROR(__xludf.DUMMYFUNCTION("IF(REGEXMATCH(C321, ""N""), ""N"","""")"),"")</f>
        <v/>
      </c>
      <c r="P321" s="238" t="str">
        <f>IFERROR(__xludf.DUMMYFUNCTION("IF(REGEXMATCH(C321, ""S""), ""S"","""")"),"S")</f>
        <v>S</v>
      </c>
      <c r="Q321" s="239" t="str">
        <f>IFERROR(__xludf.DUMMYFUNCTION("SUBSTITUTE(CONCATENATE(JOIN(""-"",D321:J321)),""-"","""")"),"SRg")</f>
        <v>SRg</v>
      </c>
      <c r="R321" s="229" t="str">
        <f>IFERROR(__xludf.DUMMYFUNCTION("SUBSTITUTE(CONCATENATE(JOIN(""-"",K321:P321)),""-"","""")"),"PDS")</f>
        <v>PDS</v>
      </c>
      <c r="S321" s="282" t="str">
        <f t="shared" si="8"/>
        <v>S-R-G-</v>
      </c>
      <c r="T321" s="282" t="str">
        <f t="shared" si="9"/>
        <v>P-D-S</v>
      </c>
      <c r="U321" s="237" t="str">
        <f>IFERROR(__xludf.DUMMYFUNCTION("SUBSTITUTE(JOIN(""-"",S321,T321),""--"",""-"")"),"S-R-G-P-D-S")</f>
        <v>S-R-G-P-D-S</v>
      </c>
      <c r="V321" s="309" t="str">
        <f t="shared" si="10"/>
        <v>RgD</v>
      </c>
      <c r="W321" s="244" t="str">
        <f>IFERROR(__xludf.DUMMYFUNCTION("IF(REGEXMATCH(C321, ""S""), ""0"","""")"),"0")</f>
        <v>0</v>
      </c>
      <c r="X321" s="245" t="str">
        <f>IFERROR(__xludf.DUMMYFUNCTION("IF(REGEXMATCH(C321, ""r""), ""1"","""")"),"")</f>
        <v/>
      </c>
      <c r="Y321" s="246" t="str">
        <f>IFERROR(__xludf.DUMMYFUNCTION("IF(REGEXMATCH(C321, ""R""), ""2"","""")"),"2")</f>
        <v>2</v>
      </c>
      <c r="Z321" s="246" t="str">
        <f>IFERROR(__xludf.DUMMYFUNCTION("IF(REGEXMATCH(C321, ""g""), ""3"","""")"),"3")</f>
        <v>3</v>
      </c>
      <c r="AA321" s="245" t="str">
        <f>IFERROR(__xludf.DUMMYFUNCTION("IF(REGEXMATCH(C321, ""G""), ""4"","""")"),"")</f>
        <v/>
      </c>
      <c r="AB321" s="245" t="str">
        <f>IFERROR(__xludf.DUMMYFUNCTION("IF(REGEXMATCH(C321, ""m""), ""5"","""")"),"")</f>
        <v/>
      </c>
      <c r="AC321" s="246" t="str">
        <f>IFERROR(__xludf.DUMMYFUNCTION("IF(REGEXMATCH(C321, ""M""), ""6"","""")"),"")</f>
        <v/>
      </c>
      <c r="AD321" s="245" t="str">
        <f>IFERROR(__xludf.DUMMYFUNCTION("IF(REGEXMATCH(C321, ""P""), ""7"","""")"),"7")</f>
        <v>7</v>
      </c>
      <c r="AE321" s="246" t="str">
        <f>IFERROR(__xludf.DUMMYFUNCTION("IF(REGEXMATCH(C321, ""d""), ""8"","""")"),"")</f>
        <v/>
      </c>
      <c r="AF321" s="245" t="str">
        <f>IFERROR(__xludf.DUMMYFUNCTION("IF(REGEXMATCH(C321, ""D""), ""9"","""")"),"9")</f>
        <v>9</v>
      </c>
      <c r="AG321" s="245" t="str">
        <f>IFERROR(__xludf.DUMMYFUNCTION("IF(REGEXMATCH(C321, ""n""), ""10"","""")"),"")</f>
        <v/>
      </c>
      <c r="AH321" s="246" t="str">
        <f>IFERROR(__xludf.DUMMYFUNCTION("IF(REGEXMATCH(C321, ""N""), ""11"","""")"),"")</f>
        <v/>
      </c>
      <c r="AI321" s="249" t="str">
        <f>IFERROR(__xludf.DUMMYFUNCTION("IF(REGEXMATCH(C321, ""S""), ""0"","""")"),"0")</f>
        <v>0</v>
      </c>
      <c r="AJ321" s="313" t="str">
        <f t="shared" si="11"/>
        <v>-</v>
      </c>
      <c r="AK321" s="313" t="str">
        <f t="shared" si="12"/>
        <v>-</v>
      </c>
      <c r="AL321" s="313" t="str">
        <f t="shared" si="13"/>
        <v>-</v>
      </c>
      <c r="AM321" s="313" t="str">
        <f t="shared" si="14"/>
        <v>T</v>
      </c>
      <c r="AN321" s="313" t="str">
        <f t="shared" si="15"/>
        <v>-</v>
      </c>
      <c r="AO321" s="314" t="str">
        <f t="shared" si="16"/>
        <v>-</v>
      </c>
      <c r="AP321" s="316">
        <f t="shared" si="17"/>
        <v>1</v>
      </c>
      <c r="AQ321" s="319" t="str">
        <f t="shared" si="18"/>
        <v>#REF!</v>
      </c>
      <c r="AR321" s="320">
        <f t="shared" si="19"/>
        <v>0</v>
      </c>
      <c r="AS321" s="250" t="str">
        <f>IFERROR(__xludf.DUMMYFUNCTION("SUBSTITUTE(SUBSTITUTE(CONCATENATE(JOIN("""",FP321:GA321)),""|"",""x""),""-"",""o"")"),"xoxxoooxoxoo")</f>
        <v>xoxxoooxoxoo</v>
      </c>
      <c r="AT321" s="323" t="str">
        <f>IFERROR(__xludf.DUMMYFUNCTION("JOIN("""",AS321,AS321)"),"xoxxoooxoxooxoxxoooxoxoo")</f>
        <v>xoxxoooxoxooxoxxoooxoxoo</v>
      </c>
      <c r="AU321" s="256" t="str">
        <f>IFERROR(__xludf.DUMMYFUNCTION("JOIN("""",ArrayFormula(MID(AS321,LEN(AS321)-SEQUENCE(1,LEN(AS321))+1,1)))"),"ooxoxoooxxox")</f>
        <v>ooxoxoooxxox</v>
      </c>
      <c r="AV321" s="256" t="str">
        <f>IFERROR(__xludf.DUMMYFUNCTION("LEFT(CONCATENATE(""x"",JOIN("""",ArrayFormula(MID(AS321,LEN(AS321)-SEQUENCE(1,LEN(AS321))+1,1)))),12)"),"xooxoxoooxxo")</f>
        <v>xooxoxoooxxo</v>
      </c>
      <c r="AW321" s="327" t="str">
        <f>IFERROR(__xludf.DUMMYFUNCTION("JOIN("""",AU321,AU321)"),"ooxoxoooxxoxooxoxoooxxox")</f>
        <v>ooxoxoooxxoxooxoxoooxxox</v>
      </c>
      <c r="AX321" s="239" t="str">
        <f>IFERROR(__xludf.DUMMYFUNCTION("IF(REGEXMATCH(AW321,AS321),""✔"",""-"")"),"-")</f>
        <v>-</v>
      </c>
      <c r="AY321" s="330" t="str">
        <f t="shared" si="20"/>
        <v>-</v>
      </c>
      <c r="AZ321" s="260" t="str">
        <f t="shared" si="21"/>
        <v>#REF!</v>
      </c>
      <c r="BA321" s="333" t="str">
        <f t="shared" si="22"/>
        <v>xoxxooo</v>
      </c>
      <c r="BB321" s="334" t="str">
        <f t="shared" si="23"/>
        <v>xoxoox</v>
      </c>
      <c r="BC321" s="335" t="str">
        <f t="shared" si="236"/>
        <v>-</v>
      </c>
      <c r="BD321" s="336" t="str">
        <f t="shared" si="25"/>
        <v>Shivranjani: 'xoxxooo' + 'xoxoox'</v>
      </c>
      <c r="BE321" s="337">
        <f>IFERROR(__xludf.DUMMYFUNCTION("COUNTUNIQUE(FILTER(AT:AT,REGEXMATCH(AT:AT,AS321)))-1"),4.0)</f>
        <v>4</v>
      </c>
      <c r="BF321" s="261" t="str">
        <f>IFERROR(__xludf.DUMMYFUNCTION("IF(BI321=0,""(n/a)"",IF(BJ321=2,""(PAIR)"",IF(REGEXMATCH(AT321,""xoxoxxoxoxox""),""Bilawal"",IF(REGEXMATCH(AT321,""xoxoxooxoxoo""),""Bhupali"",IF(REGEXMATCH(AT321,""xoxoxxoxxoxo""),""Charukeshi"",IF(REGEXMATCH(AT321,""xoxoooxxoxxo""),""Kameshwari"",IF(REG"&amp;"EXMATCH(AT321,""xoxoxooxoxox""),""Shankara"",IF(REGEXMATCH(AT321,""xxooxoxxxoox""),""Basant"",IF(REGEXMATCH(AT321,""xoxoxxxxoxox""),""Bihag"",IF(REGEXMATCH(AT321,""xoxxxxoxoxxx""),""Pilu"",IF(REGEXMATCH(AT321,""xoxxoxoxxoox""),""Kirwani"",IF(REGEXMATCH(AT"&amp;"321,""xoxxoxoxoxxx""),""Mk.Malhar"",IF(REGEXMATCH(AT321,""xxooxxoxxoox""),""Bhairav"",IF(REGEXMATCH(AT321,""xxoxooxxxoox""),""Todi"",IF(REGEXMATCH(AT321,""xxooxoxooxox""),""Marwa"",IF(REGEXMATCH(AT321,""xxoooxoxxooo""),""Gunkali"",IF(REGEXMATCH(AT321,""xo"&amp;"xoxxoxxoox""),""Nat Bhairav"",IF(REGEXMATCH(AT321,""xoxxoooxoxoo""),""Shivranjani"",IF(REGEXMATCH(AT321,""xooxxxoxooxo""),""Jog"",IF(REGEXMATCH(AT321,""xxooxoxoxoox""),""Hemshri"",IF(REGEXMATCH(AT321,""xoooxooxoxxo""),""Kalavati"",IF(REGEXMATCH(AT321,""xx"&amp;"oxoxxoxoox""),""Kedar"",IF(REGEXMATCH(AT321,""xoxxxxoxooxx""),""Gara"",IF(REGEXMATCH(AT321,""xooxoxooxoox""),""Chandrakauns"",IF(REGEXMATCH(AT321,""xoxxxxoxxxox""),""Mand"",IF(REGEXMATCH(AT321,""xoxxxxoxoxox""),""Hanskinkini"",IF(REGEXMATCH(AT321,""xxooxx"&amp;"oxooxo""),""Lilavati"",IF(REGEXMATCH(AT321,""xooxoxoooxox""),""Rajeshwari"",IF(REGEXMATCH(AT321,""xoooxxoxoxxx""),""Khokar"",IF(REGEXMATCH(AT321,""xxooxoxxxxox""),""Maligoura"",""-""))))))))))))))))))))))))))))))"),"Shivranjani")</f>
        <v>Shivranjani</v>
      </c>
      <c r="BG321" s="239" t="str">
        <f t="shared" si="26"/>
        <v>#REF!</v>
      </c>
      <c r="BH321" s="239">
        <f>IFERROR(__xludf.DUMMYFUNCTION("COUNTUNIQUE(FE321:FO321)-1"),4.0)</f>
        <v>4</v>
      </c>
      <c r="BI321" s="239">
        <f>IFERROR(__xludf.DUMMYFUNCTION("COUNTUNIQUE(FILTER(AT:AT,REGEXMATCH(AT:AT,AS321)))-1"),4.0)</f>
        <v>4</v>
      </c>
      <c r="BJ321" s="239">
        <f>IFERROR(__xludf.DUMMYFUNCTION("COUNTA(FILTER(AT:AT,REGEXMATCH(AT:AT,AS321)))"),5.0)</f>
        <v>5</v>
      </c>
      <c r="BK321" s="341">
        <f>IFERROR(__xludf.DUMMYFUNCTION("COUNTA(FILTER(AT:AT,REGEXMATCH(AT:AT,AS321)))-AR321"),5.0)</f>
        <v>5</v>
      </c>
      <c r="BL321" s="276" t="str">
        <f>IFERROR(__xludf.DUMMYFUNCTION("IF(AS321=""oooooooooooo"",""-"",IF(REGEXMATCH(AT321,""xx""), ""Hemi."", ""Anhemi.""))"),"Hemi.")</f>
        <v>Hemi.</v>
      </c>
      <c r="BM321" s="282" t="str">
        <f>IFERROR(__xludf.DUMMYFUNCTION("IF(AS321=""oooooooooooo"",""-"",IF(REGEXMATCH(AT321,""xxx""), ""Cohem."", ""-""))"),"-")</f>
        <v>-</v>
      </c>
      <c r="BN321" s="282" t="str">
        <f>IFERROR(__xludf.DUMMYFUNCTION("IF(AS321=""oooooooooooo"",""-"",IF(REGEXMATCH(AT321,""xxxx""), ""Co-Co."", ""-""))"),"-")</f>
        <v>-</v>
      </c>
      <c r="BO321" s="342" t="str">
        <f>IFERROR(__xludf.DUMMYFUNCTION("IF(AS321=""oooooooooooo"",""-"",IF(REGEXMATCH(AT321,""xxxxx""), ""CCC."", ""-""))"),"-")</f>
        <v>-</v>
      </c>
      <c r="BP321" s="344" t="str">
        <f t="shared" si="27"/>
        <v>-</v>
      </c>
      <c r="BQ321" s="282" t="str">
        <f>IFERROR(__xludf.DUMMYFUNCTION("IF(REGEXMATCH(JOIN(""-"",EU321:FD321),""TRUE""),""✔"",""-"")"),"✔")</f>
        <v>✔</v>
      </c>
      <c r="BR321" s="225">
        <f t="shared" si="28"/>
        <v>1</v>
      </c>
      <c r="BS321" s="345" t="str">
        <f>IFERROR(__xludf.DUMMYFUNCTION("SUBSTITUTE(SUBSTITUTE(SUBSTITUTE(SUBSTITUTE(CONCATENATE(JOIN(""-"",GC321:GO321)),""--"",""-""),""--"",""-""),""--"",""-""),""--"",""-"")"),"1-2-b3-5-6-8")</f>
        <v>1-2-b3-5-6-8</v>
      </c>
      <c r="BT321" s="299" t="str">
        <f>IFERROR(__xludf.DUMMYFUNCTION("SUBSTITUTE(SUBSTITUTE(SUBSTITUTE(SUBSTITUTE(CONCATENATE(JOIN(""-"",GP321:HB321)),""--"",""-""),""--"",""-""),""--"",""-""),""--"",""-"")"),"S-R2-G2-P-D2-S")</f>
        <v>S-R2-G2-P-D2-S</v>
      </c>
      <c r="BU321" s="348" t="str">
        <f t="shared" si="29"/>
        <v>C-D-Eb-G-A-C</v>
      </c>
      <c r="BV321" s="349" t="str">
        <f t="shared" si="30"/>
        <v>SrGmMdnNS</v>
      </c>
      <c r="BW321" s="350">
        <f t="shared" si="31"/>
        <v>0</v>
      </c>
      <c r="BX321" s="351">
        <f t="shared" si="32"/>
        <v>1</v>
      </c>
      <c r="BY321" s="392"/>
      <c r="BZ321" s="309" t="str">
        <f>IFERROR(__xludf.DUMMYFUNCTION("IF(REGEXMATCH(C321, ""S""), ""x"",""x"")"),"x")</f>
        <v>x</v>
      </c>
      <c r="CA321" s="245" t="str">
        <f>IFERROR(__xludf.DUMMYFUNCTION("IF(REGEXMATCH(C321, ""r""), ""o"",""x"")"),"x")</f>
        <v>x</v>
      </c>
      <c r="CB321" s="246" t="str">
        <f>IFERROR(__xludf.DUMMYFUNCTION("IF(REGEXMATCH(C321, ""R""), ""o"",""x"")"),"o")</f>
        <v>o</v>
      </c>
      <c r="CC321" s="246" t="str">
        <f>IFERROR(__xludf.DUMMYFUNCTION("IF(REGEXMATCH(C321, ""g""), ""o"",""x"")"),"o")</f>
        <v>o</v>
      </c>
      <c r="CD321" s="245" t="str">
        <f>IFERROR(__xludf.DUMMYFUNCTION("IF(REGEXMATCH(C321, ""G""), ""o"",""x"")"),"x")</f>
        <v>x</v>
      </c>
      <c r="CE321" s="245" t="str">
        <f>IFERROR(__xludf.DUMMYFUNCTION("IF(REGEXMATCH(C321, ""m""), ""o"",""x"")"),"x")</f>
        <v>x</v>
      </c>
      <c r="CF321" s="246" t="str">
        <f>IFERROR(__xludf.DUMMYFUNCTION("IF(REGEXMATCH(C321, ""M""), ""o"",""x"")"),"x")</f>
        <v>x</v>
      </c>
      <c r="CG321" s="245" t="str">
        <f>IFERROR(__xludf.DUMMYFUNCTION("IF(REGEXMATCH(C321, ""P""), ""o"",""x"")"),"o")</f>
        <v>o</v>
      </c>
      <c r="CH321" s="246" t="str">
        <f>IFERROR(__xludf.DUMMYFUNCTION("IF(REGEXMATCH(C321, ""d""), ""o"",""x"")"),"x")</f>
        <v>x</v>
      </c>
      <c r="CI321" s="245" t="str">
        <f>IFERROR(__xludf.DUMMYFUNCTION("IF(REGEXMATCH(C321, ""D""), ""o"",""x"")"),"o")</f>
        <v>o</v>
      </c>
      <c r="CJ321" s="245" t="str">
        <f>IFERROR(__xludf.DUMMYFUNCTION("IF(REGEXMATCH(C321, ""n""), ""o"",""x"")"),"x")</f>
        <v>x</v>
      </c>
      <c r="CK321" s="245" t="str">
        <f>IFERROR(__xludf.DUMMYFUNCTION("IF(REGEXMATCH(C321, ""N""), ""o"",""x"")"),"x")</f>
        <v>x</v>
      </c>
      <c r="CL321" s="356" t="str">
        <f>IFERROR(__xludf.DUMMYFUNCTION("IF(REGEXMATCH(C321, ""S""), ""x"",""x"")"),"x")</f>
        <v>x</v>
      </c>
      <c r="CM321" s="357" t="str">
        <f t="shared" si="33"/>
        <v>xxooxxxoxoxx</v>
      </c>
      <c r="CN321" s="358">
        <f t="shared" si="34"/>
        <v>0</v>
      </c>
      <c r="CO321" s="246" t="str">
        <f>IFERROR(__xludf.DUMMYFUNCTION("IF(REGEXMATCH($C321, ""S""), ""S"",""S"")"),"S")</f>
        <v>S</v>
      </c>
      <c r="CP321" s="246" t="str">
        <f>IFERROR(__xludf.DUMMYFUNCTION("IF(REGEXMATCH($C321, ""r""), """",""r"")"),"r")</f>
        <v>r</v>
      </c>
      <c r="CQ321" s="246" t="str">
        <f>IFERROR(__xludf.DUMMYFUNCTION("IF(REGEXMATCH($C321, ""R""), """",""R"")"),"")</f>
        <v/>
      </c>
      <c r="CR321" s="246" t="str">
        <f>IFERROR(__xludf.DUMMYFUNCTION("IF(REGEXMATCH($C321, ""g""), """",""g"")"),"")</f>
        <v/>
      </c>
      <c r="CS321" s="246" t="str">
        <f>IFERROR(__xludf.DUMMYFUNCTION("IF(REGEXMATCH($C321, ""G""), """",""G"")"),"G")</f>
        <v>G</v>
      </c>
      <c r="CT321" s="246" t="str">
        <f>IFERROR(__xludf.DUMMYFUNCTION("IF(REGEXMATCH($C321, ""m""), """",""m"")"),"m")</f>
        <v>m</v>
      </c>
      <c r="CU321" s="246" t="str">
        <f>IFERROR(__xludf.DUMMYFUNCTION("IF(REGEXMATCH($C321, ""M""), """",""M"")"),"M")</f>
        <v>M</v>
      </c>
      <c r="CV321" s="246" t="str">
        <f>IFERROR(__xludf.DUMMYFUNCTION("IF(REGEXMATCH($C321, ""P""), """",""P"")"),"")</f>
        <v/>
      </c>
      <c r="CW321" s="246" t="str">
        <f>IFERROR(__xludf.DUMMYFUNCTION("IF(REGEXMATCH($C321, ""d""), """",""d"")"),"d")</f>
        <v>d</v>
      </c>
      <c r="CX321" s="246" t="str">
        <f>IFERROR(__xludf.DUMMYFUNCTION("IF(REGEXMATCH($C321, ""D""), """",""D"")"),"")</f>
        <v/>
      </c>
      <c r="CY321" s="246" t="str">
        <f>IFERROR(__xludf.DUMMYFUNCTION("IF(REGEXMATCH($C321, ""n""), """",""n"")"),"n")</f>
        <v>n</v>
      </c>
      <c r="CZ321" s="246" t="str">
        <f>IFERROR(__xludf.DUMMYFUNCTION("IF(REGEXMATCH($C321, ""N""), """",""N"")"),"N")</f>
        <v>N</v>
      </c>
      <c r="DA321" s="246" t="str">
        <f>IFERROR(__xludf.DUMMYFUNCTION("IF(REGEXMATCH($C321, ""S""), ""S"",""S"")"),"S")</f>
        <v>S</v>
      </c>
      <c r="DB321" s="362" t="str">
        <f>IFERROR(__xludf.DUMMYFUNCTION("JOIN("""",CO321:DA321,"""","""")"),"SrGmMdnNS")</f>
        <v>SrGmMdnNS</v>
      </c>
      <c r="DC321" s="363"/>
      <c r="DD321" s="301" t="str">
        <f t="shared" si="35"/>
        <v>#REF!</v>
      </c>
      <c r="DE321" s="302" t="str">
        <f t="shared" si="36"/>
        <v>#REF!</v>
      </c>
      <c r="DF321" s="301" t="str">
        <f t="shared" ref="DF321:DG321" si="871">SUBSTITUTE(S321,"-","")</f>
        <v>SRG</v>
      </c>
      <c r="DG321" s="301" t="str">
        <f t="shared" si="871"/>
        <v>PDS</v>
      </c>
      <c r="DH321" s="302" t="str">
        <f t="shared" si="38"/>
        <v>Shivranjani</v>
      </c>
      <c r="DI321" s="301" t="str">
        <f t="shared" si="39"/>
        <v>Hemi.</v>
      </c>
      <c r="DJ321" s="364" t="str">
        <f t="shared" si="40"/>
        <v>-</v>
      </c>
      <c r="DK321" s="306" t="str">
        <f t="shared" si="41"/>
        <v>-</v>
      </c>
      <c r="DL321" s="366" t="str">
        <f t="shared" si="42"/>
        <v>✔</v>
      </c>
      <c r="DM321" s="308" t="str">
        <f t="shared" si="43"/>
        <v>-</v>
      </c>
      <c r="DN321" s="306" t="str">
        <f t="shared" si="44"/>
        <v>-</v>
      </c>
      <c r="DO321" s="306" t="str">
        <f t="shared" si="45"/>
        <v>-</v>
      </c>
      <c r="DP321" s="367" t="str">
        <f t="shared" si="46"/>
        <v>-</v>
      </c>
      <c r="DQ321" s="310" t="str">
        <f t="shared" si="47"/>
        <v>-</v>
      </c>
      <c r="DR321" s="310" t="str">
        <f t="shared" si="48"/>
        <v>-</v>
      </c>
      <c r="DS321" s="310" t="str">
        <f t="shared" si="49"/>
        <v>-</v>
      </c>
      <c r="DT321" s="310" t="str">
        <f t="shared" si="50"/>
        <v>-</v>
      </c>
      <c r="DU321" s="370" t="str">
        <f t="shared" si="51"/>
        <v>-</v>
      </c>
      <c r="DV321" s="306" t="str">
        <f t="shared" si="52"/>
        <v>-</v>
      </c>
      <c r="DW321" s="306" t="str">
        <f t="shared" si="53"/>
        <v>-</v>
      </c>
      <c r="DX321" s="306" t="str">
        <f t="shared" si="54"/>
        <v>✔</v>
      </c>
      <c r="DY321" s="306" t="str">
        <f t="shared" si="55"/>
        <v>-</v>
      </c>
      <c r="DZ321" s="306" t="str">
        <f t="shared" si="56"/>
        <v>-</v>
      </c>
      <c r="EA321" s="367" t="str">
        <f t="shared" si="57"/>
        <v>✔</v>
      </c>
      <c r="EB321" s="310" t="str">
        <f>IFERROR(__xludf.DUMMYFUNCTION("IF(REGEXMATCH(AW321,AS321),""✔"",""-"")"),"-")</f>
        <v>-</v>
      </c>
      <c r="EC321" s="310" t="str">
        <f t="shared" si="58"/>
        <v>#REF!</v>
      </c>
      <c r="ED321" s="370" t="str">
        <f t="shared" si="59"/>
        <v>-</v>
      </c>
      <c r="EE321" s="340" t="str">
        <f t="shared" si="60"/>
        <v>S-R-g-P-D-S</v>
      </c>
      <c r="EF321" s="371" t="str">
        <f>IFERROR(__xludf.DUMMYFUNCTION("CONCATENATE(JOIN("""",HC321:HO321))"),"SgmDnS")</f>
        <v>SgmDnS</v>
      </c>
      <c r="EG321" s="372">
        <f t="shared" si="61"/>
        <v>2</v>
      </c>
      <c r="EH321" s="373" t="str">
        <f>IFERROR(__xludf.DUMMYFUNCTION("CONCATENATE(JOIN("""",JC321:JO321))"),"ga, Dha, ")</f>
        <v>ga, Dha, </v>
      </c>
      <c r="EI321" s="322">
        <f t="shared" si="62"/>
        <v>1</v>
      </c>
      <c r="EJ321" s="374" t="str">
        <f>IFERROR(__xludf.DUMMYFUNCTION("CONCATENATE(JOIN("""",KC321:KO321))"),"ga, ")</f>
        <v>ga, </v>
      </c>
      <c r="EK321" s="325" t="str">
        <f t="shared" si="63"/>
        <v>S-R2-G2-P-D2-S</v>
      </c>
      <c r="EL321" s="326" t="str">
        <f t="shared" si="64"/>
        <v>1-2-b3-5-6-8</v>
      </c>
      <c r="EM321" s="318" t="str">
        <f t="shared" si="65"/>
        <v>#REF!</v>
      </c>
      <c r="EN321" s="328" t="str">
        <f>IFERROR(__xludf.DUMMYFUNCTION("SUBSTITUTE(SUBSTITUTE(SUBSTITUTE(SUBSTITUTE(CONCATENATE(JOIN("" "",HP321:IB321)),""  "","" ""),""  "","" ""),""  "","" ""),""  "","" "")"),"o • o o • • • o • o • • o")</f>
        <v>o • o o • • • o • o • • o</v>
      </c>
      <c r="EO321" s="368" t="str">
        <f t="shared" si="66"/>
        <v>Sa-Pa</v>
      </c>
      <c r="EP321" s="339" t="str">
        <f t="shared" si="67"/>
        <v>-</v>
      </c>
      <c r="EQ321" s="339" t="str">
        <f t="shared" si="68"/>
        <v>Sa-Pa</v>
      </c>
      <c r="ER321" s="339" t="str">
        <f t="shared" si="69"/>
        <v>Sa-Pa</v>
      </c>
      <c r="ES321" s="340" t="str">
        <f t="shared" si="70"/>
        <v>-</v>
      </c>
      <c r="ET321" s="363"/>
      <c r="EU321" s="376" t="b">
        <f>IFERROR(__xludf.DUMMYFUNCTION("arrayformula(sum(--REGEXMATCH(""SRGMPDNS"",split(REGEXREPLACE(C321,""(.)"",""$1~""),""~""))))=len(C321)
"),FALSE)</f>
        <v>0</v>
      </c>
      <c r="EV321" s="290" t="b">
        <f>IFERROR(__xludf.DUMMYFUNCTION("arrayformula(sum(--REGEXMATCH(""SRGmPDNS"",split(REGEXREPLACE(C321,""(.)"",""$1~""),""~""))))=len(C321)"),FALSE)</f>
        <v>0</v>
      </c>
      <c r="EW321" s="290" t="b">
        <f>IFERROR(__xludf.DUMMYFUNCTION("arrayformula(sum(--REGEXMATCH(""SRGmPDnS"",split(REGEXREPLACE(C321,""(.)"",""$1~""),""~""))))=len(C321)"),FALSE)</f>
        <v>0</v>
      </c>
      <c r="EX321" s="290" t="b">
        <f>IFERROR(__xludf.DUMMYFUNCTION("arrayformula(sum(--REGEXMATCH(""SRgmPDnS"",split(REGEXREPLACE(C321,""(.)"",""$1~""),""~""))))=len(C321)"),TRUE)</f>
        <v>1</v>
      </c>
      <c r="EY321" s="290" t="b">
        <f>IFERROR(__xludf.DUMMYFUNCTION("arrayformula(sum(--REGEXMATCH(""SRgmPdnS"",split(REGEXREPLACE(C321,""(.)"",""$1~""),""~""))))=len(C321)"),FALSE)</f>
        <v>0</v>
      </c>
      <c r="EZ321" s="290" t="b">
        <f>IFERROR(__xludf.DUMMYFUNCTION("arrayformula(sum(--REGEXMATCH(""SrgmPdnS"",split(REGEXREPLACE(C321,""(.)"",""$1~""),""~""))))=len(C321)"),FALSE)</f>
        <v>0</v>
      </c>
      <c r="FA321" s="290" t="b">
        <f>IFERROR(__xludf.DUMMYFUNCTION("arrayformula(sum(--REGEXMATCH(""SrGmPdNS"",split(REGEXREPLACE(C321,""(.)"",""$1~""),""~""))))=len(C321)"),FALSE)</f>
        <v>0</v>
      </c>
      <c r="FB321" s="290" t="b">
        <f>IFERROR(__xludf.DUMMYFUNCTION("arrayformula(sum(--REGEXMATCH(""SrGMPDNS"",split(REGEXREPLACE(C321,""(.)"",""$1~""),""~""))))=len(C321)"),FALSE)</f>
        <v>0</v>
      </c>
      <c r="FC321" s="290" t="b">
        <f>IFERROR(__xludf.DUMMYFUNCTION("arrayformula(sum(--REGEXMATCH(""SrGMPdNS"",split(REGEXREPLACE(C321,""(.)"",""$1~""),""~""))))=len(C321)"),FALSE)</f>
        <v>0</v>
      </c>
      <c r="FD321" s="377" t="b">
        <f>IFERROR(__xludf.DUMMYFUNCTION("arrayformula(sum(--REGEXMATCH(""SrgMPdNS"",split(REGEXREPLACE(C321,""(.)"",""$1~""),""~""))))=len(C321)"),FALSE)</f>
        <v>0</v>
      </c>
      <c r="FE321" s="269" t="str">
        <f t="shared" si="71"/>
        <v>-</v>
      </c>
      <c r="FF321" s="269" t="str">
        <f t="shared" si="72"/>
        <v>xxoooxoxoox</v>
      </c>
      <c r="FG321" s="271" t="str">
        <f t="shared" si="73"/>
        <v>xoooxoxooxo</v>
      </c>
      <c r="FH321" s="269" t="str">
        <f t="shared" si="74"/>
        <v>-</v>
      </c>
      <c r="FI321" s="271" t="str">
        <f t="shared" si="75"/>
        <v>-</v>
      </c>
      <c r="FJ321" s="271" t="str">
        <f t="shared" si="76"/>
        <v>-</v>
      </c>
      <c r="FK321" s="271" t="str">
        <f t="shared" si="77"/>
        <v>xoxooxoxxoo</v>
      </c>
      <c r="FL321" s="271" t="str">
        <f t="shared" si="78"/>
        <v>-</v>
      </c>
      <c r="FM321" s="271" t="str">
        <f t="shared" si="79"/>
        <v>xooxoxxooox</v>
      </c>
      <c r="FN321" s="271" t="str">
        <f t="shared" si="80"/>
        <v>-</v>
      </c>
      <c r="FO321" s="274" t="str">
        <f t="shared" si="81"/>
        <v>-</v>
      </c>
      <c r="FP321" s="234" t="str">
        <f t="shared" si="82"/>
        <v>|</v>
      </c>
      <c r="FQ321" s="236" t="str">
        <f t="shared" si="83"/>
        <v>-</v>
      </c>
      <c r="FR321" s="237" t="str">
        <f t="shared" si="84"/>
        <v>|</v>
      </c>
      <c r="FS321" s="236" t="str">
        <f t="shared" si="85"/>
        <v>|</v>
      </c>
      <c r="FT321" s="237" t="str">
        <f t="shared" si="86"/>
        <v>-</v>
      </c>
      <c r="FU321" s="236" t="str">
        <f t="shared" si="87"/>
        <v>-</v>
      </c>
      <c r="FV321" s="237" t="str">
        <f t="shared" si="88"/>
        <v>-</v>
      </c>
      <c r="FW321" s="236" t="str">
        <f t="shared" si="89"/>
        <v>|</v>
      </c>
      <c r="FX321" s="237" t="str">
        <f t="shared" si="90"/>
        <v>-</v>
      </c>
      <c r="FY321" s="236" t="str">
        <f t="shared" si="91"/>
        <v>|</v>
      </c>
      <c r="FZ321" s="237" t="str">
        <f t="shared" si="92"/>
        <v>-</v>
      </c>
      <c r="GA321" s="236" t="str">
        <f t="shared" si="93"/>
        <v>-</v>
      </c>
      <c r="GB321" s="238" t="str">
        <f t="shared" si="94"/>
        <v>|</v>
      </c>
      <c r="GC321" s="244" t="str">
        <f>IFERROR(__xludf.DUMMYFUNCTION("IF(REGEXMATCH(C321, ""S""), ""1"","""")"),"1")</f>
        <v>1</v>
      </c>
      <c r="GD321" s="245" t="str">
        <f>IFERROR(__xludf.DUMMYFUNCTION("IF(REGEXMATCH(C321, ""r""), ""b2"","""")"),"")</f>
        <v/>
      </c>
      <c r="GE321" s="246" t="str">
        <f>IFERROR(__xludf.DUMMYFUNCTION("IF(REGEXMATCH(C321, ""R""), ""2"","""")"),"2")</f>
        <v>2</v>
      </c>
      <c r="GF321" s="246" t="str">
        <f>IFERROR(__xludf.DUMMYFUNCTION("IF(REGEXMATCH(C321, ""g""), ""b3"","""")"),"b3")</f>
        <v>b3</v>
      </c>
      <c r="GG321" s="245" t="str">
        <f>IFERROR(__xludf.DUMMYFUNCTION("IF(REGEXMATCH(C321, ""G""), ""3"","""")"),"")</f>
        <v/>
      </c>
      <c r="GH321" s="245" t="str">
        <f>IFERROR(__xludf.DUMMYFUNCTION("IF(REGEXMATCH(C321, ""m""), ""4"","""")"),"")</f>
        <v/>
      </c>
      <c r="GI321" s="246" t="str">
        <f>IFERROR(__xludf.DUMMYFUNCTION("IF(REGEXMATCH(C321, ""M""), ""#4"","""")"),"")</f>
        <v/>
      </c>
      <c r="GJ321" s="245" t="str">
        <f>IFERROR(__xludf.DUMMYFUNCTION("IF(REGEXMATCH(C321, ""P""), ""5"","""")"),"5")</f>
        <v>5</v>
      </c>
      <c r="GK321" s="246" t="str">
        <f>IFERROR(__xludf.DUMMYFUNCTION("IF(REGEXMATCH(C321, ""d""), ""b6"","""")"),"")</f>
        <v/>
      </c>
      <c r="GL321" s="245" t="str">
        <f>IFERROR(__xludf.DUMMYFUNCTION("IF(REGEXMATCH(C321, ""D""), ""6"","""")"),"6")</f>
        <v>6</v>
      </c>
      <c r="GM321" s="245" t="str">
        <f>IFERROR(__xludf.DUMMYFUNCTION("IF(REGEXMATCH(C321, ""n""), ""b7"","""")"),"")</f>
        <v/>
      </c>
      <c r="GN321" s="246" t="str">
        <f>IFERROR(__xludf.DUMMYFUNCTION("IF(REGEXMATCH(C321, ""N""), ""7"","""")"),"")</f>
        <v/>
      </c>
      <c r="GO321" s="249" t="str">
        <f>IFERROR(__xludf.DUMMYFUNCTION("IF(REGEXMATCH(C321, ""S""), ""8"","""")"),"8")</f>
        <v>8</v>
      </c>
      <c r="GP321" s="244" t="str">
        <f>IFERROR(__xludf.DUMMYFUNCTION("IF(REGEXMATCH(C321, ""S""), ""S"","""")"),"S")</f>
        <v>S</v>
      </c>
      <c r="GQ321" s="294" t="str">
        <f>IFERROR(__xludf.DUMMYFUNCTION("IF(REGEXMATCH(C321, ""r""), ""R1"","""")"),"")</f>
        <v/>
      </c>
      <c r="GR321" s="295" t="str">
        <f>IFERROR(__xludf.DUMMYFUNCTION("IF(REGEXMATCH(C321, ""R""), ""R2"","""")"),"R2")</f>
        <v>R2</v>
      </c>
      <c r="GS321" s="295" t="str">
        <f>IFERROR(__xludf.DUMMYFUNCTION("IF(REGEXMATCH(C321, ""g""), ""G2"","""")"),"G2")</f>
        <v>G2</v>
      </c>
      <c r="GT321" s="294" t="str">
        <f>IFERROR(__xludf.DUMMYFUNCTION("IF(REGEXMATCH(C321, ""G""), ""G3"","""")"),"")</f>
        <v/>
      </c>
      <c r="GU321" s="294" t="str">
        <f>IFERROR(__xludf.DUMMYFUNCTION("IF(REGEXMATCH(C321, ""m""), ""M1"","""")"),"")</f>
        <v/>
      </c>
      <c r="GV321" s="295" t="str">
        <f>IFERROR(__xludf.DUMMYFUNCTION("IF(REGEXMATCH(C321, ""M""), ""M2"","""")"),"")</f>
        <v/>
      </c>
      <c r="GW321" s="294" t="str">
        <f>IFERROR(__xludf.DUMMYFUNCTION("IF(REGEXMATCH(C321, ""P""), ""P"","""")"),"P")</f>
        <v>P</v>
      </c>
      <c r="GX321" s="295" t="str">
        <f>IFERROR(__xludf.DUMMYFUNCTION("IF(REGEXMATCH(C321, ""d""), ""D1"","""")"),"")</f>
        <v/>
      </c>
      <c r="GY321" s="294" t="str">
        <f>IFERROR(__xludf.DUMMYFUNCTION("IF(REGEXMATCH(C321, ""D""), ""D2"","""")"),"D2")</f>
        <v>D2</v>
      </c>
      <c r="GZ321" s="294" t="str">
        <f>IFERROR(__xludf.DUMMYFUNCTION("IF(REGEXMATCH(C321, ""n""), ""N2"","""")"),"")</f>
        <v/>
      </c>
      <c r="HA321" s="295" t="str">
        <f>IFERROR(__xludf.DUMMYFUNCTION("IF(REGEXMATCH(C321, ""N""), ""N3"","""")"),"")</f>
        <v/>
      </c>
      <c r="HB321" s="249" t="str">
        <f>IFERROR(__xludf.DUMMYFUNCTION("IF(REGEXMATCH(C321, ""S""), ""S"","""")"),"S")</f>
        <v>S</v>
      </c>
      <c r="HC321" s="331" t="str">
        <f t="shared" si="95"/>
        <v>S</v>
      </c>
      <c r="HD321" s="332" t="str">
        <f t="shared" si="96"/>
        <v/>
      </c>
      <c r="HE321" s="332" t="str">
        <f t="shared" si="97"/>
        <v/>
      </c>
      <c r="HF321" s="332" t="str">
        <f t="shared" si="98"/>
        <v>g</v>
      </c>
      <c r="HG321" s="332" t="str">
        <f t="shared" si="99"/>
        <v/>
      </c>
      <c r="HH321" s="332" t="str">
        <f t="shared" si="100"/>
        <v>m</v>
      </c>
      <c r="HI321" s="332" t="str">
        <f t="shared" si="101"/>
        <v/>
      </c>
      <c r="HJ321" s="332" t="str">
        <f t="shared" si="102"/>
        <v/>
      </c>
      <c r="HK321" s="332" t="str">
        <f t="shared" si="103"/>
        <v/>
      </c>
      <c r="HL321" s="332" t="str">
        <f t="shared" si="104"/>
        <v>D</v>
      </c>
      <c r="HM321" s="332" t="str">
        <f t="shared" si="105"/>
        <v>n</v>
      </c>
      <c r="HN321" s="332" t="str">
        <f t="shared" si="106"/>
        <v/>
      </c>
      <c r="HO321" s="343" t="str">
        <f t="shared" si="107"/>
        <v>S</v>
      </c>
      <c r="HP321" s="331" t="str">
        <f t="shared" si="108"/>
        <v>o</v>
      </c>
      <c r="HQ321" s="332" t="str">
        <f t="shared" si="109"/>
        <v>•</v>
      </c>
      <c r="HR321" s="332" t="str">
        <f t="shared" si="110"/>
        <v>o</v>
      </c>
      <c r="HS321" s="332" t="str">
        <f t="shared" si="111"/>
        <v>o</v>
      </c>
      <c r="HT321" s="332" t="str">
        <f t="shared" si="112"/>
        <v>•</v>
      </c>
      <c r="HU321" s="332" t="str">
        <f t="shared" si="113"/>
        <v>•</v>
      </c>
      <c r="HV321" s="332" t="str">
        <f t="shared" si="114"/>
        <v>•</v>
      </c>
      <c r="HW321" s="332" t="str">
        <f t="shared" si="115"/>
        <v>o</v>
      </c>
      <c r="HX321" s="332" t="str">
        <f t="shared" si="116"/>
        <v>•</v>
      </c>
      <c r="HY321" s="332" t="str">
        <f t="shared" si="117"/>
        <v>o</v>
      </c>
      <c r="HZ321" s="332" t="str">
        <f t="shared" si="118"/>
        <v>•</v>
      </c>
      <c r="IA321" s="332" t="str">
        <f t="shared" si="119"/>
        <v>•</v>
      </c>
      <c r="IB321" s="338" t="str">
        <f t="shared" si="120"/>
        <v>o</v>
      </c>
      <c r="IC321" s="331" t="str">
        <f t="shared" si="121"/>
        <v>•</v>
      </c>
      <c r="ID321" s="332" t="str">
        <f t="shared" si="122"/>
        <v>o</v>
      </c>
      <c r="IE321" s="332" t="str">
        <f t="shared" si="123"/>
        <v>•</v>
      </c>
      <c r="IF321" s="332" t="str">
        <f t="shared" si="124"/>
        <v>•</v>
      </c>
      <c r="IG321" s="332" t="str">
        <f t="shared" si="125"/>
        <v>o</v>
      </c>
      <c r="IH321" s="332" t="str">
        <f t="shared" si="126"/>
        <v>o</v>
      </c>
      <c r="II321" s="332" t="str">
        <f t="shared" si="127"/>
        <v>o</v>
      </c>
      <c r="IJ321" s="332" t="str">
        <f t="shared" si="128"/>
        <v>•</v>
      </c>
      <c r="IK321" s="332" t="str">
        <f t="shared" si="129"/>
        <v>o</v>
      </c>
      <c r="IL321" s="332" t="str">
        <f t="shared" si="130"/>
        <v>•</v>
      </c>
      <c r="IM321" s="332" t="str">
        <f t="shared" si="131"/>
        <v>o</v>
      </c>
      <c r="IN321" s="332" t="str">
        <f t="shared" si="132"/>
        <v>o</v>
      </c>
      <c r="IO321" s="338" t="str">
        <f t="shared" si="133"/>
        <v>•</v>
      </c>
      <c r="IP321" s="346" t="b">
        <f t="shared" si="134"/>
        <v>0</v>
      </c>
      <c r="IQ321" s="347" t="b">
        <f t="shared" si="135"/>
        <v>0</v>
      </c>
      <c r="IR321" s="347" t="b">
        <f t="shared" si="136"/>
        <v>0</v>
      </c>
      <c r="IS321" s="347" t="b">
        <f t="shared" si="137"/>
        <v>1</v>
      </c>
      <c r="IT321" s="347" t="b">
        <f t="shared" si="138"/>
        <v>0</v>
      </c>
      <c r="IU321" s="347" t="b">
        <f t="shared" si="139"/>
        <v>0</v>
      </c>
      <c r="IV321" s="347" t="b">
        <f t="shared" si="140"/>
        <v>0</v>
      </c>
      <c r="IW321" s="347" t="b">
        <f t="shared" si="141"/>
        <v>0</v>
      </c>
      <c r="IX321" s="347" t="b">
        <f t="shared" si="142"/>
        <v>0</v>
      </c>
      <c r="IY321" s="347" t="b">
        <f t="shared" si="143"/>
        <v>1</v>
      </c>
      <c r="IZ321" s="347" t="b">
        <f t="shared" si="144"/>
        <v>0</v>
      </c>
      <c r="JA321" s="347" t="b">
        <f t="shared" si="145"/>
        <v>0</v>
      </c>
      <c r="JB321" s="353" t="b">
        <f t="shared" si="146"/>
        <v>0</v>
      </c>
      <c r="JC321" s="354" t="str">
        <f t="shared" si="147"/>
        <v/>
      </c>
      <c r="JD321" s="355" t="str">
        <f t="shared" si="148"/>
        <v/>
      </c>
      <c r="JE321" s="355" t="str">
        <f t="shared" si="149"/>
        <v/>
      </c>
      <c r="JF321" s="355" t="str">
        <f t="shared" si="150"/>
        <v>ga, </v>
      </c>
      <c r="JG321" s="355" t="str">
        <f t="shared" si="151"/>
        <v/>
      </c>
      <c r="JH321" s="355" t="str">
        <f t="shared" si="152"/>
        <v/>
      </c>
      <c r="JI321" s="355" t="str">
        <f t="shared" si="153"/>
        <v/>
      </c>
      <c r="JJ321" s="355" t="str">
        <f t="shared" si="154"/>
        <v/>
      </c>
      <c r="JK321" s="355" t="str">
        <f t="shared" si="155"/>
        <v/>
      </c>
      <c r="JL321" s="355" t="str">
        <f t="shared" si="156"/>
        <v>Dha, </v>
      </c>
      <c r="JM321" s="355" t="str">
        <f t="shared" si="157"/>
        <v/>
      </c>
      <c r="JN321" s="355" t="str">
        <f t="shared" si="158"/>
        <v/>
      </c>
      <c r="JO321" s="359" t="str">
        <f t="shared" si="159"/>
        <v/>
      </c>
      <c r="JP321" s="346" t="b">
        <f t="shared" si="160"/>
        <v>0</v>
      </c>
      <c r="JQ321" s="347" t="b">
        <f t="shared" si="161"/>
        <v>0</v>
      </c>
      <c r="JR321" s="347" t="b">
        <f t="shared" si="162"/>
        <v>0</v>
      </c>
      <c r="JS321" s="347" t="b">
        <f t="shared" si="163"/>
        <v>1</v>
      </c>
      <c r="JT321" s="347" t="b">
        <f t="shared" si="164"/>
        <v>0</v>
      </c>
      <c r="JU321" s="347" t="b">
        <f t="shared" si="165"/>
        <v>0</v>
      </c>
      <c r="JV321" s="347" t="b">
        <f t="shared" si="166"/>
        <v>0</v>
      </c>
      <c r="JW321" s="347" t="b">
        <f t="shared" si="167"/>
        <v>0</v>
      </c>
      <c r="JX321" s="347" t="b">
        <f t="shared" si="168"/>
        <v>0</v>
      </c>
      <c r="JY321" s="347" t="b">
        <f t="shared" si="169"/>
        <v>0</v>
      </c>
      <c r="JZ321" s="347" t="b">
        <f t="shared" si="170"/>
        <v>0</v>
      </c>
      <c r="KA321" s="347" t="b">
        <f t="shared" si="171"/>
        <v>0</v>
      </c>
      <c r="KB321" s="365" t="b">
        <f t="shared" si="172"/>
        <v>0</v>
      </c>
      <c r="KC321" s="354" t="str">
        <f t="shared" si="173"/>
        <v/>
      </c>
      <c r="KD321" s="355" t="str">
        <f t="shared" si="174"/>
        <v/>
      </c>
      <c r="KE321" s="355" t="str">
        <f t="shared" si="175"/>
        <v/>
      </c>
      <c r="KF321" s="355" t="str">
        <f t="shared" si="176"/>
        <v>ga, </v>
      </c>
      <c r="KG321" s="355" t="str">
        <f t="shared" si="177"/>
        <v/>
      </c>
      <c r="KH321" s="355" t="str">
        <f t="shared" si="178"/>
        <v/>
      </c>
      <c r="KI321" s="355" t="str">
        <f t="shared" si="179"/>
        <v/>
      </c>
      <c r="KJ321" s="355" t="str">
        <f t="shared" si="180"/>
        <v/>
      </c>
      <c r="KK321" s="355" t="str">
        <f t="shared" si="181"/>
        <v/>
      </c>
      <c r="KL321" s="355" t="str">
        <f t="shared" si="182"/>
        <v/>
      </c>
      <c r="KM321" s="355" t="str">
        <f t="shared" si="183"/>
        <v/>
      </c>
      <c r="KN321" s="355" t="str">
        <f t="shared" si="184"/>
        <v/>
      </c>
      <c r="KO321" s="359"/>
      <c r="KP321" s="378"/>
      <c r="KQ321" s="379" t="s">
        <v>1157</v>
      </c>
      <c r="KR321" s="380" t="s">
        <v>1494</v>
      </c>
      <c r="KS321" s="381" t="str">
        <f t="shared" ref="KS321:KS323" si="874">KQ321</f>
        <v>S-R-g-P-D-S</v>
      </c>
      <c r="KT321" s="382">
        <f t="shared" si="186"/>
        <v>5</v>
      </c>
      <c r="KU321" s="383">
        <f t="shared" si="187"/>
        <v>5</v>
      </c>
      <c r="KV321" s="381" t="str">
        <f t="shared" si="205"/>
        <v>S-D-P-g-R-S</v>
      </c>
      <c r="KW321" s="382">
        <f t="shared" si="189"/>
        <v>5</v>
      </c>
      <c r="KX321" s="384">
        <f t="shared" si="190"/>
        <v>5</v>
      </c>
      <c r="KY321" s="382">
        <f t="shared" ref="KY321:KZ321" si="872">KW321-KT321</f>
        <v>0</v>
      </c>
      <c r="KZ321" s="369">
        <f t="shared" si="872"/>
        <v>0</v>
      </c>
      <c r="LA321" s="385" t="str">
        <f t="shared" si="192"/>
        <v>✔</v>
      </c>
      <c r="LB321" s="340" t="str">
        <f>IFERROR(__xludf.DUMMYFUNCTION("JOIN("""",ArrayFormula(MID(KS321,LEN(KS321)-SEQUENCE(1,LEN(KS321))+1,1)))"),"S-D-P-g-R-S")</f>
        <v>S-D-P-g-R-S</v>
      </c>
      <c r="LC321" s="373" t="str">
        <f>IFERROR(__xludf.DUMMYFUNCTION("JOIN("""",ArrayFormula(MID(KV321,LEN(KV321)-SEQUENCE(1,LEN(KV321))+1,1)))"),"S-R-g-P-D-S")</f>
        <v>S-R-g-P-D-S</v>
      </c>
      <c r="LD321" s="373" t="str">
        <f t="shared" si="193"/>
        <v>SRgPDS</v>
      </c>
      <c r="LE321" s="339" t="str">
        <f t="shared" si="194"/>
        <v>SRgPDS</v>
      </c>
      <c r="LF321" s="386" t="str">
        <f>IFERROR(__xludf.DUMMYFUNCTION("SUBSTITUTE(SUBSTITUTE(CONCATENATE(JOIN("""",LH321:LT321)),""1"",""""),""2"","""")"),"SRgPDS")</f>
        <v>SRgPDS</v>
      </c>
      <c r="LG321" s="369" t="str">
        <f t="shared" si="195"/>
        <v>✔</v>
      </c>
      <c r="LH321" s="387" t="str">
        <f>IFERROR(__xludf.DUMMYFUNCTION("IF(REGEXMATCH(LD321, ""S""), ""S"",IF(REGEXMATCH(LE321, ""S""), ""S"",""""))"),"S")</f>
        <v>S</v>
      </c>
      <c r="LI321" s="299" t="str">
        <f>IFERROR(__xludf.DUMMYFUNCTION("IF(REGEXMATCH(LD321, ""r""), ""r1"",IF(REGEXMATCH(LE321, ""r""), ""r2"",""""))"),"")</f>
        <v/>
      </c>
      <c r="LJ321" s="299" t="str">
        <f>IFERROR(__xludf.DUMMYFUNCTION("IF(REGEXMATCH(LD321, ""R""), ""R1"",IF(REGEXMATCH(LE321, ""R""), ""R2"",""""))"),"R1")</f>
        <v>R1</v>
      </c>
      <c r="LK321" s="299" t="str">
        <f>IFERROR(__xludf.DUMMYFUNCTION("IF(REGEXMATCH(LD321, ""g""), ""g1"",IF(REGEXMATCH(LE321, ""g""), ""g2"",""""))"),"g1")</f>
        <v>g1</v>
      </c>
      <c r="LL321" s="299" t="str">
        <f>IFERROR(__xludf.DUMMYFUNCTION("IF(REGEXMATCH(LD321, ""G""), ""G1"",IF(REGEXMATCH(LE321, ""G""), ""G2"",""""))"),"")</f>
        <v/>
      </c>
      <c r="LM321" s="299" t="str">
        <f>IFERROR(__xludf.DUMMYFUNCTION("IF(REGEXMATCH(LD321, ""m""), ""m1"",IF(REGEXMATCH(LE321, ""m""), ""m2"",""""))"),"")</f>
        <v/>
      </c>
      <c r="LN321" s="299" t="str">
        <f>IFERROR(__xludf.DUMMYFUNCTION("IF(REGEXMATCH(LD321, ""M""), ""M1"",IF(REGEXMATCH(LE321, ""M""), ""M2"",""""))"),"")</f>
        <v/>
      </c>
      <c r="LO321" s="299" t="str">
        <f>IFERROR(__xludf.DUMMYFUNCTION("IF(REGEXMATCH(LD321, ""P""), ""P1"",IF(REGEXMATCH(LE321, ""P""), ""P2"",""""))"),"P1")</f>
        <v>P1</v>
      </c>
      <c r="LP321" s="299" t="str">
        <f>IFERROR(__xludf.DUMMYFUNCTION("IF(REGEXMATCH(LD321, ""d""), ""d1"",IF(REGEXMATCH(LE321, ""d""), ""d2"",""""))"),"")</f>
        <v/>
      </c>
      <c r="LQ321" s="299" t="str">
        <f>IFERROR(__xludf.DUMMYFUNCTION("IF(REGEXMATCH(LD321, ""D""), ""D1"",IF(REGEXMATCH(LE321, ""D""), ""D2"",""""))"),"D1")</f>
        <v>D1</v>
      </c>
      <c r="LR321" s="299" t="str">
        <f>IFERROR(__xludf.DUMMYFUNCTION("IF(REGEXMATCH(LD321, ""n""), ""n1"",IF(REGEXMATCH(LE321, ""n""), ""n2"",""""))"),"")</f>
        <v/>
      </c>
      <c r="LS321" s="299" t="str">
        <f>IFERROR(__xludf.DUMMYFUNCTION("IF(REGEXMATCH(LD321, ""N""), ""N1"",IF(REGEXMATCH(LE321, ""N""), ""N2"",""""))"),"")</f>
        <v/>
      </c>
      <c r="LT321" s="388" t="str">
        <f>IFERROR(__xludf.DUMMYFUNCTION("IF(REGEXMATCH(LD321, ""S""), ""S"",IF(REGEXMATCH(LE321, ""S""), ""S"",""""))"),"S")</f>
        <v>S</v>
      </c>
      <c r="LU321" s="389">
        <f t="shared" si="196"/>
        <v>1</v>
      </c>
      <c r="LV321" s="378"/>
      <c r="LW321" s="369"/>
      <c r="LX321" s="369"/>
    </row>
    <row r="322" ht="18.0" customHeight="1">
      <c r="A322" s="298" t="s">
        <v>1159</v>
      </c>
      <c r="B322" s="222" t="s">
        <v>1160</v>
      </c>
      <c r="C322" s="233" t="str">
        <f t="shared" si="7"/>
        <v>SRmPdS</v>
      </c>
      <c r="D322" s="234" t="str">
        <f>IFERROR(__xludf.DUMMYFUNCTION("IF(REGEXMATCH(C322, ""S""), ""S"","""")"),"S")</f>
        <v>S</v>
      </c>
      <c r="E322" s="236" t="str">
        <f>IFERROR(__xludf.DUMMYFUNCTION("IF(REGEXMATCH(C322, ""r""), ""r"","""")"),"")</f>
        <v/>
      </c>
      <c r="F322" s="237" t="str">
        <f>IFERROR(__xludf.DUMMYFUNCTION("IF(REGEXMATCH(C322, ""R""), ""R"","""")"),"R")</f>
        <v>R</v>
      </c>
      <c r="G322" s="237" t="str">
        <f>IFERROR(__xludf.DUMMYFUNCTION("IF(REGEXMATCH(C322, ""g""), ""g"","""")"),"")</f>
        <v/>
      </c>
      <c r="H322" s="236" t="str">
        <f>IFERROR(__xludf.DUMMYFUNCTION("IF(REGEXMATCH(C322, ""G""), ""G"","""")"),"")</f>
        <v/>
      </c>
      <c r="I322" s="236" t="str">
        <f>IFERROR(__xludf.DUMMYFUNCTION("IF(REGEXMATCH(C322, ""m""), ""m"","""")"),"m")</f>
        <v>m</v>
      </c>
      <c r="J322" s="237" t="str">
        <f>IFERROR(__xludf.DUMMYFUNCTION("IF(REGEXMATCH(C322, ""M""), ""M"","""")"),"")</f>
        <v/>
      </c>
      <c r="K322" s="236" t="str">
        <f>IFERROR(__xludf.DUMMYFUNCTION("IF(REGEXMATCH(C322, ""P""), ""P"","""")"),"P")</f>
        <v>P</v>
      </c>
      <c r="L322" s="237" t="str">
        <f>IFERROR(__xludf.DUMMYFUNCTION("IF(REGEXMATCH(C322, ""d""), ""d"","""")"),"d")</f>
        <v>d</v>
      </c>
      <c r="M322" s="236" t="str">
        <f>IFERROR(__xludf.DUMMYFUNCTION("IF(REGEXMATCH(C322, ""D""), ""D"","""")"),"")</f>
        <v/>
      </c>
      <c r="N322" s="236" t="str">
        <f>IFERROR(__xludf.DUMMYFUNCTION("IF(REGEXMATCH(C322, ""n""), ""n"","""")"),"")</f>
        <v/>
      </c>
      <c r="O322" s="237" t="str">
        <f>IFERROR(__xludf.DUMMYFUNCTION("IF(REGEXMATCH(C322, ""N""), ""N"","""")"),"")</f>
        <v/>
      </c>
      <c r="P322" s="238" t="str">
        <f>IFERROR(__xludf.DUMMYFUNCTION("IF(REGEXMATCH(C322, ""S""), ""S"","""")"),"S")</f>
        <v>S</v>
      </c>
      <c r="Q322" s="239" t="str">
        <f>IFERROR(__xludf.DUMMYFUNCTION("SUBSTITUTE(CONCATENATE(JOIN(""-"",D322:J322)),""-"","""")"),"SRm")</f>
        <v>SRm</v>
      </c>
      <c r="R322" s="229" t="str">
        <f>IFERROR(__xludf.DUMMYFUNCTION("SUBSTITUTE(CONCATENATE(JOIN(""-"",K322:P322)),""-"","""")"),"PdS")</f>
        <v>PdS</v>
      </c>
      <c r="S322" s="282" t="str">
        <f t="shared" si="8"/>
        <v>S-R-M</v>
      </c>
      <c r="T322" s="282" t="str">
        <f t="shared" si="9"/>
        <v>P-D-S</v>
      </c>
      <c r="U322" s="237" t="str">
        <f>IFERROR(__xludf.DUMMYFUNCTION("SUBSTITUTE(JOIN(""-"",S322,T322),""--"",""-"")"),"S-R-M-P-D-S")</f>
        <v>S-R-M-P-D-S</v>
      </c>
      <c r="V322" s="309" t="str">
        <f t="shared" si="10"/>
        <v>Rmd</v>
      </c>
      <c r="W322" s="244" t="str">
        <f>IFERROR(__xludf.DUMMYFUNCTION("IF(REGEXMATCH(C322, ""S""), ""0"","""")"),"0")</f>
        <v>0</v>
      </c>
      <c r="X322" s="245" t="str">
        <f>IFERROR(__xludf.DUMMYFUNCTION("IF(REGEXMATCH(C322, ""r""), ""1"","""")"),"")</f>
        <v/>
      </c>
      <c r="Y322" s="246" t="str">
        <f>IFERROR(__xludf.DUMMYFUNCTION("IF(REGEXMATCH(C322, ""R""), ""2"","""")"),"2")</f>
        <v>2</v>
      </c>
      <c r="Z322" s="246" t="str">
        <f>IFERROR(__xludf.DUMMYFUNCTION("IF(REGEXMATCH(C322, ""g""), ""3"","""")"),"")</f>
        <v/>
      </c>
      <c r="AA322" s="245" t="str">
        <f>IFERROR(__xludf.DUMMYFUNCTION("IF(REGEXMATCH(C322, ""G""), ""4"","""")"),"")</f>
        <v/>
      </c>
      <c r="AB322" s="245" t="str">
        <f>IFERROR(__xludf.DUMMYFUNCTION("IF(REGEXMATCH(C322, ""m""), ""5"","""")"),"5")</f>
        <v>5</v>
      </c>
      <c r="AC322" s="246" t="str">
        <f>IFERROR(__xludf.DUMMYFUNCTION("IF(REGEXMATCH(C322, ""M""), ""6"","""")"),"")</f>
        <v/>
      </c>
      <c r="AD322" s="245" t="str">
        <f>IFERROR(__xludf.DUMMYFUNCTION("IF(REGEXMATCH(C322, ""P""), ""7"","""")"),"7")</f>
        <v>7</v>
      </c>
      <c r="AE322" s="246" t="str">
        <f>IFERROR(__xludf.DUMMYFUNCTION("IF(REGEXMATCH(C322, ""d""), ""8"","""")"),"8")</f>
        <v>8</v>
      </c>
      <c r="AF322" s="245" t="str">
        <f>IFERROR(__xludf.DUMMYFUNCTION("IF(REGEXMATCH(C322, ""D""), ""9"","""")"),"")</f>
        <v/>
      </c>
      <c r="AG322" s="245" t="str">
        <f>IFERROR(__xludf.DUMMYFUNCTION("IF(REGEXMATCH(C322, ""n""), ""10"","""")"),"")</f>
        <v/>
      </c>
      <c r="AH322" s="246" t="str">
        <f>IFERROR(__xludf.DUMMYFUNCTION("IF(REGEXMATCH(C322, ""N""), ""11"","""")"),"")</f>
        <v/>
      </c>
      <c r="AI322" s="249" t="str">
        <f>IFERROR(__xludf.DUMMYFUNCTION("IF(REGEXMATCH(C322, ""S""), ""0"","""")"),"0")</f>
        <v>0</v>
      </c>
      <c r="AJ322" s="313" t="str">
        <f t="shared" si="11"/>
        <v>-</v>
      </c>
      <c r="AK322" s="313" t="str">
        <f t="shared" si="12"/>
        <v>-</v>
      </c>
      <c r="AL322" s="313" t="str">
        <f t="shared" si="13"/>
        <v>T</v>
      </c>
      <c r="AM322" s="313" t="str">
        <f t="shared" si="14"/>
        <v>-</v>
      </c>
      <c r="AN322" s="313" t="str">
        <f t="shared" si="15"/>
        <v>-</v>
      </c>
      <c r="AO322" s="314" t="str">
        <f t="shared" si="16"/>
        <v>-</v>
      </c>
      <c r="AP322" s="316">
        <f t="shared" si="17"/>
        <v>1</v>
      </c>
      <c r="AQ322" s="319" t="str">
        <f t="shared" si="18"/>
        <v>#REF!</v>
      </c>
      <c r="AR322" s="320">
        <f t="shared" si="19"/>
        <v>0</v>
      </c>
      <c r="AS322" s="250" t="str">
        <f>IFERROR(__xludf.DUMMYFUNCTION("SUBSTITUTE(SUBSTITUTE(CONCATENATE(JOIN("""",FP322:GA322)),""|"",""x""),""-"",""o"")"),"xoxooxoxxooo")</f>
        <v>xoxooxoxxooo</v>
      </c>
      <c r="AT322" s="323" t="str">
        <f>IFERROR(__xludf.DUMMYFUNCTION("JOIN("""",AS322,AS322)"),"xoxooxoxxoooxoxooxoxxooo")</f>
        <v>xoxooxoxxoooxoxooxoxxooo</v>
      </c>
      <c r="AU322" s="256" t="str">
        <f>IFERROR(__xludf.DUMMYFUNCTION("JOIN("""",ArrayFormula(MID(AS322,LEN(AS322)-SEQUENCE(1,LEN(AS322))+1,1)))"),"oooxxoxooxox")</f>
        <v>oooxxoxooxox</v>
      </c>
      <c r="AV322" s="256" t="str">
        <f>IFERROR(__xludf.DUMMYFUNCTION("LEFT(CONCATENATE(""x"",JOIN("""",ArrayFormula(MID(AS322,LEN(AS322)-SEQUENCE(1,LEN(AS322))+1,1)))),12)"),"xoooxxoxooxo")</f>
        <v>xoooxxoxooxo</v>
      </c>
      <c r="AW322" s="327" t="str">
        <f>IFERROR(__xludf.DUMMYFUNCTION("JOIN("""",AU322,AU322)"),"oooxxoxooxoxoooxxoxooxox")</f>
        <v>oooxxoxooxoxoooxxoxooxox</v>
      </c>
      <c r="AX322" s="239" t="str">
        <f>IFERROR(__xludf.DUMMYFUNCTION("IF(REGEXMATCH(AW322,AS322),""✔"",""-"")"),"-")</f>
        <v>-</v>
      </c>
      <c r="AY322" s="330" t="str">
        <f t="shared" si="20"/>
        <v>-</v>
      </c>
      <c r="AZ322" s="260" t="str">
        <f t="shared" si="21"/>
        <v>#REF!</v>
      </c>
      <c r="BA322" s="333" t="str">
        <f t="shared" si="22"/>
        <v>xoxooxo</v>
      </c>
      <c r="BB322" s="334" t="str">
        <f t="shared" si="23"/>
        <v>xxooox</v>
      </c>
      <c r="BC322" s="335" t="str">
        <f t="shared" si="236"/>
        <v>-</v>
      </c>
      <c r="BD322" s="336" t="str">
        <f t="shared" si="25"/>
        <v>Shobhawari: 'xoxooxo' + 'xxooox'</v>
      </c>
      <c r="BE322" s="337">
        <f>IFERROR(__xludf.DUMMYFUNCTION("COUNTUNIQUE(FILTER(AT:AT,REGEXMATCH(AT:AT,AS322)))-1"),4.0)</f>
        <v>4</v>
      </c>
      <c r="BF322" s="261" t="str">
        <f>IFERROR(__xludf.DUMMYFUNCTION("IF(BI322=0,""(n/a)"",IF(BJ322=2,""(PAIR)"",IF(REGEXMATCH(AT322,""xoxoxxoxoxox""),""Bilawal"",IF(REGEXMATCH(AT322,""xoxoxooxoxoo""),""Bhupali"",IF(REGEXMATCH(AT322,""xoxoxxoxxoxo""),""Charukeshi"",IF(REGEXMATCH(AT322,""xoxoooxxoxxo""),""Kameshwari"",IF(REG"&amp;"EXMATCH(AT322,""xoxoxooxoxox""),""Shankara"",IF(REGEXMATCH(AT322,""xxooxoxxxoox""),""Basant"",IF(REGEXMATCH(AT322,""xoxoxxxxoxox""),""Bihag"",IF(REGEXMATCH(AT322,""xoxxxxoxoxxx""),""Pilu"",IF(REGEXMATCH(AT322,""xoxxoxoxxoox""),""Kirwani"",IF(REGEXMATCH(AT"&amp;"322,""xoxxoxoxoxxx""),""Mk.Malhar"",IF(REGEXMATCH(AT322,""xxooxxoxxoox""),""Bhairav"",IF(REGEXMATCH(AT322,""xxoxooxxxoox""),""Todi"",IF(REGEXMATCH(AT322,""xxooxoxooxox""),""Marwa"",IF(REGEXMATCH(AT322,""xxoooxoxxooo""),""Gunkali"",IF(REGEXMATCH(AT322,""xo"&amp;"xoxxoxxoox""),""Nat Bhairav"",IF(REGEXMATCH(AT322,""xoxxoooxoxoo""),""Shivranjani"",IF(REGEXMATCH(AT322,""xooxxxoxooxo""),""Jog"",IF(REGEXMATCH(AT322,""xxooxoxoxoox""),""Hemshri"",IF(REGEXMATCH(AT322,""xoooxooxoxxo""),""Kalavati"",IF(REGEXMATCH(AT322,""xx"&amp;"oxoxxoxoox""),""Kedar"",IF(REGEXMATCH(AT322,""xoxxxxoxooxx""),""Gara"",IF(REGEXMATCH(AT322,""xooxoxooxoox""),""Chandrakauns"",IF(REGEXMATCH(AT322,""xoxxxxoxxxox""),""Mand"",IF(REGEXMATCH(AT322,""xoxxxxoxoxox""),""Hanskinkini"",IF(REGEXMATCH(AT322,""xxooxx"&amp;"oxooxo""),""Lilavati"",IF(REGEXMATCH(AT322,""xooxoxoooxox""),""Rajeshwari"",IF(REGEXMATCH(AT322,""xoooxxoxoxxx""),""Khokar"",IF(REGEXMATCH(AT322,""xxooxoxxxxox""),""Maligoura"",""-""))))))))))))))))))))))))))))))"),"Shivranjani")</f>
        <v>Shivranjani</v>
      </c>
      <c r="BG322" s="239" t="str">
        <f t="shared" si="26"/>
        <v>#REF!</v>
      </c>
      <c r="BH322" s="239">
        <f>IFERROR(__xludf.DUMMYFUNCTION("COUNTUNIQUE(FE322:FO322)-1"),4.0)</f>
        <v>4</v>
      </c>
      <c r="BI322" s="239">
        <f>IFERROR(__xludf.DUMMYFUNCTION("COUNTUNIQUE(FILTER(AT:AT,REGEXMATCH(AT:AT,AS322)))-1"),4.0)</f>
        <v>4</v>
      </c>
      <c r="BJ322" s="239">
        <f>IFERROR(__xludf.DUMMYFUNCTION("COUNTA(FILTER(AT:AT,REGEXMATCH(AT:AT,AS322)))"),5.0)</f>
        <v>5</v>
      </c>
      <c r="BK322" s="341">
        <f>IFERROR(__xludf.DUMMYFUNCTION("COUNTA(FILTER(AT:AT,REGEXMATCH(AT:AT,AS322)))-AR322"),5.0)</f>
        <v>5</v>
      </c>
      <c r="BL322" s="276" t="str">
        <f>IFERROR(__xludf.DUMMYFUNCTION("IF(AS322=""oooooooooooo"",""-"",IF(REGEXMATCH(AT322,""xx""), ""Hemi."", ""Anhemi.""))"),"Hemi.")</f>
        <v>Hemi.</v>
      </c>
      <c r="BM322" s="282" t="str">
        <f>IFERROR(__xludf.DUMMYFUNCTION("IF(AS322=""oooooooooooo"",""-"",IF(REGEXMATCH(AT322,""xxx""), ""Cohem."", ""-""))"),"-")</f>
        <v>-</v>
      </c>
      <c r="BN322" s="282" t="str">
        <f>IFERROR(__xludf.DUMMYFUNCTION("IF(AS322=""oooooooooooo"",""-"",IF(REGEXMATCH(AT322,""xxxx""), ""Co-Co."", ""-""))"),"-")</f>
        <v>-</v>
      </c>
      <c r="BO322" s="342" t="str">
        <f>IFERROR(__xludf.DUMMYFUNCTION("IF(AS322=""oooooooooooo"",""-"",IF(REGEXMATCH(AT322,""xxxxx""), ""CCC."", ""-""))"),"-")</f>
        <v>-</v>
      </c>
      <c r="BP322" s="344" t="str">
        <f t="shared" si="27"/>
        <v>-</v>
      </c>
      <c r="BQ322" s="282" t="str">
        <f>IFERROR(__xludf.DUMMYFUNCTION("IF(REGEXMATCH(JOIN(""-"",EU322:FD322),""TRUE""),""✔"",""-"")"),"✔")</f>
        <v>✔</v>
      </c>
      <c r="BR322" s="225">
        <f t="shared" si="28"/>
        <v>1</v>
      </c>
      <c r="BS322" s="345" t="str">
        <f>IFERROR(__xludf.DUMMYFUNCTION("SUBSTITUTE(SUBSTITUTE(SUBSTITUTE(SUBSTITUTE(CONCATENATE(JOIN(""-"",GC322:GO322)),""--"",""-""),""--"",""-""),""--"",""-""),""--"",""-"")"),"1-2-4-5-b6-8")</f>
        <v>1-2-4-5-b6-8</v>
      </c>
      <c r="BT322" s="299" t="str">
        <f>IFERROR(__xludf.DUMMYFUNCTION("SUBSTITUTE(SUBSTITUTE(SUBSTITUTE(SUBSTITUTE(CONCATENATE(JOIN(""-"",GP322:HB322)),""--"",""-""),""--"",""-""),""--"",""-""),""--"",""-"")"),"S-R2-M1-P-D1-S")</f>
        <v>S-R2-M1-P-D1-S</v>
      </c>
      <c r="BU322" s="348" t="str">
        <f t="shared" si="29"/>
        <v>C-D-F-G-Ab-C</v>
      </c>
      <c r="BV322" s="349" t="str">
        <f t="shared" si="30"/>
        <v>SrgGMDnNS</v>
      </c>
      <c r="BW322" s="350">
        <f t="shared" si="31"/>
        <v>0</v>
      </c>
      <c r="BX322" s="351">
        <f t="shared" si="32"/>
        <v>1</v>
      </c>
      <c r="BY322" s="392"/>
      <c r="BZ322" s="309" t="str">
        <f>IFERROR(__xludf.DUMMYFUNCTION("IF(REGEXMATCH(C322, ""S""), ""x"",""x"")"),"x")</f>
        <v>x</v>
      </c>
      <c r="CA322" s="245" t="str">
        <f>IFERROR(__xludf.DUMMYFUNCTION("IF(REGEXMATCH(C322, ""r""), ""o"",""x"")"),"x")</f>
        <v>x</v>
      </c>
      <c r="CB322" s="246" t="str">
        <f>IFERROR(__xludf.DUMMYFUNCTION("IF(REGEXMATCH(C322, ""R""), ""o"",""x"")"),"o")</f>
        <v>o</v>
      </c>
      <c r="CC322" s="246" t="str">
        <f>IFERROR(__xludf.DUMMYFUNCTION("IF(REGEXMATCH(C322, ""g""), ""o"",""x"")"),"x")</f>
        <v>x</v>
      </c>
      <c r="CD322" s="245" t="str">
        <f>IFERROR(__xludf.DUMMYFUNCTION("IF(REGEXMATCH(C322, ""G""), ""o"",""x"")"),"x")</f>
        <v>x</v>
      </c>
      <c r="CE322" s="245" t="str">
        <f>IFERROR(__xludf.DUMMYFUNCTION("IF(REGEXMATCH(C322, ""m""), ""o"",""x"")"),"o")</f>
        <v>o</v>
      </c>
      <c r="CF322" s="246" t="str">
        <f>IFERROR(__xludf.DUMMYFUNCTION("IF(REGEXMATCH(C322, ""M""), ""o"",""x"")"),"x")</f>
        <v>x</v>
      </c>
      <c r="CG322" s="245" t="str">
        <f>IFERROR(__xludf.DUMMYFUNCTION("IF(REGEXMATCH(C322, ""P""), ""o"",""x"")"),"o")</f>
        <v>o</v>
      </c>
      <c r="CH322" s="246" t="str">
        <f>IFERROR(__xludf.DUMMYFUNCTION("IF(REGEXMATCH(C322, ""d""), ""o"",""x"")"),"o")</f>
        <v>o</v>
      </c>
      <c r="CI322" s="245" t="str">
        <f>IFERROR(__xludf.DUMMYFUNCTION("IF(REGEXMATCH(C322, ""D""), ""o"",""x"")"),"x")</f>
        <v>x</v>
      </c>
      <c r="CJ322" s="245" t="str">
        <f>IFERROR(__xludf.DUMMYFUNCTION("IF(REGEXMATCH(C322, ""n""), ""o"",""x"")"),"x")</f>
        <v>x</v>
      </c>
      <c r="CK322" s="245" t="str">
        <f>IFERROR(__xludf.DUMMYFUNCTION("IF(REGEXMATCH(C322, ""N""), ""o"",""x"")"),"x")</f>
        <v>x</v>
      </c>
      <c r="CL322" s="356" t="str">
        <f>IFERROR(__xludf.DUMMYFUNCTION("IF(REGEXMATCH(C322, ""S""), ""x"",""x"")"),"x")</f>
        <v>x</v>
      </c>
      <c r="CM322" s="357" t="str">
        <f t="shared" si="33"/>
        <v>xxoxxoxooxxx</v>
      </c>
      <c r="CN322" s="358">
        <f t="shared" si="34"/>
        <v>0</v>
      </c>
      <c r="CO322" s="246" t="str">
        <f>IFERROR(__xludf.DUMMYFUNCTION("IF(REGEXMATCH($C322, ""S""), ""S"",""S"")"),"S")</f>
        <v>S</v>
      </c>
      <c r="CP322" s="246" t="str">
        <f>IFERROR(__xludf.DUMMYFUNCTION("IF(REGEXMATCH($C322, ""r""), """",""r"")"),"r")</f>
        <v>r</v>
      </c>
      <c r="CQ322" s="246" t="str">
        <f>IFERROR(__xludf.DUMMYFUNCTION("IF(REGEXMATCH($C322, ""R""), """",""R"")"),"")</f>
        <v/>
      </c>
      <c r="CR322" s="246" t="str">
        <f>IFERROR(__xludf.DUMMYFUNCTION("IF(REGEXMATCH($C322, ""g""), """",""g"")"),"g")</f>
        <v>g</v>
      </c>
      <c r="CS322" s="246" t="str">
        <f>IFERROR(__xludf.DUMMYFUNCTION("IF(REGEXMATCH($C322, ""G""), """",""G"")"),"G")</f>
        <v>G</v>
      </c>
      <c r="CT322" s="246" t="str">
        <f>IFERROR(__xludf.DUMMYFUNCTION("IF(REGEXMATCH($C322, ""m""), """",""m"")"),"")</f>
        <v/>
      </c>
      <c r="CU322" s="246" t="str">
        <f>IFERROR(__xludf.DUMMYFUNCTION("IF(REGEXMATCH($C322, ""M""), """",""M"")"),"M")</f>
        <v>M</v>
      </c>
      <c r="CV322" s="246" t="str">
        <f>IFERROR(__xludf.DUMMYFUNCTION("IF(REGEXMATCH($C322, ""P""), """",""P"")"),"")</f>
        <v/>
      </c>
      <c r="CW322" s="246" t="str">
        <f>IFERROR(__xludf.DUMMYFUNCTION("IF(REGEXMATCH($C322, ""d""), """",""d"")"),"")</f>
        <v/>
      </c>
      <c r="CX322" s="246" t="str">
        <f>IFERROR(__xludf.DUMMYFUNCTION("IF(REGEXMATCH($C322, ""D""), """",""D"")"),"D")</f>
        <v>D</v>
      </c>
      <c r="CY322" s="246" t="str">
        <f>IFERROR(__xludf.DUMMYFUNCTION("IF(REGEXMATCH($C322, ""n""), """",""n"")"),"n")</f>
        <v>n</v>
      </c>
      <c r="CZ322" s="246" t="str">
        <f>IFERROR(__xludf.DUMMYFUNCTION("IF(REGEXMATCH($C322, ""N""), """",""N"")"),"N")</f>
        <v>N</v>
      </c>
      <c r="DA322" s="246" t="str">
        <f>IFERROR(__xludf.DUMMYFUNCTION("IF(REGEXMATCH($C322, ""S""), ""S"",""S"")"),"S")</f>
        <v>S</v>
      </c>
      <c r="DB322" s="362" t="str">
        <f>IFERROR(__xludf.DUMMYFUNCTION("JOIN("""",CO322:DA322,"""","""")"),"SrgGMDnNS")</f>
        <v>SrgGMDnNS</v>
      </c>
      <c r="DC322" s="363"/>
      <c r="DD322" s="301" t="str">
        <f t="shared" si="35"/>
        <v>#REF!</v>
      </c>
      <c r="DE322" s="302" t="str">
        <f t="shared" si="36"/>
        <v>#REF!</v>
      </c>
      <c r="DF322" s="301" t="str">
        <f t="shared" ref="DF322:DG322" si="873">SUBSTITUTE(S322,"-","")</f>
        <v>SRM</v>
      </c>
      <c r="DG322" s="301" t="str">
        <f t="shared" si="873"/>
        <v>PDS</v>
      </c>
      <c r="DH322" s="302" t="str">
        <f t="shared" si="38"/>
        <v>Shivranjani</v>
      </c>
      <c r="DI322" s="301" t="str">
        <f t="shared" si="39"/>
        <v>Hemi.</v>
      </c>
      <c r="DJ322" s="364" t="str">
        <f t="shared" si="40"/>
        <v>-</v>
      </c>
      <c r="DK322" s="306" t="str">
        <f t="shared" si="41"/>
        <v>-</v>
      </c>
      <c r="DL322" s="366" t="str">
        <f t="shared" si="42"/>
        <v>✔</v>
      </c>
      <c r="DM322" s="308" t="str">
        <f t="shared" si="43"/>
        <v>-</v>
      </c>
      <c r="DN322" s="306" t="str">
        <f t="shared" si="44"/>
        <v>-</v>
      </c>
      <c r="DO322" s="306" t="str">
        <f t="shared" si="45"/>
        <v>-</v>
      </c>
      <c r="DP322" s="367" t="str">
        <f t="shared" si="46"/>
        <v>-</v>
      </c>
      <c r="DQ322" s="310" t="str">
        <f t="shared" si="47"/>
        <v>-</v>
      </c>
      <c r="DR322" s="310" t="str">
        <f t="shared" si="48"/>
        <v>-</v>
      </c>
      <c r="DS322" s="310" t="str">
        <f t="shared" si="49"/>
        <v>-</v>
      </c>
      <c r="DT322" s="310" t="str">
        <f t="shared" si="50"/>
        <v>-</v>
      </c>
      <c r="DU322" s="370" t="str">
        <f t="shared" si="51"/>
        <v>-</v>
      </c>
      <c r="DV322" s="306" t="str">
        <f t="shared" si="52"/>
        <v>-</v>
      </c>
      <c r="DW322" s="306" t="str">
        <f t="shared" si="53"/>
        <v>✔</v>
      </c>
      <c r="DX322" s="306" t="str">
        <f t="shared" si="54"/>
        <v>-</v>
      </c>
      <c r="DY322" s="306" t="str">
        <f t="shared" si="55"/>
        <v>-</v>
      </c>
      <c r="DZ322" s="306" t="str">
        <f t="shared" si="56"/>
        <v>-</v>
      </c>
      <c r="EA322" s="367" t="str">
        <f t="shared" si="57"/>
        <v>✔</v>
      </c>
      <c r="EB322" s="310" t="str">
        <f>IFERROR(__xludf.DUMMYFUNCTION("IF(REGEXMATCH(AW322,AS322),""✔"",""-"")"),"-")</f>
        <v>-</v>
      </c>
      <c r="EC322" s="310" t="str">
        <f t="shared" si="58"/>
        <v>#REF!</v>
      </c>
      <c r="ED322" s="370" t="str">
        <f t="shared" si="59"/>
        <v>-</v>
      </c>
      <c r="EE322" s="340" t="str">
        <f t="shared" si="60"/>
        <v>S-R-m-P-d-S</v>
      </c>
      <c r="EF322" s="371" t="str">
        <f>IFERROR(__xludf.DUMMYFUNCTION("CONCATENATE(JOIN("""",HC322:HO322))"),"SGmPnS")</f>
        <v>SGmPnS</v>
      </c>
      <c r="EG322" s="372">
        <f t="shared" si="61"/>
        <v>2</v>
      </c>
      <c r="EH322" s="373" t="str">
        <f>IFERROR(__xludf.DUMMYFUNCTION("CONCATENATE(JOIN("""",JC322:JO322))"),"Re, dha, ")</f>
        <v>Re, dha, </v>
      </c>
      <c r="EI322" s="322">
        <f t="shared" si="62"/>
        <v>1</v>
      </c>
      <c r="EJ322" s="374" t="str">
        <f>IFERROR(__xludf.DUMMYFUNCTION("CONCATENATE(JOIN("""",KC322:KO322))"),"dha, ")</f>
        <v>dha, </v>
      </c>
      <c r="EK322" s="325" t="str">
        <f t="shared" si="63"/>
        <v>S-R2-M1-P-D1-S</v>
      </c>
      <c r="EL322" s="326" t="str">
        <f t="shared" si="64"/>
        <v>1-2-4-5-b6-8</v>
      </c>
      <c r="EM322" s="318" t="str">
        <f t="shared" si="65"/>
        <v>#REF!</v>
      </c>
      <c r="EN322" s="328" t="str">
        <f>IFERROR(__xludf.DUMMYFUNCTION("SUBSTITUTE(SUBSTITUTE(SUBSTITUTE(SUBSTITUTE(CONCATENATE(JOIN("" "",HP322:IB322)),""  "","" ""),""  "","" ""),""  "","" ""),""  "","" "")"),"o • o • • o • o o • • • o")</f>
        <v>o • o • • o • o o • • • o</v>
      </c>
      <c r="EO322" s="368" t="str">
        <f t="shared" si="66"/>
        <v>-</v>
      </c>
      <c r="EP322" s="339" t="str">
        <f t="shared" si="67"/>
        <v>-</v>
      </c>
      <c r="EQ322" s="339" t="str">
        <f t="shared" si="68"/>
        <v>Sa-Pa</v>
      </c>
      <c r="ER322" s="339" t="str">
        <f t="shared" si="69"/>
        <v>-</v>
      </c>
      <c r="ES322" s="340" t="str">
        <f t="shared" si="70"/>
        <v>-</v>
      </c>
      <c r="ET322" s="363"/>
      <c r="EU322" s="376" t="b">
        <f>IFERROR(__xludf.DUMMYFUNCTION("arrayformula(sum(--REGEXMATCH(""SRGMPDNS"",split(REGEXREPLACE(C322,""(.)"",""$1~""),""~""))))=len(C322)
"),FALSE)</f>
        <v>0</v>
      </c>
      <c r="EV322" s="290" t="b">
        <f>IFERROR(__xludf.DUMMYFUNCTION("arrayformula(sum(--REGEXMATCH(""SRGmPDNS"",split(REGEXREPLACE(C322,""(.)"",""$1~""),""~""))))=len(C322)"),FALSE)</f>
        <v>0</v>
      </c>
      <c r="EW322" s="290" t="b">
        <f>IFERROR(__xludf.DUMMYFUNCTION("arrayformula(sum(--REGEXMATCH(""SRGmPDnS"",split(REGEXREPLACE(C322,""(.)"",""$1~""),""~""))))=len(C322)"),FALSE)</f>
        <v>0</v>
      </c>
      <c r="EX322" s="290" t="b">
        <f>IFERROR(__xludf.DUMMYFUNCTION("arrayformula(sum(--REGEXMATCH(""SRgmPDnS"",split(REGEXREPLACE(C322,""(.)"",""$1~""),""~""))))=len(C322)"),FALSE)</f>
        <v>0</v>
      </c>
      <c r="EY322" s="290" t="b">
        <f>IFERROR(__xludf.DUMMYFUNCTION("arrayformula(sum(--REGEXMATCH(""SRgmPdnS"",split(REGEXREPLACE(C322,""(.)"",""$1~""),""~""))))=len(C322)"),TRUE)</f>
        <v>1</v>
      </c>
      <c r="EZ322" s="290" t="b">
        <f>IFERROR(__xludf.DUMMYFUNCTION("arrayformula(sum(--REGEXMATCH(""SrgmPdnS"",split(REGEXREPLACE(C322,""(.)"",""$1~""),""~""))))=len(C322)"),FALSE)</f>
        <v>0</v>
      </c>
      <c r="FA322" s="290" t="b">
        <f>IFERROR(__xludf.DUMMYFUNCTION("arrayformula(sum(--REGEXMATCH(""SrGmPdNS"",split(REGEXREPLACE(C322,""(.)"",""$1~""),""~""))))=len(C322)"),FALSE)</f>
        <v>0</v>
      </c>
      <c r="FB322" s="290" t="b">
        <f>IFERROR(__xludf.DUMMYFUNCTION("arrayformula(sum(--REGEXMATCH(""SrGMPDNS"",split(REGEXREPLACE(C322,""(.)"",""$1~""),""~""))))=len(C322)"),FALSE)</f>
        <v>0</v>
      </c>
      <c r="FC322" s="290" t="b">
        <f>IFERROR(__xludf.DUMMYFUNCTION("arrayformula(sum(--REGEXMATCH(""SrGMPdNS"",split(REGEXREPLACE(C322,""(.)"",""$1~""),""~""))))=len(C322)"),FALSE)</f>
        <v>0</v>
      </c>
      <c r="FD322" s="377" t="b">
        <f>IFERROR(__xludf.DUMMYFUNCTION("arrayformula(sum(--REGEXMATCH(""SrgMPdNS"",split(REGEXREPLACE(C322,""(.)"",""$1~""),""~""))))=len(C322)"),FALSE)</f>
        <v>0</v>
      </c>
      <c r="FE322" s="269" t="str">
        <f t="shared" si="71"/>
        <v>-</v>
      </c>
      <c r="FF322" s="269" t="str">
        <f t="shared" si="72"/>
        <v>xooxoxxooox</v>
      </c>
      <c r="FG322" s="271" t="str">
        <f t="shared" si="73"/>
        <v>-</v>
      </c>
      <c r="FH322" s="269" t="str">
        <f t="shared" si="74"/>
        <v>-</v>
      </c>
      <c r="FI322" s="271" t="str">
        <f t="shared" si="75"/>
        <v>xoxxoooxoxo</v>
      </c>
      <c r="FJ322" s="271" t="str">
        <f t="shared" si="76"/>
        <v>-</v>
      </c>
      <c r="FK322" s="271" t="str">
        <f t="shared" si="77"/>
        <v>xxoooxoxoox</v>
      </c>
      <c r="FL322" s="271" t="str">
        <f t="shared" si="78"/>
        <v>xoooxoxooxo</v>
      </c>
      <c r="FM322" s="271" t="str">
        <f t="shared" si="79"/>
        <v>-</v>
      </c>
      <c r="FN322" s="271" t="str">
        <f t="shared" si="80"/>
        <v>-</v>
      </c>
      <c r="FO322" s="274" t="str">
        <f t="shared" si="81"/>
        <v>-</v>
      </c>
      <c r="FP322" s="234" t="str">
        <f t="shared" si="82"/>
        <v>|</v>
      </c>
      <c r="FQ322" s="236" t="str">
        <f t="shared" si="83"/>
        <v>-</v>
      </c>
      <c r="FR322" s="237" t="str">
        <f t="shared" si="84"/>
        <v>|</v>
      </c>
      <c r="FS322" s="236" t="str">
        <f t="shared" si="85"/>
        <v>-</v>
      </c>
      <c r="FT322" s="237" t="str">
        <f t="shared" si="86"/>
        <v>-</v>
      </c>
      <c r="FU322" s="236" t="str">
        <f t="shared" si="87"/>
        <v>|</v>
      </c>
      <c r="FV322" s="237" t="str">
        <f t="shared" si="88"/>
        <v>-</v>
      </c>
      <c r="FW322" s="236" t="str">
        <f t="shared" si="89"/>
        <v>|</v>
      </c>
      <c r="FX322" s="237" t="str">
        <f t="shared" si="90"/>
        <v>|</v>
      </c>
      <c r="FY322" s="236" t="str">
        <f t="shared" si="91"/>
        <v>-</v>
      </c>
      <c r="FZ322" s="237" t="str">
        <f t="shared" si="92"/>
        <v>-</v>
      </c>
      <c r="GA322" s="236" t="str">
        <f t="shared" si="93"/>
        <v>-</v>
      </c>
      <c r="GB322" s="238" t="str">
        <f t="shared" si="94"/>
        <v>|</v>
      </c>
      <c r="GC322" s="244" t="str">
        <f>IFERROR(__xludf.DUMMYFUNCTION("IF(REGEXMATCH(C322, ""S""), ""1"","""")"),"1")</f>
        <v>1</v>
      </c>
      <c r="GD322" s="245" t="str">
        <f>IFERROR(__xludf.DUMMYFUNCTION("IF(REGEXMATCH(C322, ""r""), ""b2"","""")"),"")</f>
        <v/>
      </c>
      <c r="GE322" s="246" t="str">
        <f>IFERROR(__xludf.DUMMYFUNCTION("IF(REGEXMATCH(C322, ""R""), ""2"","""")"),"2")</f>
        <v>2</v>
      </c>
      <c r="GF322" s="246" t="str">
        <f>IFERROR(__xludf.DUMMYFUNCTION("IF(REGEXMATCH(C322, ""g""), ""b3"","""")"),"")</f>
        <v/>
      </c>
      <c r="GG322" s="245" t="str">
        <f>IFERROR(__xludf.DUMMYFUNCTION("IF(REGEXMATCH(C322, ""G""), ""3"","""")"),"")</f>
        <v/>
      </c>
      <c r="GH322" s="245" t="str">
        <f>IFERROR(__xludf.DUMMYFUNCTION("IF(REGEXMATCH(C322, ""m""), ""4"","""")"),"4")</f>
        <v>4</v>
      </c>
      <c r="GI322" s="246" t="str">
        <f>IFERROR(__xludf.DUMMYFUNCTION("IF(REGEXMATCH(C322, ""M""), ""#4"","""")"),"")</f>
        <v/>
      </c>
      <c r="GJ322" s="245" t="str">
        <f>IFERROR(__xludf.DUMMYFUNCTION("IF(REGEXMATCH(C322, ""P""), ""5"","""")"),"5")</f>
        <v>5</v>
      </c>
      <c r="GK322" s="246" t="str">
        <f>IFERROR(__xludf.DUMMYFUNCTION("IF(REGEXMATCH(C322, ""d""), ""b6"","""")"),"b6")</f>
        <v>b6</v>
      </c>
      <c r="GL322" s="245" t="str">
        <f>IFERROR(__xludf.DUMMYFUNCTION("IF(REGEXMATCH(C322, ""D""), ""6"","""")"),"")</f>
        <v/>
      </c>
      <c r="GM322" s="245" t="str">
        <f>IFERROR(__xludf.DUMMYFUNCTION("IF(REGEXMATCH(C322, ""n""), ""b7"","""")"),"")</f>
        <v/>
      </c>
      <c r="GN322" s="246" t="str">
        <f>IFERROR(__xludf.DUMMYFUNCTION("IF(REGEXMATCH(C322, ""N""), ""7"","""")"),"")</f>
        <v/>
      </c>
      <c r="GO322" s="249" t="str">
        <f>IFERROR(__xludf.DUMMYFUNCTION("IF(REGEXMATCH(C322, ""S""), ""8"","""")"),"8")</f>
        <v>8</v>
      </c>
      <c r="GP322" s="244" t="str">
        <f>IFERROR(__xludf.DUMMYFUNCTION("IF(REGEXMATCH(C322, ""S""), ""S"","""")"),"S")</f>
        <v>S</v>
      </c>
      <c r="GQ322" s="294" t="str">
        <f>IFERROR(__xludf.DUMMYFUNCTION("IF(REGEXMATCH(C322, ""r""), ""R1"","""")"),"")</f>
        <v/>
      </c>
      <c r="GR322" s="295" t="str">
        <f>IFERROR(__xludf.DUMMYFUNCTION("IF(REGEXMATCH(C322, ""R""), ""R2"","""")"),"R2")</f>
        <v>R2</v>
      </c>
      <c r="GS322" s="295" t="str">
        <f>IFERROR(__xludf.DUMMYFUNCTION("IF(REGEXMATCH(C322, ""g""), ""G2"","""")"),"")</f>
        <v/>
      </c>
      <c r="GT322" s="294" t="str">
        <f>IFERROR(__xludf.DUMMYFUNCTION("IF(REGEXMATCH(C322, ""G""), ""G3"","""")"),"")</f>
        <v/>
      </c>
      <c r="GU322" s="294" t="str">
        <f>IFERROR(__xludf.DUMMYFUNCTION("IF(REGEXMATCH(C322, ""m""), ""M1"","""")"),"M1")</f>
        <v>M1</v>
      </c>
      <c r="GV322" s="295" t="str">
        <f>IFERROR(__xludf.DUMMYFUNCTION("IF(REGEXMATCH(C322, ""M""), ""M2"","""")"),"")</f>
        <v/>
      </c>
      <c r="GW322" s="294" t="str">
        <f>IFERROR(__xludf.DUMMYFUNCTION("IF(REGEXMATCH(C322, ""P""), ""P"","""")"),"P")</f>
        <v>P</v>
      </c>
      <c r="GX322" s="295" t="str">
        <f>IFERROR(__xludf.DUMMYFUNCTION("IF(REGEXMATCH(C322, ""d""), ""D1"","""")"),"D1")</f>
        <v>D1</v>
      </c>
      <c r="GY322" s="294" t="str">
        <f>IFERROR(__xludf.DUMMYFUNCTION("IF(REGEXMATCH(C322, ""D""), ""D2"","""")"),"")</f>
        <v/>
      </c>
      <c r="GZ322" s="294" t="str">
        <f>IFERROR(__xludf.DUMMYFUNCTION("IF(REGEXMATCH(C322, ""n""), ""N2"","""")"),"")</f>
        <v/>
      </c>
      <c r="HA322" s="295" t="str">
        <f>IFERROR(__xludf.DUMMYFUNCTION("IF(REGEXMATCH(C322, ""N""), ""N3"","""")"),"")</f>
        <v/>
      </c>
      <c r="HB322" s="249" t="str">
        <f>IFERROR(__xludf.DUMMYFUNCTION("IF(REGEXMATCH(C322, ""S""), ""S"","""")"),"S")</f>
        <v>S</v>
      </c>
      <c r="HC322" s="331" t="str">
        <f t="shared" si="95"/>
        <v>S</v>
      </c>
      <c r="HD322" s="332" t="str">
        <f t="shared" si="96"/>
        <v/>
      </c>
      <c r="HE322" s="332" t="str">
        <f t="shared" si="97"/>
        <v/>
      </c>
      <c r="HF322" s="332" t="str">
        <f t="shared" si="98"/>
        <v/>
      </c>
      <c r="HG322" s="332" t="str">
        <f t="shared" si="99"/>
        <v>G</v>
      </c>
      <c r="HH322" s="332" t="str">
        <f t="shared" si="100"/>
        <v>m</v>
      </c>
      <c r="HI322" s="332" t="str">
        <f t="shared" si="101"/>
        <v/>
      </c>
      <c r="HJ322" s="332" t="str">
        <f t="shared" si="102"/>
        <v>P</v>
      </c>
      <c r="HK322" s="332" t="str">
        <f t="shared" si="103"/>
        <v/>
      </c>
      <c r="HL322" s="332" t="str">
        <f t="shared" si="104"/>
        <v/>
      </c>
      <c r="HM322" s="332" t="str">
        <f t="shared" si="105"/>
        <v>n</v>
      </c>
      <c r="HN322" s="332" t="str">
        <f t="shared" si="106"/>
        <v/>
      </c>
      <c r="HO322" s="343" t="str">
        <f t="shared" si="107"/>
        <v>S</v>
      </c>
      <c r="HP322" s="331" t="str">
        <f t="shared" si="108"/>
        <v>o</v>
      </c>
      <c r="HQ322" s="332" t="str">
        <f t="shared" si="109"/>
        <v>•</v>
      </c>
      <c r="HR322" s="332" t="str">
        <f t="shared" si="110"/>
        <v>o</v>
      </c>
      <c r="HS322" s="332" t="str">
        <f t="shared" si="111"/>
        <v>•</v>
      </c>
      <c r="HT322" s="332" t="str">
        <f t="shared" si="112"/>
        <v>•</v>
      </c>
      <c r="HU322" s="332" t="str">
        <f t="shared" si="113"/>
        <v>o</v>
      </c>
      <c r="HV322" s="332" t="str">
        <f t="shared" si="114"/>
        <v>•</v>
      </c>
      <c r="HW322" s="332" t="str">
        <f t="shared" si="115"/>
        <v>o</v>
      </c>
      <c r="HX322" s="332" t="str">
        <f t="shared" si="116"/>
        <v>o</v>
      </c>
      <c r="HY322" s="332" t="str">
        <f t="shared" si="117"/>
        <v>•</v>
      </c>
      <c r="HZ322" s="332" t="str">
        <f t="shared" si="118"/>
        <v>•</v>
      </c>
      <c r="IA322" s="332" t="str">
        <f t="shared" si="119"/>
        <v>•</v>
      </c>
      <c r="IB322" s="338" t="str">
        <f t="shared" si="120"/>
        <v>o</v>
      </c>
      <c r="IC322" s="331" t="str">
        <f t="shared" si="121"/>
        <v>•</v>
      </c>
      <c r="ID322" s="332" t="str">
        <f t="shared" si="122"/>
        <v>o</v>
      </c>
      <c r="IE322" s="332" t="str">
        <f t="shared" si="123"/>
        <v>•</v>
      </c>
      <c r="IF322" s="332" t="str">
        <f t="shared" si="124"/>
        <v>o</v>
      </c>
      <c r="IG322" s="332" t="str">
        <f t="shared" si="125"/>
        <v>o</v>
      </c>
      <c r="IH322" s="332" t="str">
        <f t="shared" si="126"/>
        <v>•</v>
      </c>
      <c r="II322" s="332" t="str">
        <f t="shared" si="127"/>
        <v>o</v>
      </c>
      <c r="IJ322" s="332" t="str">
        <f t="shared" si="128"/>
        <v>•</v>
      </c>
      <c r="IK322" s="332" t="str">
        <f t="shared" si="129"/>
        <v>•</v>
      </c>
      <c r="IL322" s="332" t="str">
        <f t="shared" si="130"/>
        <v>o</v>
      </c>
      <c r="IM322" s="332" t="str">
        <f t="shared" si="131"/>
        <v>o</v>
      </c>
      <c r="IN322" s="332" t="str">
        <f t="shared" si="132"/>
        <v>o</v>
      </c>
      <c r="IO322" s="338" t="str">
        <f t="shared" si="133"/>
        <v>•</v>
      </c>
      <c r="IP322" s="346" t="b">
        <f t="shared" si="134"/>
        <v>0</v>
      </c>
      <c r="IQ322" s="347" t="b">
        <f t="shared" si="135"/>
        <v>0</v>
      </c>
      <c r="IR322" s="347" t="b">
        <f t="shared" si="136"/>
        <v>1</v>
      </c>
      <c r="IS322" s="347" t="b">
        <f t="shared" si="137"/>
        <v>0</v>
      </c>
      <c r="IT322" s="347" t="b">
        <f t="shared" si="138"/>
        <v>0</v>
      </c>
      <c r="IU322" s="347" t="b">
        <f t="shared" si="139"/>
        <v>0</v>
      </c>
      <c r="IV322" s="347" t="b">
        <f t="shared" si="140"/>
        <v>0</v>
      </c>
      <c r="IW322" s="347" t="b">
        <f t="shared" si="141"/>
        <v>0</v>
      </c>
      <c r="IX322" s="347" t="b">
        <f t="shared" si="142"/>
        <v>1</v>
      </c>
      <c r="IY322" s="347" t="b">
        <f t="shared" si="143"/>
        <v>0</v>
      </c>
      <c r="IZ322" s="347" t="b">
        <f t="shared" si="144"/>
        <v>0</v>
      </c>
      <c r="JA322" s="347" t="b">
        <f t="shared" si="145"/>
        <v>0</v>
      </c>
      <c r="JB322" s="353" t="b">
        <f t="shared" si="146"/>
        <v>0</v>
      </c>
      <c r="JC322" s="354" t="str">
        <f t="shared" si="147"/>
        <v/>
      </c>
      <c r="JD322" s="355" t="str">
        <f t="shared" si="148"/>
        <v/>
      </c>
      <c r="JE322" s="355" t="str">
        <f t="shared" si="149"/>
        <v>Re, </v>
      </c>
      <c r="JF322" s="355" t="str">
        <f t="shared" si="150"/>
        <v/>
      </c>
      <c r="JG322" s="355" t="str">
        <f t="shared" si="151"/>
        <v/>
      </c>
      <c r="JH322" s="355" t="str">
        <f t="shared" si="152"/>
        <v/>
      </c>
      <c r="JI322" s="355" t="str">
        <f t="shared" si="153"/>
        <v/>
      </c>
      <c r="JJ322" s="355" t="str">
        <f t="shared" si="154"/>
        <v/>
      </c>
      <c r="JK322" s="355" t="str">
        <f t="shared" si="155"/>
        <v>dha, </v>
      </c>
      <c r="JL322" s="355" t="str">
        <f t="shared" si="156"/>
        <v/>
      </c>
      <c r="JM322" s="355" t="str">
        <f t="shared" si="157"/>
        <v/>
      </c>
      <c r="JN322" s="355" t="str">
        <f t="shared" si="158"/>
        <v/>
      </c>
      <c r="JO322" s="359" t="str">
        <f t="shared" si="159"/>
        <v/>
      </c>
      <c r="JP322" s="346" t="b">
        <f t="shared" si="160"/>
        <v>0</v>
      </c>
      <c r="JQ322" s="347" t="b">
        <f t="shared" si="161"/>
        <v>0</v>
      </c>
      <c r="JR322" s="347" t="b">
        <f t="shared" si="162"/>
        <v>0</v>
      </c>
      <c r="JS322" s="347" t="b">
        <f t="shared" si="163"/>
        <v>0</v>
      </c>
      <c r="JT322" s="347" t="b">
        <f t="shared" si="164"/>
        <v>0</v>
      </c>
      <c r="JU322" s="347" t="b">
        <f t="shared" si="165"/>
        <v>0</v>
      </c>
      <c r="JV322" s="347" t="b">
        <f t="shared" si="166"/>
        <v>0</v>
      </c>
      <c r="JW322" s="347" t="b">
        <f t="shared" si="167"/>
        <v>0</v>
      </c>
      <c r="JX322" s="347" t="b">
        <f t="shared" si="168"/>
        <v>1</v>
      </c>
      <c r="JY322" s="347" t="b">
        <f t="shared" si="169"/>
        <v>0</v>
      </c>
      <c r="JZ322" s="347" t="b">
        <f t="shared" si="170"/>
        <v>0</v>
      </c>
      <c r="KA322" s="347" t="b">
        <f t="shared" si="171"/>
        <v>0</v>
      </c>
      <c r="KB322" s="365" t="b">
        <f t="shared" si="172"/>
        <v>0</v>
      </c>
      <c r="KC322" s="354" t="str">
        <f t="shared" si="173"/>
        <v/>
      </c>
      <c r="KD322" s="355" t="str">
        <f t="shared" si="174"/>
        <v/>
      </c>
      <c r="KE322" s="355" t="str">
        <f t="shared" si="175"/>
        <v/>
      </c>
      <c r="KF322" s="355" t="str">
        <f t="shared" si="176"/>
        <v/>
      </c>
      <c r="KG322" s="355" t="str">
        <f t="shared" si="177"/>
        <v/>
      </c>
      <c r="KH322" s="355" t="str">
        <f t="shared" si="178"/>
        <v/>
      </c>
      <c r="KI322" s="355" t="str">
        <f t="shared" si="179"/>
        <v/>
      </c>
      <c r="KJ322" s="355" t="str">
        <f t="shared" si="180"/>
        <v/>
      </c>
      <c r="KK322" s="355" t="str">
        <f t="shared" si="181"/>
        <v>dha, </v>
      </c>
      <c r="KL322" s="355" t="str">
        <f t="shared" si="182"/>
        <v/>
      </c>
      <c r="KM322" s="355" t="str">
        <f t="shared" si="183"/>
        <v/>
      </c>
      <c r="KN322" s="355" t="str">
        <f t="shared" si="184"/>
        <v/>
      </c>
      <c r="KO322" s="359"/>
      <c r="KP322" s="378"/>
      <c r="KQ322" s="379" t="s">
        <v>1160</v>
      </c>
      <c r="KR322" s="380" t="s">
        <v>1495</v>
      </c>
      <c r="KS322" s="381" t="str">
        <f t="shared" si="874"/>
        <v>S-R-m-P-d-S</v>
      </c>
      <c r="KT322" s="382">
        <f t="shared" si="186"/>
        <v>5</v>
      </c>
      <c r="KU322" s="383">
        <f t="shared" si="187"/>
        <v>5</v>
      </c>
      <c r="KV322" s="381" t="str">
        <f t="shared" si="205"/>
        <v>S-d-P-m-R-S</v>
      </c>
      <c r="KW322" s="382">
        <f t="shared" si="189"/>
        <v>5</v>
      </c>
      <c r="KX322" s="384">
        <f t="shared" si="190"/>
        <v>5</v>
      </c>
      <c r="KY322" s="382">
        <f t="shared" ref="KY322:KZ322" si="875">KW322-KT322</f>
        <v>0</v>
      </c>
      <c r="KZ322" s="369">
        <f t="shared" si="875"/>
        <v>0</v>
      </c>
      <c r="LA322" s="385" t="str">
        <f t="shared" si="192"/>
        <v>✔</v>
      </c>
      <c r="LB322" s="340" t="str">
        <f>IFERROR(__xludf.DUMMYFUNCTION("JOIN("""",ArrayFormula(MID(KS322,LEN(KS322)-SEQUENCE(1,LEN(KS322))+1,1)))"),"S-d-P-m-R-S")</f>
        <v>S-d-P-m-R-S</v>
      </c>
      <c r="LC322" s="373" t="str">
        <f>IFERROR(__xludf.DUMMYFUNCTION("JOIN("""",ArrayFormula(MID(KV322,LEN(KV322)-SEQUENCE(1,LEN(KV322))+1,1)))"),"S-R-m-P-d-S")</f>
        <v>S-R-m-P-d-S</v>
      </c>
      <c r="LD322" s="373" t="str">
        <f t="shared" si="193"/>
        <v>SRmPdS</v>
      </c>
      <c r="LE322" s="339" t="str">
        <f t="shared" si="194"/>
        <v>SRmPdS</v>
      </c>
      <c r="LF322" s="386" t="str">
        <f>IFERROR(__xludf.DUMMYFUNCTION("SUBSTITUTE(SUBSTITUTE(CONCATENATE(JOIN("""",LH322:LT322)),""1"",""""),""2"","""")"),"SRmPdS")</f>
        <v>SRmPdS</v>
      </c>
      <c r="LG322" s="369" t="str">
        <f t="shared" si="195"/>
        <v>✔</v>
      </c>
      <c r="LH322" s="387" t="str">
        <f>IFERROR(__xludf.DUMMYFUNCTION("IF(REGEXMATCH(LD322, ""S""), ""S"",IF(REGEXMATCH(LE322, ""S""), ""S"",""""))"),"S")</f>
        <v>S</v>
      </c>
      <c r="LI322" s="299" t="str">
        <f>IFERROR(__xludf.DUMMYFUNCTION("IF(REGEXMATCH(LD322, ""r""), ""r1"",IF(REGEXMATCH(LE322, ""r""), ""r2"",""""))"),"")</f>
        <v/>
      </c>
      <c r="LJ322" s="299" t="str">
        <f>IFERROR(__xludf.DUMMYFUNCTION("IF(REGEXMATCH(LD322, ""R""), ""R1"",IF(REGEXMATCH(LE322, ""R""), ""R2"",""""))"),"R1")</f>
        <v>R1</v>
      </c>
      <c r="LK322" s="299" t="str">
        <f>IFERROR(__xludf.DUMMYFUNCTION("IF(REGEXMATCH(LD322, ""g""), ""g1"",IF(REGEXMATCH(LE322, ""g""), ""g2"",""""))"),"")</f>
        <v/>
      </c>
      <c r="LL322" s="299" t="str">
        <f>IFERROR(__xludf.DUMMYFUNCTION("IF(REGEXMATCH(LD322, ""G""), ""G1"",IF(REGEXMATCH(LE322, ""G""), ""G2"",""""))"),"")</f>
        <v/>
      </c>
      <c r="LM322" s="299" t="str">
        <f>IFERROR(__xludf.DUMMYFUNCTION("IF(REGEXMATCH(LD322, ""m""), ""m1"",IF(REGEXMATCH(LE322, ""m""), ""m2"",""""))"),"m1")</f>
        <v>m1</v>
      </c>
      <c r="LN322" s="299" t="str">
        <f>IFERROR(__xludf.DUMMYFUNCTION("IF(REGEXMATCH(LD322, ""M""), ""M1"",IF(REGEXMATCH(LE322, ""M""), ""M2"",""""))"),"")</f>
        <v/>
      </c>
      <c r="LO322" s="299" t="str">
        <f>IFERROR(__xludf.DUMMYFUNCTION("IF(REGEXMATCH(LD322, ""P""), ""P1"",IF(REGEXMATCH(LE322, ""P""), ""P2"",""""))"),"P1")</f>
        <v>P1</v>
      </c>
      <c r="LP322" s="299" t="str">
        <f>IFERROR(__xludf.DUMMYFUNCTION("IF(REGEXMATCH(LD322, ""d""), ""d1"",IF(REGEXMATCH(LE322, ""d""), ""d2"",""""))"),"d1")</f>
        <v>d1</v>
      </c>
      <c r="LQ322" s="299" t="str">
        <f>IFERROR(__xludf.DUMMYFUNCTION("IF(REGEXMATCH(LD322, ""D""), ""D1"",IF(REGEXMATCH(LE322, ""D""), ""D2"",""""))"),"")</f>
        <v/>
      </c>
      <c r="LR322" s="299" t="str">
        <f>IFERROR(__xludf.DUMMYFUNCTION("IF(REGEXMATCH(LD322, ""n""), ""n1"",IF(REGEXMATCH(LE322, ""n""), ""n2"",""""))"),"")</f>
        <v/>
      </c>
      <c r="LS322" s="299" t="str">
        <f>IFERROR(__xludf.DUMMYFUNCTION("IF(REGEXMATCH(LD322, ""N""), ""N1"",IF(REGEXMATCH(LE322, ""N""), ""N2"",""""))"),"")</f>
        <v/>
      </c>
      <c r="LT322" s="388" t="str">
        <f>IFERROR(__xludf.DUMMYFUNCTION("IF(REGEXMATCH(LD322, ""S""), ""S"",IF(REGEXMATCH(LE322, ""S""), ""S"",""""))"),"S")</f>
        <v>S</v>
      </c>
      <c r="LU322" s="389">
        <f t="shared" si="196"/>
        <v>1</v>
      </c>
      <c r="LV322" s="378"/>
      <c r="LW322" s="369"/>
      <c r="LX322" s="369"/>
    </row>
    <row r="323" ht="18.0" customHeight="1">
      <c r="A323" s="298" t="s">
        <v>1162</v>
      </c>
      <c r="B323" s="222" t="s">
        <v>339</v>
      </c>
      <c r="C323" s="233" t="str">
        <f t="shared" si="7"/>
        <v>SrGMPdNS</v>
      </c>
      <c r="D323" s="234" t="str">
        <f>IFERROR(__xludf.DUMMYFUNCTION("IF(REGEXMATCH(C323, ""S""), ""S"","""")"),"S")</f>
        <v>S</v>
      </c>
      <c r="E323" s="236" t="str">
        <f>IFERROR(__xludf.DUMMYFUNCTION("IF(REGEXMATCH(C323, ""r""), ""r"","""")"),"r")</f>
        <v>r</v>
      </c>
      <c r="F323" s="237" t="str">
        <f>IFERROR(__xludf.DUMMYFUNCTION("IF(REGEXMATCH(C323, ""R""), ""R"","""")"),"")</f>
        <v/>
      </c>
      <c r="G323" s="237" t="str">
        <f>IFERROR(__xludf.DUMMYFUNCTION("IF(REGEXMATCH(C323, ""g""), ""g"","""")"),"")</f>
        <v/>
      </c>
      <c r="H323" s="236" t="str">
        <f>IFERROR(__xludf.DUMMYFUNCTION("IF(REGEXMATCH(C323, ""G""), ""G"","""")"),"G")</f>
        <v>G</v>
      </c>
      <c r="I323" s="236" t="str">
        <f>IFERROR(__xludf.DUMMYFUNCTION("IF(REGEXMATCH(C323, ""m""), ""m"","""")"),"")</f>
        <v/>
      </c>
      <c r="J323" s="237" t="str">
        <f>IFERROR(__xludf.DUMMYFUNCTION("IF(REGEXMATCH(C323, ""M""), ""M"","""")"),"M")</f>
        <v>M</v>
      </c>
      <c r="K323" s="236" t="str">
        <f>IFERROR(__xludf.DUMMYFUNCTION("IF(REGEXMATCH(C323, ""P""), ""P"","""")"),"P")</f>
        <v>P</v>
      </c>
      <c r="L323" s="237" t="str">
        <f>IFERROR(__xludf.DUMMYFUNCTION("IF(REGEXMATCH(C323, ""d""), ""d"","""")"),"d")</f>
        <v>d</v>
      </c>
      <c r="M323" s="236" t="str">
        <f>IFERROR(__xludf.DUMMYFUNCTION("IF(REGEXMATCH(C323, ""D""), ""D"","""")"),"")</f>
        <v/>
      </c>
      <c r="N323" s="236" t="str">
        <f>IFERROR(__xludf.DUMMYFUNCTION("IF(REGEXMATCH(C323, ""n""), ""n"","""")"),"")</f>
        <v/>
      </c>
      <c r="O323" s="237" t="str">
        <f>IFERROR(__xludf.DUMMYFUNCTION("IF(REGEXMATCH(C323, ""N""), ""N"","""")"),"N")</f>
        <v>N</v>
      </c>
      <c r="P323" s="238" t="str">
        <f>IFERROR(__xludf.DUMMYFUNCTION("IF(REGEXMATCH(C323, ""S""), ""S"","""")"),"S")</f>
        <v>S</v>
      </c>
      <c r="Q323" s="239" t="str">
        <f>IFERROR(__xludf.DUMMYFUNCTION("SUBSTITUTE(CONCATENATE(JOIN(""-"",D323:J323)),""-"","""")"),"SrGM")</f>
        <v>SrGM</v>
      </c>
      <c r="R323" s="229" t="str">
        <f>IFERROR(__xludf.DUMMYFUNCTION("SUBSTITUTE(CONCATENATE(JOIN(""-"",K323:P323)),""-"","""")"),"PdNS")</f>
        <v>PdNS</v>
      </c>
      <c r="S323" s="282" t="str">
        <f t="shared" si="8"/>
        <v>S-R-G-M</v>
      </c>
      <c r="T323" s="282" t="str">
        <f t="shared" si="9"/>
        <v>P-D-N-S</v>
      </c>
      <c r="U323" s="237" t="str">
        <f>IFERROR(__xludf.DUMMYFUNCTION("SUBSTITUTE(JOIN(""-"",S323,T323),""--"",""-"")"),"S-R-G-M-P-D-N-S")</f>
        <v>S-R-G-M-P-D-N-S</v>
      </c>
      <c r="V323" s="309" t="str">
        <f t="shared" si="10"/>
        <v>rGMdN</v>
      </c>
      <c r="W323" s="244" t="str">
        <f>IFERROR(__xludf.DUMMYFUNCTION("IF(REGEXMATCH(C323, ""S""), ""0"","""")"),"0")</f>
        <v>0</v>
      </c>
      <c r="X323" s="245" t="str">
        <f>IFERROR(__xludf.DUMMYFUNCTION("IF(REGEXMATCH(C323, ""r""), ""1"","""")"),"1")</f>
        <v>1</v>
      </c>
      <c r="Y323" s="246" t="str">
        <f>IFERROR(__xludf.DUMMYFUNCTION("IF(REGEXMATCH(C323, ""R""), ""2"","""")"),"")</f>
        <v/>
      </c>
      <c r="Z323" s="246" t="str">
        <f>IFERROR(__xludf.DUMMYFUNCTION("IF(REGEXMATCH(C323, ""g""), ""3"","""")"),"")</f>
        <v/>
      </c>
      <c r="AA323" s="245" t="str">
        <f>IFERROR(__xludf.DUMMYFUNCTION("IF(REGEXMATCH(C323, ""G""), ""4"","""")"),"4")</f>
        <v>4</v>
      </c>
      <c r="AB323" s="245" t="str">
        <f>IFERROR(__xludf.DUMMYFUNCTION("IF(REGEXMATCH(C323, ""m""), ""5"","""")"),"")</f>
        <v/>
      </c>
      <c r="AC323" s="246" t="str">
        <f>IFERROR(__xludf.DUMMYFUNCTION("IF(REGEXMATCH(C323, ""M""), ""6"","""")"),"6")</f>
        <v>6</v>
      </c>
      <c r="AD323" s="245" t="str">
        <f>IFERROR(__xludf.DUMMYFUNCTION("IF(REGEXMATCH(C323, ""P""), ""7"","""")"),"7")</f>
        <v>7</v>
      </c>
      <c r="AE323" s="246" t="str">
        <f>IFERROR(__xludf.DUMMYFUNCTION("IF(REGEXMATCH(C323, ""d""), ""8"","""")"),"8")</f>
        <v>8</v>
      </c>
      <c r="AF323" s="245" t="str">
        <f>IFERROR(__xludf.DUMMYFUNCTION("IF(REGEXMATCH(C323, ""D""), ""9"","""")"),"")</f>
        <v/>
      </c>
      <c r="AG323" s="245" t="str">
        <f>IFERROR(__xludf.DUMMYFUNCTION("IF(REGEXMATCH(C323, ""n""), ""10"","""")"),"")</f>
        <v/>
      </c>
      <c r="AH323" s="246" t="str">
        <f>IFERROR(__xludf.DUMMYFUNCTION("IF(REGEXMATCH(C323, ""N""), ""11"","""")"),"11")</f>
        <v>11</v>
      </c>
      <c r="AI323" s="249" t="str">
        <f>IFERROR(__xludf.DUMMYFUNCTION("IF(REGEXMATCH(C323, ""S""), ""0"","""")"),"0")</f>
        <v>0</v>
      </c>
      <c r="AJ323" s="313" t="str">
        <f t="shared" si="11"/>
        <v>T</v>
      </c>
      <c r="AK323" s="313" t="str">
        <f t="shared" si="12"/>
        <v>T</v>
      </c>
      <c r="AL323" s="313" t="str">
        <f t="shared" si="13"/>
        <v>-</v>
      </c>
      <c r="AM323" s="313" t="str">
        <f t="shared" si="14"/>
        <v>-</v>
      </c>
      <c r="AN323" s="313" t="str">
        <f t="shared" si="15"/>
        <v>-</v>
      </c>
      <c r="AO323" s="314" t="str">
        <f t="shared" si="16"/>
        <v>-</v>
      </c>
      <c r="AP323" s="316">
        <f t="shared" si="17"/>
        <v>2</v>
      </c>
      <c r="AQ323" s="319" t="str">
        <f t="shared" si="18"/>
        <v>-</v>
      </c>
      <c r="AR323" s="320">
        <f t="shared" si="19"/>
        <v>0</v>
      </c>
      <c r="AS323" s="250" t="str">
        <f>IFERROR(__xludf.DUMMYFUNCTION("SUBSTITUTE(SUBSTITUTE(CONCATENATE(JOIN("""",FP323:GA323)),""|"",""x""),""-"",""o"")"),"xxooxoxxxoox")</f>
        <v>xxooxoxxxoox</v>
      </c>
      <c r="AT323" s="323" t="str">
        <f>IFERROR(__xludf.DUMMYFUNCTION("JOIN("""",AS323,AS323)"),"xxooxoxxxooxxxooxoxxxoox")</f>
        <v>xxooxoxxxooxxxooxoxxxoox</v>
      </c>
      <c r="AU323" s="256" t="str">
        <f>IFERROR(__xludf.DUMMYFUNCTION("JOIN("""",ArrayFormula(MID(AS323,LEN(AS323)-SEQUENCE(1,LEN(AS323))+1,1)))"),"xooxxxoxooxx")</f>
        <v>xooxxxoxooxx</v>
      </c>
      <c r="AV323" s="256" t="str">
        <f>IFERROR(__xludf.DUMMYFUNCTION("LEFT(CONCATENATE(""x"",JOIN("""",ArrayFormula(MID(AS323,LEN(AS323)-SEQUENCE(1,LEN(AS323))+1,1)))),12)"),"xxooxxxoxoox")</f>
        <v>xxooxxxoxoox</v>
      </c>
      <c r="AW323" s="327" t="str">
        <f>IFERROR(__xludf.DUMMYFUNCTION("JOIN("""",AU323,AU323)"),"xooxxxoxooxxxooxxxoxooxx")</f>
        <v>xooxxxoxooxxxooxxxoxooxx</v>
      </c>
      <c r="AX323" s="239" t="str">
        <f>IFERROR(__xludf.DUMMYFUNCTION("IF(REGEXMATCH(AW323,AS323),""✔"",""-"")"),"-")</f>
        <v>-</v>
      </c>
      <c r="AY323" s="330" t="str">
        <f t="shared" si="20"/>
        <v>-</v>
      </c>
      <c r="AZ323" s="260" t="str">
        <f t="shared" si="21"/>
        <v>#REF!</v>
      </c>
      <c r="BA323" s="333" t="str">
        <f t="shared" si="22"/>
        <v>xxooxox</v>
      </c>
      <c r="BB323" s="334" t="str">
        <f t="shared" si="23"/>
        <v>xxooxx</v>
      </c>
      <c r="BC323" s="335" t="str">
        <f t="shared" si="236"/>
        <v>-</v>
      </c>
      <c r="BD323" s="336" t="str">
        <f t="shared" si="25"/>
        <v>Shree: 'xxooxox' + 'xxooxx'</v>
      </c>
      <c r="BE323" s="337">
        <f>IFERROR(__xludf.DUMMYFUNCTION("COUNTUNIQUE(FILTER(AT:AT,REGEXMATCH(AT:AT,AS323)))-1"),5.0)</f>
        <v>5</v>
      </c>
      <c r="BF323" s="261" t="str">
        <f>IFERROR(__xludf.DUMMYFUNCTION("IF(BI323=0,""(n/a)"",IF(BJ323=2,""(PAIR)"",IF(REGEXMATCH(AT323,""xoxoxxoxoxox""),""Bilawal"",IF(REGEXMATCH(AT323,""xoxoxooxoxoo""),""Bhupali"",IF(REGEXMATCH(AT323,""xoxoxxoxxoxo""),""Charukeshi"",IF(REGEXMATCH(AT323,""xoxoooxxoxxo""),""Kameshwari"",IF(REG"&amp;"EXMATCH(AT323,""xoxoxooxoxox""),""Shankara"",IF(REGEXMATCH(AT323,""xxooxoxxxoox""),""Basant"",IF(REGEXMATCH(AT323,""xoxoxxxxoxox""),""Bihag"",IF(REGEXMATCH(AT323,""xoxxxxoxoxxx""),""Pilu"",IF(REGEXMATCH(AT323,""xoxxoxoxxoox""),""Kirwani"",IF(REGEXMATCH(AT"&amp;"323,""xoxxoxoxoxxx""),""Mk.Malhar"",IF(REGEXMATCH(AT323,""xxooxxoxxoox""),""Bhairav"",IF(REGEXMATCH(AT323,""xxoxooxxxoox""),""Todi"",IF(REGEXMATCH(AT323,""xxooxoxooxox""),""Marwa"",IF(REGEXMATCH(AT323,""xxoooxoxxooo""),""Gunkali"",IF(REGEXMATCH(AT323,""xo"&amp;"xoxxoxxoox""),""Nat Bhairav"",IF(REGEXMATCH(AT323,""xoxxoooxoxoo""),""Shivranjani"",IF(REGEXMATCH(AT323,""xooxxxoxooxo""),""Jog"",IF(REGEXMATCH(AT323,""xxooxoxoxoox""),""Hemshri"",IF(REGEXMATCH(AT323,""xoooxooxoxxo""),""Kalavati"",IF(REGEXMATCH(AT323,""xx"&amp;"oxoxxoxoox""),""Kedar"",IF(REGEXMATCH(AT323,""xoxxxxoxooxx""),""Gara"",IF(REGEXMATCH(AT323,""xooxoxooxoox""),""Chandrakauns"",IF(REGEXMATCH(AT323,""xoxxxxoxxxox""),""Mand"",IF(REGEXMATCH(AT323,""xoxxxxoxoxox""),""Hanskinkini"",IF(REGEXMATCH(AT323,""xxooxx"&amp;"oxooxo""),""Lilavati"",IF(REGEXMATCH(AT323,""xooxoxoooxox""),""Rajeshwari"",IF(REGEXMATCH(AT323,""xoooxxoxoxxx""),""Khokar"",IF(REGEXMATCH(AT323,""xxooxoxxxxox""),""Maligoura"",""-""))))))))))))))))))))))))))))))"),"Basant")</f>
        <v>Basant</v>
      </c>
      <c r="BG323" s="239" t="str">
        <f t="shared" si="26"/>
        <v>#REF!</v>
      </c>
      <c r="BH323" s="239">
        <f>IFERROR(__xludf.DUMMYFUNCTION("COUNTUNIQUE(FE323:FO323)-1"),6.0)</f>
        <v>6</v>
      </c>
      <c r="BI323" s="239">
        <f>IFERROR(__xludf.DUMMYFUNCTION("COUNTUNIQUE(FILTER(AT:AT,REGEXMATCH(AT:AT,AS323)))-1"),5.0)</f>
        <v>5</v>
      </c>
      <c r="BJ323" s="239">
        <f>IFERROR(__xludf.DUMMYFUNCTION("COUNTA(FILTER(AT:AT,REGEXMATCH(AT:AT,AS323)))"),12.0)</f>
        <v>12</v>
      </c>
      <c r="BK323" s="341">
        <f>IFERROR(__xludf.DUMMYFUNCTION("COUNTA(FILTER(AT:AT,REGEXMATCH(AT:AT,AS323)))-AR323"),12.0)</f>
        <v>12</v>
      </c>
      <c r="BL323" s="276" t="str">
        <f>IFERROR(__xludf.DUMMYFUNCTION("IF(AS323=""oooooooooooo"",""-"",IF(REGEXMATCH(AT323,""xx""), ""Hemi."", ""Anhemi.""))"),"Hemi.")</f>
        <v>Hemi.</v>
      </c>
      <c r="BM323" s="282" t="str">
        <f>IFERROR(__xludf.DUMMYFUNCTION("IF(AS323=""oooooooooooo"",""-"",IF(REGEXMATCH(AT323,""xxx""), ""Cohem."", ""-""))"),"Cohem.")</f>
        <v>Cohem.</v>
      </c>
      <c r="BN323" s="282" t="str">
        <f>IFERROR(__xludf.DUMMYFUNCTION("IF(AS323=""oooooooooooo"",""-"",IF(REGEXMATCH(AT323,""xxxx""), ""Co-Co."", ""-""))"),"-")</f>
        <v>-</v>
      </c>
      <c r="BO323" s="342" t="str">
        <f>IFERROR(__xludf.DUMMYFUNCTION("IF(AS323=""oooooooooooo"",""-"",IF(REGEXMATCH(AT323,""xxxxx""), ""CCC."", ""-""))"),"-")</f>
        <v>-</v>
      </c>
      <c r="BP323" s="344" t="str">
        <f t="shared" si="27"/>
        <v>Poorvi</v>
      </c>
      <c r="BQ323" s="282" t="str">
        <f>IFERROR(__xludf.DUMMYFUNCTION("IF(REGEXMATCH(JOIN(""-"",EU323:FD323),""TRUE""),""✔"",""-"")"),"✔")</f>
        <v>✔</v>
      </c>
      <c r="BR323" s="225">
        <f t="shared" si="28"/>
        <v>1</v>
      </c>
      <c r="BS323" s="345" t="str">
        <f>IFERROR(__xludf.DUMMYFUNCTION("SUBSTITUTE(SUBSTITUTE(SUBSTITUTE(SUBSTITUTE(CONCATENATE(JOIN(""-"",GC323:GO323)),""--"",""-""),""--"",""-""),""--"",""-""),""--"",""-"")"),"1-b2-3-#4-5-b6-7-8")</f>
        <v>1-b2-3-#4-5-b6-7-8</v>
      </c>
      <c r="BT323" s="299" t="str">
        <f>IFERROR(__xludf.DUMMYFUNCTION("SUBSTITUTE(SUBSTITUTE(SUBSTITUTE(SUBSTITUTE(CONCATENATE(JOIN(""-"",GP323:HB323)),""--"",""-""),""--"",""-""),""--"",""-""),""--"",""-"")"),"S-R1-G3-M2-P-D1-N3-S")</f>
        <v>S-R1-G3-M2-P-D1-N3-S</v>
      </c>
      <c r="BU323" s="348" t="str">
        <f t="shared" si="29"/>
        <v>C-Db-E-F#-G-Ab-B-C</v>
      </c>
      <c r="BV323" s="349" t="str">
        <f t="shared" si="30"/>
        <v>SRgmDnS</v>
      </c>
      <c r="BW323" s="350">
        <f t="shared" si="31"/>
        <v>0</v>
      </c>
      <c r="BX323" s="351">
        <f t="shared" si="32"/>
        <v>6</v>
      </c>
      <c r="BY323" s="392"/>
      <c r="BZ323" s="309" t="str">
        <f>IFERROR(__xludf.DUMMYFUNCTION("IF(REGEXMATCH(C323, ""S""), ""x"",""x"")"),"x")</f>
        <v>x</v>
      </c>
      <c r="CA323" s="245" t="str">
        <f>IFERROR(__xludf.DUMMYFUNCTION("IF(REGEXMATCH(C323, ""r""), ""o"",""x"")"),"o")</f>
        <v>o</v>
      </c>
      <c r="CB323" s="246" t="str">
        <f>IFERROR(__xludf.DUMMYFUNCTION("IF(REGEXMATCH(C323, ""R""), ""o"",""x"")"),"x")</f>
        <v>x</v>
      </c>
      <c r="CC323" s="246" t="str">
        <f>IFERROR(__xludf.DUMMYFUNCTION("IF(REGEXMATCH(C323, ""g""), ""o"",""x"")"),"x")</f>
        <v>x</v>
      </c>
      <c r="CD323" s="245" t="str">
        <f>IFERROR(__xludf.DUMMYFUNCTION("IF(REGEXMATCH(C323, ""G""), ""o"",""x"")"),"o")</f>
        <v>o</v>
      </c>
      <c r="CE323" s="245" t="str">
        <f>IFERROR(__xludf.DUMMYFUNCTION("IF(REGEXMATCH(C323, ""m""), ""o"",""x"")"),"x")</f>
        <v>x</v>
      </c>
      <c r="CF323" s="246" t="str">
        <f>IFERROR(__xludf.DUMMYFUNCTION("IF(REGEXMATCH(C323, ""M""), ""o"",""x"")"),"o")</f>
        <v>o</v>
      </c>
      <c r="CG323" s="245" t="str">
        <f>IFERROR(__xludf.DUMMYFUNCTION("IF(REGEXMATCH(C323, ""P""), ""o"",""x"")"),"o")</f>
        <v>o</v>
      </c>
      <c r="CH323" s="246" t="str">
        <f>IFERROR(__xludf.DUMMYFUNCTION("IF(REGEXMATCH(C323, ""d""), ""o"",""x"")"),"o")</f>
        <v>o</v>
      </c>
      <c r="CI323" s="245" t="str">
        <f>IFERROR(__xludf.DUMMYFUNCTION("IF(REGEXMATCH(C323, ""D""), ""o"",""x"")"),"x")</f>
        <v>x</v>
      </c>
      <c r="CJ323" s="245" t="str">
        <f>IFERROR(__xludf.DUMMYFUNCTION("IF(REGEXMATCH(C323, ""n""), ""o"",""x"")"),"x")</f>
        <v>x</v>
      </c>
      <c r="CK323" s="245" t="str">
        <f>IFERROR(__xludf.DUMMYFUNCTION("IF(REGEXMATCH(C323, ""N""), ""o"",""x"")"),"o")</f>
        <v>o</v>
      </c>
      <c r="CL323" s="356" t="str">
        <f>IFERROR(__xludf.DUMMYFUNCTION("IF(REGEXMATCH(C323, ""S""), ""x"",""x"")"),"x")</f>
        <v>x</v>
      </c>
      <c r="CM323" s="357" t="str">
        <f t="shared" si="33"/>
        <v>xoxxoxoooxxo</v>
      </c>
      <c r="CN323" s="358">
        <f t="shared" si="34"/>
        <v>0</v>
      </c>
      <c r="CO323" s="246" t="str">
        <f>IFERROR(__xludf.DUMMYFUNCTION("IF(REGEXMATCH($C323, ""S""), ""S"",""S"")"),"S")</f>
        <v>S</v>
      </c>
      <c r="CP323" s="246" t="str">
        <f>IFERROR(__xludf.DUMMYFUNCTION("IF(REGEXMATCH($C323, ""r""), """",""r"")"),"")</f>
        <v/>
      </c>
      <c r="CQ323" s="246" t="str">
        <f>IFERROR(__xludf.DUMMYFUNCTION("IF(REGEXMATCH($C323, ""R""), """",""R"")"),"R")</f>
        <v>R</v>
      </c>
      <c r="CR323" s="246" t="str">
        <f>IFERROR(__xludf.DUMMYFUNCTION("IF(REGEXMATCH($C323, ""g""), """",""g"")"),"g")</f>
        <v>g</v>
      </c>
      <c r="CS323" s="246" t="str">
        <f>IFERROR(__xludf.DUMMYFUNCTION("IF(REGEXMATCH($C323, ""G""), """",""G"")"),"")</f>
        <v/>
      </c>
      <c r="CT323" s="246" t="str">
        <f>IFERROR(__xludf.DUMMYFUNCTION("IF(REGEXMATCH($C323, ""m""), """",""m"")"),"m")</f>
        <v>m</v>
      </c>
      <c r="CU323" s="246" t="str">
        <f>IFERROR(__xludf.DUMMYFUNCTION("IF(REGEXMATCH($C323, ""M""), """",""M"")"),"")</f>
        <v/>
      </c>
      <c r="CV323" s="246" t="str">
        <f>IFERROR(__xludf.DUMMYFUNCTION("IF(REGEXMATCH($C323, ""P""), """",""P"")"),"")</f>
        <v/>
      </c>
      <c r="CW323" s="246" t="str">
        <f>IFERROR(__xludf.DUMMYFUNCTION("IF(REGEXMATCH($C323, ""d""), """",""d"")"),"")</f>
        <v/>
      </c>
      <c r="CX323" s="246" t="str">
        <f>IFERROR(__xludf.DUMMYFUNCTION("IF(REGEXMATCH($C323, ""D""), """",""D"")"),"D")</f>
        <v>D</v>
      </c>
      <c r="CY323" s="246" t="str">
        <f>IFERROR(__xludf.DUMMYFUNCTION("IF(REGEXMATCH($C323, ""n""), """",""n"")"),"n")</f>
        <v>n</v>
      </c>
      <c r="CZ323" s="246" t="str">
        <f>IFERROR(__xludf.DUMMYFUNCTION("IF(REGEXMATCH($C323, ""N""), """",""N"")"),"")</f>
        <v/>
      </c>
      <c r="DA323" s="246" t="str">
        <f>IFERROR(__xludf.DUMMYFUNCTION("IF(REGEXMATCH($C323, ""S""), ""S"",""S"")"),"S")</f>
        <v>S</v>
      </c>
      <c r="DB323" s="362" t="str">
        <f>IFERROR(__xludf.DUMMYFUNCTION("JOIN("""",CO323:DA323,"""","""")"),"SRgmDnS")</f>
        <v>SRgmDnS</v>
      </c>
      <c r="DC323" s="363"/>
      <c r="DD323" s="301" t="str">
        <f t="shared" si="35"/>
        <v>#REF!</v>
      </c>
      <c r="DE323" s="302" t="str">
        <f t="shared" si="36"/>
        <v>#REF!</v>
      </c>
      <c r="DF323" s="301" t="str">
        <f t="shared" ref="DF323:DG323" si="876">SUBSTITUTE(S323,"-","")</f>
        <v>SRGM</v>
      </c>
      <c r="DG323" s="301" t="str">
        <f t="shared" si="876"/>
        <v>PDNS</v>
      </c>
      <c r="DH323" s="302" t="str">
        <f t="shared" si="38"/>
        <v>Basant</v>
      </c>
      <c r="DI323" s="301" t="str">
        <f t="shared" si="39"/>
        <v>Hemi.</v>
      </c>
      <c r="DJ323" s="364" t="str">
        <f t="shared" si="40"/>
        <v>Cohem.</v>
      </c>
      <c r="DK323" s="306" t="str">
        <f t="shared" si="41"/>
        <v>Poorvi</v>
      </c>
      <c r="DL323" s="366" t="str">
        <f t="shared" si="42"/>
        <v>-</v>
      </c>
      <c r="DM323" s="308" t="str">
        <f t="shared" si="43"/>
        <v>-</v>
      </c>
      <c r="DN323" s="306" t="str">
        <f t="shared" si="44"/>
        <v>-</v>
      </c>
      <c r="DO323" s="306" t="str">
        <f t="shared" si="45"/>
        <v>-</v>
      </c>
      <c r="DP323" s="367" t="str">
        <f t="shared" si="46"/>
        <v>✔</v>
      </c>
      <c r="DQ323" s="310" t="str">
        <f t="shared" si="47"/>
        <v>-</v>
      </c>
      <c r="DR323" s="310" t="str">
        <f t="shared" si="48"/>
        <v>-</v>
      </c>
      <c r="DS323" s="310" t="str">
        <f t="shared" si="49"/>
        <v>-</v>
      </c>
      <c r="DT323" s="310" t="str">
        <f t="shared" si="50"/>
        <v>-</v>
      </c>
      <c r="DU323" s="370" t="str">
        <f t="shared" si="51"/>
        <v>-</v>
      </c>
      <c r="DV323" s="306" t="str">
        <f t="shared" si="52"/>
        <v>-</v>
      </c>
      <c r="DW323" s="306" t="str">
        <f t="shared" si="53"/>
        <v>-</v>
      </c>
      <c r="DX323" s="306" t="str">
        <f t="shared" si="54"/>
        <v>-</v>
      </c>
      <c r="DY323" s="306" t="str">
        <f t="shared" si="55"/>
        <v>-</v>
      </c>
      <c r="DZ323" s="306" t="str">
        <f t="shared" si="56"/>
        <v>-</v>
      </c>
      <c r="EA323" s="367" t="str">
        <f t="shared" si="57"/>
        <v>-</v>
      </c>
      <c r="EB323" s="310" t="str">
        <f>IFERROR(__xludf.DUMMYFUNCTION("IF(REGEXMATCH(AW323,AS323),""✔"",""-"")"),"-")</f>
        <v>-</v>
      </c>
      <c r="EC323" s="310" t="str">
        <f t="shared" si="58"/>
        <v>#REF!</v>
      </c>
      <c r="ED323" s="370" t="str">
        <f t="shared" si="59"/>
        <v>-</v>
      </c>
      <c r="EE323" s="340" t="str">
        <f t="shared" si="60"/>
        <v>S-r-G-M-P-d-N-S</v>
      </c>
      <c r="EF323" s="371" t="str">
        <f>IFERROR(__xludf.DUMMYFUNCTION("CONCATENATE(JOIN("""",HC323:HO323))"),"SrGmMdNS")</f>
        <v>SrGmMdNS</v>
      </c>
      <c r="EG323" s="372">
        <f t="shared" si="61"/>
        <v>2</v>
      </c>
      <c r="EH323" s="373" t="str">
        <f>IFERROR(__xludf.DUMMYFUNCTION("CONCATENATE(JOIN("""",JC323:JO323))"),"Pa, dha, ")</f>
        <v>Pa, dha, </v>
      </c>
      <c r="EI323" s="322">
        <f t="shared" si="62"/>
        <v>0</v>
      </c>
      <c r="EJ323" s="374" t="str">
        <f>IFERROR(__xludf.DUMMYFUNCTION("CONCATENATE(JOIN("""",KC323:KO323))"),"")</f>
        <v/>
      </c>
      <c r="EK323" s="325" t="str">
        <f t="shared" si="63"/>
        <v>S-R1-G3-M2-P-D1-N3-S</v>
      </c>
      <c r="EL323" s="326" t="str">
        <f t="shared" si="64"/>
        <v>1-b2-3-#4-5-b6-7-8</v>
      </c>
      <c r="EM323" s="318" t="str">
        <f t="shared" si="65"/>
        <v>#REF!</v>
      </c>
      <c r="EN323" s="328" t="str">
        <f>IFERROR(__xludf.DUMMYFUNCTION("SUBSTITUTE(SUBSTITUTE(SUBSTITUTE(SUBSTITUTE(CONCATENATE(JOIN("" "",HP323:IB323)),""  "","" ""),""  "","" ""),""  "","" ""),""  "","" "")"),"o o • • o • o o o • • o o")</f>
        <v>o o • • o • o o o • • o o</v>
      </c>
      <c r="EO323" s="368" t="str">
        <f t="shared" si="66"/>
        <v>Sa-Pa</v>
      </c>
      <c r="EP323" s="339" t="str">
        <f t="shared" si="67"/>
        <v>Sa-Pa</v>
      </c>
      <c r="EQ323" s="339" t="str">
        <f t="shared" si="68"/>
        <v>Sa-Pa</v>
      </c>
      <c r="ER323" s="339" t="str">
        <f t="shared" si="69"/>
        <v>-</v>
      </c>
      <c r="ES323" s="340" t="str">
        <f t="shared" si="70"/>
        <v>-</v>
      </c>
      <c r="ET323" s="363"/>
      <c r="EU323" s="376" t="b">
        <f>IFERROR(__xludf.DUMMYFUNCTION("arrayformula(sum(--REGEXMATCH(""SRGMPDNS"",split(REGEXREPLACE(C323,""(.)"",""$1~""),""~""))))=len(C323)
"),FALSE)</f>
        <v>0</v>
      </c>
      <c r="EV323" s="290" t="b">
        <f>IFERROR(__xludf.DUMMYFUNCTION("arrayformula(sum(--REGEXMATCH(""SRGmPDNS"",split(REGEXREPLACE(C323,""(.)"",""$1~""),""~""))))=len(C323)"),FALSE)</f>
        <v>0</v>
      </c>
      <c r="EW323" s="290" t="b">
        <f>IFERROR(__xludf.DUMMYFUNCTION("arrayformula(sum(--REGEXMATCH(""SRGmPDnS"",split(REGEXREPLACE(C323,""(.)"",""$1~""),""~""))))=len(C323)"),FALSE)</f>
        <v>0</v>
      </c>
      <c r="EX323" s="290" t="b">
        <f>IFERROR(__xludf.DUMMYFUNCTION("arrayformula(sum(--REGEXMATCH(""SRgmPDnS"",split(REGEXREPLACE(C323,""(.)"",""$1~""),""~""))))=len(C323)"),FALSE)</f>
        <v>0</v>
      </c>
      <c r="EY323" s="290" t="b">
        <f>IFERROR(__xludf.DUMMYFUNCTION("arrayformula(sum(--REGEXMATCH(""SRgmPdnS"",split(REGEXREPLACE(C323,""(.)"",""$1~""),""~""))))=len(C323)"),FALSE)</f>
        <v>0</v>
      </c>
      <c r="EZ323" s="290" t="b">
        <f>IFERROR(__xludf.DUMMYFUNCTION("arrayformula(sum(--REGEXMATCH(""SrgmPdnS"",split(REGEXREPLACE(C323,""(.)"",""$1~""),""~""))))=len(C323)"),FALSE)</f>
        <v>0</v>
      </c>
      <c r="FA323" s="290" t="b">
        <f>IFERROR(__xludf.DUMMYFUNCTION("arrayformula(sum(--REGEXMATCH(""SrGmPdNS"",split(REGEXREPLACE(C323,""(.)"",""$1~""),""~""))))=len(C323)"),FALSE)</f>
        <v>0</v>
      </c>
      <c r="FB323" s="290" t="b">
        <f>IFERROR(__xludf.DUMMYFUNCTION("arrayformula(sum(--REGEXMATCH(""SrGMPDNS"",split(REGEXREPLACE(C323,""(.)"",""$1~""),""~""))))=len(C323)"),FALSE)</f>
        <v>0</v>
      </c>
      <c r="FC323" s="290" t="b">
        <f>IFERROR(__xludf.DUMMYFUNCTION("arrayformula(sum(--REGEXMATCH(""SrGMPdNS"",split(REGEXREPLACE(C323,""(.)"",""$1~""),""~""))))=len(C323)"),TRUE)</f>
        <v>1</v>
      </c>
      <c r="FD323" s="377" t="b">
        <f>IFERROR(__xludf.DUMMYFUNCTION("arrayformula(sum(--REGEXMATCH(""SrgMPdNS"",split(REGEXREPLACE(C323,""(.)"",""$1~""),""~""))))=len(C323)"),FALSE)</f>
        <v>0</v>
      </c>
      <c r="FE323" s="269" t="str">
        <f t="shared" si="71"/>
        <v>xooxoxxxoox</v>
      </c>
      <c r="FF323" s="269" t="str">
        <f t="shared" si="72"/>
        <v>-</v>
      </c>
      <c r="FG323" s="271" t="str">
        <f t="shared" si="73"/>
        <v>-</v>
      </c>
      <c r="FH323" s="269" t="str">
        <f t="shared" si="74"/>
        <v>xoxxxooxxxo</v>
      </c>
      <c r="FI323" s="271" t="str">
        <f t="shared" si="75"/>
        <v>-</v>
      </c>
      <c r="FJ323" s="271" t="str">
        <f t="shared" si="76"/>
        <v>xxxooxxxoox</v>
      </c>
      <c r="FK323" s="271" t="str">
        <f t="shared" si="77"/>
        <v>xxooxxxooxo</v>
      </c>
      <c r="FL323" s="271" t="str">
        <f t="shared" si="78"/>
        <v>xooxxxooxox</v>
      </c>
      <c r="FM323" s="271" t="str">
        <f t="shared" si="79"/>
        <v>-</v>
      </c>
      <c r="FN323" s="271" t="str">
        <f t="shared" si="80"/>
        <v>-</v>
      </c>
      <c r="FO323" s="274" t="str">
        <f t="shared" si="81"/>
        <v>xxxooxoxxxo</v>
      </c>
      <c r="FP323" s="234" t="str">
        <f t="shared" si="82"/>
        <v>|</v>
      </c>
      <c r="FQ323" s="236" t="str">
        <f t="shared" si="83"/>
        <v>|</v>
      </c>
      <c r="FR323" s="237" t="str">
        <f t="shared" si="84"/>
        <v>-</v>
      </c>
      <c r="FS323" s="236" t="str">
        <f t="shared" si="85"/>
        <v>-</v>
      </c>
      <c r="FT323" s="237" t="str">
        <f t="shared" si="86"/>
        <v>|</v>
      </c>
      <c r="FU323" s="236" t="str">
        <f t="shared" si="87"/>
        <v>-</v>
      </c>
      <c r="FV323" s="237" t="str">
        <f t="shared" si="88"/>
        <v>|</v>
      </c>
      <c r="FW323" s="236" t="str">
        <f t="shared" si="89"/>
        <v>|</v>
      </c>
      <c r="FX323" s="237" t="str">
        <f t="shared" si="90"/>
        <v>|</v>
      </c>
      <c r="FY323" s="236" t="str">
        <f t="shared" si="91"/>
        <v>-</v>
      </c>
      <c r="FZ323" s="237" t="str">
        <f t="shared" si="92"/>
        <v>-</v>
      </c>
      <c r="GA323" s="236" t="str">
        <f t="shared" si="93"/>
        <v>|</v>
      </c>
      <c r="GB323" s="238" t="str">
        <f t="shared" si="94"/>
        <v>|</v>
      </c>
      <c r="GC323" s="244" t="str">
        <f>IFERROR(__xludf.DUMMYFUNCTION("IF(REGEXMATCH(C323, ""S""), ""1"","""")"),"1")</f>
        <v>1</v>
      </c>
      <c r="GD323" s="245" t="str">
        <f>IFERROR(__xludf.DUMMYFUNCTION("IF(REGEXMATCH(C323, ""r""), ""b2"","""")"),"b2")</f>
        <v>b2</v>
      </c>
      <c r="GE323" s="246" t="str">
        <f>IFERROR(__xludf.DUMMYFUNCTION("IF(REGEXMATCH(C323, ""R""), ""2"","""")"),"")</f>
        <v/>
      </c>
      <c r="GF323" s="246" t="str">
        <f>IFERROR(__xludf.DUMMYFUNCTION("IF(REGEXMATCH(C323, ""g""), ""b3"","""")"),"")</f>
        <v/>
      </c>
      <c r="GG323" s="245" t="str">
        <f>IFERROR(__xludf.DUMMYFUNCTION("IF(REGEXMATCH(C323, ""G""), ""3"","""")"),"3")</f>
        <v>3</v>
      </c>
      <c r="GH323" s="245" t="str">
        <f>IFERROR(__xludf.DUMMYFUNCTION("IF(REGEXMATCH(C323, ""m""), ""4"","""")"),"")</f>
        <v/>
      </c>
      <c r="GI323" s="246" t="str">
        <f>IFERROR(__xludf.DUMMYFUNCTION("IF(REGEXMATCH(C323, ""M""), ""#4"","""")"),"#4")</f>
        <v>#4</v>
      </c>
      <c r="GJ323" s="245" t="str">
        <f>IFERROR(__xludf.DUMMYFUNCTION("IF(REGEXMATCH(C323, ""P""), ""5"","""")"),"5")</f>
        <v>5</v>
      </c>
      <c r="GK323" s="246" t="str">
        <f>IFERROR(__xludf.DUMMYFUNCTION("IF(REGEXMATCH(C323, ""d""), ""b6"","""")"),"b6")</f>
        <v>b6</v>
      </c>
      <c r="GL323" s="245" t="str">
        <f>IFERROR(__xludf.DUMMYFUNCTION("IF(REGEXMATCH(C323, ""D""), ""6"","""")"),"")</f>
        <v/>
      </c>
      <c r="GM323" s="245" t="str">
        <f>IFERROR(__xludf.DUMMYFUNCTION("IF(REGEXMATCH(C323, ""n""), ""b7"","""")"),"")</f>
        <v/>
      </c>
      <c r="GN323" s="246" t="str">
        <f>IFERROR(__xludf.DUMMYFUNCTION("IF(REGEXMATCH(C323, ""N""), ""7"","""")"),"7")</f>
        <v>7</v>
      </c>
      <c r="GO323" s="249" t="str">
        <f>IFERROR(__xludf.DUMMYFUNCTION("IF(REGEXMATCH(C323, ""S""), ""8"","""")"),"8")</f>
        <v>8</v>
      </c>
      <c r="GP323" s="244" t="str">
        <f>IFERROR(__xludf.DUMMYFUNCTION("IF(REGEXMATCH(C323, ""S""), ""S"","""")"),"S")</f>
        <v>S</v>
      </c>
      <c r="GQ323" s="294" t="str">
        <f>IFERROR(__xludf.DUMMYFUNCTION("IF(REGEXMATCH(C323, ""r""), ""R1"","""")"),"R1")</f>
        <v>R1</v>
      </c>
      <c r="GR323" s="295" t="str">
        <f>IFERROR(__xludf.DUMMYFUNCTION("IF(REGEXMATCH(C323, ""R""), ""R2"","""")"),"")</f>
        <v/>
      </c>
      <c r="GS323" s="295" t="str">
        <f>IFERROR(__xludf.DUMMYFUNCTION("IF(REGEXMATCH(C323, ""g""), ""G2"","""")"),"")</f>
        <v/>
      </c>
      <c r="GT323" s="294" t="str">
        <f>IFERROR(__xludf.DUMMYFUNCTION("IF(REGEXMATCH(C323, ""G""), ""G3"","""")"),"G3")</f>
        <v>G3</v>
      </c>
      <c r="GU323" s="294" t="str">
        <f>IFERROR(__xludf.DUMMYFUNCTION("IF(REGEXMATCH(C323, ""m""), ""M1"","""")"),"")</f>
        <v/>
      </c>
      <c r="GV323" s="295" t="str">
        <f>IFERROR(__xludf.DUMMYFUNCTION("IF(REGEXMATCH(C323, ""M""), ""M2"","""")"),"M2")</f>
        <v>M2</v>
      </c>
      <c r="GW323" s="294" t="str">
        <f>IFERROR(__xludf.DUMMYFUNCTION("IF(REGEXMATCH(C323, ""P""), ""P"","""")"),"P")</f>
        <v>P</v>
      </c>
      <c r="GX323" s="295" t="str">
        <f>IFERROR(__xludf.DUMMYFUNCTION("IF(REGEXMATCH(C323, ""d""), ""D1"","""")"),"D1")</f>
        <v>D1</v>
      </c>
      <c r="GY323" s="294" t="str">
        <f>IFERROR(__xludf.DUMMYFUNCTION("IF(REGEXMATCH(C323, ""D""), ""D2"","""")"),"")</f>
        <v/>
      </c>
      <c r="GZ323" s="294" t="str">
        <f>IFERROR(__xludf.DUMMYFUNCTION("IF(REGEXMATCH(C323, ""n""), ""N2"","""")"),"")</f>
        <v/>
      </c>
      <c r="HA323" s="295" t="str">
        <f>IFERROR(__xludf.DUMMYFUNCTION("IF(REGEXMATCH(C323, ""N""), ""N3"","""")"),"N3")</f>
        <v>N3</v>
      </c>
      <c r="HB323" s="249" t="str">
        <f>IFERROR(__xludf.DUMMYFUNCTION("IF(REGEXMATCH(C323, ""S""), ""S"","""")"),"S")</f>
        <v>S</v>
      </c>
      <c r="HC323" s="331" t="str">
        <f t="shared" si="95"/>
        <v>S</v>
      </c>
      <c r="HD323" s="332" t="str">
        <f t="shared" si="96"/>
        <v>r</v>
      </c>
      <c r="HE323" s="332" t="str">
        <f t="shared" si="97"/>
        <v/>
      </c>
      <c r="HF323" s="332" t="str">
        <f t="shared" si="98"/>
        <v/>
      </c>
      <c r="HG323" s="332" t="str">
        <f t="shared" si="99"/>
        <v>G</v>
      </c>
      <c r="HH323" s="332" t="str">
        <f t="shared" si="100"/>
        <v>m</v>
      </c>
      <c r="HI323" s="332" t="str">
        <f t="shared" si="101"/>
        <v>M</v>
      </c>
      <c r="HJ323" s="332" t="str">
        <f t="shared" si="102"/>
        <v/>
      </c>
      <c r="HK323" s="332" t="str">
        <f t="shared" si="103"/>
        <v>d</v>
      </c>
      <c r="HL323" s="332" t="str">
        <f t="shared" si="104"/>
        <v/>
      </c>
      <c r="HM323" s="332" t="str">
        <f t="shared" si="105"/>
        <v/>
      </c>
      <c r="HN323" s="332" t="str">
        <f t="shared" si="106"/>
        <v>N</v>
      </c>
      <c r="HO323" s="343" t="str">
        <f t="shared" si="107"/>
        <v>S</v>
      </c>
      <c r="HP323" s="331" t="str">
        <f t="shared" si="108"/>
        <v>o</v>
      </c>
      <c r="HQ323" s="332" t="str">
        <f t="shared" si="109"/>
        <v>o</v>
      </c>
      <c r="HR323" s="332" t="str">
        <f t="shared" si="110"/>
        <v>•</v>
      </c>
      <c r="HS323" s="332" t="str">
        <f t="shared" si="111"/>
        <v>•</v>
      </c>
      <c r="HT323" s="332" t="str">
        <f t="shared" si="112"/>
        <v>o</v>
      </c>
      <c r="HU323" s="332" t="str">
        <f t="shared" si="113"/>
        <v>•</v>
      </c>
      <c r="HV323" s="332" t="str">
        <f t="shared" si="114"/>
        <v>o</v>
      </c>
      <c r="HW323" s="332" t="str">
        <f t="shared" si="115"/>
        <v>o</v>
      </c>
      <c r="HX323" s="332" t="str">
        <f t="shared" si="116"/>
        <v>o</v>
      </c>
      <c r="HY323" s="332" t="str">
        <f t="shared" si="117"/>
        <v>•</v>
      </c>
      <c r="HZ323" s="332" t="str">
        <f t="shared" si="118"/>
        <v>•</v>
      </c>
      <c r="IA323" s="332" t="str">
        <f t="shared" si="119"/>
        <v>o</v>
      </c>
      <c r="IB323" s="338" t="str">
        <f t="shared" si="120"/>
        <v>o</v>
      </c>
      <c r="IC323" s="331" t="str">
        <f t="shared" si="121"/>
        <v>•</v>
      </c>
      <c r="ID323" s="332" t="str">
        <f t="shared" si="122"/>
        <v>•</v>
      </c>
      <c r="IE323" s="332" t="str">
        <f t="shared" si="123"/>
        <v>o</v>
      </c>
      <c r="IF323" s="332" t="str">
        <f t="shared" si="124"/>
        <v>o</v>
      </c>
      <c r="IG323" s="332" t="str">
        <f t="shared" si="125"/>
        <v>•</v>
      </c>
      <c r="IH323" s="332" t="str">
        <f t="shared" si="126"/>
        <v>o</v>
      </c>
      <c r="II323" s="332" t="str">
        <f t="shared" si="127"/>
        <v>•</v>
      </c>
      <c r="IJ323" s="332" t="str">
        <f t="shared" si="128"/>
        <v>•</v>
      </c>
      <c r="IK323" s="332" t="str">
        <f t="shared" si="129"/>
        <v>•</v>
      </c>
      <c r="IL323" s="332" t="str">
        <f t="shared" si="130"/>
        <v>o</v>
      </c>
      <c r="IM323" s="332" t="str">
        <f t="shared" si="131"/>
        <v>o</v>
      </c>
      <c r="IN323" s="332" t="str">
        <f t="shared" si="132"/>
        <v>•</v>
      </c>
      <c r="IO323" s="338" t="str">
        <f t="shared" si="133"/>
        <v>•</v>
      </c>
      <c r="IP323" s="346" t="b">
        <f t="shared" si="134"/>
        <v>0</v>
      </c>
      <c r="IQ323" s="347" t="b">
        <f t="shared" si="135"/>
        <v>0</v>
      </c>
      <c r="IR323" s="347" t="b">
        <f t="shared" si="136"/>
        <v>0</v>
      </c>
      <c r="IS323" s="347" t="b">
        <f t="shared" si="137"/>
        <v>0</v>
      </c>
      <c r="IT323" s="347" t="b">
        <f t="shared" si="138"/>
        <v>0</v>
      </c>
      <c r="IU323" s="347" t="b">
        <f t="shared" si="139"/>
        <v>0</v>
      </c>
      <c r="IV323" s="347" t="b">
        <f t="shared" si="140"/>
        <v>0</v>
      </c>
      <c r="IW323" s="347" t="b">
        <f t="shared" si="141"/>
        <v>1</v>
      </c>
      <c r="IX323" s="347" t="b">
        <f t="shared" si="142"/>
        <v>1</v>
      </c>
      <c r="IY323" s="347" t="b">
        <f t="shared" si="143"/>
        <v>0</v>
      </c>
      <c r="IZ323" s="347" t="b">
        <f t="shared" si="144"/>
        <v>0</v>
      </c>
      <c r="JA323" s="347" t="b">
        <f t="shared" si="145"/>
        <v>0</v>
      </c>
      <c r="JB323" s="353" t="b">
        <f t="shared" si="146"/>
        <v>0</v>
      </c>
      <c r="JC323" s="354" t="str">
        <f t="shared" si="147"/>
        <v/>
      </c>
      <c r="JD323" s="355" t="str">
        <f t="shared" si="148"/>
        <v/>
      </c>
      <c r="JE323" s="355" t="str">
        <f t="shared" si="149"/>
        <v/>
      </c>
      <c r="JF323" s="355" t="str">
        <f t="shared" si="150"/>
        <v/>
      </c>
      <c r="JG323" s="355" t="str">
        <f t="shared" si="151"/>
        <v/>
      </c>
      <c r="JH323" s="355" t="str">
        <f t="shared" si="152"/>
        <v/>
      </c>
      <c r="JI323" s="355" t="str">
        <f t="shared" si="153"/>
        <v/>
      </c>
      <c r="JJ323" s="355" t="str">
        <f t="shared" si="154"/>
        <v>Pa, </v>
      </c>
      <c r="JK323" s="355" t="str">
        <f t="shared" si="155"/>
        <v>dha, </v>
      </c>
      <c r="JL323" s="355" t="str">
        <f t="shared" si="156"/>
        <v/>
      </c>
      <c r="JM323" s="355" t="str">
        <f t="shared" si="157"/>
        <v/>
      </c>
      <c r="JN323" s="355" t="str">
        <f t="shared" si="158"/>
        <v/>
      </c>
      <c r="JO323" s="359" t="str">
        <f t="shared" si="159"/>
        <v/>
      </c>
      <c r="JP323" s="346" t="b">
        <f t="shared" si="160"/>
        <v>0</v>
      </c>
      <c r="JQ323" s="347" t="b">
        <f t="shared" si="161"/>
        <v>0</v>
      </c>
      <c r="JR323" s="347" t="b">
        <f t="shared" si="162"/>
        <v>0</v>
      </c>
      <c r="JS323" s="347" t="b">
        <f t="shared" si="163"/>
        <v>0</v>
      </c>
      <c r="JT323" s="347" t="b">
        <f t="shared" si="164"/>
        <v>0</v>
      </c>
      <c r="JU323" s="347" t="b">
        <f t="shared" si="165"/>
        <v>0</v>
      </c>
      <c r="JV323" s="347" t="b">
        <f t="shared" si="166"/>
        <v>0</v>
      </c>
      <c r="JW323" s="347" t="b">
        <f t="shared" si="167"/>
        <v>0</v>
      </c>
      <c r="JX323" s="347" t="b">
        <f t="shared" si="168"/>
        <v>0</v>
      </c>
      <c r="JY323" s="347" t="b">
        <f t="shared" si="169"/>
        <v>0</v>
      </c>
      <c r="JZ323" s="347" t="b">
        <f t="shared" si="170"/>
        <v>0</v>
      </c>
      <c r="KA323" s="347" t="b">
        <f t="shared" si="171"/>
        <v>0</v>
      </c>
      <c r="KB323" s="365" t="b">
        <f t="shared" si="172"/>
        <v>0</v>
      </c>
      <c r="KC323" s="354" t="str">
        <f t="shared" si="173"/>
        <v/>
      </c>
      <c r="KD323" s="355" t="str">
        <f t="shared" si="174"/>
        <v/>
      </c>
      <c r="KE323" s="355" t="str">
        <f t="shared" si="175"/>
        <v/>
      </c>
      <c r="KF323" s="355" t="str">
        <f t="shared" si="176"/>
        <v/>
      </c>
      <c r="KG323" s="355" t="str">
        <f t="shared" si="177"/>
        <v/>
      </c>
      <c r="KH323" s="355" t="str">
        <f t="shared" si="178"/>
        <v/>
      </c>
      <c r="KI323" s="355" t="str">
        <f t="shared" si="179"/>
        <v/>
      </c>
      <c r="KJ323" s="355" t="str">
        <f t="shared" si="180"/>
        <v/>
      </c>
      <c r="KK323" s="355" t="str">
        <f t="shared" si="181"/>
        <v/>
      </c>
      <c r="KL323" s="355" t="str">
        <f t="shared" si="182"/>
        <v/>
      </c>
      <c r="KM323" s="355" t="str">
        <f t="shared" si="183"/>
        <v/>
      </c>
      <c r="KN323" s="355" t="str">
        <f t="shared" si="184"/>
        <v/>
      </c>
      <c r="KO323" s="359"/>
      <c r="KP323" s="378"/>
      <c r="KQ323" s="379" t="s">
        <v>1496</v>
      </c>
      <c r="KR323" s="380" t="s">
        <v>1315</v>
      </c>
      <c r="KS323" s="381" t="str">
        <f t="shared" si="874"/>
        <v>S-r-M-P-N-S</v>
      </c>
      <c r="KT323" s="382">
        <f t="shared" si="186"/>
        <v>5</v>
      </c>
      <c r="KU323" s="383">
        <f t="shared" si="187"/>
        <v>5</v>
      </c>
      <c r="KV323" s="381" t="str">
        <f t="shared" si="205"/>
        <v>S-N-d-P-M-G-r-S</v>
      </c>
      <c r="KW323" s="382">
        <f t="shared" si="189"/>
        <v>7</v>
      </c>
      <c r="KX323" s="384">
        <f t="shared" si="190"/>
        <v>7</v>
      </c>
      <c r="KY323" s="382">
        <f t="shared" ref="KY323:KZ323" si="877">KW323-KT323</f>
        <v>2</v>
      </c>
      <c r="KZ323" s="369">
        <f t="shared" si="877"/>
        <v>2</v>
      </c>
      <c r="LA323" s="385" t="str">
        <f t="shared" si="192"/>
        <v>-</v>
      </c>
      <c r="LB323" s="340" t="str">
        <f>IFERROR(__xludf.DUMMYFUNCTION("JOIN("""",ArrayFormula(MID(KS323,LEN(KS323)-SEQUENCE(1,LEN(KS323))+1,1)))"),"S-N-P-M-r-S")</f>
        <v>S-N-P-M-r-S</v>
      </c>
      <c r="LC323" s="373" t="str">
        <f>IFERROR(__xludf.DUMMYFUNCTION("JOIN("""",ArrayFormula(MID(KV323,LEN(KV323)-SEQUENCE(1,LEN(KV323))+1,1)))"),"S-r-G-M-P-d-N-S")</f>
        <v>S-r-G-M-P-d-N-S</v>
      </c>
      <c r="LD323" s="373" t="str">
        <f t="shared" si="193"/>
        <v>SrMPNS</v>
      </c>
      <c r="LE323" s="339" t="str">
        <f t="shared" si="194"/>
        <v>SrGMPdNS</v>
      </c>
      <c r="LF323" s="386" t="str">
        <f>IFERROR(__xludf.DUMMYFUNCTION("SUBSTITUTE(SUBSTITUTE(CONCATENATE(JOIN("""",LH323:LT323)),""1"",""""),""2"","""")"),"SrGMPdNS")</f>
        <v>SrGMPdNS</v>
      </c>
      <c r="LG323" s="369" t="str">
        <f t="shared" si="195"/>
        <v>✔</v>
      </c>
      <c r="LH323" s="387" t="str">
        <f>IFERROR(__xludf.DUMMYFUNCTION("IF(REGEXMATCH(LD323, ""S""), ""S"",IF(REGEXMATCH(LE323, ""S""), ""S"",""""))"),"S")</f>
        <v>S</v>
      </c>
      <c r="LI323" s="299" t="str">
        <f>IFERROR(__xludf.DUMMYFUNCTION("IF(REGEXMATCH(LD323, ""r""), ""r1"",IF(REGEXMATCH(LE323, ""r""), ""r2"",""""))"),"r1")</f>
        <v>r1</v>
      </c>
      <c r="LJ323" s="299" t="str">
        <f>IFERROR(__xludf.DUMMYFUNCTION("IF(REGEXMATCH(LD323, ""R""), ""R1"",IF(REGEXMATCH(LE323, ""R""), ""R2"",""""))"),"")</f>
        <v/>
      </c>
      <c r="LK323" s="299" t="str">
        <f>IFERROR(__xludf.DUMMYFUNCTION("IF(REGEXMATCH(LD323, ""g""), ""g1"",IF(REGEXMATCH(LE323, ""g""), ""g2"",""""))"),"")</f>
        <v/>
      </c>
      <c r="LL323" s="299" t="str">
        <f>IFERROR(__xludf.DUMMYFUNCTION("IF(REGEXMATCH(LD323, ""G""), ""G1"",IF(REGEXMATCH(LE323, ""G""), ""G2"",""""))"),"G2")</f>
        <v>G2</v>
      </c>
      <c r="LM323" s="299" t="str">
        <f>IFERROR(__xludf.DUMMYFUNCTION("IF(REGEXMATCH(LD323, ""m""), ""m1"",IF(REGEXMATCH(LE323, ""m""), ""m2"",""""))"),"")</f>
        <v/>
      </c>
      <c r="LN323" s="299" t="str">
        <f>IFERROR(__xludf.DUMMYFUNCTION("IF(REGEXMATCH(LD323, ""M""), ""M1"",IF(REGEXMATCH(LE323, ""M""), ""M2"",""""))"),"M1")</f>
        <v>M1</v>
      </c>
      <c r="LO323" s="299" t="str">
        <f>IFERROR(__xludf.DUMMYFUNCTION("IF(REGEXMATCH(LD323, ""P""), ""P1"",IF(REGEXMATCH(LE323, ""P""), ""P2"",""""))"),"P1")</f>
        <v>P1</v>
      </c>
      <c r="LP323" s="299" t="str">
        <f>IFERROR(__xludf.DUMMYFUNCTION("IF(REGEXMATCH(LD323, ""d""), ""d1"",IF(REGEXMATCH(LE323, ""d""), ""d2"",""""))"),"d2")</f>
        <v>d2</v>
      </c>
      <c r="LQ323" s="299" t="str">
        <f>IFERROR(__xludf.DUMMYFUNCTION("IF(REGEXMATCH(LD323, ""D""), ""D1"",IF(REGEXMATCH(LE323, ""D""), ""D2"",""""))"),"")</f>
        <v/>
      </c>
      <c r="LR323" s="299" t="str">
        <f>IFERROR(__xludf.DUMMYFUNCTION("IF(REGEXMATCH(LD323, ""n""), ""n1"",IF(REGEXMATCH(LE323, ""n""), ""n2"",""""))"),"")</f>
        <v/>
      </c>
      <c r="LS323" s="299" t="str">
        <f>IFERROR(__xludf.DUMMYFUNCTION("IF(REGEXMATCH(LD323, ""N""), ""N1"",IF(REGEXMATCH(LE323, ""N""), ""N2"",""""))"),"N1")</f>
        <v>N1</v>
      </c>
      <c r="LT323" s="388" t="str">
        <f>IFERROR(__xludf.DUMMYFUNCTION("IF(REGEXMATCH(LD323, ""S""), ""S"",IF(REGEXMATCH(LE323, ""S""), ""S"",""""))"),"S")</f>
        <v>S</v>
      </c>
      <c r="LU323" s="389">
        <f t="shared" si="196"/>
        <v>-3</v>
      </c>
      <c r="LV323" s="378"/>
      <c r="LW323" s="369"/>
      <c r="LX323" s="369"/>
    </row>
    <row r="324" ht="18.0" customHeight="1">
      <c r="A324" s="298" t="s">
        <v>1163</v>
      </c>
      <c r="B324" s="222" t="s">
        <v>288</v>
      </c>
      <c r="C324" s="233" t="str">
        <f t="shared" si="7"/>
        <v>SrGMPDNS</v>
      </c>
      <c r="D324" s="234" t="str">
        <f>IFERROR(__xludf.DUMMYFUNCTION("IF(REGEXMATCH(C324, ""S""), ""S"","""")"),"S")</f>
        <v>S</v>
      </c>
      <c r="E324" s="236" t="str">
        <f>IFERROR(__xludf.DUMMYFUNCTION("IF(REGEXMATCH(C324, ""r""), ""r"","""")"),"r")</f>
        <v>r</v>
      </c>
      <c r="F324" s="237" t="str">
        <f>IFERROR(__xludf.DUMMYFUNCTION("IF(REGEXMATCH(C324, ""R""), ""R"","""")"),"")</f>
        <v/>
      </c>
      <c r="G324" s="237" t="str">
        <f>IFERROR(__xludf.DUMMYFUNCTION("IF(REGEXMATCH(C324, ""g""), ""g"","""")"),"")</f>
        <v/>
      </c>
      <c r="H324" s="236" t="str">
        <f>IFERROR(__xludf.DUMMYFUNCTION("IF(REGEXMATCH(C324, ""G""), ""G"","""")"),"G")</f>
        <v>G</v>
      </c>
      <c r="I324" s="236" t="str">
        <f>IFERROR(__xludf.DUMMYFUNCTION("IF(REGEXMATCH(C324, ""m""), ""m"","""")"),"")</f>
        <v/>
      </c>
      <c r="J324" s="237" t="str">
        <f>IFERROR(__xludf.DUMMYFUNCTION("IF(REGEXMATCH(C324, ""M""), ""M"","""")"),"M")</f>
        <v>M</v>
      </c>
      <c r="K324" s="236" t="str">
        <f>IFERROR(__xludf.DUMMYFUNCTION("IF(REGEXMATCH(C324, ""P""), ""P"","""")"),"P")</f>
        <v>P</v>
      </c>
      <c r="L324" s="237" t="str">
        <f>IFERROR(__xludf.DUMMYFUNCTION("IF(REGEXMATCH(C324, ""d""), ""d"","""")"),"")</f>
        <v/>
      </c>
      <c r="M324" s="236" t="str">
        <f>IFERROR(__xludf.DUMMYFUNCTION("IF(REGEXMATCH(C324, ""D""), ""D"","""")"),"D")</f>
        <v>D</v>
      </c>
      <c r="N324" s="236" t="str">
        <f>IFERROR(__xludf.DUMMYFUNCTION("IF(REGEXMATCH(C324, ""n""), ""n"","""")"),"")</f>
        <v/>
      </c>
      <c r="O324" s="237" t="str">
        <f>IFERROR(__xludf.DUMMYFUNCTION("IF(REGEXMATCH(C324, ""N""), ""N"","""")"),"N")</f>
        <v>N</v>
      </c>
      <c r="P324" s="238" t="str">
        <f>IFERROR(__xludf.DUMMYFUNCTION("IF(REGEXMATCH(C324, ""S""), ""S"","""")"),"S")</f>
        <v>S</v>
      </c>
      <c r="Q324" s="239" t="str">
        <f>IFERROR(__xludf.DUMMYFUNCTION("SUBSTITUTE(CONCATENATE(JOIN(""-"",D324:J324)),""-"","""")"),"SrGM")</f>
        <v>SrGM</v>
      </c>
      <c r="R324" s="229" t="str">
        <f>IFERROR(__xludf.DUMMYFUNCTION("SUBSTITUTE(CONCATENATE(JOIN(""-"",K324:P324)),""-"","""")"),"PDNS")</f>
        <v>PDNS</v>
      </c>
      <c r="S324" s="282" t="str">
        <f t="shared" si="8"/>
        <v>S-R-G-M</v>
      </c>
      <c r="T324" s="282" t="str">
        <f t="shared" si="9"/>
        <v>P-D-N-S</v>
      </c>
      <c r="U324" s="237" t="str">
        <f>IFERROR(__xludf.DUMMYFUNCTION("SUBSTITUTE(JOIN(""-"",S324,T324),""--"",""-"")"),"S-R-G-M-P-D-N-S")</f>
        <v>S-R-G-M-P-D-N-S</v>
      </c>
      <c r="V324" s="309" t="str">
        <f t="shared" si="10"/>
        <v>rGMDN</v>
      </c>
      <c r="W324" s="244" t="str">
        <f>IFERROR(__xludf.DUMMYFUNCTION("IF(REGEXMATCH(C324, ""S""), ""0"","""")"),"0")</f>
        <v>0</v>
      </c>
      <c r="X324" s="245" t="str">
        <f>IFERROR(__xludf.DUMMYFUNCTION("IF(REGEXMATCH(C324, ""r""), ""1"","""")"),"1")</f>
        <v>1</v>
      </c>
      <c r="Y324" s="246" t="str">
        <f>IFERROR(__xludf.DUMMYFUNCTION("IF(REGEXMATCH(C324, ""R""), ""2"","""")"),"")</f>
        <v/>
      </c>
      <c r="Z324" s="246" t="str">
        <f>IFERROR(__xludf.DUMMYFUNCTION("IF(REGEXMATCH(C324, ""g""), ""3"","""")"),"")</f>
        <v/>
      </c>
      <c r="AA324" s="245" t="str">
        <f>IFERROR(__xludf.DUMMYFUNCTION("IF(REGEXMATCH(C324, ""G""), ""4"","""")"),"4")</f>
        <v>4</v>
      </c>
      <c r="AB324" s="245" t="str">
        <f>IFERROR(__xludf.DUMMYFUNCTION("IF(REGEXMATCH(C324, ""m""), ""5"","""")"),"")</f>
        <v/>
      </c>
      <c r="AC324" s="246" t="str">
        <f>IFERROR(__xludf.DUMMYFUNCTION("IF(REGEXMATCH(C324, ""M""), ""6"","""")"),"6")</f>
        <v>6</v>
      </c>
      <c r="AD324" s="245" t="str">
        <f>IFERROR(__xludf.DUMMYFUNCTION("IF(REGEXMATCH(C324, ""P""), ""7"","""")"),"7")</f>
        <v>7</v>
      </c>
      <c r="AE324" s="246" t="str">
        <f>IFERROR(__xludf.DUMMYFUNCTION("IF(REGEXMATCH(C324, ""d""), ""8"","""")"),"")</f>
        <v/>
      </c>
      <c r="AF324" s="245" t="str">
        <f>IFERROR(__xludf.DUMMYFUNCTION("IF(REGEXMATCH(C324, ""D""), ""9"","""")"),"9")</f>
        <v>9</v>
      </c>
      <c r="AG324" s="245" t="str">
        <f>IFERROR(__xludf.DUMMYFUNCTION("IF(REGEXMATCH(C324, ""n""), ""10"","""")"),"")</f>
        <v/>
      </c>
      <c r="AH324" s="246" t="str">
        <f>IFERROR(__xludf.DUMMYFUNCTION("IF(REGEXMATCH(C324, ""N""), ""11"","""")"),"11")</f>
        <v>11</v>
      </c>
      <c r="AI324" s="249" t="str">
        <f>IFERROR(__xludf.DUMMYFUNCTION("IF(REGEXMATCH(C324, ""S""), ""0"","""")"),"0")</f>
        <v>0</v>
      </c>
      <c r="AJ324" s="313" t="str">
        <f t="shared" si="11"/>
        <v>T</v>
      </c>
      <c r="AK324" s="313" t="str">
        <f t="shared" si="12"/>
        <v>T</v>
      </c>
      <c r="AL324" s="313" t="str">
        <f t="shared" si="13"/>
        <v>-</v>
      </c>
      <c r="AM324" s="313" t="str">
        <f t="shared" si="14"/>
        <v>-</v>
      </c>
      <c r="AN324" s="313" t="str">
        <f t="shared" si="15"/>
        <v>-</v>
      </c>
      <c r="AO324" s="314" t="str">
        <f t="shared" si="16"/>
        <v>-</v>
      </c>
      <c r="AP324" s="316">
        <f t="shared" si="17"/>
        <v>2</v>
      </c>
      <c r="AQ324" s="319" t="str">
        <f t="shared" si="18"/>
        <v>-</v>
      </c>
      <c r="AR324" s="320">
        <f t="shared" si="19"/>
        <v>0</v>
      </c>
      <c r="AS324" s="250" t="str">
        <f>IFERROR(__xludf.DUMMYFUNCTION("SUBSTITUTE(SUBSTITUTE(CONCATENATE(JOIN("""",FP324:GA324)),""|"",""x""),""-"",""o"")"),"xxooxoxxoxox")</f>
        <v>xxooxoxxoxox</v>
      </c>
      <c r="AT324" s="323" t="str">
        <f>IFERROR(__xludf.DUMMYFUNCTION("JOIN("""",AS324,AS324)"),"xxooxoxxoxoxxxooxoxxoxox")</f>
        <v>xxooxoxxoxoxxxooxoxxoxox</v>
      </c>
      <c r="AU324" s="256" t="str">
        <f>IFERROR(__xludf.DUMMYFUNCTION("JOIN("""",ArrayFormula(MID(AS324,LEN(AS324)-SEQUENCE(1,LEN(AS324))+1,1)))"),"xoxoxxoxooxx")</f>
        <v>xoxoxxoxooxx</v>
      </c>
      <c r="AV324" s="256" t="str">
        <f>IFERROR(__xludf.DUMMYFUNCTION("LEFT(CONCATENATE(""x"",JOIN("""",ArrayFormula(MID(AS324,LEN(AS324)-SEQUENCE(1,LEN(AS324))+1,1)))),12)"),"xxoxoxxoxoox")</f>
        <v>xxoxoxxoxoox</v>
      </c>
      <c r="AW324" s="327" t="str">
        <f>IFERROR(__xludf.DUMMYFUNCTION("JOIN("""",AU324,AU324)"),"xoxoxxoxooxxxoxoxxoxooxx")</f>
        <v>xoxoxxoxooxxxoxoxxoxooxx</v>
      </c>
      <c r="AX324" s="239" t="str">
        <f>IFERROR(__xludf.DUMMYFUNCTION("IF(REGEXMATCH(AW324,AS324),""✔"",""-"")"),"-")</f>
        <v>-</v>
      </c>
      <c r="AY324" s="330" t="str">
        <f t="shared" si="20"/>
        <v>-</v>
      </c>
      <c r="AZ324" s="260" t="str">
        <f t="shared" si="21"/>
        <v>#REF!</v>
      </c>
      <c r="BA324" s="333" t="str">
        <f t="shared" si="22"/>
        <v>xxooxox</v>
      </c>
      <c r="BB324" s="334" t="str">
        <f t="shared" si="23"/>
        <v>xoxoxx</v>
      </c>
      <c r="BC324" s="335" t="str">
        <f t="shared" si="236"/>
        <v>-</v>
      </c>
      <c r="BD324" s="336" t="str">
        <f t="shared" si="25"/>
        <v>Shree Kalyan: 'xxooxox' + 'xoxoxx'</v>
      </c>
      <c r="BE324" s="337">
        <f>IFERROR(__xludf.DUMMYFUNCTION("COUNTUNIQUE(FILTER(AT:AT,REGEXMATCH(AT:AT,AS324)))-1"),1.0)</f>
        <v>1</v>
      </c>
      <c r="BF324" s="261" t="str">
        <f>IFERROR(__xludf.DUMMYFUNCTION("IF(BI324=0,""(n/a)"",IF(BJ324=2,""(PAIR)"",IF(REGEXMATCH(AT324,""xoxoxxoxoxox""),""Bilawal"",IF(REGEXMATCH(AT324,""xoxoxooxoxoo""),""Bhupali"",IF(REGEXMATCH(AT324,""xoxoxxoxxoxo""),""Charukeshi"",IF(REGEXMATCH(AT324,""xoxoooxxoxxo""),""Kameshwari"",IF(REG"&amp;"EXMATCH(AT324,""xoxoxooxoxox""),""Shankara"",IF(REGEXMATCH(AT324,""xxooxoxxxoox""),""Basant"",IF(REGEXMATCH(AT324,""xoxoxxxxoxox""),""Bihag"",IF(REGEXMATCH(AT324,""xoxxxxoxoxxx""),""Pilu"",IF(REGEXMATCH(AT324,""xoxxoxoxxoox""),""Kirwani"",IF(REGEXMATCH(AT"&amp;"324,""xoxxoxoxoxxx""),""Mk.Malhar"",IF(REGEXMATCH(AT324,""xxooxxoxxoox""),""Bhairav"",IF(REGEXMATCH(AT324,""xxoxooxxxoox""),""Todi"",IF(REGEXMATCH(AT324,""xxooxoxooxox""),""Marwa"",IF(REGEXMATCH(AT324,""xxoooxoxxooo""),""Gunkali"",IF(REGEXMATCH(AT324,""xo"&amp;"xoxxoxxoox""),""Nat Bhairav"",IF(REGEXMATCH(AT324,""xoxxoooxoxoo""),""Shivranjani"",IF(REGEXMATCH(AT324,""xooxxxoxooxo""),""Jog"",IF(REGEXMATCH(AT324,""xxooxoxoxoox""),""Hemshri"",IF(REGEXMATCH(AT324,""xoooxooxoxxo""),""Kalavati"",IF(REGEXMATCH(AT324,""xx"&amp;"oxoxxoxoox""),""Kedar"",IF(REGEXMATCH(AT324,""xoxxxxoxooxx""),""Gara"",IF(REGEXMATCH(AT324,""xooxoxooxoox""),""Chandrakauns"",IF(REGEXMATCH(AT324,""xoxxxxoxxxox""),""Mand"",IF(REGEXMATCH(AT324,""xoxxxxoxoxox""),""Hanskinkini"",IF(REGEXMATCH(AT324,""xxooxx"&amp;"oxooxo""),""Lilavati"",IF(REGEXMATCH(AT324,""xooxoxoooxox""),""Rajeshwari"",IF(REGEXMATCH(AT324,""xoooxxoxoxxx""),""Khokar"",IF(REGEXMATCH(AT324,""xxooxoxxxxox""),""Maligoura"",""-""))))))))))))))))))))))))))))))"),"-")</f>
        <v>-</v>
      </c>
      <c r="BG324" s="239" t="str">
        <f t="shared" si="26"/>
        <v>#REF!</v>
      </c>
      <c r="BH324" s="239">
        <f>IFERROR(__xludf.DUMMYFUNCTION("COUNTUNIQUE(FE324:FO324)-1"),6.0)</f>
        <v>6</v>
      </c>
      <c r="BI324" s="239">
        <f>IFERROR(__xludf.DUMMYFUNCTION("COUNTUNIQUE(FILTER(AT:AT,REGEXMATCH(AT:AT,AS324)))-1"),1.0)</f>
        <v>1</v>
      </c>
      <c r="BJ324" s="239">
        <f>IFERROR(__xludf.DUMMYFUNCTION("COUNTA(FILTER(AT:AT,REGEXMATCH(AT:AT,AS324)))"),5.0)</f>
        <v>5</v>
      </c>
      <c r="BK324" s="341">
        <f>IFERROR(__xludf.DUMMYFUNCTION("COUNTA(FILTER(AT:AT,REGEXMATCH(AT:AT,AS324)))-AR324"),5.0)</f>
        <v>5</v>
      </c>
      <c r="BL324" s="276" t="str">
        <f>IFERROR(__xludf.DUMMYFUNCTION("IF(AS324=""oooooooooooo"",""-"",IF(REGEXMATCH(AT324,""xx""), ""Hemi."", ""Anhemi.""))"),"Hemi.")</f>
        <v>Hemi.</v>
      </c>
      <c r="BM324" s="282" t="str">
        <f>IFERROR(__xludf.DUMMYFUNCTION("IF(AS324=""oooooooooooo"",""-"",IF(REGEXMATCH(AT324,""xxx""), ""Cohem."", ""-""))"),"Cohem.")</f>
        <v>Cohem.</v>
      </c>
      <c r="BN324" s="282" t="str">
        <f>IFERROR(__xludf.DUMMYFUNCTION("IF(AS324=""oooooooooooo"",""-"",IF(REGEXMATCH(AT324,""xxxx""), ""Co-Co."", ""-""))"),"-")</f>
        <v>-</v>
      </c>
      <c r="BO324" s="342" t="str">
        <f>IFERROR(__xludf.DUMMYFUNCTION("IF(AS324=""oooooooooooo"",""-"",IF(REGEXMATCH(AT324,""xxxxx""), ""CCC."", ""-""))"),"-")</f>
        <v>-</v>
      </c>
      <c r="BP324" s="344" t="str">
        <f t="shared" si="27"/>
        <v>Marwa</v>
      </c>
      <c r="BQ324" s="282" t="str">
        <f>IFERROR(__xludf.DUMMYFUNCTION("IF(REGEXMATCH(JOIN(""-"",EU324:FD324),""TRUE""),""✔"",""-"")"),"✔")</f>
        <v>✔</v>
      </c>
      <c r="BR324" s="225">
        <f t="shared" si="28"/>
        <v>1</v>
      </c>
      <c r="BS324" s="345" t="str">
        <f>IFERROR(__xludf.DUMMYFUNCTION("SUBSTITUTE(SUBSTITUTE(SUBSTITUTE(SUBSTITUTE(CONCATENATE(JOIN(""-"",GC324:GO324)),""--"",""-""),""--"",""-""),""--"",""-""),""--"",""-"")"),"1-b2-3-#4-5-6-7-8")</f>
        <v>1-b2-3-#4-5-6-7-8</v>
      </c>
      <c r="BT324" s="299" t="str">
        <f>IFERROR(__xludf.DUMMYFUNCTION("SUBSTITUTE(SUBSTITUTE(SUBSTITUTE(SUBSTITUTE(CONCATENATE(JOIN(""-"",GP324:HB324)),""--"",""-""),""--"",""-""),""--"",""-""),""--"",""-"")"),"S-R1-G3-M2-P-D2-N3-S")</f>
        <v>S-R1-G3-M2-P-D2-N3-S</v>
      </c>
      <c r="BU324" s="348" t="str">
        <f t="shared" si="29"/>
        <v>C-Db-E-F#-G-A-B-C</v>
      </c>
      <c r="BV324" s="349" t="str">
        <f t="shared" si="30"/>
        <v>SRgmdnS</v>
      </c>
      <c r="BW324" s="350">
        <f t="shared" si="31"/>
        <v>0</v>
      </c>
      <c r="BX324" s="351">
        <f t="shared" si="32"/>
        <v>4</v>
      </c>
      <c r="BY324" s="392"/>
      <c r="BZ324" s="309" t="str">
        <f>IFERROR(__xludf.DUMMYFUNCTION("IF(REGEXMATCH(C324, ""S""), ""x"",""x"")"),"x")</f>
        <v>x</v>
      </c>
      <c r="CA324" s="245" t="str">
        <f>IFERROR(__xludf.DUMMYFUNCTION("IF(REGEXMATCH(C324, ""r""), ""o"",""x"")"),"o")</f>
        <v>o</v>
      </c>
      <c r="CB324" s="246" t="str">
        <f>IFERROR(__xludf.DUMMYFUNCTION("IF(REGEXMATCH(C324, ""R""), ""o"",""x"")"),"x")</f>
        <v>x</v>
      </c>
      <c r="CC324" s="246" t="str">
        <f>IFERROR(__xludf.DUMMYFUNCTION("IF(REGEXMATCH(C324, ""g""), ""o"",""x"")"),"x")</f>
        <v>x</v>
      </c>
      <c r="CD324" s="245" t="str">
        <f>IFERROR(__xludf.DUMMYFUNCTION("IF(REGEXMATCH(C324, ""G""), ""o"",""x"")"),"o")</f>
        <v>o</v>
      </c>
      <c r="CE324" s="245" t="str">
        <f>IFERROR(__xludf.DUMMYFUNCTION("IF(REGEXMATCH(C324, ""m""), ""o"",""x"")"),"x")</f>
        <v>x</v>
      </c>
      <c r="CF324" s="246" t="str">
        <f>IFERROR(__xludf.DUMMYFUNCTION("IF(REGEXMATCH(C324, ""M""), ""o"",""x"")"),"o")</f>
        <v>o</v>
      </c>
      <c r="CG324" s="245" t="str">
        <f>IFERROR(__xludf.DUMMYFUNCTION("IF(REGEXMATCH(C324, ""P""), ""o"",""x"")"),"o")</f>
        <v>o</v>
      </c>
      <c r="CH324" s="246" t="str">
        <f>IFERROR(__xludf.DUMMYFUNCTION("IF(REGEXMATCH(C324, ""d""), ""o"",""x"")"),"x")</f>
        <v>x</v>
      </c>
      <c r="CI324" s="245" t="str">
        <f>IFERROR(__xludf.DUMMYFUNCTION("IF(REGEXMATCH(C324, ""D""), ""o"",""x"")"),"o")</f>
        <v>o</v>
      </c>
      <c r="CJ324" s="245" t="str">
        <f>IFERROR(__xludf.DUMMYFUNCTION("IF(REGEXMATCH(C324, ""n""), ""o"",""x"")"),"x")</f>
        <v>x</v>
      </c>
      <c r="CK324" s="245" t="str">
        <f>IFERROR(__xludf.DUMMYFUNCTION("IF(REGEXMATCH(C324, ""N""), ""o"",""x"")"),"o")</f>
        <v>o</v>
      </c>
      <c r="CL324" s="356" t="str">
        <f>IFERROR(__xludf.DUMMYFUNCTION("IF(REGEXMATCH(C324, ""S""), ""x"",""x"")"),"x")</f>
        <v>x</v>
      </c>
      <c r="CM324" s="357" t="str">
        <f t="shared" si="33"/>
        <v>xoxxoxooxoxo</v>
      </c>
      <c r="CN324" s="358">
        <f t="shared" si="34"/>
        <v>0</v>
      </c>
      <c r="CO324" s="246" t="str">
        <f>IFERROR(__xludf.DUMMYFUNCTION("IF(REGEXMATCH($C324, ""S""), ""S"",""S"")"),"S")</f>
        <v>S</v>
      </c>
      <c r="CP324" s="246" t="str">
        <f>IFERROR(__xludf.DUMMYFUNCTION("IF(REGEXMATCH($C324, ""r""), """",""r"")"),"")</f>
        <v/>
      </c>
      <c r="CQ324" s="246" t="str">
        <f>IFERROR(__xludf.DUMMYFUNCTION("IF(REGEXMATCH($C324, ""R""), """",""R"")"),"R")</f>
        <v>R</v>
      </c>
      <c r="CR324" s="246" t="str">
        <f>IFERROR(__xludf.DUMMYFUNCTION("IF(REGEXMATCH($C324, ""g""), """",""g"")"),"g")</f>
        <v>g</v>
      </c>
      <c r="CS324" s="246" t="str">
        <f>IFERROR(__xludf.DUMMYFUNCTION("IF(REGEXMATCH($C324, ""G""), """",""G"")"),"")</f>
        <v/>
      </c>
      <c r="CT324" s="246" t="str">
        <f>IFERROR(__xludf.DUMMYFUNCTION("IF(REGEXMATCH($C324, ""m""), """",""m"")"),"m")</f>
        <v>m</v>
      </c>
      <c r="CU324" s="246" t="str">
        <f>IFERROR(__xludf.DUMMYFUNCTION("IF(REGEXMATCH($C324, ""M""), """",""M"")"),"")</f>
        <v/>
      </c>
      <c r="CV324" s="246" t="str">
        <f>IFERROR(__xludf.DUMMYFUNCTION("IF(REGEXMATCH($C324, ""P""), """",""P"")"),"")</f>
        <v/>
      </c>
      <c r="CW324" s="246" t="str">
        <f>IFERROR(__xludf.DUMMYFUNCTION("IF(REGEXMATCH($C324, ""d""), """",""d"")"),"d")</f>
        <v>d</v>
      </c>
      <c r="CX324" s="246" t="str">
        <f>IFERROR(__xludf.DUMMYFUNCTION("IF(REGEXMATCH($C324, ""D""), """",""D"")"),"")</f>
        <v/>
      </c>
      <c r="CY324" s="246" t="str">
        <f>IFERROR(__xludf.DUMMYFUNCTION("IF(REGEXMATCH($C324, ""n""), """",""n"")"),"n")</f>
        <v>n</v>
      </c>
      <c r="CZ324" s="246" t="str">
        <f>IFERROR(__xludf.DUMMYFUNCTION("IF(REGEXMATCH($C324, ""N""), """",""N"")"),"")</f>
        <v/>
      </c>
      <c r="DA324" s="246" t="str">
        <f>IFERROR(__xludf.DUMMYFUNCTION("IF(REGEXMATCH($C324, ""S""), ""S"",""S"")"),"S")</f>
        <v>S</v>
      </c>
      <c r="DB324" s="362" t="str">
        <f>IFERROR(__xludf.DUMMYFUNCTION("JOIN("""",CO324:DA324,"""","""")"),"SRgmdnS")</f>
        <v>SRgmdnS</v>
      </c>
      <c r="DC324" s="363"/>
      <c r="DD324" s="301" t="str">
        <f t="shared" si="35"/>
        <v>#REF!</v>
      </c>
      <c r="DE324" s="302" t="str">
        <f t="shared" si="36"/>
        <v>#REF!</v>
      </c>
      <c r="DF324" s="301" t="str">
        <f t="shared" ref="DF324:DG324" si="878">SUBSTITUTE(S324,"-","")</f>
        <v>SRGM</v>
      </c>
      <c r="DG324" s="301" t="str">
        <f t="shared" si="878"/>
        <v>PDNS</v>
      </c>
      <c r="DH324" s="302" t="str">
        <f t="shared" si="38"/>
        <v>-</v>
      </c>
      <c r="DI324" s="301" t="str">
        <f t="shared" si="39"/>
        <v>Hemi.</v>
      </c>
      <c r="DJ324" s="364" t="str">
        <f t="shared" si="40"/>
        <v>Cohem.</v>
      </c>
      <c r="DK324" s="306" t="str">
        <f t="shared" si="41"/>
        <v>Marwa</v>
      </c>
      <c r="DL324" s="366" t="str">
        <f t="shared" si="42"/>
        <v>-</v>
      </c>
      <c r="DM324" s="308" t="str">
        <f t="shared" si="43"/>
        <v>-</v>
      </c>
      <c r="DN324" s="306" t="str">
        <f t="shared" si="44"/>
        <v>-</v>
      </c>
      <c r="DO324" s="306" t="str">
        <f t="shared" si="45"/>
        <v>-</v>
      </c>
      <c r="DP324" s="367" t="str">
        <f t="shared" si="46"/>
        <v>✔</v>
      </c>
      <c r="DQ324" s="310" t="str">
        <f t="shared" si="47"/>
        <v>-</v>
      </c>
      <c r="DR324" s="310" t="str">
        <f t="shared" si="48"/>
        <v>-</v>
      </c>
      <c r="DS324" s="310" t="str">
        <f t="shared" si="49"/>
        <v>-</v>
      </c>
      <c r="DT324" s="310" t="str">
        <f t="shared" si="50"/>
        <v>-</v>
      </c>
      <c r="DU324" s="370" t="str">
        <f t="shared" si="51"/>
        <v>-</v>
      </c>
      <c r="DV324" s="306" t="str">
        <f t="shared" si="52"/>
        <v>-</v>
      </c>
      <c r="DW324" s="306" t="str">
        <f t="shared" si="53"/>
        <v>-</v>
      </c>
      <c r="DX324" s="306" t="str">
        <f t="shared" si="54"/>
        <v>-</v>
      </c>
      <c r="DY324" s="306" t="str">
        <f t="shared" si="55"/>
        <v>-</v>
      </c>
      <c r="DZ324" s="306" t="str">
        <f t="shared" si="56"/>
        <v>-</v>
      </c>
      <c r="EA324" s="367" t="str">
        <f t="shared" si="57"/>
        <v>-</v>
      </c>
      <c r="EB324" s="310" t="str">
        <f>IFERROR(__xludf.DUMMYFUNCTION("IF(REGEXMATCH(AW324,AS324),""✔"",""-"")"),"-")</f>
        <v>-</v>
      </c>
      <c r="EC324" s="310" t="str">
        <f t="shared" si="58"/>
        <v>#REF!</v>
      </c>
      <c r="ED324" s="370" t="str">
        <f t="shared" si="59"/>
        <v>-</v>
      </c>
      <c r="EE324" s="340" t="str">
        <f t="shared" si="60"/>
        <v>S-r-G-M-P-D-N-S</v>
      </c>
      <c r="EF324" s="371" t="str">
        <f>IFERROR(__xludf.DUMMYFUNCTION("CONCATENATE(JOIN("""",HC324:HO324))"),"SrgmMdNS")</f>
        <v>SrgmMdNS</v>
      </c>
      <c r="EG324" s="372">
        <f t="shared" si="61"/>
        <v>2</v>
      </c>
      <c r="EH324" s="373" t="str">
        <f>IFERROR(__xludf.DUMMYFUNCTION("CONCATENATE(JOIN("""",JC324:JO324))"),"re, Pa, ")</f>
        <v>re, Pa, </v>
      </c>
      <c r="EI324" s="322">
        <f t="shared" si="62"/>
        <v>0</v>
      </c>
      <c r="EJ324" s="374" t="str">
        <f>IFERROR(__xludf.DUMMYFUNCTION("CONCATENATE(JOIN("""",KC324:KO324))"),"")</f>
        <v/>
      </c>
      <c r="EK324" s="325" t="str">
        <f t="shared" si="63"/>
        <v>S-R1-G3-M2-P-D2-N3-S</v>
      </c>
      <c r="EL324" s="326" t="str">
        <f t="shared" si="64"/>
        <v>1-b2-3-#4-5-6-7-8</v>
      </c>
      <c r="EM324" s="318" t="str">
        <f t="shared" si="65"/>
        <v>#REF!</v>
      </c>
      <c r="EN324" s="328" t="str">
        <f>IFERROR(__xludf.DUMMYFUNCTION("SUBSTITUTE(SUBSTITUTE(SUBSTITUTE(SUBSTITUTE(CONCATENATE(JOIN("" "",HP324:IB324)),""  "","" ""),""  "","" ""),""  "","" ""),""  "","" "")"),"o o • • o • o o • o • o o")</f>
        <v>o o • • o • o o • o • o o</v>
      </c>
      <c r="EO324" s="368" t="str">
        <f t="shared" si="66"/>
        <v>Sa-Pa</v>
      </c>
      <c r="EP324" s="339" t="str">
        <f t="shared" si="67"/>
        <v>Sa-Pa</v>
      </c>
      <c r="EQ324" s="339" t="str">
        <f t="shared" si="68"/>
        <v>Sa-Pa</v>
      </c>
      <c r="ER324" s="339" t="str">
        <f t="shared" si="69"/>
        <v>-</v>
      </c>
      <c r="ES324" s="340" t="str">
        <f t="shared" si="70"/>
        <v>-</v>
      </c>
      <c r="ET324" s="363"/>
      <c r="EU324" s="376" t="b">
        <f>IFERROR(__xludf.DUMMYFUNCTION("arrayformula(sum(--REGEXMATCH(""SRGMPDNS"",split(REGEXREPLACE(C324,""(.)"",""$1~""),""~""))))=len(C324)
"),FALSE)</f>
        <v>0</v>
      </c>
      <c r="EV324" s="290" t="b">
        <f>IFERROR(__xludf.DUMMYFUNCTION("arrayformula(sum(--REGEXMATCH(""SRGmPDNS"",split(REGEXREPLACE(C324,""(.)"",""$1~""),""~""))))=len(C324)"),FALSE)</f>
        <v>0</v>
      </c>
      <c r="EW324" s="290" t="b">
        <f>IFERROR(__xludf.DUMMYFUNCTION("arrayformula(sum(--REGEXMATCH(""SRGmPDnS"",split(REGEXREPLACE(C324,""(.)"",""$1~""),""~""))))=len(C324)"),FALSE)</f>
        <v>0</v>
      </c>
      <c r="EX324" s="290" t="b">
        <f>IFERROR(__xludf.DUMMYFUNCTION("arrayformula(sum(--REGEXMATCH(""SRgmPDnS"",split(REGEXREPLACE(C324,""(.)"",""$1~""),""~""))))=len(C324)"),FALSE)</f>
        <v>0</v>
      </c>
      <c r="EY324" s="290" t="b">
        <f>IFERROR(__xludf.DUMMYFUNCTION("arrayformula(sum(--REGEXMATCH(""SRgmPdnS"",split(REGEXREPLACE(C324,""(.)"",""$1~""),""~""))))=len(C324)"),FALSE)</f>
        <v>0</v>
      </c>
      <c r="EZ324" s="290" t="b">
        <f>IFERROR(__xludf.DUMMYFUNCTION("arrayformula(sum(--REGEXMATCH(""SrgmPdnS"",split(REGEXREPLACE(C324,""(.)"",""$1~""),""~""))))=len(C324)"),FALSE)</f>
        <v>0</v>
      </c>
      <c r="FA324" s="290" t="b">
        <f>IFERROR(__xludf.DUMMYFUNCTION("arrayformula(sum(--REGEXMATCH(""SrGmPdNS"",split(REGEXREPLACE(C324,""(.)"",""$1~""),""~""))))=len(C324)"),FALSE)</f>
        <v>0</v>
      </c>
      <c r="FB324" s="290" t="b">
        <f>IFERROR(__xludf.DUMMYFUNCTION("arrayformula(sum(--REGEXMATCH(""SrGMPDNS"",split(REGEXREPLACE(C324,""(.)"",""$1~""),""~""))))=len(C324)"),TRUE)</f>
        <v>1</v>
      </c>
      <c r="FC324" s="290" t="b">
        <f>IFERROR(__xludf.DUMMYFUNCTION("arrayformula(sum(--REGEXMATCH(""SrGMPdNS"",split(REGEXREPLACE(C324,""(.)"",""$1~""),""~""))))=len(C324)"),FALSE)</f>
        <v>0</v>
      </c>
      <c r="FD324" s="377" t="b">
        <f>IFERROR(__xludf.DUMMYFUNCTION("arrayformula(sum(--REGEXMATCH(""SrgMPdNS"",split(REGEXREPLACE(C324,""(.)"",""$1~""),""~""))))=len(C324)"),FALSE)</f>
        <v>0</v>
      </c>
      <c r="FE324" s="269" t="str">
        <f t="shared" si="71"/>
        <v>xooxoxxoxox</v>
      </c>
      <c r="FF324" s="269" t="str">
        <f t="shared" si="72"/>
        <v>-</v>
      </c>
      <c r="FG324" s="271" t="str">
        <f t="shared" si="73"/>
        <v>-</v>
      </c>
      <c r="FH324" s="269" t="str">
        <f t="shared" si="74"/>
        <v>xoxxoxoxxxo</v>
      </c>
      <c r="FI324" s="271" t="str">
        <f t="shared" si="75"/>
        <v>-</v>
      </c>
      <c r="FJ324" s="271" t="str">
        <f t="shared" si="76"/>
        <v>xxoxoxxxoox</v>
      </c>
      <c r="FK324" s="271" t="str">
        <f t="shared" si="77"/>
        <v>xoxoxxxooxo</v>
      </c>
      <c r="FL324" s="271" t="str">
        <f t="shared" si="78"/>
        <v>-</v>
      </c>
      <c r="FM324" s="271" t="str">
        <f t="shared" si="79"/>
        <v>xoxxxooxoxx</v>
      </c>
      <c r="FN324" s="271" t="str">
        <f t="shared" si="80"/>
        <v>-</v>
      </c>
      <c r="FO324" s="274" t="str">
        <f t="shared" si="81"/>
        <v>xxxooxoxxox</v>
      </c>
      <c r="FP324" s="234" t="str">
        <f t="shared" si="82"/>
        <v>|</v>
      </c>
      <c r="FQ324" s="236" t="str">
        <f t="shared" si="83"/>
        <v>|</v>
      </c>
      <c r="FR324" s="237" t="str">
        <f t="shared" si="84"/>
        <v>-</v>
      </c>
      <c r="FS324" s="236" t="str">
        <f t="shared" si="85"/>
        <v>-</v>
      </c>
      <c r="FT324" s="237" t="str">
        <f t="shared" si="86"/>
        <v>|</v>
      </c>
      <c r="FU324" s="236" t="str">
        <f t="shared" si="87"/>
        <v>-</v>
      </c>
      <c r="FV324" s="237" t="str">
        <f t="shared" si="88"/>
        <v>|</v>
      </c>
      <c r="FW324" s="236" t="str">
        <f t="shared" si="89"/>
        <v>|</v>
      </c>
      <c r="FX324" s="237" t="str">
        <f t="shared" si="90"/>
        <v>-</v>
      </c>
      <c r="FY324" s="236" t="str">
        <f t="shared" si="91"/>
        <v>|</v>
      </c>
      <c r="FZ324" s="237" t="str">
        <f t="shared" si="92"/>
        <v>-</v>
      </c>
      <c r="GA324" s="236" t="str">
        <f t="shared" si="93"/>
        <v>|</v>
      </c>
      <c r="GB324" s="238" t="str">
        <f t="shared" si="94"/>
        <v>|</v>
      </c>
      <c r="GC324" s="244" t="str">
        <f>IFERROR(__xludf.DUMMYFUNCTION("IF(REGEXMATCH(C324, ""S""), ""1"","""")"),"1")</f>
        <v>1</v>
      </c>
      <c r="GD324" s="245" t="str">
        <f>IFERROR(__xludf.DUMMYFUNCTION("IF(REGEXMATCH(C324, ""r""), ""b2"","""")"),"b2")</f>
        <v>b2</v>
      </c>
      <c r="GE324" s="246" t="str">
        <f>IFERROR(__xludf.DUMMYFUNCTION("IF(REGEXMATCH(C324, ""R""), ""2"","""")"),"")</f>
        <v/>
      </c>
      <c r="GF324" s="246" t="str">
        <f>IFERROR(__xludf.DUMMYFUNCTION("IF(REGEXMATCH(C324, ""g""), ""b3"","""")"),"")</f>
        <v/>
      </c>
      <c r="GG324" s="245" t="str">
        <f>IFERROR(__xludf.DUMMYFUNCTION("IF(REGEXMATCH(C324, ""G""), ""3"","""")"),"3")</f>
        <v>3</v>
      </c>
      <c r="GH324" s="245" t="str">
        <f>IFERROR(__xludf.DUMMYFUNCTION("IF(REGEXMATCH(C324, ""m""), ""4"","""")"),"")</f>
        <v/>
      </c>
      <c r="GI324" s="246" t="str">
        <f>IFERROR(__xludf.DUMMYFUNCTION("IF(REGEXMATCH(C324, ""M""), ""#4"","""")"),"#4")</f>
        <v>#4</v>
      </c>
      <c r="GJ324" s="245" t="str">
        <f>IFERROR(__xludf.DUMMYFUNCTION("IF(REGEXMATCH(C324, ""P""), ""5"","""")"),"5")</f>
        <v>5</v>
      </c>
      <c r="GK324" s="246" t="str">
        <f>IFERROR(__xludf.DUMMYFUNCTION("IF(REGEXMATCH(C324, ""d""), ""b6"","""")"),"")</f>
        <v/>
      </c>
      <c r="GL324" s="245" t="str">
        <f>IFERROR(__xludf.DUMMYFUNCTION("IF(REGEXMATCH(C324, ""D""), ""6"","""")"),"6")</f>
        <v>6</v>
      </c>
      <c r="GM324" s="245" t="str">
        <f>IFERROR(__xludf.DUMMYFUNCTION("IF(REGEXMATCH(C324, ""n""), ""b7"","""")"),"")</f>
        <v/>
      </c>
      <c r="GN324" s="246" t="str">
        <f>IFERROR(__xludf.DUMMYFUNCTION("IF(REGEXMATCH(C324, ""N""), ""7"","""")"),"7")</f>
        <v>7</v>
      </c>
      <c r="GO324" s="249" t="str">
        <f>IFERROR(__xludf.DUMMYFUNCTION("IF(REGEXMATCH(C324, ""S""), ""8"","""")"),"8")</f>
        <v>8</v>
      </c>
      <c r="GP324" s="244" t="str">
        <f>IFERROR(__xludf.DUMMYFUNCTION("IF(REGEXMATCH(C324, ""S""), ""S"","""")"),"S")</f>
        <v>S</v>
      </c>
      <c r="GQ324" s="294" t="str">
        <f>IFERROR(__xludf.DUMMYFUNCTION("IF(REGEXMATCH(C324, ""r""), ""R1"","""")"),"R1")</f>
        <v>R1</v>
      </c>
      <c r="GR324" s="295" t="str">
        <f>IFERROR(__xludf.DUMMYFUNCTION("IF(REGEXMATCH(C324, ""R""), ""R2"","""")"),"")</f>
        <v/>
      </c>
      <c r="GS324" s="295" t="str">
        <f>IFERROR(__xludf.DUMMYFUNCTION("IF(REGEXMATCH(C324, ""g""), ""G2"","""")"),"")</f>
        <v/>
      </c>
      <c r="GT324" s="294" t="str">
        <f>IFERROR(__xludf.DUMMYFUNCTION("IF(REGEXMATCH(C324, ""G""), ""G3"","""")"),"G3")</f>
        <v>G3</v>
      </c>
      <c r="GU324" s="294" t="str">
        <f>IFERROR(__xludf.DUMMYFUNCTION("IF(REGEXMATCH(C324, ""m""), ""M1"","""")"),"")</f>
        <v/>
      </c>
      <c r="GV324" s="295" t="str">
        <f>IFERROR(__xludf.DUMMYFUNCTION("IF(REGEXMATCH(C324, ""M""), ""M2"","""")"),"M2")</f>
        <v>M2</v>
      </c>
      <c r="GW324" s="294" t="str">
        <f>IFERROR(__xludf.DUMMYFUNCTION("IF(REGEXMATCH(C324, ""P""), ""P"","""")"),"P")</f>
        <v>P</v>
      </c>
      <c r="GX324" s="295" t="str">
        <f>IFERROR(__xludf.DUMMYFUNCTION("IF(REGEXMATCH(C324, ""d""), ""D1"","""")"),"")</f>
        <v/>
      </c>
      <c r="GY324" s="294" t="str">
        <f>IFERROR(__xludf.DUMMYFUNCTION("IF(REGEXMATCH(C324, ""D""), ""D2"","""")"),"D2")</f>
        <v>D2</v>
      </c>
      <c r="GZ324" s="294" t="str">
        <f>IFERROR(__xludf.DUMMYFUNCTION("IF(REGEXMATCH(C324, ""n""), ""N2"","""")"),"")</f>
        <v/>
      </c>
      <c r="HA324" s="295" t="str">
        <f>IFERROR(__xludf.DUMMYFUNCTION("IF(REGEXMATCH(C324, ""N""), ""N3"","""")"),"N3")</f>
        <v>N3</v>
      </c>
      <c r="HB324" s="249" t="str">
        <f>IFERROR(__xludf.DUMMYFUNCTION("IF(REGEXMATCH(C324, ""S""), ""S"","""")"),"S")</f>
        <v>S</v>
      </c>
      <c r="HC324" s="331" t="str">
        <f t="shared" si="95"/>
        <v>S</v>
      </c>
      <c r="HD324" s="332" t="str">
        <f t="shared" si="96"/>
        <v>r</v>
      </c>
      <c r="HE324" s="332" t="str">
        <f t="shared" si="97"/>
        <v/>
      </c>
      <c r="HF324" s="332" t="str">
        <f t="shared" si="98"/>
        <v>g</v>
      </c>
      <c r="HG324" s="332" t="str">
        <f t="shared" si="99"/>
        <v/>
      </c>
      <c r="HH324" s="332" t="str">
        <f t="shared" si="100"/>
        <v>m</v>
      </c>
      <c r="HI324" s="332" t="str">
        <f t="shared" si="101"/>
        <v>M</v>
      </c>
      <c r="HJ324" s="332" t="str">
        <f t="shared" si="102"/>
        <v/>
      </c>
      <c r="HK324" s="332" t="str">
        <f t="shared" si="103"/>
        <v>d</v>
      </c>
      <c r="HL324" s="332" t="str">
        <f t="shared" si="104"/>
        <v/>
      </c>
      <c r="HM324" s="332" t="str">
        <f t="shared" si="105"/>
        <v/>
      </c>
      <c r="HN324" s="332" t="str">
        <f t="shared" si="106"/>
        <v>N</v>
      </c>
      <c r="HO324" s="343" t="str">
        <f t="shared" si="107"/>
        <v>S</v>
      </c>
      <c r="HP324" s="331" t="str">
        <f t="shared" si="108"/>
        <v>o</v>
      </c>
      <c r="HQ324" s="332" t="str">
        <f t="shared" si="109"/>
        <v>o</v>
      </c>
      <c r="HR324" s="332" t="str">
        <f t="shared" si="110"/>
        <v>•</v>
      </c>
      <c r="HS324" s="332" t="str">
        <f t="shared" si="111"/>
        <v>•</v>
      </c>
      <c r="HT324" s="332" t="str">
        <f t="shared" si="112"/>
        <v>o</v>
      </c>
      <c r="HU324" s="332" t="str">
        <f t="shared" si="113"/>
        <v>•</v>
      </c>
      <c r="HV324" s="332" t="str">
        <f t="shared" si="114"/>
        <v>o</v>
      </c>
      <c r="HW324" s="332" t="str">
        <f t="shared" si="115"/>
        <v>o</v>
      </c>
      <c r="HX324" s="332" t="str">
        <f t="shared" si="116"/>
        <v>•</v>
      </c>
      <c r="HY324" s="332" t="str">
        <f t="shared" si="117"/>
        <v>o</v>
      </c>
      <c r="HZ324" s="332" t="str">
        <f t="shared" si="118"/>
        <v>•</v>
      </c>
      <c r="IA324" s="332" t="str">
        <f t="shared" si="119"/>
        <v>o</v>
      </c>
      <c r="IB324" s="338" t="str">
        <f t="shared" si="120"/>
        <v>o</v>
      </c>
      <c r="IC324" s="331" t="str">
        <f t="shared" si="121"/>
        <v>•</v>
      </c>
      <c r="ID324" s="332" t="str">
        <f t="shared" si="122"/>
        <v>•</v>
      </c>
      <c r="IE324" s="332" t="str">
        <f t="shared" si="123"/>
        <v>o</v>
      </c>
      <c r="IF324" s="332" t="str">
        <f t="shared" si="124"/>
        <v>o</v>
      </c>
      <c r="IG324" s="332" t="str">
        <f t="shared" si="125"/>
        <v>•</v>
      </c>
      <c r="IH324" s="332" t="str">
        <f t="shared" si="126"/>
        <v>o</v>
      </c>
      <c r="II324" s="332" t="str">
        <f t="shared" si="127"/>
        <v>•</v>
      </c>
      <c r="IJ324" s="332" t="str">
        <f t="shared" si="128"/>
        <v>•</v>
      </c>
      <c r="IK324" s="332" t="str">
        <f t="shared" si="129"/>
        <v>o</v>
      </c>
      <c r="IL324" s="332" t="str">
        <f t="shared" si="130"/>
        <v>•</v>
      </c>
      <c r="IM324" s="332" t="str">
        <f t="shared" si="131"/>
        <v>o</v>
      </c>
      <c r="IN324" s="332" t="str">
        <f t="shared" si="132"/>
        <v>•</v>
      </c>
      <c r="IO324" s="338" t="str">
        <f t="shared" si="133"/>
        <v>•</v>
      </c>
      <c r="IP324" s="346" t="b">
        <f t="shared" si="134"/>
        <v>0</v>
      </c>
      <c r="IQ324" s="347" t="b">
        <f t="shared" si="135"/>
        <v>1</v>
      </c>
      <c r="IR324" s="347" t="b">
        <f t="shared" si="136"/>
        <v>0</v>
      </c>
      <c r="IS324" s="347" t="b">
        <f t="shared" si="137"/>
        <v>0</v>
      </c>
      <c r="IT324" s="347" t="b">
        <f t="shared" si="138"/>
        <v>0</v>
      </c>
      <c r="IU324" s="347" t="b">
        <f t="shared" si="139"/>
        <v>0</v>
      </c>
      <c r="IV324" s="347" t="b">
        <f t="shared" si="140"/>
        <v>0</v>
      </c>
      <c r="IW324" s="347" t="b">
        <f t="shared" si="141"/>
        <v>1</v>
      </c>
      <c r="IX324" s="347" t="b">
        <f t="shared" si="142"/>
        <v>0</v>
      </c>
      <c r="IY324" s="347" t="b">
        <f t="shared" si="143"/>
        <v>0</v>
      </c>
      <c r="IZ324" s="347" t="b">
        <f t="shared" si="144"/>
        <v>0</v>
      </c>
      <c r="JA324" s="347" t="b">
        <f t="shared" si="145"/>
        <v>0</v>
      </c>
      <c r="JB324" s="353" t="b">
        <f t="shared" si="146"/>
        <v>0</v>
      </c>
      <c r="JC324" s="354" t="str">
        <f t="shared" si="147"/>
        <v/>
      </c>
      <c r="JD324" s="355" t="str">
        <f t="shared" si="148"/>
        <v>re, </v>
      </c>
      <c r="JE324" s="355" t="str">
        <f t="shared" si="149"/>
        <v/>
      </c>
      <c r="JF324" s="355" t="str">
        <f t="shared" si="150"/>
        <v/>
      </c>
      <c r="JG324" s="355" t="str">
        <f t="shared" si="151"/>
        <v/>
      </c>
      <c r="JH324" s="355" t="str">
        <f t="shared" si="152"/>
        <v/>
      </c>
      <c r="JI324" s="355" t="str">
        <f t="shared" si="153"/>
        <v/>
      </c>
      <c r="JJ324" s="355" t="str">
        <f t="shared" si="154"/>
        <v>Pa, </v>
      </c>
      <c r="JK324" s="355" t="str">
        <f t="shared" si="155"/>
        <v/>
      </c>
      <c r="JL324" s="355" t="str">
        <f t="shared" si="156"/>
        <v/>
      </c>
      <c r="JM324" s="355" t="str">
        <f t="shared" si="157"/>
        <v/>
      </c>
      <c r="JN324" s="355" t="str">
        <f t="shared" si="158"/>
        <v/>
      </c>
      <c r="JO324" s="359" t="str">
        <f t="shared" si="159"/>
        <v/>
      </c>
      <c r="JP324" s="346" t="b">
        <f t="shared" si="160"/>
        <v>0</v>
      </c>
      <c r="JQ324" s="347" t="b">
        <f t="shared" si="161"/>
        <v>0</v>
      </c>
      <c r="JR324" s="347" t="b">
        <f t="shared" si="162"/>
        <v>0</v>
      </c>
      <c r="JS324" s="347" t="b">
        <f t="shared" si="163"/>
        <v>0</v>
      </c>
      <c r="JT324" s="347" t="b">
        <f t="shared" si="164"/>
        <v>0</v>
      </c>
      <c r="JU324" s="347" t="b">
        <f t="shared" si="165"/>
        <v>0</v>
      </c>
      <c r="JV324" s="347" t="b">
        <f t="shared" si="166"/>
        <v>0</v>
      </c>
      <c r="JW324" s="347" t="b">
        <f t="shared" si="167"/>
        <v>0</v>
      </c>
      <c r="JX324" s="347" t="b">
        <f t="shared" si="168"/>
        <v>0</v>
      </c>
      <c r="JY324" s="347" t="b">
        <f t="shared" si="169"/>
        <v>0</v>
      </c>
      <c r="JZ324" s="347" t="b">
        <f t="shared" si="170"/>
        <v>0</v>
      </c>
      <c r="KA324" s="347" t="b">
        <f t="shared" si="171"/>
        <v>0</v>
      </c>
      <c r="KB324" s="365" t="b">
        <f t="shared" si="172"/>
        <v>0</v>
      </c>
      <c r="KC324" s="354" t="str">
        <f t="shared" si="173"/>
        <v/>
      </c>
      <c r="KD324" s="355" t="str">
        <f t="shared" si="174"/>
        <v/>
      </c>
      <c r="KE324" s="355" t="str">
        <f t="shared" si="175"/>
        <v/>
      </c>
      <c r="KF324" s="355" t="str">
        <f t="shared" si="176"/>
        <v/>
      </c>
      <c r="KG324" s="355" t="str">
        <f t="shared" si="177"/>
        <v/>
      </c>
      <c r="KH324" s="355" t="str">
        <f t="shared" si="178"/>
        <v/>
      </c>
      <c r="KI324" s="355" t="str">
        <f t="shared" si="179"/>
        <v/>
      </c>
      <c r="KJ324" s="355" t="str">
        <f t="shared" si="180"/>
        <v/>
      </c>
      <c r="KK324" s="355" t="str">
        <f t="shared" si="181"/>
        <v/>
      </c>
      <c r="KL324" s="355" t="str">
        <f t="shared" si="182"/>
        <v/>
      </c>
      <c r="KM324" s="355" t="str">
        <f t="shared" si="183"/>
        <v/>
      </c>
      <c r="KN324" s="355" t="str">
        <f t="shared" si="184"/>
        <v/>
      </c>
      <c r="KO324" s="359"/>
      <c r="KP324" s="378"/>
      <c r="KQ324" s="379" t="s">
        <v>9</v>
      </c>
      <c r="KR324" s="380" t="s">
        <v>1311</v>
      </c>
      <c r="KS324" s="381" t="s">
        <v>9</v>
      </c>
      <c r="KT324" s="382">
        <f t="shared" si="186"/>
        <v>0</v>
      </c>
      <c r="KU324" s="383">
        <f t="shared" si="187"/>
        <v>0</v>
      </c>
      <c r="KV324" s="381" t="str">
        <f t="shared" si="205"/>
        <v>S-N-D-P-M-G-r-S</v>
      </c>
      <c r="KW324" s="382">
        <f t="shared" si="189"/>
        <v>7</v>
      </c>
      <c r="KX324" s="384">
        <f t="shared" si="190"/>
        <v>7</v>
      </c>
      <c r="KY324" s="382">
        <f t="shared" ref="KY324:KZ324" si="879">KW324-KT324</f>
        <v>7</v>
      </c>
      <c r="KZ324" s="369">
        <f t="shared" si="879"/>
        <v>7</v>
      </c>
      <c r="LA324" s="385" t="str">
        <f t="shared" si="192"/>
        <v>-</v>
      </c>
      <c r="LB324" s="340" t="str">
        <f>IFERROR(__xludf.DUMMYFUNCTION("JOIN("""",ArrayFormula(MID(KS324,LEN(KS324)-SEQUENCE(1,LEN(KS324))+1,1)))"),"S")</f>
        <v>S</v>
      </c>
      <c r="LC324" s="373" t="str">
        <f>IFERROR(__xludf.DUMMYFUNCTION("JOIN("""",ArrayFormula(MID(KV324,LEN(KV324)-SEQUENCE(1,LEN(KV324))+1,1)))"),"S-r-G-M-P-D-N-S")</f>
        <v>S-r-G-M-P-D-N-S</v>
      </c>
      <c r="LD324" s="373" t="str">
        <f t="shared" si="193"/>
        <v>S</v>
      </c>
      <c r="LE324" s="339" t="str">
        <f t="shared" si="194"/>
        <v>SrGMPDNS</v>
      </c>
      <c r="LF324" s="386" t="str">
        <f>IFERROR(__xludf.DUMMYFUNCTION("SUBSTITUTE(SUBSTITUTE(CONCATENATE(JOIN("""",LH324:LT324)),""1"",""""),""2"","""")"),"SrGMPDNS")</f>
        <v>SrGMPDNS</v>
      </c>
      <c r="LG324" s="369" t="str">
        <f t="shared" si="195"/>
        <v>✔</v>
      </c>
      <c r="LH324" s="387" t="str">
        <f>IFERROR(__xludf.DUMMYFUNCTION("IF(REGEXMATCH(LD324, ""S""), ""S"",IF(REGEXMATCH(LE324, ""S""), ""S"",""""))"),"S")</f>
        <v>S</v>
      </c>
      <c r="LI324" s="299" t="str">
        <f>IFERROR(__xludf.DUMMYFUNCTION("IF(REGEXMATCH(LD324, ""r""), ""r1"",IF(REGEXMATCH(LE324, ""r""), ""r2"",""""))"),"r2")</f>
        <v>r2</v>
      </c>
      <c r="LJ324" s="299" t="str">
        <f>IFERROR(__xludf.DUMMYFUNCTION("IF(REGEXMATCH(LD324, ""R""), ""R1"",IF(REGEXMATCH(LE324, ""R""), ""R2"",""""))"),"")</f>
        <v/>
      </c>
      <c r="LK324" s="299" t="str">
        <f>IFERROR(__xludf.DUMMYFUNCTION("IF(REGEXMATCH(LD324, ""g""), ""g1"",IF(REGEXMATCH(LE324, ""g""), ""g2"",""""))"),"")</f>
        <v/>
      </c>
      <c r="LL324" s="299" t="str">
        <f>IFERROR(__xludf.DUMMYFUNCTION("IF(REGEXMATCH(LD324, ""G""), ""G1"",IF(REGEXMATCH(LE324, ""G""), ""G2"",""""))"),"G2")</f>
        <v>G2</v>
      </c>
      <c r="LM324" s="299" t="str">
        <f>IFERROR(__xludf.DUMMYFUNCTION("IF(REGEXMATCH(LD324, ""m""), ""m1"",IF(REGEXMATCH(LE324, ""m""), ""m2"",""""))"),"")</f>
        <v/>
      </c>
      <c r="LN324" s="299" t="str">
        <f>IFERROR(__xludf.DUMMYFUNCTION("IF(REGEXMATCH(LD324, ""M""), ""M1"",IF(REGEXMATCH(LE324, ""M""), ""M2"",""""))"),"M2")</f>
        <v>M2</v>
      </c>
      <c r="LO324" s="299" t="str">
        <f>IFERROR(__xludf.DUMMYFUNCTION("IF(REGEXMATCH(LD324, ""P""), ""P1"",IF(REGEXMATCH(LE324, ""P""), ""P2"",""""))"),"P2")</f>
        <v>P2</v>
      </c>
      <c r="LP324" s="299" t="str">
        <f>IFERROR(__xludf.DUMMYFUNCTION("IF(REGEXMATCH(LD324, ""d""), ""d1"",IF(REGEXMATCH(LE324, ""d""), ""d2"",""""))"),"")</f>
        <v/>
      </c>
      <c r="LQ324" s="299" t="str">
        <f>IFERROR(__xludf.DUMMYFUNCTION("IF(REGEXMATCH(LD324, ""D""), ""D1"",IF(REGEXMATCH(LE324, ""D""), ""D2"",""""))"),"D2")</f>
        <v>D2</v>
      </c>
      <c r="LR324" s="299" t="str">
        <f>IFERROR(__xludf.DUMMYFUNCTION("IF(REGEXMATCH(LD324, ""n""), ""n1"",IF(REGEXMATCH(LE324, ""n""), ""n2"",""""))"),"")</f>
        <v/>
      </c>
      <c r="LS324" s="299" t="str">
        <f>IFERROR(__xludf.DUMMYFUNCTION("IF(REGEXMATCH(LD324, ""N""), ""N1"",IF(REGEXMATCH(LE324, ""N""), ""N2"",""""))"),"N2")</f>
        <v>N2</v>
      </c>
      <c r="LT324" s="388" t="str">
        <f>IFERROR(__xludf.DUMMYFUNCTION("IF(REGEXMATCH(LD324, ""S""), ""S"",IF(REGEXMATCH(LE324, ""S""), ""S"",""""))"),"S")</f>
        <v>S</v>
      </c>
      <c r="LU324" s="389">
        <f t="shared" si="196"/>
        <v>-13</v>
      </c>
      <c r="LV324" s="378"/>
      <c r="LW324" s="369"/>
      <c r="LX324" s="369"/>
    </row>
    <row r="325" ht="18.0" customHeight="1">
      <c r="A325" s="298" t="s">
        <v>1497</v>
      </c>
      <c r="B325" s="222" t="s">
        <v>1498</v>
      </c>
      <c r="C325" s="233" t="str">
        <f t="shared" si="7"/>
        <v>SgmMPnS</v>
      </c>
      <c r="D325" s="234" t="str">
        <f>IFERROR(__xludf.DUMMYFUNCTION("IF(REGEXMATCH(C325, ""S""), ""S"","""")"),"S")</f>
        <v>S</v>
      </c>
      <c r="E325" s="236" t="str">
        <f>IFERROR(__xludf.DUMMYFUNCTION("IF(REGEXMATCH(C325, ""r""), ""r"","""")"),"")</f>
        <v/>
      </c>
      <c r="F325" s="237" t="str">
        <f>IFERROR(__xludf.DUMMYFUNCTION("IF(REGEXMATCH(C325, ""R""), ""R"","""")"),"")</f>
        <v/>
      </c>
      <c r="G325" s="237" t="str">
        <f>IFERROR(__xludf.DUMMYFUNCTION("IF(REGEXMATCH(C325, ""g""), ""g"","""")"),"g")</f>
        <v>g</v>
      </c>
      <c r="H325" s="236" t="str">
        <f>IFERROR(__xludf.DUMMYFUNCTION("IF(REGEXMATCH(C325, ""G""), ""G"","""")"),"")</f>
        <v/>
      </c>
      <c r="I325" s="236" t="str">
        <f>IFERROR(__xludf.DUMMYFUNCTION("IF(REGEXMATCH(C325, ""m""), ""m"","""")"),"m")</f>
        <v>m</v>
      </c>
      <c r="J325" s="237" t="str">
        <f>IFERROR(__xludf.DUMMYFUNCTION("IF(REGEXMATCH(C325, ""M""), ""M"","""")"),"M")</f>
        <v>M</v>
      </c>
      <c r="K325" s="236" t="str">
        <f>IFERROR(__xludf.DUMMYFUNCTION("IF(REGEXMATCH(C325, ""P""), ""P"","""")"),"P")</f>
        <v>P</v>
      </c>
      <c r="L325" s="237" t="str">
        <f>IFERROR(__xludf.DUMMYFUNCTION("IF(REGEXMATCH(C325, ""d""), ""d"","""")"),"")</f>
        <v/>
      </c>
      <c r="M325" s="236" t="str">
        <f>IFERROR(__xludf.DUMMYFUNCTION("IF(REGEXMATCH(C325, ""D""), ""D"","""")"),"")</f>
        <v/>
      </c>
      <c r="N325" s="236" t="str">
        <f>IFERROR(__xludf.DUMMYFUNCTION("IF(REGEXMATCH(C325, ""n""), ""n"","""")"),"n")</f>
        <v>n</v>
      </c>
      <c r="O325" s="237" t="str">
        <f>IFERROR(__xludf.DUMMYFUNCTION("IF(REGEXMATCH(C325, ""N""), ""N"","""")"),"")</f>
        <v/>
      </c>
      <c r="P325" s="238" t="str">
        <f>IFERROR(__xludf.DUMMYFUNCTION("IF(REGEXMATCH(C325, ""S""), ""S"","""")"),"S")</f>
        <v>S</v>
      </c>
      <c r="Q325" s="239" t="str">
        <f>IFERROR(__xludf.DUMMYFUNCTION("SUBSTITUTE(CONCATENATE(JOIN(""-"",D325:J325)),""-"","""")"),"SgmM")</f>
        <v>SgmM</v>
      </c>
      <c r="R325" s="229" t="str">
        <f>IFERROR(__xludf.DUMMYFUNCTION("SUBSTITUTE(CONCATENATE(JOIN(""-"",K325:P325)),""-"","""")"),"PnS")</f>
        <v>PnS</v>
      </c>
      <c r="S325" s="282" t="str">
        <f t="shared" si="8"/>
        <v>S-G-M</v>
      </c>
      <c r="T325" s="282" t="str">
        <f t="shared" si="9"/>
        <v>P-N-S</v>
      </c>
      <c r="U325" s="237" t="str">
        <f>IFERROR(__xludf.DUMMYFUNCTION("SUBSTITUTE(JOIN(""-"",S325,T325),""--"",""-"")"),"S-G-M-P-N-S")</f>
        <v>S-G-M-P-N-S</v>
      </c>
      <c r="V325" s="309" t="str">
        <f t="shared" si="10"/>
        <v>gmMn</v>
      </c>
      <c r="W325" s="244" t="str">
        <f>IFERROR(__xludf.DUMMYFUNCTION("IF(REGEXMATCH(C325, ""S""), ""0"","""")"),"0")</f>
        <v>0</v>
      </c>
      <c r="X325" s="245" t="str">
        <f>IFERROR(__xludf.DUMMYFUNCTION("IF(REGEXMATCH(C325, ""r""), ""1"","""")"),"")</f>
        <v/>
      </c>
      <c r="Y325" s="246" t="str">
        <f>IFERROR(__xludf.DUMMYFUNCTION("IF(REGEXMATCH(C325, ""R""), ""2"","""")"),"")</f>
        <v/>
      </c>
      <c r="Z325" s="246" t="str">
        <f>IFERROR(__xludf.DUMMYFUNCTION("IF(REGEXMATCH(C325, ""g""), ""3"","""")"),"3")</f>
        <v>3</v>
      </c>
      <c r="AA325" s="245" t="str">
        <f>IFERROR(__xludf.DUMMYFUNCTION("IF(REGEXMATCH(C325, ""G""), ""4"","""")"),"")</f>
        <v/>
      </c>
      <c r="AB325" s="245" t="str">
        <f>IFERROR(__xludf.DUMMYFUNCTION("IF(REGEXMATCH(C325, ""m""), ""5"","""")"),"5")</f>
        <v>5</v>
      </c>
      <c r="AC325" s="246" t="str">
        <f>IFERROR(__xludf.DUMMYFUNCTION("IF(REGEXMATCH(C325, ""M""), ""6"","""")"),"6")</f>
        <v>6</v>
      </c>
      <c r="AD325" s="245" t="str">
        <f>IFERROR(__xludf.DUMMYFUNCTION("IF(REGEXMATCH(C325, ""P""), ""7"","""")"),"7")</f>
        <v>7</v>
      </c>
      <c r="AE325" s="246" t="str">
        <f>IFERROR(__xludf.DUMMYFUNCTION("IF(REGEXMATCH(C325, ""d""), ""8"","""")"),"")</f>
        <v/>
      </c>
      <c r="AF325" s="245" t="str">
        <f>IFERROR(__xludf.DUMMYFUNCTION("IF(REGEXMATCH(C325, ""D""), ""9"","""")"),"")</f>
        <v/>
      </c>
      <c r="AG325" s="245" t="str">
        <f>IFERROR(__xludf.DUMMYFUNCTION("IF(REGEXMATCH(C325, ""n""), ""10"","""")"),"10")</f>
        <v>10</v>
      </c>
      <c r="AH325" s="246" t="str">
        <f>IFERROR(__xludf.DUMMYFUNCTION("IF(REGEXMATCH(C325, ""N""), ""11"","""")"),"")</f>
        <v/>
      </c>
      <c r="AI325" s="249" t="str">
        <f>IFERROR(__xludf.DUMMYFUNCTION("IF(REGEXMATCH(C325, ""S""), ""0"","""")"),"0")</f>
        <v>0</v>
      </c>
      <c r="AJ325" s="313" t="str">
        <f t="shared" si="11"/>
        <v>T</v>
      </c>
      <c r="AK325" s="313" t="str">
        <f t="shared" si="12"/>
        <v>-</v>
      </c>
      <c r="AL325" s="313" t="str">
        <f t="shared" si="13"/>
        <v>-</v>
      </c>
      <c r="AM325" s="313" t="str">
        <f t="shared" si="14"/>
        <v>-</v>
      </c>
      <c r="AN325" s="313" t="str">
        <f t="shared" si="15"/>
        <v>-</v>
      </c>
      <c r="AO325" s="314" t="str">
        <f t="shared" si="16"/>
        <v>-</v>
      </c>
      <c r="AP325" s="316">
        <f t="shared" si="17"/>
        <v>1</v>
      </c>
      <c r="AQ325" s="319" t="str">
        <f t="shared" si="18"/>
        <v>#REF!</v>
      </c>
      <c r="AR325" s="320">
        <f t="shared" si="19"/>
        <v>0</v>
      </c>
      <c r="AS325" s="250" t="str">
        <f>IFERROR(__xludf.DUMMYFUNCTION("SUBSTITUTE(SUBSTITUTE(CONCATENATE(JOIN("""",FP325:GA325)),""|"",""x""),""-"",""o"")"),"xooxoxxxooxo")</f>
        <v>xooxoxxxooxo</v>
      </c>
      <c r="AT325" s="323" t="str">
        <f>IFERROR(__xludf.DUMMYFUNCTION("JOIN("""",AS325,AS325)"),"xooxoxxxooxoxooxoxxxooxo")</f>
        <v>xooxoxxxooxoxooxoxxxooxo</v>
      </c>
      <c r="AU325" s="256" t="str">
        <f>IFERROR(__xludf.DUMMYFUNCTION("JOIN("""",ArrayFormula(MID(AS325,LEN(AS325)-SEQUENCE(1,LEN(AS325))+1,1)))"),"oxooxxxoxoox")</f>
        <v>oxooxxxoxoox</v>
      </c>
      <c r="AV325" s="256" t="str">
        <f>IFERROR(__xludf.DUMMYFUNCTION("LEFT(CONCATENATE(""x"",JOIN("""",ArrayFormula(MID(AS325,LEN(AS325)-SEQUENCE(1,LEN(AS325))+1,1)))),12)"),"xoxooxxxoxoo")</f>
        <v>xoxooxxxoxoo</v>
      </c>
      <c r="AW325" s="327" t="str">
        <f>IFERROR(__xludf.DUMMYFUNCTION("JOIN("""",AU325,AU325)"),"oxooxxxoxooxoxooxxxoxoox")</f>
        <v>oxooxxxoxooxoxooxxxoxoox</v>
      </c>
      <c r="AX325" s="239" t="str">
        <f>IFERROR(__xludf.DUMMYFUNCTION("IF(REGEXMATCH(AW325,AS325),""✔"",""-"")"),"-")</f>
        <v>-</v>
      </c>
      <c r="AY325" s="330" t="str">
        <f t="shared" si="20"/>
        <v>-</v>
      </c>
      <c r="AZ325" s="260" t="str">
        <f t="shared" si="21"/>
        <v>#REF!</v>
      </c>
      <c r="BA325" s="333" t="str">
        <f t="shared" si="22"/>
        <v>xooxoxx</v>
      </c>
      <c r="BB325" s="334" t="str">
        <f t="shared" si="23"/>
        <v>xooxox</v>
      </c>
      <c r="BC325" s="335" t="str">
        <f t="shared" si="236"/>
        <v>✔</v>
      </c>
      <c r="BD325" s="336" t="str">
        <f t="shared" si="25"/>
        <v>Shrutivardhini: 'xooxoxx' + 'xooxox'</v>
      </c>
      <c r="BE325" s="337">
        <f>IFERROR(__xludf.DUMMYFUNCTION("COUNTUNIQUE(FILTER(AT:AT,REGEXMATCH(AT:AT,AS325)))-1"),3.0)</f>
        <v>3</v>
      </c>
      <c r="BF325" s="261" t="str">
        <f>IFERROR(__xludf.DUMMYFUNCTION("IF(BI325=0,""(n/a)"",IF(BJ325=2,""(PAIR)"",IF(REGEXMATCH(AT325,""xoxoxxoxoxox""),""Bilawal"",IF(REGEXMATCH(AT325,""xoxoxooxoxoo""),""Bhupali"",IF(REGEXMATCH(AT325,""xoxoxxoxxoxo""),""Charukeshi"",IF(REGEXMATCH(AT325,""xoxoooxxoxxo""),""Kameshwari"",IF(REG"&amp;"EXMATCH(AT325,""xoxoxooxoxox""),""Shankara"",IF(REGEXMATCH(AT325,""xxooxoxxxoox""),""Basant"",IF(REGEXMATCH(AT325,""xoxoxxxxoxox""),""Bihag"",IF(REGEXMATCH(AT325,""xoxxxxoxoxxx""),""Pilu"",IF(REGEXMATCH(AT325,""xoxxoxoxxoox""),""Kirwani"",IF(REGEXMATCH(AT"&amp;"325,""xoxxoxoxoxxx""),""Mk.Malhar"",IF(REGEXMATCH(AT325,""xxooxxoxxoox""),""Bhairav"",IF(REGEXMATCH(AT325,""xxoxooxxxoox""),""Todi"",IF(REGEXMATCH(AT325,""xxooxoxooxox""),""Marwa"",IF(REGEXMATCH(AT325,""xxoooxoxxooo""),""Gunkali"",IF(REGEXMATCH(AT325,""xo"&amp;"xoxxoxxoox""),""Nat Bhairav"",IF(REGEXMATCH(AT325,""xoxxoooxoxoo""),""Shivranjani"",IF(REGEXMATCH(AT325,""xooxxxoxooxo""),""Jog"",IF(REGEXMATCH(AT325,""xxooxoxoxoox""),""Hemshri"",IF(REGEXMATCH(AT325,""xoooxooxoxxo""),""Kalavati"",IF(REGEXMATCH(AT325,""xx"&amp;"oxoxxoxoox""),""Kedar"",IF(REGEXMATCH(AT325,""xoxxxxoxooxx""),""Gara"",IF(REGEXMATCH(AT325,""xooxoxooxoox""),""Chandrakauns"",IF(REGEXMATCH(AT325,""xoxxxxoxxxox""),""Mand"",IF(REGEXMATCH(AT325,""xoxxxxoxoxox""),""Hanskinkini"",IF(REGEXMATCH(AT325,""xxooxx"&amp;"oxooxo""),""Lilavati"",IF(REGEXMATCH(AT325,""xooxoxoooxox""),""Rajeshwari"",IF(REGEXMATCH(AT325,""xoooxxoxoxxx""),""Khokar"",IF(REGEXMATCH(AT325,""xxooxoxxxxox""),""Maligoura"",""-""))))))))))))))))))))))))))))))"),"Marwa")</f>
        <v>Marwa</v>
      </c>
      <c r="BG325" s="239" t="str">
        <f t="shared" si="26"/>
        <v>#REF!</v>
      </c>
      <c r="BH325" s="239">
        <f>IFERROR(__xludf.DUMMYFUNCTION("COUNTUNIQUE(FE325:FO325)-1"),5.0)</f>
        <v>5</v>
      </c>
      <c r="BI325" s="239">
        <f>IFERROR(__xludf.DUMMYFUNCTION("COUNTUNIQUE(FILTER(AT:AT,REGEXMATCH(AT:AT,AS325)))-1"),3.0)</f>
        <v>3</v>
      </c>
      <c r="BJ325" s="239">
        <f>IFERROR(__xludf.DUMMYFUNCTION("COUNTA(FILTER(AT:AT,REGEXMATCH(AT:AT,AS325)))"),6.0)</f>
        <v>6</v>
      </c>
      <c r="BK325" s="341">
        <f>IFERROR(__xludf.DUMMYFUNCTION("COUNTA(FILTER(AT:AT,REGEXMATCH(AT:AT,AS325)))-AR325"),6.0)</f>
        <v>6</v>
      </c>
      <c r="BL325" s="276" t="str">
        <f>IFERROR(__xludf.DUMMYFUNCTION("IF(AS325=""oooooooooooo"",""-"",IF(REGEXMATCH(AT325,""xx""), ""Hemi."", ""Anhemi.""))"),"Hemi.")</f>
        <v>Hemi.</v>
      </c>
      <c r="BM325" s="282" t="str">
        <f>IFERROR(__xludf.DUMMYFUNCTION("IF(AS325=""oooooooooooo"",""-"",IF(REGEXMATCH(AT325,""xxx""), ""Cohem."", ""-""))"),"Cohem.")</f>
        <v>Cohem.</v>
      </c>
      <c r="BN325" s="282" t="str">
        <f>IFERROR(__xludf.DUMMYFUNCTION("IF(AS325=""oooooooooooo"",""-"",IF(REGEXMATCH(AT325,""xxxx""), ""Co-Co."", ""-""))"),"-")</f>
        <v>-</v>
      </c>
      <c r="BO325" s="342" t="str">
        <f>IFERROR(__xludf.DUMMYFUNCTION("IF(AS325=""oooooooooooo"",""-"",IF(REGEXMATCH(AT325,""xxxxx""), ""CCC."", ""-""))"),"-")</f>
        <v>-</v>
      </c>
      <c r="BP325" s="344" t="str">
        <f t="shared" si="27"/>
        <v>-</v>
      </c>
      <c r="BQ325" s="282" t="str">
        <f>IFERROR(__xludf.DUMMYFUNCTION("IF(REGEXMATCH(JOIN(""-"",EU325:FD325),""TRUE""),""✔"",""-"")"),"-")</f>
        <v>-</v>
      </c>
      <c r="BR325" s="225">
        <f t="shared" si="28"/>
        <v>0</v>
      </c>
      <c r="BS325" s="345" t="str">
        <f>IFERROR(__xludf.DUMMYFUNCTION("SUBSTITUTE(SUBSTITUTE(SUBSTITUTE(SUBSTITUTE(CONCATENATE(JOIN(""-"",GC325:GO325)),""--"",""-""),""--"",""-""),""--"",""-""),""--"",""-"")"),"1-b3-4-#4-5-b7-8")</f>
        <v>1-b3-4-#4-5-b7-8</v>
      </c>
      <c r="BT325" s="299" t="str">
        <f>IFERROR(__xludf.DUMMYFUNCTION("SUBSTITUTE(SUBSTITUTE(SUBSTITUTE(SUBSTITUTE(CONCATENATE(JOIN(""-"",GP325:HB325)),""--"",""-""),""--"",""-""),""--"",""-""),""--"",""-"")"),"S-G2-M1-M2-P-N2-S")</f>
        <v>S-G2-M1-M2-P-N2-S</v>
      </c>
      <c r="BU325" s="348" t="str">
        <f t="shared" si="29"/>
        <v>C-Eb-F-F#-G-Bb-C</v>
      </c>
      <c r="BV325" s="349" t="str">
        <f t="shared" si="30"/>
        <v>SrRGdDNS</v>
      </c>
      <c r="BW325" s="350">
        <f t="shared" si="31"/>
        <v>0</v>
      </c>
      <c r="BX325" s="351">
        <f t="shared" si="32"/>
        <v>1</v>
      </c>
      <c r="BY325" s="392"/>
      <c r="BZ325" s="309" t="str">
        <f>IFERROR(__xludf.DUMMYFUNCTION("IF(REGEXMATCH(C325, ""S""), ""x"",""x"")"),"x")</f>
        <v>x</v>
      </c>
      <c r="CA325" s="245" t="str">
        <f>IFERROR(__xludf.DUMMYFUNCTION("IF(REGEXMATCH(C325, ""r""), ""o"",""x"")"),"x")</f>
        <v>x</v>
      </c>
      <c r="CB325" s="246" t="str">
        <f>IFERROR(__xludf.DUMMYFUNCTION("IF(REGEXMATCH(C325, ""R""), ""o"",""x"")"),"x")</f>
        <v>x</v>
      </c>
      <c r="CC325" s="246" t="str">
        <f>IFERROR(__xludf.DUMMYFUNCTION("IF(REGEXMATCH(C325, ""g""), ""o"",""x"")"),"o")</f>
        <v>o</v>
      </c>
      <c r="CD325" s="245" t="str">
        <f>IFERROR(__xludf.DUMMYFUNCTION("IF(REGEXMATCH(C325, ""G""), ""o"",""x"")"),"x")</f>
        <v>x</v>
      </c>
      <c r="CE325" s="245" t="str">
        <f>IFERROR(__xludf.DUMMYFUNCTION("IF(REGEXMATCH(C325, ""m""), ""o"",""x"")"),"o")</f>
        <v>o</v>
      </c>
      <c r="CF325" s="246" t="str">
        <f>IFERROR(__xludf.DUMMYFUNCTION("IF(REGEXMATCH(C325, ""M""), ""o"",""x"")"),"o")</f>
        <v>o</v>
      </c>
      <c r="CG325" s="245" t="str">
        <f>IFERROR(__xludf.DUMMYFUNCTION("IF(REGEXMATCH(C325, ""P""), ""o"",""x"")"),"o")</f>
        <v>o</v>
      </c>
      <c r="CH325" s="246" t="str">
        <f>IFERROR(__xludf.DUMMYFUNCTION("IF(REGEXMATCH(C325, ""d""), ""o"",""x"")"),"x")</f>
        <v>x</v>
      </c>
      <c r="CI325" s="245" t="str">
        <f>IFERROR(__xludf.DUMMYFUNCTION("IF(REGEXMATCH(C325, ""D""), ""o"",""x"")"),"x")</f>
        <v>x</v>
      </c>
      <c r="CJ325" s="245" t="str">
        <f>IFERROR(__xludf.DUMMYFUNCTION("IF(REGEXMATCH(C325, ""n""), ""o"",""x"")"),"o")</f>
        <v>o</v>
      </c>
      <c r="CK325" s="245" t="str">
        <f>IFERROR(__xludf.DUMMYFUNCTION("IF(REGEXMATCH(C325, ""N""), ""o"",""x"")"),"x")</f>
        <v>x</v>
      </c>
      <c r="CL325" s="356" t="str">
        <f>IFERROR(__xludf.DUMMYFUNCTION("IF(REGEXMATCH(C325, ""S""), ""x"",""x"")"),"x")</f>
        <v>x</v>
      </c>
      <c r="CM325" s="357" t="str">
        <f t="shared" si="33"/>
        <v>xxxoxoooxxox</v>
      </c>
      <c r="CN325" s="358">
        <f t="shared" si="34"/>
        <v>0</v>
      </c>
      <c r="CO325" s="246" t="str">
        <f>IFERROR(__xludf.DUMMYFUNCTION("IF(REGEXMATCH($C325, ""S""), ""S"",""S"")"),"S")</f>
        <v>S</v>
      </c>
      <c r="CP325" s="246" t="str">
        <f>IFERROR(__xludf.DUMMYFUNCTION("IF(REGEXMATCH($C325, ""r""), """",""r"")"),"r")</f>
        <v>r</v>
      </c>
      <c r="CQ325" s="246" t="str">
        <f>IFERROR(__xludf.DUMMYFUNCTION("IF(REGEXMATCH($C325, ""R""), """",""R"")"),"R")</f>
        <v>R</v>
      </c>
      <c r="CR325" s="246" t="str">
        <f>IFERROR(__xludf.DUMMYFUNCTION("IF(REGEXMATCH($C325, ""g""), """",""g"")"),"")</f>
        <v/>
      </c>
      <c r="CS325" s="246" t="str">
        <f>IFERROR(__xludf.DUMMYFUNCTION("IF(REGEXMATCH($C325, ""G""), """",""G"")"),"G")</f>
        <v>G</v>
      </c>
      <c r="CT325" s="246" t="str">
        <f>IFERROR(__xludf.DUMMYFUNCTION("IF(REGEXMATCH($C325, ""m""), """",""m"")"),"")</f>
        <v/>
      </c>
      <c r="CU325" s="246" t="str">
        <f>IFERROR(__xludf.DUMMYFUNCTION("IF(REGEXMATCH($C325, ""M""), """",""M"")"),"")</f>
        <v/>
      </c>
      <c r="CV325" s="246" t="str">
        <f>IFERROR(__xludf.DUMMYFUNCTION("IF(REGEXMATCH($C325, ""P""), """",""P"")"),"")</f>
        <v/>
      </c>
      <c r="CW325" s="246" t="str">
        <f>IFERROR(__xludf.DUMMYFUNCTION("IF(REGEXMATCH($C325, ""d""), """",""d"")"),"d")</f>
        <v>d</v>
      </c>
      <c r="CX325" s="246" t="str">
        <f>IFERROR(__xludf.DUMMYFUNCTION("IF(REGEXMATCH($C325, ""D""), """",""D"")"),"D")</f>
        <v>D</v>
      </c>
      <c r="CY325" s="246" t="str">
        <f>IFERROR(__xludf.DUMMYFUNCTION("IF(REGEXMATCH($C325, ""n""), """",""n"")"),"")</f>
        <v/>
      </c>
      <c r="CZ325" s="246" t="str">
        <f>IFERROR(__xludf.DUMMYFUNCTION("IF(REGEXMATCH($C325, ""N""), """",""N"")"),"N")</f>
        <v>N</v>
      </c>
      <c r="DA325" s="246" t="str">
        <f>IFERROR(__xludf.DUMMYFUNCTION("IF(REGEXMATCH($C325, ""S""), ""S"",""S"")"),"S")</f>
        <v>S</v>
      </c>
      <c r="DB325" s="362" t="str">
        <f>IFERROR(__xludf.DUMMYFUNCTION("JOIN("""",CO325:DA325,"""","""")"),"SrRGdDNS")</f>
        <v>SrRGdDNS</v>
      </c>
      <c r="DC325" s="363"/>
      <c r="DD325" s="301" t="str">
        <f t="shared" si="35"/>
        <v>#REF!</v>
      </c>
      <c r="DE325" s="302" t="str">
        <f t="shared" si="36"/>
        <v>#REF!</v>
      </c>
      <c r="DF325" s="301" t="str">
        <f t="shared" ref="DF325:DG325" si="880">SUBSTITUTE(S325,"-","")</f>
        <v>SGM</v>
      </c>
      <c r="DG325" s="301" t="str">
        <f t="shared" si="880"/>
        <v>PNS</v>
      </c>
      <c r="DH325" s="302" t="str">
        <f t="shared" si="38"/>
        <v>Marwa</v>
      </c>
      <c r="DI325" s="301" t="str">
        <f t="shared" si="39"/>
        <v>Hemi.</v>
      </c>
      <c r="DJ325" s="364" t="str">
        <f t="shared" si="40"/>
        <v>Cohem.</v>
      </c>
      <c r="DK325" s="306" t="str">
        <f t="shared" si="41"/>
        <v>-</v>
      </c>
      <c r="DL325" s="366" t="str">
        <f t="shared" si="42"/>
        <v>-</v>
      </c>
      <c r="DM325" s="308" t="str">
        <f t="shared" si="43"/>
        <v>✔</v>
      </c>
      <c r="DN325" s="306" t="str">
        <f t="shared" si="44"/>
        <v>-</v>
      </c>
      <c r="DO325" s="306" t="str">
        <f t="shared" si="45"/>
        <v>✔</v>
      </c>
      <c r="DP325" s="367" t="str">
        <f t="shared" si="46"/>
        <v>-</v>
      </c>
      <c r="DQ325" s="310" t="str">
        <f t="shared" si="47"/>
        <v>-</v>
      </c>
      <c r="DR325" s="310" t="str">
        <f t="shared" si="48"/>
        <v>-</v>
      </c>
      <c r="DS325" s="310" t="str">
        <f t="shared" si="49"/>
        <v>✔</v>
      </c>
      <c r="DT325" s="310" t="str">
        <f t="shared" si="50"/>
        <v>-</v>
      </c>
      <c r="DU325" s="370" t="str">
        <f t="shared" si="51"/>
        <v>-</v>
      </c>
      <c r="DV325" s="306" t="str">
        <f t="shared" si="52"/>
        <v>✔</v>
      </c>
      <c r="DW325" s="306" t="str">
        <f t="shared" si="53"/>
        <v>-</v>
      </c>
      <c r="DX325" s="306" t="str">
        <f t="shared" si="54"/>
        <v>-</v>
      </c>
      <c r="DY325" s="306" t="str">
        <f t="shared" si="55"/>
        <v>-</v>
      </c>
      <c r="DZ325" s="306" t="str">
        <f t="shared" si="56"/>
        <v>✔</v>
      </c>
      <c r="EA325" s="367" t="str">
        <f t="shared" si="57"/>
        <v>-</v>
      </c>
      <c r="EB325" s="310" t="str">
        <f>IFERROR(__xludf.DUMMYFUNCTION("IF(REGEXMATCH(AW325,AS325),""✔"",""-"")"),"-")</f>
        <v>-</v>
      </c>
      <c r="EC325" s="310" t="str">
        <f t="shared" si="58"/>
        <v>#REF!</v>
      </c>
      <c r="ED325" s="370" t="str">
        <f t="shared" si="59"/>
        <v>-</v>
      </c>
      <c r="EE325" s="340" t="str">
        <f t="shared" si="60"/>
        <v>S-g-mM-P-n-S</v>
      </c>
      <c r="EF325" s="371" t="str">
        <f>IFERROR(__xludf.DUMMYFUNCTION("CONCATENATE(JOIN("""",HC325:HO325))"),"SRmMPDS")</f>
        <v>SRmMPDS</v>
      </c>
      <c r="EG325" s="372">
        <f t="shared" si="61"/>
        <v>2</v>
      </c>
      <c r="EH325" s="373" t="str">
        <f>IFERROR(__xludf.DUMMYFUNCTION("CONCATENATE(JOIN("""",JC325:JO325))"),"Ma, Pa, ")</f>
        <v>Ma, Pa, </v>
      </c>
      <c r="EI325" s="322">
        <f t="shared" si="62"/>
        <v>1</v>
      </c>
      <c r="EJ325" s="374" t="str">
        <f>IFERROR(__xludf.DUMMYFUNCTION("CONCATENATE(JOIN("""",KC325:KO325))"),"Ma, ")</f>
        <v>Ma, </v>
      </c>
      <c r="EK325" s="325" t="str">
        <f t="shared" si="63"/>
        <v>S-G2-M1-M2-P-N2-S</v>
      </c>
      <c r="EL325" s="326" t="str">
        <f t="shared" si="64"/>
        <v>1-b3-4-#4-5-b7-8</v>
      </c>
      <c r="EM325" s="318" t="str">
        <f t="shared" si="65"/>
        <v>#REF!</v>
      </c>
      <c r="EN325" s="328" t="str">
        <f>IFERROR(__xludf.DUMMYFUNCTION("SUBSTITUTE(SUBSTITUTE(SUBSTITUTE(SUBSTITUTE(CONCATENATE(JOIN("" "",HP325:IB325)),""  "","" ""),""  "","" ""),""  "","" ""),""  "","" "")"),"o • • o • o o o • • o • o")</f>
        <v>o • • o • o o o • • o • o</v>
      </c>
      <c r="EO325" s="368" t="str">
        <f t="shared" si="66"/>
        <v>-</v>
      </c>
      <c r="EP325" s="339" t="str">
        <f t="shared" si="67"/>
        <v>-</v>
      </c>
      <c r="EQ325" s="339" t="str">
        <f t="shared" si="68"/>
        <v>Sa-Pa</v>
      </c>
      <c r="ER325" s="339" t="str">
        <f t="shared" si="69"/>
        <v>-</v>
      </c>
      <c r="ES325" s="340" t="str">
        <f t="shared" si="70"/>
        <v>-</v>
      </c>
      <c r="ET325" s="363"/>
      <c r="EU325" s="376" t="b">
        <f>IFERROR(__xludf.DUMMYFUNCTION("arrayformula(sum(--REGEXMATCH(""SRGMPDNS"",split(REGEXREPLACE(C325,""(.)"",""$1~""),""~""))))=len(C325)
"),FALSE)</f>
        <v>0</v>
      </c>
      <c r="EV325" s="290" t="b">
        <f>IFERROR(__xludf.DUMMYFUNCTION("arrayformula(sum(--REGEXMATCH(""SRGmPDNS"",split(REGEXREPLACE(C325,""(.)"",""$1~""),""~""))))=len(C325)"),FALSE)</f>
        <v>0</v>
      </c>
      <c r="EW325" s="290" t="b">
        <f>IFERROR(__xludf.DUMMYFUNCTION("arrayformula(sum(--REGEXMATCH(""SRGmPDnS"",split(REGEXREPLACE(C325,""(.)"",""$1~""),""~""))))=len(C325)"),FALSE)</f>
        <v>0</v>
      </c>
      <c r="EX325" s="290" t="b">
        <f>IFERROR(__xludf.DUMMYFUNCTION("arrayformula(sum(--REGEXMATCH(""SRgmPDnS"",split(REGEXREPLACE(C325,""(.)"",""$1~""),""~""))))=len(C325)"),FALSE)</f>
        <v>0</v>
      </c>
      <c r="EY325" s="290" t="b">
        <f>IFERROR(__xludf.DUMMYFUNCTION("arrayformula(sum(--REGEXMATCH(""SRgmPdnS"",split(REGEXREPLACE(C325,""(.)"",""$1~""),""~""))))=len(C325)"),FALSE)</f>
        <v>0</v>
      </c>
      <c r="EZ325" s="290" t="b">
        <f>IFERROR(__xludf.DUMMYFUNCTION("arrayformula(sum(--REGEXMATCH(""SrgmPdnS"",split(REGEXREPLACE(C325,""(.)"",""$1~""),""~""))))=len(C325)"),FALSE)</f>
        <v>0</v>
      </c>
      <c r="FA325" s="290" t="b">
        <f>IFERROR(__xludf.DUMMYFUNCTION("arrayformula(sum(--REGEXMATCH(""SrGmPdNS"",split(REGEXREPLACE(C325,""(.)"",""$1~""),""~""))))=len(C325)"),FALSE)</f>
        <v>0</v>
      </c>
      <c r="FB325" s="290" t="b">
        <f>IFERROR(__xludf.DUMMYFUNCTION("arrayformula(sum(--REGEXMATCH(""SrGMPDNS"",split(REGEXREPLACE(C325,""(.)"",""$1~""),""~""))))=len(C325)"),FALSE)</f>
        <v>0</v>
      </c>
      <c r="FC325" s="290" t="b">
        <f>IFERROR(__xludf.DUMMYFUNCTION("arrayformula(sum(--REGEXMATCH(""SrGMPdNS"",split(REGEXREPLACE(C325,""(.)"",""$1~""),""~""))))=len(C325)"),FALSE)</f>
        <v>0</v>
      </c>
      <c r="FD325" s="377" t="b">
        <f>IFERROR(__xludf.DUMMYFUNCTION("arrayformula(sum(--REGEXMATCH(""SrgMPdNS"",split(REGEXREPLACE(C325,""(.)"",""$1~""),""~""))))=len(C325)"),FALSE)</f>
        <v>0</v>
      </c>
      <c r="FE325" s="269" t="str">
        <f t="shared" si="71"/>
        <v>-</v>
      </c>
      <c r="FF325" s="269" t="str">
        <f t="shared" si="72"/>
        <v>-</v>
      </c>
      <c r="FG325" s="271" t="str">
        <f t="shared" si="73"/>
        <v>xoxxxooxoxo</v>
      </c>
      <c r="FH325" s="269" t="str">
        <f t="shared" si="74"/>
        <v>-</v>
      </c>
      <c r="FI325" s="271" t="str">
        <f t="shared" si="75"/>
        <v>xxxooxoxoox</v>
      </c>
      <c r="FJ325" s="271" t="str">
        <f t="shared" si="76"/>
        <v>xxooxoxooxo</v>
      </c>
      <c r="FK325" s="271" t="str">
        <f t="shared" si="77"/>
        <v>xooxoxooxox</v>
      </c>
      <c r="FL325" s="271" t="str">
        <f t="shared" si="78"/>
        <v>-</v>
      </c>
      <c r="FM325" s="271" t="str">
        <f t="shared" si="79"/>
        <v>-</v>
      </c>
      <c r="FN325" s="271" t="str">
        <f t="shared" si="80"/>
        <v>xoxooxoxxxo</v>
      </c>
      <c r="FO325" s="274" t="str">
        <f t="shared" si="81"/>
        <v>-</v>
      </c>
      <c r="FP325" s="234" t="str">
        <f t="shared" si="82"/>
        <v>|</v>
      </c>
      <c r="FQ325" s="236" t="str">
        <f t="shared" si="83"/>
        <v>-</v>
      </c>
      <c r="FR325" s="237" t="str">
        <f t="shared" si="84"/>
        <v>-</v>
      </c>
      <c r="FS325" s="236" t="str">
        <f t="shared" si="85"/>
        <v>|</v>
      </c>
      <c r="FT325" s="237" t="str">
        <f t="shared" si="86"/>
        <v>-</v>
      </c>
      <c r="FU325" s="236" t="str">
        <f t="shared" si="87"/>
        <v>|</v>
      </c>
      <c r="FV325" s="237" t="str">
        <f t="shared" si="88"/>
        <v>|</v>
      </c>
      <c r="FW325" s="236" t="str">
        <f t="shared" si="89"/>
        <v>|</v>
      </c>
      <c r="FX325" s="237" t="str">
        <f t="shared" si="90"/>
        <v>-</v>
      </c>
      <c r="FY325" s="236" t="str">
        <f t="shared" si="91"/>
        <v>-</v>
      </c>
      <c r="FZ325" s="237" t="str">
        <f t="shared" si="92"/>
        <v>|</v>
      </c>
      <c r="GA325" s="236" t="str">
        <f t="shared" si="93"/>
        <v>-</v>
      </c>
      <c r="GB325" s="238" t="str">
        <f t="shared" si="94"/>
        <v>|</v>
      </c>
      <c r="GC325" s="244" t="str">
        <f>IFERROR(__xludf.DUMMYFUNCTION("IF(REGEXMATCH(C325, ""S""), ""1"","""")"),"1")</f>
        <v>1</v>
      </c>
      <c r="GD325" s="245" t="str">
        <f>IFERROR(__xludf.DUMMYFUNCTION("IF(REGEXMATCH(C325, ""r""), ""b2"","""")"),"")</f>
        <v/>
      </c>
      <c r="GE325" s="246" t="str">
        <f>IFERROR(__xludf.DUMMYFUNCTION("IF(REGEXMATCH(C325, ""R""), ""2"","""")"),"")</f>
        <v/>
      </c>
      <c r="GF325" s="246" t="str">
        <f>IFERROR(__xludf.DUMMYFUNCTION("IF(REGEXMATCH(C325, ""g""), ""b3"","""")"),"b3")</f>
        <v>b3</v>
      </c>
      <c r="GG325" s="245" t="str">
        <f>IFERROR(__xludf.DUMMYFUNCTION("IF(REGEXMATCH(C325, ""G""), ""3"","""")"),"")</f>
        <v/>
      </c>
      <c r="GH325" s="245" t="str">
        <f>IFERROR(__xludf.DUMMYFUNCTION("IF(REGEXMATCH(C325, ""m""), ""4"","""")"),"4")</f>
        <v>4</v>
      </c>
      <c r="GI325" s="246" t="str">
        <f>IFERROR(__xludf.DUMMYFUNCTION("IF(REGEXMATCH(C325, ""M""), ""#4"","""")"),"#4")</f>
        <v>#4</v>
      </c>
      <c r="GJ325" s="245" t="str">
        <f>IFERROR(__xludf.DUMMYFUNCTION("IF(REGEXMATCH(C325, ""P""), ""5"","""")"),"5")</f>
        <v>5</v>
      </c>
      <c r="GK325" s="246" t="str">
        <f>IFERROR(__xludf.DUMMYFUNCTION("IF(REGEXMATCH(C325, ""d""), ""b6"","""")"),"")</f>
        <v/>
      </c>
      <c r="GL325" s="245" t="str">
        <f>IFERROR(__xludf.DUMMYFUNCTION("IF(REGEXMATCH(C325, ""D""), ""6"","""")"),"")</f>
        <v/>
      </c>
      <c r="GM325" s="245" t="str">
        <f>IFERROR(__xludf.DUMMYFUNCTION("IF(REGEXMATCH(C325, ""n""), ""b7"","""")"),"b7")</f>
        <v>b7</v>
      </c>
      <c r="GN325" s="246" t="str">
        <f>IFERROR(__xludf.DUMMYFUNCTION("IF(REGEXMATCH(C325, ""N""), ""7"","""")"),"")</f>
        <v/>
      </c>
      <c r="GO325" s="249" t="str">
        <f>IFERROR(__xludf.DUMMYFUNCTION("IF(REGEXMATCH(C325, ""S""), ""8"","""")"),"8")</f>
        <v>8</v>
      </c>
      <c r="GP325" s="244" t="str">
        <f>IFERROR(__xludf.DUMMYFUNCTION("IF(REGEXMATCH(C325, ""S""), ""S"","""")"),"S")</f>
        <v>S</v>
      </c>
      <c r="GQ325" s="294" t="str">
        <f>IFERROR(__xludf.DUMMYFUNCTION("IF(REGEXMATCH(C325, ""r""), ""R1"","""")"),"")</f>
        <v/>
      </c>
      <c r="GR325" s="295" t="str">
        <f>IFERROR(__xludf.DUMMYFUNCTION("IF(REGEXMATCH(C325, ""R""), ""R2"","""")"),"")</f>
        <v/>
      </c>
      <c r="GS325" s="295" t="str">
        <f>IFERROR(__xludf.DUMMYFUNCTION("IF(REGEXMATCH(C325, ""g""), ""G2"","""")"),"G2")</f>
        <v>G2</v>
      </c>
      <c r="GT325" s="294" t="str">
        <f>IFERROR(__xludf.DUMMYFUNCTION("IF(REGEXMATCH(C325, ""G""), ""G3"","""")"),"")</f>
        <v/>
      </c>
      <c r="GU325" s="294" t="str">
        <f>IFERROR(__xludf.DUMMYFUNCTION("IF(REGEXMATCH(C325, ""m""), ""M1"","""")"),"M1")</f>
        <v>M1</v>
      </c>
      <c r="GV325" s="295" t="str">
        <f>IFERROR(__xludf.DUMMYFUNCTION("IF(REGEXMATCH(C325, ""M""), ""M2"","""")"),"M2")</f>
        <v>M2</v>
      </c>
      <c r="GW325" s="294" t="str">
        <f>IFERROR(__xludf.DUMMYFUNCTION("IF(REGEXMATCH(C325, ""P""), ""P"","""")"),"P")</f>
        <v>P</v>
      </c>
      <c r="GX325" s="295" t="str">
        <f>IFERROR(__xludf.DUMMYFUNCTION("IF(REGEXMATCH(C325, ""d""), ""D1"","""")"),"")</f>
        <v/>
      </c>
      <c r="GY325" s="294" t="str">
        <f>IFERROR(__xludf.DUMMYFUNCTION("IF(REGEXMATCH(C325, ""D""), ""D2"","""")"),"")</f>
        <v/>
      </c>
      <c r="GZ325" s="294" t="str">
        <f>IFERROR(__xludf.DUMMYFUNCTION("IF(REGEXMATCH(C325, ""n""), ""N2"","""")"),"N2")</f>
        <v>N2</v>
      </c>
      <c r="HA325" s="295" t="str">
        <f>IFERROR(__xludf.DUMMYFUNCTION("IF(REGEXMATCH(C325, ""N""), ""N3"","""")"),"")</f>
        <v/>
      </c>
      <c r="HB325" s="249" t="str">
        <f>IFERROR(__xludf.DUMMYFUNCTION("IF(REGEXMATCH(C325, ""S""), ""S"","""")"),"S")</f>
        <v>S</v>
      </c>
      <c r="HC325" s="331" t="str">
        <f t="shared" si="95"/>
        <v>S</v>
      </c>
      <c r="HD325" s="332" t="str">
        <f t="shared" si="96"/>
        <v/>
      </c>
      <c r="HE325" s="332" t="str">
        <f t="shared" si="97"/>
        <v>R</v>
      </c>
      <c r="HF325" s="332" t="str">
        <f t="shared" si="98"/>
        <v/>
      </c>
      <c r="HG325" s="332" t="str">
        <f t="shared" si="99"/>
        <v/>
      </c>
      <c r="HH325" s="332" t="str">
        <f t="shared" si="100"/>
        <v>m</v>
      </c>
      <c r="HI325" s="332" t="str">
        <f t="shared" si="101"/>
        <v>M</v>
      </c>
      <c r="HJ325" s="332" t="str">
        <f t="shared" si="102"/>
        <v>P</v>
      </c>
      <c r="HK325" s="332" t="str">
        <f t="shared" si="103"/>
        <v/>
      </c>
      <c r="HL325" s="332" t="str">
        <f t="shared" si="104"/>
        <v>D</v>
      </c>
      <c r="HM325" s="332" t="str">
        <f t="shared" si="105"/>
        <v/>
      </c>
      <c r="HN325" s="332" t="str">
        <f t="shared" si="106"/>
        <v/>
      </c>
      <c r="HO325" s="343" t="str">
        <f t="shared" si="107"/>
        <v>S</v>
      </c>
      <c r="HP325" s="331" t="str">
        <f t="shared" si="108"/>
        <v>o</v>
      </c>
      <c r="HQ325" s="332" t="str">
        <f t="shared" si="109"/>
        <v>•</v>
      </c>
      <c r="HR325" s="332" t="str">
        <f t="shared" si="110"/>
        <v>•</v>
      </c>
      <c r="HS325" s="332" t="str">
        <f t="shared" si="111"/>
        <v>o</v>
      </c>
      <c r="HT325" s="332" t="str">
        <f t="shared" si="112"/>
        <v>•</v>
      </c>
      <c r="HU325" s="332" t="str">
        <f t="shared" si="113"/>
        <v>o</v>
      </c>
      <c r="HV325" s="332" t="str">
        <f t="shared" si="114"/>
        <v>o</v>
      </c>
      <c r="HW325" s="332" t="str">
        <f t="shared" si="115"/>
        <v>o</v>
      </c>
      <c r="HX325" s="332" t="str">
        <f t="shared" si="116"/>
        <v>•</v>
      </c>
      <c r="HY325" s="332" t="str">
        <f t="shared" si="117"/>
        <v>•</v>
      </c>
      <c r="HZ325" s="332" t="str">
        <f t="shared" si="118"/>
        <v>o</v>
      </c>
      <c r="IA325" s="332" t="str">
        <f t="shared" si="119"/>
        <v>•</v>
      </c>
      <c r="IB325" s="338" t="str">
        <f t="shared" si="120"/>
        <v>o</v>
      </c>
      <c r="IC325" s="331" t="str">
        <f t="shared" si="121"/>
        <v>•</v>
      </c>
      <c r="ID325" s="332" t="str">
        <f t="shared" si="122"/>
        <v>o</v>
      </c>
      <c r="IE325" s="332" t="str">
        <f t="shared" si="123"/>
        <v>o</v>
      </c>
      <c r="IF325" s="332" t="str">
        <f t="shared" si="124"/>
        <v>•</v>
      </c>
      <c r="IG325" s="332" t="str">
        <f t="shared" si="125"/>
        <v>o</v>
      </c>
      <c r="IH325" s="332" t="str">
        <f t="shared" si="126"/>
        <v>•</v>
      </c>
      <c r="II325" s="332" t="str">
        <f t="shared" si="127"/>
        <v>•</v>
      </c>
      <c r="IJ325" s="332" t="str">
        <f t="shared" si="128"/>
        <v>•</v>
      </c>
      <c r="IK325" s="332" t="str">
        <f t="shared" si="129"/>
        <v>o</v>
      </c>
      <c r="IL325" s="332" t="str">
        <f t="shared" si="130"/>
        <v>o</v>
      </c>
      <c r="IM325" s="332" t="str">
        <f t="shared" si="131"/>
        <v>•</v>
      </c>
      <c r="IN325" s="332" t="str">
        <f t="shared" si="132"/>
        <v>o</v>
      </c>
      <c r="IO325" s="338" t="str">
        <f t="shared" si="133"/>
        <v>•</v>
      </c>
      <c r="IP325" s="346" t="b">
        <f t="shared" si="134"/>
        <v>0</v>
      </c>
      <c r="IQ325" s="347" t="b">
        <f t="shared" si="135"/>
        <v>0</v>
      </c>
      <c r="IR325" s="347" t="b">
        <f t="shared" si="136"/>
        <v>0</v>
      </c>
      <c r="IS325" s="347" t="b">
        <f t="shared" si="137"/>
        <v>0</v>
      </c>
      <c r="IT325" s="347" t="b">
        <f t="shared" si="138"/>
        <v>0</v>
      </c>
      <c r="IU325" s="347" t="b">
        <f t="shared" si="139"/>
        <v>0</v>
      </c>
      <c r="IV325" s="347" t="b">
        <f t="shared" si="140"/>
        <v>1</v>
      </c>
      <c r="IW325" s="347" t="b">
        <f t="shared" si="141"/>
        <v>1</v>
      </c>
      <c r="IX325" s="347" t="b">
        <f t="shared" si="142"/>
        <v>0</v>
      </c>
      <c r="IY325" s="347" t="b">
        <f t="shared" si="143"/>
        <v>0</v>
      </c>
      <c r="IZ325" s="347" t="b">
        <f t="shared" si="144"/>
        <v>0</v>
      </c>
      <c r="JA325" s="347" t="b">
        <f t="shared" si="145"/>
        <v>0</v>
      </c>
      <c r="JB325" s="353" t="b">
        <f t="shared" si="146"/>
        <v>0</v>
      </c>
      <c r="JC325" s="354" t="str">
        <f t="shared" si="147"/>
        <v/>
      </c>
      <c r="JD325" s="355" t="str">
        <f t="shared" si="148"/>
        <v/>
      </c>
      <c r="JE325" s="355" t="str">
        <f t="shared" si="149"/>
        <v/>
      </c>
      <c r="JF325" s="355" t="str">
        <f t="shared" si="150"/>
        <v/>
      </c>
      <c r="JG325" s="355" t="str">
        <f t="shared" si="151"/>
        <v/>
      </c>
      <c r="JH325" s="355" t="str">
        <f t="shared" si="152"/>
        <v/>
      </c>
      <c r="JI325" s="355" t="str">
        <f t="shared" si="153"/>
        <v>Ma, </v>
      </c>
      <c r="JJ325" s="355" t="str">
        <f t="shared" si="154"/>
        <v>Pa, </v>
      </c>
      <c r="JK325" s="355" t="str">
        <f t="shared" si="155"/>
        <v/>
      </c>
      <c r="JL325" s="355" t="str">
        <f t="shared" si="156"/>
        <v/>
      </c>
      <c r="JM325" s="355" t="str">
        <f t="shared" si="157"/>
        <v/>
      </c>
      <c r="JN325" s="355" t="str">
        <f t="shared" si="158"/>
        <v/>
      </c>
      <c r="JO325" s="359" t="str">
        <f t="shared" si="159"/>
        <v/>
      </c>
      <c r="JP325" s="346" t="b">
        <f t="shared" si="160"/>
        <v>0</v>
      </c>
      <c r="JQ325" s="347" t="b">
        <f t="shared" si="161"/>
        <v>0</v>
      </c>
      <c r="JR325" s="347" t="b">
        <f t="shared" si="162"/>
        <v>0</v>
      </c>
      <c r="JS325" s="347" t="b">
        <f t="shared" si="163"/>
        <v>0</v>
      </c>
      <c r="JT325" s="347" t="b">
        <f t="shared" si="164"/>
        <v>0</v>
      </c>
      <c r="JU325" s="347" t="b">
        <f t="shared" si="165"/>
        <v>0</v>
      </c>
      <c r="JV325" s="347" t="b">
        <f t="shared" si="166"/>
        <v>1</v>
      </c>
      <c r="JW325" s="347" t="b">
        <f t="shared" si="167"/>
        <v>0</v>
      </c>
      <c r="JX325" s="347" t="b">
        <f t="shared" si="168"/>
        <v>0</v>
      </c>
      <c r="JY325" s="347" t="b">
        <f t="shared" si="169"/>
        <v>0</v>
      </c>
      <c r="JZ325" s="347" t="b">
        <f t="shared" si="170"/>
        <v>0</v>
      </c>
      <c r="KA325" s="347" t="b">
        <f t="shared" si="171"/>
        <v>0</v>
      </c>
      <c r="KB325" s="365" t="b">
        <f t="shared" si="172"/>
        <v>0</v>
      </c>
      <c r="KC325" s="354" t="str">
        <f t="shared" si="173"/>
        <v/>
      </c>
      <c r="KD325" s="355" t="str">
        <f t="shared" si="174"/>
        <v/>
      </c>
      <c r="KE325" s="355" t="str">
        <f t="shared" si="175"/>
        <v/>
      </c>
      <c r="KF325" s="355" t="str">
        <f t="shared" si="176"/>
        <v/>
      </c>
      <c r="KG325" s="355" t="str">
        <f t="shared" si="177"/>
        <v/>
      </c>
      <c r="KH325" s="355" t="str">
        <f t="shared" si="178"/>
        <v/>
      </c>
      <c r="KI325" s="355" t="str">
        <f t="shared" si="179"/>
        <v>Ma, </v>
      </c>
      <c r="KJ325" s="355" t="str">
        <f t="shared" si="180"/>
        <v/>
      </c>
      <c r="KK325" s="355" t="str">
        <f t="shared" si="181"/>
        <v/>
      </c>
      <c r="KL325" s="355" t="str">
        <f t="shared" si="182"/>
        <v/>
      </c>
      <c r="KM325" s="355" t="str">
        <f t="shared" si="183"/>
        <v/>
      </c>
      <c r="KN325" s="355" t="str">
        <f t="shared" si="184"/>
        <v/>
      </c>
      <c r="KO325" s="359"/>
      <c r="KP325" s="378"/>
      <c r="KQ325" s="379" t="s">
        <v>9</v>
      </c>
      <c r="KR325" s="380" t="s">
        <v>9</v>
      </c>
      <c r="KS325" s="381" t="s">
        <v>9</v>
      </c>
      <c r="KT325" s="382">
        <f t="shared" si="186"/>
        <v>0</v>
      </c>
      <c r="KU325" s="383">
        <f t="shared" si="187"/>
        <v>0</v>
      </c>
      <c r="KV325" s="381" t="str">
        <f t="shared" si="205"/>
        <v>S</v>
      </c>
      <c r="KW325" s="382">
        <f t="shared" si="189"/>
        <v>0</v>
      </c>
      <c r="KX325" s="384">
        <f t="shared" si="190"/>
        <v>0</v>
      </c>
      <c r="KY325" s="382">
        <f t="shared" ref="KY325:KZ325" si="881">KW325-KT325</f>
        <v>0</v>
      </c>
      <c r="KZ325" s="369">
        <f t="shared" si="881"/>
        <v>0</v>
      </c>
      <c r="LA325" s="385" t="str">
        <f t="shared" si="192"/>
        <v>✔</v>
      </c>
      <c r="LB325" s="340" t="str">
        <f>IFERROR(__xludf.DUMMYFUNCTION("JOIN("""",ArrayFormula(MID(KS325,LEN(KS325)-SEQUENCE(1,LEN(KS325))+1,1)))"),"S")</f>
        <v>S</v>
      </c>
      <c r="LC325" s="373" t="str">
        <f>IFERROR(__xludf.DUMMYFUNCTION("JOIN("""",ArrayFormula(MID(KV325,LEN(KV325)-SEQUENCE(1,LEN(KV325))+1,1)))"),"S")</f>
        <v>S</v>
      </c>
      <c r="LD325" s="373" t="str">
        <f t="shared" si="193"/>
        <v>S</v>
      </c>
      <c r="LE325" s="339" t="str">
        <f t="shared" si="194"/>
        <v>S</v>
      </c>
      <c r="LF325" s="386" t="str">
        <f>IFERROR(__xludf.DUMMYFUNCTION("SUBSTITUTE(SUBSTITUTE(CONCATENATE(JOIN("""",LH325:LT325)),""1"",""""),""2"","""")"),"SS")</f>
        <v>SS</v>
      </c>
      <c r="LG325" s="369" t="str">
        <f t="shared" si="195"/>
        <v>-</v>
      </c>
      <c r="LH325" s="387" t="str">
        <f>IFERROR(__xludf.DUMMYFUNCTION("IF(REGEXMATCH(LD325, ""S""), ""S"",IF(REGEXMATCH(LE325, ""S""), ""S"",""""))"),"S")</f>
        <v>S</v>
      </c>
      <c r="LI325" s="299" t="str">
        <f>IFERROR(__xludf.DUMMYFUNCTION("IF(REGEXMATCH(LD325, ""r""), ""r1"",IF(REGEXMATCH(LE325, ""r""), ""r2"",""""))"),"")</f>
        <v/>
      </c>
      <c r="LJ325" s="299" t="str">
        <f>IFERROR(__xludf.DUMMYFUNCTION("IF(REGEXMATCH(LD325, ""R""), ""R1"",IF(REGEXMATCH(LE325, ""R""), ""R2"",""""))"),"")</f>
        <v/>
      </c>
      <c r="LK325" s="299" t="str">
        <f>IFERROR(__xludf.DUMMYFUNCTION("IF(REGEXMATCH(LD325, ""g""), ""g1"",IF(REGEXMATCH(LE325, ""g""), ""g2"",""""))"),"")</f>
        <v/>
      </c>
      <c r="LL325" s="299" t="str">
        <f>IFERROR(__xludf.DUMMYFUNCTION("IF(REGEXMATCH(LD325, ""G""), ""G1"",IF(REGEXMATCH(LE325, ""G""), ""G2"",""""))"),"")</f>
        <v/>
      </c>
      <c r="LM325" s="299" t="str">
        <f>IFERROR(__xludf.DUMMYFUNCTION("IF(REGEXMATCH(LD325, ""m""), ""m1"",IF(REGEXMATCH(LE325, ""m""), ""m2"",""""))"),"")</f>
        <v/>
      </c>
      <c r="LN325" s="299" t="str">
        <f>IFERROR(__xludf.DUMMYFUNCTION("IF(REGEXMATCH(LD325, ""M""), ""M1"",IF(REGEXMATCH(LE325, ""M""), ""M2"",""""))"),"")</f>
        <v/>
      </c>
      <c r="LO325" s="299" t="str">
        <f>IFERROR(__xludf.DUMMYFUNCTION("IF(REGEXMATCH(LD325, ""P""), ""P1"",IF(REGEXMATCH(LE325, ""P""), ""P2"",""""))"),"")</f>
        <v/>
      </c>
      <c r="LP325" s="299" t="str">
        <f>IFERROR(__xludf.DUMMYFUNCTION("IF(REGEXMATCH(LD325, ""d""), ""d1"",IF(REGEXMATCH(LE325, ""d""), ""d2"",""""))"),"")</f>
        <v/>
      </c>
      <c r="LQ325" s="299" t="str">
        <f>IFERROR(__xludf.DUMMYFUNCTION("IF(REGEXMATCH(LD325, ""D""), ""D1"",IF(REGEXMATCH(LE325, ""D""), ""D2"",""""))"),"")</f>
        <v/>
      </c>
      <c r="LR325" s="299" t="str">
        <f>IFERROR(__xludf.DUMMYFUNCTION("IF(REGEXMATCH(LD325, ""n""), ""n1"",IF(REGEXMATCH(LE325, ""n""), ""n2"",""""))"),"")</f>
        <v/>
      </c>
      <c r="LS325" s="299" t="str">
        <f>IFERROR(__xludf.DUMMYFUNCTION("IF(REGEXMATCH(LD325, ""N""), ""N1"",IF(REGEXMATCH(LE325, ""N""), ""N2"",""""))"),"")</f>
        <v/>
      </c>
      <c r="LT325" s="388" t="str">
        <f>IFERROR(__xludf.DUMMYFUNCTION("IF(REGEXMATCH(LD325, ""S""), ""S"",IF(REGEXMATCH(LE325, ""S""), ""S"",""""))"),"S")</f>
        <v>S</v>
      </c>
      <c r="LU325" s="389">
        <f t="shared" si="196"/>
        <v>1</v>
      </c>
      <c r="LV325" s="378"/>
      <c r="LW325" s="369"/>
      <c r="LX325" s="369"/>
    </row>
    <row r="326" ht="18.0" customHeight="1">
      <c r="A326" s="298" t="s">
        <v>1165</v>
      </c>
      <c r="B326" s="222" t="s">
        <v>597</v>
      </c>
      <c r="C326" s="233" t="str">
        <f t="shared" si="7"/>
        <v>SrGmMPDNS</v>
      </c>
      <c r="D326" s="234" t="str">
        <f>IFERROR(__xludf.DUMMYFUNCTION("IF(REGEXMATCH(C326, ""S""), ""S"","""")"),"S")</f>
        <v>S</v>
      </c>
      <c r="E326" s="236" t="str">
        <f>IFERROR(__xludf.DUMMYFUNCTION("IF(REGEXMATCH(C326, ""r""), ""r"","""")"),"r")</f>
        <v>r</v>
      </c>
      <c r="F326" s="237" t="str">
        <f>IFERROR(__xludf.DUMMYFUNCTION("IF(REGEXMATCH(C326, ""R""), ""R"","""")"),"")</f>
        <v/>
      </c>
      <c r="G326" s="237" t="str">
        <f>IFERROR(__xludf.DUMMYFUNCTION("IF(REGEXMATCH(C326, ""g""), ""g"","""")"),"")</f>
        <v/>
      </c>
      <c r="H326" s="236" t="str">
        <f>IFERROR(__xludf.DUMMYFUNCTION("IF(REGEXMATCH(C326, ""G""), ""G"","""")"),"G")</f>
        <v>G</v>
      </c>
      <c r="I326" s="236" t="str">
        <f>IFERROR(__xludf.DUMMYFUNCTION("IF(REGEXMATCH(C326, ""m""), ""m"","""")"),"m")</f>
        <v>m</v>
      </c>
      <c r="J326" s="237" t="str">
        <f>IFERROR(__xludf.DUMMYFUNCTION("IF(REGEXMATCH(C326, ""M""), ""M"","""")"),"M")</f>
        <v>M</v>
      </c>
      <c r="K326" s="236" t="str">
        <f>IFERROR(__xludf.DUMMYFUNCTION("IF(REGEXMATCH(C326, ""P""), ""P"","""")"),"P")</f>
        <v>P</v>
      </c>
      <c r="L326" s="237" t="str">
        <f>IFERROR(__xludf.DUMMYFUNCTION("IF(REGEXMATCH(C326, ""d""), ""d"","""")"),"")</f>
        <v/>
      </c>
      <c r="M326" s="236" t="str">
        <f>IFERROR(__xludf.DUMMYFUNCTION("IF(REGEXMATCH(C326, ""D""), ""D"","""")"),"D")</f>
        <v>D</v>
      </c>
      <c r="N326" s="236" t="str">
        <f>IFERROR(__xludf.DUMMYFUNCTION("IF(REGEXMATCH(C326, ""n""), ""n"","""")"),"")</f>
        <v/>
      </c>
      <c r="O326" s="237" t="str">
        <f>IFERROR(__xludf.DUMMYFUNCTION("IF(REGEXMATCH(C326, ""N""), ""N"","""")"),"N")</f>
        <v>N</v>
      </c>
      <c r="P326" s="238" t="str">
        <f>IFERROR(__xludf.DUMMYFUNCTION("IF(REGEXMATCH(C326, ""S""), ""S"","""")"),"S")</f>
        <v>S</v>
      </c>
      <c r="Q326" s="239" t="str">
        <f>IFERROR(__xludf.DUMMYFUNCTION("SUBSTITUTE(CONCATENATE(JOIN(""-"",D326:J326)),""-"","""")"),"SrGmM")</f>
        <v>SrGmM</v>
      </c>
      <c r="R326" s="229" t="str">
        <f>IFERROR(__xludf.DUMMYFUNCTION("SUBSTITUTE(CONCATENATE(JOIN(""-"",K326:P326)),""-"","""")"),"PDNS")</f>
        <v>PDNS</v>
      </c>
      <c r="S326" s="282" t="str">
        <f t="shared" si="8"/>
        <v>S-R-G-M</v>
      </c>
      <c r="T326" s="282" t="str">
        <f t="shared" si="9"/>
        <v>P-D-N-S</v>
      </c>
      <c r="U326" s="237" t="str">
        <f>IFERROR(__xludf.DUMMYFUNCTION("SUBSTITUTE(JOIN(""-"",S326,T326),""--"",""-"")"),"S-R-G-M-P-D-N-S")</f>
        <v>S-R-G-M-P-D-N-S</v>
      </c>
      <c r="V326" s="309" t="str">
        <f t="shared" si="10"/>
        <v>rGmMDN</v>
      </c>
      <c r="W326" s="244" t="str">
        <f>IFERROR(__xludf.DUMMYFUNCTION("IF(REGEXMATCH(C326, ""S""), ""0"","""")"),"0")</f>
        <v>0</v>
      </c>
      <c r="X326" s="245" t="str">
        <f>IFERROR(__xludf.DUMMYFUNCTION("IF(REGEXMATCH(C326, ""r""), ""1"","""")"),"1")</f>
        <v>1</v>
      </c>
      <c r="Y326" s="246" t="str">
        <f>IFERROR(__xludf.DUMMYFUNCTION("IF(REGEXMATCH(C326, ""R""), ""2"","""")"),"")</f>
        <v/>
      </c>
      <c r="Z326" s="246" t="str">
        <f>IFERROR(__xludf.DUMMYFUNCTION("IF(REGEXMATCH(C326, ""g""), ""3"","""")"),"")</f>
        <v/>
      </c>
      <c r="AA326" s="245" t="str">
        <f>IFERROR(__xludf.DUMMYFUNCTION("IF(REGEXMATCH(C326, ""G""), ""4"","""")"),"4")</f>
        <v>4</v>
      </c>
      <c r="AB326" s="245" t="str">
        <f>IFERROR(__xludf.DUMMYFUNCTION("IF(REGEXMATCH(C326, ""m""), ""5"","""")"),"5")</f>
        <v>5</v>
      </c>
      <c r="AC326" s="246" t="str">
        <f>IFERROR(__xludf.DUMMYFUNCTION("IF(REGEXMATCH(C326, ""M""), ""6"","""")"),"6")</f>
        <v>6</v>
      </c>
      <c r="AD326" s="245" t="str">
        <f>IFERROR(__xludf.DUMMYFUNCTION("IF(REGEXMATCH(C326, ""P""), ""7"","""")"),"7")</f>
        <v>7</v>
      </c>
      <c r="AE326" s="246" t="str">
        <f>IFERROR(__xludf.DUMMYFUNCTION("IF(REGEXMATCH(C326, ""d""), ""8"","""")"),"")</f>
        <v/>
      </c>
      <c r="AF326" s="245" t="str">
        <f>IFERROR(__xludf.DUMMYFUNCTION("IF(REGEXMATCH(C326, ""D""), ""9"","""")"),"9")</f>
        <v>9</v>
      </c>
      <c r="AG326" s="245" t="str">
        <f>IFERROR(__xludf.DUMMYFUNCTION("IF(REGEXMATCH(C326, ""n""), ""10"","""")"),"")</f>
        <v/>
      </c>
      <c r="AH326" s="246" t="str">
        <f>IFERROR(__xludf.DUMMYFUNCTION("IF(REGEXMATCH(C326, ""N""), ""11"","""")"),"11")</f>
        <v>11</v>
      </c>
      <c r="AI326" s="249" t="str">
        <f>IFERROR(__xludf.DUMMYFUNCTION("IF(REGEXMATCH(C326, ""S""), ""0"","""")"),"0")</f>
        <v>0</v>
      </c>
      <c r="AJ326" s="313" t="str">
        <f t="shared" si="11"/>
        <v>T</v>
      </c>
      <c r="AK326" s="313" t="str">
        <f t="shared" si="12"/>
        <v>T</v>
      </c>
      <c r="AL326" s="313" t="str">
        <f t="shared" si="13"/>
        <v>-</v>
      </c>
      <c r="AM326" s="313" t="str">
        <f t="shared" si="14"/>
        <v>-</v>
      </c>
      <c r="AN326" s="313" t="str">
        <f t="shared" si="15"/>
        <v>-</v>
      </c>
      <c r="AO326" s="314" t="str">
        <f t="shared" si="16"/>
        <v>T</v>
      </c>
      <c r="AP326" s="316">
        <f t="shared" si="17"/>
        <v>3</v>
      </c>
      <c r="AQ326" s="319" t="str">
        <f t="shared" si="18"/>
        <v>-</v>
      </c>
      <c r="AR326" s="320">
        <f t="shared" si="19"/>
        <v>0</v>
      </c>
      <c r="AS326" s="250" t="str">
        <f>IFERROR(__xludf.DUMMYFUNCTION("SUBSTITUTE(SUBSTITUTE(CONCATENATE(JOIN("""",FP326:GA326)),""|"",""x""),""-"",""o"")"),"xxooxxxxoxox")</f>
        <v>xxooxxxxoxox</v>
      </c>
      <c r="AT326" s="323" t="str">
        <f>IFERROR(__xludf.DUMMYFUNCTION("JOIN("""",AS326,AS326)"),"xxooxxxxoxoxxxooxxxxoxox")</f>
        <v>xxooxxxxoxoxxxooxxxxoxox</v>
      </c>
      <c r="AU326" s="256" t="str">
        <f>IFERROR(__xludf.DUMMYFUNCTION("JOIN("""",ArrayFormula(MID(AS326,LEN(AS326)-SEQUENCE(1,LEN(AS326))+1,1)))"),"xoxoxxxxooxx")</f>
        <v>xoxoxxxxooxx</v>
      </c>
      <c r="AV326" s="256" t="str">
        <f>IFERROR(__xludf.DUMMYFUNCTION("LEFT(CONCATENATE(""x"",JOIN("""",ArrayFormula(MID(AS326,LEN(AS326)-SEQUENCE(1,LEN(AS326))+1,1)))),12)"),"xxoxoxxxxoox")</f>
        <v>xxoxoxxxxoox</v>
      </c>
      <c r="AW326" s="327" t="str">
        <f>IFERROR(__xludf.DUMMYFUNCTION("JOIN("""",AU326,AU326)"),"xoxoxxxxooxxxoxoxxxxooxx")</f>
        <v>xoxoxxxxooxxxoxoxxxxooxx</v>
      </c>
      <c r="AX326" s="239" t="str">
        <f>IFERROR(__xludf.DUMMYFUNCTION("IF(REGEXMATCH(AW326,AS326),""✔"",""-"")"),"-")</f>
        <v>-</v>
      </c>
      <c r="AY326" s="330" t="str">
        <f t="shared" si="20"/>
        <v>-</v>
      </c>
      <c r="AZ326" s="260" t="str">
        <f t="shared" si="21"/>
        <v>#REF!</v>
      </c>
      <c r="BA326" s="333" t="str">
        <f t="shared" si="22"/>
        <v>xxooxxx</v>
      </c>
      <c r="BB326" s="334" t="str">
        <f t="shared" si="23"/>
        <v>xoxoxx</v>
      </c>
      <c r="BC326" s="335" t="str">
        <f t="shared" si="236"/>
        <v>-</v>
      </c>
      <c r="BD326" s="336" t="str">
        <f t="shared" si="25"/>
        <v>Shuddha Basant: 'xxooxxx' + 'xoxoxx'</v>
      </c>
      <c r="BE326" s="337">
        <f>IFERROR(__xludf.DUMMYFUNCTION("COUNTUNIQUE(FILTER(AT:AT,REGEXMATCH(AT:AT,AS326)))-1"),0.0)</f>
        <v>0</v>
      </c>
      <c r="BF326" s="261" t="str">
        <f>IFERROR(__xludf.DUMMYFUNCTION("IF(BI326=0,""(n/a)"",IF(BJ326=2,""(PAIR)"",IF(REGEXMATCH(AT326,""xoxoxxoxoxox""),""Bilawal"",IF(REGEXMATCH(AT326,""xoxoxooxoxoo""),""Bhupali"",IF(REGEXMATCH(AT326,""xoxoxxoxxoxo""),""Charukeshi"",IF(REGEXMATCH(AT326,""xoxoooxxoxxo""),""Kameshwari"",IF(REG"&amp;"EXMATCH(AT326,""xoxoxooxoxox""),""Shankara"",IF(REGEXMATCH(AT326,""xxooxoxxxoox""),""Basant"",IF(REGEXMATCH(AT326,""xoxoxxxxoxox""),""Bihag"",IF(REGEXMATCH(AT326,""xoxxxxoxoxxx""),""Pilu"",IF(REGEXMATCH(AT326,""xoxxoxoxxoox""),""Kirwani"",IF(REGEXMATCH(AT"&amp;"326,""xoxxoxoxoxxx""),""Mk.Malhar"",IF(REGEXMATCH(AT326,""xxooxxoxxoox""),""Bhairav"",IF(REGEXMATCH(AT326,""xxoxooxxxoox""),""Todi"",IF(REGEXMATCH(AT326,""xxooxoxooxox""),""Marwa"",IF(REGEXMATCH(AT326,""xxoooxoxxooo""),""Gunkali"",IF(REGEXMATCH(AT326,""xo"&amp;"xoxxoxxoox""),""Nat Bhairav"",IF(REGEXMATCH(AT326,""xoxxoooxoxoo""),""Shivranjani"",IF(REGEXMATCH(AT326,""xooxxxoxooxo""),""Jog"",IF(REGEXMATCH(AT326,""xxooxoxoxoox""),""Hemshri"",IF(REGEXMATCH(AT326,""xoooxooxoxxo""),""Kalavati"",IF(REGEXMATCH(AT326,""xx"&amp;"oxoxxoxoox""),""Kedar"",IF(REGEXMATCH(AT326,""xoxxxxoxooxx""),""Gara"",IF(REGEXMATCH(AT326,""xooxoxooxoox""),""Chandrakauns"",IF(REGEXMATCH(AT326,""xoxxxxoxxxox""),""Mand"",IF(REGEXMATCH(AT326,""xoxxxxoxoxox""),""Hanskinkini"",IF(REGEXMATCH(AT326,""xxooxx"&amp;"oxooxo""),""Lilavati"",IF(REGEXMATCH(AT326,""xooxoxoooxox""),""Rajeshwari"",IF(REGEXMATCH(AT326,""xoooxxoxoxxx""),""Khokar"",IF(REGEXMATCH(AT326,""xxooxoxxxxox""),""Maligoura"",""-""))))))))))))))))))))))))))))))"),"(n/a)")</f>
        <v>(n/a)</v>
      </c>
      <c r="BG326" s="239" t="str">
        <f t="shared" si="26"/>
        <v>#REF!</v>
      </c>
      <c r="BH326" s="239">
        <f>IFERROR(__xludf.DUMMYFUNCTION("COUNTUNIQUE(FE326:FO326)-1"),7.0)</f>
        <v>7</v>
      </c>
      <c r="BI326" s="239">
        <f>IFERROR(__xludf.DUMMYFUNCTION("COUNTUNIQUE(FILTER(AT:AT,REGEXMATCH(AT:AT,AS326)))-1"),0.0)</f>
        <v>0</v>
      </c>
      <c r="BJ326" s="239">
        <f>IFERROR(__xludf.DUMMYFUNCTION("COUNTA(FILTER(AT:AT,REGEXMATCH(AT:AT,AS326)))"),7.0)</f>
        <v>7</v>
      </c>
      <c r="BK326" s="341">
        <f>IFERROR(__xludf.DUMMYFUNCTION("COUNTA(FILTER(AT:AT,REGEXMATCH(AT:AT,AS326)))-AR326"),7.0)</f>
        <v>7</v>
      </c>
      <c r="BL326" s="276" t="str">
        <f>IFERROR(__xludf.DUMMYFUNCTION("IF(AS326=""oooooooooooo"",""-"",IF(REGEXMATCH(AT326,""xx""), ""Hemi."", ""Anhemi.""))"),"Hemi.")</f>
        <v>Hemi.</v>
      </c>
      <c r="BM326" s="282" t="str">
        <f>IFERROR(__xludf.DUMMYFUNCTION("IF(AS326=""oooooooooooo"",""-"",IF(REGEXMATCH(AT326,""xxx""), ""Cohem."", ""-""))"),"Cohem.")</f>
        <v>Cohem.</v>
      </c>
      <c r="BN326" s="282" t="str">
        <f>IFERROR(__xludf.DUMMYFUNCTION("IF(AS326=""oooooooooooo"",""-"",IF(REGEXMATCH(AT326,""xxxx""), ""Co-Co."", ""-""))"),"Co-Co.")</f>
        <v>Co-Co.</v>
      </c>
      <c r="BO326" s="342" t="str">
        <f>IFERROR(__xludf.DUMMYFUNCTION("IF(AS326=""oooooooooooo"",""-"",IF(REGEXMATCH(AT326,""xxxxx""), ""CCC."", ""-""))"),"-")</f>
        <v>-</v>
      </c>
      <c r="BP326" s="344" t="str">
        <f t="shared" si="27"/>
        <v>-</v>
      </c>
      <c r="BQ326" s="282" t="str">
        <f>IFERROR(__xludf.DUMMYFUNCTION("IF(REGEXMATCH(JOIN(""-"",EU326:FD326),""TRUE""),""✔"",""-"")"),"-")</f>
        <v>-</v>
      </c>
      <c r="BR326" s="225">
        <f t="shared" si="28"/>
        <v>0</v>
      </c>
      <c r="BS326" s="345" t="str">
        <f>IFERROR(__xludf.DUMMYFUNCTION("SUBSTITUTE(SUBSTITUTE(SUBSTITUTE(SUBSTITUTE(CONCATENATE(JOIN(""-"",GC326:GO326)),""--"",""-""),""--"",""-""),""--"",""-""),""--"",""-"")"),"1-b2-3-4-#4-5-6-7-8")</f>
        <v>1-b2-3-4-#4-5-6-7-8</v>
      </c>
      <c r="BT326" s="299" t="str">
        <f>IFERROR(__xludf.DUMMYFUNCTION("SUBSTITUTE(SUBSTITUTE(SUBSTITUTE(SUBSTITUTE(CONCATENATE(JOIN(""-"",GP326:HB326)),""--"",""-""),""--"",""-""),""--"",""-""),""--"",""-"")"),"S-R1-G3-M1-M2-P-D2-N3-S")</f>
        <v>S-R1-G3-M1-M2-P-D2-N3-S</v>
      </c>
      <c r="BU326" s="348" t="str">
        <f t="shared" si="29"/>
        <v>C-Db-E-F-F#-G-A-B-C</v>
      </c>
      <c r="BV326" s="349" t="str">
        <f t="shared" si="30"/>
        <v>SRgdnS</v>
      </c>
      <c r="BW326" s="350">
        <f t="shared" si="31"/>
        <v>0</v>
      </c>
      <c r="BX326" s="351">
        <f t="shared" si="32"/>
        <v>7</v>
      </c>
      <c r="BY326" s="352" t="s">
        <v>275</v>
      </c>
      <c r="BZ326" s="309" t="str">
        <f>IFERROR(__xludf.DUMMYFUNCTION("IF(REGEXMATCH(C326, ""S""), ""x"",""x"")"),"x")</f>
        <v>x</v>
      </c>
      <c r="CA326" s="245" t="str">
        <f>IFERROR(__xludf.DUMMYFUNCTION("IF(REGEXMATCH(C326, ""r""), ""o"",""x"")"),"o")</f>
        <v>o</v>
      </c>
      <c r="CB326" s="246" t="str">
        <f>IFERROR(__xludf.DUMMYFUNCTION("IF(REGEXMATCH(C326, ""R""), ""o"",""x"")"),"x")</f>
        <v>x</v>
      </c>
      <c r="CC326" s="246" t="str">
        <f>IFERROR(__xludf.DUMMYFUNCTION("IF(REGEXMATCH(C326, ""g""), ""o"",""x"")"),"x")</f>
        <v>x</v>
      </c>
      <c r="CD326" s="245" t="str">
        <f>IFERROR(__xludf.DUMMYFUNCTION("IF(REGEXMATCH(C326, ""G""), ""o"",""x"")"),"o")</f>
        <v>o</v>
      </c>
      <c r="CE326" s="245" t="str">
        <f>IFERROR(__xludf.DUMMYFUNCTION("IF(REGEXMATCH(C326, ""m""), ""o"",""x"")"),"o")</f>
        <v>o</v>
      </c>
      <c r="CF326" s="246" t="str">
        <f>IFERROR(__xludf.DUMMYFUNCTION("IF(REGEXMATCH(C326, ""M""), ""o"",""x"")"),"o")</f>
        <v>o</v>
      </c>
      <c r="CG326" s="245" t="str">
        <f>IFERROR(__xludf.DUMMYFUNCTION("IF(REGEXMATCH(C326, ""P""), ""o"",""x"")"),"o")</f>
        <v>o</v>
      </c>
      <c r="CH326" s="246" t="str">
        <f>IFERROR(__xludf.DUMMYFUNCTION("IF(REGEXMATCH(C326, ""d""), ""o"",""x"")"),"x")</f>
        <v>x</v>
      </c>
      <c r="CI326" s="245" t="str">
        <f>IFERROR(__xludf.DUMMYFUNCTION("IF(REGEXMATCH(C326, ""D""), ""o"",""x"")"),"o")</f>
        <v>o</v>
      </c>
      <c r="CJ326" s="245" t="str">
        <f>IFERROR(__xludf.DUMMYFUNCTION("IF(REGEXMATCH(C326, ""n""), ""o"",""x"")"),"x")</f>
        <v>x</v>
      </c>
      <c r="CK326" s="245" t="str">
        <f>IFERROR(__xludf.DUMMYFUNCTION("IF(REGEXMATCH(C326, ""N""), ""o"",""x"")"),"o")</f>
        <v>o</v>
      </c>
      <c r="CL326" s="356" t="str">
        <f>IFERROR(__xludf.DUMMYFUNCTION("IF(REGEXMATCH(C326, ""S""), ""x"",""x"")"),"x")</f>
        <v>x</v>
      </c>
      <c r="CM326" s="357" t="str">
        <f t="shared" si="33"/>
        <v>xoxxooooxoxo</v>
      </c>
      <c r="CN326" s="358">
        <f t="shared" si="34"/>
        <v>0</v>
      </c>
      <c r="CO326" s="246" t="str">
        <f>IFERROR(__xludf.DUMMYFUNCTION("IF(REGEXMATCH($C326, ""S""), ""S"",""S"")"),"S")</f>
        <v>S</v>
      </c>
      <c r="CP326" s="246" t="str">
        <f>IFERROR(__xludf.DUMMYFUNCTION("IF(REGEXMATCH($C326, ""r""), """",""r"")"),"")</f>
        <v/>
      </c>
      <c r="CQ326" s="246" t="str">
        <f>IFERROR(__xludf.DUMMYFUNCTION("IF(REGEXMATCH($C326, ""R""), """",""R"")"),"R")</f>
        <v>R</v>
      </c>
      <c r="CR326" s="246" t="str">
        <f>IFERROR(__xludf.DUMMYFUNCTION("IF(REGEXMATCH($C326, ""g""), """",""g"")"),"g")</f>
        <v>g</v>
      </c>
      <c r="CS326" s="246" t="str">
        <f>IFERROR(__xludf.DUMMYFUNCTION("IF(REGEXMATCH($C326, ""G""), """",""G"")"),"")</f>
        <v/>
      </c>
      <c r="CT326" s="246" t="str">
        <f>IFERROR(__xludf.DUMMYFUNCTION("IF(REGEXMATCH($C326, ""m""), """",""m"")"),"")</f>
        <v/>
      </c>
      <c r="CU326" s="246" t="str">
        <f>IFERROR(__xludf.DUMMYFUNCTION("IF(REGEXMATCH($C326, ""M""), """",""M"")"),"")</f>
        <v/>
      </c>
      <c r="CV326" s="246" t="str">
        <f>IFERROR(__xludf.DUMMYFUNCTION("IF(REGEXMATCH($C326, ""P""), """",""P"")"),"")</f>
        <v/>
      </c>
      <c r="CW326" s="246" t="str">
        <f>IFERROR(__xludf.DUMMYFUNCTION("IF(REGEXMATCH($C326, ""d""), """",""d"")"),"d")</f>
        <v>d</v>
      </c>
      <c r="CX326" s="246" t="str">
        <f>IFERROR(__xludf.DUMMYFUNCTION("IF(REGEXMATCH($C326, ""D""), """",""D"")"),"")</f>
        <v/>
      </c>
      <c r="CY326" s="246" t="str">
        <f>IFERROR(__xludf.DUMMYFUNCTION("IF(REGEXMATCH($C326, ""n""), """",""n"")"),"n")</f>
        <v>n</v>
      </c>
      <c r="CZ326" s="246" t="str">
        <f>IFERROR(__xludf.DUMMYFUNCTION("IF(REGEXMATCH($C326, ""N""), """",""N"")"),"")</f>
        <v/>
      </c>
      <c r="DA326" s="246" t="str">
        <f>IFERROR(__xludf.DUMMYFUNCTION("IF(REGEXMATCH($C326, ""S""), ""S"",""S"")"),"S")</f>
        <v>S</v>
      </c>
      <c r="DB326" s="362" t="str">
        <f>IFERROR(__xludf.DUMMYFUNCTION("JOIN("""",CO326:DA326,"""","""")"),"SRgdnS")</f>
        <v>SRgdnS</v>
      </c>
      <c r="DC326" s="363"/>
      <c r="DD326" s="301" t="str">
        <f t="shared" si="35"/>
        <v>#REF!</v>
      </c>
      <c r="DE326" s="302" t="str">
        <f t="shared" si="36"/>
        <v>#REF!</v>
      </c>
      <c r="DF326" s="301" t="str">
        <f t="shared" ref="DF326:DG326" si="882">SUBSTITUTE(S326,"-","")</f>
        <v>SRGM</v>
      </c>
      <c r="DG326" s="301" t="str">
        <f t="shared" si="882"/>
        <v>PDNS</v>
      </c>
      <c r="DH326" s="302" t="str">
        <f t="shared" si="38"/>
        <v>(n/a)</v>
      </c>
      <c r="DI326" s="301" t="str">
        <f t="shared" si="39"/>
        <v>Hemi.</v>
      </c>
      <c r="DJ326" s="364" t="str">
        <f t="shared" si="40"/>
        <v>Co-Co.</v>
      </c>
      <c r="DK326" s="306" t="str">
        <f t="shared" si="41"/>
        <v>-</v>
      </c>
      <c r="DL326" s="366" t="str">
        <f t="shared" si="42"/>
        <v>-</v>
      </c>
      <c r="DM326" s="308" t="str">
        <f t="shared" si="43"/>
        <v>✔</v>
      </c>
      <c r="DN326" s="306" t="str">
        <f t="shared" si="44"/>
        <v>-</v>
      </c>
      <c r="DO326" s="306" t="str">
        <f t="shared" si="45"/>
        <v>-</v>
      </c>
      <c r="DP326" s="367" t="str">
        <f t="shared" si="46"/>
        <v>-</v>
      </c>
      <c r="DQ326" s="310" t="str">
        <f t="shared" si="47"/>
        <v>-</v>
      </c>
      <c r="DR326" s="310" t="str">
        <f t="shared" si="48"/>
        <v>-</v>
      </c>
      <c r="DS326" s="310" t="str">
        <f t="shared" si="49"/>
        <v>✔</v>
      </c>
      <c r="DT326" s="310" t="str">
        <f t="shared" si="50"/>
        <v>-</v>
      </c>
      <c r="DU326" s="370" t="str">
        <f t="shared" si="51"/>
        <v>-</v>
      </c>
      <c r="DV326" s="306" t="str">
        <f t="shared" si="52"/>
        <v>-</v>
      </c>
      <c r="DW326" s="306" t="str">
        <f t="shared" si="53"/>
        <v>-</v>
      </c>
      <c r="DX326" s="306" t="str">
        <f t="shared" si="54"/>
        <v>-</v>
      </c>
      <c r="DY326" s="306" t="str">
        <f t="shared" si="55"/>
        <v>-</v>
      </c>
      <c r="DZ326" s="306" t="str">
        <f t="shared" si="56"/>
        <v>-</v>
      </c>
      <c r="EA326" s="367" t="str">
        <f t="shared" si="57"/>
        <v>-</v>
      </c>
      <c r="EB326" s="310" t="str">
        <f>IFERROR(__xludf.DUMMYFUNCTION("IF(REGEXMATCH(AW326,AS326),""✔"",""-"")"),"-")</f>
        <v>-</v>
      </c>
      <c r="EC326" s="310" t="str">
        <f t="shared" si="58"/>
        <v>#REF!</v>
      </c>
      <c r="ED326" s="370" t="str">
        <f t="shared" si="59"/>
        <v>-</v>
      </c>
      <c r="EE326" s="340" t="str">
        <f t="shared" si="60"/>
        <v>S-r-G-mM-P-D-N-S</v>
      </c>
      <c r="EF326" s="371" t="str">
        <f>IFERROR(__xludf.DUMMYFUNCTION("CONCATENATE(JOIN("""",HC326:HO326))"),"SrgmMPdNS")</f>
        <v>SrgmMPdNS</v>
      </c>
      <c r="EG326" s="372">
        <f t="shared" si="61"/>
        <v>2</v>
      </c>
      <c r="EH326" s="373" t="str">
        <f>IFERROR(__xludf.DUMMYFUNCTION("CONCATENATE(JOIN("""",JC326:JO326))"),"re, Pa, ")</f>
        <v>re, Pa, </v>
      </c>
      <c r="EI326" s="322">
        <f t="shared" si="62"/>
        <v>0</v>
      </c>
      <c r="EJ326" s="374" t="str">
        <f>IFERROR(__xludf.DUMMYFUNCTION("CONCATENATE(JOIN("""",KC326:KO326))"),"")</f>
        <v/>
      </c>
      <c r="EK326" s="325" t="str">
        <f t="shared" si="63"/>
        <v>S-R1-G3-M1-M2-P-D2-N3-S</v>
      </c>
      <c r="EL326" s="326" t="str">
        <f t="shared" si="64"/>
        <v>1-b2-3-4-#4-5-6-7-8</v>
      </c>
      <c r="EM326" s="318" t="str">
        <f t="shared" si="65"/>
        <v>#REF!</v>
      </c>
      <c r="EN326" s="328" t="str">
        <f>IFERROR(__xludf.DUMMYFUNCTION("SUBSTITUTE(SUBSTITUTE(SUBSTITUTE(SUBSTITUTE(CONCATENATE(JOIN("" "",HP326:IB326)),""  "","" ""),""  "","" ""),""  "","" ""),""  "","" "")"),"o o • • o o o o • o • o o")</f>
        <v>o o • • o o o o • o • o o</v>
      </c>
      <c r="EO326" s="368" t="str">
        <f t="shared" si="66"/>
        <v>-</v>
      </c>
      <c r="EP326" s="339" t="str">
        <f t="shared" si="67"/>
        <v>-</v>
      </c>
      <c r="EQ326" s="339" t="str">
        <f t="shared" si="68"/>
        <v>Sa-Pa</v>
      </c>
      <c r="ER326" s="339" t="str">
        <f t="shared" si="69"/>
        <v>-</v>
      </c>
      <c r="ES326" s="340" t="str">
        <f t="shared" si="70"/>
        <v>-</v>
      </c>
      <c r="ET326" s="363"/>
      <c r="EU326" s="376" t="b">
        <f>IFERROR(__xludf.DUMMYFUNCTION("arrayformula(sum(--REGEXMATCH(""SRGMPDNS"",split(REGEXREPLACE(C326,""(.)"",""$1~""),""~""))))=len(C326)
"),FALSE)</f>
        <v>0</v>
      </c>
      <c r="EV326" s="290" t="b">
        <f>IFERROR(__xludf.DUMMYFUNCTION("arrayformula(sum(--REGEXMATCH(""SRGmPDNS"",split(REGEXREPLACE(C326,""(.)"",""$1~""),""~""))))=len(C326)"),FALSE)</f>
        <v>0</v>
      </c>
      <c r="EW326" s="290" t="b">
        <f>IFERROR(__xludf.DUMMYFUNCTION("arrayformula(sum(--REGEXMATCH(""SRGmPDnS"",split(REGEXREPLACE(C326,""(.)"",""$1~""),""~""))))=len(C326)"),FALSE)</f>
        <v>0</v>
      </c>
      <c r="EX326" s="290" t="b">
        <f>IFERROR(__xludf.DUMMYFUNCTION("arrayformula(sum(--REGEXMATCH(""SRgmPDnS"",split(REGEXREPLACE(C326,""(.)"",""$1~""),""~""))))=len(C326)"),FALSE)</f>
        <v>0</v>
      </c>
      <c r="EY326" s="290" t="b">
        <f>IFERROR(__xludf.DUMMYFUNCTION("arrayformula(sum(--REGEXMATCH(""SRgmPdnS"",split(REGEXREPLACE(C326,""(.)"",""$1~""),""~""))))=len(C326)"),FALSE)</f>
        <v>0</v>
      </c>
      <c r="EZ326" s="290" t="b">
        <f>IFERROR(__xludf.DUMMYFUNCTION("arrayformula(sum(--REGEXMATCH(""SrgmPdnS"",split(REGEXREPLACE(C326,""(.)"",""$1~""),""~""))))=len(C326)"),FALSE)</f>
        <v>0</v>
      </c>
      <c r="FA326" s="290" t="b">
        <f>IFERROR(__xludf.DUMMYFUNCTION("arrayformula(sum(--REGEXMATCH(""SrGmPdNS"",split(REGEXREPLACE(C326,""(.)"",""$1~""),""~""))))=len(C326)"),FALSE)</f>
        <v>0</v>
      </c>
      <c r="FB326" s="290" t="b">
        <f>IFERROR(__xludf.DUMMYFUNCTION("arrayformula(sum(--REGEXMATCH(""SrGMPDNS"",split(REGEXREPLACE(C326,""(.)"",""$1~""),""~""))))=len(C326)"),FALSE)</f>
        <v>0</v>
      </c>
      <c r="FC326" s="290" t="b">
        <f>IFERROR(__xludf.DUMMYFUNCTION("arrayformula(sum(--REGEXMATCH(""SrGMPdNS"",split(REGEXREPLACE(C326,""(.)"",""$1~""),""~""))))=len(C326)"),FALSE)</f>
        <v>0</v>
      </c>
      <c r="FD326" s="377" t="b">
        <f>IFERROR(__xludf.DUMMYFUNCTION("arrayformula(sum(--REGEXMATCH(""SrgMPdNS"",split(REGEXREPLACE(C326,""(.)"",""$1~""),""~""))))=len(C326)"),FALSE)</f>
        <v>0</v>
      </c>
      <c r="FE326" s="269" t="str">
        <f t="shared" si="71"/>
        <v>xooxxxxoxox</v>
      </c>
      <c r="FF326" s="269" t="str">
        <f t="shared" si="72"/>
        <v>-</v>
      </c>
      <c r="FG326" s="271" t="str">
        <f t="shared" si="73"/>
        <v>-</v>
      </c>
      <c r="FH326" s="269" t="str">
        <f t="shared" si="74"/>
        <v>xxxxoxoxxxo</v>
      </c>
      <c r="FI326" s="271" t="str">
        <f t="shared" si="75"/>
        <v>xxxoxoxxxoo</v>
      </c>
      <c r="FJ326" s="271" t="str">
        <f t="shared" si="76"/>
        <v>xxoxoxxxoox</v>
      </c>
      <c r="FK326" s="271" t="str">
        <f t="shared" si="77"/>
        <v>xoxoxxxooxx</v>
      </c>
      <c r="FL326" s="271" t="str">
        <f t="shared" si="78"/>
        <v>-</v>
      </c>
      <c r="FM326" s="271" t="str">
        <f t="shared" si="79"/>
        <v>xoxxxooxxxx</v>
      </c>
      <c r="FN326" s="271" t="str">
        <f t="shared" si="80"/>
        <v>-</v>
      </c>
      <c r="FO326" s="274" t="str">
        <f t="shared" si="81"/>
        <v>xxxooxxxxox</v>
      </c>
      <c r="FP326" s="234" t="str">
        <f t="shared" si="82"/>
        <v>|</v>
      </c>
      <c r="FQ326" s="236" t="str">
        <f t="shared" si="83"/>
        <v>|</v>
      </c>
      <c r="FR326" s="237" t="str">
        <f t="shared" si="84"/>
        <v>-</v>
      </c>
      <c r="FS326" s="236" t="str">
        <f t="shared" si="85"/>
        <v>-</v>
      </c>
      <c r="FT326" s="237" t="str">
        <f t="shared" si="86"/>
        <v>|</v>
      </c>
      <c r="FU326" s="236" t="str">
        <f t="shared" si="87"/>
        <v>|</v>
      </c>
      <c r="FV326" s="237" t="str">
        <f t="shared" si="88"/>
        <v>|</v>
      </c>
      <c r="FW326" s="236" t="str">
        <f t="shared" si="89"/>
        <v>|</v>
      </c>
      <c r="FX326" s="237" t="str">
        <f t="shared" si="90"/>
        <v>-</v>
      </c>
      <c r="FY326" s="236" t="str">
        <f t="shared" si="91"/>
        <v>|</v>
      </c>
      <c r="FZ326" s="237" t="str">
        <f t="shared" si="92"/>
        <v>-</v>
      </c>
      <c r="GA326" s="236" t="str">
        <f t="shared" si="93"/>
        <v>|</v>
      </c>
      <c r="GB326" s="238" t="str">
        <f t="shared" si="94"/>
        <v>|</v>
      </c>
      <c r="GC326" s="244" t="str">
        <f>IFERROR(__xludf.DUMMYFUNCTION("IF(REGEXMATCH(C326, ""S""), ""1"","""")"),"1")</f>
        <v>1</v>
      </c>
      <c r="GD326" s="245" t="str">
        <f>IFERROR(__xludf.DUMMYFUNCTION("IF(REGEXMATCH(C326, ""r""), ""b2"","""")"),"b2")</f>
        <v>b2</v>
      </c>
      <c r="GE326" s="246" t="str">
        <f>IFERROR(__xludf.DUMMYFUNCTION("IF(REGEXMATCH(C326, ""R""), ""2"","""")"),"")</f>
        <v/>
      </c>
      <c r="GF326" s="246" t="str">
        <f>IFERROR(__xludf.DUMMYFUNCTION("IF(REGEXMATCH(C326, ""g""), ""b3"","""")"),"")</f>
        <v/>
      </c>
      <c r="GG326" s="245" t="str">
        <f>IFERROR(__xludf.DUMMYFUNCTION("IF(REGEXMATCH(C326, ""G""), ""3"","""")"),"3")</f>
        <v>3</v>
      </c>
      <c r="GH326" s="245" t="str">
        <f>IFERROR(__xludf.DUMMYFUNCTION("IF(REGEXMATCH(C326, ""m""), ""4"","""")"),"4")</f>
        <v>4</v>
      </c>
      <c r="GI326" s="246" t="str">
        <f>IFERROR(__xludf.DUMMYFUNCTION("IF(REGEXMATCH(C326, ""M""), ""#4"","""")"),"#4")</f>
        <v>#4</v>
      </c>
      <c r="GJ326" s="245" t="str">
        <f>IFERROR(__xludf.DUMMYFUNCTION("IF(REGEXMATCH(C326, ""P""), ""5"","""")"),"5")</f>
        <v>5</v>
      </c>
      <c r="GK326" s="246" t="str">
        <f>IFERROR(__xludf.DUMMYFUNCTION("IF(REGEXMATCH(C326, ""d""), ""b6"","""")"),"")</f>
        <v/>
      </c>
      <c r="GL326" s="245" t="str">
        <f>IFERROR(__xludf.DUMMYFUNCTION("IF(REGEXMATCH(C326, ""D""), ""6"","""")"),"6")</f>
        <v>6</v>
      </c>
      <c r="GM326" s="245" t="str">
        <f>IFERROR(__xludf.DUMMYFUNCTION("IF(REGEXMATCH(C326, ""n""), ""b7"","""")"),"")</f>
        <v/>
      </c>
      <c r="GN326" s="246" t="str">
        <f>IFERROR(__xludf.DUMMYFUNCTION("IF(REGEXMATCH(C326, ""N""), ""7"","""")"),"7")</f>
        <v>7</v>
      </c>
      <c r="GO326" s="249" t="str">
        <f>IFERROR(__xludf.DUMMYFUNCTION("IF(REGEXMATCH(C326, ""S""), ""8"","""")"),"8")</f>
        <v>8</v>
      </c>
      <c r="GP326" s="244" t="str">
        <f>IFERROR(__xludf.DUMMYFUNCTION("IF(REGEXMATCH(C326, ""S""), ""S"","""")"),"S")</f>
        <v>S</v>
      </c>
      <c r="GQ326" s="294" t="str">
        <f>IFERROR(__xludf.DUMMYFUNCTION("IF(REGEXMATCH(C326, ""r""), ""R1"","""")"),"R1")</f>
        <v>R1</v>
      </c>
      <c r="GR326" s="295" t="str">
        <f>IFERROR(__xludf.DUMMYFUNCTION("IF(REGEXMATCH(C326, ""R""), ""R2"","""")"),"")</f>
        <v/>
      </c>
      <c r="GS326" s="295" t="str">
        <f>IFERROR(__xludf.DUMMYFUNCTION("IF(REGEXMATCH(C326, ""g""), ""G2"","""")"),"")</f>
        <v/>
      </c>
      <c r="GT326" s="294" t="str">
        <f>IFERROR(__xludf.DUMMYFUNCTION("IF(REGEXMATCH(C326, ""G""), ""G3"","""")"),"G3")</f>
        <v>G3</v>
      </c>
      <c r="GU326" s="294" t="str">
        <f>IFERROR(__xludf.DUMMYFUNCTION("IF(REGEXMATCH(C326, ""m""), ""M1"","""")"),"M1")</f>
        <v>M1</v>
      </c>
      <c r="GV326" s="295" t="str">
        <f>IFERROR(__xludf.DUMMYFUNCTION("IF(REGEXMATCH(C326, ""M""), ""M2"","""")"),"M2")</f>
        <v>M2</v>
      </c>
      <c r="GW326" s="294" t="str">
        <f>IFERROR(__xludf.DUMMYFUNCTION("IF(REGEXMATCH(C326, ""P""), ""P"","""")"),"P")</f>
        <v>P</v>
      </c>
      <c r="GX326" s="295" t="str">
        <f>IFERROR(__xludf.DUMMYFUNCTION("IF(REGEXMATCH(C326, ""d""), ""D1"","""")"),"")</f>
        <v/>
      </c>
      <c r="GY326" s="294" t="str">
        <f>IFERROR(__xludf.DUMMYFUNCTION("IF(REGEXMATCH(C326, ""D""), ""D2"","""")"),"D2")</f>
        <v>D2</v>
      </c>
      <c r="GZ326" s="294" t="str">
        <f>IFERROR(__xludf.DUMMYFUNCTION("IF(REGEXMATCH(C326, ""n""), ""N2"","""")"),"")</f>
        <v/>
      </c>
      <c r="HA326" s="295" t="str">
        <f>IFERROR(__xludf.DUMMYFUNCTION("IF(REGEXMATCH(C326, ""N""), ""N3"","""")"),"N3")</f>
        <v>N3</v>
      </c>
      <c r="HB326" s="249" t="str">
        <f>IFERROR(__xludf.DUMMYFUNCTION("IF(REGEXMATCH(C326, ""S""), ""S"","""")"),"S")</f>
        <v>S</v>
      </c>
      <c r="HC326" s="331" t="str">
        <f t="shared" si="95"/>
        <v>S</v>
      </c>
      <c r="HD326" s="332" t="str">
        <f t="shared" si="96"/>
        <v>r</v>
      </c>
      <c r="HE326" s="332" t="str">
        <f t="shared" si="97"/>
        <v/>
      </c>
      <c r="HF326" s="332" t="str">
        <f t="shared" si="98"/>
        <v>g</v>
      </c>
      <c r="HG326" s="332" t="str">
        <f t="shared" si="99"/>
        <v/>
      </c>
      <c r="HH326" s="332" t="str">
        <f t="shared" si="100"/>
        <v>m</v>
      </c>
      <c r="HI326" s="332" t="str">
        <f t="shared" si="101"/>
        <v>M</v>
      </c>
      <c r="HJ326" s="332" t="str">
        <f t="shared" si="102"/>
        <v>P</v>
      </c>
      <c r="HK326" s="332" t="str">
        <f t="shared" si="103"/>
        <v>d</v>
      </c>
      <c r="HL326" s="332" t="str">
        <f t="shared" si="104"/>
        <v/>
      </c>
      <c r="HM326" s="332" t="str">
        <f t="shared" si="105"/>
        <v/>
      </c>
      <c r="HN326" s="332" t="str">
        <f t="shared" si="106"/>
        <v>N</v>
      </c>
      <c r="HO326" s="343" t="str">
        <f t="shared" si="107"/>
        <v>S</v>
      </c>
      <c r="HP326" s="331" t="str">
        <f t="shared" si="108"/>
        <v>o</v>
      </c>
      <c r="HQ326" s="332" t="str">
        <f t="shared" si="109"/>
        <v>o</v>
      </c>
      <c r="HR326" s="332" t="str">
        <f t="shared" si="110"/>
        <v>•</v>
      </c>
      <c r="HS326" s="332" t="str">
        <f t="shared" si="111"/>
        <v>•</v>
      </c>
      <c r="HT326" s="332" t="str">
        <f t="shared" si="112"/>
        <v>o</v>
      </c>
      <c r="HU326" s="332" t="str">
        <f t="shared" si="113"/>
        <v>o</v>
      </c>
      <c r="HV326" s="332" t="str">
        <f t="shared" si="114"/>
        <v>o</v>
      </c>
      <c r="HW326" s="332" t="str">
        <f t="shared" si="115"/>
        <v>o</v>
      </c>
      <c r="HX326" s="332" t="str">
        <f t="shared" si="116"/>
        <v>•</v>
      </c>
      <c r="HY326" s="332" t="str">
        <f t="shared" si="117"/>
        <v>o</v>
      </c>
      <c r="HZ326" s="332" t="str">
        <f t="shared" si="118"/>
        <v>•</v>
      </c>
      <c r="IA326" s="332" t="str">
        <f t="shared" si="119"/>
        <v>o</v>
      </c>
      <c r="IB326" s="338" t="str">
        <f t="shared" si="120"/>
        <v>o</v>
      </c>
      <c r="IC326" s="331" t="str">
        <f t="shared" si="121"/>
        <v>•</v>
      </c>
      <c r="ID326" s="332" t="str">
        <f t="shared" si="122"/>
        <v>•</v>
      </c>
      <c r="IE326" s="332" t="str">
        <f t="shared" si="123"/>
        <v>o</v>
      </c>
      <c r="IF326" s="332" t="str">
        <f t="shared" si="124"/>
        <v>o</v>
      </c>
      <c r="IG326" s="332" t="str">
        <f t="shared" si="125"/>
        <v>•</v>
      </c>
      <c r="IH326" s="332" t="str">
        <f t="shared" si="126"/>
        <v>•</v>
      </c>
      <c r="II326" s="332" t="str">
        <f t="shared" si="127"/>
        <v>•</v>
      </c>
      <c r="IJ326" s="332" t="str">
        <f t="shared" si="128"/>
        <v>•</v>
      </c>
      <c r="IK326" s="332" t="str">
        <f t="shared" si="129"/>
        <v>o</v>
      </c>
      <c r="IL326" s="332" t="str">
        <f t="shared" si="130"/>
        <v>•</v>
      </c>
      <c r="IM326" s="332" t="str">
        <f t="shared" si="131"/>
        <v>o</v>
      </c>
      <c r="IN326" s="332" t="str">
        <f t="shared" si="132"/>
        <v>•</v>
      </c>
      <c r="IO326" s="338" t="str">
        <f t="shared" si="133"/>
        <v>•</v>
      </c>
      <c r="IP326" s="346" t="b">
        <f t="shared" si="134"/>
        <v>0</v>
      </c>
      <c r="IQ326" s="347" t="b">
        <f t="shared" si="135"/>
        <v>1</v>
      </c>
      <c r="IR326" s="347" t="b">
        <f t="shared" si="136"/>
        <v>0</v>
      </c>
      <c r="IS326" s="347" t="b">
        <f t="shared" si="137"/>
        <v>0</v>
      </c>
      <c r="IT326" s="347" t="b">
        <f t="shared" si="138"/>
        <v>0</v>
      </c>
      <c r="IU326" s="347" t="b">
        <f t="shared" si="139"/>
        <v>0</v>
      </c>
      <c r="IV326" s="347" t="b">
        <f t="shared" si="140"/>
        <v>0</v>
      </c>
      <c r="IW326" s="347" t="b">
        <f t="shared" si="141"/>
        <v>1</v>
      </c>
      <c r="IX326" s="347" t="b">
        <f t="shared" si="142"/>
        <v>0</v>
      </c>
      <c r="IY326" s="347" t="b">
        <f t="shared" si="143"/>
        <v>0</v>
      </c>
      <c r="IZ326" s="347" t="b">
        <f t="shared" si="144"/>
        <v>0</v>
      </c>
      <c r="JA326" s="347" t="b">
        <f t="shared" si="145"/>
        <v>0</v>
      </c>
      <c r="JB326" s="353" t="b">
        <f t="shared" si="146"/>
        <v>0</v>
      </c>
      <c r="JC326" s="354" t="str">
        <f t="shared" si="147"/>
        <v/>
      </c>
      <c r="JD326" s="355" t="str">
        <f t="shared" si="148"/>
        <v>re, </v>
      </c>
      <c r="JE326" s="355" t="str">
        <f t="shared" si="149"/>
        <v/>
      </c>
      <c r="JF326" s="355" t="str">
        <f t="shared" si="150"/>
        <v/>
      </c>
      <c r="JG326" s="355" t="str">
        <f t="shared" si="151"/>
        <v/>
      </c>
      <c r="JH326" s="355" t="str">
        <f t="shared" si="152"/>
        <v/>
      </c>
      <c r="JI326" s="355" t="str">
        <f t="shared" si="153"/>
        <v/>
      </c>
      <c r="JJ326" s="355" t="str">
        <f t="shared" si="154"/>
        <v>Pa, </v>
      </c>
      <c r="JK326" s="355" t="str">
        <f t="shared" si="155"/>
        <v/>
      </c>
      <c r="JL326" s="355" t="str">
        <f t="shared" si="156"/>
        <v/>
      </c>
      <c r="JM326" s="355" t="str">
        <f t="shared" si="157"/>
        <v/>
      </c>
      <c r="JN326" s="355" t="str">
        <f t="shared" si="158"/>
        <v/>
      </c>
      <c r="JO326" s="359" t="str">
        <f t="shared" si="159"/>
        <v/>
      </c>
      <c r="JP326" s="346" t="b">
        <f t="shared" si="160"/>
        <v>0</v>
      </c>
      <c r="JQ326" s="347" t="b">
        <f t="shared" si="161"/>
        <v>0</v>
      </c>
      <c r="JR326" s="347" t="b">
        <f t="shared" si="162"/>
        <v>0</v>
      </c>
      <c r="JS326" s="347" t="b">
        <f t="shared" si="163"/>
        <v>0</v>
      </c>
      <c r="JT326" s="347" t="b">
        <f t="shared" si="164"/>
        <v>0</v>
      </c>
      <c r="JU326" s="347" t="b">
        <f t="shared" si="165"/>
        <v>0</v>
      </c>
      <c r="JV326" s="347" t="b">
        <f t="shared" si="166"/>
        <v>0</v>
      </c>
      <c r="JW326" s="347" t="b">
        <f t="shared" si="167"/>
        <v>0</v>
      </c>
      <c r="JX326" s="347" t="b">
        <f t="shared" si="168"/>
        <v>0</v>
      </c>
      <c r="JY326" s="347" t="b">
        <f t="shared" si="169"/>
        <v>0</v>
      </c>
      <c r="JZ326" s="347" t="b">
        <f t="shared" si="170"/>
        <v>0</v>
      </c>
      <c r="KA326" s="347" t="b">
        <f t="shared" si="171"/>
        <v>0</v>
      </c>
      <c r="KB326" s="365" t="b">
        <f t="shared" si="172"/>
        <v>0</v>
      </c>
      <c r="KC326" s="354" t="str">
        <f t="shared" si="173"/>
        <v/>
      </c>
      <c r="KD326" s="355" t="str">
        <f t="shared" si="174"/>
        <v/>
      </c>
      <c r="KE326" s="355" t="str">
        <f t="shared" si="175"/>
        <v/>
      </c>
      <c r="KF326" s="355" t="str">
        <f t="shared" si="176"/>
        <v/>
      </c>
      <c r="KG326" s="355" t="str">
        <f t="shared" si="177"/>
        <v/>
      </c>
      <c r="KH326" s="355" t="str">
        <f t="shared" si="178"/>
        <v/>
      </c>
      <c r="KI326" s="355" t="str">
        <f t="shared" si="179"/>
        <v/>
      </c>
      <c r="KJ326" s="355" t="str">
        <f t="shared" si="180"/>
        <v/>
      </c>
      <c r="KK326" s="355" t="str">
        <f t="shared" si="181"/>
        <v/>
      </c>
      <c r="KL326" s="355" t="str">
        <f t="shared" si="182"/>
        <v/>
      </c>
      <c r="KM326" s="355" t="str">
        <f t="shared" si="183"/>
        <v/>
      </c>
      <c r="KN326" s="355" t="str">
        <f t="shared" si="184"/>
        <v/>
      </c>
      <c r="KO326" s="359"/>
      <c r="KP326" s="378"/>
      <c r="KQ326" s="379" t="s">
        <v>794</v>
      </c>
      <c r="KR326" s="380" t="s">
        <v>1311</v>
      </c>
      <c r="KS326" s="381" t="str">
        <f t="shared" ref="KS326:KS329" si="885">KQ326</f>
        <v>S-G-M-D-N-S</v>
      </c>
      <c r="KT326" s="382">
        <f t="shared" si="186"/>
        <v>5</v>
      </c>
      <c r="KU326" s="383">
        <f t="shared" si="187"/>
        <v>5</v>
      </c>
      <c r="KV326" s="381" t="str">
        <f t="shared" si="205"/>
        <v>S-N-D-P-M-G-r-S</v>
      </c>
      <c r="KW326" s="382">
        <f t="shared" si="189"/>
        <v>7</v>
      </c>
      <c r="KX326" s="384">
        <f t="shared" si="190"/>
        <v>7</v>
      </c>
      <c r="KY326" s="382">
        <f t="shared" ref="KY326:KZ326" si="883">KW326-KT326</f>
        <v>2</v>
      </c>
      <c r="KZ326" s="369">
        <f t="shared" si="883"/>
        <v>2</v>
      </c>
      <c r="LA326" s="385" t="str">
        <f t="shared" si="192"/>
        <v>-</v>
      </c>
      <c r="LB326" s="340" t="str">
        <f>IFERROR(__xludf.DUMMYFUNCTION("JOIN("""",ArrayFormula(MID(KS326,LEN(KS326)-SEQUENCE(1,LEN(KS326))+1,1)))"),"S-N-D-M-G-S")</f>
        <v>S-N-D-M-G-S</v>
      </c>
      <c r="LC326" s="373" t="str">
        <f>IFERROR(__xludf.DUMMYFUNCTION("JOIN("""",ArrayFormula(MID(KV326,LEN(KV326)-SEQUENCE(1,LEN(KV326))+1,1)))"),"S-r-G-M-P-D-N-S")</f>
        <v>S-r-G-M-P-D-N-S</v>
      </c>
      <c r="LD326" s="373" t="str">
        <f t="shared" si="193"/>
        <v>SGMDNS</v>
      </c>
      <c r="LE326" s="339" t="str">
        <f t="shared" si="194"/>
        <v>SrGMPDNS</v>
      </c>
      <c r="LF326" s="386" t="str">
        <f>IFERROR(__xludf.DUMMYFUNCTION("SUBSTITUTE(SUBSTITUTE(CONCATENATE(JOIN("""",LH326:LT326)),""1"",""""),""2"","""")"),"SrGMPDNS")</f>
        <v>SrGMPDNS</v>
      </c>
      <c r="LG326" s="369" t="str">
        <f t="shared" si="195"/>
        <v>-</v>
      </c>
      <c r="LH326" s="387" t="str">
        <f>IFERROR(__xludf.DUMMYFUNCTION("IF(REGEXMATCH(LD326, ""S""), ""S"",IF(REGEXMATCH(LE326, ""S""), ""S"",""""))"),"S")</f>
        <v>S</v>
      </c>
      <c r="LI326" s="299" t="str">
        <f>IFERROR(__xludf.DUMMYFUNCTION("IF(REGEXMATCH(LD326, ""r""), ""r1"",IF(REGEXMATCH(LE326, ""r""), ""r2"",""""))"),"r2")</f>
        <v>r2</v>
      </c>
      <c r="LJ326" s="299" t="str">
        <f>IFERROR(__xludf.DUMMYFUNCTION("IF(REGEXMATCH(LD326, ""R""), ""R1"",IF(REGEXMATCH(LE326, ""R""), ""R2"",""""))"),"")</f>
        <v/>
      </c>
      <c r="LK326" s="299" t="str">
        <f>IFERROR(__xludf.DUMMYFUNCTION("IF(REGEXMATCH(LD326, ""g""), ""g1"",IF(REGEXMATCH(LE326, ""g""), ""g2"",""""))"),"")</f>
        <v/>
      </c>
      <c r="LL326" s="299" t="str">
        <f>IFERROR(__xludf.DUMMYFUNCTION("IF(REGEXMATCH(LD326, ""G""), ""G1"",IF(REGEXMATCH(LE326, ""G""), ""G2"",""""))"),"G1")</f>
        <v>G1</v>
      </c>
      <c r="LM326" s="299" t="str">
        <f>IFERROR(__xludf.DUMMYFUNCTION("IF(REGEXMATCH(LD326, ""m""), ""m1"",IF(REGEXMATCH(LE326, ""m""), ""m2"",""""))"),"")</f>
        <v/>
      </c>
      <c r="LN326" s="299" t="str">
        <f>IFERROR(__xludf.DUMMYFUNCTION("IF(REGEXMATCH(LD326, ""M""), ""M1"",IF(REGEXMATCH(LE326, ""M""), ""M2"",""""))"),"M1")</f>
        <v>M1</v>
      </c>
      <c r="LO326" s="299" t="str">
        <f>IFERROR(__xludf.DUMMYFUNCTION("IF(REGEXMATCH(LD326, ""P""), ""P1"",IF(REGEXMATCH(LE326, ""P""), ""P2"",""""))"),"P2")</f>
        <v>P2</v>
      </c>
      <c r="LP326" s="299" t="str">
        <f>IFERROR(__xludf.DUMMYFUNCTION("IF(REGEXMATCH(LD326, ""d""), ""d1"",IF(REGEXMATCH(LE326, ""d""), ""d2"",""""))"),"")</f>
        <v/>
      </c>
      <c r="LQ326" s="299" t="str">
        <f>IFERROR(__xludf.DUMMYFUNCTION("IF(REGEXMATCH(LD326, ""D""), ""D1"",IF(REGEXMATCH(LE326, ""D""), ""D2"",""""))"),"D1")</f>
        <v>D1</v>
      </c>
      <c r="LR326" s="299" t="str">
        <f>IFERROR(__xludf.DUMMYFUNCTION("IF(REGEXMATCH(LD326, ""n""), ""n1"",IF(REGEXMATCH(LE326, ""n""), ""n2"",""""))"),"")</f>
        <v/>
      </c>
      <c r="LS326" s="299" t="str">
        <f>IFERROR(__xludf.DUMMYFUNCTION("IF(REGEXMATCH(LD326, ""N""), ""N1"",IF(REGEXMATCH(LE326, ""N""), ""N2"",""""))"),"N1")</f>
        <v>N1</v>
      </c>
      <c r="LT326" s="388" t="str">
        <f>IFERROR(__xludf.DUMMYFUNCTION("IF(REGEXMATCH(LD326, ""S""), ""S"",IF(REGEXMATCH(LE326, ""S""), ""S"",""""))"),"S")</f>
        <v>S</v>
      </c>
      <c r="LU326" s="389">
        <f t="shared" si="196"/>
        <v>-3</v>
      </c>
      <c r="LV326" s="378"/>
      <c r="LW326" s="369"/>
      <c r="LX326" s="369"/>
    </row>
    <row r="327" ht="18.0" customHeight="1">
      <c r="A327" s="298" t="s">
        <v>1169</v>
      </c>
      <c r="B327" s="222" t="s">
        <v>208</v>
      </c>
      <c r="C327" s="233" t="str">
        <f t="shared" si="7"/>
        <v>SRGMPDNS</v>
      </c>
      <c r="D327" s="234" t="str">
        <f>IFERROR(__xludf.DUMMYFUNCTION("IF(REGEXMATCH(C327, ""S""), ""S"","""")"),"S")</f>
        <v>S</v>
      </c>
      <c r="E327" s="236" t="str">
        <f>IFERROR(__xludf.DUMMYFUNCTION("IF(REGEXMATCH(C327, ""r""), ""r"","""")"),"")</f>
        <v/>
      </c>
      <c r="F327" s="237" t="str">
        <f>IFERROR(__xludf.DUMMYFUNCTION("IF(REGEXMATCH(C327, ""R""), ""R"","""")"),"R")</f>
        <v>R</v>
      </c>
      <c r="G327" s="237" t="str">
        <f>IFERROR(__xludf.DUMMYFUNCTION("IF(REGEXMATCH(C327, ""g""), ""g"","""")"),"")</f>
        <v/>
      </c>
      <c r="H327" s="236" t="str">
        <f>IFERROR(__xludf.DUMMYFUNCTION("IF(REGEXMATCH(C327, ""G""), ""G"","""")"),"G")</f>
        <v>G</v>
      </c>
      <c r="I327" s="236" t="str">
        <f>IFERROR(__xludf.DUMMYFUNCTION("IF(REGEXMATCH(C327, ""m""), ""m"","""")"),"")</f>
        <v/>
      </c>
      <c r="J327" s="237" t="str">
        <f>IFERROR(__xludf.DUMMYFUNCTION("IF(REGEXMATCH(C327, ""M""), ""M"","""")"),"M")</f>
        <v>M</v>
      </c>
      <c r="K327" s="236" t="str">
        <f>IFERROR(__xludf.DUMMYFUNCTION("IF(REGEXMATCH(C327, ""P""), ""P"","""")"),"P")</f>
        <v>P</v>
      </c>
      <c r="L327" s="237" t="str">
        <f>IFERROR(__xludf.DUMMYFUNCTION("IF(REGEXMATCH(C327, ""d""), ""d"","""")"),"")</f>
        <v/>
      </c>
      <c r="M327" s="236" t="str">
        <f>IFERROR(__xludf.DUMMYFUNCTION("IF(REGEXMATCH(C327, ""D""), ""D"","""")"),"D")</f>
        <v>D</v>
      </c>
      <c r="N327" s="236" t="str">
        <f>IFERROR(__xludf.DUMMYFUNCTION("IF(REGEXMATCH(C327, ""n""), ""n"","""")"),"")</f>
        <v/>
      </c>
      <c r="O327" s="237" t="str">
        <f>IFERROR(__xludf.DUMMYFUNCTION("IF(REGEXMATCH(C327, ""N""), ""N"","""")"),"N")</f>
        <v>N</v>
      </c>
      <c r="P327" s="238" t="str">
        <f>IFERROR(__xludf.DUMMYFUNCTION("IF(REGEXMATCH(C327, ""S""), ""S"","""")"),"S")</f>
        <v>S</v>
      </c>
      <c r="Q327" s="239" t="str">
        <f>IFERROR(__xludf.DUMMYFUNCTION("SUBSTITUTE(CONCATENATE(JOIN(""-"",D327:J327)),""-"","""")"),"SRGM")</f>
        <v>SRGM</v>
      </c>
      <c r="R327" s="229" t="str">
        <f>IFERROR(__xludf.DUMMYFUNCTION("SUBSTITUTE(CONCATENATE(JOIN(""-"",K327:P327)),""-"","""")"),"PDNS")</f>
        <v>PDNS</v>
      </c>
      <c r="S327" s="282" t="str">
        <f t="shared" si="8"/>
        <v>S-R-G-M</v>
      </c>
      <c r="T327" s="282" t="str">
        <f t="shared" si="9"/>
        <v>P-D-N-S</v>
      </c>
      <c r="U327" s="237" t="str">
        <f>IFERROR(__xludf.DUMMYFUNCTION("SUBSTITUTE(JOIN(""-"",S327,T327),""--"",""-"")"),"S-R-G-M-P-D-N-S")</f>
        <v>S-R-G-M-P-D-N-S</v>
      </c>
      <c r="V327" s="309" t="str">
        <f t="shared" si="10"/>
        <v>RGMDN</v>
      </c>
      <c r="W327" s="244" t="str">
        <f>IFERROR(__xludf.DUMMYFUNCTION("IF(REGEXMATCH(C327, ""S""), ""0"","""")"),"0")</f>
        <v>0</v>
      </c>
      <c r="X327" s="245" t="str">
        <f>IFERROR(__xludf.DUMMYFUNCTION("IF(REGEXMATCH(C327, ""r""), ""1"","""")"),"")</f>
        <v/>
      </c>
      <c r="Y327" s="246" t="str">
        <f>IFERROR(__xludf.DUMMYFUNCTION("IF(REGEXMATCH(C327, ""R""), ""2"","""")"),"2")</f>
        <v>2</v>
      </c>
      <c r="Z327" s="246" t="str">
        <f>IFERROR(__xludf.DUMMYFUNCTION("IF(REGEXMATCH(C327, ""g""), ""3"","""")"),"")</f>
        <v/>
      </c>
      <c r="AA327" s="245" t="str">
        <f>IFERROR(__xludf.DUMMYFUNCTION("IF(REGEXMATCH(C327, ""G""), ""4"","""")"),"4")</f>
        <v>4</v>
      </c>
      <c r="AB327" s="245" t="str">
        <f>IFERROR(__xludf.DUMMYFUNCTION("IF(REGEXMATCH(C327, ""m""), ""5"","""")"),"")</f>
        <v/>
      </c>
      <c r="AC327" s="246" t="str">
        <f>IFERROR(__xludf.DUMMYFUNCTION("IF(REGEXMATCH(C327, ""M""), ""6"","""")"),"6")</f>
        <v>6</v>
      </c>
      <c r="AD327" s="245" t="str">
        <f>IFERROR(__xludf.DUMMYFUNCTION("IF(REGEXMATCH(C327, ""P""), ""7"","""")"),"7")</f>
        <v>7</v>
      </c>
      <c r="AE327" s="246" t="str">
        <f>IFERROR(__xludf.DUMMYFUNCTION("IF(REGEXMATCH(C327, ""d""), ""8"","""")"),"")</f>
        <v/>
      </c>
      <c r="AF327" s="245" t="str">
        <f>IFERROR(__xludf.DUMMYFUNCTION("IF(REGEXMATCH(C327, ""D""), ""9"","""")"),"9")</f>
        <v>9</v>
      </c>
      <c r="AG327" s="245" t="str">
        <f>IFERROR(__xludf.DUMMYFUNCTION("IF(REGEXMATCH(C327, ""n""), ""10"","""")"),"")</f>
        <v/>
      </c>
      <c r="AH327" s="246" t="str">
        <f>IFERROR(__xludf.DUMMYFUNCTION("IF(REGEXMATCH(C327, ""N""), ""11"","""")"),"11")</f>
        <v>11</v>
      </c>
      <c r="AI327" s="249" t="str">
        <f>IFERROR(__xludf.DUMMYFUNCTION("IF(REGEXMATCH(C327, ""S""), ""0"","""")"),"0")</f>
        <v>0</v>
      </c>
      <c r="AJ327" s="313" t="str">
        <f t="shared" si="11"/>
        <v>T</v>
      </c>
      <c r="AK327" s="313" t="str">
        <f t="shared" si="12"/>
        <v>-</v>
      </c>
      <c r="AL327" s="313" t="str">
        <f t="shared" si="13"/>
        <v>-</v>
      </c>
      <c r="AM327" s="313" t="str">
        <f t="shared" si="14"/>
        <v>-</v>
      </c>
      <c r="AN327" s="313" t="str">
        <f t="shared" si="15"/>
        <v>-</v>
      </c>
      <c r="AO327" s="314" t="str">
        <f t="shared" si="16"/>
        <v>-</v>
      </c>
      <c r="AP327" s="316">
        <f t="shared" si="17"/>
        <v>1</v>
      </c>
      <c r="AQ327" s="319" t="str">
        <f t="shared" si="18"/>
        <v>-</v>
      </c>
      <c r="AR327" s="320">
        <f t="shared" si="19"/>
        <v>0</v>
      </c>
      <c r="AS327" s="250" t="str">
        <f>IFERROR(__xludf.DUMMYFUNCTION("SUBSTITUTE(SUBSTITUTE(CONCATENATE(JOIN("""",FP327:GA327)),""|"",""x""),""-"",""o"")"),"xoxoxoxxoxox")</f>
        <v>xoxoxoxxoxox</v>
      </c>
      <c r="AT327" s="323" t="str">
        <f>IFERROR(__xludf.DUMMYFUNCTION("JOIN("""",AS327,AS327)"),"xoxoxoxxoxoxxoxoxoxxoxox")</f>
        <v>xoxoxoxxoxoxxoxoxoxxoxox</v>
      </c>
      <c r="AU327" s="256" t="str">
        <f>IFERROR(__xludf.DUMMYFUNCTION("JOIN("""",ArrayFormula(MID(AS327,LEN(AS327)-SEQUENCE(1,LEN(AS327))+1,1)))"),"xoxoxxoxoxox")</f>
        <v>xoxoxxoxoxox</v>
      </c>
      <c r="AV327" s="256" t="str">
        <f>IFERROR(__xludf.DUMMYFUNCTION("LEFT(CONCATENATE(""x"",JOIN("""",ArrayFormula(MID(AS327,LEN(AS327)-SEQUENCE(1,LEN(AS327))+1,1)))),12)"),"xxoxoxxoxoxo")</f>
        <v>xxoxoxxoxoxo</v>
      </c>
      <c r="AW327" s="327" t="str">
        <f>IFERROR(__xludf.DUMMYFUNCTION("JOIN("""",AU327,AU327)"),"xoxoxxoxoxoxxoxoxxoxoxox")</f>
        <v>xoxoxxoxoxoxxoxoxxoxoxox</v>
      </c>
      <c r="AX327" s="239" t="str">
        <f>IFERROR(__xludf.DUMMYFUNCTION("IF(REGEXMATCH(AW327,AS327),""✔"",""-"")"),"✔")</f>
        <v>✔</v>
      </c>
      <c r="AY327" s="330" t="str">
        <f t="shared" si="20"/>
        <v>-</v>
      </c>
      <c r="AZ327" s="260" t="str">
        <f t="shared" si="21"/>
        <v>#REF!</v>
      </c>
      <c r="BA327" s="333" t="str">
        <f t="shared" si="22"/>
        <v>xoxoxox</v>
      </c>
      <c r="BB327" s="334" t="str">
        <f t="shared" si="23"/>
        <v>xoxoxx</v>
      </c>
      <c r="BC327" s="335" t="str">
        <f t="shared" si="236"/>
        <v>-</v>
      </c>
      <c r="BD327" s="336" t="str">
        <f t="shared" si="25"/>
        <v>Shuddha Kalyan: 'xoxoxox' + 'xoxoxx'</v>
      </c>
      <c r="BE327" s="337">
        <f>IFERROR(__xludf.DUMMYFUNCTION("COUNTUNIQUE(FILTER(AT:AT,REGEXMATCH(AT:AT,AS327)))-1"),6.0)</f>
        <v>6</v>
      </c>
      <c r="BF327" s="261" t="str">
        <f>IFERROR(__xludf.DUMMYFUNCTION("IF(BI327=0,""(n/a)"",IF(BJ327=2,""(PAIR)"",IF(REGEXMATCH(AT327,""xoxoxxoxoxox""),""Bilawal"",IF(REGEXMATCH(AT327,""xoxoxooxoxoo""),""Bhupali"",IF(REGEXMATCH(AT327,""xoxoxxoxxoxo""),""Charukeshi"",IF(REGEXMATCH(AT327,""xoxoooxxoxxo""),""Kameshwari"",IF(REG"&amp;"EXMATCH(AT327,""xoxoxooxoxox""),""Shankara"",IF(REGEXMATCH(AT327,""xxooxoxxxoox""),""Basant"",IF(REGEXMATCH(AT327,""xoxoxxxxoxox""),""Bihag"",IF(REGEXMATCH(AT327,""xoxxxxoxoxxx""),""Pilu"",IF(REGEXMATCH(AT327,""xoxxoxoxxoox""),""Kirwani"",IF(REGEXMATCH(AT"&amp;"327,""xoxxoxoxoxxx""),""Mk.Malhar"",IF(REGEXMATCH(AT327,""xxooxxoxxoox""),""Bhairav"",IF(REGEXMATCH(AT327,""xxoxooxxxoox""),""Todi"",IF(REGEXMATCH(AT327,""xxooxoxooxox""),""Marwa"",IF(REGEXMATCH(AT327,""xxoooxoxxooo""),""Gunkali"",IF(REGEXMATCH(AT327,""xo"&amp;"xoxxoxxoox""),""Nat Bhairav"",IF(REGEXMATCH(AT327,""xoxxoooxoxoo""),""Shivranjani"",IF(REGEXMATCH(AT327,""xooxxxoxooxo""),""Jog"",IF(REGEXMATCH(AT327,""xxooxoxoxoox""),""Hemshri"",IF(REGEXMATCH(AT327,""xoooxooxoxxo""),""Kalavati"",IF(REGEXMATCH(AT327,""xx"&amp;"oxoxxoxoox""),""Kedar"",IF(REGEXMATCH(AT327,""xoxxxxoxooxx""),""Gara"",IF(REGEXMATCH(AT327,""xooxoxooxoox""),""Chandrakauns"",IF(REGEXMATCH(AT327,""xoxxxxoxxxox""),""Mand"",IF(REGEXMATCH(AT327,""xoxxxxoxoxox""),""Hanskinkini"",IF(REGEXMATCH(AT327,""xxooxx"&amp;"oxooxo""),""Lilavati"",IF(REGEXMATCH(AT327,""xooxoxoooxox""),""Rajeshwari"",IF(REGEXMATCH(AT327,""xoooxxoxoxxx""),""Khokar"",IF(REGEXMATCH(AT327,""xxooxoxxxxox""),""Maligoura"",""-""))))))))))))))))))))))))))))))"),"Bilawal")</f>
        <v>Bilawal</v>
      </c>
      <c r="BG327" s="239" t="str">
        <f t="shared" si="26"/>
        <v>#REF!</v>
      </c>
      <c r="BH327" s="239">
        <f>IFERROR(__xludf.DUMMYFUNCTION("COUNTUNIQUE(FE327:FO327)-1"),6.0)</f>
        <v>6</v>
      </c>
      <c r="BI327" s="239">
        <f>IFERROR(__xludf.DUMMYFUNCTION("COUNTUNIQUE(FILTER(AT:AT,REGEXMATCH(AT:AT,AS327)))-1"),6.0)</f>
        <v>6</v>
      </c>
      <c r="BJ327" s="239">
        <f>IFERROR(__xludf.DUMMYFUNCTION("COUNTA(FILTER(AT:AT,REGEXMATCH(AT:AT,AS327)))"),48.0)</f>
        <v>48</v>
      </c>
      <c r="BK327" s="341">
        <f>IFERROR(__xludf.DUMMYFUNCTION("COUNTA(FILTER(AT:AT,REGEXMATCH(AT:AT,AS327)))-AR327"),48.0)</f>
        <v>48</v>
      </c>
      <c r="BL327" s="276" t="str">
        <f>IFERROR(__xludf.DUMMYFUNCTION("IF(AS327=""oooooooooooo"",""-"",IF(REGEXMATCH(AT327,""xx""), ""Hemi."", ""Anhemi.""))"),"Hemi.")</f>
        <v>Hemi.</v>
      </c>
      <c r="BM327" s="282" t="str">
        <f>IFERROR(__xludf.DUMMYFUNCTION("IF(AS327=""oooooooooooo"",""-"",IF(REGEXMATCH(AT327,""xxx""), ""Cohem."", ""-""))"),"-")</f>
        <v>-</v>
      </c>
      <c r="BN327" s="282" t="str">
        <f>IFERROR(__xludf.DUMMYFUNCTION("IF(AS327=""oooooooooooo"",""-"",IF(REGEXMATCH(AT327,""xxxx""), ""Co-Co."", ""-""))"),"-")</f>
        <v>-</v>
      </c>
      <c r="BO327" s="342" t="str">
        <f>IFERROR(__xludf.DUMMYFUNCTION("IF(AS327=""oooooooooooo"",""-"",IF(REGEXMATCH(AT327,""xxxxx""), ""CCC."", ""-""))"),"-")</f>
        <v>-</v>
      </c>
      <c r="BP327" s="344" t="str">
        <f t="shared" si="27"/>
        <v>Kalyan</v>
      </c>
      <c r="BQ327" s="282" t="str">
        <f>IFERROR(__xludf.DUMMYFUNCTION("IF(REGEXMATCH(JOIN(""-"",EU327:FD327),""TRUE""),""✔"",""-"")"),"✔")</f>
        <v>✔</v>
      </c>
      <c r="BR327" s="225">
        <f t="shared" si="28"/>
        <v>1</v>
      </c>
      <c r="BS327" s="345" t="str">
        <f>IFERROR(__xludf.DUMMYFUNCTION("SUBSTITUTE(SUBSTITUTE(SUBSTITUTE(SUBSTITUTE(CONCATENATE(JOIN(""-"",GC327:GO327)),""--"",""-""),""--"",""-""),""--"",""-""),""--"",""-"")"),"1-2-3-#4-5-6-7-8")</f>
        <v>1-2-3-#4-5-6-7-8</v>
      </c>
      <c r="BT327" s="299" t="str">
        <f>IFERROR(__xludf.DUMMYFUNCTION("SUBSTITUTE(SUBSTITUTE(SUBSTITUTE(SUBSTITUTE(CONCATENATE(JOIN(""-"",GP327:HB327)),""--"",""-""),""--"",""-""),""--"",""-""),""--"",""-"")"),"S-R2-G3-M2-P-D2-N3-S")</f>
        <v>S-R2-G3-M2-P-D2-N3-S</v>
      </c>
      <c r="BU327" s="348" t="str">
        <f t="shared" si="29"/>
        <v>C-D-E-F#-G-A-B-C</v>
      </c>
      <c r="BV327" s="349" t="str">
        <f t="shared" si="30"/>
        <v>SrgmdnS</v>
      </c>
      <c r="BW327" s="350">
        <f t="shared" si="31"/>
        <v>0</v>
      </c>
      <c r="BX327" s="351">
        <f t="shared" si="32"/>
        <v>2</v>
      </c>
      <c r="BY327" s="392"/>
      <c r="BZ327" s="309" t="str">
        <f>IFERROR(__xludf.DUMMYFUNCTION("IF(REGEXMATCH(C327, ""S""), ""x"",""x"")"),"x")</f>
        <v>x</v>
      </c>
      <c r="CA327" s="245" t="str">
        <f>IFERROR(__xludf.DUMMYFUNCTION("IF(REGEXMATCH(C327, ""r""), ""o"",""x"")"),"x")</f>
        <v>x</v>
      </c>
      <c r="CB327" s="246" t="str">
        <f>IFERROR(__xludf.DUMMYFUNCTION("IF(REGEXMATCH(C327, ""R""), ""o"",""x"")"),"o")</f>
        <v>o</v>
      </c>
      <c r="CC327" s="246" t="str">
        <f>IFERROR(__xludf.DUMMYFUNCTION("IF(REGEXMATCH(C327, ""g""), ""o"",""x"")"),"x")</f>
        <v>x</v>
      </c>
      <c r="CD327" s="245" t="str">
        <f>IFERROR(__xludf.DUMMYFUNCTION("IF(REGEXMATCH(C327, ""G""), ""o"",""x"")"),"o")</f>
        <v>o</v>
      </c>
      <c r="CE327" s="245" t="str">
        <f>IFERROR(__xludf.DUMMYFUNCTION("IF(REGEXMATCH(C327, ""m""), ""o"",""x"")"),"x")</f>
        <v>x</v>
      </c>
      <c r="CF327" s="246" t="str">
        <f>IFERROR(__xludf.DUMMYFUNCTION("IF(REGEXMATCH(C327, ""M""), ""o"",""x"")"),"o")</f>
        <v>o</v>
      </c>
      <c r="CG327" s="245" t="str">
        <f>IFERROR(__xludf.DUMMYFUNCTION("IF(REGEXMATCH(C327, ""P""), ""o"",""x"")"),"o")</f>
        <v>o</v>
      </c>
      <c r="CH327" s="246" t="str">
        <f>IFERROR(__xludf.DUMMYFUNCTION("IF(REGEXMATCH(C327, ""d""), ""o"",""x"")"),"x")</f>
        <v>x</v>
      </c>
      <c r="CI327" s="245" t="str">
        <f>IFERROR(__xludf.DUMMYFUNCTION("IF(REGEXMATCH(C327, ""D""), ""o"",""x"")"),"o")</f>
        <v>o</v>
      </c>
      <c r="CJ327" s="245" t="str">
        <f>IFERROR(__xludf.DUMMYFUNCTION("IF(REGEXMATCH(C327, ""n""), ""o"",""x"")"),"x")</f>
        <v>x</v>
      </c>
      <c r="CK327" s="245" t="str">
        <f>IFERROR(__xludf.DUMMYFUNCTION("IF(REGEXMATCH(C327, ""N""), ""o"",""x"")"),"o")</f>
        <v>o</v>
      </c>
      <c r="CL327" s="356" t="str">
        <f>IFERROR(__xludf.DUMMYFUNCTION("IF(REGEXMATCH(C327, ""S""), ""x"",""x"")"),"x")</f>
        <v>x</v>
      </c>
      <c r="CM327" s="357" t="str">
        <f t="shared" si="33"/>
        <v>xxoxoxooxoxo</v>
      </c>
      <c r="CN327" s="358">
        <f t="shared" si="34"/>
        <v>0</v>
      </c>
      <c r="CO327" s="246" t="str">
        <f>IFERROR(__xludf.DUMMYFUNCTION("IF(REGEXMATCH($C327, ""S""), ""S"",""S"")"),"S")</f>
        <v>S</v>
      </c>
      <c r="CP327" s="246" t="str">
        <f>IFERROR(__xludf.DUMMYFUNCTION("IF(REGEXMATCH($C327, ""r""), """",""r"")"),"r")</f>
        <v>r</v>
      </c>
      <c r="CQ327" s="246" t="str">
        <f>IFERROR(__xludf.DUMMYFUNCTION("IF(REGEXMATCH($C327, ""R""), """",""R"")"),"")</f>
        <v/>
      </c>
      <c r="CR327" s="246" t="str">
        <f>IFERROR(__xludf.DUMMYFUNCTION("IF(REGEXMATCH($C327, ""g""), """",""g"")"),"g")</f>
        <v>g</v>
      </c>
      <c r="CS327" s="246" t="str">
        <f>IFERROR(__xludf.DUMMYFUNCTION("IF(REGEXMATCH($C327, ""G""), """",""G"")"),"")</f>
        <v/>
      </c>
      <c r="CT327" s="246" t="str">
        <f>IFERROR(__xludf.DUMMYFUNCTION("IF(REGEXMATCH($C327, ""m""), """",""m"")"),"m")</f>
        <v>m</v>
      </c>
      <c r="CU327" s="246" t="str">
        <f>IFERROR(__xludf.DUMMYFUNCTION("IF(REGEXMATCH($C327, ""M""), """",""M"")"),"")</f>
        <v/>
      </c>
      <c r="CV327" s="246" t="str">
        <f>IFERROR(__xludf.DUMMYFUNCTION("IF(REGEXMATCH($C327, ""P""), """",""P"")"),"")</f>
        <v/>
      </c>
      <c r="CW327" s="246" t="str">
        <f>IFERROR(__xludf.DUMMYFUNCTION("IF(REGEXMATCH($C327, ""d""), """",""d"")"),"d")</f>
        <v>d</v>
      </c>
      <c r="CX327" s="246" t="str">
        <f>IFERROR(__xludf.DUMMYFUNCTION("IF(REGEXMATCH($C327, ""D""), """",""D"")"),"")</f>
        <v/>
      </c>
      <c r="CY327" s="246" t="str">
        <f>IFERROR(__xludf.DUMMYFUNCTION("IF(REGEXMATCH($C327, ""n""), """",""n"")"),"n")</f>
        <v>n</v>
      </c>
      <c r="CZ327" s="246" t="str">
        <f>IFERROR(__xludf.DUMMYFUNCTION("IF(REGEXMATCH($C327, ""N""), """",""N"")"),"")</f>
        <v/>
      </c>
      <c r="DA327" s="246" t="str">
        <f>IFERROR(__xludf.DUMMYFUNCTION("IF(REGEXMATCH($C327, ""S""), ""S"",""S"")"),"S")</f>
        <v>S</v>
      </c>
      <c r="DB327" s="362" t="str">
        <f>IFERROR(__xludf.DUMMYFUNCTION("JOIN("""",CO327:DA327,"""","""")"),"SrgmdnS")</f>
        <v>SrgmdnS</v>
      </c>
      <c r="DC327" s="363"/>
      <c r="DD327" s="301" t="str">
        <f t="shared" si="35"/>
        <v>#REF!</v>
      </c>
      <c r="DE327" s="302" t="str">
        <f t="shared" si="36"/>
        <v>#REF!</v>
      </c>
      <c r="DF327" s="301" t="str">
        <f t="shared" ref="DF327:DG327" si="884">SUBSTITUTE(S327,"-","")</f>
        <v>SRGM</v>
      </c>
      <c r="DG327" s="301" t="str">
        <f t="shared" si="884"/>
        <v>PDNS</v>
      </c>
      <c r="DH327" s="302" t="str">
        <f t="shared" si="38"/>
        <v>Bilawal</v>
      </c>
      <c r="DI327" s="301" t="str">
        <f t="shared" si="39"/>
        <v>Hemi.</v>
      </c>
      <c r="DJ327" s="364" t="str">
        <f t="shared" si="40"/>
        <v>-</v>
      </c>
      <c r="DK327" s="306" t="str">
        <f t="shared" si="41"/>
        <v>Kalyan</v>
      </c>
      <c r="DL327" s="366" t="str">
        <f t="shared" si="42"/>
        <v>-</v>
      </c>
      <c r="DM327" s="308" t="str">
        <f t="shared" si="43"/>
        <v>-</v>
      </c>
      <c r="DN327" s="306" t="str">
        <f t="shared" si="44"/>
        <v>-</v>
      </c>
      <c r="DO327" s="306" t="str">
        <f t="shared" si="45"/>
        <v>-</v>
      </c>
      <c r="DP327" s="367" t="str">
        <f t="shared" si="46"/>
        <v>✔</v>
      </c>
      <c r="DQ327" s="310" t="str">
        <f t="shared" si="47"/>
        <v>-</v>
      </c>
      <c r="DR327" s="310" t="str">
        <f t="shared" si="48"/>
        <v>-</v>
      </c>
      <c r="DS327" s="310" t="str">
        <f t="shared" si="49"/>
        <v>-</v>
      </c>
      <c r="DT327" s="310" t="str">
        <f t="shared" si="50"/>
        <v>-</v>
      </c>
      <c r="DU327" s="370" t="str">
        <f t="shared" si="51"/>
        <v>-</v>
      </c>
      <c r="DV327" s="306" t="str">
        <f t="shared" si="52"/>
        <v>-</v>
      </c>
      <c r="DW327" s="306" t="str">
        <f t="shared" si="53"/>
        <v>-</v>
      </c>
      <c r="DX327" s="306" t="str">
        <f t="shared" si="54"/>
        <v>-</v>
      </c>
      <c r="DY327" s="306" t="str">
        <f t="shared" si="55"/>
        <v>-</v>
      </c>
      <c r="DZ327" s="306" t="str">
        <f t="shared" si="56"/>
        <v>-</v>
      </c>
      <c r="EA327" s="367" t="str">
        <f t="shared" si="57"/>
        <v>-</v>
      </c>
      <c r="EB327" s="310" t="str">
        <f>IFERROR(__xludf.DUMMYFUNCTION("IF(REGEXMATCH(AW327,AS327),""✔"",""-"")"),"✔")</f>
        <v>✔</v>
      </c>
      <c r="EC327" s="310" t="str">
        <f t="shared" si="58"/>
        <v>#REF!</v>
      </c>
      <c r="ED327" s="370" t="str">
        <f t="shared" si="59"/>
        <v>-</v>
      </c>
      <c r="EE327" s="340" t="str">
        <f t="shared" si="60"/>
        <v>S-R-G-M-P-D-N-S</v>
      </c>
      <c r="EF327" s="371" t="str">
        <f>IFERROR(__xludf.DUMMYFUNCTION("CONCATENATE(JOIN("""",HC327:HO327))"),"SrgmMdnS")</f>
        <v>SrgmMdnS</v>
      </c>
      <c r="EG327" s="372">
        <f t="shared" si="61"/>
        <v>1</v>
      </c>
      <c r="EH327" s="373" t="str">
        <f>IFERROR(__xludf.DUMMYFUNCTION("CONCATENATE(JOIN("""",JC327:JO327))"),"Ma, ")</f>
        <v>Ma, </v>
      </c>
      <c r="EI327" s="322">
        <f t="shared" si="62"/>
        <v>0</v>
      </c>
      <c r="EJ327" s="374" t="str">
        <f>IFERROR(__xludf.DUMMYFUNCTION("CONCATENATE(JOIN("""",KC327:KO327))"),"")</f>
        <v/>
      </c>
      <c r="EK327" s="325" t="str">
        <f t="shared" si="63"/>
        <v>S-R2-G3-M2-P-D2-N3-S</v>
      </c>
      <c r="EL327" s="326" t="str">
        <f t="shared" si="64"/>
        <v>1-2-3-#4-5-6-7-8</v>
      </c>
      <c r="EM327" s="318" t="str">
        <f t="shared" si="65"/>
        <v>#REF!</v>
      </c>
      <c r="EN327" s="328" t="str">
        <f>IFERROR(__xludf.DUMMYFUNCTION("SUBSTITUTE(SUBSTITUTE(SUBSTITUTE(SUBSTITUTE(CONCATENATE(JOIN("" "",HP327:IB327)),""  "","" ""),""  "","" ""),""  "","" ""),""  "","" "")"),"o • o • o • o o • o • o o")</f>
        <v>o • o • o • o o • o • o o</v>
      </c>
      <c r="EO327" s="368" t="str">
        <f t="shared" si="66"/>
        <v>Sa-Pa</v>
      </c>
      <c r="EP327" s="339" t="str">
        <f t="shared" si="67"/>
        <v>Sa-Pa</v>
      </c>
      <c r="EQ327" s="339" t="str">
        <f t="shared" si="68"/>
        <v>Sa-Pa</v>
      </c>
      <c r="ER327" s="339" t="str">
        <f t="shared" si="69"/>
        <v>-</v>
      </c>
      <c r="ES327" s="340" t="str">
        <f t="shared" si="70"/>
        <v>-</v>
      </c>
      <c r="ET327" s="363"/>
      <c r="EU327" s="376" t="b">
        <f>IFERROR(__xludf.DUMMYFUNCTION("arrayformula(sum(--REGEXMATCH(""SRGMPDNS"",split(REGEXREPLACE(C327,""(.)"",""$1~""),""~""))))=len(C327)
"),TRUE)</f>
        <v>1</v>
      </c>
      <c r="EV327" s="290" t="b">
        <f>IFERROR(__xludf.DUMMYFUNCTION("arrayformula(sum(--REGEXMATCH(""SRGmPDNS"",split(REGEXREPLACE(C327,""(.)"",""$1~""),""~""))))=len(C327)"),FALSE)</f>
        <v>0</v>
      </c>
      <c r="EW327" s="290" t="b">
        <f>IFERROR(__xludf.DUMMYFUNCTION("arrayformula(sum(--REGEXMATCH(""SRGmPDnS"",split(REGEXREPLACE(C327,""(.)"",""$1~""),""~""))))=len(C327)"),FALSE)</f>
        <v>0</v>
      </c>
      <c r="EX327" s="290" t="b">
        <f>IFERROR(__xludf.DUMMYFUNCTION("arrayformula(sum(--REGEXMATCH(""SRgmPDnS"",split(REGEXREPLACE(C327,""(.)"",""$1~""),""~""))))=len(C327)"),FALSE)</f>
        <v>0</v>
      </c>
      <c r="EY327" s="290" t="b">
        <f>IFERROR(__xludf.DUMMYFUNCTION("arrayformula(sum(--REGEXMATCH(""SRgmPdnS"",split(REGEXREPLACE(C327,""(.)"",""$1~""),""~""))))=len(C327)"),FALSE)</f>
        <v>0</v>
      </c>
      <c r="EZ327" s="290" t="b">
        <f>IFERROR(__xludf.DUMMYFUNCTION("arrayformula(sum(--REGEXMATCH(""SrgmPdnS"",split(REGEXREPLACE(C327,""(.)"",""$1~""),""~""))))=len(C327)"),FALSE)</f>
        <v>0</v>
      </c>
      <c r="FA327" s="290" t="b">
        <f>IFERROR(__xludf.DUMMYFUNCTION("arrayformula(sum(--REGEXMATCH(""SrGmPdNS"",split(REGEXREPLACE(C327,""(.)"",""$1~""),""~""))))=len(C327)"),FALSE)</f>
        <v>0</v>
      </c>
      <c r="FB327" s="290" t="b">
        <f>IFERROR(__xludf.DUMMYFUNCTION("arrayformula(sum(--REGEXMATCH(""SrGMPDNS"",split(REGEXREPLACE(C327,""(.)"",""$1~""),""~""))))=len(C327)"),FALSE)</f>
        <v>0</v>
      </c>
      <c r="FC327" s="290" t="b">
        <f>IFERROR(__xludf.DUMMYFUNCTION("arrayformula(sum(--REGEXMATCH(""SrGMPdNS"",split(REGEXREPLACE(C327,""(.)"",""$1~""),""~""))))=len(C327)"),FALSE)</f>
        <v>0</v>
      </c>
      <c r="FD327" s="377" t="b">
        <f>IFERROR(__xludf.DUMMYFUNCTION("arrayformula(sum(--REGEXMATCH(""SrgMPdNS"",split(REGEXREPLACE(C327,""(.)"",""$1~""),""~""))))=len(C327)"),FALSE)</f>
        <v>0</v>
      </c>
      <c r="FE327" s="269" t="str">
        <f t="shared" si="71"/>
        <v>-</v>
      </c>
      <c r="FF327" s="269" t="str">
        <f t="shared" si="72"/>
        <v>xoxoxxoxoxx</v>
      </c>
      <c r="FG327" s="271" t="str">
        <f t="shared" si="73"/>
        <v>-</v>
      </c>
      <c r="FH327" s="269" t="str">
        <f t="shared" si="74"/>
        <v>xoxxoxoxxox</v>
      </c>
      <c r="FI327" s="271" t="str">
        <f t="shared" si="75"/>
        <v>-</v>
      </c>
      <c r="FJ327" s="271" t="str">
        <f t="shared" si="76"/>
        <v>xxoxoxxoxox</v>
      </c>
      <c r="FK327" s="271" t="str">
        <f t="shared" si="77"/>
        <v>xoxoxxoxoxo</v>
      </c>
      <c r="FL327" s="271" t="str">
        <f t="shared" si="78"/>
        <v>-</v>
      </c>
      <c r="FM327" s="271" t="str">
        <f t="shared" si="79"/>
        <v>xoxxoxoxoxx</v>
      </c>
      <c r="FN327" s="271" t="str">
        <f t="shared" si="80"/>
        <v>-</v>
      </c>
      <c r="FO327" s="274" t="str">
        <f t="shared" si="81"/>
        <v>xxoxoxoxxox</v>
      </c>
      <c r="FP327" s="234" t="str">
        <f t="shared" si="82"/>
        <v>|</v>
      </c>
      <c r="FQ327" s="236" t="str">
        <f t="shared" si="83"/>
        <v>-</v>
      </c>
      <c r="FR327" s="237" t="str">
        <f t="shared" si="84"/>
        <v>|</v>
      </c>
      <c r="FS327" s="236" t="str">
        <f t="shared" si="85"/>
        <v>-</v>
      </c>
      <c r="FT327" s="237" t="str">
        <f t="shared" si="86"/>
        <v>|</v>
      </c>
      <c r="FU327" s="236" t="str">
        <f t="shared" si="87"/>
        <v>-</v>
      </c>
      <c r="FV327" s="237" t="str">
        <f t="shared" si="88"/>
        <v>|</v>
      </c>
      <c r="FW327" s="236" t="str">
        <f t="shared" si="89"/>
        <v>|</v>
      </c>
      <c r="FX327" s="237" t="str">
        <f t="shared" si="90"/>
        <v>-</v>
      </c>
      <c r="FY327" s="236" t="str">
        <f t="shared" si="91"/>
        <v>|</v>
      </c>
      <c r="FZ327" s="237" t="str">
        <f t="shared" si="92"/>
        <v>-</v>
      </c>
      <c r="GA327" s="236" t="str">
        <f t="shared" si="93"/>
        <v>|</v>
      </c>
      <c r="GB327" s="238" t="str">
        <f t="shared" si="94"/>
        <v>|</v>
      </c>
      <c r="GC327" s="244" t="str">
        <f>IFERROR(__xludf.DUMMYFUNCTION("IF(REGEXMATCH(C327, ""S""), ""1"","""")"),"1")</f>
        <v>1</v>
      </c>
      <c r="GD327" s="245" t="str">
        <f>IFERROR(__xludf.DUMMYFUNCTION("IF(REGEXMATCH(C327, ""r""), ""b2"","""")"),"")</f>
        <v/>
      </c>
      <c r="GE327" s="246" t="str">
        <f>IFERROR(__xludf.DUMMYFUNCTION("IF(REGEXMATCH(C327, ""R""), ""2"","""")"),"2")</f>
        <v>2</v>
      </c>
      <c r="GF327" s="246" t="str">
        <f>IFERROR(__xludf.DUMMYFUNCTION("IF(REGEXMATCH(C327, ""g""), ""b3"","""")"),"")</f>
        <v/>
      </c>
      <c r="GG327" s="245" t="str">
        <f>IFERROR(__xludf.DUMMYFUNCTION("IF(REGEXMATCH(C327, ""G""), ""3"","""")"),"3")</f>
        <v>3</v>
      </c>
      <c r="GH327" s="245" t="str">
        <f>IFERROR(__xludf.DUMMYFUNCTION("IF(REGEXMATCH(C327, ""m""), ""4"","""")"),"")</f>
        <v/>
      </c>
      <c r="GI327" s="246" t="str">
        <f>IFERROR(__xludf.DUMMYFUNCTION("IF(REGEXMATCH(C327, ""M""), ""#4"","""")"),"#4")</f>
        <v>#4</v>
      </c>
      <c r="GJ327" s="245" t="str">
        <f>IFERROR(__xludf.DUMMYFUNCTION("IF(REGEXMATCH(C327, ""P""), ""5"","""")"),"5")</f>
        <v>5</v>
      </c>
      <c r="GK327" s="246" t="str">
        <f>IFERROR(__xludf.DUMMYFUNCTION("IF(REGEXMATCH(C327, ""d""), ""b6"","""")"),"")</f>
        <v/>
      </c>
      <c r="GL327" s="245" t="str">
        <f>IFERROR(__xludf.DUMMYFUNCTION("IF(REGEXMATCH(C327, ""D""), ""6"","""")"),"6")</f>
        <v>6</v>
      </c>
      <c r="GM327" s="245" t="str">
        <f>IFERROR(__xludf.DUMMYFUNCTION("IF(REGEXMATCH(C327, ""n""), ""b7"","""")"),"")</f>
        <v/>
      </c>
      <c r="GN327" s="246" t="str">
        <f>IFERROR(__xludf.DUMMYFUNCTION("IF(REGEXMATCH(C327, ""N""), ""7"","""")"),"7")</f>
        <v>7</v>
      </c>
      <c r="GO327" s="249" t="str">
        <f>IFERROR(__xludf.DUMMYFUNCTION("IF(REGEXMATCH(C327, ""S""), ""8"","""")"),"8")</f>
        <v>8</v>
      </c>
      <c r="GP327" s="244" t="str">
        <f>IFERROR(__xludf.DUMMYFUNCTION("IF(REGEXMATCH(C327, ""S""), ""S"","""")"),"S")</f>
        <v>S</v>
      </c>
      <c r="GQ327" s="294" t="str">
        <f>IFERROR(__xludf.DUMMYFUNCTION("IF(REGEXMATCH(C327, ""r""), ""R1"","""")"),"")</f>
        <v/>
      </c>
      <c r="GR327" s="295" t="str">
        <f>IFERROR(__xludf.DUMMYFUNCTION("IF(REGEXMATCH(C327, ""R""), ""R2"","""")"),"R2")</f>
        <v>R2</v>
      </c>
      <c r="GS327" s="295" t="str">
        <f>IFERROR(__xludf.DUMMYFUNCTION("IF(REGEXMATCH(C327, ""g""), ""G2"","""")"),"")</f>
        <v/>
      </c>
      <c r="GT327" s="294" t="str">
        <f>IFERROR(__xludf.DUMMYFUNCTION("IF(REGEXMATCH(C327, ""G""), ""G3"","""")"),"G3")</f>
        <v>G3</v>
      </c>
      <c r="GU327" s="294" t="str">
        <f>IFERROR(__xludf.DUMMYFUNCTION("IF(REGEXMATCH(C327, ""m""), ""M1"","""")"),"")</f>
        <v/>
      </c>
      <c r="GV327" s="295" t="str">
        <f>IFERROR(__xludf.DUMMYFUNCTION("IF(REGEXMATCH(C327, ""M""), ""M2"","""")"),"M2")</f>
        <v>M2</v>
      </c>
      <c r="GW327" s="294" t="str">
        <f>IFERROR(__xludf.DUMMYFUNCTION("IF(REGEXMATCH(C327, ""P""), ""P"","""")"),"P")</f>
        <v>P</v>
      </c>
      <c r="GX327" s="295" t="str">
        <f>IFERROR(__xludf.DUMMYFUNCTION("IF(REGEXMATCH(C327, ""d""), ""D1"","""")"),"")</f>
        <v/>
      </c>
      <c r="GY327" s="294" t="str">
        <f>IFERROR(__xludf.DUMMYFUNCTION("IF(REGEXMATCH(C327, ""D""), ""D2"","""")"),"D2")</f>
        <v>D2</v>
      </c>
      <c r="GZ327" s="294" t="str">
        <f>IFERROR(__xludf.DUMMYFUNCTION("IF(REGEXMATCH(C327, ""n""), ""N2"","""")"),"")</f>
        <v/>
      </c>
      <c r="HA327" s="295" t="str">
        <f>IFERROR(__xludf.DUMMYFUNCTION("IF(REGEXMATCH(C327, ""N""), ""N3"","""")"),"N3")</f>
        <v>N3</v>
      </c>
      <c r="HB327" s="249" t="str">
        <f>IFERROR(__xludf.DUMMYFUNCTION("IF(REGEXMATCH(C327, ""S""), ""S"","""")"),"S")</f>
        <v>S</v>
      </c>
      <c r="HC327" s="331" t="str">
        <f t="shared" si="95"/>
        <v>S</v>
      </c>
      <c r="HD327" s="332" t="str">
        <f t="shared" si="96"/>
        <v>r</v>
      </c>
      <c r="HE327" s="332" t="str">
        <f t="shared" si="97"/>
        <v/>
      </c>
      <c r="HF327" s="332" t="str">
        <f t="shared" si="98"/>
        <v>g</v>
      </c>
      <c r="HG327" s="332" t="str">
        <f t="shared" si="99"/>
        <v/>
      </c>
      <c r="HH327" s="332" t="str">
        <f t="shared" si="100"/>
        <v>m</v>
      </c>
      <c r="HI327" s="332" t="str">
        <f t="shared" si="101"/>
        <v>M</v>
      </c>
      <c r="HJ327" s="332" t="str">
        <f t="shared" si="102"/>
        <v/>
      </c>
      <c r="HK327" s="332" t="str">
        <f t="shared" si="103"/>
        <v>d</v>
      </c>
      <c r="HL327" s="332" t="str">
        <f t="shared" si="104"/>
        <v/>
      </c>
      <c r="HM327" s="332" t="str">
        <f t="shared" si="105"/>
        <v>n</v>
      </c>
      <c r="HN327" s="332" t="str">
        <f t="shared" si="106"/>
        <v/>
      </c>
      <c r="HO327" s="343" t="str">
        <f t="shared" si="107"/>
        <v>S</v>
      </c>
      <c r="HP327" s="331" t="str">
        <f t="shared" si="108"/>
        <v>o</v>
      </c>
      <c r="HQ327" s="332" t="str">
        <f t="shared" si="109"/>
        <v>•</v>
      </c>
      <c r="HR327" s="332" t="str">
        <f t="shared" si="110"/>
        <v>o</v>
      </c>
      <c r="HS327" s="332" t="str">
        <f t="shared" si="111"/>
        <v>•</v>
      </c>
      <c r="HT327" s="332" t="str">
        <f t="shared" si="112"/>
        <v>o</v>
      </c>
      <c r="HU327" s="332" t="str">
        <f t="shared" si="113"/>
        <v>•</v>
      </c>
      <c r="HV327" s="332" t="str">
        <f t="shared" si="114"/>
        <v>o</v>
      </c>
      <c r="HW327" s="332" t="str">
        <f t="shared" si="115"/>
        <v>o</v>
      </c>
      <c r="HX327" s="332" t="str">
        <f t="shared" si="116"/>
        <v>•</v>
      </c>
      <c r="HY327" s="332" t="str">
        <f t="shared" si="117"/>
        <v>o</v>
      </c>
      <c r="HZ327" s="332" t="str">
        <f t="shared" si="118"/>
        <v>•</v>
      </c>
      <c r="IA327" s="332" t="str">
        <f t="shared" si="119"/>
        <v>o</v>
      </c>
      <c r="IB327" s="338" t="str">
        <f t="shared" si="120"/>
        <v>o</v>
      </c>
      <c r="IC327" s="331" t="str">
        <f t="shared" si="121"/>
        <v>•</v>
      </c>
      <c r="ID327" s="332" t="str">
        <f t="shared" si="122"/>
        <v>o</v>
      </c>
      <c r="IE327" s="332" t="str">
        <f t="shared" si="123"/>
        <v>•</v>
      </c>
      <c r="IF327" s="332" t="str">
        <f t="shared" si="124"/>
        <v>o</v>
      </c>
      <c r="IG327" s="332" t="str">
        <f t="shared" si="125"/>
        <v>•</v>
      </c>
      <c r="IH327" s="332" t="str">
        <f t="shared" si="126"/>
        <v>o</v>
      </c>
      <c r="II327" s="332" t="str">
        <f t="shared" si="127"/>
        <v>•</v>
      </c>
      <c r="IJ327" s="332" t="str">
        <f t="shared" si="128"/>
        <v>•</v>
      </c>
      <c r="IK327" s="332" t="str">
        <f t="shared" si="129"/>
        <v>o</v>
      </c>
      <c r="IL327" s="332" t="str">
        <f t="shared" si="130"/>
        <v>•</v>
      </c>
      <c r="IM327" s="332" t="str">
        <f t="shared" si="131"/>
        <v>o</v>
      </c>
      <c r="IN327" s="332" t="str">
        <f t="shared" si="132"/>
        <v>•</v>
      </c>
      <c r="IO327" s="338" t="str">
        <f t="shared" si="133"/>
        <v>•</v>
      </c>
      <c r="IP327" s="346" t="b">
        <f t="shared" si="134"/>
        <v>0</v>
      </c>
      <c r="IQ327" s="347" t="b">
        <f t="shared" si="135"/>
        <v>0</v>
      </c>
      <c r="IR327" s="347" t="b">
        <f t="shared" si="136"/>
        <v>0</v>
      </c>
      <c r="IS327" s="347" t="b">
        <f t="shared" si="137"/>
        <v>0</v>
      </c>
      <c r="IT327" s="347" t="b">
        <f t="shared" si="138"/>
        <v>0</v>
      </c>
      <c r="IU327" s="347" t="b">
        <f t="shared" si="139"/>
        <v>0</v>
      </c>
      <c r="IV327" s="347" t="b">
        <f t="shared" si="140"/>
        <v>1</v>
      </c>
      <c r="IW327" s="347" t="b">
        <f t="shared" si="141"/>
        <v>0</v>
      </c>
      <c r="IX327" s="347" t="b">
        <f t="shared" si="142"/>
        <v>0</v>
      </c>
      <c r="IY327" s="347" t="b">
        <f t="shared" si="143"/>
        <v>0</v>
      </c>
      <c r="IZ327" s="347" t="b">
        <f t="shared" si="144"/>
        <v>0</v>
      </c>
      <c r="JA327" s="347" t="b">
        <f t="shared" si="145"/>
        <v>0</v>
      </c>
      <c r="JB327" s="353" t="b">
        <f t="shared" si="146"/>
        <v>0</v>
      </c>
      <c r="JC327" s="354" t="str">
        <f t="shared" si="147"/>
        <v/>
      </c>
      <c r="JD327" s="355" t="str">
        <f t="shared" si="148"/>
        <v/>
      </c>
      <c r="JE327" s="355" t="str">
        <f t="shared" si="149"/>
        <v/>
      </c>
      <c r="JF327" s="355" t="str">
        <f t="shared" si="150"/>
        <v/>
      </c>
      <c r="JG327" s="355" t="str">
        <f t="shared" si="151"/>
        <v/>
      </c>
      <c r="JH327" s="355" t="str">
        <f t="shared" si="152"/>
        <v/>
      </c>
      <c r="JI327" s="355" t="str">
        <f t="shared" si="153"/>
        <v>Ma, </v>
      </c>
      <c r="JJ327" s="355" t="str">
        <f t="shared" si="154"/>
        <v/>
      </c>
      <c r="JK327" s="355" t="str">
        <f t="shared" si="155"/>
        <v/>
      </c>
      <c r="JL327" s="355" t="str">
        <f t="shared" si="156"/>
        <v/>
      </c>
      <c r="JM327" s="355" t="str">
        <f t="shared" si="157"/>
        <v/>
      </c>
      <c r="JN327" s="355" t="str">
        <f t="shared" si="158"/>
        <v/>
      </c>
      <c r="JO327" s="359" t="str">
        <f t="shared" si="159"/>
        <v/>
      </c>
      <c r="JP327" s="346" t="b">
        <f t="shared" si="160"/>
        <v>0</v>
      </c>
      <c r="JQ327" s="347" t="b">
        <f t="shared" si="161"/>
        <v>0</v>
      </c>
      <c r="JR327" s="347" t="b">
        <f t="shared" si="162"/>
        <v>0</v>
      </c>
      <c r="JS327" s="347" t="b">
        <f t="shared" si="163"/>
        <v>0</v>
      </c>
      <c r="JT327" s="347" t="b">
        <f t="shared" si="164"/>
        <v>0</v>
      </c>
      <c r="JU327" s="347" t="b">
        <f t="shared" si="165"/>
        <v>0</v>
      </c>
      <c r="JV327" s="347" t="b">
        <f t="shared" si="166"/>
        <v>0</v>
      </c>
      <c r="JW327" s="347" t="b">
        <f t="shared" si="167"/>
        <v>0</v>
      </c>
      <c r="JX327" s="347" t="b">
        <f t="shared" si="168"/>
        <v>0</v>
      </c>
      <c r="JY327" s="347" t="b">
        <f t="shared" si="169"/>
        <v>0</v>
      </c>
      <c r="JZ327" s="347" t="b">
        <f t="shared" si="170"/>
        <v>0</v>
      </c>
      <c r="KA327" s="347" t="b">
        <f t="shared" si="171"/>
        <v>0</v>
      </c>
      <c r="KB327" s="365" t="b">
        <f t="shared" si="172"/>
        <v>0</v>
      </c>
      <c r="KC327" s="354" t="str">
        <f t="shared" si="173"/>
        <v/>
      </c>
      <c r="KD327" s="355" t="str">
        <f t="shared" si="174"/>
        <v/>
      </c>
      <c r="KE327" s="355" t="str">
        <f t="shared" si="175"/>
        <v/>
      </c>
      <c r="KF327" s="355" t="str">
        <f t="shared" si="176"/>
        <v/>
      </c>
      <c r="KG327" s="355" t="str">
        <f t="shared" si="177"/>
        <v/>
      </c>
      <c r="KH327" s="355" t="str">
        <f t="shared" si="178"/>
        <v/>
      </c>
      <c r="KI327" s="355" t="str">
        <f t="shared" si="179"/>
        <v/>
      </c>
      <c r="KJ327" s="355" t="str">
        <f t="shared" si="180"/>
        <v/>
      </c>
      <c r="KK327" s="355" t="str">
        <f t="shared" si="181"/>
        <v/>
      </c>
      <c r="KL327" s="355" t="str">
        <f t="shared" si="182"/>
        <v/>
      </c>
      <c r="KM327" s="355" t="str">
        <f t="shared" si="183"/>
        <v/>
      </c>
      <c r="KN327" s="355" t="str">
        <f t="shared" si="184"/>
        <v/>
      </c>
      <c r="KO327" s="359"/>
      <c r="KP327" s="378"/>
      <c r="KQ327" s="379" t="s">
        <v>619</v>
      </c>
      <c r="KR327" s="380" t="s">
        <v>1454</v>
      </c>
      <c r="KS327" s="381" t="str">
        <f t="shared" si="885"/>
        <v>S-R-G-P-D-S</v>
      </c>
      <c r="KT327" s="382">
        <f t="shared" si="186"/>
        <v>5</v>
      </c>
      <c r="KU327" s="383">
        <f t="shared" si="187"/>
        <v>5</v>
      </c>
      <c r="KV327" s="381" t="str">
        <f t="shared" si="205"/>
        <v>S-N-D-P-M-G-R-S</v>
      </c>
      <c r="KW327" s="382">
        <f t="shared" si="189"/>
        <v>7</v>
      </c>
      <c r="KX327" s="384">
        <f t="shared" si="190"/>
        <v>7</v>
      </c>
      <c r="KY327" s="382">
        <f t="shared" ref="KY327:KZ327" si="886">KW327-KT327</f>
        <v>2</v>
      </c>
      <c r="KZ327" s="369">
        <f t="shared" si="886"/>
        <v>2</v>
      </c>
      <c r="LA327" s="385" t="str">
        <f t="shared" si="192"/>
        <v>-</v>
      </c>
      <c r="LB327" s="340" t="str">
        <f>IFERROR(__xludf.DUMMYFUNCTION("JOIN("""",ArrayFormula(MID(KS327,LEN(KS327)-SEQUENCE(1,LEN(KS327))+1,1)))"),"S-D-P-G-R-S")</f>
        <v>S-D-P-G-R-S</v>
      </c>
      <c r="LC327" s="373" t="str">
        <f>IFERROR(__xludf.DUMMYFUNCTION("JOIN("""",ArrayFormula(MID(KV327,LEN(KV327)-SEQUENCE(1,LEN(KV327))+1,1)))"),"S-R-G-M-P-D-N-S")</f>
        <v>S-R-G-M-P-D-N-S</v>
      </c>
      <c r="LD327" s="373" t="str">
        <f t="shared" si="193"/>
        <v>SRGPDS</v>
      </c>
      <c r="LE327" s="339" t="str">
        <f t="shared" si="194"/>
        <v>SRGMPDNS</v>
      </c>
      <c r="LF327" s="386" t="str">
        <f>IFERROR(__xludf.DUMMYFUNCTION("SUBSTITUTE(SUBSTITUTE(CONCATENATE(JOIN("""",LH327:LT327)),""1"",""""),""2"","""")"),"SRGMPDNS")</f>
        <v>SRGMPDNS</v>
      </c>
      <c r="LG327" s="369" t="str">
        <f t="shared" si="195"/>
        <v>✔</v>
      </c>
      <c r="LH327" s="387" t="str">
        <f>IFERROR(__xludf.DUMMYFUNCTION("IF(REGEXMATCH(LD327, ""S""), ""S"",IF(REGEXMATCH(LE327, ""S""), ""S"",""""))"),"S")</f>
        <v>S</v>
      </c>
      <c r="LI327" s="299" t="str">
        <f>IFERROR(__xludf.DUMMYFUNCTION("IF(REGEXMATCH(LD327, ""r""), ""r1"",IF(REGEXMATCH(LE327, ""r""), ""r2"",""""))"),"")</f>
        <v/>
      </c>
      <c r="LJ327" s="299" t="str">
        <f>IFERROR(__xludf.DUMMYFUNCTION("IF(REGEXMATCH(LD327, ""R""), ""R1"",IF(REGEXMATCH(LE327, ""R""), ""R2"",""""))"),"R1")</f>
        <v>R1</v>
      </c>
      <c r="LK327" s="299" t="str">
        <f>IFERROR(__xludf.DUMMYFUNCTION("IF(REGEXMATCH(LD327, ""g""), ""g1"",IF(REGEXMATCH(LE327, ""g""), ""g2"",""""))"),"")</f>
        <v/>
      </c>
      <c r="LL327" s="299" t="str">
        <f>IFERROR(__xludf.DUMMYFUNCTION("IF(REGEXMATCH(LD327, ""G""), ""G1"",IF(REGEXMATCH(LE327, ""G""), ""G2"",""""))"),"G1")</f>
        <v>G1</v>
      </c>
      <c r="LM327" s="299" t="str">
        <f>IFERROR(__xludf.DUMMYFUNCTION("IF(REGEXMATCH(LD327, ""m""), ""m1"",IF(REGEXMATCH(LE327, ""m""), ""m2"",""""))"),"")</f>
        <v/>
      </c>
      <c r="LN327" s="299" t="str">
        <f>IFERROR(__xludf.DUMMYFUNCTION("IF(REGEXMATCH(LD327, ""M""), ""M1"",IF(REGEXMATCH(LE327, ""M""), ""M2"",""""))"),"M2")</f>
        <v>M2</v>
      </c>
      <c r="LO327" s="299" t="str">
        <f>IFERROR(__xludf.DUMMYFUNCTION("IF(REGEXMATCH(LD327, ""P""), ""P1"",IF(REGEXMATCH(LE327, ""P""), ""P2"",""""))"),"P1")</f>
        <v>P1</v>
      </c>
      <c r="LP327" s="299" t="str">
        <f>IFERROR(__xludf.DUMMYFUNCTION("IF(REGEXMATCH(LD327, ""d""), ""d1"",IF(REGEXMATCH(LE327, ""d""), ""d2"",""""))"),"")</f>
        <v/>
      </c>
      <c r="LQ327" s="299" t="str">
        <f>IFERROR(__xludf.DUMMYFUNCTION("IF(REGEXMATCH(LD327, ""D""), ""D1"",IF(REGEXMATCH(LE327, ""D""), ""D2"",""""))"),"D1")</f>
        <v>D1</v>
      </c>
      <c r="LR327" s="299" t="str">
        <f>IFERROR(__xludf.DUMMYFUNCTION("IF(REGEXMATCH(LD327, ""n""), ""n1"",IF(REGEXMATCH(LE327, ""n""), ""n2"",""""))"),"")</f>
        <v/>
      </c>
      <c r="LS327" s="299" t="str">
        <f>IFERROR(__xludf.DUMMYFUNCTION("IF(REGEXMATCH(LD327, ""N""), ""N1"",IF(REGEXMATCH(LE327, ""N""), ""N2"",""""))"),"N2")</f>
        <v>N2</v>
      </c>
      <c r="LT327" s="388" t="str">
        <f>IFERROR(__xludf.DUMMYFUNCTION("IF(REGEXMATCH(LD327, ""S""), ""S"",IF(REGEXMATCH(LE327, ""S""), ""S"",""""))"),"S")</f>
        <v>S</v>
      </c>
      <c r="LU327" s="389">
        <f t="shared" si="196"/>
        <v>-3</v>
      </c>
      <c r="LV327" s="378"/>
      <c r="LW327" s="369"/>
      <c r="LX327" s="369"/>
    </row>
    <row r="328" ht="18.0" customHeight="1">
      <c r="A328" s="298" t="s">
        <v>1171</v>
      </c>
      <c r="B328" s="222" t="s">
        <v>719</v>
      </c>
      <c r="C328" s="233" t="str">
        <f t="shared" si="7"/>
        <v>SRmPDS</v>
      </c>
      <c r="D328" s="234" t="str">
        <f>IFERROR(__xludf.DUMMYFUNCTION("IF(REGEXMATCH(C328, ""S""), ""S"","""")"),"S")</f>
        <v>S</v>
      </c>
      <c r="E328" s="236" t="str">
        <f>IFERROR(__xludf.DUMMYFUNCTION("IF(REGEXMATCH(C328, ""r""), ""r"","""")"),"")</f>
        <v/>
      </c>
      <c r="F328" s="237" t="str">
        <f>IFERROR(__xludf.DUMMYFUNCTION("IF(REGEXMATCH(C328, ""R""), ""R"","""")"),"R")</f>
        <v>R</v>
      </c>
      <c r="G328" s="237" t="str">
        <f>IFERROR(__xludf.DUMMYFUNCTION("IF(REGEXMATCH(C328, ""g""), ""g"","""")"),"")</f>
        <v/>
      </c>
      <c r="H328" s="236" t="str">
        <f>IFERROR(__xludf.DUMMYFUNCTION("IF(REGEXMATCH(C328, ""G""), ""G"","""")"),"")</f>
        <v/>
      </c>
      <c r="I328" s="236" t="str">
        <f>IFERROR(__xludf.DUMMYFUNCTION("IF(REGEXMATCH(C328, ""m""), ""m"","""")"),"m")</f>
        <v>m</v>
      </c>
      <c r="J328" s="237" t="str">
        <f>IFERROR(__xludf.DUMMYFUNCTION("IF(REGEXMATCH(C328, ""M""), ""M"","""")"),"")</f>
        <v/>
      </c>
      <c r="K328" s="236" t="str">
        <f>IFERROR(__xludf.DUMMYFUNCTION("IF(REGEXMATCH(C328, ""P""), ""P"","""")"),"P")</f>
        <v>P</v>
      </c>
      <c r="L328" s="237" t="str">
        <f>IFERROR(__xludf.DUMMYFUNCTION("IF(REGEXMATCH(C328, ""d""), ""d"","""")"),"")</f>
        <v/>
      </c>
      <c r="M328" s="236" t="str">
        <f>IFERROR(__xludf.DUMMYFUNCTION("IF(REGEXMATCH(C328, ""D""), ""D"","""")"),"D")</f>
        <v>D</v>
      </c>
      <c r="N328" s="236" t="str">
        <f>IFERROR(__xludf.DUMMYFUNCTION("IF(REGEXMATCH(C328, ""n""), ""n"","""")"),"")</f>
        <v/>
      </c>
      <c r="O328" s="237" t="str">
        <f>IFERROR(__xludf.DUMMYFUNCTION("IF(REGEXMATCH(C328, ""N""), ""N"","""")"),"")</f>
        <v/>
      </c>
      <c r="P328" s="238" t="str">
        <f>IFERROR(__xludf.DUMMYFUNCTION("IF(REGEXMATCH(C328, ""S""), ""S"","""")"),"S")</f>
        <v>S</v>
      </c>
      <c r="Q328" s="239" t="str">
        <f>IFERROR(__xludf.DUMMYFUNCTION("SUBSTITUTE(CONCATENATE(JOIN(""-"",D328:J328)),""-"","""")"),"SRm")</f>
        <v>SRm</v>
      </c>
      <c r="R328" s="229" t="str">
        <f>IFERROR(__xludf.DUMMYFUNCTION("SUBSTITUTE(CONCATENATE(JOIN(""-"",K328:P328)),""-"","""")"),"PDS")</f>
        <v>PDS</v>
      </c>
      <c r="S328" s="282" t="str">
        <f t="shared" si="8"/>
        <v>S-R-M</v>
      </c>
      <c r="T328" s="282" t="str">
        <f t="shared" si="9"/>
        <v>P-D-S</v>
      </c>
      <c r="U328" s="237" t="str">
        <f>IFERROR(__xludf.DUMMYFUNCTION("SUBSTITUTE(JOIN(""-"",S328,T328),""--"",""-"")"),"S-R-M-P-D-S")</f>
        <v>S-R-M-P-D-S</v>
      </c>
      <c r="V328" s="309" t="str">
        <f t="shared" si="10"/>
        <v>RmD</v>
      </c>
      <c r="W328" s="244" t="str">
        <f>IFERROR(__xludf.DUMMYFUNCTION("IF(REGEXMATCH(C328, ""S""), ""0"","""")"),"0")</f>
        <v>0</v>
      </c>
      <c r="X328" s="245" t="str">
        <f>IFERROR(__xludf.DUMMYFUNCTION("IF(REGEXMATCH(C328, ""r""), ""1"","""")"),"")</f>
        <v/>
      </c>
      <c r="Y328" s="246" t="str">
        <f>IFERROR(__xludf.DUMMYFUNCTION("IF(REGEXMATCH(C328, ""R""), ""2"","""")"),"2")</f>
        <v>2</v>
      </c>
      <c r="Z328" s="246" t="str">
        <f>IFERROR(__xludf.DUMMYFUNCTION("IF(REGEXMATCH(C328, ""g""), ""3"","""")"),"")</f>
        <v/>
      </c>
      <c r="AA328" s="245" t="str">
        <f>IFERROR(__xludf.DUMMYFUNCTION("IF(REGEXMATCH(C328, ""G""), ""4"","""")"),"")</f>
        <v/>
      </c>
      <c r="AB328" s="245" t="str">
        <f>IFERROR(__xludf.DUMMYFUNCTION("IF(REGEXMATCH(C328, ""m""), ""5"","""")"),"5")</f>
        <v>5</v>
      </c>
      <c r="AC328" s="246" t="str">
        <f>IFERROR(__xludf.DUMMYFUNCTION("IF(REGEXMATCH(C328, ""M""), ""6"","""")"),"")</f>
        <v/>
      </c>
      <c r="AD328" s="245" t="str">
        <f>IFERROR(__xludf.DUMMYFUNCTION("IF(REGEXMATCH(C328, ""P""), ""7"","""")"),"7")</f>
        <v>7</v>
      </c>
      <c r="AE328" s="246" t="str">
        <f>IFERROR(__xludf.DUMMYFUNCTION("IF(REGEXMATCH(C328, ""d""), ""8"","""")"),"")</f>
        <v/>
      </c>
      <c r="AF328" s="245" t="str">
        <f>IFERROR(__xludf.DUMMYFUNCTION("IF(REGEXMATCH(C328, ""D""), ""9"","""")"),"9")</f>
        <v>9</v>
      </c>
      <c r="AG328" s="245" t="str">
        <f>IFERROR(__xludf.DUMMYFUNCTION("IF(REGEXMATCH(C328, ""n""), ""10"","""")"),"")</f>
        <v/>
      </c>
      <c r="AH328" s="246" t="str">
        <f>IFERROR(__xludf.DUMMYFUNCTION("IF(REGEXMATCH(C328, ""N""), ""11"","""")"),"")</f>
        <v/>
      </c>
      <c r="AI328" s="249" t="str">
        <f>IFERROR(__xludf.DUMMYFUNCTION("IF(REGEXMATCH(C328, ""S""), ""0"","""")"),"0")</f>
        <v>0</v>
      </c>
      <c r="AJ328" s="313" t="str">
        <f t="shared" si="11"/>
        <v>-</v>
      </c>
      <c r="AK328" s="313" t="str">
        <f t="shared" si="12"/>
        <v>-</v>
      </c>
      <c r="AL328" s="313" t="str">
        <f t="shared" si="13"/>
        <v>-</v>
      </c>
      <c r="AM328" s="313" t="str">
        <f t="shared" si="14"/>
        <v>-</v>
      </c>
      <c r="AN328" s="313" t="str">
        <f t="shared" si="15"/>
        <v>-</v>
      </c>
      <c r="AO328" s="314" t="str">
        <f t="shared" si="16"/>
        <v>-</v>
      </c>
      <c r="AP328" s="316">
        <f t="shared" si="17"/>
        <v>0</v>
      </c>
      <c r="AQ328" s="319" t="str">
        <f t="shared" si="18"/>
        <v>-</v>
      </c>
      <c r="AR328" s="320">
        <f t="shared" si="19"/>
        <v>0</v>
      </c>
      <c r="AS328" s="250" t="str">
        <f>IFERROR(__xludf.DUMMYFUNCTION("SUBSTITUTE(SUBSTITUTE(CONCATENATE(JOIN("""",FP328:GA328)),""|"",""x""),""-"",""o"")"),"xoxooxoxoxoo")</f>
        <v>xoxooxoxoxoo</v>
      </c>
      <c r="AT328" s="323" t="str">
        <f>IFERROR(__xludf.DUMMYFUNCTION("JOIN("""",AS328,AS328)"),"xoxooxoxoxooxoxooxoxoxoo")</f>
        <v>xoxooxoxoxooxoxooxoxoxoo</v>
      </c>
      <c r="AU328" s="256" t="str">
        <f>IFERROR(__xludf.DUMMYFUNCTION("JOIN("""",ArrayFormula(MID(AS328,LEN(AS328)-SEQUENCE(1,LEN(AS328))+1,1)))"),"ooxoxoxooxox")</f>
        <v>ooxoxoxooxox</v>
      </c>
      <c r="AV328" s="256" t="str">
        <f>IFERROR(__xludf.DUMMYFUNCTION("LEFT(CONCATENATE(""x"",JOIN("""",ArrayFormula(MID(AS328,LEN(AS328)-SEQUENCE(1,LEN(AS328))+1,1)))),12)"),"xooxoxoxooxo")</f>
        <v>xooxoxoxooxo</v>
      </c>
      <c r="AW328" s="327" t="str">
        <f>IFERROR(__xludf.DUMMYFUNCTION("JOIN("""",AU328,AU328)"),"ooxoxoxooxoxooxoxoxooxox")</f>
        <v>ooxoxoxooxoxooxoxoxooxox</v>
      </c>
      <c r="AX328" s="239" t="str">
        <f>IFERROR(__xludf.DUMMYFUNCTION("IF(REGEXMATCH(AW328,AS328),""✔"",""-"")"),"✔")</f>
        <v>✔</v>
      </c>
      <c r="AY328" s="330" t="str">
        <f t="shared" si="20"/>
        <v>-</v>
      </c>
      <c r="AZ328" s="260" t="str">
        <f t="shared" si="21"/>
        <v>#REF!</v>
      </c>
      <c r="BA328" s="333" t="str">
        <f t="shared" si="22"/>
        <v>xoxooxo</v>
      </c>
      <c r="BB328" s="334" t="str">
        <f t="shared" si="23"/>
        <v>xoxoox</v>
      </c>
      <c r="BC328" s="335" t="str">
        <f t="shared" si="236"/>
        <v>✔</v>
      </c>
      <c r="BD328" s="336" t="str">
        <f t="shared" si="25"/>
        <v>Shuddha Malhar: 'xoxooxo' + 'xoxoox'</v>
      </c>
      <c r="BE328" s="337">
        <f>IFERROR(__xludf.DUMMYFUNCTION("COUNTUNIQUE(FILTER(AT:AT,REGEXMATCH(AT:AT,AS328)))-1"),4.0)</f>
        <v>4</v>
      </c>
      <c r="BF328" s="261" t="str">
        <f>IFERROR(__xludf.DUMMYFUNCTION("IF(BI328=0,""(n/a)"",IF(BJ328=2,""(PAIR)"",IF(REGEXMATCH(AT328,""xoxoxxoxoxox""),""Bilawal"",IF(REGEXMATCH(AT328,""xoxoxooxoxoo""),""Bhupali"",IF(REGEXMATCH(AT328,""xoxoxxoxxoxo""),""Charukeshi"",IF(REGEXMATCH(AT328,""xoxoooxxoxxo""),""Kameshwari"",IF(REG"&amp;"EXMATCH(AT328,""xoxoxooxoxox""),""Shankara"",IF(REGEXMATCH(AT328,""xxooxoxxxoox""),""Basant"",IF(REGEXMATCH(AT328,""xoxoxxxxoxox""),""Bihag"",IF(REGEXMATCH(AT328,""xoxxxxoxoxxx""),""Pilu"",IF(REGEXMATCH(AT328,""xoxxoxoxxoox""),""Kirwani"",IF(REGEXMATCH(AT"&amp;"328,""xoxxoxoxoxxx""),""Mk.Malhar"",IF(REGEXMATCH(AT328,""xxooxxoxxoox""),""Bhairav"",IF(REGEXMATCH(AT328,""xxoxooxxxoox""),""Todi"",IF(REGEXMATCH(AT328,""xxooxoxooxox""),""Marwa"",IF(REGEXMATCH(AT328,""xxoooxoxxooo""),""Gunkali"",IF(REGEXMATCH(AT328,""xo"&amp;"xoxxoxxoox""),""Nat Bhairav"",IF(REGEXMATCH(AT328,""xoxxoooxoxoo""),""Shivranjani"",IF(REGEXMATCH(AT328,""xooxxxoxooxo""),""Jog"",IF(REGEXMATCH(AT328,""xxooxoxoxoox""),""Hemshri"",IF(REGEXMATCH(AT328,""xoooxooxoxxo""),""Kalavati"",IF(REGEXMATCH(AT328,""xx"&amp;"oxoxxoxoox""),""Kedar"",IF(REGEXMATCH(AT328,""xoxxxxoxooxx""),""Gara"",IF(REGEXMATCH(AT328,""xooxoxooxoox""),""Chandrakauns"",IF(REGEXMATCH(AT328,""xoxxxxoxxxox""),""Mand"",IF(REGEXMATCH(AT328,""xoxxxxoxoxox""),""Hanskinkini"",IF(REGEXMATCH(AT328,""xxooxx"&amp;"oxooxo""),""Lilavati"",IF(REGEXMATCH(AT328,""xooxoxoooxox""),""Rajeshwari"",IF(REGEXMATCH(AT328,""xoooxxoxoxxx""),""Khokar"",IF(REGEXMATCH(AT328,""xxooxoxxxxox""),""Maligoura"",""-""))))))))))))))))))))))))))))))"),"Bhupali")</f>
        <v>Bhupali</v>
      </c>
      <c r="BG328" s="239" t="str">
        <f t="shared" si="26"/>
        <v>#REF!</v>
      </c>
      <c r="BH328" s="239">
        <f>IFERROR(__xludf.DUMMYFUNCTION("COUNTUNIQUE(FE328:FO328)-1"),4.0)</f>
        <v>4</v>
      </c>
      <c r="BI328" s="239">
        <f>IFERROR(__xludf.DUMMYFUNCTION("COUNTUNIQUE(FILTER(AT:AT,REGEXMATCH(AT:AT,AS328)))-1"),4.0)</f>
        <v>4</v>
      </c>
      <c r="BJ328" s="239">
        <f>IFERROR(__xludf.DUMMYFUNCTION("COUNTA(FILTER(AT:AT,REGEXMATCH(AT:AT,AS328)))"),11.0)</f>
        <v>11</v>
      </c>
      <c r="BK328" s="341">
        <f>IFERROR(__xludf.DUMMYFUNCTION("COUNTA(FILTER(AT:AT,REGEXMATCH(AT:AT,AS328)))-AR328"),11.0)</f>
        <v>11</v>
      </c>
      <c r="BL328" s="276" t="str">
        <f>IFERROR(__xludf.DUMMYFUNCTION("IF(AS328=""oooooooooooo"",""-"",IF(REGEXMATCH(AT328,""xx""), ""Hemi."", ""Anhemi.""))"),"Anhemi.")</f>
        <v>Anhemi.</v>
      </c>
      <c r="BM328" s="282" t="str">
        <f>IFERROR(__xludf.DUMMYFUNCTION("IF(AS328=""oooooooooooo"",""-"",IF(REGEXMATCH(AT328,""xxx""), ""Cohem."", ""-""))"),"-")</f>
        <v>-</v>
      </c>
      <c r="BN328" s="282" t="str">
        <f>IFERROR(__xludf.DUMMYFUNCTION("IF(AS328=""oooooooooooo"",""-"",IF(REGEXMATCH(AT328,""xxxx""), ""Co-Co."", ""-""))"),"-")</f>
        <v>-</v>
      </c>
      <c r="BO328" s="342" t="str">
        <f>IFERROR(__xludf.DUMMYFUNCTION("IF(AS328=""oooooooooooo"",""-"",IF(REGEXMATCH(AT328,""xxxxx""), ""CCC."", ""-""))"),"-")</f>
        <v>-</v>
      </c>
      <c r="BP328" s="344" t="str">
        <f t="shared" si="27"/>
        <v>-</v>
      </c>
      <c r="BQ328" s="282" t="str">
        <f>IFERROR(__xludf.DUMMYFUNCTION("IF(REGEXMATCH(JOIN(""-"",EU328:FD328),""TRUE""),""✔"",""-"")"),"✔")</f>
        <v>✔</v>
      </c>
      <c r="BR328" s="225">
        <f t="shared" si="28"/>
        <v>3</v>
      </c>
      <c r="BS328" s="345" t="str">
        <f>IFERROR(__xludf.DUMMYFUNCTION("SUBSTITUTE(SUBSTITUTE(SUBSTITUTE(SUBSTITUTE(CONCATENATE(JOIN(""-"",GC328:GO328)),""--"",""-""),""--"",""-""),""--"",""-""),""--"",""-"")"),"1-2-4-5-6-8")</f>
        <v>1-2-4-5-6-8</v>
      </c>
      <c r="BT328" s="299" t="str">
        <f>IFERROR(__xludf.DUMMYFUNCTION("SUBSTITUTE(SUBSTITUTE(SUBSTITUTE(SUBSTITUTE(CONCATENATE(JOIN(""-"",GP328:HB328)),""--"",""-""),""--"",""-""),""--"",""-""),""--"",""-"")"),"S-R2-M1-P-D2-S")</f>
        <v>S-R2-M1-P-D2-S</v>
      </c>
      <c r="BU328" s="348" t="str">
        <f t="shared" si="29"/>
        <v>C-D-F-G-A-C</v>
      </c>
      <c r="BV328" s="349" t="str">
        <f t="shared" si="30"/>
        <v>SrgGMdnNS</v>
      </c>
      <c r="BW328" s="350">
        <f t="shared" si="31"/>
        <v>0</v>
      </c>
      <c r="BX328" s="351">
        <f t="shared" si="32"/>
        <v>3</v>
      </c>
      <c r="BY328" s="392"/>
      <c r="BZ328" s="309" t="str">
        <f>IFERROR(__xludf.DUMMYFUNCTION("IF(REGEXMATCH(C328, ""S""), ""x"",""x"")"),"x")</f>
        <v>x</v>
      </c>
      <c r="CA328" s="245" t="str">
        <f>IFERROR(__xludf.DUMMYFUNCTION("IF(REGEXMATCH(C328, ""r""), ""o"",""x"")"),"x")</f>
        <v>x</v>
      </c>
      <c r="CB328" s="246" t="str">
        <f>IFERROR(__xludf.DUMMYFUNCTION("IF(REGEXMATCH(C328, ""R""), ""o"",""x"")"),"o")</f>
        <v>o</v>
      </c>
      <c r="CC328" s="246" t="str">
        <f>IFERROR(__xludf.DUMMYFUNCTION("IF(REGEXMATCH(C328, ""g""), ""o"",""x"")"),"x")</f>
        <v>x</v>
      </c>
      <c r="CD328" s="245" t="str">
        <f>IFERROR(__xludf.DUMMYFUNCTION("IF(REGEXMATCH(C328, ""G""), ""o"",""x"")"),"x")</f>
        <v>x</v>
      </c>
      <c r="CE328" s="245" t="str">
        <f>IFERROR(__xludf.DUMMYFUNCTION("IF(REGEXMATCH(C328, ""m""), ""o"",""x"")"),"o")</f>
        <v>o</v>
      </c>
      <c r="CF328" s="246" t="str">
        <f>IFERROR(__xludf.DUMMYFUNCTION("IF(REGEXMATCH(C328, ""M""), ""o"",""x"")"),"x")</f>
        <v>x</v>
      </c>
      <c r="CG328" s="245" t="str">
        <f>IFERROR(__xludf.DUMMYFUNCTION("IF(REGEXMATCH(C328, ""P""), ""o"",""x"")"),"o")</f>
        <v>o</v>
      </c>
      <c r="CH328" s="246" t="str">
        <f>IFERROR(__xludf.DUMMYFUNCTION("IF(REGEXMATCH(C328, ""d""), ""o"",""x"")"),"x")</f>
        <v>x</v>
      </c>
      <c r="CI328" s="245" t="str">
        <f>IFERROR(__xludf.DUMMYFUNCTION("IF(REGEXMATCH(C328, ""D""), ""o"",""x"")"),"o")</f>
        <v>o</v>
      </c>
      <c r="CJ328" s="245" t="str">
        <f>IFERROR(__xludf.DUMMYFUNCTION("IF(REGEXMATCH(C328, ""n""), ""o"",""x"")"),"x")</f>
        <v>x</v>
      </c>
      <c r="CK328" s="245" t="str">
        <f>IFERROR(__xludf.DUMMYFUNCTION("IF(REGEXMATCH(C328, ""N""), ""o"",""x"")"),"x")</f>
        <v>x</v>
      </c>
      <c r="CL328" s="356" t="str">
        <f>IFERROR(__xludf.DUMMYFUNCTION("IF(REGEXMATCH(C328, ""S""), ""x"",""x"")"),"x")</f>
        <v>x</v>
      </c>
      <c r="CM328" s="357" t="str">
        <f t="shared" si="33"/>
        <v>xxoxxoxoxoxx</v>
      </c>
      <c r="CN328" s="358">
        <f t="shared" si="34"/>
        <v>0</v>
      </c>
      <c r="CO328" s="246" t="str">
        <f>IFERROR(__xludf.DUMMYFUNCTION("IF(REGEXMATCH($C328, ""S""), ""S"",""S"")"),"S")</f>
        <v>S</v>
      </c>
      <c r="CP328" s="246" t="str">
        <f>IFERROR(__xludf.DUMMYFUNCTION("IF(REGEXMATCH($C328, ""r""), """",""r"")"),"r")</f>
        <v>r</v>
      </c>
      <c r="CQ328" s="246" t="str">
        <f>IFERROR(__xludf.DUMMYFUNCTION("IF(REGEXMATCH($C328, ""R""), """",""R"")"),"")</f>
        <v/>
      </c>
      <c r="CR328" s="246" t="str">
        <f>IFERROR(__xludf.DUMMYFUNCTION("IF(REGEXMATCH($C328, ""g""), """",""g"")"),"g")</f>
        <v>g</v>
      </c>
      <c r="CS328" s="246" t="str">
        <f>IFERROR(__xludf.DUMMYFUNCTION("IF(REGEXMATCH($C328, ""G""), """",""G"")"),"G")</f>
        <v>G</v>
      </c>
      <c r="CT328" s="246" t="str">
        <f>IFERROR(__xludf.DUMMYFUNCTION("IF(REGEXMATCH($C328, ""m""), """",""m"")"),"")</f>
        <v/>
      </c>
      <c r="CU328" s="246" t="str">
        <f>IFERROR(__xludf.DUMMYFUNCTION("IF(REGEXMATCH($C328, ""M""), """",""M"")"),"M")</f>
        <v>M</v>
      </c>
      <c r="CV328" s="246" t="str">
        <f>IFERROR(__xludf.DUMMYFUNCTION("IF(REGEXMATCH($C328, ""P""), """",""P"")"),"")</f>
        <v/>
      </c>
      <c r="CW328" s="246" t="str">
        <f>IFERROR(__xludf.DUMMYFUNCTION("IF(REGEXMATCH($C328, ""d""), """",""d"")"),"d")</f>
        <v>d</v>
      </c>
      <c r="CX328" s="246" t="str">
        <f>IFERROR(__xludf.DUMMYFUNCTION("IF(REGEXMATCH($C328, ""D""), """",""D"")"),"")</f>
        <v/>
      </c>
      <c r="CY328" s="246" t="str">
        <f>IFERROR(__xludf.DUMMYFUNCTION("IF(REGEXMATCH($C328, ""n""), """",""n"")"),"n")</f>
        <v>n</v>
      </c>
      <c r="CZ328" s="246" t="str">
        <f>IFERROR(__xludf.DUMMYFUNCTION("IF(REGEXMATCH($C328, ""N""), """",""N"")"),"N")</f>
        <v>N</v>
      </c>
      <c r="DA328" s="246" t="str">
        <f>IFERROR(__xludf.DUMMYFUNCTION("IF(REGEXMATCH($C328, ""S""), ""S"",""S"")"),"S")</f>
        <v>S</v>
      </c>
      <c r="DB328" s="362" t="str">
        <f>IFERROR(__xludf.DUMMYFUNCTION("JOIN("""",CO328:DA328,"""","""")"),"SrgGMdnNS")</f>
        <v>SrgGMdnNS</v>
      </c>
      <c r="DC328" s="363"/>
      <c r="DD328" s="301" t="str">
        <f t="shared" si="35"/>
        <v>#REF!</v>
      </c>
      <c r="DE328" s="302" t="str">
        <f t="shared" si="36"/>
        <v>#REF!</v>
      </c>
      <c r="DF328" s="301" t="str">
        <f t="shared" ref="DF328:DG328" si="887">SUBSTITUTE(S328,"-","")</f>
        <v>SRM</v>
      </c>
      <c r="DG328" s="301" t="str">
        <f t="shared" si="887"/>
        <v>PDS</v>
      </c>
      <c r="DH328" s="302" t="str">
        <f t="shared" si="38"/>
        <v>Bhupali</v>
      </c>
      <c r="DI328" s="301" t="str">
        <f t="shared" si="39"/>
        <v>Anhemi.</v>
      </c>
      <c r="DJ328" s="364" t="str">
        <f t="shared" si="40"/>
        <v>-</v>
      </c>
      <c r="DK328" s="306" t="str">
        <f t="shared" si="41"/>
        <v>-</v>
      </c>
      <c r="DL328" s="366" t="str">
        <f t="shared" si="42"/>
        <v>✔</v>
      </c>
      <c r="DM328" s="308" t="str">
        <f t="shared" si="43"/>
        <v>-</v>
      </c>
      <c r="DN328" s="306" t="str">
        <f t="shared" si="44"/>
        <v>✔</v>
      </c>
      <c r="DO328" s="306" t="str">
        <f t="shared" si="45"/>
        <v>-</v>
      </c>
      <c r="DP328" s="367" t="str">
        <f t="shared" si="46"/>
        <v>-</v>
      </c>
      <c r="DQ328" s="310" t="str">
        <f t="shared" si="47"/>
        <v>-</v>
      </c>
      <c r="DR328" s="310" t="str">
        <f t="shared" si="48"/>
        <v>-</v>
      </c>
      <c r="DS328" s="310" t="str">
        <f t="shared" si="49"/>
        <v>-</v>
      </c>
      <c r="DT328" s="310" t="str">
        <f t="shared" si="50"/>
        <v>-</v>
      </c>
      <c r="DU328" s="370" t="str">
        <f t="shared" si="51"/>
        <v>-</v>
      </c>
      <c r="DV328" s="306" t="str">
        <f t="shared" si="52"/>
        <v>-</v>
      </c>
      <c r="DW328" s="306" t="str">
        <f t="shared" si="53"/>
        <v>✔</v>
      </c>
      <c r="DX328" s="306" t="str">
        <f t="shared" si="54"/>
        <v>-</v>
      </c>
      <c r="DY328" s="306" t="str">
        <f t="shared" si="55"/>
        <v>-</v>
      </c>
      <c r="DZ328" s="306" t="str">
        <f t="shared" si="56"/>
        <v>-</v>
      </c>
      <c r="EA328" s="367" t="str">
        <f t="shared" si="57"/>
        <v>✔</v>
      </c>
      <c r="EB328" s="310" t="str">
        <f>IFERROR(__xludf.DUMMYFUNCTION("IF(REGEXMATCH(AW328,AS328),""✔"",""-"")"),"✔")</f>
        <v>✔</v>
      </c>
      <c r="EC328" s="310" t="str">
        <f t="shared" si="58"/>
        <v>#REF!</v>
      </c>
      <c r="ED328" s="370" t="str">
        <f t="shared" si="59"/>
        <v>-</v>
      </c>
      <c r="EE328" s="340" t="str">
        <f t="shared" si="60"/>
        <v>S-R-m-P-D-S</v>
      </c>
      <c r="EF328" s="371" t="str">
        <f>IFERROR(__xludf.DUMMYFUNCTION("CONCATENATE(JOIN("""",HC328:HO328))"),"SgmPnS")</f>
        <v>SgmPnS</v>
      </c>
      <c r="EG328" s="372">
        <f t="shared" si="61"/>
        <v>1</v>
      </c>
      <c r="EH328" s="373" t="str">
        <f>IFERROR(__xludf.DUMMYFUNCTION("CONCATENATE(JOIN("""",JC328:JO328))"),"Dha, ")</f>
        <v>Dha, </v>
      </c>
      <c r="EI328" s="322">
        <f t="shared" si="62"/>
        <v>0</v>
      </c>
      <c r="EJ328" s="374" t="str">
        <f>IFERROR(__xludf.DUMMYFUNCTION("CONCATENATE(JOIN("""",KC328:KO328))"),"")</f>
        <v/>
      </c>
      <c r="EK328" s="325" t="str">
        <f t="shared" si="63"/>
        <v>S-R2-M1-P-D2-S</v>
      </c>
      <c r="EL328" s="326" t="str">
        <f t="shared" si="64"/>
        <v>1-2-4-5-6-8</v>
      </c>
      <c r="EM328" s="318" t="str">
        <f t="shared" si="65"/>
        <v>#REF!</v>
      </c>
      <c r="EN328" s="328" t="str">
        <f>IFERROR(__xludf.DUMMYFUNCTION("SUBSTITUTE(SUBSTITUTE(SUBSTITUTE(SUBSTITUTE(CONCATENATE(JOIN("" "",HP328:IB328)),""  "","" ""),""  "","" ""),""  "","" ""),""  "","" "")"),"o • o • • o • o • o • • o")</f>
        <v>o • o • • o • o • o • • o</v>
      </c>
      <c r="EO328" s="368" t="str">
        <f t="shared" si="66"/>
        <v>-</v>
      </c>
      <c r="EP328" s="339" t="str">
        <f t="shared" si="67"/>
        <v>-</v>
      </c>
      <c r="EQ328" s="339" t="str">
        <f t="shared" si="68"/>
        <v>Sa-Pa</v>
      </c>
      <c r="ER328" s="339" t="str">
        <f t="shared" si="69"/>
        <v>-</v>
      </c>
      <c r="ES328" s="340" t="str">
        <f t="shared" si="70"/>
        <v>-</v>
      </c>
      <c r="ET328" s="363"/>
      <c r="EU328" s="376" t="b">
        <f>IFERROR(__xludf.DUMMYFUNCTION("arrayformula(sum(--REGEXMATCH(""SRGMPDNS"",split(REGEXREPLACE(C328,""(.)"",""$1~""),""~""))))=len(C328)
"),FALSE)</f>
        <v>0</v>
      </c>
      <c r="EV328" s="290" t="b">
        <f>IFERROR(__xludf.DUMMYFUNCTION("arrayformula(sum(--REGEXMATCH(""SRGmPDNS"",split(REGEXREPLACE(C328,""(.)"",""$1~""),""~""))))=len(C328)"),TRUE)</f>
        <v>1</v>
      </c>
      <c r="EW328" s="290" t="b">
        <f>IFERROR(__xludf.DUMMYFUNCTION("arrayformula(sum(--REGEXMATCH(""SRGmPDnS"",split(REGEXREPLACE(C328,""(.)"",""$1~""),""~""))))=len(C328)"),TRUE)</f>
        <v>1</v>
      </c>
      <c r="EX328" s="290" t="b">
        <f>IFERROR(__xludf.DUMMYFUNCTION("arrayformula(sum(--REGEXMATCH(""SRgmPDnS"",split(REGEXREPLACE(C328,""(.)"",""$1~""),""~""))))=len(C328)"),TRUE)</f>
        <v>1</v>
      </c>
      <c r="EY328" s="290" t="b">
        <f>IFERROR(__xludf.DUMMYFUNCTION("arrayformula(sum(--REGEXMATCH(""SRgmPdnS"",split(REGEXREPLACE(C328,""(.)"",""$1~""),""~""))))=len(C328)"),FALSE)</f>
        <v>0</v>
      </c>
      <c r="EZ328" s="290" t="b">
        <f>IFERROR(__xludf.DUMMYFUNCTION("arrayformula(sum(--REGEXMATCH(""SrgmPdnS"",split(REGEXREPLACE(C328,""(.)"",""$1~""),""~""))))=len(C328)"),FALSE)</f>
        <v>0</v>
      </c>
      <c r="FA328" s="290" t="b">
        <f>IFERROR(__xludf.DUMMYFUNCTION("arrayformula(sum(--REGEXMATCH(""SrGmPdNS"",split(REGEXREPLACE(C328,""(.)"",""$1~""),""~""))))=len(C328)"),FALSE)</f>
        <v>0</v>
      </c>
      <c r="FB328" s="290" t="b">
        <f>IFERROR(__xludf.DUMMYFUNCTION("arrayformula(sum(--REGEXMATCH(""SrGMPDNS"",split(REGEXREPLACE(C328,""(.)"",""$1~""),""~""))))=len(C328)"),FALSE)</f>
        <v>0</v>
      </c>
      <c r="FC328" s="290" t="b">
        <f>IFERROR(__xludf.DUMMYFUNCTION("arrayformula(sum(--REGEXMATCH(""SrGMPdNS"",split(REGEXREPLACE(C328,""(.)"",""$1~""),""~""))))=len(C328)"),FALSE)</f>
        <v>0</v>
      </c>
      <c r="FD328" s="377" t="b">
        <f>IFERROR(__xludf.DUMMYFUNCTION("arrayformula(sum(--REGEXMATCH(""SrgMPdNS"",split(REGEXREPLACE(C328,""(.)"",""$1~""),""~""))))=len(C328)"),FALSE)</f>
        <v>0</v>
      </c>
      <c r="FE328" s="269" t="str">
        <f t="shared" si="71"/>
        <v>-</v>
      </c>
      <c r="FF328" s="269" t="str">
        <f t="shared" si="72"/>
        <v>xooxoxoxoox</v>
      </c>
      <c r="FG328" s="271" t="str">
        <f t="shared" si="73"/>
        <v>-</v>
      </c>
      <c r="FH328" s="269" t="str">
        <f t="shared" si="74"/>
        <v>-</v>
      </c>
      <c r="FI328" s="271" t="str">
        <f t="shared" si="75"/>
        <v>xoxoxooxoxo</v>
      </c>
      <c r="FJ328" s="271" t="str">
        <f t="shared" si="76"/>
        <v>-</v>
      </c>
      <c r="FK328" s="271" t="str">
        <f t="shared" si="77"/>
        <v>xoxooxoxoox</v>
      </c>
      <c r="FL328" s="271" t="str">
        <f t="shared" si="78"/>
        <v>-</v>
      </c>
      <c r="FM328" s="271" t="str">
        <f t="shared" si="79"/>
        <v>xooxoxooxox</v>
      </c>
      <c r="FN328" s="271" t="str">
        <f t="shared" si="80"/>
        <v>-</v>
      </c>
      <c r="FO328" s="274" t="str">
        <f t="shared" si="81"/>
        <v>-</v>
      </c>
      <c r="FP328" s="234" t="str">
        <f t="shared" si="82"/>
        <v>|</v>
      </c>
      <c r="FQ328" s="236" t="str">
        <f t="shared" si="83"/>
        <v>-</v>
      </c>
      <c r="FR328" s="237" t="str">
        <f t="shared" si="84"/>
        <v>|</v>
      </c>
      <c r="FS328" s="236" t="str">
        <f t="shared" si="85"/>
        <v>-</v>
      </c>
      <c r="FT328" s="237" t="str">
        <f t="shared" si="86"/>
        <v>-</v>
      </c>
      <c r="FU328" s="236" t="str">
        <f t="shared" si="87"/>
        <v>|</v>
      </c>
      <c r="FV328" s="237" t="str">
        <f t="shared" si="88"/>
        <v>-</v>
      </c>
      <c r="FW328" s="236" t="str">
        <f t="shared" si="89"/>
        <v>|</v>
      </c>
      <c r="FX328" s="237" t="str">
        <f t="shared" si="90"/>
        <v>-</v>
      </c>
      <c r="FY328" s="236" t="str">
        <f t="shared" si="91"/>
        <v>|</v>
      </c>
      <c r="FZ328" s="237" t="str">
        <f t="shared" si="92"/>
        <v>-</v>
      </c>
      <c r="GA328" s="236" t="str">
        <f t="shared" si="93"/>
        <v>-</v>
      </c>
      <c r="GB328" s="238" t="str">
        <f t="shared" si="94"/>
        <v>|</v>
      </c>
      <c r="GC328" s="244" t="str">
        <f>IFERROR(__xludf.DUMMYFUNCTION("IF(REGEXMATCH(C328, ""S""), ""1"","""")"),"1")</f>
        <v>1</v>
      </c>
      <c r="GD328" s="245" t="str">
        <f>IFERROR(__xludf.DUMMYFUNCTION("IF(REGEXMATCH(C328, ""r""), ""b2"","""")"),"")</f>
        <v/>
      </c>
      <c r="GE328" s="246" t="str">
        <f>IFERROR(__xludf.DUMMYFUNCTION("IF(REGEXMATCH(C328, ""R""), ""2"","""")"),"2")</f>
        <v>2</v>
      </c>
      <c r="GF328" s="246" t="str">
        <f>IFERROR(__xludf.DUMMYFUNCTION("IF(REGEXMATCH(C328, ""g""), ""b3"","""")"),"")</f>
        <v/>
      </c>
      <c r="GG328" s="245" t="str">
        <f>IFERROR(__xludf.DUMMYFUNCTION("IF(REGEXMATCH(C328, ""G""), ""3"","""")"),"")</f>
        <v/>
      </c>
      <c r="GH328" s="245" t="str">
        <f>IFERROR(__xludf.DUMMYFUNCTION("IF(REGEXMATCH(C328, ""m""), ""4"","""")"),"4")</f>
        <v>4</v>
      </c>
      <c r="GI328" s="246" t="str">
        <f>IFERROR(__xludf.DUMMYFUNCTION("IF(REGEXMATCH(C328, ""M""), ""#4"","""")"),"")</f>
        <v/>
      </c>
      <c r="GJ328" s="245" t="str">
        <f>IFERROR(__xludf.DUMMYFUNCTION("IF(REGEXMATCH(C328, ""P""), ""5"","""")"),"5")</f>
        <v>5</v>
      </c>
      <c r="GK328" s="246" t="str">
        <f>IFERROR(__xludf.DUMMYFUNCTION("IF(REGEXMATCH(C328, ""d""), ""b6"","""")"),"")</f>
        <v/>
      </c>
      <c r="GL328" s="245" t="str">
        <f>IFERROR(__xludf.DUMMYFUNCTION("IF(REGEXMATCH(C328, ""D""), ""6"","""")"),"6")</f>
        <v>6</v>
      </c>
      <c r="GM328" s="245" t="str">
        <f>IFERROR(__xludf.DUMMYFUNCTION("IF(REGEXMATCH(C328, ""n""), ""b7"","""")"),"")</f>
        <v/>
      </c>
      <c r="GN328" s="246" t="str">
        <f>IFERROR(__xludf.DUMMYFUNCTION("IF(REGEXMATCH(C328, ""N""), ""7"","""")"),"")</f>
        <v/>
      </c>
      <c r="GO328" s="249" t="str">
        <f>IFERROR(__xludf.DUMMYFUNCTION("IF(REGEXMATCH(C328, ""S""), ""8"","""")"),"8")</f>
        <v>8</v>
      </c>
      <c r="GP328" s="244" t="str">
        <f>IFERROR(__xludf.DUMMYFUNCTION("IF(REGEXMATCH(C328, ""S""), ""S"","""")"),"S")</f>
        <v>S</v>
      </c>
      <c r="GQ328" s="294" t="str">
        <f>IFERROR(__xludf.DUMMYFUNCTION("IF(REGEXMATCH(C328, ""r""), ""R1"","""")"),"")</f>
        <v/>
      </c>
      <c r="GR328" s="295" t="str">
        <f>IFERROR(__xludf.DUMMYFUNCTION("IF(REGEXMATCH(C328, ""R""), ""R2"","""")"),"R2")</f>
        <v>R2</v>
      </c>
      <c r="GS328" s="295" t="str">
        <f>IFERROR(__xludf.DUMMYFUNCTION("IF(REGEXMATCH(C328, ""g""), ""G2"","""")"),"")</f>
        <v/>
      </c>
      <c r="GT328" s="294" t="str">
        <f>IFERROR(__xludf.DUMMYFUNCTION("IF(REGEXMATCH(C328, ""G""), ""G3"","""")"),"")</f>
        <v/>
      </c>
      <c r="GU328" s="294" t="str">
        <f>IFERROR(__xludf.DUMMYFUNCTION("IF(REGEXMATCH(C328, ""m""), ""M1"","""")"),"M1")</f>
        <v>M1</v>
      </c>
      <c r="GV328" s="295" t="str">
        <f>IFERROR(__xludf.DUMMYFUNCTION("IF(REGEXMATCH(C328, ""M""), ""M2"","""")"),"")</f>
        <v/>
      </c>
      <c r="GW328" s="294" t="str">
        <f>IFERROR(__xludf.DUMMYFUNCTION("IF(REGEXMATCH(C328, ""P""), ""P"","""")"),"P")</f>
        <v>P</v>
      </c>
      <c r="GX328" s="295" t="str">
        <f>IFERROR(__xludf.DUMMYFUNCTION("IF(REGEXMATCH(C328, ""d""), ""D1"","""")"),"")</f>
        <v/>
      </c>
      <c r="GY328" s="294" t="str">
        <f>IFERROR(__xludf.DUMMYFUNCTION("IF(REGEXMATCH(C328, ""D""), ""D2"","""")"),"D2")</f>
        <v>D2</v>
      </c>
      <c r="GZ328" s="294" t="str">
        <f>IFERROR(__xludf.DUMMYFUNCTION("IF(REGEXMATCH(C328, ""n""), ""N2"","""")"),"")</f>
        <v/>
      </c>
      <c r="HA328" s="295" t="str">
        <f>IFERROR(__xludf.DUMMYFUNCTION("IF(REGEXMATCH(C328, ""N""), ""N3"","""")"),"")</f>
        <v/>
      </c>
      <c r="HB328" s="249" t="str">
        <f>IFERROR(__xludf.DUMMYFUNCTION("IF(REGEXMATCH(C328, ""S""), ""S"","""")"),"S")</f>
        <v>S</v>
      </c>
      <c r="HC328" s="331" t="str">
        <f t="shared" si="95"/>
        <v>S</v>
      </c>
      <c r="HD328" s="332" t="str">
        <f t="shared" si="96"/>
        <v/>
      </c>
      <c r="HE328" s="332" t="str">
        <f t="shared" si="97"/>
        <v/>
      </c>
      <c r="HF328" s="332" t="str">
        <f t="shared" si="98"/>
        <v>g</v>
      </c>
      <c r="HG328" s="332" t="str">
        <f t="shared" si="99"/>
        <v/>
      </c>
      <c r="HH328" s="332" t="str">
        <f t="shared" si="100"/>
        <v>m</v>
      </c>
      <c r="HI328" s="332" t="str">
        <f t="shared" si="101"/>
        <v/>
      </c>
      <c r="HJ328" s="332" t="str">
        <f t="shared" si="102"/>
        <v>P</v>
      </c>
      <c r="HK328" s="332" t="str">
        <f t="shared" si="103"/>
        <v/>
      </c>
      <c r="HL328" s="332" t="str">
        <f t="shared" si="104"/>
        <v/>
      </c>
      <c r="HM328" s="332" t="str">
        <f t="shared" si="105"/>
        <v>n</v>
      </c>
      <c r="HN328" s="332" t="str">
        <f t="shared" si="106"/>
        <v/>
      </c>
      <c r="HO328" s="343" t="str">
        <f t="shared" si="107"/>
        <v>S</v>
      </c>
      <c r="HP328" s="331" t="str">
        <f t="shared" si="108"/>
        <v>o</v>
      </c>
      <c r="HQ328" s="332" t="str">
        <f t="shared" si="109"/>
        <v>•</v>
      </c>
      <c r="HR328" s="332" t="str">
        <f t="shared" si="110"/>
        <v>o</v>
      </c>
      <c r="HS328" s="332" t="str">
        <f t="shared" si="111"/>
        <v>•</v>
      </c>
      <c r="HT328" s="332" t="str">
        <f t="shared" si="112"/>
        <v>•</v>
      </c>
      <c r="HU328" s="332" t="str">
        <f t="shared" si="113"/>
        <v>o</v>
      </c>
      <c r="HV328" s="332" t="str">
        <f t="shared" si="114"/>
        <v>•</v>
      </c>
      <c r="HW328" s="332" t="str">
        <f t="shared" si="115"/>
        <v>o</v>
      </c>
      <c r="HX328" s="332" t="str">
        <f t="shared" si="116"/>
        <v>•</v>
      </c>
      <c r="HY328" s="332" t="str">
        <f t="shared" si="117"/>
        <v>o</v>
      </c>
      <c r="HZ328" s="332" t="str">
        <f t="shared" si="118"/>
        <v>•</v>
      </c>
      <c r="IA328" s="332" t="str">
        <f t="shared" si="119"/>
        <v>•</v>
      </c>
      <c r="IB328" s="338" t="str">
        <f t="shared" si="120"/>
        <v>o</v>
      </c>
      <c r="IC328" s="331" t="str">
        <f t="shared" si="121"/>
        <v>•</v>
      </c>
      <c r="ID328" s="332" t="str">
        <f t="shared" si="122"/>
        <v>o</v>
      </c>
      <c r="IE328" s="332" t="str">
        <f t="shared" si="123"/>
        <v>•</v>
      </c>
      <c r="IF328" s="332" t="str">
        <f t="shared" si="124"/>
        <v>o</v>
      </c>
      <c r="IG328" s="332" t="str">
        <f t="shared" si="125"/>
        <v>o</v>
      </c>
      <c r="IH328" s="332" t="str">
        <f t="shared" si="126"/>
        <v>•</v>
      </c>
      <c r="II328" s="332" t="str">
        <f t="shared" si="127"/>
        <v>o</v>
      </c>
      <c r="IJ328" s="332" t="str">
        <f t="shared" si="128"/>
        <v>•</v>
      </c>
      <c r="IK328" s="332" t="str">
        <f t="shared" si="129"/>
        <v>o</v>
      </c>
      <c r="IL328" s="332" t="str">
        <f t="shared" si="130"/>
        <v>•</v>
      </c>
      <c r="IM328" s="332" t="str">
        <f t="shared" si="131"/>
        <v>o</v>
      </c>
      <c r="IN328" s="332" t="str">
        <f t="shared" si="132"/>
        <v>o</v>
      </c>
      <c r="IO328" s="338" t="str">
        <f t="shared" si="133"/>
        <v>•</v>
      </c>
      <c r="IP328" s="346" t="b">
        <f t="shared" si="134"/>
        <v>0</v>
      </c>
      <c r="IQ328" s="347" t="b">
        <f t="shared" si="135"/>
        <v>0</v>
      </c>
      <c r="IR328" s="347" t="b">
        <f t="shared" si="136"/>
        <v>0</v>
      </c>
      <c r="IS328" s="347" t="b">
        <f t="shared" si="137"/>
        <v>0</v>
      </c>
      <c r="IT328" s="347" t="b">
        <f t="shared" si="138"/>
        <v>0</v>
      </c>
      <c r="IU328" s="347" t="b">
        <f t="shared" si="139"/>
        <v>0</v>
      </c>
      <c r="IV328" s="347" t="b">
        <f t="shared" si="140"/>
        <v>0</v>
      </c>
      <c r="IW328" s="347" t="b">
        <f t="shared" si="141"/>
        <v>0</v>
      </c>
      <c r="IX328" s="347" t="b">
        <f t="shared" si="142"/>
        <v>0</v>
      </c>
      <c r="IY328" s="347" t="b">
        <f t="shared" si="143"/>
        <v>1</v>
      </c>
      <c r="IZ328" s="347" t="b">
        <f t="shared" si="144"/>
        <v>0</v>
      </c>
      <c r="JA328" s="347" t="b">
        <f t="shared" si="145"/>
        <v>0</v>
      </c>
      <c r="JB328" s="353" t="b">
        <f t="shared" si="146"/>
        <v>0</v>
      </c>
      <c r="JC328" s="354" t="str">
        <f t="shared" si="147"/>
        <v/>
      </c>
      <c r="JD328" s="355" t="str">
        <f t="shared" si="148"/>
        <v/>
      </c>
      <c r="JE328" s="355" t="str">
        <f t="shared" si="149"/>
        <v/>
      </c>
      <c r="JF328" s="355" t="str">
        <f t="shared" si="150"/>
        <v/>
      </c>
      <c r="JG328" s="355" t="str">
        <f t="shared" si="151"/>
        <v/>
      </c>
      <c r="JH328" s="355" t="str">
        <f t="shared" si="152"/>
        <v/>
      </c>
      <c r="JI328" s="355" t="str">
        <f t="shared" si="153"/>
        <v/>
      </c>
      <c r="JJ328" s="355" t="str">
        <f t="shared" si="154"/>
        <v/>
      </c>
      <c r="JK328" s="355" t="str">
        <f t="shared" si="155"/>
        <v/>
      </c>
      <c r="JL328" s="355" t="str">
        <f t="shared" si="156"/>
        <v>Dha, </v>
      </c>
      <c r="JM328" s="355" t="str">
        <f t="shared" si="157"/>
        <v/>
      </c>
      <c r="JN328" s="355" t="str">
        <f t="shared" si="158"/>
        <v/>
      </c>
      <c r="JO328" s="359" t="str">
        <f t="shared" si="159"/>
        <v/>
      </c>
      <c r="JP328" s="346" t="b">
        <f t="shared" si="160"/>
        <v>0</v>
      </c>
      <c r="JQ328" s="347" t="b">
        <f t="shared" si="161"/>
        <v>0</v>
      </c>
      <c r="JR328" s="347" t="b">
        <f t="shared" si="162"/>
        <v>0</v>
      </c>
      <c r="JS328" s="347" t="b">
        <f t="shared" si="163"/>
        <v>0</v>
      </c>
      <c r="JT328" s="347" t="b">
        <f t="shared" si="164"/>
        <v>0</v>
      </c>
      <c r="JU328" s="347" t="b">
        <f t="shared" si="165"/>
        <v>0</v>
      </c>
      <c r="JV328" s="347" t="b">
        <f t="shared" si="166"/>
        <v>0</v>
      </c>
      <c r="JW328" s="347" t="b">
        <f t="shared" si="167"/>
        <v>0</v>
      </c>
      <c r="JX328" s="347" t="b">
        <f t="shared" si="168"/>
        <v>0</v>
      </c>
      <c r="JY328" s="347" t="b">
        <f t="shared" si="169"/>
        <v>0</v>
      </c>
      <c r="JZ328" s="347" t="b">
        <f t="shared" si="170"/>
        <v>0</v>
      </c>
      <c r="KA328" s="347" t="b">
        <f t="shared" si="171"/>
        <v>0</v>
      </c>
      <c r="KB328" s="365" t="b">
        <f t="shared" si="172"/>
        <v>0</v>
      </c>
      <c r="KC328" s="354" t="str">
        <f t="shared" si="173"/>
        <v/>
      </c>
      <c r="KD328" s="355" t="str">
        <f t="shared" si="174"/>
        <v/>
      </c>
      <c r="KE328" s="355" t="str">
        <f t="shared" si="175"/>
        <v/>
      </c>
      <c r="KF328" s="355" t="str">
        <f t="shared" si="176"/>
        <v/>
      </c>
      <c r="KG328" s="355" t="str">
        <f t="shared" si="177"/>
        <v/>
      </c>
      <c r="KH328" s="355" t="str">
        <f t="shared" si="178"/>
        <v/>
      </c>
      <c r="KI328" s="355" t="str">
        <f t="shared" si="179"/>
        <v/>
      </c>
      <c r="KJ328" s="355" t="str">
        <f t="shared" si="180"/>
        <v/>
      </c>
      <c r="KK328" s="355" t="str">
        <f t="shared" si="181"/>
        <v/>
      </c>
      <c r="KL328" s="355" t="str">
        <f t="shared" si="182"/>
        <v/>
      </c>
      <c r="KM328" s="355" t="str">
        <f t="shared" si="183"/>
        <v/>
      </c>
      <c r="KN328" s="355" t="str">
        <f t="shared" si="184"/>
        <v/>
      </c>
      <c r="KO328" s="359"/>
      <c r="KP328" s="378"/>
      <c r="KQ328" s="379" t="s">
        <v>719</v>
      </c>
      <c r="KR328" s="380" t="s">
        <v>1386</v>
      </c>
      <c r="KS328" s="381" t="str">
        <f t="shared" si="885"/>
        <v>S-R-m-P-D-S</v>
      </c>
      <c r="KT328" s="382">
        <f t="shared" si="186"/>
        <v>5</v>
      </c>
      <c r="KU328" s="383">
        <f t="shared" si="187"/>
        <v>5</v>
      </c>
      <c r="KV328" s="381" t="str">
        <f t="shared" si="205"/>
        <v>S-D-P-m-R-S</v>
      </c>
      <c r="KW328" s="382">
        <f t="shared" si="189"/>
        <v>5</v>
      </c>
      <c r="KX328" s="384">
        <f t="shared" si="190"/>
        <v>5</v>
      </c>
      <c r="KY328" s="382">
        <f t="shared" ref="KY328:KZ328" si="888">KW328-KT328</f>
        <v>0</v>
      </c>
      <c r="KZ328" s="369">
        <f t="shared" si="888"/>
        <v>0</v>
      </c>
      <c r="LA328" s="385" t="str">
        <f t="shared" si="192"/>
        <v>✔</v>
      </c>
      <c r="LB328" s="340" t="str">
        <f>IFERROR(__xludf.DUMMYFUNCTION("JOIN("""",ArrayFormula(MID(KS328,LEN(KS328)-SEQUENCE(1,LEN(KS328))+1,1)))"),"S-D-P-m-R-S")</f>
        <v>S-D-P-m-R-S</v>
      </c>
      <c r="LC328" s="373" t="str">
        <f>IFERROR(__xludf.DUMMYFUNCTION("JOIN("""",ArrayFormula(MID(KV328,LEN(KV328)-SEQUENCE(1,LEN(KV328))+1,1)))"),"S-R-m-P-D-S")</f>
        <v>S-R-m-P-D-S</v>
      </c>
      <c r="LD328" s="373" t="str">
        <f t="shared" si="193"/>
        <v>SRmPDS</v>
      </c>
      <c r="LE328" s="339" t="str">
        <f t="shared" si="194"/>
        <v>SRmPDS</v>
      </c>
      <c r="LF328" s="386" t="str">
        <f>IFERROR(__xludf.DUMMYFUNCTION("SUBSTITUTE(SUBSTITUTE(CONCATENATE(JOIN("""",LH328:LT328)),""1"",""""),""2"","""")"),"SRmPDS")</f>
        <v>SRmPDS</v>
      </c>
      <c r="LG328" s="369" t="str">
        <f t="shared" si="195"/>
        <v>✔</v>
      </c>
      <c r="LH328" s="387" t="str">
        <f>IFERROR(__xludf.DUMMYFUNCTION("IF(REGEXMATCH(LD328, ""S""), ""S"",IF(REGEXMATCH(LE328, ""S""), ""S"",""""))"),"S")</f>
        <v>S</v>
      </c>
      <c r="LI328" s="299" t="str">
        <f>IFERROR(__xludf.DUMMYFUNCTION("IF(REGEXMATCH(LD328, ""r""), ""r1"",IF(REGEXMATCH(LE328, ""r""), ""r2"",""""))"),"")</f>
        <v/>
      </c>
      <c r="LJ328" s="299" t="str">
        <f>IFERROR(__xludf.DUMMYFUNCTION("IF(REGEXMATCH(LD328, ""R""), ""R1"",IF(REGEXMATCH(LE328, ""R""), ""R2"",""""))"),"R1")</f>
        <v>R1</v>
      </c>
      <c r="LK328" s="299" t="str">
        <f>IFERROR(__xludf.DUMMYFUNCTION("IF(REGEXMATCH(LD328, ""g""), ""g1"",IF(REGEXMATCH(LE328, ""g""), ""g2"",""""))"),"")</f>
        <v/>
      </c>
      <c r="LL328" s="299" t="str">
        <f>IFERROR(__xludf.DUMMYFUNCTION("IF(REGEXMATCH(LD328, ""G""), ""G1"",IF(REGEXMATCH(LE328, ""G""), ""G2"",""""))"),"")</f>
        <v/>
      </c>
      <c r="LM328" s="299" t="str">
        <f>IFERROR(__xludf.DUMMYFUNCTION("IF(REGEXMATCH(LD328, ""m""), ""m1"",IF(REGEXMATCH(LE328, ""m""), ""m2"",""""))"),"m1")</f>
        <v>m1</v>
      </c>
      <c r="LN328" s="299" t="str">
        <f>IFERROR(__xludf.DUMMYFUNCTION("IF(REGEXMATCH(LD328, ""M""), ""M1"",IF(REGEXMATCH(LE328, ""M""), ""M2"",""""))"),"")</f>
        <v/>
      </c>
      <c r="LO328" s="299" t="str">
        <f>IFERROR(__xludf.DUMMYFUNCTION("IF(REGEXMATCH(LD328, ""P""), ""P1"",IF(REGEXMATCH(LE328, ""P""), ""P2"",""""))"),"P1")</f>
        <v>P1</v>
      </c>
      <c r="LP328" s="299" t="str">
        <f>IFERROR(__xludf.DUMMYFUNCTION("IF(REGEXMATCH(LD328, ""d""), ""d1"",IF(REGEXMATCH(LE328, ""d""), ""d2"",""""))"),"")</f>
        <v/>
      </c>
      <c r="LQ328" s="299" t="str">
        <f>IFERROR(__xludf.DUMMYFUNCTION("IF(REGEXMATCH(LD328, ""D""), ""D1"",IF(REGEXMATCH(LE328, ""D""), ""D2"",""""))"),"D1")</f>
        <v>D1</v>
      </c>
      <c r="LR328" s="299" t="str">
        <f>IFERROR(__xludf.DUMMYFUNCTION("IF(REGEXMATCH(LD328, ""n""), ""n1"",IF(REGEXMATCH(LE328, ""n""), ""n2"",""""))"),"")</f>
        <v/>
      </c>
      <c r="LS328" s="299" t="str">
        <f>IFERROR(__xludf.DUMMYFUNCTION("IF(REGEXMATCH(LD328, ""N""), ""N1"",IF(REGEXMATCH(LE328, ""N""), ""N2"",""""))"),"")</f>
        <v/>
      </c>
      <c r="LT328" s="388" t="str">
        <f>IFERROR(__xludf.DUMMYFUNCTION("IF(REGEXMATCH(LD328, ""S""), ""S"",IF(REGEXMATCH(LE328, ""S""), ""S"",""""))"),"S")</f>
        <v>S</v>
      </c>
      <c r="LU328" s="389">
        <f t="shared" si="196"/>
        <v>1</v>
      </c>
      <c r="LV328" s="378"/>
      <c r="LW328" s="369"/>
      <c r="LX328" s="369"/>
    </row>
    <row r="329" ht="18.0" customHeight="1">
      <c r="A329" s="298" t="s">
        <v>1173</v>
      </c>
      <c r="B329" s="222" t="s">
        <v>867</v>
      </c>
      <c r="C329" s="233" t="str">
        <f t="shared" si="7"/>
        <v>SRmMPDNS</v>
      </c>
      <c r="D329" s="234" t="str">
        <f>IFERROR(__xludf.DUMMYFUNCTION("IF(REGEXMATCH(C329, ""S""), ""S"","""")"),"S")</f>
        <v>S</v>
      </c>
      <c r="E329" s="236" t="str">
        <f>IFERROR(__xludf.DUMMYFUNCTION("IF(REGEXMATCH(C329, ""r""), ""r"","""")"),"")</f>
        <v/>
      </c>
      <c r="F329" s="237" t="str">
        <f>IFERROR(__xludf.DUMMYFUNCTION("IF(REGEXMATCH(C329, ""R""), ""R"","""")"),"R")</f>
        <v>R</v>
      </c>
      <c r="G329" s="237" t="str">
        <f>IFERROR(__xludf.DUMMYFUNCTION("IF(REGEXMATCH(C329, ""g""), ""g"","""")"),"")</f>
        <v/>
      </c>
      <c r="H329" s="236" t="str">
        <f>IFERROR(__xludf.DUMMYFUNCTION("IF(REGEXMATCH(C329, ""G""), ""G"","""")"),"")</f>
        <v/>
      </c>
      <c r="I329" s="236" t="str">
        <f>IFERROR(__xludf.DUMMYFUNCTION("IF(REGEXMATCH(C329, ""m""), ""m"","""")"),"m")</f>
        <v>m</v>
      </c>
      <c r="J329" s="237" t="str">
        <f>IFERROR(__xludf.DUMMYFUNCTION("IF(REGEXMATCH(C329, ""M""), ""M"","""")"),"M")</f>
        <v>M</v>
      </c>
      <c r="K329" s="236" t="str">
        <f>IFERROR(__xludf.DUMMYFUNCTION("IF(REGEXMATCH(C329, ""P""), ""P"","""")"),"P")</f>
        <v>P</v>
      </c>
      <c r="L329" s="237" t="str">
        <f>IFERROR(__xludf.DUMMYFUNCTION("IF(REGEXMATCH(C329, ""d""), ""d"","""")"),"")</f>
        <v/>
      </c>
      <c r="M329" s="236" t="str">
        <f>IFERROR(__xludf.DUMMYFUNCTION("IF(REGEXMATCH(C329, ""D""), ""D"","""")"),"D")</f>
        <v>D</v>
      </c>
      <c r="N329" s="236" t="str">
        <f>IFERROR(__xludf.DUMMYFUNCTION("IF(REGEXMATCH(C329, ""n""), ""n"","""")"),"")</f>
        <v/>
      </c>
      <c r="O329" s="237" t="str">
        <f>IFERROR(__xludf.DUMMYFUNCTION("IF(REGEXMATCH(C329, ""N""), ""N"","""")"),"N")</f>
        <v>N</v>
      </c>
      <c r="P329" s="238" t="str">
        <f>IFERROR(__xludf.DUMMYFUNCTION("IF(REGEXMATCH(C329, ""S""), ""S"","""")"),"S")</f>
        <v>S</v>
      </c>
      <c r="Q329" s="239" t="str">
        <f>IFERROR(__xludf.DUMMYFUNCTION("SUBSTITUTE(CONCATENATE(JOIN(""-"",D329:J329)),""-"","""")"),"SRmM")</f>
        <v>SRmM</v>
      </c>
      <c r="R329" s="229" t="str">
        <f>IFERROR(__xludf.DUMMYFUNCTION("SUBSTITUTE(CONCATENATE(JOIN(""-"",K329:P329)),""-"","""")"),"PDNS")</f>
        <v>PDNS</v>
      </c>
      <c r="S329" s="282" t="str">
        <f t="shared" si="8"/>
        <v>S-R-M</v>
      </c>
      <c r="T329" s="282" t="str">
        <f t="shared" si="9"/>
        <v>P-D-N-S</v>
      </c>
      <c r="U329" s="237" t="str">
        <f>IFERROR(__xludf.DUMMYFUNCTION("SUBSTITUTE(JOIN(""-"",S329,T329),""--"",""-"")"),"S-R-M-P-D-N-S")</f>
        <v>S-R-M-P-D-N-S</v>
      </c>
      <c r="V329" s="309" t="str">
        <f t="shared" si="10"/>
        <v>RmMDN</v>
      </c>
      <c r="W329" s="244" t="str">
        <f>IFERROR(__xludf.DUMMYFUNCTION("IF(REGEXMATCH(C329, ""S""), ""0"","""")"),"0")</f>
        <v>0</v>
      </c>
      <c r="X329" s="245" t="str">
        <f>IFERROR(__xludf.DUMMYFUNCTION("IF(REGEXMATCH(C329, ""r""), ""1"","""")"),"")</f>
        <v/>
      </c>
      <c r="Y329" s="246" t="str">
        <f>IFERROR(__xludf.DUMMYFUNCTION("IF(REGEXMATCH(C329, ""R""), ""2"","""")"),"2")</f>
        <v>2</v>
      </c>
      <c r="Z329" s="246" t="str">
        <f>IFERROR(__xludf.DUMMYFUNCTION("IF(REGEXMATCH(C329, ""g""), ""3"","""")"),"")</f>
        <v/>
      </c>
      <c r="AA329" s="245" t="str">
        <f>IFERROR(__xludf.DUMMYFUNCTION("IF(REGEXMATCH(C329, ""G""), ""4"","""")"),"")</f>
        <v/>
      </c>
      <c r="AB329" s="245" t="str">
        <f>IFERROR(__xludf.DUMMYFUNCTION("IF(REGEXMATCH(C329, ""m""), ""5"","""")"),"5")</f>
        <v>5</v>
      </c>
      <c r="AC329" s="246" t="str">
        <f>IFERROR(__xludf.DUMMYFUNCTION("IF(REGEXMATCH(C329, ""M""), ""6"","""")"),"6")</f>
        <v>6</v>
      </c>
      <c r="AD329" s="245" t="str">
        <f>IFERROR(__xludf.DUMMYFUNCTION("IF(REGEXMATCH(C329, ""P""), ""7"","""")"),"7")</f>
        <v>7</v>
      </c>
      <c r="AE329" s="246" t="str">
        <f>IFERROR(__xludf.DUMMYFUNCTION("IF(REGEXMATCH(C329, ""d""), ""8"","""")"),"")</f>
        <v/>
      </c>
      <c r="AF329" s="245" t="str">
        <f>IFERROR(__xludf.DUMMYFUNCTION("IF(REGEXMATCH(C329, ""D""), ""9"","""")"),"9")</f>
        <v>9</v>
      </c>
      <c r="AG329" s="245" t="str">
        <f>IFERROR(__xludf.DUMMYFUNCTION("IF(REGEXMATCH(C329, ""n""), ""10"","""")"),"")</f>
        <v/>
      </c>
      <c r="AH329" s="246" t="str">
        <f>IFERROR(__xludf.DUMMYFUNCTION("IF(REGEXMATCH(C329, ""N""), ""11"","""")"),"11")</f>
        <v>11</v>
      </c>
      <c r="AI329" s="249" t="str">
        <f>IFERROR(__xludf.DUMMYFUNCTION("IF(REGEXMATCH(C329, ""S""), ""0"","""")"),"0")</f>
        <v>0</v>
      </c>
      <c r="AJ329" s="313" t="str">
        <f t="shared" si="11"/>
        <v>T</v>
      </c>
      <c r="AK329" s="313" t="str">
        <f t="shared" si="12"/>
        <v>-</v>
      </c>
      <c r="AL329" s="313" t="str">
        <f t="shared" si="13"/>
        <v>-</v>
      </c>
      <c r="AM329" s="313" t="str">
        <f t="shared" si="14"/>
        <v>-</v>
      </c>
      <c r="AN329" s="313" t="str">
        <f t="shared" si="15"/>
        <v>-</v>
      </c>
      <c r="AO329" s="314" t="str">
        <f t="shared" si="16"/>
        <v>T</v>
      </c>
      <c r="AP329" s="316">
        <f t="shared" si="17"/>
        <v>2</v>
      </c>
      <c r="AQ329" s="319" t="str">
        <f t="shared" si="18"/>
        <v>-</v>
      </c>
      <c r="AR329" s="320">
        <f t="shared" si="19"/>
        <v>0</v>
      </c>
      <c r="AS329" s="250" t="str">
        <f>IFERROR(__xludf.DUMMYFUNCTION("SUBSTITUTE(SUBSTITUTE(CONCATENATE(JOIN("""",FP329:GA329)),""|"",""x""),""-"",""o"")"),"xoxooxxxoxox")</f>
        <v>xoxooxxxoxox</v>
      </c>
      <c r="AT329" s="323" t="str">
        <f>IFERROR(__xludf.DUMMYFUNCTION("JOIN("""",AS329,AS329)"),"xoxooxxxoxoxxoxooxxxoxox")</f>
        <v>xoxooxxxoxoxxoxooxxxoxox</v>
      </c>
      <c r="AU329" s="256" t="str">
        <f>IFERROR(__xludf.DUMMYFUNCTION("JOIN("""",ArrayFormula(MID(AS329,LEN(AS329)-SEQUENCE(1,LEN(AS329))+1,1)))"),"xoxoxxxooxox")</f>
        <v>xoxoxxxooxox</v>
      </c>
      <c r="AV329" s="256" t="str">
        <f>IFERROR(__xludf.DUMMYFUNCTION("LEFT(CONCATENATE(""x"",JOIN("""",ArrayFormula(MID(AS329,LEN(AS329)-SEQUENCE(1,LEN(AS329))+1,1)))),12)"),"xxoxoxxxooxo")</f>
        <v>xxoxoxxxooxo</v>
      </c>
      <c r="AW329" s="327" t="str">
        <f>IFERROR(__xludf.DUMMYFUNCTION("JOIN("""",AU329,AU329)"),"xoxoxxxooxoxxoxoxxxooxox")</f>
        <v>xoxoxxxooxoxxoxoxxxooxox</v>
      </c>
      <c r="AX329" s="239" t="str">
        <f>IFERROR(__xludf.DUMMYFUNCTION("IF(REGEXMATCH(AW329,AS329),""✔"",""-"")"),"-")</f>
        <v>-</v>
      </c>
      <c r="AY329" s="330" t="str">
        <f t="shared" si="20"/>
        <v>-</v>
      </c>
      <c r="AZ329" s="260" t="str">
        <f t="shared" si="21"/>
        <v>#REF!</v>
      </c>
      <c r="BA329" s="333" t="str">
        <f t="shared" si="22"/>
        <v>xoxooxx</v>
      </c>
      <c r="BB329" s="334" t="str">
        <f t="shared" si="23"/>
        <v>xoxoxx</v>
      </c>
      <c r="BC329" s="335" t="str">
        <f t="shared" si="236"/>
        <v>-</v>
      </c>
      <c r="BD329" s="336" t="str">
        <f t="shared" si="25"/>
        <v>Shuddha Sarang: 'xoxooxx' + 'xoxoxx'</v>
      </c>
      <c r="BE329" s="337">
        <f>IFERROR(__xludf.DUMMYFUNCTION("COUNTUNIQUE(FILTER(AT:AT,REGEXMATCH(AT:AT,AS329)))-1"),2.0)</f>
        <v>2</v>
      </c>
      <c r="BF329" s="261" t="str">
        <f>IFERROR(__xludf.DUMMYFUNCTION("IF(BI329=0,""(n/a)"",IF(BJ329=2,""(PAIR)"",IF(REGEXMATCH(AT329,""xoxoxxoxoxox""),""Bilawal"",IF(REGEXMATCH(AT329,""xoxoxooxoxoo""),""Bhupali"",IF(REGEXMATCH(AT329,""xoxoxxoxxoxo""),""Charukeshi"",IF(REGEXMATCH(AT329,""xoxoooxxoxxo""),""Kameshwari"",IF(REG"&amp;"EXMATCH(AT329,""xoxoxooxoxox""),""Shankara"",IF(REGEXMATCH(AT329,""xxooxoxxxoox""),""Basant"",IF(REGEXMATCH(AT329,""xoxoxxxxoxox""),""Bihag"",IF(REGEXMATCH(AT329,""xoxxxxoxoxxx""),""Pilu"",IF(REGEXMATCH(AT329,""xoxxoxoxxoox""),""Kirwani"",IF(REGEXMATCH(AT"&amp;"329,""xoxxoxoxoxxx""),""Mk.Malhar"",IF(REGEXMATCH(AT329,""xxooxxoxxoox""),""Bhairav"",IF(REGEXMATCH(AT329,""xxoxooxxxoox""),""Todi"",IF(REGEXMATCH(AT329,""xxooxoxooxox""),""Marwa"",IF(REGEXMATCH(AT329,""xxoooxoxxooo""),""Gunkali"",IF(REGEXMATCH(AT329,""xo"&amp;"xoxxoxxoox""),""Nat Bhairav"",IF(REGEXMATCH(AT329,""xoxxoooxoxoo""),""Shivranjani"",IF(REGEXMATCH(AT329,""xooxxxoxooxo""),""Jog"",IF(REGEXMATCH(AT329,""xxooxoxoxoox""),""Hemshri"",IF(REGEXMATCH(AT329,""xoooxooxoxxo""),""Kalavati"",IF(REGEXMATCH(AT329,""xx"&amp;"oxoxxoxoox""),""Kedar"",IF(REGEXMATCH(AT329,""xoxxxxoxooxx""),""Gara"",IF(REGEXMATCH(AT329,""xooxoxooxoox""),""Chandrakauns"",IF(REGEXMATCH(AT329,""xoxxxxoxxxox""),""Mand"",IF(REGEXMATCH(AT329,""xoxxxxoxoxox""),""Hanskinkini"",IF(REGEXMATCH(AT329,""xxooxx"&amp;"oxooxo""),""Lilavati"",IF(REGEXMATCH(AT329,""xooxoxoooxox""),""Rajeshwari"",IF(REGEXMATCH(AT329,""xoooxxoxoxxx""),""Khokar"",IF(REGEXMATCH(AT329,""xxooxoxxxxox""),""Maligoura"",""-""))))))))))))))))))))))))))))))"),"Kedar")</f>
        <v>Kedar</v>
      </c>
      <c r="BG329" s="239" t="str">
        <f t="shared" si="26"/>
        <v>#REF!</v>
      </c>
      <c r="BH329" s="239">
        <f>IFERROR(__xludf.DUMMYFUNCTION("COUNTUNIQUE(FE329:FO329)-1"),6.0)</f>
        <v>6</v>
      </c>
      <c r="BI329" s="239">
        <f>IFERROR(__xludf.DUMMYFUNCTION("COUNTUNIQUE(FILTER(AT:AT,REGEXMATCH(AT:AT,AS329)))-1"),2.0)</f>
        <v>2</v>
      </c>
      <c r="BJ329" s="239">
        <f>IFERROR(__xludf.DUMMYFUNCTION("COUNTA(FILTER(AT:AT,REGEXMATCH(AT:AT,AS329)))"),5.0)</f>
        <v>5</v>
      </c>
      <c r="BK329" s="341">
        <f>IFERROR(__xludf.DUMMYFUNCTION("COUNTA(FILTER(AT:AT,REGEXMATCH(AT:AT,AS329)))-AR329"),5.0)</f>
        <v>5</v>
      </c>
      <c r="BL329" s="276" t="str">
        <f>IFERROR(__xludf.DUMMYFUNCTION("IF(AS329=""oooooooooooo"",""-"",IF(REGEXMATCH(AT329,""xx""), ""Hemi."", ""Anhemi.""))"),"Hemi.")</f>
        <v>Hemi.</v>
      </c>
      <c r="BM329" s="282" t="str">
        <f>IFERROR(__xludf.DUMMYFUNCTION("IF(AS329=""oooooooooooo"",""-"",IF(REGEXMATCH(AT329,""xxx""), ""Cohem."", ""-""))"),"Cohem.")</f>
        <v>Cohem.</v>
      </c>
      <c r="BN329" s="282" t="str">
        <f>IFERROR(__xludf.DUMMYFUNCTION("IF(AS329=""oooooooooooo"",""-"",IF(REGEXMATCH(AT329,""xxxx""), ""Co-Co."", ""-""))"),"-")</f>
        <v>-</v>
      </c>
      <c r="BO329" s="342" t="str">
        <f>IFERROR(__xludf.DUMMYFUNCTION("IF(AS329=""oooooooooooo"",""-"",IF(REGEXMATCH(AT329,""xxxxx""), ""CCC."", ""-""))"),"-")</f>
        <v>-</v>
      </c>
      <c r="BP329" s="344" t="str">
        <f t="shared" si="27"/>
        <v>-</v>
      </c>
      <c r="BQ329" s="282" t="str">
        <f>IFERROR(__xludf.DUMMYFUNCTION("IF(REGEXMATCH(JOIN(""-"",EU329:FD329),""TRUE""),""✔"",""-"")"),"-")</f>
        <v>-</v>
      </c>
      <c r="BR329" s="225">
        <f t="shared" si="28"/>
        <v>0</v>
      </c>
      <c r="BS329" s="345" t="str">
        <f>IFERROR(__xludf.DUMMYFUNCTION("SUBSTITUTE(SUBSTITUTE(SUBSTITUTE(SUBSTITUTE(CONCATENATE(JOIN(""-"",GC329:GO329)),""--"",""-""),""--"",""-""),""--"",""-""),""--"",""-"")"),"1-2-4-#4-5-6-7-8")</f>
        <v>1-2-4-#4-5-6-7-8</v>
      </c>
      <c r="BT329" s="299" t="str">
        <f>IFERROR(__xludf.DUMMYFUNCTION("SUBSTITUTE(SUBSTITUTE(SUBSTITUTE(SUBSTITUTE(CONCATENATE(JOIN(""-"",GP329:HB329)),""--"",""-""),""--"",""-""),""--"",""-""),""--"",""-"")"),"S-R2-M1-M2-P-D2-N3-S")</f>
        <v>S-R2-M1-M2-P-D2-N3-S</v>
      </c>
      <c r="BU329" s="348" t="str">
        <f t="shared" si="29"/>
        <v>C-D-F-F#-G-A-B-C</v>
      </c>
      <c r="BV329" s="349" t="str">
        <f t="shared" si="30"/>
        <v>SrgGdnS</v>
      </c>
      <c r="BW329" s="350">
        <f t="shared" si="31"/>
        <v>0</v>
      </c>
      <c r="BX329" s="351">
        <f t="shared" si="32"/>
        <v>3</v>
      </c>
      <c r="BY329" s="392"/>
      <c r="BZ329" s="309" t="str">
        <f>IFERROR(__xludf.DUMMYFUNCTION("IF(REGEXMATCH(C329, ""S""), ""x"",""x"")"),"x")</f>
        <v>x</v>
      </c>
      <c r="CA329" s="245" t="str">
        <f>IFERROR(__xludf.DUMMYFUNCTION("IF(REGEXMATCH(C329, ""r""), ""o"",""x"")"),"x")</f>
        <v>x</v>
      </c>
      <c r="CB329" s="246" t="str">
        <f>IFERROR(__xludf.DUMMYFUNCTION("IF(REGEXMATCH(C329, ""R""), ""o"",""x"")"),"o")</f>
        <v>o</v>
      </c>
      <c r="CC329" s="246" t="str">
        <f>IFERROR(__xludf.DUMMYFUNCTION("IF(REGEXMATCH(C329, ""g""), ""o"",""x"")"),"x")</f>
        <v>x</v>
      </c>
      <c r="CD329" s="245" t="str">
        <f>IFERROR(__xludf.DUMMYFUNCTION("IF(REGEXMATCH(C329, ""G""), ""o"",""x"")"),"x")</f>
        <v>x</v>
      </c>
      <c r="CE329" s="245" t="str">
        <f>IFERROR(__xludf.DUMMYFUNCTION("IF(REGEXMATCH(C329, ""m""), ""o"",""x"")"),"o")</f>
        <v>o</v>
      </c>
      <c r="CF329" s="246" t="str">
        <f>IFERROR(__xludf.DUMMYFUNCTION("IF(REGEXMATCH(C329, ""M""), ""o"",""x"")"),"o")</f>
        <v>o</v>
      </c>
      <c r="CG329" s="245" t="str">
        <f>IFERROR(__xludf.DUMMYFUNCTION("IF(REGEXMATCH(C329, ""P""), ""o"",""x"")"),"o")</f>
        <v>o</v>
      </c>
      <c r="CH329" s="246" t="str">
        <f>IFERROR(__xludf.DUMMYFUNCTION("IF(REGEXMATCH(C329, ""d""), ""o"",""x"")"),"x")</f>
        <v>x</v>
      </c>
      <c r="CI329" s="245" t="str">
        <f>IFERROR(__xludf.DUMMYFUNCTION("IF(REGEXMATCH(C329, ""D""), ""o"",""x"")"),"o")</f>
        <v>o</v>
      </c>
      <c r="CJ329" s="245" t="str">
        <f>IFERROR(__xludf.DUMMYFUNCTION("IF(REGEXMATCH(C329, ""n""), ""o"",""x"")"),"x")</f>
        <v>x</v>
      </c>
      <c r="CK329" s="245" t="str">
        <f>IFERROR(__xludf.DUMMYFUNCTION("IF(REGEXMATCH(C329, ""N""), ""o"",""x"")"),"o")</f>
        <v>o</v>
      </c>
      <c r="CL329" s="356" t="str">
        <f>IFERROR(__xludf.DUMMYFUNCTION("IF(REGEXMATCH(C329, ""S""), ""x"",""x"")"),"x")</f>
        <v>x</v>
      </c>
      <c r="CM329" s="357" t="str">
        <f t="shared" si="33"/>
        <v>xxoxxoooxoxo</v>
      </c>
      <c r="CN329" s="358">
        <f t="shared" si="34"/>
        <v>0</v>
      </c>
      <c r="CO329" s="246" t="str">
        <f>IFERROR(__xludf.DUMMYFUNCTION("IF(REGEXMATCH($C329, ""S""), ""S"",""S"")"),"S")</f>
        <v>S</v>
      </c>
      <c r="CP329" s="246" t="str">
        <f>IFERROR(__xludf.DUMMYFUNCTION("IF(REGEXMATCH($C329, ""r""), """",""r"")"),"r")</f>
        <v>r</v>
      </c>
      <c r="CQ329" s="246" t="str">
        <f>IFERROR(__xludf.DUMMYFUNCTION("IF(REGEXMATCH($C329, ""R""), """",""R"")"),"")</f>
        <v/>
      </c>
      <c r="CR329" s="246" t="str">
        <f>IFERROR(__xludf.DUMMYFUNCTION("IF(REGEXMATCH($C329, ""g""), """",""g"")"),"g")</f>
        <v>g</v>
      </c>
      <c r="CS329" s="246" t="str">
        <f>IFERROR(__xludf.DUMMYFUNCTION("IF(REGEXMATCH($C329, ""G""), """",""G"")"),"G")</f>
        <v>G</v>
      </c>
      <c r="CT329" s="246" t="str">
        <f>IFERROR(__xludf.DUMMYFUNCTION("IF(REGEXMATCH($C329, ""m""), """",""m"")"),"")</f>
        <v/>
      </c>
      <c r="CU329" s="246" t="str">
        <f>IFERROR(__xludf.DUMMYFUNCTION("IF(REGEXMATCH($C329, ""M""), """",""M"")"),"")</f>
        <v/>
      </c>
      <c r="CV329" s="246" t="str">
        <f>IFERROR(__xludf.DUMMYFUNCTION("IF(REGEXMATCH($C329, ""P""), """",""P"")"),"")</f>
        <v/>
      </c>
      <c r="CW329" s="246" t="str">
        <f>IFERROR(__xludf.DUMMYFUNCTION("IF(REGEXMATCH($C329, ""d""), """",""d"")"),"d")</f>
        <v>d</v>
      </c>
      <c r="CX329" s="246" t="str">
        <f>IFERROR(__xludf.DUMMYFUNCTION("IF(REGEXMATCH($C329, ""D""), """",""D"")"),"")</f>
        <v/>
      </c>
      <c r="CY329" s="246" t="str">
        <f>IFERROR(__xludf.DUMMYFUNCTION("IF(REGEXMATCH($C329, ""n""), """",""n"")"),"n")</f>
        <v>n</v>
      </c>
      <c r="CZ329" s="246" t="str">
        <f>IFERROR(__xludf.DUMMYFUNCTION("IF(REGEXMATCH($C329, ""N""), """",""N"")"),"")</f>
        <v/>
      </c>
      <c r="DA329" s="246" t="str">
        <f>IFERROR(__xludf.DUMMYFUNCTION("IF(REGEXMATCH($C329, ""S""), ""S"",""S"")"),"S")</f>
        <v>S</v>
      </c>
      <c r="DB329" s="362" t="str">
        <f>IFERROR(__xludf.DUMMYFUNCTION("JOIN("""",CO329:DA329,"""","""")"),"SrgGdnS")</f>
        <v>SrgGdnS</v>
      </c>
      <c r="DC329" s="363"/>
      <c r="DD329" s="301" t="str">
        <f t="shared" si="35"/>
        <v>#REF!</v>
      </c>
      <c r="DE329" s="302" t="str">
        <f t="shared" si="36"/>
        <v>#REF!</v>
      </c>
      <c r="DF329" s="301" t="str">
        <f t="shared" ref="DF329:DG329" si="889">SUBSTITUTE(S329,"-","")</f>
        <v>SRM</v>
      </c>
      <c r="DG329" s="301" t="str">
        <f t="shared" si="889"/>
        <v>PDNS</v>
      </c>
      <c r="DH329" s="302" t="str">
        <f t="shared" si="38"/>
        <v>Kedar</v>
      </c>
      <c r="DI329" s="301" t="str">
        <f t="shared" si="39"/>
        <v>Hemi.</v>
      </c>
      <c r="DJ329" s="364" t="str">
        <f t="shared" si="40"/>
        <v>Cohem.</v>
      </c>
      <c r="DK329" s="306" t="str">
        <f t="shared" si="41"/>
        <v>-</v>
      </c>
      <c r="DL329" s="366" t="str">
        <f t="shared" si="42"/>
        <v>-</v>
      </c>
      <c r="DM329" s="308" t="str">
        <f t="shared" si="43"/>
        <v>✔</v>
      </c>
      <c r="DN329" s="306" t="str">
        <f t="shared" si="44"/>
        <v>-</v>
      </c>
      <c r="DO329" s="306" t="str">
        <f t="shared" si="45"/>
        <v>-</v>
      </c>
      <c r="DP329" s="367" t="str">
        <f t="shared" si="46"/>
        <v>-</v>
      </c>
      <c r="DQ329" s="310" t="str">
        <f t="shared" si="47"/>
        <v>-</v>
      </c>
      <c r="DR329" s="310" t="str">
        <f t="shared" si="48"/>
        <v>-</v>
      </c>
      <c r="DS329" s="310" t="str">
        <f t="shared" si="49"/>
        <v>✔</v>
      </c>
      <c r="DT329" s="310" t="str">
        <f t="shared" si="50"/>
        <v>-</v>
      </c>
      <c r="DU329" s="370" t="str">
        <f t="shared" si="51"/>
        <v>-</v>
      </c>
      <c r="DV329" s="306" t="str">
        <f t="shared" si="52"/>
        <v>-</v>
      </c>
      <c r="DW329" s="306" t="str">
        <f t="shared" si="53"/>
        <v>✔</v>
      </c>
      <c r="DX329" s="306" t="str">
        <f t="shared" si="54"/>
        <v>-</v>
      </c>
      <c r="DY329" s="306" t="str">
        <f t="shared" si="55"/>
        <v>-</v>
      </c>
      <c r="DZ329" s="306" t="str">
        <f t="shared" si="56"/>
        <v>-</v>
      </c>
      <c r="EA329" s="367" t="str">
        <f t="shared" si="57"/>
        <v>-</v>
      </c>
      <c r="EB329" s="310" t="str">
        <f>IFERROR(__xludf.DUMMYFUNCTION("IF(REGEXMATCH(AW329,AS329),""✔"",""-"")"),"-")</f>
        <v>-</v>
      </c>
      <c r="EC329" s="310" t="str">
        <f t="shared" si="58"/>
        <v>#REF!</v>
      </c>
      <c r="ED329" s="370" t="str">
        <f t="shared" si="59"/>
        <v>-</v>
      </c>
      <c r="EE329" s="340" t="str">
        <f t="shared" si="60"/>
        <v>S-R-mM-P-D-N-S</v>
      </c>
      <c r="EF329" s="371" t="str">
        <f>IFERROR(__xludf.DUMMYFUNCTION("CONCATENATE(JOIN("""",HC329:HO329))"),"SrgmMPnS")</f>
        <v>SrgmMPnS</v>
      </c>
      <c r="EG329" s="372">
        <f t="shared" si="61"/>
        <v>2</v>
      </c>
      <c r="EH329" s="373" t="str">
        <f>IFERROR(__xludf.DUMMYFUNCTION("CONCATENATE(JOIN("""",JC329:JO329))"),"Ma, Dha, ")</f>
        <v>Ma, Dha, </v>
      </c>
      <c r="EI329" s="322">
        <f t="shared" si="62"/>
        <v>0</v>
      </c>
      <c r="EJ329" s="374" t="str">
        <f>IFERROR(__xludf.DUMMYFUNCTION("CONCATENATE(JOIN("""",KC329:KO329))"),"")</f>
        <v/>
      </c>
      <c r="EK329" s="325" t="str">
        <f t="shared" si="63"/>
        <v>S-R2-M1-M2-P-D2-N3-S</v>
      </c>
      <c r="EL329" s="326" t="str">
        <f t="shared" si="64"/>
        <v>1-2-4-#4-5-6-7-8</v>
      </c>
      <c r="EM329" s="318" t="str">
        <f t="shared" si="65"/>
        <v>#REF!</v>
      </c>
      <c r="EN329" s="328" t="str">
        <f>IFERROR(__xludf.DUMMYFUNCTION("SUBSTITUTE(SUBSTITUTE(SUBSTITUTE(SUBSTITUTE(CONCATENATE(JOIN("" "",HP329:IB329)),""  "","" ""),""  "","" ""),""  "","" ""),""  "","" "")"),"o • o • • o o o • o • o o")</f>
        <v>o • o • • o o o • o • o o</v>
      </c>
      <c r="EO329" s="368" t="str">
        <f t="shared" si="66"/>
        <v>-</v>
      </c>
      <c r="EP329" s="339" t="str">
        <f t="shared" si="67"/>
        <v>-</v>
      </c>
      <c r="EQ329" s="339" t="str">
        <f t="shared" si="68"/>
        <v>Sa-Pa</v>
      </c>
      <c r="ER329" s="339" t="str">
        <f t="shared" si="69"/>
        <v>-</v>
      </c>
      <c r="ES329" s="340" t="str">
        <f t="shared" si="70"/>
        <v>-</v>
      </c>
      <c r="ET329" s="363"/>
      <c r="EU329" s="376" t="b">
        <f>IFERROR(__xludf.DUMMYFUNCTION("arrayformula(sum(--REGEXMATCH(""SRGMPDNS"",split(REGEXREPLACE(C329,""(.)"",""$1~""),""~""))))=len(C329)
"),FALSE)</f>
        <v>0</v>
      </c>
      <c r="EV329" s="290" t="b">
        <f>IFERROR(__xludf.DUMMYFUNCTION("arrayformula(sum(--REGEXMATCH(""SRGmPDNS"",split(REGEXREPLACE(C329,""(.)"",""$1~""),""~""))))=len(C329)"),FALSE)</f>
        <v>0</v>
      </c>
      <c r="EW329" s="290" t="b">
        <f>IFERROR(__xludf.DUMMYFUNCTION("arrayformula(sum(--REGEXMATCH(""SRGmPDnS"",split(REGEXREPLACE(C329,""(.)"",""$1~""),""~""))))=len(C329)"),FALSE)</f>
        <v>0</v>
      </c>
      <c r="EX329" s="290" t="b">
        <f>IFERROR(__xludf.DUMMYFUNCTION("arrayformula(sum(--REGEXMATCH(""SRgmPDnS"",split(REGEXREPLACE(C329,""(.)"",""$1~""),""~""))))=len(C329)"),FALSE)</f>
        <v>0</v>
      </c>
      <c r="EY329" s="290" t="b">
        <f>IFERROR(__xludf.DUMMYFUNCTION("arrayformula(sum(--REGEXMATCH(""SRgmPdnS"",split(REGEXREPLACE(C329,""(.)"",""$1~""),""~""))))=len(C329)"),FALSE)</f>
        <v>0</v>
      </c>
      <c r="EZ329" s="290" t="b">
        <f>IFERROR(__xludf.DUMMYFUNCTION("arrayformula(sum(--REGEXMATCH(""SrgmPdnS"",split(REGEXREPLACE(C329,""(.)"",""$1~""),""~""))))=len(C329)"),FALSE)</f>
        <v>0</v>
      </c>
      <c r="FA329" s="290" t="b">
        <f>IFERROR(__xludf.DUMMYFUNCTION("arrayformula(sum(--REGEXMATCH(""SrGmPdNS"",split(REGEXREPLACE(C329,""(.)"",""$1~""),""~""))))=len(C329)"),FALSE)</f>
        <v>0</v>
      </c>
      <c r="FB329" s="290" t="b">
        <f>IFERROR(__xludf.DUMMYFUNCTION("arrayformula(sum(--REGEXMATCH(""SrGMPDNS"",split(REGEXREPLACE(C329,""(.)"",""$1~""),""~""))))=len(C329)"),FALSE)</f>
        <v>0</v>
      </c>
      <c r="FC329" s="290" t="b">
        <f>IFERROR(__xludf.DUMMYFUNCTION("arrayformula(sum(--REGEXMATCH(""SrGMPdNS"",split(REGEXREPLACE(C329,""(.)"",""$1~""),""~""))))=len(C329)"),FALSE)</f>
        <v>0</v>
      </c>
      <c r="FD329" s="377" t="b">
        <f>IFERROR(__xludf.DUMMYFUNCTION("arrayformula(sum(--REGEXMATCH(""SrgMPdNS"",split(REGEXREPLACE(C329,""(.)"",""$1~""),""~""))))=len(C329)"),FALSE)</f>
        <v>0</v>
      </c>
      <c r="FE329" s="269" t="str">
        <f t="shared" si="71"/>
        <v>-</v>
      </c>
      <c r="FF329" s="269" t="str">
        <f t="shared" si="72"/>
        <v>xooxxxoxoxx</v>
      </c>
      <c r="FG329" s="271" t="str">
        <f t="shared" si="73"/>
        <v>-</v>
      </c>
      <c r="FH329" s="269" t="str">
        <f t="shared" si="74"/>
        <v>-</v>
      </c>
      <c r="FI329" s="271" t="str">
        <f t="shared" si="75"/>
        <v>xxxoxoxxoxo</v>
      </c>
      <c r="FJ329" s="271" t="str">
        <f t="shared" si="76"/>
        <v>xxoxoxxoxoo</v>
      </c>
      <c r="FK329" s="271" t="str">
        <f t="shared" si="77"/>
        <v>xoxoxxoxoox</v>
      </c>
      <c r="FL329" s="271" t="str">
        <f t="shared" si="78"/>
        <v>-</v>
      </c>
      <c r="FM329" s="271" t="str">
        <f t="shared" si="79"/>
        <v>xoxxoxooxxx</v>
      </c>
      <c r="FN329" s="271" t="str">
        <f t="shared" si="80"/>
        <v>-</v>
      </c>
      <c r="FO329" s="274" t="str">
        <f t="shared" si="81"/>
        <v>xxoxooxxxox</v>
      </c>
      <c r="FP329" s="234" t="str">
        <f t="shared" si="82"/>
        <v>|</v>
      </c>
      <c r="FQ329" s="236" t="str">
        <f t="shared" si="83"/>
        <v>-</v>
      </c>
      <c r="FR329" s="237" t="str">
        <f t="shared" si="84"/>
        <v>|</v>
      </c>
      <c r="FS329" s="236" t="str">
        <f t="shared" si="85"/>
        <v>-</v>
      </c>
      <c r="FT329" s="237" t="str">
        <f t="shared" si="86"/>
        <v>-</v>
      </c>
      <c r="FU329" s="236" t="str">
        <f t="shared" si="87"/>
        <v>|</v>
      </c>
      <c r="FV329" s="237" t="str">
        <f t="shared" si="88"/>
        <v>|</v>
      </c>
      <c r="FW329" s="236" t="str">
        <f t="shared" si="89"/>
        <v>|</v>
      </c>
      <c r="FX329" s="237" t="str">
        <f t="shared" si="90"/>
        <v>-</v>
      </c>
      <c r="FY329" s="236" t="str">
        <f t="shared" si="91"/>
        <v>|</v>
      </c>
      <c r="FZ329" s="237" t="str">
        <f t="shared" si="92"/>
        <v>-</v>
      </c>
      <c r="GA329" s="236" t="str">
        <f t="shared" si="93"/>
        <v>|</v>
      </c>
      <c r="GB329" s="238" t="str">
        <f t="shared" si="94"/>
        <v>|</v>
      </c>
      <c r="GC329" s="244" t="str">
        <f>IFERROR(__xludf.DUMMYFUNCTION("IF(REGEXMATCH(C329, ""S""), ""1"","""")"),"1")</f>
        <v>1</v>
      </c>
      <c r="GD329" s="245" t="str">
        <f>IFERROR(__xludf.DUMMYFUNCTION("IF(REGEXMATCH(C329, ""r""), ""b2"","""")"),"")</f>
        <v/>
      </c>
      <c r="GE329" s="246" t="str">
        <f>IFERROR(__xludf.DUMMYFUNCTION("IF(REGEXMATCH(C329, ""R""), ""2"","""")"),"2")</f>
        <v>2</v>
      </c>
      <c r="GF329" s="246" t="str">
        <f>IFERROR(__xludf.DUMMYFUNCTION("IF(REGEXMATCH(C329, ""g""), ""b3"","""")"),"")</f>
        <v/>
      </c>
      <c r="GG329" s="245" t="str">
        <f>IFERROR(__xludf.DUMMYFUNCTION("IF(REGEXMATCH(C329, ""G""), ""3"","""")"),"")</f>
        <v/>
      </c>
      <c r="GH329" s="245" t="str">
        <f>IFERROR(__xludf.DUMMYFUNCTION("IF(REGEXMATCH(C329, ""m""), ""4"","""")"),"4")</f>
        <v>4</v>
      </c>
      <c r="GI329" s="246" t="str">
        <f>IFERROR(__xludf.DUMMYFUNCTION("IF(REGEXMATCH(C329, ""M""), ""#4"","""")"),"#4")</f>
        <v>#4</v>
      </c>
      <c r="GJ329" s="245" t="str">
        <f>IFERROR(__xludf.DUMMYFUNCTION("IF(REGEXMATCH(C329, ""P""), ""5"","""")"),"5")</f>
        <v>5</v>
      </c>
      <c r="GK329" s="246" t="str">
        <f>IFERROR(__xludf.DUMMYFUNCTION("IF(REGEXMATCH(C329, ""d""), ""b6"","""")"),"")</f>
        <v/>
      </c>
      <c r="GL329" s="245" t="str">
        <f>IFERROR(__xludf.DUMMYFUNCTION("IF(REGEXMATCH(C329, ""D""), ""6"","""")"),"6")</f>
        <v>6</v>
      </c>
      <c r="GM329" s="245" t="str">
        <f>IFERROR(__xludf.DUMMYFUNCTION("IF(REGEXMATCH(C329, ""n""), ""b7"","""")"),"")</f>
        <v/>
      </c>
      <c r="GN329" s="246" t="str">
        <f>IFERROR(__xludf.DUMMYFUNCTION("IF(REGEXMATCH(C329, ""N""), ""7"","""")"),"7")</f>
        <v>7</v>
      </c>
      <c r="GO329" s="249" t="str">
        <f>IFERROR(__xludf.DUMMYFUNCTION("IF(REGEXMATCH(C329, ""S""), ""8"","""")"),"8")</f>
        <v>8</v>
      </c>
      <c r="GP329" s="244" t="str">
        <f>IFERROR(__xludf.DUMMYFUNCTION("IF(REGEXMATCH(C329, ""S""), ""S"","""")"),"S")</f>
        <v>S</v>
      </c>
      <c r="GQ329" s="294" t="str">
        <f>IFERROR(__xludf.DUMMYFUNCTION("IF(REGEXMATCH(C329, ""r""), ""R1"","""")"),"")</f>
        <v/>
      </c>
      <c r="GR329" s="295" t="str">
        <f>IFERROR(__xludf.DUMMYFUNCTION("IF(REGEXMATCH(C329, ""R""), ""R2"","""")"),"R2")</f>
        <v>R2</v>
      </c>
      <c r="GS329" s="295" t="str">
        <f>IFERROR(__xludf.DUMMYFUNCTION("IF(REGEXMATCH(C329, ""g""), ""G2"","""")"),"")</f>
        <v/>
      </c>
      <c r="GT329" s="294" t="str">
        <f>IFERROR(__xludf.DUMMYFUNCTION("IF(REGEXMATCH(C329, ""G""), ""G3"","""")"),"")</f>
        <v/>
      </c>
      <c r="GU329" s="294" t="str">
        <f>IFERROR(__xludf.DUMMYFUNCTION("IF(REGEXMATCH(C329, ""m""), ""M1"","""")"),"M1")</f>
        <v>M1</v>
      </c>
      <c r="GV329" s="295" t="str">
        <f>IFERROR(__xludf.DUMMYFUNCTION("IF(REGEXMATCH(C329, ""M""), ""M2"","""")"),"M2")</f>
        <v>M2</v>
      </c>
      <c r="GW329" s="294" t="str">
        <f>IFERROR(__xludf.DUMMYFUNCTION("IF(REGEXMATCH(C329, ""P""), ""P"","""")"),"P")</f>
        <v>P</v>
      </c>
      <c r="GX329" s="295" t="str">
        <f>IFERROR(__xludf.DUMMYFUNCTION("IF(REGEXMATCH(C329, ""d""), ""D1"","""")"),"")</f>
        <v/>
      </c>
      <c r="GY329" s="294" t="str">
        <f>IFERROR(__xludf.DUMMYFUNCTION("IF(REGEXMATCH(C329, ""D""), ""D2"","""")"),"D2")</f>
        <v>D2</v>
      </c>
      <c r="GZ329" s="294" t="str">
        <f>IFERROR(__xludf.DUMMYFUNCTION("IF(REGEXMATCH(C329, ""n""), ""N2"","""")"),"")</f>
        <v/>
      </c>
      <c r="HA329" s="295" t="str">
        <f>IFERROR(__xludf.DUMMYFUNCTION("IF(REGEXMATCH(C329, ""N""), ""N3"","""")"),"N3")</f>
        <v>N3</v>
      </c>
      <c r="HB329" s="249" t="str">
        <f>IFERROR(__xludf.DUMMYFUNCTION("IF(REGEXMATCH(C329, ""S""), ""S"","""")"),"S")</f>
        <v>S</v>
      </c>
      <c r="HC329" s="331" t="str">
        <f t="shared" si="95"/>
        <v>S</v>
      </c>
      <c r="HD329" s="332" t="str">
        <f t="shared" si="96"/>
        <v>r</v>
      </c>
      <c r="HE329" s="332" t="str">
        <f t="shared" si="97"/>
        <v/>
      </c>
      <c r="HF329" s="332" t="str">
        <f t="shared" si="98"/>
        <v>g</v>
      </c>
      <c r="HG329" s="332" t="str">
        <f t="shared" si="99"/>
        <v/>
      </c>
      <c r="HH329" s="332" t="str">
        <f t="shared" si="100"/>
        <v>m</v>
      </c>
      <c r="HI329" s="332" t="str">
        <f t="shared" si="101"/>
        <v>M</v>
      </c>
      <c r="HJ329" s="332" t="str">
        <f t="shared" si="102"/>
        <v>P</v>
      </c>
      <c r="HK329" s="332" t="str">
        <f t="shared" si="103"/>
        <v/>
      </c>
      <c r="HL329" s="332" t="str">
        <f t="shared" si="104"/>
        <v/>
      </c>
      <c r="HM329" s="332" t="str">
        <f t="shared" si="105"/>
        <v>n</v>
      </c>
      <c r="HN329" s="332" t="str">
        <f t="shared" si="106"/>
        <v/>
      </c>
      <c r="HO329" s="343" t="str">
        <f t="shared" si="107"/>
        <v>S</v>
      </c>
      <c r="HP329" s="331" t="str">
        <f t="shared" si="108"/>
        <v>o</v>
      </c>
      <c r="HQ329" s="332" t="str">
        <f t="shared" si="109"/>
        <v>•</v>
      </c>
      <c r="HR329" s="332" t="str">
        <f t="shared" si="110"/>
        <v>o</v>
      </c>
      <c r="HS329" s="332" t="str">
        <f t="shared" si="111"/>
        <v>•</v>
      </c>
      <c r="HT329" s="332" t="str">
        <f t="shared" si="112"/>
        <v>•</v>
      </c>
      <c r="HU329" s="332" t="str">
        <f t="shared" si="113"/>
        <v>o</v>
      </c>
      <c r="HV329" s="332" t="str">
        <f t="shared" si="114"/>
        <v>o</v>
      </c>
      <c r="HW329" s="332" t="str">
        <f t="shared" si="115"/>
        <v>o</v>
      </c>
      <c r="HX329" s="332" t="str">
        <f t="shared" si="116"/>
        <v>•</v>
      </c>
      <c r="HY329" s="332" t="str">
        <f t="shared" si="117"/>
        <v>o</v>
      </c>
      <c r="HZ329" s="332" t="str">
        <f t="shared" si="118"/>
        <v>•</v>
      </c>
      <c r="IA329" s="332" t="str">
        <f t="shared" si="119"/>
        <v>o</v>
      </c>
      <c r="IB329" s="338" t="str">
        <f t="shared" si="120"/>
        <v>o</v>
      </c>
      <c r="IC329" s="331" t="str">
        <f t="shared" si="121"/>
        <v>•</v>
      </c>
      <c r="ID329" s="332" t="str">
        <f t="shared" si="122"/>
        <v>o</v>
      </c>
      <c r="IE329" s="332" t="str">
        <f t="shared" si="123"/>
        <v>•</v>
      </c>
      <c r="IF329" s="332" t="str">
        <f t="shared" si="124"/>
        <v>o</v>
      </c>
      <c r="IG329" s="332" t="str">
        <f t="shared" si="125"/>
        <v>o</v>
      </c>
      <c r="IH329" s="332" t="str">
        <f t="shared" si="126"/>
        <v>•</v>
      </c>
      <c r="II329" s="332" t="str">
        <f t="shared" si="127"/>
        <v>•</v>
      </c>
      <c r="IJ329" s="332" t="str">
        <f t="shared" si="128"/>
        <v>•</v>
      </c>
      <c r="IK329" s="332" t="str">
        <f t="shared" si="129"/>
        <v>o</v>
      </c>
      <c r="IL329" s="332" t="str">
        <f t="shared" si="130"/>
        <v>•</v>
      </c>
      <c r="IM329" s="332" t="str">
        <f t="shared" si="131"/>
        <v>o</v>
      </c>
      <c r="IN329" s="332" t="str">
        <f t="shared" si="132"/>
        <v>•</v>
      </c>
      <c r="IO329" s="338" t="str">
        <f t="shared" si="133"/>
        <v>•</v>
      </c>
      <c r="IP329" s="346" t="b">
        <f t="shared" si="134"/>
        <v>0</v>
      </c>
      <c r="IQ329" s="347" t="b">
        <f t="shared" si="135"/>
        <v>0</v>
      </c>
      <c r="IR329" s="347" t="b">
        <f t="shared" si="136"/>
        <v>0</v>
      </c>
      <c r="IS329" s="347" t="b">
        <f t="shared" si="137"/>
        <v>0</v>
      </c>
      <c r="IT329" s="347" t="b">
        <f t="shared" si="138"/>
        <v>0</v>
      </c>
      <c r="IU329" s="347" t="b">
        <f t="shared" si="139"/>
        <v>0</v>
      </c>
      <c r="IV329" s="347" t="b">
        <f t="shared" si="140"/>
        <v>1</v>
      </c>
      <c r="IW329" s="347" t="b">
        <f t="shared" si="141"/>
        <v>0</v>
      </c>
      <c r="IX329" s="347" t="b">
        <f t="shared" si="142"/>
        <v>0</v>
      </c>
      <c r="IY329" s="347" t="b">
        <f t="shared" si="143"/>
        <v>1</v>
      </c>
      <c r="IZ329" s="347" t="b">
        <f t="shared" si="144"/>
        <v>0</v>
      </c>
      <c r="JA329" s="347" t="b">
        <f t="shared" si="145"/>
        <v>0</v>
      </c>
      <c r="JB329" s="353" t="b">
        <f t="shared" si="146"/>
        <v>0</v>
      </c>
      <c r="JC329" s="354" t="str">
        <f t="shared" si="147"/>
        <v/>
      </c>
      <c r="JD329" s="355" t="str">
        <f t="shared" si="148"/>
        <v/>
      </c>
      <c r="JE329" s="355" t="str">
        <f t="shared" si="149"/>
        <v/>
      </c>
      <c r="JF329" s="355" t="str">
        <f t="shared" si="150"/>
        <v/>
      </c>
      <c r="JG329" s="355" t="str">
        <f t="shared" si="151"/>
        <v/>
      </c>
      <c r="JH329" s="355" t="str">
        <f t="shared" si="152"/>
        <v/>
      </c>
      <c r="JI329" s="355" t="str">
        <f t="shared" si="153"/>
        <v>Ma, </v>
      </c>
      <c r="JJ329" s="355" t="str">
        <f t="shared" si="154"/>
        <v/>
      </c>
      <c r="JK329" s="355" t="str">
        <f t="shared" si="155"/>
        <v/>
      </c>
      <c r="JL329" s="355" t="str">
        <f t="shared" si="156"/>
        <v>Dha, </v>
      </c>
      <c r="JM329" s="355" t="str">
        <f t="shared" si="157"/>
        <v/>
      </c>
      <c r="JN329" s="355" t="str">
        <f t="shared" si="158"/>
        <v/>
      </c>
      <c r="JO329" s="359" t="str">
        <f t="shared" si="159"/>
        <v/>
      </c>
      <c r="JP329" s="346" t="b">
        <f t="shared" si="160"/>
        <v>0</v>
      </c>
      <c r="JQ329" s="347" t="b">
        <f t="shared" si="161"/>
        <v>0</v>
      </c>
      <c r="JR329" s="347" t="b">
        <f t="shared" si="162"/>
        <v>0</v>
      </c>
      <c r="JS329" s="347" t="b">
        <f t="shared" si="163"/>
        <v>0</v>
      </c>
      <c r="JT329" s="347" t="b">
        <f t="shared" si="164"/>
        <v>0</v>
      </c>
      <c r="JU329" s="347" t="b">
        <f t="shared" si="165"/>
        <v>0</v>
      </c>
      <c r="JV329" s="347" t="b">
        <f t="shared" si="166"/>
        <v>0</v>
      </c>
      <c r="JW329" s="347" t="b">
        <f t="shared" si="167"/>
        <v>0</v>
      </c>
      <c r="JX329" s="347" t="b">
        <f t="shared" si="168"/>
        <v>0</v>
      </c>
      <c r="JY329" s="347" t="b">
        <f t="shared" si="169"/>
        <v>0</v>
      </c>
      <c r="JZ329" s="347" t="b">
        <f t="shared" si="170"/>
        <v>0</v>
      </c>
      <c r="KA329" s="347" t="b">
        <f t="shared" si="171"/>
        <v>0</v>
      </c>
      <c r="KB329" s="365" t="b">
        <f t="shared" si="172"/>
        <v>0</v>
      </c>
      <c r="KC329" s="354" t="str">
        <f t="shared" si="173"/>
        <v/>
      </c>
      <c r="KD329" s="355" t="str">
        <f t="shared" si="174"/>
        <v/>
      </c>
      <c r="KE329" s="355" t="str">
        <f t="shared" si="175"/>
        <v/>
      </c>
      <c r="KF329" s="355" t="str">
        <f t="shared" si="176"/>
        <v/>
      </c>
      <c r="KG329" s="355" t="str">
        <f t="shared" si="177"/>
        <v/>
      </c>
      <c r="KH329" s="355" t="str">
        <f t="shared" si="178"/>
        <v/>
      </c>
      <c r="KI329" s="355" t="str">
        <f t="shared" si="179"/>
        <v/>
      </c>
      <c r="KJ329" s="355" t="str">
        <f t="shared" si="180"/>
        <v/>
      </c>
      <c r="KK329" s="355" t="str">
        <f t="shared" si="181"/>
        <v/>
      </c>
      <c r="KL329" s="355" t="str">
        <f t="shared" si="182"/>
        <v/>
      </c>
      <c r="KM329" s="355" t="str">
        <f t="shared" si="183"/>
        <v/>
      </c>
      <c r="KN329" s="355" t="str">
        <f t="shared" si="184"/>
        <v/>
      </c>
      <c r="KO329" s="359"/>
      <c r="KP329" s="378"/>
      <c r="KQ329" s="379" t="s">
        <v>1499</v>
      </c>
      <c r="KR329" s="380" t="s">
        <v>1428</v>
      </c>
      <c r="KS329" s="381" t="str">
        <f t="shared" si="885"/>
        <v>S-R-M-P-N-S</v>
      </c>
      <c r="KT329" s="382">
        <f t="shared" si="186"/>
        <v>5</v>
      </c>
      <c r="KU329" s="383">
        <f t="shared" si="187"/>
        <v>5</v>
      </c>
      <c r="KV329" s="381" t="str">
        <f t="shared" si="205"/>
        <v>S-N-D-P-Mm-R-S</v>
      </c>
      <c r="KW329" s="382">
        <f t="shared" si="189"/>
        <v>6</v>
      </c>
      <c r="KX329" s="384">
        <f t="shared" si="190"/>
        <v>7</v>
      </c>
      <c r="KY329" s="382">
        <f t="shared" ref="KY329:KZ329" si="890">KW329-KT329</f>
        <v>1</v>
      </c>
      <c r="KZ329" s="369">
        <f t="shared" si="890"/>
        <v>2</v>
      </c>
      <c r="LA329" s="385" t="str">
        <f t="shared" si="192"/>
        <v>-</v>
      </c>
      <c r="LB329" s="340" t="str">
        <f>IFERROR(__xludf.DUMMYFUNCTION("JOIN("""",ArrayFormula(MID(KS329,LEN(KS329)-SEQUENCE(1,LEN(KS329))+1,1)))"),"S-N-P-M-R-S")</f>
        <v>S-N-P-M-R-S</v>
      </c>
      <c r="LC329" s="373" t="str">
        <f>IFERROR(__xludf.DUMMYFUNCTION("JOIN("""",ArrayFormula(MID(KV329,LEN(KV329)-SEQUENCE(1,LEN(KV329))+1,1)))"),"S-R-mM-P-D-N-S")</f>
        <v>S-R-mM-P-D-N-S</v>
      </c>
      <c r="LD329" s="373" t="str">
        <f t="shared" si="193"/>
        <v>SRMPNS</v>
      </c>
      <c r="LE329" s="339" t="str">
        <f t="shared" si="194"/>
        <v>SRmMPDNS</v>
      </c>
      <c r="LF329" s="386" t="str">
        <f>IFERROR(__xludf.DUMMYFUNCTION("SUBSTITUTE(SUBSTITUTE(CONCATENATE(JOIN("""",LH329:LT329)),""1"",""""),""2"","""")"),"SRmMPDNS")</f>
        <v>SRmMPDNS</v>
      </c>
      <c r="LG329" s="369" t="str">
        <f t="shared" si="195"/>
        <v>✔</v>
      </c>
      <c r="LH329" s="387" t="str">
        <f>IFERROR(__xludf.DUMMYFUNCTION("IF(REGEXMATCH(LD329, ""S""), ""S"",IF(REGEXMATCH(LE329, ""S""), ""S"",""""))"),"S")</f>
        <v>S</v>
      </c>
      <c r="LI329" s="299" t="str">
        <f>IFERROR(__xludf.DUMMYFUNCTION("IF(REGEXMATCH(LD329, ""r""), ""r1"",IF(REGEXMATCH(LE329, ""r""), ""r2"",""""))"),"")</f>
        <v/>
      </c>
      <c r="LJ329" s="299" t="str">
        <f>IFERROR(__xludf.DUMMYFUNCTION("IF(REGEXMATCH(LD329, ""R""), ""R1"",IF(REGEXMATCH(LE329, ""R""), ""R2"",""""))"),"R1")</f>
        <v>R1</v>
      </c>
      <c r="LK329" s="299" t="str">
        <f>IFERROR(__xludf.DUMMYFUNCTION("IF(REGEXMATCH(LD329, ""g""), ""g1"",IF(REGEXMATCH(LE329, ""g""), ""g2"",""""))"),"")</f>
        <v/>
      </c>
      <c r="LL329" s="299" t="str">
        <f>IFERROR(__xludf.DUMMYFUNCTION("IF(REGEXMATCH(LD329, ""G""), ""G1"",IF(REGEXMATCH(LE329, ""G""), ""G2"",""""))"),"")</f>
        <v/>
      </c>
      <c r="LM329" s="299" t="str">
        <f>IFERROR(__xludf.DUMMYFUNCTION("IF(REGEXMATCH(LD329, ""m""), ""m1"",IF(REGEXMATCH(LE329, ""m""), ""m2"",""""))"),"m2")</f>
        <v>m2</v>
      </c>
      <c r="LN329" s="299" t="str">
        <f>IFERROR(__xludf.DUMMYFUNCTION("IF(REGEXMATCH(LD329, ""M""), ""M1"",IF(REGEXMATCH(LE329, ""M""), ""M2"",""""))"),"M1")</f>
        <v>M1</v>
      </c>
      <c r="LO329" s="299" t="str">
        <f>IFERROR(__xludf.DUMMYFUNCTION("IF(REGEXMATCH(LD329, ""P""), ""P1"",IF(REGEXMATCH(LE329, ""P""), ""P2"",""""))"),"P1")</f>
        <v>P1</v>
      </c>
      <c r="LP329" s="299" t="str">
        <f>IFERROR(__xludf.DUMMYFUNCTION("IF(REGEXMATCH(LD329, ""d""), ""d1"",IF(REGEXMATCH(LE329, ""d""), ""d2"",""""))"),"")</f>
        <v/>
      </c>
      <c r="LQ329" s="299" t="str">
        <f>IFERROR(__xludf.DUMMYFUNCTION("IF(REGEXMATCH(LD329, ""D""), ""D1"",IF(REGEXMATCH(LE329, ""D""), ""D2"",""""))"),"D2")</f>
        <v>D2</v>
      </c>
      <c r="LR329" s="299" t="str">
        <f>IFERROR(__xludf.DUMMYFUNCTION("IF(REGEXMATCH(LD329, ""n""), ""n1"",IF(REGEXMATCH(LE329, ""n""), ""n2"",""""))"),"")</f>
        <v/>
      </c>
      <c r="LS329" s="299" t="str">
        <f>IFERROR(__xludf.DUMMYFUNCTION("IF(REGEXMATCH(LD329, ""N""), ""N1"",IF(REGEXMATCH(LE329, ""N""), ""N2"",""""))"),"N1")</f>
        <v>N1</v>
      </c>
      <c r="LT329" s="388" t="str">
        <f>IFERROR(__xludf.DUMMYFUNCTION("IF(REGEXMATCH(LD329, ""S""), ""S"",IF(REGEXMATCH(LE329, ""S""), ""S"",""""))"),"S")</f>
        <v>S</v>
      </c>
      <c r="LU329" s="389">
        <f t="shared" si="196"/>
        <v>-2</v>
      </c>
      <c r="LV329" s="378"/>
      <c r="LW329" s="369"/>
      <c r="LX329" s="369"/>
    </row>
    <row r="330" ht="18.0" customHeight="1">
      <c r="A330" s="298" t="s">
        <v>1175</v>
      </c>
      <c r="B330" s="222" t="s">
        <v>530</v>
      </c>
      <c r="C330" s="233" t="str">
        <f t="shared" si="7"/>
        <v>SRGmPDnNS</v>
      </c>
      <c r="D330" s="234" t="str">
        <f>IFERROR(__xludf.DUMMYFUNCTION("IF(REGEXMATCH(C330, ""S""), ""S"","""")"),"S")</f>
        <v>S</v>
      </c>
      <c r="E330" s="236" t="str">
        <f>IFERROR(__xludf.DUMMYFUNCTION("IF(REGEXMATCH(C330, ""r""), ""r"","""")"),"")</f>
        <v/>
      </c>
      <c r="F330" s="237" t="str">
        <f>IFERROR(__xludf.DUMMYFUNCTION("IF(REGEXMATCH(C330, ""R""), ""R"","""")"),"R")</f>
        <v>R</v>
      </c>
      <c r="G330" s="237" t="str">
        <f>IFERROR(__xludf.DUMMYFUNCTION("IF(REGEXMATCH(C330, ""g""), ""g"","""")"),"")</f>
        <v/>
      </c>
      <c r="H330" s="236" t="str">
        <f>IFERROR(__xludf.DUMMYFUNCTION("IF(REGEXMATCH(C330, ""G""), ""G"","""")"),"G")</f>
        <v>G</v>
      </c>
      <c r="I330" s="236" t="str">
        <f>IFERROR(__xludf.DUMMYFUNCTION("IF(REGEXMATCH(C330, ""m""), ""m"","""")"),"m")</f>
        <v>m</v>
      </c>
      <c r="J330" s="237" t="str">
        <f>IFERROR(__xludf.DUMMYFUNCTION("IF(REGEXMATCH(C330, ""M""), ""M"","""")"),"")</f>
        <v/>
      </c>
      <c r="K330" s="236" t="str">
        <f>IFERROR(__xludf.DUMMYFUNCTION("IF(REGEXMATCH(C330, ""P""), ""P"","""")"),"P")</f>
        <v>P</v>
      </c>
      <c r="L330" s="237" t="str">
        <f>IFERROR(__xludf.DUMMYFUNCTION("IF(REGEXMATCH(C330, ""d""), ""d"","""")"),"")</f>
        <v/>
      </c>
      <c r="M330" s="236" t="str">
        <f>IFERROR(__xludf.DUMMYFUNCTION("IF(REGEXMATCH(C330, ""D""), ""D"","""")"),"D")</f>
        <v>D</v>
      </c>
      <c r="N330" s="236" t="str">
        <f>IFERROR(__xludf.DUMMYFUNCTION("IF(REGEXMATCH(C330, ""n""), ""n"","""")"),"n")</f>
        <v>n</v>
      </c>
      <c r="O330" s="237" t="str">
        <f>IFERROR(__xludf.DUMMYFUNCTION("IF(REGEXMATCH(C330, ""N""), ""N"","""")"),"N")</f>
        <v>N</v>
      </c>
      <c r="P330" s="238" t="str">
        <f>IFERROR(__xludf.DUMMYFUNCTION("IF(REGEXMATCH(C330, ""S""), ""S"","""")"),"S")</f>
        <v>S</v>
      </c>
      <c r="Q330" s="239" t="str">
        <f>IFERROR(__xludf.DUMMYFUNCTION("SUBSTITUTE(CONCATENATE(JOIN(""-"",D330:J330)),""-"","""")"),"SRGm")</f>
        <v>SRGm</v>
      </c>
      <c r="R330" s="229" t="str">
        <f>IFERROR(__xludf.DUMMYFUNCTION("SUBSTITUTE(CONCATENATE(JOIN(""-"",K330:P330)),""-"","""")"),"PDnNS")</f>
        <v>PDnNS</v>
      </c>
      <c r="S330" s="282" t="str">
        <f t="shared" si="8"/>
        <v>S-R-G-M</v>
      </c>
      <c r="T330" s="282" t="str">
        <f t="shared" si="9"/>
        <v>P-D-N-S</v>
      </c>
      <c r="U330" s="237" t="str">
        <f>IFERROR(__xludf.DUMMYFUNCTION("SUBSTITUTE(JOIN(""-"",S330,T330),""--"",""-"")"),"S-R-G-M-P-D-N-S")</f>
        <v>S-R-G-M-P-D-N-S</v>
      </c>
      <c r="V330" s="309" t="str">
        <f t="shared" si="10"/>
        <v>RGmDnN</v>
      </c>
      <c r="W330" s="244" t="str">
        <f>IFERROR(__xludf.DUMMYFUNCTION("IF(REGEXMATCH(C330, ""S""), ""0"","""")"),"0")</f>
        <v>0</v>
      </c>
      <c r="X330" s="245" t="str">
        <f>IFERROR(__xludf.DUMMYFUNCTION("IF(REGEXMATCH(C330, ""r""), ""1"","""")"),"")</f>
        <v/>
      </c>
      <c r="Y330" s="246" t="str">
        <f>IFERROR(__xludf.DUMMYFUNCTION("IF(REGEXMATCH(C330, ""R""), ""2"","""")"),"2")</f>
        <v>2</v>
      </c>
      <c r="Z330" s="246" t="str">
        <f>IFERROR(__xludf.DUMMYFUNCTION("IF(REGEXMATCH(C330, ""g""), ""3"","""")"),"")</f>
        <v/>
      </c>
      <c r="AA330" s="245" t="str">
        <f>IFERROR(__xludf.DUMMYFUNCTION("IF(REGEXMATCH(C330, ""G""), ""4"","""")"),"4")</f>
        <v>4</v>
      </c>
      <c r="AB330" s="245" t="str">
        <f>IFERROR(__xludf.DUMMYFUNCTION("IF(REGEXMATCH(C330, ""m""), ""5"","""")"),"5")</f>
        <v>5</v>
      </c>
      <c r="AC330" s="246" t="str">
        <f>IFERROR(__xludf.DUMMYFUNCTION("IF(REGEXMATCH(C330, ""M""), ""6"","""")"),"")</f>
        <v/>
      </c>
      <c r="AD330" s="245" t="str">
        <f>IFERROR(__xludf.DUMMYFUNCTION("IF(REGEXMATCH(C330, ""P""), ""7"","""")"),"7")</f>
        <v>7</v>
      </c>
      <c r="AE330" s="246" t="str">
        <f>IFERROR(__xludf.DUMMYFUNCTION("IF(REGEXMATCH(C330, ""d""), ""8"","""")"),"")</f>
        <v/>
      </c>
      <c r="AF330" s="245" t="str">
        <f>IFERROR(__xludf.DUMMYFUNCTION("IF(REGEXMATCH(C330, ""D""), ""9"","""")"),"9")</f>
        <v>9</v>
      </c>
      <c r="AG330" s="245" t="str">
        <f>IFERROR(__xludf.DUMMYFUNCTION("IF(REGEXMATCH(C330, ""n""), ""10"","""")"),"10")</f>
        <v>10</v>
      </c>
      <c r="AH330" s="246" t="str">
        <f>IFERROR(__xludf.DUMMYFUNCTION("IF(REGEXMATCH(C330, ""N""), ""11"","""")"),"11")</f>
        <v>11</v>
      </c>
      <c r="AI330" s="249" t="str">
        <f>IFERROR(__xludf.DUMMYFUNCTION("IF(REGEXMATCH(C330, ""S""), ""0"","""")"),"0")</f>
        <v>0</v>
      </c>
      <c r="AJ330" s="313" t="str">
        <f t="shared" si="11"/>
        <v>-</v>
      </c>
      <c r="AK330" s="313" t="str">
        <f t="shared" si="12"/>
        <v>-</v>
      </c>
      <c r="AL330" s="313" t="str">
        <f t="shared" si="13"/>
        <v>-</v>
      </c>
      <c r="AM330" s="313" t="str">
        <f t="shared" si="14"/>
        <v>-</v>
      </c>
      <c r="AN330" s="313" t="str">
        <f t="shared" si="15"/>
        <v>T</v>
      </c>
      <c r="AO330" s="314" t="str">
        <f t="shared" si="16"/>
        <v>T</v>
      </c>
      <c r="AP330" s="316">
        <f t="shared" si="17"/>
        <v>2</v>
      </c>
      <c r="AQ330" s="319" t="str">
        <f t="shared" si="18"/>
        <v>-</v>
      </c>
      <c r="AR330" s="320">
        <f t="shared" si="19"/>
        <v>0</v>
      </c>
      <c r="AS330" s="250" t="str">
        <f>IFERROR(__xludf.DUMMYFUNCTION("SUBSTITUTE(SUBSTITUTE(CONCATENATE(JOIN("""",FP330:GA330)),""|"",""x""),""-"",""o"")"),"xoxoxxoxoxxx")</f>
        <v>xoxoxxoxoxxx</v>
      </c>
      <c r="AT330" s="323" t="str">
        <f>IFERROR(__xludf.DUMMYFUNCTION("JOIN("""",AS330,AS330)"),"xoxoxxoxoxxxxoxoxxoxoxxx")</f>
        <v>xoxoxxoxoxxxxoxoxxoxoxxx</v>
      </c>
      <c r="AU330" s="256" t="str">
        <f>IFERROR(__xludf.DUMMYFUNCTION("JOIN("""",ArrayFormula(MID(AS330,LEN(AS330)-SEQUENCE(1,LEN(AS330))+1,1)))"),"xxxoxoxxoxox")</f>
        <v>xxxoxoxxoxox</v>
      </c>
      <c r="AV330" s="256" t="str">
        <f>IFERROR(__xludf.DUMMYFUNCTION("LEFT(CONCATENATE(""x"",JOIN("""",ArrayFormula(MID(AS330,LEN(AS330)-SEQUENCE(1,LEN(AS330))+1,1)))),12)"),"xxxxoxoxxoxo")</f>
        <v>xxxxoxoxxoxo</v>
      </c>
      <c r="AW330" s="327" t="str">
        <f>IFERROR(__xludf.DUMMYFUNCTION("JOIN("""",AU330,AU330)"),"xxxoxoxxoxoxxxxoxoxxoxox")</f>
        <v>xxxoxoxxoxoxxxxoxoxxoxox</v>
      </c>
      <c r="AX330" s="239" t="str">
        <f>IFERROR(__xludf.DUMMYFUNCTION("IF(REGEXMATCH(AW330,AS330),""✔"",""-"")"),"✔")</f>
        <v>✔</v>
      </c>
      <c r="AY330" s="330" t="str">
        <f t="shared" si="20"/>
        <v>-</v>
      </c>
      <c r="AZ330" s="260" t="str">
        <f t="shared" si="21"/>
        <v>#REF!</v>
      </c>
      <c r="BA330" s="333" t="str">
        <f t="shared" si="22"/>
        <v>xoxoxxo</v>
      </c>
      <c r="BB330" s="334" t="str">
        <f t="shared" si="23"/>
        <v>xoxxxx</v>
      </c>
      <c r="BC330" s="335" t="str">
        <f t="shared" si="236"/>
        <v>-</v>
      </c>
      <c r="BD330" s="336" t="str">
        <f t="shared" si="25"/>
        <v>Shukla Bilawal: 'xoxoxxo' + 'xoxxxx'</v>
      </c>
      <c r="BE330" s="337">
        <f>IFERROR(__xludf.DUMMYFUNCTION("COUNTUNIQUE(FILTER(AT:AT,REGEXMATCH(AT:AT,AS330)))-1"),3.0)</f>
        <v>3</v>
      </c>
      <c r="BF330" s="261" t="str">
        <f>IFERROR(__xludf.DUMMYFUNCTION("IF(BI330=0,""(n/a)"",IF(BJ330=2,""(PAIR)"",IF(REGEXMATCH(AT330,""xoxoxxoxoxox""),""Bilawal"",IF(REGEXMATCH(AT330,""xoxoxooxoxoo""),""Bhupali"",IF(REGEXMATCH(AT330,""xoxoxxoxxoxo""),""Charukeshi"",IF(REGEXMATCH(AT330,""xoxoooxxoxxo""),""Kameshwari"",IF(REG"&amp;"EXMATCH(AT330,""xoxoxooxoxox""),""Shankara"",IF(REGEXMATCH(AT330,""xxooxoxxxoox""),""Basant"",IF(REGEXMATCH(AT330,""xoxoxxxxoxox""),""Bihag"",IF(REGEXMATCH(AT330,""xoxxxxoxoxxx""),""Pilu"",IF(REGEXMATCH(AT330,""xoxxoxoxxoox""),""Kirwani"",IF(REGEXMATCH(AT"&amp;"330,""xoxxoxoxoxxx""),""Mk.Malhar"",IF(REGEXMATCH(AT330,""xxooxxoxxoox""),""Bhairav"",IF(REGEXMATCH(AT330,""xxoxooxxxoox""),""Todi"",IF(REGEXMATCH(AT330,""xxooxoxooxox""),""Marwa"",IF(REGEXMATCH(AT330,""xxoooxoxxooo""),""Gunkali"",IF(REGEXMATCH(AT330,""xo"&amp;"xoxxoxxoox""),""Nat Bhairav"",IF(REGEXMATCH(AT330,""xoxxoooxoxoo""),""Shivranjani"",IF(REGEXMATCH(AT330,""xooxxxoxooxo""),""Jog"",IF(REGEXMATCH(AT330,""xxooxoxoxoox""),""Hemshri"",IF(REGEXMATCH(AT330,""xoooxooxoxxo""),""Kalavati"",IF(REGEXMATCH(AT330,""xx"&amp;"oxoxxoxoox""),""Kedar"",IF(REGEXMATCH(AT330,""xoxxxxoxooxx""),""Gara"",IF(REGEXMATCH(AT330,""xooxoxooxoox""),""Chandrakauns"",IF(REGEXMATCH(AT330,""xoxxxxoxxxox""),""Mand"",IF(REGEXMATCH(AT330,""xoxxxxoxoxox""),""Hanskinkini"",IF(REGEXMATCH(AT330,""xxooxx"&amp;"oxooxo""),""Lilavati"",IF(REGEXMATCH(AT330,""xooxoxoooxox""),""Rajeshwari"",IF(REGEXMATCH(AT330,""xoooxxoxoxxx""),""Khokar"",IF(REGEXMATCH(AT330,""xxooxoxxxxox""),""Maligoura"",""-""))))))))))))))))))))))))))))))"),"Bihag")</f>
        <v>Bihag</v>
      </c>
      <c r="BG330" s="239" t="str">
        <f t="shared" si="26"/>
        <v>#REF!</v>
      </c>
      <c r="BH330" s="239">
        <f>IFERROR(__xludf.DUMMYFUNCTION("COUNTUNIQUE(FE330:FO330)-1"),7.0)</f>
        <v>7</v>
      </c>
      <c r="BI330" s="239">
        <f>IFERROR(__xludf.DUMMYFUNCTION("COUNTUNIQUE(FILTER(AT:AT,REGEXMATCH(AT:AT,AS330)))-1"),3.0)</f>
        <v>3</v>
      </c>
      <c r="BJ330" s="239">
        <f>IFERROR(__xludf.DUMMYFUNCTION("COUNTA(FILTER(AT:AT,REGEXMATCH(AT:AT,AS330)))"),36.0)</f>
        <v>36</v>
      </c>
      <c r="BK330" s="341">
        <f>IFERROR(__xludf.DUMMYFUNCTION("COUNTA(FILTER(AT:AT,REGEXMATCH(AT:AT,AS330)))-AR330"),36.0)</f>
        <v>36</v>
      </c>
      <c r="BL330" s="276" t="str">
        <f>IFERROR(__xludf.DUMMYFUNCTION("IF(AS330=""oooooooooooo"",""-"",IF(REGEXMATCH(AT330,""xx""), ""Hemi."", ""Anhemi.""))"),"Hemi.")</f>
        <v>Hemi.</v>
      </c>
      <c r="BM330" s="282" t="str">
        <f>IFERROR(__xludf.DUMMYFUNCTION("IF(AS330=""oooooooooooo"",""-"",IF(REGEXMATCH(AT330,""xxx""), ""Cohem."", ""-""))"),"Cohem.")</f>
        <v>Cohem.</v>
      </c>
      <c r="BN330" s="282" t="str">
        <f>IFERROR(__xludf.DUMMYFUNCTION("IF(AS330=""oooooooooooo"",""-"",IF(REGEXMATCH(AT330,""xxxx""), ""Co-Co."", ""-""))"),"Co-Co.")</f>
        <v>Co-Co.</v>
      </c>
      <c r="BO330" s="342" t="str">
        <f>IFERROR(__xludf.DUMMYFUNCTION("IF(AS330=""oooooooooooo"",""-"",IF(REGEXMATCH(AT330,""xxxxx""), ""CCC."", ""-""))"),"-")</f>
        <v>-</v>
      </c>
      <c r="BP330" s="344" t="str">
        <f t="shared" si="27"/>
        <v>-</v>
      </c>
      <c r="BQ330" s="282" t="str">
        <f>IFERROR(__xludf.DUMMYFUNCTION("IF(REGEXMATCH(JOIN(""-"",EU330:FD330),""TRUE""),""✔"",""-"")"),"-")</f>
        <v>-</v>
      </c>
      <c r="BR330" s="225">
        <f t="shared" si="28"/>
        <v>0</v>
      </c>
      <c r="BS330" s="345" t="str">
        <f>IFERROR(__xludf.DUMMYFUNCTION("SUBSTITUTE(SUBSTITUTE(SUBSTITUTE(SUBSTITUTE(CONCATENATE(JOIN(""-"",GC330:GO330)),""--"",""-""),""--"",""-""),""--"",""-""),""--"",""-"")"),"1-2-3-4-5-6-b7-7-8")</f>
        <v>1-2-3-4-5-6-b7-7-8</v>
      </c>
      <c r="BT330" s="299" t="str">
        <f>IFERROR(__xludf.DUMMYFUNCTION("SUBSTITUTE(SUBSTITUTE(SUBSTITUTE(SUBSTITUTE(CONCATENATE(JOIN(""-"",GP330:HB330)),""--"",""-""),""--"",""-""),""--"",""-""),""--"",""-"")"),"S-R2-G3-M1-P-D2-N2-N3-S")</f>
        <v>S-R2-G3-M1-P-D2-N2-N3-S</v>
      </c>
      <c r="BU330" s="348" t="str">
        <f t="shared" si="29"/>
        <v>C-D-E-F-G-A-Bb-B-C</v>
      </c>
      <c r="BV330" s="349" t="str">
        <f t="shared" si="30"/>
        <v>SrgMdS</v>
      </c>
      <c r="BW330" s="350">
        <f t="shared" si="31"/>
        <v>1</v>
      </c>
      <c r="BX330" s="351">
        <f t="shared" si="32"/>
        <v>15</v>
      </c>
      <c r="BY330" s="392"/>
      <c r="BZ330" s="309" t="str">
        <f>IFERROR(__xludf.DUMMYFUNCTION("IF(REGEXMATCH(C330, ""S""), ""x"",""x"")"),"x")</f>
        <v>x</v>
      </c>
      <c r="CA330" s="245" t="str">
        <f>IFERROR(__xludf.DUMMYFUNCTION("IF(REGEXMATCH(C330, ""r""), ""o"",""x"")"),"x")</f>
        <v>x</v>
      </c>
      <c r="CB330" s="246" t="str">
        <f>IFERROR(__xludf.DUMMYFUNCTION("IF(REGEXMATCH(C330, ""R""), ""o"",""x"")"),"o")</f>
        <v>o</v>
      </c>
      <c r="CC330" s="246" t="str">
        <f>IFERROR(__xludf.DUMMYFUNCTION("IF(REGEXMATCH(C330, ""g""), ""o"",""x"")"),"x")</f>
        <v>x</v>
      </c>
      <c r="CD330" s="245" t="str">
        <f>IFERROR(__xludf.DUMMYFUNCTION("IF(REGEXMATCH(C330, ""G""), ""o"",""x"")"),"o")</f>
        <v>o</v>
      </c>
      <c r="CE330" s="245" t="str">
        <f>IFERROR(__xludf.DUMMYFUNCTION("IF(REGEXMATCH(C330, ""m""), ""o"",""x"")"),"o")</f>
        <v>o</v>
      </c>
      <c r="CF330" s="246" t="str">
        <f>IFERROR(__xludf.DUMMYFUNCTION("IF(REGEXMATCH(C330, ""M""), ""o"",""x"")"),"x")</f>
        <v>x</v>
      </c>
      <c r="CG330" s="245" t="str">
        <f>IFERROR(__xludf.DUMMYFUNCTION("IF(REGEXMATCH(C330, ""P""), ""o"",""x"")"),"o")</f>
        <v>o</v>
      </c>
      <c r="CH330" s="246" t="str">
        <f>IFERROR(__xludf.DUMMYFUNCTION("IF(REGEXMATCH(C330, ""d""), ""o"",""x"")"),"x")</f>
        <v>x</v>
      </c>
      <c r="CI330" s="245" t="str">
        <f>IFERROR(__xludf.DUMMYFUNCTION("IF(REGEXMATCH(C330, ""D""), ""o"",""x"")"),"o")</f>
        <v>o</v>
      </c>
      <c r="CJ330" s="245" t="str">
        <f>IFERROR(__xludf.DUMMYFUNCTION("IF(REGEXMATCH(C330, ""n""), ""o"",""x"")"),"o")</f>
        <v>o</v>
      </c>
      <c r="CK330" s="245" t="str">
        <f>IFERROR(__xludf.DUMMYFUNCTION("IF(REGEXMATCH(C330, ""N""), ""o"",""x"")"),"o")</f>
        <v>o</v>
      </c>
      <c r="CL330" s="356" t="str">
        <f>IFERROR(__xludf.DUMMYFUNCTION("IF(REGEXMATCH(C330, ""S""), ""x"",""x"")"),"x")</f>
        <v>x</v>
      </c>
      <c r="CM330" s="357" t="str">
        <f t="shared" si="33"/>
        <v>xxoxooxoxooo</v>
      </c>
      <c r="CN330" s="358">
        <f t="shared" si="34"/>
        <v>1</v>
      </c>
      <c r="CO330" s="246" t="str">
        <f>IFERROR(__xludf.DUMMYFUNCTION("IF(REGEXMATCH($C330, ""S""), ""S"",""S"")"),"S")</f>
        <v>S</v>
      </c>
      <c r="CP330" s="246" t="str">
        <f>IFERROR(__xludf.DUMMYFUNCTION("IF(REGEXMATCH($C330, ""r""), """",""r"")"),"r")</f>
        <v>r</v>
      </c>
      <c r="CQ330" s="246" t="str">
        <f>IFERROR(__xludf.DUMMYFUNCTION("IF(REGEXMATCH($C330, ""R""), """",""R"")"),"")</f>
        <v/>
      </c>
      <c r="CR330" s="246" t="str">
        <f>IFERROR(__xludf.DUMMYFUNCTION("IF(REGEXMATCH($C330, ""g""), """",""g"")"),"g")</f>
        <v>g</v>
      </c>
      <c r="CS330" s="246" t="str">
        <f>IFERROR(__xludf.DUMMYFUNCTION("IF(REGEXMATCH($C330, ""G""), """",""G"")"),"")</f>
        <v/>
      </c>
      <c r="CT330" s="246" t="str">
        <f>IFERROR(__xludf.DUMMYFUNCTION("IF(REGEXMATCH($C330, ""m""), """",""m"")"),"")</f>
        <v/>
      </c>
      <c r="CU330" s="246" t="str">
        <f>IFERROR(__xludf.DUMMYFUNCTION("IF(REGEXMATCH($C330, ""M""), """",""M"")"),"M")</f>
        <v>M</v>
      </c>
      <c r="CV330" s="246" t="str">
        <f>IFERROR(__xludf.DUMMYFUNCTION("IF(REGEXMATCH($C330, ""P""), """",""P"")"),"")</f>
        <v/>
      </c>
      <c r="CW330" s="246" t="str">
        <f>IFERROR(__xludf.DUMMYFUNCTION("IF(REGEXMATCH($C330, ""d""), """",""d"")"),"d")</f>
        <v>d</v>
      </c>
      <c r="CX330" s="246" t="str">
        <f>IFERROR(__xludf.DUMMYFUNCTION("IF(REGEXMATCH($C330, ""D""), """",""D"")"),"")</f>
        <v/>
      </c>
      <c r="CY330" s="246" t="str">
        <f>IFERROR(__xludf.DUMMYFUNCTION("IF(REGEXMATCH($C330, ""n""), """",""n"")"),"")</f>
        <v/>
      </c>
      <c r="CZ330" s="246" t="str">
        <f>IFERROR(__xludf.DUMMYFUNCTION("IF(REGEXMATCH($C330, ""N""), """",""N"")"),"")</f>
        <v/>
      </c>
      <c r="DA330" s="246" t="str">
        <f>IFERROR(__xludf.DUMMYFUNCTION("IF(REGEXMATCH($C330, ""S""), ""S"",""S"")"),"S")</f>
        <v>S</v>
      </c>
      <c r="DB330" s="362" t="str">
        <f>IFERROR(__xludf.DUMMYFUNCTION("JOIN("""",CO330:DA330,"""","""")"),"SrgMdS")</f>
        <v>SrgMdS</v>
      </c>
      <c r="DC330" s="363"/>
      <c r="DD330" s="301" t="str">
        <f t="shared" si="35"/>
        <v>#REF!</v>
      </c>
      <c r="DE330" s="302" t="str">
        <f t="shared" si="36"/>
        <v>#REF!</v>
      </c>
      <c r="DF330" s="301" t="str">
        <f t="shared" ref="DF330:DG330" si="891">SUBSTITUTE(S330,"-","")</f>
        <v>SRGM</v>
      </c>
      <c r="DG330" s="301" t="str">
        <f t="shared" si="891"/>
        <v>PDNS</v>
      </c>
      <c r="DH330" s="302" t="str">
        <f t="shared" si="38"/>
        <v>Bihag</v>
      </c>
      <c r="DI330" s="301" t="str">
        <f t="shared" si="39"/>
        <v>Hemi.</v>
      </c>
      <c r="DJ330" s="364" t="str">
        <f t="shared" si="40"/>
        <v>Co-Co.</v>
      </c>
      <c r="DK330" s="306" t="str">
        <f t="shared" si="41"/>
        <v>-</v>
      </c>
      <c r="DL330" s="366" t="str">
        <f t="shared" si="42"/>
        <v>-</v>
      </c>
      <c r="DM330" s="308" t="str">
        <f t="shared" si="43"/>
        <v>✔</v>
      </c>
      <c r="DN330" s="306" t="str">
        <f t="shared" si="44"/>
        <v>-</v>
      </c>
      <c r="DO330" s="306" t="str">
        <f t="shared" si="45"/>
        <v>-</v>
      </c>
      <c r="DP330" s="367" t="str">
        <f t="shared" si="46"/>
        <v>-</v>
      </c>
      <c r="DQ330" s="310" t="str">
        <f t="shared" si="47"/>
        <v>-</v>
      </c>
      <c r="DR330" s="310" t="str">
        <f t="shared" si="48"/>
        <v>-</v>
      </c>
      <c r="DS330" s="310" t="str">
        <f t="shared" si="49"/>
        <v>-</v>
      </c>
      <c r="DT330" s="310" t="str">
        <f t="shared" si="50"/>
        <v>-</v>
      </c>
      <c r="DU330" s="370" t="str">
        <f t="shared" si="51"/>
        <v>✔</v>
      </c>
      <c r="DV330" s="306" t="str">
        <f t="shared" si="52"/>
        <v>-</v>
      </c>
      <c r="DW330" s="306" t="str">
        <f t="shared" si="53"/>
        <v>-</v>
      </c>
      <c r="DX330" s="306" t="str">
        <f t="shared" si="54"/>
        <v>-</v>
      </c>
      <c r="DY330" s="306" t="str">
        <f t="shared" si="55"/>
        <v>-</v>
      </c>
      <c r="DZ330" s="306" t="str">
        <f t="shared" si="56"/>
        <v>-</v>
      </c>
      <c r="EA330" s="367" t="str">
        <f t="shared" si="57"/>
        <v>-</v>
      </c>
      <c r="EB330" s="310" t="str">
        <f>IFERROR(__xludf.DUMMYFUNCTION("IF(REGEXMATCH(AW330,AS330),""✔"",""-"")"),"✔")</f>
        <v>✔</v>
      </c>
      <c r="EC330" s="310" t="str">
        <f t="shared" si="58"/>
        <v>#REF!</v>
      </c>
      <c r="ED330" s="370" t="str">
        <f t="shared" si="59"/>
        <v>-</v>
      </c>
      <c r="EE330" s="340" t="str">
        <f t="shared" si="60"/>
        <v>S-R-G-m-P-D-nN-S</v>
      </c>
      <c r="EF330" s="371" t="str">
        <f>IFERROR(__xludf.DUMMYFUNCTION("CONCATENATE(JOIN("""",HC330:HO330))"),"SrRgmPdnS")</f>
        <v>SrRgmPdnS</v>
      </c>
      <c r="EG330" s="372">
        <f t="shared" si="61"/>
        <v>1</v>
      </c>
      <c r="EH330" s="373" t="str">
        <f>IFERROR(__xludf.DUMMYFUNCTION("CONCATENATE(JOIN("""",JC330:JO330))"),"Ni, ")</f>
        <v>Ni, </v>
      </c>
      <c r="EI330" s="322">
        <f t="shared" si="62"/>
        <v>0</v>
      </c>
      <c r="EJ330" s="374" t="str">
        <f>IFERROR(__xludf.DUMMYFUNCTION("CONCATENATE(JOIN("""",KC330:KO330))"),"")</f>
        <v/>
      </c>
      <c r="EK330" s="325" t="str">
        <f t="shared" si="63"/>
        <v>S-R2-G3-M1-P-D2-N2-N3-S</v>
      </c>
      <c r="EL330" s="326" t="str">
        <f t="shared" si="64"/>
        <v>1-2-3-4-5-6-b7-7-8</v>
      </c>
      <c r="EM330" s="318" t="str">
        <f t="shared" si="65"/>
        <v>#REF!</v>
      </c>
      <c r="EN330" s="328" t="str">
        <f>IFERROR(__xludf.DUMMYFUNCTION("SUBSTITUTE(SUBSTITUTE(SUBSTITUTE(SUBSTITUTE(CONCATENATE(JOIN("" "",HP330:IB330)),""  "","" ""),""  "","" ""),""  "","" ""),""  "","" "")"),"o • o • o o • o • o o o o")</f>
        <v>o • o • o o • o • o o o o</v>
      </c>
      <c r="EO330" s="368" t="str">
        <f t="shared" si="66"/>
        <v>-</v>
      </c>
      <c r="EP330" s="339" t="str">
        <f t="shared" si="67"/>
        <v>-</v>
      </c>
      <c r="EQ330" s="339" t="str">
        <f t="shared" si="68"/>
        <v>Sa-Pa</v>
      </c>
      <c r="ER330" s="339" t="str">
        <f t="shared" si="69"/>
        <v>-</v>
      </c>
      <c r="ES330" s="340" t="str">
        <f t="shared" si="70"/>
        <v>-</v>
      </c>
      <c r="ET330" s="363"/>
      <c r="EU330" s="376" t="b">
        <f>IFERROR(__xludf.DUMMYFUNCTION("arrayformula(sum(--REGEXMATCH(""SRGMPDNS"",split(REGEXREPLACE(C330,""(.)"",""$1~""),""~""))))=len(C330)
"),FALSE)</f>
        <v>0</v>
      </c>
      <c r="EV330" s="290" t="b">
        <f>IFERROR(__xludf.DUMMYFUNCTION("arrayformula(sum(--REGEXMATCH(""SRGmPDNS"",split(REGEXREPLACE(C330,""(.)"",""$1~""),""~""))))=len(C330)"),FALSE)</f>
        <v>0</v>
      </c>
      <c r="EW330" s="290" t="b">
        <f>IFERROR(__xludf.DUMMYFUNCTION("arrayformula(sum(--REGEXMATCH(""SRGmPDnS"",split(REGEXREPLACE(C330,""(.)"",""$1~""),""~""))))=len(C330)"),FALSE)</f>
        <v>0</v>
      </c>
      <c r="EX330" s="290" t="b">
        <f>IFERROR(__xludf.DUMMYFUNCTION("arrayformula(sum(--REGEXMATCH(""SRgmPDnS"",split(REGEXREPLACE(C330,""(.)"",""$1~""),""~""))))=len(C330)"),FALSE)</f>
        <v>0</v>
      </c>
      <c r="EY330" s="290" t="b">
        <f>IFERROR(__xludf.DUMMYFUNCTION("arrayformula(sum(--REGEXMATCH(""SRgmPdnS"",split(REGEXREPLACE(C330,""(.)"",""$1~""),""~""))))=len(C330)"),FALSE)</f>
        <v>0</v>
      </c>
      <c r="EZ330" s="290" t="b">
        <f>IFERROR(__xludf.DUMMYFUNCTION("arrayformula(sum(--REGEXMATCH(""SrgmPdnS"",split(REGEXREPLACE(C330,""(.)"",""$1~""),""~""))))=len(C330)"),FALSE)</f>
        <v>0</v>
      </c>
      <c r="FA330" s="290" t="b">
        <f>IFERROR(__xludf.DUMMYFUNCTION("arrayformula(sum(--REGEXMATCH(""SrGmPdNS"",split(REGEXREPLACE(C330,""(.)"",""$1~""),""~""))))=len(C330)"),FALSE)</f>
        <v>0</v>
      </c>
      <c r="FB330" s="290" t="b">
        <f>IFERROR(__xludf.DUMMYFUNCTION("arrayformula(sum(--REGEXMATCH(""SrGMPDNS"",split(REGEXREPLACE(C330,""(.)"",""$1~""),""~""))))=len(C330)"),FALSE)</f>
        <v>0</v>
      </c>
      <c r="FC330" s="290" t="b">
        <f>IFERROR(__xludf.DUMMYFUNCTION("arrayformula(sum(--REGEXMATCH(""SrGMPdNS"",split(REGEXREPLACE(C330,""(.)"",""$1~""),""~""))))=len(C330)"),FALSE)</f>
        <v>0</v>
      </c>
      <c r="FD330" s="377" t="b">
        <f>IFERROR(__xludf.DUMMYFUNCTION("arrayformula(sum(--REGEXMATCH(""SrgMPdNS"",split(REGEXREPLACE(C330,""(.)"",""$1~""),""~""))))=len(C330)"),FALSE)</f>
        <v>0</v>
      </c>
      <c r="FE330" s="269" t="str">
        <f t="shared" si="71"/>
        <v>-</v>
      </c>
      <c r="FF330" s="269" t="str">
        <f t="shared" si="72"/>
        <v>xoxxoxoxxxx</v>
      </c>
      <c r="FG330" s="271" t="str">
        <f t="shared" si="73"/>
        <v>-</v>
      </c>
      <c r="FH330" s="269" t="str">
        <f t="shared" si="74"/>
        <v>xxoxoxxxxox</v>
      </c>
      <c r="FI330" s="271" t="str">
        <f t="shared" si="75"/>
        <v>xoxoxxxxoxo</v>
      </c>
      <c r="FJ330" s="271" t="str">
        <f t="shared" si="76"/>
        <v>-</v>
      </c>
      <c r="FK330" s="271" t="str">
        <f t="shared" si="77"/>
        <v>xoxxxxoxoxx</v>
      </c>
      <c r="FL330" s="271" t="str">
        <f t="shared" si="78"/>
        <v>-</v>
      </c>
      <c r="FM330" s="271" t="str">
        <f t="shared" si="79"/>
        <v>xxxxoxoxxox</v>
      </c>
      <c r="FN330" s="271" t="str">
        <f t="shared" si="80"/>
        <v>xxxoxoxxoxo</v>
      </c>
      <c r="FO330" s="274" t="str">
        <f t="shared" si="81"/>
        <v>xxoxoxxoxox</v>
      </c>
      <c r="FP330" s="234" t="str">
        <f t="shared" si="82"/>
        <v>|</v>
      </c>
      <c r="FQ330" s="236" t="str">
        <f t="shared" si="83"/>
        <v>-</v>
      </c>
      <c r="FR330" s="237" t="str">
        <f t="shared" si="84"/>
        <v>|</v>
      </c>
      <c r="FS330" s="236" t="str">
        <f t="shared" si="85"/>
        <v>-</v>
      </c>
      <c r="FT330" s="237" t="str">
        <f t="shared" si="86"/>
        <v>|</v>
      </c>
      <c r="FU330" s="236" t="str">
        <f t="shared" si="87"/>
        <v>|</v>
      </c>
      <c r="FV330" s="237" t="str">
        <f t="shared" si="88"/>
        <v>-</v>
      </c>
      <c r="FW330" s="236" t="str">
        <f t="shared" si="89"/>
        <v>|</v>
      </c>
      <c r="FX330" s="237" t="str">
        <f t="shared" si="90"/>
        <v>-</v>
      </c>
      <c r="FY330" s="236" t="str">
        <f t="shared" si="91"/>
        <v>|</v>
      </c>
      <c r="FZ330" s="237" t="str">
        <f t="shared" si="92"/>
        <v>|</v>
      </c>
      <c r="GA330" s="236" t="str">
        <f t="shared" si="93"/>
        <v>|</v>
      </c>
      <c r="GB330" s="238" t="str">
        <f t="shared" si="94"/>
        <v>|</v>
      </c>
      <c r="GC330" s="244" t="str">
        <f>IFERROR(__xludf.DUMMYFUNCTION("IF(REGEXMATCH(C330, ""S""), ""1"","""")"),"1")</f>
        <v>1</v>
      </c>
      <c r="GD330" s="245" t="str">
        <f>IFERROR(__xludf.DUMMYFUNCTION("IF(REGEXMATCH(C330, ""r""), ""b2"","""")"),"")</f>
        <v/>
      </c>
      <c r="GE330" s="246" t="str">
        <f>IFERROR(__xludf.DUMMYFUNCTION("IF(REGEXMATCH(C330, ""R""), ""2"","""")"),"2")</f>
        <v>2</v>
      </c>
      <c r="GF330" s="246" t="str">
        <f>IFERROR(__xludf.DUMMYFUNCTION("IF(REGEXMATCH(C330, ""g""), ""b3"","""")"),"")</f>
        <v/>
      </c>
      <c r="GG330" s="245" t="str">
        <f>IFERROR(__xludf.DUMMYFUNCTION("IF(REGEXMATCH(C330, ""G""), ""3"","""")"),"3")</f>
        <v>3</v>
      </c>
      <c r="GH330" s="245" t="str">
        <f>IFERROR(__xludf.DUMMYFUNCTION("IF(REGEXMATCH(C330, ""m""), ""4"","""")"),"4")</f>
        <v>4</v>
      </c>
      <c r="GI330" s="246" t="str">
        <f>IFERROR(__xludf.DUMMYFUNCTION("IF(REGEXMATCH(C330, ""M""), ""#4"","""")"),"")</f>
        <v/>
      </c>
      <c r="GJ330" s="245" t="str">
        <f>IFERROR(__xludf.DUMMYFUNCTION("IF(REGEXMATCH(C330, ""P""), ""5"","""")"),"5")</f>
        <v>5</v>
      </c>
      <c r="GK330" s="246" t="str">
        <f>IFERROR(__xludf.DUMMYFUNCTION("IF(REGEXMATCH(C330, ""d""), ""b6"","""")"),"")</f>
        <v/>
      </c>
      <c r="GL330" s="245" t="str">
        <f>IFERROR(__xludf.DUMMYFUNCTION("IF(REGEXMATCH(C330, ""D""), ""6"","""")"),"6")</f>
        <v>6</v>
      </c>
      <c r="GM330" s="245" t="str">
        <f>IFERROR(__xludf.DUMMYFUNCTION("IF(REGEXMATCH(C330, ""n""), ""b7"","""")"),"b7")</f>
        <v>b7</v>
      </c>
      <c r="GN330" s="246" t="str">
        <f>IFERROR(__xludf.DUMMYFUNCTION("IF(REGEXMATCH(C330, ""N""), ""7"","""")"),"7")</f>
        <v>7</v>
      </c>
      <c r="GO330" s="249" t="str">
        <f>IFERROR(__xludf.DUMMYFUNCTION("IF(REGEXMATCH(C330, ""S""), ""8"","""")"),"8")</f>
        <v>8</v>
      </c>
      <c r="GP330" s="244" t="str">
        <f>IFERROR(__xludf.DUMMYFUNCTION("IF(REGEXMATCH(C330, ""S""), ""S"","""")"),"S")</f>
        <v>S</v>
      </c>
      <c r="GQ330" s="294" t="str">
        <f>IFERROR(__xludf.DUMMYFUNCTION("IF(REGEXMATCH(C330, ""r""), ""R1"","""")"),"")</f>
        <v/>
      </c>
      <c r="GR330" s="295" t="str">
        <f>IFERROR(__xludf.DUMMYFUNCTION("IF(REGEXMATCH(C330, ""R""), ""R2"","""")"),"R2")</f>
        <v>R2</v>
      </c>
      <c r="GS330" s="295" t="str">
        <f>IFERROR(__xludf.DUMMYFUNCTION("IF(REGEXMATCH(C330, ""g""), ""G2"","""")"),"")</f>
        <v/>
      </c>
      <c r="GT330" s="294" t="str">
        <f>IFERROR(__xludf.DUMMYFUNCTION("IF(REGEXMATCH(C330, ""G""), ""G3"","""")"),"G3")</f>
        <v>G3</v>
      </c>
      <c r="GU330" s="294" t="str">
        <f>IFERROR(__xludf.DUMMYFUNCTION("IF(REGEXMATCH(C330, ""m""), ""M1"","""")"),"M1")</f>
        <v>M1</v>
      </c>
      <c r="GV330" s="295" t="str">
        <f>IFERROR(__xludf.DUMMYFUNCTION("IF(REGEXMATCH(C330, ""M""), ""M2"","""")"),"")</f>
        <v/>
      </c>
      <c r="GW330" s="294" t="str">
        <f>IFERROR(__xludf.DUMMYFUNCTION("IF(REGEXMATCH(C330, ""P""), ""P"","""")"),"P")</f>
        <v>P</v>
      </c>
      <c r="GX330" s="295" t="str">
        <f>IFERROR(__xludf.DUMMYFUNCTION("IF(REGEXMATCH(C330, ""d""), ""D1"","""")"),"")</f>
        <v/>
      </c>
      <c r="GY330" s="294" t="str">
        <f>IFERROR(__xludf.DUMMYFUNCTION("IF(REGEXMATCH(C330, ""D""), ""D2"","""")"),"D2")</f>
        <v>D2</v>
      </c>
      <c r="GZ330" s="294" t="str">
        <f>IFERROR(__xludf.DUMMYFUNCTION("IF(REGEXMATCH(C330, ""n""), ""N2"","""")"),"N2")</f>
        <v>N2</v>
      </c>
      <c r="HA330" s="295" t="str">
        <f>IFERROR(__xludf.DUMMYFUNCTION("IF(REGEXMATCH(C330, ""N""), ""N3"","""")"),"N3")</f>
        <v>N3</v>
      </c>
      <c r="HB330" s="249" t="str">
        <f>IFERROR(__xludf.DUMMYFUNCTION("IF(REGEXMATCH(C330, ""S""), ""S"","""")"),"S")</f>
        <v>S</v>
      </c>
      <c r="HC330" s="331" t="str">
        <f t="shared" si="95"/>
        <v>S</v>
      </c>
      <c r="HD330" s="332" t="str">
        <f t="shared" si="96"/>
        <v>r</v>
      </c>
      <c r="HE330" s="332" t="str">
        <f t="shared" si="97"/>
        <v>R</v>
      </c>
      <c r="HF330" s="332" t="str">
        <f t="shared" si="98"/>
        <v>g</v>
      </c>
      <c r="HG330" s="332" t="str">
        <f t="shared" si="99"/>
        <v/>
      </c>
      <c r="HH330" s="332" t="str">
        <f t="shared" si="100"/>
        <v>m</v>
      </c>
      <c r="HI330" s="332" t="str">
        <f t="shared" si="101"/>
        <v/>
      </c>
      <c r="HJ330" s="332" t="str">
        <f t="shared" si="102"/>
        <v>P</v>
      </c>
      <c r="HK330" s="332" t="str">
        <f t="shared" si="103"/>
        <v>d</v>
      </c>
      <c r="HL330" s="332" t="str">
        <f t="shared" si="104"/>
        <v/>
      </c>
      <c r="HM330" s="332" t="str">
        <f t="shared" si="105"/>
        <v>n</v>
      </c>
      <c r="HN330" s="332" t="str">
        <f t="shared" si="106"/>
        <v/>
      </c>
      <c r="HO330" s="343" t="str">
        <f t="shared" si="107"/>
        <v>S</v>
      </c>
      <c r="HP330" s="331" t="str">
        <f t="shared" si="108"/>
        <v>o</v>
      </c>
      <c r="HQ330" s="332" t="str">
        <f t="shared" si="109"/>
        <v>•</v>
      </c>
      <c r="HR330" s="332" t="str">
        <f t="shared" si="110"/>
        <v>o</v>
      </c>
      <c r="HS330" s="332" t="str">
        <f t="shared" si="111"/>
        <v>•</v>
      </c>
      <c r="HT330" s="332" t="str">
        <f t="shared" si="112"/>
        <v>o</v>
      </c>
      <c r="HU330" s="332" t="str">
        <f t="shared" si="113"/>
        <v>o</v>
      </c>
      <c r="HV330" s="332" t="str">
        <f t="shared" si="114"/>
        <v>•</v>
      </c>
      <c r="HW330" s="332" t="str">
        <f t="shared" si="115"/>
        <v>o</v>
      </c>
      <c r="HX330" s="332" t="str">
        <f t="shared" si="116"/>
        <v>•</v>
      </c>
      <c r="HY330" s="332" t="str">
        <f t="shared" si="117"/>
        <v>o</v>
      </c>
      <c r="HZ330" s="332" t="str">
        <f t="shared" si="118"/>
        <v>o</v>
      </c>
      <c r="IA330" s="332" t="str">
        <f t="shared" si="119"/>
        <v>o</v>
      </c>
      <c r="IB330" s="338" t="str">
        <f t="shared" si="120"/>
        <v>o</v>
      </c>
      <c r="IC330" s="331" t="str">
        <f t="shared" si="121"/>
        <v>•</v>
      </c>
      <c r="ID330" s="332" t="str">
        <f t="shared" si="122"/>
        <v>o</v>
      </c>
      <c r="IE330" s="332" t="str">
        <f t="shared" si="123"/>
        <v>•</v>
      </c>
      <c r="IF330" s="332" t="str">
        <f t="shared" si="124"/>
        <v>o</v>
      </c>
      <c r="IG330" s="332" t="str">
        <f t="shared" si="125"/>
        <v>•</v>
      </c>
      <c r="IH330" s="332" t="str">
        <f t="shared" si="126"/>
        <v>•</v>
      </c>
      <c r="II330" s="332" t="str">
        <f t="shared" si="127"/>
        <v>o</v>
      </c>
      <c r="IJ330" s="332" t="str">
        <f t="shared" si="128"/>
        <v>•</v>
      </c>
      <c r="IK330" s="332" t="str">
        <f t="shared" si="129"/>
        <v>o</v>
      </c>
      <c r="IL330" s="332" t="str">
        <f t="shared" si="130"/>
        <v>•</v>
      </c>
      <c r="IM330" s="332" t="str">
        <f t="shared" si="131"/>
        <v>•</v>
      </c>
      <c r="IN330" s="332" t="str">
        <f t="shared" si="132"/>
        <v>•</v>
      </c>
      <c r="IO330" s="338" t="str">
        <f t="shared" si="133"/>
        <v>•</v>
      </c>
      <c r="IP330" s="346" t="b">
        <f t="shared" si="134"/>
        <v>0</v>
      </c>
      <c r="IQ330" s="347" t="b">
        <f t="shared" si="135"/>
        <v>0</v>
      </c>
      <c r="IR330" s="347" t="b">
        <f t="shared" si="136"/>
        <v>0</v>
      </c>
      <c r="IS330" s="347" t="b">
        <f t="shared" si="137"/>
        <v>0</v>
      </c>
      <c r="IT330" s="347" t="b">
        <f t="shared" si="138"/>
        <v>0</v>
      </c>
      <c r="IU330" s="347" t="b">
        <f t="shared" si="139"/>
        <v>0</v>
      </c>
      <c r="IV330" s="347" t="b">
        <f t="shared" si="140"/>
        <v>0</v>
      </c>
      <c r="IW330" s="347" t="b">
        <f t="shared" si="141"/>
        <v>0</v>
      </c>
      <c r="IX330" s="347" t="b">
        <f t="shared" si="142"/>
        <v>0</v>
      </c>
      <c r="IY330" s="347" t="b">
        <f t="shared" si="143"/>
        <v>0</v>
      </c>
      <c r="IZ330" s="347" t="b">
        <f t="shared" si="144"/>
        <v>0</v>
      </c>
      <c r="JA330" s="347" t="b">
        <f t="shared" si="145"/>
        <v>1</v>
      </c>
      <c r="JB330" s="353" t="b">
        <f t="shared" si="146"/>
        <v>0</v>
      </c>
      <c r="JC330" s="354" t="str">
        <f t="shared" si="147"/>
        <v/>
      </c>
      <c r="JD330" s="355" t="str">
        <f t="shared" si="148"/>
        <v/>
      </c>
      <c r="JE330" s="355" t="str">
        <f t="shared" si="149"/>
        <v/>
      </c>
      <c r="JF330" s="355" t="str">
        <f t="shared" si="150"/>
        <v/>
      </c>
      <c r="JG330" s="355" t="str">
        <f t="shared" si="151"/>
        <v/>
      </c>
      <c r="JH330" s="355" t="str">
        <f t="shared" si="152"/>
        <v/>
      </c>
      <c r="JI330" s="355" t="str">
        <f t="shared" si="153"/>
        <v/>
      </c>
      <c r="JJ330" s="355" t="str">
        <f t="shared" si="154"/>
        <v/>
      </c>
      <c r="JK330" s="355" t="str">
        <f t="shared" si="155"/>
        <v/>
      </c>
      <c r="JL330" s="355" t="str">
        <f t="shared" si="156"/>
        <v/>
      </c>
      <c r="JM330" s="355" t="str">
        <f t="shared" si="157"/>
        <v/>
      </c>
      <c r="JN330" s="355" t="str">
        <f t="shared" si="158"/>
        <v>Ni, </v>
      </c>
      <c r="JO330" s="359" t="str">
        <f t="shared" si="159"/>
        <v/>
      </c>
      <c r="JP330" s="346" t="b">
        <f t="shared" si="160"/>
        <v>0</v>
      </c>
      <c r="JQ330" s="347" t="b">
        <f t="shared" si="161"/>
        <v>0</v>
      </c>
      <c r="JR330" s="347" t="b">
        <f t="shared" si="162"/>
        <v>0</v>
      </c>
      <c r="JS330" s="347" t="b">
        <f t="shared" si="163"/>
        <v>0</v>
      </c>
      <c r="JT330" s="347" t="b">
        <f t="shared" si="164"/>
        <v>0</v>
      </c>
      <c r="JU330" s="347" t="b">
        <f t="shared" si="165"/>
        <v>0</v>
      </c>
      <c r="JV330" s="347" t="b">
        <f t="shared" si="166"/>
        <v>0</v>
      </c>
      <c r="JW330" s="347" t="b">
        <f t="shared" si="167"/>
        <v>0</v>
      </c>
      <c r="JX330" s="347" t="b">
        <f t="shared" si="168"/>
        <v>0</v>
      </c>
      <c r="JY330" s="347" t="b">
        <f t="shared" si="169"/>
        <v>0</v>
      </c>
      <c r="JZ330" s="347" t="b">
        <f t="shared" si="170"/>
        <v>0</v>
      </c>
      <c r="KA330" s="347" t="b">
        <f t="shared" si="171"/>
        <v>0</v>
      </c>
      <c r="KB330" s="365" t="b">
        <f t="shared" si="172"/>
        <v>0</v>
      </c>
      <c r="KC330" s="354" t="str">
        <f t="shared" si="173"/>
        <v/>
      </c>
      <c r="KD330" s="355" t="str">
        <f t="shared" si="174"/>
        <v/>
      </c>
      <c r="KE330" s="355" t="str">
        <f t="shared" si="175"/>
        <v/>
      </c>
      <c r="KF330" s="355" t="str">
        <f t="shared" si="176"/>
        <v/>
      </c>
      <c r="KG330" s="355" t="str">
        <f t="shared" si="177"/>
        <v/>
      </c>
      <c r="KH330" s="355" t="str">
        <f t="shared" si="178"/>
        <v/>
      </c>
      <c r="KI330" s="355" t="str">
        <f t="shared" si="179"/>
        <v/>
      </c>
      <c r="KJ330" s="355" t="str">
        <f t="shared" si="180"/>
        <v/>
      </c>
      <c r="KK330" s="355" t="str">
        <f t="shared" si="181"/>
        <v/>
      </c>
      <c r="KL330" s="355" t="str">
        <f t="shared" si="182"/>
        <v/>
      </c>
      <c r="KM330" s="355" t="str">
        <f t="shared" si="183"/>
        <v/>
      </c>
      <c r="KN330" s="355" t="str">
        <f t="shared" si="184"/>
        <v/>
      </c>
      <c r="KO330" s="359"/>
      <c r="KP330" s="378"/>
      <c r="KQ330" s="379" t="s">
        <v>9</v>
      </c>
      <c r="KR330" s="380" t="s">
        <v>9</v>
      </c>
      <c r="KS330" s="381" t="s">
        <v>9</v>
      </c>
      <c r="KT330" s="382">
        <f t="shared" si="186"/>
        <v>0</v>
      </c>
      <c r="KU330" s="383">
        <f t="shared" si="187"/>
        <v>0</v>
      </c>
      <c r="KV330" s="381" t="str">
        <f t="shared" si="205"/>
        <v>S</v>
      </c>
      <c r="KW330" s="382">
        <f t="shared" si="189"/>
        <v>0</v>
      </c>
      <c r="KX330" s="384">
        <f t="shared" si="190"/>
        <v>0</v>
      </c>
      <c r="KY330" s="382">
        <f t="shared" ref="KY330:KZ330" si="892">KW330-KT330</f>
        <v>0</v>
      </c>
      <c r="KZ330" s="369">
        <f t="shared" si="892"/>
        <v>0</v>
      </c>
      <c r="LA330" s="385" t="str">
        <f t="shared" si="192"/>
        <v>✔</v>
      </c>
      <c r="LB330" s="340" t="str">
        <f>IFERROR(__xludf.DUMMYFUNCTION("JOIN("""",ArrayFormula(MID(KS330,LEN(KS330)-SEQUENCE(1,LEN(KS330))+1,1)))"),"S")</f>
        <v>S</v>
      </c>
      <c r="LC330" s="373" t="str">
        <f>IFERROR(__xludf.DUMMYFUNCTION("JOIN("""",ArrayFormula(MID(KV330,LEN(KV330)-SEQUENCE(1,LEN(KV330))+1,1)))"),"S")</f>
        <v>S</v>
      </c>
      <c r="LD330" s="373" t="str">
        <f t="shared" si="193"/>
        <v>S</v>
      </c>
      <c r="LE330" s="339" t="str">
        <f t="shared" si="194"/>
        <v>S</v>
      </c>
      <c r="LF330" s="386" t="str">
        <f>IFERROR(__xludf.DUMMYFUNCTION("SUBSTITUTE(SUBSTITUTE(CONCATENATE(JOIN("""",LH330:LT330)),""1"",""""),""2"","""")"),"SS")</f>
        <v>SS</v>
      </c>
      <c r="LG330" s="369" t="str">
        <f t="shared" si="195"/>
        <v>-</v>
      </c>
      <c r="LH330" s="387" t="str">
        <f>IFERROR(__xludf.DUMMYFUNCTION("IF(REGEXMATCH(LD330, ""S""), ""S"",IF(REGEXMATCH(LE330, ""S""), ""S"",""""))"),"S")</f>
        <v>S</v>
      </c>
      <c r="LI330" s="299" t="str">
        <f>IFERROR(__xludf.DUMMYFUNCTION("IF(REGEXMATCH(LD330, ""r""), ""r1"",IF(REGEXMATCH(LE330, ""r""), ""r2"",""""))"),"")</f>
        <v/>
      </c>
      <c r="LJ330" s="299" t="str">
        <f>IFERROR(__xludf.DUMMYFUNCTION("IF(REGEXMATCH(LD330, ""R""), ""R1"",IF(REGEXMATCH(LE330, ""R""), ""R2"",""""))"),"")</f>
        <v/>
      </c>
      <c r="LK330" s="299" t="str">
        <f>IFERROR(__xludf.DUMMYFUNCTION("IF(REGEXMATCH(LD330, ""g""), ""g1"",IF(REGEXMATCH(LE330, ""g""), ""g2"",""""))"),"")</f>
        <v/>
      </c>
      <c r="LL330" s="299" t="str">
        <f>IFERROR(__xludf.DUMMYFUNCTION("IF(REGEXMATCH(LD330, ""G""), ""G1"",IF(REGEXMATCH(LE330, ""G""), ""G2"",""""))"),"")</f>
        <v/>
      </c>
      <c r="LM330" s="299" t="str">
        <f>IFERROR(__xludf.DUMMYFUNCTION("IF(REGEXMATCH(LD330, ""m""), ""m1"",IF(REGEXMATCH(LE330, ""m""), ""m2"",""""))"),"")</f>
        <v/>
      </c>
      <c r="LN330" s="299" t="str">
        <f>IFERROR(__xludf.DUMMYFUNCTION("IF(REGEXMATCH(LD330, ""M""), ""M1"",IF(REGEXMATCH(LE330, ""M""), ""M2"",""""))"),"")</f>
        <v/>
      </c>
      <c r="LO330" s="299" t="str">
        <f>IFERROR(__xludf.DUMMYFUNCTION("IF(REGEXMATCH(LD330, ""P""), ""P1"",IF(REGEXMATCH(LE330, ""P""), ""P2"",""""))"),"")</f>
        <v/>
      </c>
      <c r="LP330" s="299" t="str">
        <f>IFERROR(__xludf.DUMMYFUNCTION("IF(REGEXMATCH(LD330, ""d""), ""d1"",IF(REGEXMATCH(LE330, ""d""), ""d2"",""""))"),"")</f>
        <v/>
      </c>
      <c r="LQ330" s="299" t="str">
        <f>IFERROR(__xludf.DUMMYFUNCTION("IF(REGEXMATCH(LD330, ""D""), ""D1"",IF(REGEXMATCH(LE330, ""D""), ""D2"",""""))"),"")</f>
        <v/>
      </c>
      <c r="LR330" s="299" t="str">
        <f>IFERROR(__xludf.DUMMYFUNCTION("IF(REGEXMATCH(LD330, ""n""), ""n1"",IF(REGEXMATCH(LE330, ""n""), ""n2"",""""))"),"")</f>
        <v/>
      </c>
      <c r="LS330" s="299" t="str">
        <f>IFERROR(__xludf.DUMMYFUNCTION("IF(REGEXMATCH(LD330, ""N""), ""N1"",IF(REGEXMATCH(LE330, ""N""), ""N2"",""""))"),"")</f>
        <v/>
      </c>
      <c r="LT330" s="388" t="str">
        <f>IFERROR(__xludf.DUMMYFUNCTION("IF(REGEXMATCH(LD330, ""S""), ""S"",IF(REGEXMATCH(LE330, ""S""), ""S"",""""))"),"S")</f>
        <v>S</v>
      </c>
      <c r="LU330" s="389">
        <f t="shared" si="196"/>
        <v>1</v>
      </c>
      <c r="LV330" s="378"/>
      <c r="LW330" s="369"/>
      <c r="LX330" s="369"/>
    </row>
    <row r="331" ht="18.0" customHeight="1">
      <c r="A331" s="298" t="s">
        <v>1177</v>
      </c>
      <c r="B331" s="222" t="s">
        <v>632</v>
      </c>
      <c r="C331" s="233" t="str">
        <f t="shared" si="7"/>
        <v>SRGmMPDNS</v>
      </c>
      <c r="D331" s="234" t="str">
        <f>IFERROR(__xludf.DUMMYFUNCTION("IF(REGEXMATCH(C331, ""S""), ""S"","""")"),"S")</f>
        <v>S</v>
      </c>
      <c r="E331" s="236" t="str">
        <f>IFERROR(__xludf.DUMMYFUNCTION("IF(REGEXMATCH(C331, ""r""), ""r"","""")"),"")</f>
        <v/>
      </c>
      <c r="F331" s="237" t="str">
        <f>IFERROR(__xludf.DUMMYFUNCTION("IF(REGEXMATCH(C331, ""R""), ""R"","""")"),"R")</f>
        <v>R</v>
      </c>
      <c r="G331" s="237" t="str">
        <f>IFERROR(__xludf.DUMMYFUNCTION("IF(REGEXMATCH(C331, ""g""), ""g"","""")"),"")</f>
        <v/>
      </c>
      <c r="H331" s="236" t="str">
        <f>IFERROR(__xludf.DUMMYFUNCTION("IF(REGEXMATCH(C331, ""G""), ""G"","""")"),"G")</f>
        <v>G</v>
      </c>
      <c r="I331" s="236" t="str">
        <f>IFERROR(__xludf.DUMMYFUNCTION("IF(REGEXMATCH(C331, ""m""), ""m"","""")"),"m")</f>
        <v>m</v>
      </c>
      <c r="J331" s="237" t="str">
        <f>IFERROR(__xludf.DUMMYFUNCTION("IF(REGEXMATCH(C331, ""M""), ""M"","""")"),"M")</f>
        <v>M</v>
      </c>
      <c r="K331" s="236" t="str">
        <f>IFERROR(__xludf.DUMMYFUNCTION("IF(REGEXMATCH(C331, ""P""), ""P"","""")"),"P")</f>
        <v>P</v>
      </c>
      <c r="L331" s="237" t="str">
        <f>IFERROR(__xludf.DUMMYFUNCTION("IF(REGEXMATCH(C331, ""d""), ""d"","""")"),"")</f>
        <v/>
      </c>
      <c r="M331" s="236" t="str">
        <f>IFERROR(__xludf.DUMMYFUNCTION("IF(REGEXMATCH(C331, ""D""), ""D"","""")"),"D")</f>
        <v>D</v>
      </c>
      <c r="N331" s="236" t="str">
        <f>IFERROR(__xludf.DUMMYFUNCTION("IF(REGEXMATCH(C331, ""n""), ""n"","""")"),"")</f>
        <v/>
      </c>
      <c r="O331" s="237" t="str">
        <f>IFERROR(__xludf.DUMMYFUNCTION("IF(REGEXMATCH(C331, ""N""), ""N"","""")"),"N")</f>
        <v>N</v>
      </c>
      <c r="P331" s="238" t="str">
        <f>IFERROR(__xludf.DUMMYFUNCTION("IF(REGEXMATCH(C331, ""S""), ""S"","""")"),"S")</f>
        <v>S</v>
      </c>
      <c r="Q331" s="239" t="str">
        <f>IFERROR(__xludf.DUMMYFUNCTION("SUBSTITUTE(CONCATENATE(JOIN(""-"",D331:J331)),""-"","""")"),"SRGmM")</f>
        <v>SRGmM</v>
      </c>
      <c r="R331" s="229" t="str">
        <f>IFERROR(__xludf.DUMMYFUNCTION("SUBSTITUTE(CONCATENATE(JOIN(""-"",K331:P331)),""-"","""")"),"PDNS")</f>
        <v>PDNS</v>
      </c>
      <c r="S331" s="282" t="str">
        <f t="shared" si="8"/>
        <v>S-R-G-M</v>
      </c>
      <c r="T331" s="282" t="str">
        <f t="shared" si="9"/>
        <v>P-D-N-S</v>
      </c>
      <c r="U331" s="237" t="str">
        <f>IFERROR(__xludf.DUMMYFUNCTION("SUBSTITUTE(JOIN(""-"",S331,T331),""--"",""-"")"),"S-R-G-M-P-D-N-S")</f>
        <v>S-R-G-M-P-D-N-S</v>
      </c>
      <c r="V331" s="309" t="str">
        <f t="shared" si="10"/>
        <v>RGmMDN</v>
      </c>
      <c r="W331" s="244" t="str">
        <f>IFERROR(__xludf.DUMMYFUNCTION("IF(REGEXMATCH(C331, ""S""), ""0"","""")"),"0")</f>
        <v>0</v>
      </c>
      <c r="X331" s="245" t="str">
        <f>IFERROR(__xludf.DUMMYFUNCTION("IF(REGEXMATCH(C331, ""r""), ""1"","""")"),"")</f>
        <v/>
      </c>
      <c r="Y331" s="246" t="str">
        <f>IFERROR(__xludf.DUMMYFUNCTION("IF(REGEXMATCH(C331, ""R""), ""2"","""")"),"2")</f>
        <v>2</v>
      </c>
      <c r="Z331" s="246" t="str">
        <f>IFERROR(__xludf.DUMMYFUNCTION("IF(REGEXMATCH(C331, ""g""), ""3"","""")"),"")</f>
        <v/>
      </c>
      <c r="AA331" s="245" t="str">
        <f>IFERROR(__xludf.DUMMYFUNCTION("IF(REGEXMATCH(C331, ""G""), ""4"","""")"),"4")</f>
        <v>4</v>
      </c>
      <c r="AB331" s="245" t="str">
        <f>IFERROR(__xludf.DUMMYFUNCTION("IF(REGEXMATCH(C331, ""m""), ""5"","""")"),"5")</f>
        <v>5</v>
      </c>
      <c r="AC331" s="246" t="str">
        <f>IFERROR(__xludf.DUMMYFUNCTION("IF(REGEXMATCH(C331, ""M""), ""6"","""")"),"6")</f>
        <v>6</v>
      </c>
      <c r="AD331" s="245" t="str">
        <f>IFERROR(__xludf.DUMMYFUNCTION("IF(REGEXMATCH(C331, ""P""), ""7"","""")"),"7")</f>
        <v>7</v>
      </c>
      <c r="AE331" s="246" t="str">
        <f>IFERROR(__xludf.DUMMYFUNCTION("IF(REGEXMATCH(C331, ""d""), ""8"","""")"),"")</f>
        <v/>
      </c>
      <c r="AF331" s="245" t="str">
        <f>IFERROR(__xludf.DUMMYFUNCTION("IF(REGEXMATCH(C331, ""D""), ""9"","""")"),"9")</f>
        <v>9</v>
      </c>
      <c r="AG331" s="245" t="str">
        <f>IFERROR(__xludf.DUMMYFUNCTION("IF(REGEXMATCH(C331, ""n""), ""10"","""")"),"")</f>
        <v/>
      </c>
      <c r="AH331" s="246" t="str">
        <f>IFERROR(__xludf.DUMMYFUNCTION("IF(REGEXMATCH(C331, ""N""), ""11"","""")"),"11")</f>
        <v>11</v>
      </c>
      <c r="AI331" s="249" t="str">
        <f>IFERROR(__xludf.DUMMYFUNCTION("IF(REGEXMATCH(C331, ""S""), ""0"","""")"),"0")</f>
        <v>0</v>
      </c>
      <c r="AJ331" s="313" t="str">
        <f t="shared" si="11"/>
        <v>T</v>
      </c>
      <c r="AK331" s="313" t="str">
        <f t="shared" si="12"/>
        <v>-</v>
      </c>
      <c r="AL331" s="313" t="str">
        <f t="shared" si="13"/>
        <v>-</v>
      </c>
      <c r="AM331" s="313" t="str">
        <f t="shared" si="14"/>
        <v>-</v>
      </c>
      <c r="AN331" s="313" t="str">
        <f t="shared" si="15"/>
        <v>-</v>
      </c>
      <c r="AO331" s="314" t="str">
        <f t="shared" si="16"/>
        <v>T</v>
      </c>
      <c r="AP331" s="316">
        <f t="shared" si="17"/>
        <v>2</v>
      </c>
      <c r="AQ331" s="319" t="str">
        <f t="shared" si="18"/>
        <v>-</v>
      </c>
      <c r="AR331" s="320">
        <f t="shared" si="19"/>
        <v>0</v>
      </c>
      <c r="AS331" s="250" t="str">
        <f>IFERROR(__xludf.DUMMYFUNCTION("SUBSTITUTE(SUBSTITUTE(CONCATENATE(JOIN("""",FP331:GA331)),""|"",""x""),""-"",""o"")"),"xoxoxxxxoxox")</f>
        <v>xoxoxxxxoxox</v>
      </c>
      <c r="AT331" s="323" t="str">
        <f>IFERROR(__xludf.DUMMYFUNCTION("JOIN("""",AS331,AS331)"),"xoxoxxxxoxoxxoxoxxxxoxox")</f>
        <v>xoxoxxxxoxoxxoxoxxxxoxox</v>
      </c>
      <c r="AU331" s="256" t="str">
        <f>IFERROR(__xludf.DUMMYFUNCTION("JOIN("""",ArrayFormula(MID(AS331,LEN(AS331)-SEQUENCE(1,LEN(AS331))+1,1)))"),"xoxoxxxxoxox")</f>
        <v>xoxoxxxxoxox</v>
      </c>
      <c r="AV331" s="256" t="str">
        <f>IFERROR(__xludf.DUMMYFUNCTION("LEFT(CONCATENATE(""x"",JOIN("""",ArrayFormula(MID(AS331,LEN(AS331)-SEQUENCE(1,LEN(AS331))+1,1)))),12)"),"xxoxoxxxxoxo")</f>
        <v>xxoxoxxxxoxo</v>
      </c>
      <c r="AW331" s="327" t="str">
        <f>IFERROR(__xludf.DUMMYFUNCTION("JOIN("""",AU331,AU331)"),"xoxoxxxxoxoxxoxoxxxxoxox")</f>
        <v>xoxoxxxxoxoxxoxoxxxxoxox</v>
      </c>
      <c r="AX331" s="239" t="str">
        <f>IFERROR(__xludf.DUMMYFUNCTION("IF(REGEXMATCH(AW331,AS331),""✔"",""-"")"),"✔")</f>
        <v>✔</v>
      </c>
      <c r="AY331" s="330" t="str">
        <f t="shared" si="20"/>
        <v>-</v>
      </c>
      <c r="AZ331" s="260" t="str">
        <f t="shared" si="21"/>
        <v>#REF!</v>
      </c>
      <c r="BA331" s="333" t="str">
        <f t="shared" si="22"/>
        <v>xoxoxxx</v>
      </c>
      <c r="BB331" s="334" t="str">
        <f t="shared" si="23"/>
        <v>xoxoxx</v>
      </c>
      <c r="BC331" s="335" t="str">
        <f t="shared" si="236"/>
        <v>✔</v>
      </c>
      <c r="BD331" s="336" t="str">
        <f t="shared" si="25"/>
        <v>Shyam Kalyan: 'xoxoxxx' + 'xoxoxx'</v>
      </c>
      <c r="BE331" s="337">
        <f>IFERROR(__xludf.DUMMYFUNCTION("COUNTUNIQUE(FILTER(AT:AT,REGEXMATCH(AT:AT,AS331)))-1"),3.0)</f>
        <v>3</v>
      </c>
      <c r="BF331" s="261" t="str">
        <f>IFERROR(__xludf.DUMMYFUNCTION("IF(BI331=0,""(n/a)"",IF(BJ331=2,""(PAIR)"",IF(REGEXMATCH(AT331,""xoxoxxoxoxox""),""Bilawal"",IF(REGEXMATCH(AT331,""xoxoxooxoxoo""),""Bhupali"",IF(REGEXMATCH(AT331,""xoxoxxoxxoxo""),""Charukeshi"",IF(REGEXMATCH(AT331,""xoxoooxxoxxo""),""Kameshwari"",IF(REG"&amp;"EXMATCH(AT331,""xoxoxooxoxox""),""Shankara"",IF(REGEXMATCH(AT331,""xxooxoxxxoox""),""Basant"",IF(REGEXMATCH(AT331,""xoxoxxxxoxox""),""Bihag"",IF(REGEXMATCH(AT331,""xoxxxxoxoxxx""),""Pilu"",IF(REGEXMATCH(AT331,""xoxxoxoxxoox""),""Kirwani"",IF(REGEXMATCH(AT"&amp;"331,""xoxxoxoxoxxx""),""Mk.Malhar"",IF(REGEXMATCH(AT331,""xxooxxoxxoox""),""Bhairav"",IF(REGEXMATCH(AT331,""xxoxooxxxoox""),""Todi"",IF(REGEXMATCH(AT331,""xxooxoxooxox""),""Marwa"",IF(REGEXMATCH(AT331,""xxoooxoxxooo""),""Gunkali"",IF(REGEXMATCH(AT331,""xo"&amp;"xoxxoxxoox""),""Nat Bhairav"",IF(REGEXMATCH(AT331,""xoxxoooxoxoo""),""Shivranjani"",IF(REGEXMATCH(AT331,""xooxxxoxooxo""),""Jog"",IF(REGEXMATCH(AT331,""xxooxoxoxoox""),""Hemshri"",IF(REGEXMATCH(AT331,""xoooxooxoxxo""),""Kalavati"",IF(REGEXMATCH(AT331,""xx"&amp;"oxoxxoxoox""),""Kedar"",IF(REGEXMATCH(AT331,""xoxxxxoxooxx""),""Gara"",IF(REGEXMATCH(AT331,""xooxoxooxoox""),""Chandrakauns"",IF(REGEXMATCH(AT331,""xoxxxxoxxxox""),""Mand"",IF(REGEXMATCH(AT331,""xoxxxxoxoxox""),""Hanskinkini"",IF(REGEXMATCH(AT331,""xxooxx"&amp;"oxooxo""),""Lilavati"",IF(REGEXMATCH(AT331,""xooxoxoooxox""),""Rajeshwari"",IF(REGEXMATCH(AT331,""xoooxxoxoxxx""),""Khokar"",IF(REGEXMATCH(AT331,""xxooxoxxxxox""),""Maligoura"",""-""))))))))))))))))))))))))))))))"),"Bihag")</f>
        <v>Bihag</v>
      </c>
      <c r="BG331" s="239" t="str">
        <f t="shared" si="26"/>
        <v>#REF!</v>
      </c>
      <c r="BH331" s="239">
        <f>IFERROR(__xludf.DUMMYFUNCTION("COUNTUNIQUE(FE331:FO331)-1"),7.0)</f>
        <v>7</v>
      </c>
      <c r="BI331" s="239">
        <f>IFERROR(__xludf.DUMMYFUNCTION("COUNTUNIQUE(FILTER(AT:AT,REGEXMATCH(AT:AT,AS331)))-1"),3.0)</f>
        <v>3</v>
      </c>
      <c r="BJ331" s="239">
        <f>IFERROR(__xludf.DUMMYFUNCTION("COUNTA(FILTER(AT:AT,REGEXMATCH(AT:AT,AS331)))"),36.0)</f>
        <v>36</v>
      </c>
      <c r="BK331" s="341">
        <f>IFERROR(__xludf.DUMMYFUNCTION("COUNTA(FILTER(AT:AT,REGEXMATCH(AT:AT,AS331)))-AR331"),36.0)</f>
        <v>36</v>
      </c>
      <c r="BL331" s="276" t="str">
        <f>IFERROR(__xludf.DUMMYFUNCTION("IF(AS331=""oooooooooooo"",""-"",IF(REGEXMATCH(AT331,""xx""), ""Hemi."", ""Anhemi.""))"),"Hemi.")</f>
        <v>Hemi.</v>
      </c>
      <c r="BM331" s="282" t="str">
        <f>IFERROR(__xludf.DUMMYFUNCTION("IF(AS331=""oooooooooooo"",""-"",IF(REGEXMATCH(AT331,""xxx""), ""Cohem."", ""-""))"),"Cohem.")</f>
        <v>Cohem.</v>
      </c>
      <c r="BN331" s="282" t="str">
        <f>IFERROR(__xludf.DUMMYFUNCTION("IF(AS331=""oooooooooooo"",""-"",IF(REGEXMATCH(AT331,""xxxx""), ""Co-Co."", ""-""))"),"Co-Co.")</f>
        <v>Co-Co.</v>
      </c>
      <c r="BO331" s="342" t="str">
        <f>IFERROR(__xludf.DUMMYFUNCTION("IF(AS331=""oooooooooooo"",""-"",IF(REGEXMATCH(AT331,""xxxxx""), ""CCC."", ""-""))"),"-")</f>
        <v>-</v>
      </c>
      <c r="BP331" s="344" t="str">
        <f t="shared" si="27"/>
        <v>-</v>
      </c>
      <c r="BQ331" s="282" t="str">
        <f>IFERROR(__xludf.DUMMYFUNCTION("IF(REGEXMATCH(JOIN(""-"",EU331:FD331),""TRUE""),""✔"",""-"")"),"-")</f>
        <v>-</v>
      </c>
      <c r="BR331" s="225">
        <f t="shared" si="28"/>
        <v>0</v>
      </c>
      <c r="BS331" s="345" t="str">
        <f>IFERROR(__xludf.DUMMYFUNCTION("SUBSTITUTE(SUBSTITUTE(SUBSTITUTE(SUBSTITUTE(CONCATENATE(JOIN(""-"",GC331:GO331)),""--"",""-""),""--"",""-""),""--"",""-""),""--"",""-"")"),"1-2-3-4-#4-5-6-7-8")</f>
        <v>1-2-3-4-#4-5-6-7-8</v>
      </c>
      <c r="BT331" s="299" t="str">
        <f>IFERROR(__xludf.DUMMYFUNCTION("SUBSTITUTE(SUBSTITUTE(SUBSTITUTE(SUBSTITUTE(CONCATENATE(JOIN(""-"",GP331:HB331)),""--"",""-""),""--"",""-""),""--"",""-""),""--"",""-"")"),"S-R2-G3-M1-M2-P-D2-N3-S")</f>
        <v>S-R2-G3-M1-M2-P-D2-N3-S</v>
      </c>
      <c r="BU331" s="348" t="str">
        <f t="shared" si="29"/>
        <v>C-D-E-F-F#-G-A-B-C</v>
      </c>
      <c r="BV331" s="349" t="str">
        <f t="shared" si="30"/>
        <v>SrgdnS</v>
      </c>
      <c r="BW331" s="350">
        <f t="shared" si="31"/>
        <v>0</v>
      </c>
      <c r="BX331" s="351">
        <f t="shared" si="32"/>
        <v>13</v>
      </c>
      <c r="BY331" s="392"/>
      <c r="BZ331" s="309" t="str">
        <f>IFERROR(__xludf.DUMMYFUNCTION("IF(REGEXMATCH(C331, ""S""), ""x"",""x"")"),"x")</f>
        <v>x</v>
      </c>
      <c r="CA331" s="245" t="str">
        <f>IFERROR(__xludf.DUMMYFUNCTION("IF(REGEXMATCH(C331, ""r""), ""o"",""x"")"),"x")</f>
        <v>x</v>
      </c>
      <c r="CB331" s="246" t="str">
        <f>IFERROR(__xludf.DUMMYFUNCTION("IF(REGEXMATCH(C331, ""R""), ""o"",""x"")"),"o")</f>
        <v>o</v>
      </c>
      <c r="CC331" s="246" t="str">
        <f>IFERROR(__xludf.DUMMYFUNCTION("IF(REGEXMATCH(C331, ""g""), ""o"",""x"")"),"x")</f>
        <v>x</v>
      </c>
      <c r="CD331" s="245" t="str">
        <f>IFERROR(__xludf.DUMMYFUNCTION("IF(REGEXMATCH(C331, ""G""), ""o"",""x"")"),"o")</f>
        <v>o</v>
      </c>
      <c r="CE331" s="245" t="str">
        <f>IFERROR(__xludf.DUMMYFUNCTION("IF(REGEXMATCH(C331, ""m""), ""o"",""x"")"),"o")</f>
        <v>o</v>
      </c>
      <c r="CF331" s="246" t="str">
        <f>IFERROR(__xludf.DUMMYFUNCTION("IF(REGEXMATCH(C331, ""M""), ""o"",""x"")"),"o")</f>
        <v>o</v>
      </c>
      <c r="CG331" s="245" t="str">
        <f>IFERROR(__xludf.DUMMYFUNCTION("IF(REGEXMATCH(C331, ""P""), ""o"",""x"")"),"o")</f>
        <v>o</v>
      </c>
      <c r="CH331" s="246" t="str">
        <f>IFERROR(__xludf.DUMMYFUNCTION("IF(REGEXMATCH(C331, ""d""), ""o"",""x"")"),"x")</f>
        <v>x</v>
      </c>
      <c r="CI331" s="245" t="str">
        <f>IFERROR(__xludf.DUMMYFUNCTION("IF(REGEXMATCH(C331, ""D""), ""o"",""x"")"),"o")</f>
        <v>o</v>
      </c>
      <c r="CJ331" s="245" t="str">
        <f>IFERROR(__xludf.DUMMYFUNCTION("IF(REGEXMATCH(C331, ""n""), ""o"",""x"")"),"x")</f>
        <v>x</v>
      </c>
      <c r="CK331" s="245" t="str">
        <f>IFERROR(__xludf.DUMMYFUNCTION("IF(REGEXMATCH(C331, ""N""), ""o"",""x"")"),"o")</f>
        <v>o</v>
      </c>
      <c r="CL331" s="356" t="str">
        <f>IFERROR(__xludf.DUMMYFUNCTION("IF(REGEXMATCH(C331, ""S""), ""x"",""x"")"),"x")</f>
        <v>x</v>
      </c>
      <c r="CM331" s="357" t="str">
        <f t="shared" si="33"/>
        <v>xxoxooooxoxo</v>
      </c>
      <c r="CN331" s="358">
        <f t="shared" si="34"/>
        <v>0</v>
      </c>
      <c r="CO331" s="246" t="str">
        <f>IFERROR(__xludf.DUMMYFUNCTION("IF(REGEXMATCH($C331, ""S""), ""S"",""S"")"),"S")</f>
        <v>S</v>
      </c>
      <c r="CP331" s="246" t="str">
        <f>IFERROR(__xludf.DUMMYFUNCTION("IF(REGEXMATCH($C331, ""r""), """",""r"")"),"r")</f>
        <v>r</v>
      </c>
      <c r="CQ331" s="246" t="str">
        <f>IFERROR(__xludf.DUMMYFUNCTION("IF(REGEXMATCH($C331, ""R""), """",""R"")"),"")</f>
        <v/>
      </c>
      <c r="CR331" s="246" t="str">
        <f>IFERROR(__xludf.DUMMYFUNCTION("IF(REGEXMATCH($C331, ""g""), """",""g"")"),"g")</f>
        <v>g</v>
      </c>
      <c r="CS331" s="246" t="str">
        <f>IFERROR(__xludf.DUMMYFUNCTION("IF(REGEXMATCH($C331, ""G""), """",""G"")"),"")</f>
        <v/>
      </c>
      <c r="CT331" s="246" t="str">
        <f>IFERROR(__xludf.DUMMYFUNCTION("IF(REGEXMATCH($C331, ""m""), """",""m"")"),"")</f>
        <v/>
      </c>
      <c r="CU331" s="246" t="str">
        <f>IFERROR(__xludf.DUMMYFUNCTION("IF(REGEXMATCH($C331, ""M""), """",""M"")"),"")</f>
        <v/>
      </c>
      <c r="CV331" s="246" t="str">
        <f>IFERROR(__xludf.DUMMYFUNCTION("IF(REGEXMATCH($C331, ""P""), """",""P"")"),"")</f>
        <v/>
      </c>
      <c r="CW331" s="246" t="str">
        <f>IFERROR(__xludf.DUMMYFUNCTION("IF(REGEXMATCH($C331, ""d""), """",""d"")"),"d")</f>
        <v>d</v>
      </c>
      <c r="CX331" s="246" t="str">
        <f>IFERROR(__xludf.DUMMYFUNCTION("IF(REGEXMATCH($C331, ""D""), """",""D"")"),"")</f>
        <v/>
      </c>
      <c r="CY331" s="246" t="str">
        <f>IFERROR(__xludf.DUMMYFUNCTION("IF(REGEXMATCH($C331, ""n""), """",""n"")"),"n")</f>
        <v>n</v>
      </c>
      <c r="CZ331" s="246" t="str">
        <f>IFERROR(__xludf.DUMMYFUNCTION("IF(REGEXMATCH($C331, ""N""), """",""N"")"),"")</f>
        <v/>
      </c>
      <c r="DA331" s="246" t="str">
        <f>IFERROR(__xludf.DUMMYFUNCTION("IF(REGEXMATCH($C331, ""S""), ""S"",""S"")"),"S")</f>
        <v>S</v>
      </c>
      <c r="DB331" s="362" t="str">
        <f>IFERROR(__xludf.DUMMYFUNCTION("JOIN("""",CO331:DA331,"""","""")"),"SrgdnS")</f>
        <v>SrgdnS</v>
      </c>
      <c r="DC331" s="363"/>
      <c r="DD331" s="301" t="str">
        <f t="shared" si="35"/>
        <v>#REF!</v>
      </c>
      <c r="DE331" s="302" t="str">
        <f t="shared" si="36"/>
        <v>#REF!</v>
      </c>
      <c r="DF331" s="301" t="str">
        <f t="shared" ref="DF331:DG331" si="893">SUBSTITUTE(S331,"-","")</f>
        <v>SRGM</v>
      </c>
      <c r="DG331" s="301" t="str">
        <f t="shared" si="893"/>
        <v>PDNS</v>
      </c>
      <c r="DH331" s="302" t="str">
        <f t="shared" si="38"/>
        <v>Bihag</v>
      </c>
      <c r="DI331" s="301" t="str">
        <f t="shared" si="39"/>
        <v>Hemi.</v>
      </c>
      <c r="DJ331" s="364" t="str">
        <f t="shared" si="40"/>
        <v>Co-Co.</v>
      </c>
      <c r="DK331" s="306" t="str">
        <f t="shared" si="41"/>
        <v>-</v>
      </c>
      <c r="DL331" s="366" t="str">
        <f t="shared" si="42"/>
        <v>-</v>
      </c>
      <c r="DM331" s="308" t="str">
        <f t="shared" si="43"/>
        <v>✔</v>
      </c>
      <c r="DN331" s="306" t="str">
        <f t="shared" si="44"/>
        <v>-</v>
      </c>
      <c r="DO331" s="306" t="str">
        <f t="shared" si="45"/>
        <v>-</v>
      </c>
      <c r="DP331" s="367" t="str">
        <f t="shared" si="46"/>
        <v>-</v>
      </c>
      <c r="DQ331" s="310" t="str">
        <f t="shared" si="47"/>
        <v>-</v>
      </c>
      <c r="DR331" s="310" t="str">
        <f t="shared" si="48"/>
        <v>-</v>
      </c>
      <c r="DS331" s="310" t="str">
        <f t="shared" si="49"/>
        <v>✔</v>
      </c>
      <c r="DT331" s="310" t="str">
        <f t="shared" si="50"/>
        <v>-</v>
      </c>
      <c r="DU331" s="370" t="str">
        <f t="shared" si="51"/>
        <v>-</v>
      </c>
      <c r="DV331" s="306" t="str">
        <f t="shared" si="52"/>
        <v>-</v>
      </c>
      <c r="DW331" s="306" t="str">
        <f t="shared" si="53"/>
        <v>-</v>
      </c>
      <c r="DX331" s="306" t="str">
        <f t="shared" si="54"/>
        <v>-</v>
      </c>
      <c r="DY331" s="306" t="str">
        <f t="shared" si="55"/>
        <v>-</v>
      </c>
      <c r="DZ331" s="306" t="str">
        <f t="shared" si="56"/>
        <v>-</v>
      </c>
      <c r="EA331" s="367" t="str">
        <f t="shared" si="57"/>
        <v>-</v>
      </c>
      <c r="EB331" s="310" t="str">
        <f>IFERROR(__xludf.DUMMYFUNCTION("IF(REGEXMATCH(AW331,AS331),""✔"",""-"")"),"✔")</f>
        <v>✔</v>
      </c>
      <c r="EC331" s="310" t="str">
        <f t="shared" si="58"/>
        <v>#REF!</v>
      </c>
      <c r="ED331" s="370" t="str">
        <f t="shared" si="59"/>
        <v>-</v>
      </c>
      <c r="EE331" s="340" t="str">
        <f t="shared" si="60"/>
        <v>S-R-G-mM-P-D-N-S</v>
      </c>
      <c r="EF331" s="371" t="str">
        <f>IFERROR(__xludf.DUMMYFUNCTION("CONCATENATE(JOIN("""",HC331:HO331))"),"SrgmMPdnS")</f>
        <v>SrgmMPdnS</v>
      </c>
      <c r="EG331" s="372">
        <f t="shared" si="61"/>
        <v>1</v>
      </c>
      <c r="EH331" s="373" t="str">
        <f>IFERROR(__xludf.DUMMYFUNCTION("CONCATENATE(JOIN("""",JC331:JO331))"),"Ma, ")</f>
        <v>Ma, </v>
      </c>
      <c r="EI331" s="322">
        <f t="shared" si="62"/>
        <v>0</v>
      </c>
      <c r="EJ331" s="374" t="str">
        <f>IFERROR(__xludf.DUMMYFUNCTION("CONCATENATE(JOIN("""",KC331:KO331))"),"")</f>
        <v/>
      </c>
      <c r="EK331" s="325" t="str">
        <f t="shared" si="63"/>
        <v>S-R2-G3-M1-M2-P-D2-N3-S</v>
      </c>
      <c r="EL331" s="326" t="str">
        <f t="shared" si="64"/>
        <v>1-2-3-4-#4-5-6-7-8</v>
      </c>
      <c r="EM331" s="318" t="str">
        <f t="shared" si="65"/>
        <v>#REF!</v>
      </c>
      <c r="EN331" s="328" t="str">
        <f>IFERROR(__xludf.DUMMYFUNCTION("SUBSTITUTE(SUBSTITUTE(SUBSTITUTE(SUBSTITUTE(CONCATENATE(JOIN("" "",HP331:IB331)),""  "","" ""),""  "","" ""),""  "","" ""),""  "","" "")"),"o • o • o o o o • o • o o")</f>
        <v>o • o • o o o o • o • o o</v>
      </c>
      <c r="EO331" s="368" t="str">
        <f t="shared" si="66"/>
        <v>-</v>
      </c>
      <c r="EP331" s="339" t="str">
        <f t="shared" si="67"/>
        <v>-</v>
      </c>
      <c r="EQ331" s="339" t="str">
        <f t="shared" si="68"/>
        <v>Sa-Pa</v>
      </c>
      <c r="ER331" s="339" t="str">
        <f t="shared" si="69"/>
        <v>-</v>
      </c>
      <c r="ES331" s="340" t="str">
        <f t="shared" si="70"/>
        <v>-</v>
      </c>
      <c r="ET331" s="363"/>
      <c r="EU331" s="376" t="b">
        <f>IFERROR(__xludf.DUMMYFUNCTION("arrayformula(sum(--REGEXMATCH(""SRGMPDNS"",split(REGEXREPLACE(C331,""(.)"",""$1~""),""~""))))=len(C331)
"),FALSE)</f>
        <v>0</v>
      </c>
      <c r="EV331" s="290" t="b">
        <f>IFERROR(__xludf.DUMMYFUNCTION("arrayformula(sum(--REGEXMATCH(""SRGmPDNS"",split(REGEXREPLACE(C331,""(.)"",""$1~""),""~""))))=len(C331)"),FALSE)</f>
        <v>0</v>
      </c>
      <c r="EW331" s="290" t="b">
        <f>IFERROR(__xludf.DUMMYFUNCTION("arrayformula(sum(--REGEXMATCH(""SRGmPDnS"",split(REGEXREPLACE(C331,""(.)"",""$1~""),""~""))))=len(C331)"),FALSE)</f>
        <v>0</v>
      </c>
      <c r="EX331" s="290" t="b">
        <f>IFERROR(__xludf.DUMMYFUNCTION("arrayformula(sum(--REGEXMATCH(""SRgmPDnS"",split(REGEXREPLACE(C331,""(.)"",""$1~""),""~""))))=len(C331)"),FALSE)</f>
        <v>0</v>
      </c>
      <c r="EY331" s="290" t="b">
        <f>IFERROR(__xludf.DUMMYFUNCTION("arrayformula(sum(--REGEXMATCH(""SRgmPdnS"",split(REGEXREPLACE(C331,""(.)"",""$1~""),""~""))))=len(C331)"),FALSE)</f>
        <v>0</v>
      </c>
      <c r="EZ331" s="290" t="b">
        <f>IFERROR(__xludf.DUMMYFUNCTION("arrayformula(sum(--REGEXMATCH(""SrgmPdnS"",split(REGEXREPLACE(C331,""(.)"",""$1~""),""~""))))=len(C331)"),FALSE)</f>
        <v>0</v>
      </c>
      <c r="FA331" s="290" t="b">
        <f>IFERROR(__xludf.DUMMYFUNCTION("arrayformula(sum(--REGEXMATCH(""SrGmPdNS"",split(REGEXREPLACE(C331,""(.)"",""$1~""),""~""))))=len(C331)"),FALSE)</f>
        <v>0</v>
      </c>
      <c r="FB331" s="290" t="b">
        <f>IFERROR(__xludf.DUMMYFUNCTION("arrayformula(sum(--REGEXMATCH(""SrGMPDNS"",split(REGEXREPLACE(C331,""(.)"",""$1~""),""~""))))=len(C331)"),FALSE)</f>
        <v>0</v>
      </c>
      <c r="FC331" s="290" t="b">
        <f>IFERROR(__xludf.DUMMYFUNCTION("arrayformula(sum(--REGEXMATCH(""SrGMPdNS"",split(REGEXREPLACE(C331,""(.)"",""$1~""),""~""))))=len(C331)"),FALSE)</f>
        <v>0</v>
      </c>
      <c r="FD331" s="377" t="b">
        <f>IFERROR(__xludf.DUMMYFUNCTION("arrayformula(sum(--REGEXMATCH(""SrgMPdNS"",split(REGEXREPLACE(C331,""(.)"",""$1~""),""~""))))=len(C331)"),FALSE)</f>
        <v>0</v>
      </c>
      <c r="FE331" s="269" t="str">
        <f t="shared" si="71"/>
        <v>-</v>
      </c>
      <c r="FF331" s="269" t="str">
        <f t="shared" si="72"/>
        <v>xoxxxxoxoxx</v>
      </c>
      <c r="FG331" s="271" t="str">
        <f t="shared" si="73"/>
        <v>-</v>
      </c>
      <c r="FH331" s="269" t="str">
        <f t="shared" si="74"/>
        <v>xxxxoxoxxox</v>
      </c>
      <c r="FI331" s="271" t="str">
        <f t="shared" si="75"/>
        <v>xxxoxoxxoxo</v>
      </c>
      <c r="FJ331" s="271" t="str">
        <f t="shared" si="76"/>
        <v>xxoxoxxoxox</v>
      </c>
      <c r="FK331" s="271" t="str">
        <f t="shared" si="77"/>
        <v>xoxoxxoxoxx</v>
      </c>
      <c r="FL331" s="271" t="str">
        <f t="shared" si="78"/>
        <v>-</v>
      </c>
      <c r="FM331" s="271" t="str">
        <f t="shared" si="79"/>
        <v>xoxxoxoxxxx</v>
      </c>
      <c r="FN331" s="271" t="str">
        <f t="shared" si="80"/>
        <v>-</v>
      </c>
      <c r="FO331" s="274" t="str">
        <f t="shared" si="81"/>
        <v>xxoxoxxxxox</v>
      </c>
      <c r="FP331" s="234" t="str">
        <f t="shared" si="82"/>
        <v>|</v>
      </c>
      <c r="FQ331" s="236" t="str">
        <f t="shared" si="83"/>
        <v>-</v>
      </c>
      <c r="FR331" s="237" t="str">
        <f t="shared" si="84"/>
        <v>|</v>
      </c>
      <c r="FS331" s="236" t="str">
        <f t="shared" si="85"/>
        <v>-</v>
      </c>
      <c r="FT331" s="237" t="str">
        <f t="shared" si="86"/>
        <v>|</v>
      </c>
      <c r="FU331" s="236" t="str">
        <f t="shared" si="87"/>
        <v>|</v>
      </c>
      <c r="FV331" s="237" t="str">
        <f t="shared" si="88"/>
        <v>|</v>
      </c>
      <c r="FW331" s="236" t="str">
        <f t="shared" si="89"/>
        <v>|</v>
      </c>
      <c r="FX331" s="237" t="str">
        <f t="shared" si="90"/>
        <v>-</v>
      </c>
      <c r="FY331" s="236" t="str">
        <f t="shared" si="91"/>
        <v>|</v>
      </c>
      <c r="FZ331" s="237" t="str">
        <f t="shared" si="92"/>
        <v>-</v>
      </c>
      <c r="GA331" s="236" t="str">
        <f t="shared" si="93"/>
        <v>|</v>
      </c>
      <c r="GB331" s="238" t="str">
        <f t="shared" si="94"/>
        <v>|</v>
      </c>
      <c r="GC331" s="244" t="str">
        <f>IFERROR(__xludf.DUMMYFUNCTION("IF(REGEXMATCH(C331, ""S""), ""1"","""")"),"1")</f>
        <v>1</v>
      </c>
      <c r="GD331" s="245" t="str">
        <f>IFERROR(__xludf.DUMMYFUNCTION("IF(REGEXMATCH(C331, ""r""), ""b2"","""")"),"")</f>
        <v/>
      </c>
      <c r="GE331" s="246" t="str">
        <f>IFERROR(__xludf.DUMMYFUNCTION("IF(REGEXMATCH(C331, ""R""), ""2"","""")"),"2")</f>
        <v>2</v>
      </c>
      <c r="GF331" s="246" t="str">
        <f>IFERROR(__xludf.DUMMYFUNCTION("IF(REGEXMATCH(C331, ""g""), ""b3"","""")"),"")</f>
        <v/>
      </c>
      <c r="GG331" s="245" t="str">
        <f>IFERROR(__xludf.DUMMYFUNCTION("IF(REGEXMATCH(C331, ""G""), ""3"","""")"),"3")</f>
        <v>3</v>
      </c>
      <c r="GH331" s="245" t="str">
        <f>IFERROR(__xludf.DUMMYFUNCTION("IF(REGEXMATCH(C331, ""m""), ""4"","""")"),"4")</f>
        <v>4</v>
      </c>
      <c r="GI331" s="246" t="str">
        <f>IFERROR(__xludf.DUMMYFUNCTION("IF(REGEXMATCH(C331, ""M""), ""#4"","""")"),"#4")</f>
        <v>#4</v>
      </c>
      <c r="GJ331" s="245" t="str">
        <f>IFERROR(__xludf.DUMMYFUNCTION("IF(REGEXMATCH(C331, ""P""), ""5"","""")"),"5")</f>
        <v>5</v>
      </c>
      <c r="GK331" s="246" t="str">
        <f>IFERROR(__xludf.DUMMYFUNCTION("IF(REGEXMATCH(C331, ""d""), ""b6"","""")"),"")</f>
        <v/>
      </c>
      <c r="GL331" s="245" t="str">
        <f>IFERROR(__xludf.DUMMYFUNCTION("IF(REGEXMATCH(C331, ""D""), ""6"","""")"),"6")</f>
        <v>6</v>
      </c>
      <c r="GM331" s="245" t="str">
        <f>IFERROR(__xludf.DUMMYFUNCTION("IF(REGEXMATCH(C331, ""n""), ""b7"","""")"),"")</f>
        <v/>
      </c>
      <c r="GN331" s="246" t="str">
        <f>IFERROR(__xludf.DUMMYFUNCTION("IF(REGEXMATCH(C331, ""N""), ""7"","""")"),"7")</f>
        <v>7</v>
      </c>
      <c r="GO331" s="249" t="str">
        <f>IFERROR(__xludf.DUMMYFUNCTION("IF(REGEXMATCH(C331, ""S""), ""8"","""")"),"8")</f>
        <v>8</v>
      </c>
      <c r="GP331" s="244" t="str">
        <f>IFERROR(__xludf.DUMMYFUNCTION("IF(REGEXMATCH(C331, ""S""), ""S"","""")"),"S")</f>
        <v>S</v>
      </c>
      <c r="GQ331" s="294" t="str">
        <f>IFERROR(__xludf.DUMMYFUNCTION("IF(REGEXMATCH(C331, ""r""), ""R1"","""")"),"")</f>
        <v/>
      </c>
      <c r="GR331" s="295" t="str">
        <f>IFERROR(__xludf.DUMMYFUNCTION("IF(REGEXMATCH(C331, ""R""), ""R2"","""")"),"R2")</f>
        <v>R2</v>
      </c>
      <c r="GS331" s="295" t="str">
        <f>IFERROR(__xludf.DUMMYFUNCTION("IF(REGEXMATCH(C331, ""g""), ""G2"","""")"),"")</f>
        <v/>
      </c>
      <c r="GT331" s="294" t="str">
        <f>IFERROR(__xludf.DUMMYFUNCTION("IF(REGEXMATCH(C331, ""G""), ""G3"","""")"),"G3")</f>
        <v>G3</v>
      </c>
      <c r="GU331" s="294" t="str">
        <f>IFERROR(__xludf.DUMMYFUNCTION("IF(REGEXMATCH(C331, ""m""), ""M1"","""")"),"M1")</f>
        <v>M1</v>
      </c>
      <c r="GV331" s="295" t="str">
        <f>IFERROR(__xludf.DUMMYFUNCTION("IF(REGEXMATCH(C331, ""M""), ""M2"","""")"),"M2")</f>
        <v>M2</v>
      </c>
      <c r="GW331" s="294" t="str">
        <f>IFERROR(__xludf.DUMMYFUNCTION("IF(REGEXMATCH(C331, ""P""), ""P"","""")"),"P")</f>
        <v>P</v>
      </c>
      <c r="GX331" s="295" t="str">
        <f>IFERROR(__xludf.DUMMYFUNCTION("IF(REGEXMATCH(C331, ""d""), ""D1"","""")"),"")</f>
        <v/>
      </c>
      <c r="GY331" s="294" t="str">
        <f>IFERROR(__xludf.DUMMYFUNCTION("IF(REGEXMATCH(C331, ""D""), ""D2"","""")"),"D2")</f>
        <v>D2</v>
      </c>
      <c r="GZ331" s="294" t="str">
        <f>IFERROR(__xludf.DUMMYFUNCTION("IF(REGEXMATCH(C331, ""n""), ""N2"","""")"),"")</f>
        <v/>
      </c>
      <c r="HA331" s="295" t="str">
        <f>IFERROR(__xludf.DUMMYFUNCTION("IF(REGEXMATCH(C331, ""N""), ""N3"","""")"),"N3")</f>
        <v>N3</v>
      </c>
      <c r="HB331" s="249" t="str">
        <f>IFERROR(__xludf.DUMMYFUNCTION("IF(REGEXMATCH(C331, ""S""), ""S"","""")"),"S")</f>
        <v>S</v>
      </c>
      <c r="HC331" s="331" t="str">
        <f t="shared" si="95"/>
        <v>S</v>
      </c>
      <c r="HD331" s="332" t="str">
        <f t="shared" si="96"/>
        <v>r</v>
      </c>
      <c r="HE331" s="332" t="str">
        <f t="shared" si="97"/>
        <v/>
      </c>
      <c r="HF331" s="332" t="str">
        <f t="shared" si="98"/>
        <v>g</v>
      </c>
      <c r="HG331" s="332" t="str">
        <f t="shared" si="99"/>
        <v/>
      </c>
      <c r="HH331" s="332" t="str">
        <f t="shared" si="100"/>
        <v>m</v>
      </c>
      <c r="HI331" s="332" t="str">
        <f t="shared" si="101"/>
        <v>M</v>
      </c>
      <c r="HJ331" s="332" t="str">
        <f t="shared" si="102"/>
        <v>P</v>
      </c>
      <c r="HK331" s="332" t="str">
        <f t="shared" si="103"/>
        <v>d</v>
      </c>
      <c r="HL331" s="332" t="str">
        <f t="shared" si="104"/>
        <v/>
      </c>
      <c r="HM331" s="332" t="str">
        <f t="shared" si="105"/>
        <v>n</v>
      </c>
      <c r="HN331" s="332" t="str">
        <f t="shared" si="106"/>
        <v/>
      </c>
      <c r="HO331" s="343" t="str">
        <f t="shared" si="107"/>
        <v>S</v>
      </c>
      <c r="HP331" s="331" t="str">
        <f t="shared" si="108"/>
        <v>o</v>
      </c>
      <c r="HQ331" s="332" t="str">
        <f t="shared" si="109"/>
        <v>•</v>
      </c>
      <c r="HR331" s="332" t="str">
        <f t="shared" si="110"/>
        <v>o</v>
      </c>
      <c r="HS331" s="332" t="str">
        <f t="shared" si="111"/>
        <v>•</v>
      </c>
      <c r="HT331" s="332" t="str">
        <f t="shared" si="112"/>
        <v>o</v>
      </c>
      <c r="HU331" s="332" t="str">
        <f t="shared" si="113"/>
        <v>o</v>
      </c>
      <c r="HV331" s="332" t="str">
        <f t="shared" si="114"/>
        <v>o</v>
      </c>
      <c r="HW331" s="332" t="str">
        <f t="shared" si="115"/>
        <v>o</v>
      </c>
      <c r="HX331" s="332" t="str">
        <f t="shared" si="116"/>
        <v>•</v>
      </c>
      <c r="HY331" s="332" t="str">
        <f t="shared" si="117"/>
        <v>o</v>
      </c>
      <c r="HZ331" s="332" t="str">
        <f t="shared" si="118"/>
        <v>•</v>
      </c>
      <c r="IA331" s="332" t="str">
        <f t="shared" si="119"/>
        <v>o</v>
      </c>
      <c r="IB331" s="338" t="str">
        <f t="shared" si="120"/>
        <v>o</v>
      </c>
      <c r="IC331" s="331" t="str">
        <f t="shared" si="121"/>
        <v>•</v>
      </c>
      <c r="ID331" s="332" t="str">
        <f t="shared" si="122"/>
        <v>o</v>
      </c>
      <c r="IE331" s="332" t="str">
        <f t="shared" si="123"/>
        <v>•</v>
      </c>
      <c r="IF331" s="332" t="str">
        <f t="shared" si="124"/>
        <v>o</v>
      </c>
      <c r="IG331" s="332" t="str">
        <f t="shared" si="125"/>
        <v>•</v>
      </c>
      <c r="IH331" s="332" t="str">
        <f t="shared" si="126"/>
        <v>•</v>
      </c>
      <c r="II331" s="332" t="str">
        <f t="shared" si="127"/>
        <v>•</v>
      </c>
      <c r="IJ331" s="332" t="str">
        <f t="shared" si="128"/>
        <v>•</v>
      </c>
      <c r="IK331" s="332" t="str">
        <f t="shared" si="129"/>
        <v>o</v>
      </c>
      <c r="IL331" s="332" t="str">
        <f t="shared" si="130"/>
        <v>•</v>
      </c>
      <c r="IM331" s="332" t="str">
        <f t="shared" si="131"/>
        <v>o</v>
      </c>
      <c r="IN331" s="332" t="str">
        <f t="shared" si="132"/>
        <v>•</v>
      </c>
      <c r="IO331" s="338" t="str">
        <f t="shared" si="133"/>
        <v>•</v>
      </c>
      <c r="IP331" s="346" t="b">
        <f t="shared" si="134"/>
        <v>0</v>
      </c>
      <c r="IQ331" s="347" t="b">
        <f t="shared" si="135"/>
        <v>0</v>
      </c>
      <c r="IR331" s="347" t="b">
        <f t="shared" si="136"/>
        <v>0</v>
      </c>
      <c r="IS331" s="347" t="b">
        <f t="shared" si="137"/>
        <v>0</v>
      </c>
      <c r="IT331" s="347" t="b">
        <f t="shared" si="138"/>
        <v>0</v>
      </c>
      <c r="IU331" s="347" t="b">
        <f t="shared" si="139"/>
        <v>0</v>
      </c>
      <c r="IV331" s="347" t="b">
        <f t="shared" si="140"/>
        <v>1</v>
      </c>
      <c r="IW331" s="347" t="b">
        <f t="shared" si="141"/>
        <v>0</v>
      </c>
      <c r="IX331" s="347" t="b">
        <f t="shared" si="142"/>
        <v>0</v>
      </c>
      <c r="IY331" s="347" t="b">
        <f t="shared" si="143"/>
        <v>0</v>
      </c>
      <c r="IZ331" s="347" t="b">
        <f t="shared" si="144"/>
        <v>0</v>
      </c>
      <c r="JA331" s="347" t="b">
        <f t="shared" si="145"/>
        <v>0</v>
      </c>
      <c r="JB331" s="353" t="b">
        <f t="shared" si="146"/>
        <v>0</v>
      </c>
      <c r="JC331" s="354" t="str">
        <f t="shared" si="147"/>
        <v/>
      </c>
      <c r="JD331" s="355" t="str">
        <f t="shared" si="148"/>
        <v/>
      </c>
      <c r="JE331" s="355" t="str">
        <f t="shared" si="149"/>
        <v/>
      </c>
      <c r="JF331" s="355" t="str">
        <f t="shared" si="150"/>
        <v/>
      </c>
      <c r="JG331" s="355" t="str">
        <f t="shared" si="151"/>
        <v/>
      </c>
      <c r="JH331" s="355" t="str">
        <f t="shared" si="152"/>
        <v/>
      </c>
      <c r="JI331" s="355" t="str">
        <f t="shared" si="153"/>
        <v>Ma, </v>
      </c>
      <c r="JJ331" s="355" t="str">
        <f t="shared" si="154"/>
        <v/>
      </c>
      <c r="JK331" s="355" t="str">
        <f t="shared" si="155"/>
        <v/>
      </c>
      <c r="JL331" s="355" t="str">
        <f t="shared" si="156"/>
        <v/>
      </c>
      <c r="JM331" s="355" t="str">
        <f t="shared" si="157"/>
        <v/>
      </c>
      <c r="JN331" s="355" t="str">
        <f t="shared" si="158"/>
        <v/>
      </c>
      <c r="JO331" s="359" t="str">
        <f t="shared" si="159"/>
        <v/>
      </c>
      <c r="JP331" s="346" t="b">
        <f t="shared" si="160"/>
        <v>0</v>
      </c>
      <c r="JQ331" s="347" t="b">
        <f t="shared" si="161"/>
        <v>0</v>
      </c>
      <c r="JR331" s="347" t="b">
        <f t="shared" si="162"/>
        <v>0</v>
      </c>
      <c r="JS331" s="347" t="b">
        <f t="shared" si="163"/>
        <v>0</v>
      </c>
      <c r="JT331" s="347" t="b">
        <f t="shared" si="164"/>
        <v>0</v>
      </c>
      <c r="JU331" s="347" t="b">
        <f t="shared" si="165"/>
        <v>0</v>
      </c>
      <c r="JV331" s="347" t="b">
        <f t="shared" si="166"/>
        <v>0</v>
      </c>
      <c r="JW331" s="347" t="b">
        <f t="shared" si="167"/>
        <v>0</v>
      </c>
      <c r="JX331" s="347" t="b">
        <f t="shared" si="168"/>
        <v>0</v>
      </c>
      <c r="JY331" s="347" t="b">
        <f t="shared" si="169"/>
        <v>0</v>
      </c>
      <c r="JZ331" s="347" t="b">
        <f t="shared" si="170"/>
        <v>0</v>
      </c>
      <c r="KA331" s="347" t="b">
        <f t="shared" si="171"/>
        <v>0</v>
      </c>
      <c r="KB331" s="365" t="b">
        <f t="shared" si="172"/>
        <v>0</v>
      </c>
      <c r="KC331" s="354" t="str">
        <f t="shared" si="173"/>
        <v/>
      </c>
      <c r="KD331" s="355" t="str">
        <f t="shared" si="174"/>
        <v/>
      </c>
      <c r="KE331" s="355" t="str">
        <f t="shared" si="175"/>
        <v/>
      </c>
      <c r="KF331" s="355" t="str">
        <f t="shared" si="176"/>
        <v/>
      </c>
      <c r="KG331" s="355" t="str">
        <f t="shared" si="177"/>
        <v/>
      </c>
      <c r="KH331" s="355" t="str">
        <f t="shared" si="178"/>
        <v/>
      </c>
      <c r="KI331" s="355" t="str">
        <f t="shared" si="179"/>
        <v/>
      </c>
      <c r="KJ331" s="355" t="str">
        <f t="shared" si="180"/>
        <v/>
      </c>
      <c r="KK331" s="355" t="str">
        <f t="shared" si="181"/>
        <v/>
      </c>
      <c r="KL331" s="355" t="str">
        <f t="shared" si="182"/>
        <v/>
      </c>
      <c r="KM331" s="355" t="str">
        <f t="shared" si="183"/>
        <v/>
      </c>
      <c r="KN331" s="355" t="str">
        <f t="shared" si="184"/>
        <v/>
      </c>
      <c r="KO331" s="359"/>
      <c r="KP331" s="378"/>
      <c r="KQ331" s="379" t="s">
        <v>1499</v>
      </c>
      <c r="KR331" s="380" t="s">
        <v>1353</v>
      </c>
      <c r="KS331" s="381" t="str">
        <f>KQ331</f>
        <v>S-R-M-P-N-S</v>
      </c>
      <c r="KT331" s="382">
        <f t="shared" si="186"/>
        <v>5</v>
      </c>
      <c r="KU331" s="383">
        <f t="shared" si="187"/>
        <v>5</v>
      </c>
      <c r="KV331" s="381" t="str">
        <f t="shared" si="205"/>
        <v>S-N-D-P-Mm-G-R-S</v>
      </c>
      <c r="KW331" s="382">
        <f t="shared" si="189"/>
        <v>7</v>
      </c>
      <c r="KX331" s="384">
        <f t="shared" si="190"/>
        <v>8</v>
      </c>
      <c r="KY331" s="382">
        <f t="shared" ref="KY331:KZ331" si="894">KW331-KT331</f>
        <v>2</v>
      </c>
      <c r="KZ331" s="369">
        <f t="shared" si="894"/>
        <v>3</v>
      </c>
      <c r="LA331" s="385" t="str">
        <f t="shared" si="192"/>
        <v>-</v>
      </c>
      <c r="LB331" s="340" t="str">
        <f>IFERROR(__xludf.DUMMYFUNCTION("JOIN("""",ArrayFormula(MID(KS331,LEN(KS331)-SEQUENCE(1,LEN(KS331))+1,1)))"),"S-N-P-M-R-S")</f>
        <v>S-N-P-M-R-S</v>
      </c>
      <c r="LC331" s="373" t="str">
        <f>IFERROR(__xludf.DUMMYFUNCTION("JOIN("""",ArrayFormula(MID(KV331,LEN(KV331)-SEQUENCE(1,LEN(KV331))+1,1)))"),"S-R-G-mM-P-D-N-S")</f>
        <v>S-R-G-mM-P-D-N-S</v>
      </c>
      <c r="LD331" s="373" t="str">
        <f t="shared" si="193"/>
        <v>SRMPNS</v>
      </c>
      <c r="LE331" s="339" t="str">
        <f t="shared" si="194"/>
        <v>SRGmMPDNS</v>
      </c>
      <c r="LF331" s="386" t="str">
        <f>IFERROR(__xludf.DUMMYFUNCTION("SUBSTITUTE(SUBSTITUTE(CONCATENATE(JOIN("""",LH331:LT331)),""1"",""""),""2"","""")"),"SRGmMPDNS")</f>
        <v>SRGmMPDNS</v>
      </c>
      <c r="LG331" s="369" t="str">
        <f t="shared" si="195"/>
        <v>✔</v>
      </c>
      <c r="LH331" s="387" t="str">
        <f>IFERROR(__xludf.DUMMYFUNCTION("IF(REGEXMATCH(LD331, ""S""), ""S"",IF(REGEXMATCH(LE331, ""S""), ""S"",""""))"),"S")</f>
        <v>S</v>
      </c>
      <c r="LI331" s="299" t="str">
        <f>IFERROR(__xludf.DUMMYFUNCTION("IF(REGEXMATCH(LD331, ""r""), ""r1"",IF(REGEXMATCH(LE331, ""r""), ""r2"",""""))"),"")</f>
        <v/>
      </c>
      <c r="LJ331" s="299" t="str">
        <f>IFERROR(__xludf.DUMMYFUNCTION("IF(REGEXMATCH(LD331, ""R""), ""R1"",IF(REGEXMATCH(LE331, ""R""), ""R2"",""""))"),"R1")</f>
        <v>R1</v>
      </c>
      <c r="LK331" s="299" t="str">
        <f>IFERROR(__xludf.DUMMYFUNCTION("IF(REGEXMATCH(LD331, ""g""), ""g1"",IF(REGEXMATCH(LE331, ""g""), ""g2"",""""))"),"")</f>
        <v/>
      </c>
      <c r="LL331" s="299" t="str">
        <f>IFERROR(__xludf.DUMMYFUNCTION("IF(REGEXMATCH(LD331, ""G""), ""G1"",IF(REGEXMATCH(LE331, ""G""), ""G2"",""""))"),"G2")</f>
        <v>G2</v>
      </c>
      <c r="LM331" s="299" t="str">
        <f>IFERROR(__xludf.DUMMYFUNCTION("IF(REGEXMATCH(LD331, ""m""), ""m1"",IF(REGEXMATCH(LE331, ""m""), ""m2"",""""))"),"m2")</f>
        <v>m2</v>
      </c>
      <c r="LN331" s="299" t="str">
        <f>IFERROR(__xludf.DUMMYFUNCTION("IF(REGEXMATCH(LD331, ""M""), ""M1"",IF(REGEXMATCH(LE331, ""M""), ""M2"",""""))"),"M1")</f>
        <v>M1</v>
      </c>
      <c r="LO331" s="299" t="str">
        <f>IFERROR(__xludf.DUMMYFUNCTION("IF(REGEXMATCH(LD331, ""P""), ""P1"",IF(REGEXMATCH(LE331, ""P""), ""P2"",""""))"),"P1")</f>
        <v>P1</v>
      </c>
      <c r="LP331" s="299" t="str">
        <f>IFERROR(__xludf.DUMMYFUNCTION("IF(REGEXMATCH(LD331, ""d""), ""d1"",IF(REGEXMATCH(LE331, ""d""), ""d2"",""""))"),"")</f>
        <v/>
      </c>
      <c r="LQ331" s="299" t="str">
        <f>IFERROR(__xludf.DUMMYFUNCTION("IF(REGEXMATCH(LD331, ""D""), ""D1"",IF(REGEXMATCH(LE331, ""D""), ""D2"",""""))"),"D2")</f>
        <v>D2</v>
      </c>
      <c r="LR331" s="299" t="str">
        <f>IFERROR(__xludf.DUMMYFUNCTION("IF(REGEXMATCH(LD331, ""n""), ""n1"",IF(REGEXMATCH(LE331, ""n""), ""n2"",""""))"),"")</f>
        <v/>
      </c>
      <c r="LS331" s="299" t="str">
        <f>IFERROR(__xludf.DUMMYFUNCTION("IF(REGEXMATCH(LD331, ""N""), ""N1"",IF(REGEXMATCH(LE331, ""N""), ""N2"",""""))"),"N1")</f>
        <v>N1</v>
      </c>
      <c r="LT331" s="388" t="str">
        <f>IFERROR(__xludf.DUMMYFUNCTION("IF(REGEXMATCH(LD331, ""S""), ""S"",IF(REGEXMATCH(LE331, ""S""), ""S"",""""))"),"S")</f>
        <v>S</v>
      </c>
      <c r="LU331" s="389">
        <f t="shared" si="196"/>
        <v>-4</v>
      </c>
      <c r="LV331" s="378"/>
      <c r="LW331" s="369"/>
      <c r="LX331" s="369"/>
    </row>
    <row r="332" ht="18.0" customHeight="1">
      <c r="A332" s="298" t="s">
        <v>1179</v>
      </c>
      <c r="B332" s="222" t="s">
        <v>389</v>
      </c>
      <c r="C332" s="233" t="str">
        <f t="shared" si="7"/>
        <v>SRgMPdNS</v>
      </c>
      <c r="D332" s="234" t="str">
        <f>IFERROR(__xludf.DUMMYFUNCTION("IF(REGEXMATCH(C332, ""S""), ""S"","""")"),"S")</f>
        <v>S</v>
      </c>
      <c r="E332" s="236" t="str">
        <f>IFERROR(__xludf.DUMMYFUNCTION("IF(REGEXMATCH(C332, ""r""), ""r"","""")"),"")</f>
        <v/>
      </c>
      <c r="F332" s="237" t="str">
        <f>IFERROR(__xludf.DUMMYFUNCTION("IF(REGEXMATCH(C332, ""R""), ""R"","""")"),"R")</f>
        <v>R</v>
      </c>
      <c r="G332" s="237" t="str">
        <f>IFERROR(__xludf.DUMMYFUNCTION("IF(REGEXMATCH(C332, ""g""), ""g"","""")"),"g")</f>
        <v>g</v>
      </c>
      <c r="H332" s="236" t="str">
        <f>IFERROR(__xludf.DUMMYFUNCTION("IF(REGEXMATCH(C332, ""G""), ""G"","""")"),"")</f>
        <v/>
      </c>
      <c r="I332" s="236" t="str">
        <f>IFERROR(__xludf.DUMMYFUNCTION("IF(REGEXMATCH(C332, ""m""), ""m"","""")"),"")</f>
        <v/>
      </c>
      <c r="J332" s="237" t="str">
        <f>IFERROR(__xludf.DUMMYFUNCTION("IF(REGEXMATCH(C332, ""M""), ""M"","""")"),"M")</f>
        <v>M</v>
      </c>
      <c r="K332" s="236" t="str">
        <f>IFERROR(__xludf.DUMMYFUNCTION("IF(REGEXMATCH(C332, ""P""), ""P"","""")"),"P")</f>
        <v>P</v>
      </c>
      <c r="L332" s="237" t="str">
        <f>IFERROR(__xludf.DUMMYFUNCTION("IF(REGEXMATCH(C332, ""d""), ""d"","""")"),"d")</f>
        <v>d</v>
      </c>
      <c r="M332" s="236" t="str">
        <f>IFERROR(__xludf.DUMMYFUNCTION("IF(REGEXMATCH(C332, ""D""), ""D"","""")"),"")</f>
        <v/>
      </c>
      <c r="N332" s="236" t="str">
        <f>IFERROR(__xludf.DUMMYFUNCTION("IF(REGEXMATCH(C332, ""n""), ""n"","""")"),"")</f>
        <v/>
      </c>
      <c r="O332" s="237" t="str">
        <f>IFERROR(__xludf.DUMMYFUNCTION("IF(REGEXMATCH(C332, ""N""), ""N"","""")"),"N")</f>
        <v>N</v>
      </c>
      <c r="P332" s="238" t="str">
        <f>IFERROR(__xludf.DUMMYFUNCTION("IF(REGEXMATCH(C332, ""S""), ""S"","""")"),"S")</f>
        <v>S</v>
      </c>
      <c r="Q332" s="239" t="str">
        <f>IFERROR(__xludf.DUMMYFUNCTION("SUBSTITUTE(CONCATENATE(JOIN(""-"",D332:J332)),""-"","""")"),"SRgM")</f>
        <v>SRgM</v>
      </c>
      <c r="R332" s="229" t="str">
        <f>IFERROR(__xludf.DUMMYFUNCTION("SUBSTITUTE(CONCATENATE(JOIN(""-"",K332:P332)),""-"","""")"),"PdNS")</f>
        <v>PdNS</v>
      </c>
      <c r="S332" s="282" t="str">
        <f t="shared" si="8"/>
        <v>S-R-G-M</v>
      </c>
      <c r="T332" s="282" t="str">
        <f t="shared" si="9"/>
        <v>P-D-N-S</v>
      </c>
      <c r="U332" s="237" t="str">
        <f>IFERROR(__xludf.DUMMYFUNCTION("SUBSTITUTE(JOIN(""-"",S332,T332),""--"",""-"")"),"S-R-G-M-P-D-N-S")</f>
        <v>S-R-G-M-P-D-N-S</v>
      </c>
      <c r="V332" s="309" t="str">
        <f t="shared" si="10"/>
        <v>RgMdN</v>
      </c>
      <c r="W332" s="244" t="str">
        <f>IFERROR(__xludf.DUMMYFUNCTION("IF(REGEXMATCH(C332, ""S""), ""0"","""")"),"0")</f>
        <v>0</v>
      </c>
      <c r="X332" s="245" t="str">
        <f>IFERROR(__xludf.DUMMYFUNCTION("IF(REGEXMATCH(C332, ""r""), ""1"","""")"),"")</f>
        <v/>
      </c>
      <c r="Y332" s="246" t="str">
        <f>IFERROR(__xludf.DUMMYFUNCTION("IF(REGEXMATCH(C332, ""R""), ""2"","""")"),"2")</f>
        <v>2</v>
      </c>
      <c r="Z332" s="246" t="str">
        <f>IFERROR(__xludf.DUMMYFUNCTION("IF(REGEXMATCH(C332, ""g""), ""3"","""")"),"3")</f>
        <v>3</v>
      </c>
      <c r="AA332" s="245" t="str">
        <f>IFERROR(__xludf.DUMMYFUNCTION("IF(REGEXMATCH(C332, ""G""), ""4"","""")"),"")</f>
        <v/>
      </c>
      <c r="AB332" s="245" t="str">
        <f>IFERROR(__xludf.DUMMYFUNCTION("IF(REGEXMATCH(C332, ""m""), ""5"","""")"),"")</f>
        <v/>
      </c>
      <c r="AC332" s="246" t="str">
        <f>IFERROR(__xludf.DUMMYFUNCTION("IF(REGEXMATCH(C332, ""M""), ""6"","""")"),"6")</f>
        <v>6</v>
      </c>
      <c r="AD332" s="245" t="str">
        <f>IFERROR(__xludf.DUMMYFUNCTION("IF(REGEXMATCH(C332, ""P""), ""7"","""")"),"7")</f>
        <v>7</v>
      </c>
      <c r="AE332" s="246" t="str">
        <f>IFERROR(__xludf.DUMMYFUNCTION("IF(REGEXMATCH(C332, ""d""), ""8"","""")"),"8")</f>
        <v>8</v>
      </c>
      <c r="AF332" s="245" t="str">
        <f>IFERROR(__xludf.DUMMYFUNCTION("IF(REGEXMATCH(C332, ""D""), ""9"","""")"),"")</f>
        <v/>
      </c>
      <c r="AG332" s="245" t="str">
        <f>IFERROR(__xludf.DUMMYFUNCTION("IF(REGEXMATCH(C332, ""n""), ""10"","""")"),"")</f>
        <v/>
      </c>
      <c r="AH332" s="246" t="str">
        <f>IFERROR(__xludf.DUMMYFUNCTION("IF(REGEXMATCH(C332, ""N""), ""11"","""")"),"11")</f>
        <v>11</v>
      </c>
      <c r="AI332" s="249" t="str">
        <f>IFERROR(__xludf.DUMMYFUNCTION("IF(REGEXMATCH(C332, ""S""), ""0"","""")"),"0")</f>
        <v>0</v>
      </c>
      <c r="AJ332" s="313" t="str">
        <f t="shared" si="11"/>
        <v>T</v>
      </c>
      <c r="AK332" s="313" t="str">
        <f t="shared" si="12"/>
        <v>-</v>
      </c>
      <c r="AL332" s="313" t="str">
        <f t="shared" si="13"/>
        <v>T</v>
      </c>
      <c r="AM332" s="313" t="str">
        <f t="shared" si="14"/>
        <v>-</v>
      </c>
      <c r="AN332" s="313" t="str">
        <f t="shared" si="15"/>
        <v>-</v>
      </c>
      <c r="AO332" s="314" t="str">
        <f t="shared" si="16"/>
        <v>-</v>
      </c>
      <c r="AP332" s="316">
        <f t="shared" si="17"/>
        <v>2</v>
      </c>
      <c r="AQ332" s="319" t="str">
        <f t="shared" si="18"/>
        <v>-</v>
      </c>
      <c r="AR332" s="320">
        <f t="shared" si="19"/>
        <v>0</v>
      </c>
      <c r="AS332" s="250" t="str">
        <f>IFERROR(__xludf.DUMMYFUNCTION("SUBSTITUTE(SUBSTITUTE(CONCATENATE(JOIN("""",FP332:GA332)),""|"",""x""),""-"",""o"")"),"xoxxooxxxoox")</f>
        <v>xoxxooxxxoox</v>
      </c>
      <c r="AT332" s="323" t="str">
        <f>IFERROR(__xludf.DUMMYFUNCTION("JOIN("""",AS332,AS332)"),"xoxxooxxxooxxoxxooxxxoox")</f>
        <v>xoxxooxxxooxxoxxooxxxoox</v>
      </c>
      <c r="AU332" s="256" t="str">
        <f>IFERROR(__xludf.DUMMYFUNCTION("JOIN("""",ArrayFormula(MID(AS332,LEN(AS332)-SEQUENCE(1,LEN(AS332))+1,1)))"),"xooxxxooxxox")</f>
        <v>xooxxxooxxox</v>
      </c>
      <c r="AV332" s="256" t="str">
        <f>IFERROR(__xludf.DUMMYFUNCTION("LEFT(CONCATENATE(""x"",JOIN("""",ArrayFormula(MID(AS332,LEN(AS332)-SEQUENCE(1,LEN(AS332))+1,1)))),12)"),"xxooxxxooxxo")</f>
        <v>xxooxxxooxxo</v>
      </c>
      <c r="AW332" s="327" t="str">
        <f>IFERROR(__xludf.DUMMYFUNCTION("JOIN("""",AU332,AU332)"),"xooxxxooxxoxxooxxxooxxox")</f>
        <v>xooxxxooxxoxxooxxxooxxox</v>
      </c>
      <c r="AX332" s="239" t="str">
        <f>IFERROR(__xludf.DUMMYFUNCTION("IF(REGEXMATCH(AW332,AS332),""✔"",""-"")"),"✔")</f>
        <v>✔</v>
      </c>
      <c r="AY332" s="330" t="str">
        <f t="shared" si="20"/>
        <v>-</v>
      </c>
      <c r="AZ332" s="260" t="str">
        <f t="shared" si="21"/>
        <v>#REF!</v>
      </c>
      <c r="BA332" s="333" t="str">
        <f t="shared" si="22"/>
        <v>xoxxoox</v>
      </c>
      <c r="BB332" s="334" t="str">
        <f t="shared" si="23"/>
        <v>xxooxx</v>
      </c>
      <c r="BC332" s="335" t="str">
        <f t="shared" si="236"/>
        <v>-</v>
      </c>
      <c r="BD332" s="336" t="str">
        <f t="shared" si="25"/>
        <v>Simhendra Madhyamam: 'xoxxoox' + 'xxooxx'</v>
      </c>
      <c r="BE332" s="337">
        <f>IFERROR(__xludf.DUMMYFUNCTION("COUNTUNIQUE(FILTER(AT:AT,REGEXMATCH(AT:AT,AS332)))-1"),3.0)</f>
        <v>3</v>
      </c>
      <c r="BF332" s="261" t="str">
        <f>IFERROR(__xludf.DUMMYFUNCTION("IF(BI332=0,""(n/a)"",IF(BJ332=2,""(PAIR)"",IF(REGEXMATCH(AT332,""xoxoxxoxoxox""),""Bilawal"",IF(REGEXMATCH(AT332,""xoxoxooxoxoo""),""Bhupali"",IF(REGEXMATCH(AT332,""xoxoxxoxxoxo""),""Charukeshi"",IF(REGEXMATCH(AT332,""xoxoooxxoxxo""),""Kameshwari"",IF(REG"&amp;"EXMATCH(AT332,""xoxoxooxoxox""),""Shankara"",IF(REGEXMATCH(AT332,""xxooxoxxxoox""),""Basant"",IF(REGEXMATCH(AT332,""xoxoxxxxoxox""),""Bihag"",IF(REGEXMATCH(AT332,""xoxxxxoxoxxx""),""Pilu"",IF(REGEXMATCH(AT332,""xoxxoxoxxoox""),""Kirwani"",IF(REGEXMATCH(AT"&amp;"332,""xoxxoxoxoxxx""),""Mk.Malhar"",IF(REGEXMATCH(AT332,""xxooxxoxxoox""),""Bhairav"",IF(REGEXMATCH(AT332,""xxoxooxxxoox""),""Todi"",IF(REGEXMATCH(AT332,""xxooxoxooxox""),""Marwa"",IF(REGEXMATCH(AT332,""xxoooxoxxooo""),""Gunkali"",IF(REGEXMATCH(AT332,""xo"&amp;"xoxxoxxoox""),""Nat Bhairav"",IF(REGEXMATCH(AT332,""xoxxoooxoxoo""),""Shivranjani"",IF(REGEXMATCH(AT332,""xooxxxoxooxo""),""Jog"",IF(REGEXMATCH(AT332,""xxooxoxoxoox""),""Hemshri"",IF(REGEXMATCH(AT332,""xoooxooxoxxo""),""Kalavati"",IF(REGEXMATCH(AT332,""xx"&amp;"oxoxxoxoox""),""Kedar"",IF(REGEXMATCH(AT332,""xoxxxxoxooxx""),""Gara"",IF(REGEXMATCH(AT332,""xooxoxooxoox""),""Chandrakauns"",IF(REGEXMATCH(AT332,""xoxxxxoxxxox""),""Mand"",IF(REGEXMATCH(AT332,""xoxxxxoxoxox""),""Hanskinkini"",IF(REGEXMATCH(AT332,""xxooxx"&amp;"oxooxo""),""Lilavati"",IF(REGEXMATCH(AT332,""xooxoxoooxox""),""Rajeshwari"",IF(REGEXMATCH(AT332,""xoooxxoxoxxx""),""Khokar"",IF(REGEXMATCH(AT332,""xxooxoxxxxox""),""Maligoura"",""-""))))))))))))))))))))))))))))))"),"Bhairav")</f>
        <v>Bhairav</v>
      </c>
      <c r="BG332" s="239" t="str">
        <f t="shared" si="26"/>
        <v>#REF!</v>
      </c>
      <c r="BH332" s="239">
        <f>IFERROR(__xludf.DUMMYFUNCTION("COUNTUNIQUE(FE332:FO332)-1"),6.0)</f>
        <v>6</v>
      </c>
      <c r="BI332" s="239">
        <f>IFERROR(__xludf.DUMMYFUNCTION("COUNTUNIQUE(FILTER(AT:AT,REGEXMATCH(AT:AT,AS332)))-1"),3.0)</f>
        <v>3</v>
      </c>
      <c r="BJ332" s="239">
        <f>IFERROR(__xludf.DUMMYFUNCTION("COUNTA(FILTER(AT:AT,REGEXMATCH(AT:AT,AS332)))"),6.0)</f>
        <v>6</v>
      </c>
      <c r="BK332" s="341">
        <f>IFERROR(__xludf.DUMMYFUNCTION("COUNTA(FILTER(AT:AT,REGEXMATCH(AT:AT,AS332)))-AR332"),6.0)</f>
        <v>6</v>
      </c>
      <c r="BL332" s="276" t="str">
        <f>IFERROR(__xludf.DUMMYFUNCTION("IF(AS332=""oooooooooooo"",""-"",IF(REGEXMATCH(AT332,""xx""), ""Hemi."", ""Anhemi.""))"),"Hemi.")</f>
        <v>Hemi.</v>
      </c>
      <c r="BM332" s="282" t="str">
        <f>IFERROR(__xludf.DUMMYFUNCTION("IF(AS332=""oooooooooooo"",""-"",IF(REGEXMATCH(AT332,""xxx""), ""Cohem."", ""-""))"),"Cohem.")</f>
        <v>Cohem.</v>
      </c>
      <c r="BN332" s="282" t="str">
        <f>IFERROR(__xludf.DUMMYFUNCTION("IF(AS332=""oooooooooooo"",""-"",IF(REGEXMATCH(AT332,""xxxx""), ""Co-Co."", ""-""))"),"-")</f>
        <v>-</v>
      </c>
      <c r="BO332" s="342" t="str">
        <f>IFERROR(__xludf.DUMMYFUNCTION("IF(AS332=""oooooooooooo"",""-"",IF(REGEXMATCH(AT332,""xxxxx""), ""CCC."", ""-""))"),"-")</f>
        <v>-</v>
      </c>
      <c r="BP332" s="344" t="str">
        <f t="shared" si="27"/>
        <v>-</v>
      </c>
      <c r="BQ332" s="282" t="str">
        <f>IFERROR(__xludf.DUMMYFUNCTION("IF(REGEXMATCH(JOIN(""-"",EU332:FD332),""TRUE""),""✔"",""-"")"),"-")</f>
        <v>-</v>
      </c>
      <c r="BR332" s="225">
        <f t="shared" si="28"/>
        <v>0</v>
      </c>
      <c r="BS332" s="345" t="str">
        <f>IFERROR(__xludf.DUMMYFUNCTION("SUBSTITUTE(SUBSTITUTE(SUBSTITUTE(SUBSTITUTE(CONCATENATE(JOIN(""-"",GC332:GO332)),""--"",""-""),""--"",""-""),""--"",""-""),""--"",""-"")"),"1-2-b3-#4-5-b6-7-8")</f>
        <v>1-2-b3-#4-5-b6-7-8</v>
      </c>
      <c r="BT332" s="299" t="str">
        <f>IFERROR(__xludf.DUMMYFUNCTION("SUBSTITUTE(SUBSTITUTE(SUBSTITUTE(SUBSTITUTE(CONCATENATE(JOIN(""-"",GP332:HB332)),""--"",""-""),""--"",""-""),""--"",""-""),""--"",""-"")"),"S-R2-G2-M2-P-D1-N3-S")</f>
        <v>S-R2-G2-M2-P-D1-N3-S</v>
      </c>
      <c r="BU332" s="348" t="str">
        <f t="shared" si="29"/>
        <v>C-D-Eb-F#-G-Ab-B-C</v>
      </c>
      <c r="BV332" s="349" t="str">
        <f t="shared" si="30"/>
        <v>SrGmDnS</v>
      </c>
      <c r="BW332" s="350">
        <f t="shared" si="31"/>
        <v>0</v>
      </c>
      <c r="BX332" s="351">
        <f t="shared" si="32"/>
        <v>1</v>
      </c>
      <c r="BY332" s="392"/>
      <c r="BZ332" s="309" t="str">
        <f>IFERROR(__xludf.DUMMYFUNCTION("IF(REGEXMATCH(C332, ""S""), ""x"",""x"")"),"x")</f>
        <v>x</v>
      </c>
      <c r="CA332" s="245" t="str">
        <f>IFERROR(__xludf.DUMMYFUNCTION("IF(REGEXMATCH(C332, ""r""), ""o"",""x"")"),"x")</f>
        <v>x</v>
      </c>
      <c r="CB332" s="246" t="str">
        <f>IFERROR(__xludf.DUMMYFUNCTION("IF(REGEXMATCH(C332, ""R""), ""o"",""x"")"),"o")</f>
        <v>o</v>
      </c>
      <c r="CC332" s="246" t="str">
        <f>IFERROR(__xludf.DUMMYFUNCTION("IF(REGEXMATCH(C332, ""g""), ""o"",""x"")"),"o")</f>
        <v>o</v>
      </c>
      <c r="CD332" s="245" t="str">
        <f>IFERROR(__xludf.DUMMYFUNCTION("IF(REGEXMATCH(C332, ""G""), ""o"",""x"")"),"x")</f>
        <v>x</v>
      </c>
      <c r="CE332" s="245" t="str">
        <f>IFERROR(__xludf.DUMMYFUNCTION("IF(REGEXMATCH(C332, ""m""), ""o"",""x"")"),"x")</f>
        <v>x</v>
      </c>
      <c r="CF332" s="246" t="str">
        <f>IFERROR(__xludf.DUMMYFUNCTION("IF(REGEXMATCH(C332, ""M""), ""o"",""x"")"),"o")</f>
        <v>o</v>
      </c>
      <c r="CG332" s="245" t="str">
        <f>IFERROR(__xludf.DUMMYFUNCTION("IF(REGEXMATCH(C332, ""P""), ""o"",""x"")"),"o")</f>
        <v>o</v>
      </c>
      <c r="CH332" s="246" t="str">
        <f>IFERROR(__xludf.DUMMYFUNCTION("IF(REGEXMATCH(C332, ""d""), ""o"",""x"")"),"o")</f>
        <v>o</v>
      </c>
      <c r="CI332" s="245" t="str">
        <f>IFERROR(__xludf.DUMMYFUNCTION("IF(REGEXMATCH(C332, ""D""), ""o"",""x"")"),"x")</f>
        <v>x</v>
      </c>
      <c r="CJ332" s="245" t="str">
        <f>IFERROR(__xludf.DUMMYFUNCTION("IF(REGEXMATCH(C332, ""n""), ""o"",""x"")"),"x")</f>
        <v>x</v>
      </c>
      <c r="CK332" s="245" t="str">
        <f>IFERROR(__xludf.DUMMYFUNCTION("IF(REGEXMATCH(C332, ""N""), ""o"",""x"")"),"o")</f>
        <v>o</v>
      </c>
      <c r="CL332" s="356" t="str">
        <f>IFERROR(__xludf.DUMMYFUNCTION("IF(REGEXMATCH(C332, ""S""), ""x"",""x"")"),"x")</f>
        <v>x</v>
      </c>
      <c r="CM332" s="357" t="str">
        <f t="shared" si="33"/>
        <v>xxooxxoooxxo</v>
      </c>
      <c r="CN332" s="358">
        <f t="shared" si="34"/>
        <v>0</v>
      </c>
      <c r="CO332" s="246" t="str">
        <f>IFERROR(__xludf.DUMMYFUNCTION("IF(REGEXMATCH($C332, ""S""), ""S"",""S"")"),"S")</f>
        <v>S</v>
      </c>
      <c r="CP332" s="246" t="str">
        <f>IFERROR(__xludf.DUMMYFUNCTION("IF(REGEXMATCH($C332, ""r""), """",""r"")"),"r")</f>
        <v>r</v>
      </c>
      <c r="CQ332" s="246" t="str">
        <f>IFERROR(__xludf.DUMMYFUNCTION("IF(REGEXMATCH($C332, ""R""), """",""R"")"),"")</f>
        <v/>
      </c>
      <c r="CR332" s="246" t="str">
        <f>IFERROR(__xludf.DUMMYFUNCTION("IF(REGEXMATCH($C332, ""g""), """",""g"")"),"")</f>
        <v/>
      </c>
      <c r="CS332" s="246" t="str">
        <f>IFERROR(__xludf.DUMMYFUNCTION("IF(REGEXMATCH($C332, ""G""), """",""G"")"),"G")</f>
        <v>G</v>
      </c>
      <c r="CT332" s="246" t="str">
        <f>IFERROR(__xludf.DUMMYFUNCTION("IF(REGEXMATCH($C332, ""m""), """",""m"")"),"m")</f>
        <v>m</v>
      </c>
      <c r="CU332" s="246" t="str">
        <f>IFERROR(__xludf.DUMMYFUNCTION("IF(REGEXMATCH($C332, ""M""), """",""M"")"),"")</f>
        <v/>
      </c>
      <c r="CV332" s="246" t="str">
        <f>IFERROR(__xludf.DUMMYFUNCTION("IF(REGEXMATCH($C332, ""P""), """",""P"")"),"")</f>
        <v/>
      </c>
      <c r="CW332" s="246" t="str">
        <f>IFERROR(__xludf.DUMMYFUNCTION("IF(REGEXMATCH($C332, ""d""), """",""d"")"),"")</f>
        <v/>
      </c>
      <c r="CX332" s="246" t="str">
        <f>IFERROR(__xludf.DUMMYFUNCTION("IF(REGEXMATCH($C332, ""D""), """",""D"")"),"D")</f>
        <v>D</v>
      </c>
      <c r="CY332" s="246" t="str">
        <f>IFERROR(__xludf.DUMMYFUNCTION("IF(REGEXMATCH($C332, ""n""), """",""n"")"),"n")</f>
        <v>n</v>
      </c>
      <c r="CZ332" s="246" t="str">
        <f>IFERROR(__xludf.DUMMYFUNCTION("IF(REGEXMATCH($C332, ""N""), """",""N"")"),"")</f>
        <v/>
      </c>
      <c r="DA332" s="246" t="str">
        <f>IFERROR(__xludf.DUMMYFUNCTION("IF(REGEXMATCH($C332, ""S""), ""S"",""S"")"),"S")</f>
        <v>S</v>
      </c>
      <c r="DB332" s="362" t="str">
        <f>IFERROR(__xludf.DUMMYFUNCTION("JOIN("""",CO332:DA332,"""","""")"),"SrGmDnS")</f>
        <v>SrGmDnS</v>
      </c>
      <c r="DC332" s="363"/>
      <c r="DD332" s="301" t="str">
        <f t="shared" si="35"/>
        <v>#REF!</v>
      </c>
      <c r="DE332" s="302" t="str">
        <f t="shared" si="36"/>
        <v>#REF!</v>
      </c>
      <c r="DF332" s="301" t="str">
        <f t="shared" ref="DF332:DG332" si="895">SUBSTITUTE(S332,"-","")</f>
        <v>SRGM</v>
      </c>
      <c r="DG332" s="301" t="str">
        <f t="shared" si="895"/>
        <v>PDNS</v>
      </c>
      <c r="DH332" s="302" t="str">
        <f t="shared" si="38"/>
        <v>Bhairav</v>
      </c>
      <c r="DI332" s="301" t="str">
        <f t="shared" si="39"/>
        <v>Hemi.</v>
      </c>
      <c r="DJ332" s="364" t="str">
        <f t="shared" si="40"/>
        <v>Cohem.</v>
      </c>
      <c r="DK332" s="306" t="str">
        <f t="shared" si="41"/>
        <v>-</v>
      </c>
      <c r="DL332" s="366" t="str">
        <f t="shared" si="42"/>
        <v>-</v>
      </c>
      <c r="DM332" s="308" t="str">
        <f t="shared" si="43"/>
        <v>✔</v>
      </c>
      <c r="DN332" s="306" t="str">
        <f t="shared" si="44"/>
        <v>-</v>
      </c>
      <c r="DO332" s="306" t="str">
        <f t="shared" si="45"/>
        <v>-</v>
      </c>
      <c r="DP332" s="367" t="str">
        <f t="shared" si="46"/>
        <v>✔</v>
      </c>
      <c r="DQ332" s="310" t="str">
        <f t="shared" si="47"/>
        <v>-</v>
      </c>
      <c r="DR332" s="310" t="str">
        <f t="shared" si="48"/>
        <v>-</v>
      </c>
      <c r="DS332" s="310" t="str">
        <f t="shared" si="49"/>
        <v>-</v>
      </c>
      <c r="DT332" s="310" t="str">
        <f t="shared" si="50"/>
        <v>-</v>
      </c>
      <c r="DU332" s="370" t="str">
        <f t="shared" si="51"/>
        <v>-</v>
      </c>
      <c r="DV332" s="306" t="str">
        <f t="shared" si="52"/>
        <v>-</v>
      </c>
      <c r="DW332" s="306" t="str">
        <f t="shared" si="53"/>
        <v>-</v>
      </c>
      <c r="DX332" s="306" t="str">
        <f t="shared" si="54"/>
        <v>-</v>
      </c>
      <c r="DY332" s="306" t="str">
        <f t="shared" si="55"/>
        <v>-</v>
      </c>
      <c r="DZ332" s="306" t="str">
        <f t="shared" si="56"/>
        <v>-</v>
      </c>
      <c r="EA332" s="367" t="str">
        <f t="shared" si="57"/>
        <v>-</v>
      </c>
      <c r="EB332" s="310" t="str">
        <f>IFERROR(__xludf.DUMMYFUNCTION("IF(REGEXMATCH(AW332,AS332),""✔"",""-"")"),"✔")</f>
        <v>✔</v>
      </c>
      <c r="EC332" s="310" t="str">
        <f t="shared" si="58"/>
        <v>#REF!</v>
      </c>
      <c r="ED332" s="370" t="str">
        <f t="shared" si="59"/>
        <v>-</v>
      </c>
      <c r="EE332" s="340" t="str">
        <f t="shared" si="60"/>
        <v>S-R-g-M-P-d-N-S</v>
      </c>
      <c r="EF332" s="371" t="str">
        <f>IFERROR(__xludf.DUMMYFUNCTION("CONCATENATE(JOIN("""",HC332:HO332))"),"SrGmMDnS")</f>
        <v>SrGmMDnS</v>
      </c>
      <c r="EG332" s="372">
        <f t="shared" si="61"/>
        <v>3</v>
      </c>
      <c r="EH332" s="373" t="str">
        <f>IFERROR(__xludf.DUMMYFUNCTION("CONCATENATE(JOIN("""",JC332:JO332))"),"Re, ga, Ma, ")</f>
        <v>Re, ga, Ma, </v>
      </c>
      <c r="EI332" s="322">
        <f t="shared" si="62"/>
        <v>0</v>
      </c>
      <c r="EJ332" s="374" t="str">
        <f>IFERROR(__xludf.DUMMYFUNCTION("CONCATENATE(JOIN("""",KC332:KO332))"),"")</f>
        <v/>
      </c>
      <c r="EK332" s="325" t="str">
        <f t="shared" si="63"/>
        <v>S-R2-G2-M2-P-D1-N3-S</v>
      </c>
      <c r="EL332" s="326" t="str">
        <f t="shared" si="64"/>
        <v>1-2-b3-#4-5-b6-7-8</v>
      </c>
      <c r="EM332" s="318" t="str">
        <f t="shared" si="65"/>
        <v>#REF!</v>
      </c>
      <c r="EN332" s="328" t="str">
        <f>IFERROR(__xludf.DUMMYFUNCTION("SUBSTITUTE(SUBSTITUTE(SUBSTITUTE(SUBSTITUTE(CONCATENATE(JOIN("" "",HP332:IB332)),""  "","" ""),""  "","" ""),""  "","" ""),""  "","" "")"),"o • o o • • o o o • • o o")</f>
        <v>o • o o • • o o o • • o o</v>
      </c>
      <c r="EO332" s="368" t="str">
        <f t="shared" si="66"/>
        <v>Sa-Pa</v>
      </c>
      <c r="EP332" s="339" t="str">
        <f t="shared" si="67"/>
        <v>Sa-Pa</v>
      </c>
      <c r="EQ332" s="339" t="str">
        <f t="shared" si="68"/>
        <v>Sa-Pa</v>
      </c>
      <c r="ER332" s="339" t="str">
        <f t="shared" si="69"/>
        <v>-</v>
      </c>
      <c r="ES332" s="340" t="str">
        <f t="shared" si="70"/>
        <v>-</v>
      </c>
      <c r="ET332" s="363"/>
      <c r="EU332" s="376" t="b">
        <f>IFERROR(__xludf.DUMMYFUNCTION("arrayformula(sum(--REGEXMATCH(""SRGMPDNS"",split(REGEXREPLACE(C332,""(.)"",""$1~""),""~""))))=len(C332)
"),FALSE)</f>
        <v>0</v>
      </c>
      <c r="EV332" s="290" t="b">
        <f>IFERROR(__xludf.DUMMYFUNCTION("arrayformula(sum(--REGEXMATCH(""SRGmPDNS"",split(REGEXREPLACE(C332,""(.)"",""$1~""),""~""))))=len(C332)"),FALSE)</f>
        <v>0</v>
      </c>
      <c r="EW332" s="290" t="b">
        <f>IFERROR(__xludf.DUMMYFUNCTION("arrayformula(sum(--REGEXMATCH(""SRGmPDnS"",split(REGEXREPLACE(C332,""(.)"",""$1~""),""~""))))=len(C332)"),FALSE)</f>
        <v>0</v>
      </c>
      <c r="EX332" s="290" t="b">
        <f>IFERROR(__xludf.DUMMYFUNCTION("arrayformula(sum(--REGEXMATCH(""SRgmPDnS"",split(REGEXREPLACE(C332,""(.)"",""$1~""),""~""))))=len(C332)"),FALSE)</f>
        <v>0</v>
      </c>
      <c r="EY332" s="290" t="b">
        <f>IFERROR(__xludf.DUMMYFUNCTION("arrayformula(sum(--REGEXMATCH(""SRgmPdnS"",split(REGEXREPLACE(C332,""(.)"",""$1~""),""~""))))=len(C332)"),FALSE)</f>
        <v>0</v>
      </c>
      <c r="EZ332" s="290" t="b">
        <f>IFERROR(__xludf.DUMMYFUNCTION("arrayformula(sum(--REGEXMATCH(""SrgmPdnS"",split(REGEXREPLACE(C332,""(.)"",""$1~""),""~""))))=len(C332)"),FALSE)</f>
        <v>0</v>
      </c>
      <c r="FA332" s="290" t="b">
        <f>IFERROR(__xludf.DUMMYFUNCTION("arrayformula(sum(--REGEXMATCH(""SrGmPdNS"",split(REGEXREPLACE(C332,""(.)"",""$1~""),""~""))))=len(C332)"),FALSE)</f>
        <v>0</v>
      </c>
      <c r="FB332" s="290" t="b">
        <f>IFERROR(__xludf.DUMMYFUNCTION("arrayformula(sum(--REGEXMATCH(""SrGMPDNS"",split(REGEXREPLACE(C332,""(.)"",""$1~""),""~""))))=len(C332)"),FALSE)</f>
        <v>0</v>
      </c>
      <c r="FC332" s="290" t="b">
        <f>IFERROR(__xludf.DUMMYFUNCTION("arrayformula(sum(--REGEXMATCH(""SrGMPdNS"",split(REGEXREPLACE(C332,""(.)"",""$1~""),""~""))))=len(C332)"),FALSE)</f>
        <v>0</v>
      </c>
      <c r="FD332" s="377" t="b">
        <f>IFERROR(__xludf.DUMMYFUNCTION("arrayformula(sum(--REGEXMATCH(""SrgMPdNS"",split(REGEXREPLACE(C332,""(.)"",""$1~""),""~""))))=len(C332)"),FALSE)</f>
        <v>0</v>
      </c>
      <c r="FE332" s="269" t="str">
        <f t="shared" si="71"/>
        <v>-</v>
      </c>
      <c r="FF332" s="269" t="str">
        <f t="shared" si="72"/>
        <v>xxooxxxooxx</v>
      </c>
      <c r="FG332" s="271" t="str">
        <f t="shared" si="73"/>
        <v>xooxxxooxxo</v>
      </c>
      <c r="FH332" s="269" t="str">
        <f t="shared" si="74"/>
        <v>-</v>
      </c>
      <c r="FI332" s="271" t="str">
        <f t="shared" si="75"/>
        <v>-</v>
      </c>
      <c r="FJ332" s="271" t="str">
        <f t="shared" si="76"/>
        <v>xxxooxxoxxo</v>
      </c>
      <c r="FK332" s="271" t="str">
        <f t="shared" si="77"/>
        <v>xxooxxoxxoo</v>
      </c>
      <c r="FL332" s="271" t="str">
        <f t="shared" si="78"/>
        <v>xooxxoxxoox</v>
      </c>
      <c r="FM332" s="271" t="str">
        <f t="shared" si="79"/>
        <v>-</v>
      </c>
      <c r="FN332" s="271" t="str">
        <f t="shared" si="80"/>
        <v>-</v>
      </c>
      <c r="FO332" s="274" t="str">
        <f t="shared" si="81"/>
        <v>xxoxxooxxxo</v>
      </c>
      <c r="FP332" s="234" t="str">
        <f t="shared" si="82"/>
        <v>|</v>
      </c>
      <c r="FQ332" s="236" t="str">
        <f t="shared" si="83"/>
        <v>-</v>
      </c>
      <c r="FR332" s="237" t="str">
        <f t="shared" si="84"/>
        <v>|</v>
      </c>
      <c r="FS332" s="236" t="str">
        <f t="shared" si="85"/>
        <v>|</v>
      </c>
      <c r="FT332" s="237" t="str">
        <f t="shared" si="86"/>
        <v>-</v>
      </c>
      <c r="FU332" s="236" t="str">
        <f t="shared" si="87"/>
        <v>-</v>
      </c>
      <c r="FV332" s="237" t="str">
        <f t="shared" si="88"/>
        <v>|</v>
      </c>
      <c r="FW332" s="236" t="str">
        <f t="shared" si="89"/>
        <v>|</v>
      </c>
      <c r="FX332" s="237" t="str">
        <f t="shared" si="90"/>
        <v>|</v>
      </c>
      <c r="FY332" s="236" t="str">
        <f t="shared" si="91"/>
        <v>-</v>
      </c>
      <c r="FZ332" s="237" t="str">
        <f t="shared" si="92"/>
        <v>-</v>
      </c>
      <c r="GA332" s="236" t="str">
        <f t="shared" si="93"/>
        <v>|</v>
      </c>
      <c r="GB332" s="238" t="str">
        <f t="shared" si="94"/>
        <v>|</v>
      </c>
      <c r="GC332" s="244" t="str">
        <f>IFERROR(__xludf.DUMMYFUNCTION("IF(REGEXMATCH(C332, ""S""), ""1"","""")"),"1")</f>
        <v>1</v>
      </c>
      <c r="GD332" s="245" t="str">
        <f>IFERROR(__xludf.DUMMYFUNCTION("IF(REGEXMATCH(C332, ""r""), ""b2"","""")"),"")</f>
        <v/>
      </c>
      <c r="GE332" s="246" t="str">
        <f>IFERROR(__xludf.DUMMYFUNCTION("IF(REGEXMATCH(C332, ""R""), ""2"","""")"),"2")</f>
        <v>2</v>
      </c>
      <c r="GF332" s="246" t="str">
        <f>IFERROR(__xludf.DUMMYFUNCTION("IF(REGEXMATCH(C332, ""g""), ""b3"","""")"),"b3")</f>
        <v>b3</v>
      </c>
      <c r="GG332" s="245" t="str">
        <f>IFERROR(__xludf.DUMMYFUNCTION("IF(REGEXMATCH(C332, ""G""), ""3"","""")"),"")</f>
        <v/>
      </c>
      <c r="GH332" s="245" t="str">
        <f>IFERROR(__xludf.DUMMYFUNCTION("IF(REGEXMATCH(C332, ""m""), ""4"","""")"),"")</f>
        <v/>
      </c>
      <c r="GI332" s="246" t="str">
        <f>IFERROR(__xludf.DUMMYFUNCTION("IF(REGEXMATCH(C332, ""M""), ""#4"","""")"),"#4")</f>
        <v>#4</v>
      </c>
      <c r="GJ332" s="245" t="str">
        <f>IFERROR(__xludf.DUMMYFUNCTION("IF(REGEXMATCH(C332, ""P""), ""5"","""")"),"5")</f>
        <v>5</v>
      </c>
      <c r="GK332" s="246" t="str">
        <f>IFERROR(__xludf.DUMMYFUNCTION("IF(REGEXMATCH(C332, ""d""), ""b6"","""")"),"b6")</f>
        <v>b6</v>
      </c>
      <c r="GL332" s="245" t="str">
        <f>IFERROR(__xludf.DUMMYFUNCTION("IF(REGEXMATCH(C332, ""D""), ""6"","""")"),"")</f>
        <v/>
      </c>
      <c r="GM332" s="245" t="str">
        <f>IFERROR(__xludf.DUMMYFUNCTION("IF(REGEXMATCH(C332, ""n""), ""b7"","""")"),"")</f>
        <v/>
      </c>
      <c r="GN332" s="246" t="str">
        <f>IFERROR(__xludf.DUMMYFUNCTION("IF(REGEXMATCH(C332, ""N""), ""7"","""")"),"7")</f>
        <v>7</v>
      </c>
      <c r="GO332" s="249" t="str">
        <f>IFERROR(__xludf.DUMMYFUNCTION("IF(REGEXMATCH(C332, ""S""), ""8"","""")"),"8")</f>
        <v>8</v>
      </c>
      <c r="GP332" s="244" t="str">
        <f>IFERROR(__xludf.DUMMYFUNCTION("IF(REGEXMATCH(C332, ""S""), ""S"","""")"),"S")</f>
        <v>S</v>
      </c>
      <c r="GQ332" s="294" t="str">
        <f>IFERROR(__xludf.DUMMYFUNCTION("IF(REGEXMATCH(C332, ""r""), ""R1"","""")"),"")</f>
        <v/>
      </c>
      <c r="GR332" s="295" t="str">
        <f>IFERROR(__xludf.DUMMYFUNCTION("IF(REGEXMATCH(C332, ""R""), ""R2"","""")"),"R2")</f>
        <v>R2</v>
      </c>
      <c r="GS332" s="295" t="str">
        <f>IFERROR(__xludf.DUMMYFUNCTION("IF(REGEXMATCH(C332, ""g""), ""G2"","""")"),"G2")</f>
        <v>G2</v>
      </c>
      <c r="GT332" s="294" t="str">
        <f>IFERROR(__xludf.DUMMYFUNCTION("IF(REGEXMATCH(C332, ""G""), ""G3"","""")"),"")</f>
        <v/>
      </c>
      <c r="GU332" s="294" t="str">
        <f>IFERROR(__xludf.DUMMYFUNCTION("IF(REGEXMATCH(C332, ""m""), ""M1"","""")"),"")</f>
        <v/>
      </c>
      <c r="GV332" s="295" t="str">
        <f>IFERROR(__xludf.DUMMYFUNCTION("IF(REGEXMATCH(C332, ""M""), ""M2"","""")"),"M2")</f>
        <v>M2</v>
      </c>
      <c r="GW332" s="294" t="str">
        <f>IFERROR(__xludf.DUMMYFUNCTION("IF(REGEXMATCH(C332, ""P""), ""P"","""")"),"P")</f>
        <v>P</v>
      </c>
      <c r="GX332" s="295" t="str">
        <f>IFERROR(__xludf.DUMMYFUNCTION("IF(REGEXMATCH(C332, ""d""), ""D1"","""")"),"D1")</f>
        <v>D1</v>
      </c>
      <c r="GY332" s="294" t="str">
        <f>IFERROR(__xludf.DUMMYFUNCTION("IF(REGEXMATCH(C332, ""D""), ""D2"","""")"),"")</f>
        <v/>
      </c>
      <c r="GZ332" s="294" t="str">
        <f>IFERROR(__xludf.DUMMYFUNCTION("IF(REGEXMATCH(C332, ""n""), ""N2"","""")"),"")</f>
        <v/>
      </c>
      <c r="HA332" s="295" t="str">
        <f>IFERROR(__xludf.DUMMYFUNCTION("IF(REGEXMATCH(C332, ""N""), ""N3"","""")"),"N3")</f>
        <v>N3</v>
      </c>
      <c r="HB332" s="249" t="str">
        <f>IFERROR(__xludf.DUMMYFUNCTION("IF(REGEXMATCH(C332, ""S""), ""S"","""")"),"S")</f>
        <v>S</v>
      </c>
      <c r="HC332" s="331" t="str">
        <f t="shared" si="95"/>
        <v>S</v>
      </c>
      <c r="HD332" s="332" t="str">
        <f t="shared" si="96"/>
        <v>r</v>
      </c>
      <c r="HE332" s="332" t="str">
        <f t="shared" si="97"/>
        <v/>
      </c>
      <c r="HF332" s="332" t="str">
        <f t="shared" si="98"/>
        <v/>
      </c>
      <c r="HG332" s="332" t="str">
        <f t="shared" si="99"/>
        <v>G</v>
      </c>
      <c r="HH332" s="332" t="str">
        <f t="shared" si="100"/>
        <v>m</v>
      </c>
      <c r="HI332" s="332" t="str">
        <f t="shared" si="101"/>
        <v>M</v>
      </c>
      <c r="HJ332" s="332" t="str">
        <f t="shared" si="102"/>
        <v/>
      </c>
      <c r="HK332" s="332" t="str">
        <f t="shared" si="103"/>
        <v/>
      </c>
      <c r="HL332" s="332" t="str">
        <f t="shared" si="104"/>
        <v>D</v>
      </c>
      <c r="HM332" s="332" t="str">
        <f t="shared" si="105"/>
        <v>n</v>
      </c>
      <c r="HN332" s="332" t="str">
        <f t="shared" si="106"/>
        <v/>
      </c>
      <c r="HO332" s="343" t="str">
        <f t="shared" si="107"/>
        <v>S</v>
      </c>
      <c r="HP332" s="331" t="str">
        <f t="shared" si="108"/>
        <v>o</v>
      </c>
      <c r="HQ332" s="332" t="str">
        <f t="shared" si="109"/>
        <v>•</v>
      </c>
      <c r="HR332" s="332" t="str">
        <f t="shared" si="110"/>
        <v>o</v>
      </c>
      <c r="HS332" s="332" t="str">
        <f t="shared" si="111"/>
        <v>o</v>
      </c>
      <c r="HT332" s="332" t="str">
        <f t="shared" si="112"/>
        <v>•</v>
      </c>
      <c r="HU332" s="332" t="str">
        <f t="shared" si="113"/>
        <v>•</v>
      </c>
      <c r="HV332" s="332" t="str">
        <f t="shared" si="114"/>
        <v>o</v>
      </c>
      <c r="HW332" s="332" t="str">
        <f t="shared" si="115"/>
        <v>o</v>
      </c>
      <c r="HX332" s="332" t="str">
        <f t="shared" si="116"/>
        <v>o</v>
      </c>
      <c r="HY332" s="332" t="str">
        <f t="shared" si="117"/>
        <v>•</v>
      </c>
      <c r="HZ332" s="332" t="str">
        <f t="shared" si="118"/>
        <v>•</v>
      </c>
      <c r="IA332" s="332" t="str">
        <f t="shared" si="119"/>
        <v>o</v>
      </c>
      <c r="IB332" s="338" t="str">
        <f t="shared" si="120"/>
        <v>o</v>
      </c>
      <c r="IC332" s="331" t="str">
        <f t="shared" si="121"/>
        <v>•</v>
      </c>
      <c r="ID332" s="332" t="str">
        <f t="shared" si="122"/>
        <v>o</v>
      </c>
      <c r="IE332" s="332" t="str">
        <f t="shared" si="123"/>
        <v>•</v>
      </c>
      <c r="IF332" s="332" t="str">
        <f t="shared" si="124"/>
        <v>•</v>
      </c>
      <c r="IG332" s="332" t="str">
        <f t="shared" si="125"/>
        <v>o</v>
      </c>
      <c r="IH332" s="332" t="str">
        <f t="shared" si="126"/>
        <v>o</v>
      </c>
      <c r="II332" s="332" t="str">
        <f t="shared" si="127"/>
        <v>•</v>
      </c>
      <c r="IJ332" s="332" t="str">
        <f t="shared" si="128"/>
        <v>•</v>
      </c>
      <c r="IK332" s="332" t="str">
        <f t="shared" si="129"/>
        <v>•</v>
      </c>
      <c r="IL332" s="332" t="str">
        <f t="shared" si="130"/>
        <v>o</v>
      </c>
      <c r="IM332" s="332" t="str">
        <f t="shared" si="131"/>
        <v>o</v>
      </c>
      <c r="IN332" s="332" t="str">
        <f t="shared" si="132"/>
        <v>•</v>
      </c>
      <c r="IO332" s="338" t="str">
        <f t="shared" si="133"/>
        <v>•</v>
      </c>
      <c r="IP332" s="346" t="b">
        <f t="shared" si="134"/>
        <v>0</v>
      </c>
      <c r="IQ332" s="347" t="b">
        <f t="shared" si="135"/>
        <v>0</v>
      </c>
      <c r="IR332" s="347" t="b">
        <f t="shared" si="136"/>
        <v>1</v>
      </c>
      <c r="IS332" s="347" t="b">
        <f t="shared" si="137"/>
        <v>1</v>
      </c>
      <c r="IT332" s="347" t="b">
        <f t="shared" si="138"/>
        <v>0</v>
      </c>
      <c r="IU332" s="347" t="b">
        <f t="shared" si="139"/>
        <v>0</v>
      </c>
      <c r="IV332" s="347" t="b">
        <f t="shared" si="140"/>
        <v>1</v>
      </c>
      <c r="IW332" s="347" t="b">
        <f t="shared" si="141"/>
        <v>0</v>
      </c>
      <c r="IX332" s="347" t="b">
        <f t="shared" si="142"/>
        <v>0</v>
      </c>
      <c r="IY332" s="347" t="b">
        <f t="shared" si="143"/>
        <v>0</v>
      </c>
      <c r="IZ332" s="347" t="b">
        <f t="shared" si="144"/>
        <v>0</v>
      </c>
      <c r="JA332" s="347" t="b">
        <f t="shared" si="145"/>
        <v>0</v>
      </c>
      <c r="JB332" s="353" t="b">
        <f t="shared" si="146"/>
        <v>0</v>
      </c>
      <c r="JC332" s="354" t="str">
        <f t="shared" si="147"/>
        <v/>
      </c>
      <c r="JD332" s="355" t="str">
        <f t="shared" si="148"/>
        <v/>
      </c>
      <c r="JE332" s="355" t="str">
        <f t="shared" si="149"/>
        <v>Re, </v>
      </c>
      <c r="JF332" s="355" t="str">
        <f t="shared" si="150"/>
        <v>ga, </v>
      </c>
      <c r="JG332" s="355" t="str">
        <f t="shared" si="151"/>
        <v/>
      </c>
      <c r="JH332" s="355" t="str">
        <f t="shared" si="152"/>
        <v/>
      </c>
      <c r="JI332" s="355" t="str">
        <f t="shared" si="153"/>
        <v>Ma, </v>
      </c>
      <c r="JJ332" s="355" t="str">
        <f t="shared" si="154"/>
        <v/>
      </c>
      <c r="JK332" s="355" t="str">
        <f t="shared" si="155"/>
        <v/>
      </c>
      <c r="JL332" s="355" t="str">
        <f t="shared" si="156"/>
        <v/>
      </c>
      <c r="JM332" s="355" t="str">
        <f t="shared" si="157"/>
        <v/>
      </c>
      <c r="JN332" s="355" t="str">
        <f t="shared" si="158"/>
        <v/>
      </c>
      <c r="JO332" s="359" t="str">
        <f t="shared" si="159"/>
        <v/>
      </c>
      <c r="JP332" s="346" t="b">
        <f t="shared" si="160"/>
        <v>0</v>
      </c>
      <c r="JQ332" s="347" t="b">
        <f t="shared" si="161"/>
        <v>0</v>
      </c>
      <c r="JR332" s="347" t="b">
        <f t="shared" si="162"/>
        <v>0</v>
      </c>
      <c r="JS332" s="347" t="b">
        <f t="shared" si="163"/>
        <v>0</v>
      </c>
      <c r="JT332" s="347" t="b">
        <f t="shared" si="164"/>
        <v>0</v>
      </c>
      <c r="JU332" s="347" t="b">
        <f t="shared" si="165"/>
        <v>0</v>
      </c>
      <c r="JV332" s="347" t="b">
        <f t="shared" si="166"/>
        <v>0</v>
      </c>
      <c r="JW332" s="347" t="b">
        <f t="shared" si="167"/>
        <v>0</v>
      </c>
      <c r="JX332" s="347" t="b">
        <f t="shared" si="168"/>
        <v>0</v>
      </c>
      <c r="JY332" s="347" t="b">
        <f t="shared" si="169"/>
        <v>0</v>
      </c>
      <c r="JZ332" s="347" t="b">
        <f t="shared" si="170"/>
        <v>0</v>
      </c>
      <c r="KA332" s="347" t="b">
        <f t="shared" si="171"/>
        <v>0</v>
      </c>
      <c r="KB332" s="365" t="b">
        <f t="shared" si="172"/>
        <v>0</v>
      </c>
      <c r="KC332" s="354" t="str">
        <f t="shared" si="173"/>
        <v/>
      </c>
      <c r="KD332" s="355" t="str">
        <f t="shared" si="174"/>
        <v/>
      </c>
      <c r="KE332" s="355" t="str">
        <f t="shared" si="175"/>
        <v/>
      </c>
      <c r="KF332" s="355" t="str">
        <f t="shared" si="176"/>
        <v/>
      </c>
      <c r="KG332" s="355" t="str">
        <f t="shared" si="177"/>
        <v/>
      </c>
      <c r="KH332" s="355" t="str">
        <f t="shared" si="178"/>
        <v/>
      </c>
      <c r="KI332" s="355" t="str">
        <f t="shared" si="179"/>
        <v/>
      </c>
      <c r="KJ332" s="355" t="str">
        <f t="shared" si="180"/>
        <v/>
      </c>
      <c r="KK332" s="355" t="str">
        <f t="shared" si="181"/>
        <v/>
      </c>
      <c r="KL332" s="355" t="str">
        <f t="shared" si="182"/>
        <v/>
      </c>
      <c r="KM332" s="355" t="str">
        <f t="shared" si="183"/>
        <v/>
      </c>
      <c r="KN332" s="355" t="str">
        <f t="shared" si="184"/>
        <v/>
      </c>
      <c r="KO332" s="359"/>
      <c r="KP332" s="378"/>
      <c r="KQ332" s="379" t="s">
        <v>389</v>
      </c>
      <c r="KR332" s="380" t="s">
        <v>1500</v>
      </c>
      <c r="KS332" s="381" t="s">
        <v>9</v>
      </c>
      <c r="KT332" s="382">
        <f t="shared" si="186"/>
        <v>0</v>
      </c>
      <c r="KU332" s="383">
        <f t="shared" si="187"/>
        <v>0</v>
      </c>
      <c r="KV332" s="381" t="str">
        <f t="shared" si="205"/>
        <v>S-N-d-P-M-g-R-S</v>
      </c>
      <c r="KW332" s="382">
        <f t="shared" si="189"/>
        <v>7</v>
      </c>
      <c r="KX332" s="384">
        <f t="shared" si="190"/>
        <v>7</v>
      </c>
      <c r="KY332" s="382">
        <f t="shared" ref="KY332:KZ332" si="896">KW332-KT332</f>
        <v>7</v>
      </c>
      <c r="KZ332" s="369">
        <f t="shared" si="896"/>
        <v>7</v>
      </c>
      <c r="LA332" s="385" t="str">
        <f t="shared" si="192"/>
        <v>-</v>
      </c>
      <c r="LB332" s="340" t="str">
        <f>IFERROR(__xludf.DUMMYFUNCTION("JOIN("""",ArrayFormula(MID(KS332,LEN(KS332)-SEQUENCE(1,LEN(KS332))+1,1)))"),"S")</f>
        <v>S</v>
      </c>
      <c r="LC332" s="373" t="str">
        <f>IFERROR(__xludf.DUMMYFUNCTION("JOIN("""",ArrayFormula(MID(KV332,LEN(KV332)-SEQUENCE(1,LEN(KV332))+1,1)))"),"S-R-g-M-P-d-N-S")</f>
        <v>S-R-g-M-P-d-N-S</v>
      </c>
      <c r="LD332" s="373" t="str">
        <f t="shared" si="193"/>
        <v>S</v>
      </c>
      <c r="LE332" s="339" t="str">
        <f t="shared" si="194"/>
        <v>SRgMPdNS</v>
      </c>
      <c r="LF332" s="386" t="str">
        <f>IFERROR(__xludf.DUMMYFUNCTION("SUBSTITUTE(SUBSTITUTE(CONCATENATE(JOIN("""",LH332:LT332)),""1"",""""),""2"","""")"),"SRgMPdNS")</f>
        <v>SRgMPdNS</v>
      </c>
      <c r="LG332" s="369" t="str">
        <f t="shared" si="195"/>
        <v>✔</v>
      </c>
      <c r="LH332" s="387" t="str">
        <f>IFERROR(__xludf.DUMMYFUNCTION("IF(REGEXMATCH(LD332, ""S""), ""S"",IF(REGEXMATCH(LE332, ""S""), ""S"",""""))"),"S")</f>
        <v>S</v>
      </c>
      <c r="LI332" s="299" t="str">
        <f>IFERROR(__xludf.DUMMYFUNCTION("IF(REGEXMATCH(LD332, ""r""), ""r1"",IF(REGEXMATCH(LE332, ""r""), ""r2"",""""))"),"")</f>
        <v/>
      </c>
      <c r="LJ332" s="299" t="str">
        <f>IFERROR(__xludf.DUMMYFUNCTION("IF(REGEXMATCH(LD332, ""R""), ""R1"",IF(REGEXMATCH(LE332, ""R""), ""R2"",""""))"),"R2")</f>
        <v>R2</v>
      </c>
      <c r="LK332" s="299" t="str">
        <f>IFERROR(__xludf.DUMMYFUNCTION("IF(REGEXMATCH(LD332, ""g""), ""g1"",IF(REGEXMATCH(LE332, ""g""), ""g2"",""""))"),"g2")</f>
        <v>g2</v>
      </c>
      <c r="LL332" s="299" t="str">
        <f>IFERROR(__xludf.DUMMYFUNCTION("IF(REGEXMATCH(LD332, ""G""), ""G1"",IF(REGEXMATCH(LE332, ""G""), ""G2"",""""))"),"")</f>
        <v/>
      </c>
      <c r="LM332" s="299" t="str">
        <f>IFERROR(__xludf.DUMMYFUNCTION("IF(REGEXMATCH(LD332, ""m""), ""m1"",IF(REGEXMATCH(LE332, ""m""), ""m2"",""""))"),"")</f>
        <v/>
      </c>
      <c r="LN332" s="299" t="str">
        <f>IFERROR(__xludf.DUMMYFUNCTION("IF(REGEXMATCH(LD332, ""M""), ""M1"",IF(REGEXMATCH(LE332, ""M""), ""M2"",""""))"),"M2")</f>
        <v>M2</v>
      </c>
      <c r="LO332" s="299" t="str">
        <f>IFERROR(__xludf.DUMMYFUNCTION("IF(REGEXMATCH(LD332, ""P""), ""P1"",IF(REGEXMATCH(LE332, ""P""), ""P2"",""""))"),"P2")</f>
        <v>P2</v>
      </c>
      <c r="LP332" s="299" t="str">
        <f>IFERROR(__xludf.DUMMYFUNCTION("IF(REGEXMATCH(LD332, ""d""), ""d1"",IF(REGEXMATCH(LE332, ""d""), ""d2"",""""))"),"d2")</f>
        <v>d2</v>
      </c>
      <c r="LQ332" s="299" t="str">
        <f>IFERROR(__xludf.DUMMYFUNCTION("IF(REGEXMATCH(LD332, ""D""), ""D1"",IF(REGEXMATCH(LE332, ""D""), ""D2"",""""))"),"")</f>
        <v/>
      </c>
      <c r="LR332" s="299" t="str">
        <f>IFERROR(__xludf.DUMMYFUNCTION("IF(REGEXMATCH(LD332, ""n""), ""n1"",IF(REGEXMATCH(LE332, ""n""), ""n2"",""""))"),"")</f>
        <v/>
      </c>
      <c r="LS332" s="299" t="str">
        <f>IFERROR(__xludf.DUMMYFUNCTION("IF(REGEXMATCH(LD332, ""N""), ""N1"",IF(REGEXMATCH(LE332, ""N""), ""N2"",""""))"),"N2")</f>
        <v>N2</v>
      </c>
      <c r="LT332" s="388" t="str">
        <f>IFERROR(__xludf.DUMMYFUNCTION("IF(REGEXMATCH(LD332, ""S""), ""S"",IF(REGEXMATCH(LE332, ""S""), ""S"",""""))"),"S")</f>
        <v>S</v>
      </c>
      <c r="LU332" s="389">
        <f t="shared" si="196"/>
        <v>-13</v>
      </c>
      <c r="LV332" s="378"/>
      <c r="LW332" s="369"/>
      <c r="LX332" s="369"/>
    </row>
    <row r="333" ht="18.0" customHeight="1">
      <c r="A333" s="298" t="s">
        <v>1501</v>
      </c>
      <c r="B333" s="222" t="s">
        <v>536</v>
      </c>
      <c r="C333" s="233" t="str">
        <f t="shared" si="7"/>
        <v>SrRgmPdDnS</v>
      </c>
      <c r="D333" s="234" t="str">
        <f>IFERROR(__xludf.DUMMYFUNCTION("IF(REGEXMATCH(C333, ""S""), ""S"","""")"),"S")</f>
        <v>S</v>
      </c>
      <c r="E333" s="236" t="str">
        <f>IFERROR(__xludf.DUMMYFUNCTION("IF(REGEXMATCH(C333, ""r""), ""r"","""")"),"r")</f>
        <v>r</v>
      </c>
      <c r="F333" s="237" t="str">
        <f>IFERROR(__xludf.DUMMYFUNCTION("IF(REGEXMATCH(C333, ""R""), ""R"","""")"),"R")</f>
        <v>R</v>
      </c>
      <c r="G333" s="237" t="str">
        <f>IFERROR(__xludf.DUMMYFUNCTION("IF(REGEXMATCH(C333, ""g""), ""g"","""")"),"g")</f>
        <v>g</v>
      </c>
      <c r="H333" s="236" t="str">
        <f>IFERROR(__xludf.DUMMYFUNCTION("IF(REGEXMATCH(C333, ""G""), ""G"","""")"),"")</f>
        <v/>
      </c>
      <c r="I333" s="236" t="str">
        <f>IFERROR(__xludf.DUMMYFUNCTION("IF(REGEXMATCH(C333, ""m""), ""m"","""")"),"m")</f>
        <v>m</v>
      </c>
      <c r="J333" s="237" t="str">
        <f>IFERROR(__xludf.DUMMYFUNCTION("IF(REGEXMATCH(C333, ""M""), ""M"","""")"),"")</f>
        <v/>
      </c>
      <c r="K333" s="236" t="str">
        <f>IFERROR(__xludf.DUMMYFUNCTION("IF(REGEXMATCH(C333, ""P""), ""P"","""")"),"P")</f>
        <v>P</v>
      </c>
      <c r="L333" s="237" t="str">
        <f>IFERROR(__xludf.DUMMYFUNCTION("IF(REGEXMATCH(C333, ""d""), ""d"","""")"),"d")</f>
        <v>d</v>
      </c>
      <c r="M333" s="236" t="str">
        <f>IFERROR(__xludf.DUMMYFUNCTION("IF(REGEXMATCH(C333, ""D""), ""D"","""")"),"D")</f>
        <v>D</v>
      </c>
      <c r="N333" s="236" t="str">
        <f>IFERROR(__xludf.DUMMYFUNCTION("IF(REGEXMATCH(C333, ""n""), ""n"","""")"),"n")</f>
        <v>n</v>
      </c>
      <c r="O333" s="237" t="str">
        <f>IFERROR(__xludf.DUMMYFUNCTION("IF(REGEXMATCH(C333, ""N""), ""N"","""")"),"")</f>
        <v/>
      </c>
      <c r="P333" s="238" t="str">
        <f>IFERROR(__xludf.DUMMYFUNCTION("IF(REGEXMATCH(C333, ""S""), ""S"","""")"),"S")</f>
        <v>S</v>
      </c>
      <c r="Q333" s="239" t="str">
        <f>IFERROR(__xludf.DUMMYFUNCTION("SUBSTITUTE(CONCATENATE(JOIN(""-"",D333:J333)),""-"","""")"),"SrRgm")</f>
        <v>SrRgm</v>
      </c>
      <c r="R333" s="229" t="str">
        <f>IFERROR(__xludf.DUMMYFUNCTION("SUBSTITUTE(CONCATENATE(JOIN(""-"",K333:P333)),""-"","""")"),"PdDnS")</f>
        <v>PdDnS</v>
      </c>
      <c r="S333" s="282" t="str">
        <f t="shared" si="8"/>
        <v>S-R-G-M</v>
      </c>
      <c r="T333" s="282" t="str">
        <f t="shared" si="9"/>
        <v>P-D-N-S</v>
      </c>
      <c r="U333" s="237" t="str">
        <f>IFERROR(__xludf.DUMMYFUNCTION("SUBSTITUTE(JOIN(""-"",S333,T333),""--"",""-"")"),"S-R-G-M-P-D-N-S")</f>
        <v>S-R-G-M-P-D-N-S</v>
      </c>
      <c r="V333" s="309" t="str">
        <f t="shared" si="10"/>
        <v>rRgmdDn</v>
      </c>
      <c r="W333" s="244" t="str">
        <f>IFERROR(__xludf.DUMMYFUNCTION("IF(REGEXMATCH(C333, ""S""), ""0"","""")"),"0")</f>
        <v>0</v>
      </c>
      <c r="X333" s="245" t="str">
        <f>IFERROR(__xludf.DUMMYFUNCTION("IF(REGEXMATCH(C333, ""r""), ""1"","""")"),"1")</f>
        <v>1</v>
      </c>
      <c r="Y333" s="246" t="str">
        <f>IFERROR(__xludf.DUMMYFUNCTION("IF(REGEXMATCH(C333, ""R""), ""2"","""")"),"2")</f>
        <v>2</v>
      </c>
      <c r="Z333" s="246" t="str">
        <f>IFERROR(__xludf.DUMMYFUNCTION("IF(REGEXMATCH(C333, ""g""), ""3"","""")"),"3")</f>
        <v>3</v>
      </c>
      <c r="AA333" s="245" t="str">
        <f>IFERROR(__xludf.DUMMYFUNCTION("IF(REGEXMATCH(C333, ""G""), ""4"","""")"),"")</f>
        <v/>
      </c>
      <c r="AB333" s="245" t="str">
        <f>IFERROR(__xludf.DUMMYFUNCTION("IF(REGEXMATCH(C333, ""m""), ""5"","""")"),"5")</f>
        <v>5</v>
      </c>
      <c r="AC333" s="246" t="str">
        <f>IFERROR(__xludf.DUMMYFUNCTION("IF(REGEXMATCH(C333, ""M""), ""6"","""")"),"")</f>
        <v/>
      </c>
      <c r="AD333" s="245" t="str">
        <f>IFERROR(__xludf.DUMMYFUNCTION("IF(REGEXMATCH(C333, ""P""), ""7"","""")"),"7")</f>
        <v>7</v>
      </c>
      <c r="AE333" s="246" t="str">
        <f>IFERROR(__xludf.DUMMYFUNCTION("IF(REGEXMATCH(C333, ""d""), ""8"","""")"),"8")</f>
        <v>8</v>
      </c>
      <c r="AF333" s="245" t="str">
        <f>IFERROR(__xludf.DUMMYFUNCTION("IF(REGEXMATCH(C333, ""D""), ""9"","""")"),"9")</f>
        <v>9</v>
      </c>
      <c r="AG333" s="245" t="str">
        <f>IFERROR(__xludf.DUMMYFUNCTION("IF(REGEXMATCH(C333, ""n""), ""10"","""")"),"10")</f>
        <v>10</v>
      </c>
      <c r="AH333" s="246" t="str">
        <f>IFERROR(__xludf.DUMMYFUNCTION("IF(REGEXMATCH(C333, ""N""), ""11"","""")"),"")</f>
        <v/>
      </c>
      <c r="AI333" s="249" t="str">
        <f>IFERROR(__xludf.DUMMYFUNCTION("IF(REGEXMATCH(C333, ""S""), ""0"","""")"),"0")</f>
        <v>0</v>
      </c>
      <c r="AJ333" s="313" t="str">
        <f t="shared" si="11"/>
        <v>-</v>
      </c>
      <c r="AK333" s="313" t="str">
        <f t="shared" si="12"/>
        <v>T</v>
      </c>
      <c r="AL333" s="313" t="str">
        <f t="shared" si="13"/>
        <v>T</v>
      </c>
      <c r="AM333" s="313" t="str">
        <f t="shared" si="14"/>
        <v>T</v>
      </c>
      <c r="AN333" s="313" t="str">
        <f t="shared" si="15"/>
        <v>-</v>
      </c>
      <c r="AO333" s="314" t="str">
        <f t="shared" si="16"/>
        <v>-</v>
      </c>
      <c r="AP333" s="316">
        <f t="shared" si="17"/>
        <v>3</v>
      </c>
      <c r="AQ333" s="319" t="str">
        <f t="shared" si="18"/>
        <v>-</v>
      </c>
      <c r="AR333" s="320">
        <f t="shared" si="19"/>
        <v>0</v>
      </c>
      <c r="AS333" s="250" t="str">
        <f>IFERROR(__xludf.DUMMYFUNCTION("SUBSTITUTE(SUBSTITUTE(CONCATENATE(JOIN("""",FP333:GA333)),""|"",""x""),""-"",""o"")"),"xxxxoxoxxxxo")</f>
        <v>xxxxoxoxxxxo</v>
      </c>
      <c r="AT333" s="323" t="str">
        <f>IFERROR(__xludf.DUMMYFUNCTION("JOIN("""",AS333,AS333)"),"xxxxoxoxxxxoxxxxoxoxxxxo")</f>
        <v>xxxxoxoxxxxoxxxxoxoxxxxo</v>
      </c>
      <c r="AU333" s="256" t="str">
        <f>IFERROR(__xludf.DUMMYFUNCTION("JOIN("""",ArrayFormula(MID(AS333,LEN(AS333)-SEQUENCE(1,LEN(AS333))+1,1)))"),"oxxxxoxoxxxx")</f>
        <v>oxxxxoxoxxxx</v>
      </c>
      <c r="AV333" s="256" t="str">
        <f>IFERROR(__xludf.DUMMYFUNCTION("LEFT(CONCATENATE(""x"",JOIN("""",ArrayFormula(MID(AS333,LEN(AS333)-SEQUENCE(1,LEN(AS333))+1,1)))),12)"),"xoxxxxoxoxxx")</f>
        <v>xoxxxxoxoxxx</v>
      </c>
      <c r="AW333" s="327" t="str">
        <f>IFERROR(__xludf.DUMMYFUNCTION("JOIN("""",AU333,AU333)"),"oxxxxoxoxxxxoxxxxoxoxxxx")</f>
        <v>oxxxxoxoxxxxoxxxxoxoxxxx</v>
      </c>
      <c r="AX333" s="239" t="str">
        <f>IFERROR(__xludf.DUMMYFUNCTION("IF(REGEXMATCH(AW333,AS333),""✔"",""-"")"),"✔")</f>
        <v>✔</v>
      </c>
      <c r="AY333" s="330" t="str">
        <f t="shared" si="20"/>
        <v>-</v>
      </c>
      <c r="AZ333" s="260" t="str">
        <f t="shared" si="21"/>
        <v>#REF!</v>
      </c>
      <c r="BA333" s="333" t="str">
        <f t="shared" si="22"/>
        <v>xxxxoxo</v>
      </c>
      <c r="BB333" s="334" t="str">
        <f t="shared" si="23"/>
        <v>xxxxox</v>
      </c>
      <c r="BC333" s="335" t="str">
        <f t="shared" si="236"/>
        <v>✔</v>
      </c>
      <c r="BD333" s="336" t="str">
        <f t="shared" si="25"/>
        <v>Sindhi Bhairavi: 'xxxxoxo' + 'xxxxox'</v>
      </c>
      <c r="BE333" s="337">
        <f>IFERROR(__xludf.DUMMYFUNCTION("COUNTUNIQUE(FILTER(AT:AT,REGEXMATCH(AT:AT,AS333)))-1"),4.0)</f>
        <v>4</v>
      </c>
      <c r="BF333" s="261" t="str">
        <f>IFERROR(__xludf.DUMMYFUNCTION("IF(BI333=0,""(n/a)"",IF(BJ333=2,""(PAIR)"",IF(REGEXMATCH(AT333,""xoxoxxoxoxox""),""Bilawal"",IF(REGEXMATCH(AT333,""xoxoxooxoxoo""),""Bhupali"",IF(REGEXMATCH(AT333,""xoxoxxoxxoxo""),""Charukeshi"",IF(REGEXMATCH(AT333,""xoxoooxxoxxo""),""Kameshwari"",IF(REG"&amp;"EXMATCH(AT333,""xoxoxooxoxox""),""Shankara"",IF(REGEXMATCH(AT333,""xxooxoxxxoox""),""Basant"",IF(REGEXMATCH(AT333,""xoxoxxxxoxox""),""Bihag"",IF(REGEXMATCH(AT333,""xoxxxxoxoxxx""),""Pilu"",IF(REGEXMATCH(AT333,""xoxxoxoxxoox""),""Kirwani"",IF(REGEXMATCH(AT"&amp;"333,""xoxxoxoxoxxx""),""Mk.Malhar"",IF(REGEXMATCH(AT333,""xxooxxoxxoox""),""Bhairav"",IF(REGEXMATCH(AT333,""xxoxooxxxoox""),""Todi"",IF(REGEXMATCH(AT333,""xxooxoxooxox""),""Marwa"",IF(REGEXMATCH(AT333,""xxoooxoxxooo""),""Gunkali"",IF(REGEXMATCH(AT333,""xo"&amp;"xoxxoxxoox""),""Nat Bhairav"",IF(REGEXMATCH(AT333,""xoxxoooxoxoo""),""Shivranjani"",IF(REGEXMATCH(AT333,""xooxxxoxooxo""),""Jog"",IF(REGEXMATCH(AT333,""xxooxoxoxoox""),""Hemshri"",IF(REGEXMATCH(AT333,""xoooxooxoxxo""),""Kalavati"",IF(REGEXMATCH(AT333,""xx"&amp;"oxoxxoxoox""),""Kedar"",IF(REGEXMATCH(AT333,""xoxxxxoxooxx""),""Gara"",IF(REGEXMATCH(AT333,""xooxoxooxoox""),""Chandrakauns"",IF(REGEXMATCH(AT333,""xoxxxxoxxxox""),""Mand"",IF(REGEXMATCH(AT333,""xoxxxxoxoxox""),""Hanskinkini"",IF(REGEXMATCH(AT333,""xxooxx"&amp;"oxooxo""),""Lilavati"",IF(REGEXMATCH(AT333,""xooxoxoooxox""),""Rajeshwari"",IF(REGEXMATCH(AT333,""xoooxxoxoxxx""),""Khokar"",IF(REGEXMATCH(AT333,""xxooxoxxxxox""),""Maligoura"",""-""))))))))))))))))))))))))))))))"),"Pilu")</f>
        <v>Pilu</v>
      </c>
      <c r="BG333" s="239" t="str">
        <f t="shared" si="26"/>
        <v>#REF!</v>
      </c>
      <c r="BH333" s="239">
        <f>IFERROR(__xludf.DUMMYFUNCTION("COUNTUNIQUE(FE333:FO333)-1"),8.0)</f>
        <v>8</v>
      </c>
      <c r="BI333" s="239">
        <f>IFERROR(__xludf.DUMMYFUNCTION("COUNTUNIQUE(FILTER(AT:AT,REGEXMATCH(AT:AT,AS333)))-1"),4.0)</f>
        <v>4</v>
      </c>
      <c r="BJ333" s="239">
        <f>IFERROR(__xludf.DUMMYFUNCTION("COUNTA(FILTER(AT:AT,REGEXMATCH(AT:AT,AS333)))"),26.0)</f>
        <v>26</v>
      </c>
      <c r="BK333" s="341">
        <f>IFERROR(__xludf.DUMMYFUNCTION("COUNTA(FILTER(AT:AT,REGEXMATCH(AT:AT,AS333)))-AR333"),26.0)</f>
        <v>26</v>
      </c>
      <c r="BL333" s="276" t="str">
        <f>IFERROR(__xludf.DUMMYFUNCTION("IF(AS333=""oooooooooooo"",""-"",IF(REGEXMATCH(AT333,""xx""), ""Hemi."", ""Anhemi.""))"),"Hemi.")</f>
        <v>Hemi.</v>
      </c>
      <c r="BM333" s="282" t="str">
        <f>IFERROR(__xludf.DUMMYFUNCTION("IF(AS333=""oooooooooooo"",""-"",IF(REGEXMATCH(AT333,""xxx""), ""Cohem."", ""-""))"),"Cohem.")</f>
        <v>Cohem.</v>
      </c>
      <c r="BN333" s="282" t="str">
        <f>IFERROR(__xludf.DUMMYFUNCTION("IF(AS333=""oooooooooooo"",""-"",IF(REGEXMATCH(AT333,""xxxx""), ""Co-Co."", ""-""))"),"Co-Co.")</f>
        <v>Co-Co.</v>
      </c>
      <c r="BO333" s="342" t="str">
        <f>IFERROR(__xludf.DUMMYFUNCTION("IF(AS333=""oooooooooooo"",""-"",IF(REGEXMATCH(AT333,""xxxxx""), ""CCC."", ""-""))"),"-")</f>
        <v>-</v>
      </c>
      <c r="BP333" s="344" t="str">
        <f t="shared" si="27"/>
        <v>-</v>
      </c>
      <c r="BQ333" s="282" t="str">
        <f>IFERROR(__xludf.DUMMYFUNCTION("IF(REGEXMATCH(JOIN(""-"",EU333:FD333),""TRUE""),""✔"",""-"")"),"-")</f>
        <v>-</v>
      </c>
      <c r="BR333" s="225">
        <f t="shared" si="28"/>
        <v>0</v>
      </c>
      <c r="BS333" s="345" t="str">
        <f>IFERROR(__xludf.DUMMYFUNCTION("SUBSTITUTE(SUBSTITUTE(SUBSTITUTE(SUBSTITUTE(CONCATENATE(JOIN(""-"",GC333:GO333)),""--"",""-""),""--"",""-""),""--"",""-""),""--"",""-"")"),"1-b2-2-b3-4-5-b6-6-b7-8")</f>
        <v>1-b2-2-b3-4-5-b6-6-b7-8</v>
      </c>
      <c r="BT333" s="299" t="str">
        <f>IFERROR(__xludf.DUMMYFUNCTION("SUBSTITUTE(SUBSTITUTE(SUBSTITUTE(SUBSTITUTE(CONCATENATE(JOIN(""-"",GP333:HB333)),""--"",""-""),""--"",""-""),""--"",""-""),""--"",""-"")"),"S-R1-R2-G2-M1-P-D1-D2-N2-S")</f>
        <v>S-R1-R2-G2-M1-P-D1-D2-N2-S</v>
      </c>
      <c r="BU333" s="348" t="str">
        <f t="shared" si="29"/>
        <v>C-Db-D-Eb-F-G-Ab-A-Bb-C</v>
      </c>
      <c r="BV333" s="349" t="str">
        <f t="shared" si="30"/>
        <v>SGMNS</v>
      </c>
      <c r="BW333" s="350">
        <f t="shared" si="31"/>
        <v>0</v>
      </c>
      <c r="BX333" s="351">
        <f t="shared" si="32"/>
        <v>2</v>
      </c>
      <c r="BY333" s="352" t="s">
        <v>275</v>
      </c>
      <c r="BZ333" s="309" t="str">
        <f>IFERROR(__xludf.DUMMYFUNCTION("IF(REGEXMATCH(C333, ""S""), ""x"",""x"")"),"x")</f>
        <v>x</v>
      </c>
      <c r="CA333" s="245" t="str">
        <f>IFERROR(__xludf.DUMMYFUNCTION("IF(REGEXMATCH(C333, ""r""), ""o"",""x"")"),"o")</f>
        <v>o</v>
      </c>
      <c r="CB333" s="246" t="str">
        <f>IFERROR(__xludf.DUMMYFUNCTION("IF(REGEXMATCH(C333, ""R""), ""o"",""x"")"),"o")</f>
        <v>o</v>
      </c>
      <c r="CC333" s="246" t="str">
        <f>IFERROR(__xludf.DUMMYFUNCTION("IF(REGEXMATCH(C333, ""g""), ""o"",""x"")"),"o")</f>
        <v>o</v>
      </c>
      <c r="CD333" s="245" t="str">
        <f>IFERROR(__xludf.DUMMYFUNCTION("IF(REGEXMATCH(C333, ""G""), ""o"",""x"")"),"x")</f>
        <v>x</v>
      </c>
      <c r="CE333" s="245" t="str">
        <f>IFERROR(__xludf.DUMMYFUNCTION("IF(REGEXMATCH(C333, ""m""), ""o"",""x"")"),"o")</f>
        <v>o</v>
      </c>
      <c r="CF333" s="246" t="str">
        <f>IFERROR(__xludf.DUMMYFUNCTION("IF(REGEXMATCH(C333, ""M""), ""o"",""x"")"),"x")</f>
        <v>x</v>
      </c>
      <c r="CG333" s="245" t="str">
        <f>IFERROR(__xludf.DUMMYFUNCTION("IF(REGEXMATCH(C333, ""P""), ""o"",""x"")"),"o")</f>
        <v>o</v>
      </c>
      <c r="CH333" s="246" t="str">
        <f>IFERROR(__xludf.DUMMYFUNCTION("IF(REGEXMATCH(C333, ""d""), ""o"",""x"")"),"o")</f>
        <v>o</v>
      </c>
      <c r="CI333" s="245" t="str">
        <f>IFERROR(__xludf.DUMMYFUNCTION("IF(REGEXMATCH(C333, ""D""), ""o"",""x"")"),"o")</f>
        <v>o</v>
      </c>
      <c r="CJ333" s="245" t="str">
        <f>IFERROR(__xludf.DUMMYFUNCTION("IF(REGEXMATCH(C333, ""n""), ""o"",""x"")"),"o")</f>
        <v>o</v>
      </c>
      <c r="CK333" s="245" t="str">
        <f>IFERROR(__xludf.DUMMYFUNCTION("IF(REGEXMATCH(C333, ""N""), ""o"",""x"")"),"x")</f>
        <v>x</v>
      </c>
      <c r="CL333" s="356" t="str">
        <f>IFERROR(__xludf.DUMMYFUNCTION("IF(REGEXMATCH(C333, ""S""), ""x"",""x"")"),"x")</f>
        <v>x</v>
      </c>
      <c r="CM333" s="357" t="str">
        <f t="shared" si="33"/>
        <v>xoooxoxoooox</v>
      </c>
      <c r="CN333" s="358">
        <f t="shared" si="34"/>
        <v>0</v>
      </c>
      <c r="CO333" s="246" t="str">
        <f>IFERROR(__xludf.DUMMYFUNCTION("IF(REGEXMATCH($C333, ""S""), ""S"",""S"")"),"S")</f>
        <v>S</v>
      </c>
      <c r="CP333" s="246" t="str">
        <f>IFERROR(__xludf.DUMMYFUNCTION("IF(REGEXMATCH($C333, ""r""), """",""r"")"),"")</f>
        <v/>
      </c>
      <c r="CQ333" s="246" t="str">
        <f>IFERROR(__xludf.DUMMYFUNCTION("IF(REGEXMATCH($C333, ""R""), """",""R"")"),"")</f>
        <v/>
      </c>
      <c r="CR333" s="246" t="str">
        <f>IFERROR(__xludf.DUMMYFUNCTION("IF(REGEXMATCH($C333, ""g""), """",""g"")"),"")</f>
        <v/>
      </c>
      <c r="CS333" s="246" t="str">
        <f>IFERROR(__xludf.DUMMYFUNCTION("IF(REGEXMATCH($C333, ""G""), """",""G"")"),"G")</f>
        <v>G</v>
      </c>
      <c r="CT333" s="246" t="str">
        <f>IFERROR(__xludf.DUMMYFUNCTION("IF(REGEXMATCH($C333, ""m""), """",""m"")"),"")</f>
        <v/>
      </c>
      <c r="CU333" s="246" t="str">
        <f>IFERROR(__xludf.DUMMYFUNCTION("IF(REGEXMATCH($C333, ""M""), """",""M"")"),"M")</f>
        <v>M</v>
      </c>
      <c r="CV333" s="246" t="str">
        <f>IFERROR(__xludf.DUMMYFUNCTION("IF(REGEXMATCH($C333, ""P""), """",""P"")"),"")</f>
        <v/>
      </c>
      <c r="CW333" s="246" t="str">
        <f>IFERROR(__xludf.DUMMYFUNCTION("IF(REGEXMATCH($C333, ""d""), """",""d"")"),"")</f>
        <v/>
      </c>
      <c r="CX333" s="246" t="str">
        <f>IFERROR(__xludf.DUMMYFUNCTION("IF(REGEXMATCH($C333, ""D""), """",""D"")"),"")</f>
        <v/>
      </c>
      <c r="CY333" s="246" t="str">
        <f>IFERROR(__xludf.DUMMYFUNCTION("IF(REGEXMATCH($C333, ""n""), """",""n"")"),"")</f>
        <v/>
      </c>
      <c r="CZ333" s="246" t="str">
        <f>IFERROR(__xludf.DUMMYFUNCTION("IF(REGEXMATCH($C333, ""N""), """",""N"")"),"N")</f>
        <v>N</v>
      </c>
      <c r="DA333" s="246" t="str">
        <f>IFERROR(__xludf.DUMMYFUNCTION("IF(REGEXMATCH($C333, ""S""), ""S"",""S"")"),"S")</f>
        <v>S</v>
      </c>
      <c r="DB333" s="362" t="str">
        <f>IFERROR(__xludf.DUMMYFUNCTION("JOIN("""",CO333:DA333,"""","""")"),"SGMNS")</f>
        <v>SGMNS</v>
      </c>
      <c r="DC333" s="363"/>
      <c r="DD333" s="301" t="str">
        <f t="shared" si="35"/>
        <v>#REF!</v>
      </c>
      <c r="DE333" s="302" t="str">
        <f t="shared" si="36"/>
        <v>#REF!</v>
      </c>
      <c r="DF333" s="301" t="str">
        <f t="shared" ref="DF333:DG333" si="897">SUBSTITUTE(S333,"-","")</f>
        <v>SRGM</v>
      </c>
      <c r="DG333" s="301" t="str">
        <f t="shared" si="897"/>
        <v>PDNS</v>
      </c>
      <c r="DH333" s="302" t="str">
        <f t="shared" si="38"/>
        <v>Pilu</v>
      </c>
      <c r="DI333" s="301" t="str">
        <f t="shared" si="39"/>
        <v>Hemi.</v>
      </c>
      <c r="DJ333" s="364" t="str">
        <f t="shared" si="40"/>
        <v>Co-Co.</v>
      </c>
      <c r="DK333" s="306" t="str">
        <f t="shared" si="41"/>
        <v>-</v>
      </c>
      <c r="DL333" s="366" t="str">
        <f t="shared" si="42"/>
        <v>-</v>
      </c>
      <c r="DM333" s="308" t="str">
        <f t="shared" si="43"/>
        <v>✔</v>
      </c>
      <c r="DN333" s="306" t="str">
        <f t="shared" si="44"/>
        <v>-</v>
      </c>
      <c r="DO333" s="306" t="str">
        <f t="shared" si="45"/>
        <v>-</v>
      </c>
      <c r="DP333" s="367" t="str">
        <f t="shared" si="46"/>
        <v>-</v>
      </c>
      <c r="DQ333" s="310" t="str">
        <f t="shared" si="47"/>
        <v>✔</v>
      </c>
      <c r="DR333" s="310" t="str">
        <f t="shared" si="48"/>
        <v>-</v>
      </c>
      <c r="DS333" s="310" t="str">
        <f t="shared" si="49"/>
        <v>-</v>
      </c>
      <c r="DT333" s="310" t="str">
        <f t="shared" si="50"/>
        <v>✔</v>
      </c>
      <c r="DU333" s="370" t="str">
        <f t="shared" si="51"/>
        <v>-</v>
      </c>
      <c r="DV333" s="306" t="str">
        <f t="shared" si="52"/>
        <v>-</v>
      </c>
      <c r="DW333" s="306" t="str">
        <f t="shared" si="53"/>
        <v>-</v>
      </c>
      <c r="DX333" s="306" t="str">
        <f t="shared" si="54"/>
        <v>-</v>
      </c>
      <c r="DY333" s="306" t="str">
        <f t="shared" si="55"/>
        <v>-</v>
      </c>
      <c r="DZ333" s="306" t="str">
        <f t="shared" si="56"/>
        <v>-</v>
      </c>
      <c r="EA333" s="367" t="str">
        <f t="shared" si="57"/>
        <v>-</v>
      </c>
      <c r="EB333" s="310" t="str">
        <f>IFERROR(__xludf.DUMMYFUNCTION("IF(REGEXMATCH(AW333,AS333),""✔"",""-"")"),"✔")</f>
        <v>✔</v>
      </c>
      <c r="EC333" s="310" t="str">
        <f t="shared" si="58"/>
        <v>#REF!</v>
      </c>
      <c r="ED333" s="370" t="str">
        <f t="shared" si="59"/>
        <v>-</v>
      </c>
      <c r="EE333" s="340" t="str">
        <f t="shared" si="60"/>
        <v>S-rR-g-m-P-dD-n-S</v>
      </c>
      <c r="EF333" s="371" t="str">
        <f>IFERROR(__xludf.DUMMYFUNCTION("CONCATENATE(JOIN("""",HC333:HO333))"),"SRgGmPDnNS")</f>
        <v>SRgGmPDnNS</v>
      </c>
      <c r="EG333" s="372">
        <f t="shared" si="61"/>
        <v>1</v>
      </c>
      <c r="EH333" s="373" t="str">
        <f>IFERROR(__xludf.DUMMYFUNCTION("CONCATENATE(JOIN("""",JC333:JO333))"),"Dha, ")</f>
        <v>Dha, </v>
      </c>
      <c r="EI333" s="322">
        <f t="shared" si="62"/>
        <v>0</v>
      </c>
      <c r="EJ333" s="374" t="str">
        <f>IFERROR(__xludf.DUMMYFUNCTION("CONCATENATE(JOIN("""",KC333:KO333))"),"")</f>
        <v/>
      </c>
      <c r="EK333" s="325" t="str">
        <f t="shared" si="63"/>
        <v>S-R1-R2-G2-M1-P-D1-D2-N2-S</v>
      </c>
      <c r="EL333" s="326" t="str">
        <f t="shared" si="64"/>
        <v>1-b2-2-b3-4-5-b6-6-b7-8</v>
      </c>
      <c r="EM333" s="318" t="str">
        <f t="shared" si="65"/>
        <v>#REF!</v>
      </c>
      <c r="EN333" s="328" t="str">
        <f>IFERROR(__xludf.DUMMYFUNCTION("SUBSTITUTE(SUBSTITUTE(SUBSTITUTE(SUBSTITUTE(CONCATENATE(JOIN("" "",HP333:IB333)),""  "","" ""),""  "","" ""),""  "","" ""),""  "","" "")"),"o o o o • o • o o o o • o")</f>
        <v>o o o o • o • o o o o • o</v>
      </c>
      <c r="EO333" s="368" t="str">
        <f t="shared" si="66"/>
        <v>-</v>
      </c>
      <c r="EP333" s="339" t="str">
        <f t="shared" si="67"/>
        <v>-</v>
      </c>
      <c r="EQ333" s="339" t="str">
        <f t="shared" si="68"/>
        <v>Sa-Pa</v>
      </c>
      <c r="ER333" s="339" t="str">
        <f t="shared" si="69"/>
        <v>-</v>
      </c>
      <c r="ES333" s="340" t="str">
        <f t="shared" si="70"/>
        <v>-</v>
      </c>
      <c r="ET333" s="363"/>
      <c r="EU333" s="376" t="b">
        <f>IFERROR(__xludf.DUMMYFUNCTION("arrayformula(sum(--REGEXMATCH(""SRGMPDNS"",split(REGEXREPLACE(C333,""(.)"",""$1~""),""~""))))=len(C333)
"),FALSE)</f>
        <v>0</v>
      </c>
      <c r="EV333" s="290" t="b">
        <f>IFERROR(__xludf.DUMMYFUNCTION("arrayformula(sum(--REGEXMATCH(""SRGmPDNS"",split(REGEXREPLACE(C333,""(.)"",""$1~""),""~""))))=len(C333)"),FALSE)</f>
        <v>0</v>
      </c>
      <c r="EW333" s="290" t="b">
        <f>IFERROR(__xludf.DUMMYFUNCTION("arrayformula(sum(--REGEXMATCH(""SRGmPDnS"",split(REGEXREPLACE(C333,""(.)"",""$1~""),""~""))))=len(C333)"),FALSE)</f>
        <v>0</v>
      </c>
      <c r="EX333" s="290" t="b">
        <f>IFERROR(__xludf.DUMMYFUNCTION("arrayformula(sum(--REGEXMATCH(""SRgmPDnS"",split(REGEXREPLACE(C333,""(.)"",""$1~""),""~""))))=len(C333)"),FALSE)</f>
        <v>0</v>
      </c>
      <c r="EY333" s="290" t="b">
        <f>IFERROR(__xludf.DUMMYFUNCTION("arrayformula(sum(--REGEXMATCH(""SRgmPdnS"",split(REGEXREPLACE(C333,""(.)"",""$1~""),""~""))))=len(C333)"),FALSE)</f>
        <v>0</v>
      </c>
      <c r="EZ333" s="290" t="b">
        <f>IFERROR(__xludf.DUMMYFUNCTION("arrayformula(sum(--REGEXMATCH(""SrgmPdnS"",split(REGEXREPLACE(C333,""(.)"",""$1~""),""~""))))=len(C333)"),FALSE)</f>
        <v>0</v>
      </c>
      <c r="FA333" s="290" t="b">
        <f>IFERROR(__xludf.DUMMYFUNCTION("arrayformula(sum(--REGEXMATCH(""SrGmPdNS"",split(REGEXREPLACE(C333,""(.)"",""$1~""),""~""))))=len(C333)"),FALSE)</f>
        <v>0</v>
      </c>
      <c r="FB333" s="290" t="b">
        <f>IFERROR(__xludf.DUMMYFUNCTION("arrayformula(sum(--REGEXMATCH(""SrGMPDNS"",split(REGEXREPLACE(C333,""(.)"",""$1~""),""~""))))=len(C333)"),FALSE)</f>
        <v>0</v>
      </c>
      <c r="FC333" s="290" t="b">
        <f>IFERROR(__xludf.DUMMYFUNCTION("arrayformula(sum(--REGEXMATCH(""SrGMPdNS"",split(REGEXREPLACE(C333,""(.)"",""$1~""),""~""))))=len(C333)"),FALSE)</f>
        <v>0</v>
      </c>
      <c r="FD333" s="377" t="b">
        <f>IFERROR(__xludf.DUMMYFUNCTION("arrayformula(sum(--REGEXMATCH(""SrgMPdNS"",split(REGEXREPLACE(C333,""(.)"",""$1~""),""~""))))=len(C333)"),FALSE)</f>
        <v>0</v>
      </c>
      <c r="FE333" s="269" t="str">
        <f t="shared" si="71"/>
        <v>xxxoxoxxxxo</v>
      </c>
      <c r="FF333" s="269" t="str">
        <f t="shared" si="72"/>
        <v>xxoxoxxxxox</v>
      </c>
      <c r="FG333" s="271" t="str">
        <f t="shared" si="73"/>
        <v>xoxoxxxxoxx</v>
      </c>
      <c r="FH333" s="269" t="str">
        <f t="shared" si="74"/>
        <v>-</v>
      </c>
      <c r="FI333" s="271" t="str">
        <f t="shared" si="75"/>
        <v>xoxxxxoxxxx</v>
      </c>
      <c r="FJ333" s="271" t="str">
        <f t="shared" si="76"/>
        <v>-</v>
      </c>
      <c r="FK333" s="271" t="str">
        <f t="shared" si="77"/>
        <v>xxxxoxxxxox</v>
      </c>
      <c r="FL333" s="271" t="str">
        <f t="shared" si="78"/>
        <v>xxxoxxxxoxo</v>
      </c>
      <c r="FM333" s="271" t="str">
        <f t="shared" si="79"/>
        <v>xxoxxxxoxox</v>
      </c>
      <c r="FN333" s="271" t="str">
        <f t="shared" si="80"/>
        <v>xoxxxxoxoxx</v>
      </c>
      <c r="FO333" s="274" t="str">
        <f t="shared" si="81"/>
        <v>-</v>
      </c>
      <c r="FP333" s="234" t="str">
        <f t="shared" si="82"/>
        <v>|</v>
      </c>
      <c r="FQ333" s="236" t="str">
        <f t="shared" si="83"/>
        <v>|</v>
      </c>
      <c r="FR333" s="237" t="str">
        <f t="shared" si="84"/>
        <v>|</v>
      </c>
      <c r="FS333" s="236" t="str">
        <f t="shared" si="85"/>
        <v>|</v>
      </c>
      <c r="FT333" s="237" t="str">
        <f t="shared" si="86"/>
        <v>-</v>
      </c>
      <c r="FU333" s="236" t="str">
        <f t="shared" si="87"/>
        <v>|</v>
      </c>
      <c r="FV333" s="237" t="str">
        <f t="shared" si="88"/>
        <v>-</v>
      </c>
      <c r="FW333" s="236" t="str">
        <f t="shared" si="89"/>
        <v>|</v>
      </c>
      <c r="FX333" s="237" t="str">
        <f t="shared" si="90"/>
        <v>|</v>
      </c>
      <c r="FY333" s="236" t="str">
        <f t="shared" si="91"/>
        <v>|</v>
      </c>
      <c r="FZ333" s="237" t="str">
        <f t="shared" si="92"/>
        <v>|</v>
      </c>
      <c r="GA333" s="236" t="str">
        <f t="shared" si="93"/>
        <v>-</v>
      </c>
      <c r="GB333" s="238" t="str">
        <f t="shared" si="94"/>
        <v>|</v>
      </c>
      <c r="GC333" s="244" t="str">
        <f>IFERROR(__xludf.DUMMYFUNCTION("IF(REGEXMATCH(C333, ""S""), ""1"","""")"),"1")</f>
        <v>1</v>
      </c>
      <c r="GD333" s="245" t="str">
        <f>IFERROR(__xludf.DUMMYFUNCTION("IF(REGEXMATCH(C333, ""r""), ""b2"","""")"),"b2")</f>
        <v>b2</v>
      </c>
      <c r="GE333" s="246" t="str">
        <f>IFERROR(__xludf.DUMMYFUNCTION("IF(REGEXMATCH(C333, ""R""), ""2"","""")"),"2")</f>
        <v>2</v>
      </c>
      <c r="GF333" s="246" t="str">
        <f>IFERROR(__xludf.DUMMYFUNCTION("IF(REGEXMATCH(C333, ""g""), ""b3"","""")"),"b3")</f>
        <v>b3</v>
      </c>
      <c r="GG333" s="245" t="str">
        <f>IFERROR(__xludf.DUMMYFUNCTION("IF(REGEXMATCH(C333, ""G""), ""3"","""")"),"")</f>
        <v/>
      </c>
      <c r="GH333" s="245" t="str">
        <f>IFERROR(__xludf.DUMMYFUNCTION("IF(REGEXMATCH(C333, ""m""), ""4"","""")"),"4")</f>
        <v>4</v>
      </c>
      <c r="GI333" s="246" t="str">
        <f>IFERROR(__xludf.DUMMYFUNCTION("IF(REGEXMATCH(C333, ""M""), ""#4"","""")"),"")</f>
        <v/>
      </c>
      <c r="GJ333" s="245" t="str">
        <f>IFERROR(__xludf.DUMMYFUNCTION("IF(REGEXMATCH(C333, ""P""), ""5"","""")"),"5")</f>
        <v>5</v>
      </c>
      <c r="GK333" s="246" t="str">
        <f>IFERROR(__xludf.DUMMYFUNCTION("IF(REGEXMATCH(C333, ""d""), ""b6"","""")"),"b6")</f>
        <v>b6</v>
      </c>
      <c r="GL333" s="245" t="str">
        <f>IFERROR(__xludf.DUMMYFUNCTION("IF(REGEXMATCH(C333, ""D""), ""6"","""")"),"6")</f>
        <v>6</v>
      </c>
      <c r="GM333" s="245" t="str">
        <f>IFERROR(__xludf.DUMMYFUNCTION("IF(REGEXMATCH(C333, ""n""), ""b7"","""")"),"b7")</f>
        <v>b7</v>
      </c>
      <c r="GN333" s="246" t="str">
        <f>IFERROR(__xludf.DUMMYFUNCTION("IF(REGEXMATCH(C333, ""N""), ""7"","""")"),"")</f>
        <v/>
      </c>
      <c r="GO333" s="249" t="str">
        <f>IFERROR(__xludf.DUMMYFUNCTION("IF(REGEXMATCH(C333, ""S""), ""8"","""")"),"8")</f>
        <v>8</v>
      </c>
      <c r="GP333" s="244" t="str">
        <f>IFERROR(__xludf.DUMMYFUNCTION("IF(REGEXMATCH(C333, ""S""), ""S"","""")"),"S")</f>
        <v>S</v>
      </c>
      <c r="GQ333" s="294" t="str">
        <f>IFERROR(__xludf.DUMMYFUNCTION("IF(REGEXMATCH(C333, ""r""), ""R1"","""")"),"R1")</f>
        <v>R1</v>
      </c>
      <c r="GR333" s="295" t="str">
        <f>IFERROR(__xludf.DUMMYFUNCTION("IF(REGEXMATCH(C333, ""R""), ""R2"","""")"),"R2")</f>
        <v>R2</v>
      </c>
      <c r="GS333" s="295" t="str">
        <f>IFERROR(__xludf.DUMMYFUNCTION("IF(REGEXMATCH(C333, ""g""), ""G2"","""")"),"G2")</f>
        <v>G2</v>
      </c>
      <c r="GT333" s="294" t="str">
        <f>IFERROR(__xludf.DUMMYFUNCTION("IF(REGEXMATCH(C333, ""G""), ""G3"","""")"),"")</f>
        <v/>
      </c>
      <c r="GU333" s="294" t="str">
        <f>IFERROR(__xludf.DUMMYFUNCTION("IF(REGEXMATCH(C333, ""m""), ""M1"","""")"),"M1")</f>
        <v>M1</v>
      </c>
      <c r="GV333" s="295" t="str">
        <f>IFERROR(__xludf.DUMMYFUNCTION("IF(REGEXMATCH(C333, ""M""), ""M2"","""")"),"")</f>
        <v/>
      </c>
      <c r="GW333" s="294" t="str">
        <f>IFERROR(__xludf.DUMMYFUNCTION("IF(REGEXMATCH(C333, ""P""), ""P"","""")"),"P")</f>
        <v>P</v>
      </c>
      <c r="GX333" s="295" t="str">
        <f>IFERROR(__xludf.DUMMYFUNCTION("IF(REGEXMATCH(C333, ""d""), ""D1"","""")"),"D1")</f>
        <v>D1</v>
      </c>
      <c r="GY333" s="294" t="str">
        <f>IFERROR(__xludf.DUMMYFUNCTION("IF(REGEXMATCH(C333, ""D""), ""D2"","""")"),"D2")</f>
        <v>D2</v>
      </c>
      <c r="GZ333" s="294" t="str">
        <f>IFERROR(__xludf.DUMMYFUNCTION("IF(REGEXMATCH(C333, ""n""), ""N2"","""")"),"N2")</f>
        <v>N2</v>
      </c>
      <c r="HA333" s="295" t="str">
        <f>IFERROR(__xludf.DUMMYFUNCTION("IF(REGEXMATCH(C333, ""N""), ""N3"","""")"),"")</f>
        <v/>
      </c>
      <c r="HB333" s="249" t="str">
        <f>IFERROR(__xludf.DUMMYFUNCTION("IF(REGEXMATCH(C333, ""S""), ""S"","""")"),"S")</f>
        <v>S</v>
      </c>
      <c r="HC333" s="331" t="str">
        <f t="shared" si="95"/>
        <v>S</v>
      </c>
      <c r="HD333" s="332" t="str">
        <f t="shared" si="96"/>
        <v/>
      </c>
      <c r="HE333" s="332" t="str">
        <f t="shared" si="97"/>
        <v>R</v>
      </c>
      <c r="HF333" s="332" t="str">
        <f t="shared" si="98"/>
        <v>g</v>
      </c>
      <c r="HG333" s="332" t="str">
        <f t="shared" si="99"/>
        <v>G</v>
      </c>
      <c r="HH333" s="332" t="str">
        <f t="shared" si="100"/>
        <v>m</v>
      </c>
      <c r="HI333" s="332" t="str">
        <f t="shared" si="101"/>
        <v/>
      </c>
      <c r="HJ333" s="332" t="str">
        <f t="shared" si="102"/>
        <v>P</v>
      </c>
      <c r="HK333" s="332" t="str">
        <f t="shared" si="103"/>
        <v/>
      </c>
      <c r="HL333" s="332" t="str">
        <f t="shared" si="104"/>
        <v>D</v>
      </c>
      <c r="HM333" s="332" t="str">
        <f t="shared" si="105"/>
        <v>n</v>
      </c>
      <c r="HN333" s="332" t="str">
        <f t="shared" si="106"/>
        <v>N</v>
      </c>
      <c r="HO333" s="343" t="str">
        <f t="shared" si="107"/>
        <v>S</v>
      </c>
      <c r="HP333" s="331" t="str">
        <f t="shared" si="108"/>
        <v>o</v>
      </c>
      <c r="HQ333" s="332" t="str">
        <f t="shared" si="109"/>
        <v>o</v>
      </c>
      <c r="HR333" s="332" t="str">
        <f t="shared" si="110"/>
        <v>o</v>
      </c>
      <c r="HS333" s="332" t="str">
        <f t="shared" si="111"/>
        <v>o</v>
      </c>
      <c r="HT333" s="332" t="str">
        <f t="shared" si="112"/>
        <v>•</v>
      </c>
      <c r="HU333" s="332" t="str">
        <f t="shared" si="113"/>
        <v>o</v>
      </c>
      <c r="HV333" s="332" t="str">
        <f t="shared" si="114"/>
        <v>•</v>
      </c>
      <c r="HW333" s="332" t="str">
        <f t="shared" si="115"/>
        <v>o</v>
      </c>
      <c r="HX333" s="332" t="str">
        <f t="shared" si="116"/>
        <v>o</v>
      </c>
      <c r="HY333" s="332" t="str">
        <f t="shared" si="117"/>
        <v>o</v>
      </c>
      <c r="HZ333" s="332" t="str">
        <f t="shared" si="118"/>
        <v>o</v>
      </c>
      <c r="IA333" s="332" t="str">
        <f t="shared" si="119"/>
        <v>•</v>
      </c>
      <c r="IB333" s="338" t="str">
        <f t="shared" si="120"/>
        <v>o</v>
      </c>
      <c r="IC333" s="331" t="str">
        <f t="shared" si="121"/>
        <v>•</v>
      </c>
      <c r="ID333" s="332" t="str">
        <f t="shared" si="122"/>
        <v>•</v>
      </c>
      <c r="IE333" s="332" t="str">
        <f t="shared" si="123"/>
        <v>•</v>
      </c>
      <c r="IF333" s="332" t="str">
        <f t="shared" si="124"/>
        <v>•</v>
      </c>
      <c r="IG333" s="332" t="str">
        <f t="shared" si="125"/>
        <v>o</v>
      </c>
      <c r="IH333" s="332" t="str">
        <f t="shared" si="126"/>
        <v>•</v>
      </c>
      <c r="II333" s="332" t="str">
        <f t="shared" si="127"/>
        <v>o</v>
      </c>
      <c r="IJ333" s="332" t="str">
        <f t="shared" si="128"/>
        <v>•</v>
      </c>
      <c r="IK333" s="332" t="str">
        <f t="shared" si="129"/>
        <v>•</v>
      </c>
      <c r="IL333" s="332" t="str">
        <f t="shared" si="130"/>
        <v>•</v>
      </c>
      <c r="IM333" s="332" t="str">
        <f t="shared" si="131"/>
        <v>•</v>
      </c>
      <c r="IN333" s="332" t="str">
        <f t="shared" si="132"/>
        <v>o</v>
      </c>
      <c r="IO333" s="338" t="str">
        <f t="shared" si="133"/>
        <v>•</v>
      </c>
      <c r="IP333" s="346" t="b">
        <f t="shared" si="134"/>
        <v>0</v>
      </c>
      <c r="IQ333" s="347" t="b">
        <f t="shared" si="135"/>
        <v>0</v>
      </c>
      <c r="IR333" s="347" t="b">
        <f t="shared" si="136"/>
        <v>0</v>
      </c>
      <c r="IS333" s="347" t="b">
        <f t="shared" si="137"/>
        <v>0</v>
      </c>
      <c r="IT333" s="347" t="b">
        <f t="shared" si="138"/>
        <v>0</v>
      </c>
      <c r="IU333" s="347" t="b">
        <f t="shared" si="139"/>
        <v>0</v>
      </c>
      <c r="IV333" s="347" t="b">
        <f t="shared" si="140"/>
        <v>0</v>
      </c>
      <c r="IW333" s="347" t="b">
        <f t="shared" si="141"/>
        <v>0</v>
      </c>
      <c r="IX333" s="347" t="b">
        <f t="shared" si="142"/>
        <v>0</v>
      </c>
      <c r="IY333" s="347" t="b">
        <f t="shared" si="143"/>
        <v>1</v>
      </c>
      <c r="IZ333" s="347" t="b">
        <f t="shared" si="144"/>
        <v>0</v>
      </c>
      <c r="JA333" s="347" t="b">
        <f t="shared" si="145"/>
        <v>0</v>
      </c>
      <c r="JB333" s="353" t="b">
        <f t="shared" si="146"/>
        <v>0</v>
      </c>
      <c r="JC333" s="354" t="str">
        <f t="shared" si="147"/>
        <v/>
      </c>
      <c r="JD333" s="355" t="str">
        <f t="shared" si="148"/>
        <v/>
      </c>
      <c r="JE333" s="355" t="str">
        <f t="shared" si="149"/>
        <v/>
      </c>
      <c r="JF333" s="355" t="str">
        <f t="shared" si="150"/>
        <v/>
      </c>
      <c r="JG333" s="355" t="str">
        <f t="shared" si="151"/>
        <v/>
      </c>
      <c r="JH333" s="355" t="str">
        <f t="shared" si="152"/>
        <v/>
      </c>
      <c r="JI333" s="355" t="str">
        <f t="shared" si="153"/>
        <v/>
      </c>
      <c r="JJ333" s="355" t="str">
        <f t="shared" si="154"/>
        <v/>
      </c>
      <c r="JK333" s="355" t="str">
        <f t="shared" si="155"/>
        <v/>
      </c>
      <c r="JL333" s="355" t="str">
        <f t="shared" si="156"/>
        <v>Dha, </v>
      </c>
      <c r="JM333" s="355" t="str">
        <f t="shared" si="157"/>
        <v/>
      </c>
      <c r="JN333" s="355" t="str">
        <f t="shared" si="158"/>
        <v/>
      </c>
      <c r="JO333" s="359" t="str">
        <f t="shared" si="159"/>
        <v/>
      </c>
      <c r="JP333" s="346" t="b">
        <f t="shared" si="160"/>
        <v>0</v>
      </c>
      <c r="JQ333" s="347" t="b">
        <f t="shared" si="161"/>
        <v>0</v>
      </c>
      <c r="JR333" s="347" t="b">
        <f t="shared" si="162"/>
        <v>0</v>
      </c>
      <c r="JS333" s="347" t="b">
        <f t="shared" si="163"/>
        <v>0</v>
      </c>
      <c r="JT333" s="347" t="b">
        <f t="shared" si="164"/>
        <v>0</v>
      </c>
      <c r="JU333" s="347" t="b">
        <f t="shared" si="165"/>
        <v>0</v>
      </c>
      <c r="JV333" s="347" t="b">
        <f t="shared" si="166"/>
        <v>0</v>
      </c>
      <c r="JW333" s="347" t="b">
        <f t="shared" si="167"/>
        <v>0</v>
      </c>
      <c r="JX333" s="347" t="b">
        <f t="shared" si="168"/>
        <v>0</v>
      </c>
      <c r="JY333" s="347" t="b">
        <f t="shared" si="169"/>
        <v>0</v>
      </c>
      <c r="JZ333" s="347" t="b">
        <f t="shared" si="170"/>
        <v>0</v>
      </c>
      <c r="KA333" s="347" t="b">
        <f t="shared" si="171"/>
        <v>0</v>
      </c>
      <c r="KB333" s="365" t="b">
        <f t="shared" si="172"/>
        <v>0</v>
      </c>
      <c r="KC333" s="354" t="str">
        <f t="shared" si="173"/>
        <v/>
      </c>
      <c r="KD333" s="355" t="str">
        <f t="shared" si="174"/>
        <v/>
      </c>
      <c r="KE333" s="355" t="str">
        <f t="shared" si="175"/>
        <v/>
      </c>
      <c r="KF333" s="355" t="str">
        <f t="shared" si="176"/>
        <v/>
      </c>
      <c r="KG333" s="355" t="str">
        <f t="shared" si="177"/>
        <v/>
      </c>
      <c r="KH333" s="355" t="str">
        <f t="shared" si="178"/>
        <v/>
      </c>
      <c r="KI333" s="355" t="str">
        <f t="shared" si="179"/>
        <v/>
      </c>
      <c r="KJ333" s="355" t="str">
        <f t="shared" si="180"/>
        <v/>
      </c>
      <c r="KK333" s="355" t="str">
        <f t="shared" si="181"/>
        <v/>
      </c>
      <c r="KL333" s="355" t="str">
        <f t="shared" si="182"/>
        <v/>
      </c>
      <c r="KM333" s="355" t="str">
        <f t="shared" si="183"/>
        <v/>
      </c>
      <c r="KN333" s="355" t="str">
        <f t="shared" si="184"/>
        <v/>
      </c>
      <c r="KO333" s="359"/>
      <c r="KP333" s="378"/>
      <c r="KQ333" s="379" t="s">
        <v>9</v>
      </c>
      <c r="KR333" s="380" t="s">
        <v>9</v>
      </c>
      <c r="KS333" s="381" t="s">
        <v>9</v>
      </c>
      <c r="KT333" s="382">
        <f t="shared" si="186"/>
        <v>0</v>
      </c>
      <c r="KU333" s="383">
        <f t="shared" si="187"/>
        <v>0</v>
      </c>
      <c r="KV333" s="381" t="str">
        <f t="shared" si="205"/>
        <v>S</v>
      </c>
      <c r="KW333" s="382">
        <f t="shared" si="189"/>
        <v>0</v>
      </c>
      <c r="KX333" s="384">
        <f t="shared" si="190"/>
        <v>0</v>
      </c>
      <c r="KY333" s="382">
        <f t="shared" ref="KY333:KZ333" si="898">KW333-KT333</f>
        <v>0</v>
      </c>
      <c r="KZ333" s="369">
        <f t="shared" si="898"/>
        <v>0</v>
      </c>
      <c r="LA333" s="385" t="str">
        <f t="shared" si="192"/>
        <v>✔</v>
      </c>
      <c r="LB333" s="340" t="str">
        <f>IFERROR(__xludf.DUMMYFUNCTION("JOIN("""",ArrayFormula(MID(KS333,LEN(KS333)-SEQUENCE(1,LEN(KS333))+1,1)))"),"S")</f>
        <v>S</v>
      </c>
      <c r="LC333" s="373" t="str">
        <f>IFERROR(__xludf.DUMMYFUNCTION("JOIN("""",ArrayFormula(MID(KV333,LEN(KV333)-SEQUENCE(1,LEN(KV333))+1,1)))"),"S")</f>
        <v>S</v>
      </c>
      <c r="LD333" s="373" t="str">
        <f t="shared" si="193"/>
        <v>S</v>
      </c>
      <c r="LE333" s="339" t="str">
        <f t="shared" si="194"/>
        <v>S</v>
      </c>
      <c r="LF333" s="386" t="str">
        <f>IFERROR(__xludf.DUMMYFUNCTION("SUBSTITUTE(SUBSTITUTE(CONCATENATE(JOIN("""",LH333:LT333)),""1"",""""),""2"","""")"),"SS")</f>
        <v>SS</v>
      </c>
      <c r="LG333" s="369" t="str">
        <f t="shared" si="195"/>
        <v>-</v>
      </c>
      <c r="LH333" s="387" t="str">
        <f>IFERROR(__xludf.DUMMYFUNCTION("IF(REGEXMATCH(LD333, ""S""), ""S"",IF(REGEXMATCH(LE333, ""S""), ""S"",""""))"),"S")</f>
        <v>S</v>
      </c>
      <c r="LI333" s="299" t="str">
        <f>IFERROR(__xludf.DUMMYFUNCTION("IF(REGEXMATCH(LD333, ""r""), ""r1"",IF(REGEXMATCH(LE333, ""r""), ""r2"",""""))"),"")</f>
        <v/>
      </c>
      <c r="LJ333" s="299" t="str">
        <f>IFERROR(__xludf.DUMMYFUNCTION("IF(REGEXMATCH(LD333, ""R""), ""R1"",IF(REGEXMATCH(LE333, ""R""), ""R2"",""""))"),"")</f>
        <v/>
      </c>
      <c r="LK333" s="299" t="str">
        <f>IFERROR(__xludf.DUMMYFUNCTION("IF(REGEXMATCH(LD333, ""g""), ""g1"",IF(REGEXMATCH(LE333, ""g""), ""g2"",""""))"),"")</f>
        <v/>
      </c>
      <c r="LL333" s="299" t="str">
        <f>IFERROR(__xludf.DUMMYFUNCTION("IF(REGEXMATCH(LD333, ""G""), ""G1"",IF(REGEXMATCH(LE333, ""G""), ""G2"",""""))"),"")</f>
        <v/>
      </c>
      <c r="LM333" s="299" t="str">
        <f>IFERROR(__xludf.DUMMYFUNCTION("IF(REGEXMATCH(LD333, ""m""), ""m1"",IF(REGEXMATCH(LE333, ""m""), ""m2"",""""))"),"")</f>
        <v/>
      </c>
      <c r="LN333" s="299" t="str">
        <f>IFERROR(__xludf.DUMMYFUNCTION("IF(REGEXMATCH(LD333, ""M""), ""M1"",IF(REGEXMATCH(LE333, ""M""), ""M2"",""""))"),"")</f>
        <v/>
      </c>
      <c r="LO333" s="299" t="str">
        <f>IFERROR(__xludf.DUMMYFUNCTION("IF(REGEXMATCH(LD333, ""P""), ""P1"",IF(REGEXMATCH(LE333, ""P""), ""P2"",""""))"),"")</f>
        <v/>
      </c>
      <c r="LP333" s="299" t="str">
        <f>IFERROR(__xludf.DUMMYFUNCTION("IF(REGEXMATCH(LD333, ""d""), ""d1"",IF(REGEXMATCH(LE333, ""d""), ""d2"",""""))"),"")</f>
        <v/>
      </c>
      <c r="LQ333" s="299" t="str">
        <f>IFERROR(__xludf.DUMMYFUNCTION("IF(REGEXMATCH(LD333, ""D""), ""D1"",IF(REGEXMATCH(LE333, ""D""), ""D2"",""""))"),"")</f>
        <v/>
      </c>
      <c r="LR333" s="299" t="str">
        <f>IFERROR(__xludf.DUMMYFUNCTION("IF(REGEXMATCH(LD333, ""n""), ""n1"",IF(REGEXMATCH(LE333, ""n""), ""n2"",""""))"),"")</f>
        <v/>
      </c>
      <c r="LS333" s="299" t="str">
        <f>IFERROR(__xludf.DUMMYFUNCTION("IF(REGEXMATCH(LD333, ""N""), ""N1"",IF(REGEXMATCH(LE333, ""N""), ""N2"",""""))"),"")</f>
        <v/>
      </c>
      <c r="LT333" s="388" t="str">
        <f>IFERROR(__xludf.DUMMYFUNCTION("IF(REGEXMATCH(LD333, ""S""), ""S"",IF(REGEXMATCH(LE333, ""S""), ""S"",""""))"),"S")</f>
        <v>S</v>
      </c>
      <c r="LU333" s="389">
        <f t="shared" si="196"/>
        <v>1</v>
      </c>
      <c r="LV333" s="378"/>
      <c r="LW333" s="369"/>
      <c r="LX333" s="369"/>
    </row>
    <row r="334" ht="18.0" customHeight="1">
      <c r="A334" s="298" t="s">
        <v>1181</v>
      </c>
      <c r="B334" s="222" t="s">
        <v>527</v>
      </c>
      <c r="C334" s="233" t="str">
        <f t="shared" si="7"/>
        <v>SRgmPDnNS</v>
      </c>
      <c r="D334" s="234" t="str">
        <f>IFERROR(__xludf.DUMMYFUNCTION("IF(REGEXMATCH(C334, ""S""), ""S"","""")"),"S")</f>
        <v>S</v>
      </c>
      <c r="E334" s="236" t="str">
        <f>IFERROR(__xludf.DUMMYFUNCTION("IF(REGEXMATCH(C334, ""r""), ""r"","""")"),"")</f>
        <v/>
      </c>
      <c r="F334" s="237" t="str">
        <f>IFERROR(__xludf.DUMMYFUNCTION("IF(REGEXMATCH(C334, ""R""), ""R"","""")"),"R")</f>
        <v>R</v>
      </c>
      <c r="G334" s="237" t="str">
        <f>IFERROR(__xludf.DUMMYFUNCTION("IF(REGEXMATCH(C334, ""g""), ""g"","""")"),"g")</f>
        <v>g</v>
      </c>
      <c r="H334" s="236" t="str">
        <f>IFERROR(__xludf.DUMMYFUNCTION("IF(REGEXMATCH(C334, ""G""), ""G"","""")"),"")</f>
        <v/>
      </c>
      <c r="I334" s="236" t="str">
        <f>IFERROR(__xludf.DUMMYFUNCTION("IF(REGEXMATCH(C334, ""m""), ""m"","""")"),"m")</f>
        <v>m</v>
      </c>
      <c r="J334" s="237" t="str">
        <f>IFERROR(__xludf.DUMMYFUNCTION("IF(REGEXMATCH(C334, ""M""), ""M"","""")"),"")</f>
        <v/>
      </c>
      <c r="K334" s="236" t="str">
        <f>IFERROR(__xludf.DUMMYFUNCTION("IF(REGEXMATCH(C334, ""P""), ""P"","""")"),"P")</f>
        <v>P</v>
      </c>
      <c r="L334" s="237" t="str">
        <f>IFERROR(__xludf.DUMMYFUNCTION("IF(REGEXMATCH(C334, ""d""), ""d"","""")"),"")</f>
        <v/>
      </c>
      <c r="M334" s="236" t="str">
        <f>IFERROR(__xludf.DUMMYFUNCTION("IF(REGEXMATCH(C334, ""D""), ""D"","""")"),"D")</f>
        <v>D</v>
      </c>
      <c r="N334" s="236" t="str">
        <f>IFERROR(__xludf.DUMMYFUNCTION("IF(REGEXMATCH(C334, ""n""), ""n"","""")"),"n")</f>
        <v>n</v>
      </c>
      <c r="O334" s="237" t="str">
        <f>IFERROR(__xludf.DUMMYFUNCTION("IF(REGEXMATCH(C334, ""N""), ""N"","""")"),"N")</f>
        <v>N</v>
      </c>
      <c r="P334" s="238" t="str">
        <f>IFERROR(__xludf.DUMMYFUNCTION("IF(REGEXMATCH(C334, ""S""), ""S"","""")"),"S")</f>
        <v>S</v>
      </c>
      <c r="Q334" s="239" t="str">
        <f>IFERROR(__xludf.DUMMYFUNCTION("SUBSTITUTE(CONCATENATE(JOIN(""-"",D334:J334)),""-"","""")"),"SRgm")</f>
        <v>SRgm</v>
      </c>
      <c r="R334" s="229" t="str">
        <f>IFERROR(__xludf.DUMMYFUNCTION("SUBSTITUTE(CONCATENATE(JOIN(""-"",K334:P334)),""-"","""")"),"PDnNS")</f>
        <v>PDnNS</v>
      </c>
      <c r="S334" s="282" t="str">
        <f t="shared" si="8"/>
        <v>S-R-G-M</v>
      </c>
      <c r="T334" s="282" t="str">
        <f t="shared" si="9"/>
        <v>P-D-N-S</v>
      </c>
      <c r="U334" s="237" t="str">
        <f>IFERROR(__xludf.DUMMYFUNCTION("SUBSTITUTE(JOIN(""-"",S334,T334),""--"",""-"")"),"S-R-G-M-P-D-N-S")</f>
        <v>S-R-G-M-P-D-N-S</v>
      </c>
      <c r="V334" s="309" t="str">
        <f t="shared" si="10"/>
        <v>RgmDnN</v>
      </c>
      <c r="W334" s="244" t="str">
        <f>IFERROR(__xludf.DUMMYFUNCTION("IF(REGEXMATCH(C334, ""S""), ""0"","""")"),"0")</f>
        <v>0</v>
      </c>
      <c r="X334" s="245" t="str">
        <f>IFERROR(__xludf.DUMMYFUNCTION("IF(REGEXMATCH(C334, ""r""), ""1"","""")"),"")</f>
        <v/>
      </c>
      <c r="Y334" s="246" t="str">
        <f>IFERROR(__xludf.DUMMYFUNCTION("IF(REGEXMATCH(C334, ""R""), ""2"","""")"),"2")</f>
        <v>2</v>
      </c>
      <c r="Z334" s="246" t="str">
        <f>IFERROR(__xludf.DUMMYFUNCTION("IF(REGEXMATCH(C334, ""g""), ""3"","""")"),"3")</f>
        <v>3</v>
      </c>
      <c r="AA334" s="245" t="str">
        <f>IFERROR(__xludf.DUMMYFUNCTION("IF(REGEXMATCH(C334, ""G""), ""4"","""")"),"")</f>
        <v/>
      </c>
      <c r="AB334" s="245" t="str">
        <f>IFERROR(__xludf.DUMMYFUNCTION("IF(REGEXMATCH(C334, ""m""), ""5"","""")"),"5")</f>
        <v>5</v>
      </c>
      <c r="AC334" s="246" t="str">
        <f>IFERROR(__xludf.DUMMYFUNCTION("IF(REGEXMATCH(C334, ""M""), ""6"","""")"),"")</f>
        <v/>
      </c>
      <c r="AD334" s="245" t="str">
        <f>IFERROR(__xludf.DUMMYFUNCTION("IF(REGEXMATCH(C334, ""P""), ""7"","""")"),"7")</f>
        <v>7</v>
      </c>
      <c r="AE334" s="246" t="str">
        <f>IFERROR(__xludf.DUMMYFUNCTION("IF(REGEXMATCH(C334, ""d""), ""8"","""")"),"")</f>
        <v/>
      </c>
      <c r="AF334" s="245" t="str">
        <f>IFERROR(__xludf.DUMMYFUNCTION("IF(REGEXMATCH(C334, ""D""), ""9"","""")"),"9")</f>
        <v>9</v>
      </c>
      <c r="AG334" s="245" t="str">
        <f>IFERROR(__xludf.DUMMYFUNCTION("IF(REGEXMATCH(C334, ""n""), ""10"","""")"),"10")</f>
        <v>10</v>
      </c>
      <c r="AH334" s="246" t="str">
        <f>IFERROR(__xludf.DUMMYFUNCTION("IF(REGEXMATCH(C334, ""N""), ""11"","""")"),"11")</f>
        <v>11</v>
      </c>
      <c r="AI334" s="249" t="str">
        <f>IFERROR(__xludf.DUMMYFUNCTION("IF(REGEXMATCH(C334, ""S""), ""0"","""")"),"0")</f>
        <v>0</v>
      </c>
      <c r="AJ334" s="313" t="str">
        <f t="shared" si="11"/>
        <v>-</v>
      </c>
      <c r="AK334" s="313" t="str">
        <f t="shared" si="12"/>
        <v>-</v>
      </c>
      <c r="AL334" s="313" t="str">
        <f t="shared" si="13"/>
        <v>-</v>
      </c>
      <c r="AM334" s="313" t="str">
        <f t="shared" si="14"/>
        <v>T</v>
      </c>
      <c r="AN334" s="313" t="str">
        <f t="shared" si="15"/>
        <v>-</v>
      </c>
      <c r="AO334" s="314" t="str">
        <f t="shared" si="16"/>
        <v>T</v>
      </c>
      <c r="AP334" s="316">
        <f t="shared" si="17"/>
        <v>2</v>
      </c>
      <c r="AQ334" s="319" t="str">
        <f t="shared" si="18"/>
        <v>#REF!</v>
      </c>
      <c r="AR334" s="320">
        <f t="shared" si="19"/>
        <v>0</v>
      </c>
      <c r="AS334" s="250" t="str">
        <f>IFERROR(__xludf.DUMMYFUNCTION("SUBSTITUTE(SUBSTITUTE(CONCATENATE(JOIN("""",FP334:GA334)),""|"",""x""),""-"",""o"")"),"xoxxoxoxoxxx")</f>
        <v>xoxxoxoxoxxx</v>
      </c>
      <c r="AT334" s="323" t="str">
        <f>IFERROR(__xludf.DUMMYFUNCTION("JOIN("""",AS334,AS334)"),"xoxxoxoxoxxxxoxxoxoxoxxx")</f>
        <v>xoxxoxoxoxxxxoxxoxoxoxxx</v>
      </c>
      <c r="AU334" s="256" t="str">
        <f>IFERROR(__xludf.DUMMYFUNCTION("JOIN("""",ArrayFormula(MID(AS334,LEN(AS334)-SEQUENCE(1,LEN(AS334))+1,1)))"),"xxxoxoxoxxox")</f>
        <v>xxxoxoxoxxox</v>
      </c>
      <c r="AV334" s="256" t="str">
        <f>IFERROR(__xludf.DUMMYFUNCTION("LEFT(CONCATENATE(""x"",JOIN("""",ArrayFormula(MID(AS334,LEN(AS334)-SEQUENCE(1,LEN(AS334))+1,1)))),12)"),"xxxxoxoxoxxo")</f>
        <v>xxxxoxoxoxxo</v>
      </c>
      <c r="AW334" s="327" t="str">
        <f>IFERROR(__xludf.DUMMYFUNCTION("JOIN("""",AU334,AU334)"),"xxxoxoxoxxoxxxxoxoxoxxox")</f>
        <v>xxxoxoxoxxoxxxxoxoxoxxox</v>
      </c>
      <c r="AX334" s="239" t="str">
        <f>IFERROR(__xludf.DUMMYFUNCTION("IF(REGEXMATCH(AW334,AS334),""✔"",""-"")"),"-")</f>
        <v>-</v>
      </c>
      <c r="AY334" s="330" t="str">
        <f t="shared" si="20"/>
        <v>-</v>
      </c>
      <c r="AZ334" s="260" t="str">
        <f t="shared" si="21"/>
        <v>#REF!</v>
      </c>
      <c r="BA334" s="333" t="str">
        <f t="shared" si="22"/>
        <v>xoxxoxo</v>
      </c>
      <c r="BB334" s="334" t="str">
        <f t="shared" si="23"/>
        <v>xoxxxx</v>
      </c>
      <c r="BC334" s="335" t="str">
        <f t="shared" si="236"/>
        <v>-</v>
      </c>
      <c r="BD334" s="336" t="str">
        <f t="shared" si="25"/>
        <v>Sindhura: 'xoxxoxo' + 'xoxxxx'</v>
      </c>
      <c r="BE334" s="337">
        <f>IFERROR(__xludf.DUMMYFUNCTION("COUNTUNIQUE(FILTER(AT:AT,REGEXMATCH(AT:AT,AS334)))-1"),3.0)</f>
        <v>3</v>
      </c>
      <c r="BF334" s="261" t="str">
        <f>IFERROR(__xludf.DUMMYFUNCTION("IF(BI334=0,""(n/a)"",IF(BJ334=2,""(PAIR)"",IF(REGEXMATCH(AT334,""xoxoxxoxoxox""),""Bilawal"",IF(REGEXMATCH(AT334,""xoxoxooxoxoo""),""Bhupali"",IF(REGEXMATCH(AT334,""xoxoxxoxxoxo""),""Charukeshi"",IF(REGEXMATCH(AT334,""xoxoooxxoxxo""),""Kameshwari"",IF(REG"&amp;"EXMATCH(AT334,""xoxoxooxoxox""),""Shankara"",IF(REGEXMATCH(AT334,""xxooxoxxxoox""),""Basant"",IF(REGEXMATCH(AT334,""xoxoxxxxoxox""),""Bihag"",IF(REGEXMATCH(AT334,""xoxxxxoxoxxx""),""Pilu"",IF(REGEXMATCH(AT334,""xoxxoxoxxoox""),""Kirwani"",IF(REGEXMATCH(AT"&amp;"334,""xoxxoxoxoxxx""),""Mk.Malhar"",IF(REGEXMATCH(AT334,""xxooxxoxxoox""),""Bhairav"",IF(REGEXMATCH(AT334,""xxoxooxxxoox""),""Todi"",IF(REGEXMATCH(AT334,""xxooxoxooxox""),""Marwa"",IF(REGEXMATCH(AT334,""xxoooxoxxooo""),""Gunkali"",IF(REGEXMATCH(AT334,""xo"&amp;"xoxxoxxoox""),""Nat Bhairav"",IF(REGEXMATCH(AT334,""xoxxoooxoxoo""),""Shivranjani"",IF(REGEXMATCH(AT334,""xooxxxoxooxo""),""Jog"",IF(REGEXMATCH(AT334,""xxooxoxoxoox""),""Hemshri"",IF(REGEXMATCH(AT334,""xoooxooxoxxo""),""Kalavati"",IF(REGEXMATCH(AT334,""xx"&amp;"oxoxxoxoox""),""Kedar"",IF(REGEXMATCH(AT334,""xoxxxxoxooxx""),""Gara"",IF(REGEXMATCH(AT334,""xooxoxooxoox""),""Chandrakauns"",IF(REGEXMATCH(AT334,""xoxxxxoxxxox""),""Mand"",IF(REGEXMATCH(AT334,""xoxxxxoxoxox""),""Hanskinkini"",IF(REGEXMATCH(AT334,""xxooxx"&amp;"oxooxo""),""Lilavati"",IF(REGEXMATCH(AT334,""xooxoxoooxox""),""Rajeshwari"",IF(REGEXMATCH(AT334,""xoooxxoxoxxx""),""Khokar"",IF(REGEXMATCH(AT334,""xxooxoxxxxox""),""Maligoura"",""-""))))))))))))))))))))))))))))))"),"Mk.Malhar")</f>
        <v>Mk.Malhar</v>
      </c>
      <c r="BG334" s="239" t="str">
        <f t="shared" si="26"/>
        <v>#REF!</v>
      </c>
      <c r="BH334" s="239">
        <f>IFERROR(__xludf.DUMMYFUNCTION("COUNTUNIQUE(FE334:FO334)-1"),7.0)</f>
        <v>7</v>
      </c>
      <c r="BI334" s="239">
        <f>IFERROR(__xludf.DUMMYFUNCTION("COUNTUNIQUE(FILTER(AT:AT,REGEXMATCH(AT:AT,AS334)))-1"),3.0)</f>
        <v>3</v>
      </c>
      <c r="BJ334" s="239">
        <f>IFERROR(__xludf.DUMMYFUNCTION("COUNTA(FILTER(AT:AT,REGEXMATCH(AT:AT,AS334)))"),16.0)</f>
        <v>16</v>
      </c>
      <c r="BK334" s="341">
        <f>IFERROR(__xludf.DUMMYFUNCTION("COUNTA(FILTER(AT:AT,REGEXMATCH(AT:AT,AS334)))-AR334"),16.0)</f>
        <v>16</v>
      </c>
      <c r="BL334" s="276" t="str">
        <f>IFERROR(__xludf.DUMMYFUNCTION("IF(AS334=""oooooooooooo"",""-"",IF(REGEXMATCH(AT334,""xx""), ""Hemi."", ""Anhemi.""))"),"Hemi.")</f>
        <v>Hemi.</v>
      </c>
      <c r="BM334" s="282" t="str">
        <f>IFERROR(__xludf.DUMMYFUNCTION("IF(AS334=""oooooooooooo"",""-"",IF(REGEXMATCH(AT334,""xxx""), ""Cohem."", ""-""))"),"Cohem.")</f>
        <v>Cohem.</v>
      </c>
      <c r="BN334" s="282" t="str">
        <f>IFERROR(__xludf.DUMMYFUNCTION("IF(AS334=""oooooooooooo"",""-"",IF(REGEXMATCH(AT334,""xxxx""), ""Co-Co."", ""-""))"),"Co-Co.")</f>
        <v>Co-Co.</v>
      </c>
      <c r="BO334" s="342" t="str">
        <f>IFERROR(__xludf.DUMMYFUNCTION("IF(AS334=""oooooooooooo"",""-"",IF(REGEXMATCH(AT334,""xxxxx""), ""CCC."", ""-""))"),"-")</f>
        <v>-</v>
      </c>
      <c r="BP334" s="344" t="str">
        <f t="shared" si="27"/>
        <v>-</v>
      </c>
      <c r="BQ334" s="282" t="str">
        <f>IFERROR(__xludf.DUMMYFUNCTION("IF(REGEXMATCH(JOIN(""-"",EU334:FD334),""TRUE""),""✔"",""-"")"),"-")</f>
        <v>-</v>
      </c>
      <c r="BR334" s="225">
        <f t="shared" si="28"/>
        <v>0</v>
      </c>
      <c r="BS334" s="345" t="str">
        <f>IFERROR(__xludf.DUMMYFUNCTION("SUBSTITUTE(SUBSTITUTE(SUBSTITUTE(SUBSTITUTE(CONCATENATE(JOIN(""-"",GC334:GO334)),""--"",""-""),""--"",""-""),""--"",""-""),""--"",""-"")"),"1-2-b3-4-5-6-b7-7-8")</f>
        <v>1-2-b3-4-5-6-b7-7-8</v>
      </c>
      <c r="BT334" s="299" t="str">
        <f>IFERROR(__xludf.DUMMYFUNCTION("SUBSTITUTE(SUBSTITUTE(SUBSTITUTE(SUBSTITUTE(CONCATENATE(JOIN(""-"",GP334:HB334)),""--"",""-""),""--"",""-""),""--"",""-""),""--"",""-"")"),"S-R2-G2-M1-P-D2-N2-N3-S")</f>
        <v>S-R2-G2-M1-P-D2-N2-N3-S</v>
      </c>
      <c r="BU334" s="348" t="str">
        <f t="shared" si="29"/>
        <v>C-D-Eb-F-G-A-Bb-B-C</v>
      </c>
      <c r="BV334" s="349" t="str">
        <f t="shared" si="30"/>
        <v>SrGMdS</v>
      </c>
      <c r="BW334" s="350">
        <f t="shared" si="31"/>
        <v>0</v>
      </c>
      <c r="BX334" s="351">
        <f t="shared" si="32"/>
        <v>11</v>
      </c>
      <c r="BY334" s="392"/>
      <c r="BZ334" s="309" t="str">
        <f>IFERROR(__xludf.DUMMYFUNCTION("IF(REGEXMATCH(C334, ""S""), ""x"",""x"")"),"x")</f>
        <v>x</v>
      </c>
      <c r="CA334" s="245" t="str">
        <f>IFERROR(__xludf.DUMMYFUNCTION("IF(REGEXMATCH(C334, ""r""), ""o"",""x"")"),"x")</f>
        <v>x</v>
      </c>
      <c r="CB334" s="246" t="str">
        <f>IFERROR(__xludf.DUMMYFUNCTION("IF(REGEXMATCH(C334, ""R""), ""o"",""x"")"),"o")</f>
        <v>o</v>
      </c>
      <c r="CC334" s="246" t="str">
        <f>IFERROR(__xludf.DUMMYFUNCTION("IF(REGEXMATCH(C334, ""g""), ""o"",""x"")"),"o")</f>
        <v>o</v>
      </c>
      <c r="CD334" s="245" t="str">
        <f>IFERROR(__xludf.DUMMYFUNCTION("IF(REGEXMATCH(C334, ""G""), ""o"",""x"")"),"x")</f>
        <v>x</v>
      </c>
      <c r="CE334" s="245" t="str">
        <f>IFERROR(__xludf.DUMMYFUNCTION("IF(REGEXMATCH(C334, ""m""), ""o"",""x"")"),"o")</f>
        <v>o</v>
      </c>
      <c r="CF334" s="246" t="str">
        <f>IFERROR(__xludf.DUMMYFUNCTION("IF(REGEXMATCH(C334, ""M""), ""o"",""x"")"),"x")</f>
        <v>x</v>
      </c>
      <c r="CG334" s="245" t="str">
        <f>IFERROR(__xludf.DUMMYFUNCTION("IF(REGEXMATCH(C334, ""P""), ""o"",""x"")"),"o")</f>
        <v>o</v>
      </c>
      <c r="CH334" s="246" t="str">
        <f>IFERROR(__xludf.DUMMYFUNCTION("IF(REGEXMATCH(C334, ""d""), ""o"",""x"")"),"x")</f>
        <v>x</v>
      </c>
      <c r="CI334" s="245" t="str">
        <f>IFERROR(__xludf.DUMMYFUNCTION("IF(REGEXMATCH(C334, ""D""), ""o"",""x"")"),"o")</f>
        <v>o</v>
      </c>
      <c r="CJ334" s="245" t="str">
        <f>IFERROR(__xludf.DUMMYFUNCTION("IF(REGEXMATCH(C334, ""n""), ""o"",""x"")"),"o")</f>
        <v>o</v>
      </c>
      <c r="CK334" s="245" t="str">
        <f>IFERROR(__xludf.DUMMYFUNCTION("IF(REGEXMATCH(C334, ""N""), ""o"",""x"")"),"o")</f>
        <v>o</v>
      </c>
      <c r="CL334" s="356" t="str">
        <f>IFERROR(__xludf.DUMMYFUNCTION("IF(REGEXMATCH(C334, ""S""), ""x"",""x"")"),"x")</f>
        <v>x</v>
      </c>
      <c r="CM334" s="357" t="str">
        <f t="shared" si="33"/>
        <v>xxooxoxoxooo</v>
      </c>
      <c r="CN334" s="358">
        <f t="shared" si="34"/>
        <v>0</v>
      </c>
      <c r="CO334" s="246" t="str">
        <f>IFERROR(__xludf.DUMMYFUNCTION("IF(REGEXMATCH($C334, ""S""), ""S"",""S"")"),"S")</f>
        <v>S</v>
      </c>
      <c r="CP334" s="246" t="str">
        <f>IFERROR(__xludf.DUMMYFUNCTION("IF(REGEXMATCH($C334, ""r""), """",""r"")"),"r")</f>
        <v>r</v>
      </c>
      <c r="CQ334" s="246" t="str">
        <f>IFERROR(__xludf.DUMMYFUNCTION("IF(REGEXMATCH($C334, ""R""), """",""R"")"),"")</f>
        <v/>
      </c>
      <c r="CR334" s="246" t="str">
        <f>IFERROR(__xludf.DUMMYFUNCTION("IF(REGEXMATCH($C334, ""g""), """",""g"")"),"")</f>
        <v/>
      </c>
      <c r="CS334" s="246" t="str">
        <f>IFERROR(__xludf.DUMMYFUNCTION("IF(REGEXMATCH($C334, ""G""), """",""G"")"),"G")</f>
        <v>G</v>
      </c>
      <c r="CT334" s="246" t="str">
        <f>IFERROR(__xludf.DUMMYFUNCTION("IF(REGEXMATCH($C334, ""m""), """",""m"")"),"")</f>
        <v/>
      </c>
      <c r="CU334" s="246" t="str">
        <f>IFERROR(__xludf.DUMMYFUNCTION("IF(REGEXMATCH($C334, ""M""), """",""M"")"),"M")</f>
        <v>M</v>
      </c>
      <c r="CV334" s="246" t="str">
        <f>IFERROR(__xludf.DUMMYFUNCTION("IF(REGEXMATCH($C334, ""P""), """",""P"")"),"")</f>
        <v/>
      </c>
      <c r="CW334" s="246" t="str">
        <f>IFERROR(__xludf.DUMMYFUNCTION("IF(REGEXMATCH($C334, ""d""), """",""d"")"),"d")</f>
        <v>d</v>
      </c>
      <c r="CX334" s="246" t="str">
        <f>IFERROR(__xludf.DUMMYFUNCTION("IF(REGEXMATCH($C334, ""D""), """",""D"")"),"")</f>
        <v/>
      </c>
      <c r="CY334" s="246" t="str">
        <f>IFERROR(__xludf.DUMMYFUNCTION("IF(REGEXMATCH($C334, ""n""), """",""n"")"),"")</f>
        <v/>
      </c>
      <c r="CZ334" s="246" t="str">
        <f>IFERROR(__xludf.DUMMYFUNCTION("IF(REGEXMATCH($C334, ""N""), """",""N"")"),"")</f>
        <v/>
      </c>
      <c r="DA334" s="246" t="str">
        <f>IFERROR(__xludf.DUMMYFUNCTION("IF(REGEXMATCH($C334, ""S""), ""S"",""S"")"),"S")</f>
        <v>S</v>
      </c>
      <c r="DB334" s="362" t="str">
        <f>IFERROR(__xludf.DUMMYFUNCTION("JOIN("""",CO334:DA334,"""","""")"),"SrGMdS")</f>
        <v>SrGMdS</v>
      </c>
      <c r="DC334" s="363"/>
      <c r="DD334" s="301" t="str">
        <f t="shared" si="35"/>
        <v>#REF!</v>
      </c>
      <c r="DE334" s="302" t="str">
        <f t="shared" si="36"/>
        <v>#REF!</v>
      </c>
      <c r="DF334" s="301" t="str">
        <f t="shared" ref="DF334:DG334" si="899">SUBSTITUTE(S334,"-","")</f>
        <v>SRGM</v>
      </c>
      <c r="DG334" s="301" t="str">
        <f t="shared" si="899"/>
        <v>PDNS</v>
      </c>
      <c r="DH334" s="302" t="str">
        <f t="shared" si="38"/>
        <v>Mk.Malhar</v>
      </c>
      <c r="DI334" s="301" t="str">
        <f t="shared" si="39"/>
        <v>Hemi.</v>
      </c>
      <c r="DJ334" s="364" t="str">
        <f t="shared" si="40"/>
        <v>Co-Co.</v>
      </c>
      <c r="DK334" s="306" t="str">
        <f t="shared" si="41"/>
        <v>-</v>
      </c>
      <c r="DL334" s="366" t="str">
        <f t="shared" si="42"/>
        <v>-</v>
      </c>
      <c r="DM334" s="308" t="str">
        <f t="shared" si="43"/>
        <v>✔</v>
      </c>
      <c r="DN334" s="306" t="str">
        <f t="shared" si="44"/>
        <v>-</v>
      </c>
      <c r="DO334" s="306" t="str">
        <f t="shared" si="45"/>
        <v>-</v>
      </c>
      <c r="DP334" s="367" t="str">
        <f t="shared" si="46"/>
        <v>-</v>
      </c>
      <c r="DQ334" s="310" t="str">
        <f t="shared" si="47"/>
        <v>-</v>
      </c>
      <c r="DR334" s="310" t="str">
        <f t="shared" si="48"/>
        <v>-</v>
      </c>
      <c r="DS334" s="310" t="str">
        <f t="shared" si="49"/>
        <v>-</v>
      </c>
      <c r="DT334" s="310" t="str">
        <f t="shared" si="50"/>
        <v>-</v>
      </c>
      <c r="DU334" s="370" t="str">
        <f t="shared" si="51"/>
        <v>✔</v>
      </c>
      <c r="DV334" s="306" t="str">
        <f t="shared" si="52"/>
        <v>-</v>
      </c>
      <c r="DW334" s="306" t="str">
        <f t="shared" si="53"/>
        <v>-</v>
      </c>
      <c r="DX334" s="306" t="str">
        <f t="shared" si="54"/>
        <v>-</v>
      </c>
      <c r="DY334" s="306" t="str">
        <f t="shared" si="55"/>
        <v>-</v>
      </c>
      <c r="DZ334" s="306" t="str">
        <f t="shared" si="56"/>
        <v>-</v>
      </c>
      <c r="EA334" s="367" t="str">
        <f t="shared" si="57"/>
        <v>-</v>
      </c>
      <c r="EB334" s="310" t="str">
        <f>IFERROR(__xludf.DUMMYFUNCTION("IF(REGEXMATCH(AW334,AS334),""✔"",""-"")"),"-")</f>
        <v>-</v>
      </c>
      <c r="EC334" s="310" t="str">
        <f t="shared" si="58"/>
        <v>#REF!</v>
      </c>
      <c r="ED334" s="370" t="str">
        <f t="shared" si="59"/>
        <v>-</v>
      </c>
      <c r="EE334" s="340" t="str">
        <f t="shared" si="60"/>
        <v>S-R-g-m-P-D-nN-S</v>
      </c>
      <c r="EF334" s="371" t="str">
        <f>IFERROR(__xludf.DUMMYFUNCTION("CONCATENATE(JOIN("""",HC334:HO334))"),"SrRgmPDnS")</f>
        <v>SrRgmPDnS</v>
      </c>
      <c r="EG334" s="372">
        <f t="shared" si="61"/>
        <v>2</v>
      </c>
      <c r="EH334" s="373" t="str">
        <f>IFERROR(__xludf.DUMMYFUNCTION("CONCATENATE(JOIN("""",JC334:JO334))"),"Dha, Ni, ")</f>
        <v>Dha, Ni, </v>
      </c>
      <c r="EI334" s="322">
        <f t="shared" si="62"/>
        <v>1</v>
      </c>
      <c r="EJ334" s="374" t="str">
        <f>IFERROR(__xludf.DUMMYFUNCTION("CONCATENATE(JOIN("""",KC334:KO334))"),"Ni, ")</f>
        <v>Ni, </v>
      </c>
      <c r="EK334" s="325" t="str">
        <f t="shared" si="63"/>
        <v>S-R2-G2-M1-P-D2-N2-N3-S</v>
      </c>
      <c r="EL334" s="326" t="str">
        <f t="shared" si="64"/>
        <v>1-2-b3-4-5-6-b7-7-8</v>
      </c>
      <c r="EM334" s="318" t="str">
        <f t="shared" si="65"/>
        <v>#REF!</v>
      </c>
      <c r="EN334" s="328" t="str">
        <f>IFERROR(__xludf.DUMMYFUNCTION("SUBSTITUTE(SUBSTITUTE(SUBSTITUTE(SUBSTITUTE(CONCATENATE(JOIN("" "",HP334:IB334)),""  "","" ""),""  "","" ""),""  "","" ""),""  "","" "")"),"o • o o • o • o • o o o o")</f>
        <v>o • o o • o • o • o o o o</v>
      </c>
      <c r="EO334" s="368" t="str">
        <f t="shared" si="66"/>
        <v>-</v>
      </c>
      <c r="EP334" s="339" t="str">
        <f t="shared" si="67"/>
        <v>-</v>
      </c>
      <c r="EQ334" s="339" t="str">
        <f t="shared" si="68"/>
        <v>Sa-Pa</v>
      </c>
      <c r="ER334" s="339" t="str">
        <f t="shared" si="69"/>
        <v>-</v>
      </c>
      <c r="ES334" s="340" t="str">
        <f t="shared" si="70"/>
        <v>-</v>
      </c>
      <c r="ET334" s="363"/>
      <c r="EU334" s="376" t="b">
        <f>IFERROR(__xludf.DUMMYFUNCTION("arrayformula(sum(--REGEXMATCH(""SRGMPDNS"",split(REGEXREPLACE(C334,""(.)"",""$1~""),""~""))))=len(C334)
"),FALSE)</f>
        <v>0</v>
      </c>
      <c r="EV334" s="290" t="b">
        <f>IFERROR(__xludf.DUMMYFUNCTION("arrayformula(sum(--REGEXMATCH(""SRGmPDNS"",split(REGEXREPLACE(C334,""(.)"",""$1~""),""~""))))=len(C334)"),FALSE)</f>
        <v>0</v>
      </c>
      <c r="EW334" s="290" t="b">
        <f>IFERROR(__xludf.DUMMYFUNCTION("arrayformula(sum(--REGEXMATCH(""SRGmPDnS"",split(REGEXREPLACE(C334,""(.)"",""$1~""),""~""))))=len(C334)"),FALSE)</f>
        <v>0</v>
      </c>
      <c r="EX334" s="290" t="b">
        <f>IFERROR(__xludf.DUMMYFUNCTION("arrayformula(sum(--REGEXMATCH(""SRgmPDnS"",split(REGEXREPLACE(C334,""(.)"",""$1~""),""~""))))=len(C334)"),FALSE)</f>
        <v>0</v>
      </c>
      <c r="EY334" s="290" t="b">
        <f>IFERROR(__xludf.DUMMYFUNCTION("arrayformula(sum(--REGEXMATCH(""SRgmPdnS"",split(REGEXREPLACE(C334,""(.)"",""$1~""),""~""))))=len(C334)"),FALSE)</f>
        <v>0</v>
      </c>
      <c r="EZ334" s="290" t="b">
        <f>IFERROR(__xludf.DUMMYFUNCTION("arrayformula(sum(--REGEXMATCH(""SrgmPdnS"",split(REGEXREPLACE(C334,""(.)"",""$1~""),""~""))))=len(C334)"),FALSE)</f>
        <v>0</v>
      </c>
      <c r="FA334" s="290" t="b">
        <f>IFERROR(__xludf.DUMMYFUNCTION("arrayformula(sum(--REGEXMATCH(""SrGmPdNS"",split(REGEXREPLACE(C334,""(.)"",""$1~""),""~""))))=len(C334)"),FALSE)</f>
        <v>0</v>
      </c>
      <c r="FB334" s="290" t="b">
        <f>IFERROR(__xludf.DUMMYFUNCTION("arrayformula(sum(--REGEXMATCH(""SrGMPDNS"",split(REGEXREPLACE(C334,""(.)"",""$1~""),""~""))))=len(C334)"),FALSE)</f>
        <v>0</v>
      </c>
      <c r="FC334" s="290" t="b">
        <f>IFERROR(__xludf.DUMMYFUNCTION("arrayformula(sum(--REGEXMATCH(""SrGMPdNS"",split(REGEXREPLACE(C334,""(.)"",""$1~""),""~""))))=len(C334)"),FALSE)</f>
        <v>0</v>
      </c>
      <c r="FD334" s="377" t="b">
        <f>IFERROR(__xludf.DUMMYFUNCTION("arrayformula(sum(--REGEXMATCH(""SrgMPdNS"",split(REGEXREPLACE(C334,""(.)"",""$1~""),""~""))))=len(C334)"),FALSE)</f>
        <v>0</v>
      </c>
      <c r="FE334" s="269" t="str">
        <f t="shared" si="71"/>
        <v>-</v>
      </c>
      <c r="FF334" s="269" t="str">
        <f t="shared" si="72"/>
        <v>xxoxoxoxxxx</v>
      </c>
      <c r="FG334" s="271" t="str">
        <f t="shared" si="73"/>
        <v>xoxoxoxxxxo</v>
      </c>
      <c r="FH334" s="269" t="str">
        <f t="shared" si="74"/>
        <v>-</v>
      </c>
      <c r="FI334" s="271" t="str">
        <f t="shared" si="75"/>
        <v>xoxoxxxxoxx</v>
      </c>
      <c r="FJ334" s="271" t="str">
        <f t="shared" si="76"/>
        <v>-</v>
      </c>
      <c r="FK334" s="271" t="str">
        <f t="shared" si="77"/>
        <v>xoxxxxoxxox</v>
      </c>
      <c r="FL334" s="271" t="str">
        <f t="shared" si="78"/>
        <v>-</v>
      </c>
      <c r="FM334" s="271" t="str">
        <f t="shared" si="79"/>
        <v>xxxxoxxoxox</v>
      </c>
      <c r="FN334" s="271" t="str">
        <f t="shared" si="80"/>
        <v>xxxoxxoxoxo</v>
      </c>
      <c r="FO334" s="274" t="str">
        <f t="shared" si="81"/>
        <v>xxoxxoxoxox</v>
      </c>
      <c r="FP334" s="234" t="str">
        <f t="shared" si="82"/>
        <v>|</v>
      </c>
      <c r="FQ334" s="236" t="str">
        <f t="shared" si="83"/>
        <v>-</v>
      </c>
      <c r="FR334" s="237" t="str">
        <f t="shared" si="84"/>
        <v>|</v>
      </c>
      <c r="FS334" s="236" t="str">
        <f t="shared" si="85"/>
        <v>|</v>
      </c>
      <c r="FT334" s="237" t="str">
        <f t="shared" si="86"/>
        <v>-</v>
      </c>
      <c r="FU334" s="236" t="str">
        <f t="shared" si="87"/>
        <v>|</v>
      </c>
      <c r="FV334" s="237" t="str">
        <f t="shared" si="88"/>
        <v>-</v>
      </c>
      <c r="FW334" s="236" t="str">
        <f t="shared" si="89"/>
        <v>|</v>
      </c>
      <c r="FX334" s="237" t="str">
        <f t="shared" si="90"/>
        <v>-</v>
      </c>
      <c r="FY334" s="236" t="str">
        <f t="shared" si="91"/>
        <v>|</v>
      </c>
      <c r="FZ334" s="237" t="str">
        <f t="shared" si="92"/>
        <v>|</v>
      </c>
      <c r="GA334" s="236" t="str">
        <f t="shared" si="93"/>
        <v>|</v>
      </c>
      <c r="GB334" s="238" t="str">
        <f t="shared" si="94"/>
        <v>|</v>
      </c>
      <c r="GC334" s="244" t="str">
        <f>IFERROR(__xludf.DUMMYFUNCTION("IF(REGEXMATCH(C334, ""S""), ""1"","""")"),"1")</f>
        <v>1</v>
      </c>
      <c r="GD334" s="245" t="str">
        <f>IFERROR(__xludf.DUMMYFUNCTION("IF(REGEXMATCH(C334, ""r""), ""b2"","""")"),"")</f>
        <v/>
      </c>
      <c r="GE334" s="246" t="str">
        <f>IFERROR(__xludf.DUMMYFUNCTION("IF(REGEXMATCH(C334, ""R""), ""2"","""")"),"2")</f>
        <v>2</v>
      </c>
      <c r="GF334" s="246" t="str">
        <f>IFERROR(__xludf.DUMMYFUNCTION("IF(REGEXMATCH(C334, ""g""), ""b3"","""")"),"b3")</f>
        <v>b3</v>
      </c>
      <c r="GG334" s="245" t="str">
        <f>IFERROR(__xludf.DUMMYFUNCTION("IF(REGEXMATCH(C334, ""G""), ""3"","""")"),"")</f>
        <v/>
      </c>
      <c r="GH334" s="245" t="str">
        <f>IFERROR(__xludf.DUMMYFUNCTION("IF(REGEXMATCH(C334, ""m""), ""4"","""")"),"4")</f>
        <v>4</v>
      </c>
      <c r="GI334" s="246" t="str">
        <f>IFERROR(__xludf.DUMMYFUNCTION("IF(REGEXMATCH(C334, ""M""), ""#4"","""")"),"")</f>
        <v/>
      </c>
      <c r="GJ334" s="245" t="str">
        <f>IFERROR(__xludf.DUMMYFUNCTION("IF(REGEXMATCH(C334, ""P""), ""5"","""")"),"5")</f>
        <v>5</v>
      </c>
      <c r="GK334" s="246" t="str">
        <f>IFERROR(__xludf.DUMMYFUNCTION("IF(REGEXMATCH(C334, ""d""), ""b6"","""")"),"")</f>
        <v/>
      </c>
      <c r="GL334" s="245" t="str">
        <f>IFERROR(__xludf.DUMMYFUNCTION("IF(REGEXMATCH(C334, ""D""), ""6"","""")"),"6")</f>
        <v>6</v>
      </c>
      <c r="GM334" s="245" t="str">
        <f>IFERROR(__xludf.DUMMYFUNCTION("IF(REGEXMATCH(C334, ""n""), ""b7"","""")"),"b7")</f>
        <v>b7</v>
      </c>
      <c r="GN334" s="246" t="str">
        <f>IFERROR(__xludf.DUMMYFUNCTION("IF(REGEXMATCH(C334, ""N""), ""7"","""")"),"7")</f>
        <v>7</v>
      </c>
      <c r="GO334" s="249" t="str">
        <f>IFERROR(__xludf.DUMMYFUNCTION("IF(REGEXMATCH(C334, ""S""), ""8"","""")"),"8")</f>
        <v>8</v>
      </c>
      <c r="GP334" s="244" t="str">
        <f>IFERROR(__xludf.DUMMYFUNCTION("IF(REGEXMATCH(C334, ""S""), ""S"","""")"),"S")</f>
        <v>S</v>
      </c>
      <c r="GQ334" s="294" t="str">
        <f>IFERROR(__xludf.DUMMYFUNCTION("IF(REGEXMATCH(C334, ""r""), ""R1"","""")"),"")</f>
        <v/>
      </c>
      <c r="GR334" s="295" t="str">
        <f>IFERROR(__xludf.DUMMYFUNCTION("IF(REGEXMATCH(C334, ""R""), ""R2"","""")"),"R2")</f>
        <v>R2</v>
      </c>
      <c r="GS334" s="295" t="str">
        <f>IFERROR(__xludf.DUMMYFUNCTION("IF(REGEXMATCH(C334, ""g""), ""G2"","""")"),"G2")</f>
        <v>G2</v>
      </c>
      <c r="GT334" s="294" t="str">
        <f>IFERROR(__xludf.DUMMYFUNCTION("IF(REGEXMATCH(C334, ""G""), ""G3"","""")"),"")</f>
        <v/>
      </c>
      <c r="GU334" s="294" t="str">
        <f>IFERROR(__xludf.DUMMYFUNCTION("IF(REGEXMATCH(C334, ""m""), ""M1"","""")"),"M1")</f>
        <v>M1</v>
      </c>
      <c r="GV334" s="295" t="str">
        <f>IFERROR(__xludf.DUMMYFUNCTION("IF(REGEXMATCH(C334, ""M""), ""M2"","""")"),"")</f>
        <v/>
      </c>
      <c r="GW334" s="294" t="str">
        <f>IFERROR(__xludf.DUMMYFUNCTION("IF(REGEXMATCH(C334, ""P""), ""P"","""")"),"P")</f>
        <v>P</v>
      </c>
      <c r="GX334" s="295" t="str">
        <f>IFERROR(__xludf.DUMMYFUNCTION("IF(REGEXMATCH(C334, ""d""), ""D1"","""")"),"")</f>
        <v/>
      </c>
      <c r="GY334" s="294" t="str">
        <f>IFERROR(__xludf.DUMMYFUNCTION("IF(REGEXMATCH(C334, ""D""), ""D2"","""")"),"D2")</f>
        <v>D2</v>
      </c>
      <c r="GZ334" s="294" t="str">
        <f>IFERROR(__xludf.DUMMYFUNCTION("IF(REGEXMATCH(C334, ""n""), ""N2"","""")"),"N2")</f>
        <v>N2</v>
      </c>
      <c r="HA334" s="295" t="str">
        <f>IFERROR(__xludf.DUMMYFUNCTION("IF(REGEXMATCH(C334, ""N""), ""N3"","""")"),"N3")</f>
        <v>N3</v>
      </c>
      <c r="HB334" s="249" t="str">
        <f>IFERROR(__xludf.DUMMYFUNCTION("IF(REGEXMATCH(C334, ""S""), ""S"","""")"),"S")</f>
        <v>S</v>
      </c>
      <c r="HC334" s="331" t="str">
        <f t="shared" si="95"/>
        <v>S</v>
      </c>
      <c r="HD334" s="332" t="str">
        <f t="shared" si="96"/>
        <v>r</v>
      </c>
      <c r="HE334" s="332" t="str">
        <f t="shared" si="97"/>
        <v>R</v>
      </c>
      <c r="HF334" s="332" t="str">
        <f t="shared" si="98"/>
        <v>g</v>
      </c>
      <c r="HG334" s="332" t="str">
        <f t="shared" si="99"/>
        <v/>
      </c>
      <c r="HH334" s="332" t="str">
        <f t="shared" si="100"/>
        <v>m</v>
      </c>
      <c r="HI334" s="332" t="str">
        <f t="shared" si="101"/>
        <v/>
      </c>
      <c r="HJ334" s="332" t="str">
        <f t="shared" si="102"/>
        <v>P</v>
      </c>
      <c r="HK334" s="332" t="str">
        <f t="shared" si="103"/>
        <v/>
      </c>
      <c r="HL334" s="332" t="str">
        <f t="shared" si="104"/>
        <v>D</v>
      </c>
      <c r="HM334" s="332" t="str">
        <f t="shared" si="105"/>
        <v>n</v>
      </c>
      <c r="HN334" s="332" t="str">
        <f t="shared" si="106"/>
        <v/>
      </c>
      <c r="HO334" s="343" t="str">
        <f t="shared" si="107"/>
        <v>S</v>
      </c>
      <c r="HP334" s="331" t="str">
        <f t="shared" si="108"/>
        <v>o</v>
      </c>
      <c r="HQ334" s="332" t="str">
        <f t="shared" si="109"/>
        <v>•</v>
      </c>
      <c r="HR334" s="332" t="str">
        <f t="shared" si="110"/>
        <v>o</v>
      </c>
      <c r="HS334" s="332" t="str">
        <f t="shared" si="111"/>
        <v>o</v>
      </c>
      <c r="HT334" s="332" t="str">
        <f t="shared" si="112"/>
        <v>•</v>
      </c>
      <c r="HU334" s="332" t="str">
        <f t="shared" si="113"/>
        <v>o</v>
      </c>
      <c r="HV334" s="332" t="str">
        <f t="shared" si="114"/>
        <v>•</v>
      </c>
      <c r="HW334" s="332" t="str">
        <f t="shared" si="115"/>
        <v>o</v>
      </c>
      <c r="HX334" s="332" t="str">
        <f t="shared" si="116"/>
        <v>•</v>
      </c>
      <c r="HY334" s="332" t="str">
        <f t="shared" si="117"/>
        <v>o</v>
      </c>
      <c r="HZ334" s="332" t="str">
        <f t="shared" si="118"/>
        <v>o</v>
      </c>
      <c r="IA334" s="332" t="str">
        <f t="shared" si="119"/>
        <v>o</v>
      </c>
      <c r="IB334" s="338" t="str">
        <f t="shared" si="120"/>
        <v>o</v>
      </c>
      <c r="IC334" s="331" t="str">
        <f t="shared" si="121"/>
        <v>•</v>
      </c>
      <c r="ID334" s="332" t="str">
        <f t="shared" si="122"/>
        <v>o</v>
      </c>
      <c r="IE334" s="332" t="str">
        <f t="shared" si="123"/>
        <v>•</v>
      </c>
      <c r="IF334" s="332" t="str">
        <f t="shared" si="124"/>
        <v>•</v>
      </c>
      <c r="IG334" s="332" t="str">
        <f t="shared" si="125"/>
        <v>o</v>
      </c>
      <c r="IH334" s="332" t="str">
        <f t="shared" si="126"/>
        <v>•</v>
      </c>
      <c r="II334" s="332" t="str">
        <f t="shared" si="127"/>
        <v>o</v>
      </c>
      <c r="IJ334" s="332" t="str">
        <f t="shared" si="128"/>
        <v>•</v>
      </c>
      <c r="IK334" s="332" t="str">
        <f t="shared" si="129"/>
        <v>o</v>
      </c>
      <c r="IL334" s="332" t="str">
        <f t="shared" si="130"/>
        <v>•</v>
      </c>
      <c r="IM334" s="332" t="str">
        <f t="shared" si="131"/>
        <v>•</v>
      </c>
      <c r="IN334" s="332" t="str">
        <f t="shared" si="132"/>
        <v>•</v>
      </c>
      <c r="IO334" s="338" t="str">
        <f t="shared" si="133"/>
        <v>•</v>
      </c>
      <c r="IP334" s="346" t="b">
        <f t="shared" si="134"/>
        <v>0</v>
      </c>
      <c r="IQ334" s="347" t="b">
        <f t="shared" si="135"/>
        <v>0</v>
      </c>
      <c r="IR334" s="347" t="b">
        <f t="shared" si="136"/>
        <v>0</v>
      </c>
      <c r="IS334" s="347" t="b">
        <f t="shared" si="137"/>
        <v>0</v>
      </c>
      <c r="IT334" s="347" t="b">
        <f t="shared" si="138"/>
        <v>0</v>
      </c>
      <c r="IU334" s="347" t="b">
        <f t="shared" si="139"/>
        <v>0</v>
      </c>
      <c r="IV334" s="347" t="b">
        <f t="shared" si="140"/>
        <v>0</v>
      </c>
      <c r="IW334" s="347" t="b">
        <f t="shared" si="141"/>
        <v>0</v>
      </c>
      <c r="IX334" s="347" t="b">
        <f t="shared" si="142"/>
        <v>0</v>
      </c>
      <c r="IY334" s="347" t="b">
        <f t="shared" si="143"/>
        <v>1</v>
      </c>
      <c r="IZ334" s="347" t="b">
        <f t="shared" si="144"/>
        <v>0</v>
      </c>
      <c r="JA334" s="347" t="b">
        <f t="shared" si="145"/>
        <v>1</v>
      </c>
      <c r="JB334" s="353" t="b">
        <f t="shared" si="146"/>
        <v>0</v>
      </c>
      <c r="JC334" s="354" t="str">
        <f t="shared" si="147"/>
        <v/>
      </c>
      <c r="JD334" s="355" t="str">
        <f t="shared" si="148"/>
        <v/>
      </c>
      <c r="JE334" s="355" t="str">
        <f t="shared" si="149"/>
        <v/>
      </c>
      <c r="JF334" s="355" t="str">
        <f t="shared" si="150"/>
        <v/>
      </c>
      <c r="JG334" s="355" t="str">
        <f t="shared" si="151"/>
        <v/>
      </c>
      <c r="JH334" s="355" t="str">
        <f t="shared" si="152"/>
        <v/>
      </c>
      <c r="JI334" s="355" t="str">
        <f t="shared" si="153"/>
        <v/>
      </c>
      <c r="JJ334" s="355" t="str">
        <f t="shared" si="154"/>
        <v/>
      </c>
      <c r="JK334" s="355" t="str">
        <f t="shared" si="155"/>
        <v/>
      </c>
      <c r="JL334" s="355" t="str">
        <f t="shared" si="156"/>
        <v>Dha, </v>
      </c>
      <c r="JM334" s="355" t="str">
        <f t="shared" si="157"/>
        <v/>
      </c>
      <c r="JN334" s="355" t="str">
        <f t="shared" si="158"/>
        <v>Ni, </v>
      </c>
      <c r="JO334" s="359" t="str">
        <f t="shared" si="159"/>
        <v/>
      </c>
      <c r="JP334" s="346" t="b">
        <f t="shared" si="160"/>
        <v>0</v>
      </c>
      <c r="JQ334" s="347" t="b">
        <f t="shared" si="161"/>
        <v>0</v>
      </c>
      <c r="JR334" s="347" t="b">
        <f t="shared" si="162"/>
        <v>0</v>
      </c>
      <c r="JS334" s="347" t="b">
        <f t="shared" si="163"/>
        <v>0</v>
      </c>
      <c r="JT334" s="347" t="b">
        <f t="shared" si="164"/>
        <v>0</v>
      </c>
      <c r="JU334" s="347" t="b">
        <f t="shared" si="165"/>
        <v>0</v>
      </c>
      <c r="JV334" s="347" t="b">
        <f t="shared" si="166"/>
        <v>0</v>
      </c>
      <c r="JW334" s="347" t="b">
        <f t="shared" si="167"/>
        <v>0</v>
      </c>
      <c r="JX334" s="347" t="b">
        <f t="shared" si="168"/>
        <v>0</v>
      </c>
      <c r="JY334" s="347" t="b">
        <f t="shared" si="169"/>
        <v>0</v>
      </c>
      <c r="JZ334" s="347" t="b">
        <f t="shared" si="170"/>
        <v>0</v>
      </c>
      <c r="KA334" s="347" t="b">
        <f t="shared" si="171"/>
        <v>1</v>
      </c>
      <c r="KB334" s="365" t="b">
        <f t="shared" si="172"/>
        <v>0</v>
      </c>
      <c r="KC334" s="354" t="str">
        <f t="shared" si="173"/>
        <v/>
      </c>
      <c r="KD334" s="355" t="str">
        <f t="shared" si="174"/>
        <v/>
      </c>
      <c r="KE334" s="355" t="str">
        <f t="shared" si="175"/>
        <v/>
      </c>
      <c r="KF334" s="355" t="str">
        <f t="shared" si="176"/>
        <v/>
      </c>
      <c r="KG334" s="355" t="str">
        <f t="shared" si="177"/>
        <v/>
      </c>
      <c r="KH334" s="355" t="str">
        <f t="shared" si="178"/>
        <v/>
      </c>
      <c r="KI334" s="355" t="str">
        <f t="shared" si="179"/>
        <v/>
      </c>
      <c r="KJ334" s="355" t="str">
        <f t="shared" si="180"/>
        <v/>
      </c>
      <c r="KK334" s="355" t="str">
        <f t="shared" si="181"/>
        <v/>
      </c>
      <c r="KL334" s="355" t="str">
        <f t="shared" si="182"/>
        <v/>
      </c>
      <c r="KM334" s="355" t="str">
        <f t="shared" si="183"/>
        <v/>
      </c>
      <c r="KN334" s="355" t="str">
        <f t="shared" si="184"/>
        <v>Ni, </v>
      </c>
      <c r="KO334" s="359"/>
      <c r="KP334" s="378"/>
      <c r="KQ334" s="379" t="s">
        <v>719</v>
      </c>
      <c r="KR334" s="380" t="s">
        <v>1297</v>
      </c>
      <c r="KS334" s="381" t="str">
        <f t="shared" ref="KS334:KS335" si="902">KQ334</f>
        <v>S-R-m-P-D-S</v>
      </c>
      <c r="KT334" s="382">
        <f t="shared" si="186"/>
        <v>5</v>
      </c>
      <c r="KU334" s="383">
        <f t="shared" si="187"/>
        <v>5</v>
      </c>
      <c r="KV334" s="381" t="str">
        <f t="shared" si="205"/>
        <v>S-n-D-P-m-g-R-S</v>
      </c>
      <c r="KW334" s="382">
        <f t="shared" si="189"/>
        <v>7</v>
      </c>
      <c r="KX334" s="384">
        <f t="shared" si="190"/>
        <v>7</v>
      </c>
      <c r="KY334" s="382">
        <f t="shared" ref="KY334:KZ334" si="900">KW334-KT334</f>
        <v>2</v>
      </c>
      <c r="KZ334" s="369">
        <f t="shared" si="900"/>
        <v>2</v>
      </c>
      <c r="LA334" s="385" t="str">
        <f t="shared" si="192"/>
        <v>-</v>
      </c>
      <c r="LB334" s="340" t="str">
        <f>IFERROR(__xludf.DUMMYFUNCTION("JOIN("""",ArrayFormula(MID(KS334,LEN(KS334)-SEQUENCE(1,LEN(KS334))+1,1)))"),"S-D-P-m-R-S")</f>
        <v>S-D-P-m-R-S</v>
      </c>
      <c r="LC334" s="373" t="str">
        <f>IFERROR(__xludf.DUMMYFUNCTION("JOIN("""",ArrayFormula(MID(KV334,LEN(KV334)-SEQUENCE(1,LEN(KV334))+1,1)))"),"S-R-g-m-P-D-n-S")</f>
        <v>S-R-g-m-P-D-n-S</v>
      </c>
      <c r="LD334" s="373" t="str">
        <f t="shared" si="193"/>
        <v>SRmPDS</v>
      </c>
      <c r="LE334" s="339" t="str">
        <f t="shared" si="194"/>
        <v>SRgmPDnS</v>
      </c>
      <c r="LF334" s="386" t="str">
        <f>IFERROR(__xludf.DUMMYFUNCTION("SUBSTITUTE(SUBSTITUTE(CONCATENATE(JOIN("""",LH334:LT334)),""1"",""""),""2"","""")"),"SRgmPDnS")</f>
        <v>SRgmPDnS</v>
      </c>
      <c r="LG334" s="369" t="str">
        <f t="shared" si="195"/>
        <v>-</v>
      </c>
      <c r="LH334" s="387" t="str">
        <f>IFERROR(__xludf.DUMMYFUNCTION("IF(REGEXMATCH(LD334, ""S""), ""S"",IF(REGEXMATCH(LE334, ""S""), ""S"",""""))"),"S")</f>
        <v>S</v>
      </c>
      <c r="LI334" s="299" t="str">
        <f>IFERROR(__xludf.DUMMYFUNCTION("IF(REGEXMATCH(LD334, ""r""), ""r1"",IF(REGEXMATCH(LE334, ""r""), ""r2"",""""))"),"")</f>
        <v/>
      </c>
      <c r="LJ334" s="299" t="str">
        <f>IFERROR(__xludf.DUMMYFUNCTION("IF(REGEXMATCH(LD334, ""R""), ""R1"",IF(REGEXMATCH(LE334, ""R""), ""R2"",""""))"),"R1")</f>
        <v>R1</v>
      </c>
      <c r="LK334" s="299" t="str">
        <f>IFERROR(__xludf.DUMMYFUNCTION("IF(REGEXMATCH(LD334, ""g""), ""g1"",IF(REGEXMATCH(LE334, ""g""), ""g2"",""""))"),"g2")</f>
        <v>g2</v>
      </c>
      <c r="LL334" s="299" t="str">
        <f>IFERROR(__xludf.DUMMYFUNCTION("IF(REGEXMATCH(LD334, ""G""), ""G1"",IF(REGEXMATCH(LE334, ""G""), ""G2"",""""))"),"")</f>
        <v/>
      </c>
      <c r="LM334" s="299" t="str">
        <f>IFERROR(__xludf.DUMMYFUNCTION("IF(REGEXMATCH(LD334, ""m""), ""m1"",IF(REGEXMATCH(LE334, ""m""), ""m2"",""""))"),"m1")</f>
        <v>m1</v>
      </c>
      <c r="LN334" s="299" t="str">
        <f>IFERROR(__xludf.DUMMYFUNCTION("IF(REGEXMATCH(LD334, ""M""), ""M1"",IF(REGEXMATCH(LE334, ""M""), ""M2"",""""))"),"")</f>
        <v/>
      </c>
      <c r="LO334" s="299" t="str">
        <f>IFERROR(__xludf.DUMMYFUNCTION("IF(REGEXMATCH(LD334, ""P""), ""P1"",IF(REGEXMATCH(LE334, ""P""), ""P2"",""""))"),"P1")</f>
        <v>P1</v>
      </c>
      <c r="LP334" s="299" t="str">
        <f>IFERROR(__xludf.DUMMYFUNCTION("IF(REGEXMATCH(LD334, ""d""), ""d1"",IF(REGEXMATCH(LE334, ""d""), ""d2"",""""))"),"")</f>
        <v/>
      </c>
      <c r="LQ334" s="299" t="str">
        <f>IFERROR(__xludf.DUMMYFUNCTION("IF(REGEXMATCH(LD334, ""D""), ""D1"",IF(REGEXMATCH(LE334, ""D""), ""D2"",""""))"),"D1")</f>
        <v>D1</v>
      </c>
      <c r="LR334" s="299" t="str">
        <f>IFERROR(__xludf.DUMMYFUNCTION("IF(REGEXMATCH(LD334, ""n""), ""n1"",IF(REGEXMATCH(LE334, ""n""), ""n2"",""""))"),"n2")</f>
        <v>n2</v>
      </c>
      <c r="LS334" s="299" t="str">
        <f>IFERROR(__xludf.DUMMYFUNCTION("IF(REGEXMATCH(LD334, ""N""), ""N1"",IF(REGEXMATCH(LE334, ""N""), ""N2"",""""))"),"")</f>
        <v/>
      </c>
      <c r="LT334" s="388" t="str">
        <f>IFERROR(__xludf.DUMMYFUNCTION("IF(REGEXMATCH(LD334, ""S""), ""S"",IF(REGEXMATCH(LE334, ""S""), ""S"",""""))"),"S")</f>
        <v>S</v>
      </c>
      <c r="LU334" s="389">
        <f t="shared" si="196"/>
        <v>-3</v>
      </c>
      <c r="LV334" s="378"/>
      <c r="LW334" s="369"/>
      <c r="LX334" s="369"/>
    </row>
    <row r="335" ht="18.0" customHeight="1">
      <c r="A335" s="298" t="s">
        <v>1183</v>
      </c>
      <c r="B335" s="222" t="s">
        <v>982</v>
      </c>
      <c r="C335" s="233" t="str">
        <f t="shared" si="7"/>
        <v>SrGMDNS</v>
      </c>
      <c r="D335" s="234" t="str">
        <f>IFERROR(__xludf.DUMMYFUNCTION("IF(REGEXMATCH(C335, ""S""), ""S"","""")"),"S")</f>
        <v>S</v>
      </c>
      <c r="E335" s="236" t="str">
        <f>IFERROR(__xludf.DUMMYFUNCTION("IF(REGEXMATCH(C335, ""r""), ""r"","""")"),"r")</f>
        <v>r</v>
      </c>
      <c r="F335" s="237" t="str">
        <f>IFERROR(__xludf.DUMMYFUNCTION("IF(REGEXMATCH(C335, ""R""), ""R"","""")"),"")</f>
        <v/>
      </c>
      <c r="G335" s="237" t="str">
        <f>IFERROR(__xludf.DUMMYFUNCTION("IF(REGEXMATCH(C335, ""g""), ""g"","""")"),"")</f>
        <v/>
      </c>
      <c r="H335" s="236" t="str">
        <f>IFERROR(__xludf.DUMMYFUNCTION("IF(REGEXMATCH(C335, ""G""), ""G"","""")"),"G")</f>
        <v>G</v>
      </c>
      <c r="I335" s="236" t="str">
        <f>IFERROR(__xludf.DUMMYFUNCTION("IF(REGEXMATCH(C335, ""m""), ""m"","""")"),"")</f>
        <v/>
      </c>
      <c r="J335" s="237" t="str">
        <f>IFERROR(__xludf.DUMMYFUNCTION("IF(REGEXMATCH(C335, ""M""), ""M"","""")"),"M")</f>
        <v>M</v>
      </c>
      <c r="K335" s="236" t="str">
        <f>IFERROR(__xludf.DUMMYFUNCTION("IF(REGEXMATCH(C335, ""P""), ""P"","""")"),"")</f>
        <v/>
      </c>
      <c r="L335" s="237" t="str">
        <f>IFERROR(__xludf.DUMMYFUNCTION("IF(REGEXMATCH(C335, ""d""), ""d"","""")"),"")</f>
        <v/>
      </c>
      <c r="M335" s="236" t="str">
        <f>IFERROR(__xludf.DUMMYFUNCTION("IF(REGEXMATCH(C335, ""D""), ""D"","""")"),"D")</f>
        <v>D</v>
      </c>
      <c r="N335" s="236" t="str">
        <f>IFERROR(__xludf.DUMMYFUNCTION("IF(REGEXMATCH(C335, ""n""), ""n"","""")"),"")</f>
        <v/>
      </c>
      <c r="O335" s="237" t="str">
        <f>IFERROR(__xludf.DUMMYFUNCTION("IF(REGEXMATCH(C335, ""N""), ""N"","""")"),"N")</f>
        <v>N</v>
      </c>
      <c r="P335" s="238" t="str">
        <f>IFERROR(__xludf.DUMMYFUNCTION("IF(REGEXMATCH(C335, ""S""), ""S"","""")"),"S")</f>
        <v>S</v>
      </c>
      <c r="Q335" s="239" t="str">
        <f>IFERROR(__xludf.DUMMYFUNCTION("SUBSTITUTE(CONCATENATE(JOIN(""-"",D335:J335)),""-"","""")"),"SrGM")</f>
        <v>SrGM</v>
      </c>
      <c r="R335" s="229" t="str">
        <f>IFERROR(__xludf.DUMMYFUNCTION("SUBSTITUTE(CONCATENATE(JOIN(""-"",K335:P335)),""-"","""")"),"DNS")</f>
        <v>DNS</v>
      </c>
      <c r="S335" s="282" t="str">
        <f t="shared" si="8"/>
        <v>S-R-G-M</v>
      </c>
      <c r="T335" s="282" t="str">
        <f t="shared" si="9"/>
        <v>D-N-S</v>
      </c>
      <c r="U335" s="237" t="str">
        <f>IFERROR(__xludf.DUMMYFUNCTION("SUBSTITUTE(JOIN(""-"",S335,T335),""--"",""-"")"),"S-R-G-M-D-N-S")</f>
        <v>S-R-G-M-D-N-S</v>
      </c>
      <c r="V335" s="309" t="str">
        <f t="shared" si="10"/>
        <v>rGMDN</v>
      </c>
      <c r="W335" s="244" t="str">
        <f>IFERROR(__xludf.DUMMYFUNCTION("IF(REGEXMATCH(C335, ""S""), ""0"","""")"),"0")</f>
        <v>0</v>
      </c>
      <c r="X335" s="245" t="str">
        <f>IFERROR(__xludf.DUMMYFUNCTION("IF(REGEXMATCH(C335, ""r""), ""1"","""")"),"1")</f>
        <v>1</v>
      </c>
      <c r="Y335" s="246" t="str">
        <f>IFERROR(__xludf.DUMMYFUNCTION("IF(REGEXMATCH(C335, ""R""), ""2"","""")"),"")</f>
        <v/>
      </c>
      <c r="Z335" s="246" t="str">
        <f>IFERROR(__xludf.DUMMYFUNCTION("IF(REGEXMATCH(C335, ""g""), ""3"","""")"),"")</f>
        <v/>
      </c>
      <c r="AA335" s="245" t="str">
        <f>IFERROR(__xludf.DUMMYFUNCTION("IF(REGEXMATCH(C335, ""G""), ""4"","""")"),"4")</f>
        <v>4</v>
      </c>
      <c r="AB335" s="245" t="str">
        <f>IFERROR(__xludf.DUMMYFUNCTION("IF(REGEXMATCH(C335, ""m""), ""5"","""")"),"")</f>
        <v/>
      </c>
      <c r="AC335" s="246" t="str">
        <f>IFERROR(__xludf.DUMMYFUNCTION("IF(REGEXMATCH(C335, ""M""), ""6"","""")"),"6")</f>
        <v>6</v>
      </c>
      <c r="AD335" s="245" t="str">
        <f>IFERROR(__xludf.DUMMYFUNCTION("IF(REGEXMATCH(C335, ""P""), ""7"","""")"),"")</f>
        <v/>
      </c>
      <c r="AE335" s="246" t="str">
        <f>IFERROR(__xludf.DUMMYFUNCTION("IF(REGEXMATCH(C335, ""d""), ""8"","""")"),"")</f>
        <v/>
      </c>
      <c r="AF335" s="245" t="str">
        <f>IFERROR(__xludf.DUMMYFUNCTION("IF(REGEXMATCH(C335, ""D""), ""9"","""")"),"9")</f>
        <v>9</v>
      </c>
      <c r="AG335" s="245" t="str">
        <f>IFERROR(__xludf.DUMMYFUNCTION("IF(REGEXMATCH(C335, ""n""), ""10"","""")"),"")</f>
        <v/>
      </c>
      <c r="AH335" s="246" t="str">
        <f>IFERROR(__xludf.DUMMYFUNCTION("IF(REGEXMATCH(C335, ""N""), ""11"","""")"),"11")</f>
        <v>11</v>
      </c>
      <c r="AI335" s="249" t="str">
        <f>IFERROR(__xludf.DUMMYFUNCTION("IF(REGEXMATCH(C335, ""S""), ""0"","""")"),"0")</f>
        <v>0</v>
      </c>
      <c r="AJ335" s="313" t="str">
        <f t="shared" si="11"/>
        <v>T</v>
      </c>
      <c r="AK335" s="313" t="str">
        <f t="shared" si="12"/>
        <v>-</v>
      </c>
      <c r="AL335" s="313" t="str">
        <f t="shared" si="13"/>
        <v>-</v>
      </c>
      <c r="AM335" s="313" t="str">
        <f t="shared" si="14"/>
        <v>-</v>
      </c>
      <c r="AN335" s="313" t="str">
        <f t="shared" si="15"/>
        <v>-</v>
      </c>
      <c r="AO335" s="314" t="str">
        <f t="shared" si="16"/>
        <v>-</v>
      </c>
      <c r="AP335" s="316">
        <f t="shared" si="17"/>
        <v>1</v>
      </c>
      <c r="AQ335" s="319" t="str">
        <f t="shared" si="18"/>
        <v>#REF!</v>
      </c>
      <c r="AR335" s="320">
        <f t="shared" si="19"/>
        <v>0</v>
      </c>
      <c r="AS335" s="250" t="str">
        <f>IFERROR(__xludf.DUMMYFUNCTION("SUBSTITUTE(SUBSTITUTE(CONCATENATE(JOIN("""",FP335:GA335)),""|"",""x""),""-"",""o"")"),"xxooxoxooxox")</f>
        <v>xxooxoxooxox</v>
      </c>
      <c r="AT335" s="323" t="str">
        <f>IFERROR(__xludf.DUMMYFUNCTION("JOIN("""",AS335,AS335)"),"xxooxoxooxoxxxooxoxooxox")</f>
        <v>xxooxoxooxoxxxooxoxooxox</v>
      </c>
      <c r="AU335" s="256" t="str">
        <f>IFERROR(__xludf.DUMMYFUNCTION("JOIN("""",ArrayFormula(MID(AS335,LEN(AS335)-SEQUENCE(1,LEN(AS335))+1,1)))"),"xoxooxoxooxx")</f>
        <v>xoxooxoxooxx</v>
      </c>
      <c r="AV335" s="256" t="str">
        <f>IFERROR(__xludf.DUMMYFUNCTION("LEFT(CONCATENATE(""x"",JOIN("""",ArrayFormula(MID(AS335,LEN(AS335)-SEQUENCE(1,LEN(AS335))+1,1)))),12)"),"xxoxooxoxoox")</f>
        <v>xxoxooxoxoox</v>
      </c>
      <c r="AW335" s="327" t="str">
        <f>IFERROR(__xludf.DUMMYFUNCTION("JOIN("""",AU335,AU335)"),"xoxooxoxooxxxoxooxoxooxx")</f>
        <v>xoxooxoxooxxxoxooxoxooxx</v>
      </c>
      <c r="AX335" s="239" t="str">
        <f>IFERROR(__xludf.DUMMYFUNCTION("IF(REGEXMATCH(AW335,AS335),""✔"",""-"")"),"-")</f>
        <v>-</v>
      </c>
      <c r="AY335" s="330" t="str">
        <f t="shared" si="20"/>
        <v>-</v>
      </c>
      <c r="AZ335" s="260" t="str">
        <f t="shared" si="21"/>
        <v>#REF!</v>
      </c>
      <c r="BA335" s="333" t="str">
        <f t="shared" si="22"/>
        <v>xxooxox</v>
      </c>
      <c r="BB335" s="334" t="str">
        <f t="shared" si="23"/>
        <v>ooxoxx</v>
      </c>
      <c r="BC335" s="335" t="str">
        <f t="shared" si="236"/>
        <v>-</v>
      </c>
      <c r="BD335" s="336" t="str">
        <f t="shared" si="25"/>
        <v>Sohini: 'xxooxox' + 'ooxoxx'</v>
      </c>
      <c r="BE335" s="337">
        <f>IFERROR(__xludf.DUMMYFUNCTION("COUNTUNIQUE(FILTER(AT:AT,REGEXMATCH(AT:AT,AS335)))-1"),3.0)</f>
        <v>3</v>
      </c>
      <c r="BF335" s="261" t="str">
        <f>IFERROR(__xludf.DUMMYFUNCTION("IF(BI335=0,""(n/a)"",IF(BJ335=2,""(PAIR)"",IF(REGEXMATCH(AT335,""xoxoxxoxoxox""),""Bilawal"",IF(REGEXMATCH(AT335,""xoxoxooxoxoo""),""Bhupali"",IF(REGEXMATCH(AT335,""xoxoxxoxxoxo""),""Charukeshi"",IF(REGEXMATCH(AT335,""xoxoooxxoxxo""),""Kameshwari"",IF(REG"&amp;"EXMATCH(AT335,""xoxoxooxoxox""),""Shankara"",IF(REGEXMATCH(AT335,""xxooxoxxxoox""),""Basant"",IF(REGEXMATCH(AT335,""xoxoxxxxoxox""),""Bihag"",IF(REGEXMATCH(AT335,""xoxxxxoxoxxx""),""Pilu"",IF(REGEXMATCH(AT335,""xoxxoxoxxoox""),""Kirwani"",IF(REGEXMATCH(AT"&amp;"335,""xoxxoxoxoxxx""),""Mk.Malhar"",IF(REGEXMATCH(AT335,""xxooxxoxxoox""),""Bhairav"",IF(REGEXMATCH(AT335,""xxoxooxxxoox""),""Todi"",IF(REGEXMATCH(AT335,""xxooxoxooxox""),""Marwa"",IF(REGEXMATCH(AT335,""xxoooxoxxooo""),""Gunkali"",IF(REGEXMATCH(AT335,""xo"&amp;"xoxxoxxoox""),""Nat Bhairav"",IF(REGEXMATCH(AT335,""xoxxoooxoxoo""),""Shivranjani"",IF(REGEXMATCH(AT335,""xooxxxoxooxo""),""Jog"",IF(REGEXMATCH(AT335,""xxooxoxoxoox""),""Hemshri"",IF(REGEXMATCH(AT335,""xoooxooxoxxo""),""Kalavati"",IF(REGEXMATCH(AT335,""xx"&amp;"oxoxxoxoox""),""Kedar"",IF(REGEXMATCH(AT335,""xoxxxxoxooxx""),""Gara"",IF(REGEXMATCH(AT335,""xooxoxooxoox""),""Chandrakauns"",IF(REGEXMATCH(AT335,""xoxxxxoxxxox""),""Mand"",IF(REGEXMATCH(AT335,""xoxxxxoxoxox""),""Hanskinkini"",IF(REGEXMATCH(AT335,""xxooxx"&amp;"oxooxo""),""Lilavati"",IF(REGEXMATCH(AT335,""xooxoxoooxox""),""Rajeshwari"",IF(REGEXMATCH(AT335,""xoooxxoxoxxx""),""Khokar"",IF(REGEXMATCH(AT335,""xxooxoxxxxox""),""Maligoura"",""-""))))))))))))))))))))))))))))))"),"Marwa")</f>
        <v>Marwa</v>
      </c>
      <c r="BG335" s="239" t="str">
        <f t="shared" si="26"/>
        <v>#REF!</v>
      </c>
      <c r="BH335" s="239">
        <f>IFERROR(__xludf.DUMMYFUNCTION("COUNTUNIQUE(FE335:FO335)-1"),5.0)</f>
        <v>5</v>
      </c>
      <c r="BI335" s="239">
        <f>IFERROR(__xludf.DUMMYFUNCTION("COUNTUNIQUE(FILTER(AT:AT,REGEXMATCH(AT:AT,AS335)))-1"),3.0)</f>
        <v>3</v>
      </c>
      <c r="BJ335" s="239">
        <f>IFERROR(__xludf.DUMMYFUNCTION("COUNTA(FILTER(AT:AT,REGEXMATCH(AT:AT,AS335)))"),6.0)</f>
        <v>6</v>
      </c>
      <c r="BK335" s="341">
        <f>IFERROR(__xludf.DUMMYFUNCTION("COUNTA(FILTER(AT:AT,REGEXMATCH(AT:AT,AS335)))-AR335"),6.0)</f>
        <v>6</v>
      </c>
      <c r="BL335" s="276" t="str">
        <f>IFERROR(__xludf.DUMMYFUNCTION("IF(AS335=""oooooooooooo"",""-"",IF(REGEXMATCH(AT335,""xx""), ""Hemi."", ""Anhemi.""))"),"Hemi.")</f>
        <v>Hemi.</v>
      </c>
      <c r="BM335" s="282" t="str">
        <f>IFERROR(__xludf.DUMMYFUNCTION("IF(AS335=""oooooooooooo"",""-"",IF(REGEXMATCH(AT335,""xxx""), ""Cohem."", ""-""))"),"Cohem.")</f>
        <v>Cohem.</v>
      </c>
      <c r="BN335" s="282" t="str">
        <f>IFERROR(__xludf.DUMMYFUNCTION("IF(AS335=""oooooooooooo"",""-"",IF(REGEXMATCH(AT335,""xxxx""), ""Co-Co."", ""-""))"),"-")</f>
        <v>-</v>
      </c>
      <c r="BO335" s="342" t="str">
        <f>IFERROR(__xludf.DUMMYFUNCTION("IF(AS335=""oooooooooooo"",""-"",IF(REGEXMATCH(AT335,""xxxxx""), ""CCC."", ""-""))"),"-")</f>
        <v>-</v>
      </c>
      <c r="BP335" s="344" t="str">
        <f t="shared" si="27"/>
        <v>-</v>
      </c>
      <c r="BQ335" s="282" t="str">
        <f>IFERROR(__xludf.DUMMYFUNCTION("IF(REGEXMATCH(JOIN(""-"",EU335:FD335),""TRUE""),""✔"",""-"")"),"✔")</f>
        <v>✔</v>
      </c>
      <c r="BR335" s="225">
        <f t="shared" si="28"/>
        <v>1</v>
      </c>
      <c r="BS335" s="345" t="str">
        <f>IFERROR(__xludf.DUMMYFUNCTION("SUBSTITUTE(SUBSTITUTE(SUBSTITUTE(SUBSTITUTE(CONCATENATE(JOIN(""-"",GC335:GO335)),""--"",""-""),""--"",""-""),""--"",""-""),""--"",""-"")"),"1-b2-3-#4-6-7-8")</f>
        <v>1-b2-3-#4-6-7-8</v>
      </c>
      <c r="BT335" s="299" t="str">
        <f>IFERROR(__xludf.DUMMYFUNCTION("SUBSTITUTE(SUBSTITUTE(SUBSTITUTE(SUBSTITUTE(CONCATENATE(JOIN(""-"",GP335:HB335)),""--"",""-""),""--"",""-""),""--"",""-""),""--"",""-"")"),"S-R1-G3-M2-D2-N3-S")</f>
        <v>S-R1-G3-M2-D2-N3-S</v>
      </c>
      <c r="BU335" s="348" t="str">
        <f t="shared" si="29"/>
        <v>C-Db-E-F#-A-B-C</v>
      </c>
      <c r="BV335" s="349" t="str">
        <f t="shared" si="30"/>
        <v>SRgmPdnS</v>
      </c>
      <c r="BW335" s="350">
        <f t="shared" si="31"/>
        <v>7</v>
      </c>
      <c r="BX335" s="351">
        <f t="shared" si="32"/>
        <v>3</v>
      </c>
      <c r="BY335" s="392"/>
      <c r="BZ335" s="309" t="str">
        <f>IFERROR(__xludf.DUMMYFUNCTION("IF(REGEXMATCH(C335, ""S""), ""x"",""x"")"),"x")</f>
        <v>x</v>
      </c>
      <c r="CA335" s="245" t="str">
        <f>IFERROR(__xludf.DUMMYFUNCTION("IF(REGEXMATCH(C335, ""r""), ""o"",""x"")"),"o")</f>
        <v>o</v>
      </c>
      <c r="CB335" s="246" t="str">
        <f>IFERROR(__xludf.DUMMYFUNCTION("IF(REGEXMATCH(C335, ""R""), ""o"",""x"")"),"x")</f>
        <v>x</v>
      </c>
      <c r="CC335" s="246" t="str">
        <f>IFERROR(__xludf.DUMMYFUNCTION("IF(REGEXMATCH(C335, ""g""), ""o"",""x"")"),"x")</f>
        <v>x</v>
      </c>
      <c r="CD335" s="245" t="str">
        <f>IFERROR(__xludf.DUMMYFUNCTION("IF(REGEXMATCH(C335, ""G""), ""o"",""x"")"),"o")</f>
        <v>o</v>
      </c>
      <c r="CE335" s="245" t="str">
        <f>IFERROR(__xludf.DUMMYFUNCTION("IF(REGEXMATCH(C335, ""m""), ""o"",""x"")"),"x")</f>
        <v>x</v>
      </c>
      <c r="CF335" s="246" t="str">
        <f>IFERROR(__xludf.DUMMYFUNCTION("IF(REGEXMATCH(C335, ""M""), ""o"",""x"")"),"o")</f>
        <v>o</v>
      </c>
      <c r="CG335" s="245" t="str">
        <f>IFERROR(__xludf.DUMMYFUNCTION("IF(REGEXMATCH(C335, ""P""), ""o"",""x"")"),"x")</f>
        <v>x</v>
      </c>
      <c r="CH335" s="246" t="str">
        <f>IFERROR(__xludf.DUMMYFUNCTION("IF(REGEXMATCH(C335, ""d""), ""o"",""x"")"),"x")</f>
        <v>x</v>
      </c>
      <c r="CI335" s="245" t="str">
        <f>IFERROR(__xludf.DUMMYFUNCTION("IF(REGEXMATCH(C335, ""D""), ""o"",""x"")"),"o")</f>
        <v>o</v>
      </c>
      <c r="CJ335" s="245" t="str">
        <f>IFERROR(__xludf.DUMMYFUNCTION("IF(REGEXMATCH(C335, ""n""), ""o"",""x"")"),"x")</f>
        <v>x</v>
      </c>
      <c r="CK335" s="245" t="str">
        <f>IFERROR(__xludf.DUMMYFUNCTION("IF(REGEXMATCH(C335, ""N""), ""o"",""x"")"),"o")</f>
        <v>o</v>
      </c>
      <c r="CL335" s="356" t="str">
        <f>IFERROR(__xludf.DUMMYFUNCTION("IF(REGEXMATCH(C335, ""S""), ""x"",""x"")"),"x")</f>
        <v>x</v>
      </c>
      <c r="CM335" s="357" t="str">
        <f t="shared" si="33"/>
        <v>xoxxoxoxxoxo</v>
      </c>
      <c r="CN335" s="358">
        <f t="shared" si="34"/>
        <v>7</v>
      </c>
      <c r="CO335" s="246" t="str">
        <f>IFERROR(__xludf.DUMMYFUNCTION("IF(REGEXMATCH($C335, ""S""), ""S"",""S"")"),"S")</f>
        <v>S</v>
      </c>
      <c r="CP335" s="246" t="str">
        <f>IFERROR(__xludf.DUMMYFUNCTION("IF(REGEXMATCH($C335, ""r""), """",""r"")"),"")</f>
        <v/>
      </c>
      <c r="CQ335" s="246" t="str">
        <f>IFERROR(__xludf.DUMMYFUNCTION("IF(REGEXMATCH($C335, ""R""), """",""R"")"),"R")</f>
        <v>R</v>
      </c>
      <c r="CR335" s="246" t="str">
        <f>IFERROR(__xludf.DUMMYFUNCTION("IF(REGEXMATCH($C335, ""g""), """",""g"")"),"g")</f>
        <v>g</v>
      </c>
      <c r="CS335" s="246" t="str">
        <f>IFERROR(__xludf.DUMMYFUNCTION("IF(REGEXMATCH($C335, ""G""), """",""G"")"),"")</f>
        <v/>
      </c>
      <c r="CT335" s="246" t="str">
        <f>IFERROR(__xludf.DUMMYFUNCTION("IF(REGEXMATCH($C335, ""m""), """",""m"")"),"m")</f>
        <v>m</v>
      </c>
      <c r="CU335" s="246" t="str">
        <f>IFERROR(__xludf.DUMMYFUNCTION("IF(REGEXMATCH($C335, ""M""), """",""M"")"),"")</f>
        <v/>
      </c>
      <c r="CV335" s="246" t="str">
        <f>IFERROR(__xludf.DUMMYFUNCTION("IF(REGEXMATCH($C335, ""P""), """",""P"")"),"P")</f>
        <v>P</v>
      </c>
      <c r="CW335" s="246" t="str">
        <f>IFERROR(__xludf.DUMMYFUNCTION("IF(REGEXMATCH($C335, ""d""), """",""d"")"),"d")</f>
        <v>d</v>
      </c>
      <c r="CX335" s="246" t="str">
        <f>IFERROR(__xludf.DUMMYFUNCTION("IF(REGEXMATCH($C335, ""D""), """",""D"")"),"")</f>
        <v/>
      </c>
      <c r="CY335" s="246" t="str">
        <f>IFERROR(__xludf.DUMMYFUNCTION("IF(REGEXMATCH($C335, ""n""), """",""n"")"),"n")</f>
        <v>n</v>
      </c>
      <c r="CZ335" s="246" t="str">
        <f>IFERROR(__xludf.DUMMYFUNCTION("IF(REGEXMATCH($C335, ""N""), """",""N"")"),"")</f>
        <v/>
      </c>
      <c r="DA335" s="246" t="str">
        <f>IFERROR(__xludf.DUMMYFUNCTION("IF(REGEXMATCH($C335, ""S""), ""S"",""S"")"),"S")</f>
        <v>S</v>
      </c>
      <c r="DB335" s="362" t="str">
        <f>IFERROR(__xludf.DUMMYFUNCTION("JOIN("""",CO335:DA335,"""","""")"),"SRgmPdnS")</f>
        <v>SRgmPdnS</v>
      </c>
      <c r="DC335" s="363"/>
      <c r="DD335" s="301" t="str">
        <f t="shared" si="35"/>
        <v>#REF!</v>
      </c>
      <c r="DE335" s="302" t="str">
        <f t="shared" si="36"/>
        <v>#REF!</v>
      </c>
      <c r="DF335" s="301" t="str">
        <f t="shared" ref="DF335:DG335" si="901">SUBSTITUTE(S335,"-","")</f>
        <v>SRGM</v>
      </c>
      <c r="DG335" s="301" t="str">
        <f t="shared" si="901"/>
        <v>DNS</v>
      </c>
      <c r="DH335" s="302" t="str">
        <f t="shared" si="38"/>
        <v>Marwa</v>
      </c>
      <c r="DI335" s="301" t="str">
        <f t="shared" si="39"/>
        <v>Hemi.</v>
      </c>
      <c r="DJ335" s="364" t="str">
        <f t="shared" si="40"/>
        <v>Cohem.</v>
      </c>
      <c r="DK335" s="306" t="str">
        <f t="shared" si="41"/>
        <v>-</v>
      </c>
      <c r="DL335" s="366" t="str">
        <f t="shared" si="42"/>
        <v>✔</v>
      </c>
      <c r="DM335" s="308" t="str">
        <f t="shared" si="43"/>
        <v>-</v>
      </c>
      <c r="DN335" s="306" t="str">
        <f t="shared" si="44"/>
        <v>-</v>
      </c>
      <c r="DO335" s="306" t="str">
        <f t="shared" si="45"/>
        <v>-</v>
      </c>
      <c r="DP335" s="367" t="str">
        <f t="shared" si="46"/>
        <v>✔</v>
      </c>
      <c r="DQ335" s="310" t="str">
        <f t="shared" si="47"/>
        <v>-</v>
      </c>
      <c r="DR335" s="310" t="str">
        <f t="shared" si="48"/>
        <v>-</v>
      </c>
      <c r="DS335" s="310" t="str">
        <f t="shared" si="49"/>
        <v>-</v>
      </c>
      <c r="DT335" s="310" t="str">
        <f t="shared" si="50"/>
        <v>-</v>
      </c>
      <c r="DU335" s="370" t="str">
        <f t="shared" si="51"/>
        <v>-</v>
      </c>
      <c r="DV335" s="306" t="str">
        <f t="shared" si="52"/>
        <v>-</v>
      </c>
      <c r="DW335" s="306" t="str">
        <f t="shared" si="53"/>
        <v>-</v>
      </c>
      <c r="DX335" s="306" t="str">
        <f t="shared" si="54"/>
        <v>-</v>
      </c>
      <c r="DY335" s="306" t="str">
        <f t="shared" si="55"/>
        <v>✔</v>
      </c>
      <c r="DZ335" s="306" t="str">
        <f t="shared" si="56"/>
        <v>-</v>
      </c>
      <c r="EA335" s="367" t="str">
        <f t="shared" si="57"/>
        <v>-</v>
      </c>
      <c r="EB335" s="310" t="str">
        <f>IFERROR(__xludf.DUMMYFUNCTION("IF(REGEXMATCH(AW335,AS335),""✔"",""-"")"),"-")</f>
        <v>-</v>
      </c>
      <c r="EC335" s="310" t="str">
        <f t="shared" si="58"/>
        <v>#REF!</v>
      </c>
      <c r="ED335" s="370" t="str">
        <f t="shared" si="59"/>
        <v>-</v>
      </c>
      <c r="EE335" s="340" t="str">
        <f t="shared" si="60"/>
        <v>S-r-G-M-D-N-S</v>
      </c>
      <c r="EF335" s="371" t="str">
        <f>IFERROR(__xludf.DUMMYFUNCTION("CONCATENATE(JOIN("""",HC335:HO335))"),"SrgMdNS")</f>
        <v>SrgMdNS</v>
      </c>
      <c r="EG335" s="372">
        <f t="shared" si="61"/>
        <v>2</v>
      </c>
      <c r="EH335" s="373" t="str">
        <f>IFERROR(__xludf.DUMMYFUNCTION("CONCATENATE(JOIN("""",JC335:JO335))"),"Sa, re, ")</f>
        <v>Sa, re, </v>
      </c>
      <c r="EI335" s="322">
        <f t="shared" si="62"/>
        <v>1</v>
      </c>
      <c r="EJ335" s="374" t="str">
        <f>IFERROR(__xludf.DUMMYFUNCTION("CONCATENATE(JOIN("""",KC335:KO335))"),"Sa, ")</f>
        <v>Sa, </v>
      </c>
      <c r="EK335" s="325" t="str">
        <f t="shared" si="63"/>
        <v>S-R1-G3-M2-D2-N3-S</v>
      </c>
      <c r="EL335" s="326" t="str">
        <f t="shared" si="64"/>
        <v>1-b2-3-#4-6-7-8</v>
      </c>
      <c r="EM335" s="318" t="str">
        <f t="shared" si="65"/>
        <v>#REF!</v>
      </c>
      <c r="EN335" s="328" t="str">
        <f>IFERROR(__xludf.DUMMYFUNCTION("SUBSTITUTE(SUBSTITUTE(SUBSTITUTE(SUBSTITUTE(CONCATENATE(JOIN("" "",HP335:IB335)),""  "","" ""),""  "","" ""),""  "","" ""),""  "","" "")"),"o o • • o • o • • o • o o")</f>
        <v>o o • • o • o • • o • o o</v>
      </c>
      <c r="EO335" s="368" t="str">
        <f t="shared" si="66"/>
        <v>Sa-Pa</v>
      </c>
      <c r="EP335" s="339" t="str">
        <f t="shared" si="67"/>
        <v>Sa-Pa</v>
      </c>
      <c r="EQ335" s="339" t="str">
        <f t="shared" si="68"/>
        <v>-</v>
      </c>
      <c r="ER335" s="339" t="str">
        <f t="shared" si="69"/>
        <v>-</v>
      </c>
      <c r="ES335" s="340" t="str">
        <f t="shared" si="70"/>
        <v>-</v>
      </c>
      <c r="ET335" s="363"/>
      <c r="EU335" s="376" t="b">
        <f>IFERROR(__xludf.DUMMYFUNCTION("arrayformula(sum(--REGEXMATCH(""SRGMPDNS"",split(REGEXREPLACE(C335,""(.)"",""$1~""),""~""))))=len(C335)
"),FALSE)</f>
        <v>0</v>
      </c>
      <c r="EV335" s="290" t="b">
        <f>IFERROR(__xludf.DUMMYFUNCTION("arrayformula(sum(--REGEXMATCH(""SRGmPDNS"",split(REGEXREPLACE(C335,""(.)"",""$1~""),""~""))))=len(C335)"),FALSE)</f>
        <v>0</v>
      </c>
      <c r="EW335" s="290" t="b">
        <f>IFERROR(__xludf.DUMMYFUNCTION("arrayformula(sum(--REGEXMATCH(""SRGmPDnS"",split(REGEXREPLACE(C335,""(.)"",""$1~""),""~""))))=len(C335)"),FALSE)</f>
        <v>0</v>
      </c>
      <c r="EX335" s="290" t="b">
        <f>IFERROR(__xludf.DUMMYFUNCTION("arrayformula(sum(--REGEXMATCH(""SRgmPDnS"",split(REGEXREPLACE(C335,""(.)"",""$1~""),""~""))))=len(C335)"),FALSE)</f>
        <v>0</v>
      </c>
      <c r="EY335" s="290" t="b">
        <f>IFERROR(__xludf.DUMMYFUNCTION("arrayformula(sum(--REGEXMATCH(""SRgmPdnS"",split(REGEXREPLACE(C335,""(.)"",""$1~""),""~""))))=len(C335)"),FALSE)</f>
        <v>0</v>
      </c>
      <c r="EZ335" s="290" t="b">
        <f>IFERROR(__xludf.DUMMYFUNCTION("arrayformula(sum(--REGEXMATCH(""SrgmPdnS"",split(REGEXREPLACE(C335,""(.)"",""$1~""),""~""))))=len(C335)"),FALSE)</f>
        <v>0</v>
      </c>
      <c r="FA335" s="290" t="b">
        <f>IFERROR(__xludf.DUMMYFUNCTION("arrayformula(sum(--REGEXMATCH(""SrGmPdNS"",split(REGEXREPLACE(C335,""(.)"",""$1~""),""~""))))=len(C335)"),FALSE)</f>
        <v>0</v>
      </c>
      <c r="FB335" s="290" t="b">
        <f>IFERROR(__xludf.DUMMYFUNCTION("arrayformula(sum(--REGEXMATCH(""SrGMPDNS"",split(REGEXREPLACE(C335,""(.)"",""$1~""),""~""))))=len(C335)"),TRUE)</f>
        <v>1</v>
      </c>
      <c r="FC335" s="290" t="b">
        <f>IFERROR(__xludf.DUMMYFUNCTION("arrayformula(sum(--REGEXMATCH(""SrGMPdNS"",split(REGEXREPLACE(C335,""(.)"",""$1~""),""~""))))=len(C335)"),FALSE)</f>
        <v>0</v>
      </c>
      <c r="FD335" s="377" t="b">
        <f>IFERROR(__xludf.DUMMYFUNCTION("arrayformula(sum(--REGEXMATCH(""SrgMPdNS"",split(REGEXREPLACE(C335,""(.)"",""$1~""),""~""))))=len(C335)"),FALSE)</f>
        <v>0</v>
      </c>
      <c r="FE335" s="269" t="str">
        <f t="shared" si="71"/>
        <v>xooxoxooxox</v>
      </c>
      <c r="FF335" s="269" t="str">
        <f t="shared" si="72"/>
        <v>-</v>
      </c>
      <c r="FG335" s="271" t="str">
        <f t="shared" si="73"/>
        <v>-</v>
      </c>
      <c r="FH335" s="269" t="str">
        <f t="shared" si="74"/>
        <v>xoxooxoxxxo</v>
      </c>
      <c r="FI335" s="271" t="str">
        <f t="shared" si="75"/>
        <v>-</v>
      </c>
      <c r="FJ335" s="271" t="str">
        <f t="shared" si="76"/>
        <v>xooxoxxxoox</v>
      </c>
      <c r="FK335" s="271" t="str">
        <f t="shared" si="77"/>
        <v>-</v>
      </c>
      <c r="FL335" s="271" t="str">
        <f t="shared" si="78"/>
        <v>-</v>
      </c>
      <c r="FM335" s="271" t="str">
        <f t="shared" si="79"/>
        <v>xoxxxooxoxo</v>
      </c>
      <c r="FN335" s="271" t="str">
        <f t="shared" si="80"/>
        <v>-</v>
      </c>
      <c r="FO335" s="274" t="str">
        <f t="shared" si="81"/>
        <v>xxxooxoxoox</v>
      </c>
      <c r="FP335" s="234" t="str">
        <f t="shared" si="82"/>
        <v>|</v>
      </c>
      <c r="FQ335" s="236" t="str">
        <f t="shared" si="83"/>
        <v>|</v>
      </c>
      <c r="FR335" s="237" t="str">
        <f t="shared" si="84"/>
        <v>-</v>
      </c>
      <c r="FS335" s="236" t="str">
        <f t="shared" si="85"/>
        <v>-</v>
      </c>
      <c r="FT335" s="237" t="str">
        <f t="shared" si="86"/>
        <v>|</v>
      </c>
      <c r="FU335" s="236" t="str">
        <f t="shared" si="87"/>
        <v>-</v>
      </c>
      <c r="FV335" s="237" t="str">
        <f t="shared" si="88"/>
        <v>|</v>
      </c>
      <c r="FW335" s="236" t="str">
        <f t="shared" si="89"/>
        <v>-</v>
      </c>
      <c r="FX335" s="237" t="str">
        <f t="shared" si="90"/>
        <v>-</v>
      </c>
      <c r="FY335" s="236" t="str">
        <f t="shared" si="91"/>
        <v>|</v>
      </c>
      <c r="FZ335" s="237" t="str">
        <f t="shared" si="92"/>
        <v>-</v>
      </c>
      <c r="GA335" s="236" t="str">
        <f t="shared" si="93"/>
        <v>|</v>
      </c>
      <c r="GB335" s="238" t="str">
        <f t="shared" si="94"/>
        <v>|</v>
      </c>
      <c r="GC335" s="244" t="str">
        <f>IFERROR(__xludf.DUMMYFUNCTION("IF(REGEXMATCH(C335, ""S""), ""1"","""")"),"1")</f>
        <v>1</v>
      </c>
      <c r="GD335" s="245" t="str">
        <f>IFERROR(__xludf.DUMMYFUNCTION("IF(REGEXMATCH(C335, ""r""), ""b2"","""")"),"b2")</f>
        <v>b2</v>
      </c>
      <c r="GE335" s="246" t="str">
        <f>IFERROR(__xludf.DUMMYFUNCTION("IF(REGEXMATCH(C335, ""R""), ""2"","""")"),"")</f>
        <v/>
      </c>
      <c r="GF335" s="246" t="str">
        <f>IFERROR(__xludf.DUMMYFUNCTION("IF(REGEXMATCH(C335, ""g""), ""b3"","""")"),"")</f>
        <v/>
      </c>
      <c r="GG335" s="245" t="str">
        <f>IFERROR(__xludf.DUMMYFUNCTION("IF(REGEXMATCH(C335, ""G""), ""3"","""")"),"3")</f>
        <v>3</v>
      </c>
      <c r="GH335" s="245" t="str">
        <f>IFERROR(__xludf.DUMMYFUNCTION("IF(REGEXMATCH(C335, ""m""), ""4"","""")"),"")</f>
        <v/>
      </c>
      <c r="GI335" s="246" t="str">
        <f>IFERROR(__xludf.DUMMYFUNCTION("IF(REGEXMATCH(C335, ""M""), ""#4"","""")"),"#4")</f>
        <v>#4</v>
      </c>
      <c r="GJ335" s="245" t="str">
        <f>IFERROR(__xludf.DUMMYFUNCTION("IF(REGEXMATCH(C335, ""P""), ""5"","""")"),"")</f>
        <v/>
      </c>
      <c r="GK335" s="246" t="str">
        <f>IFERROR(__xludf.DUMMYFUNCTION("IF(REGEXMATCH(C335, ""d""), ""b6"","""")"),"")</f>
        <v/>
      </c>
      <c r="GL335" s="245" t="str">
        <f>IFERROR(__xludf.DUMMYFUNCTION("IF(REGEXMATCH(C335, ""D""), ""6"","""")"),"6")</f>
        <v>6</v>
      </c>
      <c r="GM335" s="245" t="str">
        <f>IFERROR(__xludf.DUMMYFUNCTION("IF(REGEXMATCH(C335, ""n""), ""b7"","""")"),"")</f>
        <v/>
      </c>
      <c r="GN335" s="246" t="str">
        <f>IFERROR(__xludf.DUMMYFUNCTION("IF(REGEXMATCH(C335, ""N""), ""7"","""")"),"7")</f>
        <v>7</v>
      </c>
      <c r="GO335" s="249" t="str">
        <f>IFERROR(__xludf.DUMMYFUNCTION("IF(REGEXMATCH(C335, ""S""), ""8"","""")"),"8")</f>
        <v>8</v>
      </c>
      <c r="GP335" s="244" t="str">
        <f>IFERROR(__xludf.DUMMYFUNCTION("IF(REGEXMATCH(C335, ""S""), ""S"","""")"),"S")</f>
        <v>S</v>
      </c>
      <c r="GQ335" s="294" t="str">
        <f>IFERROR(__xludf.DUMMYFUNCTION("IF(REGEXMATCH(C335, ""r""), ""R1"","""")"),"R1")</f>
        <v>R1</v>
      </c>
      <c r="GR335" s="295" t="str">
        <f>IFERROR(__xludf.DUMMYFUNCTION("IF(REGEXMATCH(C335, ""R""), ""R2"","""")"),"")</f>
        <v/>
      </c>
      <c r="GS335" s="295" t="str">
        <f>IFERROR(__xludf.DUMMYFUNCTION("IF(REGEXMATCH(C335, ""g""), ""G2"","""")"),"")</f>
        <v/>
      </c>
      <c r="GT335" s="294" t="str">
        <f>IFERROR(__xludf.DUMMYFUNCTION("IF(REGEXMATCH(C335, ""G""), ""G3"","""")"),"G3")</f>
        <v>G3</v>
      </c>
      <c r="GU335" s="294" t="str">
        <f>IFERROR(__xludf.DUMMYFUNCTION("IF(REGEXMATCH(C335, ""m""), ""M1"","""")"),"")</f>
        <v/>
      </c>
      <c r="GV335" s="295" t="str">
        <f>IFERROR(__xludf.DUMMYFUNCTION("IF(REGEXMATCH(C335, ""M""), ""M2"","""")"),"M2")</f>
        <v>M2</v>
      </c>
      <c r="GW335" s="294" t="str">
        <f>IFERROR(__xludf.DUMMYFUNCTION("IF(REGEXMATCH(C335, ""P""), ""P"","""")"),"")</f>
        <v/>
      </c>
      <c r="GX335" s="295" t="str">
        <f>IFERROR(__xludf.DUMMYFUNCTION("IF(REGEXMATCH(C335, ""d""), ""D1"","""")"),"")</f>
        <v/>
      </c>
      <c r="GY335" s="294" t="str">
        <f>IFERROR(__xludf.DUMMYFUNCTION("IF(REGEXMATCH(C335, ""D""), ""D2"","""")"),"D2")</f>
        <v>D2</v>
      </c>
      <c r="GZ335" s="294" t="str">
        <f>IFERROR(__xludf.DUMMYFUNCTION("IF(REGEXMATCH(C335, ""n""), ""N2"","""")"),"")</f>
        <v/>
      </c>
      <c r="HA335" s="295" t="str">
        <f>IFERROR(__xludf.DUMMYFUNCTION("IF(REGEXMATCH(C335, ""N""), ""N3"","""")"),"N3")</f>
        <v>N3</v>
      </c>
      <c r="HB335" s="249" t="str">
        <f>IFERROR(__xludf.DUMMYFUNCTION("IF(REGEXMATCH(C335, ""S""), ""S"","""")"),"S")</f>
        <v>S</v>
      </c>
      <c r="HC335" s="331" t="str">
        <f t="shared" si="95"/>
        <v>S</v>
      </c>
      <c r="HD335" s="332" t="str">
        <f t="shared" si="96"/>
        <v>r</v>
      </c>
      <c r="HE335" s="332" t="str">
        <f t="shared" si="97"/>
        <v/>
      </c>
      <c r="HF335" s="332" t="str">
        <f t="shared" si="98"/>
        <v>g</v>
      </c>
      <c r="HG335" s="332" t="str">
        <f t="shared" si="99"/>
        <v/>
      </c>
      <c r="HH335" s="332" t="str">
        <f t="shared" si="100"/>
        <v/>
      </c>
      <c r="HI335" s="332" t="str">
        <f t="shared" si="101"/>
        <v>M</v>
      </c>
      <c r="HJ335" s="332" t="str">
        <f t="shared" si="102"/>
        <v/>
      </c>
      <c r="HK335" s="332" t="str">
        <f t="shared" si="103"/>
        <v>d</v>
      </c>
      <c r="HL335" s="332" t="str">
        <f t="shared" si="104"/>
        <v/>
      </c>
      <c r="HM335" s="332" t="str">
        <f t="shared" si="105"/>
        <v/>
      </c>
      <c r="HN335" s="332" t="str">
        <f t="shared" si="106"/>
        <v>N</v>
      </c>
      <c r="HO335" s="343" t="str">
        <f t="shared" si="107"/>
        <v>S</v>
      </c>
      <c r="HP335" s="331" t="str">
        <f t="shared" si="108"/>
        <v>o</v>
      </c>
      <c r="HQ335" s="332" t="str">
        <f t="shared" si="109"/>
        <v>o</v>
      </c>
      <c r="HR335" s="332" t="str">
        <f t="shared" si="110"/>
        <v>•</v>
      </c>
      <c r="HS335" s="332" t="str">
        <f t="shared" si="111"/>
        <v>•</v>
      </c>
      <c r="HT335" s="332" t="str">
        <f t="shared" si="112"/>
        <v>o</v>
      </c>
      <c r="HU335" s="332" t="str">
        <f t="shared" si="113"/>
        <v>•</v>
      </c>
      <c r="HV335" s="332" t="str">
        <f t="shared" si="114"/>
        <v>o</v>
      </c>
      <c r="HW335" s="332" t="str">
        <f t="shared" si="115"/>
        <v>•</v>
      </c>
      <c r="HX335" s="332" t="str">
        <f t="shared" si="116"/>
        <v>•</v>
      </c>
      <c r="HY335" s="332" t="str">
        <f t="shared" si="117"/>
        <v>o</v>
      </c>
      <c r="HZ335" s="332" t="str">
        <f t="shared" si="118"/>
        <v>•</v>
      </c>
      <c r="IA335" s="332" t="str">
        <f t="shared" si="119"/>
        <v>o</v>
      </c>
      <c r="IB335" s="338" t="str">
        <f t="shared" si="120"/>
        <v>o</v>
      </c>
      <c r="IC335" s="331" t="str">
        <f t="shared" si="121"/>
        <v>•</v>
      </c>
      <c r="ID335" s="332" t="str">
        <f t="shared" si="122"/>
        <v>•</v>
      </c>
      <c r="IE335" s="332" t="str">
        <f t="shared" si="123"/>
        <v>o</v>
      </c>
      <c r="IF335" s="332" t="str">
        <f t="shared" si="124"/>
        <v>o</v>
      </c>
      <c r="IG335" s="332" t="str">
        <f t="shared" si="125"/>
        <v>•</v>
      </c>
      <c r="IH335" s="332" t="str">
        <f t="shared" si="126"/>
        <v>o</v>
      </c>
      <c r="II335" s="332" t="str">
        <f t="shared" si="127"/>
        <v>•</v>
      </c>
      <c r="IJ335" s="332" t="str">
        <f t="shared" si="128"/>
        <v>o</v>
      </c>
      <c r="IK335" s="332" t="str">
        <f t="shared" si="129"/>
        <v>o</v>
      </c>
      <c r="IL335" s="332" t="str">
        <f t="shared" si="130"/>
        <v>•</v>
      </c>
      <c r="IM335" s="332" t="str">
        <f t="shared" si="131"/>
        <v>o</v>
      </c>
      <c r="IN335" s="332" t="str">
        <f t="shared" si="132"/>
        <v>•</v>
      </c>
      <c r="IO335" s="338" t="str">
        <f t="shared" si="133"/>
        <v>•</v>
      </c>
      <c r="IP335" s="346" t="b">
        <f t="shared" si="134"/>
        <v>1</v>
      </c>
      <c r="IQ335" s="347" t="b">
        <f t="shared" si="135"/>
        <v>1</v>
      </c>
      <c r="IR335" s="347" t="b">
        <f t="shared" si="136"/>
        <v>0</v>
      </c>
      <c r="IS335" s="347" t="b">
        <f t="shared" si="137"/>
        <v>0</v>
      </c>
      <c r="IT335" s="347" t="b">
        <f t="shared" si="138"/>
        <v>0</v>
      </c>
      <c r="IU335" s="347" t="b">
        <f t="shared" si="139"/>
        <v>0</v>
      </c>
      <c r="IV335" s="347" t="b">
        <f t="shared" si="140"/>
        <v>0</v>
      </c>
      <c r="IW335" s="347" t="b">
        <f t="shared" si="141"/>
        <v>0</v>
      </c>
      <c r="IX335" s="347" t="b">
        <f t="shared" si="142"/>
        <v>0</v>
      </c>
      <c r="IY335" s="347" t="b">
        <f t="shared" si="143"/>
        <v>0</v>
      </c>
      <c r="IZ335" s="347" t="b">
        <f t="shared" si="144"/>
        <v>0</v>
      </c>
      <c r="JA335" s="347" t="b">
        <f t="shared" si="145"/>
        <v>0</v>
      </c>
      <c r="JB335" s="353" t="b">
        <f t="shared" si="146"/>
        <v>1</v>
      </c>
      <c r="JC335" s="354" t="str">
        <f t="shared" si="147"/>
        <v>Sa, </v>
      </c>
      <c r="JD335" s="355" t="str">
        <f t="shared" si="148"/>
        <v>re, </v>
      </c>
      <c r="JE335" s="355" t="str">
        <f t="shared" si="149"/>
        <v/>
      </c>
      <c r="JF335" s="355" t="str">
        <f t="shared" si="150"/>
        <v/>
      </c>
      <c r="JG335" s="355" t="str">
        <f t="shared" si="151"/>
        <v/>
      </c>
      <c r="JH335" s="355" t="str">
        <f t="shared" si="152"/>
        <v/>
      </c>
      <c r="JI335" s="355" t="str">
        <f t="shared" si="153"/>
        <v/>
      </c>
      <c r="JJ335" s="355" t="str">
        <f t="shared" si="154"/>
        <v/>
      </c>
      <c r="JK335" s="355" t="str">
        <f t="shared" si="155"/>
        <v/>
      </c>
      <c r="JL335" s="355" t="str">
        <f t="shared" si="156"/>
        <v/>
      </c>
      <c r="JM335" s="355" t="str">
        <f t="shared" si="157"/>
        <v/>
      </c>
      <c r="JN335" s="355" t="str">
        <f t="shared" si="158"/>
        <v/>
      </c>
      <c r="JO335" s="359" t="str">
        <f t="shared" si="159"/>
        <v/>
      </c>
      <c r="JP335" s="346" t="b">
        <f t="shared" si="160"/>
        <v>1</v>
      </c>
      <c r="JQ335" s="347" t="b">
        <f t="shared" si="161"/>
        <v>0</v>
      </c>
      <c r="JR335" s="347" t="b">
        <f t="shared" si="162"/>
        <v>0</v>
      </c>
      <c r="JS335" s="347" t="b">
        <f t="shared" si="163"/>
        <v>0</v>
      </c>
      <c r="JT335" s="347" t="b">
        <f t="shared" si="164"/>
        <v>0</v>
      </c>
      <c r="JU335" s="347" t="b">
        <f t="shared" si="165"/>
        <v>0</v>
      </c>
      <c r="JV335" s="347" t="b">
        <f t="shared" si="166"/>
        <v>0</v>
      </c>
      <c r="JW335" s="347" t="b">
        <f t="shared" si="167"/>
        <v>0</v>
      </c>
      <c r="JX335" s="347" t="b">
        <f t="shared" si="168"/>
        <v>0</v>
      </c>
      <c r="JY335" s="347" t="b">
        <f t="shared" si="169"/>
        <v>0</v>
      </c>
      <c r="JZ335" s="347" t="b">
        <f t="shared" si="170"/>
        <v>0</v>
      </c>
      <c r="KA335" s="347" t="b">
        <f t="shared" si="171"/>
        <v>0</v>
      </c>
      <c r="KB335" s="365" t="b">
        <f t="shared" si="172"/>
        <v>1</v>
      </c>
      <c r="KC335" s="354" t="str">
        <f t="shared" si="173"/>
        <v>Sa, </v>
      </c>
      <c r="KD335" s="355" t="str">
        <f t="shared" si="174"/>
        <v/>
      </c>
      <c r="KE335" s="355" t="str">
        <f t="shared" si="175"/>
        <v/>
      </c>
      <c r="KF335" s="355" t="str">
        <f t="shared" si="176"/>
        <v/>
      </c>
      <c r="KG335" s="355" t="str">
        <f t="shared" si="177"/>
        <v/>
      </c>
      <c r="KH335" s="355" t="str">
        <f t="shared" si="178"/>
        <v/>
      </c>
      <c r="KI335" s="355" t="str">
        <f t="shared" si="179"/>
        <v/>
      </c>
      <c r="KJ335" s="355" t="str">
        <f t="shared" si="180"/>
        <v/>
      </c>
      <c r="KK335" s="355" t="str">
        <f t="shared" si="181"/>
        <v/>
      </c>
      <c r="KL335" s="355" t="str">
        <f t="shared" si="182"/>
        <v/>
      </c>
      <c r="KM335" s="355" t="str">
        <f t="shared" si="183"/>
        <v/>
      </c>
      <c r="KN335" s="355" t="str">
        <f t="shared" si="184"/>
        <v/>
      </c>
      <c r="KO335" s="359"/>
      <c r="KP335" s="378"/>
      <c r="KQ335" s="379" t="s">
        <v>794</v>
      </c>
      <c r="KR335" s="380" t="s">
        <v>1455</v>
      </c>
      <c r="KS335" s="381" t="str">
        <f t="shared" si="902"/>
        <v>S-G-M-D-N-S</v>
      </c>
      <c r="KT335" s="382">
        <f t="shared" si="186"/>
        <v>5</v>
      </c>
      <c r="KU335" s="383">
        <f t="shared" si="187"/>
        <v>5</v>
      </c>
      <c r="KV335" s="381" t="str">
        <f t="shared" si="205"/>
        <v>S-N-D-M-G-r-S</v>
      </c>
      <c r="KW335" s="382">
        <f t="shared" si="189"/>
        <v>6</v>
      </c>
      <c r="KX335" s="384">
        <f t="shared" si="190"/>
        <v>6</v>
      </c>
      <c r="KY335" s="382">
        <f t="shared" ref="KY335:KZ335" si="903">KW335-KT335</f>
        <v>1</v>
      </c>
      <c r="KZ335" s="369">
        <f t="shared" si="903"/>
        <v>1</v>
      </c>
      <c r="LA335" s="385" t="str">
        <f t="shared" si="192"/>
        <v>-</v>
      </c>
      <c r="LB335" s="340" t="str">
        <f>IFERROR(__xludf.DUMMYFUNCTION("JOIN("""",ArrayFormula(MID(KS335,LEN(KS335)-SEQUENCE(1,LEN(KS335))+1,1)))"),"S-N-D-M-G-S")</f>
        <v>S-N-D-M-G-S</v>
      </c>
      <c r="LC335" s="373" t="str">
        <f>IFERROR(__xludf.DUMMYFUNCTION("JOIN("""",ArrayFormula(MID(KV335,LEN(KV335)-SEQUENCE(1,LEN(KV335))+1,1)))"),"S-r-G-M-D-N-S")</f>
        <v>S-r-G-M-D-N-S</v>
      </c>
      <c r="LD335" s="373" t="str">
        <f t="shared" si="193"/>
        <v>SGMDNS</v>
      </c>
      <c r="LE335" s="339" t="str">
        <f t="shared" si="194"/>
        <v>SrGMDNS</v>
      </c>
      <c r="LF335" s="386" t="str">
        <f>IFERROR(__xludf.DUMMYFUNCTION("SUBSTITUTE(SUBSTITUTE(CONCATENATE(JOIN("""",LH335:LT335)),""1"",""""),""2"","""")"),"SrGMDNS")</f>
        <v>SrGMDNS</v>
      </c>
      <c r="LG335" s="369" t="str">
        <f t="shared" si="195"/>
        <v>✔</v>
      </c>
      <c r="LH335" s="387" t="str">
        <f>IFERROR(__xludf.DUMMYFUNCTION("IF(REGEXMATCH(LD335, ""S""), ""S"",IF(REGEXMATCH(LE335, ""S""), ""S"",""""))"),"S")</f>
        <v>S</v>
      </c>
      <c r="LI335" s="299" t="str">
        <f>IFERROR(__xludf.DUMMYFUNCTION("IF(REGEXMATCH(LD335, ""r""), ""r1"",IF(REGEXMATCH(LE335, ""r""), ""r2"",""""))"),"r2")</f>
        <v>r2</v>
      </c>
      <c r="LJ335" s="299" t="str">
        <f>IFERROR(__xludf.DUMMYFUNCTION("IF(REGEXMATCH(LD335, ""R""), ""R1"",IF(REGEXMATCH(LE335, ""R""), ""R2"",""""))"),"")</f>
        <v/>
      </c>
      <c r="LK335" s="299" t="str">
        <f>IFERROR(__xludf.DUMMYFUNCTION("IF(REGEXMATCH(LD335, ""g""), ""g1"",IF(REGEXMATCH(LE335, ""g""), ""g2"",""""))"),"")</f>
        <v/>
      </c>
      <c r="LL335" s="299" t="str">
        <f>IFERROR(__xludf.DUMMYFUNCTION("IF(REGEXMATCH(LD335, ""G""), ""G1"",IF(REGEXMATCH(LE335, ""G""), ""G2"",""""))"),"G1")</f>
        <v>G1</v>
      </c>
      <c r="LM335" s="299" t="str">
        <f>IFERROR(__xludf.DUMMYFUNCTION("IF(REGEXMATCH(LD335, ""m""), ""m1"",IF(REGEXMATCH(LE335, ""m""), ""m2"",""""))"),"")</f>
        <v/>
      </c>
      <c r="LN335" s="299" t="str">
        <f>IFERROR(__xludf.DUMMYFUNCTION("IF(REGEXMATCH(LD335, ""M""), ""M1"",IF(REGEXMATCH(LE335, ""M""), ""M2"",""""))"),"M1")</f>
        <v>M1</v>
      </c>
      <c r="LO335" s="299" t="str">
        <f>IFERROR(__xludf.DUMMYFUNCTION("IF(REGEXMATCH(LD335, ""P""), ""P1"",IF(REGEXMATCH(LE335, ""P""), ""P2"",""""))"),"")</f>
        <v/>
      </c>
      <c r="LP335" s="299" t="str">
        <f>IFERROR(__xludf.DUMMYFUNCTION("IF(REGEXMATCH(LD335, ""d""), ""d1"",IF(REGEXMATCH(LE335, ""d""), ""d2"",""""))"),"")</f>
        <v/>
      </c>
      <c r="LQ335" s="299" t="str">
        <f>IFERROR(__xludf.DUMMYFUNCTION("IF(REGEXMATCH(LD335, ""D""), ""D1"",IF(REGEXMATCH(LE335, ""D""), ""D2"",""""))"),"D1")</f>
        <v>D1</v>
      </c>
      <c r="LR335" s="299" t="str">
        <f>IFERROR(__xludf.DUMMYFUNCTION("IF(REGEXMATCH(LD335, ""n""), ""n1"",IF(REGEXMATCH(LE335, ""n""), ""n2"",""""))"),"")</f>
        <v/>
      </c>
      <c r="LS335" s="299" t="str">
        <f>IFERROR(__xludf.DUMMYFUNCTION("IF(REGEXMATCH(LD335, ""N""), ""N1"",IF(REGEXMATCH(LE335, ""N""), ""N2"",""""))"),"N1")</f>
        <v>N1</v>
      </c>
      <c r="LT335" s="388" t="str">
        <f>IFERROR(__xludf.DUMMYFUNCTION("IF(REGEXMATCH(LD335, ""S""), ""S"",IF(REGEXMATCH(LE335, ""S""), ""S"",""""))"),"S")</f>
        <v>S</v>
      </c>
      <c r="LU335" s="389">
        <f t="shared" si="196"/>
        <v>-1</v>
      </c>
      <c r="LV335" s="378"/>
      <c r="LW335" s="369"/>
      <c r="LX335" s="369"/>
    </row>
    <row r="336" ht="18.0" customHeight="1">
      <c r="A336" s="298" t="s">
        <v>1502</v>
      </c>
      <c r="B336" s="222" t="s">
        <v>1503</v>
      </c>
      <c r="C336" s="233" t="str">
        <f t="shared" si="7"/>
        <v>SrRgGmMPDnNS</v>
      </c>
      <c r="D336" s="234" t="str">
        <f>IFERROR(__xludf.DUMMYFUNCTION("IF(REGEXMATCH(C336, ""S""), ""S"","""")"),"S")</f>
        <v>S</v>
      </c>
      <c r="E336" s="236" t="str">
        <f>IFERROR(__xludf.DUMMYFUNCTION("IF(REGEXMATCH(C336, ""r""), ""r"","""")"),"r")</f>
        <v>r</v>
      </c>
      <c r="F336" s="237" t="str">
        <f>IFERROR(__xludf.DUMMYFUNCTION("IF(REGEXMATCH(C336, ""R""), ""R"","""")"),"R")</f>
        <v>R</v>
      </c>
      <c r="G336" s="237" t="str">
        <f>IFERROR(__xludf.DUMMYFUNCTION("IF(REGEXMATCH(C336, ""g""), ""g"","""")"),"g")</f>
        <v>g</v>
      </c>
      <c r="H336" s="236" t="str">
        <f>IFERROR(__xludf.DUMMYFUNCTION("IF(REGEXMATCH(C336, ""G""), ""G"","""")"),"G")</f>
        <v>G</v>
      </c>
      <c r="I336" s="236" t="str">
        <f>IFERROR(__xludf.DUMMYFUNCTION("IF(REGEXMATCH(C336, ""m""), ""m"","""")"),"m")</f>
        <v>m</v>
      </c>
      <c r="J336" s="237" t="str">
        <f>IFERROR(__xludf.DUMMYFUNCTION("IF(REGEXMATCH(C336, ""M""), ""M"","""")"),"M")</f>
        <v>M</v>
      </c>
      <c r="K336" s="236" t="str">
        <f>IFERROR(__xludf.DUMMYFUNCTION("IF(REGEXMATCH(C336, ""P""), ""P"","""")"),"P")</f>
        <v>P</v>
      </c>
      <c r="L336" s="237" t="str">
        <f>IFERROR(__xludf.DUMMYFUNCTION("IF(REGEXMATCH(C336, ""d""), ""d"","""")"),"")</f>
        <v/>
      </c>
      <c r="M336" s="236" t="str">
        <f>IFERROR(__xludf.DUMMYFUNCTION("IF(REGEXMATCH(C336, ""D""), ""D"","""")"),"D")</f>
        <v>D</v>
      </c>
      <c r="N336" s="236" t="str">
        <f>IFERROR(__xludf.DUMMYFUNCTION("IF(REGEXMATCH(C336, ""n""), ""n"","""")"),"n")</f>
        <v>n</v>
      </c>
      <c r="O336" s="237" t="str">
        <f>IFERROR(__xludf.DUMMYFUNCTION("IF(REGEXMATCH(C336, ""N""), ""N"","""")"),"N")</f>
        <v>N</v>
      </c>
      <c r="P336" s="238" t="str">
        <f>IFERROR(__xludf.DUMMYFUNCTION("IF(REGEXMATCH(C336, ""S""), ""S"","""")"),"S")</f>
        <v>S</v>
      </c>
      <c r="Q336" s="239" t="str">
        <f>IFERROR(__xludf.DUMMYFUNCTION("SUBSTITUTE(CONCATENATE(JOIN(""-"",D336:J336)),""-"","""")"),"SrRgGmM")</f>
        <v>SrRgGmM</v>
      </c>
      <c r="R336" s="229" t="str">
        <f>IFERROR(__xludf.DUMMYFUNCTION("SUBSTITUTE(CONCATENATE(JOIN(""-"",K336:P336)),""-"","""")"),"PDnNS")</f>
        <v>PDnNS</v>
      </c>
      <c r="S336" s="282" t="str">
        <f t="shared" si="8"/>
        <v>S-R-G-M</v>
      </c>
      <c r="T336" s="282" t="str">
        <f t="shared" si="9"/>
        <v>P-D-N-S</v>
      </c>
      <c r="U336" s="237" t="str">
        <f>IFERROR(__xludf.DUMMYFUNCTION("SUBSTITUTE(JOIN(""-"",S336,T336),""--"",""-"")"),"S-R-G-M-P-D-N-S")</f>
        <v>S-R-G-M-P-D-N-S</v>
      </c>
      <c r="V336" s="309" t="str">
        <f t="shared" si="10"/>
        <v>rRgGmMDnN</v>
      </c>
      <c r="W336" s="244" t="str">
        <f>IFERROR(__xludf.DUMMYFUNCTION("IF(REGEXMATCH(C336, ""S""), ""0"","""")"),"0")</f>
        <v>0</v>
      </c>
      <c r="X336" s="245" t="str">
        <f>IFERROR(__xludf.DUMMYFUNCTION("IF(REGEXMATCH(C336, ""r""), ""1"","""")"),"1")</f>
        <v>1</v>
      </c>
      <c r="Y336" s="246" t="str">
        <f>IFERROR(__xludf.DUMMYFUNCTION("IF(REGEXMATCH(C336, ""R""), ""2"","""")"),"2")</f>
        <v>2</v>
      </c>
      <c r="Z336" s="246" t="str">
        <f>IFERROR(__xludf.DUMMYFUNCTION("IF(REGEXMATCH(C336, ""g""), ""3"","""")"),"3")</f>
        <v>3</v>
      </c>
      <c r="AA336" s="245" t="str">
        <f>IFERROR(__xludf.DUMMYFUNCTION("IF(REGEXMATCH(C336, ""G""), ""4"","""")"),"4")</f>
        <v>4</v>
      </c>
      <c r="AB336" s="245" t="str">
        <f>IFERROR(__xludf.DUMMYFUNCTION("IF(REGEXMATCH(C336, ""m""), ""5"","""")"),"5")</f>
        <v>5</v>
      </c>
      <c r="AC336" s="246" t="str">
        <f>IFERROR(__xludf.DUMMYFUNCTION("IF(REGEXMATCH(C336, ""M""), ""6"","""")"),"6")</f>
        <v>6</v>
      </c>
      <c r="AD336" s="245" t="str">
        <f>IFERROR(__xludf.DUMMYFUNCTION("IF(REGEXMATCH(C336, ""P""), ""7"","""")"),"7")</f>
        <v>7</v>
      </c>
      <c r="AE336" s="246" t="str">
        <f>IFERROR(__xludf.DUMMYFUNCTION("IF(REGEXMATCH(C336, ""d""), ""8"","""")"),"")</f>
        <v/>
      </c>
      <c r="AF336" s="245" t="str">
        <f>IFERROR(__xludf.DUMMYFUNCTION("IF(REGEXMATCH(C336, ""D""), ""9"","""")"),"9")</f>
        <v>9</v>
      </c>
      <c r="AG336" s="245" t="str">
        <f>IFERROR(__xludf.DUMMYFUNCTION("IF(REGEXMATCH(C336, ""n""), ""10"","""")"),"10")</f>
        <v>10</v>
      </c>
      <c r="AH336" s="246" t="str">
        <f>IFERROR(__xludf.DUMMYFUNCTION("IF(REGEXMATCH(C336, ""N""), ""11"","""")"),"11")</f>
        <v>11</v>
      </c>
      <c r="AI336" s="249" t="str">
        <f>IFERROR(__xludf.DUMMYFUNCTION("IF(REGEXMATCH(C336, ""S""), ""0"","""")"),"0")</f>
        <v>0</v>
      </c>
      <c r="AJ336" s="313" t="str">
        <f t="shared" si="11"/>
        <v>T</v>
      </c>
      <c r="AK336" s="313" t="str">
        <f t="shared" si="12"/>
        <v>T</v>
      </c>
      <c r="AL336" s="313" t="str">
        <f t="shared" si="13"/>
        <v>-</v>
      </c>
      <c r="AM336" s="313" t="str">
        <f t="shared" si="14"/>
        <v>T</v>
      </c>
      <c r="AN336" s="313" t="str">
        <f t="shared" si="15"/>
        <v>T</v>
      </c>
      <c r="AO336" s="314" t="str">
        <f t="shared" si="16"/>
        <v>T</v>
      </c>
      <c r="AP336" s="316">
        <f t="shared" si="17"/>
        <v>5</v>
      </c>
      <c r="AQ336" s="319" t="str">
        <f t="shared" si="18"/>
        <v>-</v>
      </c>
      <c r="AR336" s="320">
        <f t="shared" si="19"/>
        <v>0</v>
      </c>
      <c r="AS336" s="250" t="str">
        <f>IFERROR(__xludf.DUMMYFUNCTION("SUBSTITUTE(SUBSTITUTE(CONCATENATE(JOIN("""",FP336:GA336)),""|"",""x""),""-"",""o"")"),"xxxxxxxxoxxx")</f>
        <v>xxxxxxxxoxxx</v>
      </c>
      <c r="AT336" s="323" t="str">
        <f>IFERROR(__xludf.DUMMYFUNCTION("JOIN("""",AS336,AS336)"),"xxxxxxxxoxxxxxxxxxxxoxxx")</f>
        <v>xxxxxxxxoxxxxxxxxxxxoxxx</v>
      </c>
      <c r="AU336" s="256" t="str">
        <f>IFERROR(__xludf.DUMMYFUNCTION("JOIN("""",ArrayFormula(MID(AS336,LEN(AS336)-SEQUENCE(1,LEN(AS336))+1,1)))"),"xxxoxxxxxxxx")</f>
        <v>xxxoxxxxxxxx</v>
      </c>
      <c r="AV336" s="256" t="str">
        <f>IFERROR(__xludf.DUMMYFUNCTION("LEFT(CONCATENATE(""x"",JOIN("""",ArrayFormula(MID(AS336,LEN(AS336)-SEQUENCE(1,LEN(AS336))+1,1)))),12)"),"xxxxoxxxxxxx")</f>
        <v>xxxxoxxxxxxx</v>
      </c>
      <c r="AW336" s="327" t="str">
        <f>IFERROR(__xludf.DUMMYFUNCTION("JOIN("""",AU336,AU336)"),"xxxoxxxxxxxxxxxoxxxxxxxx")</f>
        <v>xxxoxxxxxxxxxxxoxxxxxxxx</v>
      </c>
      <c r="AX336" s="239" t="str">
        <f>IFERROR(__xludf.DUMMYFUNCTION("IF(REGEXMATCH(AW336,AS336),""✔"",""-"")"),"✔")</f>
        <v>✔</v>
      </c>
      <c r="AY336" s="330" t="str">
        <f t="shared" si="20"/>
        <v>-</v>
      </c>
      <c r="AZ336" s="260" t="str">
        <f t="shared" si="21"/>
        <v>#REF!</v>
      </c>
      <c r="BA336" s="333" t="str">
        <f t="shared" si="22"/>
        <v>xxxxxxx</v>
      </c>
      <c r="BB336" s="334" t="str">
        <f t="shared" si="23"/>
        <v>xoxxxx</v>
      </c>
      <c r="BC336" s="335" t="str">
        <f t="shared" si="236"/>
        <v>-</v>
      </c>
      <c r="BD336" s="336" t="str">
        <f t="shared" si="25"/>
        <v>Sohini Bahar: 'xxxxxxx' + 'xoxxxx'</v>
      </c>
      <c r="BE336" s="337">
        <f>IFERROR(__xludf.DUMMYFUNCTION("COUNTUNIQUE(FILTER(AT:AT,REGEXMATCH(AT:AT,AS336)))-1"),0.0)</f>
        <v>0</v>
      </c>
      <c r="BF336" s="261" t="str">
        <f>IFERROR(__xludf.DUMMYFUNCTION("IF(BI336=0,""(n/a)"",IF(BJ336=2,""(PAIR)"",IF(REGEXMATCH(AT336,""xoxoxxoxoxox""),""Bilawal"",IF(REGEXMATCH(AT336,""xoxoxooxoxoo""),""Bhupali"",IF(REGEXMATCH(AT336,""xoxoxxoxxoxo""),""Charukeshi"",IF(REGEXMATCH(AT336,""xoxoooxxoxxo""),""Kameshwari"",IF(REG"&amp;"EXMATCH(AT336,""xoxoxooxoxox""),""Shankara"",IF(REGEXMATCH(AT336,""xxooxoxxxoox""),""Basant"",IF(REGEXMATCH(AT336,""xoxoxxxxoxox""),""Bihag"",IF(REGEXMATCH(AT336,""xoxxxxoxoxxx""),""Pilu"",IF(REGEXMATCH(AT336,""xoxxoxoxxoox""),""Kirwani"",IF(REGEXMATCH(AT"&amp;"336,""xoxxoxoxoxxx""),""Mk.Malhar"",IF(REGEXMATCH(AT336,""xxooxxoxxoox""),""Bhairav"",IF(REGEXMATCH(AT336,""xxoxooxxxoox""),""Todi"",IF(REGEXMATCH(AT336,""xxooxoxooxox""),""Marwa"",IF(REGEXMATCH(AT336,""xxoooxoxxooo""),""Gunkali"",IF(REGEXMATCH(AT336,""xo"&amp;"xoxxoxxoox""),""Nat Bhairav"",IF(REGEXMATCH(AT336,""xoxxoooxoxoo""),""Shivranjani"",IF(REGEXMATCH(AT336,""xooxxxoxooxo""),""Jog"",IF(REGEXMATCH(AT336,""xxooxoxoxoox""),""Hemshri"",IF(REGEXMATCH(AT336,""xoooxooxoxxo""),""Kalavati"",IF(REGEXMATCH(AT336,""xx"&amp;"oxoxxoxoox""),""Kedar"",IF(REGEXMATCH(AT336,""xoxxxxoxooxx""),""Gara"",IF(REGEXMATCH(AT336,""xooxoxooxoox""),""Chandrakauns"",IF(REGEXMATCH(AT336,""xoxxxxoxxxox""),""Mand"",IF(REGEXMATCH(AT336,""xoxxxxoxoxox""),""Hanskinkini"",IF(REGEXMATCH(AT336,""xxooxx"&amp;"oxooxo""),""Lilavati"",IF(REGEXMATCH(AT336,""xooxoxoooxox""),""Rajeshwari"",IF(REGEXMATCH(AT336,""xoooxxoxoxxx""),""Khokar"",IF(REGEXMATCH(AT336,""xxooxoxxxxox""),""Maligoura"",""-""))))))))))))))))))))))))))))))"),"(n/a)")</f>
        <v>(n/a)</v>
      </c>
      <c r="BG336" s="239" t="str">
        <f t="shared" si="26"/>
        <v>#REF!</v>
      </c>
      <c r="BH336" s="239">
        <f>IFERROR(__xludf.DUMMYFUNCTION("COUNTUNIQUE(FE336:FO336)-1"),10.0)</f>
        <v>10</v>
      </c>
      <c r="BI336" s="239">
        <f>IFERROR(__xludf.DUMMYFUNCTION("COUNTUNIQUE(FILTER(AT:AT,REGEXMATCH(AT:AT,AS336)))-1"),0.0)</f>
        <v>0</v>
      </c>
      <c r="BJ336" s="239">
        <f>IFERROR(__xludf.DUMMYFUNCTION("COUNTA(FILTER(AT:AT,REGEXMATCH(AT:AT,AS336)))"),1.0)</f>
        <v>1</v>
      </c>
      <c r="BK336" s="341">
        <f>IFERROR(__xludf.DUMMYFUNCTION("COUNTA(FILTER(AT:AT,REGEXMATCH(AT:AT,AS336)))-AR336"),1.0)</f>
        <v>1</v>
      </c>
      <c r="BL336" s="276" t="str">
        <f>IFERROR(__xludf.DUMMYFUNCTION("IF(AS336=""oooooooooooo"",""-"",IF(REGEXMATCH(AT336,""xx""), ""Hemi."", ""Anhemi.""))"),"Hemi.")</f>
        <v>Hemi.</v>
      </c>
      <c r="BM336" s="282" t="str">
        <f>IFERROR(__xludf.DUMMYFUNCTION("IF(AS336=""oooooooooooo"",""-"",IF(REGEXMATCH(AT336,""xxx""), ""Cohem."", ""-""))"),"Cohem.")</f>
        <v>Cohem.</v>
      </c>
      <c r="BN336" s="282" t="str">
        <f>IFERROR(__xludf.DUMMYFUNCTION("IF(AS336=""oooooooooooo"",""-"",IF(REGEXMATCH(AT336,""xxxx""), ""Co-Co."", ""-""))"),"Co-Co.")</f>
        <v>Co-Co.</v>
      </c>
      <c r="BO336" s="342" t="str">
        <f>IFERROR(__xludf.DUMMYFUNCTION("IF(AS336=""oooooooooooo"",""-"",IF(REGEXMATCH(AT336,""xxxxx""), ""CCC."", ""-""))"),"CCC.")</f>
        <v>CCC.</v>
      </c>
      <c r="BP336" s="344" t="str">
        <f t="shared" si="27"/>
        <v>-</v>
      </c>
      <c r="BQ336" s="282" t="str">
        <f>IFERROR(__xludf.DUMMYFUNCTION("IF(REGEXMATCH(JOIN(""-"",EU336:FD336),""TRUE""),""✔"",""-"")"),"-")</f>
        <v>-</v>
      </c>
      <c r="BR336" s="225">
        <f t="shared" si="28"/>
        <v>0</v>
      </c>
      <c r="BS336" s="345" t="str">
        <f>IFERROR(__xludf.DUMMYFUNCTION("SUBSTITUTE(SUBSTITUTE(SUBSTITUTE(SUBSTITUTE(CONCATENATE(JOIN(""-"",GC336:GO336)),""--"",""-""),""--"",""-""),""--"",""-""),""--"",""-"")"),"1-b2-2-b3-3-4-#4-5-6-b7-7-8")</f>
        <v>1-b2-2-b3-3-4-#4-5-6-b7-7-8</v>
      </c>
      <c r="BT336" s="299" t="str">
        <f>IFERROR(__xludf.DUMMYFUNCTION("SUBSTITUTE(SUBSTITUTE(SUBSTITUTE(SUBSTITUTE(CONCATENATE(JOIN(""-"",GP336:HB336)),""--"",""-""),""--"",""-""),""--"",""-""),""--"",""-"")"),"S-R1-R2-G2-G3-M1-M2-P-D2-N2-N3-S")</f>
        <v>S-R1-R2-G2-G3-M1-M2-P-D2-N2-N3-S</v>
      </c>
      <c r="BU336" s="348" t="str">
        <f t="shared" si="29"/>
        <v>C-Db-D-Eb-E-F-F#-G-A-Bb-B-C</v>
      </c>
      <c r="BV336" s="349" t="str">
        <f t="shared" si="30"/>
        <v>SdS</v>
      </c>
      <c r="BW336" s="350">
        <f t="shared" si="31"/>
        <v>0</v>
      </c>
      <c r="BX336" s="351">
        <f t="shared" si="32"/>
        <v>1</v>
      </c>
      <c r="BY336" s="352" t="s">
        <v>275</v>
      </c>
      <c r="BZ336" s="309" t="str">
        <f>IFERROR(__xludf.DUMMYFUNCTION("IF(REGEXMATCH(C336, ""S""), ""x"",""x"")"),"x")</f>
        <v>x</v>
      </c>
      <c r="CA336" s="245" t="str">
        <f>IFERROR(__xludf.DUMMYFUNCTION("IF(REGEXMATCH(C336, ""r""), ""o"",""x"")"),"o")</f>
        <v>o</v>
      </c>
      <c r="CB336" s="246" t="str">
        <f>IFERROR(__xludf.DUMMYFUNCTION("IF(REGEXMATCH(C336, ""R""), ""o"",""x"")"),"o")</f>
        <v>o</v>
      </c>
      <c r="CC336" s="246" t="str">
        <f>IFERROR(__xludf.DUMMYFUNCTION("IF(REGEXMATCH(C336, ""g""), ""o"",""x"")"),"o")</f>
        <v>o</v>
      </c>
      <c r="CD336" s="245" t="str">
        <f>IFERROR(__xludf.DUMMYFUNCTION("IF(REGEXMATCH(C336, ""G""), ""o"",""x"")"),"o")</f>
        <v>o</v>
      </c>
      <c r="CE336" s="245" t="str">
        <f>IFERROR(__xludf.DUMMYFUNCTION("IF(REGEXMATCH(C336, ""m""), ""o"",""x"")"),"o")</f>
        <v>o</v>
      </c>
      <c r="CF336" s="246" t="str">
        <f>IFERROR(__xludf.DUMMYFUNCTION("IF(REGEXMATCH(C336, ""M""), ""o"",""x"")"),"o")</f>
        <v>o</v>
      </c>
      <c r="CG336" s="245" t="str">
        <f>IFERROR(__xludf.DUMMYFUNCTION("IF(REGEXMATCH(C336, ""P""), ""o"",""x"")"),"o")</f>
        <v>o</v>
      </c>
      <c r="CH336" s="246" t="str">
        <f>IFERROR(__xludf.DUMMYFUNCTION("IF(REGEXMATCH(C336, ""d""), ""o"",""x"")"),"x")</f>
        <v>x</v>
      </c>
      <c r="CI336" s="245" t="str">
        <f>IFERROR(__xludf.DUMMYFUNCTION("IF(REGEXMATCH(C336, ""D""), ""o"",""x"")"),"o")</f>
        <v>o</v>
      </c>
      <c r="CJ336" s="245" t="str">
        <f>IFERROR(__xludf.DUMMYFUNCTION("IF(REGEXMATCH(C336, ""n""), ""o"",""x"")"),"o")</f>
        <v>o</v>
      </c>
      <c r="CK336" s="245" t="str">
        <f>IFERROR(__xludf.DUMMYFUNCTION("IF(REGEXMATCH(C336, ""N""), ""o"",""x"")"),"o")</f>
        <v>o</v>
      </c>
      <c r="CL336" s="356" t="str">
        <f>IFERROR(__xludf.DUMMYFUNCTION("IF(REGEXMATCH(C336, ""S""), ""x"",""x"")"),"x")</f>
        <v>x</v>
      </c>
      <c r="CM336" s="357" t="str">
        <f t="shared" si="33"/>
        <v>xoooooooxooo</v>
      </c>
      <c r="CN336" s="358">
        <f t="shared" si="34"/>
        <v>0</v>
      </c>
      <c r="CO336" s="246" t="str">
        <f>IFERROR(__xludf.DUMMYFUNCTION("IF(REGEXMATCH($C336, ""S""), ""S"",""S"")"),"S")</f>
        <v>S</v>
      </c>
      <c r="CP336" s="246" t="str">
        <f>IFERROR(__xludf.DUMMYFUNCTION("IF(REGEXMATCH($C336, ""r""), """",""r"")"),"")</f>
        <v/>
      </c>
      <c r="CQ336" s="246" t="str">
        <f>IFERROR(__xludf.DUMMYFUNCTION("IF(REGEXMATCH($C336, ""R""), """",""R"")"),"")</f>
        <v/>
      </c>
      <c r="CR336" s="246" t="str">
        <f>IFERROR(__xludf.DUMMYFUNCTION("IF(REGEXMATCH($C336, ""g""), """",""g"")"),"")</f>
        <v/>
      </c>
      <c r="CS336" s="246" t="str">
        <f>IFERROR(__xludf.DUMMYFUNCTION("IF(REGEXMATCH($C336, ""G""), """",""G"")"),"")</f>
        <v/>
      </c>
      <c r="CT336" s="246" t="str">
        <f>IFERROR(__xludf.DUMMYFUNCTION("IF(REGEXMATCH($C336, ""m""), """",""m"")"),"")</f>
        <v/>
      </c>
      <c r="CU336" s="246" t="str">
        <f>IFERROR(__xludf.DUMMYFUNCTION("IF(REGEXMATCH($C336, ""M""), """",""M"")"),"")</f>
        <v/>
      </c>
      <c r="CV336" s="246" t="str">
        <f>IFERROR(__xludf.DUMMYFUNCTION("IF(REGEXMATCH($C336, ""P""), """",""P"")"),"")</f>
        <v/>
      </c>
      <c r="CW336" s="246" t="str">
        <f>IFERROR(__xludf.DUMMYFUNCTION("IF(REGEXMATCH($C336, ""d""), """",""d"")"),"d")</f>
        <v>d</v>
      </c>
      <c r="CX336" s="246" t="str">
        <f>IFERROR(__xludf.DUMMYFUNCTION("IF(REGEXMATCH($C336, ""D""), """",""D"")"),"")</f>
        <v/>
      </c>
      <c r="CY336" s="246" t="str">
        <f>IFERROR(__xludf.DUMMYFUNCTION("IF(REGEXMATCH($C336, ""n""), """",""n"")"),"")</f>
        <v/>
      </c>
      <c r="CZ336" s="246" t="str">
        <f>IFERROR(__xludf.DUMMYFUNCTION("IF(REGEXMATCH($C336, ""N""), """",""N"")"),"")</f>
        <v/>
      </c>
      <c r="DA336" s="246" t="str">
        <f>IFERROR(__xludf.DUMMYFUNCTION("IF(REGEXMATCH($C336, ""S""), ""S"",""S"")"),"S")</f>
        <v>S</v>
      </c>
      <c r="DB336" s="362" t="str">
        <f>IFERROR(__xludf.DUMMYFUNCTION("JOIN("""",CO336:DA336,"""","""")"),"SdS")</f>
        <v>SdS</v>
      </c>
      <c r="DC336" s="363"/>
      <c r="DD336" s="301" t="str">
        <f t="shared" si="35"/>
        <v>#REF!</v>
      </c>
      <c r="DE336" s="302" t="str">
        <f t="shared" si="36"/>
        <v>#REF!</v>
      </c>
      <c r="DF336" s="301" t="str">
        <f t="shared" ref="DF336:DG336" si="904">SUBSTITUTE(S336,"-","")</f>
        <v>SRGM</v>
      </c>
      <c r="DG336" s="301" t="str">
        <f t="shared" si="904"/>
        <v>PDNS</v>
      </c>
      <c r="DH336" s="302" t="str">
        <f t="shared" si="38"/>
        <v>(n/a)</v>
      </c>
      <c r="DI336" s="301" t="str">
        <f t="shared" si="39"/>
        <v>Hemi.</v>
      </c>
      <c r="DJ336" s="364" t="str">
        <f t="shared" si="40"/>
        <v>CCC.</v>
      </c>
      <c r="DK336" s="306" t="str">
        <f t="shared" si="41"/>
        <v>-</v>
      </c>
      <c r="DL336" s="366" t="str">
        <f t="shared" si="42"/>
        <v>-</v>
      </c>
      <c r="DM336" s="308" t="str">
        <f t="shared" si="43"/>
        <v>✔</v>
      </c>
      <c r="DN336" s="306" t="str">
        <f t="shared" si="44"/>
        <v>-</v>
      </c>
      <c r="DO336" s="306" t="str">
        <f t="shared" si="45"/>
        <v>-</v>
      </c>
      <c r="DP336" s="367" t="str">
        <f t="shared" si="46"/>
        <v>-</v>
      </c>
      <c r="DQ336" s="310" t="str">
        <f t="shared" si="47"/>
        <v>✔</v>
      </c>
      <c r="DR336" s="310" t="str">
        <f t="shared" si="48"/>
        <v>✔</v>
      </c>
      <c r="DS336" s="310" t="str">
        <f t="shared" si="49"/>
        <v>✔</v>
      </c>
      <c r="DT336" s="310" t="str">
        <f t="shared" si="50"/>
        <v>-</v>
      </c>
      <c r="DU336" s="370" t="str">
        <f t="shared" si="51"/>
        <v>✔</v>
      </c>
      <c r="DV336" s="306" t="str">
        <f t="shared" si="52"/>
        <v>-</v>
      </c>
      <c r="DW336" s="306" t="str">
        <f t="shared" si="53"/>
        <v>-</v>
      </c>
      <c r="DX336" s="306" t="str">
        <f t="shared" si="54"/>
        <v>-</v>
      </c>
      <c r="DY336" s="306" t="str">
        <f t="shared" si="55"/>
        <v>-</v>
      </c>
      <c r="DZ336" s="306" t="str">
        <f t="shared" si="56"/>
        <v>-</v>
      </c>
      <c r="EA336" s="367" t="str">
        <f t="shared" si="57"/>
        <v>-</v>
      </c>
      <c r="EB336" s="310" t="str">
        <f>IFERROR(__xludf.DUMMYFUNCTION("IF(REGEXMATCH(AW336,AS336),""✔"",""-"")"),"✔")</f>
        <v>✔</v>
      </c>
      <c r="EC336" s="310" t="str">
        <f t="shared" si="58"/>
        <v>#REF!</v>
      </c>
      <c r="ED336" s="370" t="str">
        <f t="shared" si="59"/>
        <v>-</v>
      </c>
      <c r="EE336" s="340" t="str">
        <f t="shared" si="60"/>
        <v>S-rR-gG-mM-P-D-nN-S</v>
      </c>
      <c r="EF336" s="371" t="str">
        <f>IFERROR(__xludf.DUMMYFUNCTION("CONCATENATE(JOIN("""",HC336:HO336))"),"SrRgmMPdDnNS")</f>
        <v>SrRgmMPdDnNS</v>
      </c>
      <c r="EG336" s="372">
        <f t="shared" si="61"/>
        <v>1</v>
      </c>
      <c r="EH336" s="373" t="str">
        <f>IFERROR(__xludf.DUMMYFUNCTION("CONCATENATE(JOIN("""",JC336:JO336))"),"re, ")</f>
        <v>re, </v>
      </c>
      <c r="EI336" s="322">
        <f t="shared" si="62"/>
        <v>0</v>
      </c>
      <c r="EJ336" s="374" t="str">
        <f>IFERROR(__xludf.DUMMYFUNCTION("CONCATENATE(JOIN("""",KC336:KO336))"),"")</f>
        <v/>
      </c>
      <c r="EK336" s="325" t="str">
        <f t="shared" si="63"/>
        <v>S-R1-R2-G2-G3-M1-M2-P-D2-N2-N3-S</v>
      </c>
      <c r="EL336" s="326" t="str">
        <f t="shared" si="64"/>
        <v>1-b2-2-b3-3-4-#4-5-6-b7-7-8</v>
      </c>
      <c r="EM336" s="318" t="str">
        <f t="shared" si="65"/>
        <v>#REF!</v>
      </c>
      <c r="EN336" s="328" t="str">
        <f>IFERROR(__xludf.DUMMYFUNCTION("SUBSTITUTE(SUBSTITUTE(SUBSTITUTE(SUBSTITUTE(CONCATENATE(JOIN("" "",HP336:IB336)),""  "","" ""),""  "","" ""),""  "","" ""),""  "","" "")"),"o o o o o o o o • o o o o")</f>
        <v>o o o o o o o o • o o o o</v>
      </c>
      <c r="EO336" s="368" t="str">
        <f t="shared" si="66"/>
        <v>-</v>
      </c>
      <c r="EP336" s="339" t="str">
        <f t="shared" si="67"/>
        <v>-</v>
      </c>
      <c r="EQ336" s="339" t="str">
        <f t="shared" si="68"/>
        <v>Sa-Pa</v>
      </c>
      <c r="ER336" s="339" t="str">
        <f t="shared" si="69"/>
        <v>-</v>
      </c>
      <c r="ES336" s="340" t="str">
        <f t="shared" si="70"/>
        <v>-</v>
      </c>
      <c r="ET336" s="363"/>
      <c r="EU336" s="376" t="b">
        <f>IFERROR(__xludf.DUMMYFUNCTION("arrayformula(sum(--REGEXMATCH(""SRGMPDNS"",split(REGEXREPLACE(C336,""(.)"",""$1~""),""~""))))=len(C336)
"),FALSE)</f>
        <v>0</v>
      </c>
      <c r="EV336" s="290" t="b">
        <f>IFERROR(__xludf.DUMMYFUNCTION("arrayformula(sum(--REGEXMATCH(""SRGmPDNS"",split(REGEXREPLACE(C336,""(.)"",""$1~""),""~""))))=len(C336)"),FALSE)</f>
        <v>0</v>
      </c>
      <c r="EW336" s="290" t="b">
        <f>IFERROR(__xludf.DUMMYFUNCTION("arrayformula(sum(--REGEXMATCH(""SRGmPDnS"",split(REGEXREPLACE(C336,""(.)"",""$1~""),""~""))))=len(C336)"),FALSE)</f>
        <v>0</v>
      </c>
      <c r="EX336" s="290" t="b">
        <f>IFERROR(__xludf.DUMMYFUNCTION("arrayformula(sum(--REGEXMATCH(""SRgmPDnS"",split(REGEXREPLACE(C336,""(.)"",""$1~""),""~""))))=len(C336)"),FALSE)</f>
        <v>0</v>
      </c>
      <c r="EY336" s="290" t="b">
        <f>IFERROR(__xludf.DUMMYFUNCTION("arrayformula(sum(--REGEXMATCH(""SRgmPdnS"",split(REGEXREPLACE(C336,""(.)"",""$1~""),""~""))))=len(C336)"),FALSE)</f>
        <v>0</v>
      </c>
      <c r="EZ336" s="290" t="b">
        <f>IFERROR(__xludf.DUMMYFUNCTION("arrayformula(sum(--REGEXMATCH(""SrgmPdnS"",split(REGEXREPLACE(C336,""(.)"",""$1~""),""~""))))=len(C336)"),FALSE)</f>
        <v>0</v>
      </c>
      <c r="FA336" s="290" t="b">
        <f>IFERROR(__xludf.DUMMYFUNCTION("arrayformula(sum(--REGEXMATCH(""SrGmPdNS"",split(REGEXREPLACE(C336,""(.)"",""$1~""),""~""))))=len(C336)"),FALSE)</f>
        <v>0</v>
      </c>
      <c r="FB336" s="290" t="b">
        <f>IFERROR(__xludf.DUMMYFUNCTION("arrayformula(sum(--REGEXMATCH(""SrGMPDNS"",split(REGEXREPLACE(C336,""(.)"",""$1~""),""~""))))=len(C336)"),FALSE)</f>
        <v>0</v>
      </c>
      <c r="FC336" s="290" t="b">
        <f>IFERROR(__xludf.DUMMYFUNCTION("arrayformula(sum(--REGEXMATCH(""SrGMPdNS"",split(REGEXREPLACE(C336,""(.)"",""$1~""),""~""))))=len(C336)"),FALSE)</f>
        <v>0</v>
      </c>
      <c r="FD336" s="377" t="b">
        <f>IFERROR(__xludf.DUMMYFUNCTION("arrayformula(sum(--REGEXMATCH(""SrgMPdNS"",split(REGEXREPLACE(C336,""(.)"",""$1~""),""~""))))=len(C336)"),FALSE)</f>
        <v>0</v>
      </c>
      <c r="FE336" s="269" t="str">
        <f t="shared" si="71"/>
        <v>xxxxxxxoxxx</v>
      </c>
      <c r="FF336" s="269" t="str">
        <f t="shared" si="72"/>
        <v>xxxxxxoxxxx</v>
      </c>
      <c r="FG336" s="271" t="str">
        <f t="shared" si="73"/>
        <v>xxxxxoxxxxx</v>
      </c>
      <c r="FH336" s="269" t="str">
        <f t="shared" si="74"/>
        <v>xxxxoxxxxxx</v>
      </c>
      <c r="FI336" s="271" t="str">
        <f t="shared" si="75"/>
        <v>xxxoxxxxxxx</v>
      </c>
      <c r="FJ336" s="271" t="str">
        <f t="shared" si="76"/>
        <v>xxoxxxxxxxx</v>
      </c>
      <c r="FK336" s="271" t="str">
        <f t="shared" si="77"/>
        <v>xoxxxxxxxxx</v>
      </c>
      <c r="FL336" s="271" t="str">
        <f t="shared" si="78"/>
        <v>-</v>
      </c>
      <c r="FM336" s="271" t="str">
        <f t="shared" si="79"/>
        <v>xxxxxxxxxxx</v>
      </c>
      <c r="FN336" s="271" t="str">
        <f t="shared" si="80"/>
        <v>xxxxxxxxxxo</v>
      </c>
      <c r="FO336" s="274" t="str">
        <f t="shared" si="81"/>
        <v>xxxxxxxxxox</v>
      </c>
      <c r="FP336" s="234" t="str">
        <f t="shared" si="82"/>
        <v>|</v>
      </c>
      <c r="FQ336" s="236" t="str">
        <f t="shared" si="83"/>
        <v>|</v>
      </c>
      <c r="FR336" s="237" t="str">
        <f t="shared" si="84"/>
        <v>|</v>
      </c>
      <c r="FS336" s="236" t="str">
        <f t="shared" si="85"/>
        <v>|</v>
      </c>
      <c r="FT336" s="237" t="str">
        <f t="shared" si="86"/>
        <v>|</v>
      </c>
      <c r="FU336" s="236" t="str">
        <f t="shared" si="87"/>
        <v>|</v>
      </c>
      <c r="FV336" s="237" t="str">
        <f t="shared" si="88"/>
        <v>|</v>
      </c>
      <c r="FW336" s="236" t="str">
        <f t="shared" si="89"/>
        <v>|</v>
      </c>
      <c r="FX336" s="237" t="str">
        <f t="shared" si="90"/>
        <v>-</v>
      </c>
      <c r="FY336" s="236" t="str">
        <f t="shared" si="91"/>
        <v>|</v>
      </c>
      <c r="FZ336" s="237" t="str">
        <f t="shared" si="92"/>
        <v>|</v>
      </c>
      <c r="GA336" s="236" t="str">
        <f t="shared" si="93"/>
        <v>|</v>
      </c>
      <c r="GB336" s="238" t="str">
        <f t="shared" si="94"/>
        <v>|</v>
      </c>
      <c r="GC336" s="244" t="str">
        <f>IFERROR(__xludf.DUMMYFUNCTION("IF(REGEXMATCH(C336, ""S""), ""1"","""")"),"1")</f>
        <v>1</v>
      </c>
      <c r="GD336" s="245" t="str">
        <f>IFERROR(__xludf.DUMMYFUNCTION("IF(REGEXMATCH(C336, ""r""), ""b2"","""")"),"b2")</f>
        <v>b2</v>
      </c>
      <c r="GE336" s="246" t="str">
        <f>IFERROR(__xludf.DUMMYFUNCTION("IF(REGEXMATCH(C336, ""R""), ""2"","""")"),"2")</f>
        <v>2</v>
      </c>
      <c r="GF336" s="246" t="str">
        <f>IFERROR(__xludf.DUMMYFUNCTION("IF(REGEXMATCH(C336, ""g""), ""b3"","""")"),"b3")</f>
        <v>b3</v>
      </c>
      <c r="GG336" s="245" t="str">
        <f>IFERROR(__xludf.DUMMYFUNCTION("IF(REGEXMATCH(C336, ""G""), ""3"","""")"),"3")</f>
        <v>3</v>
      </c>
      <c r="GH336" s="245" t="str">
        <f>IFERROR(__xludf.DUMMYFUNCTION("IF(REGEXMATCH(C336, ""m""), ""4"","""")"),"4")</f>
        <v>4</v>
      </c>
      <c r="GI336" s="246" t="str">
        <f>IFERROR(__xludf.DUMMYFUNCTION("IF(REGEXMATCH(C336, ""M""), ""#4"","""")"),"#4")</f>
        <v>#4</v>
      </c>
      <c r="GJ336" s="245" t="str">
        <f>IFERROR(__xludf.DUMMYFUNCTION("IF(REGEXMATCH(C336, ""P""), ""5"","""")"),"5")</f>
        <v>5</v>
      </c>
      <c r="GK336" s="246" t="str">
        <f>IFERROR(__xludf.DUMMYFUNCTION("IF(REGEXMATCH(C336, ""d""), ""b6"","""")"),"")</f>
        <v/>
      </c>
      <c r="GL336" s="245" t="str">
        <f>IFERROR(__xludf.DUMMYFUNCTION("IF(REGEXMATCH(C336, ""D""), ""6"","""")"),"6")</f>
        <v>6</v>
      </c>
      <c r="GM336" s="245" t="str">
        <f>IFERROR(__xludf.DUMMYFUNCTION("IF(REGEXMATCH(C336, ""n""), ""b7"","""")"),"b7")</f>
        <v>b7</v>
      </c>
      <c r="GN336" s="246" t="str">
        <f>IFERROR(__xludf.DUMMYFUNCTION("IF(REGEXMATCH(C336, ""N""), ""7"","""")"),"7")</f>
        <v>7</v>
      </c>
      <c r="GO336" s="249" t="str">
        <f>IFERROR(__xludf.DUMMYFUNCTION("IF(REGEXMATCH(C336, ""S""), ""8"","""")"),"8")</f>
        <v>8</v>
      </c>
      <c r="GP336" s="244" t="str">
        <f>IFERROR(__xludf.DUMMYFUNCTION("IF(REGEXMATCH(C336, ""S""), ""S"","""")"),"S")</f>
        <v>S</v>
      </c>
      <c r="GQ336" s="294" t="str">
        <f>IFERROR(__xludf.DUMMYFUNCTION("IF(REGEXMATCH(C336, ""r""), ""R1"","""")"),"R1")</f>
        <v>R1</v>
      </c>
      <c r="GR336" s="295" t="str">
        <f>IFERROR(__xludf.DUMMYFUNCTION("IF(REGEXMATCH(C336, ""R""), ""R2"","""")"),"R2")</f>
        <v>R2</v>
      </c>
      <c r="GS336" s="295" t="str">
        <f>IFERROR(__xludf.DUMMYFUNCTION("IF(REGEXMATCH(C336, ""g""), ""G2"","""")"),"G2")</f>
        <v>G2</v>
      </c>
      <c r="GT336" s="294" t="str">
        <f>IFERROR(__xludf.DUMMYFUNCTION("IF(REGEXMATCH(C336, ""G""), ""G3"","""")"),"G3")</f>
        <v>G3</v>
      </c>
      <c r="GU336" s="294" t="str">
        <f>IFERROR(__xludf.DUMMYFUNCTION("IF(REGEXMATCH(C336, ""m""), ""M1"","""")"),"M1")</f>
        <v>M1</v>
      </c>
      <c r="GV336" s="295" t="str">
        <f>IFERROR(__xludf.DUMMYFUNCTION("IF(REGEXMATCH(C336, ""M""), ""M2"","""")"),"M2")</f>
        <v>M2</v>
      </c>
      <c r="GW336" s="294" t="str">
        <f>IFERROR(__xludf.DUMMYFUNCTION("IF(REGEXMATCH(C336, ""P""), ""P"","""")"),"P")</f>
        <v>P</v>
      </c>
      <c r="GX336" s="295" t="str">
        <f>IFERROR(__xludf.DUMMYFUNCTION("IF(REGEXMATCH(C336, ""d""), ""D1"","""")"),"")</f>
        <v/>
      </c>
      <c r="GY336" s="294" t="str">
        <f>IFERROR(__xludf.DUMMYFUNCTION("IF(REGEXMATCH(C336, ""D""), ""D2"","""")"),"D2")</f>
        <v>D2</v>
      </c>
      <c r="GZ336" s="294" t="str">
        <f>IFERROR(__xludf.DUMMYFUNCTION("IF(REGEXMATCH(C336, ""n""), ""N2"","""")"),"N2")</f>
        <v>N2</v>
      </c>
      <c r="HA336" s="295" t="str">
        <f>IFERROR(__xludf.DUMMYFUNCTION("IF(REGEXMATCH(C336, ""N""), ""N3"","""")"),"N3")</f>
        <v>N3</v>
      </c>
      <c r="HB336" s="249" t="str">
        <f>IFERROR(__xludf.DUMMYFUNCTION("IF(REGEXMATCH(C336, ""S""), ""S"","""")"),"S")</f>
        <v>S</v>
      </c>
      <c r="HC336" s="331" t="str">
        <f t="shared" si="95"/>
        <v>S</v>
      </c>
      <c r="HD336" s="332" t="str">
        <f t="shared" si="96"/>
        <v>r</v>
      </c>
      <c r="HE336" s="332" t="str">
        <f t="shared" si="97"/>
        <v>R</v>
      </c>
      <c r="HF336" s="332" t="str">
        <f t="shared" si="98"/>
        <v>g</v>
      </c>
      <c r="HG336" s="332" t="str">
        <f t="shared" si="99"/>
        <v/>
      </c>
      <c r="HH336" s="332" t="str">
        <f t="shared" si="100"/>
        <v>m</v>
      </c>
      <c r="HI336" s="332" t="str">
        <f t="shared" si="101"/>
        <v>M</v>
      </c>
      <c r="HJ336" s="332" t="str">
        <f t="shared" si="102"/>
        <v>P</v>
      </c>
      <c r="HK336" s="332" t="str">
        <f t="shared" si="103"/>
        <v>d</v>
      </c>
      <c r="HL336" s="332" t="str">
        <f t="shared" si="104"/>
        <v>D</v>
      </c>
      <c r="HM336" s="332" t="str">
        <f t="shared" si="105"/>
        <v>n</v>
      </c>
      <c r="HN336" s="332" t="str">
        <f t="shared" si="106"/>
        <v>N</v>
      </c>
      <c r="HO336" s="343" t="str">
        <f t="shared" si="107"/>
        <v>S</v>
      </c>
      <c r="HP336" s="331" t="str">
        <f t="shared" si="108"/>
        <v>o</v>
      </c>
      <c r="HQ336" s="332" t="str">
        <f t="shared" si="109"/>
        <v>o</v>
      </c>
      <c r="HR336" s="332" t="str">
        <f t="shared" si="110"/>
        <v>o</v>
      </c>
      <c r="HS336" s="332" t="str">
        <f t="shared" si="111"/>
        <v>o</v>
      </c>
      <c r="HT336" s="332" t="str">
        <f t="shared" si="112"/>
        <v>o</v>
      </c>
      <c r="HU336" s="332" t="str">
        <f t="shared" si="113"/>
        <v>o</v>
      </c>
      <c r="HV336" s="332" t="str">
        <f t="shared" si="114"/>
        <v>o</v>
      </c>
      <c r="HW336" s="332" t="str">
        <f t="shared" si="115"/>
        <v>o</v>
      </c>
      <c r="HX336" s="332" t="str">
        <f t="shared" si="116"/>
        <v>•</v>
      </c>
      <c r="HY336" s="332" t="str">
        <f t="shared" si="117"/>
        <v>o</v>
      </c>
      <c r="HZ336" s="332" t="str">
        <f t="shared" si="118"/>
        <v>o</v>
      </c>
      <c r="IA336" s="332" t="str">
        <f t="shared" si="119"/>
        <v>o</v>
      </c>
      <c r="IB336" s="338" t="str">
        <f t="shared" si="120"/>
        <v>o</v>
      </c>
      <c r="IC336" s="331" t="str">
        <f t="shared" si="121"/>
        <v>•</v>
      </c>
      <c r="ID336" s="332" t="str">
        <f t="shared" si="122"/>
        <v>•</v>
      </c>
      <c r="IE336" s="332" t="str">
        <f t="shared" si="123"/>
        <v>•</v>
      </c>
      <c r="IF336" s="332" t="str">
        <f t="shared" si="124"/>
        <v>•</v>
      </c>
      <c r="IG336" s="332" t="str">
        <f t="shared" si="125"/>
        <v>•</v>
      </c>
      <c r="IH336" s="332" t="str">
        <f t="shared" si="126"/>
        <v>•</v>
      </c>
      <c r="II336" s="332" t="str">
        <f t="shared" si="127"/>
        <v>•</v>
      </c>
      <c r="IJ336" s="332" t="str">
        <f t="shared" si="128"/>
        <v>•</v>
      </c>
      <c r="IK336" s="332" t="str">
        <f t="shared" si="129"/>
        <v>o</v>
      </c>
      <c r="IL336" s="332" t="str">
        <f t="shared" si="130"/>
        <v>•</v>
      </c>
      <c r="IM336" s="332" t="str">
        <f t="shared" si="131"/>
        <v>•</v>
      </c>
      <c r="IN336" s="332" t="str">
        <f t="shared" si="132"/>
        <v>•</v>
      </c>
      <c r="IO336" s="338" t="str">
        <f t="shared" si="133"/>
        <v>•</v>
      </c>
      <c r="IP336" s="346" t="b">
        <f t="shared" si="134"/>
        <v>0</v>
      </c>
      <c r="IQ336" s="347" t="b">
        <f t="shared" si="135"/>
        <v>1</v>
      </c>
      <c r="IR336" s="347" t="b">
        <f t="shared" si="136"/>
        <v>0</v>
      </c>
      <c r="IS336" s="347" t="b">
        <f t="shared" si="137"/>
        <v>0</v>
      </c>
      <c r="IT336" s="347" t="b">
        <f t="shared" si="138"/>
        <v>0</v>
      </c>
      <c r="IU336" s="347" t="b">
        <f t="shared" si="139"/>
        <v>0</v>
      </c>
      <c r="IV336" s="347" t="b">
        <f t="shared" si="140"/>
        <v>0</v>
      </c>
      <c r="IW336" s="347" t="b">
        <f t="shared" si="141"/>
        <v>0</v>
      </c>
      <c r="IX336" s="347" t="b">
        <f t="shared" si="142"/>
        <v>0</v>
      </c>
      <c r="IY336" s="347" t="b">
        <f t="shared" si="143"/>
        <v>0</v>
      </c>
      <c r="IZ336" s="347" t="b">
        <f t="shared" si="144"/>
        <v>0</v>
      </c>
      <c r="JA336" s="347" t="b">
        <f t="shared" si="145"/>
        <v>0</v>
      </c>
      <c r="JB336" s="353" t="b">
        <f t="shared" si="146"/>
        <v>0</v>
      </c>
      <c r="JC336" s="354" t="str">
        <f t="shared" si="147"/>
        <v/>
      </c>
      <c r="JD336" s="355" t="str">
        <f t="shared" si="148"/>
        <v>re, </v>
      </c>
      <c r="JE336" s="355" t="str">
        <f t="shared" si="149"/>
        <v/>
      </c>
      <c r="JF336" s="355" t="str">
        <f t="shared" si="150"/>
        <v/>
      </c>
      <c r="JG336" s="355" t="str">
        <f t="shared" si="151"/>
        <v/>
      </c>
      <c r="JH336" s="355" t="str">
        <f t="shared" si="152"/>
        <v/>
      </c>
      <c r="JI336" s="355" t="str">
        <f t="shared" si="153"/>
        <v/>
      </c>
      <c r="JJ336" s="355" t="str">
        <f t="shared" si="154"/>
        <v/>
      </c>
      <c r="JK336" s="355" t="str">
        <f t="shared" si="155"/>
        <v/>
      </c>
      <c r="JL336" s="355" t="str">
        <f t="shared" si="156"/>
        <v/>
      </c>
      <c r="JM336" s="355" t="str">
        <f t="shared" si="157"/>
        <v/>
      </c>
      <c r="JN336" s="355" t="str">
        <f t="shared" si="158"/>
        <v/>
      </c>
      <c r="JO336" s="359" t="str">
        <f t="shared" si="159"/>
        <v/>
      </c>
      <c r="JP336" s="346" t="b">
        <f t="shared" si="160"/>
        <v>0</v>
      </c>
      <c r="JQ336" s="347" t="b">
        <f t="shared" si="161"/>
        <v>0</v>
      </c>
      <c r="JR336" s="347" t="b">
        <f t="shared" si="162"/>
        <v>0</v>
      </c>
      <c r="JS336" s="347" t="b">
        <f t="shared" si="163"/>
        <v>0</v>
      </c>
      <c r="JT336" s="347" t="b">
        <f t="shared" si="164"/>
        <v>0</v>
      </c>
      <c r="JU336" s="347" t="b">
        <f t="shared" si="165"/>
        <v>0</v>
      </c>
      <c r="JV336" s="347" t="b">
        <f t="shared" si="166"/>
        <v>0</v>
      </c>
      <c r="JW336" s="347" t="b">
        <f t="shared" si="167"/>
        <v>0</v>
      </c>
      <c r="JX336" s="347" t="b">
        <f t="shared" si="168"/>
        <v>0</v>
      </c>
      <c r="JY336" s="347" t="b">
        <f t="shared" si="169"/>
        <v>0</v>
      </c>
      <c r="JZ336" s="347" t="b">
        <f t="shared" si="170"/>
        <v>0</v>
      </c>
      <c r="KA336" s="347" t="b">
        <f t="shared" si="171"/>
        <v>0</v>
      </c>
      <c r="KB336" s="365" t="b">
        <f t="shared" si="172"/>
        <v>0</v>
      </c>
      <c r="KC336" s="354" t="str">
        <f t="shared" si="173"/>
        <v/>
      </c>
      <c r="KD336" s="355" t="str">
        <f t="shared" si="174"/>
        <v/>
      </c>
      <c r="KE336" s="355" t="str">
        <f t="shared" si="175"/>
        <v/>
      </c>
      <c r="KF336" s="355" t="str">
        <f t="shared" si="176"/>
        <v/>
      </c>
      <c r="KG336" s="355" t="str">
        <f t="shared" si="177"/>
        <v/>
      </c>
      <c r="KH336" s="355" t="str">
        <f t="shared" si="178"/>
        <v/>
      </c>
      <c r="KI336" s="355" t="str">
        <f t="shared" si="179"/>
        <v/>
      </c>
      <c r="KJ336" s="355" t="str">
        <f t="shared" si="180"/>
        <v/>
      </c>
      <c r="KK336" s="355" t="str">
        <f t="shared" si="181"/>
        <v/>
      </c>
      <c r="KL336" s="355" t="str">
        <f t="shared" si="182"/>
        <v/>
      </c>
      <c r="KM336" s="355" t="str">
        <f t="shared" si="183"/>
        <v/>
      </c>
      <c r="KN336" s="355" t="str">
        <f t="shared" si="184"/>
        <v/>
      </c>
      <c r="KO336" s="359"/>
      <c r="KP336" s="378"/>
      <c r="KQ336" s="379" t="s">
        <v>9</v>
      </c>
      <c r="KR336" s="380" t="s">
        <v>9</v>
      </c>
      <c r="KS336" s="381" t="s">
        <v>9</v>
      </c>
      <c r="KT336" s="382">
        <f t="shared" si="186"/>
        <v>0</v>
      </c>
      <c r="KU336" s="383">
        <f t="shared" si="187"/>
        <v>0</v>
      </c>
      <c r="KV336" s="381" t="str">
        <f t="shared" si="205"/>
        <v>S</v>
      </c>
      <c r="KW336" s="382">
        <f t="shared" si="189"/>
        <v>0</v>
      </c>
      <c r="KX336" s="384">
        <f t="shared" si="190"/>
        <v>0</v>
      </c>
      <c r="KY336" s="382">
        <f t="shared" ref="KY336:KZ336" si="905">KW336-KT336</f>
        <v>0</v>
      </c>
      <c r="KZ336" s="369">
        <f t="shared" si="905"/>
        <v>0</v>
      </c>
      <c r="LA336" s="385" t="str">
        <f t="shared" si="192"/>
        <v>✔</v>
      </c>
      <c r="LB336" s="340" t="str">
        <f>IFERROR(__xludf.DUMMYFUNCTION("JOIN("""",ArrayFormula(MID(KS336,LEN(KS336)-SEQUENCE(1,LEN(KS336))+1,1)))"),"S")</f>
        <v>S</v>
      </c>
      <c r="LC336" s="373" t="str">
        <f>IFERROR(__xludf.DUMMYFUNCTION("JOIN("""",ArrayFormula(MID(KV336,LEN(KV336)-SEQUENCE(1,LEN(KV336))+1,1)))"),"S")</f>
        <v>S</v>
      </c>
      <c r="LD336" s="373" t="str">
        <f t="shared" si="193"/>
        <v>S</v>
      </c>
      <c r="LE336" s="339" t="str">
        <f t="shared" si="194"/>
        <v>S</v>
      </c>
      <c r="LF336" s="386" t="str">
        <f>IFERROR(__xludf.DUMMYFUNCTION("SUBSTITUTE(SUBSTITUTE(CONCATENATE(JOIN("""",LH336:LT336)),""1"",""""),""2"","""")"),"SS")</f>
        <v>SS</v>
      </c>
      <c r="LG336" s="369" t="str">
        <f t="shared" si="195"/>
        <v>-</v>
      </c>
      <c r="LH336" s="387" t="str">
        <f>IFERROR(__xludf.DUMMYFUNCTION("IF(REGEXMATCH(LD336, ""S""), ""S"",IF(REGEXMATCH(LE336, ""S""), ""S"",""""))"),"S")</f>
        <v>S</v>
      </c>
      <c r="LI336" s="299" t="str">
        <f>IFERROR(__xludf.DUMMYFUNCTION("IF(REGEXMATCH(LD336, ""r""), ""r1"",IF(REGEXMATCH(LE336, ""r""), ""r2"",""""))"),"")</f>
        <v/>
      </c>
      <c r="LJ336" s="299" t="str">
        <f>IFERROR(__xludf.DUMMYFUNCTION("IF(REGEXMATCH(LD336, ""R""), ""R1"",IF(REGEXMATCH(LE336, ""R""), ""R2"",""""))"),"")</f>
        <v/>
      </c>
      <c r="LK336" s="299" t="str">
        <f>IFERROR(__xludf.DUMMYFUNCTION("IF(REGEXMATCH(LD336, ""g""), ""g1"",IF(REGEXMATCH(LE336, ""g""), ""g2"",""""))"),"")</f>
        <v/>
      </c>
      <c r="LL336" s="299" t="str">
        <f>IFERROR(__xludf.DUMMYFUNCTION("IF(REGEXMATCH(LD336, ""G""), ""G1"",IF(REGEXMATCH(LE336, ""G""), ""G2"",""""))"),"")</f>
        <v/>
      </c>
      <c r="LM336" s="299" t="str">
        <f>IFERROR(__xludf.DUMMYFUNCTION("IF(REGEXMATCH(LD336, ""m""), ""m1"",IF(REGEXMATCH(LE336, ""m""), ""m2"",""""))"),"")</f>
        <v/>
      </c>
      <c r="LN336" s="299" t="str">
        <f>IFERROR(__xludf.DUMMYFUNCTION("IF(REGEXMATCH(LD336, ""M""), ""M1"",IF(REGEXMATCH(LE336, ""M""), ""M2"",""""))"),"")</f>
        <v/>
      </c>
      <c r="LO336" s="299" t="str">
        <f>IFERROR(__xludf.DUMMYFUNCTION("IF(REGEXMATCH(LD336, ""P""), ""P1"",IF(REGEXMATCH(LE336, ""P""), ""P2"",""""))"),"")</f>
        <v/>
      </c>
      <c r="LP336" s="299" t="str">
        <f>IFERROR(__xludf.DUMMYFUNCTION("IF(REGEXMATCH(LD336, ""d""), ""d1"",IF(REGEXMATCH(LE336, ""d""), ""d2"",""""))"),"")</f>
        <v/>
      </c>
      <c r="LQ336" s="299" t="str">
        <f>IFERROR(__xludf.DUMMYFUNCTION("IF(REGEXMATCH(LD336, ""D""), ""D1"",IF(REGEXMATCH(LE336, ""D""), ""D2"",""""))"),"")</f>
        <v/>
      </c>
      <c r="LR336" s="299" t="str">
        <f>IFERROR(__xludf.DUMMYFUNCTION("IF(REGEXMATCH(LD336, ""n""), ""n1"",IF(REGEXMATCH(LE336, ""n""), ""n2"",""""))"),"")</f>
        <v/>
      </c>
      <c r="LS336" s="299" t="str">
        <f>IFERROR(__xludf.DUMMYFUNCTION("IF(REGEXMATCH(LD336, ""N""), ""N1"",IF(REGEXMATCH(LE336, ""N""), ""N2"",""""))"),"")</f>
        <v/>
      </c>
      <c r="LT336" s="388" t="str">
        <f>IFERROR(__xludf.DUMMYFUNCTION("IF(REGEXMATCH(LD336, ""S""), ""S"",IF(REGEXMATCH(LE336, ""S""), ""S"",""""))"),"S")</f>
        <v>S</v>
      </c>
      <c r="LU336" s="389">
        <f t="shared" si="196"/>
        <v>1</v>
      </c>
      <c r="LV336" s="378"/>
      <c r="LW336" s="369"/>
      <c r="LX336" s="369"/>
    </row>
    <row r="337" ht="18.0" customHeight="1">
      <c r="A337" s="298" t="s">
        <v>1185</v>
      </c>
      <c r="B337" s="222" t="s">
        <v>597</v>
      </c>
      <c r="C337" s="233" t="str">
        <f t="shared" si="7"/>
        <v>SrGmMPDNS</v>
      </c>
      <c r="D337" s="234" t="str">
        <f>IFERROR(__xludf.DUMMYFUNCTION("IF(REGEXMATCH(C337, ""S""), ""S"","""")"),"S")</f>
        <v>S</v>
      </c>
      <c r="E337" s="236" t="str">
        <f>IFERROR(__xludf.DUMMYFUNCTION("IF(REGEXMATCH(C337, ""r""), ""r"","""")"),"r")</f>
        <v>r</v>
      </c>
      <c r="F337" s="237" t="str">
        <f>IFERROR(__xludf.DUMMYFUNCTION("IF(REGEXMATCH(C337, ""R""), ""R"","""")"),"")</f>
        <v/>
      </c>
      <c r="G337" s="237" t="str">
        <f>IFERROR(__xludf.DUMMYFUNCTION("IF(REGEXMATCH(C337, ""g""), ""g"","""")"),"")</f>
        <v/>
      </c>
      <c r="H337" s="236" t="str">
        <f>IFERROR(__xludf.DUMMYFUNCTION("IF(REGEXMATCH(C337, ""G""), ""G"","""")"),"G")</f>
        <v>G</v>
      </c>
      <c r="I337" s="236" t="str">
        <f>IFERROR(__xludf.DUMMYFUNCTION("IF(REGEXMATCH(C337, ""m""), ""m"","""")"),"m")</f>
        <v>m</v>
      </c>
      <c r="J337" s="237" t="str">
        <f>IFERROR(__xludf.DUMMYFUNCTION("IF(REGEXMATCH(C337, ""M""), ""M"","""")"),"M")</f>
        <v>M</v>
      </c>
      <c r="K337" s="236" t="str">
        <f>IFERROR(__xludf.DUMMYFUNCTION("IF(REGEXMATCH(C337, ""P""), ""P"","""")"),"P")</f>
        <v>P</v>
      </c>
      <c r="L337" s="237" t="str">
        <f>IFERROR(__xludf.DUMMYFUNCTION("IF(REGEXMATCH(C337, ""d""), ""d"","""")"),"")</f>
        <v/>
      </c>
      <c r="M337" s="236" t="str">
        <f>IFERROR(__xludf.DUMMYFUNCTION("IF(REGEXMATCH(C337, ""D""), ""D"","""")"),"D")</f>
        <v>D</v>
      </c>
      <c r="N337" s="236" t="str">
        <f>IFERROR(__xludf.DUMMYFUNCTION("IF(REGEXMATCH(C337, ""n""), ""n"","""")"),"")</f>
        <v/>
      </c>
      <c r="O337" s="237" t="str">
        <f>IFERROR(__xludf.DUMMYFUNCTION("IF(REGEXMATCH(C337, ""N""), ""N"","""")"),"N")</f>
        <v>N</v>
      </c>
      <c r="P337" s="238" t="str">
        <f>IFERROR(__xludf.DUMMYFUNCTION("IF(REGEXMATCH(C337, ""S""), ""S"","""")"),"S")</f>
        <v>S</v>
      </c>
      <c r="Q337" s="239" t="str">
        <f>IFERROR(__xludf.DUMMYFUNCTION("SUBSTITUTE(CONCATENATE(JOIN(""-"",D337:J337)),""-"","""")"),"SrGmM")</f>
        <v>SrGmM</v>
      </c>
      <c r="R337" s="229" t="str">
        <f>IFERROR(__xludf.DUMMYFUNCTION("SUBSTITUTE(CONCATENATE(JOIN(""-"",K337:P337)),""-"","""")"),"PDNS")</f>
        <v>PDNS</v>
      </c>
      <c r="S337" s="282" t="str">
        <f t="shared" si="8"/>
        <v>S-R-G-M</v>
      </c>
      <c r="T337" s="282" t="str">
        <f t="shared" si="9"/>
        <v>P-D-N-S</v>
      </c>
      <c r="U337" s="237" t="str">
        <f>IFERROR(__xludf.DUMMYFUNCTION("SUBSTITUTE(JOIN(""-"",S337,T337),""--"",""-"")"),"S-R-G-M-P-D-N-S")</f>
        <v>S-R-G-M-P-D-N-S</v>
      </c>
      <c r="V337" s="309" t="str">
        <f t="shared" si="10"/>
        <v>rGmMDN</v>
      </c>
      <c r="W337" s="244" t="str">
        <f>IFERROR(__xludf.DUMMYFUNCTION("IF(REGEXMATCH(C337, ""S""), ""0"","""")"),"0")</f>
        <v>0</v>
      </c>
      <c r="X337" s="245" t="str">
        <f>IFERROR(__xludf.DUMMYFUNCTION("IF(REGEXMATCH(C337, ""r""), ""1"","""")"),"1")</f>
        <v>1</v>
      </c>
      <c r="Y337" s="246" t="str">
        <f>IFERROR(__xludf.DUMMYFUNCTION("IF(REGEXMATCH(C337, ""R""), ""2"","""")"),"")</f>
        <v/>
      </c>
      <c r="Z337" s="246" t="str">
        <f>IFERROR(__xludf.DUMMYFUNCTION("IF(REGEXMATCH(C337, ""g""), ""3"","""")"),"")</f>
        <v/>
      </c>
      <c r="AA337" s="245" t="str">
        <f>IFERROR(__xludf.DUMMYFUNCTION("IF(REGEXMATCH(C337, ""G""), ""4"","""")"),"4")</f>
        <v>4</v>
      </c>
      <c r="AB337" s="245" t="str">
        <f>IFERROR(__xludf.DUMMYFUNCTION("IF(REGEXMATCH(C337, ""m""), ""5"","""")"),"5")</f>
        <v>5</v>
      </c>
      <c r="AC337" s="246" t="str">
        <f>IFERROR(__xludf.DUMMYFUNCTION("IF(REGEXMATCH(C337, ""M""), ""6"","""")"),"6")</f>
        <v>6</v>
      </c>
      <c r="AD337" s="245" t="str">
        <f>IFERROR(__xludf.DUMMYFUNCTION("IF(REGEXMATCH(C337, ""P""), ""7"","""")"),"7")</f>
        <v>7</v>
      </c>
      <c r="AE337" s="246" t="str">
        <f>IFERROR(__xludf.DUMMYFUNCTION("IF(REGEXMATCH(C337, ""d""), ""8"","""")"),"")</f>
        <v/>
      </c>
      <c r="AF337" s="245" t="str">
        <f>IFERROR(__xludf.DUMMYFUNCTION("IF(REGEXMATCH(C337, ""D""), ""9"","""")"),"9")</f>
        <v>9</v>
      </c>
      <c r="AG337" s="245" t="str">
        <f>IFERROR(__xludf.DUMMYFUNCTION("IF(REGEXMATCH(C337, ""n""), ""10"","""")"),"")</f>
        <v/>
      </c>
      <c r="AH337" s="246" t="str">
        <f>IFERROR(__xludf.DUMMYFUNCTION("IF(REGEXMATCH(C337, ""N""), ""11"","""")"),"11")</f>
        <v>11</v>
      </c>
      <c r="AI337" s="249" t="str">
        <f>IFERROR(__xludf.DUMMYFUNCTION("IF(REGEXMATCH(C337, ""S""), ""0"","""")"),"0")</f>
        <v>0</v>
      </c>
      <c r="AJ337" s="313" t="str">
        <f t="shared" si="11"/>
        <v>T</v>
      </c>
      <c r="AK337" s="313" t="str">
        <f t="shared" si="12"/>
        <v>T</v>
      </c>
      <c r="AL337" s="313" t="str">
        <f t="shared" si="13"/>
        <v>-</v>
      </c>
      <c r="AM337" s="313" t="str">
        <f t="shared" si="14"/>
        <v>-</v>
      </c>
      <c r="AN337" s="313" t="str">
        <f t="shared" si="15"/>
        <v>-</v>
      </c>
      <c r="AO337" s="314" t="str">
        <f t="shared" si="16"/>
        <v>T</v>
      </c>
      <c r="AP337" s="316">
        <f t="shared" si="17"/>
        <v>3</v>
      </c>
      <c r="AQ337" s="319" t="str">
        <f t="shared" si="18"/>
        <v>-</v>
      </c>
      <c r="AR337" s="320">
        <f t="shared" si="19"/>
        <v>0</v>
      </c>
      <c r="AS337" s="250" t="str">
        <f>IFERROR(__xludf.DUMMYFUNCTION("SUBSTITUTE(SUBSTITUTE(CONCATENATE(JOIN("""",FP337:GA337)),""|"",""x""),""-"",""o"")"),"xxooxxxxoxox")</f>
        <v>xxooxxxxoxox</v>
      </c>
      <c r="AT337" s="323" t="str">
        <f>IFERROR(__xludf.DUMMYFUNCTION("JOIN("""",AS337,AS337)"),"xxooxxxxoxoxxxooxxxxoxox")</f>
        <v>xxooxxxxoxoxxxooxxxxoxox</v>
      </c>
      <c r="AU337" s="256" t="str">
        <f>IFERROR(__xludf.DUMMYFUNCTION("JOIN("""",ArrayFormula(MID(AS337,LEN(AS337)-SEQUENCE(1,LEN(AS337))+1,1)))"),"xoxoxxxxooxx")</f>
        <v>xoxoxxxxooxx</v>
      </c>
      <c r="AV337" s="256" t="str">
        <f>IFERROR(__xludf.DUMMYFUNCTION("LEFT(CONCATENATE(""x"",JOIN("""",ArrayFormula(MID(AS337,LEN(AS337)-SEQUENCE(1,LEN(AS337))+1,1)))),12)"),"xxoxoxxxxoox")</f>
        <v>xxoxoxxxxoox</v>
      </c>
      <c r="AW337" s="327" t="str">
        <f>IFERROR(__xludf.DUMMYFUNCTION("JOIN("""",AU337,AU337)"),"xoxoxxxxooxxxoxoxxxxooxx")</f>
        <v>xoxoxxxxooxxxoxoxxxxooxx</v>
      </c>
      <c r="AX337" s="239" t="str">
        <f>IFERROR(__xludf.DUMMYFUNCTION("IF(REGEXMATCH(AW337,AS337),""✔"",""-"")"),"-")</f>
        <v>-</v>
      </c>
      <c r="AY337" s="330" t="str">
        <f t="shared" si="20"/>
        <v>-</v>
      </c>
      <c r="AZ337" s="260" t="str">
        <f t="shared" si="21"/>
        <v>#REF!</v>
      </c>
      <c r="BA337" s="333" t="str">
        <f t="shared" si="22"/>
        <v>xxooxxx</v>
      </c>
      <c r="BB337" s="334" t="str">
        <f t="shared" si="23"/>
        <v>xoxoxx</v>
      </c>
      <c r="BC337" s="335" t="str">
        <f t="shared" si="236"/>
        <v>-</v>
      </c>
      <c r="BD337" s="336" t="str">
        <f t="shared" si="25"/>
        <v>Sohini Pancham: 'xxooxxx' + 'xoxoxx'</v>
      </c>
      <c r="BE337" s="337">
        <f>IFERROR(__xludf.DUMMYFUNCTION("COUNTUNIQUE(FILTER(AT:AT,REGEXMATCH(AT:AT,AS337)))-1"),0.0)</f>
        <v>0</v>
      </c>
      <c r="BF337" s="261" t="str">
        <f>IFERROR(__xludf.DUMMYFUNCTION("IF(BI337=0,""(n/a)"",IF(BJ337=2,""(PAIR)"",IF(REGEXMATCH(AT337,""xoxoxxoxoxox""),""Bilawal"",IF(REGEXMATCH(AT337,""xoxoxooxoxoo""),""Bhupali"",IF(REGEXMATCH(AT337,""xoxoxxoxxoxo""),""Charukeshi"",IF(REGEXMATCH(AT337,""xoxoooxxoxxo""),""Kameshwari"",IF(REG"&amp;"EXMATCH(AT337,""xoxoxooxoxox""),""Shankara"",IF(REGEXMATCH(AT337,""xxooxoxxxoox""),""Basant"",IF(REGEXMATCH(AT337,""xoxoxxxxoxox""),""Bihag"",IF(REGEXMATCH(AT337,""xoxxxxoxoxxx""),""Pilu"",IF(REGEXMATCH(AT337,""xoxxoxoxxoox""),""Kirwani"",IF(REGEXMATCH(AT"&amp;"337,""xoxxoxoxoxxx""),""Mk.Malhar"",IF(REGEXMATCH(AT337,""xxooxxoxxoox""),""Bhairav"",IF(REGEXMATCH(AT337,""xxoxooxxxoox""),""Todi"",IF(REGEXMATCH(AT337,""xxooxoxooxox""),""Marwa"",IF(REGEXMATCH(AT337,""xxoooxoxxooo""),""Gunkali"",IF(REGEXMATCH(AT337,""xo"&amp;"xoxxoxxoox""),""Nat Bhairav"",IF(REGEXMATCH(AT337,""xoxxoooxoxoo""),""Shivranjani"",IF(REGEXMATCH(AT337,""xooxxxoxooxo""),""Jog"",IF(REGEXMATCH(AT337,""xxooxoxoxoox""),""Hemshri"",IF(REGEXMATCH(AT337,""xoooxooxoxxo""),""Kalavati"",IF(REGEXMATCH(AT337,""xx"&amp;"oxoxxoxoox""),""Kedar"",IF(REGEXMATCH(AT337,""xoxxxxoxooxx""),""Gara"",IF(REGEXMATCH(AT337,""xooxoxooxoox""),""Chandrakauns"",IF(REGEXMATCH(AT337,""xoxxxxoxxxox""),""Mand"",IF(REGEXMATCH(AT337,""xoxxxxoxoxox""),""Hanskinkini"",IF(REGEXMATCH(AT337,""xxooxx"&amp;"oxooxo""),""Lilavati"",IF(REGEXMATCH(AT337,""xooxoxoooxox""),""Rajeshwari"",IF(REGEXMATCH(AT337,""xoooxxoxoxxx""),""Khokar"",IF(REGEXMATCH(AT337,""xxooxoxxxxox""),""Maligoura"",""-""))))))))))))))))))))))))))))))"),"(n/a)")</f>
        <v>(n/a)</v>
      </c>
      <c r="BG337" s="239" t="str">
        <f t="shared" si="26"/>
        <v>#REF!</v>
      </c>
      <c r="BH337" s="239">
        <f>IFERROR(__xludf.DUMMYFUNCTION("COUNTUNIQUE(FE337:FO337)-1"),7.0)</f>
        <v>7</v>
      </c>
      <c r="BI337" s="239">
        <f>IFERROR(__xludf.DUMMYFUNCTION("COUNTUNIQUE(FILTER(AT:AT,REGEXMATCH(AT:AT,AS337)))-1"),0.0)</f>
        <v>0</v>
      </c>
      <c r="BJ337" s="239">
        <f>IFERROR(__xludf.DUMMYFUNCTION("COUNTA(FILTER(AT:AT,REGEXMATCH(AT:AT,AS337)))"),7.0)</f>
        <v>7</v>
      </c>
      <c r="BK337" s="341">
        <f>IFERROR(__xludf.DUMMYFUNCTION("COUNTA(FILTER(AT:AT,REGEXMATCH(AT:AT,AS337)))-AR337"),7.0)</f>
        <v>7</v>
      </c>
      <c r="BL337" s="276" t="str">
        <f>IFERROR(__xludf.DUMMYFUNCTION("IF(AS337=""oooooooooooo"",""-"",IF(REGEXMATCH(AT337,""xx""), ""Hemi."", ""Anhemi.""))"),"Hemi.")</f>
        <v>Hemi.</v>
      </c>
      <c r="BM337" s="282" t="str">
        <f>IFERROR(__xludf.DUMMYFUNCTION("IF(AS337=""oooooooooooo"",""-"",IF(REGEXMATCH(AT337,""xxx""), ""Cohem."", ""-""))"),"Cohem.")</f>
        <v>Cohem.</v>
      </c>
      <c r="BN337" s="282" t="str">
        <f>IFERROR(__xludf.DUMMYFUNCTION("IF(AS337=""oooooooooooo"",""-"",IF(REGEXMATCH(AT337,""xxxx""), ""Co-Co."", ""-""))"),"Co-Co.")</f>
        <v>Co-Co.</v>
      </c>
      <c r="BO337" s="342" t="str">
        <f>IFERROR(__xludf.DUMMYFUNCTION("IF(AS337=""oooooooooooo"",""-"",IF(REGEXMATCH(AT337,""xxxxx""), ""CCC."", ""-""))"),"-")</f>
        <v>-</v>
      </c>
      <c r="BP337" s="344" t="str">
        <f t="shared" si="27"/>
        <v>-</v>
      </c>
      <c r="BQ337" s="282" t="str">
        <f>IFERROR(__xludf.DUMMYFUNCTION("IF(REGEXMATCH(JOIN(""-"",EU337:FD337),""TRUE""),""✔"",""-"")"),"-")</f>
        <v>-</v>
      </c>
      <c r="BR337" s="225">
        <f t="shared" si="28"/>
        <v>0</v>
      </c>
      <c r="BS337" s="345" t="str">
        <f>IFERROR(__xludf.DUMMYFUNCTION("SUBSTITUTE(SUBSTITUTE(SUBSTITUTE(SUBSTITUTE(CONCATENATE(JOIN(""-"",GC337:GO337)),""--"",""-""),""--"",""-""),""--"",""-""),""--"",""-"")"),"1-b2-3-4-#4-5-6-7-8")</f>
        <v>1-b2-3-4-#4-5-6-7-8</v>
      </c>
      <c r="BT337" s="299" t="str">
        <f>IFERROR(__xludf.DUMMYFUNCTION("SUBSTITUTE(SUBSTITUTE(SUBSTITUTE(SUBSTITUTE(CONCATENATE(JOIN(""-"",GP337:HB337)),""--"",""-""),""--"",""-""),""--"",""-""),""--"",""-"")"),"S-R1-G3-M1-M2-P-D2-N3-S")</f>
        <v>S-R1-G3-M1-M2-P-D2-N3-S</v>
      </c>
      <c r="BU337" s="348" t="str">
        <f t="shared" si="29"/>
        <v>C-Db-E-F-F#-G-A-B-C</v>
      </c>
      <c r="BV337" s="349" t="str">
        <f t="shared" si="30"/>
        <v>SRgdnS</v>
      </c>
      <c r="BW337" s="350">
        <f t="shared" si="31"/>
        <v>0</v>
      </c>
      <c r="BX337" s="351">
        <f t="shared" si="32"/>
        <v>7</v>
      </c>
      <c r="BY337" s="352" t="s">
        <v>275</v>
      </c>
      <c r="BZ337" s="309" t="str">
        <f>IFERROR(__xludf.DUMMYFUNCTION("IF(REGEXMATCH(C337, ""S""), ""x"",""x"")"),"x")</f>
        <v>x</v>
      </c>
      <c r="CA337" s="245" t="str">
        <f>IFERROR(__xludf.DUMMYFUNCTION("IF(REGEXMATCH(C337, ""r""), ""o"",""x"")"),"o")</f>
        <v>o</v>
      </c>
      <c r="CB337" s="246" t="str">
        <f>IFERROR(__xludf.DUMMYFUNCTION("IF(REGEXMATCH(C337, ""R""), ""o"",""x"")"),"x")</f>
        <v>x</v>
      </c>
      <c r="CC337" s="246" t="str">
        <f>IFERROR(__xludf.DUMMYFUNCTION("IF(REGEXMATCH(C337, ""g""), ""o"",""x"")"),"x")</f>
        <v>x</v>
      </c>
      <c r="CD337" s="245" t="str">
        <f>IFERROR(__xludf.DUMMYFUNCTION("IF(REGEXMATCH(C337, ""G""), ""o"",""x"")"),"o")</f>
        <v>o</v>
      </c>
      <c r="CE337" s="245" t="str">
        <f>IFERROR(__xludf.DUMMYFUNCTION("IF(REGEXMATCH(C337, ""m""), ""o"",""x"")"),"o")</f>
        <v>o</v>
      </c>
      <c r="CF337" s="246" t="str">
        <f>IFERROR(__xludf.DUMMYFUNCTION("IF(REGEXMATCH(C337, ""M""), ""o"",""x"")"),"o")</f>
        <v>o</v>
      </c>
      <c r="CG337" s="245" t="str">
        <f>IFERROR(__xludf.DUMMYFUNCTION("IF(REGEXMATCH(C337, ""P""), ""o"",""x"")"),"o")</f>
        <v>o</v>
      </c>
      <c r="CH337" s="246" t="str">
        <f>IFERROR(__xludf.DUMMYFUNCTION("IF(REGEXMATCH(C337, ""d""), ""o"",""x"")"),"x")</f>
        <v>x</v>
      </c>
      <c r="CI337" s="245" t="str">
        <f>IFERROR(__xludf.DUMMYFUNCTION("IF(REGEXMATCH(C337, ""D""), ""o"",""x"")"),"o")</f>
        <v>o</v>
      </c>
      <c r="CJ337" s="245" t="str">
        <f>IFERROR(__xludf.DUMMYFUNCTION("IF(REGEXMATCH(C337, ""n""), ""o"",""x"")"),"x")</f>
        <v>x</v>
      </c>
      <c r="CK337" s="245" t="str">
        <f>IFERROR(__xludf.DUMMYFUNCTION("IF(REGEXMATCH(C337, ""N""), ""o"",""x"")"),"o")</f>
        <v>o</v>
      </c>
      <c r="CL337" s="356" t="str">
        <f>IFERROR(__xludf.DUMMYFUNCTION("IF(REGEXMATCH(C337, ""S""), ""x"",""x"")"),"x")</f>
        <v>x</v>
      </c>
      <c r="CM337" s="357" t="str">
        <f t="shared" si="33"/>
        <v>xoxxooooxoxo</v>
      </c>
      <c r="CN337" s="358">
        <f t="shared" si="34"/>
        <v>0</v>
      </c>
      <c r="CO337" s="246" t="str">
        <f>IFERROR(__xludf.DUMMYFUNCTION("IF(REGEXMATCH($C337, ""S""), ""S"",""S"")"),"S")</f>
        <v>S</v>
      </c>
      <c r="CP337" s="246" t="str">
        <f>IFERROR(__xludf.DUMMYFUNCTION("IF(REGEXMATCH($C337, ""r""), """",""r"")"),"")</f>
        <v/>
      </c>
      <c r="CQ337" s="246" t="str">
        <f>IFERROR(__xludf.DUMMYFUNCTION("IF(REGEXMATCH($C337, ""R""), """",""R"")"),"R")</f>
        <v>R</v>
      </c>
      <c r="CR337" s="246" t="str">
        <f>IFERROR(__xludf.DUMMYFUNCTION("IF(REGEXMATCH($C337, ""g""), """",""g"")"),"g")</f>
        <v>g</v>
      </c>
      <c r="CS337" s="246" t="str">
        <f>IFERROR(__xludf.DUMMYFUNCTION("IF(REGEXMATCH($C337, ""G""), """",""G"")"),"")</f>
        <v/>
      </c>
      <c r="CT337" s="246" t="str">
        <f>IFERROR(__xludf.DUMMYFUNCTION("IF(REGEXMATCH($C337, ""m""), """",""m"")"),"")</f>
        <v/>
      </c>
      <c r="CU337" s="246" t="str">
        <f>IFERROR(__xludf.DUMMYFUNCTION("IF(REGEXMATCH($C337, ""M""), """",""M"")"),"")</f>
        <v/>
      </c>
      <c r="CV337" s="246" t="str">
        <f>IFERROR(__xludf.DUMMYFUNCTION("IF(REGEXMATCH($C337, ""P""), """",""P"")"),"")</f>
        <v/>
      </c>
      <c r="CW337" s="246" t="str">
        <f>IFERROR(__xludf.DUMMYFUNCTION("IF(REGEXMATCH($C337, ""d""), """",""d"")"),"d")</f>
        <v>d</v>
      </c>
      <c r="CX337" s="246" t="str">
        <f>IFERROR(__xludf.DUMMYFUNCTION("IF(REGEXMATCH($C337, ""D""), """",""D"")"),"")</f>
        <v/>
      </c>
      <c r="CY337" s="246" t="str">
        <f>IFERROR(__xludf.DUMMYFUNCTION("IF(REGEXMATCH($C337, ""n""), """",""n"")"),"n")</f>
        <v>n</v>
      </c>
      <c r="CZ337" s="246" t="str">
        <f>IFERROR(__xludf.DUMMYFUNCTION("IF(REGEXMATCH($C337, ""N""), """",""N"")"),"")</f>
        <v/>
      </c>
      <c r="DA337" s="246" t="str">
        <f>IFERROR(__xludf.DUMMYFUNCTION("IF(REGEXMATCH($C337, ""S""), ""S"",""S"")"),"S")</f>
        <v>S</v>
      </c>
      <c r="DB337" s="362" t="str">
        <f>IFERROR(__xludf.DUMMYFUNCTION("JOIN("""",CO337:DA337,"""","""")"),"SRgdnS")</f>
        <v>SRgdnS</v>
      </c>
      <c r="DC337" s="363"/>
      <c r="DD337" s="301" t="str">
        <f t="shared" si="35"/>
        <v>#REF!</v>
      </c>
      <c r="DE337" s="302" t="str">
        <f t="shared" si="36"/>
        <v>#REF!</v>
      </c>
      <c r="DF337" s="301" t="str">
        <f t="shared" ref="DF337:DG337" si="906">SUBSTITUTE(S337,"-","")</f>
        <v>SRGM</v>
      </c>
      <c r="DG337" s="301" t="str">
        <f t="shared" si="906"/>
        <v>PDNS</v>
      </c>
      <c r="DH337" s="302" t="str">
        <f t="shared" si="38"/>
        <v>(n/a)</v>
      </c>
      <c r="DI337" s="301" t="str">
        <f t="shared" si="39"/>
        <v>Hemi.</v>
      </c>
      <c r="DJ337" s="364" t="str">
        <f t="shared" si="40"/>
        <v>Co-Co.</v>
      </c>
      <c r="DK337" s="306" t="str">
        <f t="shared" si="41"/>
        <v>-</v>
      </c>
      <c r="DL337" s="366" t="str">
        <f t="shared" si="42"/>
        <v>-</v>
      </c>
      <c r="DM337" s="308" t="str">
        <f t="shared" si="43"/>
        <v>✔</v>
      </c>
      <c r="DN337" s="306" t="str">
        <f t="shared" si="44"/>
        <v>-</v>
      </c>
      <c r="DO337" s="306" t="str">
        <f t="shared" si="45"/>
        <v>-</v>
      </c>
      <c r="DP337" s="367" t="str">
        <f t="shared" si="46"/>
        <v>-</v>
      </c>
      <c r="DQ337" s="310" t="str">
        <f t="shared" si="47"/>
        <v>-</v>
      </c>
      <c r="DR337" s="310" t="str">
        <f t="shared" si="48"/>
        <v>-</v>
      </c>
      <c r="DS337" s="310" t="str">
        <f t="shared" si="49"/>
        <v>✔</v>
      </c>
      <c r="DT337" s="310" t="str">
        <f t="shared" si="50"/>
        <v>-</v>
      </c>
      <c r="DU337" s="370" t="str">
        <f t="shared" si="51"/>
        <v>-</v>
      </c>
      <c r="DV337" s="306" t="str">
        <f t="shared" si="52"/>
        <v>-</v>
      </c>
      <c r="DW337" s="306" t="str">
        <f t="shared" si="53"/>
        <v>-</v>
      </c>
      <c r="DX337" s="306" t="str">
        <f t="shared" si="54"/>
        <v>-</v>
      </c>
      <c r="DY337" s="306" t="str">
        <f t="shared" si="55"/>
        <v>-</v>
      </c>
      <c r="DZ337" s="306" t="str">
        <f t="shared" si="56"/>
        <v>-</v>
      </c>
      <c r="EA337" s="367" t="str">
        <f t="shared" si="57"/>
        <v>-</v>
      </c>
      <c r="EB337" s="310" t="str">
        <f>IFERROR(__xludf.DUMMYFUNCTION("IF(REGEXMATCH(AW337,AS337),""✔"",""-"")"),"-")</f>
        <v>-</v>
      </c>
      <c r="EC337" s="310" t="str">
        <f t="shared" si="58"/>
        <v>#REF!</v>
      </c>
      <c r="ED337" s="370" t="str">
        <f t="shared" si="59"/>
        <v>-</v>
      </c>
      <c r="EE337" s="340" t="str">
        <f t="shared" si="60"/>
        <v>S-r-G-mM-P-D-N-S</v>
      </c>
      <c r="EF337" s="371" t="str">
        <f>IFERROR(__xludf.DUMMYFUNCTION("CONCATENATE(JOIN("""",HC337:HO337))"),"SrgmMPdNS")</f>
        <v>SrgmMPdNS</v>
      </c>
      <c r="EG337" s="372">
        <f t="shared" si="61"/>
        <v>2</v>
      </c>
      <c r="EH337" s="373" t="str">
        <f>IFERROR(__xludf.DUMMYFUNCTION("CONCATENATE(JOIN("""",JC337:JO337))"),"re, Pa, ")</f>
        <v>re, Pa, </v>
      </c>
      <c r="EI337" s="322">
        <f t="shared" si="62"/>
        <v>0</v>
      </c>
      <c r="EJ337" s="374" t="str">
        <f>IFERROR(__xludf.DUMMYFUNCTION("CONCATENATE(JOIN("""",KC337:KO337))"),"")</f>
        <v/>
      </c>
      <c r="EK337" s="325" t="str">
        <f t="shared" si="63"/>
        <v>S-R1-G3-M1-M2-P-D2-N3-S</v>
      </c>
      <c r="EL337" s="326" t="str">
        <f t="shared" si="64"/>
        <v>1-b2-3-4-#4-5-6-7-8</v>
      </c>
      <c r="EM337" s="318" t="str">
        <f t="shared" si="65"/>
        <v>#REF!</v>
      </c>
      <c r="EN337" s="328" t="str">
        <f>IFERROR(__xludf.DUMMYFUNCTION("SUBSTITUTE(SUBSTITUTE(SUBSTITUTE(SUBSTITUTE(CONCATENATE(JOIN("" "",HP337:IB337)),""  "","" ""),""  "","" ""),""  "","" ""),""  "","" "")"),"o o • • o o o o • o • o o")</f>
        <v>o o • • o o o o • o • o o</v>
      </c>
      <c r="EO337" s="368" t="str">
        <f t="shared" si="66"/>
        <v>-</v>
      </c>
      <c r="EP337" s="339" t="str">
        <f t="shared" si="67"/>
        <v>-</v>
      </c>
      <c r="EQ337" s="339" t="str">
        <f t="shared" si="68"/>
        <v>Sa-Pa</v>
      </c>
      <c r="ER337" s="339" t="str">
        <f t="shared" si="69"/>
        <v>-</v>
      </c>
      <c r="ES337" s="340" t="str">
        <f t="shared" si="70"/>
        <v>-</v>
      </c>
      <c r="ET337" s="363"/>
      <c r="EU337" s="376" t="b">
        <f>IFERROR(__xludf.DUMMYFUNCTION("arrayformula(sum(--REGEXMATCH(""SRGMPDNS"",split(REGEXREPLACE(C337,""(.)"",""$1~""),""~""))))=len(C337)
"),FALSE)</f>
        <v>0</v>
      </c>
      <c r="EV337" s="290" t="b">
        <f>IFERROR(__xludf.DUMMYFUNCTION("arrayformula(sum(--REGEXMATCH(""SRGmPDNS"",split(REGEXREPLACE(C337,""(.)"",""$1~""),""~""))))=len(C337)"),FALSE)</f>
        <v>0</v>
      </c>
      <c r="EW337" s="290" t="b">
        <f>IFERROR(__xludf.DUMMYFUNCTION("arrayformula(sum(--REGEXMATCH(""SRGmPDnS"",split(REGEXREPLACE(C337,""(.)"",""$1~""),""~""))))=len(C337)"),FALSE)</f>
        <v>0</v>
      </c>
      <c r="EX337" s="290" t="b">
        <f>IFERROR(__xludf.DUMMYFUNCTION("arrayformula(sum(--REGEXMATCH(""SRgmPDnS"",split(REGEXREPLACE(C337,""(.)"",""$1~""),""~""))))=len(C337)"),FALSE)</f>
        <v>0</v>
      </c>
      <c r="EY337" s="290" t="b">
        <f>IFERROR(__xludf.DUMMYFUNCTION("arrayformula(sum(--REGEXMATCH(""SRgmPdnS"",split(REGEXREPLACE(C337,""(.)"",""$1~""),""~""))))=len(C337)"),FALSE)</f>
        <v>0</v>
      </c>
      <c r="EZ337" s="290" t="b">
        <f>IFERROR(__xludf.DUMMYFUNCTION("arrayformula(sum(--REGEXMATCH(""SrgmPdnS"",split(REGEXREPLACE(C337,""(.)"",""$1~""),""~""))))=len(C337)"),FALSE)</f>
        <v>0</v>
      </c>
      <c r="FA337" s="290" t="b">
        <f>IFERROR(__xludf.DUMMYFUNCTION("arrayformula(sum(--REGEXMATCH(""SrGmPdNS"",split(REGEXREPLACE(C337,""(.)"",""$1~""),""~""))))=len(C337)"),FALSE)</f>
        <v>0</v>
      </c>
      <c r="FB337" s="290" t="b">
        <f>IFERROR(__xludf.DUMMYFUNCTION("arrayformula(sum(--REGEXMATCH(""SrGMPDNS"",split(REGEXREPLACE(C337,""(.)"",""$1~""),""~""))))=len(C337)"),FALSE)</f>
        <v>0</v>
      </c>
      <c r="FC337" s="290" t="b">
        <f>IFERROR(__xludf.DUMMYFUNCTION("arrayformula(sum(--REGEXMATCH(""SrGMPdNS"",split(REGEXREPLACE(C337,""(.)"",""$1~""),""~""))))=len(C337)"),FALSE)</f>
        <v>0</v>
      </c>
      <c r="FD337" s="377" t="b">
        <f>IFERROR(__xludf.DUMMYFUNCTION("arrayformula(sum(--REGEXMATCH(""SrgMPdNS"",split(REGEXREPLACE(C337,""(.)"",""$1~""),""~""))))=len(C337)"),FALSE)</f>
        <v>0</v>
      </c>
      <c r="FE337" s="269" t="str">
        <f t="shared" si="71"/>
        <v>xooxxxxoxox</v>
      </c>
      <c r="FF337" s="269" t="str">
        <f t="shared" si="72"/>
        <v>-</v>
      </c>
      <c r="FG337" s="271" t="str">
        <f t="shared" si="73"/>
        <v>-</v>
      </c>
      <c r="FH337" s="269" t="str">
        <f t="shared" si="74"/>
        <v>xxxxoxoxxxo</v>
      </c>
      <c r="FI337" s="271" t="str">
        <f t="shared" si="75"/>
        <v>xxxoxoxxxoo</v>
      </c>
      <c r="FJ337" s="271" t="str">
        <f t="shared" si="76"/>
        <v>xxoxoxxxoox</v>
      </c>
      <c r="FK337" s="271" t="str">
        <f t="shared" si="77"/>
        <v>xoxoxxxooxx</v>
      </c>
      <c r="FL337" s="271" t="str">
        <f t="shared" si="78"/>
        <v>-</v>
      </c>
      <c r="FM337" s="271" t="str">
        <f t="shared" si="79"/>
        <v>xoxxxooxxxx</v>
      </c>
      <c r="FN337" s="271" t="str">
        <f t="shared" si="80"/>
        <v>-</v>
      </c>
      <c r="FO337" s="274" t="str">
        <f t="shared" si="81"/>
        <v>xxxooxxxxox</v>
      </c>
      <c r="FP337" s="234" t="str">
        <f t="shared" si="82"/>
        <v>|</v>
      </c>
      <c r="FQ337" s="236" t="str">
        <f t="shared" si="83"/>
        <v>|</v>
      </c>
      <c r="FR337" s="237" t="str">
        <f t="shared" si="84"/>
        <v>-</v>
      </c>
      <c r="FS337" s="236" t="str">
        <f t="shared" si="85"/>
        <v>-</v>
      </c>
      <c r="FT337" s="237" t="str">
        <f t="shared" si="86"/>
        <v>|</v>
      </c>
      <c r="FU337" s="236" t="str">
        <f t="shared" si="87"/>
        <v>|</v>
      </c>
      <c r="FV337" s="237" t="str">
        <f t="shared" si="88"/>
        <v>|</v>
      </c>
      <c r="FW337" s="236" t="str">
        <f t="shared" si="89"/>
        <v>|</v>
      </c>
      <c r="FX337" s="237" t="str">
        <f t="shared" si="90"/>
        <v>-</v>
      </c>
      <c r="FY337" s="236" t="str">
        <f t="shared" si="91"/>
        <v>|</v>
      </c>
      <c r="FZ337" s="237" t="str">
        <f t="shared" si="92"/>
        <v>-</v>
      </c>
      <c r="GA337" s="236" t="str">
        <f t="shared" si="93"/>
        <v>|</v>
      </c>
      <c r="GB337" s="238" t="str">
        <f t="shared" si="94"/>
        <v>|</v>
      </c>
      <c r="GC337" s="244" t="str">
        <f>IFERROR(__xludf.DUMMYFUNCTION("IF(REGEXMATCH(C337, ""S""), ""1"","""")"),"1")</f>
        <v>1</v>
      </c>
      <c r="GD337" s="245" t="str">
        <f>IFERROR(__xludf.DUMMYFUNCTION("IF(REGEXMATCH(C337, ""r""), ""b2"","""")"),"b2")</f>
        <v>b2</v>
      </c>
      <c r="GE337" s="246" t="str">
        <f>IFERROR(__xludf.DUMMYFUNCTION("IF(REGEXMATCH(C337, ""R""), ""2"","""")"),"")</f>
        <v/>
      </c>
      <c r="GF337" s="246" t="str">
        <f>IFERROR(__xludf.DUMMYFUNCTION("IF(REGEXMATCH(C337, ""g""), ""b3"","""")"),"")</f>
        <v/>
      </c>
      <c r="GG337" s="245" t="str">
        <f>IFERROR(__xludf.DUMMYFUNCTION("IF(REGEXMATCH(C337, ""G""), ""3"","""")"),"3")</f>
        <v>3</v>
      </c>
      <c r="GH337" s="245" t="str">
        <f>IFERROR(__xludf.DUMMYFUNCTION("IF(REGEXMATCH(C337, ""m""), ""4"","""")"),"4")</f>
        <v>4</v>
      </c>
      <c r="GI337" s="246" t="str">
        <f>IFERROR(__xludf.DUMMYFUNCTION("IF(REGEXMATCH(C337, ""M""), ""#4"","""")"),"#4")</f>
        <v>#4</v>
      </c>
      <c r="GJ337" s="245" t="str">
        <f>IFERROR(__xludf.DUMMYFUNCTION("IF(REGEXMATCH(C337, ""P""), ""5"","""")"),"5")</f>
        <v>5</v>
      </c>
      <c r="GK337" s="246" t="str">
        <f>IFERROR(__xludf.DUMMYFUNCTION("IF(REGEXMATCH(C337, ""d""), ""b6"","""")"),"")</f>
        <v/>
      </c>
      <c r="GL337" s="245" t="str">
        <f>IFERROR(__xludf.DUMMYFUNCTION("IF(REGEXMATCH(C337, ""D""), ""6"","""")"),"6")</f>
        <v>6</v>
      </c>
      <c r="GM337" s="245" t="str">
        <f>IFERROR(__xludf.DUMMYFUNCTION("IF(REGEXMATCH(C337, ""n""), ""b7"","""")"),"")</f>
        <v/>
      </c>
      <c r="GN337" s="246" t="str">
        <f>IFERROR(__xludf.DUMMYFUNCTION("IF(REGEXMATCH(C337, ""N""), ""7"","""")"),"7")</f>
        <v>7</v>
      </c>
      <c r="GO337" s="249" t="str">
        <f>IFERROR(__xludf.DUMMYFUNCTION("IF(REGEXMATCH(C337, ""S""), ""8"","""")"),"8")</f>
        <v>8</v>
      </c>
      <c r="GP337" s="244" t="str">
        <f>IFERROR(__xludf.DUMMYFUNCTION("IF(REGEXMATCH(C337, ""S""), ""S"","""")"),"S")</f>
        <v>S</v>
      </c>
      <c r="GQ337" s="294" t="str">
        <f>IFERROR(__xludf.DUMMYFUNCTION("IF(REGEXMATCH(C337, ""r""), ""R1"","""")"),"R1")</f>
        <v>R1</v>
      </c>
      <c r="GR337" s="295" t="str">
        <f>IFERROR(__xludf.DUMMYFUNCTION("IF(REGEXMATCH(C337, ""R""), ""R2"","""")"),"")</f>
        <v/>
      </c>
      <c r="GS337" s="295" t="str">
        <f>IFERROR(__xludf.DUMMYFUNCTION("IF(REGEXMATCH(C337, ""g""), ""G2"","""")"),"")</f>
        <v/>
      </c>
      <c r="GT337" s="294" t="str">
        <f>IFERROR(__xludf.DUMMYFUNCTION("IF(REGEXMATCH(C337, ""G""), ""G3"","""")"),"G3")</f>
        <v>G3</v>
      </c>
      <c r="GU337" s="294" t="str">
        <f>IFERROR(__xludf.DUMMYFUNCTION("IF(REGEXMATCH(C337, ""m""), ""M1"","""")"),"M1")</f>
        <v>M1</v>
      </c>
      <c r="GV337" s="295" t="str">
        <f>IFERROR(__xludf.DUMMYFUNCTION("IF(REGEXMATCH(C337, ""M""), ""M2"","""")"),"M2")</f>
        <v>M2</v>
      </c>
      <c r="GW337" s="294" t="str">
        <f>IFERROR(__xludf.DUMMYFUNCTION("IF(REGEXMATCH(C337, ""P""), ""P"","""")"),"P")</f>
        <v>P</v>
      </c>
      <c r="GX337" s="295" t="str">
        <f>IFERROR(__xludf.DUMMYFUNCTION("IF(REGEXMATCH(C337, ""d""), ""D1"","""")"),"")</f>
        <v/>
      </c>
      <c r="GY337" s="294" t="str">
        <f>IFERROR(__xludf.DUMMYFUNCTION("IF(REGEXMATCH(C337, ""D""), ""D2"","""")"),"D2")</f>
        <v>D2</v>
      </c>
      <c r="GZ337" s="294" t="str">
        <f>IFERROR(__xludf.DUMMYFUNCTION("IF(REGEXMATCH(C337, ""n""), ""N2"","""")"),"")</f>
        <v/>
      </c>
      <c r="HA337" s="295" t="str">
        <f>IFERROR(__xludf.DUMMYFUNCTION("IF(REGEXMATCH(C337, ""N""), ""N3"","""")"),"N3")</f>
        <v>N3</v>
      </c>
      <c r="HB337" s="249" t="str">
        <f>IFERROR(__xludf.DUMMYFUNCTION("IF(REGEXMATCH(C337, ""S""), ""S"","""")"),"S")</f>
        <v>S</v>
      </c>
      <c r="HC337" s="331" t="str">
        <f t="shared" si="95"/>
        <v>S</v>
      </c>
      <c r="HD337" s="332" t="str">
        <f t="shared" si="96"/>
        <v>r</v>
      </c>
      <c r="HE337" s="332" t="str">
        <f t="shared" si="97"/>
        <v/>
      </c>
      <c r="HF337" s="332" t="str">
        <f t="shared" si="98"/>
        <v>g</v>
      </c>
      <c r="HG337" s="332" t="str">
        <f t="shared" si="99"/>
        <v/>
      </c>
      <c r="HH337" s="332" t="str">
        <f t="shared" si="100"/>
        <v>m</v>
      </c>
      <c r="HI337" s="332" t="str">
        <f t="shared" si="101"/>
        <v>M</v>
      </c>
      <c r="HJ337" s="332" t="str">
        <f t="shared" si="102"/>
        <v>P</v>
      </c>
      <c r="HK337" s="332" t="str">
        <f t="shared" si="103"/>
        <v>d</v>
      </c>
      <c r="HL337" s="332" t="str">
        <f t="shared" si="104"/>
        <v/>
      </c>
      <c r="HM337" s="332" t="str">
        <f t="shared" si="105"/>
        <v/>
      </c>
      <c r="HN337" s="332" t="str">
        <f t="shared" si="106"/>
        <v>N</v>
      </c>
      <c r="HO337" s="343" t="str">
        <f t="shared" si="107"/>
        <v>S</v>
      </c>
      <c r="HP337" s="331" t="str">
        <f t="shared" si="108"/>
        <v>o</v>
      </c>
      <c r="HQ337" s="332" t="str">
        <f t="shared" si="109"/>
        <v>o</v>
      </c>
      <c r="HR337" s="332" t="str">
        <f t="shared" si="110"/>
        <v>•</v>
      </c>
      <c r="HS337" s="332" t="str">
        <f t="shared" si="111"/>
        <v>•</v>
      </c>
      <c r="HT337" s="332" t="str">
        <f t="shared" si="112"/>
        <v>o</v>
      </c>
      <c r="HU337" s="332" t="str">
        <f t="shared" si="113"/>
        <v>o</v>
      </c>
      <c r="HV337" s="332" t="str">
        <f t="shared" si="114"/>
        <v>o</v>
      </c>
      <c r="HW337" s="332" t="str">
        <f t="shared" si="115"/>
        <v>o</v>
      </c>
      <c r="HX337" s="332" t="str">
        <f t="shared" si="116"/>
        <v>•</v>
      </c>
      <c r="HY337" s="332" t="str">
        <f t="shared" si="117"/>
        <v>o</v>
      </c>
      <c r="HZ337" s="332" t="str">
        <f t="shared" si="118"/>
        <v>•</v>
      </c>
      <c r="IA337" s="332" t="str">
        <f t="shared" si="119"/>
        <v>o</v>
      </c>
      <c r="IB337" s="338" t="str">
        <f t="shared" si="120"/>
        <v>o</v>
      </c>
      <c r="IC337" s="331" t="str">
        <f t="shared" si="121"/>
        <v>•</v>
      </c>
      <c r="ID337" s="332" t="str">
        <f t="shared" si="122"/>
        <v>•</v>
      </c>
      <c r="IE337" s="332" t="str">
        <f t="shared" si="123"/>
        <v>o</v>
      </c>
      <c r="IF337" s="332" t="str">
        <f t="shared" si="124"/>
        <v>o</v>
      </c>
      <c r="IG337" s="332" t="str">
        <f t="shared" si="125"/>
        <v>•</v>
      </c>
      <c r="IH337" s="332" t="str">
        <f t="shared" si="126"/>
        <v>•</v>
      </c>
      <c r="II337" s="332" t="str">
        <f t="shared" si="127"/>
        <v>•</v>
      </c>
      <c r="IJ337" s="332" t="str">
        <f t="shared" si="128"/>
        <v>•</v>
      </c>
      <c r="IK337" s="332" t="str">
        <f t="shared" si="129"/>
        <v>o</v>
      </c>
      <c r="IL337" s="332" t="str">
        <f t="shared" si="130"/>
        <v>•</v>
      </c>
      <c r="IM337" s="332" t="str">
        <f t="shared" si="131"/>
        <v>o</v>
      </c>
      <c r="IN337" s="332" t="str">
        <f t="shared" si="132"/>
        <v>•</v>
      </c>
      <c r="IO337" s="338" t="str">
        <f t="shared" si="133"/>
        <v>•</v>
      </c>
      <c r="IP337" s="346" t="b">
        <f t="shared" si="134"/>
        <v>0</v>
      </c>
      <c r="IQ337" s="347" t="b">
        <f t="shared" si="135"/>
        <v>1</v>
      </c>
      <c r="IR337" s="347" t="b">
        <f t="shared" si="136"/>
        <v>0</v>
      </c>
      <c r="IS337" s="347" t="b">
        <f t="shared" si="137"/>
        <v>0</v>
      </c>
      <c r="IT337" s="347" t="b">
        <f t="shared" si="138"/>
        <v>0</v>
      </c>
      <c r="IU337" s="347" t="b">
        <f t="shared" si="139"/>
        <v>0</v>
      </c>
      <c r="IV337" s="347" t="b">
        <f t="shared" si="140"/>
        <v>0</v>
      </c>
      <c r="IW337" s="347" t="b">
        <f t="shared" si="141"/>
        <v>1</v>
      </c>
      <c r="IX337" s="347" t="b">
        <f t="shared" si="142"/>
        <v>0</v>
      </c>
      <c r="IY337" s="347" t="b">
        <f t="shared" si="143"/>
        <v>0</v>
      </c>
      <c r="IZ337" s="347" t="b">
        <f t="shared" si="144"/>
        <v>0</v>
      </c>
      <c r="JA337" s="347" t="b">
        <f t="shared" si="145"/>
        <v>0</v>
      </c>
      <c r="JB337" s="353" t="b">
        <f t="shared" si="146"/>
        <v>0</v>
      </c>
      <c r="JC337" s="354" t="str">
        <f t="shared" si="147"/>
        <v/>
      </c>
      <c r="JD337" s="355" t="str">
        <f t="shared" si="148"/>
        <v>re, </v>
      </c>
      <c r="JE337" s="355" t="str">
        <f t="shared" si="149"/>
        <v/>
      </c>
      <c r="JF337" s="355" t="str">
        <f t="shared" si="150"/>
        <v/>
      </c>
      <c r="JG337" s="355" t="str">
        <f t="shared" si="151"/>
        <v/>
      </c>
      <c r="JH337" s="355" t="str">
        <f t="shared" si="152"/>
        <v/>
      </c>
      <c r="JI337" s="355" t="str">
        <f t="shared" si="153"/>
        <v/>
      </c>
      <c r="JJ337" s="355" t="str">
        <f t="shared" si="154"/>
        <v>Pa, </v>
      </c>
      <c r="JK337" s="355" t="str">
        <f t="shared" si="155"/>
        <v/>
      </c>
      <c r="JL337" s="355" t="str">
        <f t="shared" si="156"/>
        <v/>
      </c>
      <c r="JM337" s="355" t="str">
        <f t="shared" si="157"/>
        <v/>
      </c>
      <c r="JN337" s="355" t="str">
        <f t="shared" si="158"/>
        <v/>
      </c>
      <c r="JO337" s="359" t="str">
        <f t="shared" si="159"/>
        <v/>
      </c>
      <c r="JP337" s="346" t="b">
        <f t="shared" si="160"/>
        <v>0</v>
      </c>
      <c r="JQ337" s="347" t="b">
        <f t="shared" si="161"/>
        <v>0</v>
      </c>
      <c r="JR337" s="347" t="b">
        <f t="shared" si="162"/>
        <v>0</v>
      </c>
      <c r="JS337" s="347" t="b">
        <f t="shared" si="163"/>
        <v>0</v>
      </c>
      <c r="JT337" s="347" t="b">
        <f t="shared" si="164"/>
        <v>0</v>
      </c>
      <c r="JU337" s="347" t="b">
        <f t="shared" si="165"/>
        <v>0</v>
      </c>
      <c r="JV337" s="347" t="b">
        <f t="shared" si="166"/>
        <v>0</v>
      </c>
      <c r="JW337" s="347" t="b">
        <f t="shared" si="167"/>
        <v>0</v>
      </c>
      <c r="JX337" s="347" t="b">
        <f t="shared" si="168"/>
        <v>0</v>
      </c>
      <c r="JY337" s="347" t="b">
        <f t="shared" si="169"/>
        <v>0</v>
      </c>
      <c r="JZ337" s="347" t="b">
        <f t="shared" si="170"/>
        <v>0</v>
      </c>
      <c r="KA337" s="347" t="b">
        <f t="shared" si="171"/>
        <v>0</v>
      </c>
      <c r="KB337" s="365" t="b">
        <f t="shared" si="172"/>
        <v>0</v>
      </c>
      <c r="KC337" s="354" t="str">
        <f t="shared" si="173"/>
        <v/>
      </c>
      <c r="KD337" s="355" t="str">
        <f t="shared" si="174"/>
        <v/>
      </c>
      <c r="KE337" s="355" t="str">
        <f t="shared" si="175"/>
        <v/>
      </c>
      <c r="KF337" s="355" t="str">
        <f t="shared" si="176"/>
        <v/>
      </c>
      <c r="KG337" s="355" t="str">
        <f t="shared" si="177"/>
        <v/>
      </c>
      <c r="KH337" s="355" t="str">
        <f t="shared" si="178"/>
        <v/>
      </c>
      <c r="KI337" s="355" t="str">
        <f t="shared" si="179"/>
        <v/>
      </c>
      <c r="KJ337" s="355" t="str">
        <f t="shared" si="180"/>
        <v/>
      </c>
      <c r="KK337" s="355" t="str">
        <f t="shared" si="181"/>
        <v/>
      </c>
      <c r="KL337" s="355" t="str">
        <f t="shared" si="182"/>
        <v/>
      </c>
      <c r="KM337" s="355" t="str">
        <f t="shared" si="183"/>
        <v/>
      </c>
      <c r="KN337" s="355" t="str">
        <f t="shared" si="184"/>
        <v/>
      </c>
      <c r="KO337" s="359"/>
      <c r="KP337" s="378"/>
      <c r="KQ337" s="379" t="s">
        <v>9</v>
      </c>
      <c r="KR337" s="380" t="s">
        <v>9</v>
      </c>
      <c r="KS337" s="381" t="s">
        <v>9</v>
      </c>
      <c r="KT337" s="382">
        <f t="shared" si="186"/>
        <v>0</v>
      </c>
      <c r="KU337" s="383">
        <f t="shared" si="187"/>
        <v>0</v>
      </c>
      <c r="KV337" s="381" t="str">
        <f t="shared" si="205"/>
        <v>S</v>
      </c>
      <c r="KW337" s="382">
        <f t="shared" si="189"/>
        <v>0</v>
      </c>
      <c r="KX337" s="384">
        <f t="shared" si="190"/>
        <v>0</v>
      </c>
      <c r="KY337" s="382">
        <f t="shared" ref="KY337:KZ337" si="907">KW337-KT337</f>
        <v>0</v>
      </c>
      <c r="KZ337" s="369">
        <f t="shared" si="907"/>
        <v>0</v>
      </c>
      <c r="LA337" s="385" t="str">
        <f t="shared" si="192"/>
        <v>✔</v>
      </c>
      <c r="LB337" s="340" t="str">
        <f>IFERROR(__xludf.DUMMYFUNCTION("JOIN("""",ArrayFormula(MID(KS337,LEN(KS337)-SEQUENCE(1,LEN(KS337))+1,1)))"),"S")</f>
        <v>S</v>
      </c>
      <c r="LC337" s="373" t="str">
        <f>IFERROR(__xludf.DUMMYFUNCTION("JOIN("""",ArrayFormula(MID(KV337,LEN(KV337)-SEQUENCE(1,LEN(KV337))+1,1)))"),"S")</f>
        <v>S</v>
      </c>
      <c r="LD337" s="373" t="str">
        <f t="shared" si="193"/>
        <v>S</v>
      </c>
      <c r="LE337" s="339" t="str">
        <f t="shared" si="194"/>
        <v>S</v>
      </c>
      <c r="LF337" s="386" t="str">
        <f>IFERROR(__xludf.DUMMYFUNCTION("SUBSTITUTE(SUBSTITUTE(CONCATENATE(JOIN("""",LH337:LT337)),""1"",""""),""2"","""")"),"SS")</f>
        <v>SS</v>
      </c>
      <c r="LG337" s="369" t="str">
        <f t="shared" si="195"/>
        <v>-</v>
      </c>
      <c r="LH337" s="387" t="str">
        <f>IFERROR(__xludf.DUMMYFUNCTION("IF(REGEXMATCH(LD337, ""S""), ""S"",IF(REGEXMATCH(LE337, ""S""), ""S"",""""))"),"S")</f>
        <v>S</v>
      </c>
      <c r="LI337" s="299" t="str">
        <f>IFERROR(__xludf.DUMMYFUNCTION("IF(REGEXMATCH(LD337, ""r""), ""r1"",IF(REGEXMATCH(LE337, ""r""), ""r2"",""""))"),"")</f>
        <v/>
      </c>
      <c r="LJ337" s="299" t="str">
        <f>IFERROR(__xludf.DUMMYFUNCTION("IF(REGEXMATCH(LD337, ""R""), ""R1"",IF(REGEXMATCH(LE337, ""R""), ""R2"",""""))"),"")</f>
        <v/>
      </c>
      <c r="LK337" s="299" t="str">
        <f>IFERROR(__xludf.DUMMYFUNCTION("IF(REGEXMATCH(LD337, ""g""), ""g1"",IF(REGEXMATCH(LE337, ""g""), ""g2"",""""))"),"")</f>
        <v/>
      </c>
      <c r="LL337" s="299" t="str">
        <f>IFERROR(__xludf.DUMMYFUNCTION("IF(REGEXMATCH(LD337, ""G""), ""G1"",IF(REGEXMATCH(LE337, ""G""), ""G2"",""""))"),"")</f>
        <v/>
      </c>
      <c r="LM337" s="299" t="str">
        <f>IFERROR(__xludf.DUMMYFUNCTION("IF(REGEXMATCH(LD337, ""m""), ""m1"",IF(REGEXMATCH(LE337, ""m""), ""m2"",""""))"),"")</f>
        <v/>
      </c>
      <c r="LN337" s="299" t="str">
        <f>IFERROR(__xludf.DUMMYFUNCTION("IF(REGEXMATCH(LD337, ""M""), ""M1"",IF(REGEXMATCH(LE337, ""M""), ""M2"",""""))"),"")</f>
        <v/>
      </c>
      <c r="LO337" s="299" t="str">
        <f>IFERROR(__xludf.DUMMYFUNCTION("IF(REGEXMATCH(LD337, ""P""), ""P1"",IF(REGEXMATCH(LE337, ""P""), ""P2"",""""))"),"")</f>
        <v/>
      </c>
      <c r="LP337" s="299" t="str">
        <f>IFERROR(__xludf.DUMMYFUNCTION("IF(REGEXMATCH(LD337, ""d""), ""d1"",IF(REGEXMATCH(LE337, ""d""), ""d2"",""""))"),"")</f>
        <v/>
      </c>
      <c r="LQ337" s="299" t="str">
        <f>IFERROR(__xludf.DUMMYFUNCTION("IF(REGEXMATCH(LD337, ""D""), ""D1"",IF(REGEXMATCH(LE337, ""D""), ""D2"",""""))"),"")</f>
        <v/>
      </c>
      <c r="LR337" s="299" t="str">
        <f>IFERROR(__xludf.DUMMYFUNCTION("IF(REGEXMATCH(LD337, ""n""), ""n1"",IF(REGEXMATCH(LE337, ""n""), ""n2"",""""))"),"")</f>
        <v/>
      </c>
      <c r="LS337" s="299" t="str">
        <f>IFERROR(__xludf.DUMMYFUNCTION("IF(REGEXMATCH(LD337, ""N""), ""N1"",IF(REGEXMATCH(LE337, ""N""), ""N2"",""""))"),"")</f>
        <v/>
      </c>
      <c r="LT337" s="388" t="str">
        <f>IFERROR(__xludf.DUMMYFUNCTION("IF(REGEXMATCH(LD337, ""S""), ""S"",IF(REGEXMATCH(LE337, ""S""), ""S"",""""))"),"S")</f>
        <v>S</v>
      </c>
      <c r="LU337" s="389">
        <f t="shared" si="196"/>
        <v>1</v>
      </c>
      <c r="LV337" s="378"/>
      <c r="LW337" s="369"/>
      <c r="LX337" s="369"/>
    </row>
    <row r="338" ht="18.0" customHeight="1">
      <c r="A338" s="298" t="s">
        <v>1187</v>
      </c>
      <c r="B338" s="222" t="s">
        <v>912</v>
      </c>
      <c r="C338" s="233" t="str">
        <f t="shared" si="7"/>
        <v>SrGmMPdDNS</v>
      </c>
      <c r="D338" s="234" t="str">
        <f>IFERROR(__xludf.DUMMYFUNCTION("IF(REGEXMATCH(C338, ""S""), ""S"","""")"),"S")</f>
        <v>S</v>
      </c>
      <c r="E338" s="236" t="str">
        <f>IFERROR(__xludf.DUMMYFUNCTION("IF(REGEXMATCH(C338, ""r""), ""r"","""")"),"r")</f>
        <v>r</v>
      </c>
      <c r="F338" s="237" t="str">
        <f>IFERROR(__xludf.DUMMYFUNCTION("IF(REGEXMATCH(C338, ""R""), ""R"","""")"),"")</f>
        <v/>
      </c>
      <c r="G338" s="237" t="str">
        <f>IFERROR(__xludf.DUMMYFUNCTION("IF(REGEXMATCH(C338, ""g""), ""g"","""")"),"")</f>
        <v/>
      </c>
      <c r="H338" s="236" t="str">
        <f>IFERROR(__xludf.DUMMYFUNCTION("IF(REGEXMATCH(C338, ""G""), ""G"","""")"),"G")</f>
        <v>G</v>
      </c>
      <c r="I338" s="236" t="str">
        <f>IFERROR(__xludf.DUMMYFUNCTION("IF(REGEXMATCH(C338, ""m""), ""m"","""")"),"m")</f>
        <v>m</v>
      </c>
      <c r="J338" s="237" t="str">
        <f>IFERROR(__xludf.DUMMYFUNCTION("IF(REGEXMATCH(C338, ""M""), ""M"","""")"),"M")</f>
        <v>M</v>
      </c>
      <c r="K338" s="236" t="str">
        <f>IFERROR(__xludf.DUMMYFUNCTION("IF(REGEXMATCH(C338, ""P""), ""P"","""")"),"P")</f>
        <v>P</v>
      </c>
      <c r="L338" s="237" t="str">
        <f>IFERROR(__xludf.DUMMYFUNCTION("IF(REGEXMATCH(C338, ""d""), ""d"","""")"),"d")</f>
        <v>d</v>
      </c>
      <c r="M338" s="236" t="str">
        <f>IFERROR(__xludf.DUMMYFUNCTION("IF(REGEXMATCH(C338, ""D""), ""D"","""")"),"D")</f>
        <v>D</v>
      </c>
      <c r="N338" s="236" t="str">
        <f>IFERROR(__xludf.DUMMYFUNCTION("IF(REGEXMATCH(C338, ""n""), ""n"","""")"),"")</f>
        <v/>
      </c>
      <c r="O338" s="237" t="str">
        <f>IFERROR(__xludf.DUMMYFUNCTION("IF(REGEXMATCH(C338, ""N""), ""N"","""")"),"N")</f>
        <v>N</v>
      </c>
      <c r="P338" s="238" t="str">
        <f>IFERROR(__xludf.DUMMYFUNCTION("IF(REGEXMATCH(C338, ""S""), ""S"","""")"),"S")</f>
        <v>S</v>
      </c>
      <c r="Q338" s="239" t="str">
        <f>IFERROR(__xludf.DUMMYFUNCTION("SUBSTITUTE(CONCATENATE(JOIN(""-"",D338:J338)),""-"","""")"),"SrGmM")</f>
        <v>SrGmM</v>
      </c>
      <c r="R338" s="229" t="str">
        <f>IFERROR(__xludf.DUMMYFUNCTION("SUBSTITUTE(CONCATENATE(JOIN(""-"",K338:P338)),""-"","""")"),"PdDNS")</f>
        <v>PdDNS</v>
      </c>
      <c r="S338" s="282" t="str">
        <f t="shared" si="8"/>
        <v>S-R-G-M</v>
      </c>
      <c r="T338" s="282" t="str">
        <f t="shared" si="9"/>
        <v>P-D-N-S</v>
      </c>
      <c r="U338" s="237" t="str">
        <f>IFERROR(__xludf.DUMMYFUNCTION("SUBSTITUTE(JOIN(""-"",S338,T338),""--"",""-"")"),"S-R-G-M-P-D-N-S")</f>
        <v>S-R-G-M-P-D-N-S</v>
      </c>
      <c r="V338" s="309" t="str">
        <f t="shared" si="10"/>
        <v>rGmMdDN</v>
      </c>
      <c r="W338" s="244" t="str">
        <f>IFERROR(__xludf.DUMMYFUNCTION("IF(REGEXMATCH(C338, ""S""), ""0"","""")"),"0")</f>
        <v>0</v>
      </c>
      <c r="X338" s="245" t="str">
        <f>IFERROR(__xludf.DUMMYFUNCTION("IF(REGEXMATCH(C338, ""r""), ""1"","""")"),"1")</f>
        <v>1</v>
      </c>
      <c r="Y338" s="246" t="str">
        <f>IFERROR(__xludf.DUMMYFUNCTION("IF(REGEXMATCH(C338, ""R""), ""2"","""")"),"")</f>
        <v/>
      </c>
      <c r="Z338" s="246" t="str">
        <f>IFERROR(__xludf.DUMMYFUNCTION("IF(REGEXMATCH(C338, ""g""), ""3"","""")"),"")</f>
        <v/>
      </c>
      <c r="AA338" s="245" t="str">
        <f>IFERROR(__xludf.DUMMYFUNCTION("IF(REGEXMATCH(C338, ""G""), ""4"","""")"),"4")</f>
        <v>4</v>
      </c>
      <c r="AB338" s="245" t="str">
        <f>IFERROR(__xludf.DUMMYFUNCTION("IF(REGEXMATCH(C338, ""m""), ""5"","""")"),"5")</f>
        <v>5</v>
      </c>
      <c r="AC338" s="246" t="str">
        <f>IFERROR(__xludf.DUMMYFUNCTION("IF(REGEXMATCH(C338, ""M""), ""6"","""")"),"6")</f>
        <v>6</v>
      </c>
      <c r="AD338" s="245" t="str">
        <f>IFERROR(__xludf.DUMMYFUNCTION("IF(REGEXMATCH(C338, ""P""), ""7"","""")"),"7")</f>
        <v>7</v>
      </c>
      <c r="AE338" s="246" t="str">
        <f>IFERROR(__xludf.DUMMYFUNCTION("IF(REGEXMATCH(C338, ""d""), ""8"","""")"),"8")</f>
        <v>8</v>
      </c>
      <c r="AF338" s="245" t="str">
        <f>IFERROR(__xludf.DUMMYFUNCTION("IF(REGEXMATCH(C338, ""D""), ""9"","""")"),"9")</f>
        <v>9</v>
      </c>
      <c r="AG338" s="245" t="str">
        <f>IFERROR(__xludf.DUMMYFUNCTION("IF(REGEXMATCH(C338, ""n""), ""10"","""")"),"")</f>
        <v/>
      </c>
      <c r="AH338" s="246" t="str">
        <f>IFERROR(__xludf.DUMMYFUNCTION("IF(REGEXMATCH(C338, ""N""), ""11"","""")"),"11")</f>
        <v>11</v>
      </c>
      <c r="AI338" s="249" t="str">
        <f>IFERROR(__xludf.DUMMYFUNCTION("IF(REGEXMATCH(C338, ""S""), ""0"","""")"),"0")</f>
        <v>0</v>
      </c>
      <c r="AJ338" s="313" t="str">
        <f t="shared" si="11"/>
        <v>T</v>
      </c>
      <c r="AK338" s="313" t="str">
        <f t="shared" si="12"/>
        <v>T</v>
      </c>
      <c r="AL338" s="313" t="str">
        <f t="shared" si="13"/>
        <v>-</v>
      </c>
      <c r="AM338" s="313" t="str">
        <f t="shared" si="14"/>
        <v>-</v>
      </c>
      <c r="AN338" s="313" t="str">
        <f t="shared" si="15"/>
        <v>-</v>
      </c>
      <c r="AO338" s="314" t="str">
        <f t="shared" si="16"/>
        <v>T</v>
      </c>
      <c r="AP338" s="316">
        <f t="shared" si="17"/>
        <v>3</v>
      </c>
      <c r="AQ338" s="319" t="str">
        <f t="shared" si="18"/>
        <v>-</v>
      </c>
      <c r="AR338" s="320">
        <f t="shared" si="19"/>
        <v>0</v>
      </c>
      <c r="AS338" s="250" t="str">
        <f>IFERROR(__xludf.DUMMYFUNCTION("SUBSTITUTE(SUBSTITUTE(CONCATENATE(JOIN("""",FP338:GA338)),""|"",""x""),""-"",""o"")"),"xxooxxxxxxox")</f>
        <v>xxooxxxxxxox</v>
      </c>
      <c r="AT338" s="323" t="str">
        <f>IFERROR(__xludf.DUMMYFUNCTION("JOIN("""",AS338,AS338)"),"xxooxxxxxxoxxxooxxxxxxox")</f>
        <v>xxooxxxxxxoxxxooxxxxxxox</v>
      </c>
      <c r="AU338" s="256" t="str">
        <f>IFERROR(__xludf.DUMMYFUNCTION("JOIN("""",ArrayFormula(MID(AS338,LEN(AS338)-SEQUENCE(1,LEN(AS338))+1,1)))"),"xoxxxxxxooxx")</f>
        <v>xoxxxxxxooxx</v>
      </c>
      <c r="AV338" s="256" t="str">
        <f>IFERROR(__xludf.DUMMYFUNCTION("LEFT(CONCATENATE(""x"",JOIN("""",ArrayFormula(MID(AS338,LEN(AS338)-SEQUENCE(1,LEN(AS338))+1,1)))),12)"),"xxoxxxxxxoox")</f>
        <v>xxoxxxxxxoox</v>
      </c>
      <c r="AW338" s="327" t="str">
        <f>IFERROR(__xludf.DUMMYFUNCTION("JOIN("""",AU338,AU338)"),"xoxxxxxxooxxxoxxxxxxooxx")</f>
        <v>xoxxxxxxooxxxoxxxxxxooxx</v>
      </c>
      <c r="AX338" s="239" t="str">
        <f>IFERROR(__xludf.DUMMYFUNCTION("IF(REGEXMATCH(AW338,AS338),""✔"",""-"")"),"-")</f>
        <v>-</v>
      </c>
      <c r="AY338" s="330" t="str">
        <f t="shared" si="20"/>
        <v>-</v>
      </c>
      <c r="AZ338" s="260" t="str">
        <f t="shared" si="21"/>
        <v>#REF!</v>
      </c>
      <c r="BA338" s="333" t="str">
        <f t="shared" si="22"/>
        <v>xxooxxx</v>
      </c>
      <c r="BB338" s="334" t="str">
        <f t="shared" si="23"/>
        <v>xxxoxx</v>
      </c>
      <c r="BC338" s="335" t="str">
        <f t="shared" si="236"/>
        <v>-</v>
      </c>
      <c r="BD338" s="336" t="str">
        <f t="shared" si="25"/>
        <v>Sonakshi: 'xxooxxx' + 'xxxoxx'</v>
      </c>
      <c r="BE338" s="337">
        <f>IFERROR(__xludf.DUMMYFUNCTION("COUNTUNIQUE(FILTER(AT:AT,REGEXMATCH(AT:AT,AS338)))-1"),0.0)</f>
        <v>0</v>
      </c>
      <c r="BF338" s="261" t="str">
        <f>IFERROR(__xludf.DUMMYFUNCTION("IF(BI338=0,""(n/a)"",IF(BJ338=2,""(PAIR)"",IF(REGEXMATCH(AT338,""xoxoxxoxoxox""),""Bilawal"",IF(REGEXMATCH(AT338,""xoxoxooxoxoo""),""Bhupali"",IF(REGEXMATCH(AT338,""xoxoxxoxxoxo""),""Charukeshi"",IF(REGEXMATCH(AT338,""xoxoooxxoxxo""),""Kameshwari"",IF(REG"&amp;"EXMATCH(AT338,""xoxoxooxoxox""),""Shankara"",IF(REGEXMATCH(AT338,""xxooxoxxxoox""),""Basant"",IF(REGEXMATCH(AT338,""xoxoxxxxoxox""),""Bihag"",IF(REGEXMATCH(AT338,""xoxxxxoxoxxx""),""Pilu"",IF(REGEXMATCH(AT338,""xoxxoxoxxoox""),""Kirwani"",IF(REGEXMATCH(AT"&amp;"338,""xoxxoxoxoxxx""),""Mk.Malhar"",IF(REGEXMATCH(AT338,""xxooxxoxxoox""),""Bhairav"",IF(REGEXMATCH(AT338,""xxoxooxxxoox""),""Todi"",IF(REGEXMATCH(AT338,""xxooxoxooxox""),""Marwa"",IF(REGEXMATCH(AT338,""xxoooxoxxooo""),""Gunkali"",IF(REGEXMATCH(AT338,""xo"&amp;"xoxxoxxoox""),""Nat Bhairav"",IF(REGEXMATCH(AT338,""xoxxoooxoxoo""),""Shivranjani"",IF(REGEXMATCH(AT338,""xooxxxoxooxo""),""Jog"",IF(REGEXMATCH(AT338,""xxooxoxoxoox""),""Hemshri"",IF(REGEXMATCH(AT338,""xoooxooxoxxo""),""Kalavati"",IF(REGEXMATCH(AT338,""xx"&amp;"oxoxxoxoox""),""Kedar"",IF(REGEXMATCH(AT338,""xoxxxxoxooxx""),""Gara"",IF(REGEXMATCH(AT338,""xooxoxooxoox""),""Chandrakauns"",IF(REGEXMATCH(AT338,""xoxxxxoxxxox""),""Mand"",IF(REGEXMATCH(AT338,""xoxxxxoxoxox""),""Hanskinkini"",IF(REGEXMATCH(AT338,""xxooxx"&amp;"oxooxo""),""Lilavati"",IF(REGEXMATCH(AT338,""xooxoxoooxox""),""Rajeshwari"",IF(REGEXMATCH(AT338,""xoooxxoxoxxx""),""Khokar"",IF(REGEXMATCH(AT338,""xxooxoxxxxox""),""Maligoura"",""-""))))))))))))))))))))))))))))))"),"(n/a)")</f>
        <v>(n/a)</v>
      </c>
      <c r="BG338" s="239" t="str">
        <f t="shared" si="26"/>
        <v>#REF!</v>
      </c>
      <c r="BH338" s="239">
        <f>IFERROR(__xludf.DUMMYFUNCTION("COUNTUNIQUE(FE338:FO338)-1"),8.0)</f>
        <v>8</v>
      </c>
      <c r="BI338" s="239">
        <f>IFERROR(__xludf.DUMMYFUNCTION("COUNTUNIQUE(FILTER(AT:AT,REGEXMATCH(AT:AT,AS338)))-1"),0.0)</f>
        <v>0</v>
      </c>
      <c r="BJ338" s="239">
        <f>IFERROR(__xludf.DUMMYFUNCTION("COUNTA(FILTER(AT:AT,REGEXMATCH(AT:AT,AS338)))"),5.0)</f>
        <v>5</v>
      </c>
      <c r="BK338" s="341">
        <f>IFERROR(__xludf.DUMMYFUNCTION("COUNTA(FILTER(AT:AT,REGEXMATCH(AT:AT,AS338)))-AR338"),5.0)</f>
        <v>5</v>
      </c>
      <c r="BL338" s="276" t="str">
        <f>IFERROR(__xludf.DUMMYFUNCTION("IF(AS338=""oooooooooooo"",""-"",IF(REGEXMATCH(AT338,""xx""), ""Hemi."", ""Anhemi.""))"),"Hemi.")</f>
        <v>Hemi.</v>
      </c>
      <c r="BM338" s="282" t="str">
        <f>IFERROR(__xludf.DUMMYFUNCTION("IF(AS338=""oooooooooooo"",""-"",IF(REGEXMATCH(AT338,""xxx""), ""Cohem."", ""-""))"),"Cohem.")</f>
        <v>Cohem.</v>
      </c>
      <c r="BN338" s="282" t="str">
        <f>IFERROR(__xludf.DUMMYFUNCTION("IF(AS338=""oooooooooooo"",""-"",IF(REGEXMATCH(AT338,""xxxx""), ""Co-Co."", ""-""))"),"Co-Co.")</f>
        <v>Co-Co.</v>
      </c>
      <c r="BO338" s="342" t="str">
        <f>IFERROR(__xludf.DUMMYFUNCTION("IF(AS338=""oooooooooooo"",""-"",IF(REGEXMATCH(AT338,""xxxxx""), ""CCC."", ""-""))"),"CCC.")</f>
        <v>CCC.</v>
      </c>
      <c r="BP338" s="344" t="str">
        <f t="shared" si="27"/>
        <v>-</v>
      </c>
      <c r="BQ338" s="282" t="str">
        <f>IFERROR(__xludf.DUMMYFUNCTION("IF(REGEXMATCH(JOIN(""-"",EU338:FD338),""TRUE""),""✔"",""-"")"),"-")</f>
        <v>-</v>
      </c>
      <c r="BR338" s="225">
        <f t="shared" si="28"/>
        <v>0</v>
      </c>
      <c r="BS338" s="345" t="str">
        <f>IFERROR(__xludf.DUMMYFUNCTION("SUBSTITUTE(SUBSTITUTE(SUBSTITUTE(SUBSTITUTE(CONCATENATE(JOIN(""-"",GC338:GO338)),""--"",""-""),""--"",""-""),""--"",""-""),""--"",""-"")"),"1-b2-3-4-#4-5-b6-6-7-8")</f>
        <v>1-b2-3-4-#4-5-b6-6-7-8</v>
      </c>
      <c r="BT338" s="299" t="str">
        <f>IFERROR(__xludf.DUMMYFUNCTION("SUBSTITUTE(SUBSTITUTE(SUBSTITUTE(SUBSTITUTE(CONCATENATE(JOIN(""-"",GP338:HB338)),""--"",""-""),""--"",""-""),""--"",""-""),""--"",""-"")"),"S-R1-G3-M1-M2-P-D1-D2-N3-S")</f>
        <v>S-R1-G3-M1-M2-P-D1-D2-N3-S</v>
      </c>
      <c r="BU338" s="348" t="str">
        <f t="shared" si="29"/>
        <v>C-Db-E-F-F#-G-Ab-A-B-C</v>
      </c>
      <c r="BV338" s="349" t="str">
        <f t="shared" si="30"/>
        <v>SRgnS</v>
      </c>
      <c r="BW338" s="350">
        <f t="shared" si="31"/>
        <v>0</v>
      </c>
      <c r="BX338" s="351">
        <f t="shared" si="32"/>
        <v>5</v>
      </c>
      <c r="BY338" s="352" t="s">
        <v>275</v>
      </c>
      <c r="BZ338" s="309" t="str">
        <f>IFERROR(__xludf.DUMMYFUNCTION("IF(REGEXMATCH(C338, ""S""), ""x"",""x"")"),"x")</f>
        <v>x</v>
      </c>
      <c r="CA338" s="245" t="str">
        <f>IFERROR(__xludf.DUMMYFUNCTION("IF(REGEXMATCH(C338, ""r""), ""o"",""x"")"),"o")</f>
        <v>o</v>
      </c>
      <c r="CB338" s="246" t="str">
        <f>IFERROR(__xludf.DUMMYFUNCTION("IF(REGEXMATCH(C338, ""R""), ""o"",""x"")"),"x")</f>
        <v>x</v>
      </c>
      <c r="CC338" s="246" t="str">
        <f>IFERROR(__xludf.DUMMYFUNCTION("IF(REGEXMATCH(C338, ""g""), ""o"",""x"")"),"x")</f>
        <v>x</v>
      </c>
      <c r="CD338" s="245" t="str">
        <f>IFERROR(__xludf.DUMMYFUNCTION("IF(REGEXMATCH(C338, ""G""), ""o"",""x"")"),"o")</f>
        <v>o</v>
      </c>
      <c r="CE338" s="245" t="str">
        <f>IFERROR(__xludf.DUMMYFUNCTION("IF(REGEXMATCH(C338, ""m""), ""o"",""x"")"),"o")</f>
        <v>o</v>
      </c>
      <c r="CF338" s="246" t="str">
        <f>IFERROR(__xludf.DUMMYFUNCTION("IF(REGEXMATCH(C338, ""M""), ""o"",""x"")"),"o")</f>
        <v>o</v>
      </c>
      <c r="CG338" s="245" t="str">
        <f>IFERROR(__xludf.DUMMYFUNCTION("IF(REGEXMATCH(C338, ""P""), ""o"",""x"")"),"o")</f>
        <v>o</v>
      </c>
      <c r="CH338" s="246" t="str">
        <f>IFERROR(__xludf.DUMMYFUNCTION("IF(REGEXMATCH(C338, ""d""), ""o"",""x"")"),"o")</f>
        <v>o</v>
      </c>
      <c r="CI338" s="245" t="str">
        <f>IFERROR(__xludf.DUMMYFUNCTION("IF(REGEXMATCH(C338, ""D""), ""o"",""x"")"),"o")</f>
        <v>o</v>
      </c>
      <c r="CJ338" s="245" t="str">
        <f>IFERROR(__xludf.DUMMYFUNCTION("IF(REGEXMATCH(C338, ""n""), ""o"",""x"")"),"x")</f>
        <v>x</v>
      </c>
      <c r="CK338" s="245" t="str">
        <f>IFERROR(__xludf.DUMMYFUNCTION("IF(REGEXMATCH(C338, ""N""), ""o"",""x"")"),"o")</f>
        <v>o</v>
      </c>
      <c r="CL338" s="356" t="str">
        <f>IFERROR(__xludf.DUMMYFUNCTION("IF(REGEXMATCH(C338, ""S""), ""x"",""x"")"),"x")</f>
        <v>x</v>
      </c>
      <c r="CM338" s="357" t="str">
        <f t="shared" si="33"/>
        <v>xoxxooooooxo</v>
      </c>
      <c r="CN338" s="358">
        <f t="shared" si="34"/>
        <v>0</v>
      </c>
      <c r="CO338" s="246" t="str">
        <f>IFERROR(__xludf.DUMMYFUNCTION("IF(REGEXMATCH($C338, ""S""), ""S"",""S"")"),"S")</f>
        <v>S</v>
      </c>
      <c r="CP338" s="246" t="str">
        <f>IFERROR(__xludf.DUMMYFUNCTION("IF(REGEXMATCH($C338, ""r""), """",""r"")"),"")</f>
        <v/>
      </c>
      <c r="CQ338" s="246" t="str">
        <f>IFERROR(__xludf.DUMMYFUNCTION("IF(REGEXMATCH($C338, ""R""), """",""R"")"),"R")</f>
        <v>R</v>
      </c>
      <c r="CR338" s="246" t="str">
        <f>IFERROR(__xludf.DUMMYFUNCTION("IF(REGEXMATCH($C338, ""g""), """",""g"")"),"g")</f>
        <v>g</v>
      </c>
      <c r="CS338" s="246" t="str">
        <f>IFERROR(__xludf.DUMMYFUNCTION("IF(REGEXMATCH($C338, ""G""), """",""G"")"),"")</f>
        <v/>
      </c>
      <c r="CT338" s="246" t="str">
        <f>IFERROR(__xludf.DUMMYFUNCTION("IF(REGEXMATCH($C338, ""m""), """",""m"")"),"")</f>
        <v/>
      </c>
      <c r="CU338" s="246" t="str">
        <f>IFERROR(__xludf.DUMMYFUNCTION("IF(REGEXMATCH($C338, ""M""), """",""M"")"),"")</f>
        <v/>
      </c>
      <c r="CV338" s="246" t="str">
        <f>IFERROR(__xludf.DUMMYFUNCTION("IF(REGEXMATCH($C338, ""P""), """",""P"")"),"")</f>
        <v/>
      </c>
      <c r="CW338" s="246" t="str">
        <f>IFERROR(__xludf.DUMMYFUNCTION("IF(REGEXMATCH($C338, ""d""), """",""d"")"),"")</f>
        <v/>
      </c>
      <c r="CX338" s="246" t="str">
        <f>IFERROR(__xludf.DUMMYFUNCTION("IF(REGEXMATCH($C338, ""D""), """",""D"")"),"")</f>
        <v/>
      </c>
      <c r="CY338" s="246" t="str">
        <f>IFERROR(__xludf.DUMMYFUNCTION("IF(REGEXMATCH($C338, ""n""), """",""n"")"),"n")</f>
        <v>n</v>
      </c>
      <c r="CZ338" s="246" t="str">
        <f>IFERROR(__xludf.DUMMYFUNCTION("IF(REGEXMATCH($C338, ""N""), """",""N"")"),"")</f>
        <v/>
      </c>
      <c r="DA338" s="246" t="str">
        <f>IFERROR(__xludf.DUMMYFUNCTION("IF(REGEXMATCH($C338, ""S""), ""S"",""S"")"),"S")</f>
        <v>S</v>
      </c>
      <c r="DB338" s="362" t="str">
        <f>IFERROR(__xludf.DUMMYFUNCTION("JOIN("""",CO338:DA338,"""","""")"),"SRgnS")</f>
        <v>SRgnS</v>
      </c>
      <c r="DC338" s="363"/>
      <c r="DD338" s="301" t="str">
        <f t="shared" si="35"/>
        <v>#REF!</v>
      </c>
      <c r="DE338" s="302" t="str">
        <f t="shared" si="36"/>
        <v>#REF!</v>
      </c>
      <c r="DF338" s="301" t="str">
        <f t="shared" ref="DF338:DG338" si="908">SUBSTITUTE(S338,"-","")</f>
        <v>SRGM</v>
      </c>
      <c r="DG338" s="301" t="str">
        <f t="shared" si="908"/>
        <v>PDNS</v>
      </c>
      <c r="DH338" s="302" t="str">
        <f t="shared" si="38"/>
        <v>(n/a)</v>
      </c>
      <c r="DI338" s="301" t="str">
        <f t="shared" si="39"/>
        <v>Hemi.</v>
      </c>
      <c r="DJ338" s="364" t="str">
        <f t="shared" si="40"/>
        <v>CCC.</v>
      </c>
      <c r="DK338" s="306" t="str">
        <f t="shared" si="41"/>
        <v>-</v>
      </c>
      <c r="DL338" s="366" t="str">
        <f t="shared" si="42"/>
        <v>-</v>
      </c>
      <c r="DM338" s="308" t="str">
        <f t="shared" si="43"/>
        <v>✔</v>
      </c>
      <c r="DN338" s="306" t="str">
        <f t="shared" si="44"/>
        <v>-</v>
      </c>
      <c r="DO338" s="306" t="str">
        <f t="shared" si="45"/>
        <v>-</v>
      </c>
      <c r="DP338" s="367" t="str">
        <f t="shared" si="46"/>
        <v>-</v>
      </c>
      <c r="DQ338" s="310" t="str">
        <f t="shared" si="47"/>
        <v>-</v>
      </c>
      <c r="DR338" s="310" t="str">
        <f t="shared" si="48"/>
        <v>-</v>
      </c>
      <c r="DS338" s="310" t="str">
        <f t="shared" si="49"/>
        <v>✔</v>
      </c>
      <c r="DT338" s="310" t="str">
        <f t="shared" si="50"/>
        <v>✔</v>
      </c>
      <c r="DU338" s="370" t="str">
        <f t="shared" si="51"/>
        <v>-</v>
      </c>
      <c r="DV338" s="306" t="str">
        <f t="shared" si="52"/>
        <v>-</v>
      </c>
      <c r="DW338" s="306" t="str">
        <f t="shared" si="53"/>
        <v>-</v>
      </c>
      <c r="DX338" s="306" t="str">
        <f t="shared" si="54"/>
        <v>-</v>
      </c>
      <c r="DY338" s="306" t="str">
        <f t="shared" si="55"/>
        <v>-</v>
      </c>
      <c r="DZ338" s="306" t="str">
        <f t="shared" si="56"/>
        <v>-</v>
      </c>
      <c r="EA338" s="367" t="str">
        <f t="shared" si="57"/>
        <v>-</v>
      </c>
      <c r="EB338" s="310" t="str">
        <f>IFERROR(__xludf.DUMMYFUNCTION("IF(REGEXMATCH(AW338,AS338),""✔"",""-"")"),"-")</f>
        <v>-</v>
      </c>
      <c r="EC338" s="310" t="str">
        <f t="shared" si="58"/>
        <v>#REF!</v>
      </c>
      <c r="ED338" s="370" t="str">
        <f t="shared" si="59"/>
        <v>-</v>
      </c>
      <c r="EE338" s="340" t="str">
        <f t="shared" si="60"/>
        <v>S-r-G-mM-P-dD-N-S</v>
      </c>
      <c r="EF338" s="371" t="str">
        <f>IFERROR(__xludf.DUMMYFUNCTION("CONCATENATE(JOIN("""",HC338:HO338))"),"SrgGmMPdNS")</f>
        <v>SrgGmMPdNS</v>
      </c>
      <c r="EG338" s="372">
        <f t="shared" si="61"/>
        <v>2</v>
      </c>
      <c r="EH338" s="373" t="str">
        <f>IFERROR(__xludf.DUMMYFUNCTION("CONCATENATE(JOIN("""",JC338:JO338))"),"Pa, dha, ")</f>
        <v>Pa, dha, </v>
      </c>
      <c r="EI338" s="322">
        <f t="shared" si="62"/>
        <v>0</v>
      </c>
      <c r="EJ338" s="374" t="str">
        <f>IFERROR(__xludf.DUMMYFUNCTION("CONCATENATE(JOIN("""",KC338:KO338))"),"")</f>
        <v/>
      </c>
      <c r="EK338" s="325" t="str">
        <f t="shared" si="63"/>
        <v>S-R1-G3-M1-M2-P-D1-D2-N3-S</v>
      </c>
      <c r="EL338" s="326" t="str">
        <f t="shared" si="64"/>
        <v>1-b2-3-4-#4-5-b6-6-7-8</v>
      </c>
      <c r="EM338" s="318" t="str">
        <f t="shared" si="65"/>
        <v>#REF!</v>
      </c>
      <c r="EN338" s="328" t="str">
        <f>IFERROR(__xludf.DUMMYFUNCTION("SUBSTITUTE(SUBSTITUTE(SUBSTITUTE(SUBSTITUTE(CONCATENATE(JOIN("" "",HP338:IB338)),""  "","" ""),""  "","" ""),""  "","" ""),""  "","" "")"),"o o • • o o o o o o • o o")</f>
        <v>o o • • o o o o o o • o o</v>
      </c>
      <c r="EO338" s="368" t="str">
        <f t="shared" si="66"/>
        <v>-</v>
      </c>
      <c r="EP338" s="339" t="str">
        <f t="shared" si="67"/>
        <v>-</v>
      </c>
      <c r="EQ338" s="339" t="str">
        <f t="shared" si="68"/>
        <v>Sa-Pa</v>
      </c>
      <c r="ER338" s="339" t="str">
        <f t="shared" si="69"/>
        <v>-</v>
      </c>
      <c r="ES338" s="340" t="str">
        <f t="shared" si="70"/>
        <v>-</v>
      </c>
      <c r="ET338" s="363"/>
      <c r="EU338" s="376" t="b">
        <f>IFERROR(__xludf.DUMMYFUNCTION("arrayformula(sum(--REGEXMATCH(""SRGMPDNS"",split(REGEXREPLACE(C338,""(.)"",""$1~""),""~""))))=len(C338)
"),FALSE)</f>
        <v>0</v>
      </c>
      <c r="EV338" s="290" t="b">
        <f>IFERROR(__xludf.DUMMYFUNCTION("arrayformula(sum(--REGEXMATCH(""SRGmPDNS"",split(REGEXREPLACE(C338,""(.)"",""$1~""),""~""))))=len(C338)"),FALSE)</f>
        <v>0</v>
      </c>
      <c r="EW338" s="290" t="b">
        <f>IFERROR(__xludf.DUMMYFUNCTION("arrayformula(sum(--REGEXMATCH(""SRGmPDnS"",split(REGEXREPLACE(C338,""(.)"",""$1~""),""~""))))=len(C338)"),FALSE)</f>
        <v>0</v>
      </c>
      <c r="EX338" s="290" t="b">
        <f>IFERROR(__xludf.DUMMYFUNCTION("arrayformula(sum(--REGEXMATCH(""SRgmPDnS"",split(REGEXREPLACE(C338,""(.)"",""$1~""),""~""))))=len(C338)"),FALSE)</f>
        <v>0</v>
      </c>
      <c r="EY338" s="290" t="b">
        <f>IFERROR(__xludf.DUMMYFUNCTION("arrayformula(sum(--REGEXMATCH(""SRgmPdnS"",split(REGEXREPLACE(C338,""(.)"",""$1~""),""~""))))=len(C338)"),FALSE)</f>
        <v>0</v>
      </c>
      <c r="EZ338" s="290" t="b">
        <f>IFERROR(__xludf.DUMMYFUNCTION("arrayformula(sum(--REGEXMATCH(""SrgmPdnS"",split(REGEXREPLACE(C338,""(.)"",""$1~""),""~""))))=len(C338)"),FALSE)</f>
        <v>0</v>
      </c>
      <c r="FA338" s="290" t="b">
        <f>IFERROR(__xludf.DUMMYFUNCTION("arrayformula(sum(--REGEXMATCH(""SrGmPdNS"",split(REGEXREPLACE(C338,""(.)"",""$1~""),""~""))))=len(C338)"),FALSE)</f>
        <v>0</v>
      </c>
      <c r="FB338" s="290" t="b">
        <f>IFERROR(__xludf.DUMMYFUNCTION("arrayformula(sum(--REGEXMATCH(""SrGMPDNS"",split(REGEXREPLACE(C338,""(.)"",""$1~""),""~""))))=len(C338)"),FALSE)</f>
        <v>0</v>
      </c>
      <c r="FC338" s="290" t="b">
        <f>IFERROR(__xludf.DUMMYFUNCTION("arrayformula(sum(--REGEXMATCH(""SrGMPdNS"",split(REGEXREPLACE(C338,""(.)"",""$1~""),""~""))))=len(C338)"),FALSE)</f>
        <v>0</v>
      </c>
      <c r="FD338" s="377" t="b">
        <f>IFERROR(__xludf.DUMMYFUNCTION("arrayformula(sum(--REGEXMATCH(""SrgMPdNS"",split(REGEXREPLACE(C338,""(.)"",""$1~""),""~""))))=len(C338)"),FALSE)</f>
        <v>0</v>
      </c>
      <c r="FE338" s="269" t="str">
        <f t="shared" si="71"/>
        <v>xooxxxxxxox</v>
      </c>
      <c r="FF338" s="269" t="str">
        <f t="shared" si="72"/>
        <v>-</v>
      </c>
      <c r="FG338" s="271" t="str">
        <f t="shared" si="73"/>
        <v>-</v>
      </c>
      <c r="FH338" s="269" t="str">
        <f t="shared" si="74"/>
        <v>xxxxxxoxxxo</v>
      </c>
      <c r="FI338" s="271" t="str">
        <f t="shared" si="75"/>
        <v>xxxxxoxxxoo</v>
      </c>
      <c r="FJ338" s="271" t="str">
        <f t="shared" si="76"/>
        <v>xxxxoxxxoox</v>
      </c>
      <c r="FK338" s="271" t="str">
        <f t="shared" si="77"/>
        <v>xxxoxxxooxx</v>
      </c>
      <c r="FL338" s="271" t="str">
        <f t="shared" si="78"/>
        <v>xxoxxxooxxx</v>
      </c>
      <c r="FM338" s="271" t="str">
        <f t="shared" si="79"/>
        <v>xoxxxooxxxx</v>
      </c>
      <c r="FN338" s="271" t="str">
        <f t="shared" si="80"/>
        <v>-</v>
      </c>
      <c r="FO338" s="274" t="str">
        <f t="shared" si="81"/>
        <v>xxxooxxxxxx</v>
      </c>
      <c r="FP338" s="234" t="str">
        <f t="shared" si="82"/>
        <v>|</v>
      </c>
      <c r="FQ338" s="236" t="str">
        <f t="shared" si="83"/>
        <v>|</v>
      </c>
      <c r="FR338" s="237" t="str">
        <f t="shared" si="84"/>
        <v>-</v>
      </c>
      <c r="FS338" s="236" t="str">
        <f t="shared" si="85"/>
        <v>-</v>
      </c>
      <c r="FT338" s="237" t="str">
        <f t="shared" si="86"/>
        <v>|</v>
      </c>
      <c r="FU338" s="236" t="str">
        <f t="shared" si="87"/>
        <v>|</v>
      </c>
      <c r="FV338" s="237" t="str">
        <f t="shared" si="88"/>
        <v>|</v>
      </c>
      <c r="FW338" s="236" t="str">
        <f t="shared" si="89"/>
        <v>|</v>
      </c>
      <c r="FX338" s="237" t="str">
        <f t="shared" si="90"/>
        <v>|</v>
      </c>
      <c r="FY338" s="236" t="str">
        <f t="shared" si="91"/>
        <v>|</v>
      </c>
      <c r="FZ338" s="237" t="str">
        <f t="shared" si="92"/>
        <v>-</v>
      </c>
      <c r="GA338" s="236" t="str">
        <f t="shared" si="93"/>
        <v>|</v>
      </c>
      <c r="GB338" s="238" t="str">
        <f t="shared" si="94"/>
        <v>|</v>
      </c>
      <c r="GC338" s="244" t="str">
        <f>IFERROR(__xludf.DUMMYFUNCTION("IF(REGEXMATCH(C338, ""S""), ""1"","""")"),"1")</f>
        <v>1</v>
      </c>
      <c r="GD338" s="245" t="str">
        <f>IFERROR(__xludf.DUMMYFUNCTION("IF(REGEXMATCH(C338, ""r""), ""b2"","""")"),"b2")</f>
        <v>b2</v>
      </c>
      <c r="GE338" s="246" t="str">
        <f>IFERROR(__xludf.DUMMYFUNCTION("IF(REGEXMATCH(C338, ""R""), ""2"","""")"),"")</f>
        <v/>
      </c>
      <c r="GF338" s="246" t="str">
        <f>IFERROR(__xludf.DUMMYFUNCTION("IF(REGEXMATCH(C338, ""g""), ""b3"","""")"),"")</f>
        <v/>
      </c>
      <c r="GG338" s="245" t="str">
        <f>IFERROR(__xludf.DUMMYFUNCTION("IF(REGEXMATCH(C338, ""G""), ""3"","""")"),"3")</f>
        <v>3</v>
      </c>
      <c r="GH338" s="245" t="str">
        <f>IFERROR(__xludf.DUMMYFUNCTION("IF(REGEXMATCH(C338, ""m""), ""4"","""")"),"4")</f>
        <v>4</v>
      </c>
      <c r="GI338" s="246" t="str">
        <f>IFERROR(__xludf.DUMMYFUNCTION("IF(REGEXMATCH(C338, ""M""), ""#4"","""")"),"#4")</f>
        <v>#4</v>
      </c>
      <c r="GJ338" s="245" t="str">
        <f>IFERROR(__xludf.DUMMYFUNCTION("IF(REGEXMATCH(C338, ""P""), ""5"","""")"),"5")</f>
        <v>5</v>
      </c>
      <c r="GK338" s="246" t="str">
        <f>IFERROR(__xludf.DUMMYFUNCTION("IF(REGEXMATCH(C338, ""d""), ""b6"","""")"),"b6")</f>
        <v>b6</v>
      </c>
      <c r="GL338" s="245" t="str">
        <f>IFERROR(__xludf.DUMMYFUNCTION("IF(REGEXMATCH(C338, ""D""), ""6"","""")"),"6")</f>
        <v>6</v>
      </c>
      <c r="GM338" s="245" t="str">
        <f>IFERROR(__xludf.DUMMYFUNCTION("IF(REGEXMATCH(C338, ""n""), ""b7"","""")"),"")</f>
        <v/>
      </c>
      <c r="GN338" s="246" t="str">
        <f>IFERROR(__xludf.DUMMYFUNCTION("IF(REGEXMATCH(C338, ""N""), ""7"","""")"),"7")</f>
        <v>7</v>
      </c>
      <c r="GO338" s="249" t="str">
        <f>IFERROR(__xludf.DUMMYFUNCTION("IF(REGEXMATCH(C338, ""S""), ""8"","""")"),"8")</f>
        <v>8</v>
      </c>
      <c r="GP338" s="244" t="str">
        <f>IFERROR(__xludf.DUMMYFUNCTION("IF(REGEXMATCH(C338, ""S""), ""S"","""")"),"S")</f>
        <v>S</v>
      </c>
      <c r="GQ338" s="294" t="str">
        <f>IFERROR(__xludf.DUMMYFUNCTION("IF(REGEXMATCH(C338, ""r""), ""R1"","""")"),"R1")</f>
        <v>R1</v>
      </c>
      <c r="GR338" s="295" t="str">
        <f>IFERROR(__xludf.DUMMYFUNCTION("IF(REGEXMATCH(C338, ""R""), ""R2"","""")"),"")</f>
        <v/>
      </c>
      <c r="GS338" s="295" t="str">
        <f>IFERROR(__xludf.DUMMYFUNCTION("IF(REGEXMATCH(C338, ""g""), ""G2"","""")"),"")</f>
        <v/>
      </c>
      <c r="GT338" s="294" t="str">
        <f>IFERROR(__xludf.DUMMYFUNCTION("IF(REGEXMATCH(C338, ""G""), ""G3"","""")"),"G3")</f>
        <v>G3</v>
      </c>
      <c r="GU338" s="294" t="str">
        <f>IFERROR(__xludf.DUMMYFUNCTION("IF(REGEXMATCH(C338, ""m""), ""M1"","""")"),"M1")</f>
        <v>M1</v>
      </c>
      <c r="GV338" s="295" t="str">
        <f>IFERROR(__xludf.DUMMYFUNCTION("IF(REGEXMATCH(C338, ""M""), ""M2"","""")"),"M2")</f>
        <v>M2</v>
      </c>
      <c r="GW338" s="294" t="str">
        <f>IFERROR(__xludf.DUMMYFUNCTION("IF(REGEXMATCH(C338, ""P""), ""P"","""")"),"P")</f>
        <v>P</v>
      </c>
      <c r="GX338" s="295" t="str">
        <f>IFERROR(__xludf.DUMMYFUNCTION("IF(REGEXMATCH(C338, ""d""), ""D1"","""")"),"D1")</f>
        <v>D1</v>
      </c>
      <c r="GY338" s="294" t="str">
        <f>IFERROR(__xludf.DUMMYFUNCTION("IF(REGEXMATCH(C338, ""D""), ""D2"","""")"),"D2")</f>
        <v>D2</v>
      </c>
      <c r="GZ338" s="294" t="str">
        <f>IFERROR(__xludf.DUMMYFUNCTION("IF(REGEXMATCH(C338, ""n""), ""N2"","""")"),"")</f>
        <v/>
      </c>
      <c r="HA338" s="295" t="str">
        <f>IFERROR(__xludf.DUMMYFUNCTION("IF(REGEXMATCH(C338, ""N""), ""N3"","""")"),"N3")</f>
        <v>N3</v>
      </c>
      <c r="HB338" s="249" t="str">
        <f>IFERROR(__xludf.DUMMYFUNCTION("IF(REGEXMATCH(C338, ""S""), ""S"","""")"),"S")</f>
        <v>S</v>
      </c>
      <c r="HC338" s="331" t="str">
        <f t="shared" si="95"/>
        <v>S</v>
      </c>
      <c r="HD338" s="332" t="str">
        <f t="shared" si="96"/>
        <v>r</v>
      </c>
      <c r="HE338" s="332" t="str">
        <f t="shared" si="97"/>
        <v/>
      </c>
      <c r="HF338" s="332" t="str">
        <f t="shared" si="98"/>
        <v>g</v>
      </c>
      <c r="HG338" s="332" t="str">
        <f t="shared" si="99"/>
        <v>G</v>
      </c>
      <c r="HH338" s="332" t="str">
        <f t="shared" si="100"/>
        <v>m</v>
      </c>
      <c r="HI338" s="332" t="str">
        <f t="shared" si="101"/>
        <v>M</v>
      </c>
      <c r="HJ338" s="332" t="str">
        <f t="shared" si="102"/>
        <v>P</v>
      </c>
      <c r="HK338" s="332" t="str">
        <f t="shared" si="103"/>
        <v>d</v>
      </c>
      <c r="HL338" s="332" t="str">
        <f t="shared" si="104"/>
        <v/>
      </c>
      <c r="HM338" s="332" t="str">
        <f t="shared" si="105"/>
        <v/>
      </c>
      <c r="HN338" s="332" t="str">
        <f t="shared" si="106"/>
        <v>N</v>
      </c>
      <c r="HO338" s="343" t="str">
        <f t="shared" si="107"/>
        <v>S</v>
      </c>
      <c r="HP338" s="331" t="str">
        <f t="shared" si="108"/>
        <v>o</v>
      </c>
      <c r="HQ338" s="332" t="str">
        <f t="shared" si="109"/>
        <v>o</v>
      </c>
      <c r="HR338" s="332" t="str">
        <f t="shared" si="110"/>
        <v>•</v>
      </c>
      <c r="HS338" s="332" t="str">
        <f t="shared" si="111"/>
        <v>•</v>
      </c>
      <c r="HT338" s="332" t="str">
        <f t="shared" si="112"/>
        <v>o</v>
      </c>
      <c r="HU338" s="332" t="str">
        <f t="shared" si="113"/>
        <v>o</v>
      </c>
      <c r="HV338" s="332" t="str">
        <f t="shared" si="114"/>
        <v>o</v>
      </c>
      <c r="HW338" s="332" t="str">
        <f t="shared" si="115"/>
        <v>o</v>
      </c>
      <c r="HX338" s="332" t="str">
        <f t="shared" si="116"/>
        <v>o</v>
      </c>
      <c r="HY338" s="332" t="str">
        <f t="shared" si="117"/>
        <v>o</v>
      </c>
      <c r="HZ338" s="332" t="str">
        <f t="shared" si="118"/>
        <v>•</v>
      </c>
      <c r="IA338" s="332" t="str">
        <f t="shared" si="119"/>
        <v>o</v>
      </c>
      <c r="IB338" s="338" t="str">
        <f t="shared" si="120"/>
        <v>o</v>
      </c>
      <c r="IC338" s="331" t="str">
        <f t="shared" si="121"/>
        <v>•</v>
      </c>
      <c r="ID338" s="332" t="str">
        <f t="shared" si="122"/>
        <v>•</v>
      </c>
      <c r="IE338" s="332" t="str">
        <f t="shared" si="123"/>
        <v>o</v>
      </c>
      <c r="IF338" s="332" t="str">
        <f t="shared" si="124"/>
        <v>o</v>
      </c>
      <c r="IG338" s="332" t="str">
        <f t="shared" si="125"/>
        <v>•</v>
      </c>
      <c r="IH338" s="332" t="str">
        <f t="shared" si="126"/>
        <v>•</v>
      </c>
      <c r="II338" s="332" t="str">
        <f t="shared" si="127"/>
        <v>•</v>
      </c>
      <c r="IJ338" s="332" t="str">
        <f t="shared" si="128"/>
        <v>•</v>
      </c>
      <c r="IK338" s="332" t="str">
        <f t="shared" si="129"/>
        <v>•</v>
      </c>
      <c r="IL338" s="332" t="str">
        <f t="shared" si="130"/>
        <v>•</v>
      </c>
      <c r="IM338" s="332" t="str">
        <f t="shared" si="131"/>
        <v>o</v>
      </c>
      <c r="IN338" s="332" t="str">
        <f t="shared" si="132"/>
        <v>•</v>
      </c>
      <c r="IO338" s="338" t="str">
        <f t="shared" si="133"/>
        <v>•</v>
      </c>
      <c r="IP338" s="346" t="b">
        <f t="shared" si="134"/>
        <v>0</v>
      </c>
      <c r="IQ338" s="347" t="b">
        <f t="shared" si="135"/>
        <v>0</v>
      </c>
      <c r="IR338" s="347" t="b">
        <f t="shared" si="136"/>
        <v>0</v>
      </c>
      <c r="IS338" s="347" t="b">
        <f t="shared" si="137"/>
        <v>0</v>
      </c>
      <c r="IT338" s="347" t="b">
        <f t="shared" si="138"/>
        <v>0</v>
      </c>
      <c r="IU338" s="347" t="b">
        <f t="shared" si="139"/>
        <v>0</v>
      </c>
      <c r="IV338" s="347" t="b">
        <f t="shared" si="140"/>
        <v>0</v>
      </c>
      <c r="IW338" s="347" t="b">
        <f t="shared" si="141"/>
        <v>1</v>
      </c>
      <c r="IX338" s="347" t="b">
        <f t="shared" si="142"/>
        <v>1</v>
      </c>
      <c r="IY338" s="347" t="b">
        <f t="shared" si="143"/>
        <v>0</v>
      </c>
      <c r="IZ338" s="347" t="b">
        <f t="shared" si="144"/>
        <v>0</v>
      </c>
      <c r="JA338" s="347" t="b">
        <f t="shared" si="145"/>
        <v>0</v>
      </c>
      <c r="JB338" s="353" t="b">
        <f t="shared" si="146"/>
        <v>0</v>
      </c>
      <c r="JC338" s="354" t="str">
        <f t="shared" si="147"/>
        <v/>
      </c>
      <c r="JD338" s="355" t="str">
        <f t="shared" si="148"/>
        <v/>
      </c>
      <c r="JE338" s="355" t="str">
        <f t="shared" si="149"/>
        <v/>
      </c>
      <c r="JF338" s="355" t="str">
        <f t="shared" si="150"/>
        <v/>
      </c>
      <c r="JG338" s="355" t="str">
        <f t="shared" si="151"/>
        <v/>
      </c>
      <c r="JH338" s="355" t="str">
        <f t="shared" si="152"/>
        <v/>
      </c>
      <c r="JI338" s="355" t="str">
        <f t="shared" si="153"/>
        <v/>
      </c>
      <c r="JJ338" s="355" t="str">
        <f t="shared" si="154"/>
        <v>Pa, </v>
      </c>
      <c r="JK338" s="355" t="str">
        <f t="shared" si="155"/>
        <v>dha, </v>
      </c>
      <c r="JL338" s="355" t="str">
        <f t="shared" si="156"/>
        <v/>
      </c>
      <c r="JM338" s="355" t="str">
        <f t="shared" si="157"/>
        <v/>
      </c>
      <c r="JN338" s="355" t="str">
        <f t="shared" si="158"/>
        <v/>
      </c>
      <c r="JO338" s="359" t="str">
        <f t="shared" si="159"/>
        <v/>
      </c>
      <c r="JP338" s="346" t="b">
        <f t="shared" si="160"/>
        <v>0</v>
      </c>
      <c r="JQ338" s="347" t="b">
        <f t="shared" si="161"/>
        <v>0</v>
      </c>
      <c r="JR338" s="347" t="b">
        <f t="shared" si="162"/>
        <v>0</v>
      </c>
      <c r="JS338" s="347" t="b">
        <f t="shared" si="163"/>
        <v>0</v>
      </c>
      <c r="JT338" s="347" t="b">
        <f t="shared" si="164"/>
        <v>0</v>
      </c>
      <c r="JU338" s="347" t="b">
        <f t="shared" si="165"/>
        <v>0</v>
      </c>
      <c r="JV338" s="347" t="b">
        <f t="shared" si="166"/>
        <v>0</v>
      </c>
      <c r="JW338" s="347" t="b">
        <f t="shared" si="167"/>
        <v>0</v>
      </c>
      <c r="JX338" s="347" t="b">
        <f t="shared" si="168"/>
        <v>0</v>
      </c>
      <c r="JY338" s="347" t="b">
        <f t="shared" si="169"/>
        <v>0</v>
      </c>
      <c r="JZ338" s="347" t="b">
        <f t="shared" si="170"/>
        <v>0</v>
      </c>
      <c r="KA338" s="347" t="b">
        <f t="shared" si="171"/>
        <v>0</v>
      </c>
      <c r="KB338" s="365" t="b">
        <f t="shared" si="172"/>
        <v>0</v>
      </c>
      <c r="KC338" s="354" t="str">
        <f t="shared" si="173"/>
        <v/>
      </c>
      <c r="KD338" s="355" t="str">
        <f t="shared" si="174"/>
        <v/>
      </c>
      <c r="KE338" s="355" t="str">
        <f t="shared" si="175"/>
        <v/>
      </c>
      <c r="KF338" s="355" t="str">
        <f t="shared" si="176"/>
        <v/>
      </c>
      <c r="KG338" s="355" t="str">
        <f t="shared" si="177"/>
        <v/>
      </c>
      <c r="KH338" s="355" t="str">
        <f t="shared" si="178"/>
        <v/>
      </c>
      <c r="KI338" s="355" t="str">
        <f t="shared" si="179"/>
        <v/>
      </c>
      <c r="KJ338" s="355" t="str">
        <f t="shared" si="180"/>
        <v/>
      </c>
      <c r="KK338" s="355" t="str">
        <f t="shared" si="181"/>
        <v/>
      </c>
      <c r="KL338" s="355" t="str">
        <f t="shared" si="182"/>
        <v/>
      </c>
      <c r="KM338" s="355" t="str">
        <f t="shared" si="183"/>
        <v/>
      </c>
      <c r="KN338" s="355" t="str">
        <f t="shared" si="184"/>
        <v/>
      </c>
      <c r="KO338" s="359"/>
      <c r="KP338" s="378"/>
      <c r="KQ338" s="379" t="s">
        <v>9</v>
      </c>
      <c r="KR338" s="380" t="s">
        <v>9</v>
      </c>
      <c r="KS338" s="381" t="s">
        <v>9</v>
      </c>
      <c r="KT338" s="382">
        <f t="shared" si="186"/>
        <v>0</v>
      </c>
      <c r="KU338" s="383">
        <f t="shared" si="187"/>
        <v>0</v>
      </c>
      <c r="KV338" s="381" t="str">
        <f t="shared" si="205"/>
        <v>S</v>
      </c>
      <c r="KW338" s="382">
        <f t="shared" si="189"/>
        <v>0</v>
      </c>
      <c r="KX338" s="384">
        <f t="shared" si="190"/>
        <v>0</v>
      </c>
      <c r="KY338" s="382">
        <f t="shared" ref="KY338:KZ338" si="909">KW338-KT338</f>
        <v>0</v>
      </c>
      <c r="KZ338" s="369">
        <f t="shared" si="909"/>
        <v>0</v>
      </c>
      <c r="LA338" s="385" t="str">
        <f t="shared" si="192"/>
        <v>✔</v>
      </c>
      <c r="LB338" s="340" t="str">
        <f>IFERROR(__xludf.DUMMYFUNCTION("JOIN("""",ArrayFormula(MID(KS338,LEN(KS338)-SEQUENCE(1,LEN(KS338))+1,1)))"),"S")</f>
        <v>S</v>
      </c>
      <c r="LC338" s="373" t="str">
        <f>IFERROR(__xludf.DUMMYFUNCTION("JOIN("""",ArrayFormula(MID(KV338,LEN(KV338)-SEQUENCE(1,LEN(KV338))+1,1)))"),"S")</f>
        <v>S</v>
      </c>
      <c r="LD338" s="373" t="str">
        <f t="shared" si="193"/>
        <v>S</v>
      </c>
      <c r="LE338" s="339" t="str">
        <f t="shared" si="194"/>
        <v>S</v>
      </c>
      <c r="LF338" s="386" t="str">
        <f>IFERROR(__xludf.DUMMYFUNCTION("SUBSTITUTE(SUBSTITUTE(CONCATENATE(JOIN("""",LH338:LT338)),""1"",""""),""2"","""")"),"SS")</f>
        <v>SS</v>
      </c>
      <c r="LG338" s="369" t="str">
        <f t="shared" si="195"/>
        <v>-</v>
      </c>
      <c r="LH338" s="387" t="str">
        <f>IFERROR(__xludf.DUMMYFUNCTION("IF(REGEXMATCH(LD338, ""S""), ""S"",IF(REGEXMATCH(LE338, ""S""), ""S"",""""))"),"S")</f>
        <v>S</v>
      </c>
      <c r="LI338" s="299" t="str">
        <f>IFERROR(__xludf.DUMMYFUNCTION("IF(REGEXMATCH(LD338, ""r""), ""r1"",IF(REGEXMATCH(LE338, ""r""), ""r2"",""""))"),"")</f>
        <v/>
      </c>
      <c r="LJ338" s="299" t="str">
        <f>IFERROR(__xludf.DUMMYFUNCTION("IF(REGEXMATCH(LD338, ""R""), ""R1"",IF(REGEXMATCH(LE338, ""R""), ""R2"",""""))"),"")</f>
        <v/>
      </c>
      <c r="LK338" s="299" t="str">
        <f>IFERROR(__xludf.DUMMYFUNCTION("IF(REGEXMATCH(LD338, ""g""), ""g1"",IF(REGEXMATCH(LE338, ""g""), ""g2"",""""))"),"")</f>
        <v/>
      </c>
      <c r="LL338" s="299" t="str">
        <f>IFERROR(__xludf.DUMMYFUNCTION("IF(REGEXMATCH(LD338, ""G""), ""G1"",IF(REGEXMATCH(LE338, ""G""), ""G2"",""""))"),"")</f>
        <v/>
      </c>
      <c r="LM338" s="299" t="str">
        <f>IFERROR(__xludf.DUMMYFUNCTION("IF(REGEXMATCH(LD338, ""m""), ""m1"",IF(REGEXMATCH(LE338, ""m""), ""m2"",""""))"),"")</f>
        <v/>
      </c>
      <c r="LN338" s="299" t="str">
        <f>IFERROR(__xludf.DUMMYFUNCTION("IF(REGEXMATCH(LD338, ""M""), ""M1"",IF(REGEXMATCH(LE338, ""M""), ""M2"",""""))"),"")</f>
        <v/>
      </c>
      <c r="LO338" s="299" t="str">
        <f>IFERROR(__xludf.DUMMYFUNCTION("IF(REGEXMATCH(LD338, ""P""), ""P1"",IF(REGEXMATCH(LE338, ""P""), ""P2"",""""))"),"")</f>
        <v/>
      </c>
      <c r="LP338" s="299" t="str">
        <f>IFERROR(__xludf.DUMMYFUNCTION("IF(REGEXMATCH(LD338, ""d""), ""d1"",IF(REGEXMATCH(LE338, ""d""), ""d2"",""""))"),"")</f>
        <v/>
      </c>
      <c r="LQ338" s="299" t="str">
        <f>IFERROR(__xludf.DUMMYFUNCTION("IF(REGEXMATCH(LD338, ""D""), ""D1"",IF(REGEXMATCH(LE338, ""D""), ""D2"",""""))"),"")</f>
        <v/>
      </c>
      <c r="LR338" s="299" t="str">
        <f>IFERROR(__xludf.DUMMYFUNCTION("IF(REGEXMATCH(LD338, ""n""), ""n1"",IF(REGEXMATCH(LE338, ""n""), ""n2"",""""))"),"")</f>
        <v/>
      </c>
      <c r="LS338" s="299" t="str">
        <f>IFERROR(__xludf.DUMMYFUNCTION("IF(REGEXMATCH(LD338, ""N""), ""N1"",IF(REGEXMATCH(LE338, ""N""), ""N2"",""""))"),"")</f>
        <v/>
      </c>
      <c r="LT338" s="388" t="str">
        <f>IFERROR(__xludf.DUMMYFUNCTION("IF(REGEXMATCH(LD338, ""S""), ""S"",IF(REGEXMATCH(LE338, ""S""), ""S"",""""))"),"S")</f>
        <v>S</v>
      </c>
      <c r="LU338" s="389">
        <f t="shared" si="196"/>
        <v>1</v>
      </c>
      <c r="LV338" s="378"/>
      <c r="LW338" s="369"/>
      <c r="LX338" s="369"/>
    </row>
    <row r="339" ht="18.0" customHeight="1">
      <c r="A339" s="298" t="s">
        <v>1189</v>
      </c>
      <c r="B339" s="222" t="s">
        <v>530</v>
      </c>
      <c r="C339" s="233" t="str">
        <f t="shared" si="7"/>
        <v>SRGmPDnNS</v>
      </c>
      <c r="D339" s="234" t="str">
        <f>IFERROR(__xludf.DUMMYFUNCTION("IF(REGEXMATCH(C339, ""S""), ""S"","""")"),"S")</f>
        <v>S</v>
      </c>
      <c r="E339" s="236" t="str">
        <f>IFERROR(__xludf.DUMMYFUNCTION("IF(REGEXMATCH(C339, ""r""), ""r"","""")"),"")</f>
        <v/>
      </c>
      <c r="F339" s="237" t="str">
        <f>IFERROR(__xludf.DUMMYFUNCTION("IF(REGEXMATCH(C339, ""R""), ""R"","""")"),"R")</f>
        <v>R</v>
      </c>
      <c r="G339" s="237" t="str">
        <f>IFERROR(__xludf.DUMMYFUNCTION("IF(REGEXMATCH(C339, ""g""), ""g"","""")"),"")</f>
        <v/>
      </c>
      <c r="H339" s="236" t="str">
        <f>IFERROR(__xludf.DUMMYFUNCTION("IF(REGEXMATCH(C339, ""G""), ""G"","""")"),"G")</f>
        <v>G</v>
      </c>
      <c r="I339" s="236" t="str">
        <f>IFERROR(__xludf.DUMMYFUNCTION("IF(REGEXMATCH(C339, ""m""), ""m"","""")"),"m")</f>
        <v>m</v>
      </c>
      <c r="J339" s="237" t="str">
        <f>IFERROR(__xludf.DUMMYFUNCTION("IF(REGEXMATCH(C339, ""M""), ""M"","""")"),"")</f>
        <v/>
      </c>
      <c r="K339" s="236" t="str">
        <f>IFERROR(__xludf.DUMMYFUNCTION("IF(REGEXMATCH(C339, ""P""), ""P"","""")"),"P")</f>
        <v>P</v>
      </c>
      <c r="L339" s="237" t="str">
        <f>IFERROR(__xludf.DUMMYFUNCTION("IF(REGEXMATCH(C339, ""d""), ""d"","""")"),"")</f>
        <v/>
      </c>
      <c r="M339" s="236" t="str">
        <f>IFERROR(__xludf.DUMMYFUNCTION("IF(REGEXMATCH(C339, ""D""), ""D"","""")"),"D")</f>
        <v>D</v>
      </c>
      <c r="N339" s="236" t="str">
        <f>IFERROR(__xludf.DUMMYFUNCTION("IF(REGEXMATCH(C339, ""n""), ""n"","""")"),"n")</f>
        <v>n</v>
      </c>
      <c r="O339" s="237" t="str">
        <f>IFERROR(__xludf.DUMMYFUNCTION("IF(REGEXMATCH(C339, ""N""), ""N"","""")"),"N")</f>
        <v>N</v>
      </c>
      <c r="P339" s="238" t="str">
        <f>IFERROR(__xludf.DUMMYFUNCTION("IF(REGEXMATCH(C339, ""S""), ""S"","""")"),"S")</f>
        <v>S</v>
      </c>
      <c r="Q339" s="239" t="str">
        <f>IFERROR(__xludf.DUMMYFUNCTION("SUBSTITUTE(CONCATENATE(JOIN(""-"",D339:J339)),""-"","""")"),"SRGm")</f>
        <v>SRGm</v>
      </c>
      <c r="R339" s="229" t="str">
        <f>IFERROR(__xludf.DUMMYFUNCTION("SUBSTITUTE(CONCATENATE(JOIN(""-"",K339:P339)),""-"","""")"),"PDnNS")</f>
        <v>PDnNS</v>
      </c>
      <c r="S339" s="282" t="str">
        <f t="shared" si="8"/>
        <v>S-R-G-M</v>
      </c>
      <c r="T339" s="282" t="str">
        <f t="shared" si="9"/>
        <v>P-D-N-S</v>
      </c>
      <c r="U339" s="237" t="str">
        <f>IFERROR(__xludf.DUMMYFUNCTION("SUBSTITUTE(JOIN(""-"",S339,T339),""--"",""-"")"),"S-R-G-M-P-D-N-S")</f>
        <v>S-R-G-M-P-D-N-S</v>
      </c>
      <c r="V339" s="309" t="str">
        <f t="shared" si="10"/>
        <v>RGmDnN</v>
      </c>
      <c r="W339" s="244" t="str">
        <f>IFERROR(__xludf.DUMMYFUNCTION("IF(REGEXMATCH(C339, ""S""), ""0"","""")"),"0")</f>
        <v>0</v>
      </c>
      <c r="X339" s="245" t="str">
        <f>IFERROR(__xludf.DUMMYFUNCTION("IF(REGEXMATCH(C339, ""r""), ""1"","""")"),"")</f>
        <v/>
      </c>
      <c r="Y339" s="246" t="str">
        <f>IFERROR(__xludf.DUMMYFUNCTION("IF(REGEXMATCH(C339, ""R""), ""2"","""")"),"2")</f>
        <v>2</v>
      </c>
      <c r="Z339" s="246" t="str">
        <f>IFERROR(__xludf.DUMMYFUNCTION("IF(REGEXMATCH(C339, ""g""), ""3"","""")"),"")</f>
        <v/>
      </c>
      <c r="AA339" s="245" t="str">
        <f>IFERROR(__xludf.DUMMYFUNCTION("IF(REGEXMATCH(C339, ""G""), ""4"","""")"),"4")</f>
        <v>4</v>
      </c>
      <c r="AB339" s="245" t="str">
        <f>IFERROR(__xludf.DUMMYFUNCTION("IF(REGEXMATCH(C339, ""m""), ""5"","""")"),"5")</f>
        <v>5</v>
      </c>
      <c r="AC339" s="246" t="str">
        <f>IFERROR(__xludf.DUMMYFUNCTION("IF(REGEXMATCH(C339, ""M""), ""6"","""")"),"")</f>
        <v/>
      </c>
      <c r="AD339" s="245" t="str">
        <f>IFERROR(__xludf.DUMMYFUNCTION("IF(REGEXMATCH(C339, ""P""), ""7"","""")"),"7")</f>
        <v>7</v>
      </c>
      <c r="AE339" s="246" t="str">
        <f>IFERROR(__xludf.DUMMYFUNCTION("IF(REGEXMATCH(C339, ""d""), ""8"","""")"),"")</f>
        <v/>
      </c>
      <c r="AF339" s="245" t="str">
        <f>IFERROR(__xludf.DUMMYFUNCTION("IF(REGEXMATCH(C339, ""D""), ""9"","""")"),"9")</f>
        <v>9</v>
      </c>
      <c r="AG339" s="245" t="str">
        <f>IFERROR(__xludf.DUMMYFUNCTION("IF(REGEXMATCH(C339, ""n""), ""10"","""")"),"10")</f>
        <v>10</v>
      </c>
      <c r="AH339" s="246" t="str">
        <f>IFERROR(__xludf.DUMMYFUNCTION("IF(REGEXMATCH(C339, ""N""), ""11"","""")"),"11")</f>
        <v>11</v>
      </c>
      <c r="AI339" s="249" t="str">
        <f>IFERROR(__xludf.DUMMYFUNCTION("IF(REGEXMATCH(C339, ""S""), ""0"","""")"),"0")</f>
        <v>0</v>
      </c>
      <c r="AJ339" s="313" t="str">
        <f t="shared" si="11"/>
        <v>-</v>
      </c>
      <c r="AK339" s="313" t="str">
        <f t="shared" si="12"/>
        <v>-</v>
      </c>
      <c r="AL339" s="313" t="str">
        <f t="shared" si="13"/>
        <v>-</v>
      </c>
      <c r="AM339" s="313" t="str">
        <f t="shared" si="14"/>
        <v>-</v>
      </c>
      <c r="AN339" s="313" t="str">
        <f t="shared" si="15"/>
        <v>T</v>
      </c>
      <c r="AO339" s="314" t="str">
        <f t="shared" si="16"/>
        <v>T</v>
      </c>
      <c r="AP339" s="316">
        <f t="shared" si="17"/>
        <v>2</v>
      </c>
      <c r="AQ339" s="319" t="str">
        <f t="shared" si="18"/>
        <v>-</v>
      </c>
      <c r="AR339" s="320">
        <f t="shared" si="19"/>
        <v>0</v>
      </c>
      <c r="AS339" s="250" t="str">
        <f>IFERROR(__xludf.DUMMYFUNCTION("SUBSTITUTE(SUBSTITUTE(CONCATENATE(JOIN("""",FP339:GA339)),""|"",""x""),""-"",""o"")"),"xoxoxxoxoxxx")</f>
        <v>xoxoxxoxoxxx</v>
      </c>
      <c r="AT339" s="323" t="str">
        <f>IFERROR(__xludf.DUMMYFUNCTION("JOIN("""",AS339,AS339)"),"xoxoxxoxoxxxxoxoxxoxoxxx")</f>
        <v>xoxoxxoxoxxxxoxoxxoxoxxx</v>
      </c>
      <c r="AU339" s="256" t="str">
        <f>IFERROR(__xludf.DUMMYFUNCTION("JOIN("""",ArrayFormula(MID(AS339,LEN(AS339)-SEQUENCE(1,LEN(AS339))+1,1)))"),"xxxoxoxxoxox")</f>
        <v>xxxoxoxxoxox</v>
      </c>
      <c r="AV339" s="256" t="str">
        <f>IFERROR(__xludf.DUMMYFUNCTION("LEFT(CONCATENATE(""x"",JOIN("""",ArrayFormula(MID(AS339,LEN(AS339)-SEQUENCE(1,LEN(AS339))+1,1)))),12)"),"xxxxoxoxxoxo")</f>
        <v>xxxxoxoxxoxo</v>
      </c>
      <c r="AW339" s="327" t="str">
        <f>IFERROR(__xludf.DUMMYFUNCTION("JOIN("""",AU339,AU339)"),"xxxoxoxxoxoxxxxoxoxxoxox")</f>
        <v>xxxoxoxxoxoxxxxoxoxxoxox</v>
      </c>
      <c r="AX339" s="239" t="str">
        <f>IFERROR(__xludf.DUMMYFUNCTION("IF(REGEXMATCH(AW339,AS339),""✔"",""-"")"),"✔")</f>
        <v>✔</v>
      </c>
      <c r="AY339" s="330" t="str">
        <f t="shared" si="20"/>
        <v>-</v>
      </c>
      <c r="AZ339" s="260" t="str">
        <f t="shared" si="21"/>
        <v>#REF!</v>
      </c>
      <c r="BA339" s="333" t="str">
        <f t="shared" si="22"/>
        <v>xoxoxxo</v>
      </c>
      <c r="BB339" s="334" t="str">
        <f t="shared" si="23"/>
        <v>xoxxxx</v>
      </c>
      <c r="BC339" s="335" t="str">
        <f t="shared" si="236"/>
        <v>-</v>
      </c>
      <c r="BD339" s="336" t="str">
        <f t="shared" si="25"/>
        <v>Sorath: 'xoxoxxo' + 'xoxxxx'</v>
      </c>
      <c r="BE339" s="337">
        <f>IFERROR(__xludf.DUMMYFUNCTION("COUNTUNIQUE(FILTER(AT:AT,REGEXMATCH(AT:AT,AS339)))-1"),3.0)</f>
        <v>3</v>
      </c>
      <c r="BF339" s="261" t="str">
        <f>IFERROR(__xludf.DUMMYFUNCTION("IF(BI339=0,""(n/a)"",IF(BJ339=2,""(PAIR)"",IF(REGEXMATCH(AT339,""xoxoxxoxoxox""),""Bilawal"",IF(REGEXMATCH(AT339,""xoxoxooxoxoo""),""Bhupali"",IF(REGEXMATCH(AT339,""xoxoxxoxxoxo""),""Charukeshi"",IF(REGEXMATCH(AT339,""xoxoooxxoxxo""),""Kameshwari"",IF(REG"&amp;"EXMATCH(AT339,""xoxoxooxoxox""),""Shankara"",IF(REGEXMATCH(AT339,""xxooxoxxxoox""),""Basant"",IF(REGEXMATCH(AT339,""xoxoxxxxoxox""),""Bihag"",IF(REGEXMATCH(AT339,""xoxxxxoxoxxx""),""Pilu"",IF(REGEXMATCH(AT339,""xoxxoxoxxoox""),""Kirwani"",IF(REGEXMATCH(AT"&amp;"339,""xoxxoxoxoxxx""),""Mk.Malhar"",IF(REGEXMATCH(AT339,""xxooxxoxxoox""),""Bhairav"",IF(REGEXMATCH(AT339,""xxoxooxxxoox""),""Todi"",IF(REGEXMATCH(AT339,""xxooxoxooxox""),""Marwa"",IF(REGEXMATCH(AT339,""xxoooxoxxooo""),""Gunkali"",IF(REGEXMATCH(AT339,""xo"&amp;"xoxxoxxoox""),""Nat Bhairav"",IF(REGEXMATCH(AT339,""xoxxoooxoxoo""),""Shivranjani"",IF(REGEXMATCH(AT339,""xooxxxoxooxo""),""Jog"",IF(REGEXMATCH(AT339,""xxooxoxoxoox""),""Hemshri"",IF(REGEXMATCH(AT339,""xoooxooxoxxo""),""Kalavati"",IF(REGEXMATCH(AT339,""xx"&amp;"oxoxxoxoox""),""Kedar"",IF(REGEXMATCH(AT339,""xoxxxxoxooxx""),""Gara"",IF(REGEXMATCH(AT339,""xooxoxooxoox""),""Chandrakauns"",IF(REGEXMATCH(AT339,""xoxxxxoxxxox""),""Mand"",IF(REGEXMATCH(AT339,""xoxxxxoxoxox""),""Hanskinkini"",IF(REGEXMATCH(AT339,""xxooxx"&amp;"oxooxo""),""Lilavati"",IF(REGEXMATCH(AT339,""xooxoxoooxox""),""Rajeshwari"",IF(REGEXMATCH(AT339,""xoooxxoxoxxx""),""Khokar"",IF(REGEXMATCH(AT339,""xxooxoxxxxox""),""Maligoura"",""-""))))))))))))))))))))))))))))))"),"Bihag")</f>
        <v>Bihag</v>
      </c>
      <c r="BG339" s="239" t="str">
        <f t="shared" si="26"/>
        <v>#REF!</v>
      </c>
      <c r="BH339" s="239">
        <f>IFERROR(__xludf.DUMMYFUNCTION("COUNTUNIQUE(FE339:FO339)-1"),7.0)</f>
        <v>7</v>
      </c>
      <c r="BI339" s="239">
        <f>IFERROR(__xludf.DUMMYFUNCTION("COUNTUNIQUE(FILTER(AT:AT,REGEXMATCH(AT:AT,AS339)))-1"),3.0)</f>
        <v>3</v>
      </c>
      <c r="BJ339" s="239">
        <f>IFERROR(__xludf.DUMMYFUNCTION("COUNTA(FILTER(AT:AT,REGEXMATCH(AT:AT,AS339)))"),36.0)</f>
        <v>36</v>
      </c>
      <c r="BK339" s="341">
        <f>IFERROR(__xludf.DUMMYFUNCTION("COUNTA(FILTER(AT:AT,REGEXMATCH(AT:AT,AS339)))-AR339"),36.0)</f>
        <v>36</v>
      </c>
      <c r="BL339" s="276" t="str">
        <f>IFERROR(__xludf.DUMMYFUNCTION("IF(AS339=""oooooooooooo"",""-"",IF(REGEXMATCH(AT339,""xx""), ""Hemi."", ""Anhemi.""))"),"Hemi.")</f>
        <v>Hemi.</v>
      </c>
      <c r="BM339" s="282" t="str">
        <f>IFERROR(__xludf.DUMMYFUNCTION("IF(AS339=""oooooooooooo"",""-"",IF(REGEXMATCH(AT339,""xxx""), ""Cohem."", ""-""))"),"Cohem.")</f>
        <v>Cohem.</v>
      </c>
      <c r="BN339" s="282" t="str">
        <f>IFERROR(__xludf.DUMMYFUNCTION("IF(AS339=""oooooooooooo"",""-"",IF(REGEXMATCH(AT339,""xxxx""), ""Co-Co."", ""-""))"),"Co-Co.")</f>
        <v>Co-Co.</v>
      </c>
      <c r="BO339" s="342" t="str">
        <f>IFERROR(__xludf.DUMMYFUNCTION("IF(AS339=""oooooooooooo"",""-"",IF(REGEXMATCH(AT339,""xxxxx""), ""CCC."", ""-""))"),"-")</f>
        <v>-</v>
      </c>
      <c r="BP339" s="344" t="str">
        <f t="shared" si="27"/>
        <v>-</v>
      </c>
      <c r="BQ339" s="282" t="str">
        <f>IFERROR(__xludf.DUMMYFUNCTION("IF(REGEXMATCH(JOIN(""-"",EU339:FD339),""TRUE""),""✔"",""-"")"),"-")</f>
        <v>-</v>
      </c>
      <c r="BR339" s="225">
        <f t="shared" si="28"/>
        <v>0</v>
      </c>
      <c r="BS339" s="345" t="str">
        <f>IFERROR(__xludf.DUMMYFUNCTION("SUBSTITUTE(SUBSTITUTE(SUBSTITUTE(SUBSTITUTE(CONCATENATE(JOIN(""-"",GC339:GO339)),""--"",""-""),""--"",""-""),""--"",""-""),""--"",""-"")"),"1-2-3-4-5-6-b7-7-8")</f>
        <v>1-2-3-4-5-6-b7-7-8</v>
      </c>
      <c r="BT339" s="299" t="str">
        <f>IFERROR(__xludf.DUMMYFUNCTION("SUBSTITUTE(SUBSTITUTE(SUBSTITUTE(SUBSTITUTE(CONCATENATE(JOIN(""-"",GP339:HB339)),""--"",""-""),""--"",""-""),""--"",""-""),""--"",""-"")"),"S-R2-G3-M1-P-D2-N2-N3-S")</f>
        <v>S-R2-G3-M1-P-D2-N2-N3-S</v>
      </c>
      <c r="BU339" s="348" t="str">
        <f t="shared" si="29"/>
        <v>C-D-E-F-G-A-Bb-B-C</v>
      </c>
      <c r="BV339" s="349" t="str">
        <f t="shared" si="30"/>
        <v>SrgMdS</v>
      </c>
      <c r="BW339" s="350">
        <f t="shared" si="31"/>
        <v>1</v>
      </c>
      <c r="BX339" s="351">
        <f t="shared" si="32"/>
        <v>15</v>
      </c>
      <c r="BY339" s="392"/>
      <c r="BZ339" s="309" t="str">
        <f>IFERROR(__xludf.DUMMYFUNCTION("IF(REGEXMATCH(C339, ""S""), ""x"",""x"")"),"x")</f>
        <v>x</v>
      </c>
      <c r="CA339" s="245" t="str">
        <f>IFERROR(__xludf.DUMMYFUNCTION("IF(REGEXMATCH(C339, ""r""), ""o"",""x"")"),"x")</f>
        <v>x</v>
      </c>
      <c r="CB339" s="246" t="str">
        <f>IFERROR(__xludf.DUMMYFUNCTION("IF(REGEXMATCH(C339, ""R""), ""o"",""x"")"),"o")</f>
        <v>o</v>
      </c>
      <c r="CC339" s="246" t="str">
        <f>IFERROR(__xludf.DUMMYFUNCTION("IF(REGEXMATCH(C339, ""g""), ""o"",""x"")"),"x")</f>
        <v>x</v>
      </c>
      <c r="CD339" s="245" t="str">
        <f>IFERROR(__xludf.DUMMYFUNCTION("IF(REGEXMATCH(C339, ""G""), ""o"",""x"")"),"o")</f>
        <v>o</v>
      </c>
      <c r="CE339" s="245" t="str">
        <f>IFERROR(__xludf.DUMMYFUNCTION("IF(REGEXMATCH(C339, ""m""), ""o"",""x"")"),"o")</f>
        <v>o</v>
      </c>
      <c r="CF339" s="246" t="str">
        <f>IFERROR(__xludf.DUMMYFUNCTION("IF(REGEXMATCH(C339, ""M""), ""o"",""x"")"),"x")</f>
        <v>x</v>
      </c>
      <c r="CG339" s="245" t="str">
        <f>IFERROR(__xludf.DUMMYFUNCTION("IF(REGEXMATCH(C339, ""P""), ""o"",""x"")"),"o")</f>
        <v>o</v>
      </c>
      <c r="CH339" s="246" t="str">
        <f>IFERROR(__xludf.DUMMYFUNCTION("IF(REGEXMATCH(C339, ""d""), ""o"",""x"")"),"x")</f>
        <v>x</v>
      </c>
      <c r="CI339" s="245" t="str">
        <f>IFERROR(__xludf.DUMMYFUNCTION("IF(REGEXMATCH(C339, ""D""), ""o"",""x"")"),"o")</f>
        <v>o</v>
      </c>
      <c r="CJ339" s="245" t="str">
        <f>IFERROR(__xludf.DUMMYFUNCTION("IF(REGEXMATCH(C339, ""n""), ""o"",""x"")"),"o")</f>
        <v>o</v>
      </c>
      <c r="CK339" s="245" t="str">
        <f>IFERROR(__xludf.DUMMYFUNCTION("IF(REGEXMATCH(C339, ""N""), ""o"",""x"")"),"o")</f>
        <v>o</v>
      </c>
      <c r="CL339" s="356" t="str">
        <f>IFERROR(__xludf.DUMMYFUNCTION("IF(REGEXMATCH(C339, ""S""), ""x"",""x"")"),"x")</f>
        <v>x</v>
      </c>
      <c r="CM339" s="357" t="str">
        <f t="shared" si="33"/>
        <v>xxoxooxoxooo</v>
      </c>
      <c r="CN339" s="358">
        <f t="shared" si="34"/>
        <v>1</v>
      </c>
      <c r="CO339" s="246" t="str">
        <f>IFERROR(__xludf.DUMMYFUNCTION("IF(REGEXMATCH($C339, ""S""), ""S"",""S"")"),"S")</f>
        <v>S</v>
      </c>
      <c r="CP339" s="246" t="str">
        <f>IFERROR(__xludf.DUMMYFUNCTION("IF(REGEXMATCH($C339, ""r""), """",""r"")"),"r")</f>
        <v>r</v>
      </c>
      <c r="CQ339" s="246" t="str">
        <f>IFERROR(__xludf.DUMMYFUNCTION("IF(REGEXMATCH($C339, ""R""), """",""R"")"),"")</f>
        <v/>
      </c>
      <c r="CR339" s="246" t="str">
        <f>IFERROR(__xludf.DUMMYFUNCTION("IF(REGEXMATCH($C339, ""g""), """",""g"")"),"g")</f>
        <v>g</v>
      </c>
      <c r="CS339" s="246" t="str">
        <f>IFERROR(__xludf.DUMMYFUNCTION("IF(REGEXMATCH($C339, ""G""), """",""G"")"),"")</f>
        <v/>
      </c>
      <c r="CT339" s="246" t="str">
        <f>IFERROR(__xludf.DUMMYFUNCTION("IF(REGEXMATCH($C339, ""m""), """",""m"")"),"")</f>
        <v/>
      </c>
      <c r="CU339" s="246" t="str">
        <f>IFERROR(__xludf.DUMMYFUNCTION("IF(REGEXMATCH($C339, ""M""), """",""M"")"),"M")</f>
        <v>M</v>
      </c>
      <c r="CV339" s="246" t="str">
        <f>IFERROR(__xludf.DUMMYFUNCTION("IF(REGEXMATCH($C339, ""P""), """",""P"")"),"")</f>
        <v/>
      </c>
      <c r="CW339" s="246" t="str">
        <f>IFERROR(__xludf.DUMMYFUNCTION("IF(REGEXMATCH($C339, ""d""), """",""d"")"),"d")</f>
        <v>d</v>
      </c>
      <c r="CX339" s="246" t="str">
        <f>IFERROR(__xludf.DUMMYFUNCTION("IF(REGEXMATCH($C339, ""D""), """",""D"")"),"")</f>
        <v/>
      </c>
      <c r="CY339" s="246" t="str">
        <f>IFERROR(__xludf.DUMMYFUNCTION("IF(REGEXMATCH($C339, ""n""), """",""n"")"),"")</f>
        <v/>
      </c>
      <c r="CZ339" s="246" t="str">
        <f>IFERROR(__xludf.DUMMYFUNCTION("IF(REGEXMATCH($C339, ""N""), """",""N"")"),"")</f>
        <v/>
      </c>
      <c r="DA339" s="246" t="str">
        <f>IFERROR(__xludf.DUMMYFUNCTION("IF(REGEXMATCH($C339, ""S""), ""S"",""S"")"),"S")</f>
        <v>S</v>
      </c>
      <c r="DB339" s="362" t="str">
        <f>IFERROR(__xludf.DUMMYFUNCTION("JOIN("""",CO339:DA339,"""","""")"),"SrgMdS")</f>
        <v>SrgMdS</v>
      </c>
      <c r="DC339" s="363"/>
      <c r="DD339" s="301" t="str">
        <f t="shared" si="35"/>
        <v>#REF!</v>
      </c>
      <c r="DE339" s="302" t="str">
        <f t="shared" si="36"/>
        <v>#REF!</v>
      </c>
      <c r="DF339" s="301" t="str">
        <f t="shared" ref="DF339:DG339" si="910">SUBSTITUTE(S339,"-","")</f>
        <v>SRGM</v>
      </c>
      <c r="DG339" s="301" t="str">
        <f t="shared" si="910"/>
        <v>PDNS</v>
      </c>
      <c r="DH339" s="302" t="str">
        <f t="shared" si="38"/>
        <v>Bihag</v>
      </c>
      <c r="DI339" s="301" t="str">
        <f t="shared" si="39"/>
        <v>Hemi.</v>
      </c>
      <c r="DJ339" s="364" t="str">
        <f t="shared" si="40"/>
        <v>Co-Co.</v>
      </c>
      <c r="DK339" s="306" t="str">
        <f t="shared" si="41"/>
        <v>-</v>
      </c>
      <c r="DL339" s="366" t="str">
        <f t="shared" si="42"/>
        <v>-</v>
      </c>
      <c r="DM339" s="308" t="str">
        <f t="shared" si="43"/>
        <v>✔</v>
      </c>
      <c r="DN339" s="306" t="str">
        <f t="shared" si="44"/>
        <v>-</v>
      </c>
      <c r="DO339" s="306" t="str">
        <f t="shared" si="45"/>
        <v>-</v>
      </c>
      <c r="DP339" s="367" t="str">
        <f t="shared" si="46"/>
        <v>-</v>
      </c>
      <c r="DQ339" s="310" t="str">
        <f t="shared" si="47"/>
        <v>-</v>
      </c>
      <c r="DR339" s="310" t="str">
        <f t="shared" si="48"/>
        <v>-</v>
      </c>
      <c r="DS339" s="310" t="str">
        <f t="shared" si="49"/>
        <v>-</v>
      </c>
      <c r="DT339" s="310" t="str">
        <f t="shared" si="50"/>
        <v>-</v>
      </c>
      <c r="DU339" s="370" t="str">
        <f t="shared" si="51"/>
        <v>✔</v>
      </c>
      <c r="DV339" s="306" t="str">
        <f t="shared" si="52"/>
        <v>-</v>
      </c>
      <c r="DW339" s="306" t="str">
        <f t="shared" si="53"/>
        <v>-</v>
      </c>
      <c r="DX339" s="306" t="str">
        <f t="shared" si="54"/>
        <v>-</v>
      </c>
      <c r="DY339" s="306" t="str">
        <f t="shared" si="55"/>
        <v>-</v>
      </c>
      <c r="DZ339" s="306" t="str">
        <f t="shared" si="56"/>
        <v>-</v>
      </c>
      <c r="EA339" s="367" t="str">
        <f t="shared" si="57"/>
        <v>-</v>
      </c>
      <c r="EB339" s="310" t="str">
        <f>IFERROR(__xludf.DUMMYFUNCTION("IF(REGEXMATCH(AW339,AS339),""✔"",""-"")"),"✔")</f>
        <v>✔</v>
      </c>
      <c r="EC339" s="310" t="str">
        <f t="shared" si="58"/>
        <v>#REF!</v>
      </c>
      <c r="ED339" s="370" t="str">
        <f t="shared" si="59"/>
        <v>-</v>
      </c>
      <c r="EE339" s="340" t="str">
        <f t="shared" si="60"/>
        <v>S-R-G-m-P-D-nN-S</v>
      </c>
      <c r="EF339" s="371" t="str">
        <f>IFERROR(__xludf.DUMMYFUNCTION("CONCATENATE(JOIN("""",HC339:HO339))"),"SrRgmPdnS")</f>
        <v>SrRgmPdnS</v>
      </c>
      <c r="EG339" s="372">
        <f t="shared" si="61"/>
        <v>1</v>
      </c>
      <c r="EH339" s="373" t="str">
        <f>IFERROR(__xludf.DUMMYFUNCTION("CONCATENATE(JOIN("""",JC339:JO339))"),"Ni, ")</f>
        <v>Ni, </v>
      </c>
      <c r="EI339" s="322">
        <f t="shared" si="62"/>
        <v>0</v>
      </c>
      <c r="EJ339" s="374" t="str">
        <f>IFERROR(__xludf.DUMMYFUNCTION("CONCATENATE(JOIN("""",KC339:KO339))"),"")</f>
        <v/>
      </c>
      <c r="EK339" s="325" t="str">
        <f t="shared" si="63"/>
        <v>S-R2-G3-M1-P-D2-N2-N3-S</v>
      </c>
      <c r="EL339" s="326" t="str">
        <f t="shared" si="64"/>
        <v>1-2-3-4-5-6-b7-7-8</v>
      </c>
      <c r="EM339" s="318" t="str">
        <f t="shared" si="65"/>
        <v>#REF!</v>
      </c>
      <c r="EN339" s="328" t="str">
        <f>IFERROR(__xludf.DUMMYFUNCTION("SUBSTITUTE(SUBSTITUTE(SUBSTITUTE(SUBSTITUTE(CONCATENATE(JOIN("" "",HP339:IB339)),""  "","" ""),""  "","" ""),""  "","" ""),""  "","" "")"),"o • o • o o • o • o o o o")</f>
        <v>o • o • o o • o • o o o o</v>
      </c>
      <c r="EO339" s="368" t="str">
        <f t="shared" si="66"/>
        <v>-</v>
      </c>
      <c r="EP339" s="339" t="str">
        <f t="shared" si="67"/>
        <v>-</v>
      </c>
      <c r="EQ339" s="339" t="str">
        <f t="shared" si="68"/>
        <v>Sa-Pa</v>
      </c>
      <c r="ER339" s="339" t="str">
        <f t="shared" si="69"/>
        <v>-</v>
      </c>
      <c r="ES339" s="340" t="str">
        <f t="shared" si="70"/>
        <v>-</v>
      </c>
      <c r="ET339" s="363"/>
      <c r="EU339" s="376" t="b">
        <f>IFERROR(__xludf.DUMMYFUNCTION("arrayformula(sum(--REGEXMATCH(""SRGMPDNS"",split(REGEXREPLACE(C339,""(.)"",""$1~""),""~""))))=len(C339)
"),FALSE)</f>
        <v>0</v>
      </c>
      <c r="EV339" s="290" t="b">
        <f>IFERROR(__xludf.DUMMYFUNCTION("arrayformula(sum(--REGEXMATCH(""SRGmPDNS"",split(REGEXREPLACE(C339,""(.)"",""$1~""),""~""))))=len(C339)"),FALSE)</f>
        <v>0</v>
      </c>
      <c r="EW339" s="290" t="b">
        <f>IFERROR(__xludf.DUMMYFUNCTION("arrayformula(sum(--REGEXMATCH(""SRGmPDnS"",split(REGEXREPLACE(C339,""(.)"",""$1~""),""~""))))=len(C339)"),FALSE)</f>
        <v>0</v>
      </c>
      <c r="EX339" s="290" t="b">
        <f>IFERROR(__xludf.DUMMYFUNCTION("arrayformula(sum(--REGEXMATCH(""SRgmPDnS"",split(REGEXREPLACE(C339,""(.)"",""$1~""),""~""))))=len(C339)"),FALSE)</f>
        <v>0</v>
      </c>
      <c r="EY339" s="290" t="b">
        <f>IFERROR(__xludf.DUMMYFUNCTION("arrayformula(sum(--REGEXMATCH(""SRgmPdnS"",split(REGEXREPLACE(C339,""(.)"",""$1~""),""~""))))=len(C339)"),FALSE)</f>
        <v>0</v>
      </c>
      <c r="EZ339" s="290" t="b">
        <f>IFERROR(__xludf.DUMMYFUNCTION("arrayformula(sum(--REGEXMATCH(""SrgmPdnS"",split(REGEXREPLACE(C339,""(.)"",""$1~""),""~""))))=len(C339)"),FALSE)</f>
        <v>0</v>
      </c>
      <c r="FA339" s="290" t="b">
        <f>IFERROR(__xludf.DUMMYFUNCTION("arrayformula(sum(--REGEXMATCH(""SrGmPdNS"",split(REGEXREPLACE(C339,""(.)"",""$1~""),""~""))))=len(C339)"),FALSE)</f>
        <v>0</v>
      </c>
      <c r="FB339" s="290" t="b">
        <f>IFERROR(__xludf.DUMMYFUNCTION("arrayformula(sum(--REGEXMATCH(""SrGMPDNS"",split(REGEXREPLACE(C339,""(.)"",""$1~""),""~""))))=len(C339)"),FALSE)</f>
        <v>0</v>
      </c>
      <c r="FC339" s="290" t="b">
        <f>IFERROR(__xludf.DUMMYFUNCTION("arrayformula(sum(--REGEXMATCH(""SrGMPdNS"",split(REGEXREPLACE(C339,""(.)"",""$1~""),""~""))))=len(C339)"),FALSE)</f>
        <v>0</v>
      </c>
      <c r="FD339" s="377" t="b">
        <f>IFERROR(__xludf.DUMMYFUNCTION("arrayformula(sum(--REGEXMATCH(""SrgMPdNS"",split(REGEXREPLACE(C339,""(.)"",""$1~""),""~""))))=len(C339)"),FALSE)</f>
        <v>0</v>
      </c>
      <c r="FE339" s="269" t="str">
        <f t="shared" si="71"/>
        <v>-</v>
      </c>
      <c r="FF339" s="269" t="str">
        <f t="shared" si="72"/>
        <v>xoxxoxoxxxx</v>
      </c>
      <c r="FG339" s="271" t="str">
        <f t="shared" si="73"/>
        <v>-</v>
      </c>
      <c r="FH339" s="269" t="str">
        <f t="shared" si="74"/>
        <v>xxoxoxxxxox</v>
      </c>
      <c r="FI339" s="271" t="str">
        <f t="shared" si="75"/>
        <v>xoxoxxxxoxo</v>
      </c>
      <c r="FJ339" s="271" t="str">
        <f t="shared" si="76"/>
        <v>-</v>
      </c>
      <c r="FK339" s="271" t="str">
        <f t="shared" si="77"/>
        <v>xoxxxxoxoxx</v>
      </c>
      <c r="FL339" s="271" t="str">
        <f t="shared" si="78"/>
        <v>-</v>
      </c>
      <c r="FM339" s="271" t="str">
        <f t="shared" si="79"/>
        <v>xxxxoxoxxox</v>
      </c>
      <c r="FN339" s="271" t="str">
        <f t="shared" si="80"/>
        <v>xxxoxoxxoxo</v>
      </c>
      <c r="FO339" s="274" t="str">
        <f t="shared" si="81"/>
        <v>xxoxoxxoxox</v>
      </c>
      <c r="FP339" s="234" t="str">
        <f t="shared" si="82"/>
        <v>|</v>
      </c>
      <c r="FQ339" s="236" t="str">
        <f t="shared" si="83"/>
        <v>-</v>
      </c>
      <c r="FR339" s="237" t="str">
        <f t="shared" si="84"/>
        <v>|</v>
      </c>
      <c r="FS339" s="236" t="str">
        <f t="shared" si="85"/>
        <v>-</v>
      </c>
      <c r="FT339" s="237" t="str">
        <f t="shared" si="86"/>
        <v>|</v>
      </c>
      <c r="FU339" s="236" t="str">
        <f t="shared" si="87"/>
        <v>|</v>
      </c>
      <c r="FV339" s="237" t="str">
        <f t="shared" si="88"/>
        <v>-</v>
      </c>
      <c r="FW339" s="236" t="str">
        <f t="shared" si="89"/>
        <v>|</v>
      </c>
      <c r="FX339" s="237" t="str">
        <f t="shared" si="90"/>
        <v>-</v>
      </c>
      <c r="FY339" s="236" t="str">
        <f t="shared" si="91"/>
        <v>|</v>
      </c>
      <c r="FZ339" s="237" t="str">
        <f t="shared" si="92"/>
        <v>|</v>
      </c>
      <c r="GA339" s="236" t="str">
        <f t="shared" si="93"/>
        <v>|</v>
      </c>
      <c r="GB339" s="238" t="str">
        <f t="shared" si="94"/>
        <v>|</v>
      </c>
      <c r="GC339" s="244" t="str">
        <f>IFERROR(__xludf.DUMMYFUNCTION("IF(REGEXMATCH(C339, ""S""), ""1"","""")"),"1")</f>
        <v>1</v>
      </c>
      <c r="GD339" s="245" t="str">
        <f>IFERROR(__xludf.DUMMYFUNCTION("IF(REGEXMATCH(C339, ""r""), ""b2"","""")"),"")</f>
        <v/>
      </c>
      <c r="GE339" s="246" t="str">
        <f>IFERROR(__xludf.DUMMYFUNCTION("IF(REGEXMATCH(C339, ""R""), ""2"","""")"),"2")</f>
        <v>2</v>
      </c>
      <c r="GF339" s="246" t="str">
        <f>IFERROR(__xludf.DUMMYFUNCTION("IF(REGEXMATCH(C339, ""g""), ""b3"","""")"),"")</f>
        <v/>
      </c>
      <c r="GG339" s="245" t="str">
        <f>IFERROR(__xludf.DUMMYFUNCTION("IF(REGEXMATCH(C339, ""G""), ""3"","""")"),"3")</f>
        <v>3</v>
      </c>
      <c r="GH339" s="245" t="str">
        <f>IFERROR(__xludf.DUMMYFUNCTION("IF(REGEXMATCH(C339, ""m""), ""4"","""")"),"4")</f>
        <v>4</v>
      </c>
      <c r="GI339" s="246" t="str">
        <f>IFERROR(__xludf.DUMMYFUNCTION("IF(REGEXMATCH(C339, ""M""), ""#4"","""")"),"")</f>
        <v/>
      </c>
      <c r="GJ339" s="245" t="str">
        <f>IFERROR(__xludf.DUMMYFUNCTION("IF(REGEXMATCH(C339, ""P""), ""5"","""")"),"5")</f>
        <v>5</v>
      </c>
      <c r="GK339" s="246" t="str">
        <f>IFERROR(__xludf.DUMMYFUNCTION("IF(REGEXMATCH(C339, ""d""), ""b6"","""")"),"")</f>
        <v/>
      </c>
      <c r="GL339" s="245" t="str">
        <f>IFERROR(__xludf.DUMMYFUNCTION("IF(REGEXMATCH(C339, ""D""), ""6"","""")"),"6")</f>
        <v>6</v>
      </c>
      <c r="GM339" s="245" t="str">
        <f>IFERROR(__xludf.DUMMYFUNCTION("IF(REGEXMATCH(C339, ""n""), ""b7"","""")"),"b7")</f>
        <v>b7</v>
      </c>
      <c r="GN339" s="246" t="str">
        <f>IFERROR(__xludf.DUMMYFUNCTION("IF(REGEXMATCH(C339, ""N""), ""7"","""")"),"7")</f>
        <v>7</v>
      </c>
      <c r="GO339" s="249" t="str">
        <f>IFERROR(__xludf.DUMMYFUNCTION("IF(REGEXMATCH(C339, ""S""), ""8"","""")"),"8")</f>
        <v>8</v>
      </c>
      <c r="GP339" s="244" t="str">
        <f>IFERROR(__xludf.DUMMYFUNCTION("IF(REGEXMATCH(C339, ""S""), ""S"","""")"),"S")</f>
        <v>S</v>
      </c>
      <c r="GQ339" s="294" t="str">
        <f>IFERROR(__xludf.DUMMYFUNCTION("IF(REGEXMATCH(C339, ""r""), ""R1"","""")"),"")</f>
        <v/>
      </c>
      <c r="GR339" s="295" t="str">
        <f>IFERROR(__xludf.DUMMYFUNCTION("IF(REGEXMATCH(C339, ""R""), ""R2"","""")"),"R2")</f>
        <v>R2</v>
      </c>
      <c r="GS339" s="295" t="str">
        <f>IFERROR(__xludf.DUMMYFUNCTION("IF(REGEXMATCH(C339, ""g""), ""G2"","""")"),"")</f>
        <v/>
      </c>
      <c r="GT339" s="294" t="str">
        <f>IFERROR(__xludf.DUMMYFUNCTION("IF(REGEXMATCH(C339, ""G""), ""G3"","""")"),"G3")</f>
        <v>G3</v>
      </c>
      <c r="GU339" s="294" t="str">
        <f>IFERROR(__xludf.DUMMYFUNCTION("IF(REGEXMATCH(C339, ""m""), ""M1"","""")"),"M1")</f>
        <v>M1</v>
      </c>
      <c r="GV339" s="295" t="str">
        <f>IFERROR(__xludf.DUMMYFUNCTION("IF(REGEXMATCH(C339, ""M""), ""M2"","""")"),"")</f>
        <v/>
      </c>
      <c r="GW339" s="294" t="str">
        <f>IFERROR(__xludf.DUMMYFUNCTION("IF(REGEXMATCH(C339, ""P""), ""P"","""")"),"P")</f>
        <v>P</v>
      </c>
      <c r="GX339" s="295" t="str">
        <f>IFERROR(__xludf.DUMMYFUNCTION("IF(REGEXMATCH(C339, ""d""), ""D1"","""")"),"")</f>
        <v/>
      </c>
      <c r="GY339" s="294" t="str">
        <f>IFERROR(__xludf.DUMMYFUNCTION("IF(REGEXMATCH(C339, ""D""), ""D2"","""")"),"D2")</f>
        <v>D2</v>
      </c>
      <c r="GZ339" s="294" t="str">
        <f>IFERROR(__xludf.DUMMYFUNCTION("IF(REGEXMATCH(C339, ""n""), ""N2"","""")"),"N2")</f>
        <v>N2</v>
      </c>
      <c r="HA339" s="295" t="str">
        <f>IFERROR(__xludf.DUMMYFUNCTION("IF(REGEXMATCH(C339, ""N""), ""N3"","""")"),"N3")</f>
        <v>N3</v>
      </c>
      <c r="HB339" s="249" t="str">
        <f>IFERROR(__xludf.DUMMYFUNCTION("IF(REGEXMATCH(C339, ""S""), ""S"","""")"),"S")</f>
        <v>S</v>
      </c>
      <c r="HC339" s="331" t="str">
        <f t="shared" si="95"/>
        <v>S</v>
      </c>
      <c r="HD339" s="332" t="str">
        <f t="shared" si="96"/>
        <v>r</v>
      </c>
      <c r="HE339" s="332" t="str">
        <f t="shared" si="97"/>
        <v>R</v>
      </c>
      <c r="HF339" s="332" t="str">
        <f t="shared" si="98"/>
        <v>g</v>
      </c>
      <c r="HG339" s="332" t="str">
        <f t="shared" si="99"/>
        <v/>
      </c>
      <c r="HH339" s="332" t="str">
        <f t="shared" si="100"/>
        <v>m</v>
      </c>
      <c r="HI339" s="332" t="str">
        <f t="shared" si="101"/>
        <v/>
      </c>
      <c r="HJ339" s="332" t="str">
        <f t="shared" si="102"/>
        <v>P</v>
      </c>
      <c r="HK339" s="332" t="str">
        <f t="shared" si="103"/>
        <v>d</v>
      </c>
      <c r="HL339" s="332" t="str">
        <f t="shared" si="104"/>
        <v/>
      </c>
      <c r="HM339" s="332" t="str">
        <f t="shared" si="105"/>
        <v>n</v>
      </c>
      <c r="HN339" s="332" t="str">
        <f t="shared" si="106"/>
        <v/>
      </c>
      <c r="HO339" s="343" t="str">
        <f t="shared" si="107"/>
        <v>S</v>
      </c>
      <c r="HP339" s="331" t="str">
        <f t="shared" si="108"/>
        <v>o</v>
      </c>
      <c r="HQ339" s="332" t="str">
        <f t="shared" si="109"/>
        <v>•</v>
      </c>
      <c r="HR339" s="332" t="str">
        <f t="shared" si="110"/>
        <v>o</v>
      </c>
      <c r="HS339" s="332" t="str">
        <f t="shared" si="111"/>
        <v>•</v>
      </c>
      <c r="HT339" s="332" t="str">
        <f t="shared" si="112"/>
        <v>o</v>
      </c>
      <c r="HU339" s="332" t="str">
        <f t="shared" si="113"/>
        <v>o</v>
      </c>
      <c r="HV339" s="332" t="str">
        <f t="shared" si="114"/>
        <v>•</v>
      </c>
      <c r="HW339" s="332" t="str">
        <f t="shared" si="115"/>
        <v>o</v>
      </c>
      <c r="HX339" s="332" t="str">
        <f t="shared" si="116"/>
        <v>•</v>
      </c>
      <c r="HY339" s="332" t="str">
        <f t="shared" si="117"/>
        <v>o</v>
      </c>
      <c r="HZ339" s="332" t="str">
        <f t="shared" si="118"/>
        <v>o</v>
      </c>
      <c r="IA339" s="332" t="str">
        <f t="shared" si="119"/>
        <v>o</v>
      </c>
      <c r="IB339" s="338" t="str">
        <f t="shared" si="120"/>
        <v>o</v>
      </c>
      <c r="IC339" s="331" t="str">
        <f t="shared" si="121"/>
        <v>•</v>
      </c>
      <c r="ID339" s="332" t="str">
        <f t="shared" si="122"/>
        <v>o</v>
      </c>
      <c r="IE339" s="332" t="str">
        <f t="shared" si="123"/>
        <v>•</v>
      </c>
      <c r="IF339" s="332" t="str">
        <f t="shared" si="124"/>
        <v>o</v>
      </c>
      <c r="IG339" s="332" t="str">
        <f t="shared" si="125"/>
        <v>•</v>
      </c>
      <c r="IH339" s="332" t="str">
        <f t="shared" si="126"/>
        <v>•</v>
      </c>
      <c r="II339" s="332" t="str">
        <f t="shared" si="127"/>
        <v>o</v>
      </c>
      <c r="IJ339" s="332" t="str">
        <f t="shared" si="128"/>
        <v>•</v>
      </c>
      <c r="IK339" s="332" t="str">
        <f t="shared" si="129"/>
        <v>o</v>
      </c>
      <c r="IL339" s="332" t="str">
        <f t="shared" si="130"/>
        <v>•</v>
      </c>
      <c r="IM339" s="332" t="str">
        <f t="shared" si="131"/>
        <v>•</v>
      </c>
      <c r="IN339" s="332" t="str">
        <f t="shared" si="132"/>
        <v>•</v>
      </c>
      <c r="IO339" s="338" t="str">
        <f t="shared" si="133"/>
        <v>•</v>
      </c>
      <c r="IP339" s="346" t="b">
        <f t="shared" si="134"/>
        <v>0</v>
      </c>
      <c r="IQ339" s="347" t="b">
        <f t="shared" si="135"/>
        <v>0</v>
      </c>
      <c r="IR339" s="347" t="b">
        <f t="shared" si="136"/>
        <v>0</v>
      </c>
      <c r="IS339" s="347" t="b">
        <f t="shared" si="137"/>
        <v>0</v>
      </c>
      <c r="IT339" s="347" t="b">
        <f t="shared" si="138"/>
        <v>0</v>
      </c>
      <c r="IU339" s="347" t="b">
        <f t="shared" si="139"/>
        <v>0</v>
      </c>
      <c r="IV339" s="347" t="b">
        <f t="shared" si="140"/>
        <v>0</v>
      </c>
      <c r="IW339" s="347" t="b">
        <f t="shared" si="141"/>
        <v>0</v>
      </c>
      <c r="IX339" s="347" t="b">
        <f t="shared" si="142"/>
        <v>0</v>
      </c>
      <c r="IY339" s="347" t="b">
        <f t="shared" si="143"/>
        <v>0</v>
      </c>
      <c r="IZ339" s="347" t="b">
        <f t="shared" si="144"/>
        <v>0</v>
      </c>
      <c r="JA339" s="347" t="b">
        <f t="shared" si="145"/>
        <v>1</v>
      </c>
      <c r="JB339" s="353" t="b">
        <f t="shared" si="146"/>
        <v>0</v>
      </c>
      <c r="JC339" s="354" t="str">
        <f t="shared" si="147"/>
        <v/>
      </c>
      <c r="JD339" s="355" t="str">
        <f t="shared" si="148"/>
        <v/>
      </c>
      <c r="JE339" s="355" t="str">
        <f t="shared" si="149"/>
        <v/>
      </c>
      <c r="JF339" s="355" t="str">
        <f t="shared" si="150"/>
        <v/>
      </c>
      <c r="JG339" s="355" t="str">
        <f t="shared" si="151"/>
        <v/>
      </c>
      <c r="JH339" s="355" t="str">
        <f t="shared" si="152"/>
        <v/>
      </c>
      <c r="JI339" s="355" t="str">
        <f t="shared" si="153"/>
        <v/>
      </c>
      <c r="JJ339" s="355" t="str">
        <f t="shared" si="154"/>
        <v/>
      </c>
      <c r="JK339" s="355" t="str">
        <f t="shared" si="155"/>
        <v/>
      </c>
      <c r="JL339" s="355" t="str">
        <f t="shared" si="156"/>
        <v/>
      </c>
      <c r="JM339" s="355" t="str">
        <f t="shared" si="157"/>
        <v/>
      </c>
      <c r="JN339" s="355" t="str">
        <f t="shared" si="158"/>
        <v>Ni, </v>
      </c>
      <c r="JO339" s="359" t="str">
        <f t="shared" si="159"/>
        <v/>
      </c>
      <c r="JP339" s="346" t="b">
        <f t="shared" si="160"/>
        <v>0</v>
      </c>
      <c r="JQ339" s="347" t="b">
        <f t="shared" si="161"/>
        <v>0</v>
      </c>
      <c r="JR339" s="347" t="b">
        <f t="shared" si="162"/>
        <v>0</v>
      </c>
      <c r="JS339" s="347" t="b">
        <f t="shared" si="163"/>
        <v>0</v>
      </c>
      <c r="JT339" s="347" t="b">
        <f t="shared" si="164"/>
        <v>0</v>
      </c>
      <c r="JU339" s="347" t="b">
        <f t="shared" si="165"/>
        <v>0</v>
      </c>
      <c r="JV339" s="347" t="b">
        <f t="shared" si="166"/>
        <v>0</v>
      </c>
      <c r="JW339" s="347" t="b">
        <f t="shared" si="167"/>
        <v>0</v>
      </c>
      <c r="JX339" s="347" t="b">
        <f t="shared" si="168"/>
        <v>0</v>
      </c>
      <c r="JY339" s="347" t="b">
        <f t="shared" si="169"/>
        <v>0</v>
      </c>
      <c r="JZ339" s="347" t="b">
        <f t="shared" si="170"/>
        <v>0</v>
      </c>
      <c r="KA339" s="347" t="b">
        <f t="shared" si="171"/>
        <v>0</v>
      </c>
      <c r="KB339" s="365" t="b">
        <f t="shared" si="172"/>
        <v>0</v>
      </c>
      <c r="KC339" s="354" t="str">
        <f t="shared" si="173"/>
        <v/>
      </c>
      <c r="KD339" s="355" t="str">
        <f t="shared" si="174"/>
        <v/>
      </c>
      <c r="KE339" s="355" t="str">
        <f t="shared" si="175"/>
        <v/>
      </c>
      <c r="KF339" s="355" t="str">
        <f t="shared" si="176"/>
        <v/>
      </c>
      <c r="KG339" s="355" t="str">
        <f t="shared" si="177"/>
        <v/>
      </c>
      <c r="KH339" s="355" t="str">
        <f t="shared" si="178"/>
        <v/>
      </c>
      <c r="KI339" s="355" t="str">
        <f t="shared" si="179"/>
        <v/>
      </c>
      <c r="KJ339" s="355" t="str">
        <f t="shared" si="180"/>
        <v/>
      </c>
      <c r="KK339" s="355" t="str">
        <f t="shared" si="181"/>
        <v/>
      </c>
      <c r="KL339" s="355" t="str">
        <f t="shared" si="182"/>
        <v/>
      </c>
      <c r="KM339" s="355" t="str">
        <f t="shared" si="183"/>
        <v/>
      </c>
      <c r="KN339" s="355" t="str">
        <f t="shared" si="184"/>
        <v/>
      </c>
      <c r="KO339" s="359"/>
      <c r="KP339" s="378"/>
      <c r="KQ339" s="379" t="s">
        <v>9</v>
      </c>
      <c r="KR339" s="380" t="s">
        <v>9</v>
      </c>
      <c r="KS339" s="381" t="s">
        <v>9</v>
      </c>
      <c r="KT339" s="382">
        <f t="shared" si="186"/>
        <v>0</v>
      </c>
      <c r="KU339" s="383">
        <f t="shared" si="187"/>
        <v>0</v>
      </c>
      <c r="KV339" s="381" t="str">
        <f t="shared" si="205"/>
        <v>S</v>
      </c>
      <c r="KW339" s="382">
        <f t="shared" si="189"/>
        <v>0</v>
      </c>
      <c r="KX339" s="384">
        <f t="shared" si="190"/>
        <v>0</v>
      </c>
      <c r="KY339" s="382">
        <f t="shared" ref="KY339:KZ339" si="911">KW339-KT339</f>
        <v>0</v>
      </c>
      <c r="KZ339" s="369">
        <f t="shared" si="911"/>
        <v>0</v>
      </c>
      <c r="LA339" s="385" t="str">
        <f t="shared" si="192"/>
        <v>✔</v>
      </c>
      <c r="LB339" s="340" t="str">
        <f>IFERROR(__xludf.DUMMYFUNCTION("JOIN("""",ArrayFormula(MID(KS339,LEN(KS339)-SEQUENCE(1,LEN(KS339))+1,1)))"),"S")</f>
        <v>S</v>
      </c>
      <c r="LC339" s="373" t="str">
        <f>IFERROR(__xludf.DUMMYFUNCTION("JOIN("""",ArrayFormula(MID(KV339,LEN(KV339)-SEQUENCE(1,LEN(KV339))+1,1)))"),"S")</f>
        <v>S</v>
      </c>
      <c r="LD339" s="373" t="str">
        <f t="shared" si="193"/>
        <v>S</v>
      </c>
      <c r="LE339" s="339" t="str">
        <f t="shared" si="194"/>
        <v>S</v>
      </c>
      <c r="LF339" s="386" t="str">
        <f>IFERROR(__xludf.DUMMYFUNCTION("SUBSTITUTE(SUBSTITUTE(CONCATENATE(JOIN("""",LH339:LT339)),""1"",""""),""2"","""")"),"SS")</f>
        <v>SS</v>
      </c>
      <c r="LG339" s="369" t="str">
        <f t="shared" si="195"/>
        <v>-</v>
      </c>
      <c r="LH339" s="387" t="str">
        <f>IFERROR(__xludf.DUMMYFUNCTION("IF(REGEXMATCH(LD339, ""S""), ""S"",IF(REGEXMATCH(LE339, ""S""), ""S"",""""))"),"S")</f>
        <v>S</v>
      </c>
      <c r="LI339" s="299" t="str">
        <f>IFERROR(__xludf.DUMMYFUNCTION("IF(REGEXMATCH(LD339, ""r""), ""r1"",IF(REGEXMATCH(LE339, ""r""), ""r2"",""""))"),"")</f>
        <v/>
      </c>
      <c r="LJ339" s="299" t="str">
        <f>IFERROR(__xludf.DUMMYFUNCTION("IF(REGEXMATCH(LD339, ""R""), ""R1"",IF(REGEXMATCH(LE339, ""R""), ""R2"",""""))"),"")</f>
        <v/>
      </c>
      <c r="LK339" s="299" t="str">
        <f>IFERROR(__xludf.DUMMYFUNCTION("IF(REGEXMATCH(LD339, ""g""), ""g1"",IF(REGEXMATCH(LE339, ""g""), ""g2"",""""))"),"")</f>
        <v/>
      </c>
      <c r="LL339" s="299" t="str">
        <f>IFERROR(__xludf.DUMMYFUNCTION("IF(REGEXMATCH(LD339, ""G""), ""G1"",IF(REGEXMATCH(LE339, ""G""), ""G2"",""""))"),"")</f>
        <v/>
      </c>
      <c r="LM339" s="299" t="str">
        <f>IFERROR(__xludf.DUMMYFUNCTION("IF(REGEXMATCH(LD339, ""m""), ""m1"",IF(REGEXMATCH(LE339, ""m""), ""m2"",""""))"),"")</f>
        <v/>
      </c>
      <c r="LN339" s="299" t="str">
        <f>IFERROR(__xludf.DUMMYFUNCTION("IF(REGEXMATCH(LD339, ""M""), ""M1"",IF(REGEXMATCH(LE339, ""M""), ""M2"",""""))"),"")</f>
        <v/>
      </c>
      <c r="LO339" s="299" t="str">
        <f>IFERROR(__xludf.DUMMYFUNCTION("IF(REGEXMATCH(LD339, ""P""), ""P1"",IF(REGEXMATCH(LE339, ""P""), ""P2"",""""))"),"")</f>
        <v/>
      </c>
      <c r="LP339" s="299" t="str">
        <f>IFERROR(__xludf.DUMMYFUNCTION("IF(REGEXMATCH(LD339, ""d""), ""d1"",IF(REGEXMATCH(LE339, ""d""), ""d2"",""""))"),"")</f>
        <v/>
      </c>
      <c r="LQ339" s="299" t="str">
        <f>IFERROR(__xludf.DUMMYFUNCTION("IF(REGEXMATCH(LD339, ""D""), ""D1"",IF(REGEXMATCH(LE339, ""D""), ""D2"",""""))"),"")</f>
        <v/>
      </c>
      <c r="LR339" s="299" t="str">
        <f>IFERROR(__xludf.DUMMYFUNCTION("IF(REGEXMATCH(LD339, ""n""), ""n1"",IF(REGEXMATCH(LE339, ""n""), ""n2"",""""))"),"")</f>
        <v/>
      </c>
      <c r="LS339" s="299" t="str">
        <f>IFERROR(__xludf.DUMMYFUNCTION("IF(REGEXMATCH(LD339, ""N""), ""N1"",IF(REGEXMATCH(LE339, ""N""), ""N2"",""""))"),"")</f>
        <v/>
      </c>
      <c r="LT339" s="388" t="str">
        <f>IFERROR(__xludf.DUMMYFUNCTION("IF(REGEXMATCH(LD339, ""S""), ""S"",IF(REGEXMATCH(LE339, ""S""), ""S"",""""))"),"S")</f>
        <v>S</v>
      </c>
      <c r="LU339" s="389">
        <f t="shared" si="196"/>
        <v>1</v>
      </c>
      <c r="LV339" s="378"/>
      <c r="LW339" s="369"/>
      <c r="LX339" s="369"/>
    </row>
    <row r="340" ht="18.0" customHeight="1">
      <c r="A340" s="298" t="s">
        <v>1191</v>
      </c>
      <c r="B340" s="222" t="s">
        <v>527</v>
      </c>
      <c r="C340" s="233" t="str">
        <f t="shared" si="7"/>
        <v>SRgmPDnNS</v>
      </c>
      <c r="D340" s="234" t="str">
        <f>IFERROR(__xludf.DUMMYFUNCTION("IF(REGEXMATCH(C340, ""S""), ""S"","""")"),"S")</f>
        <v>S</v>
      </c>
      <c r="E340" s="236" t="str">
        <f>IFERROR(__xludf.DUMMYFUNCTION("IF(REGEXMATCH(C340, ""r""), ""r"","""")"),"")</f>
        <v/>
      </c>
      <c r="F340" s="237" t="str">
        <f>IFERROR(__xludf.DUMMYFUNCTION("IF(REGEXMATCH(C340, ""R""), ""R"","""")"),"R")</f>
        <v>R</v>
      </c>
      <c r="G340" s="237" t="str">
        <f>IFERROR(__xludf.DUMMYFUNCTION("IF(REGEXMATCH(C340, ""g""), ""g"","""")"),"g")</f>
        <v>g</v>
      </c>
      <c r="H340" s="236" t="str">
        <f>IFERROR(__xludf.DUMMYFUNCTION("IF(REGEXMATCH(C340, ""G""), ""G"","""")"),"")</f>
        <v/>
      </c>
      <c r="I340" s="236" t="str">
        <f>IFERROR(__xludf.DUMMYFUNCTION("IF(REGEXMATCH(C340, ""m""), ""m"","""")"),"m")</f>
        <v>m</v>
      </c>
      <c r="J340" s="237" t="str">
        <f>IFERROR(__xludf.DUMMYFUNCTION("IF(REGEXMATCH(C340, ""M""), ""M"","""")"),"")</f>
        <v/>
      </c>
      <c r="K340" s="236" t="str">
        <f>IFERROR(__xludf.DUMMYFUNCTION("IF(REGEXMATCH(C340, ""P""), ""P"","""")"),"P")</f>
        <v>P</v>
      </c>
      <c r="L340" s="237" t="str">
        <f>IFERROR(__xludf.DUMMYFUNCTION("IF(REGEXMATCH(C340, ""d""), ""d"","""")"),"")</f>
        <v/>
      </c>
      <c r="M340" s="236" t="str">
        <f>IFERROR(__xludf.DUMMYFUNCTION("IF(REGEXMATCH(C340, ""D""), ""D"","""")"),"D")</f>
        <v>D</v>
      </c>
      <c r="N340" s="236" t="str">
        <f>IFERROR(__xludf.DUMMYFUNCTION("IF(REGEXMATCH(C340, ""n""), ""n"","""")"),"n")</f>
        <v>n</v>
      </c>
      <c r="O340" s="237" t="str">
        <f>IFERROR(__xludf.DUMMYFUNCTION("IF(REGEXMATCH(C340, ""N""), ""N"","""")"),"N")</f>
        <v>N</v>
      </c>
      <c r="P340" s="238" t="str">
        <f>IFERROR(__xludf.DUMMYFUNCTION("IF(REGEXMATCH(C340, ""S""), ""S"","""")"),"S")</f>
        <v>S</v>
      </c>
      <c r="Q340" s="239" t="str">
        <f>IFERROR(__xludf.DUMMYFUNCTION("SUBSTITUTE(CONCATENATE(JOIN(""-"",D340:J340)),""-"","""")"),"SRgm")</f>
        <v>SRgm</v>
      </c>
      <c r="R340" s="229" t="str">
        <f>IFERROR(__xludf.DUMMYFUNCTION("SUBSTITUTE(CONCATENATE(JOIN(""-"",K340:P340)),""-"","""")"),"PDnNS")</f>
        <v>PDnNS</v>
      </c>
      <c r="S340" s="282" t="str">
        <f t="shared" si="8"/>
        <v>S-R-G-M</v>
      </c>
      <c r="T340" s="282" t="str">
        <f t="shared" si="9"/>
        <v>P-D-N-S</v>
      </c>
      <c r="U340" s="237" t="str">
        <f>IFERROR(__xludf.DUMMYFUNCTION("SUBSTITUTE(JOIN(""-"",S340,T340),""--"",""-"")"),"S-R-G-M-P-D-N-S")</f>
        <v>S-R-G-M-P-D-N-S</v>
      </c>
      <c r="V340" s="309" t="str">
        <f t="shared" si="10"/>
        <v>RgmDnN</v>
      </c>
      <c r="W340" s="244" t="str">
        <f>IFERROR(__xludf.DUMMYFUNCTION("IF(REGEXMATCH(C340, ""S""), ""0"","""")"),"0")</f>
        <v>0</v>
      </c>
      <c r="X340" s="245" t="str">
        <f>IFERROR(__xludf.DUMMYFUNCTION("IF(REGEXMATCH(C340, ""r""), ""1"","""")"),"")</f>
        <v/>
      </c>
      <c r="Y340" s="246" t="str">
        <f>IFERROR(__xludf.DUMMYFUNCTION("IF(REGEXMATCH(C340, ""R""), ""2"","""")"),"2")</f>
        <v>2</v>
      </c>
      <c r="Z340" s="246" t="str">
        <f>IFERROR(__xludf.DUMMYFUNCTION("IF(REGEXMATCH(C340, ""g""), ""3"","""")"),"3")</f>
        <v>3</v>
      </c>
      <c r="AA340" s="245" t="str">
        <f>IFERROR(__xludf.DUMMYFUNCTION("IF(REGEXMATCH(C340, ""G""), ""4"","""")"),"")</f>
        <v/>
      </c>
      <c r="AB340" s="245" t="str">
        <f>IFERROR(__xludf.DUMMYFUNCTION("IF(REGEXMATCH(C340, ""m""), ""5"","""")"),"5")</f>
        <v>5</v>
      </c>
      <c r="AC340" s="246" t="str">
        <f>IFERROR(__xludf.DUMMYFUNCTION("IF(REGEXMATCH(C340, ""M""), ""6"","""")"),"")</f>
        <v/>
      </c>
      <c r="AD340" s="245" t="str">
        <f>IFERROR(__xludf.DUMMYFUNCTION("IF(REGEXMATCH(C340, ""P""), ""7"","""")"),"7")</f>
        <v>7</v>
      </c>
      <c r="AE340" s="246" t="str">
        <f>IFERROR(__xludf.DUMMYFUNCTION("IF(REGEXMATCH(C340, ""d""), ""8"","""")"),"")</f>
        <v/>
      </c>
      <c r="AF340" s="245" t="str">
        <f>IFERROR(__xludf.DUMMYFUNCTION("IF(REGEXMATCH(C340, ""D""), ""9"","""")"),"9")</f>
        <v>9</v>
      </c>
      <c r="AG340" s="245" t="str">
        <f>IFERROR(__xludf.DUMMYFUNCTION("IF(REGEXMATCH(C340, ""n""), ""10"","""")"),"10")</f>
        <v>10</v>
      </c>
      <c r="AH340" s="246" t="str">
        <f>IFERROR(__xludf.DUMMYFUNCTION("IF(REGEXMATCH(C340, ""N""), ""11"","""")"),"11")</f>
        <v>11</v>
      </c>
      <c r="AI340" s="249" t="str">
        <f>IFERROR(__xludf.DUMMYFUNCTION("IF(REGEXMATCH(C340, ""S""), ""0"","""")"),"0")</f>
        <v>0</v>
      </c>
      <c r="AJ340" s="313" t="str">
        <f t="shared" si="11"/>
        <v>-</v>
      </c>
      <c r="AK340" s="313" t="str">
        <f t="shared" si="12"/>
        <v>-</v>
      </c>
      <c r="AL340" s="313" t="str">
        <f t="shared" si="13"/>
        <v>-</v>
      </c>
      <c r="AM340" s="313" t="str">
        <f t="shared" si="14"/>
        <v>T</v>
      </c>
      <c r="AN340" s="313" t="str">
        <f t="shared" si="15"/>
        <v>-</v>
      </c>
      <c r="AO340" s="314" t="str">
        <f t="shared" si="16"/>
        <v>T</v>
      </c>
      <c r="AP340" s="316">
        <f t="shared" si="17"/>
        <v>2</v>
      </c>
      <c r="AQ340" s="319" t="str">
        <f t="shared" si="18"/>
        <v>#REF!</v>
      </c>
      <c r="AR340" s="320">
        <f t="shared" si="19"/>
        <v>0</v>
      </c>
      <c r="AS340" s="250" t="str">
        <f>IFERROR(__xludf.DUMMYFUNCTION("SUBSTITUTE(SUBSTITUTE(CONCATENATE(JOIN("""",FP340:GA340)),""|"",""x""),""-"",""o"")"),"xoxxoxoxoxxx")</f>
        <v>xoxxoxoxoxxx</v>
      </c>
      <c r="AT340" s="323" t="str">
        <f>IFERROR(__xludf.DUMMYFUNCTION("JOIN("""",AS340,AS340)"),"xoxxoxoxoxxxxoxxoxoxoxxx")</f>
        <v>xoxxoxoxoxxxxoxxoxoxoxxx</v>
      </c>
      <c r="AU340" s="256" t="str">
        <f>IFERROR(__xludf.DUMMYFUNCTION("JOIN("""",ArrayFormula(MID(AS340,LEN(AS340)-SEQUENCE(1,LEN(AS340))+1,1)))"),"xxxoxoxoxxox")</f>
        <v>xxxoxoxoxxox</v>
      </c>
      <c r="AV340" s="256" t="str">
        <f>IFERROR(__xludf.DUMMYFUNCTION("LEFT(CONCATENATE(""x"",JOIN("""",ArrayFormula(MID(AS340,LEN(AS340)-SEQUENCE(1,LEN(AS340))+1,1)))),12)"),"xxxxoxoxoxxo")</f>
        <v>xxxxoxoxoxxo</v>
      </c>
      <c r="AW340" s="327" t="str">
        <f>IFERROR(__xludf.DUMMYFUNCTION("JOIN("""",AU340,AU340)"),"xxxoxoxoxxoxxxxoxoxoxxox")</f>
        <v>xxxoxoxoxxoxxxxoxoxoxxox</v>
      </c>
      <c r="AX340" s="239" t="str">
        <f>IFERROR(__xludf.DUMMYFUNCTION("IF(REGEXMATCH(AW340,AS340),""✔"",""-"")"),"-")</f>
        <v>-</v>
      </c>
      <c r="AY340" s="330" t="str">
        <f t="shared" si="20"/>
        <v>-</v>
      </c>
      <c r="AZ340" s="260" t="str">
        <f t="shared" si="21"/>
        <v>#REF!</v>
      </c>
      <c r="BA340" s="333" t="str">
        <f t="shared" si="22"/>
        <v>xoxxoxo</v>
      </c>
      <c r="BB340" s="334" t="str">
        <f t="shared" si="23"/>
        <v>xoxxxx</v>
      </c>
      <c r="BC340" s="335" t="str">
        <f t="shared" si="236"/>
        <v>-</v>
      </c>
      <c r="BD340" s="336" t="str">
        <f t="shared" si="25"/>
        <v>Sughrai: 'xoxxoxo' + 'xoxxxx'</v>
      </c>
      <c r="BE340" s="337">
        <f>IFERROR(__xludf.DUMMYFUNCTION("COUNTUNIQUE(FILTER(AT:AT,REGEXMATCH(AT:AT,AS340)))-1"),3.0)</f>
        <v>3</v>
      </c>
      <c r="BF340" s="261" t="str">
        <f>IFERROR(__xludf.DUMMYFUNCTION("IF(BI340=0,""(n/a)"",IF(BJ340=2,""(PAIR)"",IF(REGEXMATCH(AT340,""xoxoxxoxoxox""),""Bilawal"",IF(REGEXMATCH(AT340,""xoxoxooxoxoo""),""Bhupali"",IF(REGEXMATCH(AT340,""xoxoxxoxxoxo""),""Charukeshi"",IF(REGEXMATCH(AT340,""xoxoooxxoxxo""),""Kameshwari"",IF(REG"&amp;"EXMATCH(AT340,""xoxoxooxoxox""),""Shankara"",IF(REGEXMATCH(AT340,""xxooxoxxxoox""),""Basant"",IF(REGEXMATCH(AT340,""xoxoxxxxoxox""),""Bihag"",IF(REGEXMATCH(AT340,""xoxxxxoxoxxx""),""Pilu"",IF(REGEXMATCH(AT340,""xoxxoxoxxoox""),""Kirwani"",IF(REGEXMATCH(AT"&amp;"340,""xoxxoxoxoxxx""),""Mk.Malhar"",IF(REGEXMATCH(AT340,""xxooxxoxxoox""),""Bhairav"",IF(REGEXMATCH(AT340,""xxoxooxxxoox""),""Todi"",IF(REGEXMATCH(AT340,""xxooxoxooxox""),""Marwa"",IF(REGEXMATCH(AT340,""xxoooxoxxooo""),""Gunkali"",IF(REGEXMATCH(AT340,""xo"&amp;"xoxxoxxoox""),""Nat Bhairav"",IF(REGEXMATCH(AT340,""xoxxoooxoxoo""),""Shivranjani"",IF(REGEXMATCH(AT340,""xooxxxoxooxo""),""Jog"",IF(REGEXMATCH(AT340,""xxooxoxoxoox""),""Hemshri"",IF(REGEXMATCH(AT340,""xoooxooxoxxo""),""Kalavati"",IF(REGEXMATCH(AT340,""xx"&amp;"oxoxxoxoox""),""Kedar"",IF(REGEXMATCH(AT340,""xoxxxxoxooxx""),""Gara"",IF(REGEXMATCH(AT340,""xooxoxooxoox""),""Chandrakauns"",IF(REGEXMATCH(AT340,""xoxxxxoxxxox""),""Mand"",IF(REGEXMATCH(AT340,""xoxxxxoxoxox""),""Hanskinkini"",IF(REGEXMATCH(AT340,""xxooxx"&amp;"oxooxo""),""Lilavati"",IF(REGEXMATCH(AT340,""xooxoxoooxox""),""Rajeshwari"",IF(REGEXMATCH(AT340,""xoooxxoxoxxx""),""Khokar"",IF(REGEXMATCH(AT340,""xxooxoxxxxox""),""Maligoura"",""-""))))))))))))))))))))))))))))))"),"Mk.Malhar")</f>
        <v>Mk.Malhar</v>
      </c>
      <c r="BG340" s="239" t="str">
        <f t="shared" si="26"/>
        <v>#REF!</v>
      </c>
      <c r="BH340" s="239">
        <f>IFERROR(__xludf.DUMMYFUNCTION("COUNTUNIQUE(FE340:FO340)-1"),7.0)</f>
        <v>7</v>
      </c>
      <c r="BI340" s="239">
        <f>IFERROR(__xludf.DUMMYFUNCTION("COUNTUNIQUE(FILTER(AT:AT,REGEXMATCH(AT:AT,AS340)))-1"),3.0)</f>
        <v>3</v>
      </c>
      <c r="BJ340" s="239">
        <f>IFERROR(__xludf.DUMMYFUNCTION("COUNTA(FILTER(AT:AT,REGEXMATCH(AT:AT,AS340)))"),16.0)</f>
        <v>16</v>
      </c>
      <c r="BK340" s="341">
        <f>IFERROR(__xludf.DUMMYFUNCTION("COUNTA(FILTER(AT:AT,REGEXMATCH(AT:AT,AS340)))-AR340"),16.0)</f>
        <v>16</v>
      </c>
      <c r="BL340" s="276" t="str">
        <f>IFERROR(__xludf.DUMMYFUNCTION("IF(AS340=""oooooooooooo"",""-"",IF(REGEXMATCH(AT340,""xx""), ""Hemi."", ""Anhemi.""))"),"Hemi.")</f>
        <v>Hemi.</v>
      </c>
      <c r="BM340" s="282" t="str">
        <f>IFERROR(__xludf.DUMMYFUNCTION("IF(AS340=""oooooooooooo"",""-"",IF(REGEXMATCH(AT340,""xxx""), ""Cohem."", ""-""))"),"Cohem.")</f>
        <v>Cohem.</v>
      </c>
      <c r="BN340" s="282" t="str">
        <f>IFERROR(__xludf.DUMMYFUNCTION("IF(AS340=""oooooooooooo"",""-"",IF(REGEXMATCH(AT340,""xxxx""), ""Co-Co."", ""-""))"),"Co-Co.")</f>
        <v>Co-Co.</v>
      </c>
      <c r="BO340" s="342" t="str">
        <f>IFERROR(__xludf.DUMMYFUNCTION("IF(AS340=""oooooooooooo"",""-"",IF(REGEXMATCH(AT340,""xxxxx""), ""CCC."", ""-""))"),"-")</f>
        <v>-</v>
      </c>
      <c r="BP340" s="344" t="str">
        <f t="shared" si="27"/>
        <v>-</v>
      </c>
      <c r="BQ340" s="282" t="str">
        <f>IFERROR(__xludf.DUMMYFUNCTION("IF(REGEXMATCH(JOIN(""-"",EU340:FD340),""TRUE""),""✔"",""-"")"),"-")</f>
        <v>-</v>
      </c>
      <c r="BR340" s="225">
        <f t="shared" si="28"/>
        <v>0</v>
      </c>
      <c r="BS340" s="345" t="str">
        <f>IFERROR(__xludf.DUMMYFUNCTION("SUBSTITUTE(SUBSTITUTE(SUBSTITUTE(SUBSTITUTE(CONCATENATE(JOIN(""-"",GC340:GO340)),""--"",""-""),""--"",""-""),""--"",""-""),""--"",""-"")"),"1-2-b3-4-5-6-b7-7-8")</f>
        <v>1-2-b3-4-5-6-b7-7-8</v>
      </c>
      <c r="BT340" s="299" t="str">
        <f>IFERROR(__xludf.DUMMYFUNCTION("SUBSTITUTE(SUBSTITUTE(SUBSTITUTE(SUBSTITUTE(CONCATENATE(JOIN(""-"",GP340:HB340)),""--"",""-""),""--"",""-""),""--"",""-""),""--"",""-"")"),"S-R2-G2-M1-P-D2-N2-N3-S")</f>
        <v>S-R2-G2-M1-P-D2-N2-N3-S</v>
      </c>
      <c r="BU340" s="348" t="str">
        <f t="shared" si="29"/>
        <v>C-D-Eb-F-G-A-Bb-B-C</v>
      </c>
      <c r="BV340" s="349" t="str">
        <f t="shared" si="30"/>
        <v>SrGMdS</v>
      </c>
      <c r="BW340" s="350">
        <f t="shared" si="31"/>
        <v>0</v>
      </c>
      <c r="BX340" s="351">
        <f t="shared" si="32"/>
        <v>11</v>
      </c>
      <c r="BY340" s="392"/>
      <c r="BZ340" s="309" t="str">
        <f>IFERROR(__xludf.DUMMYFUNCTION("IF(REGEXMATCH(C340, ""S""), ""x"",""x"")"),"x")</f>
        <v>x</v>
      </c>
      <c r="CA340" s="245" t="str">
        <f>IFERROR(__xludf.DUMMYFUNCTION("IF(REGEXMATCH(C340, ""r""), ""o"",""x"")"),"x")</f>
        <v>x</v>
      </c>
      <c r="CB340" s="246" t="str">
        <f>IFERROR(__xludf.DUMMYFUNCTION("IF(REGEXMATCH(C340, ""R""), ""o"",""x"")"),"o")</f>
        <v>o</v>
      </c>
      <c r="CC340" s="246" t="str">
        <f>IFERROR(__xludf.DUMMYFUNCTION("IF(REGEXMATCH(C340, ""g""), ""o"",""x"")"),"o")</f>
        <v>o</v>
      </c>
      <c r="CD340" s="245" t="str">
        <f>IFERROR(__xludf.DUMMYFUNCTION("IF(REGEXMATCH(C340, ""G""), ""o"",""x"")"),"x")</f>
        <v>x</v>
      </c>
      <c r="CE340" s="245" t="str">
        <f>IFERROR(__xludf.DUMMYFUNCTION("IF(REGEXMATCH(C340, ""m""), ""o"",""x"")"),"o")</f>
        <v>o</v>
      </c>
      <c r="CF340" s="246" t="str">
        <f>IFERROR(__xludf.DUMMYFUNCTION("IF(REGEXMATCH(C340, ""M""), ""o"",""x"")"),"x")</f>
        <v>x</v>
      </c>
      <c r="CG340" s="245" t="str">
        <f>IFERROR(__xludf.DUMMYFUNCTION("IF(REGEXMATCH(C340, ""P""), ""o"",""x"")"),"o")</f>
        <v>o</v>
      </c>
      <c r="CH340" s="246" t="str">
        <f>IFERROR(__xludf.DUMMYFUNCTION("IF(REGEXMATCH(C340, ""d""), ""o"",""x"")"),"x")</f>
        <v>x</v>
      </c>
      <c r="CI340" s="245" t="str">
        <f>IFERROR(__xludf.DUMMYFUNCTION("IF(REGEXMATCH(C340, ""D""), ""o"",""x"")"),"o")</f>
        <v>o</v>
      </c>
      <c r="CJ340" s="245" t="str">
        <f>IFERROR(__xludf.DUMMYFUNCTION("IF(REGEXMATCH(C340, ""n""), ""o"",""x"")"),"o")</f>
        <v>o</v>
      </c>
      <c r="CK340" s="245" t="str">
        <f>IFERROR(__xludf.DUMMYFUNCTION("IF(REGEXMATCH(C340, ""N""), ""o"",""x"")"),"o")</f>
        <v>o</v>
      </c>
      <c r="CL340" s="356" t="str">
        <f>IFERROR(__xludf.DUMMYFUNCTION("IF(REGEXMATCH(C340, ""S""), ""x"",""x"")"),"x")</f>
        <v>x</v>
      </c>
      <c r="CM340" s="357" t="str">
        <f t="shared" si="33"/>
        <v>xxooxoxoxooo</v>
      </c>
      <c r="CN340" s="358">
        <f t="shared" si="34"/>
        <v>0</v>
      </c>
      <c r="CO340" s="246" t="str">
        <f>IFERROR(__xludf.DUMMYFUNCTION("IF(REGEXMATCH($C340, ""S""), ""S"",""S"")"),"S")</f>
        <v>S</v>
      </c>
      <c r="CP340" s="246" t="str">
        <f>IFERROR(__xludf.DUMMYFUNCTION("IF(REGEXMATCH($C340, ""r""), """",""r"")"),"r")</f>
        <v>r</v>
      </c>
      <c r="CQ340" s="246" t="str">
        <f>IFERROR(__xludf.DUMMYFUNCTION("IF(REGEXMATCH($C340, ""R""), """",""R"")"),"")</f>
        <v/>
      </c>
      <c r="CR340" s="246" t="str">
        <f>IFERROR(__xludf.DUMMYFUNCTION("IF(REGEXMATCH($C340, ""g""), """",""g"")"),"")</f>
        <v/>
      </c>
      <c r="CS340" s="246" t="str">
        <f>IFERROR(__xludf.DUMMYFUNCTION("IF(REGEXMATCH($C340, ""G""), """",""G"")"),"G")</f>
        <v>G</v>
      </c>
      <c r="CT340" s="246" t="str">
        <f>IFERROR(__xludf.DUMMYFUNCTION("IF(REGEXMATCH($C340, ""m""), """",""m"")"),"")</f>
        <v/>
      </c>
      <c r="CU340" s="246" t="str">
        <f>IFERROR(__xludf.DUMMYFUNCTION("IF(REGEXMATCH($C340, ""M""), """",""M"")"),"M")</f>
        <v>M</v>
      </c>
      <c r="CV340" s="246" t="str">
        <f>IFERROR(__xludf.DUMMYFUNCTION("IF(REGEXMATCH($C340, ""P""), """",""P"")"),"")</f>
        <v/>
      </c>
      <c r="CW340" s="246" t="str">
        <f>IFERROR(__xludf.DUMMYFUNCTION("IF(REGEXMATCH($C340, ""d""), """",""d"")"),"d")</f>
        <v>d</v>
      </c>
      <c r="CX340" s="246" t="str">
        <f>IFERROR(__xludf.DUMMYFUNCTION("IF(REGEXMATCH($C340, ""D""), """",""D"")"),"")</f>
        <v/>
      </c>
      <c r="CY340" s="246" t="str">
        <f>IFERROR(__xludf.DUMMYFUNCTION("IF(REGEXMATCH($C340, ""n""), """",""n"")"),"")</f>
        <v/>
      </c>
      <c r="CZ340" s="246" t="str">
        <f>IFERROR(__xludf.DUMMYFUNCTION("IF(REGEXMATCH($C340, ""N""), """",""N"")"),"")</f>
        <v/>
      </c>
      <c r="DA340" s="246" t="str">
        <f>IFERROR(__xludf.DUMMYFUNCTION("IF(REGEXMATCH($C340, ""S""), ""S"",""S"")"),"S")</f>
        <v>S</v>
      </c>
      <c r="DB340" s="362" t="str">
        <f>IFERROR(__xludf.DUMMYFUNCTION("JOIN("""",CO340:DA340,"""","""")"),"SrGMdS")</f>
        <v>SrGMdS</v>
      </c>
      <c r="DC340" s="363"/>
      <c r="DD340" s="301" t="str">
        <f t="shared" si="35"/>
        <v>#REF!</v>
      </c>
      <c r="DE340" s="302" t="str">
        <f t="shared" si="36"/>
        <v>#REF!</v>
      </c>
      <c r="DF340" s="301" t="str">
        <f t="shared" ref="DF340:DG340" si="912">SUBSTITUTE(S340,"-","")</f>
        <v>SRGM</v>
      </c>
      <c r="DG340" s="301" t="str">
        <f t="shared" si="912"/>
        <v>PDNS</v>
      </c>
      <c r="DH340" s="302" t="str">
        <f t="shared" si="38"/>
        <v>Mk.Malhar</v>
      </c>
      <c r="DI340" s="301" t="str">
        <f t="shared" si="39"/>
        <v>Hemi.</v>
      </c>
      <c r="DJ340" s="364" t="str">
        <f t="shared" si="40"/>
        <v>Co-Co.</v>
      </c>
      <c r="DK340" s="306" t="str">
        <f t="shared" si="41"/>
        <v>-</v>
      </c>
      <c r="DL340" s="366" t="str">
        <f t="shared" si="42"/>
        <v>-</v>
      </c>
      <c r="DM340" s="308" t="str">
        <f t="shared" si="43"/>
        <v>✔</v>
      </c>
      <c r="DN340" s="306" t="str">
        <f t="shared" si="44"/>
        <v>-</v>
      </c>
      <c r="DO340" s="306" t="str">
        <f t="shared" si="45"/>
        <v>-</v>
      </c>
      <c r="DP340" s="367" t="str">
        <f t="shared" si="46"/>
        <v>-</v>
      </c>
      <c r="DQ340" s="310" t="str">
        <f t="shared" si="47"/>
        <v>-</v>
      </c>
      <c r="DR340" s="310" t="str">
        <f t="shared" si="48"/>
        <v>-</v>
      </c>
      <c r="DS340" s="310" t="str">
        <f t="shared" si="49"/>
        <v>-</v>
      </c>
      <c r="DT340" s="310" t="str">
        <f t="shared" si="50"/>
        <v>-</v>
      </c>
      <c r="DU340" s="370" t="str">
        <f t="shared" si="51"/>
        <v>✔</v>
      </c>
      <c r="DV340" s="306" t="str">
        <f t="shared" si="52"/>
        <v>-</v>
      </c>
      <c r="DW340" s="306" t="str">
        <f t="shared" si="53"/>
        <v>-</v>
      </c>
      <c r="DX340" s="306" t="str">
        <f t="shared" si="54"/>
        <v>-</v>
      </c>
      <c r="DY340" s="306" t="str">
        <f t="shared" si="55"/>
        <v>-</v>
      </c>
      <c r="DZ340" s="306" t="str">
        <f t="shared" si="56"/>
        <v>-</v>
      </c>
      <c r="EA340" s="367" t="str">
        <f t="shared" si="57"/>
        <v>-</v>
      </c>
      <c r="EB340" s="310" t="str">
        <f>IFERROR(__xludf.DUMMYFUNCTION("IF(REGEXMATCH(AW340,AS340),""✔"",""-"")"),"-")</f>
        <v>-</v>
      </c>
      <c r="EC340" s="310" t="str">
        <f t="shared" si="58"/>
        <v>#REF!</v>
      </c>
      <c r="ED340" s="370" t="str">
        <f t="shared" si="59"/>
        <v>-</v>
      </c>
      <c r="EE340" s="340" t="str">
        <f t="shared" si="60"/>
        <v>S-R-g-m-P-D-nN-S</v>
      </c>
      <c r="EF340" s="371" t="str">
        <f>IFERROR(__xludf.DUMMYFUNCTION("CONCATENATE(JOIN("""",HC340:HO340))"),"SrRgmPDnS")</f>
        <v>SrRgmPDnS</v>
      </c>
      <c r="EG340" s="372">
        <f t="shared" si="61"/>
        <v>2</v>
      </c>
      <c r="EH340" s="373" t="str">
        <f>IFERROR(__xludf.DUMMYFUNCTION("CONCATENATE(JOIN("""",JC340:JO340))"),"Dha, Ni, ")</f>
        <v>Dha, Ni, </v>
      </c>
      <c r="EI340" s="322">
        <f t="shared" si="62"/>
        <v>1</v>
      </c>
      <c r="EJ340" s="374" t="str">
        <f>IFERROR(__xludf.DUMMYFUNCTION("CONCATENATE(JOIN("""",KC340:KO340))"),"Ni, ")</f>
        <v>Ni, </v>
      </c>
      <c r="EK340" s="325" t="str">
        <f t="shared" si="63"/>
        <v>S-R2-G2-M1-P-D2-N2-N3-S</v>
      </c>
      <c r="EL340" s="326" t="str">
        <f t="shared" si="64"/>
        <v>1-2-b3-4-5-6-b7-7-8</v>
      </c>
      <c r="EM340" s="318" t="str">
        <f t="shared" si="65"/>
        <v>#REF!</v>
      </c>
      <c r="EN340" s="328" t="str">
        <f>IFERROR(__xludf.DUMMYFUNCTION("SUBSTITUTE(SUBSTITUTE(SUBSTITUTE(SUBSTITUTE(CONCATENATE(JOIN("" "",HP340:IB340)),""  "","" ""),""  "","" ""),""  "","" ""),""  "","" "")"),"o • o o • o • o • o o o o")</f>
        <v>o • o o • o • o • o o o o</v>
      </c>
      <c r="EO340" s="368" t="str">
        <f t="shared" si="66"/>
        <v>-</v>
      </c>
      <c r="EP340" s="339" t="str">
        <f t="shared" si="67"/>
        <v>-</v>
      </c>
      <c r="EQ340" s="339" t="str">
        <f t="shared" si="68"/>
        <v>Sa-Pa</v>
      </c>
      <c r="ER340" s="339" t="str">
        <f t="shared" si="69"/>
        <v>-</v>
      </c>
      <c r="ES340" s="340" t="str">
        <f t="shared" si="70"/>
        <v>-</v>
      </c>
      <c r="ET340" s="363"/>
      <c r="EU340" s="376" t="b">
        <f>IFERROR(__xludf.DUMMYFUNCTION("arrayformula(sum(--REGEXMATCH(""SRGMPDNS"",split(REGEXREPLACE(C340,""(.)"",""$1~""),""~""))))=len(C340)
"),FALSE)</f>
        <v>0</v>
      </c>
      <c r="EV340" s="290" t="b">
        <f>IFERROR(__xludf.DUMMYFUNCTION("arrayformula(sum(--REGEXMATCH(""SRGmPDNS"",split(REGEXREPLACE(C340,""(.)"",""$1~""),""~""))))=len(C340)"),FALSE)</f>
        <v>0</v>
      </c>
      <c r="EW340" s="290" t="b">
        <f>IFERROR(__xludf.DUMMYFUNCTION("arrayformula(sum(--REGEXMATCH(""SRGmPDnS"",split(REGEXREPLACE(C340,""(.)"",""$1~""),""~""))))=len(C340)"),FALSE)</f>
        <v>0</v>
      </c>
      <c r="EX340" s="290" t="b">
        <f>IFERROR(__xludf.DUMMYFUNCTION("arrayformula(sum(--REGEXMATCH(""SRgmPDnS"",split(REGEXREPLACE(C340,""(.)"",""$1~""),""~""))))=len(C340)"),FALSE)</f>
        <v>0</v>
      </c>
      <c r="EY340" s="290" t="b">
        <f>IFERROR(__xludf.DUMMYFUNCTION("arrayformula(sum(--REGEXMATCH(""SRgmPdnS"",split(REGEXREPLACE(C340,""(.)"",""$1~""),""~""))))=len(C340)"),FALSE)</f>
        <v>0</v>
      </c>
      <c r="EZ340" s="290" t="b">
        <f>IFERROR(__xludf.DUMMYFUNCTION("arrayformula(sum(--REGEXMATCH(""SrgmPdnS"",split(REGEXREPLACE(C340,""(.)"",""$1~""),""~""))))=len(C340)"),FALSE)</f>
        <v>0</v>
      </c>
      <c r="FA340" s="290" t="b">
        <f>IFERROR(__xludf.DUMMYFUNCTION("arrayformula(sum(--REGEXMATCH(""SrGmPdNS"",split(REGEXREPLACE(C340,""(.)"",""$1~""),""~""))))=len(C340)"),FALSE)</f>
        <v>0</v>
      </c>
      <c r="FB340" s="290" t="b">
        <f>IFERROR(__xludf.DUMMYFUNCTION("arrayformula(sum(--REGEXMATCH(""SrGMPDNS"",split(REGEXREPLACE(C340,""(.)"",""$1~""),""~""))))=len(C340)"),FALSE)</f>
        <v>0</v>
      </c>
      <c r="FC340" s="290" t="b">
        <f>IFERROR(__xludf.DUMMYFUNCTION("arrayformula(sum(--REGEXMATCH(""SrGMPdNS"",split(REGEXREPLACE(C340,""(.)"",""$1~""),""~""))))=len(C340)"),FALSE)</f>
        <v>0</v>
      </c>
      <c r="FD340" s="377" t="b">
        <f>IFERROR(__xludf.DUMMYFUNCTION("arrayformula(sum(--REGEXMATCH(""SrgMPdNS"",split(REGEXREPLACE(C340,""(.)"",""$1~""),""~""))))=len(C340)"),FALSE)</f>
        <v>0</v>
      </c>
      <c r="FE340" s="269" t="str">
        <f t="shared" si="71"/>
        <v>-</v>
      </c>
      <c r="FF340" s="269" t="str">
        <f t="shared" si="72"/>
        <v>xxoxoxoxxxx</v>
      </c>
      <c r="FG340" s="271" t="str">
        <f t="shared" si="73"/>
        <v>xoxoxoxxxxo</v>
      </c>
      <c r="FH340" s="269" t="str">
        <f t="shared" si="74"/>
        <v>-</v>
      </c>
      <c r="FI340" s="271" t="str">
        <f t="shared" si="75"/>
        <v>xoxoxxxxoxx</v>
      </c>
      <c r="FJ340" s="271" t="str">
        <f t="shared" si="76"/>
        <v>-</v>
      </c>
      <c r="FK340" s="271" t="str">
        <f t="shared" si="77"/>
        <v>xoxxxxoxxox</v>
      </c>
      <c r="FL340" s="271" t="str">
        <f t="shared" si="78"/>
        <v>-</v>
      </c>
      <c r="FM340" s="271" t="str">
        <f t="shared" si="79"/>
        <v>xxxxoxxoxox</v>
      </c>
      <c r="FN340" s="271" t="str">
        <f t="shared" si="80"/>
        <v>xxxoxxoxoxo</v>
      </c>
      <c r="FO340" s="274" t="str">
        <f t="shared" si="81"/>
        <v>xxoxxoxoxox</v>
      </c>
      <c r="FP340" s="234" t="str">
        <f t="shared" si="82"/>
        <v>|</v>
      </c>
      <c r="FQ340" s="236" t="str">
        <f t="shared" si="83"/>
        <v>-</v>
      </c>
      <c r="FR340" s="237" t="str">
        <f t="shared" si="84"/>
        <v>|</v>
      </c>
      <c r="FS340" s="236" t="str">
        <f t="shared" si="85"/>
        <v>|</v>
      </c>
      <c r="FT340" s="237" t="str">
        <f t="shared" si="86"/>
        <v>-</v>
      </c>
      <c r="FU340" s="236" t="str">
        <f t="shared" si="87"/>
        <v>|</v>
      </c>
      <c r="FV340" s="237" t="str">
        <f t="shared" si="88"/>
        <v>-</v>
      </c>
      <c r="FW340" s="236" t="str">
        <f t="shared" si="89"/>
        <v>|</v>
      </c>
      <c r="FX340" s="237" t="str">
        <f t="shared" si="90"/>
        <v>-</v>
      </c>
      <c r="FY340" s="236" t="str">
        <f t="shared" si="91"/>
        <v>|</v>
      </c>
      <c r="FZ340" s="237" t="str">
        <f t="shared" si="92"/>
        <v>|</v>
      </c>
      <c r="GA340" s="236" t="str">
        <f t="shared" si="93"/>
        <v>|</v>
      </c>
      <c r="GB340" s="238" t="str">
        <f t="shared" si="94"/>
        <v>|</v>
      </c>
      <c r="GC340" s="244" t="str">
        <f>IFERROR(__xludf.DUMMYFUNCTION("IF(REGEXMATCH(C340, ""S""), ""1"","""")"),"1")</f>
        <v>1</v>
      </c>
      <c r="GD340" s="245" t="str">
        <f>IFERROR(__xludf.DUMMYFUNCTION("IF(REGEXMATCH(C340, ""r""), ""b2"","""")"),"")</f>
        <v/>
      </c>
      <c r="GE340" s="246" t="str">
        <f>IFERROR(__xludf.DUMMYFUNCTION("IF(REGEXMATCH(C340, ""R""), ""2"","""")"),"2")</f>
        <v>2</v>
      </c>
      <c r="GF340" s="246" t="str">
        <f>IFERROR(__xludf.DUMMYFUNCTION("IF(REGEXMATCH(C340, ""g""), ""b3"","""")"),"b3")</f>
        <v>b3</v>
      </c>
      <c r="GG340" s="245" t="str">
        <f>IFERROR(__xludf.DUMMYFUNCTION("IF(REGEXMATCH(C340, ""G""), ""3"","""")"),"")</f>
        <v/>
      </c>
      <c r="GH340" s="245" t="str">
        <f>IFERROR(__xludf.DUMMYFUNCTION("IF(REGEXMATCH(C340, ""m""), ""4"","""")"),"4")</f>
        <v>4</v>
      </c>
      <c r="GI340" s="246" t="str">
        <f>IFERROR(__xludf.DUMMYFUNCTION("IF(REGEXMATCH(C340, ""M""), ""#4"","""")"),"")</f>
        <v/>
      </c>
      <c r="GJ340" s="245" t="str">
        <f>IFERROR(__xludf.DUMMYFUNCTION("IF(REGEXMATCH(C340, ""P""), ""5"","""")"),"5")</f>
        <v>5</v>
      </c>
      <c r="GK340" s="246" t="str">
        <f>IFERROR(__xludf.DUMMYFUNCTION("IF(REGEXMATCH(C340, ""d""), ""b6"","""")"),"")</f>
        <v/>
      </c>
      <c r="GL340" s="245" t="str">
        <f>IFERROR(__xludf.DUMMYFUNCTION("IF(REGEXMATCH(C340, ""D""), ""6"","""")"),"6")</f>
        <v>6</v>
      </c>
      <c r="GM340" s="245" t="str">
        <f>IFERROR(__xludf.DUMMYFUNCTION("IF(REGEXMATCH(C340, ""n""), ""b7"","""")"),"b7")</f>
        <v>b7</v>
      </c>
      <c r="GN340" s="246" t="str">
        <f>IFERROR(__xludf.DUMMYFUNCTION("IF(REGEXMATCH(C340, ""N""), ""7"","""")"),"7")</f>
        <v>7</v>
      </c>
      <c r="GO340" s="249" t="str">
        <f>IFERROR(__xludf.DUMMYFUNCTION("IF(REGEXMATCH(C340, ""S""), ""8"","""")"),"8")</f>
        <v>8</v>
      </c>
      <c r="GP340" s="244" t="str">
        <f>IFERROR(__xludf.DUMMYFUNCTION("IF(REGEXMATCH(C340, ""S""), ""S"","""")"),"S")</f>
        <v>S</v>
      </c>
      <c r="GQ340" s="294" t="str">
        <f>IFERROR(__xludf.DUMMYFUNCTION("IF(REGEXMATCH(C340, ""r""), ""R1"","""")"),"")</f>
        <v/>
      </c>
      <c r="GR340" s="295" t="str">
        <f>IFERROR(__xludf.DUMMYFUNCTION("IF(REGEXMATCH(C340, ""R""), ""R2"","""")"),"R2")</f>
        <v>R2</v>
      </c>
      <c r="GS340" s="295" t="str">
        <f>IFERROR(__xludf.DUMMYFUNCTION("IF(REGEXMATCH(C340, ""g""), ""G2"","""")"),"G2")</f>
        <v>G2</v>
      </c>
      <c r="GT340" s="294" t="str">
        <f>IFERROR(__xludf.DUMMYFUNCTION("IF(REGEXMATCH(C340, ""G""), ""G3"","""")"),"")</f>
        <v/>
      </c>
      <c r="GU340" s="294" t="str">
        <f>IFERROR(__xludf.DUMMYFUNCTION("IF(REGEXMATCH(C340, ""m""), ""M1"","""")"),"M1")</f>
        <v>M1</v>
      </c>
      <c r="GV340" s="295" t="str">
        <f>IFERROR(__xludf.DUMMYFUNCTION("IF(REGEXMATCH(C340, ""M""), ""M2"","""")"),"")</f>
        <v/>
      </c>
      <c r="GW340" s="294" t="str">
        <f>IFERROR(__xludf.DUMMYFUNCTION("IF(REGEXMATCH(C340, ""P""), ""P"","""")"),"P")</f>
        <v>P</v>
      </c>
      <c r="GX340" s="295" t="str">
        <f>IFERROR(__xludf.DUMMYFUNCTION("IF(REGEXMATCH(C340, ""d""), ""D1"","""")"),"")</f>
        <v/>
      </c>
      <c r="GY340" s="294" t="str">
        <f>IFERROR(__xludf.DUMMYFUNCTION("IF(REGEXMATCH(C340, ""D""), ""D2"","""")"),"D2")</f>
        <v>D2</v>
      </c>
      <c r="GZ340" s="294" t="str">
        <f>IFERROR(__xludf.DUMMYFUNCTION("IF(REGEXMATCH(C340, ""n""), ""N2"","""")"),"N2")</f>
        <v>N2</v>
      </c>
      <c r="HA340" s="295" t="str">
        <f>IFERROR(__xludf.DUMMYFUNCTION("IF(REGEXMATCH(C340, ""N""), ""N3"","""")"),"N3")</f>
        <v>N3</v>
      </c>
      <c r="HB340" s="249" t="str">
        <f>IFERROR(__xludf.DUMMYFUNCTION("IF(REGEXMATCH(C340, ""S""), ""S"","""")"),"S")</f>
        <v>S</v>
      </c>
      <c r="HC340" s="331" t="str">
        <f t="shared" si="95"/>
        <v>S</v>
      </c>
      <c r="HD340" s="332" t="str">
        <f t="shared" si="96"/>
        <v>r</v>
      </c>
      <c r="HE340" s="332" t="str">
        <f t="shared" si="97"/>
        <v>R</v>
      </c>
      <c r="HF340" s="332" t="str">
        <f t="shared" si="98"/>
        <v>g</v>
      </c>
      <c r="HG340" s="332" t="str">
        <f t="shared" si="99"/>
        <v/>
      </c>
      <c r="HH340" s="332" t="str">
        <f t="shared" si="100"/>
        <v>m</v>
      </c>
      <c r="HI340" s="332" t="str">
        <f t="shared" si="101"/>
        <v/>
      </c>
      <c r="HJ340" s="332" t="str">
        <f t="shared" si="102"/>
        <v>P</v>
      </c>
      <c r="HK340" s="332" t="str">
        <f t="shared" si="103"/>
        <v/>
      </c>
      <c r="HL340" s="332" t="str">
        <f t="shared" si="104"/>
        <v>D</v>
      </c>
      <c r="HM340" s="332" t="str">
        <f t="shared" si="105"/>
        <v>n</v>
      </c>
      <c r="HN340" s="332" t="str">
        <f t="shared" si="106"/>
        <v/>
      </c>
      <c r="HO340" s="343" t="str">
        <f t="shared" si="107"/>
        <v>S</v>
      </c>
      <c r="HP340" s="331" t="str">
        <f t="shared" si="108"/>
        <v>o</v>
      </c>
      <c r="HQ340" s="332" t="str">
        <f t="shared" si="109"/>
        <v>•</v>
      </c>
      <c r="HR340" s="332" t="str">
        <f t="shared" si="110"/>
        <v>o</v>
      </c>
      <c r="HS340" s="332" t="str">
        <f t="shared" si="111"/>
        <v>o</v>
      </c>
      <c r="HT340" s="332" t="str">
        <f t="shared" si="112"/>
        <v>•</v>
      </c>
      <c r="HU340" s="332" t="str">
        <f t="shared" si="113"/>
        <v>o</v>
      </c>
      <c r="HV340" s="332" t="str">
        <f t="shared" si="114"/>
        <v>•</v>
      </c>
      <c r="HW340" s="332" t="str">
        <f t="shared" si="115"/>
        <v>o</v>
      </c>
      <c r="HX340" s="332" t="str">
        <f t="shared" si="116"/>
        <v>•</v>
      </c>
      <c r="HY340" s="332" t="str">
        <f t="shared" si="117"/>
        <v>o</v>
      </c>
      <c r="HZ340" s="332" t="str">
        <f t="shared" si="118"/>
        <v>o</v>
      </c>
      <c r="IA340" s="332" t="str">
        <f t="shared" si="119"/>
        <v>o</v>
      </c>
      <c r="IB340" s="338" t="str">
        <f t="shared" si="120"/>
        <v>o</v>
      </c>
      <c r="IC340" s="331" t="str">
        <f t="shared" si="121"/>
        <v>•</v>
      </c>
      <c r="ID340" s="332" t="str">
        <f t="shared" si="122"/>
        <v>o</v>
      </c>
      <c r="IE340" s="332" t="str">
        <f t="shared" si="123"/>
        <v>•</v>
      </c>
      <c r="IF340" s="332" t="str">
        <f t="shared" si="124"/>
        <v>•</v>
      </c>
      <c r="IG340" s="332" t="str">
        <f t="shared" si="125"/>
        <v>o</v>
      </c>
      <c r="IH340" s="332" t="str">
        <f t="shared" si="126"/>
        <v>•</v>
      </c>
      <c r="II340" s="332" t="str">
        <f t="shared" si="127"/>
        <v>o</v>
      </c>
      <c r="IJ340" s="332" t="str">
        <f t="shared" si="128"/>
        <v>•</v>
      </c>
      <c r="IK340" s="332" t="str">
        <f t="shared" si="129"/>
        <v>o</v>
      </c>
      <c r="IL340" s="332" t="str">
        <f t="shared" si="130"/>
        <v>•</v>
      </c>
      <c r="IM340" s="332" t="str">
        <f t="shared" si="131"/>
        <v>•</v>
      </c>
      <c r="IN340" s="332" t="str">
        <f t="shared" si="132"/>
        <v>•</v>
      </c>
      <c r="IO340" s="338" t="str">
        <f t="shared" si="133"/>
        <v>•</v>
      </c>
      <c r="IP340" s="346" t="b">
        <f t="shared" si="134"/>
        <v>0</v>
      </c>
      <c r="IQ340" s="347" t="b">
        <f t="shared" si="135"/>
        <v>0</v>
      </c>
      <c r="IR340" s="347" t="b">
        <f t="shared" si="136"/>
        <v>0</v>
      </c>
      <c r="IS340" s="347" t="b">
        <f t="shared" si="137"/>
        <v>0</v>
      </c>
      <c r="IT340" s="347" t="b">
        <f t="shared" si="138"/>
        <v>0</v>
      </c>
      <c r="IU340" s="347" t="b">
        <f t="shared" si="139"/>
        <v>0</v>
      </c>
      <c r="IV340" s="347" t="b">
        <f t="shared" si="140"/>
        <v>0</v>
      </c>
      <c r="IW340" s="347" t="b">
        <f t="shared" si="141"/>
        <v>0</v>
      </c>
      <c r="IX340" s="347" t="b">
        <f t="shared" si="142"/>
        <v>0</v>
      </c>
      <c r="IY340" s="347" t="b">
        <f t="shared" si="143"/>
        <v>1</v>
      </c>
      <c r="IZ340" s="347" t="b">
        <f t="shared" si="144"/>
        <v>0</v>
      </c>
      <c r="JA340" s="347" t="b">
        <f t="shared" si="145"/>
        <v>1</v>
      </c>
      <c r="JB340" s="353" t="b">
        <f t="shared" si="146"/>
        <v>0</v>
      </c>
      <c r="JC340" s="354" t="str">
        <f t="shared" si="147"/>
        <v/>
      </c>
      <c r="JD340" s="355" t="str">
        <f t="shared" si="148"/>
        <v/>
      </c>
      <c r="JE340" s="355" t="str">
        <f t="shared" si="149"/>
        <v/>
      </c>
      <c r="JF340" s="355" t="str">
        <f t="shared" si="150"/>
        <v/>
      </c>
      <c r="JG340" s="355" t="str">
        <f t="shared" si="151"/>
        <v/>
      </c>
      <c r="JH340" s="355" t="str">
        <f t="shared" si="152"/>
        <v/>
      </c>
      <c r="JI340" s="355" t="str">
        <f t="shared" si="153"/>
        <v/>
      </c>
      <c r="JJ340" s="355" t="str">
        <f t="shared" si="154"/>
        <v/>
      </c>
      <c r="JK340" s="355" t="str">
        <f t="shared" si="155"/>
        <v/>
      </c>
      <c r="JL340" s="355" t="str">
        <f t="shared" si="156"/>
        <v>Dha, </v>
      </c>
      <c r="JM340" s="355" t="str">
        <f t="shared" si="157"/>
        <v/>
      </c>
      <c r="JN340" s="355" t="str">
        <f t="shared" si="158"/>
        <v>Ni, </v>
      </c>
      <c r="JO340" s="359" t="str">
        <f t="shared" si="159"/>
        <v/>
      </c>
      <c r="JP340" s="346" t="b">
        <f t="shared" si="160"/>
        <v>0</v>
      </c>
      <c r="JQ340" s="347" t="b">
        <f t="shared" si="161"/>
        <v>0</v>
      </c>
      <c r="JR340" s="347" t="b">
        <f t="shared" si="162"/>
        <v>0</v>
      </c>
      <c r="JS340" s="347" t="b">
        <f t="shared" si="163"/>
        <v>0</v>
      </c>
      <c r="JT340" s="347" t="b">
        <f t="shared" si="164"/>
        <v>0</v>
      </c>
      <c r="JU340" s="347" t="b">
        <f t="shared" si="165"/>
        <v>0</v>
      </c>
      <c r="JV340" s="347" t="b">
        <f t="shared" si="166"/>
        <v>0</v>
      </c>
      <c r="JW340" s="347" t="b">
        <f t="shared" si="167"/>
        <v>0</v>
      </c>
      <c r="JX340" s="347" t="b">
        <f t="shared" si="168"/>
        <v>0</v>
      </c>
      <c r="JY340" s="347" t="b">
        <f t="shared" si="169"/>
        <v>0</v>
      </c>
      <c r="JZ340" s="347" t="b">
        <f t="shared" si="170"/>
        <v>0</v>
      </c>
      <c r="KA340" s="347" t="b">
        <f t="shared" si="171"/>
        <v>1</v>
      </c>
      <c r="KB340" s="365" t="b">
        <f t="shared" si="172"/>
        <v>0</v>
      </c>
      <c r="KC340" s="354" t="str">
        <f t="shared" si="173"/>
        <v/>
      </c>
      <c r="KD340" s="355" t="str">
        <f t="shared" si="174"/>
        <v/>
      </c>
      <c r="KE340" s="355" t="str">
        <f t="shared" si="175"/>
        <v/>
      </c>
      <c r="KF340" s="355" t="str">
        <f t="shared" si="176"/>
        <v/>
      </c>
      <c r="KG340" s="355" t="str">
        <f t="shared" si="177"/>
        <v/>
      </c>
      <c r="KH340" s="355" t="str">
        <f t="shared" si="178"/>
        <v/>
      </c>
      <c r="KI340" s="355" t="str">
        <f t="shared" si="179"/>
        <v/>
      </c>
      <c r="KJ340" s="355" t="str">
        <f t="shared" si="180"/>
        <v/>
      </c>
      <c r="KK340" s="355" t="str">
        <f t="shared" si="181"/>
        <v/>
      </c>
      <c r="KL340" s="355" t="str">
        <f t="shared" si="182"/>
        <v/>
      </c>
      <c r="KM340" s="355" t="str">
        <f t="shared" si="183"/>
        <v/>
      </c>
      <c r="KN340" s="355" t="str">
        <f t="shared" si="184"/>
        <v>Ni, </v>
      </c>
      <c r="KO340" s="359"/>
      <c r="KP340" s="378"/>
      <c r="KQ340" s="379" t="s">
        <v>9</v>
      </c>
      <c r="KR340" s="380" t="s">
        <v>9</v>
      </c>
      <c r="KS340" s="381" t="s">
        <v>9</v>
      </c>
      <c r="KT340" s="382">
        <f t="shared" si="186"/>
        <v>0</v>
      </c>
      <c r="KU340" s="383">
        <f t="shared" si="187"/>
        <v>0</v>
      </c>
      <c r="KV340" s="381" t="str">
        <f t="shared" si="205"/>
        <v>S</v>
      </c>
      <c r="KW340" s="382">
        <f t="shared" si="189"/>
        <v>0</v>
      </c>
      <c r="KX340" s="384">
        <f t="shared" si="190"/>
        <v>0</v>
      </c>
      <c r="KY340" s="382">
        <f t="shared" ref="KY340:KZ340" si="913">KW340-KT340</f>
        <v>0</v>
      </c>
      <c r="KZ340" s="369">
        <f t="shared" si="913"/>
        <v>0</v>
      </c>
      <c r="LA340" s="385" t="str">
        <f t="shared" si="192"/>
        <v>✔</v>
      </c>
      <c r="LB340" s="340" t="str">
        <f>IFERROR(__xludf.DUMMYFUNCTION("JOIN("""",ArrayFormula(MID(KS340,LEN(KS340)-SEQUENCE(1,LEN(KS340))+1,1)))"),"S")</f>
        <v>S</v>
      </c>
      <c r="LC340" s="373" t="str">
        <f>IFERROR(__xludf.DUMMYFUNCTION("JOIN("""",ArrayFormula(MID(KV340,LEN(KV340)-SEQUENCE(1,LEN(KV340))+1,1)))"),"S")</f>
        <v>S</v>
      </c>
      <c r="LD340" s="373" t="str">
        <f t="shared" si="193"/>
        <v>S</v>
      </c>
      <c r="LE340" s="339" t="str">
        <f t="shared" si="194"/>
        <v>S</v>
      </c>
      <c r="LF340" s="386" t="str">
        <f>IFERROR(__xludf.DUMMYFUNCTION("SUBSTITUTE(SUBSTITUTE(CONCATENATE(JOIN("""",LH340:LT340)),""1"",""""),""2"","""")"),"SS")</f>
        <v>SS</v>
      </c>
      <c r="LG340" s="369" t="str">
        <f t="shared" si="195"/>
        <v>-</v>
      </c>
      <c r="LH340" s="387" t="str">
        <f>IFERROR(__xludf.DUMMYFUNCTION("IF(REGEXMATCH(LD340, ""S""), ""S"",IF(REGEXMATCH(LE340, ""S""), ""S"",""""))"),"S")</f>
        <v>S</v>
      </c>
      <c r="LI340" s="299" t="str">
        <f>IFERROR(__xludf.DUMMYFUNCTION("IF(REGEXMATCH(LD340, ""r""), ""r1"",IF(REGEXMATCH(LE340, ""r""), ""r2"",""""))"),"")</f>
        <v/>
      </c>
      <c r="LJ340" s="299" t="str">
        <f>IFERROR(__xludf.DUMMYFUNCTION("IF(REGEXMATCH(LD340, ""R""), ""R1"",IF(REGEXMATCH(LE340, ""R""), ""R2"",""""))"),"")</f>
        <v/>
      </c>
      <c r="LK340" s="299" t="str">
        <f>IFERROR(__xludf.DUMMYFUNCTION("IF(REGEXMATCH(LD340, ""g""), ""g1"",IF(REGEXMATCH(LE340, ""g""), ""g2"",""""))"),"")</f>
        <v/>
      </c>
      <c r="LL340" s="299" t="str">
        <f>IFERROR(__xludf.DUMMYFUNCTION("IF(REGEXMATCH(LD340, ""G""), ""G1"",IF(REGEXMATCH(LE340, ""G""), ""G2"",""""))"),"")</f>
        <v/>
      </c>
      <c r="LM340" s="299" t="str">
        <f>IFERROR(__xludf.DUMMYFUNCTION("IF(REGEXMATCH(LD340, ""m""), ""m1"",IF(REGEXMATCH(LE340, ""m""), ""m2"",""""))"),"")</f>
        <v/>
      </c>
      <c r="LN340" s="299" t="str">
        <f>IFERROR(__xludf.DUMMYFUNCTION("IF(REGEXMATCH(LD340, ""M""), ""M1"",IF(REGEXMATCH(LE340, ""M""), ""M2"",""""))"),"")</f>
        <v/>
      </c>
      <c r="LO340" s="299" t="str">
        <f>IFERROR(__xludf.DUMMYFUNCTION("IF(REGEXMATCH(LD340, ""P""), ""P1"",IF(REGEXMATCH(LE340, ""P""), ""P2"",""""))"),"")</f>
        <v/>
      </c>
      <c r="LP340" s="299" t="str">
        <f>IFERROR(__xludf.DUMMYFUNCTION("IF(REGEXMATCH(LD340, ""d""), ""d1"",IF(REGEXMATCH(LE340, ""d""), ""d2"",""""))"),"")</f>
        <v/>
      </c>
      <c r="LQ340" s="299" t="str">
        <f>IFERROR(__xludf.DUMMYFUNCTION("IF(REGEXMATCH(LD340, ""D""), ""D1"",IF(REGEXMATCH(LE340, ""D""), ""D2"",""""))"),"")</f>
        <v/>
      </c>
      <c r="LR340" s="299" t="str">
        <f>IFERROR(__xludf.DUMMYFUNCTION("IF(REGEXMATCH(LD340, ""n""), ""n1"",IF(REGEXMATCH(LE340, ""n""), ""n2"",""""))"),"")</f>
        <v/>
      </c>
      <c r="LS340" s="299" t="str">
        <f>IFERROR(__xludf.DUMMYFUNCTION("IF(REGEXMATCH(LD340, ""N""), ""N1"",IF(REGEXMATCH(LE340, ""N""), ""N2"",""""))"),"")</f>
        <v/>
      </c>
      <c r="LT340" s="388" t="str">
        <f>IFERROR(__xludf.DUMMYFUNCTION("IF(REGEXMATCH(LD340, ""S""), ""S"",IF(REGEXMATCH(LE340, ""S""), ""S"",""""))"),"S")</f>
        <v>S</v>
      </c>
      <c r="LU340" s="389">
        <f t="shared" si="196"/>
        <v>1</v>
      </c>
      <c r="LV340" s="378"/>
      <c r="LW340" s="369"/>
      <c r="LX340" s="369"/>
    </row>
    <row r="341" ht="18.0" customHeight="1">
      <c r="A341" s="298" t="s">
        <v>1193</v>
      </c>
      <c r="B341" s="222" t="s">
        <v>748</v>
      </c>
      <c r="C341" s="233" t="str">
        <f t="shared" si="7"/>
        <v>SRgmPnS</v>
      </c>
      <c r="D341" s="234" t="str">
        <f>IFERROR(__xludf.DUMMYFUNCTION("IF(REGEXMATCH(C341, ""S""), ""S"","""")"),"S")</f>
        <v>S</v>
      </c>
      <c r="E341" s="236" t="str">
        <f>IFERROR(__xludf.DUMMYFUNCTION("IF(REGEXMATCH(C341, ""r""), ""r"","""")"),"")</f>
        <v/>
      </c>
      <c r="F341" s="237" t="str">
        <f>IFERROR(__xludf.DUMMYFUNCTION("IF(REGEXMATCH(C341, ""R""), ""R"","""")"),"R")</f>
        <v>R</v>
      </c>
      <c r="G341" s="237" t="str">
        <f>IFERROR(__xludf.DUMMYFUNCTION("IF(REGEXMATCH(C341, ""g""), ""g"","""")"),"g")</f>
        <v>g</v>
      </c>
      <c r="H341" s="236" t="str">
        <f>IFERROR(__xludf.DUMMYFUNCTION("IF(REGEXMATCH(C341, ""G""), ""G"","""")"),"")</f>
        <v/>
      </c>
      <c r="I341" s="236" t="str">
        <f>IFERROR(__xludf.DUMMYFUNCTION("IF(REGEXMATCH(C341, ""m""), ""m"","""")"),"m")</f>
        <v>m</v>
      </c>
      <c r="J341" s="237" t="str">
        <f>IFERROR(__xludf.DUMMYFUNCTION("IF(REGEXMATCH(C341, ""M""), ""M"","""")"),"")</f>
        <v/>
      </c>
      <c r="K341" s="236" t="str">
        <f>IFERROR(__xludf.DUMMYFUNCTION("IF(REGEXMATCH(C341, ""P""), ""P"","""")"),"P")</f>
        <v>P</v>
      </c>
      <c r="L341" s="237" t="str">
        <f>IFERROR(__xludf.DUMMYFUNCTION("IF(REGEXMATCH(C341, ""d""), ""d"","""")"),"")</f>
        <v/>
      </c>
      <c r="M341" s="236" t="str">
        <f>IFERROR(__xludf.DUMMYFUNCTION("IF(REGEXMATCH(C341, ""D""), ""D"","""")"),"")</f>
        <v/>
      </c>
      <c r="N341" s="236" t="str">
        <f>IFERROR(__xludf.DUMMYFUNCTION("IF(REGEXMATCH(C341, ""n""), ""n"","""")"),"n")</f>
        <v>n</v>
      </c>
      <c r="O341" s="237" t="str">
        <f>IFERROR(__xludf.DUMMYFUNCTION("IF(REGEXMATCH(C341, ""N""), ""N"","""")"),"")</f>
        <v/>
      </c>
      <c r="P341" s="238" t="str">
        <f>IFERROR(__xludf.DUMMYFUNCTION("IF(REGEXMATCH(C341, ""S""), ""S"","""")"),"S")</f>
        <v>S</v>
      </c>
      <c r="Q341" s="239" t="str">
        <f>IFERROR(__xludf.DUMMYFUNCTION("SUBSTITUTE(CONCATENATE(JOIN(""-"",D341:J341)),""-"","""")"),"SRgm")</f>
        <v>SRgm</v>
      </c>
      <c r="R341" s="229" t="str">
        <f>IFERROR(__xludf.DUMMYFUNCTION("SUBSTITUTE(CONCATENATE(JOIN(""-"",K341:P341)),""-"","""")"),"PnS")</f>
        <v>PnS</v>
      </c>
      <c r="S341" s="282" t="str">
        <f t="shared" si="8"/>
        <v>S-R-G-M</v>
      </c>
      <c r="T341" s="282" t="str">
        <f t="shared" si="9"/>
        <v>P-N-S</v>
      </c>
      <c r="U341" s="237" t="str">
        <f>IFERROR(__xludf.DUMMYFUNCTION("SUBSTITUTE(JOIN(""-"",S341,T341),""--"",""-"")"),"S-R-G-M-P-N-S")</f>
        <v>S-R-G-M-P-N-S</v>
      </c>
      <c r="V341" s="309" t="str">
        <f t="shared" si="10"/>
        <v>Rgmn</v>
      </c>
      <c r="W341" s="244" t="str">
        <f>IFERROR(__xludf.DUMMYFUNCTION("IF(REGEXMATCH(C341, ""S""), ""0"","""")"),"0")</f>
        <v>0</v>
      </c>
      <c r="X341" s="245" t="str">
        <f>IFERROR(__xludf.DUMMYFUNCTION("IF(REGEXMATCH(C341, ""r""), ""1"","""")"),"")</f>
        <v/>
      </c>
      <c r="Y341" s="246" t="str">
        <f>IFERROR(__xludf.DUMMYFUNCTION("IF(REGEXMATCH(C341, ""R""), ""2"","""")"),"2")</f>
        <v>2</v>
      </c>
      <c r="Z341" s="246" t="str">
        <f>IFERROR(__xludf.DUMMYFUNCTION("IF(REGEXMATCH(C341, ""g""), ""3"","""")"),"3")</f>
        <v>3</v>
      </c>
      <c r="AA341" s="245" t="str">
        <f>IFERROR(__xludf.DUMMYFUNCTION("IF(REGEXMATCH(C341, ""G""), ""4"","""")"),"")</f>
        <v/>
      </c>
      <c r="AB341" s="245" t="str">
        <f>IFERROR(__xludf.DUMMYFUNCTION("IF(REGEXMATCH(C341, ""m""), ""5"","""")"),"5")</f>
        <v>5</v>
      </c>
      <c r="AC341" s="246" t="str">
        <f>IFERROR(__xludf.DUMMYFUNCTION("IF(REGEXMATCH(C341, ""M""), ""6"","""")"),"")</f>
        <v/>
      </c>
      <c r="AD341" s="245" t="str">
        <f>IFERROR(__xludf.DUMMYFUNCTION("IF(REGEXMATCH(C341, ""P""), ""7"","""")"),"7")</f>
        <v>7</v>
      </c>
      <c r="AE341" s="246" t="str">
        <f>IFERROR(__xludf.DUMMYFUNCTION("IF(REGEXMATCH(C341, ""d""), ""8"","""")"),"")</f>
        <v/>
      </c>
      <c r="AF341" s="245" t="str">
        <f>IFERROR(__xludf.DUMMYFUNCTION("IF(REGEXMATCH(C341, ""D""), ""9"","""")"),"")</f>
        <v/>
      </c>
      <c r="AG341" s="245" t="str">
        <f>IFERROR(__xludf.DUMMYFUNCTION("IF(REGEXMATCH(C341, ""n""), ""10"","""")"),"10")</f>
        <v>10</v>
      </c>
      <c r="AH341" s="246" t="str">
        <f>IFERROR(__xludf.DUMMYFUNCTION("IF(REGEXMATCH(C341, ""N""), ""11"","""")"),"")</f>
        <v/>
      </c>
      <c r="AI341" s="249" t="str">
        <f>IFERROR(__xludf.DUMMYFUNCTION("IF(REGEXMATCH(C341, ""S""), ""0"","""")"),"0")</f>
        <v>0</v>
      </c>
      <c r="AJ341" s="313" t="str">
        <f t="shared" si="11"/>
        <v>-</v>
      </c>
      <c r="AK341" s="313" t="str">
        <f t="shared" si="12"/>
        <v>-</v>
      </c>
      <c r="AL341" s="313" t="str">
        <f t="shared" si="13"/>
        <v>-</v>
      </c>
      <c r="AM341" s="313" t="str">
        <f t="shared" si="14"/>
        <v>-</v>
      </c>
      <c r="AN341" s="313" t="str">
        <f t="shared" si="15"/>
        <v>-</v>
      </c>
      <c r="AO341" s="314" t="str">
        <f t="shared" si="16"/>
        <v>-</v>
      </c>
      <c r="AP341" s="316">
        <f t="shared" si="17"/>
        <v>0</v>
      </c>
      <c r="AQ341" s="319" t="str">
        <f t="shared" si="18"/>
        <v>-</v>
      </c>
      <c r="AR341" s="320">
        <f t="shared" si="19"/>
        <v>0</v>
      </c>
      <c r="AS341" s="250" t="str">
        <f>IFERROR(__xludf.DUMMYFUNCTION("SUBSTITUTE(SUBSTITUTE(CONCATENATE(JOIN("""",FP341:GA341)),""|"",""x""),""-"",""o"")"),"xoxxoxoxooxo")</f>
        <v>xoxxoxoxooxo</v>
      </c>
      <c r="AT341" s="323" t="str">
        <f>IFERROR(__xludf.DUMMYFUNCTION("JOIN("""",AS341,AS341)"),"xoxxoxoxooxoxoxxoxoxooxo")</f>
        <v>xoxxoxoxooxoxoxxoxoxooxo</v>
      </c>
      <c r="AU341" s="256" t="str">
        <f>IFERROR(__xludf.DUMMYFUNCTION("JOIN("""",ArrayFormula(MID(AS341,LEN(AS341)-SEQUENCE(1,LEN(AS341))+1,1)))"),"oxooxoxoxxox")</f>
        <v>oxooxoxoxxox</v>
      </c>
      <c r="AV341" s="256" t="str">
        <f>IFERROR(__xludf.DUMMYFUNCTION("LEFT(CONCATENATE(""x"",JOIN("""",ArrayFormula(MID(AS341,LEN(AS341)-SEQUENCE(1,LEN(AS341))+1,1)))),12)"),"xoxooxoxoxxo")</f>
        <v>xoxooxoxoxxo</v>
      </c>
      <c r="AW341" s="327" t="str">
        <f>IFERROR(__xludf.DUMMYFUNCTION("JOIN("""",AU341,AU341)"),"oxooxoxoxxoxoxooxoxoxxox")</f>
        <v>oxooxoxoxxoxoxooxoxoxxox</v>
      </c>
      <c r="AX341" s="239" t="str">
        <f>IFERROR(__xludf.DUMMYFUNCTION("IF(REGEXMATCH(AW341,AS341),""✔"",""-"")"),"✔")</f>
        <v>✔</v>
      </c>
      <c r="AY341" s="330" t="str">
        <f t="shared" si="20"/>
        <v>-</v>
      </c>
      <c r="AZ341" s="260" t="str">
        <f t="shared" si="21"/>
        <v>#REF!</v>
      </c>
      <c r="BA341" s="333" t="str">
        <f t="shared" si="22"/>
        <v>xoxxoxo</v>
      </c>
      <c r="BB341" s="334" t="str">
        <f t="shared" si="23"/>
        <v>xooxox</v>
      </c>
      <c r="BC341" s="335" t="str">
        <f t="shared" si="236"/>
        <v>-</v>
      </c>
      <c r="BD341" s="336" t="str">
        <f t="shared" si="25"/>
        <v>Suha Kanada: 'xoxxoxo' + 'xooxox'</v>
      </c>
      <c r="BE341" s="337">
        <f>IFERROR(__xludf.DUMMYFUNCTION("COUNTUNIQUE(FILTER(AT:AT,REGEXMATCH(AT:AT,AS341)))-1"),3.0)</f>
        <v>3</v>
      </c>
      <c r="BF341" s="261" t="str">
        <f>IFERROR(__xludf.DUMMYFUNCTION("IF(BI341=0,""(n/a)"",IF(BJ341=2,""(PAIR)"",IF(REGEXMATCH(AT341,""xoxoxxoxoxox""),""Bilawal"",IF(REGEXMATCH(AT341,""xoxoxooxoxoo""),""Bhupali"",IF(REGEXMATCH(AT341,""xoxoxxoxxoxo""),""Charukeshi"",IF(REGEXMATCH(AT341,""xoxoooxxoxxo""),""Kameshwari"",IF(REG"&amp;"EXMATCH(AT341,""xoxoxooxoxox""),""Shankara"",IF(REGEXMATCH(AT341,""xxooxoxxxoox""),""Basant"",IF(REGEXMATCH(AT341,""xoxoxxxxoxox""),""Bihag"",IF(REGEXMATCH(AT341,""xoxxxxoxoxxx""),""Pilu"",IF(REGEXMATCH(AT341,""xoxxoxoxxoox""),""Kirwani"",IF(REGEXMATCH(AT"&amp;"341,""xoxxoxoxoxxx""),""Mk.Malhar"",IF(REGEXMATCH(AT341,""xxooxxoxxoox""),""Bhairav"",IF(REGEXMATCH(AT341,""xxoxooxxxoox""),""Todi"",IF(REGEXMATCH(AT341,""xxooxoxooxox""),""Marwa"",IF(REGEXMATCH(AT341,""xxoooxoxxooo""),""Gunkali"",IF(REGEXMATCH(AT341,""xo"&amp;"xoxxoxxoox""),""Nat Bhairav"",IF(REGEXMATCH(AT341,""xoxxoooxoxoo""),""Shivranjani"",IF(REGEXMATCH(AT341,""xooxxxoxooxo""),""Jog"",IF(REGEXMATCH(AT341,""xxooxoxoxoox""),""Hemshri"",IF(REGEXMATCH(AT341,""xoooxooxoxxo""),""Kalavati"",IF(REGEXMATCH(AT341,""xx"&amp;"oxoxxoxoox""),""Kedar"",IF(REGEXMATCH(AT341,""xoxxxxoxooxx""),""Gara"",IF(REGEXMATCH(AT341,""xooxoxooxoox""),""Chandrakauns"",IF(REGEXMATCH(AT341,""xoxxxxoxxxox""),""Mand"",IF(REGEXMATCH(AT341,""xoxxxxoxoxox""),""Hanskinkini"",IF(REGEXMATCH(AT341,""xxooxx"&amp;"oxooxo""),""Lilavati"",IF(REGEXMATCH(AT341,""xooxoxoooxox""),""Rajeshwari"",IF(REGEXMATCH(AT341,""xoooxxoxoxxx""),""Khokar"",IF(REGEXMATCH(AT341,""xxooxoxxxxox""),""Maligoura"",""-""))))))))))))))))))))))))))))))"),"Shankara")</f>
        <v>Shankara</v>
      </c>
      <c r="BG341" s="239" t="str">
        <f t="shared" si="26"/>
        <v>#REF!</v>
      </c>
      <c r="BH341" s="239">
        <f>IFERROR(__xludf.DUMMYFUNCTION("COUNTUNIQUE(FE341:FO341)-1"),5.0)</f>
        <v>5</v>
      </c>
      <c r="BI341" s="239">
        <f>IFERROR(__xludf.DUMMYFUNCTION("COUNTUNIQUE(FILTER(AT:AT,REGEXMATCH(AT:AT,AS341)))-1"),3.0)</f>
        <v>3</v>
      </c>
      <c r="BJ341" s="239">
        <f>IFERROR(__xludf.DUMMYFUNCTION("COUNTA(FILTER(AT:AT,REGEXMATCH(AT:AT,AS341)))"),11.0)</f>
        <v>11</v>
      </c>
      <c r="BK341" s="341">
        <f>IFERROR(__xludf.DUMMYFUNCTION("COUNTA(FILTER(AT:AT,REGEXMATCH(AT:AT,AS341)))-AR341"),11.0)</f>
        <v>11</v>
      </c>
      <c r="BL341" s="276" t="str">
        <f>IFERROR(__xludf.DUMMYFUNCTION("IF(AS341=""oooooooooooo"",""-"",IF(REGEXMATCH(AT341,""xx""), ""Hemi."", ""Anhemi.""))"),"Hemi.")</f>
        <v>Hemi.</v>
      </c>
      <c r="BM341" s="282" t="str">
        <f>IFERROR(__xludf.DUMMYFUNCTION("IF(AS341=""oooooooooooo"",""-"",IF(REGEXMATCH(AT341,""xxx""), ""Cohem."", ""-""))"),"-")</f>
        <v>-</v>
      </c>
      <c r="BN341" s="282" t="str">
        <f>IFERROR(__xludf.DUMMYFUNCTION("IF(AS341=""oooooooooooo"",""-"",IF(REGEXMATCH(AT341,""xxxx""), ""Co-Co."", ""-""))"),"-")</f>
        <v>-</v>
      </c>
      <c r="BO341" s="342" t="str">
        <f>IFERROR(__xludf.DUMMYFUNCTION("IF(AS341=""oooooooooooo"",""-"",IF(REGEXMATCH(AT341,""xxxxx""), ""CCC."", ""-""))"),"-")</f>
        <v>-</v>
      </c>
      <c r="BP341" s="344" t="str">
        <f t="shared" si="27"/>
        <v>-</v>
      </c>
      <c r="BQ341" s="282" t="str">
        <f>IFERROR(__xludf.DUMMYFUNCTION("IF(REGEXMATCH(JOIN(""-"",EU341:FD341),""TRUE""),""✔"",""-"")"),"✔")</f>
        <v>✔</v>
      </c>
      <c r="BR341" s="225">
        <f t="shared" si="28"/>
        <v>2</v>
      </c>
      <c r="BS341" s="345" t="str">
        <f>IFERROR(__xludf.DUMMYFUNCTION("SUBSTITUTE(SUBSTITUTE(SUBSTITUTE(SUBSTITUTE(CONCATENATE(JOIN(""-"",GC341:GO341)),""--"",""-""),""--"",""-""),""--"",""-""),""--"",""-"")"),"1-2-b3-4-5-b7-8")</f>
        <v>1-2-b3-4-5-b7-8</v>
      </c>
      <c r="BT341" s="299" t="str">
        <f>IFERROR(__xludf.DUMMYFUNCTION("SUBSTITUTE(SUBSTITUTE(SUBSTITUTE(SUBSTITUTE(CONCATENATE(JOIN(""-"",GP341:HB341)),""--"",""-""),""--"",""-""),""--"",""-""),""--"",""-"")"),"S-R2-G2-M1-P-N2-S")</f>
        <v>S-R2-G2-M1-P-N2-S</v>
      </c>
      <c r="BU341" s="348" t="str">
        <f t="shared" si="29"/>
        <v>C-D-Eb-F-G-Bb-C</v>
      </c>
      <c r="BV341" s="349" t="str">
        <f t="shared" si="30"/>
        <v>SrGMdDNS</v>
      </c>
      <c r="BW341" s="350">
        <f t="shared" si="31"/>
        <v>0</v>
      </c>
      <c r="BX341" s="351">
        <f t="shared" si="32"/>
        <v>4</v>
      </c>
      <c r="BY341" s="392"/>
      <c r="BZ341" s="309" t="str">
        <f>IFERROR(__xludf.DUMMYFUNCTION("IF(REGEXMATCH(C341, ""S""), ""x"",""x"")"),"x")</f>
        <v>x</v>
      </c>
      <c r="CA341" s="245" t="str">
        <f>IFERROR(__xludf.DUMMYFUNCTION("IF(REGEXMATCH(C341, ""r""), ""o"",""x"")"),"x")</f>
        <v>x</v>
      </c>
      <c r="CB341" s="246" t="str">
        <f>IFERROR(__xludf.DUMMYFUNCTION("IF(REGEXMATCH(C341, ""R""), ""o"",""x"")"),"o")</f>
        <v>o</v>
      </c>
      <c r="CC341" s="246" t="str">
        <f>IFERROR(__xludf.DUMMYFUNCTION("IF(REGEXMATCH(C341, ""g""), ""o"",""x"")"),"o")</f>
        <v>o</v>
      </c>
      <c r="CD341" s="245" t="str">
        <f>IFERROR(__xludf.DUMMYFUNCTION("IF(REGEXMATCH(C341, ""G""), ""o"",""x"")"),"x")</f>
        <v>x</v>
      </c>
      <c r="CE341" s="245" t="str">
        <f>IFERROR(__xludf.DUMMYFUNCTION("IF(REGEXMATCH(C341, ""m""), ""o"",""x"")"),"o")</f>
        <v>o</v>
      </c>
      <c r="CF341" s="246" t="str">
        <f>IFERROR(__xludf.DUMMYFUNCTION("IF(REGEXMATCH(C341, ""M""), ""o"",""x"")"),"x")</f>
        <v>x</v>
      </c>
      <c r="CG341" s="245" t="str">
        <f>IFERROR(__xludf.DUMMYFUNCTION("IF(REGEXMATCH(C341, ""P""), ""o"",""x"")"),"o")</f>
        <v>o</v>
      </c>
      <c r="CH341" s="246" t="str">
        <f>IFERROR(__xludf.DUMMYFUNCTION("IF(REGEXMATCH(C341, ""d""), ""o"",""x"")"),"x")</f>
        <v>x</v>
      </c>
      <c r="CI341" s="245" t="str">
        <f>IFERROR(__xludf.DUMMYFUNCTION("IF(REGEXMATCH(C341, ""D""), ""o"",""x"")"),"x")</f>
        <v>x</v>
      </c>
      <c r="CJ341" s="245" t="str">
        <f>IFERROR(__xludf.DUMMYFUNCTION("IF(REGEXMATCH(C341, ""n""), ""o"",""x"")"),"o")</f>
        <v>o</v>
      </c>
      <c r="CK341" s="245" t="str">
        <f>IFERROR(__xludf.DUMMYFUNCTION("IF(REGEXMATCH(C341, ""N""), ""o"",""x"")"),"x")</f>
        <v>x</v>
      </c>
      <c r="CL341" s="356" t="str">
        <f>IFERROR(__xludf.DUMMYFUNCTION("IF(REGEXMATCH(C341, ""S""), ""x"",""x"")"),"x")</f>
        <v>x</v>
      </c>
      <c r="CM341" s="357" t="str">
        <f t="shared" si="33"/>
        <v>xxooxoxoxxox</v>
      </c>
      <c r="CN341" s="358">
        <f t="shared" si="34"/>
        <v>0</v>
      </c>
      <c r="CO341" s="246" t="str">
        <f>IFERROR(__xludf.DUMMYFUNCTION("IF(REGEXMATCH($C341, ""S""), ""S"",""S"")"),"S")</f>
        <v>S</v>
      </c>
      <c r="CP341" s="246" t="str">
        <f>IFERROR(__xludf.DUMMYFUNCTION("IF(REGEXMATCH($C341, ""r""), """",""r"")"),"r")</f>
        <v>r</v>
      </c>
      <c r="CQ341" s="246" t="str">
        <f>IFERROR(__xludf.DUMMYFUNCTION("IF(REGEXMATCH($C341, ""R""), """",""R"")"),"")</f>
        <v/>
      </c>
      <c r="CR341" s="246" t="str">
        <f>IFERROR(__xludf.DUMMYFUNCTION("IF(REGEXMATCH($C341, ""g""), """",""g"")"),"")</f>
        <v/>
      </c>
      <c r="CS341" s="246" t="str">
        <f>IFERROR(__xludf.DUMMYFUNCTION("IF(REGEXMATCH($C341, ""G""), """",""G"")"),"G")</f>
        <v>G</v>
      </c>
      <c r="CT341" s="246" t="str">
        <f>IFERROR(__xludf.DUMMYFUNCTION("IF(REGEXMATCH($C341, ""m""), """",""m"")"),"")</f>
        <v/>
      </c>
      <c r="CU341" s="246" t="str">
        <f>IFERROR(__xludf.DUMMYFUNCTION("IF(REGEXMATCH($C341, ""M""), """",""M"")"),"M")</f>
        <v>M</v>
      </c>
      <c r="CV341" s="246" t="str">
        <f>IFERROR(__xludf.DUMMYFUNCTION("IF(REGEXMATCH($C341, ""P""), """",""P"")"),"")</f>
        <v/>
      </c>
      <c r="CW341" s="246" t="str">
        <f>IFERROR(__xludf.DUMMYFUNCTION("IF(REGEXMATCH($C341, ""d""), """",""d"")"),"d")</f>
        <v>d</v>
      </c>
      <c r="CX341" s="246" t="str">
        <f>IFERROR(__xludf.DUMMYFUNCTION("IF(REGEXMATCH($C341, ""D""), """",""D"")"),"D")</f>
        <v>D</v>
      </c>
      <c r="CY341" s="246" t="str">
        <f>IFERROR(__xludf.DUMMYFUNCTION("IF(REGEXMATCH($C341, ""n""), """",""n"")"),"")</f>
        <v/>
      </c>
      <c r="CZ341" s="246" t="str">
        <f>IFERROR(__xludf.DUMMYFUNCTION("IF(REGEXMATCH($C341, ""N""), """",""N"")"),"N")</f>
        <v>N</v>
      </c>
      <c r="DA341" s="246" t="str">
        <f>IFERROR(__xludf.DUMMYFUNCTION("IF(REGEXMATCH($C341, ""S""), ""S"",""S"")"),"S")</f>
        <v>S</v>
      </c>
      <c r="DB341" s="362" t="str">
        <f>IFERROR(__xludf.DUMMYFUNCTION("JOIN("""",CO341:DA341,"""","""")"),"SrGMdDNS")</f>
        <v>SrGMdDNS</v>
      </c>
      <c r="DC341" s="363"/>
      <c r="DD341" s="301" t="str">
        <f t="shared" si="35"/>
        <v>#REF!</v>
      </c>
      <c r="DE341" s="302" t="str">
        <f t="shared" si="36"/>
        <v>#REF!</v>
      </c>
      <c r="DF341" s="301" t="str">
        <f t="shared" ref="DF341:DG341" si="914">SUBSTITUTE(S341,"-","")</f>
        <v>SRGM</v>
      </c>
      <c r="DG341" s="301" t="str">
        <f t="shared" si="914"/>
        <v>PNS</v>
      </c>
      <c r="DH341" s="302" t="str">
        <f t="shared" si="38"/>
        <v>Shankara</v>
      </c>
      <c r="DI341" s="301" t="str">
        <f t="shared" si="39"/>
        <v>Hemi.</v>
      </c>
      <c r="DJ341" s="364" t="str">
        <f t="shared" si="40"/>
        <v>-</v>
      </c>
      <c r="DK341" s="306" t="str">
        <f t="shared" si="41"/>
        <v>-</v>
      </c>
      <c r="DL341" s="366" t="str">
        <f t="shared" si="42"/>
        <v>✔</v>
      </c>
      <c r="DM341" s="308" t="str">
        <f t="shared" si="43"/>
        <v>-</v>
      </c>
      <c r="DN341" s="306" t="str">
        <f t="shared" si="44"/>
        <v>-</v>
      </c>
      <c r="DO341" s="306" t="str">
        <f t="shared" si="45"/>
        <v>-</v>
      </c>
      <c r="DP341" s="367" t="str">
        <f t="shared" si="46"/>
        <v>-</v>
      </c>
      <c r="DQ341" s="310" t="str">
        <f t="shared" si="47"/>
        <v>-</v>
      </c>
      <c r="DR341" s="310" t="str">
        <f t="shared" si="48"/>
        <v>-</v>
      </c>
      <c r="DS341" s="310" t="str">
        <f t="shared" si="49"/>
        <v>-</v>
      </c>
      <c r="DT341" s="310" t="str">
        <f t="shared" si="50"/>
        <v>-</v>
      </c>
      <c r="DU341" s="370" t="str">
        <f t="shared" si="51"/>
        <v>-</v>
      </c>
      <c r="DV341" s="306" t="str">
        <f t="shared" si="52"/>
        <v>-</v>
      </c>
      <c r="DW341" s="306" t="str">
        <f t="shared" si="53"/>
        <v>-</v>
      </c>
      <c r="DX341" s="306" t="str">
        <f t="shared" si="54"/>
        <v>-</v>
      </c>
      <c r="DY341" s="306" t="str">
        <f t="shared" si="55"/>
        <v>-</v>
      </c>
      <c r="DZ341" s="306" t="str">
        <f t="shared" si="56"/>
        <v>✔</v>
      </c>
      <c r="EA341" s="367" t="str">
        <f t="shared" si="57"/>
        <v>-</v>
      </c>
      <c r="EB341" s="310" t="str">
        <f>IFERROR(__xludf.DUMMYFUNCTION("IF(REGEXMATCH(AW341,AS341),""✔"",""-"")"),"✔")</f>
        <v>✔</v>
      </c>
      <c r="EC341" s="310" t="str">
        <f t="shared" si="58"/>
        <v>#REF!</v>
      </c>
      <c r="ED341" s="370" t="str">
        <f t="shared" si="59"/>
        <v>-</v>
      </c>
      <c r="EE341" s="340" t="str">
        <f t="shared" si="60"/>
        <v>S-R-g-m-P-n-S</v>
      </c>
      <c r="EF341" s="371" t="str">
        <f>IFERROR(__xludf.DUMMYFUNCTION("CONCATENATE(JOIN("""",HC341:HO341))"),"SRmPDnS")</f>
        <v>SRmPDnS</v>
      </c>
      <c r="EG341" s="372">
        <f t="shared" si="61"/>
        <v>1</v>
      </c>
      <c r="EH341" s="373" t="str">
        <f>IFERROR(__xludf.DUMMYFUNCTION("CONCATENATE(JOIN("""",JC341:JO341))"),"Re, ")</f>
        <v>Re, </v>
      </c>
      <c r="EI341" s="322">
        <f t="shared" si="62"/>
        <v>0</v>
      </c>
      <c r="EJ341" s="374" t="str">
        <f>IFERROR(__xludf.DUMMYFUNCTION("CONCATENATE(JOIN("""",KC341:KO341))"),"")</f>
        <v/>
      </c>
      <c r="EK341" s="325" t="str">
        <f t="shared" si="63"/>
        <v>S-R2-G2-M1-P-N2-S</v>
      </c>
      <c r="EL341" s="326" t="str">
        <f t="shared" si="64"/>
        <v>1-2-b3-4-5-b7-8</v>
      </c>
      <c r="EM341" s="318" t="str">
        <f t="shared" si="65"/>
        <v>#REF!</v>
      </c>
      <c r="EN341" s="328" t="str">
        <f>IFERROR(__xludf.DUMMYFUNCTION("SUBSTITUTE(SUBSTITUTE(SUBSTITUTE(SUBSTITUTE(CONCATENATE(JOIN("" "",HP341:IB341)),""  "","" ""),""  "","" ""),""  "","" ""),""  "","" "")"),"o • o o • o • o • • o • o")</f>
        <v>o • o o • o • o • • o • o</v>
      </c>
      <c r="EO341" s="368" t="str">
        <f t="shared" si="66"/>
        <v>-</v>
      </c>
      <c r="EP341" s="339" t="str">
        <f t="shared" si="67"/>
        <v>-</v>
      </c>
      <c r="EQ341" s="339" t="str">
        <f t="shared" si="68"/>
        <v>Sa-Pa</v>
      </c>
      <c r="ER341" s="339" t="str">
        <f t="shared" si="69"/>
        <v>-</v>
      </c>
      <c r="ES341" s="340" t="str">
        <f t="shared" si="70"/>
        <v>-</v>
      </c>
      <c r="ET341" s="363"/>
      <c r="EU341" s="376" t="b">
        <f>IFERROR(__xludf.DUMMYFUNCTION("arrayformula(sum(--REGEXMATCH(""SRGMPDNS"",split(REGEXREPLACE(C341,""(.)"",""$1~""),""~""))))=len(C341)
"),FALSE)</f>
        <v>0</v>
      </c>
      <c r="EV341" s="290" t="b">
        <f>IFERROR(__xludf.DUMMYFUNCTION("arrayformula(sum(--REGEXMATCH(""SRGmPDNS"",split(REGEXREPLACE(C341,""(.)"",""$1~""),""~""))))=len(C341)"),FALSE)</f>
        <v>0</v>
      </c>
      <c r="EW341" s="290" t="b">
        <f>IFERROR(__xludf.DUMMYFUNCTION("arrayformula(sum(--REGEXMATCH(""SRGmPDnS"",split(REGEXREPLACE(C341,""(.)"",""$1~""),""~""))))=len(C341)"),FALSE)</f>
        <v>0</v>
      </c>
      <c r="EX341" s="290" t="b">
        <f>IFERROR(__xludf.DUMMYFUNCTION("arrayformula(sum(--REGEXMATCH(""SRgmPDnS"",split(REGEXREPLACE(C341,""(.)"",""$1~""),""~""))))=len(C341)"),TRUE)</f>
        <v>1</v>
      </c>
      <c r="EY341" s="290" t="b">
        <f>IFERROR(__xludf.DUMMYFUNCTION("arrayformula(sum(--REGEXMATCH(""SRgmPdnS"",split(REGEXREPLACE(C341,""(.)"",""$1~""),""~""))))=len(C341)"),TRUE)</f>
        <v>1</v>
      </c>
      <c r="EZ341" s="290" t="b">
        <f>IFERROR(__xludf.DUMMYFUNCTION("arrayformula(sum(--REGEXMATCH(""SrgmPdnS"",split(REGEXREPLACE(C341,""(.)"",""$1~""),""~""))))=len(C341)"),FALSE)</f>
        <v>0</v>
      </c>
      <c r="FA341" s="290" t="b">
        <f>IFERROR(__xludf.DUMMYFUNCTION("arrayformula(sum(--REGEXMATCH(""SrGmPdNS"",split(REGEXREPLACE(C341,""(.)"",""$1~""),""~""))))=len(C341)"),FALSE)</f>
        <v>0</v>
      </c>
      <c r="FB341" s="290" t="b">
        <f>IFERROR(__xludf.DUMMYFUNCTION("arrayformula(sum(--REGEXMATCH(""SrGMPDNS"",split(REGEXREPLACE(C341,""(.)"",""$1~""),""~""))))=len(C341)"),FALSE)</f>
        <v>0</v>
      </c>
      <c r="FC341" s="290" t="b">
        <f>IFERROR(__xludf.DUMMYFUNCTION("arrayformula(sum(--REGEXMATCH(""SrGMPdNS"",split(REGEXREPLACE(C341,""(.)"",""$1~""),""~""))))=len(C341)"),FALSE)</f>
        <v>0</v>
      </c>
      <c r="FD341" s="377" t="b">
        <f>IFERROR(__xludf.DUMMYFUNCTION("arrayformula(sum(--REGEXMATCH(""SrgMPdNS"",split(REGEXREPLACE(C341,""(.)"",""$1~""),""~""))))=len(C341)"),FALSE)</f>
        <v>0</v>
      </c>
      <c r="FE341" s="269" t="str">
        <f t="shared" si="71"/>
        <v>-</v>
      </c>
      <c r="FF341" s="269" t="str">
        <f t="shared" si="72"/>
        <v>xxoxoxooxox</v>
      </c>
      <c r="FG341" s="271" t="str">
        <f t="shared" si="73"/>
        <v>xoxoxooxoxo</v>
      </c>
      <c r="FH341" s="269" t="str">
        <f t="shared" si="74"/>
        <v>-</v>
      </c>
      <c r="FI341" s="271" t="str">
        <f t="shared" si="75"/>
        <v>xoxooxoxoxx</v>
      </c>
      <c r="FJ341" s="271" t="str">
        <f t="shared" si="76"/>
        <v>-</v>
      </c>
      <c r="FK341" s="271" t="str">
        <f t="shared" si="77"/>
        <v>xooxoxoxxox</v>
      </c>
      <c r="FL341" s="271" t="str">
        <f t="shared" si="78"/>
        <v>-</v>
      </c>
      <c r="FM341" s="271" t="str">
        <f t="shared" si="79"/>
        <v>-</v>
      </c>
      <c r="FN341" s="271" t="str">
        <f t="shared" si="80"/>
        <v>xoxoxxoxoxo</v>
      </c>
      <c r="FO341" s="274" t="str">
        <f t="shared" si="81"/>
        <v>-</v>
      </c>
      <c r="FP341" s="234" t="str">
        <f t="shared" si="82"/>
        <v>|</v>
      </c>
      <c r="FQ341" s="236" t="str">
        <f t="shared" si="83"/>
        <v>-</v>
      </c>
      <c r="FR341" s="237" t="str">
        <f t="shared" si="84"/>
        <v>|</v>
      </c>
      <c r="FS341" s="236" t="str">
        <f t="shared" si="85"/>
        <v>|</v>
      </c>
      <c r="FT341" s="237" t="str">
        <f t="shared" si="86"/>
        <v>-</v>
      </c>
      <c r="FU341" s="236" t="str">
        <f t="shared" si="87"/>
        <v>|</v>
      </c>
      <c r="FV341" s="237" t="str">
        <f t="shared" si="88"/>
        <v>-</v>
      </c>
      <c r="FW341" s="236" t="str">
        <f t="shared" si="89"/>
        <v>|</v>
      </c>
      <c r="FX341" s="237" t="str">
        <f t="shared" si="90"/>
        <v>-</v>
      </c>
      <c r="FY341" s="236" t="str">
        <f t="shared" si="91"/>
        <v>-</v>
      </c>
      <c r="FZ341" s="237" t="str">
        <f t="shared" si="92"/>
        <v>|</v>
      </c>
      <c r="GA341" s="236" t="str">
        <f t="shared" si="93"/>
        <v>-</v>
      </c>
      <c r="GB341" s="238" t="str">
        <f t="shared" si="94"/>
        <v>|</v>
      </c>
      <c r="GC341" s="244" t="str">
        <f>IFERROR(__xludf.DUMMYFUNCTION("IF(REGEXMATCH(C341, ""S""), ""1"","""")"),"1")</f>
        <v>1</v>
      </c>
      <c r="GD341" s="245" t="str">
        <f>IFERROR(__xludf.DUMMYFUNCTION("IF(REGEXMATCH(C341, ""r""), ""b2"","""")"),"")</f>
        <v/>
      </c>
      <c r="GE341" s="246" t="str">
        <f>IFERROR(__xludf.DUMMYFUNCTION("IF(REGEXMATCH(C341, ""R""), ""2"","""")"),"2")</f>
        <v>2</v>
      </c>
      <c r="GF341" s="246" t="str">
        <f>IFERROR(__xludf.DUMMYFUNCTION("IF(REGEXMATCH(C341, ""g""), ""b3"","""")"),"b3")</f>
        <v>b3</v>
      </c>
      <c r="GG341" s="245" t="str">
        <f>IFERROR(__xludf.DUMMYFUNCTION("IF(REGEXMATCH(C341, ""G""), ""3"","""")"),"")</f>
        <v/>
      </c>
      <c r="GH341" s="245" t="str">
        <f>IFERROR(__xludf.DUMMYFUNCTION("IF(REGEXMATCH(C341, ""m""), ""4"","""")"),"4")</f>
        <v>4</v>
      </c>
      <c r="GI341" s="246" t="str">
        <f>IFERROR(__xludf.DUMMYFUNCTION("IF(REGEXMATCH(C341, ""M""), ""#4"","""")"),"")</f>
        <v/>
      </c>
      <c r="GJ341" s="245" t="str">
        <f>IFERROR(__xludf.DUMMYFUNCTION("IF(REGEXMATCH(C341, ""P""), ""5"","""")"),"5")</f>
        <v>5</v>
      </c>
      <c r="GK341" s="246" t="str">
        <f>IFERROR(__xludf.DUMMYFUNCTION("IF(REGEXMATCH(C341, ""d""), ""b6"","""")"),"")</f>
        <v/>
      </c>
      <c r="GL341" s="245" t="str">
        <f>IFERROR(__xludf.DUMMYFUNCTION("IF(REGEXMATCH(C341, ""D""), ""6"","""")"),"")</f>
        <v/>
      </c>
      <c r="GM341" s="245" t="str">
        <f>IFERROR(__xludf.DUMMYFUNCTION("IF(REGEXMATCH(C341, ""n""), ""b7"","""")"),"b7")</f>
        <v>b7</v>
      </c>
      <c r="GN341" s="246" t="str">
        <f>IFERROR(__xludf.DUMMYFUNCTION("IF(REGEXMATCH(C341, ""N""), ""7"","""")"),"")</f>
        <v/>
      </c>
      <c r="GO341" s="249" t="str">
        <f>IFERROR(__xludf.DUMMYFUNCTION("IF(REGEXMATCH(C341, ""S""), ""8"","""")"),"8")</f>
        <v>8</v>
      </c>
      <c r="GP341" s="244" t="str">
        <f>IFERROR(__xludf.DUMMYFUNCTION("IF(REGEXMATCH(C341, ""S""), ""S"","""")"),"S")</f>
        <v>S</v>
      </c>
      <c r="GQ341" s="294" t="str">
        <f>IFERROR(__xludf.DUMMYFUNCTION("IF(REGEXMATCH(C341, ""r""), ""R1"","""")"),"")</f>
        <v/>
      </c>
      <c r="GR341" s="295" t="str">
        <f>IFERROR(__xludf.DUMMYFUNCTION("IF(REGEXMATCH(C341, ""R""), ""R2"","""")"),"R2")</f>
        <v>R2</v>
      </c>
      <c r="GS341" s="295" t="str">
        <f>IFERROR(__xludf.DUMMYFUNCTION("IF(REGEXMATCH(C341, ""g""), ""G2"","""")"),"G2")</f>
        <v>G2</v>
      </c>
      <c r="GT341" s="294" t="str">
        <f>IFERROR(__xludf.DUMMYFUNCTION("IF(REGEXMATCH(C341, ""G""), ""G3"","""")"),"")</f>
        <v/>
      </c>
      <c r="GU341" s="294" t="str">
        <f>IFERROR(__xludf.DUMMYFUNCTION("IF(REGEXMATCH(C341, ""m""), ""M1"","""")"),"M1")</f>
        <v>M1</v>
      </c>
      <c r="GV341" s="295" t="str">
        <f>IFERROR(__xludf.DUMMYFUNCTION("IF(REGEXMATCH(C341, ""M""), ""M2"","""")"),"")</f>
        <v/>
      </c>
      <c r="GW341" s="294" t="str">
        <f>IFERROR(__xludf.DUMMYFUNCTION("IF(REGEXMATCH(C341, ""P""), ""P"","""")"),"P")</f>
        <v>P</v>
      </c>
      <c r="GX341" s="295" t="str">
        <f>IFERROR(__xludf.DUMMYFUNCTION("IF(REGEXMATCH(C341, ""d""), ""D1"","""")"),"")</f>
        <v/>
      </c>
      <c r="GY341" s="294" t="str">
        <f>IFERROR(__xludf.DUMMYFUNCTION("IF(REGEXMATCH(C341, ""D""), ""D2"","""")"),"")</f>
        <v/>
      </c>
      <c r="GZ341" s="294" t="str">
        <f>IFERROR(__xludf.DUMMYFUNCTION("IF(REGEXMATCH(C341, ""n""), ""N2"","""")"),"N2")</f>
        <v>N2</v>
      </c>
      <c r="HA341" s="295" t="str">
        <f>IFERROR(__xludf.DUMMYFUNCTION("IF(REGEXMATCH(C341, ""N""), ""N3"","""")"),"")</f>
        <v/>
      </c>
      <c r="HB341" s="249" t="str">
        <f>IFERROR(__xludf.DUMMYFUNCTION("IF(REGEXMATCH(C341, ""S""), ""S"","""")"),"S")</f>
        <v>S</v>
      </c>
      <c r="HC341" s="331" t="str">
        <f t="shared" si="95"/>
        <v>S</v>
      </c>
      <c r="HD341" s="332" t="str">
        <f t="shared" si="96"/>
        <v/>
      </c>
      <c r="HE341" s="332" t="str">
        <f t="shared" si="97"/>
        <v>R</v>
      </c>
      <c r="HF341" s="332" t="str">
        <f t="shared" si="98"/>
        <v/>
      </c>
      <c r="HG341" s="332" t="str">
        <f t="shared" si="99"/>
        <v/>
      </c>
      <c r="HH341" s="332" t="str">
        <f t="shared" si="100"/>
        <v>m</v>
      </c>
      <c r="HI341" s="332" t="str">
        <f t="shared" si="101"/>
        <v/>
      </c>
      <c r="HJ341" s="332" t="str">
        <f t="shared" si="102"/>
        <v>P</v>
      </c>
      <c r="HK341" s="332" t="str">
        <f t="shared" si="103"/>
        <v/>
      </c>
      <c r="HL341" s="332" t="str">
        <f t="shared" si="104"/>
        <v>D</v>
      </c>
      <c r="HM341" s="332" t="str">
        <f t="shared" si="105"/>
        <v>n</v>
      </c>
      <c r="HN341" s="332" t="str">
        <f t="shared" si="106"/>
        <v/>
      </c>
      <c r="HO341" s="343" t="str">
        <f t="shared" si="107"/>
        <v>S</v>
      </c>
      <c r="HP341" s="331" t="str">
        <f t="shared" si="108"/>
        <v>o</v>
      </c>
      <c r="HQ341" s="332" t="str">
        <f t="shared" si="109"/>
        <v>•</v>
      </c>
      <c r="HR341" s="332" t="str">
        <f t="shared" si="110"/>
        <v>o</v>
      </c>
      <c r="HS341" s="332" t="str">
        <f t="shared" si="111"/>
        <v>o</v>
      </c>
      <c r="HT341" s="332" t="str">
        <f t="shared" si="112"/>
        <v>•</v>
      </c>
      <c r="HU341" s="332" t="str">
        <f t="shared" si="113"/>
        <v>o</v>
      </c>
      <c r="HV341" s="332" t="str">
        <f t="shared" si="114"/>
        <v>•</v>
      </c>
      <c r="HW341" s="332" t="str">
        <f t="shared" si="115"/>
        <v>o</v>
      </c>
      <c r="HX341" s="332" t="str">
        <f t="shared" si="116"/>
        <v>•</v>
      </c>
      <c r="HY341" s="332" t="str">
        <f t="shared" si="117"/>
        <v>•</v>
      </c>
      <c r="HZ341" s="332" t="str">
        <f t="shared" si="118"/>
        <v>o</v>
      </c>
      <c r="IA341" s="332" t="str">
        <f t="shared" si="119"/>
        <v>•</v>
      </c>
      <c r="IB341" s="338" t="str">
        <f t="shared" si="120"/>
        <v>o</v>
      </c>
      <c r="IC341" s="331" t="str">
        <f t="shared" si="121"/>
        <v>•</v>
      </c>
      <c r="ID341" s="332" t="str">
        <f t="shared" si="122"/>
        <v>o</v>
      </c>
      <c r="IE341" s="332" t="str">
        <f t="shared" si="123"/>
        <v>•</v>
      </c>
      <c r="IF341" s="332" t="str">
        <f t="shared" si="124"/>
        <v>•</v>
      </c>
      <c r="IG341" s="332" t="str">
        <f t="shared" si="125"/>
        <v>o</v>
      </c>
      <c r="IH341" s="332" t="str">
        <f t="shared" si="126"/>
        <v>•</v>
      </c>
      <c r="II341" s="332" t="str">
        <f t="shared" si="127"/>
        <v>o</v>
      </c>
      <c r="IJ341" s="332" t="str">
        <f t="shared" si="128"/>
        <v>•</v>
      </c>
      <c r="IK341" s="332" t="str">
        <f t="shared" si="129"/>
        <v>o</v>
      </c>
      <c r="IL341" s="332" t="str">
        <f t="shared" si="130"/>
        <v>o</v>
      </c>
      <c r="IM341" s="332" t="str">
        <f t="shared" si="131"/>
        <v>•</v>
      </c>
      <c r="IN341" s="332" t="str">
        <f t="shared" si="132"/>
        <v>o</v>
      </c>
      <c r="IO341" s="338" t="str">
        <f t="shared" si="133"/>
        <v>•</v>
      </c>
      <c r="IP341" s="346" t="b">
        <f t="shared" si="134"/>
        <v>0</v>
      </c>
      <c r="IQ341" s="347" t="b">
        <f t="shared" si="135"/>
        <v>0</v>
      </c>
      <c r="IR341" s="347" t="b">
        <f t="shared" si="136"/>
        <v>1</v>
      </c>
      <c r="IS341" s="347" t="b">
        <f t="shared" si="137"/>
        <v>0</v>
      </c>
      <c r="IT341" s="347" t="b">
        <f t="shared" si="138"/>
        <v>0</v>
      </c>
      <c r="IU341" s="347" t="b">
        <f t="shared" si="139"/>
        <v>0</v>
      </c>
      <c r="IV341" s="347" t="b">
        <f t="shared" si="140"/>
        <v>0</v>
      </c>
      <c r="IW341" s="347" t="b">
        <f t="shared" si="141"/>
        <v>0</v>
      </c>
      <c r="IX341" s="347" t="b">
        <f t="shared" si="142"/>
        <v>0</v>
      </c>
      <c r="IY341" s="347" t="b">
        <f t="shared" si="143"/>
        <v>0</v>
      </c>
      <c r="IZ341" s="347" t="b">
        <f t="shared" si="144"/>
        <v>0</v>
      </c>
      <c r="JA341" s="347" t="b">
        <f t="shared" si="145"/>
        <v>0</v>
      </c>
      <c r="JB341" s="353" t="b">
        <f t="shared" si="146"/>
        <v>0</v>
      </c>
      <c r="JC341" s="354" t="str">
        <f t="shared" si="147"/>
        <v/>
      </c>
      <c r="JD341" s="355" t="str">
        <f t="shared" si="148"/>
        <v/>
      </c>
      <c r="JE341" s="355" t="str">
        <f t="shared" si="149"/>
        <v>Re, </v>
      </c>
      <c r="JF341" s="355" t="str">
        <f t="shared" si="150"/>
        <v/>
      </c>
      <c r="JG341" s="355" t="str">
        <f t="shared" si="151"/>
        <v/>
      </c>
      <c r="JH341" s="355" t="str">
        <f t="shared" si="152"/>
        <v/>
      </c>
      <c r="JI341" s="355" t="str">
        <f t="shared" si="153"/>
        <v/>
      </c>
      <c r="JJ341" s="355" t="str">
        <f t="shared" si="154"/>
        <v/>
      </c>
      <c r="JK341" s="355" t="str">
        <f t="shared" si="155"/>
        <v/>
      </c>
      <c r="JL341" s="355" t="str">
        <f t="shared" si="156"/>
        <v/>
      </c>
      <c r="JM341" s="355" t="str">
        <f t="shared" si="157"/>
        <v/>
      </c>
      <c r="JN341" s="355" t="str">
        <f t="shared" si="158"/>
        <v/>
      </c>
      <c r="JO341" s="359" t="str">
        <f t="shared" si="159"/>
        <v/>
      </c>
      <c r="JP341" s="346" t="b">
        <f t="shared" si="160"/>
        <v>0</v>
      </c>
      <c r="JQ341" s="347" t="b">
        <f t="shared" si="161"/>
        <v>0</v>
      </c>
      <c r="JR341" s="347" t="b">
        <f t="shared" si="162"/>
        <v>0</v>
      </c>
      <c r="JS341" s="347" t="b">
        <f t="shared" si="163"/>
        <v>0</v>
      </c>
      <c r="JT341" s="347" t="b">
        <f t="shared" si="164"/>
        <v>0</v>
      </c>
      <c r="JU341" s="347" t="b">
        <f t="shared" si="165"/>
        <v>0</v>
      </c>
      <c r="JV341" s="347" t="b">
        <f t="shared" si="166"/>
        <v>0</v>
      </c>
      <c r="JW341" s="347" t="b">
        <f t="shared" si="167"/>
        <v>0</v>
      </c>
      <c r="JX341" s="347" t="b">
        <f t="shared" si="168"/>
        <v>0</v>
      </c>
      <c r="JY341" s="347" t="b">
        <f t="shared" si="169"/>
        <v>0</v>
      </c>
      <c r="JZ341" s="347" t="b">
        <f t="shared" si="170"/>
        <v>0</v>
      </c>
      <c r="KA341" s="347" t="b">
        <f t="shared" si="171"/>
        <v>0</v>
      </c>
      <c r="KB341" s="365" t="b">
        <f t="shared" si="172"/>
        <v>0</v>
      </c>
      <c r="KC341" s="354" t="str">
        <f t="shared" si="173"/>
        <v/>
      </c>
      <c r="KD341" s="355" t="str">
        <f t="shared" si="174"/>
        <v/>
      </c>
      <c r="KE341" s="355" t="str">
        <f t="shared" si="175"/>
        <v/>
      </c>
      <c r="KF341" s="355" t="str">
        <f t="shared" si="176"/>
        <v/>
      </c>
      <c r="KG341" s="355" t="str">
        <f t="shared" si="177"/>
        <v/>
      </c>
      <c r="KH341" s="355" t="str">
        <f t="shared" si="178"/>
        <v/>
      </c>
      <c r="KI341" s="355" t="str">
        <f t="shared" si="179"/>
        <v/>
      </c>
      <c r="KJ341" s="355" t="str">
        <f t="shared" si="180"/>
        <v/>
      </c>
      <c r="KK341" s="355" t="str">
        <f t="shared" si="181"/>
        <v/>
      </c>
      <c r="KL341" s="355" t="str">
        <f t="shared" si="182"/>
        <v/>
      </c>
      <c r="KM341" s="355" t="str">
        <f t="shared" si="183"/>
        <v/>
      </c>
      <c r="KN341" s="355" t="str">
        <f t="shared" si="184"/>
        <v/>
      </c>
      <c r="KO341" s="359"/>
      <c r="KP341" s="378"/>
      <c r="KQ341" s="379" t="s">
        <v>9</v>
      </c>
      <c r="KR341" s="380" t="s">
        <v>1303</v>
      </c>
      <c r="KS341" s="381" t="s">
        <v>9</v>
      </c>
      <c r="KT341" s="382">
        <f t="shared" si="186"/>
        <v>0</v>
      </c>
      <c r="KU341" s="383">
        <f t="shared" si="187"/>
        <v>0</v>
      </c>
      <c r="KV341" s="381" t="str">
        <f t="shared" si="205"/>
        <v>S-n-P-m-g-R-S</v>
      </c>
      <c r="KW341" s="382">
        <f t="shared" si="189"/>
        <v>6</v>
      </c>
      <c r="KX341" s="384">
        <f t="shared" si="190"/>
        <v>6</v>
      </c>
      <c r="KY341" s="382">
        <f t="shared" ref="KY341:KZ341" si="915">KW341-KT341</f>
        <v>6</v>
      </c>
      <c r="KZ341" s="369">
        <f t="shared" si="915"/>
        <v>6</v>
      </c>
      <c r="LA341" s="385" t="str">
        <f t="shared" si="192"/>
        <v>-</v>
      </c>
      <c r="LB341" s="340" t="str">
        <f>IFERROR(__xludf.DUMMYFUNCTION("JOIN("""",ArrayFormula(MID(KS341,LEN(KS341)-SEQUENCE(1,LEN(KS341))+1,1)))"),"S")</f>
        <v>S</v>
      </c>
      <c r="LC341" s="373" t="str">
        <f>IFERROR(__xludf.DUMMYFUNCTION("JOIN("""",ArrayFormula(MID(KV341,LEN(KV341)-SEQUENCE(1,LEN(KV341))+1,1)))"),"S-R-g-m-P-n-S")</f>
        <v>S-R-g-m-P-n-S</v>
      </c>
      <c r="LD341" s="373" t="str">
        <f t="shared" si="193"/>
        <v>S</v>
      </c>
      <c r="LE341" s="339" t="str">
        <f t="shared" si="194"/>
        <v>SRgmPnS</v>
      </c>
      <c r="LF341" s="386" t="str">
        <f>IFERROR(__xludf.DUMMYFUNCTION("SUBSTITUTE(SUBSTITUTE(CONCATENATE(JOIN("""",LH341:LT341)),""1"",""""),""2"","""")"),"SRgmPnS")</f>
        <v>SRgmPnS</v>
      </c>
      <c r="LG341" s="369" t="str">
        <f t="shared" si="195"/>
        <v>✔</v>
      </c>
      <c r="LH341" s="387" t="str">
        <f>IFERROR(__xludf.DUMMYFUNCTION("IF(REGEXMATCH(LD341, ""S""), ""S"",IF(REGEXMATCH(LE341, ""S""), ""S"",""""))"),"S")</f>
        <v>S</v>
      </c>
      <c r="LI341" s="299" t="str">
        <f>IFERROR(__xludf.DUMMYFUNCTION("IF(REGEXMATCH(LD341, ""r""), ""r1"",IF(REGEXMATCH(LE341, ""r""), ""r2"",""""))"),"")</f>
        <v/>
      </c>
      <c r="LJ341" s="299" t="str">
        <f>IFERROR(__xludf.DUMMYFUNCTION("IF(REGEXMATCH(LD341, ""R""), ""R1"",IF(REGEXMATCH(LE341, ""R""), ""R2"",""""))"),"R2")</f>
        <v>R2</v>
      </c>
      <c r="LK341" s="299" t="str">
        <f>IFERROR(__xludf.DUMMYFUNCTION("IF(REGEXMATCH(LD341, ""g""), ""g1"",IF(REGEXMATCH(LE341, ""g""), ""g2"",""""))"),"g2")</f>
        <v>g2</v>
      </c>
      <c r="LL341" s="299" t="str">
        <f>IFERROR(__xludf.DUMMYFUNCTION("IF(REGEXMATCH(LD341, ""G""), ""G1"",IF(REGEXMATCH(LE341, ""G""), ""G2"",""""))"),"")</f>
        <v/>
      </c>
      <c r="LM341" s="299" t="str">
        <f>IFERROR(__xludf.DUMMYFUNCTION("IF(REGEXMATCH(LD341, ""m""), ""m1"",IF(REGEXMATCH(LE341, ""m""), ""m2"",""""))"),"m2")</f>
        <v>m2</v>
      </c>
      <c r="LN341" s="299" t="str">
        <f>IFERROR(__xludf.DUMMYFUNCTION("IF(REGEXMATCH(LD341, ""M""), ""M1"",IF(REGEXMATCH(LE341, ""M""), ""M2"",""""))"),"")</f>
        <v/>
      </c>
      <c r="LO341" s="299" t="str">
        <f>IFERROR(__xludf.DUMMYFUNCTION("IF(REGEXMATCH(LD341, ""P""), ""P1"",IF(REGEXMATCH(LE341, ""P""), ""P2"",""""))"),"P2")</f>
        <v>P2</v>
      </c>
      <c r="LP341" s="299" t="str">
        <f>IFERROR(__xludf.DUMMYFUNCTION("IF(REGEXMATCH(LD341, ""d""), ""d1"",IF(REGEXMATCH(LE341, ""d""), ""d2"",""""))"),"")</f>
        <v/>
      </c>
      <c r="LQ341" s="299" t="str">
        <f>IFERROR(__xludf.DUMMYFUNCTION("IF(REGEXMATCH(LD341, ""D""), ""D1"",IF(REGEXMATCH(LE341, ""D""), ""D2"",""""))"),"")</f>
        <v/>
      </c>
      <c r="LR341" s="299" t="str">
        <f>IFERROR(__xludf.DUMMYFUNCTION("IF(REGEXMATCH(LD341, ""n""), ""n1"",IF(REGEXMATCH(LE341, ""n""), ""n2"",""""))"),"n2")</f>
        <v>n2</v>
      </c>
      <c r="LS341" s="299" t="str">
        <f>IFERROR(__xludf.DUMMYFUNCTION("IF(REGEXMATCH(LD341, ""N""), ""N1"",IF(REGEXMATCH(LE341, ""N""), ""N2"",""""))"),"")</f>
        <v/>
      </c>
      <c r="LT341" s="388" t="str">
        <f>IFERROR(__xludf.DUMMYFUNCTION("IF(REGEXMATCH(LD341, ""S""), ""S"",IF(REGEXMATCH(LE341, ""S""), ""S"",""""))"),"S")</f>
        <v>S</v>
      </c>
      <c r="LU341" s="389">
        <f t="shared" si="196"/>
        <v>-11</v>
      </c>
      <c r="LV341" s="378"/>
      <c r="LW341" s="369"/>
      <c r="LX341" s="369"/>
    </row>
    <row r="342" ht="18.0" customHeight="1">
      <c r="A342" s="298" t="s">
        <v>1195</v>
      </c>
      <c r="B342" s="222" t="s">
        <v>1196</v>
      </c>
      <c r="C342" s="233" t="str">
        <f t="shared" si="7"/>
        <v>SrgmPdDnS</v>
      </c>
      <c r="D342" s="234" t="str">
        <f>IFERROR(__xludf.DUMMYFUNCTION("IF(REGEXMATCH(C342, ""S""), ""S"","""")"),"S")</f>
        <v>S</v>
      </c>
      <c r="E342" s="236" t="str">
        <f>IFERROR(__xludf.DUMMYFUNCTION("IF(REGEXMATCH(C342, ""r""), ""r"","""")"),"r")</f>
        <v>r</v>
      </c>
      <c r="F342" s="237" t="str">
        <f>IFERROR(__xludf.DUMMYFUNCTION("IF(REGEXMATCH(C342, ""R""), ""R"","""")"),"")</f>
        <v/>
      </c>
      <c r="G342" s="237" t="str">
        <f>IFERROR(__xludf.DUMMYFUNCTION("IF(REGEXMATCH(C342, ""g""), ""g"","""")"),"g")</f>
        <v>g</v>
      </c>
      <c r="H342" s="236" t="str">
        <f>IFERROR(__xludf.DUMMYFUNCTION("IF(REGEXMATCH(C342, ""G""), ""G"","""")"),"")</f>
        <v/>
      </c>
      <c r="I342" s="236" t="str">
        <f>IFERROR(__xludf.DUMMYFUNCTION("IF(REGEXMATCH(C342, ""m""), ""m"","""")"),"m")</f>
        <v>m</v>
      </c>
      <c r="J342" s="237" t="str">
        <f>IFERROR(__xludf.DUMMYFUNCTION("IF(REGEXMATCH(C342, ""M""), ""M"","""")"),"")</f>
        <v/>
      </c>
      <c r="K342" s="236" t="str">
        <f>IFERROR(__xludf.DUMMYFUNCTION("IF(REGEXMATCH(C342, ""P""), ""P"","""")"),"P")</f>
        <v>P</v>
      </c>
      <c r="L342" s="237" t="str">
        <f>IFERROR(__xludf.DUMMYFUNCTION("IF(REGEXMATCH(C342, ""d""), ""d"","""")"),"d")</f>
        <v>d</v>
      </c>
      <c r="M342" s="236" t="str">
        <f>IFERROR(__xludf.DUMMYFUNCTION("IF(REGEXMATCH(C342, ""D""), ""D"","""")"),"D")</f>
        <v>D</v>
      </c>
      <c r="N342" s="236" t="str">
        <f>IFERROR(__xludf.DUMMYFUNCTION("IF(REGEXMATCH(C342, ""n""), ""n"","""")"),"n")</f>
        <v>n</v>
      </c>
      <c r="O342" s="237" t="str">
        <f>IFERROR(__xludf.DUMMYFUNCTION("IF(REGEXMATCH(C342, ""N""), ""N"","""")"),"")</f>
        <v/>
      </c>
      <c r="P342" s="238" t="str">
        <f>IFERROR(__xludf.DUMMYFUNCTION("IF(REGEXMATCH(C342, ""S""), ""S"","""")"),"S")</f>
        <v>S</v>
      </c>
      <c r="Q342" s="239" t="str">
        <f>IFERROR(__xludf.DUMMYFUNCTION("SUBSTITUTE(CONCATENATE(JOIN(""-"",D342:J342)),""-"","""")"),"Srgm")</f>
        <v>Srgm</v>
      </c>
      <c r="R342" s="229" t="str">
        <f>IFERROR(__xludf.DUMMYFUNCTION("SUBSTITUTE(CONCATENATE(JOIN(""-"",K342:P342)),""-"","""")"),"PdDnS")</f>
        <v>PdDnS</v>
      </c>
      <c r="S342" s="282" t="str">
        <f t="shared" si="8"/>
        <v>S-R-G-M</v>
      </c>
      <c r="T342" s="282" t="str">
        <f t="shared" si="9"/>
        <v>P-D-N-S</v>
      </c>
      <c r="U342" s="237" t="str">
        <f>IFERROR(__xludf.DUMMYFUNCTION("SUBSTITUTE(JOIN(""-"",S342,T342),""--"",""-"")"),"S-R-G-M-P-D-N-S")</f>
        <v>S-R-G-M-P-D-N-S</v>
      </c>
      <c r="V342" s="309" t="str">
        <f t="shared" si="10"/>
        <v>rgmdDn</v>
      </c>
      <c r="W342" s="244" t="str">
        <f>IFERROR(__xludf.DUMMYFUNCTION("IF(REGEXMATCH(C342, ""S""), ""0"","""")"),"0")</f>
        <v>0</v>
      </c>
      <c r="X342" s="245" t="str">
        <f>IFERROR(__xludf.DUMMYFUNCTION("IF(REGEXMATCH(C342, ""r""), ""1"","""")"),"1")</f>
        <v>1</v>
      </c>
      <c r="Y342" s="246" t="str">
        <f>IFERROR(__xludf.DUMMYFUNCTION("IF(REGEXMATCH(C342, ""R""), ""2"","""")"),"")</f>
        <v/>
      </c>
      <c r="Z342" s="246" t="str">
        <f>IFERROR(__xludf.DUMMYFUNCTION("IF(REGEXMATCH(C342, ""g""), ""3"","""")"),"3")</f>
        <v>3</v>
      </c>
      <c r="AA342" s="245" t="str">
        <f>IFERROR(__xludf.DUMMYFUNCTION("IF(REGEXMATCH(C342, ""G""), ""4"","""")"),"")</f>
        <v/>
      </c>
      <c r="AB342" s="245" t="str">
        <f>IFERROR(__xludf.DUMMYFUNCTION("IF(REGEXMATCH(C342, ""m""), ""5"","""")"),"5")</f>
        <v>5</v>
      </c>
      <c r="AC342" s="246" t="str">
        <f>IFERROR(__xludf.DUMMYFUNCTION("IF(REGEXMATCH(C342, ""M""), ""6"","""")"),"")</f>
        <v/>
      </c>
      <c r="AD342" s="245" t="str">
        <f>IFERROR(__xludf.DUMMYFUNCTION("IF(REGEXMATCH(C342, ""P""), ""7"","""")"),"7")</f>
        <v>7</v>
      </c>
      <c r="AE342" s="246" t="str">
        <f>IFERROR(__xludf.DUMMYFUNCTION("IF(REGEXMATCH(C342, ""d""), ""8"","""")"),"8")</f>
        <v>8</v>
      </c>
      <c r="AF342" s="245" t="str">
        <f>IFERROR(__xludf.DUMMYFUNCTION("IF(REGEXMATCH(C342, ""D""), ""9"","""")"),"9")</f>
        <v>9</v>
      </c>
      <c r="AG342" s="245" t="str">
        <f>IFERROR(__xludf.DUMMYFUNCTION("IF(REGEXMATCH(C342, ""n""), ""10"","""")"),"10")</f>
        <v>10</v>
      </c>
      <c r="AH342" s="246" t="str">
        <f>IFERROR(__xludf.DUMMYFUNCTION("IF(REGEXMATCH(C342, ""N""), ""11"","""")"),"")</f>
        <v/>
      </c>
      <c r="AI342" s="249" t="str">
        <f>IFERROR(__xludf.DUMMYFUNCTION("IF(REGEXMATCH(C342, ""S""), ""0"","""")"),"0")</f>
        <v>0</v>
      </c>
      <c r="AJ342" s="313" t="str">
        <f t="shared" si="11"/>
        <v>-</v>
      </c>
      <c r="AK342" s="313" t="str">
        <f t="shared" si="12"/>
        <v>T</v>
      </c>
      <c r="AL342" s="313" t="str">
        <f t="shared" si="13"/>
        <v>-</v>
      </c>
      <c r="AM342" s="313" t="str">
        <f t="shared" si="14"/>
        <v>T</v>
      </c>
      <c r="AN342" s="313" t="str">
        <f t="shared" si="15"/>
        <v>-</v>
      </c>
      <c r="AO342" s="314" t="str">
        <f t="shared" si="16"/>
        <v>-</v>
      </c>
      <c r="AP342" s="316">
        <f t="shared" si="17"/>
        <v>2</v>
      </c>
      <c r="AQ342" s="319" t="str">
        <f t="shared" si="18"/>
        <v>#REF!</v>
      </c>
      <c r="AR342" s="320">
        <f t="shared" si="19"/>
        <v>0</v>
      </c>
      <c r="AS342" s="250" t="str">
        <f>IFERROR(__xludf.DUMMYFUNCTION("SUBSTITUTE(SUBSTITUTE(CONCATENATE(JOIN("""",FP342:GA342)),""|"",""x""),""-"",""o"")"),"xxoxoxoxxxxo")</f>
        <v>xxoxoxoxxxxo</v>
      </c>
      <c r="AT342" s="323" t="str">
        <f>IFERROR(__xludf.DUMMYFUNCTION("JOIN("""",AS342,AS342)"),"xxoxoxoxxxxoxxoxoxoxxxxo")</f>
        <v>xxoxoxoxxxxoxxoxoxoxxxxo</v>
      </c>
      <c r="AU342" s="256" t="str">
        <f>IFERROR(__xludf.DUMMYFUNCTION("JOIN("""",ArrayFormula(MID(AS342,LEN(AS342)-SEQUENCE(1,LEN(AS342))+1,1)))"),"oxxxxoxoxoxx")</f>
        <v>oxxxxoxoxoxx</v>
      </c>
      <c r="AV342" s="256" t="str">
        <f>IFERROR(__xludf.DUMMYFUNCTION("LEFT(CONCATENATE(""x"",JOIN("""",ArrayFormula(MID(AS342,LEN(AS342)-SEQUENCE(1,LEN(AS342))+1,1)))),12)"),"xoxxxxoxoxox")</f>
        <v>xoxxxxoxoxox</v>
      </c>
      <c r="AW342" s="327" t="str">
        <f>IFERROR(__xludf.DUMMYFUNCTION("JOIN("""",AU342,AU342)"),"oxxxxoxoxoxxoxxxxoxoxoxx")</f>
        <v>oxxxxoxoxoxxoxxxxoxoxoxx</v>
      </c>
      <c r="AX342" s="239" t="str">
        <f>IFERROR(__xludf.DUMMYFUNCTION("IF(REGEXMATCH(AW342,AS342),""✔"",""-"")"),"-")</f>
        <v>-</v>
      </c>
      <c r="AY342" s="330" t="str">
        <f t="shared" si="20"/>
        <v>-</v>
      </c>
      <c r="AZ342" s="260" t="str">
        <f t="shared" si="21"/>
        <v>#REF!</v>
      </c>
      <c r="BA342" s="333" t="str">
        <f t="shared" si="22"/>
        <v>xxoxoxo</v>
      </c>
      <c r="BB342" s="334" t="str">
        <f t="shared" si="23"/>
        <v>xxxxox</v>
      </c>
      <c r="BC342" s="335" t="str">
        <f t="shared" si="236"/>
        <v>-</v>
      </c>
      <c r="BD342" s="336" t="str">
        <f t="shared" si="25"/>
        <v>Suha Todi: 'xxoxoxo' + 'xxxxox'</v>
      </c>
      <c r="BE342" s="337">
        <f>IFERROR(__xludf.DUMMYFUNCTION("COUNTUNIQUE(FILTER(AT:AT,REGEXMATCH(AT:AT,AS342)))-1"),3.0)</f>
        <v>3</v>
      </c>
      <c r="BF342" s="261" t="str">
        <f>IFERROR(__xludf.DUMMYFUNCTION("IF(BI342=0,""(n/a)"",IF(BJ342=2,""(PAIR)"",IF(REGEXMATCH(AT342,""xoxoxxoxoxox""),""Bilawal"",IF(REGEXMATCH(AT342,""xoxoxooxoxoo""),""Bhupali"",IF(REGEXMATCH(AT342,""xoxoxxoxxoxo""),""Charukeshi"",IF(REGEXMATCH(AT342,""xoxoooxxoxxo""),""Kameshwari"",IF(REG"&amp;"EXMATCH(AT342,""xoxoxooxoxox""),""Shankara"",IF(REGEXMATCH(AT342,""xxooxoxxxoox""),""Basant"",IF(REGEXMATCH(AT342,""xoxoxxxxoxox""),""Bihag"",IF(REGEXMATCH(AT342,""xoxxxxoxoxxx""),""Pilu"",IF(REGEXMATCH(AT342,""xoxxoxoxxoox""),""Kirwani"",IF(REGEXMATCH(AT"&amp;"342,""xoxxoxoxoxxx""),""Mk.Malhar"",IF(REGEXMATCH(AT342,""xxooxxoxxoox""),""Bhairav"",IF(REGEXMATCH(AT342,""xxoxooxxxoox""),""Todi"",IF(REGEXMATCH(AT342,""xxooxoxooxox""),""Marwa"",IF(REGEXMATCH(AT342,""xxoooxoxxooo""),""Gunkali"",IF(REGEXMATCH(AT342,""xo"&amp;"xoxxoxxoox""),""Nat Bhairav"",IF(REGEXMATCH(AT342,""xoxxoooxoxoo""),""Shivranjani"",IF(REGEXMATCH(AT342,""xooxxxoxooxo""),""Jog"",IF(REGEXMATCH(AT342,""xxooxoxoxoox""),""Hemshri"",IF(REGEXMATCH(AT342,""xoooxooxoxxo""),""Kalavati"",IF(REGEXMATCH(AT342,""xx"&amp;"oxoxxoxoox""),""Kedar"",IF(REGEXMATCH(AT342,""xoxxxxoxooxx""),""Gara"",IF(REGEXMATCH(AT342,""xooxoxooxoox""),""Chandrakauns"",IF(REGEXMATCH(AT342,""xoxxxxoxxxox""),""Mand"",IF(REGEXMATCH(AT342,""xoxxxxoxoxox""),""Hanskinkini"",IF(REGEXMATCH(AT342,""xxooxx"&amp;"oxooxo""),""Lilavati"",IF(REGEXMATCH(AT342,""xooxoxoooxox""),""Rajeshwari"",IF(REGEXMATCH(AT342,""xoooxxoxoxxx""),""Khokar"",IF(REGEXMATCH(AT342,""xxooxoxxxxox""),""Maligoura"",""-""))))))))))))))))))))))))))))))"),"Mk.Malhar")</f>
        <v>Mk.Malhar</v>
      </c>
      <c r="BG342" s="239" t="str">
        <f t="shared" si="26"/>
        <v>#REF!</v>
      </c>
      <c r="BH342" s="239">
        <f>IFERROR(__xludf.DUMMYFUNCTION("COUNTUNIQUE(FE342:FO342)-1"),7.0)</f>
        <v>7</v>
      </c>
      <c r="BI342" s="239">
        <f>IFERROR(__xludf.DUMMYFUNCTION("COUNTUNIQUE(FILTER(AT:AT,REGEXMATCH(AT:AT,AS342)))-1"),3.0)</f>
        <v>3</v>
      </c>
      <c r="BJ342" s="239">
        <f>IFERROR(__xludf.DUMMYFUNCTION("COUNTA(FILTER(AT:AT,REGEXMATCH(AT:AT,AS342)))"),16.0)</f>
        <v>16</v>
      </c>
      <c r="BK342" s="341">
        <f>IFERROR(__xludf.DUMMYFUNCTION("COUNTA(FILTER(AT:AT,REGEXMATCH(AT:AT,AS342)))-AR342"),16.0)</f>
        <v>16</v>
      </c>
      <c r="BL342" s="276" t="str">
        <f>IFERROR(__xludf.DUMMYFUNCTION("IF(AS342=""oooooooooooo"",""-"",IF(REGEXMATCH(AT342,""xx""), ""Hemi."", ""Anhemi.""))"),"Hemi.")</f>
        <v>Hemi.</v>
      </c>
      <c r="BM342" s="282" t="str">
        <f>IFERROR(__xludf.DUMMYFUNCTION("IF(AS342=""oooooooooooo"",""-"",IF(REGEXMATCH(AT342,""xxx""), ""Cohem."", ""-""))"),"Cohem.")</f>
        <v>Cohem.</v>
      </c>
      <c r="BN342" s="282" t="str">
        <f>IFERROR(__xludf.DUMMYFUNCTION("IF(AS342=""oooooooooooo"",""-"",IF(REGEXMATCH(AT342,""xxxx""), ""Co-Co."", ""-""))"),"Co-Co.")</f>
        <v>Co-Co.</v>
      </c>
      <c r="BO342" s="342" t="str">
        <f>IFERROR(__xludf.DUMMYFUNCTION("IF(AS342=""oooooooooooo"",""-"",IF(REGEXMATCH(AT342,""xxxxx""), ""CCC."", ""-""))"),"-")</f>
        <v>-</v>
      </c>
      <c r="BP342" s="344" t="str">
        <f t="shared" si="27"/>
        <v>-</v>
      </c>
      <c r="BQ342" s="282" t="str">
        <f>IFERROR(__xludf.DUMMYFUNCTION("IF(REGEXMATCH(JOIN(""-"",EU342:FD342),""TRUE""),""✔"",""-"")"),"-")</f>
        <v>-</v>
      </c>
      <c r="BR342" s="225">
        <f t="shared" si="28"/>
        <v>0</v>
      </c>
      <c r="BS342" s="345" t="str">
        <f>IFERROR(__xludf.DUMMYFUNCTION("SUBSTITUTE(SUBSTITUTE(SUBSTITUTE(SUBSTITUTE(CONCATENATE(JOIN(""-"",GC342:GO342)),""--"",""-""),""--"",""-""),""--"",""-""),""--"",""-"")"),"1-b2-b3-4-5-b6-6-b7-8")</f>
        <v>1-b2-b3-4-5-b6-6-b7-8</v>
      </c>
      <c r="BT342" s="299" t="str">
        <f>IFERROR(__xludf.DUMMYFUNCTION("SUBSTITUTE(SUBSTITUTE(SUBSTITUTE(SUBSTITUTE(CONCATENATE(JOIN(""-"",GP342:HB342)),""--"",""-""),""--"",""-""),""--"",""-""),""--"",""-"")"),"S-R1-G2-M1-P-D1-D2-N2-S")</f>
        <v>S-R1-G2-M1-P-D1-D2-N2-S</v>
      </c>
      <c r="BU342" s="348" t="str">
        <f t="shared" si="29"/>
        <v>C-Db-Eb-F-G-Ab-A-Bb-C</v>
      </c>
      <c r="BV342" s="349" t="str">
        <f t="shared" si="30"/>
        <v>SRGMNS</v>
      </c>
      <c r="BW342" s="350">
        <f t="shared" si="31"/>
        <v>0</v>
      </c>
      <c r="BX342" s="351">
        <f t="shared" si="32"/>
        <v>1</v>
      </c>
      <c r="BY342" s="352" t="s">
        <v>275</v>
      </c>
      <c r="BZ342" s="309" t="str">
        <f>IFERROR(__xludf.DUMMYFUNCTION("IF(REGEXMATCH(C342, ""S""), ""x"",""x"")"),"x")</f>
        <v>x</v>
      </c>
      <c r="CA342" s="245" t="str">
        <f>IFERROR(__xludf.DUMMYFUNCTION("IF(REGEXMATCH(C342, ""r""), ""o"",""x"")"),"o")</f>
        <v>o</v>
      </c>
      <c r="CB342" s="246" t="str">
        <f>IFERROR(__xludf.DUMMYFUNCTION("IF(REGEXMATCH(C342, ""R""), ""o"",""x"")"),"x")</f>
        <v>x</v>
      </c>
      <c r="CC342" s="246" t="str">
        <f>IFERROR(__xludf.DUMMYFUNCTION("IF(REGEXMATCH(C342, ""g""), ""o"",""x"")"),"o")</f>
        <v>o</v>
      </c>
      <c r="CD342" s="245" t="str">
        <f>IFERROR(__xludf.DUMMYFUNCTION("IF(REGEXMATCH(C342, ""G""), ""o"",""x"")"),"x")</f>
        <v>x</v>
      </c>
      <c r="CE342" s="245" t="str">
        <f>IFERROR(__xludf.DUMMYFUNCTION("IF(REGEXMATCH(C342, ""m""), ""o"",""x"")"),"o")</f>
        <v>o</v>
      </c>
      <c r="CF342" s="246" t="str">
        <f>IFERROR(__xludf.DUMMYFUNCTION("IF(REGEXMATCH(C342, ""M""), ""o"",""x"")"),"x")</f>
        <v>x</v>
      </c>
      <c r="CG342" s="245" t="str">
        <f>IFERROR(__xludf.DUMMYFUNCTION("IF(REGEXMATCH(C342, ""P""), ""o"",""x"")"),"o")</f>
        <v>o</v>
      </c>
      <c r="CH342" s="246" t="str">
        <f>IFERROR(__xludf.DUMMYFUNCTION("IF(REGEXMATCH(C342, ""d""), ""o"",""x"")"),"o")</f>
        <v>o</v>
      </c>
      <c r="CI342" s="245" t="str">
        <f>IFERROR(__xludf.DUMMYFUNCTION("IF(REGEXMATCH(C342, ""D""), ""o"",""x"")"),"o")</f>
        <v>o</v>
      </c>
      <c r="CJ342" s="245" t="str">
        <f>IFERROR(__xludf.DUMMYFUNCTION("IF(REGEXMATCH(C342, ""n""), ""o"",""x"")"),"o")</f>
        <v>o</v>
      </c>
      <c r="CK342" s="245" t="str">
        <f>IFERROR(__xludf.DUMMYFUNCTION("IF(REGEXMATCH(C342, ""N""), ""o"",""x"")"),"x")</f>
        <v>x</v>
      </c>
      <c r="CL342" s="356" t="str">
        <f>IFERROR(__xludf.DUMMYFUNCTION("IF(REGEXMATCH(C342, ""S""), ""x"",""x"")"),"x")</f>
        <v>x</v>
      </c>
      <c r="CM342" s="357" t="str">
        <f t="shared" si="33"/>
        <v>xoxoxoxoooox</v>
      </c>
      <c r="CN342" s="358">
        <f t="shared" si="34"/>
        <v>0</v>
      </c>
      <c r="CO342" s="246" t="str">
        <f>IFERROR(__xludf.DUMMYFUNCTION("IF(REGEXMATCH($C342, ""S""), ""S"",""S"")"),"S")</f>
        <v>S</v>
      </c>
      <c r="CP342" s="246" t="str">
        <f>IFERROR(__xludf.DUMMYFUNCTION("IF(REGEXMATCH($C342, ""r""), """",""r"")"),"")</f>
        <v/>
      </c>
      <c r="CQ342" s="246" t="str">
        <f>IFERROR(__xludf.DUMMYFUNCTION("IF(REGEXMATCH($C342, ""R""), """",""R"")"),"R")</f>
        <v>R</v>
      </c>
      <c r="CR342" s="246" t="str">
        <f>IFERROR(__xludf.DUMMYFUNCTION("IF(REGEXMATCH($C342, ""g""), """",""g"")"),"")</f>
        <v/>
      </c>
      <c r="CS342" s="246" t="str">
        <f>IFERROR(__xludf.DUMMYFUNCTION("IF(REGEXMATCH($C342, ""G""), """",""G"")"),"G")</f>
        <v>G</v>
      </c>
      <c r="CT342" s="246" t="str">
        <f>IFERROR(__xludf.DUMMYFUNCTION("IF(REGEXMATCH($C342, ""m""), """",""m"")"),"")</f>
        <v/>
      </c>
      <c r="CU342" s="246" t="str">
        <f>IFERROR(__xludf.DUMMYFUNCTION("IF(REGEXMATCH($C342, ""M""), """",""M"")"),"M")</f>
        <v>M</v>
      </c>
      <c r="CV342" s="246" t="str">
        <f>IFERROR(__xludf.DUMMYFUNCTION("IF(REGEXMATCH($C342, ""P""), """",""P"")"),"")</f>
        <v/>
      </c>
      <c r="CW342" s="246" t="str">
        <f>IFERROR(__xludf.DUMMYFUNCTION("IF(REGEXMATCH($C342, ""d""), """",""d"")"),"")</f>
        <v/>
      </c>
      <c r="CX342" s="246" t="str">
        <f>IFERROR(__xludf.DUMMYFUNCTION("IF(REGEXMATCH($C342, ""D""), """",""D"")"),"")</f>
        <v/>
      </c>
      <c r="CY342" s="246" t="str">
        <f>IFERROR(__xludf.DUMMYFUNCTION("IF(REGEXMATCH($C342, ""n""), """",""n"")"),"")</f>
        <v/>
      </c>
      <c r="CZ342" s="246" t="str">
        <f>IFERROR(__xludf.DUMMYFUNCTION("IF(REGEXMATCH($C342, ""N""), """",""N"")"),"N")</f>
        <v>N</v>
      </c>
      <c r="DA342" s="246" t="str">
        <f>IFERROR(__xludf.DUMMYFUNCTION("IF(REGEXMATCH($C342, ""S""), ""S"",""S"")"),"S")</f>
        <v>S</v>
      </c>
      <c r="DB342" s="362" t="str">
        <f>IFERROR(__xludf.DUMMYFUNCTION("JOIN("""",CO342:DA342,"""","""")"),"SRGMNS")</f>
        <v>SRGMNS</v>
      </c>
      <c r="DC342" s="363"/>
      <c r="DD342" s="301" t="str">
        <f t="shared" si="35"/>
        <v>#REF!</v>
      </c>
      <c r="DE342" s="302" t="str">
        <f t="shared" si="36"/>
        <v>#REF!</v>
      </c>
      <c r="DF342" s="301" t="str">
        <f t="shared" ref="DF342:DG342" si="916">SUBSTITUTE(S342,"-","")</f>
        <v>SRGM</v>
      </c>
      <c r="DG342" s="301" t="str">
        <f t="shared" si="916"/>
        <v>PDNS</v>
      </c>
      <c r="DH342" s="302" t="str">
        <f t="shared" si="38"/>
        <v>Mk.Malhar</v>
      </c>
      <c r="DI342" s="301" t="str">
        <f t="shared" si="39"/>
        <v>Hemi.</v>
      </c>
      <c r="DJ342" s="364" t="str">
        <f t="shared" si="40"/>
        <v>Co-Co.</v>
      </c>
      <c r="DK342" s="306" t="str">
        <f t="shared" si="41"/>
        <v>-</v>
      </c>
      <c r="DL342" s="366" t="str">
        <f t="shared" si="42"/>
        <v>-</v>
      </c>
      <c r="DM342" s="308" t="str">
        <f t="shared" si="43"/>
        <v>✔</v>
      </c>
      <c r="DN342" s="306" t="str">
        <f t="shared" si="44"/>
        <v>-</v>
      </c>
      <c r="DO342" s="306" t="str">
        <f t="shared" si="45"/>
        <v>-</v>
      </c>
      <c r="DP342" s="367" t="str">
        <f t="shared" si="46"/>
        <v>-</v>
      </c>
      <c r="DQ342" s="310" t="str">
        <f t="shared" si="47"/>
        <v>-</v>
      </c>
      <c r="DR342" s="310" t="str">
        <f t="shared" si="48"/>
        <v>-</v>
      </c>
      <c r="DS342" s="310" t="str">
        <f t="shared" si="49"/>
        <v>-</v>
      </c>
      <c r="DT342" s="310" t="str">
        <f t="shared" si="50"/>
        <v>✔</v>
      </c>
      <c r="DU342" s="370" t="str">
        <f t="shared" si="51"/>
        <v>-</v>
      </c>
      <c r="DV342" s="306" t="str">
        <f t="shared" si="52"/>
        <v>-</v>
      </c>
      <c r="DW342" s="306" t="str">
        <f t="shared" si="53"/>
        <v>-</v>
      </c>
      <c r="DX342" s="306" t="str">
        <f t="shared" si="54"/>
        <v>-</v>
      </c>
      <c r="DY342" s="306" t="str">
        <f t="shared" si="55"/>
        <v>-</v>
      </c>
      <c r="DZ342" s="306" t="str">
        <f t="shared" si="56"/>
        <v>-</v>
      </c>
      <c r="EA342" s="367" t="str">
        <f t="shared" si="57"/>
        <v>-</v>
      </c>
      <c r="EB342" s="310" t="str">
        <f>IFERROR(__xludf.DUMMYFUNCTION("IF(REGEXMATCH(AW342,AS342),""✔"",""-"")"),"-")</f>
        <v>-</v>
      </c>
      <c r="EC342" s="310" t="str">
        <f t="shared" si="58"/>
        <v>#REF!</v>
      </c>
      <c r="ED342" s="370" t="str">
        <f t="shared" si="59"/>
        <v>-</v>
      </c>
      <c r="EE342" s="340" t="str">
        <f t="shared" si="60"/>
        <v>S-r-g-m-P-dD-n-S</v>
      </c>
      <c r="EF342" s="371" t="str">
        <f>IFERROR(__xludf.DUMMYFUNCTION("CONCATENATE(JOIN("""",HC342:HO342))"),"SRgGmPDNS")</f>
        <v>SRgGmPDNS</v>
      </c>
      <c r="EG342" s="372">
        <f t="shared" si="61"/>
        <v>2</v>
      </c>
      <c r="EH342" s="373" t="str">
        <f>IFERROR(__xludf.DUMMYFUNCTION("CONCATENATE(JOIN("""",JC342:JO342))"),"Pa, Dha, ")</f>
        <v>Pa, Dha, </v>
      </c>
      <c r="EI342" s="322">
        <f t="shared" si="62"/>
        <v>1</v>
      </c>
      <c r="EJ342" s="374" t="str">
        <f>IFERROR(__xludf.DUMMYFUNCTION("CONCATENATE(JOIN("""",KC342:KO342))"),"Dha, ")</f>
        <v>Dha, </v>
      </c>
      <c r="EK342" s="325" t="str">
        <f t="shared" si="63"/>
        <v>S-R1-G2-M1-P-D1-D2-N2-S</v>
      </c>
      <c r="EL342" s="326" t="str">
        <f t="shared" si="64"/>
        <v>1-b2-b3-4-5-b6-6-b7-8</v>
      </c>
      <c r="EM342" s="318" t="str">
        <f t="shared" si="65"/>
        <v>#REF!</v>
      </c>
      <c r="EN342" s="328" t="str">
        <f>IFERROR(__xludf.DUMMYFUNCTION("SUBSTITUTE(SUBSTITUTE(SUBSTITUTE(SUBSTITUTE(CONCATENATE(JOIN("" "",HP342:IB342)),""  "","" ""),""  "","" ""),""  "","" ""),""  "","" "")"),"o o • o • o • o o o o • o")</f>
        <v>o o • o • o • o o o o • o</v>
      </c>
      <c r="EO342" s="368" t="str">
        <f t="shared" si="66"/>
        <v>-</v>
      </c>
      <c r="EP342" s="339" t="str">
        <f t="shared" si="67"/>
        <v>-</v>
      </c>
      <c r="EQ342" s="339" t="str">
        <f t="shared" si="68"/>
        <v>Sa-Pa</v>
      </c>
      <c r="ER342" s="339" t="str">
        <f t="shared" si="69"/>
        <v>-</v>
      </c>
      <c r="ES342" s="340" t="str">
        <f t="shared" si="70"/>
        <v>-</v>
      </c>
      <c r="ET342" s="363"/>
      <c r="EU342" s="376" t="b">
        <f>IFERROR(__xludf.DUMMYFUNCTION("arrayformula(sum(--REGEXMATCH(""SRGMPDNS"",split(REGEXREPLACE(C342,""(.)"",""$1~""),""~""))))=len(C342)
"),FALSE)</f>
        <v>0</v>
      </c>
      <c r="EV342" s="290" t="b">
        <f>IFERROR(__xludf.DUMMYFUNCTION("arrayformula(sum(--REGEXMATCH(""SRGmPDNS"",split(REGEXREPLACE(C342,""(.)"",""$1~""),""~""))))=len(C342)"),FALSE)</f>
        <v>0</v>
      </c>
      <c r="EW342" s="290" t="b">
        <f>IFERROR(__xludf.DUMMYFUNCTION("arrayformula(sum(--REGEXMATCH(""SRGmPDnS"",split(REGEXREPLACE(C342,""(.)"",""$1~""),""~""))))=len(C342)"),FALSE)</f>
        <v>0</v>
      </c>
      <c r="EX342" s="290" t="b">
        <f>IFERROR(__xludf.DUMMYFUNCTION("arrayformula(sum(--REGEXMATCH(""SRgmPDnS"",split(REGEXREPLACE(C342,""(.)"",""$1~""),""~""))))=len(C342)"),FALSE)</f>
        <v>0</v>
      </c>
      <c r="EY342" s="290" t="b">
        <f>IFERROR(__xludf.DUMMYFUNCTION("arrayformula(sum(--REGEXMATCH(""SRgmPdnS"",split(REGEXREPLACE(C342,""(.)"",""$1~""),""~""))))=len(C342)"),FALSE)</f>
        <v>0</v>
      </c>
      <c r="EZ342" s="290" t="b">
        <f>IFERROR(__xludf.DUMMYFUNCTION("arrayformula(sum(--REGEXMATCH(""SrgmPdnS"",split(REGEXREPLACE(C342,""(.)"",""$1~""),""~""))))=len(C342)"),FALSE)</f>
        <v>0</v>
      </c>
      <c r="FA342" s="290" t="b">
        <f>IFERROR(__xludf.DUMMYFUNCTION("arrayformula(sum(--REGEXMATCH(""SrGmPdNS"",split(REGEXREPLACE(C342,""(.)"",""$1~""),""~""))))=len(C342)"),FALSE)</f>
        <v>0</v>
      </c>
      <c r="FB342" s="290" t="b">
        <f>IFERROR(__xludf.DUMMYFUNCTION("arrayformula(sum(--REGEXMATCH(""SrGMPDNS"",split(REGEXREPLACE(C342,""(.)"",""$1~""),""~""))))=len(C342)"),FALSE)</f>
        <v>0</v>
      </c>
      <c r="FC342" s="290" t="b">
        <f>IFERROR(__xludf.DUMMYFUNCTION("arrayformula(sum(--REGEXMATCH(""SrGMPdNS"",split(REGEXREPLACE(C342,""(.)"",""$1~""),""~""))))=len(C342)"),FALSE)</f>
        <v>0</v>
      </c>
      <c r="FD342" s="377" t="b">
        <f>IFERROR(__xludf.DUMMYFUNCTION("arrayformula(sum(--REGEXMATCH(""SrgMPdNS"",split(REGEXREPLACE(C342,""(.)"",""$1~""),""~""))))=len(C342)"),FALSE)</f>
        <v>0</v>
      </c>
      <c r="FE342" s="269" t="str">
        <f t="shared" si="71"/>
        <v>xoxoxoxxxxo</v>
      </c>
      <c r="FF342" s="269" t="str">
        <f t="shared" si="72"/>
        <v>-</v>
      </c>
      <c r="FG342" s="271" t="str">
        <f t="shared" si="73"/>
        <v>xoxoxxxxoxx</v>
      </c>
      <c r="FH342" s="269" t="str">
        <f t="shared" si="74"/>
        <v>-</v>
      </c>
      <c r="FI342" s="271" t="str">
        <f t="shared" si="75"/>
        <v>xoxxxxoxxox</v>
      </c>
      <c r="FJ342" s="271" t="str">
        <f t="shared" si="76"/>
        <v>-</v>
      </c>
      <c r="FK342" s="271" t="str">
        <f t="shared" si="77"/>
        <v>xxxxoxxoxox</v>
      </c>
      <c r="FL342" s="271" t="str">
        <f t="shared" si="78"/>
        <v>xxxoxxoxoxo</v>
      </c>
      <c r="FM342" s="271" t="str">
        <f t="shared" si="79"/>
        <v>xxoxxoxoxox</v>
      </c>
      <c r="FN342" s="271" t="str">
        <f t="shared" si="80"/>
        <v>xoxxoxoxoxx</v>
      </c>
      <c r="FO342" s="274" t="str">
        <f t="shared" si="81"/>
        <v>-</v>
      </c>
      <c r="FP342" s="234" t="str">
        <f t="shared" si="82"/>
        <v>|</v>
      </c>
      <c r="FQ342" s="236" t="str">
        <f t="shared" si="83"/>
        <v>|</v>
      </c>
      <c r="FR342" s="237" t="str">
        <f t="shared" si="84"/>
        <v>-</v>
      </c>
      <c r="FS342" s="236" t="str">
        <f t="shared" si="85"/>
        <v>|</v>
      </c>
      <c r="FT342" s="237" t="str">
        <f t="shared" si="86"/>
        <v>-</v>
      </c>
      <c r="FU342" s="236" t="str">
        <f t="shared" si="87"/>
        <v>|</v>
      </c>
      <c r="FV342" s="237" t="str">
        <f t="shared" si="88"/>
        <v>-</v>
      </c>
      <c r="FW342" s="236" t="str">
        <f t="shared" si="89"/>
        <v>|</v>
      </c>
      <c r="FX342" s="237" t="str">
        <f t="shared" si="90"/>
        <v>|</v>
      </c>
      <c r="FY342" s="236" t="str">
        <f t="shared" si="91"/>
        <v>|</v>
      </c>
      <c r="FZ342" s="237" t="str">
        <f t="shared" si="92"/>
        <v>|</v>
      </c>
      <c r="GA342" s="236" t="str">
        <f t="shared" si="93"/>
        <v>-</v>
      </c>
      <c r="GB342" s="238" t="str">
        <f t="shared" si="94"/>
        <v>|</v>
      </c>
      <c r="GC342" s="244" t="str">
        <f>IFERROR(__xludf.DUMMYFUNCTION("IF(REGEXMATCH(C342, ""S""), ""1"","""")"),"1")</f>
        <v>1</v>
      </c>
      <c r="GD342" s="245" t="str">
        <f>IFERROR(__xludf.DUMMYFUNCTION("IF(REGEXMATCH(C342, ""r""), ""b2"","""")"),"b2")</f>
        <v>b2</v>
      </c>
      <c r="GE342" s="246" t="str">
        <f>IFERROR(__xludf.DUMMYFUNCTION("IF(REGEXMATCH(C342, ""R""), ""2"","""")"),"")</f>
        <v/>
      </c>
      <c r="GF342" s="246" t="str">
        <f>IFERROR(__xludf.DUMMYFUNCTION("IF(REGEXMATCH(C342, ""g""), ""b3"","""")"),"b3")</f>
        <v>b3</v>
      </c>
      <c r="GG342" s="245" t="str">
        <f>IFERROR(__xludf.DUMMYFUNCTION("IF(REGEXMATCH(C342, ""G""), ""3"","""")"),"")</f>
        <v/>
      </c>
      <c r="GH342" s="245" t="str">
        <f>IFERROR(__xludf.DUMMYFUNCTION("IF(REGEXMATCH(C342, ""m""), ""4"","""")"),"4")</f>
        <v>4</v>
      </c>
      <c r="GI342" s="246" t="str">
        <f>IFERROR(__xludf.DUMMYFUNCTION("IF(REGEXMATCH(C342, ""M""), ""#4"","""")"),"")</f>
        <v/>
      </c>
      <c r="GJ342" s="245" t="str">
        <f>IFERROR(__xludf.DUMMYFUNCTION("IF(REGEXMATCH(C342, ""P""), ""5"","""")"),"5")</f>
        <v>5</v>
      </c>
      <c r="GK342" s="246" t="str">
        <f>IFERROR(__xludf.DUMMYFUNCTION("IF(REGEXMATCH(C342, ""d""), ""b6"","""")"),"b6")</f>
        <v>b6</v>
      </c>
      <c r="GL342" s="245" t="str">
        <f>IFERROR(__xludf.DUMMYFUNCTION("IF(REGEXMATCH(C342, ""D""), ""6"","""")"),"6")</f>
        <v>6</v>
      </c>
      <c r="GM342" s="245" t="str">
        <f>IFERROR(__xludf.DUMMYFUNCTION("IF(REGEXMATCH(C342, ""n""), ""b7"","""")"),"b7")</f>
        <v>b7</v>
      </c>
      <c r="GN342" s="246" t="str">
        <f>IFERROR(__xludf.DUMMYFUNCTION("IF(REGEXMATCH(C342, ""N""), ""7"","""")"),"")</f>
        <v/>
      </c>
      <c r="GO342" s="249" t="str">
        <f>IFERROR(__xludf.DUMMYFUNCTION("IF(REGEXMATCH(C342, ""S""), ""8"","""")"),"8")</f>
        <v>8</v>
      </c>
      <c r="GP342" s="244" t="str">
        <f>IFERROR(__xludf.DUMMYFUNCTION("IF(REGEXMATCH(C342, ""S""), ""S"","""")"),"S")</f>
        <v>S</v>
      </c>
      <c r="GQ342" s="294" t="str">
        <f>IFERROR(__xludf.DUMMYFUNCTION("IF(REGEXMATCH(C342, ""r""), ""R1"","""")"),"R1")</f>
        <v>R1</v>
      </c>
      <c r="GR342" s="295" t="str">
        <f>IFERROR(__xludf.DUMMYFUNCTION("IF(REGEXMATCH(C342, ""R""), ""R2"","""")"),"")</f>
        <v/>
      </c>
      <c r="GS342" s="295" t="str">
        <f>IFERROR(__xludf.DUMMYFUNCTION("IF(REGEXMATCH(C342, ""g""), ""G2"","""")"),"G2")</f>
        <v>G2</v>
      </c>
      <c r="GT342" s="294" t="str">
        <f>IFERROR(__xludf.DUMMYFUNCTION("IF(REGEXMATCH(C342, ""G""), ""G3"","""")"),"")</f>
        <v/>
      </c>
      <c r="GU342" s="294" t="str">
        <f>IFERROR(__xludf.DUMMYFUNCTION("IF(REGEXMATCH(C342, ""m""), ""M1"","""")"),"M1")</f>
        <v>M1</v>
      </c>
      <c r="GV342" s="295" t="str">
        <f>IFERROR(__xludf.DUMMYFUNCTION("IF(REGEXMATCH(C342, ""M""), ""M2"","""")"),"")</f>
        <v/>
      </c>
      <c r="GW342" s="294" t="str">
        <f>IFERROR(__xludf.DUMMYFUNCTION("IF(REGEXMATCH(C342, ""P""), ""P"","""")"),"P")</f>
        <v>P</v>
      </c>
      <c r="GX342" s="295" t="str">
        <f>IFERROR(__xludf.DUMMYFUNCTION("IF(REGEXMATCH(C342, ""d""), ""D1"","""")"),"D1")</f>
        <v>D1</v>
      </c>
      <c r="GY342" s="294" t="str">
        <f>IFERROR(__xludf.DUMMYFUNCTION("IF(REGEXMATCH(C342, ""D""), ""D2"","""")"),"D2")</f>
        <v>D2</v>
      </c>
      <c r="GZ342" s="294" t="str">
        <f>IFERROR(__xludf.DUMMYFUNCTION("IF(REGEXMATCH(C342, ""n""), ""N2"","""")"),"N2")</f>
        <v>N2</v>
      </c>
      <c r="HA342" s="295" t="str">
        <f>IFERROR(__xludf.DUMMYFUNCTION("IF(REGEXMATCH(C342, ""N""), ""N3"","""")"),"")</f>
        <v/>
      </c>
      <c r="HB342" s="249" t="str">
        <f>IFERROR(__xludf.DUMMYFUNCTION("IF(REGEXMATCH(C342, ""S""), ""S"","""")"),"S")</f>
        <v>S</v>
      </c>
      <c r="HC342" s="331" t="str">
        <f t="shared" si="95"/>
        <v>S</v>
      </c>
      <c r="HD342" s="332" t="str">
        <f t="shared" si="96"/>
        <v/>
      </c>
      <c r="HE342" s="332" t="str">
        <f t="shared" si="97"/>
        <v>R</v>
      </c>
      <c r="HF342" s="332" t="str">
        <f t="shared" si="98"/>
        <v>g</v>
      </c>
      <c r="HG342" s="332" t="str">
        <f t="shared" si="99"/>
        <v>G</v>
      </c>
      <c r="HH342" s="332" t="str">
        <f t="shared" si="100"/>
        <v>m</v>
      </c>
      <c r="HI342" s="332" t="str">
        <f t="shared" si="101"/>
        <v/>
      </c>
      <c r="HJ342" s="332" t="str">
        <f t="shared" si="102"/>
        <v>P</v>
      </c>
      <c r="HK342" s="332" t="str">
        <f t="shared" si="103"/>
        <v/>
      </c>
      <c r="HL342" s="332" t="str">
        <f t="shared" si="104"/>
        <v>D</v>
      </c>
      <c r="HM342" s="332" t="str">
        <f t="shared" si="105"/>
        <v/>
      </c>
      <c r="HN342" s="332" t="str">
        <f t="shared" si="106"/>
        <v>N</v>
      </c>
      <c r="HO342" s="343" t="str">
        <f t="shared" si="107"/>
        <v>S</v>
      </c>
      <c r="HP342" s="331" t="str">
        <f t="shared" si="108"/>
        <v>o</v>
      </c>
      <c r="HQ342" s="332" t="str">
        <f t="shared" si="109"/>
        <v>o</v>
      </c>
      <c r="HR342" s="332" t="str">
        <f t="shared" si="110"/>
        <v>•</v>
      </c>
      <c r="HS342" s="332" t="str">
        <f t="shared" si="111"/>
        <v>o</v>
      </c>
      <c r="HT342" s="332" t="str">
        <f t="shared" si="112"/>
        <v>•</v>
      </c>
      <c r="HU342" s="332" t="str">
        <f t="shared" si="113"/>
        <v>o</v>
      </c>
      <c r="HV342" s="332" t="str">
        <f t="shared" si="114"/>
        <v>•</v>
      </c>
      <c r="HW342" s="332" t="str">
        <f t="shared" si="115"/>
        <v>o</v>
      </c>
      <c r="HX342" s="332" t="str">
        <f t="shared" si="116"/>
        <v>o</v>
      </c>
      <c r="HY342" s="332" t="str">
        <f t="shared" si="117"/>
        <v>o</v>
      </c>
      <c r="HZ342" s="332" t="str">
        <f t="shared" si="118"/>
        <v>o</v>
      </c>
      <c r="IA342" s="332" t="str">
        <f t="shared" si="119"/>
        <v>•</v>
      </c>
      <c r="IB342" s="338" t="str">
        <f t="shared" si="120"/>
        <v>o</v>
      </c>
      <c r="IC342" s="331" t="str">
        <f t="shared" si="121"/>
        <v>•</v>
      </c>
      <c r="ID342" s="332" t="str">
        <f t="shared" si="122"/>
        <v>•</v>
      </c>
      <c r="IE342" s="332" t="str">
        <f t="shared" si="123"/>
        <v>o</v>
      </c>
      <c r="IF342" s="332" t="str">
        <f t="shared" si="124"/>
        <v>•</v>
      </c>
      <c r="IG342" s="332" t="str">
        <f t="shared" si="125"/>
        <v>o</v>
      </c>
      <c r="IH342" s="332" t="str">
        <f t="shared" si="126"/>
        <v>•</v>
      </c>
      <c r="II342" s="332" t="str">
        <f t="shared" si="127"/>
        <v>o</v>
      </c>
      <c r="IJ342" s="332" t="str">
        <f t="shared" si="128"/>
        <v>•</v>
      </c>
      <c r="IK342" s="332" t="str">
        <f t="shared" si="129"/>
        <v>•</v>
      </c>
      <c r="IL342" s="332" t="str">
        <f t="shared" si="130"/>
        <v>•</v>
      </c>
      <c r="IM342" s="332" t="str">
        <f t="shared" si="131"/>
        <v>•</v>
      </c>
      <c r="IN342" s="332" t="str">
        <f t="shared" si="132"/>
        <v>o</v>
      </c>
      <c r="IO342" s="338" t="str">
        <f t="shared" si="133"/>
        <v>•</v>
      </c>
      <c r="IP342" s="346" t="b">
        <f t="shared" si="134"/>
        <v>0</v>
      </c>
      <c r="IQ342" s="347" t="b">
        <f t="shared" si="135"/>
        <v>0</v>
      </c>
      <c r="IR342" s="347" t="b">
        <f t="shared" si="136"/>
        <v>0</v>
      </c>
      <c r="IS342" s="347" t="b">
        <f t="shared" si="137"/>
        <v>0</v>
      </c>
      <c r="IT342" s="347" t="b">
        <f t="shared" si="138"/>
        <v>0</v>
      </c>
      <c r="IU342" s="347" t="b">
        <f t="shared" si="139"/>
        <v>0</v>
      </c>
      <c r="IV342" s="347" t="b">
        <f t="shared" si="140"/>
        <v>0</v>
      </c>
      <c r="IW342" s="347" t="b">
        <f t="shared" si="141"/>
        <v>1</v>
      </c>
      <c r="IX342" s="347" t="b">
        <f t="shared" si="142"/>
        <v>0</v>
      </c>
      <c r="IY342" s="347" t="b">
        <f t="shared" si="143"/>
        <v>1</v>
      </c>
      <c r="IZ342" s="347" t="b">
        <f t="shared" si="144"/>
        <v>0</v>
      </c>
      <c r="JA342" s="347" t="b">
        <f t="shared" si="145"/>
        <v>0</v>
      </c>
      <c r="JB342" s="353" t="b">
        <f t="shared" si="146"/>
        <v>0</v>
      </c>
      <c r="JC342" s="354" t="str">
        <f t="shared" si="147"/>
        <v/>
      </c>
      <c r="JD342" s="355" t="str">
        <f t="shared" si="148"/>
        <v/>
      </c>
      <c r="JE342" s="355" t="str">
        <f t="shared" si="149"/>
        <v/>
      </c>
      <c r="JF342" s="355" t="str">
        <f t="shared" si="150"/>
        <v/>
      </c>
      <c r="JG342" s="355" t="str">
        <f t="shared" si="151"/>
        <v/>
      </c>
      <c r="JH342" s="355" t="str">
        <f t="shared" si="152"/>
        <v/>
      </c>
      <c r="JI342" s="355" t="str">
        <f t="shared" si="153"/>
        <v/>
      </c>
      <c r="JJ342" s="355" t="str">
        <f t="shared" si="154"/>
        <v>Pa, </v>
      </c>
      <c r="JK342" s="355" t="str">
        <f t="shared" si="155"/>
        <v/>
      </c>
      <c r="JL342" s="355" t="str">
        <f t="shared" si="156"/>
        <v>Dha, </v>
      </c>
      <c r="JM342" s="355" t="str">
        <f t="shared" si="157"/>
        <v/>
      </c>
      <c r="JN342" s="355" t="str">
        <f t="shared" si="158"/>
        <v/>
      </c>
      <c r="JO342" s="359" t="str">
        <f t="shared" si="159"/>
        <v/>
      </c>
      <c r="JP342" s="346" t="b">
        <f t="shared" si="160"/>
        <v>0</v>
      </c>
      <c r="JQ342" s="347" t="b">
        <f t="shared" si="161"/>
        <v>0</v>
      </c>
      <c r="JR342" s="347" t="b">
        <f t="shared" si="162"/>
        <v>0</v>
      </c>
      <c r="JS342" s="347" t="b">
        <f t="shared" si="163"/>
        <v>0</v>
      </c>
      <c r="JT342" s="347" t="b">
        <f t="shared" si="164"/>
        <v>0</v>
      </c>
      <c r="JU342" s="347" t="b">
        <f t="shared" si="165"/>
        <v>0</v>
      </c>
      <c r="JV342" s="347" t="b">
        <f t="shared" si="166"/>
        <v>0</v>
      </c>
      <c r="JW342" s="347" t="b">
        <f t="shared" si="167"/>
        <v>0</v>
      </c>
      <c r="JX342" s="347" t="b">
        <f t="shared" si="168"/>
        <v>0</v>
      </c>
      <c r="JY342" s="347" t="b">
        <f t="shared" si="169"/>
        <v>1</v>
      </c>
      <c r="JZ342" s="347" t="b">
        <f t="shared" si="170"/>
        <v>0</v>
      </c>
      <c r="KA342" s="347" t="b">
        <f t="shared" si="171"/>
        <v>0</v>
      </c>
      <c r="KB342" s="365" t="b">
        <f t="shared" si="172"/>
        <v>0</v>
      </c>
      <c r="KC342" s="354" t="str">
        <f t="shared" si="173"/>
        <v/>
      </c>
      <c r="KD342" s="355" t="str">
        <f t="shared" si="174"/>
        <v/>
      </c>
      <c r="KE342" s="355" t="str">
        <f t="shared" si="175"/>
        <v/>
      </c>
      <c r="KF342" s="355" t="str">
        <f t="shared" si="176"/>
        <v/>
      </c>
      <c r="KG342" s="355" t="str">
        <f t="shared" si="177"/>
        <v/>
      </c>
      <c r="KH342" s="355" t="str">
        <f t="shared" si="178"/>
        <v/>
      </c>
      <c r="KI342" s="355" t="str">
        <f t="shared" si="179"/>
        <v/>
      </c>
      <c r="KJ342" s="355" t="str">
        <f t="shared" si="180"/>
        <v/>
      </c>
      <c r="KK342" s="355" t="str">
        <f t="shared" si="181"/>
        <v/>
      </c>
      <c r="KL342" s="355" t="str">
        <f t="shared" si="182"/>
        <v>Dha, </v>
      </c>
      <c r="KM342" s="355" t="str">
        <f t="shared" si="183"/>
        <v/>
      </c>
      <c r="KN342" s="355" t="str">
        <f t="shared" si="184"/>
        <v/>
      </c>
      <c r="KO342" s="359"/>
      <c r="KP342" s="378"/>
      <c r="KQ342" s="379" t="s">
        <v>9</v>
      </c>
      <c r="KR342" s="380" t="s">
        <v>9</v>
      </c>
      <c r="KS342" s="381" t="s">
        <v>9</v>
      </c>
      <c r="KT342" s="382">
        <f t="shared" si="186"/>
        <v>0</v>
      </c>
      <c r="KU342" s="383">
        <f t="shared" si="187"/>
        <v>0</v>
      </c>
      <c r="KV342" s="381" t="str">
        <f t="shared" si="205"/>
        <v>S</v>
      </c>
      <c r="KW342" s="382">
        <f t="shared" si="189"/>
        <v>0</v>
      </c>
      <c r="KX342" s="384">
        <f t="shared" si="190"/>
        <v>0</v>
      </c>
      <c r="KY342" s="382">
        <f t="shared" ref="KY342:KZ342" si="917">KW342-KT342</f>
        <v>0</v>
      </c>
      <c r="KZ342" s="369">
        <f t="shared" si="917"/>
        <v>0</v>
      </c>
      <c r="LA342" s="385" t="str">
        <f t="shared" si="192"/>
        <v>✔</v>
      </c>
      <c r="LB342" s="340" t="str">
        <f>IFERROR(__xludf.DUMMYFUNCTION("JOIN("""",ArrayFormula(MID(KS342,LEN(KS342)-SEQUENCE(1,LEN(KS342))+1,1)))"),"S")</f>
        <v>S</v>
      </c>
      <c r="LC342" s="373" t="str">
        <f>IFERROR(__xludf.DUMMYFUNCTION("JOIN("""",ArrayFormula(MID(KV342,LEN(KV342)-SEQUENCE(1,LEN(KV342))+1,1)))"),"S")</f>
        <v>S</v>
      </c>
      <c r="LD342" s="373" t="str">
        <f t="shared" si="193"/>
        <v>S</v>
      </c>
      <c r="LE342" s="339" t="str">
        <f t="shared" si="194"/>
        <v>S</v>
      </c>
      <c r="LF342" s="386" t="str">
        <f>IFERROR(__xludf.DUMMYFUNCTION("SUBSTITUTE(SUBSTITUTE(CONCATENATE(JOIN("""",LH342:LT342)),""1"",""""),""2"","""")"),"SS")</f>
        <v>SS</v>
      </c>
      <c r="LG342" s="369" t="str">
        <f t="shared" si="195"/>
        <v>-</v>
      </c>
      <c r="LH342" s="387" t="str">
        <f>IFERROR(__xludf.DUMMYFUNCTION("IF(REGEXMATCH(LD342, ""S""), ""S"",IF(REGEXMATCH(LE342, ""S""), ""S"",""""))"),"S")</f>
        <v>S</v>
      </c>
      <c r="LI342" s="299" t="str">
        <f>IFERROR(__xludf.DUMMYFUNCTION("IF(REGEXMATCH(LD342, ""r""), ""r1"",IF(REGEXMATCH(LE342, ""r""), ""r2"",""""))"),"")</f>
        <v/>
      </c>
      <c r="LJ342" s="299" t="str">
        <f>IFERROR(__xludf.DUMMYFUNCTION("IF(REGEXMATCH(LD342, ""R""), ""R1"",IF(REGEXMATCH(LE342, ""R""), ""R2"",""""))"),"")</f>
        <v/>
      </c>
      <c r="LK342" s="299" t="str">
        <f>IFERROR(__xludf.DUMMYFUNCTION("IF(REGEXMATCH(LD342, ""g""), ""g1"",IF(REGEXMATCH(LE342, ""g""), ""g2"",""""))"),"")</f>
        <v/>
      </c>
      <c r="LL342" s="299" t="str">
        <f>IFERROR(__xludf.DUMMYFUNCTION("IF(REGEXMATCH(LD342, ""G""), ""G1"",IF(REGEXMATCH(LE342, ""G""), ""G2"",""""))"),"")</f>
        <v/>
      </c>
      <c r="LM342" s="299" t="str">
        <f>IFERROR(__xludf.DUMMYFUNCTION("IF(REGEXMATCH(LD342, ""m""), ""m1"",IF(REGEXMATCH(LE342, ""m""), ""m2"",""""))"),"")</f>
        <v/>
      </c>
      <c r="LN342" s="299" t="str">
        <f>IFERROR(__xludf.DUMMYFUNCTION("IF(REGEXMATCH(LD342, ""M""), ""M1"",IF(REGEXMATCH(LE342, ""M""), ""M2"",""""))"),"")</f>
        <v/>
      </c>
      <c r="LO342" s="299" t="str">
        <f>IFERROR(__xludf.DUMMYFUNCTION("IF(REGEXMATCH(LD342, ""P""), ""P1"",IF(REGEXMATCH(LE342, ""P""), ""P2"",""""))"),"")</f>
        <v/>
      </c>
      <c r="LP342" s="299" t="str">
        <f>IFERROR(__xludf.DUMMYFUNCTION("IF(REGEXMATCH(LD342, ""d""), ""d1"",IF(REGEXMATCH(LE342, ""d""), ""d2"",""""))"),"")</f>
        <v/>
      </c>
      <c r="LQ342" s="299" t="str">
        <f>IFERROR(__xludf.DUMMYFUNCTION("IF(REGEXMATCH(LD342, ""D""), ""D1"",IF(REGEXMATCH(LE342, ""D""), ""D2"",""""))"),"")</f>
        <v/>
      </c>
      <c r="LR342" s="299" t="str">
        <f>IFERROR(__xludf.DUMMYFUNCTION("IF(REGEXMATCH(LD342, ""n""), ""n1"",IF(REGEXMATCH(LE342, ""n""), ""n2"",""""))"),"")</f>
        <v/>
      </c>
      <c r="LS342" s="299" t="str">
        <f>IFERROR(__xludf.DUMMYFUNCTION("IF(REGEXMATCH(LD342, ""N""), ""N1"",IF(REGEXMATCH(LE342, ""N""), ""N2"",""""))"),"")</f>
        <v/>
      </c>
      <c r="LT342" s="388" t="str">
        <f>IFERROR(__xludf.DUMMYFUNCTION("IF(REGEXMATCH(LD342, ""S""), ""S"",IF(REGEXMATCH(LE342, ""S""), ""S"",""""))"),"S")</f>
        <v>S</v>
      </c>
      <c r="LU342" s="389">
        <f t="shared" si="196"/>
        <v>1</v>
      </c>
      <c r="LV342" s="378"/>
      <c r="LW342" s="369"/>
      <c r="LX342" s="369"/>
    </row>
    <row r="343" ht="18.0" customHeight="1">
      <c r="A343" s="298" t="s">
        <v>1198</v>
      </c>
      <c r="B343" s="222" t="s">
        <v>1199</v>
      </c>
      <c r="C343" s="233" t="str">
        <f t="shared" si="7"/>
        <v>SrGPnS</v>
      </c>
      <c r="D343" s="234" t="str">
        <f>IFERROR(__xludf.DUMMYFUNCTION("IF(REGEXMATCH(C343, ""S""), ""S"","""")"),"S")</f>
        <v>S</v>
      </c>
      <c r="E343" s="236" t="str">
        <f>IFERROR(__xludf.DUMMYFUNCTION("IF(REGEXMATCH(C343, ""r""), ""r"","""")"),"r")</f>
        <v>r</v>
      </c>
      <c r="F343" s="237" t="str">
        <f>IFERROR(__xludf.DUMMYFUNCTION("IF(REGEXMATCH(C343, ""R""), ""R"","""")"),"")</f>
        <v/>
      </c>
      <c r="G343" s="237" t="str">
        <f>IFERROR(__xludf.DUMMYFUNCTION("IF(REGEXMATCH(C343, ""g""), ""g"","""")"),"")</f>
        <v/>
      </c>
      <c r="H343" s="236" t="str">
        <f>IFERROR(__xludf.DUMMYFUNCTION("IF(REGEXMATCH(C343, ""G""), ""G"","""")"),"G")</f>
        <v>G</v>
      </c>
      <c r="I343" s="236" t="str">
        <f>IFERROR(__xludf.DUMMYFUNCTION("IF(REGEXMATCH(C343, ""m""), ""m"","""")"),"")</f>
        <v/>
      </c>
      <c r="J343" s="237" t="str">
        <f>IFERROR(__xludf.DUMMYFUNCTION("IF(REGEXMATCH(C343, ""M""), ""M"","""")"),"")</f>
        <v/>
      </c>
      <c r="K343" s="236" t="str">
        <f>IFERROR(__xludf.DUMMYFUNCTION("IF(REGEXMATCH(C343, ""P""), ""P"","""")"),"P")</f>
        <v>P</v>
      </c>
      <c r="L343" s="237" t="str">
        <f>IFERROR(__xludf.DUMMYFUNCTION("IF(REGEXMATCH(C343, ""d""), ""d"","""")"),"")</f>
        <v/>
      </c>
      <c r="M343" s="236" t="str">
        <f>IFERROR(__xludf.DUMMYFUNCTION("IF(REGEXMATCH(C343, ""D""), ""D"","""")"),"")</f>
        <v/>
      </c>
      <c r="N343" s="236" t="str">
        <f>IFERROR(__xludf.DUMMYFUNCTION("IF(REGEXMATCH(C343, ""n""), ""n"","""")"),"n")</f>
        <v>n</v>
      </c>
      <c r="O343" s="237" t="str">
        <f>IFERROR(__xludf.DUMMYFUNCTION("IF(REGEXMATCH(C343, ""N""), ""N"","""")"),"")</f>
        <v/>
      </c>
      <c r="P343" s="238" t="str">
        <f>IFERROR(__xludf.DUMMYFUNCTION("IF(REGEXMATCH(C343, ""S""), ""S"","""")"),"S")</f>
        <v>S</v>
      </c>
      <c r="Q343" s="239" t="str">
        <f>IFERROR(__xludf.DUMMYFUNCTION("SUBSTITUTE(CONCATENATE(JOIN(""-"",D343:J343)),""-"","""")"),"SrG")</f>
        <v>SrG</v>
      </c>
      <c r="R343" s="229" t="str">
        <f>IFERROR(__xludf.DUMMYFUNCTION("SUBSTITUTE(CONCATENATE(JOIN(""-"",K343:P343)),""-"","""")"),"PnS")</f>
        <v>PnS</v>
      </c>
      <c r="S343" s="282" t="str">
        <f t="shared" si="8"/>
        <v>S-R-G-</v>
      </c>
      <c r="T343" s="282" t="str">
        <f t="shared" si="9"/>
        <v>P-N-S</v>
      </c>
      <c r="U343" s="237" t="str">
        <f>IFERROR(__xludf.DUMMYFUNCTION("SUBSTITUTE(JOIN(""-"",S343,T343),""--"",""-"")"),"S-R-G-P-N-S")</f>
        <v>S-R-G-P-N-S</v>
      </c>
      <c r="V343" s="309" t="str">
        <f t="shared" si="10"/>
        <v>rGn</v>
      </c>
      <c r="W343" s="244" t="str">
        <f>IFERROR(__xludf.DUMMYFUNCTION("IF(REGEXMATCH(C343, ""S""), ""0"","""")"),"0")</f>
        <v>0</v>
      </c>
      <c r="X343" s="245" t="str">
        <f>IFERROR(__xludf.DUMMYFUNCTION("IF(REGEXMATCH(C343, ""r""), ""1"","""")"),"1")</f>
        <v>1</v>
      </c>
      <c r="Y343" s="246" t="str">
        <f>IFERROR(__xludf.DUMMYFUNCTION("IF(REGEXMATCH(C343, ""R""), ""2"","""")"),"")</f>
        <v/>
      </c>
      <c r="Z343" s="246" t="str">
        <f>IFERROR(__xludf.DUMMYFUNCTION("IF(REGEXMATCH(C343, ""g""), ""3"","""")"),"")</f>
        <v/>
      </c>
      <c r="AA343" s="245" t="str">
        <f>IFERROR(__xludf.DUMMYFUNCTION("IF(REGEXMATCH(C343, ""G""), ""4"","""")"),"4")</f>
        <v>4</v>
      </c>
      <c r="AB343" s="245" t="str">
        <f>IFERROR(__xludf.DUMMYFUNCTION("IF(REGEXMATCH(C343, ""m""), ""5"","""")"),"")</f>
        <v/>
      </c>
      <c r="AC343" s="246" t="str">
        <f>IFERROR(__xludf.DUMMYFUNCTION("IF(REGEXMATCH(C343, ""M""), ""6"","""")"),"")</f>
        <v/>
      </c>
      <c r="AD343" s="245" t="str">
        <f>IFERROR(__xludf.DUMMYFUNCTION("IF(REGEXMATCH(C343, ""P""), ""7"","""")"),"7")</f>
        <v>7</v>
      </c>
      <c r="AE343" s="246" t="str">
        <f>IFERROR(__xludf.DUMMYFUNCTION("IF(REGEXMATCH(C343, ""d""), ""8"","""")"),"")</f>
        <v/>
      </c>
      <c r="AF343" s="245" t="str">
        <f>IFERROR(__xludf.DUMMYFUNCTION("IF(REGEXMATCH(C343, ""D""), ""9"","""")"),"")</f>
        <v/>
      </c>
      <c r="AG343" s="245" t="str">
        <f>IFERROR(__xludf.DUMMYFUNCTION("IF(REGEXMATCH(C343, ""n""), ""10"","""")"),"10")</f>
        <v>10</v>
      </c>
      <c r="AH343" s="246" t="str">
        <f>IFERROR(__xludf.DUMMYFUNCTION("IF(REGEXMATCH(C343, ""N""), ""11"","""")"),"")</f>
        <v/>
      </c>
      <c r="AI343" s="249" t="str">
        <f>IFERROR(__xludf.DUMMYFUNCTION("IF(REGEXMATCH(C343, ""S""), ""0"","""")"),"0")</f>
        <v>0</v>
      </c>
      <c r="AJ343" s="313" t="str">
        <f t="shared" si="11"/>
        <v>-</v>
      </c>
      <c r="AK343" s="313" t="str">
        <f t="shared" si="12"/>
        <v>T</v>
      </c>
      <c r="AL343" s="313" t="str">
        <f t="shared" si="13"/>
        <v>-</v>
      </c>
      <c r="AM343" s="313" t="str">
        <f t="shared" si="14"/>
        <v>-</v>
      </c>
      <c r="AN343" s="313" t="str">
        <f t="shared" si="15"/>
        <v>T</v>
      </c>
      <c r="AO343" s="314" t="str">
        <f t="shared" si="16"/>
        <v>-</v>
      </c>
      <c r="AP343" s="316">
        <f t="shared" si="17"/>
        <v>2</v>
      </c>
      <c r="AQ343" s="319" t="str">
        <f t="shared" si="18"/>
        <v>#REF!</v>
      </c>
      <c r="AR343" s="320">
        <f t="shared" si="19"/>
        <v>0</v>
      </c>
      <c r="AS343" s="250" t="str">
        <f>IFERROR(__xludf.DUMMYFUNCTION("SUBSTITUTE(SUBSTITUTE(CONCATENATE(JOIN("""",FP343:GA343)),""|"",""x""),""-"",""o"")"),"xxooxooxooxo")</f>
        <v>xxooxooxooxo</v>
      </c>
      <c r="AT343" s="323" t="str">
        <f>IFERROR(__xludf.DUMMYFUNCTION("JOIN("""",AS343,AS343)"),"xxooxooxooxoxxooxooxooxo")</f>
        <v>xxooxooxooxoxxooxooxooxo</v>
      </c>
      <c r="AU343" s="256" t="str">
        <f>IFERROR(__xludf.DUMMYFUNCTION("JOIN("""",ArrayFormula(MID(AS343,LEN(AS343)-SEQUENCE(1,LEN(AS343))+1,1)))"),"oxooxooxooxx")</f>
        <v>oxooxooxooxx</v>
      </c>
      <c r="AV343" s="256" t="str">
        <f>IFERROR(__xludf.DUMMYFUNCTION("LEFT(CONCATENATE(""x"",JOIN("""",ArrayFormula(MID(AS343,LEN(AS343)-SEQUENCE(1,LEN(AS343))+1,1)))),12)"),"xoxooxooxoox")</f>
        <v>xoxooxooxoox</v>
      </c>
      <c r="AW343" s="327" t="str">
        <f>IFERROR(__xludf.DUMMYFUNCTION("JOIN("""",AU343,AU343)"),"oxooxooxooxxoxooxooxooxx")</f>
        <v>oxooxooxooxxoxooxooxooxx</v>
      </c>
      <c r="AX343" s="239" t="str">
        <f>IFERROR(__xludf.DUMMYFUNCTION("IF(REGEXMATCH(AW343,AS343),""✔"",""-"")"),"-")</f>
        <v>-</v>
      </c>
      <c r="AY343" s="330" t="str">
        <f t="shared" si="20"/>
        <v>-</v>
      </c>
      <c r="AZ343" s="260" t="str">
        <f t="shared" si="21"/>
        <v>#REF!</v>
      </c>
      <c r="BA343" s="333" t="str">
        <f t="shared" si="22"/>
        <v>xxooxoo</v>
      </c>
      <c r="BB343" s="334" t="str">
        <f t="shared" si="23"/>
        <v>xooxox</v>
      </c>
      <c r="BC343" s="335" t="str">
        <f t="shared" si="236"/>
        <v>-</v>
      </c>
      <c r="BD343" s="336" t="str">
        <f t="shared" si="25"/>
        <v>Sundarkali: 'xxooxoo' + 'xooxox'</v>
      </c>
      <c r="BE343" s="337">
        <f>IFERROR(__xludf.DUMMYFUNCTION("COUNTUNIQUE(FILTER(AT:AT,REGEXMATCH(AT:AT,AS343)))-1"),0.0)</f>
        <v>0</v>
      </c>
      <c r="BF343" s="261" t="str">
        <f>IFERROR(__xludf.DUMMYFUNCTION("IF(BI343=0,""(n/a)"",IF(BJ343=2,""(PAIR)"",IF(REGEXMATCH(AT343,""xoxoxxoxoxox""),""Bilawal"",IF(REGEXMATCH(AT343,""xoxoxooxoxoo""),""Bhupali"",IF(REGEXMATCH(AT343,""xoxoxxoxxoxo""),""Charukeshi"",IF(REGEXMATCH(AT343,""xoxoooxxoxxo""),""Kameshwari"",IF(REG"&amp;"EXMATCH(AT343,""xoxoxooxoxox""),""Shankara"",IF(REGEXMATCH(AT343,""xxooxoxxxoox""),""Basant"",IF(REGEXMATCH(AT343,""xoxoxxxxoxox""),""Bihag"",IF(REGEXMATCH(AT343,""xoxxxxoxoxxx""),""Pilu"",IF(REGEXMATCH(AT343,""xoxxoxoxxoox""),""Kirwani"",IF(REGEXMATCH(AT"&amp;"343,""xoxxoxoxoxxx""),""Mk.Malhar"",IF(REGEXMATCH(AT343,""xxooxxoxxoox""),""Bhairav"",IF(REGEXMATCH(AT343,""xxoxooxxxoox""),""Todi"",IF(REGEXMATCH(AT343,""xxooxoxooxox""),""Marwa"",IF(REGEXMATCH(AT343,""xxoooxoxxooo""),""Gunkali"",IF(REGEXMATCH(AT343,""xo"&amp;"xoxxoxxoox""),""Nat Bhairav"",IF(REGEXMATCH(AT343,""xoxxoooxoxoo""),""Shivranjani"",IF(REGEXMATCH(AT343,""xooxxxoxooxo""),""Jog"",IF(REGEXMATCH(AT343,""xxooxoxoxoox""),""Hemshri"",IF(REGEXMATCH(AT343,""xoooxooxoxxo""),""Kalavati"",IF(REGEXMATCH(AT343,""xx"&amp;"oxoxxoxoox""),""Kedar"",IF(REGEXMATCH(AT343,""xoxxxxoxooxx""),""Gara"",IF(REGEXMATCH(AT343,""xooxoxooxoox""),""Chandrakauns"",IF(REGEXMATCH(AT343,""xoxxxxoxxxox""),""Mand"",IF(REGEXMATCH(AT343,""xoxxxxoxoxox""),""Hanskinkini"",IF(REGEXMATCH(AT343,""xxooxx"&amp;"oxooxo""),""Lilavati"",IF(REGEXMATCH(AT343,""xooxoxoooxox""),""Rajeshwari"",IF(REGEXMATCH(AT343,""xoooxxoxoxxx""),""Khokar"",IF(REGEXMATCH(AT343,""xxooxoxxxxox""),""Maligoura"",""-""))))))))))))))))))))))))))))))"),"(n/a)")</f>
        <v>(n/a)</v>
      </c>
      <c r="BG343" s="239" t="str">
        <f t="shared" si="26"/>
        <v>#REF!</v>
      </c>
      <c r="BH343" s="239">
        <f>IFERROR(__xludf.DUMMYFUNCTION("COUNTUNIQUE(FE343:FO343)-1"),4.0)</f>
        <v>4</v>
      </c>
      <c r="BI343" s="239">
        <f>IFERROR(__xludf.DUMMYFUNCTION("COUNTUNIQUE(FILTER(AT:AT,REGEXMATCH(AT:AT,AS343)))-1"),0.0)</f>
        <v>0</v>
      </c>
      <c r="BJ343" s="239">
        <f>IFERROR(__xludf.DUMMYFUNCTION("COUNTA(FILTER(AT:AT,REGEXMATCH(AT:AT,AS343)))"),1.0)</f>
        <v>1</v>
      </c>
      <c r="BK343" s="341">
        <f>IFERROR(__xludf.DUMMYFUNCTION("COUNTA(FILTER(AT:AT,REGEXMATCH(AT:AT,AS343)))-AR343"),1.0)</f>
        <v>1</v>
      </c>
      <c r="BL343" s="276" t="str">
        <f>IFERROR(__xludf.DUMMYFUNCTION("IF(AS343=""oooooooooooo"",""-"",IF(REGEXMATCH(AT343,""xx""), ""Hemi."", ""Anhemi.""))"),"Hemi.")</f>
        <v>Hemi.</v>
      </c>
      <c r="BM343" s="282" t="str">
        <f>IFERROR(__xludf.DUMMYFUNCTION("IF(AS343=""oooooooooooo"",""-"",IF(REGEXMATCH(AT343,""xxx""), ""Cohem."", ""-""))"),"-")</f>
        <v>-</v>
      </c>
      <c r="BN343" s="282" t="str">
        <f>IFERROR(__xludf.DUMMYFUNCTION("IF(AS343=""oooooooooooo"",""-"",IF(REGEXMATCH(AT343,""xxxx""), ""Co-Co."", ""-""))"),"-")</f>
        <v>-</v>
      </c>
      <c r="BO343" s="342" t="str">
        <f>IFERROR(__xludf.DUMMYFUNCTION("IF(AS343=""oooooooooooo"",""-"",IF(REGEXMATCH(AT343,""xxxxx""), ""CCC."", ""-""))"),"-")</f>
        <v>-</v>
      </c>
      <c r="BP343" s="344" t="str">
        <f t="shared" si="27"/>
        <v>-</v>
      </c>
      <c r="BQ343" s="282" t="str">
        <f>IFERROR(__xludf.DUMMYFUNCTION("IF(REGEXMATCH(JOIN(""-"",EU343:FD343),""TRUE""),""✔"",""-"")"),"-")</f>
        <v>-</v>
      </c>
      <c r="BR343" s="225">
        <f t="shared" si="28"/>
        <v>0</v>
      </c>
      <c r="BS343" s="345" t="str">
        <f>IFERROR(__xludf.DUMMYFUNCTION("SUBSTITUTE(SUBSTITUTE(SUBSTITUTE(SUBSTITUTE(CONCATENATE(JOIN(""-"",GC343:GO343)),""--"",""-""),""--"",""-""),""--"",""-""),""--"",""-"")"),"1-b2-3-5-b7-8")</f>
        <v>1-b2-3-5-b7-8</v>
      </c>
      <c r="BT343" s="299" t="str">
        <f>IFERROR(__xludf.DUMMYFUNCTION("SUBSTITUTE(SUBSTITUTE(SUBSTITUTE(SUBSTITUTE(CONCATENATE(JOIN(""-"",GP343:HB343)),""--"",""-""),""--"",""-""),""--"",""-""),""--"",""-"")"),"S-R1-G3-P-N2-S")</f>
        <v>S-R1-G3-P-N2-S</v>
      </c>
      <c r="BU343" s="348" t="str">
        <f t="shared" si="29"/>
        <v>C-Db-E-G-Bb-C</v>
      </c>
      <c r="BV343" s="349" t="str">
        <f t="shared" si="30"/>
        <v>SRgmMdDNS</v>
      </c>
      <c r="BW343" s="350">
        <f t="shared" si="31"/>
        <v>0</v>
      </c>
      <c r="BX343" s="351">
        <f t="shared" si="32"/>
        <v>1</v>
      </c>
      <c r="BY343" s="392"/>
      <c r="BZ343" s="309" t="str">
        <f>IFERROR(__xludf.DUMMYFUNCTION("IF(REGEXMATCH(C343, ""S""), ""x"",""x"")"),"x")</f>
        <v>x</v>
      </c>
      <c r="CA343" s="245" t="str">
        <f>IFERROR(__xludf.DUMMYFUNCTION("IF(REGEXMATCH(C343, ""r""), ""o"",""x"")"),"o")</f>
        <v>o</v>
      </c>
      <c r="CB343" s="246" t="str">
        <f>IFERROR(__xludf.DUMMYFUNCTION("IF(REGEXMATCH(C343, ""R""), ""o"",""x"")"),"x")</f>
        <v>x</v>
      </c>
      <c r="CC343" s="246" t="str">
        <f>IFERROR(__xludf.DUMMYFUNCTION("IF(REGEXMATCH(C343, ""g""), ""o"",""x"")"),"x")</f>
        <v>x</v>
      </c>
      <c r="CD343" s="245" t="str">
        <f>IFERROR(__xludf.DUMMYFUNCTION("IF(REGEXMATCH(C343, ""G""), ""o"",""x"")"),"o")</f>
        <v>o</v>
      </c>
      <c r="CE343" s="245" t="str">
        <f>IFERROR(__xludf.DUMMYFUNCTION("IF(REGEXMATCH(C343, ""m""), ""o"",""x"")"),"x")</f>
        <v>x</v>
      </c>
      <c r="CF343" s="246" t="str">
        <f>IFERROR(__xludf.DUMMYFUNCTION("IF(REGEXMATCH(C343, ""M""), ""o"",""x"")"),"x")</f>
        <v>x</v>
      </c>
      <c r="CG343" s="245" t="str">
        <f>IFERROR(__xludf.DUMMYFUNCTION("IF(REGEXMATCH(C343, ""P""), ""o"",""x"")"),"o")</f>
        <v>o</v>
      </c>
      <c r="CH343" s="246" t="str">
        <f>IFERROR(__xludf.DUMMYFUNCTION("IF(REGEXMATCH(C343, ""d""), ""o"",""x"")"),"x")</f>
        <v>x</v>
      </c>
      <c r="CI343" s="245" t="str">
        <f>IFERROR(__xludf.DUMMYFUNCTION("IF(REGEXMATCH(C343, ""D""), ""o"",""x"")"),"x")</f>
        <v>x</v>
      </c>
      <c r="CJ343" s="245" t="str">
        <f>IFERROR(__xludf.DUMMYFUNCTION("IF(REGEXMATCH(C343, ""n""), ""o"",""x"")"),"o")</f>
        <v>o</v>
      </c>
      <c r="CK343" s="245" t="str">
        <f>IFERROR(__xludf.DUMMYFUNCTION("IF(REGEXMATCH(C343, ""N""), ""o"",""x"")"),"x")</f>
        <v>x</v>
      </c>
      <c r="CL343" s="356" t="str">
        <f>IFERROR(__xludf.DUMMYFUNCTION("IF(REGEXMATCH(C343, ""S""), ""x"",""x"")"),"x")</f>
        <v>x</v>
      </c>
      <c r="CM343" s="357" t="str">
        <f t="shared" si="33"/>
        <v>xoxxoxxoxxox</v>
      </c>
      <c r="CN343" s="358">
        <f t="shared" si="34"/>
        <v>0</v>
      </c>
      <c r="CO343" s="246" t="str">
        <f>IFERROR(__xludf.DUMMYFUNCTION("IF(REGEXMATCH($C343, ""S""), ""S"",""S"")"),"S")</f>
        <v>S</v>
      </c>
      <c r="CP343" s="246" t="str">
        <f>IFERROR(__xludf.DUMMYFUNCTION("IF(REGEXMATCH($C343, ""r""), """",""r"")"),"")</f>
        <v/>
      </c>
      <c r="CQ343" s="246" t="str">
        <f>IFERROR(__xludf.DUMMYFUNCTION("IF(REGEXMATCH($C343, ""R""), """",""R"")"),"R")</f>
        <v>R</v>
      </c>
      <c r="CR343" s="246" t="str">
        <f>IFERROR(__xludf.DUMMYFUNCTION("IF(REGEXMATCH($C343, ""g""), """",""g"")"),"g")</f>
        <v>g</v>
      </c>
      <c r="CS343" s="246" t="str">
        <f>IFERROR(__xludf.DUMMYFUNCTION("IF(REGEXMATCH($C343, ""G""), """",""G"")"),"")</f>
        <v/>
      </c>
      <c r="CT343" s="246" t="str">
        <f>IFERROR(__xludf.DUMMYFUNCTION("IF(REGEXMATCH($C343, ""m""), """",""m"")"),"m")</f>
        <v>m</v>
      </c>
      <c r="CU343" s="246" t="str">
        <f>IFERROR(__xludf.DUMMYFUNCTION("IF(REGEXMATCH($C343, ""M""), """",""M"")"),"M")</f>
        <v>M</v>
      </c>
      <c r="CV343" s="246" t="str">
        <f>IFERROR(__xludf.DUMMYFUNCTION("IF(REGEXMATCH($C343, ""P""), """",""P"")"),"")</f>
        <v/>
      </c>
      <c r="CW343" s="246" t="str">
        <f>IFERROR(__xludf.DUMMYFUNCTION("IF(REGEXMATCH($C343, ""d""), """",""d"")"),"d")</f>
        <v>d</v>
      </c>
      <c r="CX343" s="246" t="str">
        <f>IFERROR(__xludf.DUMMYFUNCTION("IF(REGEXMATCH($C343, ""D""), """",""D"")"),"D")</f>
        <v>D</v>
      </c>
      <c r="CY343" s="246" t="str">
        <f>IFERROR(__xludf.DUMMYFUNCTION("IF(REGEXMATCH($C343, ""n""), """",""n"")"),"")</f>
        <v/>
      </c>
      <c r="CZ343" s="246" t="str">
        <f>IFERROR(__xludf.DUMMYFUNCTION("IF(REGEXMATCH($C343, ""N""), """",""N"")"),"N")</f>
        <v>N</v>
      </c>
      <c r="DA343" s="246" t="str">
        <f>IFERROR(__xludf.DUMMYFUNCTION("IF(REGEXMATCH($C343, ""S""), ""S"",""S"")"),"S")</f>
        <v>S</v>
      </c>
      <c r="DB343" s="362" t="str">
        <f>IFERROR(__xludf.DUMMYFUNCTION("JOIN("""",CO343:DA343,"""","""")"),"SRgmMdDNS")</f>
        <v>SRgmMdDNS</v>
      </c>
      <c r="DC343" s="363"/>
      <c r="DD343" s="301" t="str">
        <f t="shared" si="35"/>
        <v>#REF!</v>
      </c>
      <c r="DE343" s="302" t="str">
        <f t="shared" si="36"/>
        <v>#REF!</v>
      </c>
      <c r="DF343" s="301" t="str">
        <f t="shared" ref="DF343:DG343" si="918">SUBSTITUTE(S343,"-","")</f>
        <v>SRG</v>
      </c>
      <c r="DG343" s="301" t="str">
        <f t="shared" si="918"/>
        <v>PNS</v>
      </c>
      <c r="DH343" s="302" t="str">
        <f t="shared" si="38"/>
        <v>(n/a)</v>
      </c>
      <c r="DI343" s="301" t="str">
        <f t="shared" si="39"/>
        <v>Hemi.</v>
      </c>
      <c r="DJ343" s="364" t="str">
        <f t="shared" si="40"/>
        <v>-</v>
      </c>
      <c r="DK343" s="306" t="str">
        <f t="shared" si="41"/>
        <v>-</v>
      </c>
      <c r="DL343" s="366" t="str">
        <f t="shared" si="42"/>
        <v>-</v>
      </c>
      <c r="DM343" s="308" t="str">
        <f t="shared" si="43"/>
        <v>✔</v>
      </c>
      <c r="DN343" s="306" t="str">
        <f t="shared" si="44"/>
        <v>-</v>
      </c>
      <c r="DO343" s="306" t="str">
        <f t="shared" si="45"/>
        <v>-</v>
      </c>
      <c r="DP343" s="367" t="str">
        <f t="shared" si="46"/>
        <v>-</v>
      </c>
      <c r="DQ343" s="310" t="str">
        <f t="shared" si="47"/>
        <v>-</v>
      </c>
      <c r="DR343" s="310" t="str">
        <f t="shared" si="48"/>
        <v>-</v>
      </c>
      <c r="DS343" s="310" t="str">
        <f t="shared" si="49"/>
        <v>-</v>
      </c>
      <c r="DT343" s="310" t="str">
        <f t="shared" si="50"/>
        <v>-</v>
      </c>
      <c r="DU343" s="370" t="str">
        <f t="shared" si="51"/>
        <v>-</v>
      </c>
      <c r="DV343" s="306" t="str">
        <f t="shared" si="52"/>
        <v>-</v>
      </c>
      <c r="DW343" s="306" t="str">
        <f t="shared" si="53"/>
        <v>-</v>
      </c>
      <c r="DX343" s="306" t="str">
        <f t="shared" si="54"/>
        <v>✔</v>
      </c>
      <c r="DY343" s="306" t="str">
        <f t="shared" si="55"/>
        <v>-</v>
      </c>
      <c r="DZ343" s="306" t="str">
        <f t="shared" si="56"/>
        <v>✔</v>
      </c>
      <c r="EA343" s="367" t="str">
        <f t="shared" si="57"/>
        <v>-</v>
      </c>
      <c r="EB343" s="310" t="str">
        <f>IFERROR(__xludf.DUMMYFUNCTION("IF(REGEXMATCH(AW343,AS343),""✔"",""-"")"),"-")</f>
        <v>-</v>
      </c>
      <c r="EC343" s="310" t="str">
        <f t="shared" si="58"/>
        <v>#REF!</v>
      </c>
      <c r="ED343" s="370" t="str">
        <f t="shared" si="59"/>
        <v>-</v>
      </c>
      <c r="EE343" s="340" t="str">
        <f t="shared" si="60"/>
        <v>S-r-G-P-n-S</v>
      </c>
      <c r="EF343" s="371" t="str">
        <f>IFERROR(__xludf.DUMMYFUNCTION("CONCATENATE(JOIN("""",HC343:HO343))"),"SRmdNS")</f>
        <v>SRmdNS</v>
      </c>
      <c r="EG343" s="372">
        <f t="shared" si="61"/>
        <v>4</v>
      </c>
      <c r="EH343" s="373" t="str">
        <f>IFERROR(__xludf.DUMMYFUNCTION("CONCATENATE(JOIN("""",JC343:JO343))"),"re, Ga, Pa, ni, ")</f>
        <v>re, Ga, Pa, ni, </v>
      </c>
      <c r="EI343" s="322">
        <f t="shared" si="62"/>
        <v>3</v>
      </c>
      <c r="EJ343" s="374" t="str">
        <f>IFERROR(__xludf.DUMMYFUNCTION("CONCATENATE(JOIN("""",KC343:KO343))"),"re, Ga, ni, ")</f>
        <v>re, Ga, ni, </v>
      </c>
      <c r="EK343" s="325" t="str">
        <f t="shared" si="63"/>
        <v>S-R1-G3-P-N2-S</v>
      </c>
      <c r="EL343" s="326" t="str">
        <f t="shared" si="64"/>
        <v>1-b2-3-5-b7-8</v>
      </c>
      <c r="EM343" s="318" t="str">
        <f t="shared" si="65"/>
        <v>#REF!</v>
      </c>
      <c r="EN343" s="328" t="str">
        <f>IFERROR(__xludf.DUMMYFUNCTION("SUBSTITUTE(SUBSTITUTE(SUBSTITUTE(SUBSTITUTE(CONCATENATE(JOIN("" "",HP343:IB343)),""  "","" ""),""  "","" ""),""  "","" ""),""  "","" "")"),"o o • • o • • o • • o • o")</f>
        <v>o o • • o • • o • • o • o</v>
      </c>
      <c r="EO343" s="368" t="str">
        <f t="shared" si="66"/>
        <v>Sa-Pa</v>
      </c>
      <c r="EP343" s="339" t="str">
        <f t="shared" si="67"/>
        <v>-</v>
      </c>
      <c r="EQ343" s="339" t="str">
        <f t="shared" si="68"/>
        <v>Sa-Pa</v>
      </c>
      <c r="ER343" s="339" t="str">
        <f t="shared" si="69"/>
        <v>Sa-Pa</v>
      </c>
      <c r="ES343" s="340" t="str">
        <f t="shared" si="70"/>
        <v>-</v>
      </c>
      <c r="ET343" s="363"/>
      <c r="EU343" s="376" t="b">
        <f>IFERROR(__xludf.DUMMYFUNCTION("arrayformula(sum(--REGEXMATCH(""SRGMPDNS"",split(REGEXREPLACE(C343,""(.)"",""$1~""),""~""))))=len(C343)
"),FALSE)</f>
        <v>0</v>
      </c>
      <c r="EV343" s="290" t="b">
        <f>IFERROR(__xludf.DUMMYFUNCTION("arrayformula(sum(--REGEXMATCH(""SRGmPDNS"",split(REGEXREPLACE(C343,""(.)"",""$1~""),""~""))))=len(C343)"),FALSE)</f>
        <v>0</v>
      </c>
      <c r="EW343" s="290" t="b">
        <f>IFERROR(__xludf.DUMMYFUNCTION("arrayformula(sum(--REGEXMATCH(""SRGmPDnS"",split(REGEXREPLACE(C343,""(.)"",""$1~""),""~""))))=len(C343)"),FALSE)</f>
        <v>0</v>
      </c>
      <c r="EX343" s="290" t="b">
        <f>IFERROR(__xludf.DUMMYFUNCTION("arrayformula(sum(--REGEXMATCH(""SRgmPDnS"",split(REGEXREPLACE(C343,""(.)"",""$1~""),""~""))))=len(C343)"),FALSE)</f>
        <v>0</v>
      </c>
      <c r="EY343" s="290" t="b">
        <f>IFERROR(__xludf.DUMMYFUNCTION("arrayformula(sum(--REGEXMATCH(""SRgmPdnS"",split(REGEXREPLACE(C343,""(.)"",""$1~""),""~""))))=len(C343)"),FALSE)</f>
        <v>0</v>
      </c>
      <c r="EZ343" s="290" t="b">
        <f>IFERROR(__xludf.DUMMYFUNCTION("arrayformula(sum(--REGEXMATCH(""SrgmPdnS"",split(REGEXREPLACE(C343,""(.)"",""$1~""),""~""))))=len(C343)"),FALSE)</f>
        <v>0</v>
      </c>
      <c r="FA343" s="290" t="b">
        <f>IFERROR(__xludf.DUMMYFUNCTION("arrayformula(sum(--REGEXMATCH(""SrGmPdNS"",split(REGEXREPLACE(C343,""(.)"",""$1~""),""~""))))=len(C343)"),FALSE)</f>
        <v>0</v>
      </c>
      <c r="FB343" s="290" t="b">
        <f>IFERROR(__xludf.DUMMYFUNCTION("arrayformula(sum(--REGEXMATCH(""SrGMPDNS"",split(REGEXREPLACE(C343,""(.)"",""$1~""),""~""))))=len(C343)"),FALSE)</f>
        <v>0</v>
      </c>
      <c r="FC343" s="290" t="b">
        <f>IFERROR(__xludf.DUMMYFUNCTION("arrayformula(sum(--REGEXMATCH(""SrGMPdNS"",split(REGEXREPLACE(C343,""(.)"",""$1~""),""~""))))=len(C343)"),FALSE)</f>
        <v>0</v>
      </c>
      <c r="FD343" s="377" t="b">
        <f>IFERROR(__xludf.DUMMYFUNCTION("arrayformula(sum(--REGEXMATCH(""SrgMPdNS"",split(REGEXREPLACE(C343,""(.)"",""$1~""),""~""))))=len(C343)"),FALSE)</f>
        <v>0</v>
      </c>
      <c r="FE343" s="269" t="str">
        <f t="shared" si="71"/>
        <v>xooxooxooxo</v>
      </c>
      <c r="FF343" s="269" t="str">
        <f t="shared" si="72"/>
        <v>-</v>
      </c>
      <c r="FG343" s="271" t="str">
        <f t="shared" si="73"/>
        <v>-</v>
      </c>
      <c r="FH343" s="269" t="str">
        <f t="shared" si="74"/>
        <v>xooxooxoxxo</v>
      </c>
      <c r="FI343" s="271" t="str">
        <f t="shared" si="75"/>
        <v>-</v>
      </c>
      <c r="FJ343" s="271" t="str">
        <f t="shared" si="76"/>
        <v>-</v>
      </c>
      <c r="FK343" s="271" t="str">
        <f t="shared" si="77"/>
        <v>xooxoxxooxo</v>
      </c>
      <c r="FL343" s="271" t="str">
        <f t="shared" si="78"/>
        <v>-</v>
      </c>
      <c r="FM343" s="271" t="str">
        <f t="shared" si="79"/>
        <v>-</v>
      </c>
      <c r="FN343" s="271" t="str">
        <f t="shared" si="80"/>
        <v>xoxxooxooxo</v>
      </c>
      <c r="FO343" s="274" t="str">
        <f t="shared" si="81"/>
        <v>-</v>
      </c>
      <c r="FP343" s="234" t="str">
        <f t="shared" si="82"/>
        <v>|</v>
      </c>
      <c r="FQ343" s="236" t="str">
        <f t="shared" si="83"/>
        <v>|</v>
      </c>
      <c r="FR343" s="237" t="str">
        <f t="shared" si="84"/>
        <v>-</v>
      </c>
      <c r="FS343" s="236" t="str">
        <f t="shared" si="85"/>
        <v>-</v>
      </c>
      <c r="FT343" s="237" t="str">
        <f t="shared" si="86"/>
        <v>|</v>
      </c>
      <c r="FU343" s="236" t="str">
        <f t="shared" si="87"/>
        <v>-</v>
      </c>
      <c r="FV343" s="237" t="str">
        <f t="shared" si="88"/>
        <v>-</v>
      </c>
      <c r="FW343" s="236" t="str">
        <f t="shared" si="89"/>
        <v>|</v>
      </c>
      <c r="FX343" s="237" t="str">
        <f t="shared" si="90"/>
        <v>-</v>
      </c>
      <c r="FY343" s="236" t="str">
        <f t="shared" si="91"/>
        <v>-</v>
      </c>
      <c r="FZ343" s="237" t="str">
        <f t="shared" si="92"/>
        <v>|</v>
      </c>
      <c r="GA343" s="236" t="str">
        <f t="shared" si="93"/>
        <v>-</v>
      </c>
      <c r="GB343" s="238" t="str">
        <f t="shared" si="94"/>
        <v>|</v>
      </c>
      <c r="GC343" s="244" t="str">
        <f>IFERROR(__xludf.DUMMYFUNCTION("IF(REGEXMATCH(C343, ""S""), ""1"","""")"),"1")</f>
        <v>1</v>
      </c>
      <c r="GD343" s="245" t="str">
        <f>IFERROR(__xludf.DUMMYFUNCTION("IF(REGEXMATCH(C343, ""r""), ""b2"","""")"),"b2")</f>
        <v>b2</v>
      </c>
      <c r="GE343" s="246" t="str">
        <f>IFERROR(__xludf.DUMMYFUNCTION("IF(REGEXMATCH(C343, ""R""), ""2"","""")"),"")</f>
        <v/>
      </c>
      <c r="GF343" s="246" t="str">
        <f>IFERROR(__xludf.DUMMYFUNCTION("IF(REGEXMATCH(C343, ""g""), ""b3"","""")"),"")</f>
        <v/>
      </c>
      <c r="GG343" s="245" t="str">
        <f>IFERROR(__xludf.DUMMYFUNCTION("IF(REGEXMATCH(C343, ""G""), ""3"","""")"),"3")</f>
        <v>3</v>
      </c>
      <c r="GH343" s="245" t="str">
        <f>IFERROR(__xludf.DUMMYFUNCTION("IF(REGEXMATCH(C343, ""m""), ""4"","""")"),"")</f>
        <v/>
      </c>
      <c r="GI343" s="246" t="str">
        <f>IFERROR(__xludf.DUMMYFUNCTION("IF(REGEXMATCH(C343, ""M""), ""#4"","""")"),"")</f>
        <v/>
      </c>
      <c r="GJ343" s="245" t="str">
        <f>IFERROR(__xludf.DUMMYFUNCTION("IF(REGEXMATCH(C343, ""P""), ""5"","""")"),"5")</f>
        <v>5</v>
      </c>
      <c r="GK343" s="246" t="str">
        <f>IFERROR(__xludf.DUMMYFUNCTION("IF(REGEXMATCH(C343, ""d""), ""b6"","""")"),"")</f>
        <v/>
      </c>
      <c r="GL343" s="245" t="str">
        <f>IFERROR(__xludf.DUMMYFUNCTION("IF(REGEXMATCH(C343, ""D""), ""6"","""")"),"")</f>
        <v/>
      </c>
      <c r="GM343" s="245" t="str">
        <f>IFERROR(__xludf.DUMMYFUNCTION("IF(REGEXMATCH(C343, ""n""), ""b7"","""")"),"b7")</f>
        <v>b7</v>
      </c>
      <c r="GN343" s="246" t="str">
        <f>IFERROR(__xludf.DUMMYFUNCTION("IF(REGEXMATCH(C343, ""N""), ""7"","""")"),"")</f>
        <v/>
      </c>
      <c r="GO343" s="249" t="str">
        <f>IFERROR(__xludf.DUMMYFUNCTION("IF(REGEXMATCH(C343, ""S""), ""8"","""")"),"8")</f>
        <v>8</v>
      </c>
      <c r="GP343" s="244" t="str">
        <f>IFERROR(__xludf.DUMMYFUNCTION("IF(REGEXMATCH(C343, ""S""), ""S"","""")"),"S")</f>
        <v>S</v>
      </c>
      <c r="GQ343" s="294" t="str">
        <f>IFERROR(__xludf.DUMMYFUNCTION("IF(REGEXMATCH(C343, ""r""), ""R1"","""")"),"R1")</f>
        <v>R1</v>
      </c>
      <c r="GR343" s="295" t="str">
        <f>IFERROR(__xludf.DUMMYFUNCTION("IF(REGEXMATCH(C343, ""R""), ""R2"","""")"),"")</f>
        <v/>
      </c>
      <c r="GS343" s="295" t="str">
        <f>IFERROR(__xludf.DUMMYFUNCTION("IF(REGEXMATCH(C343, ""g""), ""G2"","""")"),"")</f>
        <v/>
      </c>
      <c r="GT343" s="294" t="str">
        <f>IFERROR(__xludf.DUMMYFUNCTION("IF(REGEXMATCH(C343, ""G""), ""G3"","""")"),"G3")</f>
        <v>G3</v>
      </c>
      <c r="GU343" s="294" t="str">
        <f>IFERROR(__xludf.DUMMYFUNCTION("IF(REGEXMATCH(C343, ""m""), ""M1"","""")"),"")</f>
        <v/>
      </c>
      <c r="GV343" s="295" t="str">
        <f>IFERROR(__xludf.DUMMYFUNCTION("IF(REGEXMATCH(C343, ""M""), ""M2"","""")"),"")</f>
        <v/>
      </c>
      <c r="GW343" s="294" t="str">
        <f>IFERROR(__xludf.DUMMYFUNCTION("IF(REGEXMATCH(C343, ""P""), ""P"","""")"),"P")</f>
        <v>P</v>
      </c>
      <c r="GX343" s="295" t="str">
        <f>IFERROR(__xludf.DUMMYFUNCTION("IF(REGEXMATCH(C343, ""d""), ""D1"","""")"),"")</f>
        <v/>
      </c>
      <c r="GY343" s="294" t="str">
        <f>IFERROR(__xludf.DUMMYFUNCTION("IF(REGEXMATCH(C343, ""D""), ""D2"","""")"),"")</f>
        <v/>
      </c>
      <c r="GZ343" s="294" t="str">
        <f>IFERROR(__xludf.DUMMYFUNCTION("IF(REGEXMATCH(C343, ""n""), ""N2"","""")"),"N2")</f>
        <v>N2</v>
      </c>
      <c r="HA343" s="295" t="str">
        <f>IFERROR(__xludf.DUMMYFUNCTION("IF(REGEXMATCH(C343, ""N""), ""N3"","""")"),"")</f>
        <v/>
      </c>
      <c r="HB343" s="249" t="str">
        <f>IFERROR(__xludf.DUMMYFUNCTION("IF(REGEXMATCH(C343, ""S""), ""S"","""")"),"S")</f>
        <v>S</v>
      </c>
      <c r="HC343" s="331" t="str">
        <f t="shared" si="95"/>
        <v>S</v>
      </c>
      <c r="HD343" s="332" t="str">
        <f t="shared" si="96"/>
        <v/>
      </c>
      <c r="HE343" s="332" t="str">
        <f t="shared" si="97"/>
        <v>R</v>
      </c>
      <c r="HF343" s="332" t="str">
        <f t="shared" si="98"/>
        <v/>
      </c>
      <c r="HG343" s="332" t="str">
        <f t="shared" si="99"/>
        <v/>
      </c>
      <c r="HH343" s="332" t="str">
        <f t="shared" si="100"/>
        <v>m</v>
      </c>
      <c r="HI343" s="332" t="str">
        <f t="shared" si="101"/>
        <v/>
      </c>
      <c r="HJ343" s="332" t="str">
        <f t="shared" si="102"/>
        <v/>
      </c>
      <c r="HK343" s="332" t="str">
        <f t="shared" si="103"/>
        <v>d</v>
      </c>
      <c r="HL343" s="332" t="str">
        <f t="shared" si="104"/>
        <v/>
      </c>
      <c r="HM343" s="332" t="str">
        <f t="shared" si="105"/>
        <v/>
      </c>
      <c r="HN343" s="332" t="str">
        <f t="shared" si="106"/>
        <v>N</v>
      </c>
      <c r="HO343" s="343" t="str">
        <f t="shared" si="107"/>
        <v>S</v>
      </c>
      <c r="HP343" s="331" t="str">
        <f t="shared" si="108"/>
        <v>o</v>
      </c>
      <c r="HQ343" s="332" t="str">
        <f t="shared" si="109"/>
        <v>o</v>
      </c>
      <c r="HR343" s="332" t="str">
        <f t="shared" si="110"/>
        <v>•</v>
      </c>
      <c r="HS343" s="332" t="str">
        <f t="shared" si="111"/>
        <v>•</v>
      </c>
      <c r="HT343" s="332" t="str">
        <f t="shared" si="112"/>
        <v>o</v>
      </c>
      <c r="HU343" s="332" t="str">
        <f t="shared" si="113"/>
        <v>•</v>
      </c>
      <c r="HV343" s="332" t="str">
        <f t="shared" si="114"/>
        <v>•</v>
      </c>
      <c r="HW343" s="332" t="str">
        <f t="shared" si="115"/>
        <v>o</v>
      </c>
      <c r="HX343" s="332" t="str">
        <f t="shared" si="116"/>
        <v>•</v>
      </c>
      <c r="HY343" s="332" t="str">
        <f t="shared" si="117"/>
        <v>•</v>
      </c>
      <c r="HZ343" s="332" t="str">
        <f t="shared" si="118"/>
        <v>o</v>
      </c>
      <c r="IA343" s="332" t="str">
        <f t="shared" si="119"/>
        <v>•</v>
      </c>
      <c r="IB343" s="338" t="str">
        <f t="shared" si="120"/>
        <v>o</v>
      </c>
      <c r="IC343" s="331" t="str">
        <f t="shared" si="121"/>
        <v>•</v>
      </c>
      <c r="ID343" s="332" t="str">
        <f t="shared" si="122"/>
        <v>•</v>
      </c>
      <c r="IE343" s="332" t="str">
        <f t="shared" si="123"/>
        <v>o</v>
      </c>
      <c r="IF343" s="332" t="str">
        <f t="shared" si="124"/>
        <v>o</v>
      </c>
      <c r="IG343" s="332" t="str">
        <f t="shared" si="125"/>
        <v>•</v>
      </c>
      <c r="IH343" s="332" t="str">
        <f t="shared" si="126"/>
        <v>o</v>
      </c>
      <c r="II343" s="332" t="str">
        <f t="shared" si="127"/>
        <v>o</v>
      </c>
      <c r="IJ343" s="332" t="str">
        <f t="shared" si="128"/>
        <v>•</v>
      </c>
      <c r="IK343" s="332" t="str">
        <f t="shared" si="129"/>
        <v>o</v>
      </c>
      <c r="IL343" s="332" t="str">
        <f t="shared" si="130"/>
        <v>o</v>
      </c>
      <c r="IM343" s="332" t="str">
        <f t="shared" si="131"/>
        <v>•</v>
      </c>
      <c r="IN343" s="332" t="str">
        <f t="shared" si="132"/>
        <v>o</v>
      </c>
      <c r="IO343" s="338" t="str">
        <f t="shared" si="133"/>
        <v>•</v>
      </c>
      <c r="IP343" s="346" t="b">
        <f t="shared" si="134"/>
        <v>0</v>
      </c>
      <c r="IQ343" s="347" t="b">
        <f t="shared" si="135"/>
        <v>1</v>
      </c>
      <c r="IR343" s="347" t="b">
        <f t="shared" si="136"/>
        <v>0</v>
      </c>
      <c r="IS343" s="347" t="b">
        <f t="shared" si="137"/>
        <v>0</v>
      </c>
      <c r="IT343" s="347" t="b">
        <f t="shared" si="138"/>
        <v>1</v>
      </c>
      <c r="IU343" s="347" t="b">
        <f t="shared" si="139"/>
        <v>0</v>
      </c>
      <c r="IV343" s="347" t="b">
        <f t="shared" si="140"/>
        <v>0</v>
      </c>
      <c r="IW343" s="347" t="b">
        <f t="shared" si="141"/>
        <v>1</v>
      </c>
      <c r="IX343" s="347" t="b">
        <f t="shared" si="142"/>
        <v>0</v>
      </c>
      <c r="IY343" s="347" t="b">
        <f t="shared" si="143"/>
        <v>0</v>
      </c>
      <c r="IZ343" s="347" t="b">
        <f t="shared" si="144"/>
        <v>1</v>
      </c>
      <c r="JA343" s="347" t="b">
        <f t="shared" si="145"/>
        <v>0</v>
      </c>
      <c r="JB343" s="353" t="b">
        <f t="shared" si="146"/>
        <v>0</v>
      </c>
      <c r="JC343" s="354" t="str">
        <f t="shared" si="147"/>
        <v/>
      </c>
      <c r="JD343" s="355" t="str">
        <f t="shared" si="148"/>
        <v>re, </v>
      </c>
      <c r="JE343" s="355" t="str">
        <f t="shared" si="149"/>
        <v/>
      </c>
      <c r="JF343" s="355" t="str">
        <f t="shared" si="150"/>
        <v/>
      </c>
      <c r="JG343" s="355" t="str">
        <f t="shared" si="151"/>
        <v>Ga, </v>
      </c>
      <c r="JH343" s="355" t="str">
        <f t="shared" si="152"/>
        <v/>
      </c>
      <c r="JI343" s="355" t="str">
        <f t="shared" si="153"/>
        <v/>
      </c>
      <c r="JJ343" s="355" t="str">
        <f t="shared" si="154"/>
        <v>Pa, </v>
      </c>
      <c r="JK343" s="355" t="str">
        <f t="shared" si="155"/>
        <v/>
      </c>
      <c r="JL343" s="355" t="str">
        <f t="shared" si="156"/>
        <v/>
      </c>
      <c r="JM343" s="355" t="str">
        <f t="shared" si="157"/>
        <v>ni, </v>
      </c>
      <c r="JN343" s="355" t="str">
        <f t="shared" si="158"/>
        <v/>
      </c>
      <c r="JO343" s="359" t="str">
        <f t="shared" si="159"/>
        <v/>
      </c>
      <c r="JP343" s="346" t="b">
        <f t="shared" si="160"/>
        <v>0</v>
      </c>
      <c r="JQ343" s="347" t="b">
        <f t="shared" si="161"/>
        <v>1</v>
      </c>
      <c r="JR343" s="347" t="b">
        <f t="shared" si="162"/>
        <v>0</v>
      </c>
      <c r="JS343" s="347" t="b">
        <f t="shared" si="163"/>
        <v>0</v>
      </c>
      <c r="JT343" s="347" t="b">
        <f t="shared" si="164"/>
        <v>1</v>
      </c>
      <c r="JU343" s="347" t="b">
        <f t="shared" si="165"/>
        <v>0</v>
      </c>
      <c r="JV343" s="347" t="b">
        <f t="shared" si="166"/>
        <v>0</v>
      </c>
      <c r="JW343" s="347" t="b">
        <f t="shared" si="167"/>
        <v>0</v>
      </c>
      <c r="JX343" s="347" t="b">
        <f t="shared" si="168"/>
        <v>0</v>
      </c>
      <c r="JY343" s="347" t="b">
        <f t="shared" si="169"/>
        <v>0</v>
      </c>
      <c r="JZ343" s="347" t="b">
        <f t="shared" si="170"/>
        <v>1</v>
      </c>
      <c r="KA343" s="347" t="b">
        <f t="shared" si="171"/>
        <v>0</v>
      </c>
      <c r="KB343" s="365" t="b">
        <f t="shared" si="172"/>
        <v>0</v>
      </c>
      <c r="KC343" s="354" t="str">
        <f t="shared" si="173"/>
        <v/>
      </c>
      <c r="KD343" s="355" t="str">
        <f t="shared" si="174"/>
        <v>re, </v>
      </c>
      <c r="KE343" s="355" t="str">
        <f t="shared" si="175"/>
        <v/>
      </c>
      <c r="KF343" s="355" t="str">
        <f t="shared" si="176"/>
        <v/>
      </c>
      <c r="KG343" s="355" t="str">
        <f t="shared" si="177"/>
        <v>Ga, </v>
      </c>
      <c r="KH343" s="355" t="str">
        <f t="shared" si="178"/>
        <v/>
      </c>
      <c r="KI343" s="355" t="str">
        <f t="shared" si="179"/>
        <v/>
      </c>
      <c r="KJ343" s="355" t="str">
        <f t="shared" si="180"/>
        <v/>
      </c>
      <c r="KK343" s="355" t="str">
        <f t="shared" si="181"/>
        <v/>
      </c>
      <c r="KL343" s="355" t="str">
        <f t="shared" si="182"/>
        <v/>
      </c>
      <c r="KM343" s="355" t="str">
        <f t="shared" si="183"/>
        <v>ni, </v>
      </c>
      <c r="KN343" s="355" t="str">
        <f t="shared" si="184"/>
        <v/>
      </c>
      <c r="KO343" s="359"/>
      <c r="KP343" s="378"/>
      <c r="KQ343" s="379" t="s">
        <v>1199</v>
      </c>
      <c r="KR343" s="380" t="s">
        <v>1504</v>
      </c>
      <c r="KS343" s="381" t="str">
        <f t="shared" ref="KS343:KS345" si="921">KQ343</f>
        <v>S-r-G-P-n-S</v>
      </c>
      <c r="KT343" s="382">
        <f t="shared" si="186"/>
        <v>5</v>
      </c>
      <c r="KU343" s="383">
        <f t="shared" si="187"/>
        <v>5</v>
      </c>
      <c r="KV343" s="381" t="str">
        <f t="shared" si="205"/>
        <v>S-n-P-G-r-S</v>
      </c>
      <c r="KW343" s="382">
        <f t="shared" si="189"/>
        <v>5</v>
      </c>
      <c r="KX343" s="384">
        <f t="shared" si="190"/>
        <v>5</v>
      </c>
      <c r="KY343" s="382">
        <f t="shared" ref="KY343:KZ343" si="919">KW343-KT343</f>
        <v>0</v>
      </c>
      <c r="KZ343" s="369">
        <f t="shared" si="919"/>
        <v>0</v>
      </c>
      <c r="LA343" s="385" t="str">
        <f t="shared" si="192"/>
        <v>✔</v>
      </c>
      <c r="LB343" s="340" t="str">
        <f>IFERROR(__xludf.DUMMYFUNCTION("JOIN("""",ArrayFormula(MID(KS343,LEN(KS343)-SEQUENCE(1,LEN(KS343))+1,1)))"),"S-n-P-G-r-S")</f>
        <v>S-n-P-G-r-S</v>
      </c>
      <c r="LC343" s="373" t="str">
        <f>IFERROR(__xludf.DUMMYFUNCTION("JOIN("""",ArrayFormula(MID(KV343,LEN(KV343)-SEQUENCE(1,LEN(KV343))+1,1)))"),"S-r-G-P-n-S")</f>
        <v>S-r-G-P-n-S</v>
      </c>
      <c r="LD343" s="373" t="str">
        <f t="shared" si="193"/>
        <v>SrGPnS</v>
      </c>
      <c r="LE343" s="339" t="str">
        <f t="shared" si="194"/>
        <v>SrGPnS</v>
      </c>
      <c r="LF343" s="386" t="str">
        <f>IFERROR(__xludf.DUMMYFUNCTION("SUBSTITUTE(SUBSTITUTE(CONCATENATE(JOIN("""",LH343:LT343)),""1"",""""),""2"","""")"),"SrGPnS")</f>
        <v>SrGPnS</v>
      </c>
      <c r="LG343" s="369" t="str">
        <f t="shared" si="195"/>
        <v>✔</v>
      </c>
      <c r="LH343" s="387" t="str">
        <f>IFERROR(__xludf.DUMMYFUNCTION("IF(REGEXMATCH(LD343, ""S""), ""S"",IF(REGEXMATCH(LE343, ""S""), ""S"",""""))"),"S")</f>
        <v>S</v>
      </c>
      <c r="LI343" s="299" t="str">
        <f>IFERROR(__xludf.DUMMYFUNCTION("IF(REGEXMATCH(LD343, ""r""), ""r1"",IF(REGEXMATCH(LE343, ""r""), ""r2"",""""))"),"r1")</f>
        <v>r1</v>
      </c>
      <c r="LJ343" s="299" t="str">
        <f>IFERROR(__xludf.DUMMYFUNCTION("IF(REGEXMATCH(LD343, ""R""), ""R1"",IF(REGEXMATCH(LE343, ""R""), ""R2"",""""))"),"")</f>
        <v/>
      </c>
      <c r="LK343" s="299" t="str">
        <f>IFERROR(__xludf.DUMMYFUNCTION("IF(REGEXMATCH(LD343, ""g""), ""g1"",IF(REGEXMATCH(LE343, ""g""), ""g2"",""""))"),"")</f>
        <v/>
      </c>
      <c r="LL343" s="299" t="str">
        <f>IFERROR(__xludf.DUMMYFUNCTION("IF(REGEXMATCH(LD343, ""G""), ""G1"",IF(REGEXMATCH(LE343, ""G""), ""G2"",""""))"),"G1")</f>
        <v>G1</v>
      </c>
      <c r="LM343" s="299" t="str">
        <f>IFERROR(__xludf.DUMMYFUNCTION("IF(REGEXMATCH(LD343, ""m""), ""m1"",IF(REGEXMATCH(LE343, ""m""), ""m2"",""""))"),"")</f>
        <v/>
      </c>
      <c r="LN343" s="299" t="str">
        <f>IFERROR(__xludf.DUMMYFUNCTION("IF(REGEXMATCH(LD343, ""M""), ""M1"",IF(REGEXMATCH(LE343, ""M""), ""M2"",""""))"),"")</f>
        <v/>
      </c>
      <c r="LO343" s="299" t="str">
        <f>IFERROR(__xludf.DUMMYFUNCTION("IF(REGEXMATCH(LD343, ""P""), ""P1"",IF(REGEXMATCH(LE343, ""P""), ""P2"",""""))"),"P1")</f>
        <v>P1</v>
      </c>
      <c r="LP343" s="299" t="str">
        <f>IFERROR(__xludf.DUMMYFUNCTION("IF(REGEXMATCH(LD343, ""d""), ""d1"",IF(REGEXMATCH(LE343, ""d""), ""d2"",""""))"),"")</f>
        <v/>
      </c>
      <c r="LQ343" s="299" t="str">
        <f>IFERROR(__xludf.DUMMYFUNCTION("IF(REGEXMATCH(LD343, ""D""), ""D1"",IF(REGEXMATCH(LE343, ""D""), ""D2"",""""))"),"")</f>
        <v/>
      </c>
      <c r="LR343" s="299" t="str">
        <f>IFERROR(__xludf.DUMMYFUNCTION("IF(REGEXMATCH(LD343, ""n""), ""n1"",IF(REGEXMATCH(LE343, ""n""), ""n2"",""""))"),"n1")</f>
        <v>n1</v>
      </c>
      <c r="LS343" s="299" t="str">
        <f>IFERROR(__xludf.DUMMYFUNCTION("IF(REGEXMATCH(LD343, ""N""), ""N1"",IF(REGEXMATCH(LE343, ""N""), ""N2"",""""))"),"")</f>
        <v/>
      </c>
      <c r="LT343" s="388" t="str">
        <f>IFERROR(__xludf.DUMMYFUNCTION("IF(REGEXMATCH(LD343, ""S""), ""S"",IF(REGEXMATCH(LE343, ""S""), ""S"",""""))"),"S")</f>
        <v>S</v>
      </c>
      <c r="LU343" s="389">
        <f t="shared" si="196"/>
        <v>1</v>
      </c>
      <c r="LV343" s="378"/>
      <c r="LW343" s="369"/>
      <c r="LX343" s="369"/>
    </row>
    <row r="344" ht="18.0" customHeight="1">
      <c r="A344" s="298" t="s">
        <v>1201</v>
      </c>
      <c r="B344" s="222" t="s">
        <v>1202</v>
      </c>
      <c r="C344" s="233" t="str">
        <f t="shared" si="7"/>
        <v>SgmDnS</v>
      </c>
      <c r="D344" s="234" t="str">
        <f>IFERROR(__xludf.DUMMYFUNCTION("IF(REGEXMATCH(C344, ""S""), ""S"","""")"),"S")</f>
        <v>S</v>
      </c>
      <c r="E344" s="236" t="str">
        <f>IFERROR(__xludf.DUMMYFUNCTION("IF(REGEXMATCH(C344, ""r""), ""r"","""")"),"")</f>
        <v/>
      </c>
      <c r="F344" s="237" t="str">
        <f>IFERROR(__xludf.DUMMYFUNCTION("IF(REGEXMATCH(C344, ""R""), ""R"","""")"),"")</f>
        <v/>
      </c>
      <c r="G344" s="237" t="str">
        <f>IFERROR(__xludf.DUMMYFUNCTION("IF(REGEXMATCH(C344, ""g""), ""g"","""")"),"g")</f>
        <v>g</v>
      </c>
      <c r="H344" s="236" t="str">
        <f>IFERROR(__xludf.DUMMYFUNCTION("IF(REGEXMATCH(C344, ""G""), ""G"","""")"),"")</f>
        <v/>
      </c>
      <c r="I344" s="236" t="str">
        <f>IFERROR(__xludf.DUMMYFUNCTION("IF(REGEXMATCH(C344, ""m""), ""m"","""")"),"m")</f>
        <v>m</v>
      </c>
      <c r="J344" s="237" t="str">
        <f>IFERROR(__xludf.DUMMYFUNCTION("IF(REGEXMATCH(C344, ""M""), ""M"","""")"),"")</f>
        <v/>
      </c>
      <c r="K344" s="236" t="str">
        <f>IFERROR(__xludf.DUMMYFUNCTION("IF(REGEXMATCH(C344, ""P""), ""P"","""")"),"")</f>
        <v/>
      </c>
      <c r="L344" s="237" t="str">
        <f>IFERROR(__xludf.DUMMYFUNCTION("IF(REGEXMATCH(C344, ""d""), ""d"","""")"),"")</f>
        <v/>
      </c>
      <c r="M344" s="236" t="str">
        <f>IFERROR(__xludf.DUMMYFUNCTION("IF(REGEXMATCH(C344, ""D""), ""D"","""")"),"D")</f>
        <v>D</v>
      </c>
      <c r="N344" s="236" t="str">
        <f>IFERROR(__xludf.DUMMYFUNCTION("IF(REGEXMATCH(C344, ""n""), ""n"","""")"),"n")</f>
        <v>n</v>
      </c>
      <c r="O344" s="237" t="str">
        <f>IFERROR(__xludf.DUMMYFUNCTION("IF(REGEXMATCH(C344, ""N""), ""N"","""")"),"")</f>
        <v/>
      </c>
      <c r="P344" s="238" t="str">
        <f>IFERROR(__xludf.DUMMYFUNCTION("IF(REGEXMATCH(C344, ""S""), ""S"","""")"),"S")</f>
        <v>S</v>
      </c>
      <c r="Q344" s="239" t="str">
        <f>IFERROR(__xludf.DUMMYFUNCTION("SUBSTITUTE(CONCATENATE(JOIN(""-"",D344:J344)),""-"","""")"),"Sgm")</f>
        <v>Sgm</v>
      </c>
      <c r="R344" s="229" t="str">
        <f>IFERROR(__xludf.DUMMYFUNCTION("SUBSTITUTE(CONCATENATE(JOIN(""-"",K344:P344)),""-"","""")"),"DnS")</f>
        <v>DnS</v>
      </c>
      <c r="S344" s="282" t="str">
        <f t="shared" si="8"/>
        <v>S-G-M</v>
      </c>
      <c r="T344" s="282" t="str">
        <f t="shared" si="9"/>
        <v>D-N-S</v>
      </c>
      <c r="U344" s="237" t="str">
        <f>IFERROR(__xludf.DUMMYFUNCTION("SUBSTITUTE(JOIN(""-"",S344,T344),""--"",""-"")"),"S-G-M-D-N-S")</f>
        <v>S-G-M-D-N-S</v>
      </c>
      <c r="V344" s="309" t="str">
        <f t="shared" si="10"/>
        <v>gmDn</v>
      </c>
      <c r="W344" s="244" t="str">
        <f>IFERROR(__xludf.DUMMYFUNCTION("IF(REGEXMATCH(C344, ""S""), ""0"","""")"),"0")</f>
        <v>0</v>
      </c>
      <c r="X344" s="245" t="str">
        <f>IFERROR(__xludf.DUMMYFUNCTION("IF(REGEXMATCH(C344, ""r""), ""1"","""")"),"")</f>
        <v/>
      </c>
      <c r="Y344" s="246" t="str">
        <f>IFERROR(__xludf.DUMMYFUNCTION("IF(REGEXMATCH(C344, ""R""), ""2"","""")"),"")</f>
        <v/>
      </c>
      <c r="Z344" s="246" t="str">
        <f>IFERROR(__xludf.DUMMYFUNCTION("IF(REGEXMATCH(C344, ""g""), ""3"","""")"),"3")</f>
        <v>3</v>
      </c>
      <c r="AA344" s="245" t="str">
        <f>IFERROR(__xludf.DUMMYFUNCTION("IF(REGEXMATCH(C344, ""G""), ""4"","""")"),"")</f>
        <v/>
      </c>
      <c r="AB344" s="245" t="str">
        <f>IFERROR(__xludf.DUMMYFUNCTION("IF(REGEXMATCH(C344, ""m""), ""5"","""")"),"5")</f>
        <v>5</v>
      </c>
      <c r="AC344" s="246" t="str">
        <f>IFERROR(__xludf.DUMMYFUNCTION("IF(REGEXMATCH(C344, ""M""), ""6"","""")"),"")</f>
        <v/>
      </c>
      <c r="AD344" s="245" t="str">
        <f>IFERROR(__xludf.DUMMYFUNCTION("IF(REGEXMATCH(C344, ""P""), ""7"","""")"),"")</f>
        <v/>
      </c>
      <c r="AE344" s="246" t="str">
        <f>IFERROR(__xludf.DUMMYFUNCTION("IF(REGEXMATCH(C344, ""d""), ""8"","""")"),"")</f>
        <v/>
      </c>
      <c r="AF344" s="245" t="str">
        <f>IFERROR(__xludf.DUMMYFUNCTION("IF(REGEXMATCH(C344, ""D""), ""9"","""")"),"9")</f>
        <v>9</v>
      </c>
      <c r="AG344" s="245" t="str">
        <f>IFERROR(__xludf.DUMMYFUNCTION("IF(REGEXMATCH(C344, ""n""), ""10"","""")"),"10")</f>
        <v>10</v>
      </c>
      <c r="AH344" s="246" t="str">
        <f>IFERROR(__xludf.DUMMYFUNCTION("IF(REGEXMATCH(C344, ""N""), ""11"","""")"),"")</f>
        <v/>
      </c>
      <c r="AI344" s="249" t="str">
        <f>IFERROR(__xludf.DUMMYFUNCTION("IF(REGEXMATCH(C344, ""S""), ""0"","""")"),"0")</f>
        <v>0</v>
      </c>
      <c r="AJ344" s="313" t="str">
        <f t="shared" si="11"/>
        <v>-</v>
      </c>
      <c r="AK344" s="313" t="str">
        <f t="shared" si="12"/>
        <v>-</v>
      </c>
      <c r="AL344" s="313" t="str">
        <f t="shared" si="13"/>
        <v>-</v>
      </c>
      <c r="AM344" s="313" t="str">
        <f t="shared" si="14"/>
        <v>T</v>
      </c>
      <c r="AN344" s="313" t="str">
        <f t="shared" si="15"/>
        <v>-</v>
      </c>
      <c r="AO344" s="314" t="str">
        <f t="shared" si="16"/>
        <v>-</v>
      </c>
      <c r="AP344" s="316">
        <f t="shared" si="17"/>
        <v>1</v>
      </c>
      <c r="AQ344" s="319" t="str">
        <f t="shared" si="18"/>
        <v>#REF!</v>
      </c>
      <c r="AR344" s="320">
        <f t="shared" si="19"/>
        <v>0</v>
      </c>
      <c r="AS344" s="250" t="str">
        <f>IFERROR(__xludf.DUMMYFUNCTION("SUBSTITUTE(SUBSTITUTE(CONCATENATE(JOIN("""",FP344:GA344)),""|"",""x""),""-"",""o"")"),"xooxoxoooxxo")</f>
        <v>xooxoxoooxxo</v>
      </c>
      <c r="AT344" s="323" t="str">
        <f>IFERROR(__xludf.DUMMYFUNCTION("JOIN("""",AS344,AS344)"),"xooxoxoooxxoxooxoxoooxxo")</f>
        <v>xooxoxoooxxoxooxoxoooxxo</v>
      </c>
      <c r="AU344" s="256" t="str">
        <f>IFERROR(__xludf.DUMMYFUNCTION("JOIN("""",ArrayFormula(MID(AS344,LEN(AS344)-SEQUENCE(1,LEN(AS344))+1,1)))"),"oxxoooxoxoox")</f>
        <v>oxxoooxoxoox</v>
      </c>
      <c r="AV344" s="256" t="str">
        <f>IFERROR(__xludf.DUMMYFUNCTION("LEFT(CONCATENATE(""x"",JOIN("""",ArrayFormula(MID(AS344,LEN(AS344)-SEQUENCE(1,LEN(AS344))+1,1)))),12)"),"xoxxoooxoxoo")</f>
        <v>xoxxoooxoxoo</v>
      </c>
      <c r="AW344" s="327" t="str">
        <f>IFERROR(__xludf.DUMMYFUNCTION("JOIN("""",AU344,AU344)"),"oxxoooxoxooxoxxoooxoxoox")</f>
        <v>oxxoooxoxooxoxxoooxoxoox</v>
      </c>
      <c r="AX344" s="239" t="str">
        <f>IFERROR(__xludf.DUMMYFUNCTION("IF(REGEXMATCH(AW344,AS344),""✔"",""-"")"),"-")</f>
        <v>-</v>
      </c>
      <c r="AY344" s="330" t="str">
        <f t="shared" si="20"/>
        <v>-</v>
      </c>
      <c r="AZ344" s="260" t="str">
        <f t="shared" si="21"/>
        <v>#REF!</v>
      </c>
      <c r="BA344" s="333" t="str">
        <f t="shared" si="22"/>
        <v>xooxoxo</v>
      </c>
      <c r="BB344" s="334" t="str">
        <f t="shared" si="23"/>
        <v>ooxxox</v>
      </c>
      <c r="BC344" s="335" t="str">
        <f t="shared" si="236"/>
        <v>-</v>
      </c>
      <c r="BD344" s="336" t="str">
        <f t="shared" si="25"/>
        <v>Sundarkauns: 'xooxoxo' + 'ooxxox'</v>
      </c>
      <c r="BE344" s="337">
        <f>IFERROR(__xludf.DUMMYFUNCTION("COUNTUNIQUE(FILTER(AT:AT,REGEXMATCH(AT:AT,AS344)))-1"),1.0)</f>
        <v>1</v>
      </c>
      <c r="BF344" s="261" t="str">
        <f>IFERROR(__xludf.DUMMYFUNCTION("IF(BI344=0,""(n/a)"",IF(BJ344=2,""(PAIR)"",IF(REGEXMATCH(AT344,""xoxoxxoxoxox""),""Bilawal"",IF(REGEXMATCH(AT344,""xoxoxooxoxoo""),""Bhupali"",IF(REGEXMATCH(AT344,""xoxoxxoxxoxo""),""Charukeshi"",IF(REGEXMATCH(AT344,""xoxoooxxoxxo""),""Kameshwari"",IF(REG"&amp;"EXMATCH(AT344,""xoxoxooxoxox""),""Shankara"",IF(REGEXMATCH(AT344,""xxooxoxxxoox""),""Basant"",IF(REGEXMATCH(AT344,""xoxoxxxxoxox""),""Bihag"",IF(REGEXMATCH(AT344,""xoxxxxoxoxxx""),""Pilu"",IF(REGEXMATCH(AT344,""xoxxoxoxxoox""),""Kirwani"",IF(REGEXMATCH(AT"&amp;"344,""xoxxoxoxoxxx""),""Mk.Malhar"",IF(REGEXMATCH(AT344,""xxooxxoxxoox""),""Bhairav"",IF(REGEXMATCH(AT344,""xxoxooxxxoox""),""Todi"",IF(REGEXMATCH(AT344,""xxooxoxooxox""),""Marwa"",IF(REGEXMATCH(AT344,""xxoooxoxxooo""),""Gunkali"",IF(REGEXMATCH(AT344,""xo"&amp;"xoxxoxxoox""),""Nat Bhairav"",IF(REGEXMATCH(AT344,""xoxxoooxoxoo""),""Shivranjani"",IF(REGEXMATCH(AT344,""xooxxxoxooxo""),""Jog"",IF(REGEXMATCH(AT344,""xxooxoxoxoox""),""Hemshri"",IF(REGEXMATCH(AT344,""xoooxooxoxxo""),""Kalavati"",IF(REGEXMATCH(AT344,""xx"&amp;"oxoxxoxoox""),""Kedar"",IF(REGEXMATCH(AT344,""xoxxxxoxooxx""),""Gara"",IF(REGEXMATCH(AT344,""xooxoxooxoox""),""Chandrakauns"",IF(REGEXMATCH(AT344,""xoxxxxoxxxox""),""Mand"",IF(REGEXMATCH(AT344,""xoxxxxoxoxox""),""Hanskinkini"",IF(REGEXMATCH(AT344,""xxooxx"&amp;"oxooxo""),""Lilavati"",IF(REGEXMATCH(AT344,""xooxoxoooxox""),""Rajeshwari"",IF(REGEXMATCH(AT344,""xoooxxoxoxxx""),""Khokar"",IF(REGEXMATCH(AT344,""xxooxoxxxxox""),""Maligoura"",""-""))))))))))))))))))))))))))))))"),"(PAIR)")</f>
        <v>(PAIR)</v>
      </c>
      <c r="BG344" s="239" t="str">
        <f t="shared" si="26"/>
        <v>#REF!</v>
      </c>
      <c r="BH344" s="239">
        <f>IFERROR(__xludf.DUMMYFUNCTION("COUNTUNIQUE(FE344:FO344)-1"),4.0)</f>
        <v>4</v>
      </c>
      <c r="BI344" s="239">
        <f>IFERROR(__xludf.DUMMYFUNCTION("COUNTUNIQUE(FILTER(AT:AT,REGEXMATCH(AT:AT,AS344)))-1"),1.0)</f>
        <v>1</v>
      </c>
      <c r="BJ344" s="239">
        <f>IFERROR(__xludf.DUMMYFUNCTION("COUNTA(FILTER(AT:AT,REGEXMATCH(AT:AT,AS344)))"),2.0)</f>
        <v>2</v>
      </c>
      <c r="BK344" s="341">
        <f>IFERROR(__xludf.DUMMYFUNCTION("COUNTA(FILTER(AT:AT,REGEXMATCH(AT:AT,AS344)))-AR344"),2.0)</f>
        <v>2</v>
      </c>
      <c r="BL344" s="276" t="str">
        <f>IFERROR(__xludf.DUMMYFUNCTION("IF(AS344=""oooooooooooo"",""-"",IF(REGEXMATCH(AT344,""xx""), ""Hemi."", ""Anhemi.""))"),"Hemi.")</f>
        <v>Hemi.</v>
      </c>
      <c r="BM344" s="282" t="str">
        <f>IFERROR(__xludf.DUMMYFUNCTION("IF(AS344=""oooooooooooo"",""-"",IF(REGEXMATCH(AT344,""xxx""), ""Cohem."", ""-""))"),"-")</f>
        <v>-</v>
      </c>
      <c r="BN344" s="282" t="str">
        <f>IFERROR(__xludf.DUMMYFUNCTION("IF(AS344=""oooooooooooo"",""-"",IF(REGEXMATCH(AT344,""xxxx""), ""Co-Co."", ""-""))"),"-")</f>
        <v>-</v>
      </c>
      <c r="BO344" s="342" t="str">
        <f>IFERROR(__xludf.DUMMYFUNCTION("IF(AS344=""oooooooooooo"",""-"",IF(REGEXMATCH(AT344,""xxxxx""), ""CCC."", ""-""))"),"-")</f>
        <v>-</v>
      </c>
      <c r="BP344" s="344" t="str">
        <f t="shared" si="27"/>
        <v>-</v>
      </c>
      <c r="BQ344" s="282" t="str">
        <f>IFERROR(__xludf.DUMMYFUNCTION("IF(REGEXMATCH(JOIN(""-"",EU344:FD344),""TRUE""),""✔"",""-"")"),"✔")</f>
        <v>✔</v>
      </c>
      <c r="BR344" s="225">
        <f t="shared" si="28"/>
        <v>1</v>
      </c>
      <c r="BS344" s="345" t="str">
        <f>IFERROR(__xludf.DUMMYFUNCTION("SUBSTITUTE(SUBSTITUTE(SUBSTITUTE(SUBSTITUTE(CONCATENATE(JOIN(""-"",GC344:GO344)),""--"",""-""),""--"",""-""),""--"",""-""),""--"",""-"")"),"1-b3-4-6-b7-8")</f>
        <v>1-b3-4-6-b7-8</v>
      </c>
      <c r="BT344" s="299" t="str">
        <f>IFERROR(__xludf.DUMMYFUNCTION("SUBSTITUTE(SUBSTITUTE(SUBSTITUTE(SUBSTITUTE(CONCATENATE(JOIN(""-"",GP344:HB344)),""--"",""-""),""--"",""-""),""--"",""-""),""--"",""-"")"),"S-G2-M1-D2-N2-S")</f>
        <v>S-G2-M1-D2-N2-S</v>
      </c>
      <c r="BU344" s="348" t="str">
        <f t="shared" si="29"/>
        <v>C-Eb-F-A-Bb-C</v>
      </c>
      <c r="BV344" s="349" t="str">
        <f t="shared" si="30"/>
        <v>SrRGMPdNS</v>
      </c>
      <c r="BW344" s="350">
        <f t="shared" si="31"/>
        <v>0</v>
      </c>
      <c r="BX344" s="351">
        <f t="shared" si="32"/>
        <v>1</v>
      </c>
      <c r="BY344" s="392"/>
      <c r="BZ344" s="309" t="str">
        <f>IFERROR(__xludf.DUMMYFUNCTION("IF(REGEXMATCH(C344, ""S""), ""x"",""x"")"),"x")</f>
        <v>x</v>
      </c>
      <c r="CA344" s="245" t="str">
        <f>IFERROR(__xludf.DUMMYFUNCTION("IF(REGEXMATCH(C344, ""r""), ""o"",""x"")"),"x")</f>
        <v>x</v>
      </c>
      <c r="CB344" s="246" t="str">
        <f>IFERROR(__xludf.DUMMYFUNCTION("IF(REGEXMATCH(C344, ""R""), ""o"",""x"")"),"x")</f>
        <v>x</v>
      </c>
      <c r="CC344" s="246" t="str">
        <f>IFERROR(__xludf.DUMMYFUNCTION("IF(REGEXMATCH(C344, ""g""), ""o"",""x"")"),"o")</f>
        <v>o</v>
      </c>
      <c r="CD344" s="245" t="str">
        <f>IFERROR(__xludf.DUMMYFUNCTION("IF(REGEXMATCH(C344, ""G""), ""o"",""x"")"),"x")</f>
        <v>x</v>
      </c>
      <c r="CE344" s="245" t="str">
        <f>IFERROR(__xludf.DUMMYFUNCTION("IF(REGEXMATCH(C344, ""m""), ""o"",""x"")"),"o")</f>
        <v>o</v>
      </c>
      <c r="CF344" s="246" t="str">
        <f>IFERROR(__xludf.DUMMYFUNCTION("IF(REGEXMATCH(C344, ""M""), ""o"",""x"")"),"x")</f>
        <v>x</v>
      </c>
      <c r="CG344" s="245" t="str">
        <f>IFERROR(__xludf.DUMMYFUNCTION("IF(REGEXMATCH(C344, ""P""), ""o"",""x"")"),"x")</f>
        <v>x</v>
      </c>
      <c r="CH344" s="246" t="str">
        <f>IFERROR(__xludf.DUMMYFUNCTION("IF(REGEXMATCH(C344, ""d""), ""o"",""x"")"),"x")</f>
        <v>x</v>
      </c>
      <c r="CI344" s="245" t="str">
        <f>IFERROR(__xludf.DUMMYFUNCTION("IF(REGEXMATCH(C344, ""D""), ""o"",""x"")"),"o")</f>
        <v>o</v>
      </c>
      <c r="CJ344" s="245" t="str">
        <f>IFERROR(__xludf.DUMMYFUNCTION("IF(REGEXMATCH(C344, ""n""), ""o"",""x"")"),"o")</f>
        <v>o</v>
      </c>
      <c r="CK344" s="245" t="str">
        <f>IFERROR(__xludf.DUMMYFUNCTION("IF(REGEXMATCH(C344, ""N""), ""o"",""x"")"),"x")</f>
        <v>x</v>
      </c>
      <c r="CL344" s="356" t="str">
        <f>IFERROR(__xludf.DUMMYFUNCTION("IF(REGEXMATCH(C344, ""S""), ""x"",""x"")"),"x")</f>
        <v>x</v>
      </c>
      <c r="CM344" s="357" t="str">
        <f t="shared" si="33"/>
        <v>xxxoxoxxxoox</v>
      </c>
      <c r="CN344" s="358">
        <f t="shared" si="34"/>
        <v>0</v>
      </c>
      <c r="CO344" s="246" t="str">
        <f>IFERROR(__xludf.DUMMYFUNCTION("IF(REGEXMATCH($C344, ""S""), ""S"",""S"")"),"S")</f>
        <v>S</v>
      </c>
      <c r="CP344" s="246" t="str">
        <f>IFERROR(__xludf.DUMMYFUNCTION("IF(REGEXMATCH($C344, ""r""), """",""r"")"),"r")</f>
        <v>r</v>
      </c>
      <c r="CQ344" s="246" t="str">
        <f>IFERROR(__xludf.DUMMYFUNCTION("IF(REGEXMATCH($C344, ""R""), """",""R"")"),"R")</f>
        <v>R</v>
      </c>
      <c r="CR344" s="246" t="str">
        <f>IFERROR(__xludf.DUMMYFUNCTION("IF(REGEXMATCH($C344, ""g""), """",""g"")"),"")</f>
        <v/>
      </c>
      <c r="CS344" s="246" t="str">
        <f>IFERROR(__xludf.DUMMYFUNCTION("IF(REGEXMATCH($C344, ""G""), """",""G"")"),"G")</f>
        <v>G</v>
      </c>
      <c r="CT344" s="246" t="str">
        <f>IFERROR(__xludf.DUMMYFUNCTION("IF(REGEXMATCH($C344, ""m""), """",""m"")"),"")</f>
        <v/>
      </c>
      <c r="CU344" s="246" t="str">
        <f>IFERROR(__xludf.DUMMYFUNCTION("IF(REGEXMATCH($C344, ""M""), """",""M"")"),"M")</f>
        <v>M</v>
      </c>
      <c r="CV344" s="246" t="str">
        <f>IFERROR(__xludf.DUMMYFUNCTION("IF(REGEXMATCH($C344, ""P""), """",""P"")"),"P")</f>
        <v>P</v>
      </c>
      <c r="CW344" s="246" t="str">
        <f>IFERROR(__xludf.DUMMYFUNCTION("IF(REGEXMATCH($C344, ""d""), """",""d"")"),"d")</f>
        <v>d</v>
      </c>
      <c r="CX344" s="246" t="str">
        <f>IFERROR(__xludf.DUMMYFUNCTION("IF(REGEXMATCH($C344, ""D""), """",""D"")"),"")</f>
        <v/>
      </c>
      <c r="CY344" s="246" t="str">
        <f>IFERROR(__xludf.DUMMYFUNCTION("IF(REGEXMATCH($C344, ""n""), """",""n"")"),"")</f>
        <v/>
      </c>
      <c r="CZ344" s="246" t="str">
        <f>IFERROR(__xludf.DUMMYFUNCTION("IF(REGEXMATCH($C344, ""N""), """",""N"")"),"N")</f>
        <v>N</v>
      </c>
      <c r="DA344" s="246" t="str">
        <f>IFERROR(__xludf.DUMMYFUNCTION("IF(REGEXMATCH($C344, ""S""), ""S"",""S"")"),"S")</f>
        <v>S</v>
      </c>
      <c r="DB344" s="362" t="str">
        <f>IFERROR(__xludf.DUMMYFUNCTION("JOIN("""",CO344:DA344,"""","""")"),"SrRGMPdNS")</f>
        <v>SrRGMPdNS</v>
      </c>
      <c r="DC344" s="363"/>
      <c r="DD344" s="301" t="str">
        <f t="shared" si="35"/>
        <v>#REF!</v>
      </c>
      <c r="DE344" s="302" t="str">
        <f t="shared" si="36"/>
        <v>#REF!</v>
      </c>
      <c r="DF344" s="301" t="str">
        <f t="shared" ref="DF344:DG344" si="920">SUBSTITUTE(S344,"-","")</f>
        <v>SGM</v>
      </c>
      <c r="DG344" s="301" t="str">
        <f t="shared" si="920"/>
        <v>DNS</v>
      </c>
      <c r="DH344" s="302" t="str">
        <f t="shared" si="38"/>
        <v>(PAIR)</v>
      </c>
      <c r="DI344" s="301" t="str">
        <f t="shared" si="39"/>
        <v>Hemi.</v>
      </c>
      <c r="DJ344" s="364" t="str">
        <f t="shared" si="40"/>
        <v>-</v>
      </c>
      <c r="DK344" s="306" t="str">
        <f t="shared" si="41"/>
        <v>-</v>
      </c>
      <c r="DL344" s="366" t="str">
        <f t="shared" si="42"/>
        <v>✔</v>
      </c>
      <c r="DM344" s="308" t="str">
        <f t="shared" si="43"/>
        <v>-</v>
      </c>
      <c r="DN344" s="306" t="str">
        <f t="shared" si="44"/>
        <v>-</v>
      </c>
      <c r="DO344" s="306" t="str">
        <f t="shared" si="45"/>
        <v>-</v>
      </c>
      <c r="DP344" s="367" t="str">
        <f t="shared" si="46"/>
        <v>-</v>
      </c>
      <c r="DQ344" s="310" t="str">
        <f t="shared" si="47"/>
        <v>-</v>
      </c>
      <c r="DR344" s="310" t="str">
        <f t="shared" si="48"/>
        <v>-</v>
      </c>
      <c r="DS344" s="310" t="str">
        <f t="shared" si="49"/>
        <v>-</v>
      </c>
      <c r="DT344" s="310" t="str">
        <f t="shared" si="50"/>
        <v>-</v>
      </c>
      <c r="DU344" s="370" t="str">
        <f t="shared" si="51"/>
        <v>-</v>
      </c>
      <c r="DV344" s="306" t="str">
        <f t="shared" si="52"/>
        <v>✔</v>
      </c>
      <c r="DW344" s="306" t="str">
        <f t="shared" si="53"/>
        <v>-</v>
      </c>
      <c r="DX344" s="306" t="str">
        <f t="shared" si="54"/>
        <v>-</v>
      </c>
      <c r="DY344" s="306" t="str">
        <f t="shared" si="55"/>
        <v>✔</v>
      </c>
      <c r="DZ344" s="306" t="str">
        <f t="shared" si="56"/>
        <v>-</v>
      </c>
      <c r="EA344" s="367" t="str">
        <f t="shared" si="57"/>
        <v>-</v>
      </c>
      <c r="EB344" s="310" t="str">
        <f>IFERROR(__xludf.DUMMYFUNCTION("IF(REGEXMATCH(AW344,AS344),""✔"",""-"")"),"-")</f>
        <v>-</v>
      </c>
      <c r="EC344" s="310" t="str">
        <f t="shared" si="58"/>
        <v>#REF!</v>
      </c>
      <c r="ED344" s="370" t="str">
        <f t="shared" si="59"/>
        <v>-</v>
      </c>
      <c r="EE344" s="340" t="str">
        <f t="shared" si="60"/>
        <v>S-g-m-D-n-S</v>
      </c>
      <c r="EF344" s="371" t="str">
        <f>IFERROR(__xludf.DUMMYFUNCTION("CONCATENATE(JOIN("""",HC344:HO344))"),"SRgPDS")</f>
        <v>SRgPDS</v>
      </c>
      <c r="EG344" s="372">
        <f t="shared" si="61"/>
        <v>2</v>
      </c>
      <c r="EH344" s="373" t="str">
        <f>IFERROR(__xludf.DUMMYFUNCTION("CONCATENATE(JOIN("""",JC344:JO344))"),"Sa, Dha, ")</f>
        <v>Sa, Dha, </v>
      </c>
      <c r="EI344" s="322">
        <f t="shared" si="62"/>
        <v>1</v>
      </c>
      <c r="EJ344" s="374" t="str">
        <f>IFERROR(__xludf.DUMMYFUNCTION("CONCATENATE(JOIN("""",KC344:KO344))"),"Dha, ")</f>
        <v>Dha, </v>
      </c>
      <c r="EK344" s="325" t="str">
        <f t="shared" si="63"/>
        <v>S-G2-M1-D2-N2-S</v>
      </c>
      <c r="EL344" s="326" t="str">
        <f t="shared" si="64"/>
        <v>1-b3-4-6-b7-8</v>
      </c>
      <c r="EM344" s="318" t="str">
        <f t="shared" si="65"/>
        <v>#REF!</v>
      </c>
      <c r="EN344" s="328" t="str">
        <f>IFERROR(__xludf.DUMMYFUNCTION("SUBSTITUTE(SUBSTITUTE(SUBSTITUTE(SUBSTITUTE(CONCATENATE(JOIN("" "",HP344:IB344)),""  "","" ""),""  "","" ""),""  "","" ""),""  "","" "")"),"o • • o • o • • • o o • o")</f>
        <v>o • • o • o • • • o o • o</v>
      </c>
      <c r="EO344" s="368" t="str">
        <f t="shared" si="66"/>
        <v>Sa-ma</v>
      </c>
      <c r="EP344" s="339" t="str">
        <f t="shared" si="67"/>
        <v>-</v>
      </c>
      <c r="EQ344" s="339" t="str">
        <f t="shared" si="68"/>
        <v>-</v>
      </c>
      <c r="ER344" s="339" t="str">
        <f t="shared" si="69"/>
        <v>-</v>
      </c>
      <c r="ES344" s="340" t="str">
        <f t="shared" si="70"/>
        <v>Sa-ma</v>
      </c>
      <c r="ET344" s="363"/>
      <c r="EU344" s="376" t="b">
        <f>IFERROR(__xludf.DUMMYFUNCTION("arrayformula(sum(--REGEXMATCH(""SRGMPDNS"",split(REGEXREPLACE(C344,""(.)"",""$1~""),""~""))))=len(C344)
"),FALSE)</f>
        <v>0</v>
      </c>
      <c r="EV344" s="290" t="b">
        <f>IFERROR(__xludf.DUMMYFUNCTION("arrayformula(sum(--REGEXMATCH(""SRGmPDNS"",split(REGEXREPLACE(C344,""(.)"",""$1~""),""~""))))=len(C344)"),FALSE)</f>
        <v>0</v>
      </c>
      <c r="EW344" s="290" t="b">
        <f>IFERROR(__xludf.DUMMYFUNCTION("arrayformula(sum(--REGEXMATCH(""SRGmPDnS"",split(REGEXREPLACE(C344,""(.)"",""$1~""),""~""))))=len(C344)"),FALSE)</f>
        <v>0</v>
      </c>
      <c r="EX344" s="290" t="b">
        <f>IFERROR(__xludf.DUMMYFUNCTION("arrayformula(sum(--REGEXMATCH(""SRgmPDnS"",split(REGEXREPLACE(C344,""(.)"",""$1~""),""~""))))=len(C344)"),TRUE)</f>
        <v>1</v>
      </c>
      <c r="EY344" s="290" t="b">
        <f>IFERROR(__xludf.DUMMYFUNCTION("arrayformula(sum(--REGEXMATCH(""SRgmPdnS"",split(REGEXREPLACE(C344,""(.)"",""$1~""),""~""))))=len(C344)"),FALSE)</f>
        <v>0</v>
      </c>
      <c r="EZ344" s="290" t="b">
        <f>IFERROR(__xludf.DUMMYFUNCTION("arrayformula(sum(--REGEXMATCH(""SrgmPdnS"",split(REGEXREPLACE(C344,""(.)"",""$1~""),""~""))))=len(C344)"),FALSE)</f>
        <v>0</v>
      </c>
      <c r="FA344" s="290" t="b">
        <f>IFERROR(__xludf.DUMMYFUNCTION("arrayformula(sum(--REGEXMATCH(""SrGmPdNS"",split(REGEXREPLACE(C344,""(.)"",""$1~""),""~""))))=len(C344)"),FALSE)</f>
        <v>0</v>
      </c>
      <c r="FB344" s="290" t="b">
        <f>IFERROR(__xludf.DUMMYFUNCTION("arrayformula(sum(--REGEXMATCH(""SrGMPDNS"",split(REGEXREPLACE(C344,""(.)"",""$1~""),""~""))))=len(C344)"),FALSE)</f>
        <v>0</v>
      </c>
      <c r="FC344" s="290" t="b">
        <f>IFERROR(__xludf.DUMMYFUNCTION("arrayformula(sum(--REGEXMATCH(""SrGMPdNS"",split(REGEXREPLACE(C344,""(.)"",""$1~""),""~""))))=len(C344)"),FALSE)</f>
        <v>0</v>
      </c>
      <c r="FD344" s="377" t="b">
        <f>IFERROR(__xludf.DUMMYFUNCTION("arrayformula(sum(--REGEXMATCH(""SrgMPdNS"",split(REGEXREPLACE(C344,""(.)"",""$1~""),""~""))))=len(C344)"),FALSE)</f>
        <v>0</v>
      </c>
      <c r="FE344" s="269" t="str">
        <f t="shared" si="71"/>
        <v>-</v>
      </c>
      <c r="FF344" s="269" t="str">
        <f t="shared" si="72"/>
        <v>-</v>
      </c>
      <c r="FG344" s="271" t="str">
        <f t="shared" si="73"/>
        <v>xoxoooxxoxo</v>
      </c>
      <c r="FH344" s="269" t="str">
        <f t="shared" si="74"/>
        <v>-</v>
      </c>
      <c r="FI344" s="271" t="str">
        <f t="shared" si="75"/>
        <v>xoooxxoxoox</v>
      </c>
      <c r="FJ344" s="271" t="str">
        <f t="shared" si="76"/>
        <v>-</v>
      </c>
      <c r="FK344" s="271" t="str">
        <f t="shared" si="77"/>
        <v>-</v>
      </c>
      <c r="FL344" s="271" t="str">
        <f t="shared" si="78"/>
        <v>-</v>
      </c>
      <c r="FM344" s="271" t="str">
        <f t="shared" si="79"/>
        <v>xxoxooxoxoo</v>
      </c>
      <c r="FN344" s="271" t="str">
        <f t="shared" si="80"/>
        <v>xoxooxoxooo</v>
      </c>
      <c r="FO344" s="274" t="str">
        <f t="shared" si="81"/>
        <v>-</v>
      </c>
      <c r="FP344" s="234" t="str">
        <f t="shared" si="82"/>
        <v>|</v>
      </c>
      <c r="FQ344" s="236" t="str">
        <f t="shared" si="83"/>
        <v>-</v>
      </c>
      <c r="FR344" s="237" t="str">
        <f t="shared" si="84"/>
        <v>-</v>
      </c>
      <c r="FS344" s="236" t="str">
        <f t="shared" si="85"/>
        <v>|</v>
      </c>
      <c r="FT344" s="237" t="str">
        <f t="shared" si="86"/>
        <v>-</v>
      </c>
      <c r="FU344" s="236" t="str">
        <f t="shared" si="87"/>
        <v>|</v>
      </c>
      <c r="FV344" s="237" t="str">
        <f t="shared" si="88"/>
        <v>-</v>
      </c>
      <c r="FW344" s="236" t="str">
        <f t="shared" si="89"/>
        <v>-</v>
      </c>
      <c r="FX344" s="237" t="str">
        <f t="shared" si="90"/>
        <v>-</v>
      </c>
      <c r="FY344" s="236" t="str">
        <f t="shared" si="91"/>
        <v>|</v>
      </c>
      <c r="FZ344" s="237" t="str">
        <f t="shared" si="92"/>
        <v>|</v>
      </c>
      <c r="GA344" s="236" t="str">
        <f t="shared" si="93"/>
        <v>-</v>
      </c>
      <c r="GB344" s="238" t="str">
        <f t="shared" si="94"/>
        <v>|</v>
      </c>
      <c r="GC344" s="244" t="str">
        <f>IFERROR(__xludf.DUMMYFUNCTION("IF(REGEXMATCH(C344, ""S""), ""1"","""")"),"1")</f>
        <v>1</v>
      </c>
      <c r="GD344" s="245" t="str">
        <f>IFERROR(__xludf.DUMMYFUNCTION("IF(REGEXMATCH(C344, ""r""), ""b2"","""")"),"")</f>
        <v/>
      </c>
      <c r="GE344" s="246" t="str">
        <f>IFERROR(__xludf.DUMMYFUNCTION("IF(REGEXMATCH(C344, ""R""), ""2"","""")"),"")</f>
        <v/>
      </c>
      <c r="GF344" s="246" t="str">
        <f>IFERROR(__xludf.DUMMYFUNCTION("IF(REGEXMATCH(C344, ""g""), ""b3"","""")"),"b3")</f>
        <v>b3</v>
      </c>
      <c r="GG344" s="245" t="str">
        <f>IFERROR(__xludf.DUMMYFUNCTION("IF(REGEXMATCH(C344, ""G""), ""3"","""")"),"")</f>
        <v/>
      </c>
      <c r="GH344" s="245" t="str">
        <f>IFERROR(__xludf.DUMMYFUNCTION("IF(REGEXMATCH(C344, ""m""), ""4"","""")"),"4")</f>
        <v>4</v>
      </c>
      <c r="GI344" s="246" t="str">
        <f>IFERROR(__xludf.DUMMYFUNCTION("IF(REGEXMATCH(C344, ""M""), ""#4"","""")"),"")</f>
        <v/>
      </c>
      <c r="GJ344" s="245" t="str">
        <f>IFERROR(__xludf.DUMMYFUNCTION("IF(REGEXMATCH(C344, ""P""), ""5"","""")"),"")</f>
        <v/>
      </c>
      <c r="GK344" s="246" t="str">
        <f>IFERROR(__xludf.DUMMYFUNCTION("IF(REGEXMATCH(C344, ""d""), ""b6"","""")"),"")</f>
        <v/>
      </c>
      <c r="GL344" s="245" t="str">
        <f>IFERROR(__xludf.DUMMYFUNCTION("IF(REGEXMATCH(C344, ""D""), ""6"","""")"),"6")</f>
        <v>6</v>
      </c>
      <c r="GM344" s="245" t="str">
        <f>IFERROR(__xludf.DUMMYFUNCTION("IF(REGEXMATCH(C344, ""n""), ""b7"","""")"),"b7")</f>
        <v>b7</v>
      </c>
      <c r="GN344" s="246" t="str">
        <f>IFERROR(__xludf.DUMMYFUNCTION("IF(REGEXMATCH(C344, ""N""), ""7"","""")"),"")</f>
        <v/>
      </c>
      <c r="GO344" s="249" t="str">
        <f>IFERROR(__xludf.DUMMYFUNCTION("IF(REGEXMATCH(C344, ""S""), ""8"","""")"),"8")</f>
        <v>8</v>
      </c>
      <c r="GP344" s="244" t="str">
        <f>IFERROR(__xludf.DUMMYFUNCTION("IF(REGEXMATCH(C344, ""S""), ""S"","""")"),"S")</f>
        <v>S</v>
      </c>
      <c r="GQ344" s="294" t="str">
        <f>IFERROR(__xludf.DUMMYFUNCTION("IF(REGEXMATCH(C344, ""r""), ""R1"","""")"),"")</f>
        <v/>
      </c>
      <c r="GR344" s="295" t="str">
        <f>IFERROR(__xludf.DUMMYFUNCTION("IF(REGEXMATCH(C344, ""R""), ""R2"","""")"),"")</f>
        <v/>
      </c>
      <c r="GS344" s="295" t="str">
        <f>IFERROR(__xludf.DUMMYFUNCTION("IF(REGEXMATCH(C344, ""g""), ""G2"","""")"),"G2")</f>
        <v>G2</v>
      </c>
      <c r="GT344" s="294" t="str">
        <f>IFERROR(__xludf.DUMMYFUNCTION("IF(REGEXMATCH(C344, ""G""), ""G3"","""")"),"")</f>
        <v/>
      </c>
      <c r="GU344" s="294" t="str">
        <f>IFERROR(__xludf.DUMMYFUNCTION("IF(REGEXMATCH(C344, ""m""), ""M1"","""")"),"M1")</f>
        <v>M1</v>
      </c>
      <c r="GV344" s="295" t="str">
        <f>IFERROR(__xludf.DUMMYFUNCTION("IF(REGEXMATCH(C344, ""M""), ""M2"","""")"),"")</f>
        <v/>
      </c>
      <c r="GW344" s="294" t="str">
        <f>IFERROR(__xludf.DUMMYFUNCTION("IF(REGEXMATCH(C344, ""P""), ""P"","""")"),"")</f>
        <v/>
      </c>
      <c r="GX344" s="295" t="str">
        <f>IFERROR(__xludf.DUMMYFUNCTION("IF(REGEXMATCH(C344, ""d""), ""D1"","""")"),"")</f>
        <v/>
      </c>
      <c r="GY344" s="294" t="str">
        <f>IFERROR(__xludf.DUMMYFUNCTION("IF(REGEXMATCH(C344, ""D""), ""D2"","""")"),"D2")</f>
        <v>D2</v>
      </c>
      <c r="GZ344" s="294" t="str">
        <f>IFERROR(__xludf.DUMMYFUNCTION("IF(REGEXMATCH(C344, ""n""), ""N2"","""")"),"N2")</f>
        <v>N2</v>
      </c>
      <c r="HA344" s="295" t="str">
        <f>IFERROR(__xludf.DUMMYFUNCTION("IF(REGEXMATCH(C344, ""N""), ""N3"","""")"),"")</f>
        <v/>
      </c>
      <c r="HB344" s="249" t="str">
        <f>IFERROR(__xludf.DUMMYFUNCTION("IF(REGEXMATCH(C344, ""S""), ""S"","""")"),"S")</f>
        <v>S</v>
      </c>
      <c r="HC344" s="331" t="str">
        <f t="shared" si="95"/>
        <v>S</v>
      </c>
      <c r="HD344" s="332" t="str">
        <f t="shared" si="96"/>
        <v/>
      </c>
      <c r="HE344" s="332" t="str">
        <f t="shared" si="97"/>
        <v>R</v>
      </c>
      <c r="HF344" s="332" t="str">
        <f t="shared" si="98"/>
        <v>g</v>
      </c>
      <c r="HG344" s="332" t="str">
        <f t="shared" si="99"/>
        <v/>
      </c>
      <c r="HH344" s="332" t="str">
        <f t="shared" si="100"/>
        <v/>
      </c>
      <c r="HI344" s="332" t="str">
        <f t="shared" si="101"/>
        <v/>
      </c>
      <c r="HJ344" s="332" t="str">
        <f t="shared" si="102"/>
        <v>P</v>
      </c>
      <c r="HK344" s="332" t="str">
        <f t="shared" si="103"/>
        <v/>
      </c>
      <c r="HL344" s="332" t="str">
        <f t="shared" si="104"/>
        <v>D</v>
      </c>
      <c r="HM344" s="332" t="str">
        <f t="shared" si="105"/>
        <v/>
      </c>
      <c r="HN344" s="332" t="str">
        <f t="shared" si="106"/>
        <v/>
      </c>
      <c r="HO344" s="343" t="str">
        <f t="shared" si="107"/>
        <v>S</v>
      </c>
      <c r="HP344" s="331" t="str">
        <f t="shared" si="108"/>
        <v>o</v>
      </c>
      <c r="HQ344" s="332" t="str">
        <f t="shared" si="109"/>
        <v>•</v>
      </c>
      <c r="HR344" s="332" t="str">
        <f t="shared" si="110"/>
        <v>•</v>
      </c>
      <c r="HS344" s="332" t="str">
        <f t="shared" si="111"/>
        <v>o</v>
      </c>
      <c r="HT344" s="332" t="str">
        <f t="shared" si="112"/>
        <v>•</v>
      </c>
      <c r="HU344" s="332" t="str">
        <f t="shared" si="113"/>
        <v>o</v>
      </c>
      <c r="HV344" s="332" t="str">
        <f t="shared" si="114"/>
        <v>•</v>
      </c>
      <c r="HW344" s="332" t="str">
        <f t="shared" si="115"/>
        <v>•</v>
      </c>
      <c r="HX344" s="332" t="str">
        <f t="shared" si="116"/>
        <v>•</v>
      </c>
      <c r="HY344" s="332" t="str">
        <f t="shared" si="117"/>
        <v>o</v>
      </c>
      <c r="HZ344" s="332" t="str">
        <f t="shared" si="118"/>
        <v>o</v>
      </c>
      <c r="IA344" s="332" t="str">
        <f t="shared" si="119"/>
        <v>•</v>
      </c>
      <c r="IB344" s="338" t="str">
        <f t="shared" si="120"/>
        <v>o</v>
      </c>
      <c r="IC344" s="331" t="str">
        <f t="shared" si="121"/>
        <v>•</v>
      </c>
      <c r="ID344" s="332" t="str">
        <f t="shared" si="122"/>
        <v>o</v>
      </c>
      <c r="IE344" s="332" t="str">
        <f t="shared" si="123"/>
        <v>o</v>
      </c>
      <c r="IF344" s="332" t="str">
        <f t="shared" si="124"/>
        <v>•</v>
      </c>
      <c r="IG344" s="332" t="str">
        <f t="shared" si="125"/>
        <v>o</v>
      </c>
      <c r="IH344" s="332" t="str">
        <f t="shared" si="126"/>
        <v>•</v>
      </c>
      <c r="II344" s="332" t="str">
        <f t="shared" si="127"/>
        <v>o</v>
      </c>
      <c r="IJ344" s="332" t="str">
        <f t="shared" si="128"/>
        <v>o</v>
      </c>
      <c r="IK344" s="332" t="str">
        <f t="shared" si="129"/>
        <v>o</v>
      </c>
      <c r="IL344" s="332" t="str">
        <f t="shared" si="130"/>
        <v>•</v>
      </c>
      <c r="IM344" s="332" t="str">
        <f t="shared" si="131"/>
        <v>•</v>
      </c>
      <c r="IN344" s="332" t="str">
        <f t="shared" si="132"/>
        <v>o</v>
      </c>
      <c r="IO344" s="338" t="str">
        <f t="shared" si="133"/>
        <v>•</v>
      </c>
      <c r="IP344" s="346" t="b">
        <f t="shared" si="134"/>
        <v>1</v>
      </c>
      <c r="IQ344" s="347" t="b">
        <f t="shared" si="135"/>
        <v>0</v>
      </c>
      <c r="IR344" s="347" t="b">
        <f t="shared" si="136"/>
        <v>0</v>
      </c>
      <c r="IS344" s="347" t="b">
        <f t="shared" si="137"/>
        <v>0</v>
      </c>
      <c r="IT344" s="347" t="b">
        <f t="shared" si="138"/>
        <v>0</v>
      </c>
      <c r="IU344" s="347" t="b">
        <f t="shared" si="139"/>
        <v>0</v>
      </c>
      <c r="IV344" s="347" t="b">
        <f t="shared" si="140"/>
        <v>0</v>
      </c>
      <c r="IW344" s="347" t="b">
        <f t="shared" si="141"/>
        <v>0</v>
      </c>
      <c r="IX344" s="347" t="b">
        <f t="shared" si="142"/>
        <v>0</v>
      </c>
      <c r="IY344" s="347" t="b">
        <f t="shared" si="143"/>
        <v>1</v>
      </c>
      <c r="IZ344" s="347" t="b">
        <f t="shared" si="144"/>
        <v>0</v>
      </c>
      <c r="JA344" s="347" t="b">
        <f t="shared" si="145"/>
        <v>0</v>
      </c>
      <c r="JB344" s="353" t="b">
        <f t="shared" si="146"/>
        <v>1</v>
      </c>
      <c r="JC344" s="354" t="str">
        <f t="shared" si="147"/>
        <v>Sa, </v>
      </c>
      <c r="JD344" s="355" t="str">
        <f t="shared" si="148"/>
        <v/>
      </c>
      <c r="JE344" s="355" t="str">
        <f t="shared" si="149"/>
        <v/>
      </c>
      <c r="JF344" s="355" t="str">
        <f t="shared" si="150"/>
        <v/>
      </c>
      <c r="JG344" s="355" t="str">
        <f t="shared" si="151"/>
        <v/>
      </c>
      <c r="JH344" s="355" t="str">
        <f t="shared" si="152"/>
        <v/>
      </c>
      <c r="JI344" s="355" t="str">
        <f t="shared" si="153"/>
        <v/>
      </c>
      <c r="JJ344" s="355" t="str">
        <f t="shared" si="154"/>
        <v/>
      </c>
      <c r="JK344" s="355" t="str">
        <f t="shared" si="155"/>
        <v/>
      </c>
      <c r="JL344" s="355" t="str">
        <f t="shared" si="156"/>
        <v>Dha, </v>
      </c>
      <c r="JM344" s="355" t="str">
        <f t="shared" si="157"/>
        <v/>
      </c>
      <c r="JN344" s="355" t="str">
        <f t="shared" si="158"/>
        <v/>
      </c>
      <c r="JO344" s="359" t="str">
        <f t="shared" si="159"/>
        <v/>
      </c>
      <c r="JP344" s="346" t="b">
        <f t="shared" si="160"/>
        <v>0</v>
      </c>
      <c r="JQ344" s="347" t="b">
        <f t="shared" si="161"/>
        <v>0</v>
      </c>
      <c r="JR344" s="347" t="b">
        <f t="shared" si="162"/>
        <v>0</v>
      </c>
      <c r="JS344" s="347" t="b">
        <f t="shared" si="163"/>
        <v>0</v>
      </c>
      <c r="JT344" s="347" t="b">
        <f t="shared" si="164"/>
        <v>0</v>
      </c>
      <c r="JU344" s="347" t="b">
        <f t="shared" si="165"/>
        <v>0</v>
      </c>
      <c r="JV344" s="347" t="b">
        <f t="shared" si="166"/>
        <v>0</v>
      </c>
      <c r="JW344" s="347" t="b">
        <f t="shared" si="167"/>
        <v>0</v>
      </c>
      <c r="JX344" s="347" t="b">
        <f t="shared" si="168"/>
        <v>0</v>
      </c>
      <c r="JY344" s="347" t="b">
        <f t="shared" si="169"/>
        <v>1</v>
      </c>
      <c r="JZ344" s="347" t="b">
        <f t="shared" si="170"/>
        <v>0</v>
      </c>
      <c r="KA344" s="347" t="b">
        <f t="shared" si="171"/>
        <v>0</v>
      </c>
      <c r="KB344" s="365" t="b">
        <f t="shared" si="172"/>
        <v>0</v>
      </c>
      <c r="KC344" s="354" t="str">
        <f t="shared" si="173"/>
        <v/>
      </c>
      <c r="KD344" s="355" t="str">
        <f t="shared" si="174"/>
        <v/>
      </c>
      <c r="KE344" s="355" t="str">
        <f t="shared" si="175"/>
        <v/>
      </c>
      <c r="KF344" s="355" t="str">
        <f t="shared" si="176"/>
        <v/>
      </c>
      <c r="KG344" s="355" t="str">
        <f t="shared" si="177"/>
        <v/>
      </c>
      <c r="KH344" s="355" t="str">
        <f t="shared" si="178"/>
        <v/>
      </c>
      <c r="KI344" s="355" t="str">
        <f t="shared" si="179"/>
        <v/>
      </c>
      <c r="KJ344" s="355" t="str">
        <f t="shared" si="180"/>
        <v/>
      </c>
      <c r="KK344" s="355" t="str">
        <f t="shared" si="181"/>
        <v/>
      </c>
      <c r="KL344" s="355" t="str">
        <f t="shared" si="182"/>
        <v>Dha, </v>
      </c>
      <c r="KM344" s="355" t="str">
        <f t="shared" si="183"/>
        <v/>
      </c>
      <c r="KN344" s="355" t="str">
        <f t="shared" si="184"/>
        <v/>
      </c>
      <c r="KO344" s="359"/>
      <c r="KP344" s="378"/>
      <c r="KQ344" s="379" t="s">
        <v>1202</v>
      </c>
      <c r="KR344" s="380" t="s">
        <v>1505</v>
      </c>
      <c r="KS344" s="381" t="str">
        <f t="shared" si="921"/>
        <v>S-g-m-D-n-S</v>
      </c>
      <c r="KT344" s="382">
        <f t="shared" si="186"/>
        <v>5</v>
      </c>
      <c r="KU344" s="383">
        <f t="shared" si="187"/>
        <v>5</v>
      </c>
      <c r="KV344" s="381" t="str">
        <f t="shared" si="205"/>
        <v>S-n-D-m-g-S</v>
      </c>
      <c r="KW344" s="382">
        <f t="shared" si="189"/>
        <v>5</v>
      </c>
      <c r="KX344" s="384">
        <f t="shared" si="190"/>
        <v>5</v>
      </c>
      <c r="KY344" s="382">
        <f t="shared" ref="KY344:KZ344" si="922">KW344-KT344</f>
        <v>0</v>
      </c>
      <c r="KZ344" s="369">
        <f t="shared" si="922"/>
        <v>0</v>
      </c>
      <c r="LA344" s="385" t="str">
        <f t="shared" si="192"/>
        <v>✔</v>
      </c>
      <c r="LB344" s="340" t="str">
        <f>IFERROR(__xludf.DUMMYFUNCTION("JOIN("""",ArrayFormula(MID(KS344,LEN(KS344)-SEQUENCE(1,LEN(KS344))+1,1)))"),"S-n-D-m-g-S")</f>
        <v>S-n-D-m-g-S</v>
      </c>
      <c r="LC344" s="373" t="str">
        <f>IFERROR(__xludf.DUMMYFUNCTION("JOIN("""",ArrayFormula(MID(KV344,LEN(KV344)-SEQUENCE(1,LEN(KV344))+1,1)))"),"S-g-m-D-n-S")</f>
        <v>S-g-m-D-n-S</v>
      </c>
      <c r="LD344" s="373" t="str">
        <f t="shared" si="193"/>
        <v>SgmDnS</v>
      </c>
      <c r="LE344" s="339" t="str">
        <f t="shared" si="194"/>
        <v>SgmDnS</v>
      </c>
      <c r="LF344" s="386" t="str">
        <f>IFERROR(__xludf.DUMMYFUNCTION("SUBSTITUTE(SUBSTITUTE(CONCATENATE(JOIN("""",LH344:LT344)),""1"",""""),""2"","""")"),"SgmDnS")</f>
        <v>SgmDnS</v>
      </c>
      <c r="LG344" s="369" t="str">
        <f t="shared" si="195"/>
        <v>✔</v>
      </c>
      <c r="LH344" s="387" t="str">
        <f>IFERROR(__xludf.DUMMYFUNCTION("IF(REGEXMATCH(LD344, ""S""), ""S"",IF(REGEXMATCH(LE344, ""S""), ""S"",""""))"),"S")</f>
        <v>S</v>
      </c>
      <c r="LI344" s="299" t="str">
        <f>IFERROR(__xludf.DUMMYFUNCTION("IF(REGEXMATCH(LD344, ""r""), ""r1"",IF(REGEXMATCH(LE344, ""r""), ""r2"",""""))"),"")</f>
        <v/>
      </c>
      <c r="LJ344" s="299" t="str">
        <f>IFERROR(__xludf.DUMMYFUNCTION("IF(REGEXMATCH(LD344, ""R""), ""R1"",IF(REGEXMATCH(LE344, ""R""), ""R2"",""""))"),"")</f>
        <v/>
      </c>
      <c r="LK344" s="299" t="str">
        <f>IFERROR(__xludf.DUMMYFUNCTION("IF(REGEXMATCH(LD344, ""g""), ""g1"",IF(REGEXMATCH(LE344, ""g""), ""g2"",""""))"),"g1")</f>
        <v>g1</v>
      </c>
      <c r="LL344" s="299" t="str">
        <f>IFERROR(__xludf.DUMMYFUNCTION("IF(REGEXMATCH(LD344, ""G""), ""G1"",IF(REGEXMATCH(LE344, ""G""), ""G2"",""""))"),"")</f>
        <v/>
      </c>
      <c r="LM344" s="299" t="str">
        <f>IFERROR(__xludf.DUMMYFUNCTION("IF(REGEXMATCH(LD344, ""m""), ""m1"",IF(REGEXMATCH(LE344, ""m""), ""m2"",""""))"),"m1")</f>
        <v>m1</v>
      </c>
      <c r="LN344" s="299" t="str">
        <f>IFERROR(__xludf.DUMMYFUNCTION("IF(REGEXMATCH(LD344, ""M""), ""M1"",IF(REGEXMATCH(LE344, ""M""), ""M2"",""""))"),"")</f>
        <v/>
      </c>
      <c r="LO344" s="299" t="str">
        <f>IFERROR(__xludf.DUMMYFUNCTION("IF(REGEXMATCH(LD344, ""P""), ""P1"",IF(REGEXMATCH(LE344, ""P""), ""P2"",""""))"),"")</f>
        <v/>
      </c>
      <c r="LP344" s="299" t="str">
        <f>IFERROR(__xludf.DUMMYFUNCTION("IF(REGEXMATCH(LD344, ""d""), ""d1"",IF(REGEXMATCH(LE344, ""d""), ""d2"",""""))"),"")</f>
        <v/>
      </c>
      <c r="LQ344" s="299" t="str">
        <f>IFERROR(__xludf.DUMMYFUNCTION("IF(REGEXMATCH(LD344, ""D""), ""D1"",IF(REGEXMATCH(LE344, ""D""), ""D2"",""""))"),"D1")</f>
        <v>D1</v>
      </c>
      <c r="LR344" s="299" t="str">
        <f>IFERROR(__xludf.DUMMYFUNCTION("IF(REGEXMATCH(LD344, ""n""), ""n1"",IF(REGEXMATCH(LE344, ""n""), ""n2"",""""))"),"n1")</f>
        <v>n1</v>
      </c>
      <c r="LS344" s="299" t="str">
        <f>IFERROR(__xludf.DUMMYFUNCTION("IF(REGEXMATCH(LD344, ""N""), ""N1"",IF(REGEXMATCH(LE344, ""N""), ""N2"",""""))"),"")</f>
        <v/>
      </c>
      <c r="LT344" s="388" t="str">
        <f>IFERROR(__xludf.DUMMYFUNCTION("IF(REGEXMATCH(LD344, ""S""), ""S"",IF(REGEXMATCH(LE344, ""S""), ""S"",""""))"),"S")</f>
        <v>S</v>
      </c>
      <c r="LU344" s="389">
        <f t="shared" si="196"/>
        <v>1</v>
      </c>
      <c r="LV344" s="378"/>
      <c r="LW344" s="369"/>
      <c r="LX344" s="369"/>
    </row>
    <row r="345" ht="18.0" customHeight="1">
      <c r="A345" s="298" t="s">
        <v>1204</v>
      </c>
      <c r="B345" s="222" t="s">
        <v>997</v>
      </c>
      <c r="C345" s="233" t="str">
        <f t="shared" si="7"/>
        <v>SRmPDnNS</v>
      </c>
      <c r="D345" s="234" t="str">
        <f>IFERROR(__xludf.DUMMYFUNCTION("IF(REGEXMATCH(C345, ""S""), ""S"","""")"),"S")</f>
        <v>S</v>
      </c>
      <c r="E345" s="236" t="str">
        <f>IFERROR(__xludf.DUMMYFUNCTION("IF(REGEXMATCH(C345, ""r""), ""r"","""")"),"")</f>
        <v/>
      </c>
      <c r="F345" s="237" t="str">
        <f>IFERROR(__xludf.DUMMYFUNCTION("IF(REGEXMATCH(C345, ""R""), ""R"","""")"),"R")</f>
        <v>R</v>
      </c>
      <c r="G345" s="237" t="str">
        <f>IFERROR(__xludf.DUMMYFUNCTION("IF(REGEXMATCH(C345, ""g""), ""g"","""")"),"")</f>
        <v/>
      </c>
      <c r="H345" s="236" t="str">
        <f>IFERROR(__xludf.DUMMYFUNCTION("IF(REGEXMATCH(C345, ""G""), ""G"","""")"),"")</f>
        <v/>
      </c>
      <c r="I345" s="236" t="str">
        <f>IFERROR(__xludf.DUMMYFUNCTION("IF(REGEXMATCH(C345, ""m""), ""m"","""")"),"m")</f>
        <v>m</v>
      </c>
      <c r="J345" s="237" t="str">
        <f>IFERROR(__xludf.DUMMYFUNCTION("IF(REGEXMATCH(C345, ""M""), ""M"","""")"),"")</f>
        <v/>
      </c>
      <c r="K345" s="236" t="str">
        <f>IFERROR(__xludf.DUMMYFUNCTION("IF(REGEXMATCH(C345, ""P""), ""P"","""")"),"P")</f>
        <v>P</v>
      </c>
      <c r="L345" s="237" t="str">
        <f>IFERROR(__xludf.DUMMYFUNCTION("IF(REGEXMATCH(C345, ""d""), ""d"","""")"),"")</f>
        <v/>
      </c>
      <c r="M345" s="236" t="str">
        <f>IFERROR(__xludf.DUMMYFUNCTION("IF(REGEXMATCH(C345, ""D""), ""D"","""")"),"D")</f>
        <v>D</v>
      </c>
      <c r="N345" s="236" t="str">
        <f>IFERROR(__xludf.DUMMYFUNCTION("IF(REGEXMATCH(C345, ""n""), ""n"","""")"),"n")</f>
        <v>n</v>
      </c>
      <c r="O345" s="237" t="str">
        <f>IFERROR(__xludf.DUMMYFUNCTION("IF(REGEXMATCH(C345, ""N""), ""N"","""")"),"N")</f>
        <v>N</v>
      </c>
      <c r="P345" s="238" t="str">
        <f>IFERROR(__xludf.DUMMYFUNCTION("IF(REGEXMATCH(C345, ""S""), ""S"","""")"),"S")</f>
        <v>S</v>
      </c>
      <c r="Q345" s="239" t="str">
        <f>IFERROR(__xludf.DUMMYFUNCTION("SUBSTITUTE(CONCATENATE(JOIN(""-"",D345:J345)),""-"","""")"),"SRm")</f>
        <v>SRm</v>
      </c>
      <c r="R345" s="229" t="str">
        <f>IFERROR(__xludf.DUMMYFUNCTION("SUBSTITUTE(CONCATENATE(JOIN(""-"",K345:P345)),""-"","""")"),"PDnNS")</f>
        <v>PDnNS</v>
      </c>
      <c r="S345" s="282" t="str">
        <f t="shared" si="8"/>
        <v>S-R-M</v>
      </c>
      <c r="T345" s="282" t="str">
        <f t="shared" si="9"/>
        <v>P-D-N-S</v>
      </c>
      <c r="U345" s="237" t="str">
        <f>IFERROR(__xludf.DUMMYFUNCTION("SUBSTITUTE(JOIN(""-"",S345,T345),""--"",""-"")"),"S-R-M-P-D-N-S")</f>
        <v>S-R-M-P-D-N-S</v>
      </c>
      <c r="V345" s="309" t="str">
        <f t="shared" si="10"/>
        <v>RmDnN</v>
      </c>
      <c r="W345" s="244" t="str">
        <f>IFERROR(__xludf.DUMMYFUNCTION("IF(REGEXMATCH(C345, ""S""), ""0"","""")"),"0")</f>
        <v>0</v>
      </c>
      <c r="X345" s="245" t="str">
        <f>IFERROR(__xludf.DUMMYFUNCTION("IF(REGEXMATCH(C345, ""r""), ""1"","""")"),"")</f>
        <v/>
      </c>
      <c r="Y345" s="246" t="str">
        <f>IFERROR(__xludf.DUMMYFUNCTION("IF(REGEXMATCH(C345, ""R""), ""2"","""")"),"2")</f>
        <v>2</v>
      </c>
      <c r="Z345" s="246" t="str">
        <f>IFERROR(__xludf.DUMMYFUNCTION("IF(REGEXMATCH(C345, ""g""), ""3"","""")"),"")</f>
        <v/>
      </c>
      <c r="AA345" s="245" t="str">
        <f>IFERROR(__xludf.DUMMYFUNCTION("IF(REGEXMATCH(C345, ""G""), ""4"","""")"),"")</f>
        <v/>
      </c>
      <c r="AB345" s="245" t="str">
        <f>IFERROR(__xludf.DUMMYFUNCTION("IF(REGEXMATCH(C345, ""m""), ""5"","""")"),"5")</f>
        <v>5</v>
      </c>
      <c r="AC345" s="246" t="str">
        <f>IFERROR(__xludf.DUMMYFUNCTION("IF(REGEXMATCH(C345, ""M""), ""6"","""")"),"")</f>
        <v/>
      </c>
      <c r="AD345" s="245" t="str">
        <f>IFERROR(__xludf.DUMMYFUNCTION("IF(REGEXMATCH(C345, ""P""), ""7"","""")"),"7")</f>
        <v>7</v>
      </c>
      <c r="AE345" s="246" t="str">
        <f>IFERROR(__xludf.DUMMYFUNCTION("IF(REGEXMATCH(C345, ""d""), ""8"","""")"),"")</f>
        <v/>
      </c>
      <c r="AF345" s="245" t="str">
        <f>IFERROR(__xludf.DUMMYFUNCTION("IF(REGEXMATCH(C345, ""D""), ""9"","""")"),"9")</f>
        <v>9</v>
      </c>
      <c r="AG345" s="245" t="str">
        <f>IFERROR(__xludf.DUMMYFUNCTION("IF(REGEXMATCH(C345, ""n""), ""10"","""")"),"10")</f>
        <v>10</v>
      </c>
      <c r="AH345" s="246" t="str">
        <f>IFERROR(__xludf.DUMMYFUNCTION("IF(REGEXMATCH(C345, ""N""), ""11"","""")"),"11")</f>
        <v>11</v>
      </c>
      <c r="AI345" s="249" t="str">
        <f>IFERROR(__xludf.DUMMYFUNCTION("IF(REGEXMATCH(C345, ""S""), ""0"","""")"),"0")</f>
        <v>0</v>
      </c>
      <c r="AJ345" s="313" t="str">
        <f t="shared" si="11"/>
        <v>-</v>
      </c>
      <c r="AK345" s="313" t="str">
        <f t="shared" si="12"/>
        <v>-</v>
      </c>
      <c r="AL345" s="313" t="str">
        <f t="shared" si="13"/>
        <v>-</v>
      </c>
      <c r="AM345" s="313" t="str">
        <f t="shared" si="14"/>
        <v>-</v>
      </c>
      <c r="AN345" s="313" t="str">
        <f t="shared" si="15"/>
        <v>-</v>
      </c>
      <c r="AO345" s="314" t="str">
        <f t="shared" si="16"/>
        <v>T</v>
      </c>
      <c r="AP345" s="316">
        <f t="shared" si="17"/>
        <v>1</v>
      </c>
      <c r="AQ345" s="319" t="str">
        <f t="shared" si="18"/>
        <v>#REF!</v>
      </c>
      <c r="AR345" s="320">
        <f t="shared" si="19"/>
        <v>0</v>
      </c>
      <c r="AS345" s="250" t="str">
        <f>IFERROR(__xludf.DUMMYFUNCTION("SUBSTITUTE(SUBSTITUTE(CONCATENATE(JOIN("""",FP345:GA345)),""|"",""x""),""-"",""o"")"),"xoxooxoxoxxx")</f>
        <v>xoxooxoxoxxx</v>
      </c>
      <c r="AT345" s="323" t="str">
        <f>IFERROR(__xludf.DUMMYFUNCTION("JOIN("""",AS345,AS345)"),"xoxooxoxoxxxxoxooxoxoxxx")</f>
        <v>xoxooxoxoxxxxoxooxoxoxxx</v>
      </c>
      <c r="AU345" s="256" t="str">
        <f>IFERROR(__xludf.DUMMYFUNCTION("JOIN("""",ArrayFormula(MID(AS345,LEN(AS345)-SEQUENCE(1,LEN(AS345))+1,1)))"),"xxxoxoxooxox")</f>
        <v>xxxoxoxooxox</v>
      </c>
      <c r="AV345" s="256" t="str">
        <f>IFERROR(__xludf.DUMMYFUNCTION("LEFT(CONCATENATE(""x"",JOIN("""",ArrayFormula(MID(AS345,LEN(AS345)-SEQUENCE(1,LEN(AS345))+1,1)))),12)"),"xxxxoxoxooxo")</f>
        <v>xxxxoxoxooxo</v>
      </c>
      <c r="AW345" s="327" t="str">
        <f>IFERROR(__xludf.DUMMYFUNCTION("JOIN("""",AU345,AU345)"),"xxxoxoxooxoxxxxoxoxooxox")</f>
        <v>xxxoxoxooxoxxxxoxoxooxox</v>
      </c>
      <c r="AX345" s="239" t="str">
        <f>IFERROR(__xludf.DUMMYFUNCTION("IF(REGEXMATCH(AW345,AS345),""✔"",""-"")"),"-")</f>
        <v>-</v>
      </c>
      <c r="AY345" s="330" t="str">
        <f t="shared" si="20"/>
        <v>-</v>
      </c>
      <c r="AZ345" s="260" t="str">
        <f t="shared" si="21"/>
        <v>#REF!</v>
      </c>
      <c r="BA345" s="333" t="str">
        <f t="shared" si="22"/>
        <v>xoxooxo</v>
      </c>
      <c r="BB345" s="334" t="str">
        <f t="shared" si="23"/>
        <v>xoxxxx</v>
      </c>
      <c r="BC345" s="335" t="str">
        <f t="shared" si="236"/>
        <v>-</v>
      </c>
      <c r="BD345" s="336" t="str">
        <f t="shared" si="25"/>
        <v>Surdasi Malhar: 'xoxooxo' + 'xoxxxx'</v>
      </c>
      <c r="BE345" s="337">
        <f>IFERROR(__xludf.DUMMYFUNCTION("COUNTUNIQUE(FILTER(AT:AT,REGEXMATCH(AT:AT,AS345)))-1"),1.0)</f>
        <v>1</v>
      </c>
      <c r="BF345" s="261" t="str">
        <f>IFERROR(__xludf.DUMMYFUNCTION("IF(BI345=0,""(n/a)"",IF(BJ345=2,""(PAIR)"",IF(REGEXMATCH(AT345,""xoxoxxoxoxox""),""Bilawal"",IF(REGEXMATCH(AT345,""xoxoxooxoxoo""),""Bhupali"",IF(REGEXMATCH(AT345,""xoxoxxoxxoxo""),""Charukeshi"",IF(REGEXMATCH(AT345,""xoxoooxxoxxo""),""Kameshwari"",IF(REG"&amp;"EXMATCH(AT345,""xoxoxooxoxox""),""Shankara"",IF(REGEXMATCH(AT345,""xxooxoxxxoox""),""Basant"",IF(REGEXMATCH(AT345,""xoxoxxxxoxox""),""Bihag"",IF(REGEXMATCH(AT345,""xoxxxxoxoxxx""),""Pilu"",IF(REGEXMATCH(AT345,""xoxxoxoxxoox""),""Kirwani"",IF(REGEXMATCH(AT"&amp;"345,""xoxxoxoxoxxx""),""Mk.Malhar"",IF(REGEXMATCH(AT345,""xxooxxoxxoox""),""Bhairav"",IF(REGEXMATCH(AT345,""xxoxooxxxoox""),""Todi"",IF(REGEXMATCH(AT345,""xxooxoxooxox""),""Marwa"",IF(REGEXMATCH(AT345,""xxoooxoxxooo""),""Gunkali"",IF(REGEXMATCH(AT345,""xo"&amp;"xoxxoxxoox""),""Nat Bhairav"",IF(REGEXMATCH(AT345,""xoxxoooxoxoo""),""Shivranjani"",IF(REGEXMATCH(AT345,""xooxxxoxooxo""),""Jog"",IF(REGEXMATCH(AT345,""xxooxoxoxoox""),""Hemshri"",IF(REGEXMATCH(AT345,""xoooxooxoxxo""),""Kalavati"",IF(REGEXMATCH(AT345,""xx"&amp;"oxoxxoxoox""),""Kedar"",IF(REGEXMATCH(AT345,""xoxxxxoxooxx""),""Gara"",IF(REGEXMATCH(AT345,""xooxoxooxoox""),""Chandrakauns"",IF(REGEXMATCH(AT345,""xoxxxxoxxxox""),""Mand"",IF(REGEXMATCH(AT345,""xoxxxxoxoxox""),""Hanskinkini"",IF(REGEXMATCH(AT345,""xxooxx"&amp;"oxooxo""),""Lilavati"",IF(REGEXMATCH(AT345,""xooxoxoooxox""),""Rajeshwari"",IF(REGEXMATCH(AT345,""xoooxxoxoxxx""),""Khokar"",IF(REGEXMATCH(AT345,""xxooxoxxxxox""),""Maligoura"",""-""))))))))))))))))))))))))))))))"),"-")</f>
        <v>-</v>
      </c>
      <c r="BG345" s="239" t="str">
        <f t="shared" si="26"/>
        <v>#REF!</v>
      </c>
      <c r="BH345" s="239">
        <f>IFERROR(__xludf.DUMMYFUNCTION("COUNTUNIQUE(FE345:FO345)-1"),6.0)</f>
        <v>6</v>
      </c>
      <c r="BI345" s="239">
        <f>IFERROR(__xludf.DUMMYFUNCTION("COUNTUNIQUE(FILTER(AT:AT,REGEXMATCH(AT:AT,AS345)))-1"),1.0)</f>
        <v>1</v>
      </c>
      <c r="BJ345" s="239">
        <f>IFERROR(__xludf.DUMMYFUNCTION("COUNTA(FILTER(AT:AT,REGEXMATCH(AT:AT,AS345)))"),5.0)</f>
        <v>5</v>
      </c>
      <c r="BK345" s="341">
        <f>IFERROR(__xludf.DUMMYFUNCTION("COUNTA(FILTER(AT:AT,REGEXMATCH(AT:AT,AS345)))-AR345"),5.0)</f>
        <v>5</v>
      </c>
      <c r="BL345" s="276" t="str">
        <f>IFERROR(__xludf.DUMMYFUNCTION("IF(AS345=""oooooooooooo"",""-"",IF(REGEXMATCH(AT345,""xx""), ""Hemi."", ""Anhemi.""))"),"Hemi.")</f>
        <v>Hemi.</v>
      </c>
      <c r="BM345" s="282" t="str">
        <f>IFERROR(__xludf.DUMMYFUNCTION("IF(AS345=""oooooooooooo"",""-"",IF(REGEXMATCH(AT345,""xxx""), ""Cohem."", ""-""))"),"Cohem.")</f>
        <v>Cohem.</v>
      </c>
      <c r="BN345" s="282" t="str">
        <f>IFERROR(__xludf.DUMMYFUNCTION("IF(AS345=""oooooooooooo"",""-"",IF(REGEXMATCH(AT345,""xxxx""), ""Co-Co."", ""-""))"),"Co-Co.")</f>
        <v>Co-Co.</v>
      </c>
      <c r="BO345" s="342" t="str">
        <f>IFERROR(__xludf.DUMMYFUNCTION("IF(AS345=""oooooooooooo"",""-"",IF(REGEXMATCH(AT345,""xxxxx""), ""CCC."", ""-""))"),"-")</f>
        <v>-</v>
      </c>
      <c r="BP345" s="344" t="str">
        <f t="shared" si="27"/>
        <v>-</v>
      </c>
      <c r="BQ345" s="282" t="str">
        <f>IFERROR(__xludf.DUMMYFUNCTION("IF(REGEXMATCH(JOIN(""-"",EU345:FD345),""TRUE""),""✔"",""-"")"),"-")</f>
        <v>-</v>
      </c>
      <c r="BR345" s="225">
        <f t="shared" si="28"/>
        <v>0</v>
      </c>
      <c r="BS345" s="345" t="str">
        <f>IFERROR(__xludf.DUMMYFUNCTION("SUBSTITUTE(SUBSTITUTE(SUBSTITUTE(SUBSTITUTE(CONCATENATE(JOIN(""-"",GC345:GO345)),""--"",""-""),""--"",""-""),""--"",""-""),""--"",""-"")"),"1-2-4-5-6-b7-7-8")</f>
        <v>1-2-4-5-6-b7-7-8</v>
      </c>
      <c r="BT345" s="299" t="str">
        <f>IFERROR(__xludf.DUMMYFUNCTION("SUBSTITUTE(SUBSTITUTE(SUBSTITUTE(SUBSTITUTE(CONCATENATE(JOIN(""-"",GP345:HB345)),""--"",""-""),""--"",""-""),""--"",""-""),""--"",""-"")"),"S-R2-M1-P-D2-N2-N3-S")</f>
        <v>S-R2-M1-P-D2-N2-N3-S</v>
      </c>
      <c r="BU345" s="348" t="str">
        <f t="shared" si="29"/>
        <v>C-D-F-G-A-Bb-B-C</v>
      </c>
      <c r="BV345" s="349" t="str">
        <f t="shared" si="30"/>
        <v>SrgGMdS</v>
      </c>
      <c r="BW345" s="350">
        <f t="shared" si="31"/>
        <v>0</v>
      </c>
      <c r="BX345" s="351">
        <f t="shared" si="32"/>
        <v>4</v>
      </c>
      <c r="BY345" s="392"/>
      <c r="BZ345" s="309" t="str">
        <f>IFERROR(__xludf.DUMMYFUNCTION("IF(REGEXMATCH(C345, ""S""), ""x"",""x"")"),"x")</f>
        <v>x</v>
      </c>
      <c r="CA345" s="245" t="str">
        <f>IFERROR(__xludf.DUMMYFUNCTION("IF(REGEXMATCH(C345, ""r""), ""o"",""x"")"),"x")</f>
        <v>x</v>
      </c>
      <c r="CB345" s="246" t="str">
        <f>IFERROR(__xludf.DUMMYFUNCTION("IF(REGEXMATCH(C345, ""R""), ""o"",""x"")"),"o")</f>
        <v>o</v>
      </c>
      <c r="CC345" s="246" t="str">
        <f>IFERROR(__xludf.DUMMYFUNCTION("IF(REGEXMATCH(C345, ""g""), ""o"",""x"")"),"x")</f>
        <v>x</v>
      </c>
      <c r="CD345" s="245" t="str">
        <f>IFERROR(__xludf.DUMMYFUNCTION("IF(REGEXMATCH(C345, ""G""), ""o"",""x"")"),"x")</f>
        <v>x</v>
      </c>
      <c r="CE345" s="245" t="str">
        <f>IFERROR(__xludf.DUMMYFUNCTION("IF(REGEXMATCH(C345, ""m""), ""o"",""x"")"),"o")</f>
        <v>o</v>
      </c>
      <c r="CF345" s="246" t="str">
        <f>IFERROR(__xludf.DUMMYFUNCTION("IF(REGEXMATCH(C345, ""M""), ""o"",""x"")"),"x")</f>
        <v>x</v>
      </c>
      <c r="CG345" s="245" t="str">
        <f>IFERROR(__xludf.DUMMYFUNCTION("IF(REGEXMATCH(C345, ""P""), ""o"",""x"")"),"o")</f>
        <v>o</v>
      </c>
      <c r="CH345" s="246" t="str">
        <f>IFERROR(__xludf.DUMMYFUNCTION("IF(REGEXMATCH(C345, ""d""), ""o"",""x"")"),"x")</f>
        <v>x</v>
      </c>
      <c r="CI345" s="245" t="str">
        <f>IFERROR(__xludf.DUMMYFUNCTION("IF(REGEXMATCH(C345, ""D""), ""o"",""x"")"),"o")</f>
        <v>o</v>
      </c>
      <c r="CJ345" s="245" t="str">
        <f>IFERROR(__xludf.DUMMYFUNCTION("IF(REGEXMATCH(C345, ""n""), ""o"",""x"")"),"o")</f>
        <v>o</v>
      </c>
      <c r="CK345" s="245" t="str">
        <f>IFERROR(__xludf.DUMMYFUNCTION("IF(REGEXMATCH(C345, ""N""), ""o"",""x"")"),"o")</f>
        <v>o</v>
      </c>
      <c r="CL345" s="356" t="str">
        <f>IFERROR(__xludf.DUMMYFUNCTION("IF(REGEXMATCH(C345, ""S""), ""x"",""x"")"),"x")</f>
        <v>x</v>
      </c>
      <c r="CM345" s="357" t="str">
        <f t="shared" si="33"/>
        <v>xxoxxoxoxooo</v>
      </c>
      <c r="CN345" s="358">
        <f t="shared" si="34"/>
        <v>0</v>
      </c>
      <c r="CO345" s="246" t="str">
        <f>IFERROR(__xludf.DUMMYFUNCTION("IF(REGEXMATCH($C345, ""S""), ""S"",""S"")"),"S")</f>
        <v>S</v>
      </c>
      <c r="CP345" s="246" t="str">
        <f>IFERROR(__xludf.DUMMYFUNCTION("IF(REGEXMATCH($C345, ""r""), """",""r"")"),"r")</f>
        <v>r</v>
      </c>
      <c r="CQ345" s="246" t="str">
        <f>IFERROR(__xludf.DUMMYFUNCTION("IF(REGEXMATCH($C345, ""R""), """",""R"")"),"")</f>
        <v/>
      </c>
      <c r="CR345" s="246" t="str">
        <f>IFERROR(__xludf.DUMMYFUNCTION("IF(REGEXMATCH($C345, ""g""), """",""g"")"),"g")</f>
        <v>g</v>
      </c>
      <c r="CS345" s="246" t="str">
        <f>IFERROR(__xludf.DUMMYFUNCTION("IF(REGEXMATCH($C345, ""G""), """",""G"")"),"G")</f>
        <v>G</v>
      </c>
      <c r="CT345" s="246" t="str">
        <f>IFERROR(__xludf.DUMMYFUNCTION("IF(REGEXMATCH($C345, ""m""), """",""m"")"),"")</f>
        <v/>
      </c>
      <c r="CU345" s="246" t="str">
        <f>IFERROR(__xludf.DUMMYFUNCTION("IF(REGEXMATCH($C345, ""M""), """",""M"")"),"M")</f>
        <v>M</v>
      </c>
      <c r="CV345" s="246" t="str">
        <f>IFERROR(__xludf.DUMMYFUNCTION("IF(REGEXMATCH($C345, ""P""), """",""P"")"),"")</f>
        <v/>
      </c>
      <c r="CW345" s="246" t="str">
        <f>IFERROR(__xludf.DUMMYFUNCTION("IF(REGEXMATCH($C345, ""d""), """",""d"")"),"d")</f>
        <v>d</v>
      </c>
      <c r="CX345" s="246" t="str">
        <f>IFERROR(__xludf.DUMMYFUNCTION("IF(REGEXMATCH($C345, ""D""), """",""D"")"),"")</f>
        <v/>
      </c>
      <c r="CY345" s="246" t="str">
        <f>IFERROR(__xludf.DUMMYFUNCTION("IF(REGEXMATCH($C345, ""n""), """",""n"")"),"")</f>
        <v/>
      </c>
      <c r="CZ345" s="246" t="str">
        <f>IFERROR(__xludf.DUMMYFUNCTION("IF(REGEXMATCH($C345, ""N""), """",""N"")"),"")</f>
        <v/>
      </c>
      <c r="DA345" s="246" t="str">
        <f>IFERROR(__xludf.DUMMYFUNCTION("IF(REGEXMATCH($C345, ""S""), ""S"",""S"")"),"S")</f>
        <v>S</v>
      </c>
      <c r="DB345" s="362" t="str">
        <f>IFERROR(__xludf.DUMMYFUNCTION("JOIN("""",CO345:DA345,"""","""")"),"SrgGMdS")</f>
        <v>SrgGMdS</v>
      </c>
      <c r="DC345" s="363"/>
      <c r="DD345" s="301" t="str">
        <f t="shared" si="35"/>
        <v>#REF!</v>
      </c>
      <c r="DE345" s="302" t="str">
        <f t="shared" si="36"/>
        <v>#REF!</v>
      </c>
      <c r="DF345" s="301" t="str">
        <f t="shared" ref="DF345:DG345" si="923">SUBSTITUTE(S345,"-","")</f>
        <v>SRM</v>
      </c>
      <c r="DG345" s="301" t="str">
        <f t="shared" si="923"/>
        <v>PDNS</v>
      </c>
      <c r="DH345" s="302" t="str">
        <f t="shared" si="38"/>
        <v>-</v>
      </c>
      <c r="DI345" s="301" t="str">
        <f t="shared" si="39"/>
        <v>Hemi.</v>
      </c>
      <c r="DJ345" s="364" t="str">
        <f t="shared" si="40"/>
        <v>Co-Co.</v>
      </c>
      <c r="DK345" s="306" t="str">
        <f t="shared" si="41"/>
        <v>-</v>
      </c>
      <c r="DL345" s="366" t="str">
        <f t="shared" si="42"/>
        <v>-</v>
      </c>
      <c r="DM345" s="308" t="str">
        <f t="shared" si="43"/>
        <v>✔</v>
      </c>
      <c r="DN345" s="306" t="str">
        <f t="shared" si="44"/>
        <v>-</v>
      </c>
      <c r="DO345" s="306" t="str">
        <f t="shared" si="45"/>
        <v>-</v>
      </c>
      <c r="DP345" s="367" t="str">
        <f t="shared" si="46"/>
        <v>-</v>
      </c>
      <c r="DQ345" s="310" t="str">
        <f t="shared" si="47"/>
        <v>-</v>
      </c>
      <c r="DR345" s="310" t="str">
        <f t="shared" si="48"/>
        <v>-</v>
      </c>
      <c r="DS345" s="310" t="str">
        <f t="shared" si="49"/>
        <v>-</v>
      </c>
      <c r="DT345" s="310" t="str">
        <f t="shared" si="50"/>
        <v>-</v>
      </c>
      <c r="DU345" s="370" t="str">
        <f t="shared" si="51"/>
        <v>✔</v>
      </c>
      <c r="DV345" s="306" t="str">
        <f t="shared" si="52"/>
        <v>-</v>
      </c>
      <c r="DW345" s="306" t="str">
        <f t="shared" si="53"/>
        <v>✔</v>
      </c>
      <c r="DX345" s="306" t="str">
        <f t="shared" si="54"/>
        <v>-</v>
      </c>
      <c r="DY345" s="306" t="str">
        <f t="shared" si="55"/>
        <v>-</v>
      </c>
      <c r="DZ345" s="306" t="str">
        <f t="shared" si="56"/>
        <v>-</v>
      </c>
      <c r="EA345" s="367" t="str">
        <f t="shared" si="57"/>
        <v>-</v>
      </c>
      <c r="EB345" s="310" t="str">
        <f>IFERROR(__xludf.DUMMYFUNCTION("IF(REGEXMATCH(AW345,AS345),""✔"",""-"")"),"-")</f>
        <v>-</v>
      </c>
      <c r="EC345" s="310" t="str">
        <f t="shared" si="58"/>
        <v>#REF!</v>
      </c>
      <c r="ED345" s="370" t="str">
        <f t="shared" si="59"/>
        <v>-</v>
      </c>
      <c r="EE345" s="340" t="str">
        <f t="shared" si="60"/>
        <v>S-R-m-P-D-nN-S</v>
      </c>
      <c r="EF345" s="371" t="str">
        <f>IFERROR(__xludf.DUMMYFUNCTION("CONCATENATE(JOIN("""",HC345:HO345))"),"SrRgmPnS")</f>
        <v>SrRgmPnS</v>
      </c>
      <c r="EG345" s="372">
        <f t="shared" si="61"/>
        <v>2</v>
      </c>
      <c r="EH345" s="373" t="str">
        <f>IFERROR(__xludf.DUMMYFUNCTION("CONCATENATE(JOIN("""",JC345:JO345))"),"Dha, Ni, ")</f>
        <v>Dha, Ni, </v>
      </c>
      <c r="EI345" s="322">
        <f t="shared" si="62"/>
        <v>1</v>
      </c>
      <c r="EJ345" s="374" t="str">
        <f>IFERROR(__xludf.DUMMYFUNCTION("CONCATENATE(JOIN("""",KC345:KO345))"),"Ni, ")</f>
        <v>Ni, </v>
      </c>
      <c r="EK345" s="325" t="str">
        <f t="shared" si="63"/>
        <v>S-R2-M1-P-D2-N2-N3-S</v>
      </c>
      <c r="EL345" s="326" t="str">
        <f t="shared" si="64"/>
        <v>1-2-4-5-6-b7-7-8</v>
      </c>
      <c r="EM345" s="318" t="str">
        <f t="shared" si="65"/>
        <v>#REF!</v>
      </c>
      <c r="EN345" s="328" t="str">
        <f>IFERROR(__xludf.DUMMYFUNCTION("SUBSTITUTE(SUBSTITUTE(SUBSTITUTE(SUBSTITUTE(CONCATENATE(JOIN("" "",HP345:IB345)),""  "","" ""),""  "","" ""),""  "","" ""),""  "","" "")"),"o • o • • o • o • o o o o")</f>
        <v>o • o • • o • o • o o o o</v>
      </c>
      <c r="EO345" s="368" t="str">
        <f t="shared" si="66"/>
        <v>-</v>
      </c>
      <c r="EP345" s="339" t="str">
        <f t="shared" si="67"/>
        <v>-</v>
      </c>
      <c r="EQ345" s="339" t="str">
        <f t="shared" si="68"/>
        <v>Sa-Pa</v>
      </c>
      <c r="ER345" s="339" t="str">
        <f t="shared" si="69"/>
        <v>-</v>
      </c>
      <c r="ES345" s="340" t="str">
        <f t="shared" si="70"/>
        <v>-</v>
      </c>
      <c r="ET345" s="363"/>
      <c r="EU345" s="376" t="b">
        <f>IFERROR(__xludf.DUMMYFUNCTION("arrayformula(sum(--REGEXMATCH(""SRGMPDNS"",split(REGEXREPLACE(C345,""(.)"",""$1~""),""~""))))=len(C345)
"),FALSE)</f>
        <v>0</v>
      </c>
      <c r="EV345" s="290" t="b">
        <f>IFERROR(__xludf.DUMMYFUNCTION("arrayformula(sum(--REGEXMATCH(""SRGmPDNS"",split(REGEXREPLACE(C345,""(.)"",""$1~""),""~""))))=len(C345)"),FALSE)</f>
        <v>0</v>
      </c>
      <c r="EW345" s="290" t="b">
        <f>IFERROR(__xludf.DUMMYFUNCTION("arrayformula(sum(--REGEXMATCH(""SRGmPDnS"",split(REGEXREPLACE(C345,""(.)"",""$1~""),""~""))))=len(C345)"),FALSE)</f>
        <v>0</v>
      </c>
      <c r="EX345" s="290" t="b">
        <f>IFERROR(__xludf.DUMMYFUNCTION("arrayformula(sum(--REGEXMATCH(""SRgmPDnS"",split(REGEXREPLACE(C345,""(.)"",""$1~""),""~""))))=len(C345)"),FALSE)</f>
        <v>0</v>
      </c>
      <c r="EY345" s="290" t="b">
        <f>IFERROR(__xludf.DUMMYFUNCTION("arrayformula(sum(--REGEXMATCH(""SRgmPdnS"",split(REGEXREPLACE(C345,""(.)"",""$1~""),""~""))))=len(C345)"),FALSE)</f>
        <v>0</v>
      </c>
      <c r="EZ345" s="290" t="b">
        <f>IFERROR(__xludf.DUMMYFUNCTION("arrayformula(sum(--REGEXMATCH(""SrgmPdnS"",split(REGEXREPLACE(C345,""(.)"",""$1~""),""~""))))=len(C345)"),FALSE)</f>
        <v>0</v>
      </c>
      <c r="FA345" s="290" t="b">
        <f>IFERROR(__xludf.DUMMYFUNCTION("arrayformula(sum(--REGEXMATCH(""SrGmPdNS"",split(REGEXREPLACE(C345,""(.)"",""$1~""),""~""))))=len(C345)"),FALSE)</f>
        <v>0</v>
      </c>
      <c r="FB345" s="290" t="b">
        <f>IFERROR(__xludf.DUMMYFUNCTION("arrayformula(sum(--REGEXMATCH(""SrGMPDNS"",split(REGEXREPLACE(C345,""(.)"",""$1~""),""~""))))=len(C345)"),FALSE)</f>
        <v>0</v>
      </c>
      <c r="FC345" s="290" t="b">
        <f>IFERROR(__xludf.DUMMYFUNCTION("arrayformula(sum(--REGEXMATCH(""SrGMPdNS"",split(REGEXREPLACE(C345,""(.)"",""$1~""),""~""))))=len(C345)"),FALSE)</f>
        <v>0</v>
      </c>
      <c r="FD345" s="377" t="b">
        <f>IFERROR(__xludf.DUMMYFUNCTION("arrayformula(sum(--REGEXMATCH(""SrgMPdNS"",split(REGEXREPLACE(C345,""(.)"",""$1~""),""~""))))=len(C345)"),FALSE)</f>
        <v>0</v>
      </c>
      <c r="FE345" s="269" t="str">
        <f t="shared" si="71"/>
        <v>-</v>
      </c>
      <c r="FF345" s="269" t="str">
        <f t="shared" si="72"/>
        <v>xooxoxoxxxx</v>
      </c>
      <c r="FG345" s="271" t="str">
        <f t="shared" si="73"/>
        <v>-</v>
      </c>
      <c r="FH345" s="269" t="str">
        <f t="shared" si="74"/>
        <v>-</v>
      </c>
      <c r="FI345" s="271" t="str">
        <f t="shared" si="75"/>
        <v>xoxoxxxxoxo</v>
      </c>
      <c r="FJ345" s="271" t="str">
        <f t="shared" si="76"/>
        <v>-</v>
      </c>
      <c r="FK345" s="271" t="str">
        <f t="shared" si="77"/>
        <v>xoxxxxoxoox</v>
      </c>
      <c r="FL345" s="271" t="str">
        <f t="shared" si="78"/>
        <v>-</v>
      </c>
      <c r="FM345" s="271" t="str">
        <f t="shared" si="79"/>
        <v>xxxxoxooxox</v>
      </c>
      <c r="FN345" s="271" t="str">
        <f t="shared" si="80"/>
        <v>xxxoxooxoxo</v>
      </c>
      <c r="FO345" s="274" t="str">
        <f t="shared" si="81"/>
        <v>xxoxooxoxox</v>
      </c>
      <c r="FP345" s="234" t="str">
        <f t="shared" si="82"/>
        <v>|</v>
      </c>
      <c r="FQ345" s="236" t="str">
        <f t="shared" si="83"/>
        <v>-</v>
      </c>
      <c r="FR345" s="237" t="str">
        <f t="shared" si="84"/>
        <v>|</v>
      </c>
      <c r="FS345" s="236" t="str">
        <f t="shared" si="85"/>
        <v>-</v>
      </c>
      <c r="FT345" s="237" t="str">
        <f t="shared" si="86"/>
        <v>-</v>
      </c>
      <c r="FU345" s="236" t="str">
        <f t="shared" si="87"/>
        <v>|</v>
      </c>
      <c r="FV345" s="237" t="str">
        <f t="shared" si="88"/>
        <v>-</v>
      </c>
      <c r="FW345" s="236" t="str">
        <f t="shared" si="89"/>
        <v>|</v>
      </c>
      <c r="FX345" s="237" t="str">
        <f t="shared" si="90"/>
        <v>-</v>
      </c>
      <c r="FY345" s="236" t="str">
        <f t="shared" si="91"/>
        <v>|</v>
      </c>
      <c r="FZ345" s="237" t="str">
        <f t="shared" si="92"/>
        <v>|</v>
      </c>
      <c r="GA345" s="236" t="str">
        <f t="shared" si="93"/>
        <v>|</v>
      </c>
      <c r="GB345" s="238" t="str">
        <f t="shared" si="94"/>
        <v>|</v>
      </c>
      <c r="GC345" s="244" t="str">
        <f>IFERROR(__xludf.DUMMYFUNCTION("IF(REGEXMATCH(C345, ""S""), ""1"","""")"),"1")</f>
        <v>1</v>
      </c>
      <c r="GD345" s="245" t="str">
        <f>IFERROR(__xludf.DUMMYFUNCTION("IF(REGEXMATCH(C345, ""r""), ""b2"","""")"),"")</f>
        <v/>
      </c>
      <c r="GE345" s="246" t="str">
        <f>IFERROR(__xludf.DUMMYFUNCTION("IF(REGEXMATCH(C345, ""R""), ""2"","""")"),"2")</f>
        <v>2</v>
      </c>
      <c r="GF345" s="246" t="str">
        <f>IFERROR(__xludf.DUMMYFUNCTION("IF(REGEXMATCH(C345, ""g""), ""b3"","""")"),"")</f>
        <v/>
      </c>
      <c r="GG345" s="245" t="str">
        <f>IFERROR(__xludf.DUMMYFUNCTION("IF(REGEXMATCH(C345, ""G""), ""3"","""")"),"")</f>
        <v/>
      </c>
      <c r="GH345" s="245" t="str">
        <f>IFERROR(__xludf.DUMMYFUNCTION("IF(REGEXMATCH(C345, ""m""), ""4"","""")"),"4")</f>
        <v>4</v>
      </c>
      <c r="GI345" s="246" t="str">
        <f>IFERROR(__xludf.DUMMYFUNCTION("IF(REGEXMATCH(C345, ""M""), ""#4"","""")"),"")</f>
        <v/>
      </c>
      <c r="GJ345" s="245" t="str">
        <f>IFERROR(__xludf.DUMMYFUNCTION("IF(REGEXMATCH(C345, ""P""), ""5"","""")"),"5")</f>
        <v>5</v>
      </c>
      <c r="GK345" s="246" t="str">
        <f>IFERROR(__xludf.DUMMYFUNCTION("IF(REGEXMATCH(C345, ""d""), ""b6"","""")"),"")</f>
        <v/>
      </c>
      <c r="GL345" s="245" t="str">
        <f>IFERROR(__xludf.DUMMYFUNCTION("IF(REGEXMATCH(C345, ""D""), ""6"","""")"),"6")</f>
        <v>6</v>
      </c>
      <c r="GM345" s="245" t="str">
        <f>IFERROR(__xludf.DUMMYFUNCTION("IF(REGEXMATCH(C345, ""n""), ""b7"","""")"),"b7")</f>
        <v>b7</v>
      </c>
      <c r="GN345" s="246" t="str">
        <f>IFERROR(__xludf.DUMMYFUNCTION("IF(REGEXMATCH(C345, ""N""), ""7"","""")"),"7")</f>
        <v>7</v>
      </c>
      <c r="GO345" s="249" t="str">
        <f>IFERROR(__xludf.DUMMYFUNCTION("IF(REGEXMATCH(C345, ""S""), ""8"","""")"),"8")</f>
        <v>8</v>
      </c>
      <c r="GP345" s="244" t="str">
        <f>IFERROR(__xludf.DUMMYFUNCTION("IF(REGEXMATCH(C345, ""S""), ""S"","""")"),"S")</f>
        <v>S</v>
      </c>
      <c r="GQ345" s="294" t="str">
        <f>IFERROR(__xludf.DUMMYFUNCTION("IF(REGEXMATCH(C345, ""r""), ""R1"","""")"),"")</f>
        <v/>
      </c>
      <c r="GR345" s="295" t="str">
        <f>IFERROR(__xludf.DUMMYFUNCTION("IF(REGEXMATCH(C345, ""R""), ""R2"","""")"),"R2")</f>
        <v>R2</v>
      </c>
      <c r="GS345" s="295" t="str">
        <f>IFERROR(__xludf.DUMMYFUNCTION("IF(REGEXMATCH(C345, ""g""), ""G2"","""")"),"")</f>
        <v/>
      </c>
      <c r="GT345" s="294" t="str">
        <f>IFERROR(__xludf.DUMMYFUNCTION("IF(REGEXMATCH(C345, ""G""), ""G3"","""")"),"")</f>
        <v/>
      </c>
      <c r="GU345" s="294" t="str">
        <f>IFERROR(__xludf.DUMMYFUNCTION("IF(REGEXMATCH(C345, ""m""), ""M1"","""")"),"M1")</f>
        <v>M1</v>
      </c>
      <c r="GV345" s="295" t="str">
        <f>IFERROR(__xludf.DUMMYFUNCTION("IF(REGEXMATCH(C345, ""M""), ""M2"","""")"),"")</f>
        <v/>
      </c>
      <c r="GW345" s="294" t="str">
        <f>IFERROR(__xludf.DUMMYFUNCTION("IF(REGEXMATCH(C345, ""P""), ""P"","""")"),"P")</f>
        <v>P</v>
      </c>
      <c r="GX345" s="295" t="str">
        <f>IFERROR(__xludf.DUMMYFUNCTION("IF(REGEXMATCH(C345, ""d""), ""D1"","""")"),"")</f>
        <v/>
      </c>
      <c r="GY345" s="294" t="str">
        <f>IFERROR(__xludf.DUMMYFUNCTION("IF(REGEXMATCH(C345, ""D""), ""D2"","""")"),"D2")</f>
        <v>D2</v>
      </c>
      <c r="GZ345" s="294" t="str">
        <f>IFERROR(__xludf.DUMMYFUNCTION("IF(REGEXMATCH(C345, ""n""), ""N2"","""")"),"N2")</f>
        <v>N2</v>
      </c>
      <c r="HA345" s="295" t="str">
        <f>IFERROR(__xludf.DUMMYFUNCTION("IF(REGEXMATCH(C345, ""N""), ""N3"","""")"),"N3")</f>
        <v>N3</v>
      </c>
      <c r="HB345" s="249" t="str">
        <f>IFERROR(__xludf.DUMMYFUNCTION("IF(REGEXMATCH(C345, ""S""), ""S"","""")"),"S")</f>
        <v>S</v>
      </c>
      <c r="HC345" s="331" t="str">
        <f t="shared" si="95"/>
        <v>S</v>
      </c>
      <c r="HD345" s="332" t="str">
        <f t="shared" si="96"/>
        <v>r</v>
      </c>
      <c r="HE345" s="332" t="str">
        <f t="shared" si="97"/>
        <v>R</v>
      </c>
      <c r="HF345" s="332" t="str">
        <f t="shared" si="98"/>
        <v>g</v>
      </c>
      <c r="HG345" s="332" t="str">
        <f t="shared" si="99"/>
        <v/>
      </c>
      <c r="HH345" s="332" t="str">
        <f t="shared" si="100"/>
        <v>m</v>
      </c>
      <c r="HI345" s="332" t="str">
        <f t="shared" si="101"/>
        <v/>
      </c>
      <c r="HJ345" s="332" t="str">
        <f t="shared" si="102"/>
        <v>P</v>
      </c>
      <c r="HK345" s="332" t="str">
        <f t="shared" si="103"/>
        <v/>
      </c>
      <c r="HL345" s="332" t="str">
        <f t="shared" si="104"/>
        <v/>
      </c>
      <c r="HM345" s="332" t="str">
        <f t="shared" si="105"/>
        <v>n</v>
      </c>
      <c r="HN345" s="332" t="str">
        <f t="shared" si="106"/>
        <v/>
      </c>
      <c r="HO345" s="343" t="str">
        <f t="shared" si="107"/>
        <v>S</v>
      </c>
      <c r="HP345" s="331" t="str">
        <f t="shared" si="108"/>
        <v>o</v>
      </c>
      <c r="HQ345" s="332" t="str">
        <f t="shared" si="109"/>
        <v>•</v>
      </c>
      <c r="HR345" s="332" t="str">
        <f t="shared" si="110"/>
        <v>o</v>
      </c>
      <c r="HS345" s="332" t="str">
        <f t="shared" si="111"/>
        <v>•</v>
      </c>
      <c r="HT345" s="332" t="str">
        <f t="shared" si="112"/>
        <v>•</v>
      </c>
      <c r="HU345" s="332" t="str">
        <f t="shared" si="113"/>
        <v>o</v>
      </c>
      <c r="HV345" s="332" t="str">
        <f t="shared" si="114"/>
        <v>•</v>
      </c>
      <c r="HW345" s="332" t="str">
        <f t="shared" si="115"/>
        <v>o</v>
      </c>
      <c r="HX345" s="332" t="str">
        <f t="shared" si="116"/>
        <v>•</v>
      </c>
      <c r="HY345" s="332" t="str">
        <f t="shared" si="117"/>
        <v>o</v>
      </c>
      <c r="HZ345" s="332" t="str">
        <f t="shared" si="118"/>
        <v>o</v>
      </c>
      <c r="IA345" s="332" t="str">
        <f t="shared" si="119"/>
        <v>o</v>
      </c>
      <c r="IB345" s="338" t="str">
        <f t="shared" si="120"/>
        <v>o</v>
      </c>
      <c r="IC345" s="331" t="str">
        <f t="shared" si="121"/>
        <v>•</v>
      </c>
      <c r="ID345" s="332" t="str">
        <f t="shared" si="122"/>
        <v>o</v>
      </c>
      <c r="IE345" s="332" t="str">
        <f t="shared" si="123"/>
        <v>•</v>
      </c>
      <c r="IF345" s="332" t="str">
        <f t="shared" si="124"/>
        <v>o</v>
      </c>
      <c r="IG345" s="332" t="str">
        <f t="shared" si="125"/>
        <v>o</v>
      </c>
      <c r="IH345" s="332" t="str">
        <f t="shared" si="126"/>
        <v>•</v>
      </c>
      <c r="II345" s="332" t="str">
        <f t="shared" si="127"/>
        <v>o</v>
      </c>
      <c r="IJ345" s="332" t="str">
        <f t="shared" si="128"/>
        <v>•</v>
      </c>
      <c r="IK345" s="332" t="str">
        <f t="shared" si="129"/>
        <v>o</v>
      </c>
      <c r="IL345" s="332" t="str">
        <f t="shared" si="130"/>
        <v>•</v>
      </c>
      <c r="IM345" s="332" t="str">
        <f t="shared" si="131"/>
        <v>•</v>
      </c>
      <c r="IN345" s="332" t="str">
        <f t="shared" si="132"/>
        <v>•</v>
      </c>
      <c r="IO345" s="338" t="str">
        <f t="shared" si="133"/>
        <v>•</v>
      </c>
      <c r="IP345" s="346" t="b">
        <f t="shared" si="134"/>
        <v>0</v>
      </c>
      <c r="IQ345" s="347" t="b">
        <f t="shared" si="135"/>
        <v>0</v>
      </c>
      <c r="IR345" s="347" t="b">
        <f t="shared" si="136"/>
        <v>0</v>
      </c>
      <c r="IS345" s="347" t="b">
        <f t="shared" si="137"/>
        <v>0</v>
      </c>
      <c r="IT345" s="347" t="b">
        <f t="shared" si="138"/>
        <v>0</v>
      </c>
      <c r="IU345" s="347" t="b">
        <f t="shared" si="139"/>
        <v>0</v>
      </c>
      <c r="IV345" s="347" t="b">
        <f t="shared" si="140"/>
        <v>0</v>
      </c>
      <c r="IW345" s="347" t="b">
        <f t="shared" si="141"/>
        <v>0</v>
      </c>
      <c r="IX345" s="347" t="b">
        <f t="shared" si="142"/>
        <v>0</v>
      </c>
      <c r="IY345" s="347" t="b">
        <f t="shared" si="143"/>
        <v>1</v>
      </c>
      <c r="IZ345" s="347" t="b">
        <f t="shared" si="144"/>
        <v>0</v>
      </c>
      <c r="JA345" s="347" t="b">
        <f t="shared" si="145"/>
        <v>1</v>
      </c>
      <c r="JB345" s="353" t="b">
        <f t="shared" si="146"/>
        <v>0</v>
      </c>
      <c r="JC345" s="354" t="str">
        <f t="shared" si="147"/>
        <v/>
      </c>
      <c r="JD345" s="355" t="str">
        <f t="shared" si="148"/>
        <v/>
      </c>
      <c r="JE345" s="355" t="str">
        <f t="shared" si="149"/>
        <v/>
      </c>
      <c r="JF345" s="355" t="str">
        <f t="shared" si="150"/>
        <v/>
      </c>
      <c r="JG345" s="355" t="str">
        <f t="shared" si="151"/>
        <v/>
      </c>
      <c r="JH345" s="355" t="str">
        <f t="shared" si="152"/>
        <v/>
      </c>
      <c r="JI345" s="355" t="str">
        <f t="shared" si="153"/>
        <v/>
      </c>
      <c r="JJ345" s="355" t="str">
        <f t="shared" si="154"/>
        <v/>
      </c>
      <c r="JK345" s="355" t="str">
        <f t="shared" si="155"/>
        <v/>
      </c>
      <c r="JL345" s="355" t="str">
        <f t="shared" si="156"/>
        <v>Dha, </v>
      </c>
      <c r="JM345" s="355" t="str">
        <f t="shared" si="157"/>
        <v/>
      </c>
      <c r="JN345" s="355" t="str">
        <f t="shared" si="158"/>
        <v>Ni, </v>
      </c>
      <c r="JO345" s="359" t="str">
        <f t="shared" si="159"/>
        <v/>
      </c>
      <c r="JP345" s="346" t="b">
        <f t="shared" si="160"/>
        <v>0</v>
      </c>
      <c r="JQ345" s="347" t="b">
        <f t="shared" si="161"/>
        <v>0</v>
      </c>
      <c r="JR345" s="347" t="b">
        <f t="shared" si="162"/>
        <v>0</v>
      </c>
      <c r="JS345" s="347" t="b">
        <f t="shared" si="163"/>
        <v>0</v>
      </c>
      <c r="JT345" s="347" t="b">
        <f t="shared" si="164"/>
        <v>0</v>
      </c>
      <c r="JU345" s="347" t="b">
        <f t="shared" si="165"/>
        <v>0</v>
      </c>
      <c r="JV345" s="347" t="b">
        <f t="shared" si="166"/>
        <v>0</v>
      </c>
      <c r="JW345" s="347" t="b">
        <f t="shared" si="167"/>
        <v>0</v>
      </c>
      <c r="JX345" s="347" t="b">
        <f t="shared" si="168"/>
        <v>0</v>
      </c>
      <c r="JY345" s="347" t="b">
        <f t="shared" si="169"/>
        <v>0</v>
      </c>
      <c r="JZ345" s="347" t="b">
        <f t="shared" si="170"/>
        <v>0</v>
      </c>
      <c r="KA345" s="347" t="b">
        <f t="shared" si="171"/>
        <v>1</v>
      </c>
      <c r="KB345" s="365" t="b">
        <f t="shared" si="172"/>
        <v>0</v>
      </c>
      <c r="KC345" s="354" t="str">
        <f t="shared" si="173"/>
        <v/>
      </c>
      <c r="KD345" s="355" t="str">
        <f t="shared" si="174"/>
        <v/>
      </c>
      <c r="KE345" s="355" t="str">
        <f t="shared" si="175"/>
        <v/>
      </c>
      <c r="KF345" s="355" t="str">
        <f t="shared" si="176"/>
        <v/>
      </c>
      <c r="KG345" s="355" t="str">
        <f t="shared" si="177"/>
        <v/>
      </c>
      <c r="KH345" s="355" t="str">
        <f t="shared" si="178"/>
        <v/>
      </c>
      <c r="KI345" s="355" t="str">
        <f t="shared" si="179"/>
        <v/>
      </c>
      <c r="KJ345" s="355" t="str">
        <f t="shared" si="180"/>
        <v/>
      </c>
      <c r="KK345" s="355" t="str">
        <f t="shared" si="181"/>
        <v/>
      </c>
      <c r="KL345" s="355" t="str">
        <f t="shared" si="182"/>
        <v/>
      </c>
      <c r="KM345" s="355" t="str">
        <f t="shared" si="183"/>
        <v/>
      </c>
      <c r="KN345" s="355" t="str">
        <f t="shared" si="184"/>
        <v>Ni, </v>
      </c>
      <c r="KO345" s="359"/>
      <c r="KP345" s="378"/>
      <c r="KQ345" s="379" t="s">
        <v>1434</v>
      </c>
      <c r="KR345" s="380" t="s">
        <v>1387</v>
      </c>
      <c r="KS345" s="381" t="str">
        <f t="shared" si="921"/>
        <v>S-R-m-P-N-S</v>
      </c>
      <c r="KT345" s="382">
        <f t="shared" si="186"/>
        <v>5</v>
      </c>
      <c r="KU345" s="383">
        <f t="shared" si="187"/>
        <v>5</v>
      </c>
      <c r="KV345" s="381" t="str">
        <f t="shared" si="205"/>
        <v>S-n-D-P-m-R-S</v>
      </c>
      <c r="KW345" s="382">
        <f t="shared" si="189"/>
        <v>6</v>
      </c>
      <c r="KX345" s="384">
        <f t="shared" si="190"/>
        <v>6</v>
      </c>
      <c r="KY345" s="382">
        <f t="shared" ref="KY345:KZ345" si="924">KW345-KT345</f>
        <v>1</v>
      </c>
      <c r="KZ345" s="369">
        <f t="shared" si="924"/>
        <v>1</v>
      </c>
      <c r="LA345" s="385" t="str">
        <f t="shared" si="192"/>
        <v>-</v>
      </c>
      <c r="LB345" s="340" t="str">
        <f>IFERROR(__xludf.DUMMYFUNCTION("JOIN("""",ArrayFormula(MID(KS345,LEN(KS345)-SEQUENCE(1,LEN(KS345))+1,1)))"),"S-N-P-m-R-S")</f>
        <v>S-N-P-m-R-S</v>
      </c>
      <c r="LC345" s="373" t="str">
        <f>IFERROR(__xludf.DUMMYFUNCTION("JOIN("""",ArrayFormula(MID(KV345,LEN(KV345)-SEQUENCE(1,LEN(KV345))+1,1)))"),"S-R-m-P-D-n-S")</f>
        <v>S-R-m-P-D-n-S</v>
      </c>
      <c r="LD345" s="373" t="str">
        <f t="shared" si="193"/>
        <v>SRmPNS</v>
      </c>
      <c r="LE345" s="339" t="str">
        <f t="shared" si="194"/>
        <v>SRmPDnS</v>
      </c>
      <c r="LF345" s="386" t="str">
        <f>IFERROR(__xludf.DUMMYFUNCTION("SUBSTITUTE(SUBSTITUTE(CONCATENATE(JOIN("""",LH345:LT345)),""1"",""""),""2"","""")"),"SRmPDnNS")</f>
        <v>SRmPDnNS</v>
      </c>
      <c r="LG345" s="369" t="str">
        <f t="shared" si="195"/>
        <v>✔</v>
      </c>
      <c r="LH345" s="387" t="str">
        <f>IFERROR(__xludf.DUMMYFUNCTION("IF(REGEXMATCH(LD345, ""S""), ""S"",IF(REGEXMATCH(LE345, ""S""), ""S"",""""))"),"S")</f>
        <v>S</v>
      </c>
      <c r="LI345" s="299" t="str">
        <f>IFERROR(__xludf.DUMMYFUNCTION("IF(REGEXMATCH(LD345, ""r""), ""r1"",IF(REGEXMATCH(LE345, ""r""), ""r2"",""""))"),"")</f>
        <v/>
      </c>
      <c r="LJ345" s="299" t="str">
        <f>IFERROR(__xludf.DUMMYFUNCTION("IF(REGEXMATCH(LD345, ""R""), ""R1"",IF(REGEXMATCH(LE345, ""R""), ""R2"",""""))"),"R1")</f>
        <v>R1</v>
      </c>
      <c r="LK345" s="299" t="str">
        <f>IFERROR(__xludf.DUMMYFUNCTION("IF(REGEXMATCH(LD345, ""g""), ""g1"",IF(REGEXMATCH(LE345, ""g""), ""g2"",""""))"),"")</f>
        <v/>
      </c>
      <c r="LL345" s="299" t="str">
        <f>IFERROR(__xludf.DUMMYFUNCTION("IF(REGEXMATCH(LD345, ""G""), ""G1"",IF(REGEXMATCH(LE345, ""G""), ""G2"",""""))"),"")</f>
        <v/>
      </c>
      <c r="LM345" s="299" t="str">
        <f>IFERROR(__xludf.DUMMYFUNCTION("IF(REGEXMATCH(LD345, ""m""), ""m1"",IF(REGEXMATCH(LE345, ""m""), ""m2"",""""))"),"m1")</f>
        <v>m1</v>
      </c>
      <c r="LN345" s="299" t="str">
        <f>IFERROR(__xludf.DUMMYFUNCTION("IF(REGEXMATCH(LD345, ""M""), ""M1"",IF(REGEXMATCH(LE345, ""M""), ""M2"",""""))"),"")</f>
        <v/>
      </c>
      <c r="LO345" s="299" t="str">
        <f>IFERROR(__xludf.DUMMYFUNCTION("IF(REGEXMATCH(LD345, ""P""), ""P1"",IF(REGEXMATCH(LE345, ""P""), ""P2"",""""))"),"P1")</f>
        <v>P1</v>
      </c>
      <c r="LP345" s="299" t="str">
        <f>IFERROR(__xludf.DUMMYFUNCTION("IF(REGEXMATCH(LD345, ""d""), ""d1"",IF(REGEXMATCH(LE345, ""d""), ""d2"",""""))"),"")</f>
        <v/>
      </c>
      <c r="LQ345" s="299" t="str">
        <f>IFERROR(__xludf.DUMMYFUNCTION("IF(REGEXMATCH(LD345, ""D""), ""D1"",IF(REGEXMATCH(LE345, ""D""), ""D2"",""""))"),"D2")</f>
        <v>D2</v>
      </c>
      <c r="LR345" s="299" t="str">
        <f>IFERROR(__xludf.DUMMYFUNCTION("IF(REGEXMATCH(LD345, ""n""), ""n1"",IF(REGEXMATCH(LE345, ""n""), ""n2"",""""))"),"n2")</f>
        <v>n2</v>
      </c>
      <c r="LS345" s="299" t="str">
        <f>IFERROR(__xludf.DUMMYFUNCTION("IF(REGEXMATCH(LD345, ""N""), ""N1"",IF(REGEXMATCH(LE345, ""N""), ""N2"",""""))"),"N1")</f>
        <v>N1</v>
      </c>
      <c r="LT345" s="388" t="str">
        <f>IFERROR(__xludf.DUMMYFUNCTION("IF(REGEXMATCH(LD345, ""S""), ""S"",IF(REGEXMATCH(LE345, ""S""), ""S"",""""))"),"S")</f>
        <v>S</v>
      </c>
      <c r="LU345" s="389">
        <f t="shared" si="196"/>
        <v>-1</v>
      </c>
      <c r="LV345" s="378"/>
      <c r="LW345" s="369"/>
      <c r="LX345" s="369"/>
    </row>
    <row r="346" ht="18.0" customHeight="1">
      <c r="A346" s="298" t="s">
        <v>1206</v>
      </c>
      <c r="B346" s="222" t="s">
        <v>554</v>
      </c>
      <c r="C346" s="233" t="str">
        <f t="shared" si="7"/>
        <v>SRGmPDNS</v>
      </c>
      <c r="D346" s="234" t="str">
        <f>IFERROR(__xludf.DUMMYFUNCTION("IF(REGEXMATCH(C346, ""S""), ""S"","""")"),"S")</f>
        <v>S</v>
      </c>
      <c r="E346" s="236" t="str">
        <f>IFERROR(__xludf.DUMMYFUNCTION("IF(REGEXMATCH(C346, ""r""), ""r"","""")"),"")</f>
        <v/>
      </c>
      <c r="F346" s="237" t="str">
        <f>IFERROR(__xludf.DUMMYFUNCTION("IF(REGEXMATCH(C346, ""R""), ""R"","""")"),"R")</f>
        <v>R</v>
      </c>
      <c r="G346" s="237" t="str">
        <f>IFERROR(__xludf.DUMMYFUNCTION("IF(REGEXMATCH(C346, ""g""), ""g"","""")"),"")</f>
        <v/>
      </c>
      <c r="H346" s="236" t="str">
        <f>IFERROR(__xludf.DUMMYFUNCTION("IF(REGEXMATCH(C346, ""G""), ""G"","""")"),"G")</f>
        <v>G</v>
      </c>
      <c r="I346" s="236" t="str">
        <f>IFERROR(__xludf.DUMMYFUNCTION("IF(REGEXMATCH(C346, ""m""), ""m"","""")"),"m")</f>
        <v>m</v>
      </c>
      <c r="J346" s="237" t="str">
        <f>IFERROR(__xludf.DUMMYFUNCTION("IF(REGEXMATCH(C346, ""M""), ""M"","""")"),"")</f>
        <v/>
      </c>
      <c r="K346" s="236" t="str">
        <f>IFERROR(__xludf.DUMMYFUNCTION("IF(REGEXMATCH(C346, ""P""), ""P"","""")"),"P")</f>
        <v>P</v>
      </c>
      <c r="L346" s="237" t="str">
        <f>IFERROR(__xludf.DUMMYFUNCTION("IF(REGEXMATCH(C346, ""d""), ""d"","""")"),"")</f>
        <v/>
      </c>
      <c r="M346" s="236" t="str">
        <f>IFERROR(__xludf.DUMMYFUNCTION("IF(REGEXMATCH(C346, ""D""), ""D"","""")"),"D")</f>
        <v>D</v>
      </c>
      <c r="N346" s="236" t="str">
        <f>IFERROR(__xludf.DUMMYFUNCTION("IF(REGEXMATCH(C346, ""n""), ""n"","""")"),"")</f>
        <v/>
      </c>
      <c r="O346" s="237" t="str">
        <f>IFERROR(__xludf.DUMMYFUNCTION("IF(REGEXMATCH(C346, ""N""), ""N"","""")"),"N")</f>
        <v>N</v>
      </c>
      <c r="P346" s="238" t="str">
        <f>IFERROR(__xludf.DUMMYFUNCTION("IF(REGEXMATCH(C346, ""S""), ""S"","""")"),"S")</f>
        <v>S</v>
      </c>
      <c r="Q346" s="239" t="str">
        <f>IFERROR(__xludf.DUMMYFUNCTION("SUBSTITUTE(CONCATENATE(JOIN(""-"",D346:J346)),""-"","""")"),"SRGm")</f>
        <v>SRGm</v>
      </c>
      <c r="R346" s="229" t="str">
        <f>IFERROR(__xludf.DUMMYFUNCTION("SUBSTITUTE(CONCATENATE(JOIN(""-"",K346:P346)),""-"","""")"),"PDNS")</f>
        <v>PDNS</v>
      </c>
      <c r="S346" s="282" t="str">
        <f t="shared" si="8"/>
        <v>S-R-G-M</v>
      </c>
      <c r="T346" s="282" t="str">
        <f t="shared" si="9"/>
        <v>P-D-N-S</v>
      </c>
      <c r="U346" s="237" t="str">
        <f>IFERROR(__xludf.DUMMYFUNCTION("SUBSTITUTE(JOIN(""-"",S346,T346),""--"",""-"")"),"S-R-G-M-P-D-N-S")</f>
        <v>S-R-G-M-P-D-N-S</v>
      </c>
      <c r="V346" s="309" t="str">
        <f t="shared" si="10"/>
        <v>RGmDN</v>
      </c>
      <c r="W346" s="244" t="str">
        <f>IFERROR(__xludf.DUMMYFUNCTION("IF(REGEXMATCH(C346, ""S""), ""0"","""")"),"0")</f>
        <v>0</v>
      </c>
      <c r="X346" s="245" t="str">
        <f>IFERROR(__xludf.DUMMYFUNCTION("IF(REGEXMATCH(C346, ""r""), ""1"","""")"),"")</f>
        <v/>
      </c>
      <c r="Y346" s="246" t="str">
        <f>IFERROR(__xludf.DUMMYFUNCTION("IF(REGEXMATCH(C346, ""R""), ""2"","""")"),"2")</f>
        <v>2</v>
      </c>
      <c r="Z346" s="246" t="str">
        <f>IFERROR(__xludf.DUMMYFUNCTION("IF(REGEXMATCH(C346, ""g""), ""3"","""")"),"")</f>
        <v/>
      </c>
      <c r="AA346" s="245" t="str">
        <f>IFERROR(__xludf.DUMMYFUNCTION("IF(REGEXMATCH(C346, ""G""), ""4"","""")"),"4")</f>
        <v>4</v>
      </c>
      <c r="AB346" s="245" t="str">
        <f>IFERROR(__xludf.DUMMYFUNCTION("IF(REGEXMATCH(C346, ""m""), ""5"","""")"),"5")</f>
        <v>5</v>
      </c>
      <c r="AC346" s="246" t="str">
        <f>IFERROR(__xludf.DUMMYFUNCTION("IF(REGEXMATCH(C346, ""M""), ""6"","""")"),"")</f>
        <v/>
      </c>
      <c r="AD346" s="245" t="str">
        <f>IFERROR(__xludf.DUMMYFUNCTION("IF(REGEXMATCH(C346, ""P""), ""7"","""")"),"7")</f>
        <v>7</v>
      </c>
      <c r="AE346" s="246" t="str">
        <f>IFERROR(__xludf.DUMMYFUNCTION("IF(REGEXMATCH(C346, ""d""), ""8"","""")"),"")</f>
        <v/>
      </c>
      <c r="AF346" s="245" t="str">
        <f>IFERROR(__xludf.DUMMYFUNCTION("IF(REGEXMATCH(C346, ""D""), ""9"","""")"),"9")</f>
        <v>9</v>
      </c>
      <c r="AG346" s="245" t="str">
        <f>IFERROR(__xludf.DUMMYFUNCTION("IF(REGEXMATCH(C346, ""n""), ""10"","""")"),"")</f>
        <v/>
      </c>
      <c r="AH346" s="246" t="str">
        <f>IFERROR(__xludf.DUMMYFUNCTION("IF(REGEXMATCH(C346, ""N""), ""11"","""")"),"11")</f>
        <v>11</v>
      </c>
      <c r="AI346" s="249" t="str">
        <f>IFERROR(__xludf.DUMMYFUNCTION("IF(REGEXMATCH(C346, ""S""), ""0"","""")"),"0")</f>
        <v>0</v>
      </c>
      <c r="AJ346" s="313" t="str">
        <f t="shared" si="11"/>
        <v>-</v>
      </c>
      <c r="AK346" s="313" t="str">
        <f t="shared" si="12"/>
        <v>-</v>
      </c>
      <c r="AL346" s="313" t="str">
        <f t="shared" si="13"/>
        <v>-</v>
      </c>
      <c r="AM346" s="313" t="str">
        <f t="shared" si="14"/>
        <v>-</v>
      </c>
      <c r="AN346" s="313" t="str">
        <f t="shared" si="15"/>
        <v>-</v>
      </c>
      <c r="AO346" s="314" t="str">
        <f t="shared" si="16"/>
        <v>T</v>
      </c>
      <c r="AP346" s="316">
        <f t="shared" si="17"/>
        <v>1</v>
      </c>
      <c r="AQ346" s="319" t="str">
        <f t="shared" si="18"/>
        <v>-</v>
      </c>
      <c r="AR346" s="320">
        <f t="shared" si="19"/>
        <v>0</v>
      </c>
      <c r="AS346" s="250" t="str">
        <f>IFERROR(__xludf.DUMMYFUNCTION("SUBSTITUTE(SUBSTITUTE(CONCATENATE(JOIN("""",FP346:GA346)),""|"",""x""),""-"",""o"")"),"xoxoxxoxoxox")</f>
        <v>xoxoxxoxoxox</v>
      </c>
      <c r="AT346" s="323" t="str">
        <f>IFERROR(__xludf.DUMMYFUNCTION("JOIN("""",AS346,AS346)"),"xoxoxxoxoxoxxoxoxxoxoxox")</f>
        <v>xoxoxxoxoxoxxoxoxxoxoxox</v>
      </c>
      <c r="AU346" s="256" t="str">
        <f>IFERROR(__xludf.DUMMYFUNCTION("JOIN("""",ArrayFormula(MID(AS346,LEN(AS346)-SEQUENCE(1,LEN(AS346))+1,1)))"),"xoxoxoxxoxox")</f>
        <v>xoxoxoxxoxox</v>
      </c>
      <c r="AV346" s="256" t="str">
        <f>IFERROR(__xludf.DUMMYFUNCTION("LEFT(CONCATENATE(""x"",JOIN("""",ArrayFormula(MID(AS346,LEN(AS346)-SEQUENCE(1,LEN(AS346))+1,1)))),12)"),"xxoxoxoxxoxo")</f>
        <v>xxoxoxoxxoxo</v>
      </c>
      <c r="AW346" s="327" t="str">
        <f>IFERROR(__xludf.DUMMYFUNCTION("JOIN("""",AU346,AU346)"),"xoxoxoxxoxoxxoxoxoxxoxox")</f>
        <v>xoxoxoxxoxoxxoxoxoxxoxox</v>
      </c>
      <c r="AX346" s="239" t="str">
        <f>IFERROR(__xludf.DUMMYFUNCTION("IF(REGEXMATCH(AW346,AS346),""✔"",""-"")"),"✔")</f>
        <v>✔</v>
      </c>
      <c r="AY346" s="330" t="str">
        <f t="shared" si="20"/>
        <v>-</v>
      </c>
      <c r="AZ346" s="260" t="str">
        <f t="shared" si="21"/>
        <v>#REF!</v>
      </c>
      <c r="BA346" s="333" t="str">
        <f t="shared" si="22"/>
        <v>xoxoxxo</v>
      </c>
      <c r="BB346" s="334" t="str">
        <f t="shared" si="23"/>
        <v>xoxoxx</v>
      </c>
      <c r="BC346" s="335" t="str">
        <f t="shared" si="236"/>
        <v>✔</v>
      </c>
      <c r="BD346" s="336" t="str">
        <f t="shared" si="25"/>
        <v>Swanandi: 'xoxoxxo' + 'xoxoxx'</v>
      </c>
      <c r="BE346" s="337">
        <f>IFERROR(__xludf.DUMMYFUNCTION("COUNTUNIQUE(FILTER(AT:AT,REGEXMATCH(AT:AT,AS346)))-1"),6.0)</f>
        <v>6</v>
      </c>
      <c r="BF346" s="261" t="str">
        <f>IFERROR(__xludf.DUMMYFUNCTION("IF(BI346=0,""(n/a)"",IF(BJ346=2,""(PAIR)"",IF(REGEXMATCH(AT346,""xoxoxxoxoxox""),""Bilawal"",IF(REGEXMATCH(AT346,""xoxoxooxoxoo""),""Bhupali"",IF(REGEXMATCH(AT346,""xoxoxxoxxoxo""),""Charukeshi"",IF(REGEXMATCH(AT346,""xoxoooxxoxxo""),""Kameshwari"",IF(REG"&amp;"EXMATCH(AT346,""xoxoxooxoxox""),""Shankara"",IF(REGEXMATCH(AT346,""xxooxoxxxoox""),""Basant"",IF(REGEXMATCH(AT346,""xoxoxxxxoxox""),""Bihag"",IF(REGEXMATCH(AT346,""xoxxxxoxoxxx""),""Pilu"",IF(REGEXMATCH(AT346,""xoxxoxoxxoox""),""Kirwani"",IF(REGEXMATCH(AT"&amp;"346,""xoxxoxoxoxxx""),""Mk.Malhar"",IF(REGEXMATCH(AT346,""xxooxxoxxoox""),""Bhairav"",IF(REGEXMATCH(AT346,""xxoxooxxxoox""),""Todi"",IF(REGEXMATCH(AT346,""xxooxoxooxox""),""Marwa"",IF(REGEXMATCH(AT346,""xxoooxoxxooo""),""Gunkali"",IF(REGEXMATCH(AT346,""xo"&amp;"xoxxoxxoox""),""Nat Bhairav"",IF(REGEXMATCH(AT346,""xoxxoooxoxoo""),""Shivranjani"",IF(REGEXMATCH(AT346,""xooxxxoxooxo""),""Jog"",IF(REGEXMATCH(AT346,""xxooxoxoxoox""),""Hemshri"",IF(REGEXMATCH(AT346,""xoooxooxoxxo""),""Kalavati"",IF(REGEXMATCH(AT346,""xx"&amp;"oxoxxoxoox""),""Kedar"",IF(REGEXMATCH(AT346,""xoxxxxoxooxx""),""Gara"",IF(REGEXMATCH(AT346,""xooxoxooxoox""),""Chandrakauns"",IF(REGEXMATCH(AT346,""xoxxxxoxxxox""),""Mand"",IF(REGEXMATCH(AT346,""xoxxxxoxoxox""),""Hanskinkini"",IF(REGEXMATCH(AT346,""xxooxx"&amp;"oxooxo""),""Lilavati"",IF(REGEXMATCH(AT346,""xooxoxoooxox""),""Rajeshwari"",IF(REGEXMATCH(AT346,""xoooxxoxoxxx""),""Khokar"",IF(REGEXMATCH(AT346,""xxooxoxxxxox""),""Maligoura"",""-""))))))))))))))))))))))))))))))"),"Bilawal")</f>
        <v>Bilawal</v>
      </c>
      <c r="BG346" s="239" t="str">
        <f t="shared" si="26"/>
        <v>#REF!</v>
      </c>
      <c r="BH346" s="239">
        <f>IFERROR(__xludf.DUMMYFUNCTION("COUNTUNIQUE(FE346:FO346)-1"),6.0)</f>
        <v>6</v>
      </c>
      <c r="BI346" s="239">
        <f>IFERROR(__xludf.DUMMYFUNCTION("COUNTUNIQUE(FILTER(AT:AT,REGEXMATCH(AT:AT,AS346)))-1"),6.0)</f>
        <v>6</v>
      </c>
      <c r="BJ346" s="239">
        <f>IFERROR(__xludf.DUMMYFUNCTION("COUNTA(FILTER(AT:AT,REGEXMATCH(AT:AT,AS346)))"),48.0)</f>
        <v>48</v>
      </c>
      <c r="BK346" s="341">
        <f>IFERROR(__xludf.DUMMYFUNCTION("COUNTA(FILTER(AT:AT,REGEXMATCH(AT:AT,AS346)))-AR346"),48.0)</f>
        <v>48</v>
      </c>
      <c r="BL346" s="276" t="str">
        <f>IFERROR(__xludf.DUMMYFUNCTION("IF(AS346=""oooooooooooo"",""-"",IF(REGEXMATCH(AT346,""xx""), ""Hemi."", ""Anhemi.""))"),"Hemi.")</f>
        <v>Hemi.</v>
      </c>
      <c r="BM346" s="282" t="str">
        <f>IFERROR(__xludf.DUMMYFUNCTION("IF(AS346=""oooooooooooo"",""-"",IF(REGEXMATCH(AT346,""xxx""), ""Cohem."", ""-""))"),"-")</f>
        <v>-</v>
      </c>
      <c r="BN346" s="282" t="str">
        <f>IFERROR(__xludf.DUMMYFUNCTION("IF(AS346=""oooooooooooo"",""-"",IF(REGEXMATCH(AT346,""xxxx""), ""Co-Co."", ""-""))"),"-")</f>
        <v>-</v>
      </c>
      <c r="BO346" s="342" t="str">
        <f>IFERROR(__xludf.DUMMYFUNCTION("IF(AS346=""oooooooooooo"",""-"",IF(REGEXMATCH(AT346,""xxxxx""), ""CCC."", ""-""))"),"-")</f>
        <v>-</v>
      </c>
      <c r="BP346" s="344" t="str">
        <f t="shared" si="27"/>
        <v>Bilawal</v>
      </c>
      <c r="BQ346" s="282" t="str">
        <f>IFERROR(__xludf.DUMMYFUNCTION("IF(REGEXMATCH(JOIN(""-"",EU346:FD346),""TRUE""),""✔"",""-"")"),"✔")</f>
        <v>✔</v>
      </c>
      <c r="BR346" s="225">
        <f t="shared" si="28"/>
        <v>1</v>
      </c>
      <c r="BS346" s="345" t="str">
        <f>IFERROR(__xludf.DUMMYFUNCTION("SUBSTITUTE(SUBSTITUTE(SUBSTITUTE(SUBSTITUTE(CONCATENATE(JOIN(""-"",GC346:GO346)),""--"",""-""),""--"",""-""),""--"",""-""),""--"",""-"")"),"1-2-3-4-5-6-7-8")</f>
        <v>1-2-3-4-5-6-7-8</v>
      </c>
      <c r="BT346" s="299" t="str">
        <f>IFERROR(__xludf.DUMMYFUNCTION("SUBSTITUTE(SUBSTITUTE(SUBSTITUTE(SUBSTITUTE(CONCATENATE(JOIN(""-"",GP346:HB346)),""--"",""-""),""--"",""-""),""--"",""-""),""--"",""-"")"),"S-R2-G3-M1-P-D2-N3-S")</f>
        <v>S-R2-G3-M1-P-D2-N3-S</v>
      </c>
      <c r="BU346" s="348" t="str">
        <f t="shared" si="29"/>
        <v>C-D-E-F-G-A-B-C</v>
      </c>
      <c r="BV346" s="349" t="str">
        <f t="shared" si="30"/>
        <v>SrgMdnS</v>
      </c>
      <c r="BW346" s="350">
        <f t="shared" si="31"/>
        <v>1</v>
      </c>
      <c r="BX346" s="351">
        <f t="shared" si="32"/>
        <v>17</v>
      </c>
      <c r="BY346" s="392"/>
      <c r="BZ346" s="309" t="str">
        <f>IFERROR(__xludf.DUMMYFUNCTION("IF(REGEXMATCH(C346, ""S""), ""x"",""x"")"),"x")</f>
        <v>x</v>
      </c>
      <c r="CA346" s="245" t="str">
        <f>IFERROR(__xludf.DUMMYFUNCTION("IF(REGEXMATCH(C346, ""r""), ""o"",""x"")"),"x")</f>
        <v>x</v>
      </c>
      <c r="CB346" s="246" t="str">
        <f>IFERROR(__xludf.DUMMYFUNCTION("IF(REGEXMATCH(C346, ""R""), ""o"",""x"")"),"o")</f>
        <v>o</v>
      </c>
      <c r="CC346" s="246" t="str">
        <f>IFERROR(__xludf.DUMMYFUNCTION("IF(REGEXMATCH(C346, ""g""), ""o"",""x"")"),"x")</f>
        <v>x</v>
      </c>
      <c r="CD346" s="245" t="str">
        <f>IFERROR(__xludf.DUMMYFUNCTION("IF(REGEXMATCH(C346, ""G""), ""o"",""x"")"),"o")</f>
        <v>o</v>
      </c>
      <c r="CE346" s="245" t="str">
        <f>IFERROR(__xludf.DUMMYFUNCTION("IF(REGEXMATCH(C346, ""m""), ""o"",""x"")"),"o")</f>
        <v>o</v>
      </c>
      <c r="CF346" s="246" t="str">
        <f>IFERROR(__xludf.DUMMYFUNCTION("IF(REGEXMATCH(C346, ""M""), ""o"",""x"")"),"x")</f>
        <v>x</v>
      </c>
      <c r="CG346" s="245" t="str">
        <f>IFERROR(__xludf.DUMMYFUNCTION("IF(REGEXMATCH(C346, ""P""), ""o"",""x"")"),"o")</f>
        <v>o</v>
      </c>
      <c r="CH346" s="246" t="str">
        <f>IFERROR(__xludf.DUMMYFUNCTION("IF(REGEXMATCH(C346, ""d""), ""o"",""x"")"),"x")</f>
        <v>x</v>
      </c>
      <c r="CI346" s="245" t="str">
        <f>IFERROR(__xludf.DUMMYFUNCTION("IF(REGEXMATCH(C346, ""D""), ""o"",""x"")"),"o")</f>
        <v>o</v>
      </c>
      <c r="CJ346" s="245" t="str">
        <f>IFERROR(__xludf.DUMMYFUNCTION("IF(REGEXMATCH(C346, ""n""), ""o"",""x"")"),"x")</f>
        <v>x</v>
      </c>
      <c r="CK346" s="245" t="str">
        <f>IFERROR(__xludf.DUMMYFUNCTION("IF(REGEXMATCH(C346, ""N""), ""o"",""x"")"),"o")</f>
        <v>o</v>
      </c>
      <c r="CL346" s="356" t="str">
        <f>IFERROR(__xludf.DUMMYFUNCTION("IF(REGEXMATCH(C346, ""S""), ""x"",""x"")"),"x")</f>
        <v>x</v>
      </c>
      <c r="CM346" s="357" t="str">
        <f t="shared" si="33"/>
        <v>xxoxooxoxoxo</v>
      </c>
      <c r="CN346" s="358">
        <f t="shared" si="34"/>
        <v>1</v>
      </c>
      <c r="CO346" s="246" t="str">
        <f>IFERROR(__xludf.DUMMYFUNCTION("IF(REGEXMATCH($C346, ""S""), ""S"",""S"")"),"S")</f>
        <v>S</v>
      </c>
      <c r="CP346" s="246" t="str">
        <f>IFERROR(__xludf.DUMMYFUNCTION("IF(REGEXMATCH($C346, ""r""), """",""r"")"),"r")</f>
        <v>r</v>
      </c>
      <c r="CQ346" s="246" t="str">
        <f>IFERROR(__xludf.DUMMYFUNCTION("IF(REGEXMATCH($C346, ""R""), """",""R"")"),"")</f>
        <v/>
      </c>
      <c r="CR346" s="246" t="str">
        <f>IFERROR(__xludf.DUMMYFUNCTION("IF(REGEXMATCH($C346, ""g""), """",""g"")"),"g")</f>
        <v>g</v>
      </c>
      <c r="CS346" s="246" t="str">
        <f>IFERROR(__xludf.DUMMYFUNCTION("IF(REGEXMATCH($C346, ""G""), """",""G"")"),"")</f>
        <v/>
      </c>
      <c r="CT346" s="246" t="str">
        <f>IFERROR(__xludf.DUMMYFUNCTION("IF(REGEXMATCH($C346, ""m""), """",""m"")"),"")</f>
        <v/>
      </c>
      <c r="CU346" s="246" t="str">
        <f>IFERROR(__xludf.DUMMYFUNCTION("IF(REGEXMATCH($C346, ""M""), """",""M"")"),"M")</f>
        <v>M</v>
      </c>
      <c r="CV346" s="246" t="str">
        <f>IFERROR(__xludf.DUMMYFUNCTION("IF(REGEXMATCH($C346, ""P""), """",""P"")"),"")</f>
        <v/>
      </c>
      <c r="CW346" s="246" t="str">
        <f>IFERROR(__xludf.DUMMYFUNCTION("IF(REGEXMATCH($C346, ""d""), """",""d"")"),"d")</f>
        <v>d</v>
      </c>
      <c r="CX346" s="246" t="str">
        <f>IFERROR(__xludf.DUMMYFUNCTION("IF(REGEXMATCH($C346, ""D""), """",""D"")"),"")</f>
        <v/>
      </c>
      <c r="CY346" s="246" t="str">
        <f>IFERROR(__xludf.DUMMYFUNCTION("IF(REGEXMATCH($C346, ""n""), """",""n"")"),"n")</f>
        <v>n</v>
      </c>
      <c r="CZ346" s="246" t="str">
        <f>IFERROR(__xludf.DUMMYFUNCTION("IF(REGEXMATCH($C346, ""N""), """",""N"")"),"")</f>
        <v/>
      </c>
      <c r="DA346" s="246" t="str">
        <f>IFERROR(__xludf.DUMMYFUNCTION("IF(REGEXMATCH($C346, ""S""), ""S"",""S"")"),"S")</f>
        <v>S</v>
      </c>
      <c r="DB346" s="362" t="str">
        <f>IFERROR(__xludf.DUMMYFUNCTION("JOIN("""",CO346:DA346,"""","""")"),"SrgMdnS")</f>
        <v>SrgMdnS</v>
      </c>
      <c r="DC346" s="363"/>
      <c r="DD346" s="301" t="str">
        <f t="shared" si="35"/>
        <v>#REF!</v>
      </c>
      <c r="DE346" s="302" t="str">
        <f t="shared" si="36"/>
        <v>#REF!</v>
      </c>
      <c r="DF346" s="301" t="str">
        <f t="shared" ref="DF346:DG346" si="925">SUBSTITUTE(S346,"-","")</f>
        <v>SRGM</v>
      </c>
      <c r="DG346" s="301" t="str">
        <f t="shared" si="925"/>
        <v>PDNS</v>
      </c>
      <c r="DH346" s="302" t="str">
        <f t="shared" si="38"/>
        <v>Bilawal</v>
      </c>
      <c r="DI346" s="301" t="str">
        <f t="shared" si="39"/>
        <v>Hemi.</v>
      </c>
      <c r="DJ346" s="364" t="str">
        <f t="shared" si="40"/>
        <v>-</v>
      </c>
      <c r="DK346" s="306" t="str">
        <f t="shared" si="41"/>
        <v>Bilawal</v>
      </c>
      <c r="DL346" s="366" t="str">
        <f t="shared" si="42"/>
        <v>-</v>
      </c>
      <c r="DM346" s="308" t="str">
        <f t="shared" si="43"/>
        <v>-</v>
      </c>
      <c r="DN346" s="306" t="str">
        <f t="shared" si="44"/>
        <v>✔</v>
      </c>
      <c r="DO346" s="306" t="str">
        <f t="shared" si="45"/>
        <v>-</v>
      </c>
      <c r="DP346" s="367" t="str">
        <f t="shared" si="46"/>
        <v>-</v>
      </c>
      <c r="DQ346" s="310" t="str">
        <f t="shared" si="47"/>
        <v>-</v>
      </c>
      <c r="DR346" s="310" t="str">
        <f t="shared" si="48"/>
        <v>-</v>
      </c>
      <c r="DS346" s="310" t="str">
        <f t="shared" si="49"/>
        <v>-</v>
      </c>
      <c r="DT346" s="310" t="str">
        <f t="shared" si="50"/>
        <v>-</v>
      </c>
      <c r="DU346" s="370" t="str">
        <f t="shared" si="51"/>
        <v>-</v>
      </c>
      <c r="DV346" s="306" t="str">
        <f t="shared" si="52"/>
        <v>-</v>
      </c>
      <c r="DW346" s="306" t="str">
        <f t="shared" si="53"/>
        <v>-</v>
      </c>
      <c r="DX346" s="306" t="str">
        <f t="shared" si="54"/>
        <v>-</v>
      </c>
      <c r="DY346" s="306" t="str">
        <f t="shared" si="55"/>
        <v>-</v>
      </c>
      <c r="DZ346" s="306" t="str">
        <f t="shared" si="56"/>
        <v>-</v>
      </c>
      <c r="EA346" s="367" t="str">
        <f t="shared" si="57"/>
        <v>-</v>
      </c>
      <c r="EB346" s="310" t="str">
        <f>IFERROR(__xludf.DUMMYFUNCTION("IF(REGEXMATCH(AW346,AS346),""✔"",""-"")"),"✔")</f>
        <v>✔</v>
      </c>
      <c r="EC346" s="310" t="str">
        <f t="shared" si="58"/>
        <v>#REF!</v>
      </c>
      <c r="ED346" s="370" t="str">
        <f t="shared" si="59"/>
        <v>-</v>
      </c>
      <c r="EE346" s="340" t="str">
        <f t="shared" si="60"/>
        <v>S-R-G-m-P-D-N-S</v>
      </c>
      <c r="EF346" s="371" t="str">
        <f>IFERROR(__xludf.DUMMYFUNCTION("CONCATENATE(JOIN("""",HC346:HO346))"),"SrgmPdnS")</f>
        <v>SrgmPdnS</v>
      </c>
      <c r="EG346" s="372">
        <f t="shared" si="61"/>
        <v>1</v>
      </c>
      <c r="EH346" s="373" t="str">
        <f>IFERROR(__xludf.DUMMYFUNCTION("CONCATENATE(JOIN("""",JC346:JO346))"),"Ni, ")</f>
        <v>Ni, </v>
      </c>
      <c r="EI346" s="322">
        <f t="shared" si="62"/>
        <v>0</v>
      </c>
      <c r="EJ346" s="374" t="str">
        <f>IFERROR(__xludf.DUMMYFUNCTION("CONCATENATE(JOIN("""",KC346:KO346))"),"")</f>
        <v/>
      </c>
      <c r="EK346" s="325" t="str">
        <f t="shared" si="63"/>
        <v>S-R2-G3-M1-P-D2-N3-S</v>
      </c>
      <c r="EL346" s="326" t="str">
        <f t="shared" si="64"/>
        <v>1-2-3-4-5-6-7-8</v>
      </c>
      <c r="EM346" s="318" t="str">
        <f t="shared" si="65"/>
        <v>#REF!</v>
      </c>
      <c r="EN346" s="328" t="str">
        <f>IFERROR(__xludf.DUMMYFUNCTION("SUBSTITUTE(SUBSTITUTE(SUBSTITUTE(SUBSTITUTE(CONCATENATE(JOIN("" "",HP346:IB346)),""  "","" ""),""  "","" ""),""  "","" ""),""  "","" "")"),"o • o • o o • o • o • o o")</f>
        <v>o • o • o o • o • o • o o</v>
      </c>
      <c r="EO346" s="368" t="str">
        <f t="shared" si="66"/>
        <v>-</v>
      </c>
      <c r="EP346" s="339" t="str">
        <f t="shared" si="67"/>
        <v>-</v>
      </c>
      <c r="EQ346" s="339" t="str">
        <f t="shared" si="68"/>
        <v>Sa-Pa</v>
      </c>
      <c r="ER346" s="339" t="str">
        <f t="shared" si="69"/>
        <v>-</v>
      </c>
      <c r="ES346" s="340" t="str">
        <f t="shared" si="70"/>
        <v>-</v>
      </c>
      <c r="ET346" s="363"/>
      <c r="EU346" s="376" t="b">
        <f>IFERROR(__xludf.DUMMYFUNCTION("arrayformula(sum(--REGEXMATCH(""SRGMPDNS"",split(REGEXREPLACE(C346,""(.)"",""$1~""),""~""))))=len(C346)
"),FALSE)</f>
        <v>0</v>
      </c>
      <c r="EV346" s="290" t="b">
        <f>IFERROR(__xludf.DUMMYFUNCTION("arrayformula(sum(--REGEXMATCH(""SRGmPDNS"",split(REGEXREPLACE(C346,""(.)"",""$1~""),""~""))))=len(C346)"),TRUE)</f>
        <v>1</v>
      </c>
      <c r="EW346" s="290" t="b">
        <f>IFERROR(__xludf.DUMMYFUNCTION("arrayformula(sum(--REGEXMATCH(""SRGmPDnS"",split(REGEXREPLACE(C346,""(.)"",""$1~""),""~""))))=len(C346)"),FALSE)</f>
        <v>0</v>
      </c>
      <c r="EX346" s="290" t="b">
        <f>IFERROR(__xludf.DUMMYFUNCTION("arrayformula(sum(--REGEXMATCH(""SRgmPDnS"",split(REGEXREPLACE(C346,""(.)"",""$1~""),""~""))))=len(C346)"),FALSE)</f>
        <v>0</v>
      </c>
      <c r="EY346" s="290" t="b">
        <f>IFERROR(__xludf.DUMMYFUNCTION("arrayformula(sum(--REGEXMATCH(""SRgmPdnS"",split(REGEXREPLACE(C346,""(.)"",""$1~""),""~""))))=len(C346)"),FALSE)</f>
        <v>0</v>
      </c>
      <c r="EZ346" s="290" t="b">
        <f>IFERROR(__xludf.DUMMYFUNCTION("arrayformula(sum(--REGEXMATCH(""SrgmPdnS"",split(REGEXREPLACE(C346,""(.)"",""$1~""),""~""))))=len(C346)"),FALSE)</f>
        <v>0</v>
      </c>
      <c r="FA346" s="290" t="b">
        <f>IFERROR(__xludf.DUMMYFUNCTION("arrayformula(sum(--REGEXMATCH(""SrGmPdNS"",split(REGEXREPLACE(C346,""(.)"",""$1~""),""~""))))=len(C346)"),FALSE)</f>
        <v>0</v>
      </c>
      <c r="FB346" s="290" t="b">
        <f>IFERROR(__xludf.DUMMYFUNCTION("arrayformula(sum(--REGEXMATCH(""SrGMPDNS"",split(REGEXREPLACE(C346,""(.)"",""$1~""),""~""))))=len(C346)"),FALSE)</f>
        <v>0</v>
      </c>
      <c r="FC346" s="290" t="b">
        <f>IFERROR(__xludf.DUMMYFUNCTION("arrayformula(sum(--REGEXMATCH(""SrGMPdNS"",split(REGEXREPLACE(C346,""(.)"",""$1~""),""~""))))=len(C346)"),FALSE)</f>
        <v>0</v>
      </c>
      <c r="FD346" s="377" t="b">
        <f>IFERROR(__xludf.DUMMYFUNCTION("arrayformula(sum(--REGEXMATCH(""SrgMPdNS"",split(REGEXREPLACE(C346,""(.)"",""$1~""),""~""))))=len(C346)"),FALSE)</f>
        <v>0</v>
      </c>
      <c r="FE346" s="269" t="str">
        <f t="shared" si="71"/>
        <v>-</v>
      </c>
      <c r="FF346" s="269" t="str">
        <f t="shared" si="72"/>
        <v>xoxxoxoxoxx</v>
      </c>
      <c r="FG346" s="271" t="str">
        <f t="shared" si="73"/>
        <v>-</v>
      </c>
      <c r="FH346" s="269" t="str">
        <f t="shared" si="74"/>
        <v>xxoxoxoxxox</v>
      </c>
      <c r="FI346" s="271" t="str">
        <f t="shared" si="75"/>
        <v>xoxoxoxxoxo</v>
      </c>
      <c r="FJ346" s="271" t="str">
        <f t="shared" si="76"/>
        <v>-</v>
      </c>
      <c r="FK346" s="271" t="str">
        <f t="shared" si="77"/>
        <v>xoxoxxoxoxx</v>
      </c>
      <c r="FL346" s="271" t="str">
        <f t="shared" si="78"/>
        <v>-</v>
      </c>
      <c r="FM346" s="271" t="str">
        <f t="shared" si="79"/>
        <v>xoxxoxoxxox</v>
      </c>
      <c r="FN346" s="271" t="str">
        <f t="shared" si="80"/>
        <v>-</v>
      </c>
      <c r="FO346" s="274" t="str">
        <f t="shared" si="81"/>
        <v>xxoxoxxoxox</v>
      </c>
      <c r="FP346" s="234" t="str">
        <f t="shared" si="82"/>
        <v>|</v>
      </c>
      <c r="FQ346" s="236" t="str">
        <f t="shared" si="83"/>
        <v>-</v>
      </c>
      <c r="FR346" s="237" t="str">
        <f t="shared" si="84"/>
        <v>|</v>
      </c>
      <c r="FS346" s="236" t="str">
        <f t="shared" si="85"/>
        <v>-</v>
      </c>
      <c r="FT346" s="237" t="str">
        <f t="shared" si="86"/>
        <v>|</v>
      </c>
      <c r="FU346" s="236" t="str">
        <f t="shared" si="87"/>
        <v>|</v>
      </c>
      <c r="FV346" s="237" t="str">
        <f t="shared" si="88"/>
        <v>-</v>
      </c>
      <c r="FW346" s="236" t="str">
        <f t="shared" si="89"/>
        <v>|</v>
      </c>
      <c r="FX346" s="237" t="str">
        <f t="shared" si="90"/>
        <v>-</v>
      </c>
      <c r="FY346" s="236" t="str">
        <f t="shared" si="91"/>
        <v>|</v>
      </c>
      <c r="FZ346" s="237" t="str">
        <f t="shared" si="92"/>
        <v>-</v>
      </c>
      <c r="GA346" s="236" t="str">
        <f t="shared" si="93"/>
        <v>|</v>
      </c>
      <c r="GB346" s="238" t="str">
        <f t="shared" si="94"/>
        <v>|</v>
      </c>
      <c r="GC346" s="244" t="str">
        <f>IFERROR(__xludf.DUMMYFUNCTION("IF(REGEXMATCH(C346, ""S""), ""1"","""")"),"1")</f>
        <v>1</v>
      </c>
      <c r="GD346" s="245" t="str">
        <f>IFERROR(__xludf.DUMMYFUNCTION("IF(REGEXMATCH(C346, ""r""), ""b2"","""")"),"")</f>
        <v/>
      </c>
      <c r="GE346" s="246" t="str">
        <f>IFERROR(__xludf.DUMMYFUNCTION("IF(REGEXMATCH(C346, ""R""), ""2"","""")"),"2")</f>
        <v>2</v>
      </c>
      <c r="GF346" s="246" t="str">
        <f>IFERROR(__xludf.DUMMYFUNCTION("IF(REGEXMATCH(C346, ""g""), ""b3"","""")"),"")</f>
        <v/>
      </c>
      <c r="GG346" s="245" t="str">
        <f>IFERROR(__xludf.DUMMYFUNCTION("IF(REGEXMATCH(C346, ""G""), ""3"","""")"),"3")</f>
        <v>3</v>
      </c>
      <c r="GH346" s="245" t="str">
        <f>IFERROR(__xludf.DUMMYFUNCTION("IF(REGEXMATCH(C346, ""m""), ""4"","""")"),"4")</f>
        <v>4</v>
      </c>
      <c r="GI346" s="246" t="str">
        <f>IFERROR(__xludf.DUMMYFUNCTION("IF(REGEXMATCH(C346, ""M""), ""#4"","""")"),"")</f>
        <v/>
      </c>
      <c r="GJ346" s="245" t="str">
        <f>IFERROR(__xludf.DUMMYFUNCTION("IF(REGEXMATCH(C346, ""P""), ""5"","""")"),"5")</f>
        <v>5</v>
      </c>
      <c r="GK346" s="246" t="str">
        <f>IFERROR(__xludf.DUMMYFUNCTION("IF(REGEXMATCH(C346, ""d""), ""b6"","""")"),"")</f>
        <v/>
      </c>
      <c r="GL346" s="245" t="str">
        <f>IFERROR(__xludf.DUMMYFUNCTION("IF(REGEXMATCH(C346, ""D""), ""6"","""")"),"6")</f>
        <v>6</v>
      </c>
      <c r="GM346" s="245" t="str">
        <f>IFERROR(__xludf.DUMMYFUNCTION("IF(REGEXMATCH(C346, ""n""), ""b7"","""")"),"")</f>
        <v/>
      </c>
      <c r="GN346" s="246" t="str">
        <f>IFERROR(__xludf.DUMMYFUNCTION("IF(REGEXMATCH(C346, ""N""), ""7"","""")"),"7")</f>
        <v>7</v>
      </c>
      <c r="GO346" s="249" t="str">
        <f>IFERROR(__xludf.DUMMYFUNCTION("IF(REGEXMATCH(C346, ""S""), ""8"","""")"),"8")</f>
        <v>8</v>
      </c>
      <c r="GP346" s="244" t="str">
        <f>IFERROR(__xludf.DUMMYFUNCTION("IF(REGEXMATCH(C346, ""S""), ""S"","""")"),"S")</f>
        <v>S</v>
      </c>
      <c r="GQ346" s="294" t="str">
        <f>IFERROR(__xludf.DUMMYFUNCTION("IF(REGEXMATCH(C346, ""r""), ""R1"","""")"),"")</f>
        <v/>
      </c>
      <c r="GR346" s="295" t="str">
        <f>IFERROR(__xludf.DUMMYFUNCTION("IF(REGEXMATCH(C346, ""R""), ""R2"","""")"),"R2")</f>
        <v>R2</v>
      </c>
      <c r="GS346" s="295" t="str">
        <f>IFERROR(__xludf.DUMMYFUNCTION("IF(REGEXMATCH(C346, ""g""), ""G2"","""")"),"")</f>
        <v/>
      </c>
      <c r="GT346" s="294" t="str">
        <f>IFERROR(__xludf.DUMMYFUNCTION("IF(REGEXMATCH(C346, ""G""), ""G3"","""")"),"G3")</f>
        <v>G3</v>
      </c>
      <c r="GU346" s="294" t="str">
        <f>IFERROR(__xludf.DUMMYFUNCTION("IF(REGEXMATCH(C346, ""m""), ""M1"","""")"),"M1")</f>
        <v>M1</v>
      </c>
      <c r="GV346" s="295" t="str">
        <f>IFERROR(__xludf.DUMMYFUNCTION("IF(REGEXMATCH(C346, ""M""), ""M2"","""")"),"")</f>
        <v/>
      </c>
      <c r="GW346" s="294" t="str">
        <f>IFERROR(__xludf.DUMMYFUNCTION("IF(REGEXMATCH(C346, ""P""), ""P"","""")"),"P")</f>
        <v>P</v>
      </c>
      <c r="GX346" s="295" t="str">
        <f>IFERROR(__xludf.DUMMYFUNCTION("IF(REGEXMATCH(C346, ""d""), ""D1"","""")"),"")</f>
        <v/>
      </c>
      <c r="GY346" s="294" t="str">
        <f>IFERROR(__xludf.DUMMYFUNCTION("IF(REGEXMATCH(C346, ""D""), ""D2"","""")"),"D2")</f>
        <v>D2</v>
      </c>
      <c r="GZ346" s="294" t="str">
        <f>IFERROR(__xludf.DUMMYFUNCTION("IF(REGEXMATCH(C346, ""n""), ""N2"","""")"),"")</f>
        <v/>
      </c>
      <c r="HA346" s="295" t="str">
        <f>IFERROR(__xludf.DUMMYFUNCTION("IF(REGEXMATCH(C346, ""N""), ""N3"","""")"),"N3")</f>
        <v>N3</v>
      </c>
      <c r="HB346" s="249" t="str">
        <f>IFERROR(__xludf.DUMMYFUNCTION("IF(REGEXMATCH(C346, ""S""), ""S"","""")"),"S")</f>
        <v>S</v>
      </c>
      <c r="HC346" s="331" t="str">
        <f t="shared" si="95"/>
        <v>S</v>
      </c>
      <c r="HD346" s="332" t="str">
        <f t="shared" si="96"/>
        <v>r</v>
      </c>
      <c r="HE346" s="332" t="str">
        <f t="shared" si="97"/>
        <v/>
      </c>
      <c r="HF346" s="332" t="str">
        <f t="shared" si="98"/>
        <v>g</v>
      </c>
      <c r="HG346" s="332" t="str">
        <f t="shared" si="99"/>
        <v/>
      </c>
      <c r="HH346" s="332" t="str">
        <f t="shared" si="100"/>
        <v>m</v>
      </c>
      <c r="HI346" s="332" t="str">
        <f t="shared" si="101"/>
        <v/>
      </c>
      <c r="HJ346" s="332" t="str">
        <f t="shared" si="102"/>
        <v>P</v>
      </c>
      <c r="HK346" s="332" t="str">
        <f t="shared" si="103"/>
        <v>d</v>
      </c>
      <c r="HL346" s="332" t="str">
        <f t="shared" si="104"/>
        <v/>
      </c>
      <c r="HM346" s="332" t="str">
        <f t="shared" si="105"/>
        <v>n</v>
      </c>
      <c r="HN346" s="332" t="str">
        <f t="shared" si="106"/>
        <v/>
      </c>
      <c r="HO346" s="343" t="str">
        <f t="shared" si="107"/>
        <v>S</v>
      </c>
      <c r="HP346" s="331" t="str">
        <f t="shared" si="108"/>
        <v>o</v>
      </c>
      <c r="HQ346" s="332" t="str">
        <f t="shared" si="109"/>
        <v>•</v>
      </c>
      <c r="HR346" s="332" t="str">
        <f t="shared" si="110"/>
        <v>o</v>
      </c>
      <c r="HS346" s="332" t="str">
        <f t="shared" si="111"/>
        <v>•</v>
      </c>
      <c r="HT346" s="332" t="str">
        <f t="shared" si="112"/>
        <v>o</v>
      </c>
      <c r="HU346" s="332" t="str">
        <f t="shared" si="113"/>
        <v>o</v>
      </c>
      <c r="HV346" s="332" t="str">
        <f t="shared" si="114"/>
        <v>•</v>
      </c>
      <c r="HW346" s="332" t="str">
        <f t="shared" si="115"/>
        <v>o</v>
      </c>
      <c r="HX346" s="332" t="str">
        <f t="shared" si="116"/>
        <v>•</v>
      </c>
      <c r="HY346" s="332" t="str">
        <f t="shared" si="117"/>
        <v>o</v>
      </c>
      <c r="HZ346" s="332" t="str">
        <f t="shared" si="118"/>
        <v>•</v>
      </c>
      <c r="IA346" s="332" t="str">
        <f t="shared" si="119"/>
        <v>o</v>
      </c>
      <c r="IB346" s="338" t="str">
        <f t="shared" si="120"/>
        <v>o</v>
      </c>
      <c r="IC346" s="331" t="str">
        <f t="shared" si="121"/>
        <v>•</v>
      </c>
      <c r="ID346" s="332" t="str">
        <f t="shared" si="122"/>
        <v>o</v>
      </c>
      <c r="IE346" s="332" t="str">
        <f t="shared" si="123"/>
        <v>•</v>
      </c>
      <c r="IF346" s="332" t="str">
        <f t="shared" si="124"/>
        <v>o</v>
      </c>
      <c r="IG346" s="332" t="str">
        <f t="shared" si="125"/>
        <v>•</v>
      </c>
      <c r="IH346" s="332" t="str">
        <f t="shared" si="126"/>
        <v>•</v>
      </c>
      <c r="II346" s="332" t="str">
        <f t="shared" si="127"/>
        <v>o</v>
      </c>
      <c r="IJ346" s="332" t="str">
        <f t="shared" si="128"/>
        <v>•</v>
      </c>
      <c r="IK346" s="332" t="str">
        <f t="shared" si="129"/>
        <v>o</v>
      </c>
      <c r="IL346" s="332" t="str">
        <f t="shared" si="130"/>
        <v>•</v>
      </c>
      <c r="IM346" s="332" t="str">
        <f t="shared" si="131"/>
        <v>o</v>
      </c>
      <c r="IN346" s="332" t="str">
        <f t="shared" si="132"/>
        <v>•</v>
      </c>
      <c r="IO346" s="338" t="str">
        <f t="shared" si="133"/>
        <v>•</v>
      </c>
      <c r="IP346" s="346" t="b">
        <f t="shared" si="134"/>
        <v>0</v>
      </c>
      <c r="IQ346" s="347" t="b">
        <f t="shared" si="135"/>
        <v>0</v>
      </c>
      <c r="IR346" s="347" t="b">
        <f t="shared" si="136"/>
        <v>0</v>
      </c>
      <c r="IS346" s="347" t="b">
        <f t="shared" si="137"/>
        <v>0</v>
      </c>
      <c r="IT346" s="347" t="b">
        <f t="shared" si="138"/>
        <v>0</v>
      </c>
      <c r="IU346" s="347" t="b">
        <f t="shared" si="139"/>
        <v>0</v>
      </c>
      <c r="IV346" s="347" t="b">
        <f t="shared" si="140"/>
        <v>0</v>
      </c>
      <c r="IW346" s="347" t="b">
        <f t="shared" si="141"/>
        <v>0</v>
      </c>
      <c r="IX346" s="347" t="b">
        <f t="shared" si="142"/>
        <v>0</v>
      </c>
      <c r="IY346" s="347" t="b">
        <f t="shared" si="143"/>
        <v>0</v>
      </c>
      <c r="IZ346" s="347" t="b">
        <f t="shared" si="144"/>
        <v>0</v>
      </c>
      <c r="JA346" s="347" t="b">
        <f t="shared" si="145"/>
        <v>1</v>
      </c>
      <c r="JB346" s="353" t="b">
        <f t="shared" si="146"/>
        <v>0</v>
      </c>
      <c r="JC346" s="354" t="str">
        <f t="shared" si="147"/>
        <v/>
      </c>
      <c r="JD346" s="355" t="str">
        <f t="shared" si="148"/>
        <v/>
      </c>
      <c r="JE346" s="355" t="str">
        <f t="shared" si="149"/>
        <v/>
      </c>
      <c r="JF346" s="355" t="str">
        <f t="shared" si="150"/>
        <v/>
      </c>
      <c r="JG346" s="355" t="str">
        <f t="shared" si="151"/>
        <v/>
      </c>
      <c r="JH346" s="355" t="str">
        <f t="shared" si="152"/>
        <v/>
      </c>
      <c r="JI346" s="355" t="str">
        <f t="shared" si="153"/>
        <v/>
      </c>
      <c r="JJ346" s="355" t="str">
        <f t="shared" si="154"/>
        <v/>
      </c>
      <c r="JK346" s="355" t="str">
        <f t="shared" si="155"/>
        <v/>
      </c>
      <c r="JL346" s="355" t="str">
        <f t="shared" si="156"/>
        <v/>
      </c>
      <c r="JM346" s="355" t="str">
        <f t="shared" si="157"/>
        <v/>
      </c>
      <c r="JN346" s="355" t="str">
        <f t="shared" si="158"/>
        <v>Ni, </v>
      </c>
      <c r="JO346" s="359" t="str">
        <f t="shared" si="159"/>
        <v/>
      </c>
      <c r="JP346" s="346" t="b">
        <f t="shared" si="160"/>
        <v>0</v>
      </c>
      <c r="JQ346" s="347" t="b">
        <f t="shared" si="161"/>
        <v>0</v>
      </c>
      <c r="JR346" s="347" t="b">
        <f t="shared" si="162"/>
        <v>0</v>
      </c>
      <c r="JS346" s="347" t="b">
        <f t="shared" si="163"/>
        <v>0</v>
      </c>
      <c r="JT346" s="347" t="b">
        <f t="shared" si="164"/>
        <v>0</v>
      </c>
      <c r="JU346" s="347" t="b">
        <f t="shared" si="165"/>
        <v>0</v>
      </c>
      <c r="JV346" s="347" t="b">
        <f t="shared" si="166"/>
        <v>0</v>
      </c>
      <c r="JW346" s="347" t="b">
        <f t="shared" si="167"/>
        <v>0</v>
      </c>
      <c r="JX346" s="347" t="b">
        <f t="shared" si="168"/>
        <v>0</v>
      </c>
      <c r="JY346" s="347" t="b">
        <f t="shared" si="169"/>
        <v>0</v>
      </c>
      <c r="JZ346" s="347" t="b">
        <f t="shared" si="170"/>
        <v>0</v>
      </c>
      <c r="KA346" s="347" t="b">
        <f t="shared" si="171"/>
        <v>0</v>
      </c>
      <c r="KB346" s="365" t="b">
        <f t="shared" si="172"/>
        <v>0</v>
      </c>
      <c r="KC346" s="354" t="str">
        <f t="shared" si="173"/>
        <v/>
      </c>
      <c r="KD346" s="355" t="str">
        <f t="shared" si="174"/>
        <v/>
      </c>
      <c r="KE346" s="355" t="str">
        <f t="shared" si="175"/>
        <v/>
      </c>
      <c r="KF346" s="355" t="str">
        <f t="shared" si="176"/>
        <v/>
      </c>
      <c r="KG346" s="355" t="str">
        <f t="shared" si="177"/>
        <v/>
      </c>
      <c r="KH346" s="355" t="str">
        <f t="shared" si="178"/>
        <v/>
      </c>
      <c r="KI346" s="355" t="str">
        <f t="shared" si="179"/>
        <v/>
      </c>
      <c r="KJ346" s="355" t="str">
        <f t="shared" si="180"/>
        <v/>
      </c>
      <c r="KK346" s="355" t="str">
        <f t="shared" si="181"/>
        <v/>
      </c>
      <c r="KL346" s="355" t="str">
        <f t="shared" si="182"/>
        <v/>
      </c>
      <c r="KM346" s="355" t="str">
        <f t="shared" si="183"/>
        <v/>
      </c>
      <c r="KN346" s="355" t="str">
        <f t="shared" si="184"/>
        <v/>
      </c>
      <c r="KO346" s="359"/>
      <c r="KP346" s="378"/>
      <c r="KQ346" s="379" t="s">
        <v>9</v>
      </c>
      <c r="KR346" s="380" t="s">
        <v>1357</v>
      </c>
      <c r="KS346" s="381" t="s">
        <v>9</v>
      </c>
      <c r="KT346" s="382">
        <f t="shared" si="186"/>
        <v>0</v>
      </c>
      <c r="KU346" s="383">
        <f t="shared" si="187"/>
        <v>0</v>
      </c>
      <c r="KV346" s="381" t="str">
        <f t="shared" si="205"/>
        <v>S-N-D-P-m-G-R-S</v>
      </c>
      <c r="KW346" s="382">
        <f t="shared" si="189"/>
        <v>7</v>
      </c>
      <c r="KX346" s="384">
        <f t="shared" si="190"/>
        <v>7</v>
      </c>
      <c r="KY346" s="382">
        <f t="shared" ref="KY346:KZ346" si="926">KW346-KT346</f>
        <v>7</v>
      </c>
      <c r="KZ346" s="369">
        <f t="shared" si="926"/>
        <v>7</v>
      </c>
      <c r="LA346" s="385" t="str">
        <f t="shared" si="192"/>
        <v>-</v>
      </c>
      <c r="LB346" s="340" t="str">
        <f>IFERROR(__xludf.DUMMYFUNCTION("JOIN("""",ArrayFormula(MID(KS346,LEN(KS346)-SEQUENCE(1,LEN(KS346))+1,1)))"),"S")</f>
        <v>S</v>
      </c>
      <c r="LC346" s="373" t="str">
        <f>IFERROR(__xludf.DUMMYFUNCTION("JOIN("""",ArrayFormula(MID(KV346,LEN(KV346)-SEQUENCE(1,LEN(KV346))+1,1)))"),"S-R-G-m-P-D-N-S")</f>
        <v>S-R-G-m-P-D-N-S</v>
      </c>
      <c r="LD346" s="373" t="str">
        <f t="shared" si="193"/>
        <v>S</v>
      </c>
      <c r="LE346" s="339" t="str">
        <f t="shared" si="194"/>
        <v>SRGmPDNS</v>
      </c>
      <c r="LF346" s="386" t="str">
        <f>IFERROR(__xludf.DUMMYFUNCTION("SUBSTITUTE(SUBSTITUTE(CONCATENATE(JOIN("""",LH346:LT346)),""1"",""""),""2"","""")"),"SRGmPDNS")</f>
        <v>SRGmPDNS</v>
      </c>
      <c r="LG346" s="369" t="str">
        <f t="shared" si="195"/>
        <v>✔</v>
      </c>
      <c r="LH346" s="387" t="str">
        <f>IFERROR(__xludf.DUMMYFUNCTION("IF(REGEXMATCH(LD346, ""S""), ""S"",IF(REGEXMATCH(LE346, ""S""), ""S"",""""))"),"S")</f>
        <v>S</v>
      </c>
      <c r="LI346" s="299" t="str">
        <f>IFERROR(__xludf.DUMMYFUNCTION("IF(REGEXMATCH(LD346, ""r""), ""r1"",IF(REGEXMATCH(LE346, ""r""), ""r2"",""""))"),"")</f>
        <v/>
      </c>
      <c r="LJ346" s="299" t="str">
        <f>IFERROR(__xludf.DUMMYFUNCTION("IF(REGEXMATCH(LD346, ""R""), ""R1"",IF(REGEXMATCH(LE346, ""R""), ""R2"",""""))"),"R2")</f>
        <v>R2</v>
      </c>
      <c r="LK346" s="299" t="str">
        <f>IFERROR(__xludf.DUMMYFUNCTION("IF(REGEXMATCH(LD346, ""g""), ""g1"",IF(REGEXMATCH(LE346, ""g""), ""g2"",""""))"),"")</f>
        <v/>
      </c>
      <c r="LL346" s="299" t="str">
        <f>IFERROR(__xludf.DUMMYFUNCTION("IF(REGEXMATCH(LD346, ""G""), ""G1"",IF(REGEXMATCH(LE346, ""G""), ""G2"",""""))"),"G2")</f>
        <v>G2</v>
      </c>
      <c r="LM346" s="299" t="str">
        <f>IFERROR(__xludf.DUMMYFUNCTION("IF(REGEXMATCH(LD346, ""m""), ""m1"",IF(REGEXMATCH(LE346, ""m""), ""m2"",""""))"),"m2")</f>
        <v>m2</v>
      </c>
      <c r="LN346" s="299" t="str">
        <f>IFERROR(__xludf.DUMMYFUNCTION("IF(REGEXMATCH(LD346, ""M""), ""M1"",IF(REGEXMATCH(LE346, ""M""), ""M2"",""""))"),"")</f>
        <v/>
      </c>
      <c r="LO346" s="299" t="str">
        <f>IFERROR(__xludf.DUMMYFUNCTION("IF(REGEXMATCH(LD346, ""P""), ""P1"",IF(REGEXMATCH(LE346, ""P""), ""P2"",""""))"),"P2")</f>
        <v>P2</v>
      </c>
      <c r="LP346" s="299" t="str">
        <f>IFERROR(__xludf.DUMMYFUNCTION("IF(REGEXMATCH(LD346, ""d""), ""d1"",IF(REGEXMATCH(LE346, ""d""), ""d2"",""""))"),"")</f>
        <v/>
      </c>
      <c r="LQ346" s="299" t="str">
        <f>IFERROR(__xludf.DUMMYFUNCTION("IF(REGEXMATCH(LD346, ""D""), ""D1"",IF(REGEXMATCH(LE346, ""D""), ""D2"",""""))"),"D2")</f>
        <v>D2</v>
      </c>
      <c r="LR346" s="299" t="str">
        <f>IFERROR(__xludf.DUMMYFUNCTION("IF(REGEXMATCH(LD346, ""n""), ""n1"",IF(REGEXMATCH(LE346, ""n""), ""n2"",""""))"),"")</f>
        <v/>
      </c>
      <c r="LS346" s="299" t="str">
        <f>IFERROR(__xludf.DUMMYFUNCTION("IF(REGEXMATCH(LD346, ""N""), ""N1"",IF(REGEXMATCH(LE346, ""N""), ""N2"",""""))"),"N2")</f>
        <v>N2</v>
      </c>
      <c r="LT346" s="388" t="str">
        <f>IFERROR(__xludf.DUMMYFUNCTION("IF(REGEXMATCH(LD346, ""S""), ""S"",IF(REGEXMATCH(LE346, ""S""), ""S"",""""))"),"S")</f>
        <v>S</v>
      </c>
      <c r="LU346" s="389">
        <f t="shared" si="196"/>
        <v>-13</v>
      </c>
      <c r="LV346" s="378"/>
      <c r="LW346" s="369"/>
      <c r="LX346" s="369"/>
    </row>
    <row r="347" ht="18.0" customHeight="1">
      <c r="A347" s="298" t="s">
        <v>1208</v>
      </c>
      <c r="B347" s="222" t="s">
        <v>339</v>
      </c>
      <c r="C347" s="233" t="str">
        <f t="shared" si="7"/>
        <v>SrGMPdNS</v>
      </c>
      <c r="D347" s="234" t="str">
        <f>IFERROR(__xludf.DUMMYFUNCTION("IF(REGEXMATCH(C347, ""S""), ""S"","""")"),"S")</f>
        <v>S</v>
      </c>
      <c r="E347" s="236" t="str">
        <f>IFERROR(__xludf.DUMMYFUNCTION("IF(REGEXMATCH(C347, ""r""), ""r"","""")"),"r")</f>
        <v>r</v>
      </c>
      <c r="F347" s="237" t="str">
        <f>IFERROR(__xludf.DUMMYFUNCTION("IF(REGEXMATCH(C347, ""R""), ""R"","""")"),"")</f>
        <v/>
      </c>
      <c r="G347" s="237" t="str">
        <f>IFERROR(__xludf.DUMMYFUNCTION("IF(REGEXMATCH(C347, ""g""), ""g"","""")"),"")</f>
        <v/>
      </c>
      <c r="H347" s="236" t="str">
        <f>IFERROR(__xludf.DUMMYFUNCTION("IF(REGEXMATCH(C347, ""G""), ""G"","""")"),"G")</f>
        <v>G</v>
      </c>
      <c r="I347" s="236" t="str">
        <f>IFERROR(__xludf.DUMMYFUNCTION("IF(REGEXMATCH(C347, ""m""), ""m"","""")"),"")</f>
        <v/>
      </c>
      <c r="J347" s="237" t="str">
        <f>IFERROR(__xludf.DUMMYFUNCTION("IF(REGEXMATCH(C347, ""M""), ""M"","""")"),"M")</f>
        <v>M</v>
      </c>
      <c r="K347" s="236" t="str">
        <f>IFERROR(__xludf.DUMMYFUNCTION("IF(REGEXMATCH(C347, ""P""), ""P"","""")"),"P")</f>
        <v>P</v>
      </c>
      <c r="L347" s="237" t="str">
        <f>IFERROR(__xludf.DUMMYFUNCTION("IF(REGEXMATCH(C347, ""d""), ""d"","""")"),"d")</f>
        <v>d</v>
      </c>
      <c r="M347" s="236" t="str">
        <f>IFERROR(__xludf.DUMMYFUNCTION("IF(REGEXMATCH(C347, ""D""), ""D"","""")"),"")</f>
        <v/>
      </c>
      <c r="N347" s="236" t="str">
        <f>IFERROR(__xludf.DUMMYFUNCTION("IF(REGEXMATCH(C347, ""n""), ""n"","""")"),"")</f>
        <v/>
      </c>
      <c r="O347" s="237" t="str">
        <f>IFERROR(__xludf.DUMMYFUNCTION("IF(REGEXMATCH(C347, ""N""), ""N"","""")"),"N")</f>
        <v>N</v>
      </c>
      <c r="P347" s="238" t="str">
        <f>IFERROR(__xludf.DUMMYFUNCTION("IF(REGEXMATCH(C347, ""S""), ""S"","""")"),"S")</f>
        <v>S</v>
      </c>
      <c r="Q347" s="239" t="str">
        <f>IFERROR(__xludf.DUMMYFUNCTION("SUBSTITUTE(CONCATENATE(JOIN(""-"",D347:J347)),""-"","""")"),"SrGM")</f>
        <v>SrGM</v>
      </c>
      <c r="R347" s="229" t="str">
        <f>IFERROR(__xludf.DUMMYFUNCTION("SUBSTITUTE(CONCATENATE(JOIN(""-"",K347:P347)),""-"","""")"),"PdNS")</f>
        <v>PdNS</v>
      </c>
      <c r="S347" s="282" t="str">
        <f t="shared" si="8"/>
        <v>S-R-G-M</v>
      </c>
      <c r="T347" s="282" t="str">
        <f t="shared" si="9"/>
        <v>P-D-N-S</v>
      </c>
      <c r="U347" s="237" t="str">
        <f>IFERROR(__xludf.DUMMYFUNCTION("SUBSTITUTE(JOIN(""-"",S347,T347),""--"",""-"")"),"S-R-G-M-P-D-N-S")</f>
        <v>S-R-G-M-P-D-N-S</v>
      </c>
      <c r="V347" s="309" t="str">
        <f t="shared" si="10"/>
        <v>rGMdN</v>
      </c>
      <c r="W347" s="244" t="str">
        <f>IFERROR(__xludf.DUMMYFUNCTION("IF(REGEXMATCH(C347, ""S""), ""0"","""")"),"0")</f>
        <v>0</v>
      </c>
      <c r="X347" s="245" t="str">
        <f>IFERROR(__xludf.DUMMYFUNCTION("IF(REGEXMATCH(C347, ""r""), ""1"","""")"),"1")</f>
        <v>1</v>
      </c>
      <c r="Y347" s="246" t="str">
        <f>IFERROR(__xludf.DUMMYFUNCTION("IF(REGEXMATCH(C347, ""R""), ""2"","""")"),"")</f>
        <v/>
      </c>
      <c r="Z347" s="246" t="str">
        <f>IFERROR(__xludf.DUMMYFUNCTION("IF(REGEXMATCH(C347, ""g""), ""3"","""")"),"")</f>
        <v/>
      </c>
      <c r="AA347" s="245" t="str">
        <f>IFERROR(__xludf.DUMMYFUNCTION("IF(REGEXMATCH(C347, ""G""), ""4"","""")"),"4")</f>
        <v>4</v>
      </c>
      <c r="AB347" s="245" t="str">
        <f>IFERROR(__xludf.DUMMYFUNCTION("IF(REGEXMATCH(C347, ""m""), ""5"","""")"),"")</f>
        <v/>
      </c>
      <c r="AC347" s="246" t="str">
        <f>IFERROR(__xludf.DUMMYFUNCTION("IF(REGEXMATCH(C347, ""M""), ""6"","""")"),"6")</f>
        <v>6</v>
      </c>
      <c r="AD347" s="245" t="str">
        <f>IFERROR(__xludf.DUMMYFUNCTION("IF(REGEXMATCH(C347, ""P""), ""7"","""")"),"7")</f>
        <v>7</v>
      </c>
      <c r="AE347" s="246" t="str">
        <f>IFERROR(__xludf.DUMMYFUNCTION("IF(REGEXMATCH(C347, ""d""), ""8"","""")"),"8")</f>
        <v>8</v>
      </c>
      <c r="AF347" s="245" t="str">
        <f>IFERROR(__xludf.DUMMYFUNCTION("IF(REGEXMATCH(C347, ""D""), ""9"","""")"),"")</f>
        <v/>
      </c>
      <c r="AG347" s="245" t="str">
        <f>IFERROR(__xludf.DUMMYFUNCTION("IF(REGEXMATCH(C347, ""n""), ""10"","""")"),"")</f>
        <v/>
      </c>
      <c r="AH347" s="246" t="str">
        <f>IFERROR(__xludf.DUMMYFUNCTION("IF(REGEXMATCH(C347, ""N""), ""11"","""")"),"11")</f>
        <v>11</v>
      </c>
      <c r="AI347" s="249" t="str">
        <f>IFERROR(__xludf.DUMMYFUNCTION("IF(REGEXMATCH(C347, ""S""), ""0"","""")"),"0")</f>
        <v>0</v>
      </c>
      <c r="AJ347" s="313" t="str">
        <f t="shared" si="11"/>
        <v>T</v>
      </c>
      <c r="AK347" s="313" t="str">
        <f t="shared" si="12"/>
        <v>T</v>
      </c>
      <c r="AL347" s="313" t="str">
        <f t="shared" si="13"/>
        <v>-</v>
      </c>
      <c r="AM347" s="313" t="str">
        <f t="shared" si="14"/>
        <v>-</v>
      </c>
      <c r="AN347" s="313" t="str">
        <f t="shared" si="15"/>
        <v>-</v>
      </c>
      <c r="AO347" s="314" t="str">
        <f t="shared" si="16"/>
        <v>-</v>
      </c>
      <c r="AP347" s="316">
        <f t="shared" si="17"/>
        <v>2</v>
      </c>
      <c r="AQ347" s="319" t="str">
        <f t="shared" si="18"/>
        <v>-</v>
      </c>
      <c r="AR347" s="320">
        <f t="shared" si="19"/>
        <v>0</v>
      </c>
      <c r="AS347" s="250" t="str">
        <f>IFERROR(__xludf.DUMMYFUNCTION("SUBSTITUTE(SUBSTITUTE(CONCATENATE(JOIN("""",FP347:GA347)),""|"",""x""),""-"",""o"")"),"xxooxoxxxoox")</f>
        <v>xxooxoxxxoox</v>
      </c>
      <c r="AT347" s="323" t="str">
        <f>IFERROR(__xludf.DUMMYFUNCTION("JOIN("""",AS347,AS347)"),"xxooxoxxxooxxxooxoxxxoox")</f>
        <v>xxooxoxxxooxxxooxoxxxoox</v>
      </c>
      <c r="AU347" s="256" t="str">
        <f>IFERROR(__xludf.DUMMYFUNCTION("JOIN("""",ArrayFormula(MID(AS347,LEN(AS347)-SEQUENCE(1,LEN(AS347))+1,1)))"),"xooxxxoxooxx")</f>
        <v>xooxxxoxooxx</v>
      </c>
      <c r="AV347" s="256" t="str">
        <f>IFERROR(__xludf.DUMMYFUNCTION("LEFT(CONCATENATE(""x"",JOIN("""",ArrayFormula(MID(AS347,LEN(AS347)-SEQUENCE(1,LEN(AS347))+1,1)))),12)"),"xxooxxxoxoox")</f>
        <v>xxooxxxoxoox</v>
      </c>
      <c r="AW347" s="327" t="str">
        <f>IFERROR(__xludf.DUMMYFUNCTION("JOIN("""",AU347,AU347)"),"xooxxxoxooxxxooxxxoxooxx")</f>
        <v>xooxxxoxooxxxooxxxoxooxx</v>
      </c>
      <c r="AX347" s="239" t="str">
        <f>IFERROR(__xludf.DUMMYFUNCTION("IF(REGEXMATCH(AW347,AS347),""✔"",""-"")"),"-")</f>
        <v>-</v>
      </c>
      <c r="AY347" s="330" t="str">
        <f t="shared" si="20"/>
        <v>-</v>
      </c>
      <c r="AZ347" s="260" t="str">
        <f t="shared" si="21"/>
        <v>#REF!</v>
      </c>
      <c r="BA347" s="333" t="str">
        <f t="shared" si="22"/>
        <v>xxooxox</v>
      </c>
      <c r="BB347" s="334" t="str">
        <f t="shared" si="23"/>
        <v>xxooxx</v>
      </c>
      <c r="BC347" s="335" t="str">
        <f t="shared" si="236"/>
        <v>-</v>
      </c>
      <c r="BD347" s="336" t="str">
        <f t="shared" si="25"/>
        <v>Tankeshree: 'xxooxox' + 'xxooxx'</v>
      </c>
      <c r="BE347" s="337">
        <f>IFERROR(__xludf.DUMMYFUNCTION("COUNTUNIQUE(FILTER(AT:AT,REGEXMATCH(AT:AT,AS347)))-1"),5.0)</f>
        <v>5</v>
      </c>
      <c r="BF347" s="261" t="str">
        <f>IFERROR(__xludf.DUMMYFUNCTION("IF(BI347=0,""(n/a)"",IF(BJ347=2,""(PAIR)"",IF(REGEXMATCH(AT347,""xoxoxxoxoxox""),""Bilawal"",IF(REGEXMATCH(AT347,""xoxoxooxoxoo""),""Bhupali"",IF(REGEXMATCH(AT347,""xoxoxxoxxoxo""),""Charukeshi"",IF(REGEXMATCH(AT347,""xoxoooxxoxxo""),""Kameshwari"",IF(REG"&amp;"EXMATCH(AT347,""xoxoxooxoxox""),""Shankara"",IF(REGEXMATCH(AT347,""xxooxoxxxoox""),""Basant"",IF(REGEXMATCH(AT347,""xoxoxxxxoxox""),""Bihag"",IF(REGEXMATCH(AT347,""xoxxxxoxoxxx""),""Pilu"",IF(REGEXMATCH(AT347,""xoxxoxoxxoox""),""Kirwani"",IF(REGEXMATCH(AT"&amp;"347,""xoxxoxoxoxxx""),""Mk.Malhar"",IF(REGEXMATCH(AT347,""xxooxxoxxoox""),""Bhairav"",IF(REGEXMATCH(AT347,""xxoxooxxxoox""),""Todi"",IF(REGEXMATCH(AT347,""xxooxoxooxox""),""Marwa"",IF(REGEXMATCH(AT347,""xxoooxoxxooo""),""Gunkali"",IF(REGEXMATCH(AT347,""xo"&amp;"xoxxoxxoox""),""Nat Bhairav"",IF(REGEXMATCH(AT347,""xoxxoooxoxoo""),""Shivranjani"",IF(REGEXMATCH(AT347,""xooxxxoxooxo""),""Jog"",IF(REGEXMATCH(AT347,""xxooxoxoxoox""),""Hemshri"",IF(REGEXMATCH(AT347,""xoooxooxoxxo""),""Kalavati"",IF(REGEXMATCH(AT347,""xx"&amp;"oxoxxoxoox""),""Kedar"",IF(REGEXMATCH(AT347,""xoxxxxoxooxx""),""Gara"",IF(REGEXMATCH(AT347,""xooxoxooxoox""),""Chandrakauns"",IF(REGEXMATCH(AT347,""xoxxxxoxxxox""),""Mand"",IF(REGEXMATCH(AT347,""xoxxxxoxoxox""),""Hanskinkini"",IF(REGEXMATCH(AT347,""xxooxx"&amp;"oxooxo""),""Lilavati"",IF(REGEXMATCH(AT347,""xooxoxoooxox""),""Rajeshwari"",IF(REGEXMATCH(AT347,""xoooxxoxoxxx""),""Khokar"",IF(REGEXMATCH(AT347,""xxooxoxxxxox""),""Maligoura"",""-""))))))))))))))))))))))))))))))"),"Basant")</f>
        <v>Basant</v>
      </c>
      <c r="BG347" s="239" t="str">
        <f t="shared" si="26"/>
        <v>#REF!</v>
      </c>
      <c r="BH347" s="239">
        <f>IFERROR(__xludf.DUMMYFUNCTION("COUNTUNIQUE(FE347:FO347)-1"),6.0)</f>
        <v>6</v>
      </c>
      <c r="BI347" s="239">
        <f>IFERROR(__xludf.DUMMYFUNCTION("COUNTUNIQUE(FILTER(AT:AT,REGEXMATCH(AT:AT,AS347)))-1"),5.0)</f>
        <v>5</v>
      </c>
      <c r="BJ347" s="239">
        <f>IFERROR(__xludf.DUMMYFUNCTION("COUNTA(FILTER(AT:AT,REGEXMATCH(AT:AT,AS347)))"),12.0)</f>
        <v>12</v>
      </c>
      <c r="BK347" s="341">
        <f>IFERROR(__xludf.DUMMYFUNCTION("COUNTA(FILTER(AT:AT,REGEXMATCH(AT:AT,AS347)))-AR347"),12.0)</f>
        <v>12</v>
      </c>
      <c r="BL347" s="276" t="str">
        <f>IFERROR(__xludf.DUMMYFUNCTION("IF(AS347=""oooooooooooo"",""-"",IF(REGEXMATCH(AT347,""xx""), ""Hemi."", ""Anhemi.""))"),"Hemi.")</f>
        <v>Hemi.</v>
      </c>
      <c r="BM347" s="282" t="str">
        <f>IFERROR(__xludf.DUMMYFUNCTION("IF(AS347=""oooooooooooo"",""-"",IF(REGEXMATCH(AT347,""xxx""), ""Cohem."", ""-""))"),"Cohem.")</f>
        <v>Cohem.</v>
      </c>
      <c r="BN347" s="282" t="str">
        <f>IFERROR(__xludf.DUMMYFUNCTION("IF(AS347=""oooooooooooo"",""-"",IF(REGEXMATCH(AT347,""xxxx""), ""Co-Co."", ""-""))"),"-")</f>
        <v>-</v>
      </c>
      <c r="BO347" s="342" t="str">
        <f>IFERROR(__xludf.DUMMYFUNCTION("IF(AS347=""oooooooooooo"",""-"",IF(REGEXMATCH(AT347,""xxxxx""), ""CCC."", ""-""))"),"-")</f>
        <v>-</v>
      </c>
      <c r="BP347" s="344" t="str">
        <f t="shared" si="27"/>
        <v>Poorvi</v>
      </c>
      <c r="BQ347" s="282" t="str">
        <f>IFERROR(__xludf.DUMMYFUNCTION("IF(REGEXMATCH(JOIN(""-"",EU347:FD347),""TRUE""),""✔"",""-"")"),"✔")</f>
        <v>✔</v>
      </c>
      <c r="BR347" s="225">
        <f t="shared" si="28"/>
        <v>1</v>
      </c>
      <c r="BS347" s="345" t="str">
        <f>IFERROR(__xludf.DUMMYFUNCTION("SUBSTITUTE(SUBSTITUTE(SUBSTITUTE(SUBSTITUTE(CONCATENATE(JOIN(""-"",GC347:GO347)),""--"",""-""),""--"",""-""),""--"",""-""),""--"",""-"")"),"1-b2-3-#4-5-b6-7-8")</f>
        <v>1-b2-3-#4-5-b6-7-8</v>
      </c>
      <c r="BT347" s="299" t="str">
        <f>IFERROR(__xludf.DUMMYFUNCTION("SUBSTITUTE(SUBSTITUTE(SUBSTITUTE(SUBSTITUTE(CONCATENATE(JOIN(""-"",GP347:HB347)),""--"",""-""),""--"",""-""),""--"",""-""),""--"",""-"")"),"S-R1-G3-M2-P-D1-N3-S")</f>
        <v>S-R1-G3-M2-P-D1-N3-S</v>
      </c>
      <c r="BU347" s="348" t="str">
        <f t="shared" si="29"/>
        <v>C-Db-E-F#-G-Ab-B-C</v>
      </c>
      <c r="BV347" s="349" t="str">
        <f t="shared" si="30"/>
        <v>SRgmDnS</v>
      </c>
      <c r="BW347" s="350">
        <f t="shared" si="31"/>
        <v>0</v>
      </c>
      <c r="BX347" s="351">
        <f t="shared" si="32"/>
        <v>6</v>
      </c>
      <c r="BY347" s="392"/>
      <c r="BZ347" s="309" t="str">
        <f>IFERROR(__xludf.DUMMYFUNCTION("IF(REGEXMATCH(C347, ""S""), ""x"",""x"")"),"x")</f>
        <v>x</v>
      </c>
      <c r="CA347" s="245" t="str">
        <f>IFERROR(__xludf.DUMMYFUNCTION("IF(REGEXMATCH(C347, ""r""), ""o"",""x"")"),"o")</f>
        <v>o</v>
      </c>
      <c r="CB347" s="246" t="str">
        <f>IFERROR(__xludf.DUMMYFUNCTION("IF(REGEXMATCH(C347, ""R""), ""o"",""x"")"),"x")</f>
        <v>x</v>
      </c>
      <c r="CC347" s="246" t="str">
        <f>IFERROR(__xludf.DUMMYFUNCTION("IF(REGEXMATCH(C347, ""g""), ""o"",""x"")"),"x")</f>
        <v>x</v>
      </c>
      <c r="CD347" s="245" t="str">
        <f>IFERROR(__xludf.DUMMYFUNCTION("IF(REGEXMATCH(C347, ""G""), ""o"",""x"")"),"o")</f>
        <v>o</v>
      </c>
      <c r="CE347" s="245" t="str">
        <f>IFERROR(__xludf.DUMMYFUNCTION("IF(REGEXMATCH(C347, ""m""), ""o"",""x"")"),"x")</f>
        <v>x</v>
      </c>
      <c r="CF347" s="246" t="str">
        <f>IFERROR(__xludf.DUMMYFUNCTION("IF(REGEXMATCH(C347, ""M""), ""o"",""x"")"),"o")</f>
        <v>o</v>
      </c>
      <c r="CG347" s="245" t="str">
        <f>IFERROR(__xludf.DUMMYFUNCTION("IF(REGEXMATCH(C347, ""P""), ""o"",""x"")"),"o")</f>
        <v>o</v>
      </c>
      <c r="CH347" s="246" t="str">
        <f>IFERROR(__xludf.DUMMYFUNCTION("IF(REGEXMATCH(C347, ""d""), ""o"",""x"")"),"o")</f>
        <v>o</v>
      </c>
      <c r="CI347" s="245" t="str">
        <f>IFERROR(__xludf.DUMMYFUNCTION("IF(REGEXMATCH(C347, ""D""), ""o"",""x"")"),"x")</f>
        <v>x</v>
      </c>
      <c r="CJ347" s="245" t="str">
        <f>IFERROR(__xludf.DUMMYFUNCTION("IF(REGEXMATCH(C347, ""n""), ""o"",""x"")"),"x")</f>
        <v>x</v>
      </c>
      <c r="CK347" s="245" t="str">
        <f>IFERROR(__xludf.DUMMYFUNCTION("IF(REGEXMATCH(C347, ""N""), ""o"",""x"")"),"o")</f>
        <v>o</v>
      </c>
      <c r="CL347" s="356" t="str">
        <f>IFERROR(__xludf.DUMMYFUNCTION("IF(REGEXMATCH(C347, ""S""), ""x"",""x"")"),"x")</f>
        <v>x</v>
      </c>
      <c r="CM347" s="357" t="str">
        <f t="shared" si="33"/>
        <v>xoxxoxoooxxo</v>
      </c>
      <c r="CN347" s="358">
        <f t="shared" si="34"/>
        <v>0</v>
      </c>
      <c r="CO347" s="246" t="str">
        <f>IFERROR(__xludf.DUMMYFUNCTION("IF(REGEXMATCH($C347, ""S""), ""S"",""S"")"),"S")</f>
        <v>S</v>
      </c>
      <c r="CP347" s="246" t="str">
        <f>IFERROR(__xludf.DUMMYFUNCTION("IF(REGEXMATCH($C347, ""r""), """",""r"")"),"")</f>
        <v/>
      </c>
      <c r="CQ347" s="246" t="str">
        <f>IFERROR(__xludf.DUMMYFUNCTION("IF(REGEXMATCH($C347, ""R""), """",""R"")"),"R")</f>
        <v>R</v>
      </c>
      <c r="CR347" s="246" t="str">
        <f>IFERROR(__xludf.DUMMYFUNCTION("IF(REGEXMATCH($C347, ""g""), """",""g"")"),"g")</f>
        <v>g</v>
      </c>
      <c r="CS347" s="246" t="str">
        <f>IFERROR(__xludf.DUMMYFUNCTION("IF(REGEXMATCH($C347, ""G""), """",""G"")"),"")</f>
        <v/>
      </c>
      <c r="CT347" s="246" t="str">
        <f>IFERROR(__xludf.DUMMYFUNCTION("IF(REGEXMATCH($C347, ""m""), """",""m"")"),"m")</f>
        <v>m</v>
      </c>
      <c r="CU347" s="246" t="str">
        <f>IFERROR(__xludf.DUMMYFUNCTION("IF(REGEXMATCH($C347, ""M""), """",""M"")"),"")</f>
        <v/>
      </c>
      <c r="CV347" s="246" t="str">
        <f>IFERROR(__xludf.DUMMYFUNCTION("IF(REGEXMATCH($C347, ""P""), """",""P"")"),"")</f>
        <v/>
      </c>
      <c r="CW347" s="246" t="str">
        <f>IFERROR(__xludf.DUMMYFUNCTION("IF(REGEXMATCH($C347, ""d""), """",""d"")"),"")</f>
        <v/>
      </c>
      <c r="CX347" s="246" t="str">
        <f>IFERROR(__xludf.DUMMYFUNCTION("IF(REGEXMATCH($C347, ""D""), """",""D"")"),"D")</f>
        <v>D</v>
      </c>
      <c r="CY347" s="246" t="str">
        <f>IFERROR(__xludf.DUMMYFUNCTION("IF(REGEXMATCH($C347, ""n""), """",""n"")"),"n")</f>
        <v>n</v>
      </c>
      <c r="CZ347" s="246" t="str">
        <f>IFERROR(__xludf.DUMMYFUNCTION("IF(REGEXMATCH($C347, ""N""), """",""N"")"),"")</f>
        <v/>
      </c>
      <c r="DA347" s="246" t="str">
        <f>IFERROR(__xludf.DUMMYFUNCTION("IF(REGEXMATCH($C347, ""S""), ""S"",""S"")"),"S")</f>
        <v>S</v>
      </c>
      <c r="DB347" s="362" t="str">
        <f>IFERROR(__xludf.DUMMYFUNCTION("JOIN("""",CO347:DA347,"""","""")"),"SRgmDnS")</f>
        <v>SRgmDnS</v>
      </c>
      <c r="DC347" s="363"/>
      <c r="DD347" s="301" t="str">
        <f t="shared" si="35"/>
        <v>#REF!</v>
      </c>
      <c r="DE347" s="302" t="str">
        <f t="shared" si="36"/>
        <v>#REF!</v>
      </c>
      <c r="DF347" s="301" t="str">
        <f t="shared" ref="DF347:DG347" si="927">SUBSTITUTE(S347,"-","")</f>
        <v>SRGM</v>
      </c>
      <c r="DG347" s="301" t="str">
        <f t="shared" si="927"/>
        <v>PDNS</v>
      </c>
      <c r="DH347" s="302" t="str">
        <f t="shared" si="38"/>
        <v>Basant</v>
      </c>
      <c r="DI347" s="301" t="str">
        <f t="shared" si="39"/>
        <v>Hemi.</v>
      </c>
      <c r="DJ347" s="364" t="str">
        <f t="shared" si="40"/>
        <v>Cohem.</v>
      </c>
      <c r="DK347" s="306" t="str">
        <f t="shared" si="41"/>
        <v>Poorvi</v>
      </c>
      <c r="DL347" s="366" t="str">
        <f t="shared" si="42"/>
        <v>-</v>
      </c>
      <c r="DM347" s="308" t="str">
        <f t="shared" si="43"/>
        <v>-</v>
      </c>
      <c r="DN347" s="306" t="str">
        <f t="shared" si="44"/>
        <v>-</v>
      </c>
      <c r="DO347" s="306" t="str">
        <f t="shared" si="45"/>
        <v>-</v>
      </c>
      <c r="DP347" s="367" t="str">
        <f t="shared" si="46"/>
        <v>✔</v>
      </c>
      <c r="DQ347" s="310" t="str">
        <f t="shared" si="47"/>
        <v>-</v>
      </c>
      <c r="DR347" s="310" t="str">
        <f t="shared" si="48"/>
        <v>-</v>
      </c>
      <c r="DS347" s="310" t="str">
        <f t="shared" si="49"/>
        <v>-</v>
      </c>
      <c r="DT347" s="310" t="str">
        <f t="shared" si="50"/>
        <v>-</v>
      </c>
      <c r="DU347" s="370" t="str">
        <f t="shared" si="51"/>
        <v>-</v>
      </c>
      <c r="DV347" s="306" t="str">
        <f t="shared" si="52"/>
        <v>-</v>
      </c>
      <c r="DW347" s="306" t="str">
        <f t="shared" si="53"/>
        <v>-</v>
      </c>
      <c r="DX347" s="306" t="str">
        <f t="shared" si="54"/>
        <v>-</v>
      </c>
      <c r="DY347" s="306" t="str">
        <f t="shared" si="55"/>
        <v>-</v>
      </c>
      <c r="DZ347" s="306" t="str">
        <f t="shared" si="56"/>
        <v>-</v>
      </c>
      <c r="EA347" s="367" t="str">
        <f t="shared" si="57"/>
        <v>-</v>
      </c>
      <c r="EB347" s="310" t="str">
        <f>IFERROR(__xludf.DUMMYFUNCTION("IF(REGEXMATCH(AW347,AS347),""✔"",""-"")"),"-")</f>
        <v>-</v>
      </c>
      <c r="EC347" s="310" t="str">
        <f t="shared" si="58"/>
        <v>#REF!</v>
      </c>
      <c r="ED347" s="370" t="str">
        <f t="shared" si="59"/>
        <v>-</v>
      </c>
      <c r="EE347" s="340" t="str">
        <f t="shared" si="60"/>
        <v>S-r-G-M-P-d-N-S</v>
      </c>
      <c r="EF347" s="371" t="str">
        <f>IFERROR(__xludf.DUMMYFUNCTION("CONCATENATE(JOIN("""",HC347:HO347))"),"SrGmMdNS")</f>
        <v>SrGmMdNS</v>
      </c>
      <c r="EG347" s="372">
        <f t="shared" si="61"/>
        <v>2</v>
      </c>
      <c r="EH347" s="373" t="str">
        <f>IFERROR(__xludf.DUMMYFUNCTION("CONCATENATE(JOIN("""",JC347:JO347))"),"Pa, dha, ")</f>
        <v>Pa, dha, </v>
      </c>
      <c r="EI347" s="322">
        <f t="shared" si="62"/>
        <v>0</v>
      </c>
      <c r="EJ347" s="374" t="str">
        <f>IFERROR(__xludf.DUMMYFUNCTION("CONCATENATE(JOIN("""",KC347:KO347))"),"")</f>
        <v/>
      </c>
      <c r="EK347" s="325" t="str">
        <f t="shared" si="63"/>
        <v>S-R1-G3-M2-P-D1-N3-S</v>
      </c>
      <c r="EL347" s="326" t="str">
        <f t="shared" si="64"/>
        <v>1-b2-3-#4-5-b6-7-8</v>
      </c>
      <c r="EM347" s="318" t="str">
        <f t="shared" si="65"/>
        <v>#REF!</v>
      </c>
      <c r="EN347" s="328" t="str">
        <f>IFERROR(__xludf.DUMMYFUNCTION("SUBSTITUTE(SUBSTITUTE(SUBSTITUTE(SUBSTITUTE(CONCATENATE(JOIN("" "",HP347:IB347)),""  "","" ""),""  "","" ""),""  "","" ""),""  "","" "")"),"o o • • o • o o o • • o o")</f>
        <v>o o • • o • o o o • • o o</v>
      </c>
      <c r="EO347" s="368" t="str">
        <f t="shared" si="66"/>
        <v>Sa-Pa</v>
      </c>
      <c r="EP347" s="339" t="str">
        <f t="shared" si="67"/>
        <v>Sa-Pa</v>
      </c>
      <c r="EQ347" s="339" t="str">
        <f t="shared" si="68"/>
        <v>Sa-Pa</v>
      </c>
      <c r="ER347" s="339" t="str">
        <f t="shared" si="69"/>
        <v>-</v>
      </c>
      <c r="ES347" s="340" t="str">
        <f t="shared" si="70"/>
        <v>-</v>
      </c>
      <c r="ET347" s="363"/>
      <c r="EU347" s="376" t="b">
        <f>IFERROR(__xludf.DUMMYFUNCTION("arrayformula(sum(--REGEXMATCH(""SRGMPDNS"",split(REGEXREPLACE(C347,""(.)"",""$1~""),""~""))))=len(C347)
"),FALSE)</f>
        <v>0</v>
      </c>
      <c r="EV347" s="290" t="b">
        <f>IFERROR(__xludf.DUMMYFUNCTION("arrayformula(sum(--REGEXMATCH(""SRGmPDNS"",split(REGEXREPLACE(C347,""(.)"",""$1~""),""~""))))=len(C347)"),FALSE)</f>
        <v>0</v>
      </c>
      <c r="EW347" s="290" t="b">
        <f>IFERROR(__xludf.DUMMYFUNCTION("arrayformula(sum(--REGEXMATCH(""SRGmPDnS"",split(REGEXREPLACE(C347,""(.)"",""$1~""),""~""))))=len(C347)"),FALSE)</f>
        <v>0</v>
      </c>
      <c r="EX347" s="290" t="b">
        <f>IFERROR(__xludf.DUMMYFUNCTION("arrayformula(sum(--REGEXMATCH(""SRgmPDnS"",split(REGEXREPLACE(C347,""(.)"",""$1~""),""~""))))=len(C347)"),FALSE)</f>
        <v>0</v>
      </c>
      <c r="EY347" s="290" t="b">
        <f>IFERROR(__xludf.DUMMYFUNCTION("arrayformula(sum(--REGEXMATCH(""SRgmPdnS"",split(REGEXREPLACE(C347,""(.)"",""$1~""),""~""))))=len(C347)"),FALSE)</f>
        <v>0</v>
      </c>
      <c r="EZ347" s="290" t="b">
        <f>IFERROR(__xludf.DUMMYFUNCTION("arrayformula(sum(--REGEXMATCH(""SrgmPdnS"",split(REGEXREPLACE(C347,""(.)"",""$1~""),""~""))))=len(C347)"),FALSE)</f>
        <v>0</v>
      </c>
      <c r="FA347" s="290" t="b">
        <f>IFERROR(__xludf.DUMMYFUNCTION("arrayformula(sum(--REGEXMATCH(""SrGmPdNS"",split(REGEXREPLACE(C347,""(.)"",""$1~""),""~""))))=len(C347)"),FALSE)</f>
        <v>0</v>
      </c>
      <c r="FB347" s="290" t="b">
        <f>IFERROR(__xludf.DUMMYFUNCTION("arrayformula(sum(--REGEXMATCH(""SrGMPDNS"",split(REGEXREPLACE(C347,""(.)"",""$1~""),""~""))))=len(C347)"),FALSE)</f>
        <v>0</v>
      </c>
      <c r="FC347" s="290" t="b">
        <f>IFERROR(__xludf.DUMMYFUNCTION("arrayformula(sum(--REGEXMATCH(""SrGMPdNS"",split(REGEXREPLACE(C347,""(.)"",""$1~""),""~""))))=len(C347)"),TRUE)</f>
        <v>1</v>
      </c>
      <c r="FD347" s="377" t="b">
        <f>IFERROR(__xludf.DUMMYFUNCTION("arrayformula(sum(--REGEXMATCH(""SrgMPdNS"",split(REGEXREPLACE(C347,""(.)"",""$1~""),""~""))))=len(C347)"),FALSE)</f>
        <v>0</v>
      </c>
      <c r="FE347" s="269" t="str">
        <f t="shared" si="71"/>
        <v>xooxoxxxoox</v>
      </c>
      <c r="FF347" s="269" t="str">
        <f t="shared" si="72"/>
        <v>-</v>
      </c>
      <c r="FG347" s="271" t="str">
        <f t="shared" si="73"/>
        <v>-</v>
      </c>
      <c r="FH347" s="269" t="str">
        <f t="shared" si="74"/>
        <v>xoxxxooxxxo</v>
      </c>
      <c r="FI347" s="271" t="str">
        <f t="shared" si="75"/>
        <v>-</v>
      </c>
      <c r="FJ347" s="271" t="str">
        <f t="shared" si="76"/>
        <v>xxxooxxxoox</v>
      </c>
      <c r="FK347" s="271" t="str">
        <f t="shared" si="77"/>
        <v>xxooxxxooxo</v>
      </c>
      <c r="FL347" s="271" t="str">
        <f t="shared" si="78"/>
        <v>xooxxxooxox</v>
      </c>
      <c r="FM347" s="271" t="str">
        <f t="shared" si="79"/>
        <v>-</v>
      </c>
      <c r="FN347" s="271" t="str">
        <f t="shared" si="80"/>
        <v>-</v>
      </c>
      <c r="FO347" s="274" t="str">
        <f t="shared" si="81"/>
        <v>xxxooxoxxxo</v>
      </c>
      <c r="FP347" s="234" t="str">
        <f t="shared" si="82"/>
        <v>|</v>
      </c>
      <c r="FQ347" s="236" t="str">
        <f t="shared" si="83"/>
        <v>|</v>
      </c>
      <c r="FR347" s="237" t="str">
        <f t="shared" si="84"/>
        <v>-</v>
      </c>
      <c r="FS347" s="236" t="str">
        <f t="shared" si="85"/>
        <v>-</v>
      </c>
      <c r="FT347" s="237" t="str">
        <f t="shared" si="86"/>
        <v>|</v>
      </c>
      <c r="FU347" s="236" t="str">
        <f t="shared" si="87"/>
        <v>-</v>
      </c>
      <c r="FV347" s="237" t="str">
        <f t="shared" si="88"/>
        <v>|</v>
      </c>
      <c r="FW347" s="236" t="str">
        <f t="shared" si="89"/>
        <v>|</v>
      </c>
      <c r="FX347" s="237" t="str">
        <f t="shared" si="90"/>
        <v>|</v>
      </c>
      <c r="FY347" s="236" t="str">
        <f t="shared" si="91"/>
        <v>-</v>
      </c>
      <c r="FZ347" s="237" t="str">
        <f t="shared" si="92"/>
        <v>-</v>
      </c>
      <c r="GA347" s="236" t="str">
        <f t="shared" si="93"/>
        <v>|</v>
      </c>
      <c r="GB347" s="238" t="str">
        <f t="shared" si="94"/>
        <v>|</v>
      </c>
      <c r="GC347" s="244" t="str">
        <f>IFERROR(__xludf.DUMMYFUNCTION("IF(REGEXMATCH(C347, ""S""), ""1"","""")"),"1")</f>
        <v>1</v>
      </c>
      <c r="GD347" s="245" t="str">
        <f>IFERROR(__xludf.DUMMYFUNCTION("IF(REGEXMATCH(C347, ""r""), ""b2"","""")"),"b2")</f>
        <v>b2</v>
      </c>
      <c r="GE347" s="246" t="str">
        <f>IFERROR(__xludf.DUMMYFUNCTION("IF(REGEXMATCH(C347, ""R""), ""2"","""")"),"")</f>
        <v/>
      </c>
      <c r="GF347" s="246" t="str">
        <f>IFERROR(__xludf.DUMMYFUNCTION("IF(REGEXMATCH(C347, ""g""), ""b3"","""")"),"")</f>
        <v/>
      </c>
      <c r="GG347" s="245" t="str">
        <f>IFERROR(__xludf.DUMMYFUNCTION("IF(REGEXMATCH(C347, ""G""), ""3"","""")"),"3")</f>
        <v>3</v>
      </c>
      <c r="GH347" s="245" t="str">
        <f>IFERROR(__xludf.DUMMYFUNCTION("IF(REGEXMATCH(C347, ""m""), ""4"","""")"),"")</f>
        <v/>
      </c>
      <c r="GI347" s="246" t="str">
        <f>IFERROR(__xludf.DUMMYFUNCTION("IF(REGEXMATCH(C347, ""M""), ""#4"","""")"),"#4")</f>
        <v>#4</v>
      </c>
      <c r="GJ347" s="245" t="str">
        <f>IFERROR(__xludf.DUMMYFUNCTION("IF(REGEXMATCH(C347, ""P""), ""5"","""")"),"5")</f>
        <v>5</v>
      </c>
      <c r="GK347" s="246" t="str">
        <f>IFERROR(__xludf.DUMMYFUNCTION("IF(REGEXMATCH(C347, ""d""), ""b6"","""")"),"b6")</f>
        <v>b6</v>
      </c>
      <c r="GL347" s="245" t="str">
        <f>IFERROR(__xludf.DUMMYFUNCTION("IF(REGEXMATCH(C347, ""D""), ""6"","""")"),"")</f>
        <v/>
      </c>
      <c r="GM347" s="245" t="str">
        <f>IFERROR(__xludf.DUMMYFUNCTION("IF(REGEXMATCH(C347, ""n""), ""b7"","""")"),"")</f>
        <v/>
      </c>
      <c r="GN347" s="246" t="str">
        <f>IFERROR(__xludf.DUMMYFUNCTION("IF(REGEXMATCH(C347, ""N""), ""7"","""")"),"7")</f>
        <v>7</v>
      </c>
      <c r="GO347" s="249" t="str">
        <f>IFERROR(__xludf.DUMMYFUNCTION("IF(REGEXMATCH(C347, ""S""), ""8"","""")"),"8")</f>
        <v>8</v>
      </c>
      <c r="GP347" s="244" t="str">
        <f>IFERROR(__xludf.DUMMYFUNCTION("IF(REGEXMATCH(C347, ""S""), ""S"","""")"),"S")</f>
        <v>S</v>
      </c>
      <c r="GQ347" s="294" t="str">
        <f>IFERROR(__xludf.DUMMYFUNCTION("IF(REGEXMATCH(C347, ""r""), ""R1"","""")"),"R1")</f>
        <v>R1</v>
      </c>
      <c r="GR347" s="295" t="str">
        <f>IFERROR(__xludf.DUMMYFUNCTION("IF(REGEXMATCH(C347, ""R""), ""R2"","""")"),"")</f>
        <v/>
      </c>
      <c r="GS347" s="295" t="str">
        <f>IFERROR(__xludf.DUMMYFUNCTION("IF(REGEXMATCH(C347, ""g""), ""G2"","""")"),"")</f>
        <v/>
      </c>
      <c r="GT347" s="294" t="str">
        <f>IFERROR(__xludf.DUMMYFUNCTION("IF(REGEXMATCH(C347, ""G""), ""G3"","""")"),"G3")</f>
        <v>G3</v>
      </c>
      <c r="GU347" s="294" t="str">
        <f>IFERROR(__xludf.DUMMYFUNCTION("IF(REGEXMATCH(C347, ""m""), ""M1"","""")"),"")</f>
        <v/>
      </c>
      <c r="GV347" s="295" t="str">
        <f>IFERROR(__xludf.DUMMYFUNCTION("IF(REGEXMATCH(C347, ""M""), ""M2"","""")"),"M2")</f>
        <v>M2</v>
      </c>
      <c r="GW347" s="294" t="str">
        <f>IFERROR(__xludf.DUMMYFUNCTION("IF(REGEXMATCH(C347, ""P""), ""P"","""")"),"P")</f>
        <v>P</v>
      </c>
      <c r="GX347" s="295" t="str">
        <f>IFERROR(__xludf.DUMMYFUNCTION("IF(REGEXMATCH(C347, ""d""), ""D1"","""")"),"D1")</f>
        <v>D1</v>
      </c>
      <c r="GY347" s="294" t="str">
        <f>IFERROR(__xludf.DUMMYFUNCTION("IF(REGEXMATCH(C347, ""D""), ""D2"","""")"),"")</f>
        <v/>
      </c>
      <c r="GZ347" s="294" t="str">
        <f>IFERROR(__xludf.DUMMYFUNCTION("IF(REGEXMATCH(C347, ""n""), ""N2"","""")"),"")</f>
        <v/>
      </c>
      <c r="HA347" s="295" t="str">
        <f>IFERROR(__xludf.DUMMYFUNCTION("IF(REGEXMATCH(C347, ""N""), ""N3"","""")"),"N3")</f>
        <v>N3</v>
      </c>
      <c r="HB347" s="249" t="str">
        <f>IFERROR(__xludf.DUMMYFUNCTION("IF(REGEXMATCH(C347, ""S""), ""S"","""")"),"S")</f>
        <v>S</v>
      </c>
      <c r="HC347" s="331" t="str">
        <f t="shared" si="95"/>
        <v>S</v>
      </c>
      <c r="HD347" s="332" t="str">
        <f t="shared" si="96"/>
        <v>r</v>
      </c>
      <c r="HE347" s="332" t="str">
        <f t="shared" si="97"/>
        <v/>
      </c>
      <c r="HF347" s="332" t="str">
        <f t="shared" si="98"/>
        <v/>
      </c>
      <c r="HG347" s="332" t="str">
        <f t="shared" si="99"/>
        <v>G</v>
      </c>
      <c r="HH347" s="332" t="str">
        <f t="shared" si="100"/>
        <v>m</v>
      </c>
      <c r="HI347" s="332" t="str">
        <f t="shared" si="101"/>
        <v>M</v>
      </c>
      <c r="HJ347" s="332" t="str">
        <f t="shared" si="102"/>
        <v/>
      </c>
      <c r="HK347" s="332" t="str">
        <f t="shared" si="103"/>
        <v>d</v>
      </c>
      <c r="HL347" s="332" t="str">
        <f t="shared" si="104"/>
        <v/>
      </c>
      <c r="HM347" s="332" t="str">
        <f t="shared" si="105"/>
        <v/>
      </c>
      <c r="HN347" s="332" t="str">
        <f t="shared" si="106"/>
        <v>N</v>
      </c>
      <c r="HO347" s="343" t="str">
        <f t="shared" si="107"/>
        <v>S</v>
      </c>
      <c r="HP347" s="331" t="str">
        <f t="shared" si="108"/>
        <v>o</v>
      </c>
      <c r="HQ347" s="332" t="str">
        <f t="shared" si="109"/>
        <v>o</v>
      </c>
      <c r="HR347" s="332" t="str">
        <f t="shared" si="110"/>
        <v>•</v>
      </c>
      <c r="HS347" s="332" t="str">
        <f t="shared" si="111"/>
        <v>•</v>
      </c>
      <c r="HT347" s="332" t="str">
        <f t="shared" si="112"/>
        <v>o</v>
      </c>
      <c r="HU347" s="332" t="str">
        <f t="shared" si="113"/>
        <v>•</v>
      </c>
      <c r="HV347" s="332" t="str">
        <f t="shared" si="114"/>
        <v>o</v>
      </c>
      <c r="HW347" s="332" t="str">
        <f t="shared" si="115"/>
        <v>o</v>
      </c>
      <c r="HX347" s="332" t="str">
        <f t="shared" si="116"/>
        <v>o</v>
      </c>
      <c r="HY347" s="332" t="str">
        <f t="shared" si="117"/>
        <v>•</v>
      </c>
      <c r="HZ347" s="332" t="str">
        <f t="shared" si="118"/>
        <v>•</v>
      </c>
      <c r="IA347" s="332" t="str">
        <f t="shared" si="119"/>
        <v>o</v>
      </c>
      <c r="IB347" s="338" t="str">
        <f t="shared" si="120"/>
        <v>o</v>
      </c>
      <c r="IC347" s="331" t="str">
        <f t="shared" si="121"/>
        <v>•</v>
      </c>
      <c r="ID347" s="332" t="str">
        <f t="shared" si="122"/>
        <v>•</v>
      </c>
      <c r="IE347" s="332" t="str">
        <f t="shared" si="123"/>
        <v>o</v>
      </c>
      <c r="IF347" s="332" t="str">
        <f t="shared" si="124"/>
        <v>o</v>
      </c>
      <c r="IG347" s="332" t="str">
        <f t="shared" si="125"/>
        <v>•</v>
      </c>
      <c r="IH347" s="332" t="str">
        <f t="shared" si="126"/>
        <v>o</v>
      </c>
      <c r="II347" s="332" t="str">
        <f t="shared" si="127"/>
        <v>•</v>
      </c>
      <c r="IJ347" s="332" t="str">
        <f t="shared" si="128"/>
        <v>•</v>
      </c>
      <c r="IK347" s="332" t="str">
        <f t="shared" si="129"/>
        <v>•</v>
      </c>
      <c r="IL347" s="332" t="str">
        <f t="shared" si="130"/>
        <v>o</v>
      </c>
      <c r="IM347" s="332" t="str">
        <f t="shared" si="131"/>
        <v>o</v>
      </c>
      <c r="IN347" s="332" t="str">
        <f t="shared" si="132"/>
        <v>•</v>
      </c>
      <c r="IO347" s="338" t="str">
        <f t="shared" si="133"/>
        <v>•</v>
      </c>
      <c r="IP347" s="346" t="b">
        <f t="shared" si="134"/>
        <v>0</v>
      </c>
      <c r="IQ347" s="347" t="b">
        <f t="shared" si="135"/>
        <v>0</v>
      </c>
      <c r="IR347" s="347" t="b">
        <f t="shared" si="136"/>
        <v>0</v>
      </c>
      <c r="IS347" s="347" t="b">
        <f t="shared" si="137"/>
        <v>0</v>
      </c>
      <c r="IT347" s="347" t="b">
        <f t="shared" si="138"/>
        <v>0</v>
      </c>
      <c r="IU347" s="347" t="b">
        <f t="shared" si="139"/>
        <v>0</v>
      </c>
      <c r="IV347" s="347" t="b">
        <f t="shared" si="140"/>
        <v>0</v>
      </c>
      <c r="IW347" s="347" t="b">
        <f t="shared" si="141"/>
        <v>1</v>
      </c>
      <c r="IX347" s="347" t="b">
        <f t="shared" si="142"/>
        <v>1</v>
      </c>
      <c r="IY347" s="347" t="b">
        <f t="shared" si="143"/>
        <v>0</v>
      </c>
      <c r="IZ347" s="347" t="b">
        <f t="shared" si="144"/>
        <v>0</v>
      </c>
      <c r="JA347" s="347" t="b">
        <f t="shared" si="145"/>
        <v>0</v>
      </c>
      <c r="JB347" s="353" t="b">
        <f t="shared" si="146"/>
        <v>0</v>
      </c>
      <c r="JC347" s="354" t="str">
        <f t="shared" si="147"/>
        <v/>
      </c>
      <c r="JD347" s="355" t="str">
        <f t="shared" si="148"/>
        <v/>
      </c>
      <c r="JE347" s="355" t="str">
        <f t="shared" si="149"/>
        <v/>
      </c>
      <c r="JF347" s="355" t="str">
        <f t="shared" si="150"/>
        <v/>
      </c>
      <c r="JG347" s="355" t="str">
        <f t="shared" si="151"/>
        <v/>
      </c>
      <c r="JH347" s="355" t="str">
        <f t="shared" si="152"/>
        <v/>
      </c>
      <c r="JI347" s="355" t="str">
        <f t="shared" si="153"/>
        <v/>
      </c>
      <c r="JJ347" s="355" t="str">
        <f t="shared" si="154"/>
        <v>Pa, </v>
      </c>
      <c r="JK347" s="355" t="str">
        <f t="shared" si="155"/>
        <v>dha, </v>
      </c>
      <c r="JL347" s="355" t="str">
        <f t="shared" si="156"/>
        <v/>
      </c>
      <c r="JM347" s="355" t="str">
        <f t="shared" si="157"/>
        <v/>
      </c>
      <c r="JN347" s="355" t="str">
        <f t="shared" si="158"/>
        <v/>
      </c>
      <c r="JO347" s="359" t="str">
        <f t="shared" si="159"/>
        <v/>
      </c>
      <c r="JP347" s="346" t="b">
        <f t="shared" si="160"/>
        <v>0</v>
      </c>
      <c r="JQ347" s="347" t="b">
        <f t="shared" si="161"/>
        <v>0</v>
      </c>
      <c r="JR347" s="347" t="b">
        <f t="shared" si="162"/>
        <v>0</v>
      </c>
      <c r="JS347" s="347" t="b">
        <f t="shared" si="163"/>
        <v>0</v>
      </c>
      <c r="JT347" s="347" t="b">
        <f t="shared" si="164"/>
        <v>0</v>
      </c>
      <c r="JU347" s="347" t="b">
        <f t="shared" si="165"/>
        <v>0</v>
      </c>
      <c r="JV347" s="347" t="b">
        <f t="shared" si="166"/>
        <v>0</v>
      </c>
      <c r="JW347" s="347" t="b">
        <f t="shared" si="167"/>
        <v>0</v>
      </c>
      <c r="JX347" s="347" t="b">
        <f t="shared" si="168"/>
        <v>0</v>
      </c>
      <c r="JY347" s="347" t="b">
        <f t="shared" si="169"/>
        <v>0</v>
      </c>
      <c r="JZ347" s="347" t="b">
        <f t="shared" si="170"/>
        <v>0</v>
      </c>
      <c r="KA347" s="347" t="b">
        <f t="shared" si="171"/>
        <v>0</v>
      </c>
      <c r="KB347" s="365" t="b">
        <f t="shared" si="172"/>
        <v>0</v>
      </c>
      <c r="KC347" s="354" t="str">
        <f t="shared" si="173"/>
        <v/>
      </c>
      <c r="KD347" s="355" t="str">
        <f t="shared" si="174"/>
        <v/>
      </c>
      <c r="KE347" s="355" t="str">
        <f t="shared" si="175"/>
        <v/>
      </c>
      <c r="KF347" s="355" t="str">
        <f t="shared" si="176"/>
        <v/>
      </c>
      <c r="KG347" s="355" t="str">
        <f t="shared" si="177"/>
        <v/>
      </c>
      <c r="KH347" s="355" t="str">
        <f t="shared" si="178"/>
        <v/>
      </c>
      <c r="KI347" s="355" t="str">
        <f t="shared" si="179"/>
        <v/>
      </c>
      <c r="KJ347" s="355" t="str">
        <f t="shared" si="180"/>
        <v/>
      </c>
      <c r="KK347" s="355" t="str">
        <f t="shared" si="181"/>
        <v/>
      </c>
      <c r="KL347" s="355" t="str">
        <f t="shared" si="182"/>
        <v/>
      </c>
      <c r="KM347" s="355" t="str">
        <f t="shared" si="183"/>
        <v/>
      </c>
      <c r="KN347" s="355" t="str">
        <f t="shared" si="184"/>
        <v/>
      </c>
      <c r="KO347" s="359"/>
      <c r="KP347" s="378"/>
      <c r="KQ347" s="379" t="s">
        <v>9</v>
      </c>
      <c r="KR347" s="380" t="s">
        <v>1315</v>
      </c>
      <c r="KS347" s="381" t="s">
        <v>9</v>
      </c>
      <c r="KT347" s="382">
        <f t="shared" si="186"/>
        <v>0</v>
      </c>
      <c r="KU347" s="383">
        <f t="shared" si="187"/>
        <v>0</v>
      </c>
      <c r="KV347" s="381" t="str">
        <f t="shared" si="205"/>
        <v>S-N-d-P-M-G-r-S</v>
      </c>
      <c r="KW347" s="382">
        <f t="shared" si="189"/>
        <v>7</v>
      </c>
      <c r="KX347" s="384">
        <f t="shared" si="190"/>
        <v>7</v>
      </c>
      <c r="KY347" s="382">
        <f t="shared" ref="KY347:KZ347" si="928">KW347-KT347</f>
        <v>7</v>
      </c>
      <c r="KZ347" s="369">
        <f t="shared" si="928"/>
        <v>7</v>
      </c>
      <c r="LA347" s="385" t="str">
        <f t="shared" si="192"/>
        <v>-</v>
      </c>
      <c r="LB347" s="340" t="str">
        <f>IFERROR(__xludf.DUMMYFUNCTION("JOIN("""",ArrayFormula(MID(KS347,LEN(KS347)-SEQUENCE(1,LEN(KS347))+1,1)))"),"S")</f>
        <v>S</v>
      </c>
      <c r="LC347" s="373" t="str">
        <f>IFERROR(__xludf.DUMMYFUNCTION("JOIN("""",ArrayFormula(MID(KV347,LEN(KV347)-SEQUENCE(1,LEN(KV347))+1,1)))"),"S-r-G-M-P-d-N-S")</f>
        <v>S-r-G-M-P-d-N-S</v>
      </c>
      <c r="LD347" s="373" t="str">
        <f t="shared" si="193"/>
        <v>S</v>
      </c>
      <c r="LE347" s="339" t="str">
        <f t="shared" si="194"/>
        <v>SrGMPdNS</v>
      </c>
      <c r="LF347" s="386" t="str">
        <f>IFERROR(__xludf.DUMMYFUNCTION("SUBSTITUTE(SUBSTITUTE(CONCATENATE(JOIN("""",LH347:LT347)),""1"",""""),""2"","""")"),"SrGMPdNS")</f>
        <v>SrGMPdNS</v>
      </c>
      <c r="LG347" s="369" t="str">
        <f t="shared" si="195"/>
        <v>✔</v>
      </c>
      <c r="LH347" s="387" t="str">
        <f>IFERROR(__xludf.DUMMYFUNCTION("IF(REGEXMATCH(LD347, ""S""), ""S"",IF(REGEXMATCH(LE347, ""S""), ""S"",""""))"),"S")</f>
        <v>S</v>
      </c>
      <c r="LI347" s="299" t="str">
        <f>IFERROR(__xludf.DUMMYFUNCTION("IF(REGEXMATCH(LD347, ""r""), ""r1"",IF(REGEXMATCH(LE347, ""r""), ""r2"",""""))"),"r2")</f>
        <v>r2</v>
      </c>
      <c r="LJ347" s="299" t="str">
        <f>IFERROR(__xludf.DUMMYFUNCTION("IF(REGEXMATCH(LD347, ""R""), ""R1"",IF(REGEXMATCH(LE347, ""R""), ""R2"",""""))"),"")</f>
        <v/>
      </c>
      <c r="LK347" s="299" t="str">
        <f>IFERROR(__xludf.DUMMYFUNCTION("IF(REGEXMATCH(LD347, ""g""), ""g1"",IF(REGEXMATCH(LE347, ""g""), ""g2"",""""))"),"")</f>
        <v/>
      </c>
      <c r="LL347" s="299" t="str">
        <f>IFERROR(__xludf.DUMMYFUNCTION("IF(REGEXMATCH(LD347, ""G""), ""G1"",IF(REGEXMATCH(LE347, ""G""), ""G2"",""""))"),"G2")</f>
        <v>G2</v>
      </c>
      <c r="LM347" s="299" t="str">
        <f>IFERROR(__xludf.DUMMYFUNCTION("IF(REGEXMATCH(LD347, ""m""), ""m1"",IF(REGEXMATCH(LE347, ""m""), ""m2"",""""))"),"")</f>
        <v/>
      </c>
      <c r="LN347" s="299" t="str">
        <f>IFERROR(__xludf.DUMMYFUNCTION("IF(REGEXMATCH(LD347, ""M""), ""M1"",IF(REGEXMATCH(LE347, ""M""), ""M2"",""""))"),"M2")</f>
        <v>M2</v>
      </c>
      <c r="LO347" s="299" t="str">
        <f>IFERROR(__xludf.DUMMYFUNCTION("IF(REGEXMATCH(LD347, ""P""), ""P1"",IF(REGEXMATCH(LE347, ""P""), ""P2"",""""))"),"P2")</f>
        <v>P2</v>
      </c>
      <c r="LP347" s="299" t="str">
        <f>IFERROR(__xludf.DUMMYFUNCTION("IF(REGEXMATCH(LD347, ""d""), ""d1"",IF(REGEXMATCH(LE347, ""d""), ""d2"",""""))"),"d2")</f>
        <v>d2</v>
      </c>
      <c r="LQ347" s="299" t="str">
        <f>IFERROR(__xludf.DUMMYFUNCTION("IF(REGEXMATCH(LD347, ""D""), ""D1"",IF(REGEXMATCH(LE347, ""D""), ""D2"",""""))"),"")</f>
        <v/>
      </c>
      <c r="LR347" s="299" t="str">
        <f>IFERROR(__xludf.DUMMYFUNCTION("IF(REGEXMATCH(LD347, ""n""), ""n1"",IF(REGEXMATCH(LE347, ""n""), ""n2"",""""))"),"")</f>
        <v/>
      </c>
      <c r="LS347" s="299" t="str">
        <f>IFERROR(__xludf.DUMMYFUNCTION("IF(REGEXMATCH(LD347, ""N""), ""N1"",IF(REGEXMATCH(LE347, ""N""), ""N2"",""""))"),"N2")</f>
        <v>N2</v>
      </c>
      <c r="LT347" s="388" t="str">
        <f>IFERROR(__xludf.DUMMYFUNCTION("IF(REGEXMATCH(LD347, ""S""), ""S"",IF(REGEXMATCH(LE347, ""S""), ""S"",""""))"),"S")</f>
        <v>S</v>
      </c>
      <c r="LU347" s="389">
        <f t="shared" si="196"/>
        <v>-13</v>
      </c>
      <c r="LV347" s="378"/>
      <c r="LW347" s="369"/>
      <c r="LX347" s="369"/>
    </row>
    <row r="348" ht="18.0" customHeight="1">
      <c r="A348" s="298" t="s">
        <v>1210</v>
      </c>
      <c r="B348" s="222" t="s">
        <v>1211</v>
      </c>
      <c r="C348" s="233" t="str">
        <f t="shared" si="7"/>
        <v>SRgMPDnNS</v>
      </c>
      <c r="D348" s="234" t="str">
        <f>IFERROR(__xludf.DUMMYFUNCTION("IF(REGEXMATCH(C348, ""S""), ""S"","""")"),"S")</f>
        <v>S</v>
      </c>
      <c r="E348" s="236" t="str">
        <f>IFERROR(__xludf.DUMMYFUNCTION("IF(REGEXMATCH(C348, ""r""), ""r"","""")"),"")</f>
        <v/>
      </c>
      <c r="F348" s="237" t="str">
        <f>IFERROR(__xludf.DUMMYFUNCTION("IF(REGEXMATCH(C348, ""R""), ""R"","""")"),"R")</f>
        <v>R</v>
      </c>
      <c r="G348" s="237" t="str">
        <f>IFERROR(__xludf.DUMMYFUNCTION("IF(REGEXMATCH(C348, ""g""), ""g"","""")"),"g")</f>
        <v>g</v>
      </c>
      <c r="H348" s="236" t="str">
        <f>IFERROR(__xludf.DUMMYFUNCTION("IF(REGEXMATCH(C348, ""G""), ""G"","""")"),"")</f>
        <v/>
      </c>
      <c r="I348" s="236" t="str">
        <f>IFERROR(__xludf.DUMMYFUNCTION("IF(REGEXMATCH(C348, ""m""), ""m"","""")"),"")</f>
        <v/>
      </c>
      <c r="J348" s="237" t="str">
        <f>IFERROR(__xludf.DUMMYFUNCTION("IF(REGEXMATCH(C348, ""M""), ""M"","""")"),"M")</f>
        <v>M</v>
      </c>
      <c r="K348" s="236" t="str">
        <f>IFERROR(__xludf.DUMMYFUNCTION("IF(REGEXMATCH(C348, ""P""), ""P"","""")"),"P")</f>
        <v>P</v>
      </c>
      <c r="L348" s="237" t="str">
        <f>IFERROR(__xludf.DUMMYFUNCTION("IF(REGEXMATCH(C348, ""d""), ""d"","""")"),"")</f>
        <v/>
      </c>
      <c r="M348" s="236" t="str">
        <f>IFERROR(__xludf.DUMMYFUNCTION("IF(REGEXMATCH(C348, ""D""), ""D"","""")"),"D")</f>
        <v>D</v>
      </c>
      <c r="N348" s="236" t="str">
        <f>IFERROR(__xludf.DUMMYFUNCTION("IF(REGEXMATCH(C348, ""n""), ""n"","""")"),"n")</f>
        <v>n</v>
      </c>
      <c r="O348" s="237" t="str">
        <f>IFERROR(__xludf.DUMMYFUNCTION("IF(REGEXMATCH(C348, ""N""), ""N"","""")"),"N")</f>
        <v>N</v>
      </c>
      <c r="P348" s="238" t="str">
        <f>IFERROR(__xludf.DUMMYFUNCTION("IF(REGEXMATCH(C348, ""S""), ""S"","""")"),"S")</f>
        <v>S</v>
      </c>
      <c r="Q348" s="239" t="str">
        <f>IFERROR(__xludf.DUMMYFUNCTION("SUBSTITUTE(CONCATENATE(JOIN(""-"",D348:J348)),""-"","""")"),"SRgM")</f>
        <v>SRgM</v>
      </c>
      <c r="R348" s="229" t="str">
        <f>IFERROR(__xludf.DUMMYFUNCTION("SUBSTITUTE(CONCATENATE(JOIN(""-"",K348:P348)),""-"","""")"),"PDnNS")</f>
        <v>PDnNS</v>
      </c>
      <c r="S348" s="282" t="str">
        <f t="shared" si="8"/>
        <v>S-R-G-M</v>
      </c>
      <c r="T348" s="282" t="str">
        <f t="shared" si="9"/>
        <v>P-D-N-S</v>
      </c>
      <c r="U348" s="237" t="str">
        <f>IFERROR(__xludf.DUMMYFUNCTION("SUBSTITUTE(JOIN(""-"",S348,T348),""--"",""-"")"),"S-R-G-M-P-D-N-S")</f>
        <v>S-R-G-M-P-D-N-S</v>
      </c>
      <c r="V348" s="309" t="str">
        <f t="shared" si="10"/>
        <v>RgMDnN</v>
      </c>
      <c r="W348" s="244" t="str">
        <f>IFERROR(__xludf.DUMMYFUNCTION("IF(REGEXMATCH(C348, ""S""), ""0"","""")"),"0")</f>
        <v>0</v>
      </c>
      <c r="X348" s="245" t="str">
        <f>IFERROR(__xludf.DUMMYFUNCTION("IF(REGEXMATCH(C348, ""r""), ""1"","""")"),"")</f>
        <v/>
      </c>
      <c r="Y348" s="246" t="str">
        <f>IFERROR(__xludf.DUMMYFUNCTION("IF(REGEXMATCH(C348, ""R""), ""2"","""")"),"2")</f>
        <v>2</v>
      </c>
      <c r="Z348" s="246" t="str">
        <f>IFERROR(__xludf.DUMMYFUNCTION("IF(REGEXMATCH(C348, ""g""), ""3"","""")"),"3")</f>
        <v>3</v>
      </c>
      <c r="AA348" s="245" t="str">
        <f>IFERROR(__xludf.DUMMYFUNCTION("IF(REGEXMATCH(C348, ""G""), ""4"","""")"),"")</f>
        <v/>
      </c>
      <c r="AB348" s="245" t="str">
        <f>IFERROR(__xludf.DUMMYFUNCTION("IF(REGEXMATCH(C348, ""m""), ""5"","""")"),"")</f>
        <v/>
      </c>
      <c r="AC348" s="246" t="str">
        <f>IFERROR(__xludf.DUMMYFUNCTION("IF(REGEXMATCH(C348, ""M""), ""6"","""")"),"6")</f>
        <v>6</v>
      </c>
      <c r="AD348" s="245" t="str">
        <f>IFERROR(__xludf.DUMMYFUNCTION("IF(REGEXMATCH(C348, ""P""), ""7"","""")"),"7")</f>
        <v>7</v>
      </c>
      <c r="AE348" s="246" t="str">
        <f>IFERROR(__xludf.DUMMYFUNCTION("IF(REGEXMATCH(C348, ""d""), ""8"","""")"),"")</f>
        <v/>
      </c>
      <c r="AF348" s="245" t="str">
        <f>IFERROR(__xludf.DUMMYFUNCTION("IF(REGEXMATCH(C348, ""D""), ""9"","""")"),"9")</f>
        <v>9</v>
      </c>
      <c r="AG348" s="245" t="str">
        <f>IFERROR(__xludf.DUMMYFUNCTION("IF(REGEXMATCH(C348, ""n""), ""10"","""")"),"10")</f>
        <v>10</v>
      </c>
      <c r="AH348" s="246" t="str">
        <f>IFERROR(__xludf.DUMMYFUNCTION("IF(REGEXMATCH(C348, ""N""), ""11"","""")"),"11")</f>
        <v>11</v>
      </c>
      <c r="AI348" s="249" t="str">
        <f>IFERROR(__xludf.DUMMYFUNCTION("IF(REGEXMATCH(C348, ""S""), ""0"","""")"),"0")</f>
        <v>0</v>
      </c>
      <c r="AJ348" s="313" t="str">
        <f t="shared" si="11"/>
        <v>T</v>
      </c>
      <c r="AK348" s="313" t="str">
        <f t="shared" si="12"/>
        <v>-</v>
      </c>
      <c r="AL348" s="313" t="str">
        <f t="shared" si="13"/>
        <v>-</v>
      </c>
      <c r="AM348" s="313" t="str">
        <f t="shared" si="14"/>
        <v>T</v>
      </c>
      <c r="AN348" s="313" t="str">
        <f t="shared" si="15"/>
        <v>-</v>
      </c>
      <c r="AO348" s="314" t="str">
        <f t="shared" si="16"/>
        <v>-</v>
      </c>
      <c r="AP348" s="316">
        <f t="shared" si="17"/>
        <v>2</v>
      </c>
      <c r="AQ348" s="319" t="str">
        <f t="shared" si="18"/>
        <v>-</v>
      </c>
      <c r="AR348" s="320">
        <f t="shared" si="19"/>
        <v>0</v>
      </c>
      <c r="AS348" s="250" t="str">
        <f>IFERROR(__xludf.DUMMYFUNCTION("SUBSTITUTE(SUBSTITUTE(CONCATENATE(JOIN("""",FP348:GA348)),""|"",""x""),""-"",""o"")"),"xoxxooxxoxxx")</f>
        <v>xoxxooxxoxxx</v>
      </c>
      <c r="AT348" s="323" t="str">
        <f>IFERROR(__xludf.DUMMYFUNCTION("JOIN("""",AS348,AS348)"),"xoxxooxxoxxxxoxxooxxoxxx")</f>
        <v>xoxxooxxoxxxxoxxooxxoxxx</v>
      </c>
      <c r="AU348" s="256" t="str">
        <f>IFERROR(__xludf.DUMMYFUNCTION("JOIN("""",ArrayFormula(MID(AS348,LEN(AS348)-SEQUENCE(1,LEN(AS348))+1,1)))"),"xxxoxxooxxox")</f>
        <v>xxxoxxooxxox</v>
      </c>
      <c r="AV348" s="256" t="str">
        <f>IFERROR(__xludf.DUMMYFUNCTION("LEFT(CONCATENATE(""x"",JOIN("""",ArrayFormula(MID(AS348,LEN(AS348)-SEQUENCE(1,LEN(AS348))+1,1)))),12)"),"xxxxoxxooxxo")</f>
        <v>xxxxoxxooxxo</v>
      </c>
      <c r="AW348" s="327" t="str">
        <f>IFERROR(__xludf.DUMMYFUNCTION("JOIN("""",AU348,AU348)"),"xxxoxxooxxoxxxxoxxooxxox")</f>
        <v>xxxoxxooxxoxxxxoxxooxxox</v>
      </c>
      <c r="AX348" s="239" t="str">
        <f>IFERROR(__xludf.DUMMYFUNCTION("IF(REGEXMATCH(AW348,AS348),""✔"",""-"")"),"✔")</f>
        <v>✔</v>
      </c>
      <c r="AY348" s="330" t="str">
        <f t="shared" si="20"/>
        <v>-</v>
      </c>
      <c r="AZ348" s="260" t="str">
        <f t="shared" si="21"/>
        <v>#REF!</v>
      </c>
      <c r="BA348" s="333" t="str">
        <f t="shared" si="22"/>
        <v>xoxxoox</v>
      </c>
      <c r="BB348" s="334" t="str">
        <f t="shared" si="23"/>
        <v>xoxxxx</v>
      </c>
      <c r="BC348" s="335" t="str">
        <f t="shared" si="236"/>
        <v>-</v>
      </c>
      <c r="BD348" s="336" t="str">
        <f t="shared" si="25"/>
        <v>Tanseni Madhuvanti: 'xoxxoox' + 'xoxxxx'</v>
      </c>
      <c r="BE348" s="337">
        <f>IFERROR(__xludf.DUMMYFUNCTION("COUNTUNIQUE(FILTER(AT:AT,REGEXMATCH(AT:AT,AS348)))-1"),1.0)</f>
        <v>1</v>
      </c>
      <c r="BF348" s="261" t="str">
        <f>IFERROR(__xludf.DUMMYFUNCTION("IF(BI348=0,""(n/a)"",IF(BJ348=2,""(PAIR)"",IF(REGEXMATCH(AT348,""xoxoxxoxoxox""),""Bilawal"",IF(REGEXMATCH(AT348,""xoxoxooxoxoo""),""Bhupali"",IF(REGEXMATCH(AT348,""xoxoxxoxxoxo""),""Charukeshi"",IF(REGEXMATCH(AT348,""xoxoooxxoxxo""),""Kameshwari"",IF(REG"&amp;"EXMATCH(AT348,""xoxoxooxoxox""),""Shankara"",IF(REGEXMATCH(AT348,""xxooxoxxxoox""),""Basant"",IF(REGEXMATCH(AT348,""xoxoxxxxoxox""),""Bihag"",IF(REGEXMATCH(AT348,""xoxxxxoxoxxx""),""Pilu"",IF(REGEXMATCH(AT348,""xoxxoxoxxoox""),""Kirwani"",IF(REGEXMATCH(AT"&amp;"348,""xoxxoxoxoxxx""),""Mk.Malhar"",IF(REGEXMATCH(AT348,""xxooxxoxxoox""),""Bhairav"",IF(REGEXMATCH(AT348,""xxoxooxxxoox""),""Todi"",IF(REGEXMATCH(AT348,""xxooxoxooxox""),""Marwa"",IF(REGEXMATCH(AT348,""xxoooxoxxooo""),""Gunkali"",IF(REGEXMATCH(AT348,""xo"&amp;"xoxxoxxoox""),""Nat Bhairav"",IF(REGEXMATCH(AT348,""xoxxoooxoxoo""),""Shivranjani"",IF(REGEXMATCH(AT348,""xooxxxoxooxo""),""Jog"",IF(REGEXMATCH(AT348,""xxooxoxoxoox""),""Hemshri"",IF(REGEXMATCH(AT348,""xoooxooxoxxo""),""Kalavati"",IF(REGEXMATCH(AT348,""xx"&amp;"oxoxxoxoox""),""Kedar"",IF(REGEXMATCH(AT348,""xoxxxxoxooxx""),""Gara"",IF(REGEXMATCH(AT348,""xooxoxooxoox""),""Chandrakauns"",IF(REGEXMATCH(AT348,""xoxxxxoxxxox""),""Mand"",IF(REGEXMATCH(AT348,""xoxxxxoxoxox""),""Hanskinkini"",IF(REGEXMATCH(AT348,""xxooxx"&amp;"oxooxo""),""Lilavati"",IF(REGEXMATCH(AT348,""xooxoxoooxox""),""Rajeshwari"",IF(REGEXMATCH(AT348,""xoooxxoxoxxx""),""Khokar"",IF(REGEXMATCH(AT348,""xxooxoxxxxox""),""Maligoura"",""-""))))))))))))))))))))))))))))))"),"(PAIR)")</f>
        <v>(PAIR)</v>
      </c>
      <c r="BG348" s="239" t="str">
        <f t="shared" si="26"/>
        <v>#REF!</v>
      </c>
      <c r="BH348" s="239">
        <f>IFERROR(__xludf.DUMMYFUNCTION("COUNTUNIQUE(FE348:FO348)-1"),7.0)</f>
        <v>7</v>
      </c>
      <c r="BI348" s="239">
        <f>IFERROR(__xludf.DUMMYFUNCTION("COUNTUNIQUE(FILTER(AT:AT,REGEXMATCH(AT:AT,AS348)))-1"),1.0)</f>
        <v>1</v>
      </c>
      <c r="BJ348" s="239">
        <f>IFERROR(__xludf.DUMMYFUNCTION("COUNTA(FILTER(AT:AT,REGEXMATCH(AT:AT,AS348)))"),2.0)</f>
        <v>2</v>
      </c>
      <c r="BK348" s="341">
        <f>IFERROR(__xludf.DUMMYFUNCTION("COUNTA(FILTER(AT:AT,REGEXMATCH(AT:AT,AS348)))-AR348"),2.0)</f>
        <v>2</v>
      </c>
      <c r="BL348" s="276" t="str">
        <f>IFERROR(__xludf.DUMMYFUNCTION("IF(AS348=""oooooooooooo"",""-"",IF(REGEXMATCH(AT348,""xx""), ""Hemi."", ""Anhemi.""))"),"Hemi.")</f>
        <v>Hemi.</v>
      </c>
      <c r="BM348" s="282" t="str">
        <f>IFERROR(__xludf.DUMMYFUNCTION("IF(AS348=""oooooooooooo"",""-"",IF(REGEXMATCH(AT348,""xxx""), ""Cohem."", ""-""))"),"Cohem.")</f>
        <v>Cohem.</v>
      </c>
      <c r="BN348" s="282" t="str">
        <f>IFERROR(__xludf.DUMMYFUNCTION("IF(AS348=""oooooooooooo"",""-"",IF(REGEXMATCH(AT348,""xxxx""), ""Co-Co."", ""-""))"),"Co-Co.")</f>
        <v>Co-Co.</v>
      </c>
      <c r="BO348" s="342" t="str">
        <f>IFERROR(__xludf.DUMMYFUNCTION("IF(AS348=""oooooooooooo"",""-"",IF(REGEXMATCH(AT348,""xxxxx""), ""CCC."", ""-""))"),"-")</f>
        <v>-</v>
      </c>
      <c r="BP348" s="344" t="str">
        <f t="shared" si="27"/>
        <v>-</v>
      </c>
      <c r="BQ348" s="282" t="str">
        <f>IFERROR(__xludf.DUMMYFUNCTION("IF(REGEXMATCH(JOIN(""-"",EU348:FD348),""TRUE""),""✔"",""-"")"),"-")</f>
        <v>-</v>
      </c>
      <c r="BR348" s="225">
        <f t="shared" si="28"/>
        <v>0</v>
      </c>
      <c r="BS348" s="345" t="str">
        <f>IFERROR(__xludf.DUMMYFUNCTION("SUBSTITUTE(SUBSTITUTE(SUBSTITUTE(SUBSTITUTE(CONCATENATE(JOIN(""-"",GC348:GO348)),""--"",""-""),""--"",""-""),""--"",""-""),""--"",""-"")"),"1-2-b3-#4-5-6-b7-7-8")</f>
        <v>1-2-b3-#4-5-6-b7-7-8</v>
      </c>
      <c r="BT348" s="299" t="str">
        <f>IFERROR(__xludf.DUMMYFUNCTION("SUBSTITUTE(SUBSTITUTE(SUBSTITUTE(SUBSTITUTE(CONCATENATE(JOIN(""-"",GP348:HB348)),""--"",""-""),""--"",""-""),""--"",""-""),""--"",""-"")"),"S-R2-G2-M2-P-D2-N2-N3-S")</f>
        <v>S-R2-G2-M2-P-D2-N2-N3-S</v>
      </c>
      <c r="BU348" s="348" t="str">
        <f t="shared" si="29"/>
        <v>C-D-Eb-F#-G-A-Bb-B-C</v>
      </c>
      <c r="BV348" s="349" t="str">
        <f t="shared" si="30"/>
        <v>SrGmdS</v>
      </c>
      <c r="BW348" s="350">
        <f t="shared" si="31"/>
        <v>0</v>
      </c>
      <c r="BX348" s="351">
        <f t="shared" si="32"/>
        <v>1</v>
      </c>
      <c r="BY348" s="392"/>
      <c r="BZ348" s="309" t="str">
        <f>IFERROR(__xludf.DUMMYFUNCTION("IF(REGEXMATCH(C348, ""S""), ""x"",""x"")"),"x")</f>
        <v>x</v>
      </c>
      <c r="CA348" s="245" t="str">
        <f>IFERROR(__xludf.DUMMYFUNCTION("IF(REGEXMATCH(C348, ""r""), ""o"",""x"")"),"x")</f>
        <v>x</v>
      </c>
      <c r="CB348" s="246" t="str">
        <f>IFERROR(__xludf.DUMMYFUNCTION("IF(REGEXMATCH(C348, ""R""), ""o"",""x"")"),"o")</f>
        <v>o</v>
      </c>
      <c r="CC348" s="246" t="str">
        <f>IFERROR(__xludf.DUMMYFUNCTION("IF(REGEXMATCH(C348, ""g""), ""o"",""x"")"),"o")</f>
        <v>o</v>
      </c>
      <c r="CD348" s="245" t="str">
        <f>IFERROR(__xludf.DUMMYFUNCTION("IF(REGEXMATCH(C348, ""G""), ""o"",""x"")"),"x")</f>
        <v>x</v>
      </c>
      <c r="CE348" s="245" t="str">
        <f>IFERROR(__xludf.DUMMYFUNCTION("IF(REGEXMATCH(C348, ""m""), ""o"",""x"")"),"x")</f>
        <v>x</v>
      </c>
      <c r="CF348" s="246" t="str">
        <f>IFERROR(__xludf.DUMMYFUNCTION("IF(REGEXMATCH(C348, ""M""), ""o"",""x"")"),"o")</f>
        <v>o</v>
      </c>
      <c r="CG348" s="245" t="str">
        <f>IFERROR(__xludf.DUMMYFUNCTION("IF(REGEXMATCH(C348, ""P""), ""o"",""x"")"),"o")</f>
        <v>o</v>
      </c>
      <c r="CH348" s="246" t="str">
        <f>IFERROR(__xludf.DUMMYFUNCTION("IF(REGEXMATCH(C348, ""d""), ""o"",""x"")"),"x")</f>
        <v>x</v>
      </c>
      <c r="CI348" s="245" t="str">
        <f>IFERROR(__xludf.DUMMYFUNCTION("IF(REGEXMATCH(C348, ""D""), ""o"",""x"")"),"o")</f>
        <v>o</v>
      </c>
      <c r="CJ348" s="245" t="str">
        <f>IFERROR(__xludf.DUMMYFUNCTION("IF(REGEXMATCH(C348, ""n""), ""o"",""x"")"),"o")</f>
        <v>o</v>
      </c>
      <c r="CK348" s="245" t="str">
        <f>IFERROR(__xludf.DUMMYFUNCTION("IF(REGEXMATCH(C348, ""N""), ""o"",""x"")"),"o")</f>
        <v>o</v>
      </c>
      <c r="CL348" s="356" t="str">
        <f>IFERROR(__xludf.DUMMYFUNCTION("IF(REGEXMATCH(C348, ""S""), ""x"",""x"")"),"x")</f>
        <v>x</v>
      </c>
      <c r="CM348" s="357" t="str">
        <f t="shared" si="33"/>
        <v>xxooxxooxooo</v>
      </c>
      <c r="CN348" s="358">
        <f t="shared" si="34"/>
        <v>0</v>
      </c>
      <c r="CO348" s="246" t="str">
        <f>IFERROR(__xludf.DUMMYFUNCTION("IF(REGEXMATCH($C348, ""S""), ""S"",""S"")"),"S")</f>
        <v>S</v>
      </c>
      <c r="CP348" s="246" t="str">
        <f>IFERROR(__xludf.DUMMYFUNCTION("IF(REGEXMATCH($C348, ""r""), """",""r"")"),"r")</f>
        <v>r</v>
      </c>
      <c r="CQ348" s="246" t="str">
        <f>IFERROR(__xludf.DUMMYFUNCTION("IF(REGEXMATCH($C348, ""R""), """",""R"")"),"")</f>
        <v/>
      </c>
      <c r="CR348" s="246" t="str">
        <f>IFERROR(__xludf.DUMMYFUNCTION("IF(REGEXMATCH($C348, ""g""), """",""g"")"),"")</f>
        <v/>
      </c>
      <c r="CS348" s="246" t="str">
        <f>IFERROR(__xludf.DUMMYFUNCTION("IF(REGEXMATCH($C348, ""G""), """",""G"")"),"G")</f>
        <v>G</v>
      </c>
      <c r="CT348" s="246" t="str">
        <f>IFERROR(__xludf.DUMMYFUNCTION("IF(REGEXMATCH($C348, ""m""), """",""m"")"),"m")</f>
        <v>m</v>
      </c>
      <c r="CU348" s="246" t="str">
        <f>IFERROR(__xludf.DUMMYFUNCTION("IF(REGEXMATCH($C348, ""M""), """",""M"")"),"")</f>
        <v/>
      </c>
      <c r="CV348" s="246" t="str">
        <f>IFERROR(__xludf.DUMMYFUNCTION("IF(REGEXMATCH($C348, ""P""), """",""P"")"),"")</f>
        <v/>
      </c>
      <c r="CW348" s="246" t="str">
        <f>IFERROR(__xludf.DUMMYFUNCTION("IF(REGEXMATCH($C348, ""d""), """",""d"")"),"d")</f>
        <v>d</v>
      </c>
      <c r="CX348" s="246" t="str">
        <f>IFERROR(__xludf.DUMMYFUNCTION("IF(REGEXMATCH($C348, ""D""), """",""D"")"),"")</f>
        <v/>
      </c>
      <c r="CY348" s="246" t="str">
        <f>IFERROR(__xludf.DUMMYFUNCTION("IF(REGEXMATCH($C348, ""n""), """",""n"")"),"")</f>
        <v/>
      </c>
      <c r="CZ348" s="246" t="str">
        <f>IFERROR(__xludf.DUMMYFUNCTION("IF(REGEXMATCH($C348, ""N""), """",""N"")"),"")</f>
        <v/>
      </c>
      <c r="DA348" s="246" t="str">
        <f>IFERROR(__xludf.DUMMYFUNCTION("IF(REGEXMATCH($C348, ""S""), ""S"",""S"")"),"S")</f>
        <v>S</v>
      </c>
      <c r="DB348" s="362" t="str">
        <f>IFERROR(__xludf.DUMMYFUNCTION("JOIN("""",CO348:DA348,"""","""")"),"SrGmdS")</f>
        <v>SrGmdS</v>
      </c>
      <c r="DC348" s="363"/>
      <c r="DD348" s="301" t="str">
        <f t="shared" si="35"/>
        <v>#REF!</v>
      </c>
      <c r="DE348" s="302" t="str">
        <f t="shared" si="36"/>
        <v>#REF!</v>
      </c>
      <c r="DF348" s="301" t="str">
        <f t="shared" ref="DF348:DG348" si="929">SUBSTITUTE(S348,"-","")</f>
        <v>SRGM</v>
      </c>
      <c r="DG348" s="301" t="str">
        <f t="shared" si="929"/>
        <v>PDNS</v>
      </c>
      <c r="DH348" s="302" t="str">
        <f t="shared" si="38"/>
        <v>(PAIR)</v>
      </c>
      <c r="DI348" s="301" t="str">
        <f t="shared" si="39"/>
        <v>Hemi.</v>
      </c>
      <c r="DJ348" s="364" t="str">
        <f t="shared" si="40"/>
        <v>Co-Co.</v>
      </c>
      <c r="DK348" s="306" t="str">
        <f t="shared" si="41"/>
        <v>-</v>
      </c>
      <c r="DL348" s="366" t="str">
        <f t="shared" si="42"/>
        <v>-</v>
      </c>
      <c r="DM348" s="308" t="str">
        <f t="shared" si="43"/>
        <v>✔</v>
      </c>
      <c r="DN348" s="306" t="str">
        <f t="shared" si="44"/>
        <v>-</v>
      </c>
      <c r="DO348" s="306" t="str">
        <f t="shared" si="45"/>
        <v>-</v>
      </c>
      <c r="DP348" s="367" t="str">
        <f t="shared" si="46"/>
        <v>✔</v>
      </c>
      <c r="DQ348" s="310" t="str">
        <f t="shared" si="47"/>
        <v>-</v>
      </c>
      <c r="DR348" s="310" t="str">
        <f t="shared" si="48"/>
        <v>-</v>
      </c>
      <c r="DS348" s="310" t="str">
        <f t="shared" si="49"/>
        <v>-</v>
      </c>
      <c r="DT348" s="310" t="str">
        <f t="shared" si="50"/>
        <v>-</v>
      </c>
      <c r="DU348" s="370" t="str">
        <f t="shared" si="51"/>
        <v>✔</v>
      </c>
      <c r="DV348" s="306" t="str">
        <f t="shared" si="52"/>
        <v>-</v>
      </c>
      <c r="DW348" s="306" t="str">
        <f t="shared" si="53"/>
        <v>-</v>
      </c>
      <c r="DX348" s="306" t="str">
        <f t="shared" si="54"/>
        <v>-</v>
      </c>
      <c r="DY348" s="306" t="str">
        <f t="shared" si="55"/>
        <v>-</v>
      </c>
      <c r="DZ348" s="306" t="str">
        <f t="shared" si="56"/>
        <v>-</v>
      </c>
      <c r="EA348" s="367" t="str">
        <f t="shared" si="57"/>
        <v>-</v>
      </c>
      <c r="EB348" s="310" t="str">
        <f>IFERROR(__xludf.DUMMYFUNCTION("IF(REGEXMATCH(AW348,AS348),""✔"",""-"")"),"✔")</f>
        <v>✔</v>
      </c>
      <c r="EC348" s="310" t="str">
        <f t="shared" si="58"/>
        <v>#REF!</v>
      </c>
      <c r="ED348" s="370" t="str">
        <f t="shared" si="59"/>
        <v>-</v>
      </c>
      <c r="EE348" s="340" t="str">
        <f t="shared" si="60"/>
        <v>S-R-g-M-P-D-nN-S</v>
      </c>
      <c r="EF348" s="371" t="str">
        <f>IFERROR(__xludf.DUMMYFUNCTION("CONCATENATE(JOIN("""",HC348:HO348))"),"SrRgmMDnS")</f>
        <v>SrRgmMDnS</v>
      </c>
      <c r="EG348" s="372">
        <f t="shared" si="61"/>
        <v>3</v>
      </c>
      <c r="EH348" s="373" t="str">
        <f>IFERROR(__xludf.DUMMYFUNCTION("CONCATENATE(JOIN("""",JC348:JO348))"),"Ma, Dha, ni, ")</f>
        <v>Ma, Dha, ni, </v>
      </c>
      <c r="EI348" s="322">
        <f t="shared" si="62"/>
        <v>0</v>
      </c>
      <c r="EJ348" s="374" t="str">
        <f>IFERROR(__xludf.DUMMYFUNCTION("CONCATENATE(JOIN("""",KC348:KO348))"),"")</f>
        <v/>
      </c>
      <c r="EK348" s="325" t="str">
        <f t="shared" si="63"/>
        <v>S-R2-G2-M2-P-D2-N2-N3-S</v>
      </c>
      <c r="EL348" s="326" t="str">
        <f t="shared" si="64"/>
        <v>1-2-b3-#4-5-6-b7-7-8</v>
      </c>
      <c r="EM348" s="318" t="str">
        <f t="shared" si="65"/>
        <v>#REF!</v>
      </c>
      <c r="EN348" s="328" t="str">
        <f>IFERROR(__xludf.DUMMYFUNCTION("SUBSTITUTE(SUBSTITUTE(SUBSTITUTE(SUBSTITUTE(CONCATENATE(JOIN("" "",HP348:IB348)),""  "","" ""),""  "","" ""),""  "","" ""),""  "","" "")"),"o • o o • • o o • o o o o")</f>
        <v>o • o o • • o o • o o o o</v>
      </c>
      <c r="EO348" s="368" t="str">
        <f t="shared" si="66"/>
        <v>Sa-Pa</v>
      </c>
      <c r="EP348" s="339" t="str">
        <f t="shared" si="67"/>
        <v>Sa-Pa</v>
      </c>
      <c r="EQ348" s="339" t="str">
        <f t="shared" si="68"/>
        <v>Sa-Pa</v>
      </c>
      <c r="ER348" s="339" t="str">
        <f t="shared" si="69"/>
        <v>-</v>
      </c>
      <c r="ES348" s="340" t="str">
        <f t="shared" si="70"/>
        <v>-</v>
      </c>
      <c r="ET348" s="363"/>
      <c r="EU348" s="376" t="b">
        <f>IFERROR(__xludf.DUMMYFUNCTION("arrayformula(sum(--REGEXMATCH(""SRGMPDNS"",split(REGEXREPLACE(C348,""(.)"",""$1~""),""~""))))=len(C348)
"),FALSE)</f>
        <v>0</v>
      </c>
      <c r="EV348" s="290" t="b">
        <f>IFERROR(__xludf.DUMMYFUNCTION("arrayformula(sum(--REGEXMATCH(""SRGmPDNS"",split(REGEXREPLACE(C348,""(.)"",""$1~""),""~""))))=len(C348)"),FALSE)</f>
        <v>0</v>
      </c>
      <c r="EW348" s="290" t="b">
        <f>IFERROR(__xludf.DUMMYFUNCTION("arrayformula(sum(--REGEXMATCH(""SRGmPDnS"",split(REGEXREPLACE(C348,""(.)"",""$1~""),""~""))))=len(C348)"),FALSE)</f>
        <v>0</v>
      </c>
      <c r="EX348" s="290" t="b">
        <f>IFERROR(__xludf.DUMMYFUNCTION("arrayformula(sum(--REGEXMATCH(""SRgmPDnS"",split(REGEXREPLACE(C348,""(.)"",""$1~""),""~""))))=len(C348)"),FALSE)</f>
        <v>0</v>
      </c>
      <c r="EY348" s="290" t="b">
        <f>IFERROR(__xludf.DUMMYFUNCTION("arrayformula(sum(--REGEXMATCH(""SRgmPdnS"",split(REGEXREPLACE(C348,""(.)"",""$1~""),""~""))))=len(C348)"),FALSE)</f>
        <v>0</v>
      </c>
      <c r="EZ348" s="290" t="b">
        <f>IFERROR(__xludf.DUMMYFUNCTION("arrayformula(sum(--REGEXMATCH(""SrgmPdnS"",split(REGEXREPLACE(C348,""(.)"",""$1~""),""~""))))=len(C348)"),FALSE)</f>
        <v>0</v>
      </c>
      <c r="FA348" s="290" t="b">
        <f>IFERROR(__xludf.DUMMYFUNCTION("arrayformula(sum(--REGEXMATCH(""SrGmPdNS"",split(REGEXREPLACE(C348,""(.)"",""$1~""),""~""))))=len(C348)"),FALSE)</f>
        <v>0</v>
      </c>
      <c r="FB348" s="290" t="b">
        <f>IFERROR(__xludf.DUMMYFUNCTION("arrayformula(sum(--REGEXMATCH(""SrGMPDNS"",split(REGEXREPLACE(C348,""(.)"",""$1~""),""~""))))=len(C348)"),FALSE)</f>
        <v>0</v>
      </c>
      <c r="FC348" s="290" t="b">
        <f>IFERROR(__xludf.DUMMYFUNCTION("arrayformula(sum(--REGEXMATCH(""SrGMPdNS"",split(REGEXREPLACE(C348,""(.)"",""$1~""),""~""))))=len(C348)"),FALSE)</f>
        <v>0</v>
      </c>
      <c r="FD348" s="377" t="b">
        <f>IFERROR(__xludf.DUMMYFUNCTION("arrayformula(sum(--REGEXMATCH(""SrgMPdNS"",split(REGEXREPLACE(C348,""(.)"",""$1~""),""~""))))=len(C348)"),FALSE)</f>
        <v>0</v>
      </c>
      <c r="FE348" s="269" t="str">
        <f t="shared" si="71"/>
        <v>-</v>
      </c>
      <c r="FF348" s="269" t="str">
        <f t="shared" si="72"/>
        <v>xxooxxoxxxx</v>
      </c>
      <c r="FG348" s="271" t="str">
        <f t="shared" si="73"/>
        <v>xooxxoxxxxo</v>
      </c>
      <c r="FH348" s="269" t="str">
        <f t="shared" si="74"/>
        <v>-</v>
      </c>
      <c r="FI348" s="271" t="str">
        <f t="shared" si="75"/>
        <v>-</v>
      </c>
      <c r="FJ348" s="271" t="str">
        <f t="shared" si="76"/>
        <v>xxoxxxxoxxo</v>
      </c>
      <c r="FK348" s="271" t="str">
        <f t="shared" si="77"/>
        <v>xoxxxxoxxoo</v>
      </c>
      <c r="FL348" s="271" t="str">
        <f t="shared" si="78"/>
        <v>-</v>
      </c>
      <c r="FM348" s="271" t="str">
        <f t="shared" si="79"/>
        <v>xxxxoxxooxx</v>
      </c>
      <c r="FN348" s="271" t="str">
        <f t="shared" si="80"/>
        <v>xxxoxxooxxo</v>
      </c>
      <c r="FO348" s="274" t="str">
        <f t="shared" si="81"/>
        <v>xxoxxooxxox</v>
      </c>
      <c r="FP348" s="234" t="str">
        <f t="shared" si="82"/>
        <v>|</v>
      </c>
      <c r="FQ348" s="236" t="str">
        <f t="shared" si="83"/>
        <v>-</v>
      </c>
      <c r="FR348" s="237" t="str">
        <f t="shared" si="84"/>
        <v>|</v>
      </c>
      <c r="FS348" s="236" t="str">
        <f t="shared" si="85"/>
        <v>|</v>
      </c>
      <c r="FT348" s="237" t="str">
        <f t="shared" si="86"/>
        <v>-</v>
      </c>
      <c r="FU348" s="236" t="str">
        <f t="shared" si="87"/>
        <v>-</v>
      </c>
      <c r="FV348" s="237" t="str">
        <f t="shared" si="88"/>
        <v>|</v>
      </c>
      <c r="FW348" s="236" t="str">
        <f t="shared" si="89"/>
        <v>|</v>
      </c>
      <c r="FX348" s="237" t="str">
        <f t="shared" si="90"/>
        <v>-</v>
      </c>
      <c r="FY348" s="236" t="str">
        <f t="shared" si="91"/>
        <v>|</v>
      </c>
      <c r="FZ348" s="237" t="str">
        <f t="shared" si="92"/>
        <v>|</v>
      </c>
      <c r="GA348" s="236" t="str">
        <f t="shared" si="93"/>
        <v>|</v>
      </c>
      <c r="GB348" s="238" t="str">
        <f t="shared" si="94"/>
        <v>|</v>
      </c>
      <c r="GC348" s="244" t="str">
        <f>IFERROR(__xludf.DUMMYFUNCTION("IF(REGEXMATCH(C348, ""S""), ""1"","""")"),"1")</f>
        <v>1</v>
      </c>
      <c r="GD348" s="245" t="str">
        <f>IFERROR(__xludf.DUMMYFUNCTION("IF(REGEXMATCH(C348, ""r""), ""b2"","""")"),"")</f>
        <v/>
      </c>
      <c r="GE348" s="246" t="str">
        <f>IFERROR(__xludf.DUMMYFUNCTION("IF(REGEXMATCH(C348, ""R""), ""2"","""")"),"2")</f>
        <v>2</v>
      </c>
      <c r="GF348" s="246" t="str">
        <f>IFERROR(__xludf.DUMMYFUNCTION("IF(REGEXMATCH(C348, ""g""), ""b3"","""")"),"b3")</f>
        <v>b3</v>
      </c>
      <c r="GG348" s="245" t="str">
        <f>IFERROR(__xludf.DUMMYFUNCTION("IF(REGEXMATCH(C348, ""G""), ""3"","""")"),"")</f>
        <v/>
      </c>
      <c r="GH348" s="245" t="str">
        <f>IFERROR(__xludf.DUMMYFUNCTION("IF(REGEXMATCH(C348, ""m""), ""4"","""")"),"")</f>
        <v/>
      </c>
      <c r="GI348" s="246" t="str">
        <f>IFERROR(__xludf.DUMMYFUNCTION("IF(REGEXMATCH(C348, ""M""), ""#4"","""")"),"#4")</f>
        <v>#4</v>
      </c>
      <c r="GJ348" s="245" t="str">
        <f>IFERROR(__xludf.DUMMYFUNCTION("IF(REGEXMATCH(C348, ""P""), ""5"","""")"),"5")</f>
        <v>5</v>
      </c>
      <c r="GK348" s="246" t="str">
        <f>IFERROR(__xludf.DUMMYFUNCTION("IF(REGEXMATCH(C348, ""d""), ""b6"","""")"),"")</f>
        <v/>
      </c>
      <c r="GL348" s="245" t="str">
        <f>IFERROR(__xludf.DUMMYFUNCTION("IF(REGEXMATCH(C348, ""D""), ""6"","""")"),"6")</f>
        <v>6</v>
      </c>
      <c r="GM348" s="245" t="str">
        <f>IFERROR(__xludf.DUMMYFUNCTION("IF(REGEXMATCH(C348, ""n""), ""b7"","""")"),"b7")</f>
        <v>b7</v>
      </c>
      <c r="GN348" s="246" t="str">
        <f>IFERROR(__xludf.DUMMYFUNCTION("IF(REGEXMATCH(C348, ""N""), ""7"","""")"),"7")</f>
        <v>7</v>
      </c>
      <c r="GO348" s="249" t="str">
        <f>IFERROR(__xludf.DUMMYFUNCTION("IF(REGEXMATCH(C348, ""S""), ""8"","""")"),"8")</f>
        <v>8</v>
      </c>
      <c r="GP348" s="244" t="str">
        <f>IFERROR(__xludf.DUMMYFUNCTION("IF(REGEXMATCH(C348, ""S""), ""S"","""")"),"S")</f>
        <v>S</v>
      </c>
      <c r="GQ348" s="294" t="str">
        <f>IFERROR(__xludf.DUMMYFUNCTION("IF(REGEXMATCH(C348, ""r""), ""R1"","""")"),"")</f>
        <v/>
      </c>
      <c r="GR348" s="295" t="str">
        <f>IFERROR(__xludf.DUMMYFUNCTION("IF(REGEXMATCH(C348, ""R""), ""R2"","""")"),"R2")</f>
        <v>R2</v>
      </c>
      <c r="GS348" s="295" t="str">
        <f>IFERROR(__xludf.DUMMYFUNCTION("IF(REGEXMATCH(C348, ""g""), ""G2"","""")"),"G2")</f>
        <v>G2</v>
      </c>
      <c r="GT348" s="294" t="str">
        <f>IFERROR(__xludf.DUMMYFUNCTION("IF(REGEXMATCH(C348, ""G""), ""G3"","""")"),"")</f>
        <v/>
      </c>
      <c r="GU348" s="294" t="str">
        <f>IFERROR(__xludf.DUMMYFUNCTION("IF(REGEXMATCH(C348, ""m""), ""M1"","""")"),"")</f>
        <v/>
      </c>
      <c r="GV348" s="295" t="str">
        <f>IFERROR(__xludf.DUMMYFUNCTION("IF(REGEXMATCH(C348, ""M""), ""M2"","""")"),"M2")</f>
        <v>M2</v>
      </c>
      <c r="GW348" s="294" t="str">
        <f>IFERROR(__xludf.DUMMYFUNCTION("IF(REGEXMATCH(C348, ""P""), ""P"","""")"),"P")</f>
        <v>P</v>
      </c>
      <c r="GX348" s="295" t="str">
        <f>IFERROR(__xludf.DUMMYFUNCTION("IF(REGEXMATCH(C348, ""d""), ""D1"","""")"),"")</f>
        <v/>
      </c>
      <c r="GY348" s="294" t="str">
        <f>IFERROR(__xludf.DUMMYFUNCTION("IF(REGEXMATCH(C348, ""D""), ""D2"","""")"),"D2")</f>
        <v>D2</v>
      </c>
      <c r="GZ348" s="294" t="str">
        <f>IFERROR(__xludf.DUMMYFUNCTION("IF(REGEXMATCH(C348, ""n""), ""N2"","""")"),"N2")</f>
        <v>N2</v>
      </c>
      <c r="HA348" s="295" t="str">
        <f>IFERROR(__xludf.DUMMYFUNCTION("IF(REGEXMATCH(C348, ""N""), ""N3"","""")"),"N3")</f>
        <v>N3</v>
      </c>
      <c r="HB348" s="249" t="str">
        <f>IFERROR(__xludf.DUMMYFUNCTION("IF(REGEXMATCH(C348, ""S""), ""S"","""")"),"S")</f>
        <v>S</v>
      </c>
      <c r="HC348" s="331" t="str">
        <f t="shared" si="95"/>
        <v>S</v>
      </c>
      <c r="HD348" s="332" t="str">
        <f t="shared" si="96"/>
        <v>r</v>
      </c>
      <c r="HE348" s="332" t="str">
        <f t="shared" si="97"/>
        <v>R</v>
      </c>
      <c r="HF348" s="332" t="str">
        <f t="shared" si="98"/>
        <v>g</v>
      </c>
      <c r="HG348" s="332" t="str">
        <f t="shared" si="99"/>
        <v/>
      </c>
      <c r="HH348" s="332" t="str">
        <f t="shared" si="100"/>
        <v>m</v>
      </c>
      <c r="HI348" s="332" t="str">
        <f t="shared" si="101"/>
        <v>M</v>
      </c>
      <c r="HJ348" s="332" t="str">
        <f t="shared" si="102"/>
        <v/>
      </c>
      <c r="HK348" s="332" t="str">
        <f t="shared" si="103"/>
        <v/>
      </c>
      <c r="HL348" s="332" t="str">
        <f t="shared" si="104"/>
        <v>D</v>
      </c>
      <c r="HM348" s="332" t="str">
        <f t="shared" si="105"/>
        <v>n</v>
      </c>
      <c r="HN348" s="332" t="str">
        <f t="shared" si="106"/>
        <v/>
      </c>
      <c r="HO348" s="343" t="str">
        <f t="shared" si="107"/>
        <v>S</v>
      </c>
      <c r="HP348" s="331" t="str">
        <f t="shared" si="108"/>
        <v>o</v>
      </c>
      <c r="HQ348" s="332" t="str">
        <f t="shared" si="109"/>
        <v>•</v>
      </c>
      <c r="HR348" s="332" t="str">
        <f t="shared" si="110"/>
        <v>o</v>
      </c>
      <c r="HS348" s="332" t="str">
        <f t="shared" si="111"/>
        <v>o</v>
      </c>
      <c r="HT348" s="332" t="str">
        <f t="shared" si="112"/>
        <v>•</v>
      </c>
      <c r="HU348" s="332" t="str">
        <f t="shared" si="113"/>
        <v>•</v>
      </c>
      <c r="HV348" s="332" t="str">
        <f t="shared" si="114"/>
        <v>o</v>
      </c>
      <c r="HW348" s="332" t="str">
        <f t="shared" si="115"/>
        <v>o</v>
      </c>
      <c r="HX348" s="332" t="str">
        <f t="shared" si="116"/>
        <v>•</v>
      </c>
      <c r="HY348" s="332" t="str">
        <f t="shared" si="117"/>
        <v>o</v>
      </c>
      <c r="HZ348" s="332" t="str">
        <f t="shared" si="118"/>
        <v>o</v>
      </c>
      <c r="IA348" s="332" t="str">
        <f t="shared" si="119"/>
        <v>o</v>
      </c>
      <c r="IB348" s="338" t="str">
        <f t="shared" si="120"/>
        <v>o</v>
      </c>
      <c r="IC348" s="331" t="str">
        <f t="shared" si="121"/>
        <v>•</v>
      </c>
      <c r="ID348" s="332" t="str">
        <f t="shared" si="122"/>
        <v>o</v>
      </c>
      <c r="IE348" s="332" t="str">
        <f t="shared" si="123"/>
        <v>•</v>
      </c>
      <c r="IF348" s="332" t="str">
        <f t="shared" si="124"/>
        <v>•</v>
      </c>
      <c r="IG348" s="332" t="str">
        <f t="shared" si="125"/>
        <v>o</v>
      </c>
      <c r="IH348" s="332" t="str">
        <f t="shared" si="126"/>
        <v>o</v>
      </c>
      <c r="II348" s="332" t="str">
        <f t="shared" si="127"/>
        <v>•</v>
      </c>
      <c r="IJ348" s="332" t="str">
        <f t="shared" si="128"/>
        <v>•</v>
      </c>
      <c r="IK348" s="332" t="str">
        <f t="shared" si="129"/>
        <v>o</v>
      </c>
      <c r="IL348" s="332" t="str">
        <f t="shared" si="130"/>
        <v>•</v>
      </c>
      <c r="IM348" s="332" t="str">
        <f t="shared" si="131"/>
        <v>•</v>
      </c>
      <c r="IN348" s="332" t="str">
        <f t="shared" si="132"/>
        <v>•</v>
      </c>
      <c r="IO348" s="338" t="str">
        <f t="shared" si="133"/>
        <v>•</v>
      </c>
      <c r="IP348" s="346" t="b">
        <f t="shared" si="134"/>
        <v>0</v>
      </c>
      <c r="IQ348" s="347" t="b">
        <f t="shared" si="135"/>
        <v>0</v>
      </c>
      <c r="IR348" s="347" t="b">
        <f t="shared" si="136"/>
        <v>0</v>
      </c>
      <c r="IS348" s="347" t="b">
        <f t="shared" si="137"/>
        <v>0</v>
      </c>
      <c r="IT348" s="347" t="b">
        <f t="shared" si="138"/>
        <v>0</v>
      </c>
      <c r="IU348" s="347" t="b">
        <f t="shared" si="139"/>
        <v>0</v>
      </c>
      <c r="IV348" s="347" t="b">
        <f t="shared" si="140"/>
        <v>1</v>
      </c>
      <c r="IW348" s="347" t="b">
        <f t="shared" si="141"/>
        <v>0</v>
      </c>
      <c r="IX348" s="347" t="b">
        <f t="shared" si="142"/>
        <v>0</v>
      </c>
      <c r="IY348" s="347" t="b">
        <f t="shared" si="143"/>
        <v>1</v>
      </c>
      <c r="IZ348" s="347" t="b">
        <f t="shared" si="144"/>
        <v>1</v>
      </c>
      <c r="JA348" s="347" t="b">
        <f t="shared" si="145"/>
        <v>0</v>
      </c>
      <c r="JB348" s="353" t="b">
        <f t="shared" si="146"/>
        <v>0</v>
      </c>
      <c r="JC348" s="354" t="str">
        <f t="shared" si="147"/>
        <v/>
      </c>
      <c r="JD348" s="355" t="str">
        <f t="shared" si="148"/>
        <v/>
      </c>
      <c r="JE348" s="355" t="str">
        <f t="shared" si="149"/>
        <v/>
      </c>
      <c r="JF348" s="355" t="str">
        <f t="shared" si="150"/>
        <v/>
      </c>
      <c r="JG348" s="355" t="str">
        <f t="shared" si="151"/>
        <v/>
      </c>
      <c r="JH348" s="355" t="str">
        <f t="shared" si="152"/>
        <v/>
      </c>
      <c r="JI348" s="355" t="str">
        <f t="shared" si="153"/>
        <v>Ma, </v>
      </c>
      <c r="JJ348" s="355" t="str">
        <f t="shared" si="154"/>
        <v/>
      </c>
      <c r="JK348" s="355" t="str">
        <f t="shared" si="155"/>
        <v/>
      </c>
      <c r="JL348" s="355" t="str">
        <f t="shared" si="156"/>
        <v>Dha, </v>
      </c>
      <c r="JM348" s="355" t="str">
        <f t="shared" si="157"/>
        <v>ni, </v>
      </c>
      <c r="JN348" s="355" t="str">
        <f t="shared" si="158"/>
        <v/>
      </c>
      <c r="JO348" s="359" t="str">
        <f t="shared" si="159"/>
        <v/>
      </c>
      <c r="JP348" s="346" t="b">
        <f t="shared" si="160"/>
        <v>0</v>
      </c>
      <c r="JQ348" s="347" t="b">
        <f t="shared" si="161"/>
        <v>0</v>
      </c>
      <c r="JR348" s="347" t="b">
        <f t="shared" si="162"/>
        <v>0</v>
      </c>
      <c r="JS348" s="347" t="b">
        <f t="shared" si="163"/>
        <v>0</v>
      </c>
      <c r="JT348" s="347" t="b">
        <f t="shared" si="164"/>
        <v>0</v>
      </c>
      <c r="JU348" s="347" t="b">
        <f t="shared" si="165"/>
        <v>0</v>
      </c>
      <c r="JV348" s="347" t="b">
        <f t="shared" si="166"/>
        <v>0</v>
      </c>
      <c r="JW348" s="347" t="b">
        <f t="shared" si="167"/>
        <v>0</v>
      </c>
      <c r="JX348" s="347" t="b">
        <f t="shared" si="168"/>
        <v>0</v>
      </c>
      <c r="JY348" s="347" t="b">
        <f t="shared" si="169"/>
        <v>0</v>
      </c>
      <c r="JZ348" s="347" t="b">
        <f t="shared" si="170"/>
        <v>0</v>
      </c>
      <c r="KA348" s="347" t="b">
        <f t="shared" si="171"/>
        <v>0</v>
      </c>
      <c r="KB348" s="365" t="b">
        <f t="shared" si="172"/>
        <v>0</v>
      </c>
      <c r="KC348" s="354" t="str">
        <f t="shared" si="173"/>
        <v/>
      </c>
      <c r="KD348" s="355" t="str">
        <f t="shared" si="174"/>
        <v/>
      </c>
      <c r="KE348" s="355" t="str">
        <f t="shared" si="175"/>
        <v/>
      </c>
      <c r="KF348" s="355" t="str">
        <f t="shared" si="176"/>
        <v/>
      </c>
      <c r="KG348" s="355" t="str">
        <f t="shared" si="177"/>
        <v/>
      </c>
      <c r="KH348" s="355" t="str">
        <f t="shared" si="178"/>
        <v/>
      </c>
      <c r="KI348" s="355" t="str">
        <f t="shared" si="179"/>
        <v/>
      </c>
      <c r="KJ348" s="355" t="str">
        <f t="shared" si="180"/>
        <v/>
      </c>
      <c r="KK348" s="355" t="str">
        <f t="shared" si="181"/>
        <v/>
      </c>
      <c r="KL348" s="355" t="str">
        <f t="shared" si="182"/>
        <v/>
      </c>
      <c r="KM348" s="355" t="str">
        <f t="shared" si="183"/>
        <v/>
      </c>
      <c r="KN348" s="355" t="str">
        <f t="shared" si="184"/>
        <v/>
      </c>
      <c r="KO348" s="359"/>
      <c r="KP348" s="378"/>
      <c r="KQ348" s="379" t="s">
        <v>9</v>
      </c>
      <c r="KR348" s="380" t="s">
        <v>9</v>
      </c>
      <c r="KS348" s="381" t="s">
        <v>9</v>
      </c>
      <c r="KT348" s="382">
        <f t="shared" si="186"/>
        <v>0</v>
      </c>
      <c r="KU348" s="383">
        <f t="shared" si="187"/>
        <v>0</v>
      </c>
      <c r="KV348" s="381" t="str">
        <f t="shared" si="205"/>
        <v>S</v>
      </c>
      <c r="KW348" s="382">
        <f t="shared" si="189"/>
        <v>0</v>
      </c>
      <c r="KX348" s="384">
        <f t="shared" si="190"/>
        <v>0</v>
      </c>
      <c r="KY348" s="382">
        <f t="shared" ref="KY348:KZ348" si="930">KW348-KT348</f>
        <v>0</v>
      </c>
      <c r="KZ348" s="369">
        <f t="shared" si="930"/>
        <v>0</v>
      </c>
      <c r="LA348" s="385" t="str">
        <f t="shared" si="192"/>
        <v>✔</v>
      </c>
      <c r="LB348" s="340" t="str">
        <f>IFERROR(__xludf.DUMMYFUNCTION("JOIN("""",ArrayFormula(MID(KS348,LEN(KS348)-SEQUENCE(1,LEN(KS348))+1,1)))"),"S")</f>
        <v>S</v>
      </c>
      <c r="LC348" s="373" t="str">
        <f>IFERROR(__xludf.DUMMYFUNCTION("JOIN("""",ArrayFormula(MID(KV348,LEN(KV348)-SEQUENCE(1,LEN(KV348))+1,1)))"),"S")</f>
        <v>S</v>
      </c>
      <c r="LD348" s="373" t="str">
        <f t="shared" si="193"/>
        <v>S</v>
      </c>
      <c r="LE348" s="339" t="str">
        <f t="shared" si="194"/>
        <v>S</v>
      </c>
      <c r="LF348" s="386" t="str">
        <f>IFERROR(__xludf.DUMMYFUNCTION("SUBSTITUTE(SUBSTITUTE(CONCATENATE(JOIN("""",LH348:LT348)),""1"",""""),""2"","""")"),"SS")</f>
        <v>SS</v>
      </c>
      <c r="LG348" s="369" t="str">
        <f t="shared" si="195"/>
        <v>-</v>
      </c>
      <c r="LH348" s="387" t="str">
        <f>IFERROR(__xludf.DUMMYFUNCTION("IF(REGEXMATCH(LD348, ""S""), ""S"",IF(REGEXMATCH(LE348, ""S""), ""S"",""""))"),"S")</f>
        <v>S</v>
      </c>
      <c r="LI348" s="299" t="str">
        <f>IFERROR(__xludf.DUMMYFUNCTION("IF(REGEXMATCH(LD348, ""r""), ""r1"",IF(REGEXMATCH(LE348, ""r""), ""r2"",""""))"),"")</f>
        <v/>
      </c>
      <c r="LJ348" s="299" t="str">
        <f>IFERROR(__xludf.DUMMYFUNCTION("IF(REGEXMATCH(LD348, ""R""), ""R1"",IF(REGEXMATCH(LE348, ""R""), ""R2"",""""))"),"")</f>
        <v/>
      </c>
      <c r="LK348" s="299" t="str">
        <f>IFERROR(__xludf.DUMMYFUNCTION("IF(REGEXMATCH(LD348, ""g""), ""g1"",IF(REGEXMATCH(LE348, ""g""), ""g2"",""""))"),"")</f>
        <v/>
      </c>
      <c r="LL348" s="299" t="str">
        <f>IFERROR(__xludf.DUMMYFUNCTION("IF(REGEXMATCH(LD348, ""G""), ""G1"",IF(REGEXMATCH(LE348, ""G""), ""G2"",""""))"),"")</f>
        <v/>
      </c>
      <c r="LM348" s="299" t="str">
        <f>IFERROR(__xludf.DUMMYFUNCTION("IF(REGEXMATCH(LD348, ""m""), ""m1"",IF(REGEXMATCH(LE348, ""m""), ""m2"",""""))"),"")</f>
        <v/>
      </c>
      <c r="LN348" s="299" t="str">
        <f>IFERROR(__xludf.DUMMYFUNCTION("IF(REGEXMATCH(LD348, ""M""), ""M1"",IF(REGEXMATCH(LE348, ""M""), ""M2"",""""))"),"")</f>
        <v/>
      </c>
      <c r="LO348" s="299" t="str">
        <f>IFERROR(__xludf.DUMMYFUNCTION("IF(REGEXMATCH(LD348, ""P""), ""P1"",IF(REGEXMATCH(LE348, ""P""), ""P2"",""""))"),"")</f>
        <v/>
      </c>
      <c r="LP348" s="299" t="str">
        <f>IFERROR(__xludf.DUMMYFUNCTION("IF(REGEXMATCH(LD348, ""d""), ""d1"",IF(REGEXMATCH(LE348, ""d""), ""d2"",""""))"),"")</f>
        <v/>
      </c>
      <c r="LQ348" s="299" t="str">
        <f>IFERROR(__xludf.DUMMYFUNCTION("IF(REGEXMATCH(LD348, ""D""), ""D1"",IF(REGEXMATCH(LE348, ""D""), ""D2"",""""))"),"")</f>
        <v/>
      </c>
      <c r="LR348" s="299" t="str">
        <f>IFERROR(__xludf.DUMMYFUNCTION("IF(REGEXMATCH(LD348, ""n""), ""n1"",IF(REGEXMATCH(LE348, ""n""), ""n2"",""""))"),"")</f>
        <v/>
      </c>
      <c r="LS348" s="299" t="str">
        <f>IFERROR(__xludf.DUMMYFUNCTION("IF(REGEXMATCH(LD348, ""N""), ""N1"",IF(REGEXMATCH(LE348, ""N""), ""N2"",""""))"),"")</f>
        <v/>
      </c>
      <c r="LT348" s="388" t="str">
        <f>IFERROR(__xludf.DUMMYFUNCTION("IF(REGEXMATCH(LD348, ""S""), ""S"",IF(REGEXMATCH(LE348, ""S""), ""S"",""""))"),"S")</f>
        <v>S</v>
      </c>
      <c r="LU348" s="389">
        <f t="shared" si="196"/>
        <v>1</v>
      </c>
      <c r="LV348" s="378"/>
      <c r="LW348" s="369"/>
      <c r="LX348" s="369"/>
    </row>
    <row r="349" ht="18.0" customHeight="1">
      <c r="A349" s="298" t="s">
        <v>1215</v>
      </c>
      <c r="B349" s="222" t="s">
        <v>1216</v>
      </c>
      <c r="C349" s="233" t="str">
        <f t="shared" si="7"/>
        <v>SrRGmPdDNS</v>
      </c>
      <c r="D349" s="234" t="str">
        <f>IFERROR(__xludf.DUMMYFUNCTION("IF(REGEXMATCH(C349, ""S""), ""S"","""")"),"S")</f>
        <v>S</v>
      </c>
      <c r="E349" s="236" t="str">
        <f>IFERROR(__xludf.DUMMYFUNCTION("IF(REGEXMATCH(C349, ""r""), ""r"","""")"),"r")</f>
        <v>r</v>
      </c>
      <c r="F349" s="237" t="str">
        <f>IFERROR(__xludf.DUMMYFUNCTION("IF(REGEXMATCH(C349, ""R""), ""R"","""")"),"R")</f>
        <v>R</v>
      </c>
      <c r="G349" s="237" t="str">
        <f>IFERROR(__xludf.DUMMYFUNCTION("IF(REGEXMATCH(C349, ""g""), ""g"","""")"),"")</f>
        <v/>
      </c>
      <c r="H349" s="236" t="str">
        <f>IFERROR(__xludf.DUMMYFUNCTION("IF(REGEXMATCH(C349, ""G""), ""G"","""")"),"G")</f>
        <v>G</v>
      </c>
      <c r="I349" s="236" t="str">
        <f>IFERROR(__xludf.DUMMYFUNCTION("IF(REGEXMATCH(C349, ""m""), ""m"","""")"),"m")</f>
        <v>m</v>
      </c>
      <c r="J349" s="237" t="str">
        <f>IFERROR(__xludf.DUMMYFUNCTION("IF(REGEXMATCH(C349, ""M""), ""M"","""")"),"")</f>
        <v/>
      </c>
      <c r="K349" s="236" t="str">
        <f>IFERROR(__xludf.DUMMYFUNCTION("IF(REGEXMATCH(C349, ""P""), ""P"","""")"),"P")</f>
        <v>P</v>
      </c>
      <c r="L349" s="237" t="str">
        <f>IFERROR(__xludf.DUMMYFUNCTION("IF(REGEXMATCH(C349, ""d""), ""d"","""")"),"d")</f>
        <v>d</v>
      </c>
      <c r="M349" s="236" t="str">
        <f>IFERROR(__xludf.DUMMYFUNCTION("IF(REGEXMATCH(C349, ""D""), ""D"","""")"),"D")</f>
        <v>D</v>
      </c>
      <c r="N349" s="236" t="str">
        <f>IFERROR(__xludf.DUMMYFUNCTION("IF(REGEXMATCH(C349, ""n""), ""n"","""")"),"")</f>
        <v/>
      </c>
      <c r="O349" s="237" t="str">
        <f>IFERROR(__xludf.DUMMYFUNCTION("IF(REGEXMATCH(C349, ""N""), ""N"","""")"),"N")</f>
        <v>N</v>
      </c>
      <c r="P349" s="238" t="str">
        <f>IFERROR(__xludf.DUMMYFUNCTION("IF(REGEXMATCH(C349, ""S""), ""S"","""")"),"S")</f>
        <v>S</v>
      </c>
      <c r="Q349" s="239" t="str">
        <f>IFERROR(__xludf.DUMMYFUNCTION("SUBSTITUTE(CONCATENATE(JOIN(""-"",D349:J349)),""-"","""")"),"SrRGm")</f>
        <v>SrRGm</v>
      </c>
      <c r="R349" s="229" t="str">
        <f>IFERROR(__xludf.DUMMYFUNCTION("SUBSTITUTE(CONCATENATE(JOIN(""-"",K349:P349)),""-"","""")"),"PdDNS")</f>
        <v>PdDNS</v>
      </c>
      <c r="S349" s="282" t="str">
        <f t="shared" si="8"/>
        <v>S-R-G-M</v>
      </c>
      <c r="T349" s="282" t="str">
        <f t="shared" si="9"/>
        <v>P-D-N-S</v>
      </c>
      <c r="U349" s="237" t="str">
        <f>IFERROR(__xludf.DUMMYFUNCTION("SUBSTITUTE(JOIN(""-"",S349,T349),""--"",""-"")"),"S-R-G-M-P-D-N-S")</f>
        <v>S-R-G-M-P-D-N-S</v>
      </c>
      <c r="V349" s="309" t="str">
        <f t="shared" si="10"/>
        <v>rRGmdDN</v>
      </c>
      <c r="W349" s="244" t="str">
        <f>IFERROR(__xludf.DUMMYFUNCTION("IF(REGEXMATCH(C349, ""S""), ""0"","""")"),"0")</f>
        <v>0</v>
      </c>
      <c r="X349" s="245" t="str">
        <f>IFERROR(__xludf.DUMMYFUNCTION("IF(REGEXMATCH(C349, ""r""), ""1"","""")"),"1")</f>
        <v>1</v>
      </c>
      <c r="Y349" s="246" t="str">
        <f>IFERROR(__xludf.DUMMYFUNCTION("IF(REGEXMATCH(C349, ""R""), ""2"","""")"),"2")</f>
        <v>2</v>
      </c>
      <c r="Z349" s="246" t="str">
        <f>IFERROR(__xludf.DUMMYFUNCTION("IF(REGEXMATCH(C349, ""g""), ""3"","""")"),"")</f>
        <v/>
      </c>
      <c r="AA349" s="245" t="str">
        <f>IFERROR(__xludf.DUMMYFUNCTION("IF(REGEXMATCH(C349, ""G""), ""4"","""")"),"4")</f>
        <v>4</v>
      </c>
      <c r="AB349" s="245" t="str">
        <f>IFERROR(__xludf.DUMMYFUNCTION("IF(REGEXMATCH(C349, ""m""), ""5"","""")"),"5")</f>
        <v>5</v>
      </c>
      <c r="AC349" s="246" t="str">
        <f>IFERROR(__xludf.DUMMYFUNCTION("IF(REGEXMATCH(C349, ""M""), ""6"","""")"),"")</f>
        <v/>
      </c>
      <c r="AD349" s="245" t="str">
        <f>IFERROR(__xludf.DUMMYFUNCTION("IF(REGEXMATCH(C349, ""P""), ""7"","""")"),"7")</f>
        <v>7</v>
      </c>
      <c r="AE349" s="246" t="str">
        <f>IFERROR(__xludf.DUMMYFUNCTION("IF(REGEXMATCH(C349, ""d""), ""8"","""")"),"8")</f>
        <v>8</v>
      </c>
      <c r="AF349" s="245" t="str">
        <f>IFERROR(__xludf.DUMMYFUNCTION("IF(REGEXMATCH(C349, ""D""), ""9"","""")"),"9")</f>
        <v>9</v>
      </c>
      <c r="AG349" s="245" t="str">
        <f>IFERROR(__xludf.DUMMYFUNCTION("IF(REGEXMATCH(C349, ""n""), ""10"","""")"),"")</f>
        <v/>
      </c>
      <c r="AH349" s="246" t="str">
        <f>IFERROR(__xludf.DUMMYFUNCTION("IF(REGEXMATCH(C349, ""N""), ""11"","""")"),"11")</f>
        <v>11</v>
      </c>
      <c r="AI349" s="249" t="str">
        <f>IFERROR(__xludf.DUMMYFUNCTION("IF(REGEXMATCH(C349, ""S""), ""0"","""")"),"0")</f>
        <v>0</v>
      </c>
      <c r="AJ349" s="313" t="str">
        <f t="shared" si="11"/>
        <v>-</v>
      </c>
      <c r="AK349" s="313" t="str">
        <f t="shared" si="12"/>
        <v>T</v>
      </c>
      <c r="AL349" s="313" t="str">
        <f t="shared" si="13"/>
        <v>T</v>
      </c>
      <c r="AM349" s="313" t="str">
        <f t="shared" si="14"/>
        <v>-</v>
      </c>
      <c r="AN349" s="313" t="str">
        <f t="shared" si="15"/>
        <v>-</v>
      </c>
      <c r="AO349" s="314" t="str">
        <f t="shared" si="16"/>
        <v>T</v>
      </c>
      <c r="AP349" s="316">
        <f t="shared" si="17"/>
        <v>3</v>
      </c>
      <c r="AQ349" s="319" t="str">
        <f t="shared" si="18"/>
        <v>-</v>
      </c>
      <c r="AR349" s="320">
        <f t="shared" si="19"/>
        <v>0</v>
      </c>
      <c r="AS349" s="250" t="str">
        <f>IFERROR(__xludf.DUMMYFUNCTION("SUBSTITUTE(SUBSTITUTE(CONCATENATE(JOIN("""",FP349:GA349)),""|"",""x""),""-"",""o"")"),"xxxoxxoxxxox")</f>
        <v>xxxoxxoxxxox</v>
      </c>
      <c r="AT349" s="323" t="str">
        <f>IFERROR(__xludf.DUMMYFUNCTION("JOIN("""",AS349,AS349)"),"xxxoxxoxxxoxxxxoxxoxxxox")</f>
        <v>xxxoxxoxxxoxxxxoxxoxxxox</v>
      </c>
      <c r="AU349" s="256" t="str">
        <f>IFERROR(__xludf.DUMMYFUNCTION("JOIN("""",ArrayFormula(MID(AS349,LEN(AS349)-SEQUENCE(1,LEN(AS349))+1,1)))"),"xoxxxoxxoxxx")</f>
        <v>xoxxxoxxoxxx</v>
      </c>
      <c r="AV349" s="256" t="str">
        <f>IFERROR(__xludf.DUMMYFUNCTION("LEFT(CONCATENATE(""x"",JOIN("""",ArrayFormula(MID(AS349,LEN(AS349)-SEQUENCE(1,LEN(AS349))+1,1)))),12)"),"xxoxxxoxxoxx")</f>
        <v>xxoxxxoxxoxx</v>
      </c>
      <c r="AW349" s="327" t="str">
        <f>IFERROR(__xludf.DUMMYFUNCTION("JOIN("""",AU349,AU349)"),"xoxxxoxxoxxxxoxxxoxxoxxx")</f>
        <v>xoxxxoxxoxxxxoxxxoxxoxxx</v>
      </c>
      <c r="AX349" s="239" t="str">
        <f>IFERROR(__xludf.DUMMYFUNCTION("IF(REGEXMATCH(AW349,AS349),""✔"",""-"")"),"-")</f>
        <v>-</v>
      </c>
      <c r="AY349" s="330" t="str">
        <f t="shared" si="20"/>
        <v>-</v>
      </c>
      <c r="AZ349" s="260" t="str">
        <f t="shared" si="21"/>
        <v>#REF!</v>
      </c>
      <c r="BA349" s="333" t="str">
        <f t="shared" si="22"/>
        <v>xxxoxxo</v>
      </c>
      <c r="BB349" s="334" t="str">
        <f t="shared" si="23"/>
        <v>xxxoxx</v>
      </c>
      <c r="BC349" s="335" t="str">
        <f t="shared" si="236"/>
        <v>✔</v>
      </c>
      <c r="BD349" s="336" t="str">
        <f t="shared" si="25"/>
        <v>Tilak Bhairav: 'xxxoxxo' + 'xxxoxx'</v>
      </c>
      <c r="BE349" s="337">
        <f>IFERROR(__xludf.DUMMYFUNCTION("COUNTUNIQUE(FILTER(AT:AT,REGEXMATCH(AT:AT,AS349)))-1"),1.0)</f>
        <v>1</v>
      </c>
      <c r="BF349" s="261" t="str">
        <f>IFERROR(__xludf.DUMMYFUNCTION("IF(BI349=0,""(n/a)"",IF(BJ349=2,""(PAIR)"",IF(REGEXMATCH(AT349,""xoxoxxoxoxox""),""Bilawal"",IF(REGEXMATCH(AT349,""xoxoxooxoxoo""),""Bhupali"",IF(REGEXMATCH(AT349,""xoxoxxoxxoxo""),""Charukeshi"",IF(REGEXMATCH(AT349,""xoxoooxxoxxo""),""Kameshwari"",IF(REG"&amp;"EXMATCH(AT349,""xoxoxooxoxox""),""Shankara"",IF(REGEXMATCH(AT349,""xxooxoxxxoox""),""Basant"",IF(REGEXMATCH(AT349,""xoxoxxxxoxox""),""Bihag"",IF(REGEXMATCH(AT349,""xoxxxxoxoxxx""),""Pilu"",IF(REGEXMATCH(AT349,""xoxxoxoxxoox""),""Kirwani"",IF(REGEXMATCH(AT"&amp;"349,""xoxxoxoxoxxx""),""Mk.Malhar"",IF(REGEXMATCH(AT349,""xxooxxoxxoox""),""Bhairav"",IF(REGEXMATCH(AT349,""xxoxooxxxoox""),""Todi"",IF(REGEXMATCH(AT349,""xxooxoxooxox""),""Marwa"",IF(REGEXMATCH(AT349,""xxoooxoxxooo""),""Gunkali"",IF(REGEXMATCH(AT349,""xo"&amp;"xoxxoxxoox""),""Nat Bhairav"",IF(REGEXMATCH(AT349,""xoxxoooxoxoo""),""Shivranjani"",IF(REGEXMATCH(AT349,""xooxxxoxooxo""),""Jog"",IF(REGEXMATCH(AT349,""xxooxoxoxoox""),""Hemshri"",IF(REGEXMATCH(AT349,""xoooxooxoxxo""),""Kalavati"",IF(REGEXMATCH(AT349,""xx"&amp;"oxoxxoxoox""),""Kedar"",IF(REGEXMATCH(AT349,""xoxxxxoxooxx""),""Gara"",IF(REGEXMATCH(AT349,""xooxoxooxoox""),""Chandrakauns"",IF(REGEXMATCH(AT349,""xoxxxxoxxxox""),""Mand"",IF(REGEXMATCH(AT349,""xoxxxxoxoxox""),""Hanskinkini"",IF(REGEXMATCH(AT349,""xxooxx"&amp;"oxooxo""),""Lilavati"",IF(REGEXMATCH(AT349,""xooxoxoooxox""),""Rajeshwari"",IF(REGEXMATCH(AT349,""xoooxxoxoxxx""),""Khokar"",IF(REGEXMATCH(AT349,""xxooxoxxxxox""),""Maligoura"",""-""))))))))))))))))))))))))))))))"),"-")</f>
        <v>-</v>
      </c>
      <c r="BG349" s="239" t="str">
        <f t="shared" si="26"/>
        <v>#REF!</v>
      </c>
      <c r="BH349" s="239">
        <f>IFERROR(__xludf.DUMMYFUNCTION("COUNTUNIQUE(FE349:FO349)-1"),8.0)</f>
        <v>8</v>
      </c>
      <c r="BI349" s="239">
        <f>IFERROR(__xludf.DUMMYFUNCTION("COUNTUNIQUE(FILTER(AT:AT,REGEXMATCH(AT:AT,AS349)))-1"),1.0)</f>
        <v>1</v>
      </c>
      <c r="BJ349" s="239">
        <f>IFERROR(__xludf.DUMMYFUNCTION("COUNTA(FILTER(AT:AT,REGEXMATCH(AT:AT,AS349)))"),3.0)</f>
        <v>3</v>
      </c>
      <c r="BK349" s="341">
        <f>IFERROR(__xludf.DUMMYFUNCTION("COUNTA(FILTER(AT:AT,REGEXMATCH(AT:AT,AS349)))-AR349"),3.0)</f>
        <v>3</v>
      </c>
      <c r="BL349" s="276" t="str">
        <f>IFERROR(__xludf.DUMMYFUNCTION("IF(AS349=""oooooooooooo"",""-"",IF(REGEXMATCH(AT349,""xx""), ""Hemi."", ""Anhemi.""))"),"Hemi.")</f>
        <v>Hemi.</v>
      </c>
      <c r="BM349" s="282" t="str">
        <f>IFERROR(__xludf.DUMMYFUNCTION("IF(AS349=""oooooooooooo"",""-"",IF(REGEXMATCH(AT349,""xxx""), ""Cohem."", ""-""))"),"Cohem.")</f>
        <v>Cohem.</v>
      </c>
      <c r="BN349" s="282" t="str">
        <f>IFERROR(__xludf.DUMMYFUNCTION("IF(AS349=""oooooooooooo"",""-"",IF(REGEXMATCH(AT349,""xxxx""), ""Co-Co."", ""-""))"),"Co-Co.")</f>
        <v>Co-Co.</v>
      </c>
      <c r="BO349" s="342" t="str">
        <f>IFERROR(__xludf.DUMMYFUNCTION("IF(AS349=""oooooooooooo"",""-"",IF(REGEXMATCH(AT349,""xxxxx""), ""CCC."", ""-""))"),"-")</f>
        <v>-</v>
      </c>
      <c r="BP349" s="344" t="str">
        <f t="shared" si="27"/>
        <v>-</v>
      </c>
      <c r="BQ349" s="282" t="str">
        <f>IFERROR(__xludf.DUMMYFUNCTION("IF(REGEXMATCH(JOIN(""-"",EU349:FD349),""TRUE""),""✔"",""-"")"),"-")</f>
        <v>-</v>
      </c>
      <c r="BR349" s="225">
        <f t="shared" si="28"/>
        <v>0</v>
      </c>
      <c r="BS349" s="345" t="str">
        <f>IFERROR(__xludf.DUMMYFUNCTION("SUBSTITUTE(SUBSTITUTE(SUBSTITUTE(SUBSTITUTE(CONCATENATE(JOIN(""-"",GC349:GO349)),""--"",""-""),""--"",""-""),""--"",""-""),""--"",""-"")"),"1-b2-2-3-4-5-b6-6-7-8")</f>
        <v>1-b2-2-3-4-5-b6-6-7-8</v>
      </c>
      <c r="BT349" s="299" t="str">
        <f>IFERROR(__xludf.DUMMYFUNCTION("SUBSTITUTE(SUBSTITUTE(SUBSTITUTE(SUBSTITUTE(CONCATENATE(JOIN(""-"",GP349:HB349)),""--"",""-""),""--"",""-""),""--"",""-""),""--"",""-"")"),"S-R1-R2-G3-M1-P-D1-D2-N3-S")</f>
        <v>S-R1-R2-G3-M1-P-D1-D2-N3-S</v>
      </c>
      <c r="BU349" s="348" t="str">
        <f t="shared" si="29"/>
        <v>C-Db-D-E-F-G-Ab-A-B-C</v>
      </c>
      <c r="BV349" s="349" t="str">
        <f t="shared" si="30"/>
        <v>SgMnS</v>
      </c>
      <c r="BW349" s="350">
        <f t="shared" si="31"/>
        <v>0</v>
      </c>
      <c r="BX349" s="351">
        <f t="shared" si="32"/>
        <v>1</v>
      </c>
      <c r="BY349" s="352" t="s">
        <v>275</v>
      </c>
      <c r="BZ349" s="309" t="str">
        <f>IFERROR(__xludf.DUMMYFUNCTION("IF(REGEXMATCH(C349, ""S""), ""x"",""x"")"),"x")</f>
        <v>x</v>
      </c>
      <c r="CA349" s="245" t="str">
        <f>IFERROR(__xludf.DUMMYFUNCTION("IF(REGEXMATCH(C349, ""r""), ""o"",""x"")"),"o")</f>
        <v>o</v>
      </c>
      <c r="CB349" s="246" t="str">
        <f>IFERROR(__xludf.DUMMYFUNCTION("IF(REGEXMATCH(C349, ""R""), ""o"",""x"")"),"o")</f>
        <v>o</v>
      </c>
      <c r="CC349" s="246" t="str">
        <f>IFERROR(__xludf.DUMMYFUNCTION("IF(REGEXMATCH(C349, ""g""), ""o"",""x"")"),"x")</f>
        <v>x</v>
      </c>
      <c r="CD349" s="245" t="str">
        <f>IFERROR(__xludf.DUMMYFUNCTION("IF(REGEXMATCH(C349, ""G""), ""o"",""x"")"),"o")</f>
        <v>o</v>
      </c>
      <c r="CE349" s="245" t="str">
        <f>IFERROR(__xludf.DUMMYFUNCTION("IF(REGEXMATCH(C349, ""m""), ""o"",""x"")"),"o")</f>
        <v>o</v>
      </c>
      <c r="CF349" s="246" t="str">
        <f>IFERROR(__xludf.DUMMYFUNCTION("IF(REGEXMATCH(C349, ""M""), ""o"",""x"")"),"x")</f>
        <v>x</v>
      </c>
      <c r="CG349" s="245" t="str">
        <f>IFERROR(__xludf.DUMMYFUNCTION("IF(REGEXMATCH(C349, ""P""), ""o"",""x"")"),"o")</f>
        <v>o</v>
      </c>
      <c r="CH349" s="246" t="str">
        <f>IFERROR(__xludf.DUMMYFUNCTION("IF(REGEXMATCH(C349, ""d""), ""o"",""x"")"),"o")</f>
        <v>o</v>
      </c>
      <c r="CI349" s="245" t="str">
        <f>IFERROR(__xludf.DUMMYFUNCTION("IF(REGEXMATCH(C349, ""D""), ""o"",""x"")"),"o")</f>
        <v>o</v>
      </c>
      <c r="CJ349" s="245" t="str">
        <f>IFERROR(__xludf.DUMMYFUNCTION("IF(REGEXMATCH(C349, ""n""), ""o"",""x"")"),"x")</f>
        <v>x</v>
      </c>
      <c r="CK349" s="245" t="str">
        <f>IFERROR(__xludf.DUMMYFUNCTION("IF(REGEXMATCH(C349, ""N""), ""o"",""x"")"),"o")</f>
        <v>o</v>
      </c>
      <c r="CL349" s="356" t="str">
        <f>IFERROR(__xludf.DUMMYFUNCTION("IF(REGEXMATCH(C349, ""S""), ""x"",""x"")"),"x")</f>
        <v>x</v>
      </c>
      <c r="CM349" s="357" t="str">
        <f t="shared" si="33"/>
        <v>xooxooxoooxo</v>
      </c>
      <c r="CN349" s="358">
        <f t="shared" si="34"/>
        <v>0</v>
      </c>
      <c r="CO349" s="246" t="str">
        <f>IFERROR(__xludf.DUMMYFUNCTION("IF(REGEXMATCH($C349, ""S""), ""S"",""S"")"),"S")</f>
        <v>S</v>
      </c>
      <c r="CP349" s="246" t="str">
        <f>IFERROR(__xludf.DUMMYFUNCTION("IF(REGEXMATCH($C349, ""r""), """",""r"")"),"")</f>
        <v/>
      </c>
      <c r="CQ349" s="246" t="str">
        <f>IFERROR(__xludf.DUMMYFUNCTION("IF(REGEXMATCH($C349, ""R""), """",""R"")"),"")</f>
        <v/>
      </c>
      <c r="CR349" s="246" t="str">
        <f>IFERROR(__xludf.DUMMYFUNCTION("IF(REGEXMATCH($C349, ""g""), """",""g"")"),"g")</f>
        <v>g</v>
      </c>
      <c r="CS349" s="246" t="str">
        <f>IFERROR(__xludf.DUMMYFUNCTION("IF(REGEXMATCH($C349, ""G""), """",""G"")"),"")</f>
        <v/>
      </c>
      <c r="CT349" s="246" t="str">
        <f>IFERROR(__xludf.DUMMYFUNCTION("IF(REGEXMATCH($C349, ""m""), """",""m"")"),"")</f>
        <v/>
      </c>
      <c r="CU349" s="246" t="str">
        <f>IFERROR(__xludf.DUMMYFUNCTION("IF(REGEXMATCH($C349, ""M""), """",""M"")"),"M")</f>
        <v>M</v>
      </c>
      <c r="CV349" s="246" t="str">
        <f>IFERROR(__xludf.DUMMYFUNCTION("IF(REGEXMATCH($C349, ""P""), """",""P"")"),"")</f>
        <v/>
      </c>
      <c r="CW349" s="246" t="str">
        <f>IFERROR(__xludf.DUMMYFUNCTION("IF(REGEXMATCH($C349, ""d""), """",""d"")"),"")</f>
        <v/>
      </c>
      <c r="CX349" s="246" t="str">
        <f>IFERROR(__xludf.DUMMYFUNCTION("IF(REGEXMATCH($C349, ""D""), """",""D"")"),"")</f>
        <v/>
      </c>
      <c r="CY349" s="246" t="str">
        <f>IFERROR(__xludf.DUMMYFUNCTION("IF(REGEXMATCH($C349, ""n""), """",""n"")"),"n")</f>
        <v>n</v>
      </c>
      <c r="CZ349" s="246" t="str">
        <f>IFERROR(__xludf.DUMMYFUNCTION("IF(REGEXMATCH($C349, ""N""), """",""N"")"),"")</f>
        <v/>
      </c>
      <c r="DA349" s="246" t="str">
        <f>IFERROR(__xludf.DUMMYFUNCTION("IF(REGEXMATCH($C349, ""S""), ""S"",""S"")"),"S")</f>
        <v>S</v>
      </c>
      <c r="DB349" s="362" t="str">
        <f>IFERROR(__xludf.DUMMYFUNCTION("JOIN("""",CO349:DA349,"""","""")"),"SgMnS")</f>
        <v>SgMnS</v>
      </c>
      <c r="DC349" s="363"/>
      <c r="DD349" s="301" t="str">
        <f t="shared" si="35"/>
        <v>#REF!</v>
      </c>
      <c r="DE349" s="302" t="str">
        <f t="shared" si="36"/>
        <v>#REF!</v>
      </c>
      <c r="DF349" s="301" t="str">
        <f t="shared" ref="DF349:DG349" si="931">SUBSTITUTE(S349,"-","")</f>
        <v>SRGM</v>
      </c>
      <c r="DG349" s="301" t="str">
        <f t="shared" si="931"/>
        <v>PDNS</v>
      </c>
      <c r="DH349" s="302" t="str">
        <f t="shared" si="38"/>
        <v>-</v>
      </c>
      <c r="DI349" s="301" t="str">
        <f t="shared" si="39"/>
        <v>Hemi.</v>
      </c>
      <c r="DJ349" s="364" t="str">
        <f t="shared" si="40"/>
        <v>Co-Co.</v>
      </c>
      <c r="DK349" s="306" t="str">
        <f t="shared" si="41"/>
        <v>-</v>
      </c>
      <c r="DL349" s="366" t="str">
        <f t="shared" si="42"/>
        <v>-</v>
      </c>
      <c r="DM349" s="308" t="str">
        <f t="shared" si="43"/>
        <v>✔</v>
      </c>
      <c r="DN349" s="306" t="str">
        <f t="shared" si="44"/>
        <v>-</v>
      </c>
      <c r="DO349" s="306" t="str">
        <f t="shared" si="45"/>
        <v>-</v>
      </c>
      <c r="DP349" s="367" t="str">
        <f t="shared" si="46"/>
        <v>-</v>
      </c>
      <c r="DQ349" s="310" t="str">
        <f t="shared" si="47"/>
        <v>✔</v>
      </c>
      <c r="DR349" s="310" t="str">
        <f t="shared" si="48"/>
        <v>-</v>
      </c>
      <c r="DS349" s="310" t="str">
        <f t="shared" si="49"/>
        <v>-</v>
      </c>
      <c r="DT349" s="310" t="str">
        <f t="shared" si="50"/>
        <v>✔</v>
      </c>
      <c r="DU349" s="370" t="str">
        <f t="shared" si="51"/>
        <v>-</v>
      </c>
      <c r="DV349" s="306" t="str">
        <f t="shared" si="52"/>
        <v>-</v>
      </c>
      <c r="DW349" s="306" t="str">
        <f t="shared" si="53"/>
        <v>-</v>
      </c>
      <c r="DX349" s="306" t="str">
        <f t="shared" si="54"/>
        <v>-</v>
      </c>
      <c r="DY349" s="306" t="str">
        <f t="shared" si="55"/>
        <v>-</v>
      </c>
      <c r="DZ349" s="306" t="str">
        <f t="shared" si="56"/>
        <v>-</v>
      </c>
      <c r="EA349" s="367" t="str">
        <f t="shared" si="57"/>
        <v>-</v>
      </c>
      <c r="EB349" s="310" t="str">
        <f>IFERROR(__xludf.DUMMYFUNCTION("IF(REGEXMATCH(AW349,AS349),""✔"",""-"")"),"-")</f>
        <v>-</v>
      </c>
      <c r="EC349" s="310" t="str">
        <f t="shared" si="58"/>
        <v>#REF!</v>
      </c>
      <c r="ED349" s="370" t="str">
        <f t="shared" si="59"/>
        <v>-</v>
      </c>
      <c r="EE349" s="340" t="str">
        <f t="shared" si="60"/>
        <v>S-rR-G-m-P-dD-N-S</v>
      </c>
      <c r="EF349" s="371" t="str">
        <f>IFERROR(__xludf.DUMMYFUNCTION("CONCATENATE(JOIN("""",HC349:HO349))"),"SrgGmPdnNS")</f>
        <v>SrgGmPdnNS</v>
      </c>
      <c r="EG349" s="372">
        <f t="shared" si="61"/>
        <v>2</v>
      </c>
      <c r="EH349" s="373" t="str">
        <f>IFERROR(__xludf.DUMMYFUNCTION("CONCATENATE(JOIN("""",JC349:JO349))"),"dha, Ni, ")</f>
        <v>dha, Ni, </v>
      </c>
      <c r="EI349" s="322">
        <f t="shared" si="62"/>
        <v>0</v>
      </c>
      <c r="EJ349" s="374" t="str">
        <f>IFERROR(__xludf.DUMMYFUNCTION("CONCATENATE(JOIN("""",KC349:KO349))"),"")</f>
        <v/>
      </c>
      <c r="EK349" s="325" t="str">
        <f t="shared" si="63"/>
        <v>S-R1-R2-G3-M1-P-D1-D2-N3-S</v>
      </c>
      <c r="EL349" s="326" t="str">
        <f t="shared" si="64"/>
        <v>1-b2-2-3-4-5-b6-6-7-8</v>
      </c>
      <c r="EM349" s="318" t="str">
        <f t="shared" si="65"/>
        <v>#REF!</v>
      </c>
      <c r="EN349" s="328" t="str">
        <f>IFERROR(__xludf.DUMMYFUNCTION("SUBSTITUTE(SUBSTITUTE(SUBSTITUTE(SUBSTITUTE(CONCATENATE(JOIN("" "",HP349:IB349)),""  "","" ""),""  "","" ""),""  "","" ""),""  "","" "")"),"o o o • o o • o o o • o o")</f>
        <v>o o o • o o • o o o • o o</v>
      </c>
      <c r="EO349" s="368" t="str">
        <f t="shared" si="66"/>
        <v>-</v>
      </c>
      <c r="EP349" s="339" t="str">
        <f t="shared" si="67"/>
        <v>-</v>
      </c>
      <c r="EQ349" s="339" t="str">
        <f t="shared" si="68"/>
        <v>Sa-Pa</v>
      </c>
      <c r="ER349" s="339" t="str">
        <f t="shared" si="69"/>
        <v>-</v>
      </c>
      <c r="ES349" s="340" t="str">
        <f t="shared" si="70"/>
        <v>-</v>
      </c>
      <c r="ET349" s="363"/>
      <c r="EU349" s="376" t="b">
        <f>IFERROR(__xludf.DUMMYFUNCTION("arrayformula(sum(--REGEXMATCH(""SRGMPDNS"",split(REGEXREPLACE(C349,""(.)"",""$1~""),""~""))))=len(C349)
"),FALSE)</f>
        <v>0</v>
      </c>
      <c r="EV349" s="290" t="b">
        <f>IFERROR(__xludf.DUMMYFUNCTION("arrayformula(sum(--REGEXMATCH(""SRGmPDNS"",split(REGEXREPLACE(C349,""(.)"",""$1~""),""~""))))=len(C349)"),FALSE)</f>
        <v>0</v>
      </c>
      <c r="EW349" s="290" t="b">
        <f>IFERROR(__xludf.DUMMYFUNCTION("arrayformula(sum(--REGEXMATCH(""SRGmPDnS"",split(REGEXREPLACE(C349,""(.)"",""$1~""),""~""))))=len(C349)"),FALSE)</f>
        <v>0</v>
      </c>
      <c r="EX349" s="290" t="b">
        <f>IFERROR(__xludf.DUMMYFUNCTION("arrayformula(sum(--REGEXMATCH(""SRgmPDnS"",split(REGEXREPLACE(C349,""(.)"",""$1~""),""~""))))=len(C349)"),FALSE)</f>
        <v>0</v>
      </c>
      <c r="EY349" s="290" t="b">
        <f>IFERROR(__xludf.DUMMYFUNCTION("arrayformula(sum(--REGEXMATCH(""SRgmPdnS"",split(REGEXREPLACE(C349,""(.)"",""$1~""),""~""))))=len(C349)"),FALSE)</f>
        <v>0</v>
      </c>
      <c r="EZ349" s="290" t="b">
        <f>IFERROR(__xludf.DUMMYFUNCTION("arrayformula(sum(--REGEXMATCH(""SrgmPdnS"",split(REGEXREPLACE(C349,""(.)"",""$1~""),""~""))))=len(C349)"),FALSE)</f>
        <v>0</v>
      </c>
      <c r="FA349" s="290" t="b">
        <f>IFERROR(__xludf.DUMMYFUNCTION("arrayformula(sum(--REGEXMATCH(""SrGmPdNS"",split(REGEXREPLACE(C349,""(.)"",""$1~""),""~""))))=len(C349)"),FALSE)</f>
        <v>0</v>
      </c>
      <c r="FB349" s="290" t="b">
        <f>IFERROR(__xludf.DUMMYFUNCTION("arrayformula(sum(--REGEXMATCH(""SrGMPDNS"",split(REGEXREPLACE(C349,""(.)"",""$1~""),""~""))))=len(C349)"),FALSE)</f>
        <v>0</v>
      </c>
      <c r="FC349" s="290" t="b">
        <f>IFERROR(__xludf.DUMMYFUNCTION("arrayformula(sum(--REGEXMATCH(""SrGMPdNS"",split(REGEXREPLACE(C349,""(.)"",""$1~""),""~""))))=len(C349)"),FALSE)</f>
        <v>0</v>
      </c>
      <c r="FD349" s="377" t="b">
        <f>IFERROR(__xludf.DUMMYFUNCTION("arrayformula(sum(--REGEXMATCH(""SrgMPdNS"",split(REGEXREPLACE(C349,""(.)"",""$1~""),""~""))))=len(C349)"),FALSE)</f>
        <v>0</v>
      </c>
      <c r="FE349" s="269" t="str">
        <f t="shared" si="71"/>
        <v>xxoxxoxxxox</v>
      </c>
      <c r="FF349" s="269" t="str">
        <f t="shared" si="72"/>
        <v>xoxxoxxxoxx</v>
      </c>
      <c r="FG349" s="271" t="str">
        <f t="shared" si="73"/>
        <v>-</v>
      </c>
      <c r="FH349" s="269" t="str">
        <f t="shared" si="74"/>
        <v>xxoxxxoxxxx</v>
      </c>
      <c r="FI349" s="271" t="str">
        <f t="shared" si="75"/>
        <v>xoxxxoxxxxo</v>
      </c>
      <c r="FJ349" s="271" t="str">
        <f t="shared" si="76"/>
        <v>-</v>
      </c>
      <c r="FK349" s="271" t="str">
        <f t="shared" si="77"/>
        <v>xxxoxxxxoxx</v>
      </c>
      <c r="FL349" s="271" t="str">
        <f t="shared" si="78"/>
        <v>xxoxxxxoxxo</v>
      </c>
      <c r="FM349" s="271" t="str">
        <f t="shared" si="79"/>
        <v>xoxxxxoxxox</v>
      </c>
      <c r="FN349" s="271" t="str">
        <f t="shared" si="80"/>
        <v>-</v>
      </c>
      <c r="FO349" s="274" t="str">
        <f t="shared" si="81"/>
        <v>xxxxoxxoxxx</v>
      </c>
      <c r="FP349" s="234" t="str">
        <f t="shared" si="82"/>
        <v>|</v>
      </c>
      <c r="FQ349" s="236" t="str">
        <f t="shared" si="83"/>
        <v>|</v>
      </c>
      <c r="FR349" s="237" t="str">
        <f t="shared" si="84"/>
        <v>|</v>
      </c>
      <c r="FS349" s="236" t="str">
        <f t="shared" si="85"/>
        <v>-</v>
      </c>
      <c r="FT349" s="237" t="str">
        <f t="shared" si="86"/>
        <v>|</v>
      </c>
      <c r="FU349" s="236" t="str">
        <f t="shared" si="87"/>
        <v>|</v>
      </c>
      <c r="FV349" s="237" t="str">
        <f t="shared" si="88"/>
        <v>-</v>
      </c>
      <c r="FW349" s="236" t="str">
        <f t="shared" si="89"/>
        <v>|</v>
      </c>
      <c r="FX349" s="237" t="str">
        <f t="shared" si="90"/>
        <v>|</v>
      </c>
      <c r="FY349" s="236" t="str">
        <f t="shared" si="91"/>
        <v>|</v>
      </c>
      <c r="FZ349" s="237" t="str">
        <f t="shared" si="92"/>
        <v>-</v>
      </c>
      <c r="GA349" s="236" t="str">
        <f t="shared" si="93"/>
        <v>|</v>
      </c>
      <c r="GB349" s="238" t="str">
        <f t="shared" si="94"/>
        <v>|</v>
      </c>
      <c r="GC349" s="244" t="str">
        <f>IFERROR(__xludf.DUMMYFUNCTION("IF(REGEXMATCH(C349, ""S""), ""1"","""")"),"1")</f>
        <v>1</v>
      </c>
      <c r="GD349" s="245" t="str">
        <f>IFERROR(__xludf.DUMMYFUNCTION("IF(REGEXMATCH(C349, ""r""), ""b2"","""")"),"b2")</f>
        <v>b2</v>
      </c>
      <c r="GE349" s="246" t="str">
        <f>IFERROR(__xludf.DUMMYFUNCTION("IF(REGEXMATCH(C349, ""R""), ""2"","""")"),"2")</f>
        <v>2</v>
      </c>
      <c r="GF349" s="246" t="str">
        <f>IFERROR(__xludf.DUMMYFUNCTION("IF(REGEXMATCH(C349, ""g""), ""b3"","""")"),"")</f>
        <v/>
      </c>
      <c r="GG349" s="245" t="str">
        <f>IFERROR(__xludf.DUMMYFUNCTION("IF(REGEXMATCH(C349, ""G""), ""3"","""")"),"3")</f>
        <v>3</v>
      </c>
      <c r="GH349" s="245" t="str">
        <f>IFERROR(__xludf.DUMMYFUNCTION("IF(REGEXMATCH(C349, ""m""), ""4"","""")"),"4")</f>
        <v>4</v>
      </c>
      <c r="GI349" s="246" t="str">
        <f>IFERROR(__xludf.DUMMYFUNCTION("IF(REGEXMATCH(C349, ""M""), ""#4"","""")"),"")</f>
        <v/>
      </c>
      <c r="GJ349" s="245" t="str">
        <f>IFERROR(__xludf.DUMMYFUNCTION("IF(REGEXMATCH(C349, ""P""), ""5"","""")"),"5")</f>
        <v>5</v>
      </c>
      <c r="GK349" s="246" t="str">
        <f>IFERROR(__xludf.DUMMYFUNCTION("IF(REGEXMATCH(C349, ""d""), ""b6"","""")"),"b6")</f>
        <v>b6</v>
      </c>
      <c r="GL349" s="245" t="str">
        <f>IFERROR(__xludf.DUMMYFUNCTION("IF(REGEXMATCH(C349, ""D""), ""6"","""")"),"6")</f>
        <v>6</v>
      </c>
      <c r="GM349" s="245" t="str">
        <f>IFERROR(__xludf.DUMMYFUNCTION("IF(REGEXMATCH(C349, ""n""), ""b7"","""")"),"")</f>
        <v/>
      </c>
      <c r="GN349" s="246" t="str">
        <f>IFERROR(__xludf.DUMMYFUNCTION("IF(REGEXMATCH(C349, ""N""), ""7"","""")"),"7")</f>
        <v>7</v>
      </c>
      <c r="GO349" s="249" t="str">
        <f>IFERROR(__xludf.DUMMYFUNCTION("IF(REGEXMATCH(C349, ""S""), ""8"","""")"),"8")</f>
        <v>8</v>
      </c>
      <c r="GP349" s="244" t="str">
        <f>IFERROR(__xludf.DUMMYFUNCTION("IF(REGEXMATCH(C349, ""S""), ""S"","""")"),"S")</f>
        <v>S</v>
      </c>
      <c r="GQ349" s="294" t="str">
        <f>IFERROR(__xludf.DUMMYFUNCTION("IF(REGEXMATCH(C349, ""r""), ""R1"","""")"),"R1")</f>
        <v>R1</v>
      </c>
      <c r="GR349" s="295" t="str">
        <f>IFERROR(__xludf.DUMMYFUNCTION("IF(REGEXMATCH(C349, ""R""), ""R2"","""")"),"R2")</f>
        <v>R2</v>
      </c>
      <c r="GS349" s="295" t="str">
        <f>IFERROR(__xludf.DUMMYFUNCTION("IF(REGEXMATCH(C349, ""g""), ""G2"","""")"),"")</f>
        <v/>
      </c>
      <c r="GT349" s="294" t="str">
        <f>IFERROR(__xludf.DUMMYFUNCTION("IF(REGEXMATCH(C349, ""G""), ""G3"","""")"),"G3")</f>
        <v>G3</v>
      </c>
      <c r="GU349" s="294" t="str">
        <f>IFERROR(__xludf.DUMMYFUNCTION("IF(REGEXMATCH(C349, ""m""), ""M1"","""")"),"M1")</f>
        <v>M1</v>
      </c>
      <c r="GV349" s="295" t="str">
        <f>IFERROR(__xludf.DUMMYFUNCTION("IF(REGEXMATCH(C349, ""M""), ""M2"","""")"),"")</f>
        <v/>
      </c>
      <c r="GW349" s="294" t="str">
        <f>IFERROR(__xludf.DUMMYFUNCTION("IF(REGEXMATCH(C349, ""P""), ""P"","""")"),"P")</f>
        <v>P</v>
      </c>
      <c r="GX349" s="295" t="str">
        <f>IFERROR(__xludf.DUMMYFUNCTION("IF(REGEXMATCH(C349, ""d""), ""D1"","""")"),"D1")</f>
        <v>D1</v>
      </c>
      <c r="GY349" s="294" t="str">
        <f>IFERROR(__xludf.DUMMYFUNCTION("IF(REGEXMATCH(C349, ""D""), ""D2"","""")"),"D2")</f>
        <v>D2</v>
      </c>
      <c r="GZ349" s="294" t="str">
        <f>IFERROR(__xludf.DUMMYFUNCTION("IF(REGEXMATCH(C349, ""n""), ""N2"","""")"),"")</f>
        <v/>
      </c>
      <c r="HA349" s="295" t="str">
        <f>IFERROR(__xludf.DUMMYFUNCTION("IF(REGEXMATCH(C349, ""N""), ""N3"","""")"),"N3")</f>
        <v>N3</v>
      </c>
      <c r="HB349" s="249" t="str">
        <f>IFERROR(__xludf.DUMMYFUNCTION("IF(REGEXMATCH(C349, ""S""), ""S"","""")"),"S")</f>
        <v>S</v>
      </c>
      <c r="HC349" s="331" t="str">
        <f t="shared" si="95"/>
        <v>S</v>
      </c>
      <c r="HD349" s="332" t="str">
        <f t="shared" si="96"/>
        <v>r</v>
      </c>
      <c r="HE349" s="332" t="str">
        <f t="shared" si="97"/>
        <v/>
      </c>
      <c r="HF349" s="332" t="str">
        <f t="shared" si="98"/>
        <v>g</v>
      </c>
      <c r="HG349" s="332" t="str">
        <f t="shared" si="99"/>
        <v>G</v>
      </c>
      <c r="HH349" s="332" t="str">
        <f t="shared" si="100"/>
        <v>m</v>
      </c>
      <c r="HI349" s="332" t="str">
        <f t="shared" si="101"/>
        <v/>
      </c>
      <c r="HJ349" s="332" t="str">
        <f t="shared" si="102"/>
        <v>P</v>
      </c>
      <c r="HK349" s="332" t="str">
        <f t="shared" si="103"/>
        <v>d</v>
      </c>
      <c r="HL349" s="332" t="str">
        <f t="shared" si="104"/>
        <v/>
      </c>
      <c r="HM349" s="332" t="str">
        <f t="shared" si="105"/>
        <v>n</v>
      </c>
      <c r="HN349" s="332" t="str">
        <f t="shared" si="106"/>
        <v>N</v>
      </c>
      <c r="HO349" s="343" t="str">
        <f t="shared" si="107"/>
        <v>S</v>
      </c>
      <c r="HP349" s="331" t="str">
        <f t="shared" si="108"/>
        <v>o</v>
      </c>
      <c r="HQ349" s="332" t="str">
        <f t="shared" si="109"/>
        <v>o</v>
      </c>
      <c r="HR349" s="332" t="str">
        <f t="shared" si="110"/>
        <v>o</v>
      </c>
      <c r="HS349" s="332" t="str">
        <f t="shared" si="111"/>
        <v>•</v>
      </c>
      <c r="HT349" s="332" t="str">
        <f t="shared" si="112"/>
        <v>o</v>
      </c>
      <c r="HU349" s="332" t="str">
        <f t="shared" si="113"/>
        <v>o</v>
      </c>
      <c r="HV349" s="332" t="str">
        <f t="shared" si="114"/>
        <v>•</v>
      </c>
      <c r="HW349" s="332" t="str">
        <f t="shared" si="115"/>
        <v>o</v>
      </c>
      <c r="HX349" s="332" t="str">
        <f t="shared" si="116"/>
        <v>o</v>
      </c>
      <c r="HY349" s="332" t="str">
        <f t="shared" si="117"/>
        <v>o</v>
      </c>
      <c r="HZ349" s="332" t="str">
        <f t="shared" si="118"/>
        <v>•</v>
      </c>
      <c r="IA349" s="332" t="str">
        <f t="shared" si="119"/>
        <v>o</v>
      </c>
      <c r="IB349" s="338" t="str">
        <f t="shared" si="120"/>
        <v>o</v>
      </c>
      <c r="IC349" s="331" t="str">
        <f t="shared" si="121"/>
        <v>•</v>
      </c>
      <c r="ID349" s="332" t="str">
        <f t="shared" si="122"/>
        <v>•</v>
      </c>
      <c r="IE349" s="332" t="str">
        <f t="shared" si="123"/>
        <v>•</v>
      </c>
      <c r="IF349" s="332" t="str">
        <f t="shared" si="124"/>
        <v>o</v>
      </c>
      <c r="IG349" s="332" t="str">
        <f t="shared" si="125"/>
        <v>•</v>
      </c>
      <c r="IH349" s="332" t="str">
        <f t="shared" si="126"/>
        <v>•</v>
      </c>
      <c r="II349" s="332" t="str">
        <f t="shared" si="127"/>
        <v>o</v>
      </c>
      <c r="IJ349" s="332" t="str">
        <f t="shared" si="128"/>
        <v>•</v>
      </c>
      <c r="IK349" s="332" t="str">
        <f t="shared" si="129"/>
        <v>•</v>
      </c>
      <c r="IL349" s="332" t="str">
        <f t="shared" si="130"/>
        <v>•</v>
      </c>
      <c r="IM349" s="332" t="str">
        <f t="shared" si="131"/>
        <v>o</v>
      </c>
      <c r="IN349" s="332" t="str">
        <f t="shared" si="132"/>
        <v>•</v>
      </c>
      <c r="IO349" s="338" t="str">
        <f t="shared" si="133"/>
        <v>•</v>
      </c>
      <c r="IP349" s="346" t="b">
        <f t="shared" si="134"/>
        <v>0</v>
      </c>
      <c r="IQ349" s="347" t="b">
        <f t="shared" si="135"/>
        <v>0</v>
      </c>
      <c r="IR349" s="347" t="b">
        <f t="shared" si="136"/>
        <v>0</v>
      </c>
      <c r="IS349" s="347" t="b">
        <f t="shared" si="137"/>
        <v>0</v>
      </c>
      <c r="IT349" s="347" t="b">
        <f t="shared" si="138"/>
        <v>0</v>
      </c>
      <c r="IU349" s="347" t="b">
        <f t="shared" si="139"/>
        <v>0</v>
      </c>
      <c r="IV349" s="347" t="b">
        <f t="shared" si="140"/>
        <v>0</v>
      </c>
      <c r="IW349" s="347" t="b">
        <f t="shared" si="141"/>
        <v>0</v>
      </c>
      <c r="IX349" s="347" t="b">
        <f t="shared" si="142"/>
        <v>1</v>
      </c>
      <c r="IY349" s="347" t="b">
        <f t="shared" si="143"/>
        <v>0</v>
      </c>
      <c r="IZ349" s="347" t="b">
        <f t="shared" si="144"/>
        <v>0</v>
      </c>
      <c r="JA349" s="347" t="b">
        <f t="shared" si="145"/>
        <v>1</v>
      </c>
      <c r="JB349" s="353" t="b">
        <f t="shared" si="146"/>
        <v>0</v>
      </c>
      <c r="JC349" s="354" t="str">
        <f t="shared" si="147"/>
        <v/>
      </c>
      <c r="JD349" s="355" t="str">
        <f t="shared" si="148"/>
        <v/>
      </c>
      <c r="JE349" s="355" t="str">
        <f t="shared" si="149"/>
        <v/>
      </c>
      <c r="JF349" s="355" t="str">
        <f t="shared" si="150"/>
        <v/>
      </c>
      <c r="JG349" s="355" t="str">
        <f t="shared" si="151"/>
        <v/>
      </c>
      <c r="JH349" s="355" t="str">
        <f t="shared" si="152"/>
        <v/>
      </c>
      <c r="JI349" s="355" t="str">
        <f t="shared" si="153"/>
        <v/>
      </c>
      <c r="JJ349" s="355" t="str">
        <f t="shared" si="154"/>
        <v/>
      </c>
      <c r="JK349" s="355" t="str">
        <f t="shared" si="155"/>
        <v>dha, </v>
      </c>
      <c r="JL349" s="355" t="str">
        <f t="shared" si="156"/>
        <v/>
      </c>
      <c r="JM349" s="355" t="str">
        <f t="shared" si="157"/>
        <v/>
      </c>
      <c r="JN349" s="355" t="str">
        <f t="shared" si="158"/>
        <v>Ni, </v>
      </c>
      <c r="JO349" s="359" t="str">
        <f t="shared" si="159"/>
        <v/>
      </c>
      <c r="JP349" s="346" t="b">
        <f t="shared" si="160"/>
        <v>0</v>
      </c>
      <c r="JQ349" s="347" t="b">
        <f t="shared" si="161"/>
        <v>0</v>
      </c>
      <c r="JR349" s="347" t="b">
        <f t="shared" si="162"/>
        <v>0</v>
      </c>
      <c r="JS349" s="347" t="b">
        <f t="shared" si="163"/>
        <v>0</v>
      </c>
      <c r="JT349" s="347" t="b">
        <f t="shared" si="164"/>
        <v>0</v>
      </c>
      <c r="JU349" s="347" t="b">
        <f t="shared" si="165"/>
        <v>0</v>
      </c>
      <c r="JV349" s="347" t="b">
        <f t="shared" si="166"/>
        <v>0</v>
      </c>
      <c r="JW349" s="347" t="b">
        <f t="shared" si="167"/>
        <v>0</v>
      </c>
      <c r="JX349" s="347" t="b">
        <f t="shared" si="168"/>
        <v>0</v>
      </c>
      <c r="JY349" s="347" t="b">
        <f t="shared" si="169"/>
        <v>0</v>
      </c>
      <c r="JZ349" s="347" t="b">
        <f t="shared" si="170"/>
        <v>0</v>
      </c>
      <c r="KA349" s="347" t="b">
        <f t="shared" si="171"/>
        <v>0</v>
      </c>
      <c r="KB349" s="365" t="b">
        <f t="shared" si="172"/>
        <v>0</v>
      </c>
      <c r="KC349" s="354" t="str">
        <f t="shared" si="173"/>
        <v/>
      </c>
      <c r="KD349" s="355" t="str">
        <f t="shared" si="174"/>
        <v/>
      </c>
      <c r="KE349" s="355" t="str">
        <f t="shared" si="175"/>
        <v/>
      </c>
      <c r="KF349" s="355" t="str">
        <f t="shared" si="176"/>
        <v/>
      </c>
      <c r="KG349" s="355" t="str">
        <f t="shared" si="177"/>
        <v/>
      </c>
      <c r="KH349" s="355" t="str">
        <f t="shared" si="178"/>
        <v/>
      </c>
      <c r="KI349" s="355" t="str">
        <f t="shared" si="179"/>
        <v/>
      </c>
      <c r="KJ349" s="355" t="str">
        <f t="shared" si="180"/>
        <v/>
      </c>
      <c r="KK349" s="355" t="str">
        <f t="shared" si="181"/>
        <v/>
      </c>
      <c r="KL349" s="355" t="str">
        <f t="shared" si="182"/>
        <v/>
      </c>
      <c r="KM349" s="355" t="str">
        <f t="shared" si="183"/>
        <v/>
      </c>
      <c r="KN349" s="355" t="str">
        <f t="shared" si="184"/>
        <v/>
      </c>
      <c r="KO349" s="359"/>
      <c r="KP349" s="378"/>
      <c r="KQ349" s="379" t="s">
        <v>9</v>
      </c>
      <c r="KR349" s="380" t="s">
        <v>9</v>
      </c>
      <c r="KS349" s="381" t="s">
        <v>9</v>
      </c>
      <c r="KT349" s="382">
        <f t="shared" si="186"/>
        <v>0</v>
      </c>
      <c r="KU349" s="383">
        <f t="shared" si="187"/>
        <v>0</v>
      </c>
      <c r="KV349" s="381" t="str">
        <f t="shared" si="205"/>
        <v>S</v>
      </c>
      <c r="KW349" s="382">
        <f t="shared" si="189"/>
        <v>0</v>
      </c>
      <c r="KX349" s="384">
        <f t="shared" si="190"/>
        <v>0</v>
      </c>
      <c r="KY349" s="382">
        <f t="shared" ref="KY349:KZ349" si="932">KW349-KT349</f>
        <v>0</v>
      </c>
      <c r="KZ349" s="369">
        <f t="shared" si="932"/>
        <v>0</v>
      </c>
      <c r="LA349" s="385" t="str">
        <f t="shared" si="192"/>
        <v>✔</v>
      </c>
      <c r="LB349" s="340" t="str">
        <f>IFERROR(__xludf.DUMMYFUNCTION("JOIN("""",ArrayFormula(MID(KS349,LEN(KS349)-SEQUENCE(1,LEN(KS349))+1,1)))"),"S")</f>
        <v>S</v>
      </c>
      <c r="LC349" s="373" t="str">
        <f>IFERROR(__xludf.DUMMYFUNCTION("JOIN("""",ArrayFormula(MID(KV349,LEN(KV349)-SEQUENCE(1,LEN(KV349))+1,1)))"),"S")</f>
        <v>S</v>
      </c>
      <c r="LD349" s="373" t="str">
        <f t="shared" si="193"/>
        <v>S</v>
      </c>
      <c r="LE349" s="339" t="str">
        <f t="shared" si="194"/>
        <v>S</v>
      </c>
      <c r="LF349" s="386" t="str">
        <f>IFERROR(__xludf.DUMMYFUNCTION("SUBSTITUTE(SUBSTITUTE(CONCATENATE(JOIN("""",LH349:LT349)),""1"",""""),""2"","""")"),"SS")</f>
        <v>SS</v>
      </c>
      <c r="LG349" s="369" t="str">
        <f t="shared" si="195"/>
        <v>-</v>
      </c>
      <c r="LH349" s="387" t="str">
        <f>IFERROR(__xludf.DUMMYFUNCTION("IF(REGEXMATCH(LD349, ""S""), ""S"",IF(REGEXMATCH(LE349, ""S""), ""S"",""""))"),"S")</f>
        <v>S</v>
      </c>
      <c r="LI349" s="299" t="str">
        <f>IFERROR(__xludf.DUMMYFUNCTION("IF(REGEXMATCH(LD349, ""r""), ""r1"",IF(REGEXMATCH(LE349, ""r""), ""r2"",""""))"),"")</f>
        <v/>
      </c>
      <c r="LJ349" s="299" t="str">
        <f>IFERROR(__xludf.DUMMYFUNCTION("IF(REGEXMATCH(LD349, ""R""), ""R1"",IF(REGEXMATCH(LE349, ""R""), ""R2"",""""))"),"")</f>
        <v/>
      </c>
      <c r="LK349" s="299" t="str">
        <f>IFERROR(__xludf.DUMMYFUNCTION("IF(REGEXMATCH(LD349, ""g""), ""g1"",IF(REGEXMATCH(LE349, ""g""), ""g2"",""""))"),"")</f>
        <v/>
      </c>
      <c r="LL349" s="299" t="str">
        <f>IFERROR(__xludf.DUMMYFUNCTION("IF(REGEXMATCH(LD349, ""G""), ""G1"",IF(REGEXMATCH(LE349, ""G""), ""G2"",""""))"),"")</f>
        <v/>
      </c>
      <c r="LM349" s="299" t="str">
        <f>IFERROR(__xludf.DUMMYFUNCTION("IF(REGEXMATCH(LD349, ""m""), ""m1"",IF(REGEXMATCH(LE349, ""m""), ""m2"",""""))"),"")</f>
        <v/>
      </c>
      <c r="LN349" s="299" t="str">
        <f>IFERROR(__xludf.DUMMYFUNCTION("IF(REGEXMATCH(LD349, ""M""), ""M1"",IF(REGEXMATCH(LE349, ""M""), ""M2"",""""))"),"")</f>
        <v/>
      </c>
      <c r="LO349" s="299" t="str">
        <f>IFERROR(__xludf.DUMMYFUNCTION("IF(REGEXMATCH(LD349, ""P""), ""P1"",IF(REGEXMATCH(LE349, ""P""), ""P2"",""""))"),"")</f>
        <v/>
      </c>
      <c r="LP349" s="299" t="str">
        <f>IFERROR(__xludf.DUMMYFUNCTION("IF(REGEXMATCH(LD349, ""d""), ""d1"",IF(REGEXMATCH(LE349, ""d""), ""d2"",""""))"),"")</f>
        <v/>
      </c>
      <c r="LQ349" s="299" t="str">
        <f>IFERROR(__xludf.DUMMYFUNCTION("IF(REGEXMATCH(LD349, ""D""), ""D1"",IF(REGEXMATCH(LE349, ""D""), ""D2"",""""))"),"")</f>
        <v/>
      </c>
      <c r="LR349" s="299" t="str">
        <f>IFERROR(__xludf.DUMMYFUNCTION("IF(REGEXMATCH(LD349, ""n""), ""n1"",IF(REGEXMATCH(LE349, ""n""), ""n2"",""""))"),"")</f>
        <v/>
      </c>
      <c r="LS349" s="299" t="str">
        <f>IFERROR(__xludf.DUMMYFUNCTION("IF(REGEXMATCH(LD349, ""N""), ""N1"",IF(REGEXMATCH(LE349, ""N""), ""N2"",""""))"),"")</f>
        <v/>
      </c>
      <c r="LT349" s="388" t="str">
        <f>IFERROR(__xludf.DUMMYFUNCTION("IF(REGEXMATCH(LD349, ""S""), ""S"",IF(REGEXMATCH(LE349, ""S""), ""S"",""""))"),"S")</f>
        <v>S</v>
      </c>
      <c r="LU349" s="389">
        <f t="shared" si="196"/>
        <v>1</v>
      </c>
      <c r="LV349" s="378"/>
      <c r="LW349" s="369"/>
      <c r="LX349" s="369"/>
    </row>
    <row r="350" ht="18.0" customHeight="1">
      <c r="A350" s="298" t="s">
        <v>1218</v>
      </c>
      <c r="B350" s="222" t="s">
        <v>554</v>
      </c>
      <c r="C350" s="233" t="str">
        <f t="shared" si="7"/>
        <v>SRGmPDNS</v>
      </c>
      <c r="D350" s="234" t="str">
        <f>IFERROR(__xludf.DUMMYFUNCTION("IF(REGEXMATCH(C350, ""S""), ""S"","""")"),"S")</f>
        <v>S</v>
      </c>
      <c r="E350" s="236" t="str">
        <f>IFERROR(__xludf.DUMMYFUNCTION("IF(REGEXMATCH(C350, ""r""), ""r"","""")"),"")</f>
        <v/>
      </c>
      <c r="F350" s="237" t="str">
        <f>IFERROR(__xludf.DUMMYFUNCTION("IF(REGEXMATCH(C350, ""R""), ""R"","""")"),"R")</f>
        <v>R</v>
      </c>
      <c r="G350" s="237" t="str">
        <f>IFERROR(__xludf.DUMMYFUNCTION("IF(REGEXMATCH(C350, ""g""), ""g"","""")"),"")</f>
        <v/>
      </c>
      <c r="H350" s="236" t="str">
        <f>IFERROR(__xludf.DUMMYFUNCTION("IF(REGEXMATCH(C350, ""G""), ""G"","""")"),"G")</f>
        <v>G</v>
      </c>
      <c r="I350" s="236" t="str">
        <f>IFERROR(__xludf.DUMMYFUNCTION("IF(REGEXMATCH(C350, ""m""), ""m"","""")"),"m")</f>
        <v>m</v>
      </c>
      <c r="J350" s="237" t="str">
        <f>IFERROR(__xludf.DUMMYFUNCTION("IF(REGEXMATCH(C350, ""M""), ""M"","""")"),"")</f>
        <v/>
      </c>
      <c r="K350" s="236" t="str">
        <f>IFERROR(__xludf.DUMMYFUNCTION("IF(REGEXMATCH(C350, ""P""), ""P"","""")"),"P")</f>
        <v>P</v>
      </c>
      <c r="L350" s="237" t="str">
        <f>IFERROR(__xludf.DUMMYFUNCTION("IF(REGEXMATCH(C350, ""d""), ""d"","""")"),"")</f>
        <v/>
      </c>
      <c r="M350" s="236" t="str">
        <f>IFERROR(__xludf.DUMMYFUNCTION("IF(REGEXMATCH(C350, ""D""), ""D"","""")"),"D")</f>
        <v>D</v>
      </c>
      <c r="N350" s="236" t="str">
        <f>IFERROR(__xludf.DUMMYFUNCTION("IF(REGEXMATCH(C350, ""n""), ""n"","""")"),"")</f>
        <v/>
      </c>
      <c r="O350" s="237" t="str">
        <f>IFERROR(__xludf.DUMMYFUNCTION("IF(REGEXMATCH(C350, ""N""), ""N"","""")"),"N")</f>
        <v>N</v>
      </c>
      <c r="P350" s="238" t="str">
        <f>IFERROR(__xludf.DUMMYFUNCTION("IF(REGEXMATCH(C350, ""S""), ""S"","""")"),"S")</f>
        <v>S</v>
      </c>
      <c r="Q350" s="239" t="str">
        <f>IFERROR(__xludf.DUMMYFUNCTION("SUBSTITUTE(CONCATENATE(JOIN(""-"",D350:J350)),""-"","""")"),"SRGm")</f>
        <v>SRGm</v>
      </c>
      <c r="R350" s="229" t="str">
        <f>IFERROR(__xludf.DUMMYFUNCTION("SUBSTITUTE(CONCATENATE(JOIN(""-"",K350:P350)),""-"","""")"),"PDNS")</f>
        <v>PDNS</v>
      </c>
      <c r="S350" s="282" t="str">
        <f t="shared" si="8"/>
        <v>S-R-G-M</v>
      </c>
      <c r="T350" s="282" t="str">
        <f t="shared" si="9"/>
        <v>P-D-N-S</v>
      </c>
      <c r="U350" s="237" t="str">
        <f>IFERROR(__xludf.DUMMYFUNCTION("SUBSTITUTE(JOIN(""-"",S350,T350),""--"",""-"")"),"S-R-G-M-P-D-N-S")</f>
        <v>S-R-G-M-P-D-N-S</v>
      </c>
      <c r="V350" s="309" t="str">
        <f t="shared" si="10"/>
        <v>RGmDN</v>
      </c>
      <c r="W350" s="244" t="str">
        <f>IFERROR(__xludf.DUMMYFUNCTION("IF(REGEXMATCH(C350, ""S""), ""0"","""")"),"0")</f>
        <v>0</v>
      </c>
      <c r="X350" s="245" t="str">
        <f>IFERROR(__xludf.DUMMYFUNCTION("IF(REGEXMATCH(C350, ""r""), ""1"","""")"),"")</f>
        <v/>
      </c>
      <c r="Y350" s="246" t="str">
        <f>IFERROR(__xludf.DUMMYFUNCTION("IF(REGEXMATCH(C350, ""R""), ""2"","""")"),"2")</f>
        <v>2</v>
      </c>
      <c r="Z350" s="246" t="str">
        <f>IFERROR(__xludf.DUMMYFUNCTION("IF(REGEXMATCH(C350, ""g""), ""3"","""")"),"")</f>
        <v/>
      </c>
      <c r="AA350" s="245" t="str">
        <f>IFERROR(__xludf.DUMMYFUNCTION("IF(REGEXMATCH(C350, ""G""), ""4"","""")"),"4")</f>
        <v>4</v>
      </c>
      <c r="AB350" s="245" t="str">
        <f>IFERROR(__xludf.DUMMYFUNCTION("IF(REGEXMATCH(C350, ""m""), ""5"","""")"),"5")</f>
        <v>5</v>
      </c>
      <c r="AC350" s="246" t="str">
        <f>IFERROR(__xludf.DUMMYFUNCTION("IF(REGEXMATCH(C350, ""M""), ""6"","""")"),"")</f>
        <v/>
      </c>
      <c r="AD350" s="245" t="str">
        <f>IFERROR(__xludf.DUMMYFUNCTION("IF(REGEXMATCH(C350, ""P""), ""7"","""")"),"7")</f>
        <v>7</v>
      </c>
      <c r="AE350" s="246" t="str">
        <f>IFERROR(__xludf.DUMMYFUNCTION("IF(REGEXMATCH(C350, ""d""), ""8"","""")"),"")</f>
        <v/>
      </c>
      <c r="AF350" s="245" t="str">
        <f>IFERROR(__xludf.DUMMYFUNCTION("IF(REGEXMATCH(C350, ""D""), ""9"","""")"),"9")</f>
        <v>9</v>
      </c>
      <c r="AG350" s="245" t="str">
        <f>IFERROR(__xludf.DUMMYFUNCTION("IF(REGEXMATCH(C350, ""n""), ""10"","""")"),"")</f>
        <v/>
      </c>
      <c r="AH350" s="246" t="str">
        <f>IFERROR(__xludf.DUMMYFUNCTION("IF(REGEXMATCH(C350, ""N""), ""11"","""")"),"11")</f>
        <v>11</v>
      </c>
      <c r="AI350" s="249" t="str">
        <f>IFERROR(__xludf.DUMMYFUNCTION("IF(REGEXMATCH(C350, ""S""), ""0"","""")"),"0")</f>
        <v>0</v>
      </c>
      <c r="AJ350" s="313" t="str">
        <f t="shared" si="11"/>
        <v>-</v>
      </c>
      <c r="AK350" s="313" t="str">
        <f t="shared" si="12"/>
        <v>-</v>
      </c>
      <c r="AL350" s="313" t="str">
        <f t="shared" si="13"/>
        <v>-</v>
      </c>
      <c r="AM350" s="313" t="str">
        <f t="shared" si="14"/>
        <v>-</v>
      </c>
      <c r="AN350" s="313" t="str">
        <f t="shared" si="15"/>
        <v>-</v>
      </c>
      <c r="AO350" s="314" t="str">
        <f t="shared" si="16"/>
        <v>T</v>
      </c>
      <c r="AP350" s="316">
        <f t="shared" si="17"/>
        <v>1</v>
      </c>
      <c r="AQ350" s="319" t="str">
        <f t="shared" si="18"/>
        <v>-</v>
      </c>
      <c r="AR350" s="320">
        <f t="shared" si="19"/>
        <v>0</v>
      </c>
      <c r="AS350" s="250" t="str">
        <f>IFERROR(__xludf.DUMMYFUNCTION("SUBSTITUTE(SUBSTITUTE(CONCATENATE(JOIN("""",FP350:GA350)),""|"",""x""),""-"",""o"")"),"xoxoxxoxoxox")</f>
        <v>xoxoxxoxoxox</v>
      </c>
      <c r="AT350" s="323" t="str">
        <f>IFERROR(__xludf.DUMMYFUNCTION("JOIN("""",AS350,AS350)"),"xoxoxxoxoxoxxoxoxxoxoxox")</f>
        <v>xoxoxxoxoxoxxoxoxxoxoxox</v>
      </c>
      <c r="AU350" s="256" t="str">
        <f>IFERROR(__xludf.DUMMYFUNCTION("JOIN("""",ArrayFormula(MID(AS350,LEN(AS350)-SEQUENCE(1,LEN(AS350))+1,1)))"),"xoxoxoxxoxox")</f>
        <v>xoxoxoxxoxox</v>
      </c>
      <c r="AV350" s="256" t="str">
        <f>IFERROR(__xludf.DUMMYFUNCTION("LEFT(CONCATENATE(""x"",JOIN("""",ArrayFormula(MID(AS350,LEN(AS350)-SEQUENCE(1,LEN(AS350))+1,1)))),12)"),"xxoxoxoxxoxo")</f>
        <v>xxoxoxoxxoxo</v>
      </c>
      <c r="AW350" s="327" t="str">
        <f>IFERROR(__xludf.DUMMYFUNCTION("JOIN("""",AU350,AU350)"),"xoxoxoxxoxoxxoxoxoxxoxox")</f>
        <v>xoxoxoxxoxoxxoxoxoxxoxox</v>
      </c>
      <c r="AX350" s="239" t="str">
        <f>IFERROR(__xludf.DUMMYFUNCTION("IF(REGEXMATCH(AW350,AS350),""✔"",""-"")"),"✔")</f>
        <v>✔</v>
      </c>
      <c r="AY350" s="330" t="str">
        <f t="shared" si="20"/>
        <v>-</v>
      </c>
      <c r="AZ350" s="260" t="str">
        <f t="shared" si="21"/>
        <v>#REF!</v>
      </c>
      <c r="BA350" s="333" t="str">
        <f t="shared" si="22"/>
        <v>xoxoxxo</v>
      </c>
      <c r="BB350" s="334" t="str">
        <f t="shared" si="23"/>
        <v>xoxoxx</v>
      </c>
      <c r="BC350" s="335" t="str">
        <f t="shared" si="236"/>
        <v>✔</v>
      </c>
      <c r="BD350" s="336" t="str">
        <f t="shared" si="25"/>
        <v>Tilak Kamod: 'xoxoxxo' + 'xoxoxx'</v>
      </c>
      <c r="BE350" s="337">
        <f>IFERROR(__xludf.DUMMYFUNCTION("COUNTUNIQUE(FILTER(AT:AT,REGEXMATCH(AT:AT,AS350)))-1"),6.0)</f>
        <v>6</v>
      </c>
      <c r="BF350" s="261" t="str">
        <f>IFERROR(__xludf.DUMMYFUNCTION("IF(BI350=0,""(n/a)"",IF(BJ350=2,""(PAIR)"",IF(REGEXMATCH(AT350,""xoxoxxoxoxox""),""Bilawal"",IF(REGEXMATCH(AT350,""xoxoxooxoxoo""),""Bhupali"",IF(REGEXMATCH(AT350,""xoxoxxoxxoxo""),""Charukeshi"",IF(REGEXMATCH(AT350,""xoxoooxxoxxo""),""Kameshwari"",IF(REG"&amp;"EXMATCH(AT350,""xoxoxooxoxox""),""Shankara"",IF(REGEXMATCH(AT350,""xxooxoxxxoox""),""Basant"",IF(REGEXMATCH(AT350,""xoxoxxxxoxox""),""Bihag"",IF(REGEXMATCH(AT350,""xoxxxxoxoxxx""),""Pilu"",IF(REGEXMATCH(AT350,""xoxxoxoxxoox""),""Kirwani"",IF(REGEXMATCH(AT"&amp;"350,""xoxxoxoxoxxx""),""Mk.Malhar"",IF(REGEXMATCH(AT350,""xxooxxoxxoox""),""Bhairav"",IF(REGEXMATCH(AT350,""xxoxooxxxoox""),""Todi"",IF(REGEXMATCH(AT350,""xxooxoxooxox""),""Marwa"",IF(REGEXMATCH(AT350,""xxoooxoxxooo""),""Gunkali"",IF(REGEXMATCH(AT350,""xo"&amp;"xoxxoxxoox""),""Nat Bhairav"",IF(REGEXMATCH(AT350,""xoxxoooxoxoo""),""Shivranjani"",IF(REGEXMATCH(AT350,""xooxxxoxooxo""),""Jog"",IF(REGEXMATCH(AT350,""xxooxoxoxoox""),""Hemshri"",IF(REGEXMATCH(AT350,""xoooxooxoxxo""),""Kalavati"",IF(REGEXMATCH(AT350,""xx"&amp;"oxoxxoxoox""),""Kedar"",IF(REGEXMATCH(AT350,""xoxxxxoxooxx""),""Gara"",IF(REGEXMATCH(AT350,""xooxoxooxoox""),""Chandrakauns"",IF(REGEXMATCH(AT350,""xoxxxxoxxxox""),""Mand"",IF(REGEXMATCH(AT350,""xoxxxxoxoxox""),""Hanskinkini"",IF(REGEXMATCH(AT350,""xxooxx"&amp;"oxooxo""),""Lilavati"",IF(REGEXMATCH(AT350,""xooxoxoooxox""),""Rajeshwari"",IF(REGEXMATCH(AT350,""xoooxxoxoxxx""),""Khokar"",IF(REGEXMATCH(AT350,""xxooxoxxxxox""),""Maligoura"",""-""))))))))))))))))))))))))))))))"),"Bilawal")</f>
        <v>Bilawal</v>
      </c>
      <c r="BG350" s="239" t="str">
        <f t="shared" si="26"/>
        <v>#REF!</v>
      </c>
      <c r="BH350" s="239">
        <f>IFERROR(__xludf.DUMMYFUNCTION("COUNTUNIQUE(FE350:FO350)-1"),6.0)</f>
        <v>6</v>
      </c>
      <c r="BI350" s="239">
        <f>IFERROR(__xludf.DUMMYFUNCTION("COUNTUNIQUE(FILTER(AT:AT,REGEXMATCH(AT:AT,AS350)))-1"),6.0)</f>
        <v>6</v>
      </c>
      <c r="BJ350" s="239">
        <f>IFERROR(__xludf.DUMMYFUNCTION("COUNTA(FILTER(AT:AT,REGEXMATCH(AT:AT,AS350)))"),48.0)</f>
        <v>48</v>
      </c>
      <c r="BK350" s="341">
        <f>IFERROR(__xludf.DUMMYFUNCTION("COUNTA(FILTER(AT:AT,REGEXMATCH(AT:AT,AS350)))-AR350"),48.0)</f>
        <v>48</v>
      </c>
      <c r="BL350" s="276" t="str">
        <f>IFERROR(__xludf.DUMMYFUNCTION("IF(AS350=""oooooooooooo"",""-"",IF(REGEXMATCH(AT350,""xx""), ""Hemi."", ""Anhemi.""))"),"Hemi.")</f>
        <v>Hemi.</v>
      </c>
      <c r="BM350" s="282" t="str">
        <f>IFERROR(__xludf.DUMMYFUNCTION("IF(AS350=""oooooooooooo"",""-"",IF(REGEXMATCH(AT350,""xxx""), ""Cohem."", ""-""))"),"-")</f>
        <v>-</v>
      </c>
      <c r="BN350" s="282" t="str">
        <f>IFERROR(__xludf.DUMMYFUNCTION("IF(AS350=""oooooooooooo"",""-"",IF(REGEXMATCH(AT350,""xxxx""), ""Co-Co."", ""-""))"),"-")</f>
        <v>-</v>
      </c>
      <c r="BO350" s="342" t="str">
        <f>IFERROR(__xludf.DUMMYFUNCTION("IF(AS350=""oooooooooooo"",""-"",IF(REGEXMATCH(AT350,""xxxxx""), ""CCC."", ""-""))"),"-")</f>
        <v>-</v>
      </c>
      <c r="BP350" s="344" t="str">
        <f t="shared" si="27"/>
        <v>Bilawal</v>
      </c>
      <c r="BQ350" s="282" t="str">
        <f>IFERROR(__xludf.DUMMYFUNCTION("IF(REGEXMATCH(JOIN(""-"",EU350:FD350),""TRUE""),""✔"",""-"")"),"✔")</f>
        <v>✔</v>
      </c>
      <c r="BR350" s="225">
        <f t="shared" si="28"/>
        <v>1</v>
      </c>
      <c r="BS350" s="345" t="str">
        <f>IFERROR(__xludf.DUMMYFUNCTION("SUBSTITUTE(SUBSTITUTE(SUBSTITUTE(SUBSTITUTE(CONCATENATE(JOIN(""-"",GC350:GO350)),""--"",""-""),""--"",""-""),""--"",""-""),""--"",""-"")"),"1-2-3-4-5-6-7-8")</f>
        <v>1-2-3-4-5-6-7-8</v>
      </c>
      <c r="BT350" s="299" t="str">
        <f>IFERROR(__xludf.DUMMYFUNCTION("SUBSTITUTE(SUBSTITUTE(SUBSTITUTE(SUBSTITUTE(CONCATENATE(JOIN(""-"",GP350:HB350)),""--"",""-""),""--"",""-""),""--"",""-""),""--"",""-"")"),"S-R2-G3-M1-P-D2-N3-S")</f>
        <v>S-R2-G3-M1-P-D2-N3-S</v>
      </c>
      <c r="BU350" s="348" t="str">
        <f t="shared" si="29"/>
        <v>C-D-E-F-G-A-B-C</v>
      </c>
      <c r="BV350" s="349" t="str">
        <f t="shared" si="30"/>
        <v>SrgMdnS</v>
      </c>
      <c r="BW350" s="350">
        <f t="shared" si="31"/>
        <v>1</v>
      </c>
      <c r="BX350" s="351">
        <f t="shared" si="32"/>
        <v>17</v>
      </c>
      <c r="BY350" s="392"/>
      <c r="BZ350" s="309" t="str">
        <f>IFERROR(__xludf.DUMMYFUNCTION("IF(REGEXMATCH(C350, ""S""), ""x"",""x"")"),"x")</f>
        <v>x</v>
      </c>
      <c r="CA350" s="245" t="str">
        <f>IFERROR(__xludf.DUMMYFUNCTION("IF(REGEXMATCH(C350, ""r""), ""o"",""x"")"),"x")</f>
        <v>x</v>
      </c>
      <c r="CB350" s="246" t="str">
        <f>IFERROR(__xludf.DUMMYFUNCTION("IF(REGEXMATCH(C350, ""R""), ""o"",""x"")"),"o")</f>
        <v>o</v>
      </c>
      <c r="CC350" s="246" t="str">
        <f>IFERROR(__xludf.DUMMYFUNCTION("IF(REGEXMATCH(C350, ""g""), ""o"",""x"")"),"x")</f>
        <v>x</v>
      </c>
      <c r="CD350" s="245" t="str">
        <f>IFERROR(__xludf.DUMMYFUNCTION("IF(REGEXMATCH(C350, ""G""), ""o"",""x"")"),"o")</f>
        <v>o</v>
      </c>
      <c r="CE350" s="245" t="str">
        <f>IFERROR(__xludf.DUMMYFUNCTION("IF(REGEXMATCH(C350, ""m""), ""o"",""x"")"),"o")</f>
        <v>o</v>
      </c>
      <c r="CF350" s="246" t="str">
        <f>IFERROR(__xludf.DUMMYFUNCTION("IF(REGEXMATCH(C350, ""M""), ""o"",""x"")"),"x")</f>
        <v>x</v>
      </c>
      <c r="CG350" s="245" t="str">
        <f>IFERROR(__xludf.DUMMYFUNCTION("IF(REGEXMATCH(C350, ""P""), ""o"",""x"")"),"o")</f>
        <v>o</v>
      </c>
      <c r="CH350" s="246" t="str">
        <f>IFERROR(__xludf.DUMMYFUNCTION("IF(REGEXMATCH(C350, ""d""), ""o"",""x"")"),"x")</f>
        <v>x</v>
      </c>
      <c r="CI350" s="245" t="str">
        <f>IFERROR(__xludf.DUMMYFUNCTION("IF(REGEXMATCH(C350, ""D""), ""o"",""x"")"),"o")</f>
        <v>o</v>
      </c>
      <c r="CJ350" s="245" t="str">
        <f>IFERROR(__xludf.DUMMYFUNCTION("IF(REGEXMATCH(C350, ""n""), ""o"",""x"")"),"x")</f>
        <v>x</v>
      </c>
      <c r="CK350" s="245" t="str">
        <f>IFERROR(__xludf.DUMMYFUNCTION("IF(REGEXMATCH(C350, ""N""), ""o"",""x"")"),"o")</f>
        <v>o</v>
      </c>
      <c r="CL350" s="356" t="str">
        <f>IFERROR(__xludf.DUMMYFUNCTION("IF(REGEXMATCH(C350, ""S""), ""x"",""x"")"),"x")</f>
        <v>x</v>
      </c>
      <c r="CM350" s="357" t="str">
        <f t="shared" si="33"/>
        <v>xxoxooxoxoxo</v>
      </c>
      <c r="CN350" s="358">
        <f t="shared" si="34"/>
        <v>1</v>
      </c>
      <c r="CO350" s="246" t="str">
        <f>IFERROR(__xludf.DUMMYFUNCTION("IF(REGEXMATCH($C350, ""S""), ""S"",""S"")"),"S")</f>
        <v>S</v>
      </c>
      <c r="CP350" s="246" t="str">
        <f>IFERROR(__xludf.DUMMYFUNCTION("IF(REGEXMATCH($C350, ""r""), """",""r"")"),"r")</f>
        <v>r</v>
      </c>
      <c r="CQ350" s="246" t="str">
        <f>IFERROR(__xludf.DUMMYFUNCTION("IF(REGEXMATCH($C350, ""R""), """",""R"")"),"")</f>
        <v/>
      </c>
      <c r="CR350" s="246" t="str">
        <f>IFERROR(__xludf.DUMMYFUNCTION("IF(REGEXMATCH($C350, ""g""), """",""g"")"),"g")</f>
        <v>g</v>
      </c>
      <c r="CS350" s="246" t="str">
        <f>IFERROR(__xludf.DUMMYFUNCTION("IF(REGEXMATCH($C350, ""G""), """",""G"")"),"")</f>
        <v/>
      </c>
      <c r="CT350" s="246" t="str">
        <f>IFERROR(__xludf.DUMMYFUNCTION("IF(REGEXMATCH($C350, ""m""), """",""m"")"),"")</f>
        <v/>
      </c>
      <c r="CU350" s="246" t="str">
        <f>IFERROR(__xludf.DUMMYFUNCTION("IF(REGEXMATCH($C350, ""M""), """",""M"")"),"M")</f>
        <v>M</v>
      </c>
      <c r="CV350" s="246" t="str">
        <f>IFERROR(__xludf.DUMMYFUNCTION("IF(REGEXMATCH($C350, ""P""), """",""P"")"),"")</f>
        <v/>
      </c>
      <c r="CW350" s="246" t="str">
        <f>IFERROR(__xludf.DUMMYFUNCTION("IF(REGEXMATCH($C350, ""d""), """",""d"")"),"d")</f>
        <v>d</v>
      </c>
      <c r="CX350" s="246" t="str">
        <f>IFERROR(__xludf.DUMMYFUNCTION("IF(REGEXMATCH($C350, ""D""), """",""D"")"),"")</f>
        <v/>
      </c>
      <c r="CY350" s="246" t="str">
        <f>IFERROR(__xludf.DUMMYFUNCTION("IF(REGEXMATCH($C350, ""n""), """",""n"")"),"n")</f>
        <v>n</v>
      </c>
      <c r="CZ350" s="246" t="str">
        <f>IFERROR(__xludf.DUMMYFUNCTION("IF(REGEXMATCH($C350, ""N""), """",""N"")"),"")</f>
        <v/>
      </c>
      <c r="DA350" s="246" t="str">
        <f>IFERROR(__xludf.DUMMYFUNCTION("IF(REGEXMATCH($C350, ""S""), ""S"",""S"")"),"S")</f>
        <v>S</v>
      </c>
      <c r="DB350" s="362" t="str">
        <f>IFERROR(__xludf.DUMMYFUNCTION("JOIN("""",CO350:DA350,"""","""")"),"SrgMdnS")</f>
        <v>SrgMdnS</v>
      </c>
      <c r="DC350" s="363"/>
      <c r="DD350" s="301" t="str">
        <f t="shared" si="35"/>
        <v>#REF!</v>
      </c>
      <c r="DE350" s="302" t="str">
        <f t="shared" si="36"/>
        <v>#REF!</v>
      </c>
      <c r="DF350" s="301" t="str">
        <f t="shared" ref="DF350:DG350" si="933">SUBSTITUTE(S350,"-","")</f>
        <v>SRGM</v>
      </c>
      <c r="DG350" s="301" t="str">
        <f t="shared" si="933"/>
        <v>PDNS</v>
      </c>
      <c r="DH350" s="302" t="str">
        <f t="shared" si="38"/>
        <v>Bilawal</v>
      </c>
      <c r="DI350" s="301" t="str">
        <f t="shared" si="39"/>
        <v>Hemi.</v>
      </c>
      <c r="DJ350" s="364" t="str">
        <f t="shared" si="40"/>
        <v>-</v>
      </c>
      <c r="DK350" s="306" t="str">
        <f t="shared" si="41"/>
        <v>Bilawal</v>
      </c>
      <c r="DL350" s="366" t="str">
        <f t="shared" si="42"/>
        <v>-</v>
      </c>
      <c r="DM350" s="308" t="str">
        <f t="shared" si="43"/>
        <v>-</v>
      </c>
      <c r="DN350" s="306" t="str">
        <f t="shared" si="44"/>
        <v>✔</v>
      </c>
      <c r="DO350" s="306" t="str">
        <f t="shared" si="45"/>
        <v>-</v>
      </c>
      <c r="DP350" s="367" t="str">
        <f t="shared" si="46"/>
        <v>-</v>
      </c>
      <c r="DQ350" s="310" t="str">
        <f t="shared" si="47"/>
        <v>-</v>
      </c>
      <c r="DR350" s="310" t="str">
        <f t="shared" si="48"/>
        <v>-</v>
      </c>
      <c r="DS350" s="310" t="str">
        <f t="shared" si="49"/>
        <v>-</v>
      </c>
      <c r="DT350" s="310" t="str">
        <f t="shared" si="50"/>
        <v>-</v>
      </c>
      <c r="DU350" s="370" t="str">
        <f t="shared" si="51"/>
        <v>-</v>
      </c>
      <c r="DV350" s="306" t="str">
        <f t="shared" si="52"/>
        <v>-</v>
      </c>
      <c r="DW350" s="306" t="str">
        <f t="shared" si="53"/>
        <v>-</v>
      </c>
      <c r="DX350" s="306" t="str">
        <f t="shared" si="54"/>
        <v>-</v>
      </c>
      <c r="DY350" s="306" t="str">
        <f t="shared" si="55"/>
        <v>-</v>
      </c>
      <c r="DZ350" s="306" t="str">
        <f t="shared" si="56"/>
        <v>-</v>
      </c>
      <c r="EA350" s="367" t="str">
        <f t="shared" si="57"/>
        <v>-</v>
      </c>
      <c r="EB350" s="310" t="str">
        <f>IFERROR(__xludf.DUMMYFUNCTION("IF(REGEXMATCH(AW350,AS350),""✔"",""-"")"),"✔")</f>
        <v>✔</v>
      </c>
      <c r="EC350" s="310" t="str">
        <f t="shared" si="58"/>
        <v>#REF!</v>
      </c>
      <c r="ED350" s="370" t="str">
        <f t="shared" si="59"/>
        <v>-</v>
      </c>
      <c r="EE350" s="340" t="str">
        <f t="shared" si="60"/>
        <v>S-R-G-m-P-D-N-S</v>
      </c>
      <c r="EF350" s="371" t="str">
        <f>IFERROR(__xludf.DUMMYFUNCTION("CONCATENATE(JOIN("""",HC350:HO350))"),"SrgmPdnS")</f>
        <v>SrgmPdnS</v>
      </c>
      <c r="EG350" s="372">
        <f t="shared" si="61"/>
        <v>1</v>
      </c>
      <c r="EH350" s="373" t="str">
        <f>IFERROR(__xludf.DUMMYFUNCTION("CONCATENATE(JOIN("""",JC350:JO350))"),"Ni, ")</f>
        <v>Ni, </v>
      </c>
      <c r="EI350" s="322">
        <f t="shared" si="62"/>
        <v>0</v>
      </c>
      <c r="EJ350" s="374" t="str">
        <f>IFERROR(__xludf.DUMMYFUNCTION("CONCATENATE(JOIN("""",KC350:KO350))"),"")</f>
        <v/>
      </c>
      <c r="EK350" s="325" t="str">
        <f t="shared" si="63"/>
        <v>S-R2-G3-M1-P-D2-N3-S</v>
      </c>
      <c r="EL350" s="326" t="str">
        <f t="shared" si="64"/>
        <v>1-2-3-4-5-6-7-8</v>
      </c>
      <c r="EM350" s="318" t="str">
        <f t="shared" si="65"/>
        <v>#REF!</v>
      </c>
      <c r="EN350" s="328" t="str">
        <f>IFERROR(__xludf.DUMMYFUNCTION("SUBSTITUTE(SUBSTITUTE(SUBSTITUTE(SUBSTITUTE(CONCATENATE(JOIN("" "",HP350:IB350)),""  "","" ""),""  "","" ""),""  "","" ""),""  "","" "")"),"o • o • o o • o • o • o o")</f>
        <v>o • o • o o • o • o • o o</v>
      </c>
      <c r="EO350" s="368" t="str">
        <f t="shared" si="66"/>
        <v>-</v>
      </c>
      <c r="EP350" s="339" t="str">
        <f t="shared" si="67"/>
        <v>-</v>
      </c>
      <c r="EQ350" s="339" t="str">
        <f t="shared" si="68"/>
        <v>Sa-Pa</v>
      </c>
      <c r="ER350" s="339" t="str">
        <f t="shared" si="69"/>
        <v>-</v>
      </c>
      <c r="ES350" s="340" t="str">
        <f t="shared" si="70"/>
        <v>-</v>
      </c>
      <c r="ET350" s="363"/>
      <c r="EU350" s="376" t="b">
        <f>IFERROR(__xludf.DUMMYFUNCTION("arrayformula(sum(--REGEXMATCH(""SRGMPDNS"",split(REGEXREPLACE(C350,""(.)"",""$1~""),""~""))))=len(C350)
"),FALSE)</f>
        <v>0</v>
      </c>
      <c r="EV350" s="290" t="b">
        <f>IFERROR(__xludf.DUMMYFUNCTION("arrayformula(sum(--REGEXMATCH(""SRGmPDNS"",split(REGEXREPLACE(C350,""(.)"",""$1~""),""~""))))=len(C350)"),TRUE)</f>
        <v>1</v>
      </c>
      <c r="EW350" s="290" t="b">
        <f>IFERROR(__xludf.DUMMYFUNCTION("arrayformula(sum(--REGEXMATCH(""SRGmPDnS"",split(REGEXREPLACE(C350,""(.)"",""$1~""),""~""))))=len(C350)"),FALSE)</f>
        <v>0</v>
      </c>
      <c r="EX350" s="290" t="b">
        <f>IFERROR(__xludf.DUMMYFUNCTION("arrayformula(sum(--REGEXMATCH(""SRgmPDnS"",split(REGEXREPLACE(C350,""(.)"",""$1~""),""~""))))=len(C350)"),FALSE)</f>
        <v>0</v>
      </c>
      <c r="EY350" s="290" t="b">
        <f>IFERROR(__xludf.DUMMYFUNCTION("arrayformula(sum(--REGEXMATCH(""SRgmPdnS"",split(REGEXREPLACE(C350,""(.)"",""$1~""),""~""))))=len(C350)"),FALSE)</f>
        <v>0</v>
      </c>
      <c r="EZ350" s="290" t="b">
        <f>IFERROR(__xludf.DUMMYFUNCTION("arrayformula(sum(--REGEXMATCH(""SrgmPdnS"",split(REGEXREPLACE(C350,""(.)"",""$1~""),""~""))))=len(C350)"),FALSE)</f>
        <v>0</v>
      </c>
      <c r="FA350" s="290" t="b">
        <f>IFERROR(__xludf.DUMMYFUNCTION("arrayformula(sum(--REGEXMATCH(""SrGmPdNS"",split(REGEXREPLACE(C350,""(.)"",""$1~""),""~""))))=len(C350)"),FALSE)</f>
        <v>0</v>
      </c>
      <c r="FB350" s="290" t="b">
        <f>IFERROR(__xludf.DUMMYFUNCTION("arrayformula(sum(--REGEXMATCH(""SrGMPDNS"",split(REGEXREPLACE(C350,""(.)"",""$1~""),""~""))))=len(C350)"),FALSE)</f>
        <v>0</v>
      </c>
      <c r="FC350" s="290" t="b">
        <f>IFERROR(__xludf.DUMMYFUNCTION("arrayformula(sum(--REGEXMATCH(""SrGMPdNS"",split(REGEXREPLACE(C350,""(.)"",""$1~""),""~""))))=len(C350)"),FALSE)</f>
        <v>0</v>
      </c>
      <c r="FD350" s="377" t="b">
        <f>IFERROR(__xludf.DUMMYFUNCTION("arrayformula(sum(--REGEXMATCH(""SrgMPdNS"",split(REGEXREPLACE(C350,""(.)"",""$1~""),""~""))))=len(C350)"),FALSE)</f>
        <v>0</v>
      </c>
      <c r="FE350" s="269" t="str">
        <f t="shared" si="71"/>
        <v>-</v>
      </c>
      <c r="FF350" s="269" t="str">
        <f t="shared" si="72"/>
        <v>xoxxoxoxoxx</v>
      </c>
      <c r="FG350" s="271" t="str">
        <f t="shared" si="73"/>
        <v>-</v>
      </c>
      <c r="FH350" s="269" t="str">
        <f t="shared" si="74"/>
        <v>xxoxoxoxxox</v>
      </c>
      <c r="FI350" s="271" t="str">
        <f t="shared" si="75"/>
        <v>xoxoxoxxoxo</v>
      </c>
      <c r="FJ350" s="271" t="str">
        <f t="shared" si="76"/>
        <v>-</v>
      </c>
      <c r="FK350" s="271" t="str">
        <f t="shared" si="77"/>
        <v>xoxoxxoxoxx</v>
      </c>
      <c r="FL350" s="271" t="str">
        <f t="shared" si="78"/>
        <v>-</v>
      </c>
      <c r="FM350" s="271" t="str">
        <f t="shared" si="79"/>
        <v>xoxxoxoxxox</v>
      </c>
      <c r="FN350" s="271" t="str">
        <f t="shared" si="80"/>
        <v>-</v>
      </c>
      <c r="FO350" s="274" t="str">
        <f t="shared" si="81"/>
        <v>xxoxoxxoxox</v>
      </c>
      <c r="FP350" s="234" t="str">
        <f t="shared" si="82"/>
        <v>|</v>
      </c>
      <c r="FQ350" s="236" t="str">
        <f t="shared" si="83"/>
        <v>-</v>
      </c>
      <c r="FR350" s="237" t="str">
        <f t="shared" si="84"/>
        <v>|</v>
      </c>
      <c r="FS350" s="236" t="str">
        <f t="shared" si="85"/>
        <v>-</v>
      </c>
      <c r="FT350" s="237" t="str">
        <f t="shared" si="86"/>
        <v>|</v>
      </c>
      <c r="FU350" s="236" t="str">
        <f t="shared" si="87"/>
        <v>|</v>
      </c>
      <c r="FV350" s="237" t="str">
        <f t="shared" si="88"/>
        <v>-</v>
      </c>
      <c r="FW350" s="236" t="str">
        <f t="shared" si="89"/>
        <v>|</v>
      </c>
      <c r="FX350" s="237" t="str">
        <f t="shared" si="90"/>
        <v>-</v>
      </c>
      <c r="FY350" s="236" t="str">
        <f t="shared" si="91"/>
        <v>|</v>
      </c>
      <c r="FZ350" s="237" t="str">
        <f t="shared" si="92"/>
        <v>-</v>
      </c>
      <c r="GA350" s="236" t="str">
        <f t="shared" si="93"/>
        <v>|</v>
      </c>
      <c r="GB350" s="238" t="str">
        <f t="shared" si="94"/>
        <v>|</v>
      </c>
      <c r="GC350" s="244" t="str">
        <f>IFERROR(__xludf.DUMMYFUNCTION("IF(REGEXMATCH(C350, ""S""), ""1"","""")"),"1")</f>
        <v>1</v>
      </c>
      <c r="GD350" s="245" t="str">
        <f>IFERROR(__xludf.DUMMYFUNCTION("IF(REGEXMATCH(C350, ""r""), ""b2"","""")"),"")</f>
        <v/>
      </c>
      <c r="GE350" s="246" t="str">
        <f>IFERROR(__xludf.DUMMYFUNCTION("IF(REGEXMATCH(C350, ""R""), ""2"","""")"),"2")</f>
        <v>2</v>
      </c>
      <c r="GF350" s="246" t="str">
        <f>IFERROR(__xludf.DUMMYFUNCTION("IF(REGEXMATCH(C350, ""g""), ""b3"","""")"),"")</f>
        <v/>
      </c>
      <c r="GG350" s="245" t="str">
        <f>IFERROR(__xludf.DUMMYFUNCTION("IF(REGEXMATCH(C350, ""G""), ""3"","""")"),"3")</f>
        <v>3</v>
      </c>
      <c r="GH350" s="245" t="str">
        <f>IFERROR(__xludf.DUMMYFUNCTION("IF(REGEXMATCH(C350, ""m""), ""4"","""")"),"4")</f>
        <v>4</v>
      </c>
      <c r="GI350" s="246" t="str">
        <f>IFERROR(__xludf.DUMMYFUNCTION("IF(REGEXMATCH(C350, ""M""), ""#4"","""")"),"")</f>
        <v/>
      </c>
      <c r="GJ350" s="245" t="str">
        <f>IFERROR(__xludf.DUMMYFUNCTION("IF(REGEXMATCH(C350, ""P""), ""5"","""")"),"5")</f>
        <v>5</v>
      </c>
      <c r="GK350" s="246" t="str">
        <f>IFERROR(__xludf.DUMMYFUNCTION("IF(REGEXMATCH(C350, ""d""), ""b6"","""")"),"")</f>
        <v/>
      </c>
      <c r="GL350" s="245" t="str">
        <f>IFERROR(__xludf.DUMMYFUNCTION("IF(REGEXMATCH(C350, ""D""), ""6"","""")"),"6")</f>
        <v>6</v>
      </c>
      <c r="GM350" s="245" t="str">
        <f>IFERROR(__xludf.DUMMYFUNCTION("IF(REGEXMATCH(C350, ""n""), ""b7"","""")"),"")</f>
        <v/>
      </c>
      <c r="GN350" s="246" t="str">
        <f>IFERROR(__xludf.DUMMYFUNCTION("IF(REGEXMATCH(C350, ""N""), ""7"","""")"),"7")</f>
        <v>7</v>
      </c>
      <c r="GO350" s="249" t="str">
        <f>IFERROR(__xludf.DUMMYFUNCTION("IF(REGEXMATCH(C350, ""S""), ""8"","""")"),"8")</f>
        <v>8</v>
      </c>
      <c r="GP350" s="244" t="str">
        <f>IFERROR(__xludf.DUMMYFUNCTION("IF(REGEXMATCH(C350, ""S""), ""S"","""")"),"S")</f>
        <v>S</v>
      </c>
      <c r="GQ350" s="294" t="str">
        <f>IFERROR(__xludf.DUMMYFUNCTION("IF(REGEXMATCH(C350, ""r""), ""R1"","""")"),"")</f>
        <v/>
      </c>
      <c r="GR350" s="295" t="str">
        <f>IFERROR(__xludf.DUMMYFUNCTION("IF(REGEXMATCH(C350, ""R""), ""R2"","""")"),"R2")</f>
        <v>R2</v>
      </c>
      <c r="GS350" s="295" t="str">
        <f>IFERROR(__xludf.DUMMYFUNCTION("IF(REGEXMATCH(C350, ""g""), ""G2"","""")"),"")</f>
        <v/>
      </c>
      <c r="GT350" s="294" t="str">
        <f>IFERROR(__xludf.DUMMYFUNCTION("IF(REGEXMATCH(C350, ""G""), ""G3"","""")"),"G3")</f>
        <v>G3</v>
      </c>
      <c r="GU350" s="294" t="str">
        <f>IFERROR(__xludf.DUMMYFUNCTION("IF(REGEXMATCH(C350, ""m""), ""M1"","""")"),"M1")</f>
        <v>M1</v>
      </c>
      <c r="GV350" s="295" t="str">
        <f>IFERROR(__xludf.DUMMYFUNCTION("IF(REGEXMATCH(C350, ""M""), ""M2"","""")"),"")</f>
        <v/>
      </c>
      <c r="GW350" s="294" t="str">
        <f>IFERROR(__xludf.DUMMYFUNCTION("IF(REGEXMATCH(C350, ""P""), ""P"","""")"),"P")</f>
        <v>P</v>
      </c>
      <c r="GX350" s="295" t="str">
        <f>IFERROR(__xludf.DUMMYFUNCTION("IF(REGEXMATCH(C350, ""d""), ""D1"","""")"),"")</f>
        <v/>
      </c>
      <c r="GY350" s="294" t="str">
        <f>IFERROR(__xludf.DUMMYFUNCTION("IF(REGEXMATCH(C350, ""D""), ""D2"","""")"),"D2")</f>
        <v>D2</v>
      </c>
      <c r="GZ350" s="294" t="str">
        <f>IFERROR(__xludf.DUMMYFUNCTION("IF(REGEXMATCH(C350, ""n""), ""N2"","""")"),"")</f>
        <v/>
      </c>
      <c r="HA350" s="295" t="str">
        <f>IFERROR(__xludf.DUMMYFUNCTION("IF(REGEXMATCH(C350, ""N""), ""N3"","""")"),"N3")</f>
        <v>N3</v>
      </c>
      <c r="HB350" s="249" t="str">
        <f>IFERROR(__xludf.DUMMYFUNCTION("IF(REGEXMATCH(C350, ""S""), ""S"","""")"),"S")</f>
        <v>S</v>
      </c>
      <c r="HC350" s="331" t="str">
        <f t="shared" si="95"/>
        <v>S</v>
      </c>
      <c r="HD350" s="332" t="str">
        <f t="shared" si="96"/>
        <v>r</v>
      </c>
      <c r="HE350" s="332" t="str">
        <f t="shared" si="97"/>
        <v/>
      </c>
      <c r="HF350" s="332" t="str">
        <f t="shared" si="98"/>
        <v>g</v>
      </c>
      <c r="HG350" s="332" t="str">
        <f t="shared" si="99"/>
        <v/>
      </c>
      <c r="HH350" s="332" t="str">
        <f t="shared" si="100"/>
        <v>m</v>
      </c>
      <c r="HI350" s="332" t="str">
        <f t="shared" si="101"/>
        <v/>
      </c>
      <c r="HJ350" s="332" t="str">
        <f t="shared" si="102"/>
        <v>P</v>
      </c>
      <c r="HK350" s="332" t="str">
        <f t="shared" si="103"/>
        <v>d</v>
      </c>
      <c r="HL350" s="332" t="str">
        <f t="shared" si="104"/>
        <v/>
      </c>
      <c r="HM350" s="332" t="str">
        <f t="shared" si="105"/>
        <v>n</v>
      </c>
      <c r="HN350" s="332" t="str">
        <f t="shared" si="106"/>
        <v/>
      </c>
      <c r="HO350" s="343" t="str">
        <f t="shared" si="107"/>
        <v>S</v>
      </c>
      <c r="HP350" s="331" t="str">
        <f t="shared" si="108"/>
        <v>o</v>
      </c>
      <c r="HQ350" s="332" t="str">
        <f t="shared" si="109"/>
        <v>•</v>
      </c>
      <c r="HR350" s="332" t="str">
        <f t="shared" si="110"/>
        <v>o</v>
      </c>
      <c r="HS350" s="332" t="str">
        <f t="shared" si="111"/>
        <v>•</v>
      </c>
      <c r="HT350" s="332" t="str">
        <f t="shared" si="112"/>
        <v>o</v>
      </c>
      <c r="HU350" s="332" t="str">
        <f t="shared" si="113"/>
        <v>o</v>
      </c>
      <c r="HV350" s="332" t="str">
        <f t="shared" si="114"/>
        <v>•</v>
      </c>
      <c r="HW350" s="332" t="str">
        <f t="shared" si="115"/>
        <v>o</v>
      </c>
      <c r="HX350" s="332" t="str">
        <f t="shared" si="116"/>
        <v>•</v>
      </c>
      <c r="HY350" s="332" t="str">
        <f t="shared" si="117"/>
        <v>o</v>
      </c>
      <c r="HZ350" s="332" t="str">
        <f t="shared" si="118"/>
        <v>•</v>
      </c>
      <c r="IA350" s="332" t="str">
        <f t="shared" si="119"/>
        <v>o</v>
      </c>
      <c r="IB350" s="338" t="str">
        <f t="shared" si="120"/>
        <v>o</v>
      </c>
      <c r="IC350" s="331" t="str">
        <f t="shared" si="121"/>
        <v>•</v>
      </c>
      <c r="ID350" s="332" t="str">
        <f t="shared" si="122"/>
        <v>o</v>
      </c>
      <c r="IE350" s="332" t="str">
        <f t="shared" si="123"/>
        <v>•</v>
      </c>
      <c r="IF350" s="332" t="str">
        <f t="shared" si="124"/>
        <v>o</v>
      </c>
      <c r="IG350" s="332" t="str">
        <f t="shared" si="125"/>
        <v>•</v>
      </c>
      <c r="IH350" s="332" t="str">
        <f t="shared" si="126"/>
        <v>•</v>
      </c>
      <c r="II350" s="332" t="str">
        <f t="shared" si="127"/>
        <v>o</v>
      </c>
      <c r="IJ350" s="332" t="str">
        <f t="shared" si="128"/>
        <v>•</v>
      </c>
      <c r="IK350" s="332" t="str">
        <f t="shared" si="129"/>
        <v>o</v>
      </c>
      <c r="IL350" s="332" t="str">
        <f t="shared" si="130"/>
        <v>•</v>
      </c>
      <c r="IM350" s="332" t="str">
        <f t="shared" si="131"/>
        <v>o</v>
      </c>
      <c r="IN350" s="332" t="str">
        <f t="shared" si="132"/>
        <v>•</v>
      </c>
      <c r="IO350" s="338" t="str">
        <f t="shared" si="133"/>
        <v>•</v>
      </c>
      <c r="IP350" s="346" t="b">
        <f t="shared" si="134"/>
        <v>0</v>
      </c>
      <c r="IQ350" s="347" t="b">
        <f t="shared" si="135"/>
        <v>0</v>
      </c>
      <c r="IR350" s="347" t="b">
        <f t="shared" si="136"/>
        <v>0</v>
      </c>
      <c r="IS350" s="347" t="b">
        <f t="shared" si="137"/>
        <v>0</v>
      </c>
      <c r="IT350" s="347" t="b">
        <f t="shared" si="138"/>
        <v>0</v>
      </c>
      <c r="IU350" s="347" t="b">
        <f t="shared" si="139"/>
        <v>0</v>
      </c>
      <c r="IV350" s="347" t="b">
        <f t="shared" si="140"/>
        <v>0</v>
      </c>
      <c r="IW350" s="347" t="b">
        <f t="shared" si="141"/>
        <v>0</v>
      </c>
      <c r="IX350" s="347" t="b">
        <f t="shared" si="142"/>
        <v>0</v>
      </c>
      <c r="IY350" s="347" t="b">
        <f t="shared" si="143"/>
        <v>0</v>
      </c>
      <c r="IZ350" s="347" t="b">
        <f t="shared" si="144"/>
        <v>0</v>
      </c>
      <c r="JA350" s="347" t="b">
        <f t="shared" si="145"/>
        <v>1</v>
      </c>
      <c r="JB350" s="353" t="b">
        <f t="shared" si="146"/>
        <v>0</v>
      </c>
      <c r="JC350" s="354" t="str">
        <f t="shared" si="147"/>
        <v/>
      </c>
      <c r="JD350" s="355" t="str">
        <f t="shared" si="148"/>
        <v/>
      </c>
      <c r="JE350" s="355" t="str">
        <f t="shared" si="149"/>
        <v/>
      </c>
      <c r="JF350" s="355" t="str">
        <f t="shared" si="150"/>
        <v/>
      </c>
      <c r="JG350" s="355" t="str">
        <f t="shared" si="151"/>
        <v/>
      </c>
      <c r="JH350" s="355" t="str">
        <f t="shared" si="152"/>
        <v/>
      </c>
      <c r="JI350" s="355" t="str">
        <f t="shared" si="153"/>
        <v/>
      </c>
      <c r="JJ350" s="355" t="str">
        <f t="shared" si="154"/>
        <v/>
      </c>
      <c r="JK350" s="355" t="str">
        <f t="shared" si="155"/>
        <v/>
      </c>
      <c r="JL350" s="355" t="str">
        <f t="shared" si="156"/>
        <v/>
      </c>
      <c r="JM350" s="355" t="str">
        <f t="shared" si="157"/>
        <v/>
      </c>
      <c r="JN350" s="355" t="str">
        <f t="shared" si="158"/>
        <v>Ni, </v>
      </c>
      <c r="JO350" s="359" t="str">
        <f t="shared" si="159"/>
        <v/>
      </c>
      <c r="JP350" s="346" t="b">
        <f t="shared" si="160"/>
        <v>0</v>
      </c>
      <c r="JQ350" s="347" t="b">
        <f t="shared" si="161"/>
        <v>0</v>
      </c>
      <c r="JR350" s="347" t="b">
        <f t="shared" si="162"/>
        <v>0</v>
      </c>
      <c r="JS350" s="347" t="b">
        <f t="shared" si="163"/>
        <v>0</v>
      </c>
      <c r="JT350" s="347" t="b">
        <f t="shared" si="164"/>
        <v>0</v>
      </c>
      <c r="JU350" s="347" t="b">
        <f t="shared" si="165"/>
        <v>0</v>
      </c>
      <c r="JV350" s="347" t="b">
        <f t="shared" si="166"/>
        <v>0</v>
      </c>
      <c r="JW350" s="347" t="b">
        <f t="shared" si="167"/>
        <v>0</v>
      </c>
      <c r="JX350" s="347" t="b">
        <f t="shared" si="168"/>
        <v>0</v>
      </c>
      <c r="JY350" s="347" t="b">
        <f t="shared" si="169"/>
        <v>0</v>
      </c>
      <c r="JZ350" s="347" t="b">
        <f t="shared" si="170"/>
        <v>0</v>
      </c>
      <c r="KA350" s="347" t="b">
        <f t="shared" si="171"/>
        <v>0</v>
      </c>
      <c r="KB350" s="365" t="b">
        <f t="shared" si="172"/>
        <v>0</v>
      </c>
      <c r="KC350" s="354" t="str">
        <f t="shared" si="173"/>
        <v/>
      </c>
      <c r="KD350" s="355" t="str">
        <f t="shared" si="174"/>
        <v/>
      </c>
      <c r="KE350" s="355" t="str">
        <f t="shared" si="175"/>
        <v/>
      </c>
      <c r="KF350" s="355" t="str">
        <f t="shared" si="176"/>
        <v/>
      </c>
      <c r="KG350" s="355" t="str">
        <f t="shared" si="177"/>
        <v/>
      </c>
      <c r="KH350" s="355" t="str">
        <f t="shared" si="178"/>
        <v/>
      </c>
      <c r="KI350" s="355" t="str">
        <f t="shared" si="179"/>
        <v/>
      </c>
      <c r="KJ350" s="355" t="str">
        <f t="shared" si="180"/>
        <v/>
      </c>
      <c r="KK350" s="355" t="str">
        <f t="shared" si="181"/>
        <v/>
      </c>
      <c r="KL350" s="355" t="str">
        <f t="shared" si="182"/>
        <v/>
      </c>
      <c r="KM350" s="355" t="str">
        <f t="shared" si="183"/>
        <v/>
      </c>
      <c r="KN350" s="355" t="str">
        <f t="shared" si="184"/>
        <v/>
      </c>
      <c r="KO350" s="359"/>
      <c r="KP350" s="378"/>
      <c r="KQ350" s="379" t="s">
        <v>554</v>
      </c>
      <c r="KR350" s="380" t="s">
        <v>1357</v>
      </c>
      <c r="KS350" s="381" t="str">
        <f>KQ350</f>
        <v>S-R-G-m-P-D-N-S</v>
      </c>
      <c r="KT350" s="382">
        <f t="shared" si="186"/>
        <v>7</v>
      </c>
      <c r="KU350" s="383">
        <f t="shared" si="187"/>
        <v>7</v>
      </c>
      <c r="KV350" s="381" t="str">
        <f t="shared" si="205"/>
        <v>S-N-D-P-m-G-R-S</v>
      </c>
      <c r="KW350" s="382">
        <f t="shared" si="189"/>
        <v>7</v>
      </c>
      <c r="KX350" s="384">
        <f t="shared" si="190"/>
        <v>7</v>
      </c>
      <c r="KY350" s="382">
        <f t="shared" ref="KY350:KZ350" si="934">KW350-KT350</f>
        <v>0</v>
      </c>
      <c r="KZ350" s="369">
        <f t="shared" si="934"/>
        <v>0</v>
      </c>
      <c r="LA350" s="385" t="str">
        <f t="shared" si="192"/>
        <v>✔</v>
      </c>
      <c r="LB350" s="340" t="str">
        <f>IFERROR(__xludf.DUMMYFUNCTION("JOIN("""",ArrayFormula(MID(KS350,LEN(KS350)-SEQUENCE(1,LEN(KS350))+1,1)))"),"S-N-D-P-m-G-R-S")</f>
        <v>S-N-D-P-m-G-R-S</v>
      </c>
      <c r="LC350" s="373" t="str">
        <f>IFERROR(__xludf.DUMMYFUNCTION("JOIN("""",ArrayFormula(MID(KV350,LEN(KV350)-SEQUENCE(1,LEN(KV350))+1,1)))"),"S-R-G-m-P-D-N-S")</f>
        <v>S-R-G-m-P-D-N-S</v>
      </c>
      <c r="LD350" s="373" t="str">
        <f t="shared" si="193"/>
        <v>SRGmPDNS</v>
      </c>
      <c r="LE350" s="339" t="str">
        <f t="shared" si="194"/>
        <v>SRGmPDNS</v>
      </c>
      <c r="LF350" s="386" t="str">
        <f>IFERROR(__xludf.DUMMYFUNCTION("SUBSTITUTE(SUBSTITUTE(CONCATENATE(JOIN("""",LH350:LT350)),""1"",""""),""2"","""")"),"SRGmPDNS")</f>
        <v>SRGmPDNS</v>
      </c>
      <c r="LG350" s="369" t="str">
        <f t="shared" si="195"/>
        <v>✔</v>
      </c>
      <c r="LH350" s="387" t="str">
        <f>IFERROR(__xludf.DUMMYFUNCTION("IF(REGEXMATCH(LD350, ""S""), ""S"",IF(REGEXMATCH(LE350, ""S""), ""S"",""""))"),"S")</f>
        <v>S</v>
      </c>
      <c r="LI350" s="299" t="str">
        <f>IFERROR(__xludf.DUMMYFUNCTION("IF(REGEXMATCH(LD350, ""r""), ""r1"",IF(REGEXMATCH(LE350, ""r""), ""r2"",""""))"),"")</f>
        <v/>
      </c>
      <c r="LJ350" s="299" t="str">
        <f>IFERROR(__xludf.DUMMYFUNCTION("IF(REGEXMATCH(LD350, ""R""), ""R1"",IF(REGEXMATCH(LE350, ""R""), ""R2"",""""))"),"R1")</f>
        <v>R1</v>
      </c>
      <c r="LK350" s="299" t="str">
        <f>IFERROR(__xludf.DUMMYFUNCTION("IF(REGEXMATCH(LD350, ""g""), ""g1"",IF(REGEXMATCH(LE350, ""g""), ""g2"",""""))"),"")</f>
        <v/>
      </c>
      <c r="LL350" s="299" t="str">
        <f>IFERROR(__xludf.DUMMYFUNCTION("IF(REGEXMATCH(LD350, ""G""), ""G1"",IF(REGEXMATCH(LE350, ""G""), ""G2"",""""))"),"G1")</f>
        <v>G1</v>
      </c>
      <c r="LM350" s="299" t="str">
        <f>IFERROR(__xludf.DUMMYFUNCTION("IF(REGEXMATCH(LD350, ""m""), ""m1"",IF(REGEXMATCH(LE350, ""m""), ""m2"",""""))"),"m1")</f>
        <v>m1</v>
      </c>
      <c r="LN350" s="299" t="str">
        <f>IFERROR(__xludf.DUMMYFUNCTION("IF(REGEXMATCH(LD350, ""M""), ""M1"",IF(REGEXMATCH(LE350, ""M""), ""M2"",""""))"),"")</f>
        <v/>
      </c>
      <c r="LO350" s="299" t="str">
        <f>IFERROR(__xludf.DUMMYFUNCTION("IF(REGEXMATCH(LD350, ""P""), ""P1"",IF(REGEXMATCH(LE350, ""P""), ""P2"",""""))"),"P1")</f>
        <v>P1</v>
      </c>
      <c r="LP350" s="299" t="str">
        <f>IFERROR(__xludf.DUMMYFUNCTION("IF(REGEXMATCH(LD350, ""d""), ""d1"",IF(REGEXMATCH(LE350, ""d""), ""d2"",""""))"),"")</f>
        <v/>
      </c>
      <c r="LQ350" s="299" t="str">
        <f>IFERROR(__xludf.DUMMYFUNCTION("IF(REGEXMATCH(LD350, ""D""), ""D1"",IF(REGEXMATCH(LE350, ""D""), ""D2"",""""))"),"D1")</f>
        <v>D1</v>
      </c>
      <c r="LR350" s="299" t="str">
        <f>IFERROR(__xludf.DUMMYFUNCTION("IF(REGEXMATCH(LD350, ""n""), ""n1"",IF(REGEXMATCH(LE350, ""n""), ""n2"",""""))"),"")</f>
        <v/>
      </c>
      <c r="LS350" s="299" t="str">
        <f>IFERROR(__xludf.DUMMYFUNCTION("IF(REGEXMATCH(LD350, ""N""), ""N1"",IF(REGEXMATCH(LE350, ""N""), ""N2"",""""))"),"N1")</f>
        <v>N1</v>
      </c>
      <c r="LT350" s="388" t="str">
        <f>IFERROR(__xludf.DUMMYFUNCTION("IF(REGEXMATCH(LD350, ""S""), ""S"",IF(REGEXMATCH(LE350, ""S""), ""S"",""""))"),"S")</f>
        <v>S</v>
      </c>
      <c r="LU350" s="389">
        <f t="shared" si="196"/>
        <v>1</v>
      </c>
      <c r="LV350" s="378"/>
      <c r="LW350" s="369"/>
      <c r="LX350" s="369"/>
    </row>
    <row r="351" ht="18.0" customHeight="1">
      <c r="A351" s="298" t="s">
        <v>1220</v>
      </c>
      <c r="B351" s="222" t="s">
        <v>530</v>
      </c>
      <c r="C351" s="233" t="str">
        <f t="shared" si="7"/>
        <v>SRGmPDnNS</v>
      </c>
      <c r="D351" s="234" t="str">
        <f>IFERROR(__xludf.DUMMYFUNCTION("IF(REGEXMATCH(C351, ""S""), ""S"","""")"),"S")</f>
        <v>S</v>
      </c>
      <c r="E351" s="236" t="str">
        <f>IFERROR(__xludf.DUMMYFUNCTION("IF(REGEXMATCH(C351, ""r""), ""r"","""")"),"")</f>
        <v/>
      </c>
      <c r="F351" s="237" t="str">
        <f>IFERROR(__xludf.DUMMYFUNCTION("IF(REGEXMATCH(C351, ""R""), ""R"","""")"),"R")</f>
        <v>R</v>
      </c>
      <c r="G351" s="237" t="str">
        <f>IFERROR(__xludf.DUMMYFUNCTION("IF(REGEXMATCH(C351, ""g""), ""g"","""")"),"")</f>
        <v/>
      </c>
      <c r="H351" s="236" t="str">
        <f>IFERROR(__xludf.DUMMYFUNCTION("IF(REGEXMATCH(C351, ""G""), ""G"","""")"),"G")</f>
        <v>G</v>
      </c>
      <c r="I351" s="236" t="str">
        <f>IFERROR(__xludf.DUMMYFUNCTION("IF(REGEXMATCH(C351, ""m""), ""m"","""")"),"m")</f>
        <v>m</v>
      </c>
      <c r="J351" s="237" t="str">
        <f>IFERROR(__xludf.DUMMYFUNCTION("IF(REGEXMATCH(C351, ""M""), ""M"","""")"),"")</f>
        <v/>
      </c>
      <c r="K351" s="236" t="str">
        <f>IFERROR(__xludf.DUMMYFUNCTION("IF(REGEXMATCH(C351, ""P""), ""P"","""")"),"P")</f>
        <v>P</v>
      </c>
      <c r="L351" s="237" t="str">
        <f>IFERROR(__xludf.DUMMYFUNCTION("IF(REGEXMATCH(C351, ""d""), ""d"","""")"),"")</f>
        <v/>
      </c>
      <c r="M351" s="236" t="str">
        <f>IFERROR(__xludf.DUMMYFUNCTION("IF(REGEXMATCH(C351, ""D""), ""D"","""")"),"D")</f>
        <v>D</v>
      </c>
      <c r="N351" s="236" t="str">
        <f>IFERROR(__xludf.DUMMYFUNCTION("IF(REGEXMATCH(C351, ""n""), ""n"","""")"),"n")</f>
        <v>n</v>
      </c>
      <c r="O351" s="237" t="str">
        <f>IFERROR(__xludf.DUMMYFUNCTION("IF(REGEXMATCH(C351, ""N""), ""N"","""")"),"N")</f>
        <v>N</v>
      </c>
      <c r="P351" s="238" t="str">
        <f>IFERROR(__xludf.DUMMYFUNCTION("IF(REGEXMATCH(C351, ""S""), ""S"","""")"),"S")</f>
        <v>S</v>
      </c>
      <c r="Q351" s="239" t="str">
        <f>IFERROR(__xludf.DUMMYFUNCTION("SUBSTITUTE(CONCATENATE(JOIN(""-"",D351:J351)),""-"","""")"),"SRGm")</f>
        <v>SRGm</v>
      </c>
      <c r="R351" s="229" t="str">
        <f>IFERROR(__xludf.DUMMYFUNCTION("SUBSTITUTE(CONCATENATE(JOIN(""-"",K351:P351)),""-"","""")"),"PDnNS")</f>
        <v>PDnNS</v>
      </c>
      <c r="S351" s="282" t="str">
        <f t="shared" si="8"/>
        <v>S-R-G-M</v>
      </c>
      <c r="T351" s="282" t="str">
        <f t="shared" si="9"/>
        <v>P-D-N-S</v>
      </c>
      <c r="U351" s="237" t="str">
        <f>IFERROR(__xludf.DUMMYFUNCTION("SUBSTITUTE(JOIN(""-"",S351,T351),""--"",""-"")"),"S-R-G-M-P-D-N-S")</f>
        <v>S-R-G-M-P-D-N-S</v>
      </c>
      <c r="V351" s="309" t="str">
        <f t="shared" si="10"/>
        <v>RGmDnN</v>
      </c>
      <c r="W351" s="244" t="str">
        <f>IFERROR(__xludf.DUMMYFUNCTION("IF(REGEXMATCH(C351, ""S""), ""0"","""")"),"0")</f>
        <v>0</v>
      </c>
      <c r="X351" s="245" t="str">
        <f>IFERROR(__xludf.DUMMYFUNCTION("IF(REGEXMATCH(C351, ""r""), ""1"","""")"),"")</f>
        <v/>
      </c>
      <c r="Y351" s="246" t="str">
        <f>IFERROR(__xludf.DUMMYFUNCTION("IF(REGEXMATCH(C351, ""R""), ""2"","""")"),"2")</f>
        <v>2</v>
      </c>
      <c r="Z351" s="246" t="str">
        <f>IFERROR(__xludf.DUMMYFUNCTION("IF(REGEXMATCH(C351, ""g""), ""3"","""")"),"")</f>
        <v/>
      </c>
      <c r="AA351" s="245" t="str">
        <f>IFERROR(__xludf.DUMMYFUNCTION("IF(REGEXMATCH(C351, ""G""), ""4"","""")"),"4")</f>
        <v>4</v>
      </c>
      <c r="AB351" s="245" t="str">
        <f>IFERROR(__xludf.DUMMYFUNCTION("IF(REGEXMATCH(C351, ""m""), ""5"","""")"),"5")</f>
        <v>5</v>
      </c>
      <c r="AC351" s="246" t="str">
        <f>IFERROR(__xludf.DUMMYFUNCTION("IF(REGEXMATCH(C351, ""M""), ""6"","""")"),"")</f>
        <v/>
      </c>
      <c r="AD351" s="245" t="str">
        <f>IFERROR(__xludf.DUMMYFUNCTION("IF(REGEXMATCH(C351, ""P""), ""7"","""")"),"7")</f>
        <v>7</v>
      </c>
      <c r="AE351" s="246" t="str">
        <f>IFERROR(__xludf.DUMMYFUNCTION("IF(REGEXMATCH(C351, ""d""), ""8"","""")"),"")</f>
        <v/>
      </c>
      <c r="AF351" s="245" t="str">
        <f>IFERROR(__xludf.DUMMYFUNCTION("IF(REGEXMATCH(C351, ""D""), ""9"","""")"),"9")</f>
        <v>9</v>
      </c>
      <c r="AG351" s="245" t="str">
        <f>IFERROR(__xludf.DUMMYFUNCTION("IF(REGEXMATCH(C351, ""n""), ""10"","""")"),"10")</f>
        <v>10</v>
      </c>
      <c r="AH351" s="246" t="str">
        <f>IFERROR(__xludf.DUMMYFUNCTION("IF(REGEXMATCH(C351, ""N""), ""11"","""")"),"11")</f>
        <v>11</v>
      </c>
      <c r="AI351" s="249" t="str">
        <f>IFERROR(__xludf.DUMMYFUNCTION("IF(REGEXMATCH(C351, ""S""), ""0"","""")"),"0")</f>
        <v>0</v>
      </c>
      <c r="AJ351" s="313" t="str">
        <f t="shared" si="11"/>
        <v>-</v>
      </c>
      <c r="AK351" s="313" t="str">
        <f t="shared" si="12"/>
        <v>-</v>
      </c>
      <c r="AL351" s="313" t="str">
        <f t="shared" si="13"/>
        <v>-</v>
      </c>
      <c r="AM351" s="313" t="str">
        <f t="shared" si="14"/>
        <v>-</v>
      </c>
      <c r="AN351" s="313" t="str">
        <f t="shared" si="15"/>
        <v>T</v>
      </c>
      <c r="AO351" s="314" t="str">
        <f t="shared" si="16"/>
        <v>T</v>
      </c>
      <c r="AP351" s="316">
        <f t="shared" si="17"/>
        <v>2</v>
      </c>
      <c r="AQ351" s="319" t="str">
        <f t="shared" si="18"/>
        <v>-</v>
      </c>
      <c r="AR351" s="320">
        <f t="shared" si="19"/>
        <v>0</v>
      </c>
      <c r="AS351" s="250" t="str">
        <f>IFERROR(__xludf.DUMMYFUNCTION("SUBSTITUTE(SUBSTITUTE(CONCATENATE(JOIN("""",FP351:GA351)),""|"",""x""),""-"",""o"")"),"xoxoxxoxoxxx")</f>
        <v>xoxoxxoxoxxx</v>
      </c>
      <c r="AT351" s="323" t="str">
        <f>IFERROR(__xludf.DUMMYFUNCTION("JOIN("""",AS351,AS351)"),"xoxoxxoxoxxxxoxoxxoxoxxx")</f>
        <v>xoxoxxoxoxxxxoxoxxoxoxxx</v>
      </c>
      <c r="AU351" s="256" t="str">
        <f>IFERROR(__xludf.DUMMYFUNCTION("JOIN("""",ArrayFormula(MID(AS351,LEN(AS351)-SEQUENCE(1,LEN(AS351))+1,1)))"),"xxxoxoxxoxox")</f>
        <v>xxxoxoxxoxox</v>
      </c>
      <c r="AV351" s="256" t="str">
        <f>IFERROR(__xludf.DUMMYFUNCTION("LEFT(CONCATENATE(""x"",JOIN("""",ArrayFormula(MID(AS351,LEN(AS351)-SEQUENCE(1,LEN(AS351))+1,1)))),12)"),"xxxxoxoxxoxo")</f>
        <v>xxxxoxoxxoxo</v>
      </c>
      <c r="AW351" s="327" t="str">
        <f>IFERROR(__xludf.DUMMYFUNCTION("JOIN("""",AU351,AU351)"),"xxxoxoxxoxoxxxxoxoxxoxox")</f>
        <v>xxxoxoxxoxoxxxxoxoxxoxox</v>
      </c>
      <c r="AX351" s="239" t="str">
        <f>IFERROR(__xludf.DUMMYFUNCTION("IF(REGEXMATCH(AW351,AS351),""✔"",""-"")"),"✔")</f>
        <v>✔</v>
      </c>
      <c r="AY351" s="330" t="str">
        <f t="shared" si="20"/>
        <v>-</v>
      </c>
      <c r="AZ351" s="260" t="str">
        <f t="shared" si="21"/>
        <v>#REF!</v>
      </c>
      <c r="BA351" s="333" t="str">
        <f t="shared" si="22"/>
        <v>xoxoxxo</v>
      </c>
      <c r="BB351" s="334" t="str">
        <f t="shared" si="23"/>
        <v>xoxxxx</v>
      </c>
      <c r="BC351" s="335" t="str">
        <f t="shared" si="236"/>
        <v>-</v>
      </c>
      <c r="BD351" s="336" t="str">
        <f t="shared" si="25"/>
        <v>Tilak Malhar: 'xoxoxxo' + 'xoxxxx'</v>
      </c>
      <c r="BE351" s="337">
        <f>IFERROR(__xludf.DUMMYFUNCTION("COUNTUNIQUE(FILTER(AT:AT,REGEXMATCH(AT:AT,AS351)))-1"),3.0)</f>
        <v>3</v>
      </c>
      <c r="BF351" s="261" t="str">
        <f>IFERROR(__xludf.DUMMYFUNCTION("IF(BI351=0,""(n/a)"",IF(BJ351=2,""(PAIR)"",IF(REGEXMATCH(AT351,""xoxoxxoxoxox""),""Bilawal"",IF(REGEXMATCH(AT351,""xoxoxooxoxoo""),""Bhupali"",IF(REGEXMATCH(AT351,""xoxoxxoxxoxo""),""Charukeshi"",IF(REGEXMATCH(AT351,""xoxoooxxoxxo""),""Kameshwari"",IF(REG"&amp;"EXMATCH(AT351,""xoxoxooxoxox""),""Shankara"",IF(REGEXMATCH(AT351,""xxooxoxxxoox""),""Basant"",IF(REGEXMATCH(AT351,""xoxoxxxxoxox""),""Bihag"",IF(REGEXMATCH(AT351,""xoxxxxoxoxxx""),""Pilu"",IF(REGEXMATCH(AT351,""xoxxoxoxxoox""),""Kirwani"",IF(REGEXMATCH(AT"&amp;"351,""xoxxoxoxoxxx""),""Mk.Malhar"",IF(REGEXMATCH(AT351,""xxooxxoxxoox""),""Bhairav"",IF(REGEXMATCH(AT351,""xxoxooxxxoox""),""Todi"",IF(REGEXMATCH(AT351,""xxooxoxooxox""),""Marwa"",IF(REGEXMATCH(AT351,""xxoooxoxxooo""),""Gunkali"",IF(REGEXMATCH(AT351,""xo"&amp;"xoxxoxxoox""),""Nat Bhairav"",IF(REGEXMATCH(AT351,""xoxxoooxoxoo""),""Shivranjani"",IF(REGEXMATCH(AT351,""xooxxxoxooxo""),""Jog"",IF(REGEXMATCH(AT351,""xxooxoxoxoox""),""Hemshri"",IF(REGEXMATCH(AT351,""xoooxooxoxxo""),""Kalavati"",IF(REGEXMATCH(AT351,""xx"&amp;"oxoxxoxoox""),""Kedar"",IF(REGEXMATCH(AT351,""xoxxxxoxooxx""),""Gara"",IF(REGEXMATCH(AT351,""xooxoxooxoox""),""Chandrakauns"",IF(REGEXMATCH(AT351,""xoxxxxoxxxox""),""Mand"",IF(REGEXMATCH(AT351,""xoxxxxoxoxox""),""Hanskinkini"",IF(REGEXMATCH(AT351,""xxooxx"&amp;"oxooxo""),""Lilavati"",IF(REGEXMATCH(AT351,""xooxoxoooxox""),""Rajeshwari"",IF(REGEXMATCH(AT351,""xoooxxoxoxxx""),""Khokar"",IF(REGEXMATCH(AT351,""xxooxoxxxxox""),""Maligoura"",""-""))))))))))))))))))))))))))))))"),"Bihag")</f>
        <v>Bihag</v>
      </c>
      <c r="BG351" s="239" t="str">
        <f t="shared" si="26"/>
        <v>#REF!</v>
      </c>
      <c r="BH351" s="239">
        <f>IFERROR(__xludf.DUMMYFUNCTION("COUNTUNIQUE(FE351:FO351)-1"),7.0)</f>
        <v>7</v>
      </c>
      <c r="BI351" s="239">
        <f>IFERROR(__xludf.DUMMYFUNCTION("COUNTUNIQUE(FILTER(AT:AT,REGEXMATCH(AT:AT,AS351)))-1"),3.0)</f>
        <v>3</v>
      </c>
      <c r="BJ351" s="239">
        <f>IFERROR(__xludf.DUMMYFUNCTION("COUNTA(FILTER(AT:AT,REGEXMATCH(AT:AT,AS351)))"),36.0)</f>
        <v>36</v>
      </c>
      <c r="BK351" s="341">
        <f>IFERROR(__xludf.DUMMYFUNCTION("COUNTA(FILTER(AT:AT,REGEXMATCH(AT:AT,AS351)))-AR351"),36.0)</f>
        <v>36</v>
      </c>
      <c r="BL351" s="276" t="str">
        <f>IFERROR(__xludf.DUMMYFUNCTION("IF(AS351=""oooooooooooo"",""-"",IF(REGEXMATCH(AT351,""xx""), ""Hemi."", ""Anhemi.""))"),"Hemi.")</f>
        <v>Hemi.</v>
      </c>
      <c r="BM351" s="282" t="str">
        <f>IFERROR(__xludf.DUMMYFUNCTION("IF(AS351=""oooooooooooo"",""-"",IF(REGEXMATCH(AT351,""xxx""), ""Cohem."", ""-""))"),"Cohem.")</f>
        <v>Cohem.</v>
      </c>
      <c r="BN351" s="282" t="str">
        <f>IFERROR(__xludf.DUMMYFUNCTION("IF(AS351=""oooooooooooo"",""-"",IF(REGEXMATCH(AT351,""xxxx""), ""Co-Co."", ""-""))"),"Co-Co.")</f>
        <v>Co-Co.</v>
      </c>
      <c r="BO351" s="342" t="str">
        <f>IFERROR(__xludf.DUMMYFUNCTION("IF(AS351=""oooooooooooo"",""-"",IF(REGEXMATCH(AT351,""xxxxx""), ""CCC."", ""-""))"),"-")</f>
        <v>-</v>
      </c>
      <c r="BP351" s="344" t="str">
        <f t="shared" si="27"/>
        <v>-</v>
      </c>
      <c r="BQ351" s="282" t="str">
        <f>IFERROR(__xludf.DUMMYFUNCTION("IF(REGEXMATCH(JOIN(""-"",EU351:FD351),""TRUE""),""✔"",""-"")"),"-")</f>
        <v>-</v>
      </c>
      <c r="BR351" s="225">
        <f t="shared" si="28"/>
        <v>0</v>
      </c>
      <c r="BS351" s="345" t="str">
        <f>IFERROR(__xludf.DUMMYFUNCTION("SUBSTITUTE(SUBSTITUTE(SUBSTITUTE(SUBSTITUTE(CONCATENATE(JOIN(""-"",GC351:GO351)),""--"",""-""),""--"",""-""),""--"",""-""),""--"",""-"")"),"1-2-3-4-5-6-b7-7-8")</f>
        <v>1-2-3-4-5-6-b7-7-8</v>
      </c>
      <c r="BT351" s="299" t="str">
        <f>IFERROR(__xludf.DUMMYFUNCTION("SUBSTITUTE(SUBSTITUTE(SUBSTITUTE(SUBSTITUTE(CONCATENATE(JOIN(""-"",GP351:HB351)),""--"",""-""),""--"",""-""),""--"",""-""),""--"",""-"")"),"S-R2-G3-M1-P-D2-N2-N3-S")</f>
        <v>S-R2-G3-M1-P-D2-N2-N3-S</v>
      </c>
      <c r="BU351" s="348" t="str">
        <f t="shared" si="29"/>
        <v>C-D-E-F-G-A-Bb-B-C</v>
      </c>
      <c r="BV351" s="349" t="str">
        <f t="shared" si="30"/>
        <v>SrgMdS</v>
      </c>
      <c r="BW351" s="350">
        <f t="shared" si="31"/>
        <v>1</v>
      </c>
      <c r="BX351" s="351">
        <f t="shared" si="32"/>
        <v>15</v>
      </c>
      <c r="BY351" s="392"/>
      <c r="BZ351" s="309" t="str">
        <f>IFERROR(__xludf.DUMMYFUNCTION("IF(REGEXMATCH(C351, ""S""), ""x"",""x"")"),"x")</f>
        <v>x</v>
      </c>
      <c r="CA351" s="245" t="str">
        <f>IFERROR(__xludf.DUMMYFUNCTION("IF(REGEXMATCH(C351, ""r""), ""o"",""x"")"),"x")</f>
        <v>x</v>
      </c>
      <c r="CB351" s="246" t="str">
        <f>IFERROR(__xludf.DUMMYFUNCTION("IF(REGEXMATCH(C351, ""R""), ""o"",""x"")"),"o")</f>
        <v>o</v>
      </c>
      <c r="CC351" s="246" t="str">
        <f>IFERROR(__xludf.DUMMYFUNCTION("IF(REGEXMATCH(C351, ""g""), ""o"",""x"")"),"x")</f>
        <v>x</v>
      </c>
      <c r="CD351" s="245" t="str">
        <f>IFERROR(__xludf.DUMMYFUNCTION("IF(REGEXMATCH(C351, ""G""), ""o"",""x"")"),"o")</f>
        <v>o</v>
      </c>
      <c r="CE351" s="245" t="str">
        <f>IFERROR(__xludf.DUMMYFUNCTION("IF(REGEXMATCH(C351, ""m""), ""o"",""x"")"),"o")</f>
        <v>o</v>
      </c>
      <c r="CF351" s="246" t="str">
        <f>IFERROR(__xludf.DUMMYFUNCTION("IF(REGEXMATCH(C351, ""M""), ""o"",""x"")"),"x")</f>
        <v>x</v>
      </c>
      <c r="CG351" s="245" t="str">
        <f>IFERROR(__xludf.DUMMYFUNCTION("IF(REGEXMATCH(C351, ""P""), ""o"",""x"")"),"o")</f>
        <v>o</v>
      </c>
      <c r="CH351" s="246" t="str">
        <f>IFERROR(__xludf.DUMMYFUNCTION("IF(REGEXMATCH(C351, ""d""), ""o"",""x"")"),"x")</f>
        <v>x</v>
      </c>
      <c r="CI351" s="245" t="str">
        <f>IFERROR(__xludf.DUMMYFUNCTION("IF(REGEXMATCH(C351, ""D""), ""o"",""x"")"),"o")</f>
        <v>o</v>
      </c>
      <c r="CJ351" s="245" t="str">
        <f>IFERROR(__xludf.DUMMYFUNCTION("IF(REGEXMATCH(C351, ""n""), ""o"",""x"")"),"o")</f>
        <v>o</v>
      </c>
      <c r="CK351" s="245" t="str">
        <f>IFERROR(__xludf.DUMMYFUNCTION("IF(REGEXMATCH(C351, ""N""), ""o"",""x"")"),"o")</f>
        <v>o</v>
      </c>
      <c r="CL351" s="356" t="str">
        <f>IFERROR(__xludf.DUMMYFUNCTION("IF(REGEXMATCH(C351, ""S""), ""x"",""x"")"),"x")</f>
        <v>x</v>
      </c>
      <c r="CM351" s="357" t="str">
        <f t="shared" si="33"/>
        <v>xxoxooxoxooo</v>
      </c>
      <c r="CN351" s="358">
        <f t="shared" si="34"/>
        <v>1</v>
      </c>
      <c r="CO351" s="246" t="str">
        <f>IFERROR(__xludf.DUMMYFUNCTION("IF(REGEXMATCH($C351, ""S""), ""S"",""S"")"),"S")</f>
        <v>S</v>
      </c>
      <c r="CP351" s="246" t="str">
        <f>IFERROR(__xludf.DUMMYFUNCTION("IF(REGEXMATCH($C351, ""r""), """",""r"")"),"r")</f>
        <v>r</v>
      </c>
      <c r="CQ351" s="246" t="str">
        <f>IFERROR(__xludf.DUMMYFUNCTION("IF(REGEXMATCH($C351, ""R""), """",""R"")"),"")</f>
        <v/>
      </c>
      <c r="CR351" s="246" t="str">
        <f>IFERROR(__xludf.DUMMYFUNCTION("IF(REGEXMATCH($C351, ""g""), """",""g"")"),"g")</f>
        <v>g</v>
      </c>
      <c r="CS351" s="246" t="str">
        <f>IFERROR(__xludf.DUMMYFUNCTION("IF(REGEXMATCH($C351, ""G""), """",""G"")"),"")</f>
        <v/>
      </c>
      <c r="CT351" s="246" t="str">
        <f>IFERROR(__xludf.DUMMYFUNCTION("IF(REGEXMATCH($C351, ""m""), """",""m"")"),"")</f>
        <v/>
      </c>
      <c r="CU351" s="246" t="str">
        <f>IFERROR(__xludf.DUMMYFUNCTION("IF(REGEXMATCH($C351, ""M""), """",""M"")"),"M")</f>
        <v>M</v>
      </c>
      <c r="CV351" s="246" t="str">
        <f>IFERROR(__xludf.DUMMYFUNCTION("IF(REGEXMATCH($C351, ""P""), """",""P"")"),"")</f>
        <v/>
      </c>
      <c r="CW351" s="246" t="str">
        <f>IFERROR(__xludf.DUMMYFUNCTION("IF(REGEXMATCH($C351, ""d""), """",""d"")"),"d")</f>
        <v>d</v>
      </c>
      <c r="CX351" s="246" t="str">
        <f>IFERROR(__xludf.DUMMYFUNCTION("IF(REGEXMATCH($C351, ""D""), """",""D"")"),"")</f>
        <v/>
      </c>
      <c r="CY351" s="246" t="str">
        <f>IFERROR(__xludf.DUMMYFUNCTION("IF(REGEXMATCH($C351, ""n""), """",""n"")"),"")</f>
        <v/>
      </c>
      <c r="CZ351" s="246" t="str">
        <f>IFERROR(__xludf.DUMMYFUNCTION("IF(REGEXMATCH($C351, ""N""), """",""N"")"),"")</f>
        <v/>
      </c>
      <c r="DA351" s="246" t="str">
        <f>IFERROR(__xludf.DUMMYFUNCTION("IF(REGEXMATCH($C351, ""S""), ""S"",""S"")"),"S")</f>
        <v>S</v>
      </c>
      <c r="DB351" s="362" t="str">
        <f>IFERROR(__xludf.DUMMYFUNCTION("JOIN("""",CO351:DA351,"""","""")"),"SrgMdS")</f>
        <v>SrgMdS</v>
      </c>
      <c r="DC351" s="363"/>
      <c r="DD351" s="301" t="str">
        <f t="shared" si="35"/>
        <v>#REF!</v>
      </c>
      <c r="DE351" s="302" t="str">
        <f t="shared" si="36"/>
        <v>#REF!</v>
      </c>
      <c r="DF351" s="301" t="str">
        <f t="shared" ref="DF351:DG351" si="935">SUBSTITUTE(S351,"-","")</f>
        <v>SRGM</v>
      </c>
      <c r="DG351" s="301" t="str">
        <f t="shared" si="935"/>
        <v>PDNS</v>
      </c>
      <c r="DH351" s="302" t="str">
        <f t="shared" si="38"/>
        <v>Bihag</v>
      </c>
      <c r="DI351" s="301" t="str">
        <f t="shared" si="39"/>
        <v>Hemi.</v>
      </c>
      <c r="DJ351" s="364" t="str">
        <f t="shared" si="40"/>
        <v>Co-Co.</v>
      </c>
      <c r="DK351" s="306" t="str">
        <f t="shared" si="41"/>
        <v>-</v>
      </c>
      <c r="DL351" s="366" t="str">
        <f t="shared" si="42"/>
        <v>-</v>
      </c>
      <c r="DM351" s="308" t="str">
        <f t="shared" si="43"/>
        <v>✔</v>
      </c>
      <c r="DN351" s="306" t="str">
        <f t="shared" si="44"/>
        <v>-</v>
      </c>
      <c r="DO351" s="306" t="str">
        <f t="shared" si="45"/>
        <v>-</v>
      </c>
      <c r="DP351" s="367" t="str">
        <f t="shared" si="46"/>
        <v>-</v>
      </c>
      <c r="DQ351" s="310" t="str">
        <f t="shared" si="47"/>
        <v>-</v>
      </c>
      <c r="DR351" s="310" t="str">
        <f t="shared" si="48"/>
        <v>-</v>
      </c>
      <c r="DS351" s="310" t="str">
        <f t="shared" si="49"/>
        <v>-</v>
      </c>
      <c r="DT351" s="310" t="str">
        <f t="shared" si="50"/>
        <v>-</v>
      </c>
      <c r="DU351" s="370" t="str">
        <f t="shared" si="51"/>
        <v>✔</v>
      </c>
      <c r="DV351" s="306" t="str">
        <f t="shared" si="52"/>
        <v>-</v>
      </c>
      <c r="DW351" s="306" t="str">
        <f t="shared" si="53"/>
        <v>-</v>
      </c>
      <c r="DX351" s="306" t="str">
        <f t="shared" si="54"/>
        <v>-</v>
      </c>
      <c r="DY351" s="306" t="str">
        <f t="shared" si="55"/>
        <v>-</v>
      </c>
      <c r="DZ351" s="306" t="str">
        <f t="shared" si="56"/>
        <v>-</v>
      </c>
      <c r="EA351" s="367" t="str">
        <f t="shared" si="57"/>
        <v>-</v>
      </c>
      <c r="EB351" s="310" t="str">
        <f>IFERROR(__xludf.DUMMYFUNCTION("IF(REGEXMATCH(AW351,AS351),""✔"",""-"")"),"✔")</f>
        <v>✔</v>
      </c>
      <c r="EC351" s="310" t="str">
        <f t="shared" si="58"/>
        <v>#REF!</v>
      </c>
      <c r="ED351" s="370" t="str">
        <f t="shared" si="59"/>
        <v>-</v>
      </c>
      <c r="EE351" s="340" t="str">
        <f t="shared" si="60"/>
        <v>S-R-G-m-P-D-nN-S</v>
      </c>
      <c r="EF351" s="371" t="str">
        <f>IFERROR(__xludf.DUMMYFUNCTION("CONCATENATE(JOIN("""",HC351:HO351))"),"SrRgmPdnS")</f>
        <v>SrRgmPdnS</v>
      </c>
      <c r="EG351" s="372">
        <f t="shared" si="61"/>
        <v>1</v>
      </c>
      <c r="EH351" s="373" t="str">
        <f>IFERROR(__xludf.DUMMYFUNCTION("CONCATENATE(JOIN("""",JC351:JO351))"),"Ni, ")</f>
        <v>Ni, </v>
      </c>
      <c r="EI351" s="322">
        <f t="shared" si="62"/>
        <v>0</v>
      </c>
      <c r="EJ351" s="374" t="str">
        <f>IFERROR(__xludf.DUMMYFUNCTION("CONCATENATE(JOIN("""",KC351:KO351))"),"")</f>
        <v/>
      </c>
      <c r="EK351" s="325" t="str">
        <f t="shared" si="63"/>
        <v>S-R2-G3-M1-P-D2-N2-N3-S</v>
      </c>
      <c r="EL351" s="326" t="str">
        <f t="shared" si="64"/>
        <v>1-2-3-4-5-6-b7-7-8</v>
      </c>
      <c r="EM351" s="318" t="str">
        <f t="shared" si="65"/>
        <v>#REF!</v>
      </c>
      <c r="EN351" s="328" t="str">
        <f>IFERROR(__xludf.DUMMYFUNCTION("SUBSTITUTE(SUBSTITUTE(SUBSTITUTE(SUBSTITUTE(CONCATENATE(JOIN("" "",HP351:IB351)),""  "","" ""),""  "","" ""),""  "","" ""),""  "","" "")"),"o • o • o o • o • o o o o")</f>
        <v>o • o • o o • o • o o o o</v>
      </c>
      <c r="EO351" s="368" t="str">
        <f t="shared" si="66"/>
        <v>-</v>
      </c>
      <c r="EP351" s="339" t="str">
        <f t="shared" si="67"/>
        <v>-</v>
      </c>
      <c r="EQ351" s="339" t="str">
        <f t="shared" si="68"/>
        <v>Sa-Pa</v>
      </c>
      <c r="ER351" s="339" t="str">
        <f t="shared" si="69"/>
        <v>-</v>
      </c>
      <c r="ES351" s="340" t="str">
        <f t="shared" si="70"/>
        <v>-</v>
      </c>
      <c r="ET351" s="363"/>
      <c r="EU351" s="376" t="b">
        <f>IFERROR(__xludf.DUMMYFUNCTION("arrayformula(sum(--REGEXMATCH(""SRGMPDNS"",split(REGEXREPLACE(C351,""(.)"",""$1~""),""~""))))=len(C351)
"),FALSE)</f>
        <v>0</v>
      </c>
      <c r="EV351" s="290" t="b">
        <f>IFERROR(__xludf.DUMMYFUNCTION("arrayformula(sum(--REGEXMATCH(""SRGmPDNS"",split(REGEXREPLACE(C351,""(.)"",""$1~""),""~""))))=len(C351)"),FALSE)</f>
        <v>0</v>
      </c>
      <c r="EW351" s="290" t="b">
        <f>IFERROR(__xludf.DUMMYFUNCTION("arrayformula(sum(--REGEXMATCH(""SRGmPDnS"",split(REGEXREPLACE(C351,""(.)"",""$1~""),""~""))))=len(C351)"),FALSE)</f>
        <v>0</v>
      </c>
      <c r="EX351" s="290" t="b">
        <f>IFERROR(__xludf.DUMMYFUNCTION("arrayformula(sum(--REGEXMATCH(""SRgmPDnS"",split(REGEXREPLACE(C351,""(.)"",""$1~""),""~""))))=len(C351)"),FALSE)</f>
        <v>0</v>
      </c>
      <c r="EY351" s="290" t="b">
        <f>IFERROR(__xludf.DUMMYFUNCTION("arrayformula(sum(--REGEXMATCH(""SRgmPdnS"",split(REGEXREPLACE(C351,""(.)"",""$1~""),""~""))))=len(C351)"),FALSE)</f>
        <v>0</v>
      </c>
      <c r="EZ351" s="290" t="b">
        <f>IFERROR(__xludf.DUMMYFUNCTION("arrayformula(sum(--REGEXMATCH(""SrgmPdnS"",split(REGEXREPLACE(C351,""(.)"",""$1~""),""~""))))=len(C351)"),FALSE)</f>
        <v>0</v>
      </c>
      <c r="FA351" s="290" t="b">
        <f>IFERROR(__xludf.DUMMYFUNCTION("arrayformula(sum(--REGEXMATCH(""SrGmPdNS"",split(REGEXREPLACE(C351,""(.)"",""$1~""),""~""))))=len(C351)"),FALSE)</f>
        <v>0</v>
      </c>
      <c r="FB351" s="290" t="b">
        <f>IFERROR(__xludf.DUMMYFUNCTION("arrayformula(sum(--REGEXMATCH(""SrGMPDNS"",split(REGEXREPLACE(C351,""(.)"",""$1~""),""~""))))=len(C351)"),FALSE)</f>
        <v>0</v>
      </c>
      <c r="FC351" s="290" t="b">
        <f>IFERROR(__xludf.DUMMYFUNCTION("arrayformula(sum(--REGEXMATCH(""SrGMPdNS"",split(REGEXREPLACE(C351,""(.)"",""$1~""),""~""))))=len(C351)"),FALSE)</f>
        <v>0</v>
      </c>
      <c r="FD351" s="377" t="b">
        <f>IFERROR(__xludf.DUMMYFUNCTION("arrayformula(sum(--REGEXMATCH(""SrgMPdNS"",split(REGEXREPLACE(C351,""(.)"",""$1~""),""~""))))=len(C351)"),FALSE)</f>
        <v>0</v>
      </c>
      <c r="FE351" s="269" t="str">
        <f t="shared" si="71"/>
        <v>-</v>
      </c>
      <c r="FF351" s="269" t="str">
        <f t="shared" si="72"/>
        <v>xoxxoxoxxxx</v>
      </c>
      <c r="FG351" s="271" t="str">
        <f t="shared" si="73"/>
        <v>-</v>
      </c>
      <c r="FH351" s="269" t="str">
        <f t="shared" si="74"/>
        <v>xxoxoxxxxox</v>
      </c>
      <c r="FI351" s="271" t="str">
        <f t="shared" si="75"/>
        <v>xoxoxxxxoxo</v>
      </c>
      <c r="FJ351" s="271" t="str">
        <f t="shared" si="76"/>
        <v>-</v>
      </c>
      <c r="FK351" s="271" t="str">
        <f t="shared" si="77"/>
        <v>xoxxxxoxoxx</v>
      </c>
      <c r="FL351" s="271" t="str">
        <f t="shared" si="78"/>
        <v>-</v>
      </c>
      <c r="FM351" s="271" t="str">
        <f t="shared" si="79"/>
        <v>xxxxoxoxxox</v>
      </c>
      <c r="FN351" s="271" t="str">
        <f t="shared" si="80"/>
        <v>xxxoxoxxoxo</v>
      </c>
      <c r="FO351" s="274" t="str">
        <f t="shared" si="81"/>
        <v>xxoxoxxoxox</v>
      </c>
      <c r="FP351" s="234" t="str">
        <f t="shared" si="82"/>
        <v>|</v>
      </c>
      <c r="FQ351" s="236" t="str">
        <f t="shared" si="83"/>
        <v>-</v>
      </c>
      <c r="FR351" s="237" t="str">
        <f t="shared" si="84"/>
        <v>|</v>
      </c>
      <c r="FS351" s="236" t="str">
        <f t="shared" si="85"/>
        <v>-</v>
      </c>
      <c r="FT351" s="237" t="str">
        <f t="shared" si="86"/>
        <v>|</v>
      </c>
      <c r="FU351" s="236" t="str">
        <f t="shared" si="87"/>
        <v>|</v>
      </c>
      <c r="FV351" s="237" t="str">
        <f t="shared" si="88"/>
        <v>-</v>
      </c>
      <c r="FW351" s="236" t="str">
        <f t="shared" si="89"/>
        <v>|</v>
      </c>
      <c r="FX351" s="237" t="str">
        <f t="shared" si="90"/>
        <v>-</v>
      </c>
      <c r="FY351" s="236" t="str">
        <f t="shared" si="91"/>
        <v>|</v>
      </c>
      <c r="FZ351" s="237" t="str">
        <f t="shared" si="92"/>
        <v>|</v>
      </c>
      <c r="GA351" s="236" t="str">
        <f t="shared" si="93"/>
        <v>|</v>
      </c>
      <c r="GB351" s="238" t="str">
        <f t="shared" si="94"/>
        <v>|</v>
      </c>
      <c r="GC351" s="244" t="str">
        <f>IFERROR(__xludf.DUMMYFUNCTION("IF(REGEXMATCH(C351, ""S""), ""1"","""")"),"1")</f>
        <v>1</v>
      </c>
      <c r="GD351" s="245" t="str">
        <f>IFERROR(__xludf.DUMMYFUNCTION("IF(REGEXMATCH(C351, ""r""), ""b2"","""")"),"")</f>
        <v/>
      </c>
      <c r="GE351" s="246" t="str">
        <f>IFERROR(__xludf.DUMMYFUNCTION("IF(REGEXMATCH(C351, ""R""), ""2"","""")"),"2")</f>
        <v>2</v>
      </c>
      <c r="GF351" s="246" t="str">
        <f>IFERROR(__xludf.DUMMYFUNCTION("IF(REGEXMATCH(C351, ""g""), ""b3"","""")"),"")</f>
        <v/>
      </c>
      <c r="GG351" s="245" t="str">
        <f>IFERROR(__xludf.DUMMYFUNCTION("IF(REGEXMATCH(C351, ""G""), ""3"","""")"),"3")</f>
        <v>3</v>
      </c>
      <c r="GH351" s="245" t="str">
        <f>IFERROR(__xludf.DUMMYFUNCTION("IF(REGEXMATCH(C351, ""m""), ""4"","""")"),"4")</f>
        <v>4</v>
      </c>
      <c r="GI351" s="246" t="str">
        <f>IFERROR(__xludf.DUMMYFUNCTION("IF(REGEXMATCH(C351, ""M""), ""#4"","""")"),"")</f>
        <v/>
      </c>
      <c r="GJ351" s="245" t="str">
        <f>IFERROR(__xludf.DUMMYFUNCTION("IF(REGEXMATCH(C351, ""P""), ""5"","""")"),"5")</f>
        <v>5</v>
      </c>
      <c r="GK351" s="246" t="str">
        <f>IFERROR(__xludf.DUMMYFUNCTION("IF(REGEXMATCH(C351, ""d""), ""b6"","""")"),"")</f>
        <v/>
      </c>
      <c r="GL351" s="245" t="str">
        <f>IFERROR(__xludf.DUMMYFUNCTION("IF(REGEXMATCH(C351, ""D""), ""6"","""")"),"6")</f>
        <v>6</v>
      </c>
      <c r="GM351" s="245" t="str">
        <f>IFERROR(__xludf.DUMMYFUNCTION("IF(REGEXMATCH(C351, ""n""), ""b7"","""")"),"b7")</f>
        <v>b7</v>
      </c>
      <c r="GN351" s="246" t="str">
        <f>IFERROR(__xludf.DUMMYFUNCTION("IF(REGEXMATCH(C351, ""N""), ""7"","""")"),"7")</f>
        <v>7</v>
      </c>
      <c r="GO351" s="249" t="str">
        <f>IFERROR(__xludf.DUMMYFUNCTION("IF(REGEXMATCH(C351, ""S""), ""8"","""")"),"8")</f>
        <v>8</v>
      </c>
      <c r="GP351" s="244" t="str">
        <f>IFERROR(__xludf.DUMMYFUNCTION("IF(REGEXMATCH(C351, ""S""), ""S"","""")"),"S")</f>
        <v>S</v>
      </c>
      <c r="GQ351" s="294" t="str">
        <f>IFERROR(__xludf.DUMMYFUNCTION("IF(REGEXMATCH(C351, ""r""), ""R1"","""")"),"")</f>
        <v/>
      </c>
      <c r="GR351" s="295" t="str">
        <f>IFERROR(__xludf.DUMMYFUNCTION("IF(REGEXMATCH(C351, ""R""), ""R2"","""")"),"R2")</f>
        <v>R2</v>
      </c>
      <c r="GS351" s="295" t="str">
        <f>IFERROR(__xludf.DUMMYFUNCTION("IF(REGEXMATCH(C351, ""g""), ""G2"","""")"),"")</f>
        <v/>
      </c>
      <c r="GT351" s="294" t="str">
        <f>IFERROR(__xludf.DUMMYFUNCTION("IF(REGEXMATCH(C351, ""G""), ""G3"","""")"),"G3")</f>
        <v>G3</v>
      </c>
      <c r="GU351" s="294" t="str">
        <f>IFERROR(__xludf.DUMMYFUNCTION("IF(REGEXMATCH(C351, ""m""), ""M1"","""")"),"M1")</f>
        <v>M1</v>
      </c>
      <c r="GV351" s="295" t="str">
        <f>IFERROR(__xludf.DUMMYFUNCTION("IF(REGEXMATCH(C351, ""M""), ""M2"","""")"),"")</f>
        <v/>
      </c>
      <c r="GW351" s="294" t="str">
        <f>IFERROR(__xludf.DUMMYFUNCTION("IF(REGEXMATCH(C351, ""P""), ""P"","""")"),"P")</f>
        <v>P</v>
      </c>
      <c r="GX351" s="295" t="str">
        <f>IFERROR(__xludf.DUMMYFUNCTION("IF(REGEXMATCH(C351, ""d""), ""D1"","""")"),"")</f>
        <v/>
      </c>
      <c r="GY351" s="294" t="str">
        <f>IFERROR(__xludf.DUMMYFUNCTION("IF(REGEXMATCH(C351, ""D""), ""D2"","""")"),"D2")</f>
        <v>D2</v>
      </c>
      <c r="GZ351" s="294" t="str">
        <f>IFERROR(__xludf.DUMMYFUNCTION("IF(REGEXMATCH(C351, ""n""), ""N2"","""")"),"N2")</f>
        <v>N2</v>
      </c>
      <c r="HA351" s="295" t="str">
        <f>IFERROR(__xludf.DUMMYFUNCTION("IF(REGEXMATCH(C351, ""N""), ""N3"","""")"),"N3")</f>
        <v>N3</v>
      </c>
      <c r="HB351" s="249" t="str">
        <f>IFERROR(__xludf.DUMMYFUNCTION("IF(REGEXMATCH(C351, ""S""), ""S"","""")"),"S")</f>
        <v>S</v>
      </c>
      <c r="HC351" s="331" t="str">
        <f t="shared" si="95"/>
        <v>S</v>
      </c>
      <c r="HD351" s="332" t="str">
        <f t="shared" si="96"/>
        <v>r</v>
      </c>
      <c r="HE351" s="332" t="str">
        <f t="shared" si="97"/>
        <v>R</v>
      </c>
      <c r="HF351" s="332" t="str">
        <f t="shared" si="98"/>
        <v>g</v>
      </c>
      <c r="HG351" s="332" t="str">
        <f t="shared" si="99"/>
        <v/>
      </c>
      <c r="HH351" s="332" t="str">
        <f t="shared" si="100"/>
        <v>m</v>
      </c>
      <c r="HI351" s="332" t="str">
        <f t="shared" si="101"/>
        <v/>
      </c>
      <c r="HJ351" s="332" t="str">
        <f t="shared" si="102"/>
        <v>P</v>
      </c>
      <c r="HK351" s="332" t="str">
        <f t="shared" si="103"/>
        <v>d</v>
      </c>
      <c r="HL351" s="332" t="str">
        <f t="shared" si="104"/>
        <v/>
      </c>
      <c r="HM351" s="332" t="str">
        <f t="shared" si="105"/>
        <v>n</v>
      </c>
      <c r="HN351" s="332" t="str">
        <f t="shared" si="106"/>
        <v/>
      </c>
      <c r="HO351" s="343" t="str">
        <f t="shared" si="107"/>
        <v>S</v>
      </c>
      <c r="HP351" s="331" t="str">
        <f t="shared" si="108"/>
        <v>o</v>
      </c>
      <c r="HQ351" s="332" t="str">
        <f t="shared" si="109"/>
        <v>•</v>
      </c>
      <c r="HR351" s="332" t="str">
        <f t="shared" si="110"/>
        <v>o</v>
      </c>
      <c r="HS351" s="332" t="str">
        <f t="shared" si="111"/>
        <v>•</v>
      </c>
      <c r="HT351" s="332" t="str">
        <f t="shared" si="112"/>
        <v>o</v>
      </c>
      <c r="HU351" s="332" t="str">
        <f t="shared" si="113"/>
        <v>o</v>
      </c>
      <c r="HV351" s="332" t="str">
        <f t="shared" si="114"/>
        <v>•</v>
      </c>
      <c r="HW351" s="332" t="str">
        <f t="shared" si="115"/>
        <v>o</v>
      </c>
      <c r="HX351" s="332" t="str">
        <f t="shared" si="116"/>
        <v>•</v>
      </c>
      <c r="HY351" s="332" t="str">
        <f t="shared" si="117"/>
        <v>o</v>
      </c>
      <c r="HZ351" s="332" t="str">
        <f t="shared" si="118"/>
        <v>o</v>
      </c>
      <c r="IA351" s="332" t="str">
        <f t="shared" si="119"/>
        <v>o</v>
      </c>
      <c r="IB351" s="338" t="str">
        <f t="shared" si="120"/>
        <v>o</v>
      </c>
      <c r="IC351" s="331" t="str">
        <f t="shared" si="121"/>
        <v>•</v>
      </c>
      <c r="ID351" s="332" t="str">
        <f t="shared" si="122"/>
        <v>o</v>
      </c>
      <c r="IE351" s="332" t="str">
        <f t="shared" si="123"/>
        <v>•</v>
      </c>
      <c r="IF351" s="332" t="str">
        <f t="shared" si="124"/>
        <v>o</v>
      </c>
      <c r="IG351" s="332" t="str">
        <f t="shared" si="125"/>
        <v>•</v>
      </c>
      <c r="IH351" s="332" t="str">
        <f t="shared" si="126"/>
        <v>•</v>
      </c>
      <c r="II351" s="332" t="str">
        <f t="shared" si="127"/>
        <v>o</v>
      </c>
      <c r="IJ351" s="332" t="str">
        <f t="shared" si="128"/>
        <v>•</v>
      </c>
      <c r="IK351" s="332" t="str">
        <f t="shared" si="129"/>
        <v>o</v>
      </c>
      <c r="IL351" s="332" t="str">
        <f t="shared" si="130"/>
        <v>•</v>
      </c>
      <c r="IM351" s="332" t="str">
        <f t="shared" si="131"/>
        <v>•</v>
      </c>
      <c r="IN351" s="332" t="str">
        <f t="shared" si="132"/>
        <v>•</v>
      </c>
      <c r="IO351" s="338" t="str">
        <f t="shared" si="133"/>
        <v>•</v>
      </c>
      <c r="IP351" s="346" t="b">
        <f t="shared" si="134"/>
        <v>0</v>
      </c>
      <c r="IQ351" s="347" t="b">
        <f t="shared" si="135"/>
        <v>0</v>
      </c>
      <c r="IR351" s="347" t="b">
        <f t="shared" si="136"/>
        <v>0</v>
      </c>
      <c r="IS351" s="347" t="b">
        <f t="shared" si="137"/>
        <v>0</v>
      </c>
      <c r="IT351" s="347" t="b">
        <f t="shared" si="138"/>
        <v>0</v>
      </c>
      <c r="IU351" s="347" t="b">
        <f t="shared" si="139"/>
        <v>0</v>
      </c>
      <c r="IV351" s="347" t="b">
        <f t="shared" si="140"/>
        <v>0</v>
      </c>
      <c r="IW351" s="347" t="b">
        <f t="shared" si="141"/>
        <v>0</v>
      </c>
      <c r="IX351" s="347" t="b">
        <f t="shared" si="142"/>
        <v>0</v>
      </c>
      <c r="IY351" s="347" t="b">
        <f t="shared" si="143"/>
        <v>0</v>
      </c>
      <c r="IZ351" s="347" t="b">
        <f t="shared" si="144"/>
        <v>0</v>
      </c>
      <c r="JA351" s="347" t="b">
        <f t="shared" si="145"/>
        <v>1</v>
      </c>
      <c r="JB351" s="353" t="b">
        <f t="shared" si="146"/>
        <v>0</v>
      </c>
      <c r="JC351" s="354" t="str">
        <f t="shared" si="147"/>
        <v/>
      </c>
      <c r="JD351" s="355" t="str">
        <f t="shared" si="148"/>
        <v/>
      </c>
      <c r="JE351" s="355" t="str">
        <f t="shared" si="149"/>
        <v/>
      </c>
      <c r="JF351" s="355" t="str">
        <f t="shared" si="150"/>
        <v/>
      </c>
      <c r="JG351" s="355" t="str">
        <f t="shared" si="151"/>
        <v/>
      </c>
      <c r="JH351" s="355" t="str">
        <f t="shared" si="152"/>
        <v/>
      </c>
      <c r="JI351" s="355" t="str">
        <f t="shared" si="153"/>
        <v/>
      </c>
      <c r="JJ351" s="355" t="str">
        <f t="shared" si="154"/>
        <v/>
      </c>
      <c r="JK351" s="355" t="str">
        <f t="shared" si="155"/>
        <v/>
      </c>
      <c r="JL351" s="355" t="str">
        <f t="shared" si="156"/>
        <v/>
      </c>
      <c r="JM351" s="355" t="str">
        <f t="shared" si="157"/>
        <v/>
      </c>
      <c r="JN351" s="355" t="str">
        <f t="shared" si="158"/>
        <v>Ni, </v>
      </c>
      <c r="JO351" s="359" t="str">
        <f t="shared" si="159"/>
        <v/>
      </c>
      <c r="JP351" s="346" t="b">
        <f t="shared" si="160"/>
        <v>0</v>
      </c>
      <c r="JQ351" s="347" t="b">
        <f t="shared" si="161"/>
        <v>0</v>
      </c>
      <c r="JR351" s="347" t="b">
        <f t="shared" si="162"/>
        <v>0</v>
      </c>
      <c r="JS351" s="347" t="b">
        <f t="shared" si="163"/>
        <v>0</v>
      </c>
      <c r="JT351" s="347" t="b">
        <f t="shared" si="164"/>
        <v>0</v>
      </c>
      <c r="JU351" s="347" t="b">
        <f t="shared" si="165"/>
        <v>0</v>
      </c>
      <c r="JV351" s="347" t="b">
        <f t="shared" si="166"/>
        <v>0</v>
      </c>
      <c r="JW351" s="347" t="b">
        <f t="shared" si="167"/>
        <v>0</v>
      </c>
      <c r="JX351" s="347" t="b">
        <f t="shared" si="168"/>
        <v>0</v>
      </c>
      <c r="JY351" s="347" t="b">
        <f t="shared" si="169"/>
        <v>0</v>
      </c>
      <c r="JZ351" s="347" t="b">
        <f t="shared" si="170"/>
        <v>0</v>
      </c>
      <c r="KA351" s="347" t="b">
        <f t="shared" si="171"/>
        <v>0</v>
      </c>
      <c r="KB351" s="365" t="b">
        <f t="shared" si="172"/>
        <v>0</v>
      </c>
      <c r="KC351" s="354" t="str">
        <f t="shared" si="173"/>
        <v/>
      </c>
      <c r="KD351" s="355" t="str">
        <f t="shared" si="174"/>
        <v/>
      </c>
      <c r="KE351" s="355" t="str">
        <f t="shared" si="175"/>
        <v/>
      </c>
      <c r="KF351" s="355" t="str">
        <f t="shared" si="176"/>
        <v/>
      </c>
      <c r="KG351" s="355" t="str">
        <f t="shared" si="177"/>
        <v/>
      </c>
      <c r="KH351" s="355" t="str">
        <f t="shared" si="178"/>
        <v/>
      </c>
      <c r="KI351" s="355" t="str">
        <f t="shared" si="179"/>
        <v/>
      </c>
      <c r="KJ351" s="355" t="str">
        <f t="shared" si="180"/>
        <v/>
      </c>
      <c r="KK351" s="355" t="str">
        <f t="shared" si="181"/>
        <v/>
      </c>
      <c r="KL351" s="355" t="str">
        <f t="shared" si="182"/>
        <v/>
      </c>
      <c r="KM351" s="355" t="str">
        <f t="shared" si="183"/>
        <v/>
      </c>
      <c r="KN351" s="355" t="str">
        <f t="shared" si="184"/>
        <v/>
      </c>
      <c r="KO351" s="359"/>
      <c r="KP351" s="378"/>
      <c r="KQ351" s="379" t="s">
        <v>9</v>
      </c>
      <c r="KR351" s="380" t="s">
        <v>9</v>
      </c>
      <c r="KS351" s="381" t="s">
        <v>9</v>
      </c>
      <c r="KT351" s="382">
        <f t="shared" si="186"/>
        <v>0</v>
      </c>
      <c r="KU351" s="383">
        <f t="shared" si="187"/>
        <v>0</v>
      </c>
      <c r="KV351" s="381" t="str">
        <f t="shared" si="205"/>
        <v>S</v>
      </c>
      <c r="KW351" s="382">
        <f t="shared" si="189"/>
        <v>0</v>
      </c>
      <c r="KX351" s="384">
        <f t="shared" si="190"/>
        <v>0</v>
      </c>
      <c r="KY351" s="382">
        <f t="shared" ref="KY351:KZ351" si="936">KW351-KT351</f>
        <v>0</v>
      </c>
      <c r="KZ351" s="369">
        <f t="shared" si="936"/>
        <v>0</v>
      </c>
      <c r="LA351" s="385" t="str">
        <f t="shared" si="192"/>
        <v>✔</v>
      </c>
      <c r="LB351" s="340" t="str">
        <f>IFERROR(__xludf.DUMMYFUNCTION("JOIN("""",ArrayFormula(MID(KS351,LEN(KS351)-SEQUENCE(1,LEN(KS351))+1,1)))"),"S")</f>
        <v>S</v>
      </c>
      <c r="LC351" s="373" t="str">
        <f>IFERROR(__xludf.DUMMYFUNCTION("JOIN("""",ArrayFormula(MID(KV351,LEN(KV351)-SEQUENCE(1,LEN(KV351))+1,1)))"),"S")</f>
        <v>S</v>
      </c>
      <c r="LD351" s="373" t="str">
        <f t="shared" si="193"/>
        <v>S</v>
      </c>
      <c r="LE351" s="339" t="str">
        <f t="shared" si="194"/>
        <v>S</v>
      </c>
      <c r="LF351" s="386" t="str">
        <f>IFERROR(__xludf.DUMMYFUNCTION("SUBSTITUTE(SUBSTITUTE(CONCATENATE(JOIN("""",LH351:LT351)),""1"",""""),""2"","""")"),"SS")</f>
        <v>SS</v>
      </c>
      <c r="LG351" s="369" t="str">
        <f t="shared" si="195"/>
        <v>-</v>
      </c>
      <c r="LH351" s="387" t="str">
        <f>IFERROR(__xludf.DUMMYFUNCTION("IF(REGEXMATCH(LD351, ""S""), ""S"",IF(REGEXMATCH(LE351, ""S""), ""S"",""""))"),"S")</f>
        <v>S</v>
      </c>
      <c r="LI351" s="299" t="str">
        <f>IFERROR(__xludf.DUMMYFUNCTION("IF(REGEXMATCH(LD351, ""r""), ""r1"",IF(REGEXMATCH(LE351, ""r""), ""r2"",""""))"),"")</f>
        <v/>
      </c>
      <c r="LJ351" s="299" t="str">
        <f>IFERROR(__xludf.DUMMYFUNCTION("IF(REGEXMATCH(LD351, ""R""), ""R1"",IF(REGEXMATCH(LE351, ""R""), ""R2"",""""))"),"")</f>
        <v/>
      </c>
      <c r="LK351" s="299" t="str">
        <f>IFERROR(__xludf.DUMMYFUNCTION("IF(REGEXMATCH(LD351, ""g""), ""g1"",IF(REGEXMATCH(LE351, ""g""), ""g2"",""""))"),"")</f>
        <v/>
      </c>
      <c r="LL351" s="299" t="str">
        <f>IFERROR(__xludf.DUMMYFUNCTION("IF(REGEXMATCH(LD351, ""G""), ""G1"",IF(REGEXMATCH(LE351, ""G""), ""G2"",""""))"),"")</f>
        <v/>
      </c>
      <c r="LM351" s="299" t="str">
        <f>IFERROR(__xludf.DUMMYFUNCTION("IF(REGEXMATCH(LD351, ""m""), ""m1"",IF(REGEXMATCH(LE351, ""m""), ""m2"",""""))"),"")</f>
        <v/>
      </c>
      <c r="LN351" s="299" t="str">
        <f>IFERROR(__xludf.DUMMYFUNCTION("IF(REGEXMATCH(LD351, ""M""), ""M1"",IF(REGEXMATCH(LE351, ""M""), ""M2"",""""))"),"")</f>
        <v/>
      </c>
      <c r="LO351" s="299" t="str">
        <f>IFERROR(__xludf.DUMMYFUNCTION("IF(REGEXMATCH(LD351, ""P""), ""P1"",IF(REGEXMATCH(LE351, ""P""), ""P2"",""""))"),"")</f>
        <v/>
      </c>
      <c r="LP351" s="299" t="str">
        <f>IFERROR(__xludf.DUMMYFUNCTION("IF(REGEXMATCH(LD351, ""d""), ""d1"",IF(REGEXMATCH(LE351, ""d""), ""d2"",""""))"),"")</f>
        <v/>
      </c>
      <c r="LQ351" s="299" t="str">
        <f>IFERROR(__xludf.DUMMYFUNCTION("IF(REGEXMATCH(LD351, ""D""), ""D1"",IF(REGEXMATCH(LE351, ""D""), ""D2"",""""))"),"")</f>
        <v/>
      </c>
      <c r="LR351" s="299" t="str">
        <f>IFERROR(__xludf.DUMMYFUNCTION("IF(REGEXMATCH(LD351, ""n""), ""n1"",IF(REGEXMATCH(LE351, ""n""), ""n2"",""""))"),"")</f>
        <v/>
      </c>
      <c r="LS351" s="299" t="str">
        <f>IFERROR(__xludf.DUMMYFUNCTION("IF(REGEXMATCH(LD351, ""N""), ""N1"",IF(REGEXMATCH(LE351, ""N""), ""N2"",""""))"),"")</f>
        <v/>
      </c>
      <c r="LT351" s="388" t="str">
        <f>IFERROR(__xludf.DUMMYFUNCTION("IF(REGEXMATCH(LD351, ""S""), ""S"",IF(REGEXMATCH(LE351, ""S""), ""S"",""""))"),"S")</f>
        <v>S</v>
      </c>
      <c r="LU351" s="389">
        <f t="shared" si="196"/>
        <v>1</v>
      </c>
      <c r="LV351" s="378"/>
      <c r="LW351" s="369"/>
      <c r="LX351" s="369"/>
    </row>
    <row r="352" ht="18.0" customHeight="1">
      <c r="A352" s="298" t="s">
        <v>1222</v>
      </c>
      <c r="B352" s="222" t="s">
        <v>1223</v>
      </c>
      <c r="C352" s="233" t="str">
        <f t="shared" si="7"/>
        <v>SGmPnNS</v>
      </c>
      <c r="D352" s="234" t="str">
        <f>IFERROR(__xludf.DUMMYFUNCTION("IF(REGEXMATCH(C352, ""S""), ""S"","""")"),"S")</f>
        <v>S</v>
      </c>
      <c r="E352" s="236" t="str">
        <f>IFERROR(__xludf.DUMMYFUNCTION("IF(REGEXMATCH(C352, ""r""), ""r"","""")"),"")</f>
        <v/>
      </c>
      <c r="F352" s="237" t="str">
        <f>IFERROR(__xludf.DUMMYFUNCTION("IF(REGEXMATCH(C352, ""R""), ""R"","""")"),"")</f>
        <v/>
      </c>
      <c r="G352" s="237" t="str">
        <f>IFERROR(__xludf.DUMMYFUNCTION("IF(REGEXMATCH(C352, ""g""), ""g"","""")"),"")</f>
        <v/>
      </c>
      <c r="H352" s="236" t="str">
        <f>IFERROR(__xludf.DUMMYFUNCTION("IF(REGEXMATCH(C352, ""G""), ""G"","""")"),"G")</f>
        <v>G</v>
      </c>
      <c r="I352" s="236" t="str">
        <f>IFERROR(__xludf.DUMMYFUNCTION("IF(REGEXMATCH(C352, ""m""), ""m"","""")"),"m")</f>
        <v>m</v>
      </c>
      <c r="J352" s="237" t="str">
        <f>IFERROR(__xludf.DUMMYFUNCTION("IF(REGEXMATCH(C352, ""M""), ""M"","""")"),"")</f>
        <v/>
      </c>
      <c r="K352" s="236" t="str">
        <f>IFERROR(__xludf.DUMMYFUNCTION("IF(REGEXMATCH(C352, ""P""), ""P"","""")"),"P")</f>
        <v>P</v>
      </c>
      <c r="L352" s="237" t="str">
        <f>IFERROR(__xludf.DUMMYFUNCTION("IF(REGEXMATCH(C352, ""d""), ""d"","""")"),"")</f>
        <v/>
      </c>
      <c r="M352" s="236" t="str">
        <f>IFERROR(__xludf.DUMMYFUNCTION("IF(REGEXMATCH(C352, ""D""), ""D"","""")"),"")</f>
        <v/>
      </c>
      <c r="N352" s="236" t="str">
        <f>IFERROR(__xludf.DUMMYFUNCTION("IF(REGEXMATCH(C352, ""n""), ""n"","""")"),"n")</f>
        <v>n</v>
      </c>
      <c r="O352" s="237" t="str">
        <f>IFERROR(__xludf.DUMMYFUNCTION("IF(REGEXMATCH(C352, ""N""), ""N"","""")"),"N")</f>
        <v>N</v>
      </c>
      <c r="P352" s="238" t="str">
        <f>IFERROR(__xludf.DUMMYFUNCTION("IF(REGEXMATCH(C352, ""S""), ""S"","""")"),"S")</f>
        <v>S</v>
      </c>
      <c r="Q352" s="239" t="str">
        <f>IFERROR(__xludf.DUMMYFUNCTION("SUBSTITUTE(CONCATENATE(JOIN(""-"",D352:J352)),""-"","""")"),"SGm")</f>
        <v>SGm</v>
      </c>
      <c r="R352" s="229" t="str">
        <f>IFERROR(__xludf.DUMMYFUNCTION("SUBSTITUTE(CONCATENATE(JOIN(""-"",K352:P352)),""-"","""")"),"PnNS")</f>
        <v>PnNS</v>
      </c>
      <c r="S352" s="282" t="str">
        <f t="shared" si="8"/>
        <v>S-G-M</v>
      </c>
      <c r="T352" s="282" t="str">
        <f t="shared" si="9"/>
        <v>P-N-S</v>
      </c>
      <c r="U352" s="237" t="str">
        <f>IFERROR(__xludf.DUMMYFUNCTION("SUBSTITUTE(JOIN(""-"",S352,T352),""--"",""-"")"),"S-G-M-P-N-S")</f>
        <v>S-G-M-P-N-S</v>
      </c>
      <c r="V352" s="309" t="str">
        <f t="shared" si="10"/>
        <v>GmnN</v>
      </c>
      <c r="W352" s="244" t="str">
        <f>IFERROR(__xludf.DUMMYFUNCTION("IF(REGEXMATCH(C352, ""S""), ""0"","""")"),"0")</f>
        <v>0</v>
      </c>
      <c r="X352" s="245" t="str">
        <f>IFERROR(__xludf.DUMMYFUNCTION("IF(REGEXMATCH(C352, ""r""), ""1"","""")"),"")</f>
        <v/>
      </c>
      <c r="Y352" s="246" t="str">
        <f>IFERROR(__xludf.DUMMYFUNCTION("IF(REGEXMATCH(C352, ""R""), ""2"","""")"),"")</f>
        <v/>
      </c>
      <c r="Z352" s="246" t="str">
        <f>IFERROR(__xludf.DUMMYFUNCTION("IF(REGEXMATCH(C352, ""g""), ""3"","""")"),"")</f>
        <v/>
      </c>
      <c r="AA352" s="245" t="str">
        <f>IFERROR(__xludf.DUMMYFUNCTION("IF(REGEXMATCH(C352, ""G""), ""4"","""")"),"4")</f>
        <v>4</v>
      </c>
      <c r="AB352" s="245" t="str">
        <f>IFERROR(__xludf.DUMMYFUNCTION("IF(REGEXMATCH(C352, ""m""), ""5"","""")"),"5")</f>
        <v>5</v>
      </c>
      <c r="AC352" s="246" t="str">
        <f>IFERROR(__xludf.DUMMYFUNCTION("IF(REGEXMATCH(C352, ""M""), ""6"","""")"),"")</f>
        <v/>
      </c>
      <c r="AD352" s="245" t="str">
        <f>IFERROR(__xludf.DUMMYFUNCTION("IF(REGEXMATCH(C352, ""P""), ""7"","""")"),"7")</f>
        <v>7</v>
      </c>
      <c r="AE352" s="246" t="str">
        <f>IFERROR(__xludf.DUMMYFUNCTION("IF(REGEXMATCH(C352, ""d""), ""8"","""")"),"")</f>
        <v/>
      </c>
      <c r="AF352" s="245" t="str">
        <f>IFERROR(__xludf.DUMMYFUNCTION("IF(REGEXMATCH(C352, ""D""), ""9"","""")"),"")</f>
        <v/>
      </c>
      <c r="AG352" s="245" t="str">
        <f>IFERROR(__xludf.DUMMYFUNCTION("IF(REGEXMATCH(C352, ""n""), ""10"","""")"),"10")</f>
        <v>10</v>
      </c>
      <c r="AH352" s="246" t="str">
        <f>IFERROR(__xludf.DUMMYFUNCTION("IF(REGEXMATCH(C352, ""N""), ""11"","""")"),"11")</f>
        <v>11</v>
      </c>
      <c r="AI352" s="249" t="str">
        <f>IFERROR(__xludf.DUMMYFUNCTION("IF(REGEXMATCH(C352, ""S""), ""0"","""")"),"0")</f>
        <v>0</v>
      </c>
      <c r="AJ352" s="313" t="str">
        <f t="shared" si="11"/>
        <v>-</v>
      </c>
      <c r="AK352" s="313" t="str">
        <f t="shared" si="12"/>
        <v>-</v>
      </c>
      <c r="AL352" s="313" t="str">
        <f t="shared" si="13"/>
        <v>-</v>
      </c>
      <c r="AM352" s="313" t="str">
        <f t="shared" si="14"/>
        <v>-</v>
      </c>
      <c r="AN352" s="313" t="str">
        <f t="shared" si="15"/>
        <v>T</v>
      </c>
      <c r="AO352" s="314" t="str">
        <f t="shared" si="16"/>
        <v>T</v>
      </c>
      <c r="AP352" s="316">
        <f t="shared" si="17"/>
        <v>2</v>
      </c>
      <c r="AQ352" s="319" t="str">
        <f t="shared" si="18"/>
        <v>-</v>
      </c>
      <c r="AR352" s="320">
        <f t="shared" si="19"/>
        <v>0</v>
      </c>
      <c r="AS352" s="250" t="str">
        <f>IFERROR(__xludf.DUMMYFUNCTION("SUBSTITUTE(SUBSTITUTE(CONCATENATE(JOIN("""",FP352:GA352)),""|"",""x""),""-"",""o"")"),"xoooxxoxooxx")</f>
        <v>xoooxxoxooxx</v>
      </c>
      <c r="AT352" s="323" t="str">
        <f>IFERROR(__xludf.DUMMYFUNCTION("JOIN("""",AS352,AS352)"),"xoooxxoxooxxxoooxxoxooxx")</f>
        <v>xoooxxoxooxxxoooxxoxooxx</v>
      </c>
      <c r="AU352" s="256" t="str">
        <f>IFERROR(__xludf.DUMMYFUNCTION("JOIN("""",ArrayFormula(MID(AS352,LEN(AS352)-SEQUENCE(1,LEN(AS352))+1,1)))"),"xxooxoxxooox")</f>
        <v>xxooxoxxooox</v>
      </c>
      <c r="AV352" s="256" t="str">
        <f>IFERROR(__xludf.DUMMYFUNCTION("LEFT(CONCATENATE(""x"",JOIN("""",ArrayFormula(MID(AS352,LEN(AS352)-SEQUENCE(1,LEN(AS352))+1,1)))),12)"),"xxxooxoxxooo")</f>
        <v>xxxooxoxxooo</v>
      </c>
      <c r="AW352" s="327" t="str">
        <f>IFERROR(__xludf.DUMMYFUNCTION("JOIN("""",AU352,AU352)"),"xxooxoxxoooxxxooxoxxooox")</f>
        <v>xxooxoxxoooxxxooxoxxooox</v>
      </c>
      <c r="AX352" s="239" t="str">
        <f>IFERROR(__xludf.DUMMYFUNCTION("IF(REGEXMATCH(AW352,AS352),""✔"",""-"")"),"-")</f>
        <v>-</v>
      </c>
      <c r="AY352" s="330" t="str">
        <f t="shared" si="20"/>
        <v>-</v>
      </c>
      <c r="AZ352" s="260" t="str">
        <f t="shared" si="21"/>
        <v>#REF!</v>
      </c>
      <c r="BA352" s="333" t="str">
        <f t="shared" si="22"/>
        <v>xoooxxo</v>
      </c>
      <c r="BB352" s="334" t="str">
        <f t="shared" si="23"/>
        <v>xooxxx</v>
      </c>
      <c r="BC352" s="335" t="str">
        <f t="shared" si="236"/>
        <v>-</v>
      </c>
      <c r="BD352" s="336" t="str">
        <f t="shared" si="25"/>
        <v>Tilang: 'xoooxxo' + 'xooxxx'</v>
      </c>
      <c r="BE352" s="337">
        <f>IFERROR(__xludf.DUMMYFUNCTION("COUNTUNIQUE(FILTER(AT:AT,REGEXMATCH(AT:AT,AS352)))-1"),1.0)</f>
        <v>1</v>
      </c>
      <c r="BF352" s="261" t="str">
        <f>IFERROR(__xludf.DUMMYFUNCTION("IF(BI352=0,""(n/a)"",IF(BJ352=2,""(PAIR)"",IF(REGEXMATCH(AT352,""xoxoxxoxoxox""),""Bilawal"",IF(REGEXMATCH(AT352,""xoxoxooxoxoo""),""Bhupali"",IF(REGEXMATCH(AT352,""xoxoxxoxxoxo""),""Charukeshi"",IF(REGEXMATCH(AT352,""xoxoooxxoxxo""),""Kameshwari"",IF(REG"&amp;"EXMATCH(AT352,""xoxoxooxoxox""),""Shankara"",IF(REGEXMATCH(AT352,""xxooxoxxxoox""),""Basant"",IF(REGEXMATCH(AT352,""xoxoxxxxoxox""),""Bihag"",IF(REGEXMATCH(AT352,""xoxxxxoxoxxx""),""Pilu"",IF(REGEXMATCH(AT352,""xoxxoxoxxoox""),""Kirwani"",IF(REGEXMATCH(AT"&amp;"352,""xoxxoxoxoxxx""),""Mk.Malhar"",IF(REGEXMATCH(AT352,""xxooxxoxxoox""),""Bhairav"",IF(REGEXMATCH(AT352,""xxoxooxxxoox""),""Todi"",IF(REGEXMATCH(AT352,""xxooxoxooxox""),""Marwa"",IF(REGEXMATCH(AT352,""xxoooxoxxooo""),""Gunkali"",IF(REGEXMATCH(AT352,""xo"&amp;"xoxxoxxoox""),""Nat Bhairav"",IF(REGEXMATCH(AT352,""xoxxoooxoxoo""),""Shivranjani"",IF(REGEXMATCH(AT352,""xooxxxoxooxo""),""Jog"",IF(REGEXMATCH(AT352,""xxooxoxoxoox""),""Hemshri"",IF(REGEXMATCH(AT352,""xoooxooxoxxo""),""Kalavati"",IF(REGEXMATCH(AT352,""xx"&amp;"oxoxxoxoox""),""Kedar"",IF(REGEXMATCH(AT352,""xoxxxxoxooxx""),""Gara"",IF(REGEXMATCH(AT352,""xooxoxooxoox""),""Chandrakauns"",IF(REGEXMATCH(AT352,""xoxxxxoxxxox""),""Mand"",IF(REGEXMATCH(AT352,""xoxxxxoxoxox""),""Hanskinkini"",IF(REGEXMATCH(AT352,""xxooxx"&amp;"oxooxo""),""Lilavati"",IF(REGEXMATCH(AT352,""xooxoxoooxox""),""Rajeshwari"",IF(REGEXMATCH(AT352,""xoooxxoxoxxx""),""Khokar"",IF(REGEXMATCH(AT352,""xxooxoxxxxox""),""Maligoura"",""-""))))))))))))))))))))))))))))))"),"(PAIR)")</f>
        <v>(PAIR)</v>
      </c>
      <c r="BG352" s="239" t="str">
        <f t="shared" si="26"/>
        <v>#REF!</v>
      </c>
      <c r="BH352" s="239">
        <f>IFERROR(__xludf.DUMMYFUNCTION("COUNTUNIQUE(FE352:FO352)-1"),5.0)</f>
        <v>5</v>
      </c>
      <c r="BI352" s="239">
        <f>IFERROR(__xludf.DUMMYFUNCTION("COUNTUNIQUE(FILTER(AT:AT,REGEXMATCH(AT:AT,AS352)))-1"),1.0)</f>
        <v>1</v>
      </c>
      <c r="BJ352" s="239">
        <f>IFERROR(__xludf.DUMMYFUNCTION("COUNTA(FILTER(AT:AT,REGEXMATCH(AT:AT,AS352)))"),2.0)</f>
        <v>2</v>
      </c>
      <c r="BK352" s="341">
        <f>IFERROR(__xludf.DUMMYFUNCTION("COUNTA(FILTER(AT:AT,REGEXMATCH(AT:AT,AS352)))-AR352"),2.0)</f>
        <v>2</v>
      </c>
      <c r="BL352" s="276" t="str">
        <f>IFERROR(__xludf.DUMMYFUNCTION("IF(AS352=""oooooooooooo"",""-"",IF(REGEXMATCH(AT352,""xx""), ""Hemi."", ""Anhemi.""))"),"Hemi.")</f>
        <v>Hemi.</v>
      </c>
      <c r="BM352" s="282" t="str">
        <f>IFERROR(__xludf.DUMMYFUNCTION("IF(AS352=""oooooooooooo"",""-"",IF(REGEXMATCH(AT352,""xxx""), ""Cohem."", ""-""))"),"Cohem.")</f>
        <v>Cohem.</v>
      </c>
      <c r="BN352" s="282" t="str">
        <f>IFERROR(__xludf.DUMMYFUNCTION("IF(AS352=""oooooooooooo"",""-"",IF(REGEXMATCH(AT352,""xxxx""), ""Co-Co."", ""-""))"),"-")</f>
        <v>-</v>
      </c>
      <c r="BO352" s="342" t="str">
        <f>IFERROR(__xludf.DUMMYFUNCTION("IF(AS352=""oooooooooooo"",""-"",IF(REGEXMATCH(AT352,""xxxxx""), ""CCC."", ""-""))"),"-")</f>
        <v>-</v>
      </c>
      <c r="BP352" s="344" t="str">
        <f t="shared" si="27"/>
        <v>-</v>
      </c>
      <c r="BQ352" s="282" t="str">
        <f>IFERROR(__xludf.DUMMYFUNCTION("IF(REGEXMATCH(JOIN(""-"",EU352:FD352),""TRUE""),""✔"",""-"")"),"-")</f>
        <v>-</v>
      </c>
      <c r="BR352" s="225">
        <f t="shared" si="28"/>
        <v>0</v>
      </c>
      <c r="BS352" s="345" t="str">
        <f>IFERROR(__xludf.DUMMYFUNCTION("SUBSTITUTE(SUBSTITUTE(SUBSTITUTE(SUBSTITUTE(CONCATENATE(JOIN(""-"",GC352:GO352)),""--"",""-""),""--"",""-""),""--"",""-""),""--"",""-"")"),"1-3-4-5-b7-7-8")</f>
        <v>1-3-4-5-b7-7-8</v>
      </c>
      <c r="BT352" s="299" t="str">
        <f>IFERROR(__xludf.DUMMYFUNCTION("SUBSTITUTE(SUBSTITUTE(SUBSTITUTE(SUBSTITUTE(CONCATENATE(JOIN(""-"",GP352:HB352)),""--"",""-""),""--"",""-""),""--"",""-""),""--"",""-"")"),"S-G3-M1-P-N2-N3-S")</f>
        <v>S-G3-M1-P-N2-N3-S</v>
      </c>
      <c r="BU352" s="348" t="str">
        <f t="shared" si="29"/>
        <v>C-E-F-G-Bb-B-C</v>
      </c>
      <c r="BV352" s="349" t="str">
        <f t="shared" si="30"/>
        <v>SrRgMdDS</v>
      </c>
      <c r="BW352" s="350">
        <f t="shared" si="31"/>
        <v>0</v>
      </c>
      <c r="BX352" s="351">
        <f t="shared" si="32"/>
        <v>1</v>
      </c>
      <c r="BY352" s="392"/>
      <c r="BZ352" s="309" t="str">
        <f>IFERROR(__xludf.DUMMYFUNCTION("IF(REGEXMATCH(C352, ""S""), ""x"",""x"")"),"x")</f>
        <v>x</v>
      </c>
      <c r="CA352" s="245" t="str">
        <f>IFERROR(__xludf.DUMMYFUNCTION("IF(REGEXMATCH(C352, ""r""), ""o"",""x"")"),"x")</f>
        <v>x</v>
      </c>
      <c r="CB352" s="246" t="str">
        <f>IFERROR(__xludf.DUMMYFUNCTION("IF(REGEXMATCH(C352, ""R""), ""o"",""x"")"),"x")</f>
        <v>x</v>
      </c>
      <c r="CC352" s="246" t="str">
        <f>IFERROR(__xludf.DUMMYFUNCTION("IF(REGEXMATCH(C352, ""g""), ""o"",""x"")"),"x")</f>
        <v>x</v>
      </c>
      <c r="CD352" s="245" t="str">
        <f>IFERROR(__xludf.DUMMYFUNCTION("IF(REGEXMATCH(C352, ""G""), ""o"",""x"")"),"o")</f>
        <v>o</v>
      </c>
      <c r="CE352" s="245" t="str">
        <f>IFERROR(__xludf.DUMMYFUNCTION("IF(REGEXMATCH(C352, ""m""), ""o"",""x"")"),"o")</f>
        <v>o</v>
      </c>
      <c r="CF352" s="246" t="str">
        <f>IFERROR(__xludf.DUMMYFUNCTION("IF(REGEXMATCH(C352, ""M""), ""o"",""x"")"),"x")</f>
        <v>x</v>
      </c>
      <c r="CG352" s="245" t="str">
        <f>IFERROR(__xludf.DUMMYFUNCTION("IF(REGEXMATCH(C352, ""P""), ""o"",""x"")"),"o")</f>
        <v>o</v>
      </c>
      <c r="CH352" s="246" t="str">
        <f>IFERROR(__xludf.DUMMYFUNCTION("IF(REGEXMATCH(C352, ""d""), ""o"",""x"")"),"x")</f>
        <v>x</v>
      </c>
      <c r="CI352" s="245" t="str">
        <f>IFERROR(__xludf.DUMMYFUNCTION("IF(REGEXMATCH(C352, ""D""), ""o"",""x"")"),"x")</f>
        <v>x</v>
      </c>
      <c r="CJ352" s="245" t="str">
        <f>IFERROR(__xludf.DUMMYFUNCTION("IF(REGEXMATCH(C352, ""n""), ""o"",""x"")"),"o")</f>
        <v>o</v>
      </c>
      <c r="CK352" s="245" t="str">
        <f>IFERROR(__xludf.DUMMYFUNCTION("IF(REGEXMATCH(C352, ""N""), ""o"",""x"")"),"o")</f>
        <v>o</v>
      </c>
      <c r="CL352" s="356" t="str">
        <f>IFERROR(__xludf.DUMMYFUNCTION("IF(REGEXMATCH(C352, ""S""), ""x"",""x"")"),"x")</f>
        <v>x</v>
      </c>
      <c r="CM352" s="357" t="str">
        <f t="shared" si="33"/>
        <v>xxxxooxoxxoo</v>
      </c>
      <c r="CN352" s="358">
        <f t="shared" si="34"/>
        <v>0</v>
      </c>
      <c r="CO352" s="246" t="str">
        <f>IFERROR(__xludf.DUMMYFUNCTION("IF(REGEXMATCH($C352, ""S""), ""S"",""S"")"),"S")</f>
        <v>S</v>
      </c>
      <c r="CP352" s="246" t="str">
        <f>IFERROR(__xludf.DUMMYFUNCTION("IF(REGEXMATCH($C352, ""r""), """",""r"")"),"r")</f>
        <v>r</v>
      </c>
      <c r="CQ352" s="246" t="str">
        <f>IFERROR(__xludf.DUMMYFUNCTION("IF(REGEXMATCH($C352, ""R""), """",""R"")"),"R")</f>
        <v>R</v>
      </c>
      <c r="CR352" s="246" t="str">
        <f>IFERROR(__xludf.DUMMYFUNCTION("IF(REGEXMATCH($C352, ""g""), """",""g"")"),"g")</f>
        <v>g</v>
      </c>
      <c r="CS352" s="246" t="str">
        <f>IFERROR(__xludf.DUMMYFUNCTION("IF(REGEXMATCH($C352, ""G""), """",""G"")"),"")</f>
        <v/>
      </c>
      <c r="CT352" s="246" t="str">
        <f>IFERROR(__xludf.DUMMYFUNCTION("IF(REGEXMATCH($C352, ""m""), """",""m"")"),"")</f>
        <v/>
      </c>
      <c r="CU352" s="246" t="str">
        <f>IFERROR(__xludf.DUMMYFUNCTION("IF(REGEXMATCH($C352, ""M""), """",""M"")"),"M")</f>
        <v>M</v>
      </c>
      <c r="CV352" s="246" t="str">
        <f>IFERROR(__xludf.DUMMYFUNCTION("IF(REGEXMATCH($C352, ""P""), """",""P"")"),"")</f>
        <v/>
      </c>
      <c r="CW352" s="246" t="str">
        <f>IFERROR(__xludf.DUMMYFUNCTION("IF(REGEXMATCH($C352, ""d""), """",""d"")"),"d")</f>
        <v>d</v>
      </c>
      <c r="CX352" s="246" t="str">
        <f>IFERROR(__xludf.DUMMYFUNCTION("IF(REGEXMATCH($C352, ""D""), """",""D"")"),"D")</f>
        <v>D</v>
      </c>
      <c r="CY352" s="246" t="str">
        <f>IFERROR(__xludf.DUMMYFUNCTION("IF(REGEXMATCH($C352, ""n""), """",""n"")"),"")</f>
        <v/>
      </c>
      <c r="CZ352" s="246" t="str">
        <f>IFERROR(__xludf.DUMMYFUNCTION("IF(REGEXMATCH($C352, ""N""), """",""N"")"),"")</f>
        <v/>
      </c>
      <c r="DA352" s="246" t="str">
        <f>IFERROR(__xludf.DUMMYFUNCTION("IF(REGEXMATCH($C352, ""S""), ""S"",""S"")"),"S")</f>
        <v>S</v>
      </c>
      <c r="DB352" s="362" t="str">
        <f>IFERROR(__xludf.DUMMYFUNCTION("JOIN("""",CO352:DA352,"""","""")"),"SrRgMdDS")</f>
        <v>SrRgMdDS</v>
      </c>
      <c r="DC352" s="363"/>
      <c r="DD352" s="301" t="str">
        <f t="shared" si="35"/>
        <v>#REF!</v>
      </c>
      <c r="DE352" s="302" t="str">
        <f t="shared" si="36"/>
        <v>#REF!</v>
      </c>
      <c r="DF352" s="301" t="str">
        <f t="shared" ref="DF352:DG352" si="937">SUBSTITUTE(S352,"-","")</f>
        <v>SGM</v>
      </c>
      <c r="DG352" s="301" t="str">
        <f t="shared" si="937"/>
        <v>PNS</v>
      </c>
      <c r="DH352" s="302" t="str">
        <f t="shared" si="38"/>
        <v>(PAIR)</v>
      </c>
      <c r="DI352" s="301" t="str">
        <f t="shared" si="39"/>
        <v>Hemi.</v>
      </c>
      <c r="DJ352" s="364" t="str">
        <f t="shared" si="40"/>
        <v>Cohem.</v>
      </c>
      <c r="DK352" s="306" t="str">
        <f t="shared" si="41"/>
        <v>-</v>
      </c>
      <c r="DL352" s="366" t="str">
        <f t="shared" si="42"/>
        <v>-</v>
      </c>
      <c r="DM352" s="308" t="str">
        <f t="shared" si="43"/>
        <v>✔</v>
      </c>
      <c r="DN352" s="306" t="str">
        <f t="shared" si="44"/>
        <v>-</v>
      </c>
      <c r="DO352" s="306" t="str">
        <f t="shared" si="45"/>
        <v>-</v>
      </c>
      <c r="DP352" s="367" t="str">
        <f t="shared" si="46"/>
        <v>-</v>
      </c>
      <c r="DQ352" s="310" t="str">
        <f t="shared" si="47"/>
        <v>-</v>
      </c>
      <c r="DR352" s="310" t="str">
        <f t="shared" si="48"/>
        <v>-</v>
      </c>
      <c r="DS352" s="310" t="str">
        <f t="shared" si="49"/>
        <v>-</v>
      </c>
      <c r="DT352" s="310" t="str">
        <f t="shared" si="50"/>
        <v>-</v>
      </c>
      <c r="DU352" s="370" t="str">
        <f t="shared" si="51"/>
        <v>✔</v>
      </c>
      <c r="DV352" s="306" t="str">
        <f t="shared" si="52"/>
        <v>✔</v>
      </c>
      <c r="DW352" s="306" t="str">
        <f t="shared" si="53"/>
        <v>-</v>
      </c>
      <c r="DX352" s="306" t="str">
        <f t="shared" si="54"/>
        <v>-</v>
      </c>
      <c r="DY352" s="306" t="str">
        <f t="shared" si="55"/>
        <v>-</v>
      </c>
      <c r="DZ352" s="306" t="str">
        <f t="shared" si="56"/>
        <v>✔</v>
      </c>
      <c r="EA352" s="367" t="str">
        <f t="shared" si="57"/>
        <v>-</v>
      </c>
      <c r="EB352" s="310" t="str">
        <f>IFERROR(__xludf.DUMMYFUNCTION("IF(REGEXMATCH(AW352,AS352),""✔"",""-"")"),"-")</f>
        <v>-</v>
      </c>
      <c r="EC352" s="310" t="str">
        <f t="shared" si="58"/>
        <v>#REF!</v>
      </c>
      <c r="ED352" s="370" t="str">
        <f t="shared" si="59"/>
        <v>-</v>
      </c>
      <c r="EE352" s="340" t="str">
        <f t="shared" si="60"/>
        <v>S-G-m-P-nN-S</v>
      </c>
      <c r="EF352" s="371" t="str">
        <f>IFERROR(__xludf.DUMMYFUNCTION("CONCATENATE(JOIN("""",HC352:HO352))"),"SrRmPdS")</f>
        <v>SrRmPdS</v>
      </c>
      <c r="EG352" s="372">
        <f t="shared" si="61"/>
        <v>2</v>
      </c>
      <c r="EH352" s="373" t="str">
        <f>IFERROR(__xludf.DUMMYFUNCTION("CONCATENATE(JOIN("""",JC352:JO352))"),"Pa, Ni, ")</f>
        <v>Pa, Ni, </v>
      </c>
      <c r="EI352" s="322">
        <f t="shared" si="62"/>
        <v>0</v>
      </c>
      <c r="EJ352" s="374" t="str">
        <f>IFERROR(__xludf.DUMMYFUNCTION("CONCATENATE(JOIN("""",KC352:KO352))"),"")</f>
        <v/>
      </c>
      <c r="EK352" s="325" t="str">
        <f t="shared" si="63"/>
        <v>S-G3-M1-P-N2-N3-S</v>
      </c>
      <c r="EL352" s="326" t="str">
        <f t="shared" si="64"/>
        <v>1-3-4-5-b7-7-8</v>
      </c>
      <c r="EM352" s="318" t="str">
        <f t="shared" si="65"/>
        <v>#REF!</v>
      </c>
      <c r="EN352" s="328" t="str">
        <f>IFERROR(__xludf.DUMMYFUNCTION("SUBSTITUTE(SUBSTITUTE(SUBSTITUTE(SUBSTITUTE(CONCATENATE(JOIN("" "",HP352:IB352)),""  "","" ""),""  "","" ""),""  "","" ""),""  "","" "")"),"o • • • o o • o • • o o o")</f>
        <v>o • • • o o • o • • o o o</v>
      </c>
      <c r="EO352" s="368" t="str">
        <f t="shared" si="66"/>
        <v>-</v>
      </c>
      <c r="EP352" s="339" t="str">
        <f t="shared" si="67"/>
        <v>-</v>
      </c>
      <c r="EQ352" s="339" t="str">
        <f t="shared" si="68"/>
        <v>Sa-Pa</v>
      </c>
      <c r="ER352" s="339" t="str">
        <f t="shared" si="69"/>
        <v>-</v>
      </c>
      <c r="ES352" s="340" t="str">
        <f t="shared" si="70"/>
        <v>-</v>
      </c>
      <c r="ET352" s="363"/>
      <c r="EU352" s="376" t="b">
        <f>IFERROR(__xludf.DUMMYFUNCTION("arrayformula(sum(--REGEXMATCH(""SRGMPDNS"",split(REGEXREPLACE(C352,""(.)"",""$1~""),""~""))))=len(C352)
"),FALSE)</f>
        <v>0</v>
      </c>
      <c r="EV352" s="290" t="b">
        <f>IFERROR(__xludf.DUMMYFUNCTION("arrayformula(sum(--REGEXMATCH(""SRGmPDNS"",split(REGEXREPLACE(C352,""(.)"",""$1~""),""~""))))=len(C352)"),FALSE)</f>
        <v>0</v>
      </c>
      <c r="EW352" s="290" t="b">
        <f>IFERROR(__xludf.DUMMYFUNCTION("arrayformula(sum(--REGEXMATCH(""SRGmPDnS"",split(REGEXREPLACE(C352,""(.)"",""$1~""),""~""))))=len(C352)"),FALSE)</f>
        <v>0</v>
      </c>
      <c r="EX352" s="290" t="b">
        <f>IFERROR(__xludf.DUMMYFUNCTION("arrayformula(sum(--REGEXMATCH(""SRgmPDnS"",split(REGEXREPLACE(C352,""(.)"",""$1~""),""~""))))=len(C352)"),FALSE)</f>
        <v>0</v>
      </c>
      <c r="EY352" s="290" t="b">
        <f>IFERROR(__xludf.DUMMYFUNCTION("arrayformula(sum(--REGEXMATCH(""SRgmPdnS"",split(REGEXREPLACE(C352,""(.)"",""$1~""),""~""))))=len(C352)"),FALSE)</f>
        <v>0</v>
      </c>
      <c r="EZ352" s="290" t="b">
        <f>IFERROR(__xludf.DUMMYFUNCTION("arrayformula(sum(--REGEXMATCH(""SrgmPdnS"",split(REGEXREPLACE(C352,""(.)"",""$1~""),""~""))))=len(C352)"),FALSE)</f>
        <v>0</v>
      </c>
      <c r="FA352" s="290" t="b">
        <f>IFERROR(__xludf.DUMMYFUNCTION("arrayformula(sum(--REGEXMATCH(""SrGmPdNS"",split(REGEXREPLACE(C352,""(.)"",""$1~""),""~""))))=len(C352)"),FALSE)</f>
        <v>0</v>
      </c>
      <c r="FB352" s="290" t="b">
        <f>IFERROR(__xludf.DUMMYFUNCTION("arrayformula(sum(--REGEXMATCH(""SrGMPDNS"",split(REGEXREPLACE(C352,""(.)"",""$1~""),""~""))))=len(C352)"),FALSE)</f>
        <v>0</v>
      </c>
      <c r="FC352" s="290" t="b">
        <f>IFERROR(__xludf.DUMMYFUNCTION("arrayformula(sum(--REGEXMATCH(""SrGMPdNS"",split(REGEXREPLACE(C352,""(.)"",""$1~""),""~""))))=len(C352)"),FALSE)</f>
        <v>0</v>
      </c>
      <c r="FD352" s="377" t="b">
        <f>IFERROR(__xludf.DUMMYFUNCTION("arrayformula(sum(--REGEXMATCH(""SrgMPdNS"",split(REGEXREPLACE(C352,""(.)"",""$1~""),""~""))))=len(C352)"),FALSE)</f>
        <v>0</v>
      </c>
      <c r="FE352" s="269" t="str">
        <f t="shared" si="71"/>
        <v>-</v>
      </c>
      <c r="FF352" s="269" t="str">
        <f t="shared" si="72"/>
        <v>-</v>
      </c>
      <c r="FG352" s="271" t="str">
        <f t="shared" si="73"/>
        <v>-</v>
      </c>
      <c r="FH352" s="269" t="str">
        <f t="shared" si="74"/>
        <v>xxoxooxxxoo</v>
      </c>
      <c r="FI352" s="271" t="str">
        <f t="shared" si="75"/>
        <v>xoxooxxxooo</v>
      </c>
      <c r="FJ352" s="271" t="str">
        <f t="shared" si="76"/>
        <v>-</v>
      </c>
      <c r="FK352" s="271" t="str">
        <f t="shared" si="77"/>
        <v>xooxxxoooxx</v>
      </c>
      <c r="FL352" s="271" t="str">
        <f t="shared" si="78"/>
        <v>-</v>
      </c>
      <c r="FM352" s="271" t="str">
        <f t="shared" si="79"/>
        <v>-</v>
      </c>
      <c r="FN352" s="271" t="str">
        <f t="shared" si="80"/>
        <v>xxxoooxxoxo</v>
      </c>
      <c r="FO352" s="274" t="str">
        <f t="shared" si="81"/>
        <v>xxoooxxoxoo</v>
      </c>
      <c r="FP352" s="234" t="str">
        <f t="shared" si="82"/>
        <v>|</v>
      </c>
      <c r="FQ352" s="236" t="str">
        <f t="shared" si="83"/>
        <v>-</v>
      </c>
      <c r="FR352" s="237" t="str">
        <f t="shared" si="84"/>
        <v>-</v>
      </c>
      <c r="FS352" s="236" t="str">
        <f t="shared" si="85"/>
        <v>-</v>
      </c>
      <c r="FT352" s="237" t="str">
        <f t="shared" si="86"/>
        <v>|</v>
      </c>
      <c r="FU352" s="236" t="str">
        <f t="shared" si="87"/>
        <v>|</v>
      </c>
      <c r="FV352" s="237" t="str">
        <f t="shared" si="88"/>
        <v>-</v>
      </c>
      <c r="FW352" s="236" t="str">
        <f t="shared" si="89"/>
        <v>|</v>
      </c>
      <c r="FX352" s="237" t="str">
        <f t="shared" si="90"/>
        <v>-</v>
      </c>
      <c r="FY352" s="236" t="str">
        <f t="shared" si="91"/>
        <v>-</v>
      </c>
      <c r="FZ352" s="237" t="str">
        <f t="shared" si="92"/>
        <v>|</v>
      </c>
      <c r="GA352" s="236" t="str">
        <f t="shared" si="93"/>
        <v>|</v>
      </c>
      <c r="GB352" s="238" t="str">
        <f t="shared" si="94"/>
        <v>|</v>
      </c>
      <c r="GC352" s="244" t="str">
        <f>IFERROR(__xludf.DUMMYFUNCTION("IF(REGEXMATCH(C352, ""S""), ""1"","""")"),"1")</f>
        <v>1</v>
      </c>
      <c r="GD352" s="245" t="str">
        <f>IFERROR(__xludf.DUMMYFUNCTION("IF(REGEXMATCH(C352, ""r""), ""b2"","""")"),"")</f>
        <v/>
      </c>
      <c r="GE352" s="246" t="str">
        <f>IFERROR(__xludf.DUMMYFUNCTION("IF(REGEXMATCH(C352, ""R""), ""2"","""")"),"")</f>
        <v/>
      </c>
      <c r="GF352" s="246" t="str">
        <f>IFERROR(__xludf.DUMMYFUNCTION("IF(REGEXMATCH(C352, ""g""), ""b3"","""")"),"")</f>
        <v/>
      </c>
      <c r="GG352" s="245" t="str">
        <f>IFERROR(__xludf.DUMMYFUNCTION("IF(REGEXMATCH(C352, ""G""), ""3"","""")"),"3")</f>
        <v>3</v>
      </c>
      <c r="GH352" s="245" t="str">
        <f>IFERROR(__xludf.DUMMYFUNCTION("IF(REGEXMATCH(C352, ""m""), ""4"","""")"),"4")</f>
        <v>4</v>
      </c>
      <c r="GI352" s="246" t="str">
        <f>IFERROR(__xludf.DUMMYFUNCTION("IF(REGEXMATCH(C352, ""M""), ""#4"","""")"),"")</f>
        <v/>
      </c>
      <c r="GJ352" s="245" t="str">
        <f>IFERROR(__xludf.DUMMYFUNCTION("IF(REGEXMATCH(C352, ""P""), ""5"","""")"),"5")</f>
        <v>5</v>
      </c>
      <c r="GK352" s="246" t="str">
        <f>IFERROR(__xludf.DUMMYFUNCTION("IF(REGEXMATCH(C352, ""d""), ""b6"","""")"),"")</f>
        <v/>
      </c>
      <c r="GL352" s="245" t="str">
        <f>IFERROR(__xludf.DUMMYFUNCTION("IF(REGEXMATCH(C352, ""D""), ""6"","""")"),"")</f>
        <v/>
      </c>
      <c r="GM352" s="245" t="str">
        <f>IFERROR(__xludf.DUMMYFUNCTION("IF(REGEXMATCH(C352, ""n""), ""b7"","""")"),"b7")</f>
        <v>b7</v>
      </c>
      <c r="GN352" s="246" t="str">
        <f>IFERROR(__xludf.DUMMYFUNCTION("IF(REGEXMATCH(C352, ""N""), ""7"","""")"),"7")</f>
        <v>7</v>
      </c>
      <c r="GO352" s="249" t="str">
        <f>IFERROR(__xludf.DUMMYFUNCTION("IF(REGEXMATCH(C352, ""S""), ""8"","""")"),"8")</f>
        <v>8</v>
      </c>
      <c r="GP352" s="244" t="str">
        <f>IFERROR(__xludf.DUMMYFUNCTION("IF(REGEXMATCH(C352, ""S""), ""S"","""")"),"S")</f>
        <v>S</v>
      </c>
      <c r="GQ352" s="294" t="str">
        <f>IFERROR(__xludf.DUMMYFUNCTION("IF(REGEXMATCH(C352, ""r""), ""R1"","""")"),"")</f>
        <v/>
      </c>
      <c r="GR352" s="295" t="str">
        <f>IFERROR(__xludf.DUMMYFUNCTION("IF(REGEXMATCH(C352, ""R""), ""R2"","""")"),"")</f>
        <v/>
      </c>
      <c r="GS352" s="295" t="str">
        <f>IFERROR(__xludf.DUMMYFUNCTION("IF(REGEXMATCH(C352, ""g""), ""G2"","""")"),"")</f>
        <v/>
      </c>
      <c r="GT352" s="294" t="str">
        <f>IFERROR(__xludf.DUMMYFUNCTION("IF(REGEXMATCH(C352, ""G""), ""G3"","""")"),"G3")</f>
        <v>G3</v>
      </c>
      <c r="GU352" s="294" t="str">
        <f>IFERROR(__xludf.DUMMYFUNCTION("IF(REGEXMATCH(C352, ""m""), ""M1"","""")"),"M1")</f>
        <v>M1</v>
      </c>
      <c r="GV352" s="295" t="str">
        <f>IFERROR(__xludf.DUMMYFUNCTION("IF(REGEXMATCH(C352, ""M""), ""M2"","""")"),"")</f>
        <v/>
      </c>
      <c r="GW352" s="294" t="str">
        <f>IFERROR(__xludf.DUMMYFUNCTION("IF(REGEXMATCH(C352, ""P""), ""P"","""")"),"P")</f>
        <v>P</v>
      </c>
      <c r="GX352" s="295" t="str">
        <f>IFERROR(__xludf.DUMMYFUNCTION("IF(REGEXMATCH(C352, ""d""), ""D1"","""")"),"")</f>
        <v/>
      </c>
      <c r="GY352" s="294" t="str">
        <f>IFERROR(__xludf.DUMMYFUNCTION("IF(REGEXMATCH(C352, ""D""), ""D2"","""")"),"")</f>
        <v/>
      </c>
      <c r="GZ352" s="294" t="str">
        <f>IFERROR(__xludf.DUMMYFUNCTION("IF(REGEXMATCH(C352, ""n""), ""N2"","""")"),"N2")</f>
        <v>N2</v>
      </c>
      <c r="HA352" s="295" t="str">
        <f>IFERROR(__xludf.DUMMYFUNCTION("IF(REGEXMATCH(C352, ""N""), ""N3"","""")"),"N3")</f>
        <v>N3</v>
      </c>
      <c r="HB352" s="249" t="str">
        <f>IFERROR(__xludf.DUMMYFUNCTION("IF(REGEXMATCH(C352, ""S""), ""S"","""")"),"S")</f>
        <v>S</v>
      </c>
      <c r="HC352" s="331" t="str">
        <f t="shared" si="95"/>
        <v>S</v>
      </c>
      <c r="HD352" s="332" t="str">
        <f t="shared" si="96"/>
        <v>r</v>
      </c>
      <c r="HE352" s="332" t="str">
        <f t="shared" si="97"/>
        <v>R</v>
      </c>
      <c r="HF352" s="332" t="str">
        <f t="shared" si="98"/>
        <v/>
      </c>
      <c r="HG352" s="332" t="str">
        <f t="shared" si="99"/>
        <v/>
      </c>
      <c r="HH352" s="332" t="str">
        <f t="shared" si="100"/>
        <v>m</v>
      </c>
      <c r="HI352" s="332" t="str">
        <f t="shared" si="101"/>
        <v/>
      </c>
      <c r="HJ352" s="332" t="str">
        <f t="shared" si="102"/>
        <v>P</v>
      </c>
      <c r="HK352" s="332" t="str">
        <f t="shared" si="103"/>
        <v>d</v>
      </c>
      <c r="HL352" s="332" t="str">
        <f t="shared" si="104"/>
        <v/>
      </c>
      <c r="HM352" s="332" t="str">
        <f t="shared" si="105"/>
        <v/>
      </c>
      <c r="HN352" s="332" t="str">
        <f t="shared" si="106"/>
        <v/>
      </c>
      <c r="HO352" s="343" t="str">
        <f t="shared" si="107"/>
        <v>S</v>
      </c>
      <c r="HP352" s="331" t="str">
        <f t="shared" si="108"/>
        <v>o</v>
      </c>
      <c r="HQ352" s="332" t="str">
        <f t="shared" si="109"/>
        <v>•</v>
      </c>
      <c r="HR352" s="332" t="str">
        <f t="shared" si="110"/>
        <v>•</v>
      </c>
      <c r="HS352" s="332" t="str">
        <f t="shared" si="111"/>
        <v>•</v>
      </c>
      <c r="HT352" s="332" t="str">
        <f t="shared" si="112"/>
        <v>o</v>
      </c>
      <c r="HU352" s="332" t="str">
        <f t="shared" si="113"/>
        <v>o</v>
      </c>
      <c r="HV352" s="332" t="str">
        <f t="shared" si="114"/>
        <v>•</v>
      </c>
      <c r="HW352" s="332" t="str">
        <f t="shared" si="115"/>
        <v>o</v>
      </c>
      <c r="HX352" s="332" t="str">
        <f t="shared" si="116"/>
        <v>•</v>
      </c>
      <c r="HY352" s="332" t="str">
        <f t="shared" si="117"/>
        <v>•</v>
      </c>
      <c r="HZ352" s="332" t="str">
        <f t="shared" si="118"/>
        <v>o</v>
      </c>
      <c r="IA352" s="332" t="str">
        <f t="shared" si="119"/>
        <v>o</v>
      </c>
      <c r="IB352" s="338" t="str">
        <f t="shared" si="120"/>
        <v>o</v>
      </c>
      <c r="IC352" s="331" t="str">
        <f t="shared" si="121"/>
        <v>•</v>
      </c>
      <c r="ID352" s="332" t="str">
        <f t="shared" si="122"/>
        <v>o</v>
      </c>
      <c r="IE352" s="332" t="str">
        <f t="shared" si="123"/>
        <v>o</v>
      </c>
      <c r="IF352" s="332" t="str">
        <f t="shared" si="124"/>
        <v>o</v>
      </c>
      <c r="IG352" s="332" t="str">
        <f t="shared" si="125"/>
        <v>•</v>
      </c>
      <c r="IH352" s="332" t="str">
        <f t="shared" si="126"/>
        <v>•</v>
      </c>
      <c r="II352" s="332" t="str">
        <f t="shared" si="127"/>
        <v>o</v>
      </c>
      <c r="IJ352" s="332" t="str">
        <f t="shared" si="128"/>
        <v>•</v>
      </c>
      <c r="IK352" s="332" t="str">
        <f t="shared" si="129"/>
        <v>o</v>
      </c>
      <c r="IL352" s="332" t="str">
        <f t="shared" si="130"/>
        <v>o</v>
      </c>
      <c r="IM352" s="332" t="str">
        <f t="shared" si="131"/>
        <v>•</v>
      </c>
      <c r="IN352" s="332" t="str">
        <f t="shared" si="132"/>
        <v>•</v>
      </c>
      <c r="IO352" s="338" t="str">
        <f t="shared" si="133"/>
        <v>•</v>
      </c>
      <c r="IP352" s="346" t="b">
        <f t="shared" si="134"/>
        <v>0</v>
      </c>
      <c r="IQ352" s="347" t="b">
        <f t="shared" si="135"/>
        <v>0</v>
      </c>
      <c r="IR352" s="347" t="b">
        <f t="shared" si="136"/>
        <v>0</v>
      </c>
      <c r="IS352" s="347" t="b">
        <f t="shared" si="137"/>
        <v>0</v>
      </c>
      <c r="IT352" s="347" t="b">
        <f t="shared" si="138"/>
        <v>0</v>
      </c>
      <c r="IU352" s="347" t="b">
        <f t="shared" si="139"/>
        <v>0</v>
      </c>
      <c r="IV352" s="347" t="b">
        <f t="shared" si="140"/>
        <v>0</v>
      </c>
      <c r="IW352" s="347" t="b">
        <f t="shared" si="141"/>
        <v>1</v>
      </c>
      <c r="IX352" s="347" t="b">
        <f t="shared" si="142"/>
        <v>0</v>
      </c>
      <c r="IY352" s="347" t="b">
        <f t="shared" si="143"/>
        <v>0</v>
      </c>
      <c r="IZ352" s="347" t="b">
        <f t="shared" si="144"/>
        <v>0</v>
      </c>
      <c r="JA352" s="347" t="b">
        <f t="shared" si="145"/>
        <v>1</v>
      </c>
      <c r="JB352" s="353" t="b">
        <f t="shared" si="146"/>
        <v>0</v>
      </c>
      <c r="JC352" s="354" t="str">
        <f t="shared" si="147"/>
        <v/>
      </c>
      <c r="JD352" s="355" t="str">
        <f t="shared" si="148"/>
        <v/>
      </c>
      <c r="JE352" s="355" t="str">
        <f t="shared" si="149"/>
        <v/>
      </c>
      <c r="JF352" s="355" t="str">
        <f t="shared" si="150"/>
        <v/>
      </c>
      <c r="JG352" s="355" t="str">
        <f t="shared" si="151"/>
        <v/>
      </c>
      <c r="JH352" s="355" t="str">
        <f t="shared" si="152"/>
        <v/>
      </c>
      <c r="JI352" s="355" t="str">
        <f t="shared" si="153"/>
        <v/>
      </c>
      <c r="JJ352" s="355" t="str">
        <f t="shared" si="154"/>
        <v>Pa, </v>
      </c>
      <c r="JK352" s="355" t="str">
        <f t="shared" si="155"/>
        <v/>
      </c>
      <c r="JL352" s="355" t="str">
        <f t="shared" si="156"/>
        <v/>
      </c>
      <c r="JM352" s="355" t="str">
        <f t="shared" si="157"/>
        <v/>
      </c>
      <c r="JN352" s="355" t="str">
        <f t="shared" si="158"/>
        <v>Ni, </v>
      </c>
      <c r="JO352" s="359" t="str">
        <f t="shared" si="159"/>
        <v/>
      </c>
      <c r="JP352" s="346" t="b">
        <f t="shared" si="160"/>
        <v>0</v>
      </c>
      <c r="JQ352" s="347" t="b">
        <f t="shared" si="161"/>
        <v>0</v>
      </c>
      <c r="JR352" s="347" t="b">
        <f t="shared" si="162"/>
        <v>0</v>
      </c>
      <c r="JS352" s="347" t="b">
        <f t="shared" si="163"/>
        <v>0</v>
      </c>
      <c r="JT352" s="347" t="b">
        <f t="shared" si="164"/>
        <v>0</v>
      </c>
      <c r="JU352" s="347" t="b">
        <f t="shared" si="165"/>
        <v>0</v>
      </c>
      <c r="JV352" s="347" t="b">
        <f t="shared" si="166"/>
        <v>0</v>
      </c>
      <c r="JW352" s="347" t="b">
        <f t="shared" si="167"/>
        <v>0</v>
      </c>
      <c r="JX352" s="347" t="b">
        <f t="shared" si="168"/>
        <v>0</v>
      </c>
      <c r="JY352" s="347" t="b">
        <f t="shared" si="169"/>
        <v>0</v>
      </c>
      <c r="JZ352" s="347" t="b">
        <f t="shared" si="170"/>
        <v>0</v>
      </c>
      <c r="KA352" s="347" t="b">
        <f t="shared" si="171"/>
        <v>0</v>
      </c>
      <c r="KB352" s="365" t="b">
        <f t="shared" si="172"/>
        <v>0</v>
      </c>
      <c r="KC352" s="354" t="str">
        <f t="shared" si="173"/>
        <v/>
      </c>
      <c r="KD352" s="355" t="str">
        <f t="shared" si="174"/>
        <v/>
      </c>
      <c r="KE352" s="355" t="str">
        <f t="shared" si="175"/>
        <v/>
      </c>
      <c r="KF352" s="355" t="str">
        <f t="shared" si="176"/>
        <v/>
      </c>
      <c r="KG352" s="355" t="str">
        <f t="shared" si="177"/>
        <v/>
      </c>
      <c r="KH352" s="355" t="str">
        <f t="shared" si="178"/>
        <v/>
      </c>
      <c r="KI352" s="355" t="str">
        <f t="shared" si="179"/>
        <v/>
      </c>
      <c r="KJ352" s="355" t="str">
        <f t="shared" si="180"/>
        <v/>
      </c>
      <c r="KK352" s="355" t="str">
        <f t="shared" si="181"/>
        <v/>
      </c>
      <c r="KL352" s="355" t="str">
        <f t="shared" si="182"/>
        <v/>
      </c>
      <c r="KM352" s="355" t="str">
        <f t="shared" si="183"/>
        <v/>
      </c>
      <c r="KN352" s="355" t="str">
        <f t="shared" si="184"/>
        <v/>
      </c>
      <c r="KO352" s="359"/>
      <c r="KP352" s="378"/>
      <c r="KQ352" s="379" t="s">
        <v>1352</v>
      </c>
      <c r="KR352" s="380" t="s">
        <v>1506</v>
      </c>
      <c r="KS352" s="381" t="str">
        <f t="shared" ref="KS352:KS353" si="940">KQ352</f>
        <v>S-G-m-P-N-S</v>
      </c>
      <c r="KT352" s="382">
        <f t="shared" si="186"/>
        <v>5</v>
      </c>
      <c r="KU352" s="383">
        <f t="shared" si="187"/>
        <v>5</v>
      </c>
      <c r="KV352" s="381" t="str">
        <f t="shared" si="205"/>
        <v>S-n-P-m-G-S</v>
      </c>
      <c r="KW352" s="382">
        <f t="shared" si="189"/>
        <v>5</v>
      </c>
      <c r="KX352" s="384">
        <f t="shared" si="190"/>
        <v>5</v>
      </c>
      <c r="KY352" s="382">
        <f t="shared" ref="KY352:KZ352" si="938">KW352-KT352</f>
        <v>0</v>
      </c>
      <c r="KZ352" s="369">
        <f t="shared" si="938"/>
        <v>0</v>
      </c>
      <c r="LA352" s="385" t="str">
        <f t="shared" si="192"/>
        <v>✔</v>
      </c>
      <c r="LB352" s="340" t="str">
        <f>IFERROR(__xludf.DUMMYFUNCTION("JOIN("""",ArrayFormula(MID(KS352,LEN(KS352)-SEQUENCE(1,LEN(KS352))+1,1)))"),"S-N-P-m-G-S")</f>
        <v>S-N-P-m-G-S</v>
      </c>
      <c r="LC352" s="373" t="str">
        <f>IFERROR(__xludf.DUMMYFUNCTION("JOIN("""",ArrayFormula(MID(KV352,LEN(KV352)-SEQUENCE(1,LEN(KV352))+1,1)))"),"S-G-m-P-n-S")</f>
        <v>S-G-m-P-n-S</v>
      </c>
      <c r="LD352" s="373" t="str">
        <f t="shared" si="193"/>
        <v>SGmPNS</v>
      </c>
      <c r="LE352" s="339" t="str">
        <f t="shared" si="194"/>
        <v>SGmPnS</v>
      </c>
      <c r="LF352" s="386" t="str">
        <f>IFERROR(__xludf.DUMMYFUNCTION("SUBSTITUTE(SUBSTITUTE(CONCATENATE(JOIN("""",LH352:LT352)),""1"",""""),""2"","""")"),"SGmPnNS")</f>
        <v>SGmPnNS</v>
      </c>
      <c r="LG352" s="369" t="str">
        <f t="shared" si="195"/>
        <v>✔</v>
      </c>
      <c r="LH352" s="387" t="str">
        <f>IFERROR(__xludf.DUMMYFUNCTION("IF(REGEXMATCH(LD352, ""S""), ""S"",IF(REGEXMATCH(LE352, ""S""), ""S"",""""))"),"S")</f>
        <v>S</v>
      </c>
      <c r="LI352" s="299" t="str">
        <f>IFERROR(__xludf.DUMMYFUNCTION("IF(REGEXMATCH(LD352, ""r""), ""r1"",IF(REGEXMATCH(LE352, ""r""), ""r2"",""""))"),"")</f>
        <v/>
      </c>
      <c r="LJ352" s="299" t="str">
        <f>IFERROR(__xludf.DUMMYFUNCTION("IF(REGEXMATCH(LD352, ""R""), ""R1"",IF(REGEXMATCH(LE352, ""R""), ""R2"",""""))"),"")</f>
        <v/>
      </c>
      <c r="LK352" s="299" t="str">
        <f>IFERROR(__xludf.DUMMYFUNCTION("IF(REGEXMATCH(LD352, ""g""), ""g1"",IF(REGEXMATCH(LE352, ""g""), ""g2"",""""))"),"")</f>
        <v/>
      </c>
      <c r="LL352" s="299" t="str">
        <f>IFERROR(__xludf.DUMMYFUNCTION("IF(REGEXMATCH(LD352, ""G""), ""G1"",IF(REGEXMATCH(LE352, ""G""), ""G2"",""""))"),"G1")</f>
        <v>G1</v>
      </c>
      <c r="LM352" s="299" t="str">
        <f>IFERROR(__xludf.DUMMYFUNCTION("IF(REGEXMATCH(LD352, ""m""), ""m1"",IF(REGEXMATCH(LE352, ""m""), ""m2"",""""))"),"m1")</f>
        <v>m1</v>
      </c>
      <c r="LN352" s="299" t="str">
        <f>IFERROR(__xludf.DUMMYFUNCTION("IF(REGEXMATCH(LD352, ""M""), ""M1"",IF(REGEXMATCH(LE352, ""M""), ""M2"",""""))"),"")</f>
        <v/>
      </c>
      <c r="LO352" s="299" t="str">
        <f>IFERROR(__xludf.DUMMYFUNCTION("IF(REGEXMATCH(LD352, ""P""), ""P1"",IF(REGEXMATCH(LE352, ""P""), ""P2"",""""))"),"P1")</f>
        <v>P1</v>
      </c>
      <c r="LP352" s="299" t="str">
        <f>IFERROR(__xludf.DUMMYFUNCTION("IF(REGEXMATCH(LD352, ""d""), ""d1"",IF(REGEXMATCH(LE352, ""d""), ""d2"",""""))"),"")</f>
        <v/>
      </c>
      <c r="LQ352" s="299" t="str">
        <f>IFERROR(__xludf.DUMMYFUNCTION("IF(REGEXMATCH(LD352, ""D""), ""D1"",IF(REGEXMATCH(LE352, ""D""), ""D2"",""""))"),"")</f>
        <v/>
      </c>
      <c r="LR352" s="299" t="str">
        <f>IFERROR(__xludf.DUMMYFUNCTION("IF(REGEXMATCH(LD352, ""n""), ""n1"",IF(REGEXMATCH(LE352, ""n""), ""n2"",""""))"),"n2")</f>
        <v>n2</v>
      </c>
      <c r="LS352" s="299" t="str">
        <f>IFERROR(__xludf.DUMMYFUNCTION("IF(REGEXMATCH(LD352, ""N""), ""N1"",IF(REGEXMATCH(LE352, ""N""), ""N2"",""""))"),"N1")</f>
        <v>N1</v>
      </c>
      <c r="LT352" s="388" t="str">
        <f>IFERROR(__xludf.DUMMYFUNCTION("IF(REGEXMATCH(LD352, ""S""), ""S"",IF(REGEXMATCH(LE352, ""S""), ""S"",""""))"),"S")</f>
        <v>S</v>
      </c>
      <c r="LU352" s="389">
        <f t="shared" si="196"/>
        <v>1</v>
      </c>
      <c r="LV352" s="378"/>
      <c r="LW352" s="369"/>
      <c r="LX352" s="369"/>
    </row>
    <row r="353" ht="18.0" customHeight="1">
      <c r="A353" s="298" t="s">
        <v>1225</v>
      </c>
      <c r="B353" s="222" t="s">
        <v>741</v>
      </c>
      <c r="C353" s="233" t="str">
        <f t="shared" si="7"/>
        <v>SRgGmPDnNS</v>
      </c>
      <c r="D353" s="234" t="str">
        <f>IFERROR(__xludf.DUMMYFUNCTION("IF(REGEXMATCH(C353, ""S""), ""S"","""")"),"S")</f>
        <v>S</v>
      </c>
      <c r="E353" s="236" t="str">
        <f>IFERROR(__xludf.DUMMYFUNCTION("IF(REGEXMATCH(C353, ""r""), ""r"","""")"),"")</f>
        <v/>
      </c>
      <c r="F353" s="237" t="str">
        <f>IFERROR(__xludf.DUMMYFUNCTION("IF(REGEXMATCH(C353, ""R""), ""R"","""")"),"R")</f>
        <v>R</v>
      </c>
      <c r="G353" s="237" t="str">
        <f>IFERROR(__xludf.DUMMYFUNCTION("IF(REGEXMATCH(C353, ""g""), ""g"","""")"),"g")</f>
        <v>g</v>
      </c>
      <c r="H353" s="236" t="str">
        <f>IFERROR(__xludf.DUMMYFUNCTION("IF(REGEXMATCH(C353, ""G""), ""G"","""")"),"G")</f>
        <v>G</v>
      </c>
      <c r="I353" s="236" t="str">
        <f>IFERROR(__xludf.DUMMYFUNCTION("IF(REGEXMATCH(C353, ""m""), ""m"","""")"),"m")</f>
        <v>m</v>
      </c>
      <c r="J353" s="237" t="str">
        <f>IFERROR(__xludf.DUMMYFUNCTION("IF(REGEXMATCH(C353, ""M""), ""M"","""")"),"")</f>
        <v/>
      </c>
      <c r="K353" s="236" t="str">
        <f>IFERROR(__xludf.DUMMYFUNCTION("IF(REGEXMATCH(C353, ""P""), ""P"","""")"),"P")</f>
        <v>P</v>
      </c>
      <c r="L353" s="237" t="str">
        <f>IFERROR(__xludf.DUMMYFUNCTION("IF(REGEXMATCH(C353, ""d""), ""d"","""")"),"")</f>
        <v/>
      </c>
      <c r="M353" s="236" t="str">
        <f>IFERROR(__xludf.DUMMYFUNCTION("IF(REGEXMATCH(C353, ""D""), ""D"","""")"),"D")</f>
        <v>D</v>
      </c>
      <c r="N353" s="236" t="str">
        <f>IFERROR(__xludf.DUMMYFUNCTION("IF(REGEXMATCH(C353, ""n""), ""n"","""")"),"n")</f>
        <v>n</v>
      </c>
      <c r="O353" s="237" t="str">
        <f>IFERROR(__xludf.DUMMYFUNCTION("IF(REGEXMATCH(C353, ""N""), ""N"","""")"),"N")</f>
        <v>N</v>
      </c>
      <c r="P353" s="238" t="str">
        <f>IFERROR(__xludf.DUMMYFUNCTION("IF(REGEXMATCH(C353, ""S""), ""S"","""")"),"S")</f>
        <v>S</v>
      </c>
      <c r="Q353" s="239" t="str">
        <f>IFERROR(__xludf.DUMMYFUNCTION("SUBSTITUTE(CONCATENATE(JOIN(""-"",D353:J353)),""-"","""")"),"SRgGm")</f>
        <v>SRgGm</v>
      </c>
      <c r="R353" s="229" t="str">
        <f>IFERROR(__xludf.DUMMYFUNCTION("SUBSTITUTE(CONCATENATE(JOIN(""-"",K353:P353)),""-"","""")"),"PDnNS")</f>
        <v>PDnNS</v>
      </c>
      <c r="S353" s="282" t="str">
        <f t="shared" si="8"/>
        <v>S-R-G-M</v>
      </c>
      <c r="T353" s="282" t="str">
        <f t="shared" si="9"/>
        <v>P-D-N-S</v>
      </c>
      <c r="U353" s="237" t="str">
        <f>IFERROR(__xludf.DUMMYFUNCTION("SUBSTITUTE(JOIN(""-"",S353,T353),""--"",""-"")"),"S-R-G-M-P-D-N-S")</f>
        <v>S-R-G-M-P-D-N-S</v>
      </c>
      <c r="V353" s="309" t="str">
        <f t="shared" si="10"/>
        <v>RgGmDnN</v>
      </c>
      <c r="W353" s="244" t="str">
        <f>IFERROR(__xludf.DUMMYFUNCTION("IF(REGEXMATCH(C353, ""S""), ""0"","""")"),"0")</f>
        <v>0</v>
      </c>
      <c r="X353" s="245" t="str">
        <f>IFERROR(__xludf.DUMMYFUNCTION("IF(REGEXMATCH(C353, ""r""), ""1"","""")"),"")</f>
        <v/>
      </c>
      <c r="Y353" s="246" t="str">
        <f>IFERROR(__xludf.DUMMYFUNCTION("IF(REGEXMATCH(C353, ""R""), ""2"","""")"),"2")</f>
        <v>2</v>
      </c>
      <c r="Z353" s="246" t="str">
        <f>IFERROR(__xludf.DUMMYFUNCTION("IF(REGEXMATCH(C353, ""g""), ""3"","""")"),"3")</f>
        <v>3</v>
      </c>
      <c r="AA353" s="245" t="str">
        <f>IFERROR(__xludf.DUMMYFUNCTION("IF(REGEXMATCH(C353, ""G""), ""4"","""")"),"4")</f>
        <v>4</v>
      </c>
      <c r="AB353" s="245" t="str">
        <f>IFERROR(__xludf.DUMMYFUNCTION("IF(REGEXMATCH(C353, ""m""), ""5"","""")"),"5")</f>
        <v>5</v>
      </c>
      <c r="AC353" s="246" t="str">
        <f>IFERROR(__xludf.DUMMYFUNCTION("IF(REGEXMATCH(C353, ""M""), ""6"","""")"),"")</f>
        <v/>
      </c>
      <c r="AD353" s="245" t="str">
        <f>IFERROR(__xludf.DUMMYFUNCTION("IF(REGEXMATCH(C353, ""P""), ""7"","""")"),"7")</f>
        <v>7</v>
      </c>
      <c r="AE353" s="246" t="str">
        <f>IFERROR(__xludf.DUMMYFUNCTION("IF(REGEXMATCH(C353, ""d""), ""8"","""")"),"")</f>
        <v/>
      </c>
      <c r="AF353" s="245" t="str">
        <f>IFERROR(__xludf.DUMMYFUNCTION("IF(REGEXMATCH(C353, ""D""), ""9"","""")"),"9")</f>
        <v>9</v>
      </c>
      <c r="AG353" s="245" t="str">
        <f>IFERROR(__xludf.DUMMYFUNCTION("IF(REGEXMATCH(C353, ""n""), ""10"","""")"),"10")</f>
        <v>10</v>
      </c>
      <c r="AH353" s="246" t="str">
        <f>IFERROR(__xludf.DUMMYFUNCTION("IF(REGEXMATCH(C353, ""N""), ""11"","""")"),"11")</f>
        <v>11</v>
      </c>
      <c r="AI353" s="249" t="str">
        <f>IFERROR(__xludf.DUMMYFUNCTION("IF(REGEXMATCH(C353, ""S""), ""0"","""")"),"0")</f>
        <v>0</v>
      </c>
      <c r="AJ353" s="313" t="str">
        <f t="shared" si="11"/>
        <v>-</v>
      </c>
      <c r="AK353" s="313" t="str">
        <f t="shared" si="12"/>
        <v>-</v>
      </c>
      <c r="AL353" s="313" t="str">
        <f t="shared" si="13"/>
        <v>-</v>
      </c>
      <c r="AM353" s="313" t="str">
        <f t="shared" si="14"/>
        <v>T</v>
      </c>
      <c r="AN353" s="313" t="str">
        <f t="shared" si="15"/>
        <v>T</v>
      </c>
      <c r="AO353" s="314" t="str">
        <f t="shared" si="16"/>
        <v>T</v>
      </c>
      <c r="AP353" s="316">
        <f t="shared" si="17"/>
        <v>3</v>
      </c>
      <c r="AQ353" s="319" t="str">
        <f t="shared" si="18"/>
        <v>-</v>
      </c>
      <c r="AR353" s="320">
        <f t="shared" si="19"/>
        <v>0</v>
      </c>
      <c r="AS353" s="250" t="str">
        <f>IFERROR(__xludf.DUMMYFUNCTION("SUBSTITUTE(SUBSTITUTE(CONCATENATE(JOIN("""",FP353:GA353)),""|"",""x""),""-"",""o"")"),"xoxxxxoxoxxx")</f>
        <v>xoxxxxoxoxxx</v>
      </c>
      <c r="AT353" s="323" t="str">
        <f>IFERROR(__xludf.DUMMYFUNCTION("JOIN("""",AS353,AS353)"),"xoxxxxoxoxxxxoxxxxoxoxxx")</f>
        <v>xoxxxxoxoxxxxoxxxxoxoxxx</v>
      </c>
      <c r="AU353" s="256" t="str">
        <f>IFERROR(__xludf.DUMMYFUNCTION("JOIN("""",ArrayFormula(MID(AS353,LEN(AS353)-SEQUENCE(1,LEN(AS353))+1,1)))"),"xxxoxoxxxxox")</f>
        <v>xxxoxoxxxxox</v>
      </c>
      <c r="AV353" s="256" t="str">
        <f>IFERROR(__xludf.DUMMYFUNCTION("LEFT(CONCATENATE(""x"",JOIN("""",ArrayFormula(MID(AS353,LEN(AS353)-SEQUENCE(1,LEN(AS353))+1,1)))),12)"),"xxxxoxoxxxxo")</f>
        <v>xxxxoxoxxxxo</v>
      </c>
      <c r="AW353" s="327" t="str">
        <f>IFERROR(__xludf.DUMMYFUNCTION("JOIN("""",AU353,AU353)"),"xxxoxoxxxxoxxxxoxoxxxxox")</f>
        <v>xxxoxoxxxxoxxxxoxoxxxxox</v>
      </c>
      <c r="AX353" s="239" t="str">
        <f>IFERROR(__xludf.DUMMYFUNCTION("IF(REGEXMATCH(AW353,AS353),""✔"",""-"")"),"✔")</f>
        <v>✔</v>
      </c>
      <c r="AY353" s="330" t="str">
        <f t="shared" si="20"/>
        <v>-</v>
      </c>
      <c r="AZ353" s="260" t="str">
        <f t="shared" si="21"/>
        <v>#REF!</v>
      </c>
      <c r="BA353" s="333" t="str">
        <f t="shared" si="22"/>
        <v>xoxxxxo</v>
      </c>
      <c r="BB353" s="334" t="str">
        <f t="shared" si="23"/>
        <v>xoxxxx</v>
      </c>
      <c r="BC353" s="335" t="str">
        <f t="shared" si="236"/>
        <v>✔</v>
      </c>
      <c r="BD353" s="336" t="str">
        <f t="shared" si="25"/>
        <v>Tilang Bahar: 'xoxxxxo' + 'xoxxxx'</v>
      </c>
      <c r="BE353" s="337">
        <f>IFERROR(__xludf.DUMMYFUNCTION("COUNTUNIQUE(FILTER(AT:AT,REGEXMATCH(AT:AT,AS353)))-1"),4.0)</f>
        <v>4</v>
      </c>
      <c r="BF353" s="261" t="str">
        <f>IFERROR(__xludf.DUMMYFUNCTION("IF(BI353=0,""(n/a)"",IF(BJ353=2,""(PAIR)"",IF(REGEXMATCH(AT353,""xoxoxxoxoxox""),""Bilawal"",IF(REGEXMATCH(AT353,""xoxoxooxoxoo""),""Bhupali"",IF(REGEXMATCH(AT353,""xoxoxxoxxoxo""),""Charukeshi"",IF(REGEXMATCH(AT353,""xoxoooxxoxxo""),""Kameshwari"",IF(REG"&amp;"EXMATCH(AT353,""xoxoxooxoxox""),""Shankara"",IF(REGEXMATCH(AT353,""xxooxoxxxoox""),""Basant"",IF(REGEXMATCH(AT353,""xoxoxxxxoxox""),""Bihag"",IF(REGEXMATCH(AT353,""xoxxxxoxoxxx""),""Pilu"",IF(REGEXMATCH(AT353,""xoxxoxoxxoox""),""Kirwani"",IF(REGEXMATCH(AT"&amp;"353,""xoxxoxoxoxxx""),""Mk.Malhar"",IF(REGEXMATCH(AT353,""xxooxxoxxoox""),""Bhairav"",IF(REGEXMATCH(AT353,""xxoxooxxxoox""),""Todi"",IF(REGEXMATCH(AT353,""xxooxoxooxox""),""Marwa"",IF(REGEXMATCH(AT353,""xxoooxoxxooo""),""Gunkali"",IF(REGEXMATCH(AT353,""xo"&amp;"xoxxoxxoox""),""Nat Bhairav"",IF(REGEXMATCH(AT353,""xoxxoooxoxoo""),""Shivranjani"",IF(REGEXMATCH(AT353,""xooxxxoxooxo""),""Jog"",IF(REGEXMATCH(AT353,""xxooxoxoxoox""),""Hemshri"",IF(REGEXMATCH(AT353,""xoooxooxoxxo""),""Kalavati"",IF(REGEXMATCH(AT353,""xx"&amp;"oxoxxoxoox""),""Kedar"",IF(REGEXMATCH(AT353,""xoxxxxoxooxx""),""Gara"",IF(REGEXMATCH(AT353,""xooxoxooxoox""),""Chandrakauns"",IF(REGEXMATCH(AT353,""xoxxxxoxxxox""),""Mand"",IF(REGEXMATCH(AT353,""xoxxxxoxoxox""),""Hanskinkini"",IF(REGEXMATCH(AT353,""xxooxx"&amp;"oxooxo""),""Lilavati"",IF(REGEXMATCH(AT353,""xooxoxoooxox""),""Rajeshwari"",IF(REGEXMATCH(AT353,""xoooxxoxoxxx""),""Khokar"",IF(REGEXMATCH(AT353,""xxooxoxxxxox""),""Maligoura"",""-""))))))))))))))))))))))))))))))"),"Pilu")</f>
        <v>Pilu</v>
      </c>
      <c r="BG353" s="239" t="str">
        <f t="shared" si="26"/>
        <v>#REF!</v>
      </c>
      <c r="BH353" s="239">
        <f>IFERROR(__xludf.DUMMYFUNCTION("COUNTUNIQUE(FE353:FO353)-1"),8.0)</f>
        <v>8</v>
      </c>
      <c r="BI353" s="239">
        <f>IFERROR(__xludf.DUMMYFUNCTION("COUNTUNIQUE(FILTER(AT:AT,REGEXMATCH(AT:AT,AS353)))-1"),4.0)</f>
        <v>4</v>
      </c>
      <c r="BJ353" s="239">
        <f>IFERROR(__xludf.DUMMYFUNCTION("COUNTA(FILTER(AT:AT,REGEXMATCH(AT:AT,AS353)))"),26.0)</f>
        <v>26</v>
      </c>
      <c r="BK353" s="341">
        <f>IFERROR(__xludf.DUMMYFUNCTION("COUNTA(FILTER(AT:AT,REGEXMATCH(AT:AT,AS353)))-AR353"),26.0)</f>
        <v>26</v>
      </c>
      <c r="BL353" s="276" t="str">
        <f>IFERROR(__xludf.DUMMYFUNCTION("IF(AS353=""oooooooooooo"",""-"",IF(REGEXMATCH(AT353,""xx""), ""Hemi."", ""Anhemi.""))"),"Hemi.")</f>
        <v>Hemi.</v>
      </c>
      <c r="BM353" s="282" t="str">
        <f>IFERROR(__xludf.DUMMYFUNCTION("IF(AS353=""oooooooooooo"",""-"",IF(REGEXMATCH(AT353,""xxx""), ""Cohem."", ""-""))"),"Cohem.")</f>
        <v>Cohem.</v>
      </c>
      <c r="BN353" s="282" t="str">
        <f>IFERROR(__xludf.DUMMYFUNCTION("IF(AS353=""oooooooooooo"",""-"",IF(REGEXMATCH(AT353,""xxxx""), ""Co-Co."", ""-""))"),"Co-Co.")</f>
        <v>Co-Co.</v>
      </c>
      <c r="BO353" s="342" t="str">
        <f>IFERROR(__xludf.DUMMYFUNCTION("IF(AS353=""oooooooooooo"",""-"",IF(REGEXMATCH(AT353,""xxxxx""), ""CCC."", ""-""))"),"-")</f>
        <v>-</v>
      </c>
      <c r="BP353" s="344" t="str">
        <f t="shared" si="27"/>
        <v>-</v>
      </c>
      <c r="BQ353" s="282" t="str">
        <f>IFERROR(__xludf.DUMMYFUNCTION("IF(REGEXMATCH(JOIN(""-"",EU353:FD353),""TRUE""),""✔"",""-"")"),"-")</f>
        <v>-</v>
      </c>
      <c r="BR353" s="225">
        <f t="shared" si="28"/>
        <v>0</v>
      </c>
      <c r="BS353" s="345" t="str">
        <f>IFERROR(__xludf.DUMMYFUNCTION("SUBSTITUTE(SUBSTITUTE(SUBSTITUTE(SUBSTITUTE(CONCATENATE(JOIN(""-"",GC353:GO353)),""--"",""-""),""--"",""-""),""--"",""-""),""--"",""-"")"),"1-2-b3-3-4-5-6-b7-7-8")</f>
        <v>1-2-b3-3-4-5-6-b7-7-8</v>
      </c>
      <c r="BT353" s="299" t="str">
        <f>IFERROR(__xludf.DUMMYFUNCTION("SUBSTITUTE(SUBSTITUTE(SUBSTITUTE(SUBSTITUTE(CONCATENATE(JOIN(""-"",GP353:HB353)),""--"",""-""),""--"",""-""),""--"",""-""),""--"",""-"")"),"S-R2-G2-G3-M1-P-D2-N2-N3-S")</f>
        <v>S-R2-G2-G3-M1-P-D2-N2-N3-S</v>
      </c>
      <c r="BU353" s="348" t="str">
        <f t="shared" si="29"/>
        <v>C-D-Eb-E-F-G-A-Bb-B-C</v>
      </c>
      <c r="BV353" s="349" t="str">
        <f t="shared" si="30"/>
        <v>SrMdS</v>
      </c>
      <c r="BW353" s="350">
        <f t="shared" si="31"/>
        <v>0</v>
      </c>
      <c r="BX353" s="351">
        <f t="shared" si="32"/>
        <v>11</v>
      </c>
      <c r="BY353" s="392"/>
      <c r="BZ353" s="309" t="str">
        <f>IFERROR(__xludf.DUMMYFUNCTION("IF(REGEXMATCH(C353, ""S""), ""x"",""x"")"),"x")</f>
        <v>x</v>
      </c>
      <c r="CA353" s="245" t="str">
        <f>IFERROR(__xludf.DUMMYFUNCTION("IF(REGEXMATCH(C353, ""r""), ""o"",""x"")"),"x")</f>
        <v>x</v>
      </c>
      <c r="CB353" s="246" t="str">
        <f>IFERROR(__xludf.DUMMYFUNCTION("IF(REGEXMATCH(C353, ""R""), ""o"",""x"")"),"o")</f>
        <v>o</v>
      </c>
      <c r="CC353" s="246" t="str">
        <f>IFERROR(__xludf.DUMMYFUNCTION("IF(REGEXMATCH(C353, ""g""), ""o"",""x"")"),"o")</f>
        <v>o</v>
      </c>
      <c r="CD353" s="245" t="str">
        <f>IFERROR(__xludf.DUMMYFUNCTION("IF(REGEXMATCH(C353, ""G""), ""o"",""x"")"),"o")</f>
        <v>o</v>
      </c>
      <c r="CE353" s="245" t="str">
        <f>IFERROR(__xludf.DUMMYFUNCTION("IF(REGEXMATCH(C353, ""m""), ""o"",""x"")"),"o")</f>
        <v>o</v>
      </c>
      <c r="CF353" s="246" t="str">
        <f>IFERROR(__xludf.DUMMYFUNCTION("IF(REGEXMATCH(C353, ""M""), ""o"",""x"")"),"x")</f>
        <v>x</v>
      </c>
      <c r="CG353" s="245" t="str">
        <f>IFERROR(__xludf.DUMMYFUNCTION("IF(REGEXMATCH(C353, ""P""), ""o"",""x"")"),"o")</f>
        <v>o</v>
      </c>
      <c r="CH353" s="246" t="str">
        <f>IFERROR(__xludf.DUMMYFUNCTION("IF(REGEXMATCH(C353, ""d""), ""o"",""x"")"),"x")</f>
        <v>x</v>
      </c>
      <c r="CI353" s="245" t="str">
        <f>IFERROR(__xludf.DUMMYFUNCTION("IF(REGEXMATCH(C353, ""D""), ""o"",""x"")"),"o")</f>
        <v>o</v>
      </c>
      <c r="CJ353" s="245" t="str">
        <f>IFERROR(__xludf.DUMMYFUNCTION("IF(REGEXMATCH(C353, ""n""), ""o"",""x"")"),"o")</f>
        <v>o</v>
      </c>
      <c r="CK353" s="245" t="str">
        <f>IFERROR(__xludf.DUMMYFUNCTION("IF(REGEXMATCH(C353, ""N""), ""o"",""x"")"),"o")</f>
        <v>o</v>
      </c>
      <c r="CL353" s="356" t="str">
        <f>IFERROR(__xludf.DUMMYFUNCTION("IF(REGEXMATCH(C353, ""S""), ""x"",""x"")"),"x")</f>
        <v>x</v>
      </c>
      <c r="CM353" s="357" t="str">
        <f t="shared" si="33"/>
        <v>xxooooxoxooo</v>
      </c>
      <c r="CN353" s="358">
        <f t="shared" si="34"/>
        <v>0</v>
      </c>
      <c r="CO353" s="246" t="str">
        <f>IFERROR(__xludf.DUMMYFUNCTION("IF(REGEXMATCH($C353, ""S""), ""S"",""S"")"),"S")</f>
        <v>S</v>
      </c>
      <c r="CP353" s="246" t="str">
        <f>IFERROR(__xludf.DUMMYFUNCTION("IF(REGEXMATCH($C353, ""r""), """",""r"")"),"r")</f>
        <v>r</v>
      </c>
      <c r="CQ353" s="246" t="str">
        <f>IFERROR(__xludf.DUMMYFUNCTION("IF(REGEXMATCH($C353, ""R""), """",""R"")"),"")</f>
        <v/>
      </c>
      <c r="CR353" s="246" t="str">
        <f>IFERROR(__xludf.DUMMYFUNCTION("IF(REGEXMATCH($C353, ""g""), """",""g"")"),"")</f>
        <v/>
      </c>
      <c r="CS353" s="246" t="str">
        <f>IFERROR(__xludf.DUMMYFUNCTION("IF(REGEXMATCH($C353, ""G""), """",""G"")"),"")</f>
        <v/>
      </c>
      <c r="CT353" s="246" t="str">
        <f>IFERROR(__xludf.DUMMYFUNCTION("IF(REGEXMATCH($C353, ""m""), """",""m"")"),"")</f>
        <v/>
      </c>
      <c r="CU353" s="246" t="str">
        <f>IFERROR(__xludf.DUMMYFUNCTION("IF(REGEXMATCH($C353, ""M""), """",""M"")"),"M")</f>
        <v>M</v>
      </c>
      <c r="CV353" s="246" t="str">
        <f>IFERROR(__xludf.DUMMYFUNCTION("IF(REGEXMATCH($C353, ""P""), """",""P"")"),"")</f>
        <v/>
      </c>
      <c r="CW353" s="246" t="str">
        <f>IFERROR(__xludf.DUMMYFUNCTION("IF(REGEXMATCH($C353, ""d""), """",""d"")"),"d")</f>
        <v>d</v>
      </c>
      <c r="CX353" s="246" t="str">
        <f>IFERROR(__xludf.DUMMYFUNCTION("IF(REGEXMATCH($C353, ""D""), """",""D"")"),"")</f>
        <v/>
      </c>
      <c r="CY353" s="246" t="str">
        <f>IFERROR(__xludf.DUMMYFUNCTION("IF(REGEXMATCH($C353, ""n""), """",""n"")"),"")</f>
        <v/>
      </c>
      <c r="CZ353" s="246" t="str">
        <f>IFERROR(__xludf.DUMMYFUNCTION("IF(REGEXMATCH($C353, ""N""), """",""N"")"),"")</f>
        <v/>
      </c>
      <c r="DA353" s="246" t="str">
        <f>IFERROR(__xludf.DUMMYFUNCTION("IF(REGEXMATCH($C353, ""S""), ""S"",""S"")"),"S")</f>
        <v>S</v>
      </c>
      <c r="DB353" s="362" t="str">
        <f>IFERROR(__xludf.DUMMYFUNCTION("JOIN("""",CO353:DA353,"""","""")"),"SrMdS")</f>
        <v>SrMdS</v>
      </c>
      <c r="DC353" s="363"/>
      <c r="DD353" s="301" t="str">
        <f t="shared" si="35"/>
        <v>#REF!</v>
      </c>
      <c r="DE353" s="302" t="str">
        <f t="shared" si="36"/>
        <v>#REF!</v>
      </c>
      <c r="DF353" s="301" t="str">
        <f t="shared" ref="DF353:DG353" si="939">SUBSTITUTE(S353,"-","")</f>
        <v>SRGM</v>
      </c>
      <c r="DG353" s="301" t="str">
        <f t="shared" si="939"/>
        <v>PDNS</v>
      </c>
      <c r="DH353" s="302" t="str">
        <f t="shared" si="38"/>
        <v>Pilu</v>
      </c>
      <c r="DI353" s="301" t="str">
        <f t="shared" si="39"/>
        <v>Hemi.</v>
      </c>
      <c r="DJ353" s="364" t="str">
        <f t="shared" si="40"/>
        <v>Co-Co.</v>
      </c>
      <c r="DK353" s="306" t="str">
        <f t="shared" si="41"/>
        <v>-</v>
      </c>
      <c r="DL353" s="366" t="str">
        <f t="shared" si="42"/>
        <v>-</v>
      </c>
      <c r="DM353" s="308" t="str">
        <f t="shared" si="43"/>
        <v>✔</v>
      </c>
      <c r="DN353" s="306" t="str">
        <f t="shared" si="44"/>
        <v>-</v>
      </c>
      <c r="DO353" s="306" t="str">
        <f t="shared" si="45"/>
        <v>-</v>
      </c>
      <c r="DP353" s="367" t="str">
        <f t="shared" si="46"/>
        <v>-</v>
      </c>
      <c r="DQ353" s="310" t="str">
        <f t="shared" si="47"/>
        <v>-</v>
      </c>
      <c r="DR353" s="310" t="str">
        <f t="shared" si="48"/>
        <v>✔</v>
      </c>
      <c r="DS353" s="310" t="str">
        <f t="shared" si="49"/>
        <v>-</v>
      </c>
      <c r="DT353" s="310" t="str">
        <f t="shared" si="50"/>
        <v>-</v>
      </c>
      <c r="DU353" s="370" t="str">
        <f t="shared" si="51"/>
        <v>✔</v>
      </c>
      <c r="DV353" s="306" t="str">
        <f t="shared" si="52"/>
        <v>-</v>
      </c>
      <c r="DW353" s="306" t="str">
        <f t="shared" si="53"/>
        <v>-</v>
      </c>
      <c r="DX353" s="306" t="str">
        <f t="shared" si="54"/>
        <v>-</v>
      </c>
      <c r="DY353" s="306" t="str">
        <f t="shared" si="55"/>
        <v>-</v>
      </c>
      <c r="DZ353" s="306" t="str">
        <f t="shared" si="56"/>
        <v>-</v>
      </c>
      <c r="EA353" s="367" t="str">
        <f t="shared" si="57"/>
        <v>-</v>
      </c>
      <c r="EB353" s="310" t="str">
        <f>IFERROR(__xludf.DUMMYFUNCTION("IF(REGEXMATCH(AW353,AS353),""✔"",""-"")"),"✔")</f>
        <v>✔</v>
      </c>
      <c r="EC353" s="310" t="str">
        <f t="shared" si="58"/>
        <v>#REF!</v>
      </c>
      <c r="ED353" s="370" t="str">
        <f t="shared" si="59"/>
        <v>-</v>
      </c>
      <c r="EE353" s="340" t="str">
        <f t="shared" si="60"/>
        <v>S-R-gG-m-P-D-nN-S</v>
      </c>
      <c r="EF353" s="371" t="str">
        <f>IFERROR(__xludf.DUMMYFUNCTION("CONCATENATE(JOIN("""",HC353:HO353))"),"SrRgmPdDnS")</f>
        <v>SrRgmPdDnS</v>
      </c>
      <c r="EG353" s="372">
        <f t="shared" si="61"/>
        <v>1</v>
      </c>
      <c r="EH353" s="373" t="str">
        <f>IFERROR(__xludf.DUMMYFUNCTION("CONCATENATE(JOIN("""",JC353:JO353))"),"Ni, ")</f>
        <v>Ni, </v>
      </c>
      <c r="EI353" s="322">
        <f t="shared" si="62"/>
        <v>0</v>
      </c>
      <c r="EJ353" s="374" t="str">
        <f>IFERROR(__xludf.DUMMYFUNCTION("CONCATENATE(JOIN("""",KC353:KO353))"),"")</f>
        <v/>
      </c>
      <c r="EK353" s="325" t="str">
        <f t="shared" si="63"/>
        <v>S-R2-G2-G3-M1-P-D2-N2-N3-S</v>
      </c>
      <c r="EL353" s="326" t="str">
        <f t="shared" si="64"/>
        <v>1-2-b3-3-4-5-6-b7-7-8</v>
      </c>
      <c r="EM353" s="318" t="str">
        <f t="shared" si="65"/>
        <v>#REF!</v>
      </c>
      <c r="EN353" s="328" t="str">
        <f>IFERROR(__xludf.DUMMYFUNCTION("SUBSTITUTE(SUBSTITUTE(SUBSTITUTE(SUBSTITUTE(CONCATENATE(JOIN("" "",HP353:IB353)),""  "","" ""),""  "","" ""),""  "","" ""),""  "","" "")"),"o • o o o o • o • o o o o")</f>
        <v>o • o o o o • o • o o o o</v>
      </c>
      <c r="EO353" s="368" t="str">
        <f t="shared" si="66"/>
        <v>-</v>
      </c>
      <c r="EP353" s="339" t="str">
        <f t="shared" si="67"/>
        <v>-</v>
      </c>
      <c r="EQ353" s="339" t="str">
        <f t="shared" si="68"/>
        <v>Sa-Pa</v>
      </c>
      <c r="ER353" s="339" t="str">
        <f t="shared" si="69"/>
        <v>-</v>
      </c>
      <c r="ES353" s="340" t="str">
        <f t="shared" si="70"/>
        <v>-</v>
      </c>
      <c r="ET353" s="363"/>
      <c r="EU353" s="376" t="b">
        <f>IFERROR(__xludf.DUMMYFUNCTION("arrayformula(sum(--REGEXMATCH(""SRGMPDNS"",split(REGEXREPLACE(C353,""(.)"",""$1~""),""~""))))=len(C353)
"),FALSE)</f>
        <v>0</v>
      </c>
      <c r="EV353" s="290" t="b">
        <f>IFERROR(__xludf.DUMMYFUNCTION("arrayformula(sum(--REGEXMATCH(""SRGmPDNS"",split(REGEXREPLACE(C353,""(.)"",""$1~""),""~""))))=len(C353)"),FALSE)</f>
        <v>0</v>
      </c>
      <c r="EW353" s="290" t="b">
        <f>IFERROR(__xludf.DUMMYFUNCTION("arrayformula(sum(--REGEXMATCH(""SRGmPDnS"",split(REGEXREPLACE(C353,""(.)"",""$1~""),""~""))))=len(C353)"),FALSE)</f>
        <v>0</v>
      </c>
      <c r="EX353" s="290" t="b">
        <f>IFERROR(__xludf.DUMMYFUNCTION("arrayformula(sum(--REGEXMATCH(""SRgmPDnS"",split(REGEXREPLACE(C353,""(.)"",""$1~""),""~""))))=len(C353)"),FALSE)</f>
        <v>0</v>
      </c>
      <c r="EY353" s="290" t="b">
        <f>IFERROR(__xludf.DUMMYFUNCTION("arrayformula(sum(--REGEXMATCH(""SRgmPdnS"",split(REGEXREPLACE(C353,""(.)"",""$1~""),""~""))))=len(C353)"),FALSE)</f>
        <v>0</v>
      </c>
      <c r="EZ353" s="290" t="b">
        <f>IFERROR(__xludf.DUMMYFUNCTION("arrayformula(sum(--REGEXMATCH(""SrgmPdnS"",split(REGEXREPLACE(C353,""(.)"",""$1~""),""~""))))=len(C353)"),FALSE)</f>
        <v>0</v>
      </c>
      <c r="FA353" s="290" t="b">
        <f>IFERROR(__xludf.DUMMYFUNCTION("arrayformula(sum(--REGEXMATCH(""SrGmPdNS"",split(REGEXREPLACE(C353,""(.)"",""$1~""),""~""))))=len(C353)"),FALSE)</f>
        <v>0</v>
      </c>
      <c r="FB353" s="290" t="b">
        <f>IFERROR(__xludf.DUMMYFUNCTION("arrayformula(sum(--REGEXMATCH(""SrGMPDNS"",split(REGEXREPLACE(C353,""(.)"",""$1~""),""~""))))=len(C353)"),FALSE)</f>
        <v>0</v>
      </c>
      <c r="FC353" s="290" t="b">
        <f>IFERROR(__xludf.DUMMYFUNCTION("arrayformula(sum(--REGEXMATCH(""SrGMPdNS"",split(REGEXREPLACE(C353,""(.)"",""$1~""),""~""))))=len(C353)"),FALSE)</f>
        <v>0</v>
      </c>
      <c r="FD353" s="377" t="b">
        <f>IFERROR(__xludf.DUMMYFUNCTION("arrayformula(sum(--REGEXMATCH(""SrgMPdNS"",split(REGEXREPLACE(C353,""(.)"",""$1~""),""~""))))=len(C353)"),FALSE)</f>
        <v>0</v>
      </c>
      <c r="FE353" s="269" t="str">
        <f t="shared" si="71"/>
        <v>-</v>
      </c>
      <c r="FF353" s="269" t="str">
        <f t="shared" si="72"/>
        <v>xxxxoxoxxxx</v>
      </c>
      <c r="FG353" s="271" t="str">
        <f t="shared" si="73"/>
        <v>xxxoxoxxxxo</v>
      </c>
      <c r="FH353" s="269" t="str">
        <f t="shared" si="74"/>
        <v>xxoxoxxxxox</v>
      </c>
      <c r="FI353" s="271" t="str">
        <f t="shared" si="75"/>
        <v>xoxoxxxxoxx</v>
      </c>
      <c r="FJ353" s="271" t="str">
        <f t="shared" si="76"/>
        <v>-</v>
      </c>
      <c r="FK353" s="271" t="str">
        <f t="shared" si="77"/>
        <v>xoxxxxoxxxx</v>
      </c>
      <c r="FL353" s="271" t="str">
        <f t="shared" si="78"/>
        <v>-</v>
      </c>
      <c r="FM353" s="271" t="str">
        <f t="shared" si="79"/>
        <v>xxxxoxxxxox</v>
      </c>
      <c r="FN353" s="271" t="str">
        <f t="shared" si="80"/>
        <v>xxxoxxxxoxo</v>
      </c>
      <c r="FO353" s="274" t="str">
        <f t="shared" si="81"/>
        <v>xxoxxxxoxox</v>
      </c>
      <c r="FP353" s="234" t="str">
        <f t="shared" si="82"/>
        <v>|</v>
      </c>
      <c r="FQ353" s="236" t="str">
        <f t="shared" si="83"/>
        <v>-</v>
      </c>
      <c r="FR353" s="237" t="str">
        <f t="shared" si="84"/>
        <v>|</v>
      </c>
      <c r="FS353" s="236" t="str">
        <f t="shared" si="85"/>
        <v>|</v>
      </c>
      <c r="FT353" s="237" t="str">
        <f t="shared" si="86"/>
        <v>|</v>
      </c>
      <c r="FU353" s="236" t="str">
        <f t="shared" si="87"/>
        <v>|</v>
      </c>
      <c r="FV353" s="237" t="str">
        <f t="shared" si="88"/>
        <v>-</v>
      </c>
      <c r="FW353" s="236" t="str">
        <f t="shared" si="89"/>
        <v>|</v>
      </c>
      <c r="FX353" s="237" t="str">
        <f t="shared" si="90"/>
        <v>-</v>
      </c>
      <c r="FY353" s="236" t="str">
        <f t="shared" si="91"/>
        <v>|</v>
      </c>
      <c r="FZ353" s="237" t="str">
        <f t="shared" si="92"/>
        <v>|</v>
      </c>
      <c r="GA353" s="236" t="str">
        <f t="shared" si="93"/>
        <v>|</v>
      </c>
      <c r="GB353" s="238" t="str">
        <f t="shared" si="94"/>
        <v>|</v>
      </c>
      <c r="GC353" s="244" t="str">
        <f>IFERROR(__xludf.DUMMYFUNCTION("IF(REGEXMATCH(C353, ""S""), ""1"","""")"),"1")</f>
        <v>1</v>
      </c>
      <c r="GD353" s="245" t="str">
        <f>IFERROR(__xludf.DUMMYFUNCTION("IF(REGEXMATCH(C353, ""r""), ""b2"","""")"),"")</f>
        <v/>
      </c>
      <c r="GE353" s="246" t="str">
        <f>IFERROR(__xludf.DUMMYFUNCTION("IF(REGEXMATCH(C353, ""R""), ""2"","""")"),"2")</f>
        <v>2</v>
      </c>
      <c r="GF353" s="246" t="str">
        <f>IFERROR(__xludf.DUMMYFUNCTION("IF(REGEXMATCH(C353, ""g""), ""b3"","""")"),"b3")</f>
        <v>b3</v>
      </c>
      <c r="GG353" s="245" t="str">
        <f>IFERROR(__xludf.DUMMYFUNCTION("IF(REGEXMATCH(C353, ""G""), ""3"","""")"),"3")</f>
        <v>3</v>
      </c>
      <c r="GH353" s="245" t="str">
        <f>IFERROR(__xludf.DUMMYFUNCTION("IF(REGEXMATCH(C353, ""m""), ""4"","""")"),"4")</f>
        <v>4</v>
      </c>
      <c r="GI353" s="246" t="str">
        <f>IFERROR(__xludf.DUMMYFUNCTION("IF(REGEXMATCH(C353, ""M""), ""#4"","""")"),"")</f>
        <v/>
      </c>
      <c r="GJ353" s="245" t="str">
        <f>IFERROR(__xludf.DUMMYFUNCTION("IF(REGEXMATCH(C353, ""P""), ""5"","""")"),"5")</f>
        <v>5</v>
      </c>
      <c r="GK353" s="246" t="str">
        <f>IFERROR(__xludf.DUMMYFUNCTION("IF(REGEXMATCH(C353, ""d""), ""b6"","""")"),"")</f>
        <v/>
      </c>
      <c r="GL353" s="245" t="str">
        <f>IFERROR(__xludf.DUMMYFUNCTION("IF(REGEXMATCH(C353, ""D""), ""6"","""")"),"6")</f>
        <v>6</v>
      </c>
      <c r="GM353" s="245" t="str">
        <f>IFERROR(__xludf.DUMMYFUNCTION("IF(REGEXMATCH(C353, ""n""), ""b7"","""")"),"b7")</f>
        <v>b7</v>
      </c>
      <c r="GN353" s="246" t="str">
        <f>IFERROR(__xludf.DUMMYFUNCTION("IF(REGEXMATCH(C353, ""N""), ""7"","""")"),"7")</f>
        <v>7</v>
      </c>
      <c r="GO353" s="249" t="str">
        <f>IFERROR(__xludf.DUMMYFUNCTION("IF(REGEXMATCH(C353, ""S""), ""8"","""")"),"8")</f>
        <v>8</v>
      </c>
      <c r="GP353" s="244" t="str">
        <f>IFERROR(__xludf.DUMMYFUNCTION("IF(REGEXMATCH(C353, ""S""), ""S"","""")"),"S")</f>
        <v>S</v>
      </c>
      <c r="GQ353" s="294" t="str">
        <f>IFERROR(__xludf.DUMMYFUNCTION("IF(REGEXMATCH(C353, ""r""), ""R1"","""")"),"")</f>
        <v/>
      </c>
      <c r="GR353" s="295" t="str">
        <f>IFERROR(__xludf.DUMMYFUNCTION("IF(REGEXMATCH(C353, ""R""), ""R2"","""")"),"R2")</f>
        <v>R2</v>
      </c>
      <c r="GS353" s="295" t="str">
        <f>IFERROR(__xludf.DUMMYFUNCTION("IF(REGEXMATCH(C353, ""g""), ""G2"","""")"),"G2")</f>
        <v>G2</v>
      </c>
      <c r="GT353" s="294" t="str">
        <f>IFERROR(__xludf.DUMMYFUNCTION("IF(REGEXMATCH(C353, ""G""), ""G3"","""")"),"G3")</f>
        <v>G3</v>
      </c>
      <c r="GU353" s="294" t="str">
        <f>IFERROR(__xludf.DUMMYFUNCTION("IF(REGEXMATCH(C353, ""m""), ""M1"","""")"),"M1")</f>
        <v>M1</v>
      </c>
      <c r="GV353" s="295" t="str">
        <f>IFERROR(__xludf.DUMMYFUNCTION("IF(REGEXMATCH(C353, ""M""), ""M2"","""")"),"")</f>
        <v/>
      </c>
      <c r="GW353" s="294" t="str">
        <f>IFERROR(__xludf.DUMMYFUNCTION("IF(REGEXMATCH(C353, ""P""), ""P"","""")"),"P")</f>
        <v>P</v>
      </c>
      <c r="GX353" s="295" t="str">
        <f>IFERROR(__xludf.DUMMYFUNCTION("IF(REGEXMATCH(C353, ""d""), ""D1"","""")"),"")</f>
        <v/>
      </c>
      <c r="GY353" s="294" t="str">
        <f>IFERROR(__xludf.DUMMYFUNCTION("IF(REGEXMATCH(C353, ""D""), ""D2"","""")"),"D2")</f>
        <v>D2</v>
      </c>
      <c r="GZ353" s="294" t="str">
        <f>IFERROR(__xludf.DUMMYFUNCTION("IF(REGEXMATCH(C353, ""n""), ""N2"","""")"),"N2")</f>
        <v>N2</v>
      </c>
      <c r="HA353" s="295" t="str">
        <f>IFERROR(__xludf.DUMMYFUNCTION("IF(REGEXMATCH(C353, ""N""), ""N3"","""")"),"N3")</f>
        <v>N3</v>
      </c>
      <c r="HB353" s="249" t="str">
        <f>IFERROR(__xludf.DUMMYFUNCTION("IF(REGEXMATCH(C353, ""S""), ""S"","""")"),"S")</f>
        <v>S</v>
      </c>
      <c r="HC353" s="331" t="str">
        <f t="shared" si="95"/>
        <v>S</v>
      </c>
      <c r="HD353" s="332" t="str">
        <f t="shared" si="96"/>
        <v>r</v>
      </c>
      <c r="HE353" s="332" t="str">
        <f t="shared" si="97"/>
        <v>R</v>
      </c>
      <c r="HF353" s="332" t="str">
        <f t="shared" si="98"/>
        <v>g</v>
      </c>
      <c r="HG353" s="332" t="str">
        <f t="shared" si="99"/>
        <v/>
      </c>
      <c r="HH353" s="332" t="str">
        <f t="shared" si="100"/>
        <v>m</v>
      </c>
      <c r="HI353" s="332" t="str">
        <f t="shared" si="101"/>
        <v/>
      </c>
      <c r="HJ353" s="332" t="str">
        <f t="shared" si="102"/>
        <v>P</v>
      </c>
      <c r="HK353" s="332" t="str">
        <f t="shared" si="103"/>
        <v>d</v>
      </c>
      <c r="HL353" s="332" t="str">
        <f t="shared" si="104"/>
        <v>D</v>
      </c>
      <c r="HM353" s="332" t="str">
        <f t="shared" si="105"/>
        <v>n</v>
      </c>
      <c r="HN353" s="332" t="str">
        <f t="shared" si="106"/>
        <v/>
      </c>
      <c r="HO353" s="343" t="str">
        <f t="shared" si="107"/>
        <v>S</v>
      </c>
      <c r="HP353" s="331" t="str">
        <f t="shared" si="108"/>
        <v>o</v>
      </c>
      <c r="HQ353" s="332" t="str">
        <f t="shared" si="109"/>
        <v>•</v>
      </c>
      <c r="HR353" s="332" t="str">
        <f t="shared" si="110"/>
        <v>o</v>
      </c>
      <c r="HS353" s="332" t="str">
        <f t="shared" si="111"/>
        <v>o</v>
      </c>
      <c r="HT353" s="332" t="str">
        <f t="shared" si="112"/>
        <v>o</v>
      </c>
      <c r="HU353" s="332" t="str">
        <f t="shared" si="113"/>
        <v>o</v>
      </c>
      <c r="HV353" s="332" t="str">
        <f t="shared" si="114"/>
        <v>•</v>
      </c>
      <c r="HW353" s="332" t="str">
        <f t="shared" si="115"/>
        <v>o</v>
      </c>
      <c r="HX353" s="332" t="str">
        <f t="shared" si="116"/>
        <v>•</v>
      </c>
      <c r="HY353" s="332" t="str">
        <f t="shared" si="117"/>
        <v>o</v>
      </c>
      <c r="HZ353" s="332" t="str">
        <f t="shared" si="118"/>
        <v>o</v>
      </c>
      <c r="IA353" s="332" t="str">
        <f t="shared" si="119"/>
        <v>o</v>
      </c>
      <c r="IB353" s="338" t="str">
        <f t="shared" si="120"/>
        <v>o</v>
      </c>
      <c r="IC353" s="331" t="str">
        <f t="shared" si="121"/>
        <v>•</v>
      </c>
      <c r="ID353" s="332" t="str">
        <f t="shared" si="122"/>
        <v>o</v>
      </c>
      <c r="IE353" s="332" t="str">
        <f t="shared" si="123"/>
        <v>•</v>
      </c>
      <c r="IF353" s="332" t="str">
        <f t="shared" si="124"/>
        <v>•</v>
      </c>
      <c r="IG353" s="332" t="str">
        <f t="shared" si="125"/>
        <v>•</v>
      </c>
      <c r="IH353" s="332" t="str">
        <f t="shared" si="126"/>
        <v>•</v>
      </c>
      <c r="II353" s="332" t="str">
        <f t="shared" si="127"/>
        <v>o</v>
      </c>
      <c r="IJ353" s="332" t="str">
        <f t="shared" si="128"/>
        <v>•</v>
      </c>
      <c r="IK353" s="332" t="str">
        <f t="shared" si="129"/>
        <v>o</v>
      </c>
      <c r="IL353" s="332" t="str">
        <f t="shared" si="130"/>
        <v>•</v>
      </c>
      <c r="IM353" s="332" t="str">
        <f t="shared" si="131"/>
        <v>•</v>
      </c>
      <c r="IN353" s="332" t="str">
        <f t="shared" si="132"/>
        <v>•</v>
      </c>
      <c r="IO353" s="338" t="str">
        <f t="shared" si="133"/>
        <v>•</v>
      </c>
      <c r="IP353" s="346" t="b">
        <f t="shared" si="134"/>
        <v>0</v>
      </c>
      <c r="IQ353" s="347" t="b">
        <f t="shared" si="135"/>
        <v>0</v>
      </c>
      <c r="IR353" s="347" t="b">
        <f t="shared" si="136"/>
        <v>0</v>
      </c>
      <c r="IS353" s="347" t="b">
        <f t="shared" si="137"/>
        <v>0</v>
      </c>
      <c r="IT353" s="347" t="b">
        <f t="shared" si="138"/>
        <v>0</v>
      </c>
      <c r="IU353" s="347" t="b">
        <f t="shared" si="139"/>
        <v>0</v>
      </c>
      <c r="IV353" s="347" t="b">
        <f t="shared" si="140"/>
        <v>0</v>
      </c>
      <c r="IW353" s="347" t="b">
        <f t="shared" si="141"/>
        <v>0</v>
      </c>
      <c r="IX353" s="347" t="b">
        <f t="shared" si="142"/>
        <v>0</v>
      </c>
      <c r="IY353" s="347" t="b">
        <f t="shared" si="143"/>
        <v>0</v>
      </c>
      <c r="IZ353" s="347" t="b">
        <f t="shared" si="144"/>
        <v>0</v>
      </c>
      <c r="JA353" s="347" t="b">
        <f t="shared" si="145"/>
        <v>1</v>
      </c>
      <c r="JB353" s="353" t="b">
        <f t="shared" si="146"/>
        <v>0</v>
      </c>
      <c r="JC353" s="354" t="str">
        <f t="shared" si="147"/>
        <v/>
      </c>
      <c r="JD353" s="355" t="str">
        <f t="shared" si="148"/>
        <v/>
      </c>
      <c r="JE353" s="355" t="str">
        <f t="shared" si="149"/>
        <v/>
      </c>
      <c r="JF353" s="355" t="str">
        <f t="shared" si="150"/>
        <v/>
      </c>
      <c r="JG353" s="355" t="str">
        <f t="shared" si="151"/>
        <v/>
      </c>
      <c r="JH353" s="355" t="str">
        <f t="shared" si="152"/>
        <v/>
      </c>
      <c r="JI353" s="355" t="str">
        <f t="shared" si="153"/>
        <v/>
      </c>
      <c r="JJ353" s="355" t="str">
        <f t="shared" si="154"/>
        <v/>
      </c>
      <c r="JK353" s="355" t="str">
        <f t="shared" si="155"/>
        <v/>
      </c>
      <c r="JL353" s="355" t="str">
        <f t="shared" si="156"/>
        <v/>
      </c>
      <c r="JM353" s="355" t="str">
        <f t="shared" si="157"/>
        <v/>
      </c>
      <c r="JN353" s="355" t="str">
        <f t="shared" si="158"/>
        <v>Ni, </v>
      </c>
      <c r="JO353" s="359" t="str">
        <f t="shared" si="159"/>
        <v/>
      </c>
      <c r="JP353" s="346" t="b">
        <f t="shared" si="160"/>
        <v>0</v>
      </c>
      <c r="JQ353" s="347" t="b">
        <f t="shared" si="161"/>
        <v>0</v>
      </c>
      <c r="JR353" s="347" t="b">
        <f t="shared" si="162"/>
        <v>0</v>
      </c>
      <c r="JS353" s="347" t="b">
        <f t="shared" si="163"/>
        <v>0</v>
      </c>
      <c r="JT353" s="347" t="b">
        <f t="shared" si="164"/>
        <v>0</v>
      </c>
      <c r="JU353" s="347" t="b">
        <f t="shared" si="165"/>
        <v>0</v>
      </c>
      <c r="JV353" s="347" t="b">
        <f t="shared" si="166"/>
        <v>0</v>
      </c>
      <c r="JW353" s="347" t="b">
        <f t="shared" si="167"/>
        <v>0</v>
      </c>
      <c r="JX353" s="347" t="b">
        <f t="shared" si="168"/>
        <v>0</v>
      </c>
      <c r="JY353" s="347" t="b">
        <f t="shared" si="169"/>
        <v>0</v>
      </c>
      <c r="JZ353" s="347" t="b">
        <f t="shared" si="170"/>
        <v>0</v>
      </c>
      <c r="KA353" s="347" t="b">
        <f t="shared" si="171"/>
        <v>0</v>
      </c>
      <c r="KB353" s="365" t="b">
        <f t="shared" si="172"/>
        <v>0</v>
      </c>
      <c r="KC353" s="354" t="str">
        <f t="shared" si="173"/>
        <v/>
      </c>
      <c r="KD353" s="355" t="str">
        <f t="shared" si="174"/>
        <v/>
      </c>
      <c r="KE353" s="355" t="str">
        <f t="shared" si="175"/>
        <v/>
      </c>
      <c r="KF353" s="355" t="str">
        <f t="shared" si="176"/>
        <v/>
      </c>
      <c r="KG353" s="355" t="str">
        <f t="shared" si="177"/>
        <v/>
      </c>
      <c r="KH353" s="355" t="str">
        <f t="shared" si="178"/>
        <v/>
      </c>
      <c r="KI353" s="355" t="str">
        <f t="shared" si="179"/>
        <v/>
      </c>
      <c r="KJ353" s="355" t="str">
        <f t="shared" si="180"/>
        <v/>
      </c>
      <c r="KK353" s="355" t="str">
        <f t="shared" si="181"/>
        <v/>
      </c>
      <c r="KL353" s="355" t="str">
        <f t="shared" si="182"/>
        <v/>
      </c>
      <c r="KM353" s="355" t="str">
        <f t="shared" si="183"/>
        <v/>
      </c>
      <c r="KN353" s="355" t="str">
        <f t="shared" si="184"/>
        <v/>
      </c>
      <c r="KO353" s="359"/>
      <c r="KP353" s="378"/>
      <c r="KQ353" s="379" t="s">
        <v>530</v>
      </c>
      <c r="KR353" s="380" t="s">
        <v>1303</v>
      </c>
      <c r="KS353" s="381" t="str">
        <f t="shared" si="940"/>
        <v>S-R-G-m-P-D-nN-S</v>
      </c>
      <c r="KT353" s="382">
        <f t="shared" si="186"/>
        <v>7</v>
      </c>
      <c r="KU353" s="383">
        <f t="shared" si="187"/>
        <v>8</v>
      </c>
      <c r="KV353" s="381" t="str">
        <f t="shared" si="205"/>
        <v>S-n-P-m-g-R-S</v>
      </c>
      <c r="KW353" s="382">
        <f t="shared" si="189"/>
        <v>6</v>
      </c>
      <c r="KX353" s="384">
        <f t="shared" si="190"/>
        <v>6</v>
      </c>
      <c r="KY353" s="382">
        <f t="shared" ref="KY353:KZ353" si="941">KW353-KT353</f>
        <v>-1</v>
      </c>
      <c r="KZ353" s="369">
        <f t="shared" si="941"/>
        <v>-2</v>
      </c>
      <c r="LA353" s="385" t="str">
        <f t="shared" si="192"/>
        <v>-</v>
      </c>
      <c r="LB353" s="340" t="str">
        <f>IFERROR(__xludf.DUMMYFUNCTION("JOIN("""",ArrayFormula(MID(KS353,LEN(KS353)-SEQUENCE(1,LEN(KS353))+1,1)))"),"S-Nn-D-P-m-G-R-S")</f>
        <v>S-Nn-D-P-m-G-R-S</v>
      </c>
      <c r="LC353" s="373" t="str">
        <f>IFERROR(__xludf.DUMMYFUNCTION("JOIN("""",ArrayFormula(MID(KV353,LEN(KV353)-SEQUENCE(1,LEN(KV353))+1,1)))"),"S-R-g-m-P-n-S")</f>
        <v>S-R-g-m-P-n-S</v>
      </c>
      <c r="LD353" s="373" t="str">
        <f t="shared" si="193"/>
        <v>SRGmPDnNS</v>
      </c>
      <c r="LE353" s="339" t="str">
        <f t="shared" si="194"/>
        <v>SRgmPnS</v>
      </c>
      <c r="LF353" s="386" t="str">
        <f>IFERROR(__xludf.DUMMYFUNCTION("SUBSTITUTE(SUBSTITUTE(CONCATENATE(JOIN("""",LH353:LT353)),""1"",""""),""2"","""")"),"SRgGmPDnNS")</f>
        <v>SRgGmPDnNS</v>
      </c>
      <c r="LG353" s="369" t="str">
        <f t="shared" si="195"/>
        <v>✔</v>
      </c>
      <c r="LH353" s="387" t="str">
        <f>IFERROR(__xludf.DUMMYFUNCTION("IF(REGEXMATCH(LD353, ""S""), ""S"",IF(REGEXMATCH(LE353, ""S""), ""S"",""""))"),"S")</f>
        <v>S</v>
      </c>
      <c r="LI353" s="299" t="str">
        <f>IFERROR(__xludf.DUMMYFUNCTION("IF(REGEXMATCH(LD353, ""r""), ""r1"",IF(REGEXMATCH(LE353, ""r""), ""r2"",""""))"),"")</f>
        <v/>
      </c>
      <c r="LJ353" s="299" t="str">
        <f>IFERROR(__xludf.DUMMYFUNCTION("IF(REGEXMATCH(LD353, ""R""), ""R1"",IF(REGEXMATCH(LE353, ""R""), ""R2"",""""))"),"R1")</f>
        <v>R1</v>
      </c>
      <c r="LK353" s="299" t="str">
        <f>IFERROR(__xludf.DUMMYFUNCTION("IF(REGEXMATCH(LD353, ""g""), ""g1"",IF(REGEXMATCH(LE353, ""g""), ""g2"",""""))"),"g2")</f>
        <v>g2</v>
      </c>
      <c r="LL353" s="299" t="str">
        <f>IFERROR(__xludf.DUMMYFUNCTION("IF(REGEXMATCH(LD353, ""G""), ""G1"",IF(REGEXMATCH(LE353, ""G""), ""G2"",""""))"),"G1")</f>
        <v>G1</v>
      </c>
      <c r="LM353" s="299" t="str">
        <f>IFERROR(__xludf.DUMMYFUNCTION("IF(REGEXMATCH(LD353, ""m""), ""m1"",IF(REGEXMATCH(LE353, ""m""), ""m2"",""""))"),"m1")</f>
        <v>m1</v>
      </c>
      <c r="LN353" s="299" t="str">
        <f>IFERROR(__xludf.DUMMYFUNCTION("IF(REGEXMATCH(LD353, ""M""), ""M1"",IF(REGEXMATCH(LE353, ""M""), ""M2"",""""))"),"")</f>
        <v/>
      </c>
      <c r="LO353" s="299" t="str">
        <f>IFERROR(__xludf.DUMMYFUNCTION("IF(REGEXMATCH(LD353, ""P""), ""P1"",IF(REGEXMATCH(LE353, ""P""), ""P2"",""""))"),"P1")</f>
        <v>P1</v>
      </c>
      <c r="LP353" s="299" t="str">
        <f>IFERROR(__xludf.DUMMYFUNCTION("IF(REGEXMATCH(LD353, ""d""), ""d1"",IF(REGEXMATCH(LE353, ""d""), ""d2"",""""))"),"")</f>
        <v/>
      </c>
      <c r="LQ353" s="299" t="str">
        <f>IFERROR(__xludf.DUMMYFUNCTION("IF(REGEXMATCH(LD353, ""D""), ""D1"",IF(REGEXMATCH(LE353, ""D""), ""D2"",""""))"),"D1")</f>
        <v>D1</v>
      </c>
      <c r="LR353" s="299" t="str">
        <f>IFERROR(__xludf.DUMMYFUNCTION("IF(REGEXMATCH(LD353, ""n""), ""n1"",IF(REGEXMATCH(LE353, ""n""), ""n2"",""""))"),"n1")</f>
        <v>n1</v>
      </c>
      <c r="LS353" s="299" t="str">
        <f>IFERROR(__xludf.DUMMYFUNCTION("IF(REGEXMATCH(LD353, ""N""), ""N1"",IF(REGEXMATCH(LE353, ""N""), ""N2"",""""))"),"N1")</f>
        <v>N1</v>
      </c>
      <c r="LT353" s="388" t="str">
        <f>IFERROR(__xludf.DUMMYFUNCTION("IF(REGEXMATCH(LD353, ""S""), ""S"",IF(REGEXMATCH(LE353, ""S""), ""S"",""""))"),"S")</f>
        <v>S</v>
      </c>
      <c r="LU353" s="389">
        <f t="shared" si="196"/>
        <v>4</v>
      </c>
      <c r="LV353" s="378"/>
      <c r="LW353" s="369"/>
      <c r="LX353" s="369"/>
    </row>
    <row r="354" ht="18.0" customHeight="1">
      <c r="A354" s="298" t="s">
        <v>1227</v>
      </c>
      <c r="B354" s="222" t="s">
        <v>1228</v>
      </c>
      <c r="C354" s="233" t="str">
        <f t="shared" si="7"/>
        <v>SgMdnS</v>
      </c>
      <c r="D354" s="234" t="str">
        <f>IFERROR(__xludf.DUMMYFUNCTION("IF(REGEXMATCH(C354, ""S""), ""S"","""")"),"S")</f>
        <v>S</v>
      </c>
      <c r="E354" s="236" t="str">
        <f>IFERROR(__xludf.DUMMYFUNCTION("IF(REGEXMATCH(C354, ""r""), ""r"","""")"),"")</f>
        <v/>
      </c>
      <c r="F354" s="237" t="str">
        <f>IFERROR(__xludf.DUMMYFUNCTION("IF(REGEXMATCH(C354, ""R""), ""R"","""")"),"")</f>
        <v/>
      </c>
      <c r="G354" s="237" t="str">
        <f>IFERROR(__xludf.DUMMYFUNCTION("IF(REGEXMATCH(C354, ""g""), ""g"","""")"),"g")</f>
        <v>g</v>
      </c>
      <c r="H354" s="236" t="str">
        <f>IFERROR(__xludf.DUMMYFUNCTION("IF(REGEXMATCH(C354, ""G""), ""G"","""")"),"")</f>
        <v/>
      </c>
      <c r="I354" s="236" t="str">
        <f>IFERROR(__xludf.DUMMYFUNCTION("IF(REGEXMATCH(C354, ""m""), ""m"","""")"),"")</f>
        <v/>
      </c>
      <c r="J354" s="237" t="str">
        <f>IFERROR(__xludf.DUMMYFUNCTION("IF(REGEXMATCH(C354, ""M""), ""M"","""")"),"M")</f>
        <v>M</v>
      </c>
      <c r="K354" s="236" t="str">
        <f>IFERROR(__xludf.DUMMYFUNCTION("IF(REGEXMATCH(C354, ""P""), ""P"","""")"),"")</f>
        <v/>
      </c>
      <c r="L354" s="237" t="str">
        <f>IFERROR(__xludf.DUMMYFUNCTION("IF(REGEXMATCH(C354, ""d""), ""d"","""")"),"d")</f>
        <v>d</v>
      </c>
      <c r="M354" s="236" t="str">
        <f>IFERROR(__xludf.DUMMYFUNCTION("IF(REGEXMATCH(C354, ""D""), ""D"","""")"),"")</f>
        <v/>
      </c>
      <c r="N354" s="236" t="str">
        <f>IFERROR(__xludf.DUMMYFUNCTION("IF(REGEXMATCH(C354, ""n""), ""n"","""")"),"n")</f>
        <v>n</v>
      </c>
      <c r="O354" s="237" t="str">
        <f>IFERROR(__xludf.DUMMYFUNCTION("IF(REGEXMATCH(C354, ""N""), ""N"","""")"),"")</f>
        <v/>
      </c>
      <c r="P354" s="238" t="str">
        <f>IFERROR(__xludf.DUMMYFUNCTION("IF(REGEXMATCH(C354, ""S""), ""S"","""")"),"S")</f>
        <v>S</v>
      </c>
      <c r="Q354" s="239" t="str">
        <f>IFERROR(__xludf.DUMMYFUNCTION("SUBSTITUTE(CONCATENATE(JOIN(""-"",D354:J354)),""-"","""")"),"SgM")</f>
        <v>SgM</v>
      </c>
      <c r="R354" s="229" t="str">
        <f>IFERROR(__xludf.DUMMYFUNCTION("SUBSTITUTE(CONCATENATE(JOIN(""-"",K354:P354)),""-"","""")"),"dnS")</f>
        <v>dnS</v>
      </c>
      <c r="S354" s="282" t="str">
        <f t="shared" si="8"/>
        <v>S-G-M</v>
      </c>
      <c r="T354" s="282" t="str">
        <f t="shared" si="9"/>
        <v>D-N-S</v>
      </c>
      <c r="U354" s="237" t="str">
        <f>IFERROR(__xludf.DUMMYFUNCTION("SUBSTITUTE(JOIN(""-"",S354,T354),""--"",""-"")"),"S-G-M-D-N-S")</f>
        <v>S-G-M-D-N-S</v>
      </c>
      <c r="V354" s="309" t="str">
        <f t="shared" si="10"/>
        <v>gMdn</v>
      </c>
      <c r="W354" s="244" t="str">
        <f>IFERROR(__xludf.DUMMYFUNCTION("IF(REGEXMATCH(C354, ""S""), ""0"","""")"),"0")</f>
        <v>0</v>
      </c>
      <c r="X354" s="245" t="str">
        <f>IFERROR(__xludf.DUMMYFUNCTION("IF(REGEXMATCH(C354, ""r""), ""1"","""")"),"")</f>
        <v/>
      </c>
      <c r="Y354" s="246" t="str">
        <f>IFERROR(__xludf.DUMMYFUNCTION("IF(REGEXMATCH(C354, ""R""), ""2"","""")"),"")</f>
        <v/>
      </c>
      <c r="Z354" s="246" t="str">
        <f>IFERROR(__xludf.DUMMYFUNCTION("IF(REGEXMATCH(C354, ""g""), ""3"","""")"),"3")</f>
        <v>3</v>
      </c>
      <c r="AA354" s="245" t="str">
        <f>IFERROR(__xludf.DUMMYFUNCTION("IF(REGEXMATCH(C354, ""G""), ""4"","""")"),"")</f>
        <v/>
      </c>
      <c r="AB354" s="245" t="str">
        <f>IFERROR(__xludf.DUMMYFUNCTION("IF(REGEXMATCH(C354, ""m""), ""5"","""")"),"")</f>
        <v/>
      </c>
      <c r="AC354" s="246" t="str">
        <f>IFERROR(__xludf.DUMMYFUNCTION("IF(REGEXMATCH(C354, ""M""), ""6"","""")"),"6")</f>
        <v>6</v>
      </c>
      <c r="AD354" s="245" t="str">
        <f>IFERROR(__xludf.DUMMYFUNCTION("IF(REGEXMATCH(C354, ""P""), ""7"","""")"),"")</f>
        <v/>
      </c>
      <c r="AE354" s="246" t="str">
        <f>IFERROR(__xludf.DUMMYFUNCTION("IF(REGEXMATCH(C354, ""d""), ""8"","""")"),"8")</f>
        <v>8</v>
      </c>
      <c r="AF354" s="245" t="str">
        <f>IFERROR(__xludf.DUMMYFUNCTION("IF(REGEXMATCH(C354, ""D""), ""9"","""")"),"")</f>
        <v/>
      </c>
      <c r="AG354" s="245" t="str">
        <f>IFERROR(__xludf.DUMMYFUNCTION("IF(REGEXMATCH(C354, ""n""), ""10"","""")"),"10")</f>
        <v>10</v>
      </c>
      <c r="AH354" s="246" t="str">
        <f>IFERROR(__xludf.DUMMYFUNCTION("IF(REGEXMATCH(C354, ""N""), ""11"","""")"),"")</f>
        <v/>
      </c>
      <c r="AI354" s="249" t="str">
        <f>IFERROR(__xludf.DUMMYFUNCTION("IF(REGEXMATCH(C354, ""S""), ""0"","""")"),"0")</f>
        <v>0</v>
      </c>
      <c r="AJ354" s="313" t="str">
        <f t="shared" si="11"/>
        <v>T</v>
      </c>
      <c r="AK354" s="313" t="str">
        <f t="shared" si="12"/>
        <v>-</v>
      </c>
      <c r="AL354" s="313" t="str">
        <f t="shared" si="13"/>
        <v>-</v>
      </c>
      <c r="AM354" s="313" t="str">
        <f t="shared" si="14"/>
        <v>-</v>
      </c>
      <c r="AN354" s="313" t="str">
        <f t="shared" si="15"/>
        <v>-</v>
      </c>
      <c r="AO354" s="314" t="str">
        <f t="shared" si="16"/>
        <v>-</v>
      </c>
      <c r="AP354" s="316">
        <f t="shared" si="17"/>
        <v>1</v>
      </c>
      <c r="AQ354" s="319" t="str">
        <f t="shared" si="18"/>
        <v>#REF!</v>
      </c>
      <c r="AR354" s="320">
        <f t="shared" si="19"/>
        <v>0</v>
      </c>
      <c r="AS354" s="250" t="str">
        <f>IFERROR(__xludf.DUMMYFUNCTION("SUBSTITUTE(SUBSTITUTE(CONCATENATE(JOIN("""",FP354:GA354)),""|"",""x""),""-"",""o"")"),"xooxooxoxoxo")</f>
        <v>xooxooxoxoxo</v>
      </c>
      <c r="AT354" s="323" t="str">
        <f>IFERROR(__xludf.DUMMYFUNCTION("JOIN("""",AS354,AS354)"),"xooxooxoxoxoxooxooxoxoxo")</f>
        <v>xooxooxoxoxoxooxooxoxoxo</v>
      </c>
      <c r="AU354" s="256" t="str">
        <f>IFERROR(__xludf.DUMMYFUNCTION("JOIN("""",ArrayFormula(MID(AS354,LEN(AS354)-SEQUENCE(1,LEN(AS354))+1,1)))"),"oxoxoxooxoox")</f>
        <v>oxoxoxooxoox</v>
      </c>
      <c r="AV354" s="256" t="str">
        <f>IFERROR(__xludf.DUMMYFUNCTION("LEFT(CONCATENATE(""x"",JOIN("""",ArrayFormula(MID(AS354,LEN(AS354)-SEQUENCE(1,LEN(AS354))+1,1)))),12)"),"xoxoxoxooxoo")</f>
        <v>xoxoxoxooxoo</v>
      </c>
      <c r="AW354" s="327" t="str">
        <f>IFERROR(__xludf.DUMMYFUNCTION("JOIN("""",AU354,AU354)"),"oxoxoxooxooxoxoxoxooxoox")</f>
        <v>oxoxoxooxooxoxoxoxooxoox</v>
      </c>
      <c r="AX354" s="239" t="str">
        <f>IFERROR(__xludf.DUMMYFUNCTION("IF(REGEXMATCH(AW354,AS354),""✔"",""-"")"),"✔")</f>
        <v>✔</v>
      </c>
      <c r="AY354" s="330" t="str">
        <f t="shared" si="20"/>
        <v>-</v>
      </c>
      <c r="AZ354" s="260" t="str">
        <f t="shared" si="21"/>
        <v>#REF!</v>
      </c>
      <c r="BA354" s="333" t="str">
        <f t="shared" si="22"/>
        <v>xooxoox</v>
      </c>
      <c r="BB354" s="334" t="str">
        <f t="shared" si="23"/>
        <v>oxoxox</v>
      </c>
      <c r="BC354" s="335" t="str">
        <f t="shared" si="236"/>
        <v>-</v>
      </c>
      <c r="BD354" s="336" t="str">
        <f t="shared" si="25"/>
        <v>Tivrakauns: 'xooxoox' + 'oxoxox'</v>
      </c>
      <c r="BE354" s="337">
        <f>IFERROR(__xludf.DUMMYFUNCTION("COUNTUNIQUE(FILTER(AT:AT,REGEXMATCH(AT:AT,AS354)))-1"),2.0)</f>
        <v>2</v>
      </c>
      <c r="BF354" s="261" t="str">
        <f>IFERROR(__xludf.DUMMYFUNCTION("IF(BI354=0,""(n/a)"",IF(BJ354=2,""(PAIR)"",IF(REGEXMATCH(AT354,""xoxoxxoxoxox""),""Bilawal"",IF(REGEXMATCH(AT354,""xoxoxooxoxoo""),""Bhupali"",IF(REGEXMATCH(AT354,""xoxoxxoxxoxo""),""Charukeshi"",IF(REGEXMATCH(AT354,""xoxoooxxoxxo""),""Kameshwari"",IF(REG"&amp;"EXMATCH(AT354,""xoxoxooxoxox""),""Shankara"",IF(REGEXMATCH(AT354,""xxooxoxxxoox""),""Basant"",IF(REGEXMATCH(AT354,""xoxoxxxxoxox""),""Bihag"",IF(REGEXMATCH(AT354,""xoxxxxoxoxxx""),""Pilu"",IF(REGEXMATCH(AT354,""xoxxoxoxxoox""),""Kirwani"",IF(REGEXMATCH(AT"&amp;"354,""xoxxoxoxoxxx""),""Mk.Malhar"",IF(REGEXMATCH(AT354,""xxooxxoxxoox""),""Bhairav"",IF(REGEXMATCH(AT354,""xxoxooxxxoox""),""Todi"",IF(REGEXMATCH(AT354,""xxooxoxooxox""),""Marwa"",IF(REGEXMATCH(AT354,""xxoooxoxxooo""),""Gunkali"",IF(REGEXMATCH(AT354,""xo"&amp;"xoxxoxxoox""),""Nat Bhairav"",IF(REGEXMATCH(AT354,""xoxxoooxoxoo""),""Shivranjani"",IF(REGEXMATCH(AT354,""xooxxxoxooxo""),""Jog"",IF(REGEXMATCH(AT354,""xxooxoxoxoox""),""Hemshri"",IF(REGEXMATCH(AT354,""xoooxooxoxxo""),""Kalavati"",IF(REGEXMATCH(AT354,""xx"&amp;"oxoxxoxoox""),""Kedar"",IF(REGEXMATCH(AT354,""xoxxxxoxooxx""),""Gara"",IF(REGEXMATCH(AT354,""xooxoxooxoox""),""Chandrakauns"",IF(REGEXMATCH(AT354,""xoxxxxoxxxox""),""Mand"",IF(REGEXMATCH(AT354,""xoxxxxoxoxox""),""Hanskinkini"",IF(REGEXMATCH(AT354,""xxooxx"&amp;"oxooxo""),""Lilavati"",IF(REGEXMATCH(AT354,""xooxoxoooxox""),""Rajeshwari"",IF(REGEXMATCH(AT354,""xoooxxoxoxxx""),""Khokar"",IF(REGEXMATCH(AT354,""xxooxoxxxxox""),""Maligoura"",""-""))))))))))))))))))))))))))))))"),"-")</f>
        <v>-</v>
      </c>
      <c r="BG354" s="239" t="str">
        <f t="shared" si="26"/>
        <v>#REF!</v>
      </c>
      <c r="BH354" s="239">
        <f>IFERROR(__xludf.DUMMYFUNCTION("COUNTUNIQUE(FE354:FO354)-1"),4.0)</f>
        <v>4</v>
      </c>
      <c r="BI354" s="239">
        <f>IFERROR(__xludf.DUMMYFUNCTION("COUNTUNIQUE(FILTER(AT:AT,REGEXMATCH(AT:AT,AS354)))-1"),2.0)</f>
        <v>2</v>
      </c>
      <c r="BJ354" s="239">
        <f>IFERROR(__xludf.DUMMYFUNCTION("COUNTA(FILTER(AT:AT,REGEXMATCH(AT:AT,AS354)))"),3.0)</f>
        <v>3</v>
      </c>
      <c r="BK354" s="341">
        <f>IFERROR(__xludf.DUMMYFUNCTION("COUNTA(FILTER(AT:AT,REGEXMATCH(AT:AT,AS354)))-AR354"),3.0)</f>
        <v>3</v>
      </c>
      <c r="BL354" s="276" t="str">
        <f>IFERROR(__xludf.DUMMYFUNCTION("IF(AS354=""oooooooooooo"",""-"",IF(REGEXMATCH(AT354,""xx""), ""Hemi."", ""Anhemi.""))"),"Anhemi.")</f>
        <v>Anhemi.</v>
      </c>
      <c r="BM354" s="282" t="str">
        <f>IFERROR(__xludf.DUMMYFUNCTION("IF(AS354=""oooooooooooo"",""-"",IF(REGEXMATCH(AT354,""xxx""), ""Cohem."", ""-""))"),"-")</f>
        <v>-</v>
      </c>
      <c r="BN354" s="282" t="str">
        <f>IFERROR(__xludf.DUMMYFUNCTION("IF(AS354=""oooooooooooo"",""-"",IF(REGEXMATCH(AT354,""xxxx""), ""Co-Co."", ""-""))"),"-")</f>
        <v>-</v>
      </c>
      <c r="BO354" s="342" t="str">
        <f>IFERROR(__xludf.DUMMYFUNCTION("IF(AS354=""oooooooooooo"",""-"",IF(REGEXMATCH(AT354,""xxxxx""), ""CCC."", ""-""))"),"-")</f>
        <v>-</v>
      </c>
      <c r="BP354" s="344" t="str">
        <f t="shared" si="27"/>
        <v>-</v>
      </c>
      <c r="BQ354" s="282" t="str">
        <f>IFERROR(__xludf.DUMMYFUNCTION("IF(REGEXMATCH(JOIN(""-"",EU354:FD354),""TRUE""),""✔"",""-"")"),"-")</f>
        <v>-</v>
      </c>
      <c r="BR354" s="225">
        <f t="shared" si="28"/>
        <v>0</v>
      </c>
      <c r="BS354" s="345" t="str">
        <f>IFERROR(__xludf.DUMMYFUNCTION("SUBSTITUTE(SUBSTITUTE(SUBSTITUTE(SUBSTITUTE(CONCATENATE(JOIN(""-"",GC354:GO354)),""--"",""-""),""--"",""-""),""--"",""-""),""--"",""-"")"),"1-b3-#4-b6-b7-8")</f>
        <v>1-b3-#4-b6-b7-8</v>
      </c>
      <c r="BT354" s="299" t="str">
        <f>IFERROR(__xludf.DUMMYFUNCTION("SUBSTITUTE(SUBSTITUTE(SUBSTITUTE(SUBSTITUTE(CONCATENATE(JOIN(""-"",GP354:HB354)),""--"",""-""),""--"",""-""),""--"",""-""),""--"",""-"")"),"S-G2-M2-D1-N2-S")</f>
        <v>S-G2-M2-D1-N2-S</v>
      </c>
      <c r="BU354" s="348" t="str">
        <f t="shared" si="29"/>
        <v>C-Eb-F#-Ab-Bb-C</v>
      </c>
      <c r="BV354" s="349" t="str">
        <f t="shared" si="30"/>
        <v>SrRGmPDNS</v>
      </c>
      <c r="BW354" s="350">
        <f t="shared" si="31"/>
        <v>2</v>
      </c>
      <c r="BX354" s="351">
        <f t="shared" si="32"/>
        <v>1</v>
      </c>
      <c r="BY354" s="392"/>
      <c r="BZ354" s="309" t="str">
        <f>IFERROR(__xludf.DUMMYFUNCTION("IF(REGEXMATCH(C354, ""S""), ""x"",""x"")"),"x")</f>
        <v>x</v>
      </c>
      <c r="CA354" s="245" t="str">
        <f>IFERROR(__xludf.DUMMYFUNCTION("IF(REGEXMATCH(C354, ""r""), ""o"",""x"")"),"x")</f>
        <v>x</v>
      </c>
      <c r="CB354" s="246" t="str">
        <f>IFERROR(__xludf.DUMMYFUNCTION("IF(REGEXMATCH(C354, ""R""), ""o"",""x"")"),"x")</f>
        <v>x</v>
      </c>
      <c r="CC354" s="246" t="str">
        <f>IFERROR(__xludf.DUMMYFUNCTION("IF(REGEXMATCH(C354, ""g""), ""o"",""x"")"),"o")</f>
        <v>o</v>
      </c>
      <c r="CD354" s="245" t="str">
        <f>IFERROR(__xludf.DUMMYFUNCTION("IF(REGEXMATCH(C354, ""G""), ""o"",""x"")"),"x")</f>
        <v>x</v>
      </c>
      <c r="CE354" s="245" t="str">
        <f>IFERROR(__xludf.DUMMYFUNCTION("IF(REGEXMATCH(C354, ""m""), ""o"",""x"")"),"x")</f>
        <v>x</v>
      </c>
      <c r="CF354" s="246" t="str">
        <f>IFERROR(__xludf.DUMMYFUNCTION("IF(REGEXMATCH(C354, ""M""), ""o"",""x"")"),"o")</f>
        <v>o</v>
      </c>
      <c r="CG354" s="245" t="str">
        <f>IFERROR(__xludf.DUMMYFUNCTION("IF(REGEXMATCH(C354, ""P""), ""o"",""x"")"),"x")</f>
        <v>x</v>
      </c>
      <c r="CH354" s="246" t="str">
        <f>IFERROR(__xludf.DUMMYFUNCTION("IF(REGEXMATCH(C354, ""d""), ""o"",""x"")"),"o")</f>
        <v>o</v>
      </c>
      <c r="CI354" s="245" t="str">
        <f>IFERROR(__xludf.DUMMYFUNCTION("IF(REGEXMATCH(C354, ""D""), ""o"",""x"")"),"x")</f>
        <v>x</v>
      </c>
      <c r="CJ354" s="245" t="str">
        <f>IFERROR(__xludf.DUMMYFUNCTION("IF(REGEXMATCH(C354, ""n""), ""o"",""x"")"),"o")</f>
        <v>o</v>
      </c>
      <c r="CK354" s="245" t="str">
        <f>IFERROR(__xludf.DUMMYFUNCTION("IF(REGEXMATCH(C354, ""N""), ""o"",""x"")"),"x")</f>
        <v>x</v>
      </c>
      <c r="CL354" s="356" t="str">
        <f>IFERROR(__xludf.DUMMYFUNCTION("IF(REGEXMATCH(C354, ""S""), ""x"",""x"")"),"x")</f>
        <v>x</v>
      </c>
      <c r="CM354" s="357" t="str">
        <f t="shared" si="33"/>
        <v>xxxoxxoxoxox</v>
      </c>
      <c r="CN354" s="358">
        <f t="shared" si="34"/>
        <v>2</v>
      </c>
      <c r="CO354" s="246" t="str">
        <f>IFERROR(__xludf.DUMMYFUNCTION("IF(REGEXMATCH($C354, ""S""), ""S"",""S"")"),"S")</f>
        <v>S</v>
      </c>
      <c r="CP354" s="246" t="str">
        <f>IFERROR(__xludf.DUMMYFUNCTION("IF(REGEXMATCH($C354, ""r""), """",""r"")"),"r")</f>
        <v>r</v>
      </c>
      <c r="CQ354" s="246" t="str">
        <f>IFERROR(__xludf.DUMMYFUNCTION("IF(REGEXMATCH($C354, ""R""), """",""R"")"),"R")</f>
        <v>R</v>
      </c>
      <c r="CR354" s="246" t="str">
        <f>IFERROR(__xludf.DUMMYFUNCTION("IF(REGEXMATCH($C354, ""g""), """",""g"")"),"")</f>
        <v/>
      </c>
      <c r="CS354" s="246" t="str">
        <f>IFERROR(__xludf.DUMMYFUNCTION("IF(REGEXMATCH($C354, ""G""), """",""G"")"),"G")</f>
        <v>G</v>
      </c>
      <c r="CT354" s="246" t="str">
        <f>IFERROR(__xludf.DUMMYFUNCTION("IF(REGEXMATCH($C354, ""m""), """",""m"")"),"m")</f>
        <v>m</v>
      </c>
      <c r="CU354" s="246" t="str">
        <f>IFERROR(__xludf.DUMMYFUNCTION("IF(REGEXMATCH($C354, ""M""), """",""M"")"),"")</f>
        <v/>
      </c>
      <c r="CV354" s="246" t="str">
        <f>IFERROR(__xludf.DUMMYFUNCTION("IF(REGEXMATCH($C354, ""P""), """",""P"")"),"P")</f>
        <v>P</v>
      </c>
      <c r="CW354" s="246" t="str">
        <f>IFERROR(__xludf.DUMMYFUNCTION("IF(REGEXMATCH($C354, ""d""), """",""d"")"),"")</f>
        <v/>
      </c>
      <c r="CX354" s="246" t="str">
        <f>IFERROR(__xludf.DUMMYFUNCTION("IF(REGEXMATCH($C354, ""D""), """",""D"")"),"D")</f>
        <v>D</v>
      </c>
      <c r="CY354" s="246" t="str">
        <f>IFERROR(__xludf.DUMMYFUNCTION("IF(REGEXMATCH($C354, ""n""), """",""n"")"),"")</f>
        <v/>
      </c>
      <c r="CZ354" s="246" t="str">
        <f>IFERROR(__xludf.DUMMYFUNCTION("IF(REGEXMATCH($C354, ""N""), """",""N"")"),"N")</f>
        <v>N</v>
      </c>
      <c r="DA354" s="246" t="str">
        <f>IFERROR(__xludf.DUMMYFUNCTION("IF(REGEXMATCH($C354, ""S""), ""S"",""S"")"),"S")</f>
        <v>S</v>
      </c>
      <c r="DB354" s="362" t="str">
        <f>IFERROR(__xludf.DUMMYFUNCTION("JOIN("""",CO354:DA354,"""","""")"),"SrRGmPDNS")</f>
        <v>SrRGmPDNS</v>
      </c>
      <c r="DC354" s="363"/>
      <c r="DD354" s="301" t="str">
        <f t="shared" si="35"/>
        <v>#REF!</v>
      </c>
      <c r="DE354" s="302" t="str">
        <f t="shared" si="36"/>
        <v>#REF!</v>
      </c>
      <c r="DF354" s="301" t="str">
        <f t="shared" ref="DF354:DG354" si="942">SUBSTITUTE(S354,"-","")</f>
        <v>SGM</v>
      </c>
      <c r="DG354" s="301" t="str">
        <f t="shared" si="942"/>
        <v>DNS</v>
      </c>
      <c r="DH354" s="302" t="str">
        <f t="shared" si="38"/>
        <v>-</v>
      </c>
      <c r="DI354" s="301" t="str">
        <f t="shared" si="39"/>
        <v>Anhemi.</v>
      </c>
      <c r="DJ354" s="364" t="str">
        <f t="shared" si="40"/>
        <v>-</v>
      </c>
      <c r="DK354" s="306" t="str">
        <f t="shared" si="41"/>
        <v>-</v>
      </c>
      <c r="DL354" s="366" t="str">
        <f t="shared" si="42"/>
        <v>-</v>
      </c>
      <c r="DM354" s="308" t="str">
        <f t="shared" si="43"/>
        <v>✔</v>
      </c>
      <c r="DN354" s="306" t="str">
        <f t="shared" si="44"/>
        <v>-</v>
      </c>
      <c r="DO354" s="306" t="str">
        <f t="shared" si="45"/>
        <v>✔</v>
      </c>
      <c r="DP354" s="367" t="str">
        <f t="shared" si="46"/>
        <v>✔</v>
      </c>
      <c r="DQ354" s="310" t="str">
        <f t="shared" si="47"/>
        <v>-</v>
      </c>
      <c r="DR354" s="310" t="str">
        <f t="shared" si="48"/>
        <v>-</v>
      </c>
      <c r="DS354" s="310" t="str">
        <f t="shared" si="49"/>
        <v>-</v>
      </c>
      <c r="DT354" s="310" t="str">
        <f t="shared" si="50"/>
        <v>-</v>
      </c>
      <c r="DU354" s="370" t="str">
        <f t="shared" si="51"/>
        <v>-</v>
      </c>
      <c r="DV354" s="306" t="str">
        <f t="shared" si="52"/>
        <v>✔</v>
      </c>
      <c r="DW354" s="306" t="str">
        <f t="shared" si="53"/>
        <v>-</v>
      </c>
      <c r="DX354" s="306" t="str">
        <f t="shared" si="54"/>
        <v>-</v>
      </c>
      <c r="DY354" s="306" t="str">
        <f t="shared" si="55"/>
        <v>✔</v>
      </c>
      <c r="DZ354" s="306" t="str">
        <f t="shared" si="56"/>
        <v>-</v>
      </c>
      <c r="EA354" s="367" t="str">
        <f t="shared" si="57"/>
        <v>-</v>
      </c>
      <c r="EB354" s="310" t="str">
        <f>IFERROR(__xludf.DUMMYFUNCTION("IF(REGEXMATCH(AW354,AS354),""✔"",""-"")"),"✔")</f>
        <v>✔</v>
      </c>
      <c r="EC354" s="310" t="str">
        <f t="shared" si="58"/>
        <v>#REF!</v>
      </c>
      <c r="ED354" s="370" t="str">
        <f t="shared" si="59"/>
        <v>-</v>
      </c>
      <c r="EE354" s="340" t="str">
        <f t="shared" si="60"/>
        <v>S-g-M-d-n-S</v>
      </c>
      <c r="EF354" s="371" t="str">
        <f>IFERROR(__xludf.DUMMYFUNCTION("CONCATENATE(JOIN("""",HC354:HO354))"),"SRGMDS")</f>
        <v>SRGMDS</v>
      </c>
      <c r="EG354" s="372">
        <f t="shared" si="61"/>
        <v>3</v>
      </c>
      <c r="EH354" s="373" t="str">
        <f>IFERROR(__xludf.DUMMYFUNCTION("CONCATENATE(JOIN("""",JC354:JO354))"),"Sa, Ma, ni, ")</f>
        <v>Sa, Ma, ni, </v>
      </c>
      <c r="EI354" s="322">
        <f t="shared" si="62"/>
        <v>2</v>
      </c>
      <c r="EJ354" s="374" t="str">
        <f>IFERROR(__xludf.DUMMYFUNCTION("CONCATENATE(JOIN("""",KC354:KO354))"),"Sa, Ma, ")</f>
        <v>Sa, Ma, </v>
      </c>
      <c r="EK354" s="325" t="str">
        <f t="shared" si="63"/>
        <v>S-G2-M2-D1-N2-S</v>
      </c>
      <c r="EL354" s="326" t="str">
        <f t="shared" si="64"/>
        <v>1-b3-#4-b6-b7-8</v>
      </c>
      <c r="EM354" s="318" t="str">
        <f t="shared" si="65"/>
        <v>#REF!</v>
      </c>
      <c r="EN354" s="328" t="str">
        <f>IFERROR(__xludf.DUMMYFUNCTION("SUBSTITUTE(SUBSTITUTE(SUBSTITUTE(SUBSTITUTE(CONCATENATE(JOIN("" "",HP354:IB354)),""  "","" ""),""  "","" ""),""  "","" ""),""  "","" "")"),"o • • o • • o • o • o • o")</f>
        <v>o • • o • • o • o • o • o</v>
      </c>
      <c r="EO354" s="368" t="str">
        <f t="shared" si="66"/>
        <v>Sa-Pa</v>
      </c>
      <c r="EP354" s="339" t="str">
        <f t="shared" si="67"/>
        <v>Sa-Pa</v>
      </c>
      <c r="EQ354" s="339" t="str">
        <f t="shared" si="68"/>
        <v>-</v>
      </c>
      <c r="ER354" s="339" t="str">
        <f t="shared" si="69"/>
        <v>-</v>
      </c>
      <c r="ES354" s="340" t="str">
        <f t="shared" si="70"/>
        <v>-</v>
      </c>
      <c r="ET354" s="363"/>
      <c r="EU354" s="376" t="b">
        <f>IFERROR(__xludf.DUMMYFUNCTION("arrayformula(sum(--REGEXMATCH(""SRGMPDNS"",split(REGEXREPLACE(C354,""(.)"",""$1~""),""~""))))=len(C354)
"),FALSE)</f>
        <v>0</v>
      </c>
      <c r="EV354" s="290" t="b">
        <f>IFERROR(__xludf.DUMMYFUNCTION("arrayformula(sum(--REGEXMATCH(""SRGmPDNS"",split(REGEXREPLACE(C354,""(.)"",""$1~""),""~""))))=len(C354)"),FALSE)</f>
        <v>0</v>
      </c>
      <c r="EW354" s="290" t="b">
        <f>IFERROR(__xludf.DUMMYFUNCTION("arrayformula(sum(--REGEXMATCH(""SRGmPDnS"",split(REGEXREPLACE(C354,""(.)"",""$1~""),""~""))))=len(C354)"),FALSE)</f>
        <v>0</v>
      </c>
      <c r="EX354" s="290" t="b">
        <f>IFERROR(__xludf.DUMMYFUNCTION("arrayformula(sum(--REGEXMATCH(""SRgmPDnS"",split(REGEXREPLACE(C354,""(.)"",""$1~""),""~""))))=len(C354)"),FALSE)</f>
        <v>0</v>
      </c>
      <c r="EY354" s="290" t="b">
        <f>IFERROR(__xludf.DUMMYFUNCTION("arrayformula(sum(--REGEXMATCH(""SRgmPdnS"",split(REGEXREPLACE(C354,""(.)"",""$1~""),""~""))))=len(C354)"),FALSE)</f>
        <v>0</v>
      </c>
      <c r="EZ354" s="290" t="b">
        <f>IFERROR(__xludf.DUMMYFUNCTION("arrayformula(sum(--REGEXMATCH(""SrgmPdnS"",split(REGEXREPLACE(C354,""(.)"",""$1~""),""~""))))=len(C354)"),FALSE)</f>
        <v>0</v>
      </c>
      <c r="FA354" s="290" t="b">
        <f>IFERROR(__xludf.DUMMYFUNCTION("arrayformula(sum(--REGEXMATCH(""SrGmPdNS"",split(REGEXREPLACE(C354,""(.)"",""$1~""),""~""))))=len(C354)"),FALSE)</f>
        <v>0</v>
      </c>
      <c r="FB354" s="290" t="b">
        <f>IFERROR(__xludf.DUMMYFUNCTION("arrayformula(sum(--REGEXMATCH(""SrGMPDNS"",split(REGEXREPLACE(C354,""(.)"",""$1~""),""~""))))=len(C354)"),FALSE)</f>
        <v>0</v>
      </c>
      <c r="FC354" s="290" t="b">
        <f>IFERROR(__xludf.DUMMYFUNCTION("arrayformula(sum(--REGEXMATCH(""SrGMPdNS"",split(REGEXREPLACE(C354,""(.)"",""$1~""),""~""))))=len(C354)"),FALSE)</f>
        <v>0</v>
      </c>
      <c r="FD354" s="377" t="b">
        <f>IFERROR(__xludf.DUMMYFUNCTION("arrayformula(sum(--REGEXMATCH(""SrgMPdNS"",split(REGEXREPLACE(C354,""(.)"",""$1~""),""~""))))=len(C354)"),FALSE)</f>
        <v>0</v>
      </c>
      <c r="FE354" s="269" t="str">
        <f t="shared" si="71"/>
        <v>-</v>
      </c>
      <c r="FF354" s="269" t="str">
        <f t="shared" si="72"/>
        <v>-</v>
      </c>
      <c r="FG354" s="271" t="str">
        <f t="shared" si="73"/>
        <v>xooxoxoxoxo</v>
      </c>
      <c r="FH354" s="269" t="str">
        <f t="shared" si="74"/>
        <v>-</v>
      </c>
      <c r="FI354" s="271" t="str">
        <f t="shared" si="75"/>
        <v>-</v>
      </c>
      <c r="FJ354" s="271" t="str">
        <f t="shared" si="76"/>
        <v>xoxoxoxooxo</v>
      </c>
      <c r="FK354" s="271" t="str">
        <f t="shared" si="77"/>
        <v>-</v>
      </c>
      <c r="FL354" s="271" t="str">
        <f t="shared" si="78"/>
        <v>xoxoxooxoox</v>
      </c>
      <c r="FM354" s="271" t="str">
        <f t="shared" si="79"/>
        <v>-</v>
      </c>
      <c r="FN354" s="271" t="str">
        <f t="shared" si="80"/>
        <v>xoxooxooxox</v>
      </c>
      <c r="FO354" s="274" t="str">
        <f t="shared" si="81"/>
        <v>-</v>
      </c>
      <c r="FP354" s="234" t="str">
        <f t="shared" si="82"/>
        <v>|</v>
      </c>
      <c r="FQ354" s="236" t="str">
        <f t="shared" si="83"/>
        <v>-</v>
      </c>
      <c r="FR354" s="237" t="str">
        <f t="shared" si="84"/>
        <v>-</v>
      </c>
      <c r="FS354" s="236" t="str">
        <f t="shared" si="85"/>
        <v>|</v>
      </c>
      <c r="FT354" s="237" t="str">
        <f t="shared" si="86"/>
        <v>-</v>
      </c>
      <c r="FU354" s="236" t="str">
        <f t="shared" si="87"/>
        <v>-</v>
      </c>
      <c r="FV354" s="237" t="str">
        <f t="shared" si="88"/>
        <v>|</v>
      </c>
      <c r="FW354" s="236" t="str">
        <f t="shared" si="89"/>
        <v>-</v>
      </c>
      <c r="FX354" s="237" t="str">
        <f t="shared" si="90"/>
        <v>|</v>
      </c>
      <c r="FY354" s="236" t="str">
        <f t="shared" si="91"/>
        <v>-</v>
      </c>
      <c r="FZ354" s="237" t="str">
        <f t="shared" si="92"/>
        <v>|</v>
      </c>
      <c r="GA354" s="236" t="str">
        <f t="shared" si="93"/>
        <v>-</v>
      </c>
      <c r="GB354" s="238" t="str">
        <f t="shared" si="94"/>
        <v>|</v>
      </c>
      <c r="GC354" s="244" t="str">
        <f>IFERROR(__xludf.DUMMYFUNCTION("IF(REGEXMATCH(C354, ""S""), ""1"","""")"),"1")</f>
        <v>1</v>
      </c>
      <c r="GD354" s="245" t="str">
        <f>IFERROR(__xludf.DUMMYFUNCTION("IF(REGEXMATCH(C354, ""r""), ""b2"","""")"),"")</f>
        <v/>
      </c>
      <c r="GE354" s="246" t="str">
        <f>IFERROR(__xludf.DUMMYFUNCTION("IF(REGEXMATCH(C354, ""R""), ""2"","""")"),"")</f>
        <v/>
      </c>
      <c r="GF354" s="246" t="str">
        <f>IFERROR(__xludf.DUMMYFUNCTION("IF(REGEXMATCH(C354, ""g""), ""b3"","""")"),"b3")</f>
        <v>b3</v>
      </c>
      <c r="GG354" s="245" t="str">
        <f>IFERROR(__xludf.DUMMYFUNCTION("IF(REGEXMATCH(C354, ""G""), ""3"","""")"),"")</f>
        <v/>
      </c>
      <c r="GH354" s="245" t="str">
        <f>IFERROR(__xludf.DUMMYFUNCTION("IF(REGEXMATCH(C354, ""m""), ""4"","""")"),"")</f>
        <v/>
      </c>
      <c r="GI354" s="246" t="str">
        <f>IFERROR(__xludf.DUMMYFUNCTION("IF(REGEXMATCH(C354, ""M""), ""#4"","""")"),"#4")</f>
        <v>#4</v>
      </c>
      <c r="GJ354" s="245" t="str">
        <f>IFERROR(__xludf.DUMMYFUNCTION("IF(REGEXMATCH(C354, ""P""), ""5"","""")"),"")</f>
        <v/>
      </c>
      <c r="GK354" s="246" t="str">
        <f>IFERROR(__xludf.DUMMYFUNCTION("IF(REGEXMATCH(C354, ""d""), ""b6"","""")"),"b6")</f>
        <v>b6</v>
      </c>
      <c r="GL354" s="245" t="str">
        <f>IFERROR(__xludf.DUMMYFUNCTION("IF(REGEXMATCH(C354, ""D""), ""6"","""")"),"")</f>
        <v/>
      </c>
      <c r="GM354" s="245" t="str">
        <f>IFERROR(__xludf.DUMMYFUNCTION("IF(REGEXMATCH(C354, ""n""), ""b7"","""")"),"b7")</f>
        <v>b7</v>
      </c>
      <c r="GN354" s="246" t="str">
        <f>IFERROR(__xludf.DUMMYFUNCTION("IF(REGEXMATCH(C354, ""N""), ""7"","""")"),"")</f>
        <v/>
      </c>
      <c r="GO354" s="249" t="str">
        <f>IFERROR(__xludf.DUMMYFUNCTION("IF(REGEXMATCH(C354, ""S""), ""8"","""")"),"8")</f>
        <v>8</v>
      </c>
      <c r="GP354" s="244" t="str">
        <f>IFERROR(__xludf.DUMMYFUNCTION("IF(REGEXMATCH(C354, ""S""), ""S"","""")"),"S")</f>
        <v>S</v>
      </c>
      <c r="GQ354" s="294" t="str">
        <f>IFERROR(__xludf.DUMMYFUNCTION("IF(REGEXMATCH(C354, ""r""), ""R1"","""")"),"")</f>
        <v/>
      </c>
      <c r="GR354" s="295" t="str">
        <f>IFERROR(__xludf.DUMMYFUNCTION("IF(REGEXMATCH(C354, ""R""), ""R2"","""")"),"")</f>
        <v/>
      </c>
      <c r="GS354" s="295" t="str">
        <f>IFERROR(__xludf.DUMMYFUNCTION("IF(REGEXMATCH(C354, ""g""), ""G2"","""")"),"G2")</f>
        <v>G2</v>
      </c>
      <c r="GT354" s="294" t="str">
        <f>IFERROR(__xludf.DUMMYFUNCTION("IF(REGEXMATCH(C354, ""G""), ""G3"","""")"),"")</f>
        <v/>
      </c>
      <c r="GU354" s="294" t="str">
        <f>IFERROR(__xludf.DUMMYFUNCTION("IF(REGEXMATCH(C354, ""m""), ""M1"","""")"),"")</f>
        <v/>
      </c>
      <c r="GV354" s="295" t="str">
        <f>IFERROR(__xludf.DUMMYFUNCTION("IF(REGEXMATCH(C354, ""M""), ""M2"","""")"),"M2")</f>
        <v>M2</v>
      </c>
      <c r="GW354" s="294" t="str">
        <f>IFERROR(__xludf.DUMMYFUNCTION("IF(REGEXMATCH(C354, ""P""), ""P"","""")"),"")</f>
        <v/>
      </c>
      <c r="GX354" s="295" t="str">
        <f>IFERROR(__xludf.DUMMYFUNCTION("IF(REGEXMATCH(C354, ""d""), ""D1"","""")"),"D1")</f>
        <v>D1</v>
      </c>
      <c r="GY354" s="294" t="str">
        <f>IFERROR(__xludf.DUMMYFUNCTION("IF(REGEXMATCH(C354, ""D""), ""D2"","""")"),"")</f>
        <v/>
      </c>
      <c r="GZ354" s="294" t="str">
        <f>IFERROR(__xludf.DUMMYFUNCTION("IF(REGEXMATCH(C354, ""n""), ""N2"","""")"),"N2")</f>
        <v>N2</v>
      </c>
      <c r="HA354" s="295" t="str">
        <f>IFERROR(__xludf.DUMMYFUNCTION("IF(REGEXMATCH(C354, ""N""), ""N3"","""")"),"")</f>
        <v/>
      </c>
      <c r="HB354" s="249" t="str">
        <f>IFERROR(__xludf.DUMMYFUNCTION("IF(REGEXMATCH(C354, ""S""), ""S"","""")"),"S")</f>
        <v>S</v>
      </c>
      <c r="HC354" s="331" t="str">
        <f t="shared" si="95"/>
        <v>S</v>
      </c>
      <c r="HD354" s="332" t="str">
        <f t="shared" si="96"/>
        <v/>
      </c>
      <c r="HE354" s="332" t="str">
        <f t="shared" si="97"/>
        <v>R</v>
      </c>
      <c r="HF354" s="332" t="str">
        <f t="shared" si="98"/>
        <v/>
      </c>
      <c r="HG354" s="332" t="str">
        <f t="shared" si="99"/>
        <v>G</v>
      </c>
      <c r="HH354" s="332" t="str">
        <f t="shared" si="100"/>
        <v/>
      </c>
      <c r="HI354" s="332" t="str">
        <f t="shared" si="101"/>
        <v>M</v>
      </c>
      <c r="HJ354" s="332" t="str">
        <f t="shared" si="102"/>
        <v/>
      </c>
      <c r="HK354" s="332" t="str">
        <f t="shared" si="103"/>
        <v/>
      </c>
      <c r="HL354" s="332" t="str">
        <f t="shared" si="104"/>
        <v>D</v>
      </c>
      <c r="HM354" s="332" t="str">
        <f t="shared" si="105"/>
        <v/>
      </c>
      <c r="HN354" s="332" t="str">
        <f t="shared" si="106"/>
        <v/>
      </c>
      <c r="HO354" s="343" t="str">
        <f t="shared" si="107"/>
        <v>S</v>
      </c>
      <c r="HP354" s="331" t="str">
        <f t="shared" si="108"/>
        <v>o</v>
      </c>
      <c r="HQ354" s="332" t="str">
        <f t="shared" si="109"/>
        <v>•</v>
      </c>
      <c r="HR354" s="332" t="str">
        <f t="shared" si="110"/>
        <v>•</v>
      </c>
      <c r="HS354" s="332" t="str">
        <f t="shared" si="111"/>
        <v>o</v>
      </c>
      <c r="HT354" s="332" t="str">
        <f t="shared" si="112"/>
        <v>•</v>
      </c>
      <c r="HU354" s="332" t="str">
        <f t="shared" si="113"/>
        <v>•</v>
      </c>
      <c r="HV354" s="332" t="str">
        <f t="shared" si="114"/>
        <v>o</v>
      </c>
      <c r="HW354" s="332" t="str">
        <f t="shared" si="115"/>
        <v>•</v>
      </c>
      <c r="HX354" s="332" t="str">
        <f t="shared" si="116"/>
        <v>o</v>
      </c>
      <c r="HY354" s="332" t="str">
        <f t="shared" si="117"/>
        <v>•</v>
      </c>
      <c r="HZ354" s="332" t="str">
        <f t="shared" si="118"/>
        <v>o</v>
      </c>
      <c r="IA354" s="332" t="str">
        <f t="shared" si="119"/>
        <v>•</v>
      </c>
      <c r="IB354" s="338" t="str">
        <f t="shared" si="120"/>
        <v>o</v>
      </c>
      <c r="IC354" s="331" t="str">
        <f t="shared" si="121"/>
        <v>•</v>
      </c>
      <c r="ID354" s="332" t="str">
        <f t="shared" si="122"/>
        <v>o</v>
      </c>
      <c r="IE354" s="332" t="str">
        <f t="shared" si="123"/>
        <v>o</v>
      </c>
      <c r="IF354" s="332" t="str">
        <f t="shared" si="124"/>
        <v>•</v>
      </c>
      <c r="IG354" s="332" t="str">
        <f t="shared" si="125"/>
        <v>o</v>
      </c>
      <c r="IH354" s="332" t="str">
        <f t="shared" si="126"/>
        <v>o</v>
      </c>
      <c r="II354" s="332" t="str">
        <f t="shared" si="127"/>
        <v>•</v>
      </c>
      <c r="IJ354" s="332" t="str">
        <f t="shared" si="128"/>
        <v>o</v>
      </c>
      <c r="IK354" s="332" t="str">
        <f t="shared" si="129"/>
        <v>•</v>
      </c>
      <c r="IL354" s="332" t="str">
        <f t="shared" si="130"/>
        <v>o</v>
      </c>
      <c r="IM354" s="332" t="str">
        <f t="shared" si="131"/>
        <v>•</v>
      </c>
      <c r="IN354" s="332" t="str">
        <f t="shared" si="132"/>
        <v>o</v>
      </c>
      <c r="IO354" s="338" t="str">
        <f t="shared" si="133"/>
        <v>•</v>
      </c>
      <c r="IP354" s="346" t="b">
        <f t="shared" si="134"/>
        <v>1</v>
      </c>
      <c r="IQ354" s="347" t="b">
        <f t="shared" si="135"/>
        <v>0</v>
      </c>
      <c r="IR354" s="347" t="b">
        <f t="shared" si="136"/>
        <v>0</v>
      </c>
      <c r="IS354" s="347" t="b">
        <f t="shared" si="137"/>
        <v>0</v>
      </c>
      <c r="IT354" s="347" t="b">
        <f t="shared" si="138"/>
        <v>0</v>
      </c>
      <c r="IU354" s="347" t="b">
        <f t="shared" si="139"/>
        <v>0</v>
      </c>
      <c r="IV354" s="347" t="b">
        <f t="shared" si="140"/>
        <v>1</v>
      </c>
      <c r="IW354" s="347" t="b">
        <f t="shared" si="141"/>
        <v>0</v>
      </c>
      <c r="IX354" s="347" t="b">
        <f t="shared" si="142"/>
        <v>0</v>
      </c>
      <c r="IY354" s="347" t="b">
        <f t="shared" si="143"/>
        <v>0</v>
      </c>
      <c r="IZ354" s="347" t="b">
        <f t="shared" si="144"/>
        <v>1</v>
      </c>
      <c r="JA354" s="347" t="b">
        <f t="shared" si="145"/>
        <v>0</v>
      </c>
      <c r="JB354" s="353" t="b">
        <f t="shared" si="146"/>
        <v>1</v>
      </c>
      <c r="JC354" s="354" t="str">
        <f t="shared" si="147"/>
        <v>Sa, </v>
      </c>
      <c r="JD354" s="355" t="str">
        <f t="shared" si="148"/>
        <v/>
      </c>
      <c r="JE354" s="355" t="str">
        <f t="shared" si="149"/>
        <v/>
      </c>
      <c r="JF354" s="355" t="str">
        <f t="shared" si="150"/>
        <v/>
      </c>
      <c r="JG354" s="355" t="str">
        <f t="shared" si="151"/>
        <v/>
      </c>
      <c r="JH354" s="355" t="str">
        <f t="shared" si="152"/>
        <v/>
      </c>
      <c r="JI354" s="355" t="str">
        <f t="shared" si="153"/>
        <v>Ma, </v>
      </c>
      <c r="JJ354" s="355" t="str">
        <f t="shared" si="154"/>
        <v/>
      </c>
      <c r="JK354" s="355" t="str">
        <f t="shared" si="155"/>
        <v/>
      </c>
      <c r="JL354" s="355" t="str">
        <f t="shared" si="156"/>
        <v/>
      </c>
      <c r="JM354" s="355" t="str">
        <f t="shared" si="157"/>
        <v>ni, </v>
      </c>
      <c r="JN354" s="355" t="str">
        <f t="shared" si="158"/>
        <v/>
      </c>
      <c r="JO354" s="359" t="str">
        <f t="shared" si="159"/>
        <v/>
      </c>
      <c r="JP354" s="346" t="b">
        <f t="shared" si="160"/>
        <v>1</v>
      </c>
      <c r="JQ354" s="347" t="b">
        <f t="shared" si="161"/>
        <v>0</v>
      </c>
      <c r="JR354" s="347" t="b">
        <f t="shared" si="162"/>
        <v>0</v>
      </c>
      <c r="JS354" s="347" t="b">
        <f t="shared" si="163"/>
        <v>0</v>
      </c>
      <c r="JT354" s="347" t="b">
        <f t="shared" si="164"/>
        <v>0</v>
      </c>
      <c r="JU354" s="347" t="b">
        <f t="shared" si="165"/>
        <v>0</v>
      </c>
      <c r="JV354" s="347" t="b">
        <f t="shared" si="166"/>
        <v>1</v>
      </c>
      <c r="JW354" s="347" t="b">
        <f t="shared" si="167"/>
        <v>0</v>
      </c>
      <c r="JX354" s="347" t="b">
        <f t="shared" si="168"/>
        <v>0</v>
      </c>
      <c r="JY354" s="347" t="b">
        <f t="shared" si="169"/>
        <v>0</v>
      </c>
      <c r="JZ354" s="347" t="b">
        <f t="shared" si="170"/>
        <v>0</v>
      </c>
      <c r="KA354" s="347" t="b">
        <f t="shared" si="171"/>
        <v>0</v>
      </c>
      <c r="KB354" s="365" t="b">
        <f t="shared" si="172"/>
        <v>1</v>
      </c>
      <c r="KC354" s="354" t="str">
        <f t="shared" si="173"/>
        <v>Sa, </v>
      </c>
      <c r="KD354" s="355" t="str">
        <f t="shared" si="174"/>
        <v/>
      </c>
      <c r="KE354" s="355" t="str">
        <f t="shared" si="175"/>
        <v/>
      </c>
      <c r="KF354" s="355" t="str">
        <f t="shared" si="176"/>
        <v/>
      </c>
      <c r="KG354" s="355" t="str">
        <f t="shared" si="177"/>
        <v/>
      </c>
      <c r="KH354" s="355" t="str">
        <f t="shared" si="178"/>
        <v/>
      </c>
      <c r="KI354" s="355" t="str">
        <f t="shared" si="179"/>
        <v>Ma, </v>
      </c>
      <c r="KJ354" s="355" t="str">
        <f t="shared" si="180"/>
        <v/>
      </c>
      <c r="KK354" s="355" t="str">
        <f t="shared" si="181"/>
        <v/>
      </c>
      <c r="KL354" s="355" t="str">
        <f t="shared" si="182"/>
        <v/>
      </c>
      <c r="KM354" s="355" t="str">
        <f t="shared" si="183"/>
        <v/>
      </c>
      <c r="KN354" s="355" t="str">
        <f t="shared" si="184"/>
        <v/>
      </c>
      <c r="KO354" s="359"/>
      <c r="KP354" s="378"/>
      <c r="KQ354" s="379" t="s">
        <v>9</v>
      </c>
      <c r="KR354" s="380" t="s">
        <v>9</v>
      </c>
      <c r="KS354" s="381" t="s">
        <v>9</v>
      </c>
      <c r="KT354" s="382">
        <f t="shared" si="186"/>
        <v>0</v>
      </c>
      <c r="KU354" s="383">
        <f t="shared" si="187"/>
        <v>0</v>
      </c>
      <c r="KV354" s="381" t="str">
        <f t="shared" si="205"/>
        <v>S</v>
      </c>
      <c r="KW354" s="382">
        <f t="shared" si="189"/>
        <v>0</v>
      </c>
      <c r="KX354" s="384">
        <f t="shared" si="190"/>
        <v>0</v>
      </c>
      <c r="KY354" s="382">
        <f t="shared" ref="KY354:KZ354" si="943">KW354-KT354</f>
        <v>0</v>
      </c>
      <c r="KZ354" s="369">
        <f t="shared" si="943"/>
        <v>0</v>
      </c>
      <c r="LA354" s="385" t="str">
        <f t="shared" si="192"/>
        <v>✔</v>
      </c>
      <c r="LB354" s="340" t="str">
        <f>IFERROR(__xludf.DUMMYFUNCTION("JOIN("""",ArrayFormula(MID(KS354,LEN(KS354)-SEQUENCE(1,LEN(KS354))+1,1)))"),"S")</f>
        <v>S</v>
      </c>
      <c r="LC354" s="373" t="str">
        <f>IFERROR(__xludf.DUMMYFUNCTION("JOIN("""",ArrayFormula(MID(KV354,LEN(KV354)-SEQUENCE(1,LEN(KV354))+1,1)))"),"S")</f>
        <v>S</v>
      </c>
      <c r="LD354" s="373" t="str">
        <f t="shared" si="193"/>
        <v>S</v>
      </c>
      <c r="LE354" s="339" t="str">
        <f t="shared" si="194"/>
        <v>S</v>
      </c>
      <c r="LF354" s="386" t="str">
        <f>IFERROR(__xludf.DUMMYFUNCTION("SUBSTITUTE(SUBSTITUTE(CONCATENATE(JOIN("""",LH354:LT354)),""1"",""""),""2"","""")"),"SS")</f>
        <v>SS</v>
      </c>
      <c r="LG354" s="369" t="str">
        <f t="shared" si="195"/>
        <v>-</v>
      </c>
      <c r="LH354" s="387" t="str">
        <f>IFERROR(__xludf.DUMMYFUNCTION("IF(REGEXMATCH(LD354, ""S""), ""S"",IF(REGEXMATCH(LE354, ""S""), ""S"",""""))"),"S")</f>
        <v>S</v>
      </c>
      <c r="LI354" s="299" t="str">
        <f>IFERROR(__xludf.DUMMYFUNCTION("IF(REGEXMATCH(LD354, ""r""), ""r1"",IF(REGEXMATCH(LE354, ""r""), ""r2"",""""))"),"")</f>
        <v/>
      </c>
      <c r="LJ354" s="299" t="str">
        <f>IFERROR(__xludf.DUMMYFUNCTION("IF(REGEXMATCH(LD354, ""R""), ""R1"",IF(REGEXMATCH(LE354, ""R""), ""R2"",""""))"),"")</f>
        <v/>
      </c>
      <c r="LK354" s="299" t="str">
        <f>IFERROR(__xludf.DUMMYFUNCTION("IF(REGEXMATCH(LD354, ""g""), ""g1"",IF(REGEXMATCH(LE354, ""g""), ""g2"",""""))"),"")</f>
        <v/>
      </c>
      <c r="LL354" s="299" t="str">
        <f>IFERROR(__xludf.DUMMYFUNCTION("IF(REGEXMATCH(LD354, ""G""), ""G1"",IF(REGEXMATCH(LE354, ""G""), ""G2"",""""))"),"")</f>
        <v/>
      </c>
      <c r="LM354" s="299" t="str">
        <f>IFERROR(__xludf.DUMMYFUNCTION("IF(REGEXMATCH(LD354, ""m""), ""m1"",IF(REGEXMATCH(LE354, ""m""), ""m2"",""""))"),"")</f>
        <v/>
      </c>
      <c r="LN354" s="299" t="str">
        <f>IFERROR(__xludf.DUMMYFUNCTION("IF(REGEXMATCH(LD354, ""M""), ""M1"",IF(REGEXMATCH(LE354, ""M""), ""M2"",""""))"),"")</f>
        <v/>
      </c>
      <c r="LO354" s="299" t="str">
        <f>IFERROR(__xludf.DUMMYFUNCTION("IF(REGEXMATCH(LD354, ""P""), ""P1"",IF(REGEXMATCH(LE354, ""P""), ""P2"",""""))"),"")</f>
        <v/>
      </c>
      <c r="LP354" s="299" t="str">
        <f>IFERROR(__xludf.DUMMYFUNCTION("IF(REGEXMATCH(LD354, ""d""), ""d1"",IF(REGEXMATCH(LE354, ""d""), ""d2"",""""))"),"")</f>
        <v/>
      </c>
      <c r="LQ354" s="299" t="str">
        <f>IFERROR(__xludf.DUMMYFUNCTION("IF(REGEXMATCH(LD354, ""D""), ""D1"",IF(REGEXMATCH(LE354, ""D""), ""D2"",""""))"),"")</f>
        <v/>
      </c>
      <c r="LR354" s="299" t="str">
        <f>IFERROR(__xludf.DUMMYFUNCTION("IF(REGEXMATCH(LD354, ""n""), ""n1"",IF(REGEXMATCH(LE354, ""n""), ""n2"",""""))"),"")</f>
        <v/>
      </c>
      <c r="LS354" s="299" t="str">
        <f>IFERROR(__xludf.DUMMYFUNCTION("IF(REGEXMATCH(LD354, ""N""), ""N1"",IF(REGEXMATCH(LE354, ""N""), ""N2"",""""))"),"")</f>
        <v/>
      </c>
      <c r="LT354" s="388" t="str">
        <f>IFERROR(__xludf.DUMMYFUNCTION("IF(REGEXMATCH(LD354, ""S""), ""S"",IF(REGEXMATCH(LE354, ""S""), ""S"",""""))"),"S")</f>
        <v>S</v>
      </c>
      <c r="LU354" s="389">
        <f t="shared" si="196"/>
        <v>1</v>
      </c>
      <c r="LV354" s="378"/>
      <c r="LW354" s="369"/>
      <c r="LX354" s="369"/>
    </row>
    <row r="355" ht="18.0" customHeight="1">
      <c r="A355" s="298" t="s">
        <v>127</v>
      </c>
      <c r="B355" s="222" t="s">
        <v>401</v>
      </c>
      <c r="C355" s="233" t="str">
        <f t="shared" si="7"/>
        <v>SrgMPdNS</v>
      </c>
      <c r="D355" s="234" t="str">
        <f>IFERROR(__xludf.DUMMYFUNCTION("IF(REGEXMATCH(C355, ""S""), ""S"","""")"),"S")</f>
        <v>S</v>
      </c>
      <c r="E355" s="236" t="str">
        <f>IFERROR(__xludf.DUMMYFUNCTION("IF(REGEXMATCH(C355, ""r""), ""r"","""")"),"r")</f>
        <v>r</v>
      </c>
      <c r="F355" s="237" t="str">
        <f>IFERROR(__xludf.DUMMYFUNCTION("IF(REGEXMATCH(C355, ""R""), ""R"","""")"),"")</f>
        <v/>
      </c>
      <c r="G355" s="237" t="str">
        <f>IFERROR(__xludf.DUMMYFUNCTION("IF(REGEXMATCH(C355, ""g""), ""g"","""")"),"g")</f>
        <v>g</v>
      </c>
      <c r="H355" s="236" t="str">
        <f>IFERROR(__xludf.DUMMYFUNCTION("IF(REGEXMATCH(C355, ""G""), ""G"","""")"),"")</f>
        <v/>
      </c>
      <c r="I355" s="236" t="str">
        <f>IFERROR(__xludf.DUMMYFUNCTION("IF(REGEXMATCH(C355, ""m""), ""m"","""")"),"")</f>
        <v/>
      </c>
      <c r="J355" s="237" t="str">
        <f>IFERROR(__xludf.DUMMYFUNCTION("IF(REGEXMATCH(C355, ""M""), ""M"","""")"),"M")</f>
        <v>M</v>
      </c>
      <c r="K355" s="236" t="str">
        <f>IFERROR(__xludf.DUMMYFUNCTION("IF(REGEXMATCH(C355, ""P""), ""P"","""")"),"P")</f>
        <v>P</v>
      </c>
      <c r="L355" s="237" t="str">
        <f>IFERROR(__xludf.DUMMYFUNCTION("IF(REGEXMATCH(C355, ""d""), ""d"","""")"),"d")</f>
        <v>d</v>
      </c>
      <c r="M355" s="236" t="str">
        <f>IFERROR(__xludf.DUMMYFUNCTION("IF(REGEXMATCH(C355, ""D""), ""D"","""")"),"")</f>
        <v/>
      </c>
      <c r="N355" s="236" t="str">
        <f>IFERROR(__xludf.DUMMYFUNCTION("IF(REGEXMATCH(C355, ""n""), ""n"","""")"),"")</f>
        <v/>
      </c>
      <c r="O355" s="237" t="str">
        <f>IFERROR(__xludf.DUMMYFUNCTION("IF(REGEXMATCH(C355, ""N""), ""N"","""")"),"N")</f>
        <v>N</v>
      </c>
      <c r="P355" s="238" t="str">
        <f>IFERROR(__xludf.DUMMYFUNCTION("IF(REGEXMATCH(C355, ""S""), ""S"","""")"),"S")</f>
        <v>S</v>
      </c>
      <c r="Q355" s="239" t="str">
        <f>IFERROR(__xludf.DUMMYFUNCTION("SUBSTITUTE(CONCATENATE(JOIN(""-"",D355:J355)),""-"","""")"),"SrgM")</f>
        <v>SrgM</v>
      </c>
      <c r="R355" s="229" t="str">
        <f>IFERROR(__xludf.DUMMYFUNCTION("SUBSTITUTE(CONCATENATE(JOIN(""-"",K355:P355)),""-"","""")"),"PdNS")</f>
        <v>PdNS</v>
      </c>
      <c r="S355" s="282" t="str">
        <f t="shared" si="8"/>
        <v>S-R-G-M</v>
      </c>
      <c r="T355" s="282" t="str">
        <f t="shared" si="9"/>
        <v>P-D-N-S</v>
      </c>
      <c r="U355" s="237" t="str">
        <f>IFERROR(__xludf.DUMMYFUNCTION("SUBSTITUTE(JOIN(""-"",S355,T355),""--"",""-"")"),"S-R-G-M-P-D-N-S")</f>
        <v>S-R-G-M-P-D-N-S</v>
      </c>
      <c r="V355" s="309" t="str">
        <f t="shared" si="10"/>
        <v>rgMdN</v>
      </c>
      <c r="W355" s="244" t="str">
        <f>IFERROR(__xludf.DUMMYFUNCTION("IF(REGEXMATCH(C355, ""S""), ""0"","""")"),"0")</f>
        <v>0</v>
      </c>
      <c r="X355" s="245" t="str">
        <f>IFERROR(__xludf.DUMMYFUNCTION("IF(REGEXMATCH(C355, ""r""), ""1"","""")"),"1")</f>
        <v>1</v>
      </c>
      <c r="Y355" s="246" t="str">
        <f>IFERROR(__xludf.DUMMYFUNCTION("IF(REGEXMATCH(C355, ""R""), ""2"","""")"),"")</f>
        <v/>
      </c>
      <c r="Z355" s="246" t="str">
        <f>IFERROR(__xludf.DUMMYFUNCTION("IF(REGEXMATCH(C355, ""g""), ""3"","""")"),"3")</f>
        <v>3</v>
      </c>
      <c r="AA355" s="245" t="str">
        <f>IFERROR(__xludf.DUMMYFUNCTION("IF(REGEXMATCH(C355, ""G""), ""4"","""")"),"")</f>
        <v/>
      </c>
      <c r="AB355" s="245" t="str">
        <f>IFERROR(__xludf.DUMMYFUNCTION("IF(REGEXMATCH(C355, ""m""), ""5"","""")"),"")</f>
        <v/>
      </c>
      <c r="AC355" s="246" t="str">
        <f>IFERROR(__xludf.DUMMYFUNCTION("IF(REGEXMATCH(C355, ""M""), ""6"","""")"),"6")</f>
        <v>6</v>
      </c>
      <c r="AD355" s="245" t="str">
        <f>IFERROR(__xludf.DUMMYFUNCTION("IF(REGEXMATCH(C355, ""P""), ""7"","""")"),"7")</f>
        <v>7</v>
      </c>
      <c r="AE355" s="246" t="str">
        <f>IFERROR(__xludf.DUMMYFUNCTION("IF(REGEXMATCH(C355, ""d""), ""8"","""")"),"8")</f>
        <v>8</v>
      </c>
      <c r="AF355" s="245" t="str">
        <f>IFERROR(__xludf.DUMMYFUNCTION("IF(REGEXMATCH(C355, ""D""), ""9"","""")"),"")</f>
        <v/>
      </c>
      <c r="AG355" s="245" t="str">
        <f>IFERROR(__xludf.DUMMYFUNCTION("IF(REGEXMATCH(C355, ""n""), ""10"","""")"),"")</f>
        <v/>
      </c>
      <c r="AH355" s="246" t="str">
        <f>IFERROR(__xludf.DUMMYFUNCTION("IF(REGEXMATCH(C355, ""N""), ""11"","""")"),"11")</f>
        <v>11</v>
      </c>
      <c r="AI355" s="249" t="str">
        <f>IFERROR(__xludf.DUMMYFUNCTION("IF(REGEXMATCH(C355, ""S""), ""0"","""")"),"0")</f>
        <v>0</v>
      </c>
      <c r="AJ355" s="313" t="str">
        <f t="shared" si="11"/>
        <v>T</v>
      </c>
      <c r="AK355" s="313" t="str">
        <f t="shared" si="12"/>
        <v>T</v>
      </c>
      <c r="AL355" s="313" t="str">
        <f t="shared" si="13"/>
        <v>-</v>
      </c>
      <c r="AM355" s="313" t="str">
        <f t="shared" si="14"/>
        <v>-</v>
      </c>
      <c r="AN355" s="313" t="str">
        <f t="shared" si="15"/>
        <v>-</v>
      </c>
      <c r="AO355" s="314" t="str">
        <f t="shared" si="16"/>
        <v>-</v>
      </c>
      <c r="AP355" s="316">
        <f t="shared" si="17"/>
        <v>2</v>
      </c>
      <c r="AQ355" s="319" t="str">
        <f t="shared" si="18"/>
        <v>-</v>
      </c>
      <c r="AR355" s="320">
        <f t="shared" si="19"/>
        <v>0</v>
      </c>
      <c r="AS355" s="250" t="str">
        <f>IFERROR(__xludf.DUMMYFUNCTION("SUBSTITUTE(SUBSTITUTE(CONCATENATE(JOIN("""",FP355:GA355)),""|"",""x""),""-"",""o"")"),"xxoxooxxxoox")</f>
        <v>xxoxooxxxoox</v>
      </c>
      <c r="AT355" s="323" t="str">
        <f>IFERROR(__xludf.DUMMYFUNCTION("JOIN("""",AS355,AS355)"),"xxoxooxxxooxxxoxooxxxoox")</f>
        <v>xxoxooxxxooxxxoxooxxxoox</v>
      </c>
      <c r="AU355" s="256" t="str">
        <f>IFERROR(__xludf.DUMMYFUNCTION("JOIN("""",ArrayFormula(MID(AS355,LEN(AS355)-SEQUENCE(1,LEN(AS355))+1,1)))"),"xooxxxooxoxx")</f>
        <v>xooxxxooxoxx</v>
      </c>
      <c r="AV355" s="256" t="str">
        <f>IFERROR(__xludf.DUMMYFUNCTION("LEFT(CONCATENATE(""x"",JOIN("""",ArrayFormula(MID(AS355,LEN(AS355)-SEQUENCE(1,LEN(AS355))+1,1)))),12)"),"xxooxxxooxox")</f>
        <v>xxooxxxooxox</v>
      </c>
      <c r="AW355" s="327" t="str">
        <f>IFERROR(__xludf.DUMMYFUNCTION("JOIN("""",AU355,AU355)"),"xooxxxooxoxxxooxxxooxoxx")</f>
        <v>xooxxxooxoxxxooxxxooxoxx</v>
      </c>
      <c r="AX355" s="239" t="str">
        <f>IFERROR(__xludf.DUMMYFUNCTION("IF(REGEXMATCH(AW355,AS355),""✔"",""-"")"),"-")</f>
        <v>-</v>
      </c>
      <c r="AY355" s="330" t="str">
        <f t="shared" si="20"/>
        <v>-</v>
      </c>
      <c r="AZ355" s="260" t="str">
        <f t="shared" si="21"/>
        <v>#REF!</v>
      </c>
      <c r="BA355" s="333" t="str">
        <f t="shared" si="22"/>
        <v>xxoxoox</v>
      </c>
      <c r="BB355" s="334" t="str">
        <f t="shared" si="23"/>
        <v>xxooxx</v>
      </c>
      <c r="BC355" s="335" t="str">
        <f t="shared" si="236"/>
        <v>-</v>
      </c>
      <c r="BD355" s="336" t="str">
        <f t="shared" si="25"/>
        <v>Todi: 'xxoxoox' + 'xxooxx'</v>
      </c>
      <c r="BE355" s="337">
        <f>IFERROR(__xludf.DUMMYFUNCTION("COUNTUNIQUE(FILTER(AT:AT,REGEXMATCH(AT:AT,AS355)))-1"),3.0)</f>
        <v>3</v>
      </c>
      <c r="BF355" s="261" t="str">
        <f>IFERROR(__xludf.DUMMYFUNCTION("IF(BI355=0,""(n/a)"",IF(BJ355=2,""(PAIR)"",IF(REGEXMATCH(AT355,""xoxoxxoxoxox""),""Bilawal"",IF(REGEXMATCH(AT355,""xoxoxooxoxoo""),""Bhupali"",IF(REGEXMATCH(AT355,""xoxoxxoxxoxo""),""Charukeshi"",IF(REGEXMATCH(AT355,""xoxoooxxoxxo""),""Kameshwari"",IF(REG"&amp;"EXMATCH(AT355,""xoxoxooxoxox""),""Shankara"",IF(REGEXMATCH(AT355,""xxooxoxxxoox""),""Basant"",IF(REGEXMATCH(AT355,""xoxoxxxxoxox""),""Bihag"",IF(REGEXMATCH(AT355,""xoxxxxoxoxxx""),""Pilu"",IF(REGEXMATCH(AT355,""xoxxoxoxxoox""),""Kirwani"",IF(REGEXMATCH(AT"&amp;"355,""xoxxoxoxoxxx""),""Mk.Malhar"",IF(REGEXMATCH(AT355,""xxooxxoxxoox""),""Bhairav"",IF(REGEXMATCH(AT355,""xxoxooxxxoox""),""Todi"",IF(REGEXMATCH(AT355,""xxooxoxooxox""),""Marwa"",IF(REGEXMATCH(AT355,""xxoooxoxxooo""),""Gunkali"",IF(REGEXMATCH(AT355,""xo"&amp;"xoxxoxxoox""),""Nat Bhairav"",IF(REGEXMATCH(AT355,""xoxxoooxoxoo""),""Shivranjani"",IF(REGEXMATCH(AT355,""xooxxxoxooxo""),""Jog"",IF(REGEXMATCH(AT355,""xxooxoxoxoox""),""Hemshri"",IF(REGEXMATCH(AT355,""xoooxooxoxxo""),""Kalavati"",IF(REGEXMATCH(AT355,""xx"&amp;"oxoxxoxoox""),""Kedar"",IF(REGEXMATCH(AT355,""xoxxxxoxooxx""),""Gara"",IF(REGEXMATCH(AT355,""xooxoxooxoox""),""Chandrakauns"",IF(REGEXMATCH(AT355,""xoxxxxoxxxox""),""Mand"",IF(REGEXMATCH(AT355,""xoxxxxoxoxox""),""Hanskinkini"",IF(REGEXMATCH(AT355,""xxooxx"&amp;"oxooxo""),""Lilavati"",IF(REGEXMATCH(AT355,""xooxoxoooxox""),""Rajeshwari"",IF(REGEXMATCH(AT355,""xoooxxoxoxxx""),""Khokar"",IF(REGEXMATCH(AT355,""xxooxoxxxxox""),""Maligoura"",""-""))))))))))))))))))))))))))))))"),"Todi")</f>
        <v>Todi</v>
      </c>
      <c r="BG355" s="239" t="str">
        <f t="shared" si="26"/>
        <v>#REF!</v>
      </c>
      <c r="BH355" s="239">
        <f>IFERROR(__xludf.DUMMYFUNCTION("COUNTUNIQUE(FE355:FO355)-1"),6.0)</f>
        <v>6</v>
      </c>
      <c r="BI355" s="239">
        <f>IFERROR(__xludf.DUMMYFUNCTION("COUNTUNIQUE(FILTER(AT:AT,REGEXMATCH(AT:AT,AS355)))-1"),3.0)</f>
        <v>3</v>
      </c>
      <c r="BJ355" s="239">
        <f>IFERROR(__xludf.DUMMYFUNCTION("COUNTA(FILTER(AT:AT,REGEXMATCH(AT:AT,AS355)))"),6.0)</f>
        <v>6</v>
      </c>
      <c r="BK355" s="341">
        <f>IFERROR(__xludf.DUMMYFUNCTION("COUNTA(FILTER(AT:AT,REGEXMATCH(AT:AT,AS355)))-AR355"),6.0)</f>
        <v>6</v>
      </c>
      <c r="BL355" s="276" t="str">
        <f>IFERROR(__xludf.DUMMYFUNCTION("IF(AS355=""oooooooooooo"",""-"",IF(REGEXMATCH(AT355,""xx""), ""Hemi."", ""Anhemi.""))"),"Hemi.")</f>
        <v>Hemi.</v>
      </c>
      <c r="BM355" s="282" t="str">
        <f>IFERROR(__xludf.DUMMYFUNCTION("IF(AS355=""oooooooooooo"",""-"",IF(REGEXMATCH(AT355,""xxx""), ""Cohem."", ""-""))"),"Cohem.")</f>
        <v>Cohem.</v>
      </c>
      <c r="BN355" s="282" t="str">
        <f>IFERROR(__xludf.DUMMYFUNCTION("IF(AS355=""oooooooooooo"",""-"",IF(REGEXMATCH(AT355,""xxxx""), ""Co-Co."", ""-""))"),"-")</f>
        <v>-</v>
      </c>
      <c r="BO355" s="342" t="str">
        <f>IFERROR(__xludf.DUMMYFUNCTION("IF(AS355=""oooooooooooo"",""-"",IF(REGEXMATCH(AT355,""xxxxx""), ""CCC."", ""-""))"),"-")</f>
        <v>-</v>
      </c>
      <c r="BP355" s="344" t="str">
        <f t="shared" si="27"/>
        <v>Todi</v>
      </c>
      <c r="BQ355" s="282" t="str">
        <f>IFERROR(__xludf.DUMMYFUNCTION("IF(REGEXMATCH(JOIN(""-"",EU355:FD355),""TRUE""),""✔"",""-"")"),"✔")</f>
        <v>✔</v>
      </c>
      <c r="BR355" s="225">
        <f t="shared" si="28"/>
        <v>1</v>
      </c>
      <c r="BS355" s="345" t="str">
        <f>IFERROR(__xludf.DUMMYFUNCTION("SUBSTITUTE(SUBSTITUTE(SUBSTITUTE(SUBSTITUTE(CONCATENATE(JOIN(""-"",GC355:GO355)),""--"",""-""),""--"",""-""),""--"",""-""),""--"",""-"")"),"1-b2-b3-#4-5-b6-7-8")</f>
        <v>1-b2-b3-#4-5-b6-7-8</v>
      </c>
      <c r="BT355" s="299" t="str">
        <f>IFERROR(__xludf.DUMMYFUNCTION("SUBSTITUTE(SUBSTITUTE(SUBSTITUTE(SUBSTITUTE(CONCATENATE(JOIN(""-"",GP355:HB355)),""--"",""-""),""--"",""-""),""--"",""-""),""--"",""-"")"),"S-R1-G2-M2-P-D1-N3-S")</f>
        <v>S-R1-G2-M2-P-D1-N3-S</v>
      </c>
      <c r="BU355" s="348" t="str">
        <f t="shared" si="29"/>
        <v>C-Db-Eb-F#-G-Ab-B-C</v>
      </c>
      <c r="BV355" s="349" t="str">
        <f t="shared" si="30"/>
        <v>SRGmDnS</v>
      </c>
      <c r="BW355" s="350">
        <f t="shared" si="31"/>
        <v>1</v>
      </c>
      <c r="BX355" s="351">
        <f t="shared" si="32"/>
        <v>3</v>
      </c>
      <c r="BY355" s="352" t="s">
        <v>275</v>
      </c>
      <c r="BZ355" s="309" t="str">
        <f>IFERROR(__xludf.DUMMYFUNCTION("IF(REGEXMATCH(C355, ""S""), ""x"",""x"")"),"x")</f>
        <v>x</v>
      </c>
      <c r="CA355" s="245" t="str">
        <f>IFERROR(__xludf.DUMMYFUNCTION("IF(REGEXMATCH(C355, ""r""), ""o"",""x"")"),"o")</f>
        <v>o</v>
      </c>
      <c r="CB355" s="246" t="str">
        <f>IFERROR(__xludf.DUMMYFUNCTION("IF(REGEXMATCH(C355, ""R""), ""o"",""x"")"),"x")</f>
        <v>x</v>
      </c>
      <c r="CC355" s="246" t="str">
        <f>IFERROR(__xludf.DUMMYFUNCTION("IF(REGEXMATCH(C355, ""g""), ""o"",""x"")"),"o")</f>
        <v>o</v>
      </c>
      <c r="CD355" s="245" t="str">
        <f>IFERROR(__xludf.DUMMYFUNCTION("IF(REGEXMATCH(C355, ""G""), ""o"",""x"")"),"x")</f>
        <v>x</v>
      </c>
      <c r="CE355" s="245" t="str">
        <f>IFERROR(__xludf.DUMMYFUNCTION("IF(REGEXMATCH(C355, ""m""), ""o"",""x"")"),"x")</f>
        <v>x</v>
      </c>
      <c r="CF355" s="246" t="str">
        <f>IFERROR(__xludf.DUMMYFUNCTION("IF(REGEXMATCH(C355, ""M""), ""o"",""x"")"),"o")</f>
        <v>o</v>
      </c>
      <c r="CG355" s="245" t="str">
        <f>IFERROR(__xludf.DUMMYFUNCTION("IF(REGEXMATCH(C355, ""P""), ""o"",""x"")"),"o")</f>
        <v>o</v>
      </c>
      <c r="CH355" s="246" t="str">
        <f>IFERROR(__xludf.DUMMYFUNCTION("IF(REGEXMATCH(C355, ""d""), ""o"",""x"")"),"o")</f>
        <v>o</v>
      </c>
      <c r="CI355" s="245" t="str">
        <f>IFERROR(__xludf.DUMMYFUNCTION("IF(REGEXMATCH(C355, ""D""), ""o"",""x"")"),"x")</f>
        <v>x</v>
      </c>
      <c r="CJ355" s="245" t="str">
        <f>IFERROR(__xludf.DUMMYFUNCTION("IF(REGEXMATCH(C355, ""n""), ""o"",""x"")"),"x")</f>
        <v>x</v>
      </c>
      <c r="CK355" s="245" t="str">
        <f>IFERROR(__xludf.DUMMYFUNCTION("IF(REGEXMATCH(C355, ""N""), ""o"",""x"")"),"o")</f>
        <v>o</v>
      </c>
      <c r="CL355" s="356" t="str">
        <f>IFERROR(__xludf.DUMMYFUNCTION("IF(REGEXMATCH(C355, ""S""), ""x"",""x"")"),"x")</f>
        <v>x</v>
      </c>
      <c r="CM355" s="357" t="str">
        <f t="shared" si="33"/>
        <v>xoxoxxoooxxo</v>
      </c>
      <c r="CN355" s="358">
        <f t="shared" si="34"/>
        <v>1</v>
      </c>
      <c r="CO355" s="246" t="str">
        <f>IFERROR(__xludf.DUMMYFUNCTION("IF(REGEXMATCH($C355, ""S""), ""S"",""S"")"),"S")</f>
        <v>S</v>
      </c>
      <c r="CP355" s="246" t="str">
        <f>IFERROR(__xludf.DUMMYFUNCTION("IF(REGEXMATCH($C355, ""r""), """",""r"")"),"")</f>
        <v/>
      </c>
      <c r="CQ355" s="246" t="str">
        <f>IFERROR(__xludf.DUMMYFUNCTION("IF(REGEXMATCH($C355, ""R""), """",""R"")"),"R")</f>
        <v>R</v>
      </c>
      <c r="CR355" s="246" t="str">
        <f>IFERROR(__xludf.DUMMYFUNCTION("IF(REGEXMATCH($C355, ""g""), """",""g"")"),"")</f>
        <v/>
      </c>
      <c r="CS355" s="246" t="str">
        <f>IFERROR(__xludf.DUMMYFUNCTION("IF(REGEXMATCH($C355, ""G""), """",""G"")"),"G")</f>
        <v>G</v>
      </c>
      <c r="CT355" s="246" t="str">
        <f>IFERROR(__xludf.DUMMYFUNCTION("IF(REGEXMATCH($C355, ""m""), """",""m"")"),"m")</f>
        <v>m</v>
      </c>
      <c r="CU355" s="246" t="str">
        <f>IFERROR(__xludf.DUMMYFUNCTION("IF(REGEXMATCH($C355, ""M""), """",""M"")"),"")</f>
        <v/>
      </c>
      <c r="CV355" s="246" t="str">
        <f>IFERROR(__xludf.DUMMYFUNCTION("IF(REGEXMATCH($C355, ""P""), """",""P"")"),"")</f>
        <v/>
      </c>
      <c r="CW355" s="246" t="str">
        <f>IFERROR(__xludf.DUMMYFUNCTION("IF(REGEXMATCH($C355, ""d""), """",""d"")"),"")</f>
        <v/>
      </c>
      <c r="CX355" s="246" t="str">
        <f>IFERROR(__xludf.DUMMYFUNCTION("IF(REGEXMATCH($C355, ""D""), """",""D"")"),"D")</f>
        <v>D</v>
      </c>
      <c r="CY355" s="246" t="str">
        <f>IFERROR(__xludf.DUMMYFUNCTION("IF(REGEXMATCH($C355, ""n""), """",""n"")"),"n")</f>
        <v>n</v>
      </c>
      <c r="CZ355" s="246" t="str">
        <f>IFERROR(__xludf.DUMMYFUNCTION("IF(REGEXMATCH($C355, ""N""), """",""N"")"),"")</f>
        <v/>
      </c>
      <c r="DA355" s="246" t="str">
        <f>IFERROR(__xludf.DUMMYFUNCTION("IF(REGEXMATCH($C355, ""S""), ""S"",""S"")"),"S")</f>
        <v>S</v>
      </c>
      <c r="DB355" s="362" t="str">
        <f>IFERROR(__xludf.DUMMYFUNCTION("JOIN("""",CO355:DA355,"""","""")"),"SRGmDnS")</f>
        <v>SRGmDnS</v>
      </c>
      <c r="DC355" s="363"/>
      <c r="DD355" s="301" t="str">
        <f t="shared" si="35"/>
        <v>#REF!</v>
      </c>
      <c r="DE355" s="302" t="str">
        <f t="shared" si="36"/>
        <v>#REF!</v>
      </c>
      <c r="DF355" s="301" t="str">
        <f t="shared" ref="DF355:DG355" si="944">SUBSTITUTE(S355,"-","")</f>
        <v>SRGM</v>
      </c>
      <c r="DG355" s="301" t="str">
        <f t="shared" si="944"/>
        <v>PDNS</v>
      </c>
      <c r="DH355" s="302" t="str">
        <f t="shared" si="38"/>
        <v>Todi</v>
      </c>
      <c r="DI355" s="301" t="str">
        <f t="shared" si="39"/>
        <v>Hemi.</v>
      </c>
      <c r="DJ355" s="364" t="str">
        <f t="shared" si="40"/>
        <v>Cohem.</v>
      </c>
      <c r="DK355" s="306" t="str">
        <f t="shared" si="41"/>
        <v>Todi</v>
      </c>
      <c r="DL355" s="366" t="str">
        <f t="shared" si="42"/>
        <v>-</v>
      </c>
      <c r="DM355" s="308" t="str">
        <f t="shared" si="43"/>
        <v>-</v>
      </c>
      <c r="DN355" s="306" t="str">
        <f t="shared" si="44"/>
        <v>-</v>
      </c>
      <c r="DO355" s="306" t="str">
        <f t="shared" si="45"/>
        <v>-</v>
      </c>
      <c r="DP355" s="367" t="str">
        <f t="shared" si="46"/>
        <v>✔</v>
      </c>
      <c r="DQ355" s="310" t="str">
        <f t="shared" si="47"/>
        <v>-</v>
      </c>
      <c r="DR355" s="310" t="str">
        <f t="shared" si="48"/>
        <v>-</v>
      </c>
      <c r="DS355" s="310" t="str">
        <f t="shared" si="49"/>
        <v>-</v>
      </c>
      <c r="DT355" s="310" t="str">
        <f t="shared" si="50"/>
        <v>-</v>
      </c>
      <c r="DU355" s="370" t="str">
        <f t="shared" si="51"/>
        <v>-</v>
      </c>
      <c r="DV355" s="306" t="str">
        <f t="shared" si="52"/>
        <v>-</v>
      </c>
      <c r="DW355" s="306" t="str">
        <f t="shared" si="53"/>
        <v>-</v>
      </c>
      <c r="DX355" s="306" t="str">
        <f t="shared" si="54"/>
        <v>-</v>
      </c>
      <c r="DY355" s="306" t="str">
        <f t="shared" si="55"/>
        <v>-</v>
      </c>
      <c r="DZ355" s="306" t="str">
        <f t="shared" si="56"/>
        <v>-</v>
      </c>
      <c r="EA355" s="367" t="str">
        <f t="shared" si="57"/>
        <v>-</v>
      </c>
      <c r="EB355" s="310" t="str">
        <f>IFERROR(__xludf.DUMMYFUNCTION("IF(REGEXMATCH(AW355,AS355),""✔"",""-"")"),"-")</f>
        <v>-</v>
      </c>
      <c r="EC355" s="310" t="str">
        <f t="shared" si="58"/>
        <v>#REF!</v>
      </c>
      <c r="ED355" s="370" t="str">
        <f t="shared" si="59"/>
        <v>-</v>
      </c>
      <c r="EE355" s="340" t="str">
        <f t="shared" si="60"/>
        <v>S-r-g-M-P-d-N-S</v>
      </c>
      <c r="EF355" s="371" t="str">
        <f>IFERROR(__xludf.DUMMYFUNCTION("CONCATENATE(JOIN("""",HC355:HO355))"),"SrGmMDNS")</f>
        <v>SrGmMDNS</v>
      </c>
      <c r="EG355" s="372">
        <f t="shared" si="61"/>
        <v>2</v>
      </c>
      <c r="EH355" s="373" t="str">
        <f>IFERROR(__xludf.DUMMYFUNCTION("CONCATENATE(JOIN("""",JC355:JO355))"),"ga, Pa, ")</f>
        <v>ga, Pa, </v>
      </c>
      <c r="EI355" s="322">
        <f t="shared" si="62"/>
        <v>0</v>
      </c>
      <c r="EJ355" s="374" t="str">
        <f>IFERROR(__xludf.DUMMYFUNCTION("CONCATENATE(JOIN("""",KC355:KO355))"),"")</f>
        <v/>
      </c>
      <c r="EK355" s="325" t="str">
        <f t="shared" si="63"/>
        <v>S-R1-G2-M2-P-D1-N3-S</v>
      </c>
      <c r="EL355" s="326" t="str">
        <f t="shared" si="64"/>
        <v>1-b2-b3-#4-5-b6-7-8</v>
      </c>
      <c r="EM355" s="318" t="str">
        <f t="shared" si="65"/>
        <v>#REF!</v>
      </c>
      <c r="EN355" s="328" t="str">
        <f>IFERROR(__xludf.DUMMYFUNCTION("SUBSTITUTE(SUBSTITUTE(SUBSTITUTE(SUBSTITUTE(CONCATENATE(JOIN("" "",HP355:IB355)),""  "","" ""),""  "","" ""),""  "","" ""),""  "","" "")"),"o o • o • • o o o • • o o")</f>
        <v>o o • o • • o o o • • o o</v>
      </c>
      <c r="EO355" s="368" t="str">
        <f t="shared" si="66"/>
        <v>Sa-Pa</v>
      </c>
      <c r="EP355" s="339" t="str">
        <f t="shared" si="67"/>
        <v>Sa-Pa</v>
      </c>
      <c r="EQ355" s="339" t="str">
        <f t="shared" si="68"/>
        <v>Sa-Pa</v>
      </c>
      <c r="ER355" s="339" t="str">
        <f t="shared" si="69"/>
        <v>-</v>
      </c>
      <c r="ES355" s="340" t="str">
        <f t="shared" si="70"/>
        <v>-</v>
      </c>
      <c r="ET355" s="363"/>
      <c r="EU355" s="376" t="b">
        <f>IFERROR(__xludf.DUMMYFUNCTION("arrayformula(sum(--REGEXMATCH(""SRGMPDNS"",split(REGEXREPLACE(C355,""(.)"",""$1~""),""~""))))=len(C355)
"),FALSE)</f>
        <v>0</v>
      </c>
      <c r="EV355" s="290" t="b">
        <f>IFERROR(__xludf.DUMMYFUNCTION("arrayformula(sum(--REGEXMATCH(""SRGmPDNS"",split(REGEXREPLACE(C355,""(.)"",""$1~""),""~""))))=len(C355)"),FALSE)</f>
        <v>0</v>
      </c>
      <c r="EW355" s="290" t="b">
        <f>IFERROR(__xludf.DUMMYFUNCTION("arrayformula(sum(--REGEXMATCH(""SRGmPDnS"",split(REGEXREPLACE(C355,""(.)"",""$1~""),""~""))))=len(C355)"),FALSE)</f>
        <v>0</v>
      </c>
      <c r="EX355" s="290" t="b">
        <f>IFERROR(__xludf.DUMMYFUNCTION("arrayformula(sum(--REGEXMATCH(""SRgmPDnS"",split(REGEXREPLACE(C355,""(.)"",""$1~""),""~""))))=len(C355)"),FALSE)</f>
        <v>0</v>
      </c>
      <c r="EY355" s="290" t="b">
        <f>IFERROR(__xludf.DUMMYFUNCTION("arrayformula(sum(--REGEXMATCH(""SRgmPdnS"",split(REGEXREPLACE(C355,""(.)"",""$1~""),""~""))))=len(C355)"),FALSE)</f>
        <v>0</v>
      </c>
      <c r="EZ355" s="290" t="b">
        <f>IFERROR(__xludf.DUMMYFUNCTION("arrayformula(sum(--REGEXMATCH(""SrgmPdnS"",split(REGEXREPLACE(C355,""(.)"",""$1~""),""~""))))=len(C355)"),FALSE)</f>
        <v>0</v>
      </c>
      <c r="FA355" s="290" t="b">
        <f>IFERROR(__xludf.DUMMYFUNCTION("arrayformula(sum(--REGEXMATCH(""SrGmPdNS"",split(REGEXREPLACE(C355,""(.)"",""$1~""),""~""))))=len(C355)"),FALSE)</f>
        <v>0</v>
      </c>
      <c r="FB355" s="290" t="b">
        <f>IFERROR(__xludf.DUMMYFUNCTION("arrayformula(sum(--REGEXMATCH(""SrGMPDNS"",split(REGEXREPLACE(C355,""(.)"",""$1~""),""~""))))=len(C355)"),FALSE)</f>
        <v>0</v>
      </c>
      <c r="FC355" s="290" t="b">
        <f>IFERROR(__xludf.DUMMYFUNCTION("arrayformula(sum(--REGEXMATCH(""SrGMPdNS"",split(REGEXREPLACE(C355,""(.)"",""$1~""),""~""))))=len(C355)"),FALSE)</f>
        <v>0</v>
      </c>
      <c r="FD355" s="377" t="b">
        <f>IFERROR(__xludf.DUMMYFUNCTION("arrayformula(sum(--REGEXMATCH(""SrgMPdNS"",split(REGEXREPLACE(C355,""(.)"",""$1~""),""~""))))=len(C355)"),TRUE)</f>
        <v>1</v>
      </c>
      <c r="FE355" s="269" t="str">
        <f t="shared" si="71"/>
        <v>xoxooxxxoox</v>
      </c>
      <c r="FF355" s="269" t="str">
        <f t="shared" si="72"/>
        <v>-</v>
      </c>
      <c r="FG355" s="271" t="str">
        <f t="shared" si="73"/>
        <v>xooxxxooxxx</v>
      </c>
      <c r="FH355" s="269" t="str">
        <f t="shared" si="74"/>
        <v>-</v>
      </c>
      <c r="FI355" s="271" t="str">
        <f t="shared" si="75"/>
        <v>-</v>
      </c>
      <c r="FJ355" s="271" t="str">
        <f t="shared" si="76"/>
        <v>xxxooxxxoxo</v>
      </c>
      <c r="FK355" s="271" t="str">
        <f t="shared" si="77"/>
        <v>xxooxxxoxoo</v>
      </c>
      <c r="FL355" s="271" t="str">
        <f t="shared" si="78"/>
        <v>xooxxxoxoox</v>
      </c>
      <c r="FM355" s="271" t="str">
        <f t="shared" si="79"/>
        <v>-</v>
      </c>
      <c r="FN355" s="271" t="str">
        <f t="shared" si="80"/>
        <v>-</v>
      </c>
      <c r="FO355" s="274" t="str">
        <f t="shared" si="81"/>
        <v>xxxoxooxxxo</v>
      </c>
      <c r="FP355" s="234" t="str">
        <f t="shared" si="82"/>
        <v>|</v>
      </c>
      <c r="FQ355" s="236" t="str">
        <f t="shared" si="83"/>
        <v>|</v>
      </c>
      <c r="FR355" s="237" t="str">
        <f t="shared" si="84"/>
        <v>-</v>
      </c>
      <c r="FS355" s="236" t="str">
        <f t="shared" si="85"/>
        <v>|</v>
      </c>
      <c r="FT355" s="237" t="str">
        <f t="shared" si="86"/>
        <v>-</v>
      </c>
      <c r="FU355" s="236" t="str">
        <f t="shared" si="87"/>
        <v>-</v>
      </c>
      <c r="FV355" s="237" t="str">
        <f t="shared" si="88"/>
        <v>|</v>
      </c>
      <c r="FW355" s="236" t="str">
        <f t="shared" si="89"/>
        <v>|</v>
      </c>
      <c r="FX355" s="237" t="str">
        <f t="shared" si="90"/>
        <v>|</v>
      </c>
      <c r="FY355" s="236" t="str">
        <f t="shared" si="91"/>
        <v>-</v>
      </c>
      <c r="FZ355" s="237" t="str">
        <f t="shared" si="92"/>
        <v>-</v>
      </c>
      <c r="GA355" s="236" t="str">
        <f t="shared" si="93"/>
        <v>|</v>
      </c>
      <c r="GB355" s="238" t="str">
        <f t="shared" si="94"/>
        <v>|</v>
      </c>
      <c r="GC355" s="244" t="str">
        <f>IFERROR(__xludf.DUMMYFUNCTION("IF(REGEXMATCH(C355, ""S""), ""1"","""")"),"1")</f>
        <v>1</v>
      </c>
      <c r="GD355" s="245" t="str">
        <f>IFERROR(__xludf.DUMMYFUNCTION("IF(REGEXMATCH(C355, ""r""), ""b2"","""")"),"b2")</f>
        <v>b2</v>
      </c>
      <c r="GE355" s="246" t="str">
        <f>IFERROR(__xludf.DUMMYFUNCTION("IF(REGEXMATCH(C355, ""R""), ""2"","""")"),"")</f>
        <v/>
      </c>
      <c r="GF355" s="246" t="str">
        <f>IFERROR(__xludf.DUMMYFUNCTION("IF(REGEXMATCH(C355, ""g""), ""b3"","""")"),"b3")</f>
        <v>b3</v>
      </c>
      <c r="GG355" s="245" t="str">
        <f>IFERROR(__xludf.DUMMYFUNCTION("IF(REGEXMATCH(C355, ""G""), ""3"","""")"),"")</f>
        <v/>
      </c>
      <c r="GH355" s="245" t="str">
        <f>IFERROR(__xludf.DUMMYFUNCTION("IF(REGEXMATCH(C355, ""m""), ""4"","""")"),"")</f>
        <v/>
      </c>
      <c r="GI355" s="246" t="str">
        <f>IFERROR(__xludf.DUMMYFUNCTION("IF(REGEXMATCH(C355, ""M""), ""#4"","""")"),"#4")</f>
        <v>#4</v>
      </c>
      <c r="GJ355" s="245" t="str">
        <f>IFERROR(__xludf.DUMMYFUNCTION("IF(REGEXMATCH(C355, ""P""), ""5"","""")"),"5")</f>
        <v>5</v>
      </c>
      <c r="GK355" s="246" t="str">
        <f>IFERROR(__xludf.DUMMYFUNCTION("IF(REGEXMATCH(C355, ""d""), ""b6"","""")"),"b6")</f>
        <v>b6</v>
      </c>
      <c r="GL355" s="245" t="str">
        <f>IFERROR(__xludf.DUMMYFUNCTION("IF(REGEXMATCH(C355, ""D""), ""6"","""")"),"")</f>
        <v/>
      </c>
      <c r="GM355" s="245" t="str">
        <f>IFERROR(__xludf.DUMMYFUNCTION("IF(REGEXMATCH(C355, ""n""), ""b7"","""")"),"")</f>
        <v/>
      </c>
      <c r="GN355" s="246" t="str">
        <f>IFERROR(__xludf.DUMMYFUNCTION("IF(REGEXMATCH(C355, ""N""), ""7"","""")"),"7")</f>
        <v>7</v>
      </c>
      <c r="GO355" s="249" t="str">
        <f>IFERROR(__xludf.DUMMYFUNCTION("IF(REGEXMATCH(C355, ""S""), ""8"","""")"),"8")</f>
        <v>8</v>
      </c>
      <c r="GP355" s="244" t="str">
        <f>IFERROR(__xludf.DUMMYFUNCTION("IF(REGEXMATCH(C355, ""S""), ""S"","""")"),"S")</f>
        <v>S</v>
      </c>
      <c r="GQ355" s="294" t="str">
        <f>IFERROR(__xludf.DUMMYFUNCTION("IF(REGEXMATCH(C355, ""r""), ""R1"","""")"),"R1")</f>
        <v>R1</v>
      </c>
      <c r="GR355" s="295" t="str">
        <f>IFERROR(__xludf.DUMMYFUNCTION("IF(REGEXMATCH(C355, ""R""), ""R2"","""")"),"")</f>
        <v/>
      </c>
      <c r="GS355" s="295" t="str">
        <f>IFERROR(__xludf.DUMMYFUNCTION("IF(REGEXMATCH(C355, ""g""), ""G2"","""")"),"G2")</f>
        <v>G2</v>
      </c>
      <c r="GT355" s="294" t="str">
        <f>IFERROR(__xludf.DUMMYFUNCTION("IF(REGEXMATCH(C355, ""G""), ""G3"","""")"),"")</f>
        <v/>
      </c>
      <c r="GU355" s="294" t="str">
        <f>IFERROR(__xludf.DUMMYFUNCTION("IF(REGEXMATCH(C355, ""m""), ""M1"","""")"),"")</f>
        <v/>
      </c>
      <c r="GV355" s="295" t="str">
        <f>IFERROR(__xludf.DUMMYFUNCTION("IF(REGEXMATCH(C355, ""M""), ""M2"","""")"),"M2")</f>
        <v>M2</v>
      </c>
      <c r="GW355" s="294" t="str">
        <f>IFERROR(__xludf.DUMMYFUNCTION("IF(REGEXMATCH(C355, ""P""), ""P"","""")"),"P")</f>
        <v>P</v>
      </c>
      <c r="GX355" s="295" t="str">
        <f>IFERROR(__xludf.DUMMYFUNCTION("IF(REGEXMATCH(C355, ""d""), ""D1"","""")"),"D1")</f>
        <v>D1</v>
      </c>
      <c r="GY355" s="294" t="str">
        <f>IFERROR(__xludf.DUMMYFUNCTION("IF(REGEXMATCH(C355, ""D""), ""D2"","""")"),"")</f>
        <v/>
      </c>
      <c r="GZ355" s="294" t="str">
        <f>IFERROR(__xludf.DUMMYFUNCTION("IF(REGEXMATCH(C355, ""n""), ""N2"","""")"),"")</f>
        <v/>
      </c>
      <c r="HA355" s="295" t="str">
        <f>IFERROR(__xludf.DUMMYFUNCTION("IF(REGEXMATCH(C355, ""N""), ""N3"","""")"),"N3")</f>
        <v>N3</v>
      </c>
      <c r="HB355" s="249" t="str">
        <f>IFERROR(__xludf.DUMMYFUNCTION("IF(REGEXMATCH(C355, ""S""), ""S"","""")"),"S")</f>
        <v>S</v>
      </c>
      <c r="HC355" s="331" t="str">
        <f t="shared" si="95"/>
        <v>S</v>
      </c>
      <c r="HD355" s="332" t="str">
        <f t="shared" si="96"/>
        <v>r</v>
      </c>
      <c r="HE355" s="332" t="str">
        <f t="shared" si="97"/>
        <v/>
      </c>
      <c r="HF355" s="332" t="str">
        <f t="shared" si="98"/>
        <v/>
      </c>
      <c r="HG355" s="332" t="str">
        <f t="shared" si="99"/>
        <v>G</v>
      </c>
      <c r="HH355" s="332" t="str">
        <f t="shared" si="100"/>
        <v>m</v>
      </c>
      <c r="HI355" s="332" t="str">
        <f t="shared" si="101"/>
        <v>M</v>
      </c>
      <c r="HJ355" s="332" t="str">
        <f t="shared" si="102"/>
        <v/>
      </c>
      <c r="HK355" s="332" t="str">
        <f t="shared" si="103"/>
        <v/>
      </c>
      <c r="HL355" s="332" t="str">
        <f t="shared" si="104"/>
        <v>D</v>
      </c>
      <c r="HM355" s="332" t="str">
        <f t="shared" si="105"/>
        <v/>
      </c>
      <c r="HN355" s="332" t="str">
        <f t="shared" si="106"/>
        <v>N</v>
      </c>
      <c r="HO355" s="343" t="str">
        <f t="shared" si="107"/>
        <v>S</v>
      </c>
      <c r="HP355" s="331" t="str">
        <f t="shared" si="108"/>
        <v>o</v>
      </c>
      <c r="HQ355" s="332" t="str">
        <f t="shared" si="109"/>
        <v>o</v>
      </c>
      <c r="HR355" s="332" t="str">
        <f t="shared" si="110"/>
        <v>•</v>
      </c>
      <c r="HS355" s="332" t="str">
        <f t="shared" si="111"/>
        <v>o</v>
      </c>
      <c r="HT355" s="332" t="str">
        <f t="shared" si="112"/>
        <v>•</v>
      </c>
      <c r="HU355" s="332" t="str">
        <f t="shared" si="113"/>
        <v>•</v>
      </c>
      <c r="HV355" s="332" t="str">
        <f t="shared" si="114"/>
        <v>o</v>
      </c>
      <c r="HW355" s="332" t="str">
        <f t="shared" si="115"/>
        <v>o</v>
      </c>
      <c r="HX355" s="332" t="str">
        <f t="shared" si="116"/>
        <v>o</v>
      </c>
      <c r="HY355" s="332" t="str">
        <f t="shared" si="117"/>
        <v>•</v>
      </c>
      <c r="HZ355" s="332" t="str">
        <f t="shared" si="118"/>
        <v>•</v>
      </c>
      <c r="IA355" s="332" t="str">
        <f t="shared" si="119"/>
        <v>o</v>
      </c>
      <c r="IB355" s="338" t="str">
        <f t="shared" si="120"/>
        <v>o</v>
      </c>
      <c r="IC355" s="331" t="str">
        <f t="shared" si="121"/>
        <v>•</v>
      </c>
      <c r="ID355" s="332" t="str">
        <f t="shared" si="122"/>
        <v>•</v>
      </c>
      <c r="IE355" s="332" t="str">
        <f t="shared" si="123"/>
        <v>o</v>
      </c>
      <c r="IF355" s="332" t="str">
        <f t="shared" si="124"/>
        <v>•</v>
      </c>
      <c r="IG355" s="332" t="str">
        <f t="shared" si="125"/>
        <v>o</v>
      </c>
      <c r="IH355" s="332" t="str">
        <f t="shared" si="126"/>
        <v>o</v>
      </c>
      <c r="II355" s="332" t="str">
        <f t="shared" si="127"/>
        <v>•</v>
      </c>
      <c r="IJ355" s="332" t="str">
        <f t="shared" si="128"/>
        <v>•</v>
      </c>
      <c r="IK355" s="332" t="str">
        <f t="shared" si="129"/>
        <v>•</v>
      </c>
      <c r="IL355" s="332" t="str">
        <f t="shared" si="130"/>
        <v>o</v>
      </c>
      <c r="IM355" s="332" t="str">
        <f t="shared" si="131"/>
        <v>o</v>
      </c>
      <c r="IN355" s="332" t="str">
        <f t="shared" si="132"/>
        <v>•</v>
      </c>
      <c r="IO355" s="338" t="str">
        <f t="shared" si="133"/>
        <v>•</v>
      </c>
      <c r="IP355" s="346" t="b">
        <f t="shared" si="134"/>
        <v>0</v>
      </c>
      <c r="IQ355" s="347" t="b">
        <f t="shared" si="135"/>
        <v>0</v>
      </c>
      <c r="IR355" s="347" t="b">
        <f t="shared" si="136"/>
        <v>0</v>
      </c>
      <c r="IS355" s="347" t="b">
        <f t="shared" si="137"/>
        <v>1</v>
      </c>
      <c r="IT355" s="347" t="b">
        <f t="shared" si="138"/>
        <v>0</v>
      </c>
      <c r="IU355" s="347" t="b">
        <f t="shared" si="139"/>
        <v>0</v>
      </c>
      <c r="IV355" s="347" t="b">
        <f t="shared" si="140"/>
        <v>0</v>
      </c>
      <c r="IW355" s="347" t="b">
        <f t="shared" si="141"/>
        <v>1</v>
      </c>
      <c r="IX355" s="347" t="b">
        <f t="shared" si="142"/>
        <v>0</v>
      </c>
      <c r="IY355" s="347" t="b">
        <f t="shared" si="143"/>
        <v>0</v>
      </c>
      <c r="IZ355" s="347" t="b">
        <f t="shared" si="144"/>
        <v>0</v>
      </c>
      <c r="JA355" s="347" t="b">
        <f t="shared" si="145"/>
        <v>0</v>
      </c>
      <c r="JB355" s="353" t="b">
        <f t="shared" si="146"/>
        <v>0</v>
      </c>
      <c r="JC355" s="354" t="str">
        <f t="shared" si="147"/>
        <v/>
      </c>
      <c r="JD355" s="355" t="str">
        <f t="shared" si="148"/>
        <v/>
      </c>
      <c r="JE355" s="355" t="str">
        <f t="shared" si="149"/>
        <v/>
      </c>
      <c r="JF355" s="355" t="str">
        <f t="shared" si="150"/>
        <v>ga, </v>
      </c>
      <c r="JG355" s="355" t="str">
        <f t="shared" si="151"/>
        <v/>
      </c>
      <c r="JH355" s="355" t="str">
        <f t="shared" si="152"/>
        <v/>
      </c>
      <c r="JI355" s="355" t="str">
        <f t="shared" si="153"/>
        <v/>
      </c>
      <c r="JJ355" s="355" t="str">
        <f t="shared" si="154"/>
        <v>Pa, </v>
      </c>
      <c r="JK355" s="355" t="str">
        <f t="shared" si="155"/>
        <v/>
      </c>
      <c r="JL355" s="355" t="str">
        <f t="shared" si="156"/>
        <v/>
      </c>
      <c r="JM355" s="355" t="str">
        <f t="shared" si="157"/>
        <v/>
      </c>
      <c r="JN355" s="355" t="str">
        <f t="shared" si="158"/>
        <v/>
      </c>
      <c r="JO355" s="359" t="str">
        <f t="shared" si="159"/>
        <v/>
      </c>
      <c r="JP355" s="346" t="b">
        <f t="shared" si="160"/>
        <v>0</v>
      </c>
      <c r="JQ355" s="347" t="b">
        <f t="shared" si="161"/>
        <v>0</v>
      </c>
      <c r="JR355" s="347" t="b">
        <f t="shared" si="162"/>
        <v>0</v>
      </c>
      <c r="JS355" s="347" t="b">
        <f t="shared" si="163"/>
        <v>0</v>
      </c>
      <c r="JT355" s="347" t="b">
        <f t="shared" si="164"/>
        <v>0</v>
      </c>
      <c r="JU355" s="347" t="b">
        <f t="shared" si="165"/>
        <v>0</v>
      </c>
      <c r="JV355" s="347" t="b">
        <f t="shared" si="166"/>
        <v>0</v>
      </c>
      <c r="JW355" s="347" t="b">
        <f t="shared" si="167"/>
        <v>0</v>
      </c>
      <c r="JX355" s="347" t="b">
        <f t="shared" si="168"/>
        <v>0</v>
      </c>
      <c r="JY355" s="347" t="b">
        <f t="shared" si="169"/>
        <v>0</v>
      </c>
      <c r="JZ355" s="347" t="b">
        <f t="shared" si="170"/>
        <v>0</v>
      </c>
      <c r="KA355" s="347" t="b">
        <f t="shared" si="171"/>
        <v>0</v>
      </c>
      <c r="KB355" s="365" t="b">
        <f t="shared" si="172"/>
        <v>0</v>
      </c>
      <c r="KC355" s="354" t="str">
        <f t="shared" si="173"/>
        <v/>
      </c>
      <c r="KD355" s="355" t="str">
        <f t="shared" si="174"/>
        <v/>
      </c>
      <c r="KE355" s="355" t="str">
        <f t="shared" si="175"/>
        <v/>
      </c>
      <c r="KF355" s="355" t="str">
        <f t="shared" si="176"/>
        <v/>
      </c>
      <c r="KG355" s="355" t="str">
        <f t="shared" si="177"/>
        <v/>
      </c>
      <c r="KH355" s="355" t="str">
        <f t="shared" si="178"/>
        <v/>
      </c>
      <c r="KI355" s="355" t="str">
        <f t="shared" si="179"/>
        <v/>
      </c>
      <c r="KJ355" s="355" t="str">
        <f t="shared" si="180"/>
        <v/>
      </c>
      <c r="KK355" s="355" t="str">
        <f t="shared" si="181"/>
        <v/>
      </c>
      <c r="KL355" s="355" t="str">
        <f t="shared" si="182"/>
        <v/>
      </c>
      <c r="KM355" s="355" t="str">
        <f t="shared" si="183"/>
        <v/>
      </c>
      <c r="KN355" s="355" t="str">
        <f t="shared" si="184"/>
        <v/>
      </c>
      <c r="KO355" s="359"/>
      <c r="KP355" s="378"/>
      <c r="KQ355" s="379" t="s">
        <v>401</v>
      </c>
      <c r="KR355" s="380" t="s">
        <v>1274</v>
      </c>
      <c r="KS355" s="381" t="str">
        <f>KQ355</f>
        <v>S-r-g-M-P-d-N-S</v>
      </c>
      <c r="KT355" s="382">
        <f t="shared" si="186"/>
        <v>7</v>
      </c>
      <c r="KU355" s="383">
        <f t="shared" si="187"/>
        <v>7</v>
      </c>
      <c r="KV355" s="381" t="str">
        <f t="shared" si="205"/>
        <v>S-N-d-P-M-g-r-S</v>
      </c>
      <c r="KW355" s="382">
        <f t="shared" si="189"/>
        <v>7</v>
      </c>
      <c r="KX355" s="384">
        <f t="shared" si="190"/>
        <v>7</v>
      </c>
      <c r="KY355" s="382">
        <f t="shared" ref="KY355:KZ355" si="945">KW355-KT355</f>
        <v>0</v>
      </c>
      <c r="KZ355" s="369">
        <f t="shared" si="945"/>
        <v>0</v>
      </c>
      <c r="LA355" s="385" t="str">
        <f t="shared" si="192"/>
        <v>✔</v>
      </c>
      <c r="LB355" s="340" t="str">
        <f>IFERROR(__xludf.DUMMYFUNCTION("JOIN("""",ArrayFormula(MID(KS355,LEN(KS355)-SEQUENCE(1,LEN(KS355))+1,1)))"),"S-N-d-P-M-g-r-S")</f>
        <v>S-N-d-P-M-g-r-S</v>
      </c>
      <c r="LC355" s="373" t="str">
        <f>IFERROR(__xludf.DUMMYFUNCTION("JOIN("""",ArrayFormula(MID(KV355,LEN(KV355)-SEQUENCE(1,LEN(KV355))+1,1)))"),"S-r-g-M-P-d-N-S")</f>
        <v>S-r-g-M-P-d-N-S</v>
      </c>
      <c r="LD355" s="373" t="str">
        <f t="shared" si="193"/>
        <v>SrgMPdNS</v>
      </c>
      <c r="LE355" s="339" t="str">
        <f t="shared" si="194"/>
        <v>SrgMPdNS</v>
      </c>
      <c r="LF355" s="386" t="str">
        <f>IFERROR(__xludf.DUMMYFUNCTION("SUBSTITUTE(SUBSTITUTE(CONCATENATE(JOIN("""",LH355:LT355)),""1"",""""),""2"","""")"),"SrgMPdNS")</f>
        <v>SrgMPdNS</v>
      </c>
      <c r="LG355" s="369" t="str">
        <f t="shared" si="195"/>
        <v>✔</v>
      </c>
      <c r="LH355" s="387" t="str">
        <f>IFERROR(__xludf.DUMMYFUNCTION("IF(REGEXMATCH(LD355, ""S""), ""S"",IF(REGEXMATCH(LE355, ""S""), ""S"",""""))"),"S")</f>
        <v>S</v>
      </c>
      <c r="LI355" s="299" t="str">
        <f>IFERROR(__xludf.DUMMYFUNCTION("IF(REGEXMATCH(LD355, ""r""), ""r1"",IF(REGEXMATCH(LE355, ""r""), ""r2"",""""))"),"r1")</f>
        <v>r1</v>
      </c>
      <c r="LJ355" s="299" t="str">
        <f>IFERROR(__xludf.DUMMYFUNCTION("IF(REGEXMATCH(LD355, ""R""), ""R1"",IF(REGEXMATCH(LE355, ""R""), ""R2"",""""))"),"")</f>
        <v/>
      </c>
      <c r="LK355" s="299" t="str">
        <f>IFERROR(__xludf.DUMMYFUNCTION("IF(REGEXMATCH(LD355, ""g""), ""g1"",IF(REGEXMATCH(LE355, ""g""), ""g2"",""""))"),"g1")</f>
        <v>g1</v>
      </c>
      <c r="LL355" s="299" t="str">
        <f>IFERROR(__xludf.DUMMYFUNCTION("IF(REGEXMATCH(LD355, ""G""), ""G1"",IF(REGEXMATCH(LE355, ""G""), ""G2"",""""))"),"")</f>
        <v/>
      </c>
      <c r="LM355" s="299" t="str">
        <f>IFERROR(__xludf.DUMMYFUNCTION("IF(REGEXMATCH(LD355, ""m""), ""m1"",IF(REGEXMATCH(LE355, ""m""), ""m2"",""""))"),"")</f>
        <v/>
      </c>
      <c r="LN355" s="299" t="str">
        <f>IFERROR(__xludf.DUMMYFUNCTION("IF(REGEXMATCH(LD355, ""M""), ""M1"",IF(REGEXMATCH(LE355, ""M""), ""M2"",""""))"),"M1")</f>
        <v>M1</v>
      </c>
      <c r="LO355" s="299" t="str">
        <f>IFERROR(__xludf.DUMMYFUNCTION("IF(REGEXMATCH(LD355, ""P""), ""P1"",IF(REGEXMATCH(LE355, ""P""), ""P2"",""""))"),"P1")</f>
        <v>P1</v>
      </c>
      <c r="LP355" s="299" t="str">
        <f>IFERROR(__xludf.DUMMYFUNCTION("IF(REGEXMATCH(LD355, ""d""), ""d1"",IF(REGEXMATCH(LE355, ""d""), ""d2"",""""))"),"d1")</f>
        <v>d1</v>
      </c>
      <c r="LQ355" s="299" t="str">
        <f>IFERROR(__xludf.DUMMYFUNCTION("IF(REGEXMATCH(LD355, ""D""), ""D1"",IF(REGEXMATCH(LE355, ""D""), ""D2"",""""))"),"")</f>
        <v/>
      </c>
      <c r="LR355" s="299" t="str">
        <f>IFERROR(__xludf.DUMMYFUNCTION("IF(REGEXMATCH(LD355, ""n""), ""n1"",IF(REGEXMATCH(LE355, ""n""), ""n2"",""""))"),"")</f>
        <v/>
      </c>
      <c r="LS355" s="299" t="str">
        <f>IFERROR(__xludf.DUMMYFUNCTION("IF(REGEXMATCH(LD355, ""N""), ""N1"",IF(REGEXMATCH(LE355, ""N""), ""N2"",""""))"),"N1")</f>
        <v>N1</v>
      </c>
      <c r="LT355" s="388" t="str">
        <f>IFERROR(__xludf.DUMMYFUNCTION("IF(REGEXMATCH(LD355, ""S""), ""S"",IF(REGEXMATCH(LE355, ""S""), ""S"",""""))"),"S")</f>
        <v>S</v>
      </c>
      <c r="LU355" s="389">
        <f t="shared" si="196"/>
        <v>1</v>
      </c>
      <c r="LV355" s="378"/>
      <c r="LW355" s="369"/>
      <c r="LX355" s="369"/>
    </row>
    <row r="356" ht="18.0" customHeight="1">
      <c r="A356" s="298" t="s">
        <v>1507</v>
      </c>
      <c r="B356" s="222" t="s">
        <v>1508</v>
      </c>
      <c r="C356" s="233" t="str">
        <f t="shared" si="7"/>
        <v>SRgGPdDS</v>
      </c>
      <c r="D356" s="234" t="str">
        <f>IFERROR(__xludf.DUMMYFUNCTION("IF(REGEXMATCH(C356, ""S""), ""S"","""")"),"S")</f>
        <v>S</v>
      </c>
      <c r="E356" s="236" t="str">
        <f>IFERROR(__xludf.DUMMYFUNCTION("IF(REGEXMATCH(C356, ""r""), ""r"","""")"),"")</f>
        <v/>
      </c>
      <c r="F356" s="237" t="str">
        <f>IFERROR(__xludf.DUMMYFUNCTION("IF(REGEXMATCH(C356, ""R""), ""R"","""")"),"R")</f>
        <v>R</v>
      </c>
      <c r="G356" s="237" t="str">
        <f>IFERROR(__xludf.DUMMYFUNCTION("IF(REGEXMATCH(C356, ""g""), ""g"","""")"),"g")</f>
        <v>g</v>
      </c>
      <c r="H356" s="236" t="str">
        <f>IFERROR(__xludf.DUMMYFUNCTION("IF(REGEXMATCH(C356, ""G""), ""G"","""")"),"G")</f>
        <v>G</v>
      </c>
      <c r="I356" s="236" t="str">
        <f>IFERROR(__xludf.DUMMYFUNCTION("IF(REGEXMATCH(C356, ""m""), ""m"","""")"),"")</f>
        <v/>
      </c>
      <c r="J356" s="237" t="str">
        <f>IFERROR(__xludf.DUMMYFUNCTION("IF(REGEXMATCH(C356, ""M""), ""M"","""")"),"")</f>
        <v/>
      </c>
      <c r="K356" s="236" t="str">
        <f>IFERROR(__xludf.DUMMYFUNCTION("IF(REGEXMATCH(C356, ""P""), ""P"","""")"),"P")</f>
        <v>P</v>
      </c>
      <c r="L356" s="237" t="str">
        <f>IFERROR(__xludf.DUMMYFUNCTION("IF(REGEXMATCH(C356, ""d""), ""d"","""")"),"d")</f>
        <v>d</v>
      </c>
      <c r="M356" s="236" t="str">
        <f>IFERROR(__xludf.DUMMYFUNCTION("IF(REGEXMATCH(C356, ""D""), ""D"","""")"),"D")</f>
        <v>D</v>
      </c>
      <c r="N356" s="236" t="str">
        <f>IFERROR(__xludf.DUMMYFUNCTION("IF(REGEXMATCH(C356, ""n""), ""n"","""")"),"")</f>
        <v/>
      </c>
      <c r="O356" s="237" t="str">
        <f>IFERROR(__xludf.DUMMYFUNCTION("IF(REGEXMATCH(C356, ""N""), ""N"","""")"),"")</f>
        <v/>
      </c>
      <c r="P356" s="238" t="str">
        <f>IFERROR(__xludf.DUMMYFUNCTION("IF(REGEXMATCH(C356, ""S""), ""S"","""")"),"S")</f>
        <v>S</v>
      </c>
      <c r="Q356" s="239" t="str">
        <f>IFERROR(__xludf.DUMMYFUNCTION("SUBSTITUTE(CONCATENATE(JOIN(""-"",D356:J356)),""-"","""")"),"SRgG")</f>
        <v>SRgG</v>
      </c>
      <c r="R356" s="229" t="str">
        <f>IFERROR(__xludf.DUMMYFUNCTION("SUBSTITUTE(CONCATENATE(JOIN(""-"",K356:P356)),""-"","""")"),"PdDS")</f>
        <v>PdDS</v>
      </c>
      <c r="S356" s="282" t="str">
        <f t="shared" si="8"/>
        <v>S-R-G-</v>
      </c>
      <c r="T356" s="282" t="str">
        <f t="shared" si="9"/>
        <v>P-D-S</v>
      </c>
      <c r="U356" s="237" t="str">
        <f>IFERROR(__xludf.DUMMYFUNCTION("SUBSTITUTE(JOIN(""-"",S356,T356),""--"",""-"")"),"S-R-G-P-D-S")</f>
        <v>S-R-G-P-D-S</v>
      </c>
      <c r="V356" s="309" t="str">
        <f t="shared" si="10"/>
        <v>RgGdD</v>
      </c>
      <c r="W356" s="244" t="str">
        <f>IFERROR(__xludf.DUMMYFUNCTION("IF(REGEXMATCH(C356, ""S""), ""0"","""")"),"0")</f>
        <v>0</v>
      </c>
      <c r="X356" s="245" t="str">
        <f>IFERROR(__xludf.DUMMYFUNCTION("IF(REGEXMATCH(C356, ""r""), ""1"","""")"),"")</f>
        <v/>
      </c>
      <c r="Y356" s="246" t="str">
        <f>IFERROR(__xludf.DUMMYFUNCTION("IF(REGEXMATCH(C356, ""R""), ""2"","""")"),"2")</f>
        <v>2</v>
      </c>
      <c r="Z356" s="246" t="str">
        <f>IFERROR(__xludf.DUMMYFUNCTION("IF(REGEXMATCH(C356, ""g""), ""3"","""")"),"3")</f>
        <v>3</v>
      </c>
      <c r="AA356" s="245" t="str">
        <f>IFERROR(__xludf.DUMMYFUNCTION("IF(REGEXMATCH(C356, ""G""), ""4"","""")"),"4")</f>
        <v>4</v>
      </c>
      <c r="AB356" s="245" t="str">
        <f>IFERROR(__xludf.DUMMYFUNCTION("IF(REGEXMATCH(C356, ""m""), ""5"","""")"),"")</f>
        <v/>
      </c>
      <c r="AC356" s="246" t="str">
        <f>IFERROR(__xludf.DUMMYFUNCTION("IF(REGEXMATCH(C356, ""M""), ""6"","""")"),"")</f>
        <v/>
      </c>
      <c r="AD356" s="245" t="str">
        <f>IFERROR(__xludf.DUMMYFUNCTION("IF(REGEXMATCH(C356, ""P""), ""7"","""")"),"7")</f>
        <v>7</v>
      </c>
      <c r="AE356" s="246" t="str">
        <f>IFERROR(__xludf.DUMMYFUNCTION("IF(REGEXMATCH(C356, ""d""), ""8"","""")"),"8")</f>
        <v>8</v>
      </c>
      <c r="AF356" s="245" t="str">
        <f>IFERROR(__xludf.DUMMYFUNCTION("IF(REGEXMATCH(C356, ""D""), ""9"","""")"),"9")</f>
        <v>9</v>
      </c>
      <c r="AG356" s="245" t="str">
        <f>IFERROR(__xludf.DUMMYFUNCTION("IF(REGEXMATCH(C356, ""n""), ""10"","""")"),"")</f>
        <v/>
      </c>
      <c r="AH356" s="246" t="str">
        <f>IFERROR(__xludf.DUMMYFUNCTION("IF(REGEXMATCH(C356, ""N""), ""11"","""")"),"")</f>
        <v/>
      </c>
      <c r="AI356" s="249" t="str">
        <f>IFERROR(__xludf.DUMMYFUNCTION("IF(REGEXMATCH(C356, ""S""), ""0"","""")"),"0")</f>
        <v>0</v>
      </c>
      <c r="AJ356" s="313" t="str">
        <f t="shared" si="11"/>
        <v>-</v>
      </c>
      <c r="AK356" s="313" t="str">
        <f t="shared" si="12"/>
        <v>-</v>
      </c>
      <c r="AL356" s="313" t="str">
        <f t="shared" si="13"/>
        <v>T</v>
      </c>
      <c r="AM356" s="313" t="str">
        <f t="shared" si="14"/>
        <v>T</v>
      </c>
      <c r="AN356" s="313" t="str">
        <f t="shared" si="15"/>
        <v>-</v>
      </c>
      <c r="AO356" s="314" t="str">
        <f t="shared" si="16"/>
        <v>-</v>
      </c>
      <c r="AP356" s="316">
        <f t="shared" si="17"/>
        <v>2</v>
      </c>
      <c r="AQ356" s="319" t="str">
        <f t="shared" si="18"/>
        <v>-</v>
      </c>
      <c r="AR356" s="320">
        <f t="shared" si="19"/>
        <v>0</v>
      </c>
      <c r="AS356" s="250" t="str">
        <f>IFERROR(__xludf.DUMMYFUNCTION("SUBSTITUTE(SUBSTITUTE(CONCATENATE(JOIN("""",FP356:GA356)),""|"",""x""),""-"",""o"")"),"xoxxxooxxxoo")</f>
        <v>xoxxxooxxxoo</v>
      </c>
      <c r="AT356" s="323" t="str">
        <f>IFERROR(__xludf.DUMMYFUNCTION("JOIN("""",AS356,AS356)"),"xoxxxooxxxooxoxxxooxxxoo")</f>
        <v>xoxxxooxxxooxoxxxooxxxoo</v>
      </c>
      <c r="AU356" s="256" t="str">
        <f>IFERROR(__xludf.DUMMYFUNCTION("JOIN("""",ArrayFormula(MID(AS356,LEN(AS356)-SEQUENCE(1,LEN(AS356))+1,1)))"),"ooxxxooxxxox")</f>
        <v>ooxxxooxxxox</v>
      </c>
      <c r="AV356" s="256" t="str">
        <f>IFERROR(__xludf.DUMMYFUNCTION("LEFT(CONCATENATE(""x"",JOIN("""",ArrayFormula(MID(AS356,LEN(AS356)-SEQUENCE(1,LEN(AS356))+1,1)))),12)"),"xooxxxooxxxo")</f>
        <v>xooxxxooxxxo</v>
      </c>
      <c r="AW356" s="327" t="str">
        <f>IFERROR(__xludf.DUMMYFUNCTION("JOIN("""",AU356,AU356)"),"ooxxxooxxxoxooxxxooxxxox")</f>
        <v>ooxxxooxxxoxooxxxooxxxox</v>
      </c>
      <c r="AX356" s="239" t="str">
        <f>IFERROR(__xludf.DUMMYFUNCTION("IF(REGEXMATCH(AW356,AS356),""✔"",""-"")"),"-")</f>
        <v>-</v>
      </c>
      <c r="AY356" s="330" t="str">
        <f t="shared" si="20"/>
        <v>-</v>
      </c>
      <c r="AZ356" s="260" t="str">
        <f t="shared" si="21"/>
        <v>#REF!</v>
      </c>
      <c r="BA356" s="333" t="str">
        <f t="shared" si="22"/>
        <v>xoxxxoo</v>
      </c>
      <c r="BB356" s="334" t="str">
        <f t="shared" si="23"/>
        <v>xxxoox</v>
      </c>
      <c r="BC356" s="335" t="str">
        <f t="shared" si="236"/>
        <v>-</v>
      </c>
      <c r="BD356" s="336" t="str">
        <f t="shared" si="25"/>
        <v>Trishnaa: 'xoxxxoo' + 'xxxoox'</v>
      </c>
      <c r="BE356" s="337">
        <f>IFERROR(__xludf.DUMMYFUNCTION("COUNTUNIQUE(FILTER(AT:AT,REGEXMATCH(AT:AT,AS356)))-1"),5.0)</f>
        <v>5</v>
      </c>
      <c r="BF356" s="261" t="str">
        <f>IFERROR(__xludf.DUMMYFUNCTION("IF(BI356=0,""(n/a)"",IF(BJ356=2,""(PAIR)"",IF(REGEXMATCH(AT356,""xoxoxxoxoxox""),""Bilawal"",IF(REGEXMATCH(AT356,""xoxoxooxoxoo""),""Bhupali"",IF(REGEXMATCH(AT356,""xoxoxxoxxoxo""),""Charukeshi"",IF(REGEXMATCH(AT356,""xoxoooxxoxxo""),""Kameshwari"",IF(REG"&amp;"EXMATCH(AT356,""xoxoxooxoxox""),""Shankara"",IF(REGEXMATCH(AT356,""xxooxoxxxoox""),""Basant"",IF(REGEXMATCH(AT356,""xoxoxxxxoxox""),""Bihag"",IF(REGEXMATCH(AT356,""xoxxxxoxoxxx""),""Pilu"",IF(REGEXMATCH(AT356,""xoxxoxoxxoox""),""Kirwani"",IF(REGEXMATCH(AT"&amp;"356,""xoxxoxoxoxxx""),""Mk.Malhar"",IF(REGEXMATCH(AT356,""xxooxxoxxoox""),""Bhairav"",IF(REGEXMATCH(AT356,""xxoxooxxxoox""),""Todi"",IF(REGEXMATCH(AT356,""xxooxoxooxox""),""Marwa"",IF(REGEXMATCH(AT356,""xxoooxoxxooo""),""Gunkali"",IF(REGEXMATCH(AT356,""xo"&amp;"xoxxoxxoox""),""Nat Bhairav"",IF(REGEXMATCH(AT356,""xoxxoooxoxoo""),""Shivranjani"",IF(REGEXMATCH(AT356,""xooxxxoxooxo""),""Jog"",IF(REGEXMATCH(AT356,""xxooxoxoxoox""),""Hemshri"",IF(REGEXMATCH(AT356,""xoooxooxoxxo""),""Kalavati"",IF(REGEXMATCH(AT356,""xx"&amp;"oxoxxoxoox""),""Kedar"",IF(REGEXMATCH(AT356,""xoxxxxoxooxx""),""Gara"",IF(REGEXMATCH(AT356,""xooxoxooxoox""),""Chandrakauns"",IF(REGEXMATCH(AT356,""xoxxxxoxxxox""),""Mand"",IF(REGEXMATCH(AT356,""xoxxxxoxoxox""),""Hanskinkini"",IF(REGEXMATCH(AT356,""xxooxx"&amp;"oxooxo""),""Lilavati"",IF(REGEXMATCH(AT356,""xooxoxoooxox""),""Rajeshwari"",IF(REGEXMATCH(AT356,""xoooxxoxoxxx""),""Khokar"",IF(REGEXMATCH(AT356,""xxooxoxxxxox""),""Maligoura"",""-""))))))))))))))))))))))))))))))"),"Basant")</f>
        <v>Basant</v>
      </c>
      <c r="BG356" s="239" t="str">
        <f t="shared" si="26"/>
        <v>#REF!</v>
      </c>
      <c r="BH356" s="239">
        <f>IFERROR(__xludf.DUMMYFUNCTION("COUNTUNIQUE(FE356:FO356)-1"),6.0)</f>
        <v>6</v>
      </c>
      <c r="BI356" s="239">
        <f>IFERROR(__xludf.DUMMYFUNCTION("COUNTUNIQUE(FILTER(AT:AT,REGEXMATCH(AT:AT,AS356)))-1"),5.0)</f>
        <v>5</v>
      </c>
      <c r="BJ356" s="239">
        <f>IFERROR(__xludf.DUMMYFUNCTION("COUNTA(FILTER(AT:AT,REGEXMATCH(AT:AT,AS356)))"),12.0)</f>
        <v>12</v>
      </c>
      <c r="BK356" s="341">
        <f>IFERROR(__xludf.DUMMYFUNCTION("COUNTA(FILTER(AT:AT,REGEXMATCH(AT:AT,AS356)))-AR356"),12.0)</f>
        <v>12</v>
      </c>
      <c r="BL356" s="276" t="str">
        <f>IFERROR(__xludf.DUMMYFUNCTION("IF(AS356=""oooooooooooo"",""-"",IF(REGEXMATCH(AT356,""xx""), ""Hemi."", ""Anhemi.""))"),"Hemi.")</f>
        <v>Hemi.</v>
      </c>
      <c r="BM356" s="282" t="str">
        <f>IFERROR(__xludf.DUMMYFUNCTION("IF(AS356=""oooooooooooo"",""-"",IF(REGEXMATCH(AT356,""xxx""), ""Cohem."", ""-""))"),"Cohem.")</f>
        <v>Cohem.</v>
      </c>
      <c r="BN356" s="282" t="str">
        <f>IFERROR(__xludf.DUMMYFUNCTION("IF(AS356=""oooooooooooo"",""-"",IF(REGEXMATCH(AT356,""xxxx""), ""Co-Co."", ""-""))"),"-")</f>
        <v>-</v>
      </c>
      <c r="BO356" s="342" t="str">
        <f>IFERROR(__xludf.DUMMYFUNCTION("IF(AS356=""oooooooooooo"",""-"",IF(REGEXMATCH(AT356,""xxxxx""), ""CCC."", ""-""))"),"-")</f>
        <v>-</v>
      </c>
      <c r="BP356" s="344" t="str">
        <f t="shared" si="27"/>
        <v>-</v>
      </c>
      <c r="BQ356" s="282" t="str">
        <f>IFERROR(__xludf.DUMMYFUNCTION("IF(REGEXMATCH(JOIN(""-"",EU356:FD356),""TRUE""),""✔"",""-"")"),"-")</f>
        <v>-</v>
      </c>
      <c r="BR356" s="225">
        <f t="shared" si="28"/>
        <v>0</v>
      </c>
      <c r="BS356" s="345" t="str">
        <f>IFERROR(__xludf.DUMMYFUNCTION("SUBSTITUTE(SUBSTITUTE(SUBSTITUTE(SUBSTITUTE(CONCATENATE(JOIN(""-"",GC356:GO356)),""--"",""-""),""--"",""-""),""--"",""-""),""--"",""-"")"),"1-2-b3-3-5-b6-6-8")</f>
        <v>1-2-b3-3-5-b6-6-8</v>
      </c>
      <c r="BT356" s="299" t="str">
        <f>IFERROR(__xludf.DUMMYFUNCTION("SUBSTITUTE(SUBSTITUTE(SUBSTITUTE(SUBSTITUTE(CONCATENATE(JOIN(""-"",GP356:HB356)),""--"",""-""),""--"",""-""),""--"",""-""),""--"",""-"")"),"S-R2-G2-G3-P-D1-D2-S")</f>
        <v>S-R2-G2-G3-P-D1-D2-S</v>
      </c>
      <c r="BU356" s="348" t="str">
        <f t="shared" si="29"/>
        <v>C-D-Eb-E-G-Ab-A-C</v>
      </c>
      <c r="BV356" s="349" t="str">
        <f t="shared" si="30"/>
        <v>SrmMnNS</v>
      </c>
      <c r="BW356" s="350">
        <f t="shared" si="31"/>
        <v>0</v>
      </c>
      <c r="BX356" s="351">
        <f t="shared" si="32"/>
        <v>1</v>
      </c>
      <c r="BY356" s="392"/>
      <c r="BZ356" s="309" t="str">
        <f>IFERROR(__xludf.DUMMYFUNCTION("IF(REGEXMATCH(C356, ""S""), ""x"",""x"")"),"x")</f>
        <v>x</v>
      </c>
      <c r="CA356" s="245" t="str">
        <f>IFERROR(__xludf.DUMMYFUNCTION("IF(REGEXMATCH(C356, ""r""), ""o"",""x"")"),"x")</f>
        <v>x</v>
      </c>
      <c r="CB356" s="246" t="str">
        <f>IFERROR(__xludf.DUMMYFUNCTION("IF(REGEXMATCH(C356, ""R""), ""o"",""x"")"),"o")</f>
        <v>o</v>
      </c>
      <c r="CC356" s="246" t="str">
        <f>IFERROR(__xludf.DUMMYFUNCTION("IF(REGEXMATCH(C356, ""g""), ""o"",""x"")"),"o")</f>
        <v>o</v>
      </c>
      <c r="CD356" s="245" t="str">
        <f>IFERROR(__xludf.DUMMYFUNCTION("IF(REGEXMATCH(C356, ""G""), ""o"",""x"")"),"o")</f>
        <v>o</v>
      </c>
      <c r="CE356" s="245" t="str">
        <f>IFERROR(__xludf.DUMMYFUNCTION("IF(REGEXMATCH(C356, ""m""), ""o"",""x"")"),"x")</f>
        <v>x</v>
      </c>
      <c r="CF356" s="246" t="str">
        <f>IFERROR(__xludf.DUMMYFUNCTION("IF(REGEXMATCH(C356, ""M""), ""o"",""x"")"),"x")</f>
        <v>x</v>
      </c>
      <c r="CG356" s="245" t="str">
        <f>IFERROR(__xludf.DUMMYFUNCTION("IF(REGEXMATCH(C356, ""P""), ""o"",""x"")"),"o")</f>
        <v>o</v>
      </c>
      <c r="CH356" s="246" t="str">
        <f>IFERROR(__xludf.DUMMYFUNCTION("IF(REGEXMATCH(C356, ""d""), ""o"",""x"")"),"o")</f>
        <v>o</v>
      </c>
      <c r="CI356" s="245" t="str">
        <f>IFERROR(__xludf.DUMMYFUNCTION("IF(REGEXMATCH(C356, ""D""), ""o"",""x"")"),"o")</f>
        <v>o</v>
      </c>
      <c r="CJ356" s="245" t="str">
        <f>IFERROR(__xludf.DUMMYFUNCTION("IF(REGEXMATCH(C356, ""n""), ""o"",""x"")"),"x")</f>
        <v>x</v>
      </c>
      <c r="CK356" s="245" t="str">
        <f>IFERROR(__xludf.DUMMYFUNCTION("IF(REGEXMATCH(C356, ""N""), ""o"",""x"")"),"x")</f>
        <v>x</v>
      </c>
      <c r="CL356" s="356" t="str">
        <f>IFERROR(__xludf.DUMMYFUNCTION("IF(REGEXMATCH(C356, ""S""), ""x"",""x"")"),"x")</f>
        <v>x</v>
      </c>
      <c r="CM356" s="357" t="str">
        <f t="shared" si="33"/>
        <v>xxoooxxoooxx</v>
      </c>
      <c r="CN356" s="358">
        <f t="shared" si="34"/>
        <v>0</v>
      </c>
      <c r="CO356" s="246" t="str">
        <f>IFERROR(__xludf.DUMMYFUNCTION("IF(REGEXMATCH($C356, ""S""), ""S"",""S"")"),"S")</f>
        <v>S</v>
      </c>
      <c r="CP356" s="246" t="str">
        <f>IFERROR(__xludf.DUMMYFUNCTION("IF(REGEXMATCH($C356, ""r""), """",""r"")"),"r")</f>
        <v>r</v>
      </c>
      <c r="CQ356" s="246" t="str">
        <f>IFERROR(__xludf.DUMMYFUNCTION("IF(REGEXMATCH($C356, ""R""), """",""R"")"),"")</f>
        <v/>
      </c>
      <c r="CR356" s="246" t="str">
        <f>IFERROR(__xludf.DUMMYFUNCTION("IF(REGEXMATCH($C356, ""g""), """",""g"")"),"")</f>
        <v/>
      </c>
      <c r="CS356" s="246" t="str">
        <f>IFERROR(__xludf.DUMMYFUNCTION("IF(REGEXMATCH($C356, ""G""), """",""G"")"),"")</f>
        <v/>
      </c>
      <c r="CT356" s="246" t="str">
        <f>IFERROR(__xludf.DUMMYFUNCTION("IF(REGEXMATCH($C356, ""m""), """",""m"")"),"m")</f>
        <v>m</v>
      </c>
      <c r="CU356" s="246" t="str">
        <f>IFERROR(__xludf.DUMMYFUNCTION("IF(REGEXMATCH($C356, ""M""), """",""M"")"),"M")</f>
        <v>M</v>
      </c>
      <c r="CV356" s="246" t="str">
        <f>IFERROR(__xludf.DUMMYFUNCTION("IF(REGEXMATCH($C356, ""P""), """",""P"")"),"")</f>
        <v/>
      </c>
      <c r="CW356" s="246" t="str">
        <f>IFERROR(__xludf.DUMMYFUNCTION("IF(REGEXMATCH($C356, ""d""), """",""d"")"),"")</f>
        <v/>
      </c>
      <c r="CX356" s="246" t="str">
        <f>IFERROR(__xludf.DUMMYFUNCTION("IF(REGEXMATCH($C356, ""D""), """",""D"")"),"")</f>
        <v/>
      </c>
      <c r="CY356" s="246" t="str">
        <f>IFERROR(__xludf.DUMMYFUNCTION("IF(REGEXMATCH($C356, ""n""), """",""n"")"),"n")</f>
        <v>n</v>
      </c>
      <c r="CZ356" s="246" t="str">
        <f>IFERROR(__xludf.DUMMYFUNCTION("IF(REGEXMATCH($C356, ""N""), """",""N"")"),"N")</f>
        <v>N</v>
      </c>
      <c r="DA356" s="246" t="str">
        <f>IFERROR(__xludf.DUMMYFUNCTION("IF(REGEXMATCH($C356, ""S""), ""S"",""S"")"),"S")</f>
        <v>S</v>
      </c>
      <c r="DB356" s="362" t="str">
        <f>IFERROR(__xludf.DUMMYFUNCTION("JOIN("""",CO356:DA356,"""","""")"),"SrmMnNS")</f>
        <v>SrmMnNS</v>
      </c>
      <c r="DC356" s="363"/>
      <c r="DD356" s="301" t="str">
        <f t="shared" si="35"/>
        <v>#REF!</v>
      </c>
      <c r="DE356" s="302" t="str">
        <f t="shared" si="36"/>
        <v>#REF!</v>
      </c>
      <c r="DF356" s="301" t="str">
        <f t="shared" ref="DF356:DG356" si="946">SUBSTITUTE(S356,"-","")</f>
        <v>SRG</v>
      </c>
      <c r="DG356" s="301" t="str">
        <f t="shared" si="946"/>
        <v>PDS</v>
      </c>
      <c r="DH356" s="302" t="str">
        <f t="shared" si="38"/>
        <v>Basant</v>
      </c>
      <c r="DI356" s="301" t="str">
        <f t="shared" si="39"/>
        <v>Hemi.</v>
      </c>
      <c r="DJ356" s="364" t="str">
        <f t="shared" si="40"/>
        <v>Cohem.</v>
      </c>
      <c r="DK356" s="306" t="str">
        <f t="shared" si="41"/>
        <v>-</v>
      </c>
      <c r="DL356" s="366" t="str">
        <f t="shared" si="42"/>
        <v>-</v>
      </c>
      <c r="DM356" s="308" t="str">
        <f t="shared" si="43"/>
        <v>✔</v>
      </c>
      <c r="DN356" s="306" t="str">
        <f t="shared" si="44"/>
        <v>-</v>
      </c>
      <c r="DO356" s="306" t="str">
        <f t="shared" si="45"/>
        <v>-</v>
      </c>
      <c r="DP356" s="367" t="str">
        <f t="shared" si="46"/>
        <v>-</v>
      </c>
      <c r="DQ356" s="310" t="str">
        <f t="shared" si="47"/>
        <v>-</v>
      </c>
      <c r="DR356" s="310" t="str">
        <f t="shared" si="48"/>
        <v>✔</v>
      </c>
      <c r="DS356" s="310" t="str">
        <f t="shared" si="49"/>
        <v>-</v>
      </c>
      <c r="DT356" s="310" t="str">
        <f t="shared" si="50"/>
        <v>✔</v>
      </c>
      <c r="DU356" s="370" t="str">
        <f t="shared" si="51"/>
        <v>-</v>
      </c>
      <c r="DV356" s="306" t="str">
        <f t="shared" si="52"/>
        <v>-</v>
      </c>
      <c r="DW356" s="306" t="str">
        <f t="shared" si="53"/>
        <v>-</v>
      </c>
      <c r="DX356" s="306" t="str">
        <f t="shared" si="54"/>
        <v>✔</v>
      </c>
      <c r="DY356" s="306" t="str">
        <f t="shared" si="55"/>
        <v>-</v>
      </c>
      <c r="DZ356" s="306" t="str">
        <f t="shared" si="56"/>
        <v>-</v>
      </c>
      <c r="EA356" s="367" t="str">
        <f t="shared" si="57"/>
        <v>✔</v>
      </c>
      <c r="EB356" s="310" t="str">
        <f>IFERROR(__xludf.DUMMYFUNCTION("IF(REGEXMATCH(AW356,AS356),""✔"",""-"")"),"-")</f>
        <v>-</v>
      </c>
      <c r="EC356" s="310" t="str">
        <f t="shared" si="58"/>
        <v>#REF!</v>
      </c>
      <c r="ED356" s="370" t="str">
        <f t="shared" si="59"/>
        <v>-</v>
      </c>
      <c r="EE356" s="340" t="str">
        <f t="shared" si="60"/>
        <v>S-R-gG-P-dD-S</v>
      </c>
      <c r="EF356" s="371" t="str">
        <f>IFERROR(__xludf.DUMMYFUNCTION("CONCATENATE(JOIN("""",HC356:HO356))"),"SgGmdDnS")</f>
        <v>SgGmdDnS</v>
      </c>
      <c r="EG356" s="372">
        <f t="shared" si="61"/>
        <v>2</v>
      </c>
      <c r="EH356" s="373" t="str">
        <f>IFERROR(__xludf.DUMMYFUNCTION("CONCATENATE(JOIN("""",JC356:JO356))"),"ga, Ga, ")</f>
        <v>ga, Ga, </v>
      </c>
      <c r="EI356" s="322">
        <f t="shared" si="62"/>
        <v>0</v>
      </c>
      <c r="EJ356" s="374" t="str">
        <f>IFERROR(__xludf.DUMMYFUNCTION("CONCATENATE(JOIN("""",KC356:KO356))"),"")</f>
        <v/>
      </c>
      <c r="EK356" s="325" t="str">
        <f t="shared" si="63"/>
        <v>S-R2-G2-G3-P-D1-D2-S</v>
      </c>
      <c r="EL356" s="326" t="str">
        <f t="shared" si="64"/>
        <v>1-2-b3-3-5-b6-6-8</v>
      </c>
      <c r="EM356" s="318" t="str">
        <f t="shared" si="65"/>
        <v>#REF!</v>
      </c>
      <c r="EN356" s="328" t="str">
        <f>IFERROR(__xludf.DUMMYFUNCTION("SUBSTITUTE(SUBSTITUTE(SUBSTITUTE(SUBSTITUTE(CONCATENATE(JOIN("" "",HP356:IB356)),""  "","" ""),""  "","" ""),""  "","" ""),""  "","" "")"),"o • o o o • • o o o • • o")</f>
        <v>o • o o o • • o o o • • o</v>
      </c>
      <c r="EO356" s="368" t="str">
        <f t="shared" si="66"/>
        <v>Sa-Pa</v>
      </c>
      <c r="EP356" s="339" t="str">
        <f t="shared" si="67"/>
        <v>-</v>
      </c>
      <c r="EQ356" s="339" t="str">
        <f t="shared" si="68"/>
        <v>Sa-Pa</v>
      </c>
      <c r="ER356" s="339" t="str">
        <f t="shared" si="69"/>
        <v>Sa-Pa</v>
      </c>
      <c r="ES356" s="340" t="str">
        <f t="shared" si="70"/>
        <v>-</v>
      </c>
      <c r="ET356" s="363"/>
      <c r="EU356" s="376" t="b">
        <f>IFERROR(__xludf.DUMMYFUNCTION("arrayformula(sum(--REGEXMATCH(""SRGMPDNS"",split(REGEXREPLACE(C356,""(.)"",""$1~""),""~""))))=len(C356)
"),FALSE)</f>
        <v>0</v>
      </c>
      <c r="EV356" s="290" t="b">
        <f>IFERROR(__xludf.DUMMYFUNCTION("arrayformula(sum(--REGEXMATCH(""SRGmPDNS"",split(REGEXREPLACE(C356,""(.)"",""$1~""),""~""))))=len(C356)"),FALSE)</f>
        <v>0</v>
      </c>
      <c r="EW356" s="290" t="b">
        <f>IFERROR(__xludf.DUMMYFUNCTION("arrayformula(sum(--REGEXMATCH(""SRGmPDnS"",split(REGEXREPLACE(C356,""(.)"",""$1~""),""~""))))=len(C356)"),FALSE)</f>
        <v>0</v>
      </c>
      <c r="EX356" s="290" t="b">
        <f>IFERROR(__xludf.DUMMYFUNCTION("arrayformula(sum(--REGEXMATCH(""SRgmPDnS"",split(REGEXREPLACE(C356,""(.)"",""$1~""),""~""))))=len(C356)"),FALSE)</f>
        <v>0</v>
      </c>
      <c r="EY356" s="290" t="b">
        <f>IFERROR(__xludf.DUMMYFUNCTION("arrayformula(sum(--REGEXMATCH(""SRgmPdnS"",split(REGEXREPLACE(C356,""(.)"",""$1~""),""~""))))=len(C356)"),FALSE)</f>
        <v>0</v>
      </c>
      <c r="EZ356" s="290" t="b">
        <f>IFERROR(__xludf.DUMMYFUNCTION("arrayformula(sum(--REGEXMATCH(""SrgmPdnS"",split(REGEXREPLACE(C356,""(.)"",""$1~""),""~""))))=len(C356)"),FALSE)</f>
        <v>0</v>
      </c>
      <c r="FA356" s="290" t="b">
        <f>IFERROR(__xludf.DUMMYFUNCTION("arrayformula(sum(--REGEXMATCH(""SrGmPdNS"",split(REGEXREPLACE(C356,""(.)"",""$1~""),""~""))))=len(C356)"),FALSE)</f>
        <v>0</v>
      </c>
      <c r="FB356" s="290" t="b">
        <f>IFERROR(__xludf.DUMMYFUNCTION("arrayformula(sum(--REGEXMATCH(""SrGMPDNS"",split(REGEXREPLACE(C356,""(.)"",""$1~""),""~""))))=len(C356)"),FALSE)</f>
        <v>0</v>
      </c>
      <c r="FC356" s="290" t="b">
        <f>IFERROR(__xludf.DUMMYFUNCTION("arrayformula(sum(--REGEXMATCH(""SrGMPdNS"",split(REGEXREPLACE(C356,""(.)"",""$1~""),""~""))))=len(C356)"),FALSE)</f>
        <v>0</v>
      </c>
      <c r="FD356" s="377" t="b">
        <f>IFERROR(__xludf.DUMMYFUNCTION("arrayformula(sum(--REGEXMATCH(""SrgMPdNS"",split(REGEXREPLACE(C356,""(.)"",""$1~""),""~""))))=len(C356)"),FALSE)</f>
        <v>0</v>
      </c>
      <c r="FE356" s="269" t="str">
        <f t="shared" si="71"/>
        <v>-</v>
      </c>
      <c r="FF356" s="269" t="str">
        <f t="shared" si="72"/>
        <v>xxxooxxxoox</v>
      </c>
      <c r="FG356" s="271" t="str">
        <f t="shared" si="73"/>
        <v>xxooxxxooxo</v>
      </c>
      <c r="FH356" s="269" t="str">
        <f t="shared" si="74"/>
        <v>xooxxxooxox</v>
      </c>
      <c r="FI356" s="271" t="str">
        <f t="shared" si="75"/>
        <v>-</v>
      </c>
      <c r="FJ356" s="271" t="str">
        <f t="shared" si="76"/>
        <v>-</v>
      </c>
      <c r="FK356" s="271" t="str">
        <f t="shared" si="77"/>
        <v>xxxooxoxxxo</v>
      </c>
      <c r="FL356" s="271" t="str">
        <f t="shared" si="78"/>
        <v>xxooxoxxxoo</v>
      </c>
      <c r="FM356" s="271" t="str">
        <f t="shared" si="79"/>
        <v>xooxoxxxoox</v>
      </c>
      <c r="FN356" s="271" t="str">
        <f t="shared" si="80"/>
        <v>-</v>
      </c>
      <c r="FO356" s="274" t="str">
        <f t="shared" si="81"/>
        <v>-</v>
      </c>
      <c r="FP356" s="234" t="str">
        <f t="shared" si="82"/>
        <v>|</v>
      </c>
      <c r="FQ356" s="236" t="str">
        <f t="shared" si="83"/>
        <v>-</v>
      </c>
      <c r="FR356" s="237" t="str">
        <f t="shared" si="84"/>
        <v>|</v>
      </c>
      <c r="FS356" s="236" t="str">
        <f t="shared" si="85"/>
        <v>|</v>
      </c>
      <c r="FT356" s="237" t="str">
        <f t="shared" si="86"/>
        <v>|</v>
      </c>
      <c r="FU356" s="236" t="str">
        <f t="shared" si="87"/>
        <v>-</v>
      </c>
      <c r="FV356" s="237" t="str">
        <f t="shared" si="88"/>
        <v>-</v>
      </c>
      <c r="FW356" s="236" t="str">
        <f t="shared" si="89"/>
        <v>|</v>
      </c>
      <c r="FX356" s="237" t="str">
        <f t="shared" si="90"/>
        <v>|</v>
      </c>
      <c r="FY356" s="236" t="str">
        <f t="shared" si="91"/>
        <v>|</v>
      </c>
      <c r="FZ356" s="237" t="str">
        <f t="shared" si="92"/>
        <v>-</v>
      </c>
      <c r="GA356" s="236" t="str">
        <f t="shared" si="93"/>
        <v>-</v>
      </c>
      <c r="GB356" s="238" t="str">
        <f t="shared" si="94"/>
        <v>|</v>
      </c>
      <c r="GC356" s="244" t="str">
        <f>IFERROR(__xludf.DUMMYFUNCTION("IF(REGEXMATCH(C356, ""S""), ""1"","""")"),"1")</f>
        <v>1</v>
      </c>
      <c r="GD356" s="245" t="str">
        <f>IFERROR(__xludf.DUMMYFUNCTION("IF(REGEXMATCH(C356, ""r""), ""b2"","""")"),"")</f>
        <v/>
      </c>
      <c r="GE356" s="246" t="str">
        <f>IFERROR(__xludf.DUMMYFUNCTION("IF(REGEXMATCH(C356, ""R""), ""2"","""")"),"2")</f>
        <v>2</v>
      </c>
      <c r="GF356" s="246" t="str">
        <f>IFERROR(__xludf.DUMMYFUNCTION("IF(REGEXMATCH(C356, ""g""), ""b3"","""")"),"b3")</f>
        <v>b3</v>
      </c>
      <c r="GG356" s="245" t="str">
        <f>IFERROR(__xludf.DUMMYFUNCTION("IF(REGEXMATCH(C356, ""G""), ""3"","""")"),"3")</f>
        <v>3</v>
      </c>
      <c r="GH356" s="245" t="str">
        <f>IFERROR(__xludf.DUMMYFUNCTION("IF(REGEXMATCH(C356, ""m""), ""4"","""")"),"")</f>
        <v/>
      </c>
      <c r="GI356" s="246" t="str">
        <f>IFERROR(__xludf.DUMMYFUNCTION("IF(REGEXMATCH(C356, ""M""), ""#4"","""")"),"")</f>
        <v/>
      </c>
      <c r="GJ356" s="245" t="str">
        <f>IFERROR(__xludf.DUMMYFUNCTION("IF(REGEXMATCH(C356, ""P""), ""5"","""")"),"5")</f>
        <v>5</v>
      </c>
      <c r="GK356" s="246" t="str">
        <f>IFERROR(__xludf.DUMMYFUNCTION("IF(REGEXMATCH(C356, ""d""), ""b6"","""")"),"b6")</f>
        <v>b6</v>
      </c>
      <c r="GL356" s="245" t="str">
        <f>IFERROR(__xludf.DUMMYFUNCTION("IF(REGEXMATCH(C356, ""D""), ""6"","""")"),"6")</f>
        <v>6</v>
      </c>
      <c r="GM356" s="245" t="str">
        <f>IFERROR(__xludf.DUMMYFUNCTION("IF(REGEXMATCH(C356, ""n""), ""b7"","""")"),"")</f>
        <v/>
      </c>
      <c r="GN356" s="246" t="str">
        <f>IFERROR(__xludf.DUMMYFUNCTION("IF(REGEXMATCH(C356, ""N""), ""7"","""")"),"")</f>
        <v/>
      </c>
      <c r="GO356" s="249" t="str">
        <f>IFERROR(__xludf.DUMMYFUNCTION("IF(REGEXMATCH(C356, ""S""), ""8"","""")"),"8")</f>
        <v>8</v>
      </c>
      <c r="GP356" s="244" t="str">
        <f>IFERROR(__xludf.DUMMYFUNCTION("IF(REGEXMATCH(C356, ""S""), ""S"","""")"),"S")</f>
        <v>S</v>
      </c>
      <c r="GQ356" s="294" t="str">
        <f>IFERROR(__xludf.DUMMYFUNCTION("IF(REGEXMATCH(C356, ""r""), ""R1"","""")"),"")</f>
        <v/>
      </c>
      <c r="GR356" s="295" t="str">
        <f>IFERROR(__xludf.DUMMYFUNCTION("IF(REGEXMATCH(C356, ""R""), ""R2"","""")"),"R2")</f>
        <v>R2</v>
      </c>
      <c r="GS356" s="295" t="str">
        <f>IFERROR(__xludf.DUMMYFUNCTION("IF(REGEXMATCH(C356, ""g""), ""G2"","""")"),"G2")</f>
        <v>G2</v>
      </c>
      <c r="GT356" s="294" t="str">
        <f>IFERROR(__xludf.DUMMYFUNCTION("IF(REGEXMATCH(C356, ""G""), ""G3"","""")"),"G3")</f>
        <v>G3</v>
      </c>
      <c r="GU356" s="294" t="str">
        <f>IFERROR(__xludf.DUMMYFUNCTION("IF(REGEXMATCH(C356, ""m""), ""M1"","""")"),"")</f>
        <v/>
      </c>
      <c r="GV356" s="295" t="str">
        <f>IFERROR(__xludf.DUMMYFUNCTION("IF(REGEXMATCH(C356, ""M""), ""M2"","""")"),"")</f>
        <v/>
      </c>
      <c r="GW356" s="294" t="str">
        <f>IFERROR(__xludf.DUMMYFUNCTION("IF(REGEXMATCH(C356, ""P""), ""P"","""")"),"P")</f>
        <v>P</v>
      </c>
      <c r="GX356" s="295" t="str">
        <f>IFERROR(__xludf.DUMMYFUNCTION("IF(REGEXMATCH(C356, ""d""), ""D1"","""")"),"D1")</f>
        <v>D1</v>
      </c>
      <c r="GY356" s="294" t="str">
        <f>IFERROR(__xludf.DUMMYFUNCTION("IF(REGEXMATCH(C356, ""D""), ""D2"","""")"),"D2")</f>
        <v>D2</v>
      </c>
      <c r="GZ356" s="294" t="str">
        <f>IFERROR(__xludf.DUMMYFUNCTION("IF(REGEXMATCH(C356, ""n""), ""N2"","""")"),"")</f>
        <v/>
      </c>
      <c r="HA356" s="295" t="str">
        <f>IFERROR(__xludf.DUMMYFUNCTION("IF(REGEXMATCH(C356, ""N""), ""N3"","""")"),"")</f>
        <v/>
      </c>
      <c r="HB356" s="249" t="str">
        <f>IFERROR(__xludf.DUMMYFUNCTION("IF(REGEXMATCH(C356, ""S""), ""S"","""")"),"S")</f>
        <v>S</v>
      </c>
      <c r="HC356" s="331" t="str">
        <f t="shared" si="95"/>
        <v>S</v>
      </c>
      <c r="HD356" s="332" t="str">
        <f t="shared" si="96"/>
        <v/>
      </c>
      <c r="HE356" s="332" t="str">
        <f t="shared" si="97"/>
        <v/>
      </c>
      <c r="HF356" s="332" t="str">
        <f t="shared" si="98"/>
        <v>g</v>
      </c>
      <c r="HG356" s="332" t="str">
        <f t="shared" si="99"/>
        <v>G</v>
      </c>
      <c r="HH356" s="332" t="str">
        <f t="shared" si="100"/>
        <v>m</v>
      </c>
      <c r="HI356" s="332" t="str">
        <f t="shared" si="101"/>
        <v/>
      </c>
      <c r="HJ356" s="332" t="str">
        <f t="shared" si="102"/>
        <v/>
      </c>
      <c r="HK356" s="332" t="str">
        <f t="shared" si="103"/>
        <v>d</v>
      </c>
      <c r="HL356" s="332" t="str">
        <f t="shared" si="104"/>
        <v>D</v>
      </c>
      <c r="HM356" s="332" t="str">
        <f t="shared" si="105"/>
        <v>n</v>
      </c>
      <c r="HN356" s="332" t="str">
        <f t="shared" si="106"/>
        <v/>
      </c>
      <c r="HO356" s="343" t="str">
        <f t="shared" si="107"/>
        <v>S</v>
      </c>
      <c r="HP356" s="331" t="str">
        <f t="shared" si="108"/>
        <v>o</v>
      </c>
      <c r="HQ356" s="332" t="str">
        <f t="shared" si="109"/>
        <v>•</v>
      </c>
      <c r="HR356" s="332" t="str">
        <f t="shared" si="110"/>
        <v>o</v>
      </c>
      <c r="HS356" s="332" t="str">
        <f t="shared" si="111"/>
        <v>o</v>
      </c>
      <c r="HT356" s="332" t="str">
        <f t="shared" si="112"/>
        <v>o</v>
      </c>
      <c r="HU356" s="332" t="str">
        <f t="shared" si="113"/>
        <v>•</v>
      </c>
      <c r="HV356" s="332" t="str">
        <f t="shared" si="114"/>
        <v>•</v>
      </c>
      <c r="HW356" s="332" t="str">
        <f t="shared" si="115"/>
        <v>o</v>
      </c>
      <c r="HX356" s="332" t="str">
        <f t="shared" si="116"/>
        <v>o</v>
      </c>
      <c r="HY356" s="332" t="str">
        <f t="shared" si="117"/>
        <v>o</v>
      </c>
      <c r="HZ356" s="332" t="str">
        <f t="shared" si="118"/>
        <v>•</v>
      </c>
      <c r="IA356" s="332" t="str">
        <f t="shared" si="119"/>
        <v>•</v>
      </c>
      <c r="IB356" s="338" t="str">
        <f t="shared" si="120"/>
        <v>o</v>
      </c>
      <c r="IC356" s="331" t="str">
        <f t="shared" si="121"/>
        <v>•</v>
      </c>
      <c r="ID356" s="332" t="str">
        <f t="shared" si="122"/>
        <v>o</v>
      </c>
      <c r="IE356" s="332" t="str">
        <f t="shared" si="123"/>
        <v>•</v>
      </c>
      <c r="IF356" s="332" t="str">
        <f t="shared" si="124"/>
        <v>•</v>
      </c>
      <c r="IG356" s="332" t="str">
        <f t="shared" si="125"/>
        <v>•</v>
      </c>
      <c r="IH356" s="332" t="str">
        <f t="shared" si="126"/>
        <v>o</v>
      </c>
      <c r="II356" s="332" t="str">
        <f t="shared" si="127"/>
        <v>o</v>
      </c>
      <c r="IJ356" s="332" t="str">
        <f t="shared" si="128"/>
        <v>•</v>
      </c>
      <c r="IK356" s="332" t="str">
        <f t="shared" si="129"/>
        <v>•</v>
      </c>
      <c r="IL356" s="332" t="str">
        <f t="shared" si="130"/>
        <v>•</v>
      </c>
      <c r="IM356" s="332" t="str">
        <f t="shared" si="131"/>
        <v>o</v>
      </c>
      <c r="IN356" s="332" t="str">
        <f t="shared" si="132"/>
        <v>o</v>
      </c>
      <c r="IO356" s="338" t="str">
        <f t="shared" si="133"/>
        <v>•</v>
      </c>
      <c r="IP356" s="346" t="b">
        <f t="shared" si="134"/>
        <v>0</v>
      </c>
      <c r="IQ356" s="347" t="b">
        <f t="shared" si="135"/>
        <v>0</v>
      </c>
      <c r="IR356" s="347" t="b">
        <f t="shared" si="136"/>
        <v>0</v>
      </c>
      <c r="IS356" s="347" t="b">
        <f t="shared" si="137"/>
        <v>1</v>
      </c>
      <c r="IT356" s="347" t="b">
        <f t="shared" si="138"/>
        <v>1</v>
      </c>
      <c r="IU356" s="347" t="b">
        <f t="shared" si="139"/>
        <v>0</v>
      </c>
      <c r="IV356" s="347" t="b">
        <f t="shared" si="140"/>
        <v>0</v>
      </c>
      <c r="IW356" s="347" t="b">
        <f t="shared" si="141"/>
        <v>0</v>
      </c>
      <c r="IX356" s="347" t="b">
        <f t="shared" si="142"/>
        <v>0</v>
      </c>
      <c r="IY356" s="347" t="b">
        <f t="shared" si="143"/>
        <v>0</v>
      </c>
      <c r="IZ356" s="347" t="b">
        <f t="shared" si="144"/>
        <v>0</v>
      </c>
      <c r="JA356" s="347" t="b">
        <f t="shared" si="145"/>
        <v>0</v>
      </c>
      <c r="JB356" s="353" t="b">
        <f t="shared" si="146"/>
        <v>0</v>
      </c>
      <c r="JC356" s="354" t="str">
        <f t="shared" si="147"/>
        <v/>
      </c>
      <c r="JD356" s="355" t="str">
        <f t="shared" si="148"/>
        <v/>
      </c>
      <c r="JE356" s="355" t="str">
        <f t="shared" si="149"/>
        <v/>
      </c>
      <c r="JF356" s="355" t="str">
        <f t="shared" si="150"/>
        <v>ga, </v>
      </c>
      <c r="JG356" s="355" t="str">
        <f t="shared" si="151"/>
        <v>Ga, </v>
      </c>
      <c r="JH356" s="355" t="str">
        <f t="shared" si="152"/>
        <v/>
      </c>
      <c r="JI356" s="355" t="str">
        <f t="shared" si="153"/>
        <v/>
      </c>
      <c r="JJ356" s="355" t="str">
        <f t="shared" si="154"/>
        <v/>
      </c>
      <c r="JK356" s="355" t="str">
        <f t="shared" si="155"/>
        <v/>
      </c>
      <c r="JL356" s="355" t="str">
        <f t="shared" si="156"/>
        <v/>
      </c>
      <c r="JM356" s="355" t="str">
        <f t="shared" si="157"/>
        <v/>
      </c>
      <c r="JN356" s="355" t="str">
        <f t="shared" si="158"/>
        <v/>
      </c>
      <c r="JO356" s="359" t="str">
        <f t="shared" si="159"/>
        <v/>
      </c>
      <c r="JP356" s="346" t="b">
        <f t="shared" si="160"/>
        <v>0</v>
      </c>
      <c r="JQ356" s="347" t="b">
        <f t="shared" si="161"/>
        <v>0</v>
      </c>
      <c r="JR356" s="347" t="b">
        <f t="shared" si="162"/>
        <v>0</v>
      </c>
      <c r="JS356" s="347" t="b">
        <f t="shared" si="163"/>
        <v>0</v>
      </c>
      <c r="JT356" s="347" t="b">
        <f t="shared" si="164"/>
        <v>0</v>
      </c>
      <c r="JU356" s="347" t="b">
        <f t="shared" si="165"/>
        <v>0</v>
      </c>
      <c r="JV356" s="347" t="b">
        <f t="shared" si="166"/>
        <v>0</v>
      </c>
      <c r="JW356" s="347" t="b">
        <f t="shared" si="167"/>
        <v>0</v>
      </c>
      <c r="JX356" s="347" t="b">
        <f t="shared" si="168"/>
        <v>0</v>
      </c>
      <c r="JY356" s="347" t="b">
        <f t="shared" si="169"/>
        <v>0</v>
      </c>
      <c r="JZ356" s="347" t="b">
        <f t="shared" si="170"/>
        <v>0</v>
      </c>
      <c r="KA356" s="347" t="b">
        <f t="shared" si="171"/>
        <v>0</v>
      </c>
      <c r="KB356" s="365" t="b">
        <f t="shared" si="172"/>
        <v>0</v>
      </c>
      <c r="KC356" s="354" t="str">
        <f t="shared" si="173"/>
        <v/>
      </c>
      <c r="KD356" s="355" t="str">
        <f t="shared" si="174"/>
        <v/>
      </c>
      <c r="KE356" s="355" t="str">
        <f t="shared" si="175"/>
        <v/>
      </c>
      <c r="KF356" s="355" t="str">
        <f t="shared" si="176"/>
        <v/>
      </c>
      <c r="KG356" s="355" t="str">
        <f t="shared" si="177"/>
        <v/>
      </c>
      <c r="KH356" s="355" t="str">
        <f t="shared" si="178"/>
        <v/>
      </c>
      <c r="KI356" s="355" t="str">
        <f t="shared" si="179"/>
        <v/>
      </c>
      <c r="KJ356" s="355" t="str">
        <f t="shared" si="180"/>
        <v/>
      </c>
      <c r="KK356" s="355" t="str">
        <f t="shared" si="181"/>
        <v/>
      </c>
      <c r="KL356" s="355" t="str">
        <f t="shared" si="182"/>
        <v/>
      </c>
      <c r="KM356" s="355" t="str">
        <f t="shared" si="183"/>
        <v/>
      </c>
      <c r="KN356" s="355" t="str">
        <f t="shared" si="184"/>
        <v/>
      </c>
      <c r="KO356" s="359"/>
      <c r="KP356" s="378"/>
      <c r="KQ356" s="379" t="s">
        <v>9</v>
      </c>
      <c r="KR356" s="380" t="s">
        <v>9</v>
      </c>
      <c r="KS356" s="381" t="s">
        <v>9</v>
      </c>
      <c r="KT356" s="382">
        <f t="shared" si="186"/>
        <v>0</v>
      </c>
      <c r="KU356" s="383">
        <f t="shared" si="187"/>
        <v>0</v>
      </c>
      <c r="KV356" s="381" t="str">
        <f t="shared" si="205"/>
        <v>S</v>
      </c>
      <c r="KW356" s="382">
        <f t="shared" si="189"/>
        <v>0</v>
      </c>
      <c r="KX356" s="384">
        <f t="shared" si="190"/>
        <v>0</v>
      </c>
      <c r="KY356" s="382">
        <f t="shared" ref="KY356:KZ356" si="947">KW356-KT356</f>
        <v>0</v>
      </c>
      <c r="KZ356" s="369">
        <f t="shared" si="947"/>
        <v>0</v>
      </c>
      <c r="LA356" s="385" t="str">
        <f t="shared" si="192"/>
        <v>✔</v>
      </c>
      <c r="LB356" s="340" t="str">
        <f>IFERROR(__xludf.DUMMYFUNCTION("JOIN("""",ArrayFormula(MID(KS356,LEN(KS356)-SEQUENCE(1,LEN(KS356))+1,1)))"),"S")</f>
        <v>S</v>
      </c>
      <c r="LC356" s="373" t="str">
        <f>IFERROR(__xludf.DUMMYFUNCTION("JOIN("""",ArrayFormula(MID(KV356,LEN(KV356)-SEQUENCE(1,LEN(KV356))+1,1)))"),"S")</f>
        <v>S</v>
      </c>
      <c r="LD356" s="373" t="str">
        <f t="shared" si="193"/>
        <v>S</v>
      </c>
      <c r="LE356" s="339" t="str">
        <f t="shared" si="194"/>
        <v>S</v>
      </c>
      <c r="LF356" s="386" t="str">
        <f>IFERROR(__xludf.DUMMYFUNCTION("SUBSTITUTE(SUBSTITUTE(CONCATENATE(JOIN("""",LH356:LT356)),""1"",""""),""2"","""")"),"SS")</f>
        <v>SS</v>
      </c>
      <c r="LG356" s="369" t="str">
        <f t="shared" si="195"/>
        <v>-</v>
      </c>
      <c r="LH356" s="387" t="str">
        <f>IFERROR(__xludf.DUMMYFUNCTION("IF(REGEXMATCH(LD356, ""S""), ""S"",IF(REGEXMATCH(LE356, ""S""), ""S"",""""))"),"S")</f>
        <v>S</v>
      </c>
      <c r="LI356" s="299" t="str">
        <f>IFERROR(__xludf.DUMMYFUNCTION("IF(REGEXMATCH(LD356, ""r""), ""r1"",IF(REGEXMATCH(LE356, ""r""), ""r2"",""""))"),"")</f>
        <v/>
      </c>
      <c r="LJ356" s="299" t="str">
        <f>IFERROR(__xludf.DUMMYFUNCTION("IF(REGEXMATCH(LD356, ""R""), ""R1"",IF(REGEXMATCH(LE356, ""R""), ""R2"",""""))"),"")</f>
        <v/>
      </c>
      <c r="LK356" s="299" t="str">
        <f>IFERROR(__xludf.DUMMYFUNCTION("IF(REGEXMATCH(LD356, ""g""), ""g1"",IF(REGEXMATCH(LE356, ""g""), ""g2"",""""))"),"")</f>
        <v/>
      </c>
      <c r="LL356" s="299" t="str">
        <f>IFERROR(__xludf.DUMMYFUNCTION("IF(REGEXMATCH(LD356, ""G""), ""G1"",IF(REGEXMATCH(LE356, ""G""), ""G2"",""""))"),"")</f>
        <v/>
      </c>
      <c r="LM356" s="299" t="str">
        <f>IFERROR(__xludf.DUMMYFUNCTION("IF(REGEXMATCH(LD356, ""m""), ""m1"",IF(REGEXMATCH(LE356, ""m""), ""m2"",""""))"),"")</f>
        <v/>
      </c>
      <c r="LN356" s="299" t="str">
        <f>IFERROR(__xludf.DUMMYFUNCTION("IF(REGEXMATCH(LD356, ""M""), ""M1"",IF(REGEXMATCH(LE356, ""M""), ""M2"",""""))"),"")</f>
        <v/>
      </c>
      <c r="LO356" s="299" t="str">
        <f>IFERROR(__xludf.DUMMYFUNCTION("IF(REGEXMATCH(LD356, ""P""), ""P1"",IF(REGEXMATCH(LE356, ""P""), ""P2"",""""))"),"")</f>
        <v/>
      </c>
      <c r="LP356" s="299" t="str">
        <f>IFERROR(__xludf.DUMMYFUNCTION("IF(REGEXMATCH(LD356, ""d""), ""d1"",IF(REGEXMATCH(LE356, ""d""), ""d2"",""""))"),"")</f>
        <v/>
      </c>
      <c r="LQ356" s="299" t="str">
        <f>IFERROR(__xludf.DUMMYFUNCTION("IF(REGEXMATCH(LD356, ""D""), ""D1"",IF(REGEXMATCH(LE356, ""D""), ""D2"",""""))"),"")</f>
        <v/>
      </c>
      <c r="LR356" s="299" t="str">
        <f>IFERROR(__xludf.DUMMYFUNCTION("IF(REGEXMATCH(LD356, ""n""), ""n1"",IF(REGEXMATCH(LE356, ""n""), ""n2"",""""))"),"")</f>
        <v/>
      </c>
      <c r="LS356" s="299" t="str">
        <f>IFERROR(__xludf.DUMMYFUNCTION("IF(REGEXMATCH(LD356, ""N""), ""N1"",IF(REGEXMATCH(LE356, ""N""), ""N2"",""""))"),"")</f>
        <v/>
      </c>
      <c r="LT356" s="388" t="str">
        <f>IFERROR(__xludf.DUMMYFUNCTION("IF(REGEXMATCH(LD356, ""S""), ""S"",IF(REGEXMATCH(LE356, ""S""), ""S"",""""))"),"S")</f>
        <v>S</v>
      </c>
      <c r="LU356" s="389">
        <f t="shared" si="196"/>
        <v>1</v>
      </c>
      <c r="LV356" s="378"/>
      <c r="LW356" s="369"/>
      <c r="LX356" s="369"/>
    </row>
    <row r="357" ht="18.0" customHeight="1">
      <c r="A357" s="298" t="s">
        <v>1230</v>
      </c>
      <c r="B357" s="222" t="s">
        <v>1231</v>
      </c>
      <c r="C357" s="233" t="str">
        <f t="shared" si="7"/>
        <v>SrGPdNS</v>
      </c>
      <c r="D357" s="234" t="str">
        <f>IFERROR(__xludf.DUMMYFUNCTION("IF(REGEXMATCH(C357, ""S""), ""S"","""")"),"S")</f>
        <v>S</v>
      </c>
      <c r="E357" s="236" t="str">
        <f>IFERROR(__xludf.DUMMYFUNCTION("IF(REGEXMATCH(C357, ""r""), ""r"","""")"),"r")</f>
        <v>r</v>
      </c>
      <c r="F357" s="237" t="str">
        <f>IFERROR(__xludf.DUMMYFUNCTION("IF(REGEXMATCH(C357, ""R""), ""R"","""")"),"")</f>
        <v/>
      </c>
      <c r="G357" s="237" t="str">
        <f>IFERROR(__xludf.DUMMYFUNCTION("IF(REGEXMATCH(C357, ""g""), ""g"","""")"),"")</f>
        <v/>
      </c>
      <c r="H357" s="236" t="str">
        <f>IFERROR(__xludf.DUMMYFUNCTION("IF(REGEXMATCH(C357, ""G""), ""G"","""")"),"G")</f>
        <v>G</v>
      </c>
      <c r="I357" s="236" t="str">
        <f>IFERROR(__xludf.DUMMYFUNCTION("IF(REGEXMATCH(C357, ""m""), ""m"","""")"),"")</f>
        <v/>
      </c>
      <c r="J357" s="237" t="str">
        <f>IFERROR(__xludf.DUMMYFUNCTION("IF(REGEXMATCH(C357, ""M""), ""M"","""")"),"")</f>
        <v/>
      </c>
      <c r="K357" s="236" t="str">
        <f>IFERROR(__xludf.DUMMYFUNCTION("IF(REGEXMATCH(C357, ""P""), ""P"","""")"),"P")</f>
        <v>P</v>
      </c>
      <c r="L357" s="237" t="str">
        <f>IFERROR(__xludf.DUMMYFUNCTION("IF(REGEXMATCH(C357, ""d""), ""d"","""")"),"d")</f>
        <v>d</v>
      </c>
      <c r="M357" s="236" t="str">
        <f>IFERROR(__xludf.DUMMYFUNCTION("IF(REGEXMATCH(C357, ""D""), ""D"","""")"),"")</f>
        <v/>
      </c>
      <c r="N357" s="236" t="str">
        <f>IFERROR(__xludf.DUMMYFUNCTION("IF(REGEXMATCH(C357, ""n""), ""n"","""")"),"")</f>
        <v/>
      </c>
      <c r="O357" s="237" t="str">
        <f>IFERROR(__xludf.DUMMYFUNCTION("IF(REGEXMATCH(C357, ""N""), ""N"","""")"),"N")</f>
        <v>N</v>
      </c>
      <c r="P357" s="238" t="str">
        <f>IFERROR(__xludf.DUMMYFUNCTION("IF(REGEXMATCH(C357, ""S""), ""S"","""")"),"S")</f>
        <v>S</v>
      </c>
      <c r="Q357" s="239" t="str">
        <f>IFERROR(__xludf.DUMMYFUNCTION("SUBSTITUTE(CONCATENATE(JOIN(""-"",D357:J357)),""-"","""")"),"SrG")</f>
        <v>SrG</v>
      </c>
      <c r="R357" s="229" t="str">
        <f>IFERROR(__xludf.DUMMYFUNCTION("SUBSTITUTE(CONCATENATE(JOIN(""-"",K357:P357)),""-"","""")"),"PdNS")</f>
        <v>PdNS</v>
      </c>
      <c r="S357" s="282" t="str">
        <f t="shared" si="8"/>
        <v>S-R-G-</v>
      </c>
      <c r="T357" s="282" t="str">
        <f t="shared" si="9"/>
        <v>P-D-N-S</v>
      </c>
      <c r="U357" s="237" t="str">
        <f>IFERROR(__xludf.DUMMYFUNCTION("SUBSTITUTE(JOIN(""-"",S357,T357),""--"",""-"")"),"S-R-G-P-D-N-S")</f>
        <v>S-R-G-P-D-N-S</v>
      </c>
      <c r="V357" s="309" t="str">
        <f t="shared" si="10"/>
        <v>rGdN</v>
      </c>
      <c r="W357" s="244" t="str">
        <f>IFERROR(__xludf.DUMMYFUNCTION("IF(REGEXMATCH(C357, ""S""), ""0"","""")"),"0")</f>
        <v>0</v>
      </c>
      <c r="X357" s="245" t="str">
        <f>IFERROR(__xludf.DUMMYFUNCTION("IF(REGEXMATCH(C357, ""r""), ""1"","""")"),"1")</f>
        <v>1</v>
      </c>
      <c r="Y357" s="246" t="str">
        <f>IFERROR(__xludf.DUMMYFUNCTION("IF(REGEXMATCH(C357, ""R""), ""2"","""")"),"")</f>
        <v/>
      </c>
      <c r="Z357" s="246" t="str">
        <f>IFERROR(__xludf.DUMMYFUNCTION("IF(REGEXMATCH(C357, ""g""), ""3"","""")"),"")</f>
        <v/>
      </c>
      <c r="AA357" s="245" t="str">
        <f>IFERROR(__xludf.DUMMYFUNCTION("IF(REGEXMATCH(C357, ""G""), ""4"","""")"),"4")</f>
        <v>4</v>
      </c>
      <c r="AB357" s="245" t="str">
        <f>IFERROR(__xludf.DUMMYFUNCTION("IF(REGEXMATCH(C357, ""m""), ""5"","""")"),"")</f>
        <v/>
      </c>
      <c r="AC357" s="246" t="str">
        <f>IFERROR(__xludf.DUMMYFUNCTION("IF(REGEXMATCH(C357, ""M""), ""6"","""")"),"")</f>
        <v/>
      </c>
      <c r="AD357" s="245" t="str">
        <f>IFERROR(__xludf.DUMMYFUNCTION("IF(REGEXMATCH(C357, ""P""), ""7"","""")"),"7")</f>
        <v>7</v>
      </c>
      <c r="AE357" s="246" t="str">
        <f>IFERROR(__xludf.DUMMYFUNCTION("IF(REGEXMATCH(C357, ""d""), ""8"","""")"),"8")</f>
        <v>8</v>
      </c>
      <c r="AF357" s="245" t="str">
        <f>IFERROR(__xludf.DUMMYFUNCTION("IF(REGEXMATCH(C357, ""D""), ""9"","""")"),"")</f>
        <v/>
      </c>
      <c r="AG357" s="245" t="str">
        <f>IFERROR(__xludf.DUMMYFUNCTION("IF(REGEXMATCH(C357, ""n""), ""10"","""")"),"")</f>
        <v/>
      </c>
      <c r="AH357" s="246" t="str">
        <f>IFERROR(__xludf.DUMMYFUNCTION("IF(REGEXMATCH(C357, ""N""), ""11"","""")"),"11")</f>
        <v>11</v>
      </c>
      <c r="AI357" s="249" t="str">
        <f>IFERROR(__xludf.DUMMYFUNCTION("IF(REGEXMATCH(C357, ""S""), ""0"","""")"),"0")</f>
        <v>0</v>
      </c>
      <c r="AJ357" s="313" t="str">
        <f t="shared" si="11"/>
        <v>-</v>
      </c>
      <c r="AK357" s="313" t="str">
        <f t="shared" si="12"/>
        <v>T</v>
      </c>
      <c r="AL357" s="313" t="str">
        <f t="shared" si="13"/>
        <v>-</v>
      </c>
      <c r="AM357" s="313" t="str">
        <f t="shared" si="14"/>
        <v>-</v>
      </c>
      <c r="AN357" s="313" t="str">
        <f t="shared" si="15"/>
        <v>-</v>
      </c>
      <c r="AO357" s="314" t="str">
        <f t="shared" si="16"/>
        <v>-</v>
      </c>
      <c r="AP357" s="316">
        <f t="shared" si="17"/>
        <v>1</v>
      </c>
      <c r="AQ357" s="319" t="str">
        <f t="shared" si="18"/>
        <v>-</v>
      </c>
      <c r="AR357" s="320">
        <f t="shared" si="19"/>
        <v>0</v>
      </c>
      <c r="AS357" s="250" t="str">
        <f>IFERROR(__xludf.DUMMYFUNCTION("SUBSTITUTE(SUBSTITUTE(CONCATENATE(JOIN("""",FP357:GA357)),""|"",""x""),""-"",""o"")"),"xxooxooxxoox")</f>
        <v>xxooxooxxoox</v>
      </c>
      <c r="AT357" s="323" t="str">
        <f>IFERROR(__xludf.DUMMYFUNCTION("JOIN("""",AS357,AS357)"),"xxooxooxxooxxxooxooxxoox")</f>
        <v>xxooxooxxooxxxooxooxxoox</v>
      </c>
      <c r="AU357" s="256" t="str">
        <f>IFERROR(__xludf.DUMMYFUNCTION("JOIN("""",ArrayFormula(MID(AS357,LEN(AS357)-SEQUENCE(1,LEN(AS357))+1,1)))"),"xooxxooxooxx")</f>
        <v>xooxxooxooxx</v>
      </c>
      <c r="AV357" s="256" t="str">
        <f>IFERROR(__xludf.DUMMYFUNCTION("LEFT(CONCATENATE(""x"",JOIN("""",ArrayFormula(MID(AS357,LEN(AS357)-SEQUENCE(1,LEN(AS357))+1,1)))),12)"),"xxooxxooxoox")</f>
        <v>xxooxxooxoox</v>
      </c>
      <c r="AW357" s="327" t="str">
        <f>IFERROR(__xludf.DUMMYFUNCTION("JOIN("""",AU357,AU357)"),"xooxxooxooxxxooxxooxooxx")</f>
        <v>xooxxooxooxxxooxxooxooxx</v>
      </c>
      <c r="AX357" s="239" t="str">
        <f>IFERROR(__xludf.DUMMYFUNCTION("IF(REGEXMATCH(AW357,AS357),""✔"",""-"")"),"-")</f>
        <v>-</v>
      </c>
      <c r="AY357" s="330" t="str">
        <f t="shared" si="20"/>
        <v>-</v>
      </c>
      <c r="AZ357" s="260" t="str">
        <f t="shared" si="21"/>
        <v>#REF!</v>
      </c>
      <c r="BA357" s="333" t="str">
        <f t="shared" si="22"/>
        <v>xxooxoo</v>
      </c>
      <c r="BB357" s="334" t="str">
        <f t="shared" si="23"/>
        <v>xxooxx</v>
      </c>
      <c r="BC357" s="335" t="str">
        <f t="shared" si="236"/>
        <v>-</v>
      </c>
      <c r="BD357" s="336" t="str">
        <f t="shared" si="25"/>
        <v>Triveni: 'xxooxoo' + 'xxooxx'</v>
      </c>
      <c r="BE357" s="337">
        <f>IFERROR(__xludf.DUMMYFUNCTION("COUNTUNIQUE(FILTER(AT:AT,REGEXMATCH(AT:AT,AS357)))-1"),0.0)</f>
        <v>0</v>
      </c>
      <c r="BF357" s="261" t="str">
        <f>IFERROR(__xludf.DUMMYFUNCTION("IF(BI357=0,""(n/a)"",IF(BJ357=2,""(PAIR)"",IF(REGEXMATCH(AT357,""xoxoxxoxoxox""),""Bilawal"",IF(REGEXMATCH(AT357,""xoxoxooxoxoo""),""Bhupali"",IF(REGEXMATCH(AT357,""xoxoxxoxxoxo""),""Charukeshi"",IF(REGEXMATCH(AT357,""xoxoooxxoxxo""),""Kameshwari"",IF(REG"&amp;"EXMATCH(AT357,""xoxoxooxoxox""),""Shankara"",IF(REGEXMATCH(AT357,""xxooxoxxxoox""),""Basant"",IF(REGEXMATCH(AT357,""xoxoxxxxoxox""),""Bihag"",IF(REGEXMATCH(AT357,""xoxxxxoxoxxx""),""Pilu"",IF(REGEXMATCH(AT357,""xoxxoxoxxoox""),""Kirwani"",IF(REGEXMATCH(AT"&amp;"357,""xoxxoxoxoxxx""),""Mk.Malhar"",IF(REGEXMATCH(AT357,""xxooxxoxxoox""),""Bhairav"",IF(REGEXMATCH(AT357,""xxoxooxxxoox""),""Todi"",IF(REGEXMATCH(AT357,""xxooxoxooxox""),""Marwa"",IF(REGEXMATCH(AT357,""xxoooxoxxooo""),""Gunkali"",IF(REGEXMATCH(AT357,""xo"&amp;"xoxxoxxoox""),""Nat Bhairav"",IF(REGEXMATCH(AT357,""xoxxoooxoxoo""),""Shivranjani"",IF(REGEXMATCH(AT357,""xooxxxoxooxo""),""Jog"",IF(REGEXMATCH(AT357,""xxooxoxoxoox""),""Hemshri"",IF(REGEXMATCH(AT357,""xoooxooxoxxo""),""Kalavati"",IF(REGEXMATCH(AT357,""xx"&amp;"oxoxxoxoox""),""Kedar"",IF(REGEXMATCH(AT357,""xoxxxxoxooxx""),""Gara"",IF(REGEXMATCH(AT357,""xooxoxooxoox""),""Chandrakauns"",IF(REGEXMATCH(AT357,""xoxxxxoxxxox""),""Mand"",IF(REGEXMATCH(AT357,""xoxxxxoxoxox""),""Hanskinkini"",IF(REGEXMATCH(AT357,""xxooxx"&amp;"oxooxo""),""Lilavati"",IF(REGEXMATCH(AT357,""xooxoxoooxox""),""Rajeshwari"",IF(REGEXMATCH(AT357,""xoooxxoxoxxx""),""Khokar"",IF(REGEXMATCH(AT357,""xxooxoxxxxox""),""Maligoura"",""-""))))))))))))))))))))))))))))))"),"(n/a)")</f>
        <v>(n/a)</v>
      </c>
      <c r="BG357" s="239" t="str">
        <f t="shared" si="26"/>
        <v>#REF!</v>
      </c>
      <c r="BH357" s="239">
        <f>IFERROR(__xludf.DUMMYFUNCTION("COUNTUNIQUE(FE357:FO357)-1"),5.0)</f>
        <v>5</v>
      </c>
      <c r="BI357" s="239">
        <f>IFERROR(__xludf.DUMMYFUNCTION("COUNTUNIQUE(FILTER(AT:AT,REGEXMATCH(AT:AT,AS357)))-1"),0.0)</f>
        <v>0</v>
      </c>
      <c r="BJ357" s="239">
        <f>IFERROR(__xludf.DUMMYFUNCTION("COUNTA(FILTER(AT:AT,REGEXMATCH(AT:AT,AS357)))"),1.0)</f>
        <v>1</v>
      </c>
      <c r="BK357" s="341">
        <f>IFERROR(__xludf.DUMMYFUNCTION("COUNTA(FILTER(AT:AT,REGEXMATCH(AT:AT,AS357)))-AR357"),1.0)</f>
        <v>1</v>
      </c>
      <c r="BL357" s="276" t="str">
        <f>IFERROR(__xludf.DUMMYFUNCTION("IF(AS357=""oooooooooooo"",""-"",IF(REGEXMATCH(AT357,""xx""), ""Hemi."", ""Anhemi.""))"),"Hemi.")</f>
        <v>Hemi.</v>
      </c>
      <c r="BM357" s="282" t="str">
        <f>IFERROR(__xludf.DUMMYFUNCTION("IF(AS357=""oooooooooooo"",""-"",IF(REGEXMATCH(AT357,""xxx""), ""Cohem."", ""-""))"),"Cohem.")</f>
        <v>Cohem.</v>
      </c>
      <c r="BN357" s="282" t="str">
        <f>IFERROR(__xludf.DUMMYFUNCTION("IF(AS357=""oooooooooooo"",""-"",IF(REGEXMATCH(AT357,""xxxx""), ""Co-Co."", ""-""))"),"-")</f>
        <v>-</v>
      </c>
      <c r="BO357" s="342" t="str">
        <f>IFERROR(__xludf.DUMMYFUNCTION("IF(AS357=""oooooooooooo"",""-"",IF(REGEXMATCH(AT357,""xxxxx""), ""CCC."", ""-""))"),"-")</f>
        <v>-</v>
      </c>
      <c r="BP357" s="344" t="str">
        <f t="shared" si="27"/>
        <v>-</v>
      </c>
      <c r="BQ357" s="282" t="str">
        <f>IFERROR(__xludf.DUMMYFUNCTION("IF(REGEXMATCH(JOIN(""-"",EU357:FD357),""TRUE""),""✔"",""-"")"),"✔")</f>
        <v>✔</v>
      </c>
      <c r="BR357" s="225">
        <f t="shared" si="28"/>
        <v>2</v>
      </c>
      <c r="BS357" s="345" t="str">
        <f>IFERROR(__xludf.DUMMYFUNCTION("SUBSTITUTE(SUBSTITUTE(SUBSTITUTE(SUBSTITUTE(CONCATENATE(JOIN(""-"",GC357:GO357)),""--"",""-""),""--"",""-""),""--"",""-""),""--"",""-"")"),"1-b2-3-5-b6-7-8")</f>
        <v>1-b2-3-5-b6-7-8</v>
      </c>
      <c r="BT357" s="299" t="str">
        <f>IFERROR(__xludf.DUMMYFUNCTION("SUBSTITUTE(SUBSTITUTE(SUBSTITUTE(SUBSTITUTE(CONCATENATE(JOIN(""-"",GP357:HB357)),""--"",""-""),""--"",""-""),""--"",""-""),""--"",""-"")"),"S-R1-G3-P-D1-N3-S")</f>
        <v>S-R1-G3-P-D1-N3-S</v>
      </c>
      <c r="BU357" s="348" t="str">
        <f t="shared" si="29"/>
        <v>C-Db-E-G-Ab-B-C</v>
      </c>
      <c r="BV357" s="349" t="str">
        <f t="shared" si="30"/>
        <v>SRgmMDnS</v>
      </c>
      <c r="BW357" s="350">
        <f t="shared" si="31"/>
        <v>0</v>
      </c>
      <c r="BX357" s="351">
        <f t="shared" si="32"/>
        <v>1</v>
      </c>
      <c r="BY357" s="392"/>
      <c r="BZ357" s="309" t="str">
        <f>IFERROR(__xludf.DUMMYFUNCTION("IF(REGEXMATCH(C357, ""S""), ""x"",""x"")"),"x")</f>
        <v>x</v>
      </c>
      <c r="CA357" s="245" t="str">
        <f>IFERROR(__xludf.DUMMYFUNCTION("IF(REGEXMATCH(C357, ""r""), ""o"",""x"")"),"o")</f>
        <v>o</v>
      </c>
      <c r="CB357" s="246" t="str">
        <f>IFERROR(__xludf.DUMMYFUNCTION("IF(REGEXMATCH(C357, ""R""), ""o"",""x"")"),"x")</f>
        <v>x</v>
      </c>
      <c r="CC357" s="246" t="str">
        <f>IFERROR(__xludf.DUMMYFUNCTION("IF(REGEXMATCH(C357, ""g""), ""o"",""x"")"),"x")</f>
        <v>x</v>
      </c>
      <c r="CD357" s="245" t="str">
        <f>IFERROR(__xludf.DUMMYFUNCTION("IF(REGEXMATCH(C357, ""G""), ""o"",""x"")"),"o")</f>
        <v>o</v>
      </c>
      <c r="CE357" s="245" t="str">
        <f>IFERROR(__xludf.DUMMYFUNCTION("IF(REGEXMATCH(C357, ""m""), ""o"",""x"")"),"x")</f>
        <v>x</v>
      </c>
      <c r="CF357" s="246" t="str">
        <f>IFERROR(__xludf.DUMMYFUNCTION("IF(REGEXMATCH(C357, ""M""), ""o"",""x"")"),"x")</f>
        <v>x</v>
      </c>
      <c r="CG357" s="245" t="str">
        <f>IFERROR(__xludf.DUMMYFUNCTION("IF(REGEXMATCH(C357, ""P""), ""o"",""x"")"),"o")</f>
        <v>o</v>
      </c>
      <c r="CH357" s="246" t="str">
        <f>IFERROR(__xludf.DUMMYFUNCTION("IF(REGEXMATCH(C357, ""d""), ""o"",""x"")"),"o")</f>
        <v>o</v>
      </c>
      <c r="CI357" s="245" t="str">
        <f>IFERROR(__xludf.DUMMYFUNCTION("IF(REGEXMATCH(C357, ""D""), ""o"",""x"")"),"x")</f>
        <v>x</v>
      </c>
      <c r="CJ357" s="245" t="str">
        <f>IFERROR(__xludf.DUMMYFUNCTION("IF(REGEXMATCH(C357, ""n""), ""o"",""x"")"),"x")</f>
        <v>x</v>
      </c>
      <c r="CK357" s="245" t="str">
        <f>IFERROR(__xludf.DUMMYFUNCTION("IF(REGEXMATCH(C357, ""N""), ""o"",""x"")"),"o")</f>
        <v>o</v>
      </c>
      <c r="CL357" s="356" t="str">
        <f>IFERROR(__xludf.DUMMYFUNCTION("IF(REGEXMATCH(C357, ""S""), ""x"",""x"")"),"x")</f>
        <v>x</v>
      </c>
      <c r="CM357" s="357" t="str">
        <f t="shared" si="33"/>
        <v>xoxxoxxooxxo</v>
      </c>
      <c r="CN357" s="358">
        <f t="shared" si="34"/>
        <v>0</v>
      </c>
      <c r="CO357" s="246" t="str">
        <f>IFERROR(__xludf.DUMMYFUNCTION("IF(REGEXMATCH($C357, ""S""), ""S"",""S"")"),"S")</f>
        <v>S</v>
      </c>
      <c r="CP357" s="246" t="str">
        <f>IFERROR(__xludf.DUMMYFUNCTION("IF(REGEXMATCH($C357, ""r""), """",""r"")"),"")</f>
        <v/>
      </c>
      <c r="CQ357" s="246" t="str">
        <f>IFERROR(__xludf.DUMMYFUNCTION("IF(REGEXMATCH($C357, ""R""), """",""R"")"),"R")</f>
        <v>R</v>
      </c>
      <c r="CR357" s="246" t="str">
        <f>IFERROR(__xludf.DUMMYFUNCTION("IF(REGEXMATCH($C357, ""g""), """",""g"")"),"g")</f>
        <v>g</v>
      </c>
      <c r="CS357" s="246" t="str">
        <f>IFERROR(__xludf.DUMMYFUNCTION("IF(REGEXMATCH($C357, ""G""), """",""G"")"),"")</f>
        <v/>
      </c>
      <c r="CT357" s="246" t="str">
        <f>IFERROR(__xludf.DUMMYFUNCTION("IF(REGEXMATCH($C357, ""m""), """",""m"")"),"m")</f>
        <v>m</v>
      </c>
      <c r="CU357" s="246" t="str">
        <f>IFERROR(__xludf.DUMMYFUNCTION("IF(REGEXMATCH($C357, ""M""), """",""M"")"),"M")</f>
        <v>M</v>
      </c>
      <c r="CV357" s="246" t="str">
        <f>IFERROR(__xludf.DUMMYFUNCTION("IF(REGEXMATCH($C357, ""P""), """",""P"")"),"")</f>
        <v/>
      </c>
      <c r="CW357" s="246" t="str">
        <f>IFERROR(__xludf.DUMMYFUNCTION("IF(REGEXMATCH($C357, ""d""), """",""d"")"),"")</f>
        <v/>
      </c>
      <c r="CX357" s="246" t="str">
        <f>IFERROR(__xludf.DUMMYFUNCTION("IF(REGEXMATCH($C357, ""D""), """",""D"")"),"D")</f>
        <v>D</v>
      </c>
      <c r="CY357" s="246" t="str">
        <f>IFERROR(__xludf.DUMMYFUNCTION("IF(REGEXMATCH($C357, ""n""), """",""n"")"),"n")</f>
        <v>n</v>
      </c>
      <c r="CZ357" s="246" t="str">
        <f>IFERROR(__xludf.DUMMYFUNCTION("IF(REGEXMATCH($C357, ""N""), """",""N"")"),"")</f>
        <v/>
      </c>
      <c r="DA357" s="246" t="str">
        <f>IFERROR(__xludf.DUMMYFUNCTION("IF(REGEXMATCH($C357, ""S""), ""S"",""S"")"),"S")</f>
        <v>S</v>
      </c>
      <c r="DB357" s="362" t="str">
        <f>IFERROR(__xludf.DUMMYFUNCTION("JOIN("""",CO357:DA357,"""","""")"),"SRgmMDnS")</f>
        <v>SRgmMDnS</v>
      </c>
      <c r="DC357" s="363"/>
      <c r="DD357" s="301" t="str">
        <f t="shared" si="35"/>
        <v>#REF!</v>
      </c>
      <c r="DE357" s="302" t="str">
        <f t="shared" si="36"/>
        <v>#REF!</v>
      </c>
      <c r="DF357" s="301" t="str">
        <f t="shared" ref="DF357:DG357" si="948">SUBSTITUTE(S357,"-","")</f>
        <v>SRG</v>
      </c>
      <c r="DG357" s="301" t="str">
        <f t="shared" si="948"/>
        <v>PDNS</v>
      </c>
      <c r="DH357" s="302" t="str">
        <f t="shared" si="38"/>
        <v>(n/a)</v>
      </c>
      <c r="DI357" s="301" t="str">
        <f t="shared" si="39"/>
        <v>Hemi.</v>
      </c>
      <c r="DJ357" s="364" t="str">
        <f t="shared" si="40"/>
        <v>Cohem.</v>
      </c>
      <c r="DK357" s="306" t="str">
        <f t="shared" si="41"/>
        <v>-</v>
      </c>
      <c r="DL357" s="366" t="str">
        <f t="shared" si="42"/>
        <v>✔</v>
      </c>
      <c r="DM357" s="308" t="str">
        <f t="shared" si="43"/>
        <v>-</v>
      </c>
      <c r="DN357" s="306" t="str">
        <f t="shared" si="44"/>
        <v>-</v>
      </c>
      <c r="DO357" s="306" t="str">
        <f t="shared" si="45"/>
        <v>-</v>
      </c>
      <c r="DP357" s="367" t="str">
        <f t="shared" si="46"/>
        <v>-</v>
      </c>
      <c r="DQ357" s="310" t="str">
        <f t="shared" si="47"/>
        <v>-</v>
      </c>
      <c r="DR357" s="310" t="str">
        <f t="shared" si="48"/>
        <v>-</v>
      </c>
      <c r="DS357" s="310" t="str">
        <f t="shared" si="49"/>
        <v>-</v>
      </c>
      <c r="DT357" s="310" t="str">
        <f t="shared" si="50"/>
        <v>-</v>
      </c>
      <c r="DU357" s="370" t="str">
        <f t="shared" si="51"/>
        <v>-</v>
      </c>
      <c r="DV357" s="306" t="str">
        <f t="shared" si="52"/>
        <v>-</v>
      </c>
      <c r="DW357" s="306" t="str">
        <f t="shared" si="53"/>
        <v>-</v>
      </c>
      <c r="DX357" s="306" t="str">
        <f t="shared" si="54"/>
        <v>✔</v>
      </c>
      <c r="DY357" s="306" t="str">
        <f t="shared" si="55"/>
        <v>-</v>
      </c>
      <c r="DZ357" s="306" t="str">
        <f t="shared" si="56"/>
        <v>-</v>
      </c>
      <c r="EA357" s="367" t="str">
        <f t="shared" si="57"/>
        <v>-</v>
      </c>
      <c r="EB357" s="310" t="str">
        <f>IFERROR(__xludf.DUMMYFUNCTION("IF(REGEXMATCH(AW357,AS357),""✔"",""-"")"),"-")</f>
        <v>-</v>
      </c>
      <c r="EC357" s="310" t="str">
        <f t="shared" si="58"/>
        <v>#REF!</v>
      </c>
      <c r="ED357" s="370" t="str">
        <f t="shared" si="59"/>
        <v>-</v>
      </c>
      <c r="EE357" s="340" t="str">
        <f t="shared" si="60"/>
        <v>S-r-G-P-d-N-S</v>
      </c>
      <c r="EF357" s="371" t="str">
        <f>IFERROR(__xludf.DUMMYFUNCTION("CONCATENATE(JOIN("""",HC357:HO357))"),"SrGmdNS")</f>
        <v>SrGmdNS</v>
      </c>
      <c r="EG357" s="372">
        <f t="shared" si="61"/>
        <v>3</v>
      </c>
      <c r="EH357" s="373" t="str">
        <f>IFERROR(__xludf.DUMMYFUNCTION("CONCATENATE(JOIN("""",JC357:JO357))"),"Pa, dha, Ni, ")</f>
        <v>Pa, dha, Ni, </v>
      </c>
      <c r="EI357" s="322">
        <f t="shared" si="62"/>
        <v>0</v>
      </c>
      <c r="EJ357" s="374" t="str">
        <f>IFERROR(__xludf.DUMMYFUNCTION("CONCATENATE(JOIN("""",KC357:KO357))"),"")</f>
        <v/>
      </c>
      <c r="EK357" s="325" t="str">
        <f t="shared" si="63"/>
        <v>S-R1-G3-P-D1-N3-S</v>
      </c>
      <c r="EL357" s="326" t="str">
        <f t="shared" si="64"/>
        <v>1-b2-3-5-b6-7-8</v>
      </c>
      <c r="EM357" s="318" t="str">
        <f t="shared" si="65"/>
        <v>#REF!</v>
      </c>
      <c r="EN357" s="328" t="str">
        <f>IFERROR(__xludf.DUMMYFUNCTION("SUBSTITUTE(SUBSTITUTE(SUBSTITUTE(SUBSTITUTE(CONCATENATE(JOIN("" "",HP357:IB357)),""  "","" ""),""  "","" ""),""  "","" ""),""  "","" "")"),"o o • • o • • o o • • o o")</f>
        <v>o o • • o • • o o • • o o</v>
      </c>
      <c r="EO357" s="368" t="str">
        <f t="shared" si="66"/>
        <v>Sa-Pa</v>
      </c>
      <c r="EP357" s="339" t="str">
        <f t="shared" si="67"/>
        <v>-</v>
      </c>
      <c r="EQ357" s="339" t="str">
        <f t="shared" si="68"/>
        <v>Sa-Pa</v>
      </c>
      <c r="ER357" s="339" t="str">
        <f t="shared" si="69"/>
        <v>Sa-Pa</v>
      </c>
      <c r="ES357" s="340" t="str">
        <f t="shared" si="70"/>
        <v>-</v>
      </c>
      <c r="ET357" s="363"/>
      <c r="EU357" s="376" t="b">
        <f>IFERROR(__xludf.DUMMYFUNCTION("arrayformula(sum(--REGEXMATCH(""SRGMPDNS"",split(REGEXREPLACE(C357,""(.)"",""$1~""),""~""))))=len(C357)
"),FALSE)</f>
        <v>0</v>
      </c>
      <c r="EV357" s="290" t="b">
        <f>IFERROR(__xludf.DUMMYFUNCTION("arrayformula(sum(--REGEXMATCH(""SRGmPDNS"",split(REGEXREPLACE(C357,""(.)"",""$1~""),""~""))))=len(C357)"),FALSE)</f>
        <v>0</v>
      </c>
      <c r="EW357" s="290" t="b">
        <f>IFERROR(__xludf.DUMMYFUNCTION("arrayformula(sum(--REGEXMATCH(""SRGmPDnS"",split(REGEXREPLACE(C357,""(.)"",""$1~""),""~""))))=len(C357)"),FALSE)</f>
        <v>0</v>
      </c>
      <c r="EX357" s="290" t="b">
        <f>IFERROR(__xludf.DUMMYFUNCTION("arrayformula(sum(--REGEXMATCH(""SRgmPDnS"",split(REGEXREPLACE(C357,""(.)"",""$1~""),""~""))))=len(C357)"),FALSE)</f>
        <v>0</v>
      </c>
      <c r="EY357" s="290" t="b">
        <f>IFERROR(__xludf.DUMMYFUNCTION("arrayformula(sum(--REGEXMATCH(""SRgmPdnS"",split(REGEXREPLACE(C357,""(.)"",""$1~""),""~""))))=len(C357)"),FALSE)</f>
        <v>0</v>
      </c>
      <c r="EZ357" s="290" t="b">
        <f>IFERROR(__xludf.DUMMYFUNCTION("arrayformula(sum(--REGEXMATCH(""SrgmPdnS"",split(REGEXREPLACE(C357,""(.)"",""$1~""),""~""))))=len(C357)"),FALSE)</f>
        <v>0</v>
      </c>
      <c r="FA357" s="290" t="b">
        <f>IFERROR(__xludf.DUMMYFUNCTION("arrayformula(sum(--REGEXMATCH(""SrGmPdNS"",split(REGEXREPLACE(C357,""(.)"",""$1~""),""~""))))=len(C357)"),TRUE)</f>
        <v>1</v>
      </c>
      <c r="FB357" s="290" t="b">
        <f>IFERROR(__xludf.DUMMYFUNCTION("arrayformula(sum(--REGEXMATCH(""SrGMPDNS"",split(REGEXREPLACE(C357,""(.)"",""$1~""),""~""))))=len(C357)"),FALSE)</f>
        <v>0</v>
      </c>
      <c r="FC357" s="290" t="b">
        <f>IFERROR(__xludf.DUMMYFUNCTION("arrayformula(sum(--REGEXMATCH(""SrGMPdNS"",split(REGEXREPLACE(C357,""(.)"",""$1~""),""~""))))=len(C357)"),TRUE)</f>
        <v>1</v>
      </c>
      <c r="FD357" s="377" t="b">
        <f>IFERROR(__xludf.DUMMYFUNCTION("arrayformula(sum(--REGEXMATCH(""SrgMPdNS"",split(REGEXREPLACE(C357,""(.)"",""$1~""),""~""))))=len(C357)"),FALSE)</f>
        <v>0</v>
      </c>
      <c r="FE357" s="269" t="str">
        <f t="shared" si="71"/>
        <v>xooxooxxoox</v>
      </c>
      <c r="FF357" s="269" t="str">
        <f t="shared" si="72"/>
        <v>-</v>
      </c>
      <c r="FG357" s="271" t="str">
        <f t="shared" si="73"/>
        <v>-</v>
      </c>
      <c r="FH357" s="269" t="str">
        <f t="shared" si="74"/>
        <v>xooxxooxxxo</v>
      </c>
      <c r="FI357" s="271" t="str">
        <f t="shared" si="75"/>
        <v>-</v>
      </c>
      <c r="FJ357" s="271" t="str">
        <f t="shared" si="76"/>
        <v>-</v>
      </c>
      <c r="FK357" s="271" t="str">
        <f t="shared" si="77"/>
        <v>xxooxxxooxo</v>
      </c>
      <c r="FL357" s="271" t="str">
        <f t="shared" si="78"/>
        <v>xooxxxooxoo</v>
      </c>
      <c r="FM357" s="271" t="str">
        <f t="shared" si="79"/>
        <v>-</v>
      </c>
      <c r="FN357" s="271" t="str">
        <f t="shared" si="80"/>
        <v>-</v>
      </c>
      <c r="FO357" s="274" t="str">
        <f t="shared" si="81"/>
        <v>xxxooxooxxo</v>
      </c>
      <c r="FP357" s="234" t="str">
        <f t="shared" si="82"/>
        <v>|</v>
      </c>
      <c r="FQ357" s="236" t="str">
        <f t="shared" si="83"/>
        <v>|</v>
      </c>
      <c r="FR357" s="237" t="str">
        <f t="shared" si="84"/>
        <v>-</v>
      </c>
      <c r="FS357" s="236" t="str">
        <f t="shared" si="85"/>
        <v>-</v>
      </c>
      <c r="FT357" s="237" t="str">
        <f t="shared" si="86"/>
        <v>|</v>
      </c>
      <c r="FU357" s="236" t="str">
        <f t="shared" si="87"/>
        <v>-</v>
      </c>
      <c r="FV357" s="237" t="str">
        <f t="shared" si="88"/>
        <v>-</v>
      </c>
      <c r="FW357" s="236" t="str">
        <f t="shared" si="89"/>
        <v>|</v>
      </c>
      <c r="FX357" s="237" t="str">
        <f t="shared" si="90"/>
        <v>|</v>
      </c>
      <c r="FY357" s="236" t="str">
        <f t="shared" si="91"/>
        <v>-</v>
      </c>
      <c r="FZ357" s="237" t="str">
        <f t="shared" si="92"/>
        <v>-</v>
      </c>
      <c r="GA357" s="236" t="str">
        <f t="shared" si="93"/>
        <v>|</v>
      </c>
      <c r="GB357" s="238" t="str">
        <f t="shared" si="94"/>
        <v>|</v>
      </c>
      <c r="GC357" s="244" t="str">
        <f>IFERROR(__xludf.DUMMYFUNCTION("IF(REGEXMATCH(C357, ""S""), ""1"","""")"),"1")</f>
        <v>1</v>
      </c>
      <c r="GD357" s="245" t="str">
        <f>IFERROR(__xludf.DUMMYFUNCTION("IF(REGEXMATCH(C357, ""r""), ""b2"","""")"),"b2")</f>
        <v>b2</v>
      </c>
      <c r="GE357" s="246" t="str">
        <f>IFERROR(__xludf.DUMMYFUNCTION("IF(REGEXMATCH(C357, ""R""), ""2"","""")"),"")</f>
        <v/>
      </c>
      <c r="GF357" s="246" t="str">
        <f>IFERROR(__xludf.DUMMYFUNCTION("IF(REGEXMATCH(C357, ""g""), ""b3"","""")"),"")</f>
        <v/>
      </c>
      <c r="GG357" s="245" t="str">
        <f>IFERROR(__xludf.DUMMYFUNCTION("IF(REGEXMATCH(C357, ""G""), ""3"","""")"),"3")</f>
        <v>3</v>
      </c>
      <c r="GH357" s="245" t="str">
        <f>IFERROR(__xludf.DUMMYFUNCTION("IF(REGEXMATCH(C357, ""m""), ""4"","""")"),"")</f>
        <v/>
      </c>
      <c r="GI357" s="246" t="str">
        <f>IFERROR(__xludf.DUMMYFUNCTION("IF(REGEXMATCH(C357, ""M""), ""#4"","""")"),"")</f>
        <v/>
      </c>
      <c r="GJ357" s="245" t="str">
        <f>IFERROR(__xludf.DUMMYFUNCTION("IF(REGEXMATCH(C357, ""P""), ""5"","""")"),"5")</f>
        <v>5</v>
      </c>
      <c r="GK357" s="246" t="str">
        <f>IFERROR(__xludf.DUMMYFUNCTION("IF(REGEXMATCH(C357, ""d""), ""b6"","""")"),"b6")</f>
        <v>b6</v>
      </c>
      <c r="GL357" s="245" t="str">
        <f>IFERROR(__xludf.DUMMYFUNCTION("IF(REGEXMATCH(C357, ""D""), ""6"","""")"),"")</f>
        <v/>
      </c>
      <c r="GM357" s="245" t="str">
        <f>IFERROR(__xludf.DUMMYFUNCTION("IF(REGEXMATCH(C357, ""n""), ""b7"","""")"),"")</f>
        <v/>
      </c>
      <c r="GN357" s="246" t="str">
        <f>IFERROR(__xludf.DUMMYFUNCTION("IF(REGEXMATCH(C357, ""N""), ""7"","""")"),"7")</f>
        <v>7</v>
      </c>
      <c r="GO357" s="249" t="str">
        <f>IFERROR(__xludf.DUMMYFUNCTION("IF(REGEXMATCH(C357, ""S""), ""8"","""")"),"8")</f>
        <v>8</v>
      </c>
      <c r="GP357" s="244" t="str">
        <f>IFERROR(__xludf.DUMMYFUNCTION("IF(REGEXMATCH(C357, ""S""), ""S"","""")"),"S")</f>
        <v>S</v>
      </c>
      <c r="GQ357" s="294" t="str">
        <f>IFERROR(__xludf.DUMMYFUNCTION("IF(REGEXMATCH(C357, ""r""), ""R1"","""")"),"R1")</f>
        <v>R1</v>
      </c>
      <c r="GR357" s="295" t="str">
        <f>IFERROR(__xludf.DUMMYFUNCTION("IF(REGEXMATCH(C357, ""R""), ""R2"","""")"),"")</f>
        <v/>
      </c>
      <c r="GS357" s="295" t="str">
        <f>IFERROR(__xludf.DUMMYFUNCTION("IF(REGEXMATCH(C357, ""g""), ""G2"","""")"),"")</f>
        <v/>
      </c>
      <c r="GT357" s="294" t="str">
        <f>IFERROR(__xludf.DUMMYFUNCTION("IF(REGEXMATCH(C357, ""G""), ""G3"","""")"),"G3")</f>
        <v>G3</v>
      </c>
      <c r="GU357" s="294" t="str">
        <f>IFERROR(__xludf.DUMMYFUNCTION("IF(REGEXMATCH(C357, ""m""), ""M1"","""")"),"")</f>
        <v/>
      </c>
      <c r="GV357" s="295" t="str">
        <f>IFERROR(__xludf.DUMMYFUNCTION("IF(REGEXMATCH(C357, ""M""), ""M2"","""")"),"")</f>
        <v/>
      </c>
      <c r="GW357" s="294" t="str">
        <f>IFERROR(__xludf.DUMMYFUNCTION("IF(REGEXMATCH(C357, ""P""), ""P"","""")"),"P")</f>
        <v>P</v>
      </c>
      <c r="GX357" s="295" t="str">
        <f>IFERROR(__xludf.DUMMYFUNCTION("IF(REGEXMATCH(C357, ""d""), ""D1"","""")"),"D1")</f>
        <v>D1</v>
      </c>
      <c r="GY357" s="294" t="str">
        <f>IFERROR(__xludf.DUMMYFUNCTION("IF(REGEXMATCH(C357, ""D""), ""D2"","""")"),"")</f>
        <v/>
      </c>
      <c r="GZ357" s="294" t="str">
        <f>IFERROR(__xludf.DUMMYFUNCTION("IF(REGEXMATCH(C357, ""n""), ""N2"","""")"),"")</f>
        <v/>
      </c>
      <c r="HA357" s="295" t="str">
        <f>IFERROR(__xludf.DUMMYFUNCTION("IF(REGEXMATCH(C357, ""N""), ""N3"","""")"),"N3")</f>
        <v>N3</v>
      </c>
      <c r="HB357" s="249" t="str">
        <f>IFERROR(__xludf.DUMMYFUNCTION("IF(REGEXMATCH(C357, ""S""), ""S"","""")"),"S")</f>
        <v>S</v>
      </c>
      <c r="HC357" s="331" t="str">
        <f t="shared" si="95"/>
        <v>S</v>
      </c>
      <c r="HD357" s="332" t="str">
        <f t="shared" si="96"/>
        <v>r</v>
      </c>
      <c r="HE357" s="332" t="str">
        <f t="shared" si="97"/>
        <v/>
      </c>
      <c r="HF357" s="332" t="str">
        <f t="shared" si="98"/>
        <v/>
      </c>
      <c r="HG357" s="332" t="str">
        <f t="shared" si="99"/>
        <v>G</v>
      </c>
      <c r="HH357" s="332" t="str">
        <f t="shared" si="100"/>
        <v>m</v>
      </c>
      <c r="HI357" s="332" t="str">
        <f t="shared" si="101"/>
        <v/>
      </c>
      <c r="HJ357" s="332" t="str">
        <f t="shared" si="102"/>
        <v/>
      </c>
      <c r="HK357" s="332" t="str">
        <f t="shared" si="103"/>
        <v>d</v>
      </c>
      <c r="HL357" s="332" t="str">
        <f t="shared" si="104"/>
        <v/>
      </c>
      <c r="HM357" s="332" t="str">
        <f t="shared" si="105"/>
        <v/>
      </c>
      <c r="HN357" s="332" t="str">
        <f t="shared" si="106"/>
        <v>N</v>
      </c>
      <c r="HO357" s="343" t="str">
        <f t="shared" si="107"/>
        <v>S</v>
      </c>
      <c r="HP357" s="331" t="str">
        <f t="shared" si="108"/>
        <v>o</v>
      </c>
      <c r="HQ357" s="332" t="str">
        <f t="shared" si="109"/>
        <v>o</v>
      </c>
      <c r="HR357" s="332" t="str">
        <f t="shared" si="110"/>
        <v>•</v>
      </c>
      <c r="HS357" s="332" t="str">
        <f t="shared" si="111"/>
        <v>•</v>
      </c>
      <c r="HT357" s="332" t="str">
        <f t="shared" si="112"/>
        <v>o</v>
      </c>
      <c r="HU357" s="332" t="str">
        <f t="shared" si="113"/>
        <v>•</v>
      </c>
      <c r="HV357" s="332" t="str">
        <f t="shared" si="114"/>
        <v>•</v>
      </c>
      <c r="HW357" s="332" t="str">
        <f t="shared" si="115"/>
        <v>o</v>
      </c>
      <c r="HX357" s="332" t="str">
        <f t="shared" si="116"/>
        <v>o</v>
      </c>
      <c r="HY357" s="332" t="str">
        <f t="shared" si="117"/>
        <v>•</v>
      </c>
      <c r="HZ357" s="332" t="str">
        <f t="shared" si="118"/>
        <v>•</v>
      </c>
      <c r="IA357" s="332" t="str">
        <f t="shared" si="119"/>
        <v>o</v>
      </c>
      <c r="IB357" s="338" t="str">
        <f t="shared" si="120"/>
        <v>o</v>
      </c>
      <c r="IC357" s="331" t="str">
        <f t="shared" si="121"/>
        <v>•</v>
      </c>
      <c r="ID357" s="332" t="str">
        <f t="shared" si="122"/>
        <v>•</v>
      </c>
      <c r="IE357" s="332" t="str">
        <f t="shared" si="123"/>
        <v>o</v>
      </c>
      <c r="IF357" s="332" t="str">
        <f t="shared" si="124"/>
        <v>o</v>
      </c>
      <c r="IG357" s="332" t="str">
        <f t="shared" si="125"/>
        <v>•</v>
      </c>
      <c r="IH357" s="332" t="str">
        <f t="shared" si="126"/>
        <v>o</v>
      </c>
      <c r="II357" s="332" t="str">
        <f t="shared" si="127"/>
        <v>o</v>
      </c>
      <c r="IJ357" s="332" t="str">
        <f t="shared" si="128"/>
        <v>•</v>
      </c>
      <c r="IK357" s="332" t="str">
        <f t="shared" si="129"/>
        <v>•</v>
      </c>
      <c r="IL357" s="332" t="str">
        <f t="shared" si="130"/>
        <v>o</v>
      </c>
      <c r="IM357" s="332" t="str">
        <f t="shared" si="131"/>
        <v>o</v>
      </c>
      <c r="IN357" s="332" t="str">
        <f t="shared" si="132"/>
        <v>•</v>
      </c>
      <c r="IO357" s="338" t="str">
        <f t="shared" si="133"/>
        <v>•</v>
      </c>
      <c r="IP357" s="346" t="b">
        <f t="shared" si="134"/>
        <v>0</v>
      </c>
      <c r="IQ357" s="347" t="b">
        <f t="shared" si="135"/>
        <v>0</v>
      </c>
      <c r="IR357" s="347" t="b">
        <f t="shared" si="136"/>
        <v>0</v>
      </c>
      <c r="IS357" s="347" t="b">
        <f t="shared" si="137"/>
        <v>0</v>
      </c>
      <c r="IT357" s="347" t="b">
        <f t="shared" si="138"/>
        <v>0</v>
      </c>
      <c r="IU357" s="347" t="b">
        <f t="shared" si="139"/>
        <v>0</v>
      </c>
      <c r="IV357" s="347" t="b">
        <f t="shared" si="140"/>
        <v>0</v>
      </c>
      <c r="IW357" s="347" t="b">
        <f t="shared" si="141"/>
        <v>1</v>
      </c>
      <c r="IX357" s="347" t="b">
        <f t="shared" si="142"/>
        <v>1</v>
      </c>
      <c r="IY357" s="347" t="b">
        <f t="shared" si="143"/>
        <v>0</v>
      </c>
      <c r="IZ357" s="347" t="b">
        <f t="shared" si="144"/>
        <v>0</v>
      </c>
      <c r="JA357" s="347" t="b">
        <f t="shared" si="145"/>
        <v>1</v>
      </c>
      <c r="JB357" s="353" t="b">
        <f t="shared" si="146"/>
        <v>0</v>
      </c>
      <c r="JC357" s="354" t="str">
        <f t="shared" si="147"/>
        <v/>
      </c>
      <c r="JD357" s="355" t="str">
        <f t="shared" si="148"/>
        <v/>
      </c>
      <c r="JE357" s="355" t="str">
        <f t="shared" si="149"/>
        <v/>
      </c>
      <c r="JF357" s="355" t="str">
        <f t="shared" si="150"/>
        <v/>
      </c>
      <c r="JG357" s="355" t="str">
        <f t="shared" si="151"/>
        <v/>
      </c>
      <c r="JH357" s="355" t="str">
        <f t="shared" si="152"/>
        <v/>
      </c>
      <c r="JI357" s="355" t="str">
        <f t="shared" si="153"/>
        <v/>
      </c>
      <c r="JJ357" s="355" t="str">
        <f t="shared" si="154"/>
        <v>Pa, </v>
      </c>
      <c r="JK357" s="355" t="str">
        <f t="shared" si="155"/>
        <v>dha, </v>
      </c>
      <c r="JL357" s="355" t="str">
        <f t="shared" si="156"/>
        <v/>
      </c>
      <c r="JM357" s="355" t="str">
        <f t="shared" si="157"/>
        <v/>
      </c>
      <c r="JN357" s="355" t="str">
        <f t="shared" si="158"/>
        <v>Ni, </v>
      </c>
      <c r="JO357" s="359" t="str">
        <f t="shared" si="159"/>
        <v/>
      </c>
      <c r="JP357" s="346" t="b">
        <f t="shared" si="160"/>
        <v>0</v>
      </c>
      <c r="JQ357" s="347" t="b">
        <f t="shared" si="161"/>
        <v>0</v>
      </c>
      <c r="JR357" s="347" t="b">
        <f t="shared" si="162"/>
        <v>0</v>
      </c>
      <c r="JS357" s="347" t="b">
        <f t="shared" si="163"/>
        <v>0</v>
      </c>
      <c r="JT357" s="347" t="b">
        <f t="shared" si="164"/>
        <v>0</v>
      </c>
      <c r="JU357" s="347" t="b">
        <f t="shared" si="165"/>
        <v>0</v>
      </c>
      <c r="JV357" s="347" t="b">
        <f t="shared" si="166"/>
        <v>0</v>
      </c>
      <c r="JW357" s="347" t="b">
        <f t="shared" si="167"/>
        <v>0</v>
      </c>
      <c r="JX357" s="347" t="b">
        <f t="shared" si="168"/>
        <v>0</v>
      </c>
      <c r="JY357" s="347" t="b">
        <f t="shared" si="169"/>
        <v>0</v>
      </c>
      <c r="JZ357" s="347" t="b">
        <f t="shared" si="170"/>
        <v>0</v>
      </c>
      <c r="KA357" s="347" t="b">
        <f t="shared" si="171"/>
        <v>0</v>
      </c>
      <c r="KB357" s="365" t="b">
        <f t="shared" si="172"/>
        <v>0</v>
      </c>
      <c r="KC357" s="354" t="str">
        <f t="shared" si="173"/>
        <v/>
      </c>
      <c r="KD357" s="355" t="str">
        <f t="shared" si="174"/>
        <v/>
      </c>
      <c r="KE357" s="355" t="str">
        <f t="shared" si="175"/>
        <v/>
      </c>
      <c r="KF357" s="355" t="str">
        <f t="shared" si="176"/>
        <v/>
      </c>
      <c r="KG357" s="355" t="str">
        <f t="shared" si="177"/>
        <v/>
      </c>
      <c r="KH357" s="355" t="str">
        <f t="shared" si="178"/>
        <v/>
      </c>
      <c r="KI357" s="355" t="str">
        <f t="shared" si="179"/>
        <v/>
      </c>
      <c r="KJ357" s="355" t="str">
        <f t="shared" si="180"/>
        <v/>
      </c>
      <c r="KK357" s="355" t="str">
        <f t="shared" si="181"/>
        <v/>
      </c>
      <c r="KL357" s="355" t="str">
        <f t="shared" si="182"/>
        <v/>
      </c>
      <c r="KM357" s="355" t="str">
        <f t="shared" si="183"/>
        <v/>
      </c>
      <c r="KN357" s="355" t="str">
        <f t="shared" si="184"/>
        <v/>
      </c>
      <c r="KO357" s="359"/>
      <c r="KP357" s="378"/>
      <c r="KQ357" s="379" t="s">
        <v>1231</v>
      </c>
      <c r="KR357" s="380" t="s">
        <v>1509</v>
      </c>
      <c r="KS357" s="381" t="str">
        <f>KQ357</f>
        <v>S-r-G-P-d-N-S</v>
      </c>
      <c r="KT357" s="382">
        <f t="shared" si="186"/>
        <v>6</v>
      </c>
      <c r="KU357" s="383">
        <f t="shared" si="187"/>
        <v>6</v>
      </c>
      <c r="KV357" s="381" t="str">
        <f t="shared" si="205"/>
        <v>S-N-d-P-G-r-S</v>
      </c>
      <c r="KW357" s="382">
        <f t="shared" si="189"/>
        <v>6</v>
      </c>
      <c r="KX357" s="384">
        <f t="shared" si="190"/>
        <v>6</v>
      </c>
      <c r="KY357" s="382">
        <f t="shared" ref="KY357:KZ357" si="949">KW357-KT357</f>
        <v>0</v>
      </c>
      <c r="KZ357" s="369">
        <f t="shared" si="949"/>
        <v>0</v>
      </c>
      <c r="LA357" s="385" t="str">
        <f t="shared" si="192"/>
        <v>✔</v>
      </c>
      <c r="LB357" s="340" t="str">
        <f>IFERROR(__xludf.DUMMYFUNCTION("JOIN("""",ArrayFormula(MID(KS357,LEN(KS357)-SEQUENCE(1,LEN(KS357))+1,1)))"),"S-N-d-P-G-r-S")</f>
        <v>S-N-d-P-G-r-S</v>
      </c>
      <c r="LC357" s="373" t="str">
        <f>IFERROR(__xludf.DUMMYFUNCTION("JOIN("""",ArrayFormula(MID(KV357,LEN(KV357)-SEQUENCE(1,LEN(KV357))+1,1)))"),"S-r-G-P-d-N-S")</f>
        <v>S-r-G-P-d-N-S</v>
      </c>
      <c r="LD357" s="373" t="str">
        <f t="shared" si="193"/>
        <v>SrGPdNS</v>
      </c>
      <c r="LE357" s="339" t="str">
        <f t="shared" si="194"/>
        <v>SrGPdNS</v>
      </c>
      <c r="LF357" s="386" t="str">
        <f>IFERROR(__xludf.DUMMYFUNCTION("SUBSTITUTE(SUBSTITUTE(CONCATENATE(JOIN("""",LH357:LT357)),""1"",""""),""2"","""")"),"SrGPdNS")</f>
        <v>SrGPdNS</v>
      </c>
      <c r="LG357" s="369" t="str">
        <f t="shared" si="195"/>
        <v>✔</v>
      </c>
      <c r="LH357" s="387" t="str">
        <f>IFERROR(__xludf.DUMMYFUNCTION("IF(REGEXMATCH(LD357, ""S""), ""S"",IF(REGEXMATCH(LE357, ""S""), ""S"",""""))"),"S")</f>
        <v>S</v>
      </c>
      <c r="LI357" s="299" t="str">
        <f>IFERROR(__xludf.DUMMYFUNCTION("IF(REGEXMATCH(LD357, ""r""), ""r1"",IF(REGEXMATCH(LE357, ""r""), ""r2"",""""))"),"r1")</f>
        <v>r1</v>
      </c>
      <c r="LJ357" s="299" t="str">
        <f>IFERROR(__xludf.DUMMYFUNCTION("IF(REGEXMATCH(LD357, ""R""), ""R1"",IF(REGEXMATCH(LE357, ""R""), ""R2"",""""))"),"")</f>
        <v/>
      </c>
      <c r="LK357" s="299" t="str">
        <f>IFERROR(__xludf.DUMMYFUNCTION("IF(REGEXMATCH(LD357, ""g""), ""g1"",IF(REGEXMATCH(LE357, ""g""), ""g2"",""""))"),"")</f>
        <v/>
      </c>
      <c r="LL357" s="299" t="str">
        <f>IFERROR(__xludf.DUMMYFUNCTION("IF(REGEXMATCH(LD357, ""G""), ""G1"",IF(REGEXMATCH(LE357, ""G""), ""G2"",""""))"),"G1")</f>
        <v>G1</v>
      </c>
      <c r="LM357" s="299" t="str">
        <f>IFERROR(__xludf.DUMMYFUNCTION("IF(REGEXMATCH(LD357, ""m""), ""m1"",IF(REGEXMATCH(LE357, ""m""), ""m2"",""""))"),"")</f>
        <v/>
      </c>
      <c r="LN357" s="299" t="str">
        <f>IFERROR(__xludf.DUMMYFUNCTION("IF(REGEXMATCH(LD357, ""M""), ""M1"",IF(REGEXMATCH(LE357, ""M""), ""M2"",""""))"),"")</f>
        <v/>
      </c>
      <c r="LO357" s="299" t="str">
        <f>IFERROR(__xludf.DUMMYFUNCTION("IF(REGEXMATCH(LD357, ""P""), ""P1"",IF(REGEXMATCH(LE357, ""P""), ""P2"",""""))"),"P1")</f>
        <v>P1</v>
      </c>
      <c r="LP357" s="299" t="str">
        <f>IFERROR(__xludf.DUMMYFUNCTION("IF(REGEXMATCH(LD357, ""d""), ""d1"",IF(REGEXMATCH(LE357, ""d""), ""d2"",""""))"),"d1")</f>
        <v>d1</v>
      </c>
      <c r="LQ357" s="299" t="str">
        <f>IFERROR(__xludf.DUMMYFUNCTION("IF(REGEXMATCH(LD357, ""D""), ""D1"",IF(REGEXMATCH(LE357, ""D""), ""D2"",""""))"),"")</f>
        <v/>
      </c>
      <c r="LR357" s="299" t="str">
        <f>IFERROR(__xludf.DUMMYFUNCTION("IF(REGEXMATCH(LD357, ""n""), ""n1"",IF(REGEXMATCH(LE357, ""n""), ""n2"",""""))"),"")</f>
        <v/>
      </c>
      <c r="LS357" s="299" t="str">
        <f>IFERROR(__xludf.DUMMYFUNCTION("IF(REGEXMATCH(LD357, ""N""), ""N1"",IF(REGEXMATCH(LE357, ""N""), ""N2"",""""))"),"N1")</f>
        <v>N1</v>
      </c>
      <c r="LT357" s="388" t="str">
        <f>IFERROR(__xludf.DUMMYFUNCTION("IF(REGEXMATCH(LD357, ""S""), ""S"",IF(REGEXMATCH(LE357, ""S""), ""S"",""""))"),"S")</f>
        <v>S</v>
      </c>
      <c r="LU357" s="389">
        <f t="shared" si="196"/>
        <v>1</v>
      </c>
      <c r="LV357" s="378"/>
      <c r="LW357" s="369"/>
      <c r="LX357" s="369"/>
    </row>
    <row r="358" ht="18.0" customHeight="1">
      <c r="A358" s="298" t="s">
        <v>1233</v>
      </c>
      <c r="B358" s="222" t="s">
        <v>1234</v>
      </c>
      <c r="C358" s="233" t="str">
        <f t="shared" si="7"/>
        <v>SgmdnNS</v>
      </c>
      <c r="D358" s="234" t="str">
        <f>IFERROR(__xludf.DUMMYFUNCTION("IF(REGEXMATCH(C358, ""S""), ""S"","""")"),"S")</f>
        <v>S</v>
      </c>
      <c r="E358" s="236" t="str">
        <f>IFERROR(__xludf.DUMMYFUNCTION("IF(REGEXMATCH(C358, ""r""), ""r"","""")"),"")</f>
        <v/>
      </c>
      <c r="F358" s="237" t="str">
        <f>IFERROR(__xludf.DUMMYFUNCTION("IF(REGEXMATCH(C358, ""R""), ""R"","""")"),"")</f>
        <v/>
      </c>
      <c r="G358" s="237" t="str">
        <f>IFERROR(__xludf.DUMMYFUNCTION("IF(REGEXMATCH(C358, ""g""), ""g"","""")"),"g")</f>
        <v>g</v>
      </c>
      <c r="H358" s="236" t="str">
        <f>IFERROR(__xludf.DUMMYFUNCTION("IF(REGEXMATCH(C358, ""G""), ""G"","""")"),"")</f>
        <v/>
      </c>
      <c r="I358" s="236" t="str">
        <f>IFERROR(__xludf.DUMMYFUNCTION("IF(REGEXMATCH(C358, ""m""), ""m"","""")"),"m")</f>
        <v>m</v>
      </c>
      <c r="J358" s="237" t="str">
        <f>IFERROR(__xludf.DUMMYFUNCTION("IF(REGEXMATCH(C358, ""M""), ""M"","""")"),"")</f>
        <v/>
      </c>
      <c r="K358" s="236" t="str">
        <f>IFERROR(__xludf.DUMMYFUNCTION("IF(REGEXMATCH(C358, ""P""), ""P"","""")"),"")</f>
        <v/>
      </c>
      <c r="L358" s="237" t="str">
        <f>IFERROR(__xludf.DUMMYFUNCTION("IF(REGEXMATCH(C358, ""d""), ""d"","""")"),"d")</f>
        <v>d</v>
      </c>
      <c r="M358" s="236" t="str">
        <f>IFERROR(__xludf.DUMMYFUNCTION("IF(REGEXMATCH(C358, ""D""), ""D"","""")"),"")</f>
        <v/>
      </c>
      <c r="N358" s="236" t="str">
        <f>IFERROR(__xludf.DUMMYFUNCTION("IF(REGEXMATCH(C358, ""n""), ""n"","""")"),"n")</f>
        <v>n</v>
      </c>
      <c r="O358" s="237" t="str">
        <f>IFERROR(__xludf.DUMMYFUNCTION("IF(REGEXMATCH(C358, ""N""), ""N"","""")"),"N")</f>
        <v>N</v>
      </c>
      <c r="P358" s="238" t="str">
        <f>IFERROR(__xludf.DUMMYFUNCTION("IF(REGEXMATCH(C358, ""S""), ""S"","""")"),"S")</f>
        <v>S</v>
      </c>
      <c r="Q358" s="239" t="str">
        <f>IFERROR(__xludf.DUMMYFUNCTION("SUBSTITUTE(CONCATENATE(JOIN(""-"",D358:J358)),""-"","""")"),"Sgm")</f>
        <v>Sgm</v>
      </c>
      <c r="R358" s="229" t="str">
        <f>IFERROR(__xludf.DUMMYFUNCTION("SUBSTITUTE(CONCATENATE(JOIN(""-"",K358:P358)),""-"","""")"),"dnNS")</f>
        <v>dnNS</v>
      </c>
      <c r="S358" s="282" t="str">
        <f t="shared" si="8"/>
        <v>S-G-M</v>
      </c>
      <c r="T358" s="282" t="str">
        <f t="shared" si="9"/>
        <v>D-N-S</v>
      </c>
      <c r="U358" s="237" t="str">
        <f>IFERROR(__xludf.DUMMYFUNCTION("SUBSTITUTE(JOIN(""-"",S358,T358),""--"",""-"")"),"S-G-M-D-N-S")</f>
        <v>S-G-M-D-N-S</v>
      </c>
      <c r="V358" s="309" t="str">
        <f t="shared" si="10"/>
        <v>gmdnN</v>
      </c>
      <c r="W358" s="244" t="str">
        <f>IFERROR(__xludf.DUMMYFUNCTION("IF(REGEXMATCH(C358, ""S""), ""0"","""")"),"0")</f>
        <v>0</v>
      </c>
      <c r="X358" s="245" t="str">
        <f>IFERROR(__xludf.DUMMYFUNCTION("IF(REGEXMATCH(C358, ""r""), ""1"","""")"),"")</f>
        <v/>
      </c>
      <c r="Y358" s="246" t="str">
        <f>IFERROR(__xludf.DUMMYFUNCTION("IF(REGEXMATCH(C358, ""R""), ""2"","""")"),"")</f>
        <v/>
      </c>
      <c r="Z358" s="246" t="str">
        <f>IFERROR(__xludf.DUMMYFUNCTION("IF(REGEXMATCH(C358, ""g""), ""3"","""")"),"3")</f>
        <v>3</v>
      </c>
      <c r="AA358" s="245" t="str">
        <f>IFERROR(__xludf.DUMMYFUNCTION("IF(REGEXMATCH(C358, ""G""), ""4"","""")"),"")</f>
        <v/>
      </c>
      <c r="AB358" s="245" t="str">
        <f>IFERROR(__xludf.DUMMYFUNCTION("IF(REGEXMATCH(C358, ""m""), ""5"","""")"),"5")</f>
        <v>5</v>
      </c>
      <c r="AC358" s="246" t="str">
        <f>IFERROR(__xludf.DUMMYFUNCTION("IF(REGEXMATCH(C358, ""M""), ""6"","""")"),"")</f>
        <v/>
      </c>
      <c r="AD358" s="245" t="str">
        <f>IFERROR(__xludf.DUMMYFUNCTION("IF(REGEXMATCH(C358, ""P""), ""7"","""")"),"")</f>
        <v/>
      </c>
      <c r="AE358" s="246" t="str">
        <f>IFERROR(__xludf.DUMMYFUNCTION("IF(REGEXMATCH(C358, ""d""), ""8"","""")"),"8")</f>
        <v>8</v>
      </c>
      <c r="AF358" s="245" t="str">
        <f>IFERROR(__xludf.DUMMYFUNCTION("IF(REGEXMATCH(C358, ""D""), ""9"","""")"),"")</f>
        <v/>
      </c>
      <c r="AG358" s="245" t="str">
        <f>IFERROR(__xludf.DUMMYFUNCTION("IF(REGEXMATCH(C358, ""n""), ""10"","""")"),"10")</f>
        <v>10</v>
      </c>
      <c r="AH358" s="246" t="str">
        <f>IFERROR(__xludf.DUMMYFUNCTION("IF(REGEXMATCH(C358, ""N""), ""11"","""")"),"11")</f>
        <v>11</v>
      </c>
      <c r="AI358" s="249" t="str">
        <f>IFERROR(__xludf.DUMMYFUNCTION("IF(REGEXMATCH(C358, ""S""), ""0"","""")"),"0")</f>
        <v>0</v>
      </c>
      <c r="AJ358" s="313" t="str">
        <f t="shared" si="11"/>
        <v>-</v>
      </c>
      <c r="AK358" s="313" t="str">
        <f t="shared" si="12"/>
        <v>-</v>
      </c>
      <c r="AL358" s="313" t="str">
        <f t="shared" si="13"/>
        <v>-</v>
      </c>
      <c r="AM358" s="313" t="str">
        <f t="shared" si="14"/>
        <v>-</v>
      </c>
      <c r="AN358" s="313" t="str">
        <f t="shared" si="15"/>
        <v>-</v>
      </c>
      <c r="AO358" s="314" t="str">
        <f t="shared" si="16"/>
        <v>T</v>
      </c>
      <c r="AP358" s="316">
        <f t="shared" si="17"/>
        <v>1</v>
      </c>
      <c r="AQ358" s="319" t="str">
        <f t="shared" si="18"/>
        <v>#REF!</v>
      </c>
      <c r="AR358" s="320">
        <f t="shared" si="19"/>
        <v>0</v>
      </c>
      <c r="AS358" s="250" t="str">
        <f>IFERROR(__xludf.DUMMYFUNCTION("SUBSTITUTE(SUBSTITUTE(CONCATENATE(JOIN("""",FP358:GA358)),""|"",""x""),""-"",""o"")"),"xooxoxooxoxx")</f>
        <v>xooxoxooxoxx</v>
      </c>
      <c r="AT358" s="323" t="str">
        <f>IFERROR(__xludf.DUMMYFUNCTION("JOIN("""",AS358,AS358)"),"xooxoxooxoxxxooxoxooxoxx")</f>
        <v>xooxoxooxoxxxooxoxooxoxx</v>
      </c>
      <c r="AU358" s="256" t="str">
        <f>IFERROR(__xludf.DUMMYFUNCTION("JOIN("""",ArrayFormula(MID(AS358,LEN(AS358)-SEQUENCE(1,LEN(AS358))+1,1)))"),"xxoxooxoxoox")</f>
        <v>xxoxooxoxoox</v>
      </c>
      <c r="AV358" s="256" t="str">
        <f>IFERROR(__xludf.DUMMYFUNCTION("LEFT(CONCATENATE(""x"",JOIN("""",ArrayFormula(MID(AS358,LEN(AS358)-SEQUENCE(1,LEN(AS358))+1,1)))),12)"),"xxxoxooxoxoo")</f>
        <v>xxxoxooxoxoo</v>
      </c>
      <c r="AW358" s="327" t="str">
        <f>IFERROR(__xludf.DUMMYFUNCTION("JOIN("""",AU358,AU358)"),"xxoxooxoxooxxxoxooxoxoox")</f>
        <v>xxoxooxoxooxxxoxooxoxoox</v>
      </c>
      <c r="AX358" s="239" t="str">
        <f>IFERROR(__xludf.DUMMYFUNCTION("IF(REGEXMATCH(AW358,AS358),""✔"",""-"")"),"-")</f>
        <v>-</v>
      </c>
      <c r="AY358" s="330" t="str">
        <f t="shared" si="20"/>
        <v>-</v>
      </c>
      <c r="AZ358" s="260" t="str">
        <f t="shared" si="21"/>
        <v>#REF!</v>
      </c>
      <c r="BA358" s="333" t="str">
        <f t="shared" si="22"/>
        <v>xooxoxo</v>
      </c>
      <c r="BB358" s="334" t="str">
        <f t="shared" si="23"/>
        <v>oxoxxx</v>
      </c>
      <c r="BC358" s="335" t="str">
        <f t="shared" si="236"/>
        <v>-</v>
      </c>
      <c r="BD358" s="336" t="str">
        <f t="shared" si="25"/>
        <v>Tulsikauns: 'xooxoxo' + 'oxoxxx'</v>
      </c>
      <c r="BE358" s="337">
        <f>IFERROR(__xludf.DUMMYFUNCTION("COUNTUNIQUE(FILTER(AT:AT,REGEXMATCH(AT:AT,AS358)))-1"),3.0)</f>
        <v>3</v>
      </c>
      <c r="BF358" s="261" t="str">
        <f>IFERROR(__xludf.DUMMYFUNCTION("IF(BI358=0,""(n/a)"",IF(BJ358=2,""(PAIR)"",IF(REGEXMATCH(AT358,""xoxoxxoxoxox""),""Bilawal"",IF(REGEXMATCH(AT358,""xoxoxooxoxoo""),""Bhupali"",IF(REGEXMATCH(AT358,""xoxoxxoxxoxo""),""Charukeshi"",IF(REGEXMATCH(AT358,""xoxoooxxoxxo""),""Kameshwari"",IF(REG"&amp;"EXMATCH(AT358,""xoxoxooxoxox""),""Shankara"",IF(REGEXMATCH(AT358,""xxooxoxxxoox""),""Basant"",IF(REGEXMATCH(AT358,""xoxoxxxxoxox""),""Bihag"",IF(REGEXMATCH(AT358,""xoxxxxoxoxxx""),""Pilu"",IF(REGEXMATCH(AT358,""xoxxoxoxxoox""),""Kirwani"",IF(REGEXMATCH(AT"&amp;"358,""xoxxoxoxoxxx""),""Mk.Malhar"",IF(REGEXMATCH(AT358,""xxooxxoxxoox""),""Bhairav"",IF(REGEXMATCH(AT358,""xxoxooxxxoox""),""Todi"",IF(REGEXMATCH(AT358,""xxooxoxooxox""),""Marwa"",IF(REGEXMATCH(AT358,""xxoooxoxxooo""),""Gunkali"",IF(REGEXMATCH(AT358,""xo"&amp;"xoxxoxxoox""),""Nat Bhairav"",IF(REGEXMATCH(AT358,""xoxxoooxoxoo""),""Shivranjani"",IF(REGEXMATCH(AT358,""xooxxxoxooxo""),""Jog"",IF(REGEXMATCH(AT358,""xxooxoxoxoox""),""Hemshri"",IF(REGEXMATCH(AT358,""xoooxooxoxxo""),""Kalavati"",IF(REGEXMATCH(AT358,""xx"&amp;"oxoxxoxoox""),""Kedar"",IF(REGEXMATCH(AT358,""xoxxxxoxooxx""),""Gara"",IF(REGEXMATCH(AT358,""xooxoxooxoox""),""Chandrakauns"",IF(REGEXMATCH(AT358,""xoxxxxoxxxox""),""Mand"",IF(REGEXMATCH(AT358,""xoxxxxoxoxox""),""Hanskinkini"",IF(REGEXMATCH(AT358,""xxooxx"&amp;"oxooxo""),""Lilavati"",IF(REGEXMATCH(AT358,""xooxoxoooxox""),""Rajeshwari"",IF(REGEXMATCH(AT358,""xoooxxoxoxxx""),""Khokar"",IF(REGEXMATCH(AT358,""xxooxoxxxxox""),""Maligoura"",""-""))))))))))))))))))))))))))))))"),"Marwa")</f>
        <v>Marwa</v>
      </c>
      <c r="BG358" s="239" t="str">
        <f t="shared" si="26"/>
        <v>#REF!</v>
      </c>
      <c r="BH358" s="239">
        <f>IFERROR(__xludf.DUMMYFUNCTION("COUNTUNIQUE(FE358:FO358)-1"),5.0)</f>
        <v>5</v>
      </c>
      <c r="BI358" s="239">
        <f>IFERROR(__xludf.DUMMYFUNCTION("COUNTUNIQUE(FILTER(AT:AT,REGEXMATCH(AT:AT,AS358)))-1"),3.0)</f>
        <v>3</v>
      </c>
      <c r="BJ358" s="239">
        <f>IFERROR(__xludf.DUMMYFUNCTION("COUNTA(FILTER(AT:AT,REGEXMATCH(AT:AT,AS358)))"),6.0)</f>
        <v>6</v>
      </c>
      <c r="BK358" s="341">
        <f>IFERROR(__xludf.DUMMYFUNCTION("COUNTA(FILTER(AT:AT,REGEXMATCH(AT:AT,AS358)))-AR358"),6.0)</f>
        <v>6</v>
      </c>
      <c r="BL358" s="276" t="str">
        <f>IFERROR(__xludf.DUMMYFUNCTION("IF(AS358=""oooooooooooo"",""-"",IF(REGEXMATCH(AT358,""xx""), ""Hemi."", ""Anhemi.""))"),"Hemi.")</f>
        <v>Hemi.</v>
      </c>
      <c r="BM358" s="282" t="str">
        <f>IFERROR(__xludf.DUMMYFUNCTION("IF(AS358=""oooooooooooo"",""-"",IF(REGEXMATCH(AT358,""xxx""), ""Cohem."", ""-""))"),"Cohem.")</f>
        <v>Cohem.</v>
      </c>
      <c r="BN358" s="282" t="str">
        <f>IFERROR(__xludf.DUMMYFUNCTION("IF(AS358=""oooooooooooo"",""-"",IF(REGEXMATCH(AT358,""xxxx""), ""Co-Co."", ""-""))"),"-")</f>
        <v>-</v>
      </c>
      <c r="BO358" s="342" t="str">
        <f>IFERROR(__xludf.DUMMYFUNCTION("IF(AS358=""oooooooooooo"",""-"",IF(REGEXMATCH(AT358,""xxxxx""), ""CCC."", ""-""))"),"-")</f>
        <v>-</v>
      </c>
      <c r="BP358" s="344" t="str">
        <f t="shared" si="27"/>
        <v>-</v>
      </c>
      <c r="BQ358" s="282" t="str">
        <f>IFERROR(__xludf.DUMMYFUNCTION("IF(REGEXMATCH(JOIN(""-"",EU358:FD358),""TRUE""),""✔"",""-"")"),"-")</f>
        <v>-</v>
      </c>
      <c r="BR358" s="225">
        <f t="shared" si="28"/>
        <v>0</v>
      </c>
      <c r="BS358" s="345" t="str">
        <f>IFERROR(__xludf.DUMMYFUNCTION("SUBSTITUTE(SUBSTITUTE(SUBSTITUTE(SUBSTITUTE(CONCATENATE(JOIN(""-"",GC358:GO358)),""--"",""-""),""--"",""-""),""--"",""-""),""--"",""-"")"),"1-b3-4-b6-b7-7-8")</f>
        <v>1-b3-4-b6-b7-7-8</v>
      </c>
      <c r="BT358" s="299" t="str">
        <f>IFERROR(__xludf.DUMMYFUNCTION("SUBSTITUTE(SUBSTITUTE(SUBSTITUTE(SUBSTITUTE(CONCATENATE(JOIN(""-"",GP358:HB358)),""--"",""-""),""--"",""-""),""--"",""-""),""--"",""-"")"),"S-G2-M1-D1-N2-N3-S")</f>
        <v>S-G2-M1-D1-N2-N3-S</v>
      </c>
      <c r="BU358" s="348" t="str">
        <f t="shared" si="29"/>
        <v>C-Eb-F-Ab-Bb-B-C</v>
      </c>
      <c r="BV358" s="349" t="str">
        <f t="shared" si="30"/>
        <v>SrRGMPDS</v>
      </c>
      <c r="BW358" s="350">
        <f t="shared" si="31"/>
        <v>0</v>
      </c>
      <c r="BX358" s="351">
        <f t="shared" si="32"/>
        <v>1</v>
      </c>
      <c r="BY358" s="392"/>
      <c r="BZ358" s="309" t="str">
        <f>IFERROR(__xludf.DUMMYFUNCTION("IF(REGEXMATCH(C358, ""S""), ""x"",""x"")"),"x")</f>
        <v>x</v>
      </c>
      <c r="CA358" s="245" t="str">
        <f>IFERROR(__xludf.DUMMYFUNCTION("IF(REGEXMATCH(C358, ""r""), ""o"",""x"")"),"x")</f>
        <v>x</v>
      </c>
      <c r="CB358" s="246" t="str">
        <f>IFERROR(__xludf.DUMMYFUNCTION("IF(REGEXMATCH(C358, ""R""), ""o"",""x"")"),"x")</f>
        <v>x</v>
      </c>
      <c r="CC358" s="246" t="str">
        <f>IFERROR(__xludf.DUMMYFUNCTION("IF(REGEXMATCH(C358, ""g""), ""o"",""x"")"),"o")</f>
        <v>o</v>
      </c>
      <c r="CD358" s="245" t="str">
        <f>IFERROR(__xludf.DUMMYFUNCTION("IF(REGEXMATCH(C358, ""G""), ""o"",""x"")"),"x")</f>
        <v>x</v>
      </c>
      <c r="CE358" s="245" t="str">
        <f>IFERROR(__xludf.DUMMYFUNCTION("IF(REGEXMATCH(C358, ""m""), ""o"",""x"")"),"o")</f>
        <v>o</v>
      </c>
      <c r="CF358" s="246" t="str">
        <f>IFERROR(__xludf.DUMMYFUNCTION("IF(REGEXMATCH(C358, ""M""), ""o"",""x"")"),"x")</f>
        <v>x</v>
      </c>
      <c r="CG358" s="245" t="str">
        <f>IFERROR(__xludf.DUMMYFUNCTION("IF(REGEXMATCH(C358, ""P""), ""o"",""x"")"),"x")</f>
        <v>x</v>
      </c>
      <c r="CH358" s="246" t="str">
        <f>IFERROR(__xludf.DUMMYFUNCTION("IF(REGEXMATCH(C358, ""d""), ""o"",""x"")"),"o")</f>
        <v>o</v>
      </c>
      <c r="CI358" s="245" t="str">
        <f>IFERROR(__xludf.DUMMYFUNCTION("IF(REGEXMATCH(C358, ""D""), ""o"",""x"")"),"x")</f>
        <v>x</v>
      </c>
      <c r="CJ358" s="245" t="str">
        <f>IFERROR(__xludf.DUMMYFUNCTION("IF(REGEXMATCH(C358, ""n""), ""o"",""x"")"),"o")</f>
        <v>o</v>
      </c>
      <c r="CK358" s="245" t="str">
        <f>IFERROR(__xludf.DUMMYFUNCTION("IF(REGEXMATCH(C358, ""N""), ""o"",""x"")"),"o")</f>
        <v>o</v>
      </c>
      <c r="CL358" s="356" t="str">
        <f>IFERROR(__xludf.DUMMYFUNCTION("IF(REGEXMATCH(C358, ""S""), ""x"",""x"")"),"x")</f>
        <v>x</v>
      </c>
      <c r="CM358" s="357" t="str">
        <f t="shared" si="33"/>
        <v>xxxoxoxxoxoo</v>
      </c>
      <c r="CN358" s="358">
        <f t="shared" si="34"/>
        <v>0</v>
      </c>
      <c r="CO358" s="246" t="str">
        <f>IFERROR(__xludf.DUMMYFUNCTION("IF(REGEXMATCH($C358, ""S""), ""S"",""S"")"),"S")</f>
        <v>S</v>
      </c>
      <c r="CP358" s="246" t="str">
        <f>IFERROR(__xludf.DUMMYFUNCTION("IF(REGEXMATCH($C358, ""r""), """",""r"")"),"r")</f>
        <v>r</v>
      </c>
      <c r="CQ358" s="246" t="str">
        <f>IFERROR(__xludf.DUMMYFUNCTION("IF(REGEXMATCH($C358, ""R""), """",""R"")"),"R")</f>
        <v>R</v>
      </c>
      <c r="CR358" s="246" t="str">
        <f>IFERROR(__xludf.DUMMYFUNCTION("IF(REGEXMATCH($C358, ""g""), """",""g"")"),"")</f>
        <v/>
      </c>
      <c r="CS358" s="246" t="str">
        <f>IFERROR(__xludf.DUMMYFUNCTION("IF(REGEXMATCH($C358, ""G""), """",""G"")"),"G")</f>
        <v>G</v>
      </c>
      <c r="CT358" s="246" t="str">
        <f>IFERROR(__xludf.DUMMYFUNCTION("IF(REGEXMATCH($C358, ""m""), """",""m"")"),"")</f>
        <v/>
      </c>
      <c r="CU358" s="246" t="str">
        <f>IFERROR(__xludf.DUMMYFUNCTION("IF(REGEXMATCH($C358, ""M""), """",""M"")"),"M")</f>
        <v>M</v>
      </c>
      <c r="CV358" s="246" t="str">
        <f>IFERROR(__xludf.DUMMYFUNCTION("IF(REGEXMATCH($C358, ""P""), """",""P"")"),"P")</f>
        <v>P</v>
      </c>
      <c r="CW358" s="246" t="str">
        <f>IFERROR(__xludf.DUMMYFUNCTION("IF(REGEXMATCH($C358, ""d""), """",""d"")"),"")</f>
        <v/>
      </c>
      <c r="CX358" s="246" t="str">
        <f>IFERROR(__xludf.DUMMYFUNCTION("IF(REGEXMATCH($C358, ""D""), """",""D"")"),"D")</f>
        <v>D</v>
      </c>
      <c r="CY358" s="246" t="str">
        <f>IFERROR(__xludf.DUMMYFUNCTION("IF(REGEXMATCH($C358, ""n""), """",""n"")"),"")</f>
        <v/>
      </c>
      <c r="CZ358" s="246" t="str">
        <f>IFERROR(__xludf.DUMMYFUNCTION("IF(REGEXMATCH($C358, ""N""), """",""N"")"),"")</f>
        <v/>
      </c>
      <c r="DA358" s="246" t="str">
        <f>IFERROR(__xludf.DUMMYFUNCTION("IF(REGEXMATCH($C358, ""S""), ""S"",""S"")"),"S")</f>
        <v>S</v>
      </c>
      <c r="DB358" s="362" t="str">
        <f>IFERROR(__xludf.DUMMYFUNCTION("JOIN("""",CO358:DA358,"""","""")"),"SrRGMPDS")</f>
        <v>SrRGMPDS</v>
      </c>
      <c r="DC358" s="363"/>
      <c r="DD358" s="301" t="str">
        <f t="shared" si="35"/>
        <v>#REF!</v>
      </c>
      <c r="DE358" s="302" t="str">
        <f t="shared" si="36"/>
        <v>#REF!</v>
      </c>
      <c r="DF358" s="301" t="str">
        <f t="shared" ref="DF358:DG358" si="950">SUBSTITUTE(S358,"-","")</f>
        <v>SGM</v>
      </c>
      <c r="DG358" s="301" t="str">
        <f t="shared" si="950"/>
        <v>DNS</v>
      </c>
      <c r="DH358" s="302" t="str">
        <f t="shared" si="38"/>
        <v>Marwa</v>
      </c>
      <c r="DI358" s="301" t="str">
        <f t="shared" si="39"/>
        <v>Hemi.</v>
      </c>
      <c r="DJ358" s="364" t="str">
        <f t="shared" si="40"/>
        <v>Cohem.</v>
      </c>
      <c r="DK358" s="306" t="str">
        <f t="shared" si="41"/>
        <v>-</v>
      </c>
      <c r="DL358" s="366" t="str">
        <f t="shared" si="42"/>
        <v>-</v>
      </c>
      <c r="DM358" s="308" t="str">
        <f t="shared" si="43"/>
        <v>✔</v>
      </c>
      <c r="DN358" s="306" t="str">
        <f t="shared" si="44"/>
        <v>-</v>
      </c>
      <c r="DO358" s="306" t="str">
        <f t="shared" si="45"/>
        <v>-</v>
      </c>
      <c r="DP358" s="367" t="str">
        <f t="shared" si="46"/>
        <v>-</v>
      </c>
      <c r="DQ358" s="310" t="str">
        <f t="shared" si="47"/>
        <v>-</v>
      </c>
      <c r="DR358" s="310" t="str">
        <f t="shared" si="48"/>
        <v>-</v>
      </c>
      <c r="DS358" s="310" t="str">
        <f t="shared" si="49"/>
        <v>-</v>
      </c>
      <c r="DT358" s="310" t="str">
        <f t="shared" si="50"/>
        <v>-</v>
      </c>
      <c r="DU358" s="370" t="str">
        <f t="shared" si="51"/>
        <v>✔</v>
      </c>
      <c r="DV358" s="306" t="str">
        <f t="shared" si="52"/>
        <v>✔</v>
      </c>
      <c r="DW358" s="306" t="str">
        <f t="shared" si="53"/>
        <v>-</v>
      </c>
      <c r="DX358" s="306" t="str">
        <f t="shared" si="54"/>
        <v>-</v>
      </c>
      <c r="DY358" s="306" t="str">
        <f t="shared" si="55"/>
        <v>✔</v>
      </c>
      <c r="DZ358" s="306" t="str">
        <f t="shared" si="56"/>
        <v>-</v>
      </c>
      <c r="EA358" s="367" t="str">
        <f t="shared" si="57"/>
        <v>-</v>
      </c>
      <c r="EB358" s="310" t="str">
        <f>IFERROR(__xludf.DUMMYFUNCTION("IF(REGEXMATCH(AW358,AS358),""✔"",""-"")"),"-")</f>
        <v>-</v>
      </c>
      <c r="EC358" s="310" t="str">
        <f t="shared" si="58"/>
        <v>#REF!</v>
      </c>
      <c r="ED358" s="370" t="str">
        <f t="shared" si="59"/>
        <v>-</v>
      </c>
      <c r="EE358" s="340" t="str">
        <f t="shared" si="60"/>
        <v>S-g-m-d-nN-S</v>
      </c>
      <c r="EF358" s="371" t="str">
        <f>IFERROR(__xludf.DUMMYFUNCTION("CONCATENATE(JOIN("""",HC358:HO358))"),"SrRGPDS")</f>
        <v>SrRGPDS</v>
      </c>
      <c r="EG358" s="372">
        <f t="shared" si="61"/>
        <v>2</v>
      </c>
      <c r="EH358" s="373" t="str">
        <f>IFERROR(__xludf.DUMMYFUNCTION("CONCATENATE(JOIN("""",JC358:JO358))"),"Sa, Ni, ")</f>
        <v>Sa, Ni, </v>
      </c>
      <c r="EI358" s="322">
        <f t="shared" si="62"/>
        <v>1</v>
      </c>
      <c r="EJ358" s="374" t="str">
        <f>IFERROR(__xludf.DUMMYFUNCTION("CONCATENATE(JOIN("""",KC358:KO358))"),"Ni, ")</f>
        <v>Ni, </v>
      </c>
      <c r="EK358" s="325" t="str">
        <f t="shared" si="63"/>
        <v>S-G2-M1-D1-N2-N3-S</v>
      </c>
      <c r="EL358" s="326" t="str">
        <f t="shared" si="64"/>
        <v>1-b3-4-b6-b7-7-8</v>
      </c>
      <c r="EM358" s="318" t="str">
        <f t="shared" si="65"/>
        <v>#REF!</v>
      </c>
      <c r="EN358" s="328" t="str">
        <f>IFERROR(__xludf.DUMMYFUNCTION("SUBSTITUTE(SUBSTITUTE(SUBSTITUTE(SUBSTITUTE(CONCATENATE(JOIN("" "",HP358:IB358)),""  "","" ""),""  "","" ""),""  "","" ""),""  "","" "")"),"o • • o • o • • o • o o o")</f>
        <v>o • • o • o • • o • o o o</v>
      </c>
      <c r="EO358" s="368" t="str">
        <f t="shared" si="66"/>
        <v>Sa-ma</v>
      </c>
      <c r="EP358" s="339" t="str">
        <f t="shared" si="67"/>
        <v>-</v>
      </c>
      <c r="EQ358" s="339" t="str">
        <f t="shared" si="68"/>
        <v>-</v>
      </c>
      <c r="ER358" s="339" t="str">
        <f t="shared" si="69"/>
        <v>-</v>
      </c>
      <c r="ES358" s="340" t="str">
        <f t="shared" si="70"/>
        <v>Sa-ma</v>
      </c>
      <c r="ET358" s="363"/>
      <c r="EU358" s="376" t="b">
        <f>IFERROR(__xludf.DUMMYFUNCTION("arrayformula(sum(--REGEXMATCH(""SRGMPDNS"",split(REGEXREPLACE(C358,""(.)"",""$1~""),""~""))))=len(C358)
"),FALSE)</f>
        <v>0</v>
      </c>
      <c r="EV358" s="290" t="b">
        <f>IFERROR(__xludf.DUMMYFUNCTION("arrayformula(sum(--REGEXMATCH(""SRGmPDNS"",split(REGEXREPLACE(C358,""(.)"",""$1~""),""~""))))=len(C358)"),FALSE)</f>
        <v>0</v>
      </c>
      <c r="EW358" s="290" t="b">
        <f>IFERROR(__xludf.DUMMYFUNCTION("arrayformula(sum(--REGEXMATCH(""SRGmPDnS"",split(REGEXREPLACE(C358,""(.)"",""$1~""),""~""))))=len(C358)"),FALSE)</f>
        <v>0</v>
      </c>
      <c r="EX358" s="290" t="b">
        <f>IFERROR(__xludf.DUMMYFUNCTION("arrayformula(sum(--REGEXMATCH(""SRgmPDnS"",split(REGEXREPLACE(C358,""(.)"",""$1~""),""~""))))=len(C358)"),FALSE)</f>
        <v>0</v>
      </c>
      <c r="EY358" s="290" t="b">
        <f>IFERROR(__xludf.DUMMYFUNCTION("arrayformula(sum(--REGEXMATCH(""SRgmPdnS"",split(REGEXREPLACE(C358,""(.)"",""$1~""),""~""))))=len(C358)"),FALSE)</f>
        <v>0</v>
      </c>
      <c r="EZ358" s="290" t="b">
        <f>IFERROR(__xludf.DUMMYFUNCTION("arrayformula(sum(--REGEXMATCH(""SrgmPdnS"",split(REGEXREPLACE(C358,""(.)"",""$1~""),""~""))))=len(C358)"),FALSE)</f>
        <v>0</v>
      </c>
      <c r="FA358" s="290" t="b">
        <f>IFERROR(__xludf.DUMMYFUNCTION("arrayformula(sum(--REGEXMATCH(""SrGmPdNS"",split(REGEXREPLACE(C358,""(.)"",""$1~""),""~""))))=len(C358)"),FALSE)</f>
        <v>0</v>
      </c>
      <c r="FB358" s="290" t="b">
        <f>IFERROR(__xludf.DUMMYFUNCTION("arrayformula(sum(--REGEXMATCH(""SrGMPDNS"",split(REGEXREPLACE(C358,""(.)"",""$1~""),""~""))))=len(C358)"),FALSE)</f>
        <v>0</v>
      </c>
      <c r="FC358" s="290" t="b">
        <f>IFERROR(__xludf.DUMMYFUNCTION("arrayformula(sum(--REGEXMATCH(""SrGMPdNS"",split(REGEXREPLACE(C358,""(.)"",""$1~""),""~""))))=len(C358)"),FALSE)</f>
        <v>0</v>
      </c>
      <c r="FD358" s="377" t="b">
        <f>IFERROR(__xludf.DUMMYFUNCTION("arrayformula(sum(--REGEXMATCH(""SrgMPdNS"",split(REGEXREPLACE(C358,""(.)"",""$1~""),""~""))))=len(C358)"),FALSE)</f>
        <v>0</v>
      </c>
      <c r="FE358" s="269" t="str">
        <f t="shared" si="71"/>
        <v>-</v>
      </c>
      <c r="FF358" s="269" t="str">
        <f t="shared" si="72"/>
        <v>-</v>
      </c>
      <c r="FG358" s="271" t="str">
        <f t="shared" si="73"/>
        <v>xoxooxoxxxo</v>
      </c>
      <c r="FH358" s="269" t="str">
        <f t="shared" si="74"/>
        <v>-</v>
      </c>
      <c r="FI358" s="271" t="str">
        <f t="shared" si="75"/>
        <v>xooxoxxxoox</v>
      </c>
      <c r="FJ358" s="271" t="str">
        <f t="shared" si="76"/>
        <v>-</v>
      </c>
      <c r="FK358" s="271" t="str">
        <f t="shared" si="77"/>
        <v>-</v>
      </c>
      <c r="FL358" s="271" t="str">
        <f t="shared" si="78"/>
        <v>xoxxxooxoxo</v>
      </c>
      <c r="FM358" s="271" t="str">
        <f t="shared" si="79"/>
        <v>-</v>
      </c>
      <c r="FN358" s="271" t="str">
        <f t="shared" si="80"/>
        <v>xxxooxoxoox</v>
      </c>
      <c r="FO358" s="274" t="str">
        <f t="shared" si="81"/>
        <v>xxooxoxooxo</v>
      </c>
      <c r="FP358" s="234" t="str">
        <f t="shared" si="82"/>
        <v>|</v>
      </c>
      <c r="FQ358" s="236" t="str">
        <f t="shared" si="83"/>
        <v>-</v>
      </c>
      <c r="FR358" s="237" t="str">
        <f t="shared" si="84"/>
        <v>-</v>
      </c>
      <c r="FS358" s="236" t="str">
        <f t="shared" si="85"/>
        <v>|</v>
      </c>
      <c r="FT358" s="237" t="str">
        <f t="shared" si="86"/>
        <v>-</v>
      </c>
      <c r="FU358" s="236" t="str">
        <f t="shared" si="87"/>
        <v>|</v>
      </c>
      <c r="FV358" s="237" t="str">
        <f t="shared" si="88"/>
        <v>-</v>
      </c>
      <c r="FW358" s="236" t="str">
        <f t="shared" si="89"/>
        <v>-</v>
      </c>
      <c r="FX358" s="237" t="str">
        <f t="shared" si="90"/>
        <v>|</v>
      </c>
      <c r="FY358" s="236" t="str">
        <f t="shared" si="91"/>
        <v>-</v>
      </c>
      <c r="FZ358" s="237" t="str">
        <f t="shared" si="92"/>
        <v>|</v>
      </c>
      <c r="GA358" s="236" t="str">
        <f t="shared" si="93"/>
        <v>|</v>
      </c>
      <c r="GB358" s="238" t="str">
        <f t="shared" si="94"/>
        <v>|</v>
      </c>
      <c r="GC358" s="244" t="str">
        <f>IFERROR(__xludf.DUMMYFUNCTION("IF(REGEXMATCH(C358, ""S""), ""1"","""")"),"1")</f>
        <v>1</v>
      </c>
      <c r="GD358" s="245" t="str">
        <f>IFERROR(__xludf.DUMMYFUNCTION("IF(REGEXMATCH(C358, ""r""), ""b2"","""")"),"")</f>
        <v/>
      </c>
      <c r="GE358" s="246" t="str">
        <f>IFERROR(__xludf.DUMMYFUNCTION("IF(REGEXMATCH(C358, ""R""), ""2"","""")"),"")</f>
        <v/>
      </c>
      <c r="GF358" s="246" t="str">
        <f>IFERROR(__xludf.DUMMYFUNCTION("IF(REGEXMATCH(C358, ""g""), ""b3"","""")"),"b3")</f>
        <v>b3</v>
      </c>
      <c r="GG358" s="245" t="str">
        <f>IFERROR(__xludf.DUMMYFUNCTION("IF(REGEXMATCH(C358, ""G""), ""3"","""")"),"")</f>
        <v/>
      </c>
      <c r="GH358" s="245" t="str">
        <f>IFERROR(__xludf.DUMMYFUNCTION("IF(REGEXMATCH(C358, ""m""), ""4"","""")"),"4")</f>
        <v>4</v>
      </c>
      <c r="GI358" s="246" t="str">
        <f>IFERROR(__xludf.DUMMYFUNCTION("IF(REGEXMATCH(C358, ""M""), ""#4"","""")"),"")</f>
        <v/>
      </c>
      <c r="GJ358" s="245" t="str">
        <f>IFERROR(__xludf.DUMMYFUNCTION("IF(REGEXMATCH(C358, ""P""), ""5"","""")"),"")</f>
        <v/>
      </c>
      <c r="GK358" s="246" t="str">
        <f>IFERROR(__xludf.DUMMYFUNCTION("IF(REGEXMATCH(C358, ""d""), ""b6"","""")"),"b6")</f>
        <v>b6</v>
      </c>
      <c r="GL358" s="245" t="str">
        <f>IFERROR(__xludf.DUMMYFUNCTION("IF(REGEXMATCH(C358, ""D""), ""6"","""")"),"")</f>
        <v/>
      </c>
      <c r="GM358" s="245" t="str">
        <f>IFERROR(__xludf.DUMMYFUNCTION("IF(REGEXMATCH(C358, ""n""), ""b7"","""")"),"b7")</f>
        <v>b7</v>
      </c>
      <c r="GN358" s="246" t="str">
        <f>IFERROR(__xludf.DUMMYFUNCTION("IF(REGEXMATCH(C358, ""N""), ""7"","""")"),"7")</f>
        <v>7</v>
      </c>
      <c r="GO358" s="249" t="str">
        <f>IFERROR(__xludf.DUMMYFUNCTION("IF(REGEXMATCH(C358, ""S""), ""8"","""")"),"8")</f>
        <v>8</v>
      </c>
      <c r="GP358" s="244" t="str">
        <f>IFERROR(__xludf.DUMMYFUNCTION("IF(REGEXMATCH(C358, ""S""), ""S"","""")"),"S")</f>
        <v>S</v>
      </c>
      <c r="GQ358" s="294" t="str">
        <f>IFERROR(__xludf.DUMMYFUNCTION("IF(REGEXMATCH(C358, ""r""), ""R1"","""")"),"")</f>
        <v/>
      </c>
      <c r="GR358" s="295" t="str">
        <f>IFERROR(__xludf.DUMMYFUNCTION("IF(REGEXMATCH(C358, ""R""), ""R2"","""")"),"")</f>
        <v/>
      </c>
      <c r="GS358" s="295" t="str">
        <f>IFERROR(__xludf.DUMMYFUNCTION("IF(REGEXMATCH(C358, ""g""), ""G2"","""")"),"G2")</f>
        <v>G2</v>
      </c>
      <c r="GT358" s="294" t="str">
        <f>IFERROR(__xludf.DUMMYFUNCTION("IF(REGEXMATCH(C358, ""G""), ""G3"","""")"),"")</f>
        <v/>
      </c>
      <c r="GU358" s="294" t="str">
        <f>IFERROR(__xludf.DUMMYFUNCTION("IF(REGEXMATCH(C358, ""m""), ""M1"","""")"),"M1")</f>
        <v>M1</v>
      </c>
      <c r="GV358" s="295" t="str">
        <f>IFERROR(__xludf.DUMMYFUNCTION("IF(REGEXMATCH(C358, ""M""), ""M2"","""")"),"")</f>
        <v/>
      </c>
      <c r="GW358" s="294" t="str">
        <f>IFERROR(__xludf.DUMMYFUNCTION("IF(REGEXMATCH(C358, ""P""), ""P"","""")"),"")</f>
        <v/>
      </c>
      <c r="GX358" s="295" t="str">
        <f>IFERROR(__xludf.DUMMYFUNCTION("IF(REGEXMATCH(C358, ""d""), ""D1"","""")"),"D1")</f>
        <v>D1</v>
      </c>
      <c r="GY358" s="294" t="str">
        <f>IFERROR(__xludf.DUMMYFUNCTION("IF(REGEXMATCH(C358, ""D""), ""D2"","""")"),"")</f>
        <v/>
      </c>
      <c r="GZ358" s="294" t="str">
        <f>IFERROR(__xludf.DUMMYFUNCTION("IF(REGEXMATCH(C358, ""n""), ""N2"","""")"),"N2")</f>
        <v>N2</v>
      </c>
      <c r="HA358" s="295" t="str">
        <f>IFERROR(__xludf.DUMMYFUNCTION("IF(REGEXMATCH(C358, ""N""), ""N3"","""")"),"N3")</f>
        <v>N3</v>
      </c>
      <c r="HB358" s="249" t="str">
        <f>IFERROR(__xludf.DUMMYFUNCTION("IF(REGEXMATCH(C358, ""S""), ""S"","""")"),"S")</f>
        <v>S</v>
      </c>
      <c r="HC358" s="331" t="str">
        <f t="shared" si="95"/>
        <v>S</v>
      </c>
      <c r="HD358" s="332" t="str">
        <f t="shared" si="96"/>
        <v>r</v>
      </c>
      <c r="HE358" s="332" t="str">
        <f t="shared" si="97"/>
        <v>R</v>
      </c>
      <c r="HF358" s="332" t="str">
        <f t="shared" si="98"/>
        <v/>
      </c>
      <c r="HG358" s="332" t="str">
        <f t="shared" si="99"/>
        <v>G</v>
      </c>
      <c r="HH358" s="332" t="str">
        <f t="shared" si="100"/>
        <v/>
      </c>
      <c r="HI358" s="332" t="str">
        <f t="shared" si="101"/>
        <v/>
      </c>
      <c r="HJ358" s="332" t="str">
        <f t="shared" si="102"/>
        <v>P</v>
      </c>
      <c r="HK358" s="332" t="str">
        <f t="shared" si="103"/>
        <v/>
      </c>
      <c r="HL358" s="332" t="str">
        <f t="shared" si="104"/>
        <v>D</v>
      </c>
      <c r="HM358" s="332" t="str">
        <f t="shared" si="105"/>
        <v/>
      </c>
      <c r="HN358" s="332" t="str">
        <f t="shared" si="106"/>
        <v/>
      </c>
      <c r="HO358" s="343" t="str">
        <f t="shared" si="107"/>
        <v>S</v>
      </c>
      <c r="HP358" s="331" t="str">
        <f t="shared" si="108"/>
        <v>o</v>
      </c>
      <c r="HQ358" s="332" t="str">
        <f t="shared" si="109"/>
        <v>•</v>
      </c>
      <c r="HR358" s="332" t="str">
        <f t="shared" si="110"/>
        <v>•</v>
      </c>
      <c r="HS358" s="332" t="str">
        <f t="shared" si="111"/>
        <v>o</v>
      </c>
      <c r="HT358" s="332" t="str">
        <f t="shared" si="112"/>
        <v>•</v>
      </c>
      <c r="HU358" s="332" t="str">
        <f t="shared" si="113"/>
        <v>o</v>
      </c>
      <c r="HV358" s="332" t="str">
        <f t="shared" si="114"/>
        <v>•</v>
      </c>
      <c r="HW358" s="332" t="str">
        <f t="shared" si="115"/>
        <v>•</v>
      </c>
      <c r="HX358" s="332" t="str">
        <f t="shared" si="116"/>
        <v>o</v>
      </c>
      <c r="HY358" s="332" t="str">
        <f t="shared" si="117"/>
        <v>•</v>
      </c>
      <c r="HZ358" s="332" t="str">
        <f t="shared" si="118"/>
        <v>o</v>
      </c>
      <c r="IA358" s="332" t="str">
        <f t="shared" si="119"/>
        <v>o</v>
      </c>
      <c r="IB358" s="338" t="str">
        <f t="shared" si="120"/>
        <v>o</v>
      </c>
      <c r="IC358" s="331" t="str">
        <f t="shared" si="121"/>
        <v>•</v>
      </c>
      <c r="ID358" s="332" t="str">
        <f t="shared" si="122"/>
        <v>o</v>
      </c>
      <c r="IE358" s="332" t="str">
        <f t="shared" si="123"/>
        <v>o</v>
      </c>
      <c r="IF358" s="332" t="str">
        <f t="shared" si="124"/>
        <v>•</v>
      </c>
      <c r="IG358" s="332" t="str">
        <f t="shared" si="125"/>
        <v>o</v>
      </c>
      <c r="IH358" s="332" t="str">
        <f t="shared" si="126"/>
        <v>•</v>
      </c>
      <c r="II358" s="332" t="str">
        <f t="shared" si="127"/>
        <v>o</v>
      </c>
      <c r="IJ358" s="332" t="str">
        <f t="shared" si="128"/>
        <v>o</v>
      </c>
      <c r="IK358" s="332" t="str">
        <f t="shared" si="129"/>
        <v>•</v>
      </c>
      <c r="IL358" s="332" t="str">
        <f t="shared" si="130"/>
        <v>o</v>
      </c>
      <c r="IM358" s="332" t="str">
        <f t="shared" si="131"/>
        <v>•</v>
      </c>
      <c r="IN358" s="332" t="str">
        <f t="shared" si="132"/>
        <v>•</v>
      </c>
      <c r="IO358" s="338" t="str">
        <f t="shared" si="133"/>
        <v>•</v>
      </c>
      <c r="IP358" s="346" t="b">
        <f t="shared" si="134"/>
        <v>1</v>
      </c>
      <c r="IQ358" s="347" t="b">
        <f t="shared" si="135"/>
        <v>0</v>
      </c>
      <c r="IR358" s="347" t="b">
        <f t="shared" si="136"/>
        <v>0</v>
      </c>
      <c r="IS358" s="347" t="b">
        <f t="shared" si="137"/>
        <v>0</v>
      </c>
      <c r="IT358" s="347" t="b">
        <f t="shared" si="138"/>
        <v>0</v>
      </c>
      <c r="IU358" s="347" t="b">
        <f t="shared" si="139"/>
        <v>0</v>
      </c>
      <c r="IV358" s="347" t="b">
        <f t="shared" si="140"/>
        <v>0</v>
      </c>
      <c r="IW358" s="347" t="b">
        <f t="shared" si="141"/>
        <v>0</v>
      </c>
      <c r="IX358" s="347" t="b">
        <f t="shared" si="142"/>
        <v>0</v>
      </c>
      <c r="IY358" s="347" t="b">
        <f t="shared" si="143"/>
        <v>0</v>
      </c>
      <c r="IZ358" s="347" t="b">
        <f t="shared" si="144"/>
        <v>0</v>
      </c>
      <c r="JA358" s="347" t="b">
        <f t="shared" si="145"/>
        <v>1</v>
      </c>
      <c r="JB358" s="353" t="b">
        <f t="shared" si="146"/>
        <v>1</v>
      </c>
      <c r="JC358" s="354" t="str">
        <f t="shared" si="147"/>
        <v>Sa, </v>
      </c>
      <c r="JD358" s="355" t="str">
        <f t="shared" si="148"/>
        <v/>
      </c>
      <c r="JE358" s="355" t="str">
        <f t="shared" si="149"/>
        <v/>
      </c>
      <c r="JF358" s="355" t="str">
        <f t="shared" si="150"/>
        <v/>
      </c>
      <c r="JG358" s="355" t="str">
        <f t="shared" si="151"/>
        <v/>
      </c>
      <c r="JH358" s="355" t="str">
        <f t="shared" si="152"/>
        <v/>
      </c>
      <c r="JI358" s="355" t="str">
        <f t="shared" si="153"/>
        <v/>
      </c>
      <c r="JJ358" s="355" t="str">
        <f t="shared" si="154"/>
        <v/>
      </c>
      <c r="JK358" s="355" t="str">
        <f t="shared" si="155"/>
        <v/>
      </c>
      <c r="JL358" s="355" t="str">
        <f t="shared" si="156"/>
        <v/>
      </c>
      <c r="JM358" s="355" t="str">
        <f t="shared" si="157"/>
        <v/>
      </c>
      <c r="JN358" s="355" t="str">
        <f t="shared" si="158"/>
        <v>Ni, </v>
      </c>
      <c r="JO358" s="359" t="str">
        <f t="shared" si="159"/>
        <v/>
      </c>
      <c r="JP358" s="346" t="b">
        <f t="shared" si="160"/>
        <v>0</v>
      </c>
      <c r="JQ358" s="347" t="b">
        <f t="shared" si="161"/>
        <v>0</v>
      </c>
      <c r="JR358" s="347" t="b">
        <f t="shared" si="162"/>
        <v>0</v>
      </c>
      <c r="JS358" s="347" t="b">
        <f t="shared" si="163"/>
        <v>0</v>
      </c>
      <c r="JT358" s="347" t="b">
        <f t="shared" si="164"/>
        <v>0</v>
      </c>
      <c r="JU358" s="347" t="b">
        <f t="shared" si="165"/>
        <v>0</v>
      </c>
      <c r="JV358" s="347" t="b">
        <f t="shared" si="166"/>
        <v>0</v>
      </c>
      <c r="JW358" s="347" t="b">
        <f t="shared" si="167"/>
        <v>0</v>
      </c>
      <c r="JX358" s="347" t="b">
        <f t="shared" si="168"/>
        <v>0</v>
      </c>
      <c r="JY358" s="347" t="b">
        <f t="shared" si="169"/>
        <v>0</v>
      </c>
      <c r="JZ358" s="347" t="b">
        <f t="shared" si="170"/>
        <v>0</v>
      </c>
      <c r="KA358" s="347" t="b">
        <f t="shared" si="171"/>
        <v>1</v>
      </c>
      <c r="KB358" s="365" t="b">
        <f t="shared" si="172"/>
        <v>0</v>
      </c>
      <c r="KC358" s="354" t="str">
        <f t="shared" si="173"/>
        <v/>
      </c>
      <c r="KD358" s="355" t="str">
        <f t="shared" si="174"/>
        <v/>
      </c>
      <c r="KE358" s="355" t="str">
        <f t="shared" si="175"/>
        <v/>
      </c>
      <c r="KF358" s="355" t="str">
        <f t="shared" si="176"/>
        <v/>
      </c>
      <c r="KG358" s="355" t="str">
        <f t="shared" si="177"/>
        <v/>
      </c>
      <c r="KH358" s="355" t="str">
        <f t="shared" si="178"/>
        <v/>
      </c>
      <c r="KI358" s="355" t="str">
        <f t="shared" si="179"/>
        <v/>
      </c>
      <c r="KJ358" s="355" t="str">
        <f t="shared" si="180"/>
        <v/>
      </c>
      <c r="KK358" s="355" t="str">
        <f t="shared" si="181"/>
        <v/>
      </c>
      <c r="KL358" s="355" t="str">
        <f t="shared" si="182"/>
        <v/>
      </c>
      <c r="KM358" s="355" t="str">
        <f t="shared" si="183"/>
        <v/>
      </c>
      <c r="KN358" s="355" t="str">
        <f t="shared" si="184"/>
        <v>Ni, </v>
      </c>
      <c r="KO358" s="359"/>
      <c r="KP358" s="378"/>
      <c r="KQ358" s="379" t="s">
        <v>9</v>
      </c>
      <c r="KR358" s="380" t="s">
        <v>9</v>
      </c>
      <c r="KS358" s="381" t="s">
        <v>9</v>
      </c>
      <c r="KT358" s="382">
        <f t="shared" si="186"/>
        <v>0</v>
      </c>
      <c r="KU358" s="383">
        <f t="shared" si="187"/>
        <v>0</v>
      </c>
      <c r="KV358" s="381" t="str">
        <f t="shared" si="205"/>
        <v>S</v>
      </c>
      <c r="KW358" s="382">
        <f t="shared" si="189"/>
        <v>0</v>
      </c>
      <c r="KX358" s="384">
        <f t="shared" si="190"/>
        <v>0</v>
      </c>
      <c r="KY358" s="382">
        <f t="shared" ref="KY358:KZ358" si="951">KW358-KT358</f>
        <v>0</v>
      </c>
      <c r="KZ358" s="369">
        <f t="shared" si="951"/>
        <v>0</v>
      </c>
      <c r="LA358" s="385" t="str">
        <f t="shared" si="192"/>
        <v>✔</v>
      </c>
      <c r="LB358" s="340" t="str">
        <f>IFERROR(__xludf.DUMMYFUNCTION("JOIN("""",ArrayFormula(MID(KS358,LEN(KS358)-SEQUENCE(1,LEN(KS358))+1,1)))"),"S")</f>
        <v>S</v>
      </c>
      <c r="LC358" s="373" t="str">
        <f>IFERROR(__xludf.DUMMYFUNCTION("JOIN("""",ArrayFormula(MID(KV358,LEN(KV358)-SEQUENCE(1,LEN(KV358))+1,1)))"),"S")</f>
        <v>S</v>
      </c>
      <c r="LD358" s="373" t="str">
        <f t="shared" si="193"/>
        <v>S</v>
      </c>
      <c r="LE358" s="339" t="str">
        <f t="shared" si="194"/>
        <v>S</v>
      </c>
      <c r="LF358" s="386" t="str">
        <f>IFERROR(__xludf.DUMMYFUNCTION("SUBSTITUTE(SUBSTITUTE(CONCATENATE(JOIN("""",LH358:LT358)),""1"",""""),""2"","""")"),"SS")</f>
        <v>SS</v>
      </c>
      <c r="LG358" s="369" t="str">
        <f t="shared" si="195"/>
        <v>-</v>
      </c>
      <c r="LH358" s="387" t="str">
        <f>IFERROR(__xludf.DUMMYFUNCTION("IF(REGEXMATCH(LD358, ""S""), ""S"",IF(REGEXMATCH(LE358, ""S""), ""S"",""""))"),"S")</f>
        <v>S</v>
      </c>
      <c r="LI358" s="299" t="str">
        <f>IFERROR(__xludf.DUMMYFUNCTION("IF(REGEXMATCH(LD358, ""r""), ""r1"",IF(REGEXMATCH(LE358, ""r""), ""r2"",""""))"),"")</f>
        <v/>
      </c>
      <c r="LJ358" s="299" t="str">
        <f>IFERROR(__xludf.DUMMYFUNCTION("IF(REGEXMATCH(LD358, ""R""), ""R1"",IF(REGEXMATCH(LE358, ""R""), ""R2"",""""))"),"")</f>
        <v/>
      </c>
      <c r="LK358" s="299" t="str">
        <f>IFERROR(__xludf.DUMMYFUNCTION("IF(REGEXMATCH(LD358, ""g""), ""g1"",IF(REGEXMATCH(LE358, ""g""), ""g2"",""""))"),"")</f>
        <v/>
      </c>
      <c r="LL358" s="299" t="str">
        <f>IFERROR(__xludf.DUMMYFUNCTION("IF(REGEXMATCH(LD358, ""G""), ""G1"",IF(REGEXMATCH(LE358, ""G""), ""G2"",""""))"),"")</f>
        <v/>
      </c>
      <c r="LM358" s="299" t="str">
        <f>IFERROR(__xludf.DUMMYFUNCTION("IF(REGEXMATCH(LD358, ""m""), ""m1"",IF(REGEXMATCH(LE358, ""m""), ""m2"",""""))"),"")</f>
        <v/>
      </c>
      <c r="LN358" s="299" t="str">
        <f>IFERROR(__xludf.DUMMYFUNCTION("IF(REGEXMATCH(LD358, ""M""), ""M1"",IF(REGEXMATCH(LE358, ""M""), ""M2"",""""))"),"")</f>
        <v/>
      </c>
      <c r="LO358" s="299" t="str">
        <f>IFERROR(__xludf.DUMMYFUNCTION("IF(REGEXMATCH(LD358, ""P""), ""P1"",IF(REGEXMATCH(LE358, ""P""), ""P2"",""""))"),"")</f>
        <v/>
      </c>
      <c r="LP358" s="299" t="str">
        <f>IFERROR(__xludf.DUMMYFUNCTION("IF(REGEXMATCH(LD358, ""d""), ""d1"",IF(REGEXMATCH(LE358, ""d""), ""d2"",""""))"),"")</f>
        <v/>
      </c>
      <c r="LQ358" s="299" t="str">
        <f>IFERROR(__xludf.DUMMYFUNCTION("IF(REGEXMATCH(LD358, ""D""), ""D1"",IF(REGEXMATCH(LE358, ""D""), ""D2"",""""))"),"")</f>
        <v/>
      </c>
      <c r="LR358" s="299" t="str">
        <f>IFERROR(__xludf.DUMMYFUNCTION("IF(REGEXMATCH(LD358, ""n""), ""n1"",IF(REGEXMATCH(LE358, ""n""), ""n2"",""""))"),"")</f>
        <v/>
      </c>
      <c r="LS358" s="299" t="str">
        <f>IFERROR(__xludf.DUMMYFUNCTION("IF(REGEXMATCH(LD358, ""N""), ""N1"",IF(REGEXMATCH(LE358, ""N""), ""N2"",""""))"),"")</f>
        <v/>
      </c>
      <c r="LT358" s="388" t="str">
        <f>IFERROR(__xludf.DUMMYFUNCTION("IF(REGEXMATCH(LD358, ""S""), ""S"",IF(REGEXMATCH(LE358, ""S""), ""S"",""""))"),"S")</f>
        <v>S</v>
      </c>
      <c r="LU358" s="389">
        <f t="shared" si="196"/>
        <v>1</v>
      </c>
      <c r="LV358" s="378"/>
      <c r="LW358" s="369"/>
      <c r="LX358" s="369"/>
    </row>
    <row r="359" ht="18.0" customHeight="1">
      <c r="A359" s="298" t="s">
        <v>412</v>
      </c>
      <c r="B359" s="222" t="s">
        <v>413</v>
      </c>
      <c r="C359" s="233" t="str">
        <f t="shared" si="7"/>
        <v>SRGMPDnS</v>
      </c>
      <c r="D359" s="234" t="str">
        <f>IFERROR(__xludf.DUMMYFUNCTION("IF(REGEXMATCH(C359, ""S""), ""S"","""")"),"S")</f>
        <v>S</v>
      </c>
      <c r="E359" s="236" t="str">
        <f>IFERROR(__xludf.DUMMYFUNCTION("IF(REGEXMATCH(C359, ""r""), ""r"","""")"),"")</f>
        <v/>
      </c>
      <c r="F359" s="237" t="str">
        <f>IFERROR(__xludf.DUMMYFUNCTION("IF(REGEXMATCH(C359, ""R""), ""R"","""")"),"R")</f>
        <v>R</v>
      </c>
      <c r="G359" s="237" t="str">
        <f>IFERROR(__xludf.DUMMYFUNCTION("IF(REGEXMATCH(C359, ""g""), ""g"","""")"),"")</f>
        <v/>
      </c>
      <c r="H359" s="236" t="str">
        <f>IFERROR(__xludf.DUMMYFUNCTION("IF(REGEXMATCH(C359, ""G""), ""G"","""")"),"G")</f>
        <v>G</v>
      </c>
      <c r="I359" s="236" t="str">
        <f>IFERROR(__xludf.DUMMYFUNCTION("IF(REGEXMATCH(C359, ""m""), ""m"","""")"),"")</f>
        <v/>
      </c>
      <c r="J359" s="237" t="str">
        <f>IFERROR(__xludf.DUMMYFUNCTION("IF(REGEXMATCH(C359, ""M""), ""M"","""")"),"M")</f>
        <v>M</v>
      </c>
      <c r="K359" s="236" t="str">
        <f>IFERROR(__xludf.DUMMYFUNCTION("IF(REGEXMATCH(C359, ""P""), ""P"","""")"),"P")</f>
        <v>P</v>
      </c>
      <c r="L359" s="237" t="str">
        <f>IFERROR(__xludf.DUMMYFUNCTION("IF(REGEXMATCH(C359, ""d""), ""d"","""")"),"")</f>
        <v/>
      </c>
      <c r="M359" s="236" t="str">
        <f>IFERROR(__xludf.DUMMYFUNCTION("IF(REGEXMATCH(C359, ""D""), ""D"","""")"),"D")</f>
        <v>D</v>
      </c>
      <c r="N359" s="236" t="str">
        <f>IFERROR(__xludf.DUMMYFUNCTION("IF(REGEXMATCH(C359, ""n""), ""n"","""")"),"n")</f>
        <v>n</v>
      </c>
      <c r="O359" s="237" t="str">
        <f>IFERROR(__xludf.DUMMYFUNCTION("IF(REGEXMATCH(C359, ""N""), ""N"","""")"),"")</f>
        <v/>
      </c>
      <c r="P359" s="238" t="str">
        <f>IFERROR(__xludf.DUMMYFUNCTION("IF(REGEXMATCH(C359, ""S""), ""S"","""")"),"S")</f>
        <v>S</v>
      </c>
      <c r="Q359" s="239" t="str">
        <f>IFERROR(__xludf.DUMMYFUNCTION("SUBSTITUTE(CONCATENATE(JOIN(""-"",D359:J359)),""-"","""")"),"SRGM")</f>
        <v>SRGM</v>
      </c>
      <c r="R359" s="229" t="str">
        <f>IFERROR(__xludf.DUMMYFUNCTION("SUBSTITUTE(CONCATENATE(JOIN(""-"",K359:P359)),""-"","""")"),"PDnS")</f>
        <v>PDnS</v>
      </c>
      <c r="S359" s="282" t="str">
        <f t="shared" si="8"/>
        <v>S-R-G-M</v>
      </c>
      <c r="T359" s="282" t="str">
        <f t="shared" si="9"/>
        <v>P-D-N-S</v>
      </c>
      <c r="U359" s="237" t="str">
        <f>IFERROR(__xludf.DUMMYFUNCTION("SUBSTITUTE(JOIN(""-"",S359,T359),""--"",""-"")"),"S-R-G-M-P-D-N-S")</f>
        <v>S-R-G-M-P-D-N-S</v>
      </c>
      <c r="V359" s="309" t="str">
        <f t="shared" si="10"/>
        <v>RGMDn</v>
      </c>
      <c r="W359" s="244" t="str">
        <f>IFERROR(__xludf.DUMMYFUNCTION("IF(REGEXMATCH(C359, ""S""), ""0"","""")"),"0")</f>
        <v>0</v>
      </c>
      <c r="X359" s="245" t="str">
        <f>IFERROR(__xludf.DUMMYFUNCTION("IF(REGEXMATCH(C359, ""r""), ""1"","""")"),"")</f>
        <v/>
      </c>
      <c r="Y359" s="246" t="str">
        <f>IFERROR(__xludf.DUMMYFUNCTION("IF(REGEXMATCH(C359, ""R""), ""2"","""")"),"2")</f>
        <v>2</v>
      </c>
      <c r="Z359" s="246" t="str">
        <f>IFERROR(__xludf.DUMMYFUNCTION("IF(REGEXMATCH(C359, ""g""), ""3"","""")"),"")</f>
        <v/>
      </c>
      <c r="AA359" s="245" t="str">
        <f>IFERROR(__xludf.DUMMYFUNCTION("IF(REGEXMATCH(C359, ""G""), ""4"","""")"),"4")</f>
        <v>4</v>
      </c>
      <c r="AB359" s="245" t="str">
        <f>IFERROR(__xludf.DUMMYFUNCTION("IF(REGEXMATCH(C359, ""m""), ""5"","""")"),"")</f>
        <v/>
      </c>
      <c r="AC359" s="246" t="str">
        <f>IFERROR(__xludf.DUMMYFUNCTION("IF(REGEXMATCH(C359, ""M""), ""6"","""")"),"6")</f>
        <v>6</v>
      </c>
      <c r="AD359" s="245" t="str">
        <f>IFERROR(__xludf.DUMMYFUNCTION("IF(REGEXMATCH(C359, ""P""), ""7"","""")"),"7")</f>
        <v>7</v>
      </c>
      <c r="AE359" s="246" t="str">
        <f>IFERROR(__xludf.DUMMYFUNCTION("IF(REGEXMATCH(C359, ""d""), ""8"","""")"),"")</f>
        <v/>
      </c>
      <c r="AF359" s="245" t="str">
        <f>IFERROR(__xludf.DUMMYFUNCTION("IF(REGEXMATCH(C359, ""D""), ""9"","""")"),"9")</f>
        <v>9</v>
      </c>
      <c r="AG359" s="245" t="str">
        <f>IFERROR(__xludf.DUMMYFUNCTION("IF(REGEXMATCH(C359, ""n""), ""10"","""")"),"10")</f>
        <v>10</v>
      </c>
      <c r="AH359" s="246" t="str">
        <f>IFERROR(__xludf.DUMMYFUNCTION("IF(REGEXMATCH(C359, ""N""), ""11"","""")"),"")</f>
        <v/>
      </c>
      <c r="AI359" s="249" t="str">
        <f>IFERROR(__xludf.DUMMYFUNCTION("IF(REGEXMATCH(C359, ""S""), ""0"","""")"),"0")</f>
        <v>0</v>
      </c>
      <c r="AJ359" s="313" t="str">
        <f t="shared" si="11"/>
        <v>T</v>
      </c>
      <c r="AK359" s="313" t="str">
        <f t="shared" si="12"/>
        <v>-</v>
      </c>
      <c r="AL359" s="313" t="str">
        <f t="shared" si="13"/>
        <v>-</v>
      </c>
      <c r="AM359" s="313" t="str">
        <f t="shared" si="14"/>
        <v>-</v>
      </c>
      <c r="AN359" s="313" t="str">
        <f t="shared" si="15"/>
        <v>T</v>
      </c>
      <c r="AO359" s="314" t="str">
        <f t="shared" si="16"/>
        <v>-</v>
      </c>
      <c r="AP359" s="316">
        <f t="shared" si="17"/>
        <v>2</v>
      </c>
      <c r="AQ359" s="319" t="str">
        <f t="shared" si="18"/>
        <v>#REF!</v>
      </c>
      <c r="AR359" s="320">
        <f t="shared" si="19"/>
        <v>0</v>
      </c>
      <c r="AS359" s="250" t="str">
        <f>IFERROR(__xludf.DUMMYFUNCTION("SUBSTITUTE(SUBSTITUTE(CONCATENATE(JOIN("""",FP359:GA359)),""|"",""x""),""-"",""o"")"),"xoxoxoxxoxxo")</f>
        <v>xoxoxoxxoxxo</v>
      </c>
      <c r="AT359" s="323" t="str">
        <f>IFERROR(__xludf.DUMMYFUNCTION("JOIN("""",AS359,AS359)"),"xoxoxoxxoxxoxoxoxoxxoxxo")</f>
        <v>xoxoxoxxoxxoxoxoxoxxoxxo</v>
      </c>
      <c r="AU359" s="256" t="str">
        <f>IFERROR(__xludf.DUMMYFUNCTION("JOIN("""",ArrayFormula(MID(AS359,LEN(AS359)-SEQUENCE(1,LEN(AS359))+1,1)))"),"oxxoxxoxoxox")</f>
        <v>oxxoxxoxoxox</v>
      </c>
      <c r="AV359" s="256" t="str">
        <f>IFERROR(__xludf.DUMMYFUNCTION("LEFT(CONCATENATE(""x"",JOIN("""",ArrayFormula(MID(AS359,LEN(AS359)-SEQUENCE(1,LEN(AS359))+1,1)))),12)"),"xoxxoxxoxoxo")</f>
        <v>xoxxoxxoxoxo</v>
      </c>
      <c r="AW359" s="327" t="str">
        <f>IFERROR(__xludf.DUMMYFUNCTION("JOIN("""",AU359,AU359)"),"oxxoxxoxoxoxoxxoxxoxoxox")</f>
        <v>oxxoxxoxoxoxoxxoxxoxoxox</v>
      </c>
      <c r="AX359" s="239" t="str">
        <f>IFERROR(__xludf.DUMMYFUNCTION("IF(REGEXMATCH(AW359,AS359),""✔"",""-"")"),"✔")</f>
        <v>✔</v>
      </c>
      <c r="AY359" s="330" t="str">
        <f t="shared" si="20"/>
        <v>-</v>
      </c>
      <c r="AZ359" s="260" t="str">
        <f t="shared" si="21"/>
        <v>#REF!</v>
      </c>
      <c r="BA359" s="333" t="str">
        <f t="shared" si="22"/>
        <v>xoxoxox</v>
      </c>
      <c r="BB359" s="334" t="str">
        <f t="shared" si="23"/>
        <v>xoxxox</v>
      </c>
      <c r="BC359" s="335" t="str">
        <f t="shared" si="236"/>
        <v>-</v>
      </c>
      <c r="BD359" s="336" t="str">
        <f t="shared" si="25"/>
        <v>Vachaspati: 'xoxoxox' + 'xoxxox'</v>
      </c>
      <c r="BE359" s="337">
        <f>IFERROR(__xludf.DUMMYFUNCTION("COUNTUNIQUE(FILTER(AT:AT,REGEXMATCH(AT:AT,AS359)))-1"),4.0)</f>
        <v>4</v>
      </c>
      <c r="BF359" s="261" t="str">
        <f>IFERROR(__xludf.DUMMYFUNCTION("IF(BI359=0,""(n/a)"",IF(BJ359=2,""(PAIR)"",IF(REGEXMATCH(AT359,""xoxoxxoxoxox""),""Bilawal"",IF(REGEXMATCH(AT359,""xoxoxooxoxoo""),""Bhupali"",IF(REGEXMATCH(AT359,""xoxoxxoxxoxo""),""Charukeshi"",IF(REGEXMATCH(AT359,""xoxoooxxoxxo""),""Kameshwari"",IF(REG"&amp;"EXMATCH(AT359,""xoxoxooxoxox""),""Shankara"",IF(REGEXMATCH(AT359,""xxooxoxxxoox""),""Basant"",IF(REGEXMATCH(AT359,""xoxoxxxxoxox""),""Bihag"",IF(REGEXMATCH(AT359,""xoxxxxoxoxxx""),""Pilu"",IF(REGEXMATCH(AT359,""xoxxoxoxxoox""),""Kirwani"",IF(REGEXMATCH(AT"&amp;"359,""xoxxoxoxoxxx""),""Mk.Malhar"",IF(REGEXMATCH(AT359,""xxooxxoxxoox""),""Bhairav"",IF(REGEXMATCH(AT359,""xxoxooxxxoox""),""Todi"",IF(REGEXMATCH(AT359,""xxooxoxooxox""),""Marwa"",IF(REGEXMATCH(AT359,""xxoooxoxxooo""),""Gunkali"",IF(REGEXMATCH(AT359,""xo"&amp;"xoxxoxxoox""),""Nat Bhairav"",IF(REGEXMATCH(AT359,""xoxxoooxoxoo""),""Shivranjani"",IF(REGEXMATCH(AT359,""xooxxxoxooxo""),""Jog"",IF(REGEXMATCH(AT359,""xxooxoxoxoox""),""Hemshri"",IF(REGEXMATCH(AT359,""xoooxooxoxxo""),""Kalavati"",IF(REGEXMATCH(AT359,""xx"&amp;"oxoxxoxoox""),""Kedar"",IF(REGEXMATCH(AT359,""xoxxxxoxooxx""),""Gara"",IF(REGEXMATCH(AT359,""xooxoxooxoox""),""Chandrakauns"",IF(REGEXMATCH(AT359,""xoxxxxoxxxox""),""Mand"",IF(REGEXMATCH(AT359,""xoxxxxoxoxox""),""Hanskinkini"",IF(REGEXMATCH(AT359,""xxooxx"&amp;"oxooxo""),""Lilavati"",IF(REGEXMATCH(AT359,""xooxoxoooxox""),""Rajeshwari"",IF(REGEXMATCH(AT359,""xoooxxoxoxxx""),""Khokar"",IF(REGEXMATCH(AT359,""xxooxoxxxxox""),""Maligoura"",""-""))))))))))))))))))))))))))))))"),"Charukeshi")</f>
        <v>Charukeshi</v>
      </c>
      <c r="BG359" s="239" t="str">
        <f t="shared" si="26"/>
        <v>#REF!</v>
      </c>
      <c r="BH359" s="239">
        <f>IFERROR(__xludf.DUMMYFUNCTION("COUNTUNIQUE(FE359:FO359)-1"),6.0)</f>
        <v>6</v>
      </c>
      <c r="BI359" s="239">
        <f>IFERROR(__xludf.DUMMYFUNCTION("COUNTUNIQUE(FILTER(AT:AT,REGEXMATCH(AT:AT,AS359)))-1"),4.0)</f>
        <v>4</v>
      </c>
      <c r="BJ359" s="239">
        <f>IFERROR(__xludf.DUMMYFUNCTION("COUNTA(FILTER(AT:AT,REGEXMATCH(AT:AT,AS359)))"),8.0)</f>
        <v>8</v>
      </c>
      <c r="BK359" s="341">
        <f>IFERROR(__xludf.DUMMYFUNCTION("COUNTA(FILTER(AT:AT,REGEXMATCH(AT:AT,AS359)))-AR359"),8.0)</f>
        <v>8</v>
      </c>
      <c r="BL359" s="276" t="str">
        <f>IFERROR(__xludf.DUMMYFUNCTION("IF(AS359=""oooooooooooo"",""-"",IF(REGEXMATCH(AT359,""xx""), ""Hemi."", ""Anhemi.""))"),"Hemi.")</f>
        <v>Hemi.</v>
      </c>
      <c r="BM359" s="282" t="str">
        <f>IFERROR(__xludf.DUMMYFUNCTION("IF(AS359=""oooooooooooo"",""-"",IF(REGEXMATCH(AT359,""xxx""), ""Cohem."", ""-""))"),"-")</f>
        <v>-</v>
      </c>
      <c r="BN359" s="282" t="str">
        <f>IFERROR(__xludf.DUMMYFUNCTION("IF(AS359=""oooooooooooo"",""-"",IF(REGEXMATCH(AT359,""xxxx""), ""Co-Co."", ""-""))"),"-")</f>
        <v>-</v>
      </c>
      <c r="BO359" s="342" t="str">
        <f>IFERROR(__xludf.DUMMYFUNCTION("IF(AS359=""oooooooooooo"",""-"",IF(REGEXMATCH(AT359,""xxxxx""), ""CCC."", ""-""))"),"-")</f>
        <v>-</v>
      </c>
      <c r="BP359" s="344" t="str">
        <f t="shared" si="27"/>
        <v>-</v>
      </c>
      <c r="BQ359" s="282" t="str">
        <f>IFERROR(__xludf.DUMMYFUNCTION("IF(REGEXMATCH(JOIN(""-"",EU359:FD359),""TRUE""),""✔"",""-"")"),"-")</f>
        <v>-</v>
      </c>
      <c r="BR359" s="225">
        <f t="shared" si="28"/>
        <v>0</v>
      </c>
      <c r="BS359" s="345" t="str">
        <f>IFERROR(__xludf.DUMMYFUNCTION("SUBSTITUTE(SUBSTITUTE(SUBSTITUTE(SUBSTITUTE(CONCATENATE(JOIN(""-"",GC359:GO359)),""--"",""-""),""--"",""-""),""--"",""-""),""--"",""-"")"),"1-2-3-#4-5-6-b7-8")</f>
        <v>1-2-3-#4-5-6-b7-8</v>
      </c>
      <c r="BT359" s="299" t="str">
        <f>IFERROR(__xludf.DUMMYFUNCTION("SUBSTITUTE(SUBSTITUTE(SUBSTITUTE(SUBSTITUTE(CONCATENATE(JOIN(""-"",GP359:HB359)),""--"",""-""),""--"",""-""),""--"",""-""),""--"",""-"")"),"S-R2-G3-M2-P-D2-N2-S")</f>
        <v>S-R2-G3-M2-P-D2-N2-S</v>
      </c>
      <c r="BU359" s="348" t="str">
        <f t="shared" si="29"/>
        <v>C-D-E-F#-G-A-Bb-C</v>
      </c>
      <c r="BV359" s="349" t="str">
        <f t="shared" si="30"/>
        <v>SrgmdNS</v>
      </c>
      <c r="BW359" s="350">
        <f t="shared" si="31"/>
        <v>2</v>
      </c>
      <c r="BX359" s="351">
        <f t="shared" si="32"/>
        <v>1</v>
      </c>
      <c r="BY359" s="392"/>
      <c r="BZ359" s="309" t="str">
        <f>IFERROR(__xludf.DUMMYFUNCTION("IF(REGEXMATCH(C359, ""S""), ""x"",""x"")"),"x")</f>
        <v>x</v>
      </c>
      <c r="CA359" s="245" t="str">
        <f>IFERROR(__xludf.DUMMYFUNCTION("IF(REGEXMATCH(C359, ""r""), ""o"",""x"")"),"x")</f>
        <v>x</v>
      </c>
      <c r="CB359" s="246" t="str">
        <f>IFERROR(__xludf.DUMMYFUNCTION("IF(REGEXMATCH(C359, ""R""), ""o"",""x"")"),"o")</f>
        <v>o</v>
      </c>
      <c r="CC359" s="246" t="str">
        <f>IFERROR(__xludf.DUMMYFUNCTION("IF(REGEXMATCH(C359, ""g""), ""o"",""x"")"),"x")</f>
        <v>x</v>
      </c>
      <c r="CD359" s="245" t="str">
        <f>IFERROR(__xludf.DUMMYFUNCTION("IF(REGEXMATCH(C359, ""G""), ""o"",""x"")"),"o")</f>
        <v>o</v>
      </c>
      <c r="CE359" s="245" t="str">
        <f>IFERROR(__xludf.DUMMYFUNCTION("IF(REGEXMATCH(C359, ""m""), ""o"",""x"")"),"x")</f>
        <v>x</v>
      </c>
      <c r="CF359" s="246" t="str">
        <f>IFERROR(__xludf.DUMMYFUNCTION("IF(REGEXMATCH(C359, ""M""), ""o"",""x"")"),"o")</f>
        <v>o</v>
      </c>
      <c r="CG359" s="245" t="str">
        <f>IFERROR(__xludf.DUMMYFUNCTION("IF(REGEXMATCH(C359, ""P""), ""o"",""x"")"),"o")</f>
        <v>o</v>
      </c>
      <c r="CH359" s="246" t="str">
        <f>IFERROR(__xludf.DUMMYFUNCTION("IF(REGEXMATCH(C359, ""d""), ""o"",""x"")"),"x")</f>
        <v>x</v>
      </c>
      <c r="CI359" s="245" t="str">
        <f>IFERROR(__xludf.DUMMYFUNCTION("IF(REGEXMATCH(C359, ""D""), ""o"",""x"")"),"o")</f>
        <v>o</v>
      </c>
      <c r="CJ359" s="245" t="str">
        <f>IFERROR(__xludf.DUMMYFUNCTION("IF(REGEXMATCH(C359, ""n""), ""o"",""x"")"),"o")</f>
        <v>o</v>
      </c>
      <c r="CK359" s="245" t="str">
        <f>IFERROR(__xludf.DUMMYFUNCTION("IF(REGEXMATCH(C359, ""N""), ""o"",""x"")"),"x")</f>
        <v>x</v>
      </c>
      <c r="CL359" s="356" t="str">
        <f>IFERROR(__xludf.DUMMYFUNCTION("IF(REGEXMATCH(C359, ""S""), ""x"",""x"")"),"x")</f>
        <v>x</v>
      </c>
      <c r="CM359" s="357" t="str">
        <f t="shared" si="33"/>
        <v>xxoxoxooxoox</v>
      </c>
      <c r="CN359" s="358">
        <f t="shared" si="34"/>
        <v>2</v>
      </c>
      <c r="CO359" s="246" t="str">
        <f>IFERROR(__xludf.DUMMYFUNCTION("IF(REGEXMATCH($C359, ""S""), ""S"",""S"")"),"S")</f>
        <v>S</v>
      </c>
      <c r="CP359" s="246" t="str">
        <f>IFERROR(__xludf.DUMMYFUNCTION("IF(REGEXMATCH($C359, ""r""), """",""r"")"),"r")</f>
        <v>r</v>
      </c>
      <c r="CQ359" s="246" t="str">
        <f>IFERROR(__xludf.DUMMYFUNCTION("IF(REGEXMATCH($C359, ""R""), """",""R"")"),"")</f>
        <v/>
      </c>
      <c r="CR359" s="246" t="str">
        <f>IFERROR(__xludf.DUMMYFUNCTION("IF(REGEXMATCH($C359, ""g""), """",""g"")"),"g")</f>
        <v>g</v>
      </c>
      <c r="CS359" s="246" t="str">
        <f>IFERROR(__xludf.DUMMYFUNCTION("IF(REGEXMATCH($C359, ""G""), """",""G"")"),"")</f>
        <v/>
      </c>
      <c r="CT359" s="246" t="str">
        <f>IFERROR(__xludf.DUMMYFUNCTION("IF(REGEXMATCH($C359, ""m""), """",""m"")"),"m")</f>
        <v>m</v>
      </c>
      <c r="CU359" s="246" t="str">
        <f>IFERROR(__xludf.DUMMYFUNCTION("IF(REGEXMATCH($C359, ""M""), """",""M"")"),"")</f>
        <v/>
      </c>
      <c r="CV359" s="246" t="str">
        <f>IFERROR(__xludf.DUMMYFUNCTION("IF(REGEXMATCH($C359, ""P""), """",""P"")"),"")</f>
        <v/>
      </c>
      <c r="CW359" s="246" t="str">
        <f>IFERROR(__xludf.DUMMYFUNCTION("IF(REGEXMATCH($C359, ""d""), """",""d"")"),"d")</f>
        <v>d</v>
      </c>
      <c r="CX359" s="246" t="str">
        <f>IFERROR(__xludf.DUMMYFUNCTION("IF(REGEXMATCH($C359, ""D""), """",""D"")"),"")</f>
        <v/>
      </c>
      <c r="CY359" s="246" t="str">
        <f>IFERROR(__xludf.DUMMYFUNCTION("IF(REGEXMATCH($C359, ""n""), """",""n"")"),"")</f>
        <v/>
      </c>
      <c r="CZ359" s="246" t="str">
        <f>IFERROR(__xludf.DUMMYFUNCTION("IF(REGEXMATCH($C359, ""N""), """",""N"")"),"N")</f>
        <v>N</v>
      </c>
      <c r="DA359" s="246" t="str">
        <f>IFERROR(__xludf.DUMMYFUNCTION("IF(REGEXMATCH($C359, ""S""), ""S"",""S"")"),"S")</f>
        <v>S</v>
      </c>
      <c r="DB359" s="362" t="str">
        <f>IFERROR(__xludf.DUMMYFUNCTION("JOIN("""",CO359:DA359,"""","""")"),"SrgmdNS")</f>
        <v>SrgmdNS</v>
      </c>
      <c r="DC359" s="363"/>
      <c r="DD359" s="301" t="str">
        <f t="shared" si="35"/>
        <v>#REF!</v>
      </c>
      <c r="DE359" s="302" t="str">
        <f t="shared" si="36"/>
        <v>#REF!</v>
      </c>
      <c r="DF359" s="301" t="str">
        <f t="shared" ref="DF359:DG359" si="952">SUBSTITUTE(S359,"-","")</f>
        <v>SRGM</v>
      </c>
      <c r="DG359" s="301" t="str">
        <f t="shared" si="952"/>
        <v>PDNS</v>
      </c>
      <c r="DH359" s="302" t="str">
        <f t="shared" si="38"/>
        <v>Charukeshi</v>
      </c>
      <c r="DI359" s="301" t="str">
        <f t="shared" si="39"/>
        <v>Hemi.</v>
      </c>
      <c r="DJ359" s="364" t="str">
        <f t="shared" si="40"/>
        <v>-</v>
      </c>
      <c r="DK359" s="306" t="str">
        <f t="shared" si="41"/>
        <v>-</v>
      </c>
      <c r="DL359" s="366" t="str">
        <f t="shared" si="42"/>
        <v>-</v>
      </c>
      <c r="DM359" s="308" t="str">
        <f t="shared" si="43"/>
        <v>✔</v>
      </c>
      <c r="DN359" s="306" t="str">
        <f t="shared" si="44"/>
        <v>-</v>
      </c>
      <c r="DO359" s="306" t="str">
        <f t="shared" si="45"/>
        <v>-</v>
      </c>
      <c r="DP359" s="367" t="str">
        <f t="shared" si="46"/>
        <v>✔</v>
      </c>
      <c r="DQ359" s="310" t="str">
        <f t="shared" si="47"/>
        <v>-</v>
      </c>
      <c r="DR359" s="310" t="str">
        <f t="shared" si="48"/>
        <v>-</v>
      </c>
      <c r="DS359" s="310" t="str">
        <f t="shared" si="49"/>
        <v>-</v>
      </c>
      <c r="DT359" s="310" t="str">
        <f t="shared" si="50"/>
        <v>-</v>
      </c>
      <c r="DU359" s="370" t="str">
        <f t="shared" si="51"/>
        <v>-</v>
      </c>
      <c r="DV359" s="306" t="str">
        <f t="shared" si="52"/>
        <v>-</v>
      </c>
      <c r="DW359" s="306" t="str">
        <f t="shared" si="53"/>
        <v>-</v>
      </c>
      <c r="DX359" s="306" t="str">
        <f t="shared" si="54"/>
        <v>-</v>
      </c>
      <c r="DY359" s="306" t="str">
        <f t="shared" si="55"/>
        <v>-</v>
      </c>
      <c r="DZ359" s="306" t="str">
        <f t="shared" si="56"/>
        <v>-</v>
      </c>
      <c r="EA359" s="367" t="str">
        <f t="shared" si="57"/>
        <v>-</v>
      </c>
      <c r="EB359" s="310" t="str">
        <f>IFERROR(__xludf.DUMMYFUNCTION("IF(REGEXMATCH(AW359,AS359),""✔"",""-"")"),"✔")</f>
        <v>✔</v>
      </c>
      <c r="EC359" s="310" t="str">
        <f t="shared" si="58"/>
        <v>#REF!</v>
      </c>
      <c r="ED359" s="370" t="str">
        <f t="shared" si="59"/>
        <v>-</v>
      </c>
      <c r="EE359" s="340" t="str">
        <f t="shared" si="60"/>
        <v>S-R-G-M-P-D-n-S</v>
      </c>
      <c r="EF359" s="371" t="str">
        <f>IFERROR(__xludf.DUMMYFUNCTION("CONCATENATE(JOIN("""",HC359:HO359))"),"SRgmMdnS")</f>
        <v>SRgmMdnS</v>
      </c>
      <c r="EG359" s="372">
        <f t="shared" si="61"/>
        <v>3</v>
      </c>
      <c r="EH359" s="373" t="str">
        <f>IFERROR(__xludf.DUMMYFUNCTION("CONCATENATE(JOIN("""",JC359:JO359))"),"Ga, Ma, ni, ")</f>
        <v>Ga, Ma, ni, </v>
      </c>
      <c r="EI359" s="322">
        <f t="shared" si="62"/>
        <v>2</v>
      </c>
      <c r="EJ359" s="374" t="str">
        <f>IFERROR(__xludf.DUMMYFUNCTION("CONCATENATE(JOIN("""",KC359:KO359))"),"Ma, ni, ")</f>
        <v>Ma, ni, </v>
      </c>
      <c r="EK359" s="325" t="str">
        <f t="shared" si="63"/>
        <v>S-R2-G3-M2-P-D2-N2-S</v>
      </c>
      <c r="EL359" s="326" t="str">
        <f t="shared" si="64"/>
        <v>1-2-3-#4-5-6-b7-8</v>
      </c>
      <c r="EM359" s="318" t="str">
        <f t="shared" si="65"/>
        <v>#REF!</v>
      </c>
      <c r="EN359" s="328" t="str">
        <f>IFERROR(__xludf.DUMMYFUNCTION("SUBSTITUTE(SUBSTITUTE(SUBSTITUTE(SUBSTITUTE(CONCATENATE(JOIN("" "",HP359:IB359)),""  "","" ""),""  "","" ""),""  "","" ""),""  "","" "")"),"o • o • o • o o • o o • o")</f>
        <v>o • o • o • o o • o o • o</v>
      </c>
      <c r="EO359" s="368" t="str">
        <f t="shared" si="66"/>
        <v>Sa-Pa</v>
      </c>
      <c r="EP359" s="339" t="str">
        <f t="shared" si="67"/>
        <v>Sa-Pa</v>
      </c>
      <c r="EQ359" s="339" t="str">
        <f t="shared" si="68"/>
        <v>Sa-Pa</v>
      </c>
      <c r="ER359" s="339" t="str">
        <f t="shared" si="69"/>
        <v>-</v>
      </c>
      <c r="ES359" s="340" t="str">
        <f t="shared" si="70"/>
        <v>-</v>
      </c>
      <c r="ET359" s="363"/>
      <c r="EU359" s="376" t="b">
        <f>IFERROR(__xludf.DUMMYFUNCTION("arrayformula(sum(--REGEXMATCH(""SRGMPDNS"",split(REGEXREPLACE(C359,""(.)"",""$1~""),""~""))))=len(C359)
"),FALSE)</f>
        <v>0</v>
      </c>
      <c r="EV359" s="290" t="b">
        <f>IFERROR(__xludf.DUMMYFUNCTION("arrayformula(sum(--REGEXMATCH(""SRGmPDNS"",split(REGEXREPLACE(C359,""(.)"",""$1~""),""~""))))=len(C359)"),FALSE)</f>
        <v>0</v>
      </c>
      <c r="EW359" s="290" t="b">
        <f>IFERROR(__xludf.DUMMYFUNCTION("arrayformula(sum(--REGEXMATCH(""SRGmPDnS"",split(REGEXREPLACE(C359,""(.)"",""$1~""),""~""))))=len(C359)"),FALSE)</f>
        <v>0</v>
      </c>
      <c r="EX359" s="290" t="b">
        <f>IFERROR(__xludf.DUMMYFUNCTION("arrayformula(sum(--REGEXMATCH(""SRgmPDnS"",split(REGEXREPLACE(C359,""(.)"",""$1~""),""~""))))=len(C359)"),FALSE)</f>
        <v>0</v>
      </c>
      <c r="EY359" s="290" t="b">
        <f>IFERROR(__xludf.DUMMYFUNCTION("arrayformula(sum(--REGEXMATCH(""SRgmPdnS"",split(REGEXREPLACE(C359,""(.)"",""$1~""),""~""))))=len(C359)"),FALSE)</f>
        <v>0</v>
      </c>
      <c r="EZ359" s="290" t="b">
        <f>IFERROR(__xludf.DUMMYFUNCTION("arrayformula(sum(--REGEXMATCH(""SrgmPdnS"",split(REGEXREPLACE(C359,""(.)"",""$1~""),""~""))))=len(C359)"),FALSE)</f>
        <v>0</v>
      </c>
      <c r="FA359" s="290" t="b">
        <f>IFERROR(__xludf.DUMMYFUNCTION("arrayformula(sum(--REGEXMATCH(""SrGmPdNS"",split(REGEXREPLACE(C359,""(.)"",""$1~""),""~""))))=len(C359)"),FALSE)</f>
        <v>0</v>
      </c>
      <c r="FB359" s="290" t="b">
        <f>IFERROR(__xludf.DUMMYFUNCTION("arrayformula(sum(--REGEXMATCH(""SrGMPDNS"",split(REGEXREPLACE(C359,""(.)"",""$1~""),""~""))))=len(C359)"),FALSE)</f>
        <v>0</v>
      </c>
      <c r="FC359" s="290" t="b">
        <f>IFERROR(__xludf.DUMMYFUNCTION("arrayformula(sum(--REGEXMATCH(""SrGMPdNS"",split(REGEXREPLACE(C359,""(.)"",""$1~""),""~""))))=len(C359)"),FALSE)</f>
        <v>0</v>
      </c>
      <c r="FD359" s="377" t="b">
        <f>IFERROR(__xludf.DUMMYFUNCTION("arrayformula(sum(--REGEXMATCH(""SrgMPdNS"",split(REGEXREPLACE(C359,""(.)"",""$1~""),""~""))))=len(C359)"),FALSE)</f>
        <v>0</v>
      </c>
      <c r="FE359" s="269" t="str">
        <f t="shared" si="71"/>
        <v>-</v>
      </c>
      <c r="FF359" s="269" t="str">
        <f t="shared" si="72"/>
        <v>xoxoxxoxxox</v>
      </c>
      <c r="FG359" s="271" t="str">
        <f t="shared" si="73"/>
        <v>-</v>
      </c>
      <c r="FH359" s="269" t="str">
        <f t="shared" si="74"/>
        <v>xoxxoxxoxox</v>
      </c>
      <c r="FI359" s="271" t="str">
        <f t="shared" si="75"/>
        <v>-</v>
      </c>
      <c r="FJ359" s="271" t="str">
        <f t="shared" si="76"/>
        <v>xxoxxoxoxox</v>
      </c>
      <c r="FK359" s="271" t="str">
        <f t="shared" si="77"/>
        <v>xoxxoxoxoxo</v>
      </c>
      <c r="FL359" s="271" t="str">
        <f t="shared" si="78"/>
        <v>-</v>
      </c>
      <c r="FM359" s="271" t="str">
        <f t="shared" si="79"/>
        <v>xxoxoxoxoxx</v>
      </c>
      <c r="FN359" s="271" t="str">
        <f t="shared" si="80"/>
        <v>xoxoxoxoxxo</v>
      </c>
      <c r="FO359" s="274" t="str">
        <f t="shared" si="81"/>
        <v>-</v>
      </c>
      <c r="FP359" s="234" t="str">
        <f t="shared" si="82"/>
        <v>|</v>
      </c>
      <c r="FQ359" s="236" t="str">
        <f t="shared" si="83"/>
        <v>-</v>
      </c>
      <c r="FR359" s="237" t="str">
        <f t="shared" si="84"/>
        <v>|</v>
      </c>
      <c r="FS359" s="236" t="str">
        <f t="shared" si="85"/>
        <v>-</v>
      </c>
      <c r="FT359" s="237" t="str">
        <f t="shared" si="86"/>
        <v>|</v>
      </c>
      <c r="FU359" s="236" t="str">
        <f t="shared" si="87"/>
        <v>-</v>
      </c>
      <c r="FV359" s="237" t="str">
        <f t="shared" si="88"/>
        <v>|</v>
      </c>
      <c r="FW359" s="236" t="str">
        <f t="shared" si="89"/>
        <v>|</v>
      </c>
      <c r="FX359" s="237" t="str">
        <f t="shared" si="90"/>
        <v>-</v>
      </c>
      <c r="FY359" s="236" t="str">
        <f t="shared" si="91"/>
        <v>|</v>
      </c>
      <c r="FZ359" s="237" t="str">
        <f t="shared" si="92"/>
        <v>|</v>
      </c>
      <c r="GA359" s="236" t="str">
        <f t="shared" si="93"/>
        <v>-</v>
      </c>
      <c r="GB359" s="238" t="str">
        <f t="shared" si="94"/>
        <v>|</v>
      </c>
      <c r="GC359" s="244" t="str">
        <f>IFERROR(__xludf.DUMMYFUNCTION("IF(REGEXMATCH(C359, ""S""), ""1"","""")"),"1")</f>
        <v>1</v>
      </c>
      <c r="GD359" s="245" t="str">
        <f>IFERROR(__xludf.DUMMYFUNCTION("IF(REGEXMATCH(C359, ""r""), ""b2"","""")"),"")</f>
        <v/>
      </c>
      <c r="GE359" s="246" t="str">
        <f>IFERROR(__xludf.DUMMYFUNCTION("IF(REGEXMATCH(C359, ""R""), ""2"","""")"),"2")</f>
        <v>2</v>
      </c>
      <c r="GF359" s="246" t="str">
        <f>IFERROR(__xludf.DUMMYFUNCTION("IF(REGEXMATCH(C359, ""g""), ""b3"","""")"),"")</f>
        <v/>
      </c>
      <c r="GG359" s="245" t="str">
        <f>IFERROR(__xludf.DUMMYFUNCTION("IF(REGEXMATCH(C359, ""G""), ""3"","""")"),"3")</f>
        <v>3</v>
      </c>
      <c r="GH359" s="245" t="str">
        <f>IFERROR(__xludf.DUMMYFUNCTION("IF(REGEXMATCH(C359, ""m""), ""4"","""")"),"")</f>
        <v/>
      </c>
      <c r="GI359" s="246" t="str">
        <f>IFERROR(__xludf.DUMMYFUNCTION("IF(REGEXMATCH(C359, ""M""), ""#4"","""")"),"#4")</f>
        <v>#4</v>
      </c>
      <c r="GJ359" s="245" t="str">
        <f>IFERROR(__xludf.DUMMYFUNCTION("IF(REGEXMATCH(C359, ""P""), ""5"","""")"),"5")</f>
        <v>5</v>
      </c>
      <c r="GK359" s="246" t="str">
        <f>IFERROR(__xludf.DUMMYFUNCTION("IF(REGEXMATCH(C359, ""d""), ""b6"","""")"),"")</f>
        <v/>
      </c>
      <c r="GL359" s="245" t="str">
        <f>IFERROR(__xludf.DUMMYFUNCTION("IF(REGEXMATCH(C359, ""D""), ""6"","""")"),"6")</f>
        <v>6</v>
      </c>
      <c r="GM359" s="245" t="str">
        <f>IFERROR(__xludf.DUMMYFUNCTION("IF(REGEXMATCH(C359, ""n""), ""b7"","""")"),"b7")</f>
        <v>b7</v>
      </c>
      <c r="GN359" s="246" t="str">
        <f>IFERROR(__xludf.DUMMYFUNCTION("IF(REGEXMATCH(C359, ""N""), ""7"","""")"),"")</f>
        <v/>
      </c>
      <c r="GO359" s="249" t="str">
        <f>IFERROR(__xludf.DUMMYFUNCTION("IF(REGEXMATCH(C359, ""S""), ""8"","""")"),"8")</f>
        <v>8</v>
      </c>
      <c r="GP359" s="244" t="str">
        <f>IFERROR(__xludf.DUMMYFUNCTION("IF(REGEXMATCH(C359, ""S""), ""S"","""")"),"S")</f>
        <v>S</v>
      </c>
      <c r="GQ359" s="294" t="str">
        <f>IFERROR(__xludf.DUMMYFUNCTION("IF(REGEXMATCH(C359, ""r""), ""R1"","""")"),"")</f>
        <v/>
      </c>
      <c r="GR359" s="295" t="str">
        <f>IFERROR(__xludf.DUMMYFUNCTION("IF(REGEXMATCH(C359, ""R""), ""R2"","""")"),"R2")</f>
        <v>R2</v>
      </c>
      <c r="GS359" s="295" t="str">
        <f>IFERROR(__xludf.DUMMYFUNCTION("IF(REGEXMATCH(C359, ""g""), ""G2"","""")"),"")</f>
        <v/>
      </c>
      <c r="GT359" s="294" t="str">
        <f>IFERROR(__xludf.DUMMYFUNCTION("IF(REGEXMATCH(C359, ""G""), ""G3"","""")"),"G3")</f>
        <v>G3</v>
      </c>
      <c r="GU359" s="294" t="str">
        <f>IFERROR(__xludf.DUMMYFUNCTION("IF(REGEXMATCH(C359, ""m""), ""M1"","""")"),"")</f>
        <v/>
      </c>
      <c r="GV359" s="295" t="str">
        <f>IFERROR(__xludf.DUMMYFUNCTION("IF(REGEXMATCH(C359, ""M""), ""M2"","""")"),"M2")</f>
        <v>M2</v>
      </c>
      <c r="GW359" s="294" t="str">
        <f>IFERROR(__xludf.DUMMYFUNCTION("IF(REGEXMATCH(C359, ""P""), ""P"","""")"),"P")</f>
        <v>P</v>
      </c>
      <c r="GX359" s="295" t="str">
        <f>IFERROR(__xludf.DUMMYFUNCTION("IF(REGEXMATCH(C359, ""d""), ""D1"","""")"),"")</f>
        <v/>
      </c>
      <c r="GY359" s="294" t="str">
        <f>IFERROR(__xludf.DUMMYFUNCTION("IF(REGEXMATCH(C359, ""D""), ""D2"","""")"),"D2")</f>
        <v>D2</v>
      </c>
      <c r="GZ359" s="294" t="str">
        <f>IFERROR(__xludf.DUMMYFUNCTION("IF(REGEXMATCH(C359, ""n""), ""N2"","""")"),"N2")</f>
        <v>N2</v>
      </c>
      <c r="HA359" s="295" t="str">
        <f>IFERROR(__xludf.DUMMYFUNCTION("IF(REGEXMATCH(C359, ""N""), ""N3"","""")"),"")</f>
        <v/>
      </c>
      <c r="HB359" s="249" t="str">
        <f>IFERROR(__xludf.DUMMYFUNCTION("IF(REGEXMATCH(C359, ""S""), ""S"","""")"),"S")</f>
        <v>S</v>
      </c>
      <c r="HC359" s="331" t="str">
        <f t="shared" si="95"/>
        <v>S</v>
      </c>
      <c r="HD359" s="332" t="str">
        <f t="shared" si="96"/>
        <v/>
      </c>
      <c r="HE359" s="332" t="str">
        <f t="shared" si="97"/>
        <v>R</v>
      </c>
      <c r="HF359" s="332" t="str">
        <f t="shared" si="98"/>
        <v>g</v>
      </c>
      <c r="HG359" s="332" t="str">
        <f t="shared" si="99"/>
        <v/>
      </c>
      <c r="HH359" s="332" t="str">
        <f t="shared" si="100"/>
        <v>m</v>
      </c>
      <c r="HI359" s="332" t="str">
        <f t="shared" si="101"/>
        <v>M</v>
      </c>
      <c r="HJ359" s="332" t="str">
        <f t="shared" si="102"/>
        <v/>
      </c>
      <c r="HK359" s="332" t="str">
        <f t="shared" si="103"/>
        <v>d</v>
      </c>
      <c r="HL359" s="332" t="str">
        <f t="shared" si="104"/>
        <v/>
      </c>
      <c r="HM359" s="332" t="str">
        <f t="shared" si="105"/>
        <v>n</v>
      </c>
      <c r="HN359" s="332" t="str">
        <f t="shared" si="106"/>
        <v/>
      </c>
      <c r="HO359" s="343" t="str">
        <f t="shared" si="107"/>
        <v>S</v>
      </c>
      <c r="HP359" s="331" t="str">
        <f t="shared" si="108"/>
        <v>o</v>
      </c>
      <c r="HQ359" s="332" t="str">
        <f t="shared" si="109"/>
        <v>•</v>
      </c>
      <c r="HR359" s="332" t="str">
        <f t="shared" si="110"/>
        <v>o</v>
      </c>
      <c r="HS359" s="332" t="str">
        <f t="shared" si="111"/>
        <v>•</v>
      </c>
      <c r="HT359" s="332" t="str">
        <f t="shared" si="112"/>
        <v>o</v>
      </c>
      <c r="HU359" s="332" t="str">
        <f t="shared" si="113"/>
        <v>•</v>
      </c>
      <c r="HV359" s="332" t="str">
        <f t="shared" si="114"/>
        <v>o</v>
      </c>
      <c r="HW359" s="332" t="str">
        <f t="shared" si="115"/>
        <v>o</v>
      </c>
      <c r="HX359" s="332" t="str">
        <f t="shared" si="116"/>
        <v>•</v>
      </c>
      <c r="HY359" s="332" t="str">
        <f t="shared" si="117"/>
        <v>o</v>
      </c>
      <c r="HZ359" s="332" t="str">
        <f t="shared" si="118"/>
        <v>o</v>
      </c>
      <c r="IA359" s="332" t="str">
        <f t="shared" si="119"/>
        <v>•</v>
      </c>
      <c r="IB359" s="338" t="str">
        <f t="shared" si="120"/>
        <v>o</v>
      </c>
      <c r="IC359" s="331" t="str">
        <f t="shared" si="121"/>
        <v>•</v>
      </c>
      <c r="ID359" s="332" t="str">
        <f t="shared" si="122"/>
        <v>o</v>
      </c>
      <c r="IE359" s="332" t="str">
        <f t="shared" si="123"/>
        <v>•</v>
      </c>
      <c r="IF359" s="332" t="str">
        <f t="shared" si="124"/>
        <v>o</v>
      </c>
      <c r="IG359" s="332" t="str">
        <f t="shared" si="125"/>
        <v>•</v>
      </c>
      <c r="IH359" s="332" t="str">
        <f t="shared" si="126"/>
        <v>o</v>
      </c>
      <c r="II359" s="332" t="str">
        <f t="shared" si="127"/>
        <v>•</v>
      </c>
      <c r="IJ359" s="332" t="str">
        <f t="shared" si="128"/>
        <v>•</v>
      </c>
      <c r="IK359" s="332" t="str">
        <f t="shared" si="129"/>
        <v>o</v>
      </c>
      <c r="IL359" s="332" t="str">
        <f t="shared" si="130"/>
        <v>•</v>
      </c>
      <c r="IM359" s="332" t="str">
        <f t="shared" si="131"/>
        <v>•</v>
      </c>
      <c r="IN359" s="332" t="str">
        <f t="shared" si="132"/>
        <v>o</v>
      </c>
      <c r="IO359" s="338" t="str">
        <f t="shared" si="133"/>
        <v>•</v>
      </c>
      <c r="IP359" s="346" t="b">
        <f t="shared" si="134"/>
        <v>0</v>
      </c>
      <c r="IQ359" s="347" t="b">
        <f t="shared" si="135"/>
        <v>0</v>
      </c>
      <c r="IR359" s="347" t="b">
        <f t="shared" si="136"/>
        <v>0</v>
      </c>
      <c r="IS359" s="347" t="b">
        <f t="shared" si="137"/>
        <v>0</v>
      </c>
      <c r="IT359" s="347" t="b">
        <f t="shared" si="138"/>
        <v>1</v>
      </c>
      <c r="IU359" s="347" t="b">
        <f t="shared" si="139"/>
        <v>0</v>
      </c>
      <c r="IV359" s="347" t="b">
        <f t="shared" si="140"/>
        <v>1</v>
      </c>
      <c r="IW359" s="347" t="b">
        <f t="shared" si="141"/>
        <v>0</v>
      </c>
      <c r="IX359" s="347" t="b">
        <f t="shared" si="142"/>
        <v>0</v>
      </c>
      <c r="IY359" s="347" t="b">
        <f t="shared" si="143"/>
        <v>0</v>
      </c>
      <c r="IZ359" s="347" t="b">
        <f t="shared" si="144"/>
        <v>1</v>
      </c>
      <c r="JA359" s="347" t="b">
        <f t="shared" si="145"/>
        <v>0</v>
      </c>
      <c r="JB359" s="353" t="b">
        <f t="shared" si="146"/>
        <v>0</v>
      </c>
      <c r="JC359" s="354" t="str">
        <f t="shared" si="147"/>
        <v/>
      </c>
      <c r="JD359" s="355" t="str">
        <f t="shared" si="148"/>
        <v/>
      </c>
      <c r="JE359" s="355" t="str">
        <f t="shared" si="149"/>
        <v/>
      </c>
      <c r="JF359" s="355" t="str">
        <f t="shared" si="150"/>
        <v/>
      </c>
      <c r="JG359" s="355" t="str">
        <f t="shared" si="151"/>
        <v>Ga, </v>
      </c>
      <c r="JH359" s="355" t="str">
        <f t="shared" si="152"/>
        <v/>
      </c>
      <c r="JI359" s="355" t="str">
        <f t="shared" si="153"/>
        <v>Ma, </v>
      </c>
      <c r="JJ359" s="355" t="str">
        <f t="shared" si="154"/>
        <v/>
      </c>
      <c r="JK359" s="355" t="str">
        <f t="shared" si="155"/>
        <v/>
      </c>
      <c r="JL359" s="355" t="str">
        <f t="shared" si="156"/>
        <v/>
      </c>
      <c r="JM359" s="355" t="str">
        <f t="shared" si="157"/>
        <v>ni, </v>
      </c>
      <c r="JN359" s="355" t="str">
        <f t="shared" si="158"/>
        <v/>
      </c>
      <c r="JO359" s="359" t="str">
        <f t="shared" si="159"/>
        <v/>
      </c>
      <c r="JP359" s="346" t="b">
        <f t="shared" si="160"/>
        <v>0</v>
      </c>
      <c r="JQ359" s="347" t="b">
        <f t="shared" si="161"/>
        <v>0</v>
      </c>
      <c r="JR359" s="347" t="b">
        <f t="shared" si="162"/>
        <v>0</v>
      </c>
      <c r="JS359" s="347" t="b">
        <f t="shared" si="163"/>
        <v>0</v>
      </c>
      <c r="JT359" s="347" t="b">
        <f t="shared" si="164"/>
        <v>0</v>
      </c>
      <c r="JU359" s="347" t="b">
        <f t="shared" si="165"/>
        <v>0</v>
      </c>
      <c r="JV359" s="347" t="b">
        <f t="shared" si="166"/>
        <v>1</v>
      </c>
      <c r="JW359" s="347" t="b">
        <f t="shared" si="167"/>
        <v>0</v>
      </c>
      <c r="JX359" s="347" t="b">
        <f t="shared" si="168"/>
        <v>0</v>
      </c>
      <c r="JY359" s="347" t="b">
        <f t="shared" si="169"/>
        <v>0</v>
      </c>
      <c r="JZ359" s="347" t="b">
        <f t="shared" si="170"/>
        <v>1</v>
      </c>
      <c r="KA359" s="347" t="b">
        <f t="shared" si="171"/>
        <v>0</v>
      </c>
      <c r="KB359" s="365" t="b">
        <f t="shared" si="172"/>
        <v>0</v>
      </c>
      <c r="KC359" s="354" t="str">
        <f t="shared" si="173"/>
        <v/>
      </c>
      <c r="KD359" s="355" t="str">
        <f t="shared" si="174"/>
        <v/>
      </c>
      <c r="KE359" s="355" t="str">
        <f t="shared" si="175"/>
        <v/>
      </c>
      <c r="KF359" s="355" t="str">
        <f t="shared" si="176"/>
        <v/>
      </c>
      <c r="KG359" s="355" t="str">
        <f t="shared" si="177"/>
        <v/>
      </c>
      <c r="KH359" s="355" t="str">
        <f t="shared" si="178"/>
        <v/>
      </c>
      <c r="KI359" s="355" t="str">
        <f t="shared" si="179"/>
        <v>Ma, </v>
      </c>
      <c r="KJ359" s="355" t="str">
        <f t="shared" si="180"/>
        <v/>
      </c>
      <c r="KK359" s="355" t="str">
        <f t="shared" si="181"/>
        <v/>
      </c>
      <c r="KL359" s="355" t="str">
        <f t="shared" si="182"/>
        <v/>
      </c>
      <c r="KM359" s="355" t="str">
        <f t="shared" si="183"/>
        <v>ni, </v>
      </c>
      <c r="KN359" s="355" t="str">
        <f t="shared" si="184"/>
        <v/>
      </c>
      <c r="KO359" s="359"/>
      <c r="KP359" s="378"/>
      <c r="KQ359" s="379" t="s">
        <v>413</v>
      </c>
      <c r="KR359" s="380" t="s">
        <v>1510</v>
      </c>
      <c r="KS359" s="381" t="str">
        <f>KQ359</f>
        <v>S-R-G-M-P-D-n-S</v>
      </c>
      <c r="KT359" s="382">
        <f t="shared" si="186"/>
        <v>7</v>
      </c>
      <c r="KU359" s="383">
        <f t="shared" si="187"/>
        <v>7</v>
      </c>
      <c r="KV359" s="381" t="str">
        <f t="shared" si="205"/>
        <v>S-n-D-P-M-G-R-S</v>
      </c>
      <c r="KW359" s="382">
        <f t="shared" si="189"/>
        <v>7</v>
      </c>
      <c r="KX359" s="384">
        <f t="shared" si="190"/>
        <v>7</v>
      </c>
      <c r="KY359" s="382">
        <f t="shared" ref="KY359:KZ359" si="953">KW359-KT359</f>
        <v>0</v>
      </c>
      <c r="KZ359" s="369">
        <f t="shared" si="953"/>
        <v>0</v>
      </c>
      <c r="LA359" s="385" t="str">
        <f t="shared" si="192"/>
        <v>✔</v>
      </c>
      <c r="LB359" s="340" t="str">
        <f>IFERROR(__xludf.DUMMYFUNCTION("JOIN("""",ArrayFormula(MID(KS359,LEN(KS359)-SEQUENCE(1,LEN(KS359))+1,1)))"),"S-n-D-P-M-G-R-S")</f>
        <v>S-n-D-P-M-G-R-S</v>
      </c>
      <c r="LC359" s="373" t="str">
        <f>IFERROR(__xludf.DUMMYFUNCTION("JOIN("""",ArrayFormula(MID(KV359,LEN(KV359)-SEQUENCE(1,LEN(KV359))+1,1)))"),"S-R-G-M-P-D-n-S")</f>
        <v>S-R-G-M-P-D-n-S</v>
      </c>
      <c r="LD359" s="373" t="str">
        <f t="shared" si="193"/>
        <v>SRGMPDnS</v>
      </c>
      <c r="LE359" s="339" t="str">
        <f t="shared" si="194"/>
        <v>SRGMPDnS</v>
      </c>
      <c r="LF359" s="386" t="str">
        <f>IFERROR(__xludf.DUMMYFUNCTION("SUBSTITUTE(SUBSTITUTE(CONCATENATE(JOIN("""",LH359:LT359)),""1"",""""),""2"","""")"),"SRGMPDnS")</f>
        <v>SRGMPDnS</v>
      </c>
      <c r="LG359" s="369" t="str">
        <f t="shared" si="195"/>
        <v>✔</v>
      </c>
      <c r="LH359" s="387" t="str">
        <f>IFERROR(__xludf.DUMMYFUNCTION("IF(REGEXMATCH(LD359, ""S""), ""S"",IF(REGEXMATCH(LE359, ""S""), ""S"",""""))"),"S")</f>
        <v>S</v>
      </c>
      <c r="LI359" s="299" t="str">
        <f>IFERROR(__xludf.DUMMYFUNCTION("IF(REGEXMATCH(LD359, ""r""), ""r1"",IF(REGEXMATCH(LE359, ""r""), ""r2"",""""))"),"")</f>
        <v/>
      </c>
      <c r="LJ359" s="299" t="str">
        <f>IFERROR(__xludf.DUMMYFUNCTION("IF(REGEXMATCH(LD359, ""R""), ""R1"",IF(REGEXMATCH(LE359, ""R""), ""R2"",""""))"),"R1")</f>
        <v>R1</v>
      </c>
      <c r="LK359" s="299" t="str">
        <f>IFERROR(__xludf.DUMMYFUNCTION("IF(REGEXMATCH(LD359, ""g""), ""g1"",IF(REGEXMATCH(LE359, ""g""), ""g2"",""""))"),"")</f>
        <v/>
      </c>
      <c r="LL359" s="299" t="str">
        <f>IFERROR(__xludf.DUMMYFUNCTION("IF(REGEXMATCH(LD359, ""G""), ""G1"",IF(REGEXMATCH(LE359, ""G""), ""G2"",""""))"),"G1")</f>
        <v>G1</v>
      </c>
      <c r="LM359" s="299" t="str">
        <f>IFERROR(__xludf.DUMMYFUNCTION("IF(REGEXMATCH(LD359, ""m""), ""m1"",IF(REGEXMATCH(LE359, ""m""), ""m2"",""""))"),"")</f>
        <v/>
      </c>
      <c r="LN359" s="299" t="str">
        <f>IFERROR(__xludf.DUMMYFUNCTION("IF(REGEXMATCH(LD359, ""M""), ""M1"",IF(REGEXMATCH(LE359, ""M""), ""M2"",""""))"),"M1")</f>
        <v>M1</v>
      </c>
      <c r="LO359" s="299" t="str">
        <f>IFERROR(__xludf.DUMMYFUNCTION("IF(REGEXMATCH(LD359, ""P""), ""P1"",IF(REGEXMATCH(LE359, ""P""), ""P2"",""""))"),"P1")</f>
        <v>P1</v>
      </c>
      <c r="LP359" s="299" t="str">
        <f>IFERROR(__xludf.DUMMYFUNCTION("IF(REGEXMATCH(LD359, ""d""), ""d1"",IF(REGEXMATCH(LE359, ""d""), ""d2"",""""))"),"")</f>
        <v/>
      </c>
      <c r="LQ359" s="299" t="str">
        <f>IFERROR(__xludf.DUMMYFUNCTION("IF(REGEXMATCH(LD359, ""D""), ""D1"",IF(REGEXMATCH(LE359, ""D""), ""D2"",""""))"),"D1")</f>
        <v>D1</v>
      </c>
      <c r="LR359" s="299" t="str">
        <f>IFERROR(__xludf.DUMMYFUNCTION("IF(REGEXMATCH(LD359, ""n""), ""n1"",IF(REGEXMATCH(LE359, ""n""), ""n2"",""""))"),"n1")</f>
        <v>n1</v>
      </c>
      <c r="LS359" s="299" t="str">
        <f>IFERROR(__xludf.DUMMYFUNCTION("IF(REGEXMATCH(LD359, ""N""), ""N1"",IF(REGEXMATCH(LE359, ""N""), ""N2"",""""))"),"")</f>
        <v/>
      </c>
      <c r="LT359" s="388" t="str">
        <f>IFERROR(__xludf.DUMMYFUNCTION("IF(REGEXMATCH(LD359, ""S""), ""S"",IF(REGEXMATCH(LE359, ""S""), ""S"",""""))"),"S")</f>
        <v>S</v>
      </c>
      <c r="LU359" s="389">
        <f t="shared" si="196"/>
        <v>1</v>
      </c>
      <c r="LV359" s="378"/>
      <c r="LW359" s="369"/>
      <c r="LX359" s="369"/>
    </row>
    <row r="360" ht="18.0" customHeight="1">
      <c r="A360" s="298" t="s">
        <v>1236</v>
      </c>
      <c r="B360" s="222" t="s">
        <v>489</v>
      </c>
      <c r="C360" s="233" t="str">
        <f t="shared" si="7"/>
        <v>SgGmPdnS</v>
      </c>
      <c r="D360" s="234" t="str">
        <f>IFERROR(__xludf.DUMMYFUNCTION("IF(REGEXMATCH(C360, ""S""), ""S"","""")"),"S")</f>
        <v>S</v>
      </c>
      <c r="E360" s="236" t="str">
        <f>IFERROR(__xludf.DUMMYFUNCTION("IF(REGEXMATCH(C360, ""r""), ""r"","""")"),"")</f>
        <v/>
      </c>
      <c r="F360" s="237" t="str">
        <f>IFERROR(__xludf.DUMMYFUNCTION("IF(REGEXMATCH(C360, ""R""), ""R"","""")"),"")</f>
        <v/>
      </c>
      <c r="G360" s="237" t="str">
        <f>IFERROR(__xludf.DUMMYFUNCTION("IF(REGEXMATCH(C360, ""g""), ""g"","""")"),"g")</f>
        <v>g</v>
      </c>
      <c r="H360" s="236" t="str">
        <f>IFERROR(__xludf.DUMMYFUNCTION("IF(REGEXMATCH(C360, ""G""), ""G"","""")"),"G")</f>
        <v>G</v>
      </c>
      <c r="I360" s="236" t="str">
        <f>IFERROR(__xludf.DUMMYFUNCTION("IF(REGEXMATCH(C360, ""m""), ""m"","""")"),"m")</f>
        <v>m</v>
      </c>
      <c r="J360" s="237" t="str">
        <f>IFERROR(__xludf.DUMMYFUNCTION("IF(REGEXMATCH(C360, ""M""), ""M"","""")"),"")</f>
        <v/>
      </c>
      <c r="K360" s="236" t="str">
        <f>IFERROR(__xludf.DUMMYFUNCTION("IF(REGEXMATCH(C360, ""P""), ""P"","""")"),"P")</f>
        <v>P</v>
      </c>
      <c r="L360" s="237" t="str">
        <f>IFERROR(__xludf.DUMMYFUNCTION("IF(REGEXMATCH(C360, ""d""), ""d"","""")"),"d")</f>
        <v>d</v>
      </c>
      <c r="M360" s="236" t="str">
        <f>IFERROR(__xludf.DUMMYFUNCTION("IF(REGEXMATCH(C360, ""D""), ""D"","""")"),"")</f>
        <v/>
      </c>
      <c r="N360" s="236" t="str">
        <f>IFERROR(__xludf.DUMMYFUNCTION("IF(REGEXMATCH(C360, ""n""), ""n"","""")"),"n")</f>
        <v>n</v>
      </c>
      <c r="O360" s="237" t="str">
        <f>IFERROR(__xludf.DUMMYFUNCTION("IF(REGEXMATCH(C360, ""N""), ""N"","""")"),"")</f>
        <v/>
      </c>
      <c r="P360" s="238" t="str">
        <f>IFERROR(__xludf.DUMMYFUNCTION("IF(REGEXMATCH(C360, ""S""), ""S"","""")"),"S")</f>
        <v>S</v>
      </c>
      <c r="Q360" s="239" t="str">
        <f>IFERROR(__xludf.DUMMYFUNCTION("SUBSTITUTE(CONCATENATE(JOIN(""-"",D360:J360)),""-"","""")"),"SgGm")</f>
        <v>SgGm</v>
      </c>
      <c r="R360" s="229" t="str">
        <f>IFERROR(__xludf.DUMMYFUNCTION("SUBSTITUTE(CONCATENATE(JOIN(""-"",K360:P360)),""-"","""")"),"PdnS")</f>
        <v>PdnS</v>
      </c>
      <c r="S360" s="282" t="str">
        <f t="shared" si="8"/>
        <v>S-G-M</v>
      </c>
      <c r="T360" s="282" t="str">
        <f t="shared" si="9"/>
        <v>P-D-N-S</v>
      </c>
      <c r="U360" s="237" t="str">
        <f>IFERROR(__xludf.DUMMYFUNCTION("SUBSTITUTE(JOIN(""-"",S360,T360),""--"",""-"")"),"S-G-M-P-D-N-S")</f>
        <v>S-G-M-P-D-N-S</v>
      </c>
      <c r="V360" s="309" t="str">
        <f t="shared" si="10"/>
        <v>gGmdn</v>
      </c>
      <c r="W360" s="244" t="str">
        <f>IFERROR(__xludf.DUMMYFUNCTION("IF(REGEXMATCH(C360, ""S""), ""0"","""")"),"0")</f>
        <v>0</v>
      </c>
      <c r="X360" s="245" t="str">
        <f>IFERROR(__xludf.DUMMYFUNCTION("IF(REGEXMATCH(C360, ""r""), ""1"","""")"),"")</f>
        <v/>
      </c>
      <c r="Y360" s="246" t="str">
        <f>IFERROR(__xludf.DUMMYFUNCTION("IF(REGEXMATCH(C360, ""R""), ""2"","""")"),"")</f>
        <v/>
      </c>
      <c r="Z360" s="246" t="str">
        <f>IFERROR(__xludf.DUMMYFUNCTION("IF(REGEXMATCH(C360, ""g""), ""3"","""")"),"3")</f>
        <v>3</v>
      </c>
      <c r="AA360" s="245" t="str">
        <f>IFERROR(__xludf.DUMMYFUNCTION("IF(REGEXMATCH(C360, ""G""), ""4"","""")"),"4")</f>
        <v>4</v>
      </c>
      <c r="AB360" s="245" t="str">
        <f>IFERROR(__xludf.DUMMYFUNCTION("IF(REGEXMATCH(C360, ""m""), ""5"","""")"),"5")</f>
        <v>5</v>
      </c>
      <c r="AC360" s="246" t="str">
        <f>IFERROR(__xludf.DUMMYFUNCTION("IF(REGEXMATCH(C360, ""M""), ""6"","""")"),"")</f>
        <v/>
      </c>
      <c r="AD360" s="245" t="str">
        <f>IFERROR(__xludf.DUMMYFUNCTION("IF(REGEXMATCH(C360, ""P""), ""7"","""")"),"7")</f>
        <v>7</v>
      </c>
      <c r="AE360" s="246" t="str">
        <f>IFERROR(__xludf.DUMMYFUNCTION("IF(REGEXMATCH(C360, ""d""), ""8"","""")"),"8")</f>
        <v>8</v>
      </c>
      <c r="AF360" s="245" t="str">
        <f>IFERROR(__xludf.DUMMYFUNCTION("IF(REGEXMATCH(C360, ""D""), ""9"","""")"),"")</f>
        <v/>
      </c>
      <c r="AG360" s="245" t="str">
        <f>IFERROR(__xludf.DUMMYFUNCTION("IF(REGEXMATCH(C360, ""n""), ""10"","""")"),"10")</f>
        <v>10</v>
      </c>
      <c r="AH360" s="246" t="str">
        <f>IFERROR(__xludf.DUMMYFUNCTION("IF(REGEXMATCH(C360, ""N""), ""11"","""")"),"")</f>
        <v/>
      </c>
      <c r="AI360" s="249" t="str">
        <f>IFERROR(__xludf.DUMMYFUNCTION("IF(REGEXMATCH(C360, ""S""), ""0"","""")"),"0")</f>
        <v>0</v>
      </c>
      <c r="AJ360" s="313" t="str">
        <f t="shared" si="11"/>
        <v>-</v>
      </c>
      <c r="AK360" s="313" t="str">
        <f t="shared" si="12"/>
        <v>-</v>
      </c>
      <c r="AL360" s="313" t="str">
        <f t="shared" si="13"/>
        <v>-</v>
      </c>
      <c r="AM360" s="313" t="str">
        <f t="shared" si="14"/>
        <v>-</v>
      </c>
      <c r="AN360" s="313" t="str">
        <f t="shared" si="15"/>
        <v>T</v>
      </c>
      <c r="AO360" s="314" t="str">
        <f t="shared" si="16"/>
        <v>-</v>
      </c>
      <c r="AP360" s="316">
        <f t="shared" si="17"/>
        <v>1</v>
      </c>
      <c r="AQ360" s="319" t="str">
        <f t="shared" si="18"/>
        <v>#REF!</v>
      </c>
      <c r="AR360" s="320">
        <f t="shared" si="19"/>
        <v>0</v>
      </c>
      <c r="AS360" s="250" t="str">
        <f>IFERROR(__xludf.DUMMYFUNCTION("SUBSTITUTE(SUBSTITUTE(CONCATENATE(JOIN("""",FP360:GA360)),""|"",""x""),""-"",""o"")"),"xooxxxoxxoxo")</f>
        <v>xooxxxoxxoxo</v>
      </c>
      <c r="AT360" s="323" t="str">
        <f>IFERROR(__xludf.DUMMYFUNCTION("JOIN("""",AS360,AS360)"),"xooxxxoxxoxoxooxxxoxxoxo")</f>
        <v>xooxxxoxxoxoxooxxxoxxoxo</v>
      </c>
      <c r="AU360" s="256" t="str">
        <f>IFERROR(__xludf.DUMMYFUNCTION("JOIN("""",ArrayFormula(MID(AS360,LEN(AS360)-SEQUENCE(1,LEN(AS360))+1,1)))"),"oxoxxoxxxoox")</f>
        <v>oxoxxoxxxoox</v>
      </c>
      <c r="AV360" s="256" t="str">
        <f>IFERROR(__xludf.DUMMYFUNCTION("LEFT(CONCATENATE(""x"",JOIN("""",ArrayFormula(MID(AS360,LEN(AS360)-SEQUENCE(1,LEN(AS360))+1,1)))),12)"),"xoxoxxoxxxoo")</f>
        <v>xoxoxxoxxxoo</v>
      </c>
      <c r="AW360" s="327" t="str">
        <f>IFERROR(__xludf.DUMMYFUNCTION("JOIN("""",AU360,AU360)"),"oxoxxoxxxooxoxoxxoxxxoox")</f>
        <v>oxoxxoxxxooxoxoxxoxxxoox</v>
      </c>
      <c r="AX360" s="239" t="str">
        <f>IFERROR(__xludf.DUMMYFUNCTION("IF(REGEXMATCH(AW360,AS360),""✔"",""-"")"),"-")</f>
        <v>-</v>
      </c>
      <c r="AY360" s="330" t="str">
        <f t="shared" si="20"/>
        <v>-</v>
      </c>
      <c r="AZ360" s="260" t="str">
        <f t="shared" si="21"/>
        <v>#REF!</v>
      </c>
      <c r="BA360" s="333" t="str">
        <f t="shared" si="22"/>
        <v>xooxxxo</v>
      </c>
      <c r="BB360" s="334" t="str">
        <f t="shared" si="23"/>
        <v>xxoxox</v>
      </c>
      <c r="BC360" s="335" t="str">
        <f t="shared" si="236"/>
        <v>-</v>
      </c>
      <c r="BD360" s="336" t="str">
        <f t="shared" si="25"/>
        <v>Vardhini: 'xooxxxo' + 'xxoxox'</v>
      </c>
      <c r="BE360" s="337">
        <f>IFERROR(__xludf.DUMMYFUNCTION("COUNTUNIQUE(FILTER(AT:AT,REGEXMATCH(AT:AT,AS360)))-1"),1.0)</f>
        <v>1</v>
      </c>
      <c r="BF360" s="261" t="str">
        <f>IFERROR(__xludf.DUMMYFUNCTION("IF(BI360=0,""(n/a)"",IF(BJ360=2,""(PAIR)"",IF(REGEXMATCH(AT360,""xoxoxxoxoxox""),""Bilawal"",IF(REGEXMATCH(AT360,""xoxoxooxoxoo""),""Bhupali"",IF(REGEXMATCH(AT360,""xoxoxxoxxoxo""),""Charukeshi"",IF(REGEXMATCH(AT360,""xoxoooxxoxxo""),""Kameshwari"",IF(REG"&amp;"EXMATCH(AT360,""xoxoxooxoxox""),""Shankara"",IF(REGEXMATCH(AT360,""xxooxoxxxoox""),""Basant"",IF(REGEXMATCH(AT360,""xoxoxxxxoxox""),""Bihag"",IF(REGEXMATCH(AT360,""xoxxxxoxoxxx""),""Pilu"",IF(REGEXMATCH(AT360,""xoxxoxoxxoox""),""Kirwani"",IF(REGEXMATCH(AT"&amp;"360,""xoxxoxoxoxxx""),""Mk.Malhar"",IF(REGEXMATCH(AT360,""xxooxxoxxoox""),""Bhairav"",IF(REGEXMATCH(AT360,""xxoxooxxxoox""),""Todi"",IF(REGEXMATCH(AT360,""xxooxoxooxox""),""Marwa"",IF(REGEXMATCH(AT360,""xxoooxoxxooo""),""Gunkali"",IF(REGEXMATCH(AT360,""xo"&amp;"xoxxoxxoox""),""Nat Bhairav"",IF(REGEXMATCH(AT360,""xoxxoooxoxoo""),""Shivranjani"",IF(REGEXMATCH(AT360,""xooxxxoxooxo""),""Jog"",IF(REGEXMATCH(AT360,""xxooxoxoxoox""),""Hemshri"",IF(REGEXMATCH(AT360,""xoooxooxoxxo""),""Kalavati"",IF(REGEXMATCH(AT360,""xx"&amp;"oxoxxoxoox""),""Kedar"",IF(REGEXMATCH(AT360,""xoxxxxoxooxx""),""Gara"",IF(REGEXMATCH(AT360,""xooxoxooxoox""),""Chandrakauns"",IF(REGEXMATCH(AT360,""xoxxxxoxxxox""),""Mand"",IF(REGEXMATCH(AT360,""xoxxxxoxoxox""),""Hanskinkini"",IF(REGEXMATCH(AT360,""xxooxx"&amp;"oxooxo""),""Lilavati"",IF(REGEXMATCH(AT360,""xooxoxoooxox""),""Rajeshwari"",IF(REGEXMATCH(AT360,""xoooxxoxoxxx""),""Khokar"",IF(REGEXMATCH(AT360,""xxooxoxxxxox""),""Maligoura"",""-""))))))))))))))))))))))))))))))"),"-")</f>
        <v>-</v>
      </c>
      <c r="BG360" s="239" t="str">
        <f t="shared" si="26"/>
        <v>#REF!</v>
      </c>
      <c r="BH360" s="239">
        <f>IFERROR(__xludf.DUMMYFUNCTION("COUNTUNIQUE(FE360:FO360)-1"),6.0)</f>
        <v>6</v>
      </c>
      <c r="BI360" s="239">
        <f>IFERROR(__xludf.DUMMYFUNCTION("COUNTUNIQUE(FILTER(AT:AT,REGEXMATCH(AT:AT,AS360)))-1"),1.0)</f>
        <v>1</v>
      </c>
      <c r="BJ360" s="239">
        <f>IFERROR(__xludf.DUMMYFUNCTION("COUNTA(FILTER(AT:AT,REGEXMATCH(AT:AT,AS360)))"),3.0)</f>
        <v>3</v>
      </c>
      <c r="BK360" s="341">
        <f>IFERROR(__xludf.DUMMYFUNCTION("COUNTA(FILTER(AT:AT,REGEXMATCH(AT:AT,AS360)))-AR360"),3.0)</f>
        <v>3</v>
      </c>
      <c r="BL360" s="276" t="str">
        <f>IFERROR(__xludf.DUMMYFUNCTION("IF(AS360=""oooooooooooo"",""-"",IF(REGEXMATCH(AT360,""xx""), ""Hemi."", ""Anhemi.""))"),"Hemi.")</f>
        <v>Hemi.</v>
      </c>
      <c r="BM360" s="282" t="str">
        <f>IFERROR(__xludf.DUMMYFUNCTION("IF(AS360=""oooooooooooo"",""-"",IF(REGEXMATCH(AT360,""xxx""), ""Cohem."", ""-""))"),"Cohem.")</f>
        <v>Cohem.</v>
      </c>
      <c r="BN360" s="282" t="str">
        <f>IFERROR(__xludf.DUMMYFUNCTION("IF(AS360=""oooooooooooo"",""-"",IF(REGEXMATCH(AT360,""xxxx""), ""Co-Co."", ""-""))"),"-")</f>
        <v>-</v>
      </c>
      <c r="BO360" s="342" t="str">
        <f>IFERROR(__xludf.DUMMYFUNCTION("IF(AS360=""oooooooooooo"",""-"",IF(REGEXMATCH(AT360,""xxxxx""), ""CCC."", ""-""))"),"-")</f>
        <v>-</v>
      </c>
      <c r="BP360" s="344" t="str">
        <f t="shared" si="27"/>
        <v>-</v>
      </c>
      <c r="BQ360" s="282" t="str">
        <f>IFERROR(__xludf.DUMMYFUNCTION("IF(REGEXMATCH(JOIN(""-"",EU360:FD360),""TRUE""),""✔"",""-"")"),"-")</f>
        <v>-</v>
      </c>
      <c r="BR360" s="225">
        <f t="shared" si="28"/>
        <v>0</v>
      </c>
      <c r="BS360" s="345" t="str">
        <f>IFERROR(__xludf.DUMMYFUNCTION("SUBSTITUTE(SUBSTITUTE(SUBSTITUTE(SUBSTITUTE(CONCATENATE(JOIN(""-"",GC360:GO360)),""--"",""-""),""--"",""-""),""--"",""-""),""--"",""-"")"),"1-b3-3-4-5-b6-b7-8")</f>
        <v>1-b3-3-4-5-b6-b7-8</v>
      </c>
      <c r="BT360" s="299" t="str">
        <f>IFERROR(__xludf.DUMMYFUNCTION("SUBSTITUTE(SUBSTITUTE(SUBSTITUTE(SUBSTITUTE(CONCATENATE(JOIN(""-"",GP360:HB360)),""--"",""-""),""--"",""-""),""--"",""-""),""--"",""-"")"),"S-G2-G3-M1-P-D1-N2-S")</f>
        <v>S-G2-G3-M1-P-D1-N2-S</v>
      </c>
      <c r="BU360" s="348" t="str">
        <f t="shared" si="29"/>
        <v>C-Eb-E-F-G-Ab-Bb-C</v>
      </c>
      <c r="BV360" s="349" t="str">
        <f t="shared" si="30"/>
        <v>SrRMDNS</v>
      </c>
      <c r="BW360" s="350">
        <f t="shared" si="31"/>
        <v>0</v>
      </c>
      <c r="BX360" s="351">
        <f t="shared" si="32"/>
        <v>2</v>
      </c>
      <c r="BY360" s="392"/>
      <c r="BZ360" s="309" t="str">
        <f>IFERROR(__xludf.DUMMYFUNCTION("IF(REGEXMATCH(C360, ""S""), ""x"",""x"")"),"x")</f>
        <v>x</v>
      </c>
      <c r="CA360" s="245" t="str">
        <f>IFERROR(__xludf.DUMMYFUNCTION("IF(REGEXMATCH(C360, ""r""), ""o"",""x"")"),"x")</f>
        <v>x</v>
      </c>
      <c r="CB360" s="246" t="str">
        <f>IFERROR(__xludf.DUMMYFUNCTION("IF(REGEXMATCH(C360, ""R""), ""o"",""x"")"),"x")</f>
        <v>x</v>
      </c>
      <c r="CC360" s="246" t="str">
        <f>IFERROR(__xludf.DUMMYFUNCTION("IF(REGEXMATCH(C360, ""g""), ""o"",""x"")"),"o")</f>
        <v>o</v>
      </c>
      <c r="CD360" s="245" t="str">
        <f>IFERROR(__xludf.DUMMYFUNCTION("IF(REGEXMATCH(C360, ""G""), ""o"",""x"")"),"o")</f>
        <v>o</v>
      </c>
      <c r="CE360" s="245" t="str">
        <f>IFERROR(__xludf.DUMMYFUNCTION("IF(REGEXMATCH(C360, ""m""), ""o"",""x"")"),"o")</f>
        <v>o</v>
      </c>
      <c r="CF360" s="246" t="str">
        <f>IFERROR(__xludf.DUMMYFUNCTION("IF(REGEXMATCH(C360, ""M""), ""o"",""x"")"),"x")</f>
        <v>x</v>
      </c>
      <c r="CG360" s="245" t="str">
        <f>IFERROR(__xludf.DUMMYFUNCTION("IF(REGEXMATCH(C360, ""P""), ""o"",""x"")"),"o")</f>
        <v>o</v>
      </c>
      <c r="CH360" s="246" t="str">
        <f>IFERROR(__xludf.DUMMYFUNCTION("IF(REGEXMATCH(C360, ""d""), ""o"",""x"")"),"o")</f>
        <v>o</v>
      </c>
      <c r="CI360" s="245" t="str">
        <f>IFERROR(__xludf.DUMMYFUNCTION("IF(REGEXMATCH(C360, ""D""), ""o"",""x"")"),"x")</f>
        <v>x</v>
      </c>
      <c r="CJ360" s="245" t="str">
        <f>IFERROR(__xludf.DUMMYFUNCTION("IF(REGEXMATCH(C360, ""n""), ""o"",""x"")"),"o")</f>
        <v>o</v>
      </c>
      <c r="CK360" s="245" t="str">
        <f>IFERROR(__xludf.DUMMYFUNCTION("IF(REGEXMATCH(C360, ""N""), ""o"",""x"")"),"x")</f>
        <v>x</v>
      </c>
      <c r="CL360" s="356" t="str">
        <f>IFERROR(__xludf.DUMMYFUNCTION("IF(REGEXMATCH(C360, ""S""), ""x"",""x"")"),"x")</f>
        <v>x</v>
      </c>
      <c r="CM360" s="357" t="str">
        <f t="shared" si="33"/>
        <v>xxxoooxooxox</v>
      </c>
      <c r="CN360" s="358">
        <f t="shared" si="34"/>
        <v>0</v>
      </c>
      <c r="CO360" s="246" t="str">
        <f>IFERROR(__xludf.DUMMYFUNCTION("IF(REGEXMATCH($C360, ""S""), ""S"",""S"")"),"S")</f>
        <v>S</v>
      </c>
      <c r="CP360" s="246" t="str">
        <f>IFERROR(__xludf.DUMMYFUNCTION("IF(REGEXMATCH($C360, ""r""), """",""r"")"),"r")</f>
        <v>r</v>
      </c>
      <c r="CQ360" s="246" t="str">
        <f>IFERROR(__xludf.DUMMYFUNCTION("IF(REGEXMATCH($C360, ""R""), """",""R"")"),"R")</f>
        <v>R</v>
      </c>
      <c r="CR360" s="246" t="str">
        <f>IFERROR(__xludf.DUMMYFUNCTION("IF(REGEXMATCH($C360, ""g""), """",""g"")"),"")</f>
        <v/>
      </c>
      <c r="CS360" s="246" t="str">
        <f>IFERROR(__xludf.DUMMYFUNCTION("IF(REGEXMATCH($C360, ""G""), """",""G"")"),"")</f>
        <v/>
      </c>
      <c r="CT360" s="246" t="str">
        <f>IFERROR(__xludf.DUMMYFUNCTION("IF(REGEXMATCH($C360, ""m""), """",""m"")"),"")</f>
        <v/>
      </c>
      <c r="CU360" s="246" t="str">
        <f>IFERROR(__xludf.DUMMYFUNCTION("IF(REGEXMATCH($C360, ""M""), """",""M"")"),"M")</f>
        <v>M</v>
      </c>
      <c r="CV360" s="246" t="str">
        <f>IFERROR(__xludf.DUMMYFUNCTION("IF(REGEXMATCH($C360, ""P""), """",""P"")"),"")</f>
        <v/>
      </c>
      <c r="CW360" s="246" t="str">
        <f>IFERROR(__xludf.DUMMYFUNCTION("IF(REGEXMATCH($C360, ""d""), """",""d"")"),"")</f>
        <v/>
      </c>
      <c r="CX360" s="246" t="str">
        <f>IFERROR(__xludf.DUMMYFUNCTION("IF(REGEXMATCH($C360, ""D""), """",""D"")"),"D")</f>
        <v>D</v>
      </c>
      <c r="CY360" s="246" t="str">
        <f>IFERROR(__xludf.DUMMYFUNCTION("IF(REGEXMATCH($C360, ""n""), """",""n"")"),"")</f>
        <v/>
      </c>
      <c r="CZ360" s="246" t="str">
        <f>IFERROR(__xludf.DUMMYFUNCTION("IF(REGEXMATCH($C360, ""N""), """",""N"")"),"N")</f>
        <v>N</v>
      </c>
      <c r="DA360" s="246" t="str">
        <f>IFERROR(__xludf.DUMMYFUNCTION("IF(REGEXMATCH($C360, ""S""), ""S"",""S"")"),"S")</f>
        <v>S</v>
      </c>
      <c r="DB360" s="362" t="str">
        <f>IFERROR(__xludf.DUMMYFUNCTION("JOIN("""",CO360:DA360,"""","""")"),"SrRMDNS")</f>
        <v>SrRMDNS</v>
      </c>
      <c r="DC360" s="363"/>
      <c r="DD360" s="301" t="str">
        <f t="shared" si="35"/>
        <v>#REF!</v>
      </c>
      <c r="DE360" s="302" t="str">
        <f t="shared" si="36"/>
        <v>#REF!</v>
      </c>
      <c r="DF360" s="301" t="str">
        <f t="shared" ref="DF360:DG360" si="954">SUBSTITUTE(S360,"-","")</f>
        <v>SGM</v>
      </c>
      <c r="DG360" s="301" t="str">
        <f t="shared" si="954"/>
        <v>PDNS</v>
      </c>
      <c r="DH360" s="302" t="str">
        <f t="shared" si="38"/>
        <v>-</v>
      </c>
      <c r="DI360" s="301" t="str">
        <f t="shared" si="39"/>
        <v>Hemi.</v>
      </c>
      <c r="DJ360" s="364" t="str">
        <f t="shared" si="40"/>
        <v>Cohem.</v>
      </c>
      <c r="DK360" s="306" t="str">
        <f t="shared" si="41"/>
        <v>-</v>
      </c>
      <c r="DL360" s="366" t="str">
        <f t="shared" si="42"/>
        <v>-</v>
      </c>
      <c r="DM360" s="308" t="str">
        <f t="shared" si="43"/>
        <v>✔</v>
      </c>
      <c r="DN360" s="306" t="str">
        <f t="shared" si="44"/>
        <v>-</v>
      </c>
      <c r="DO360" s="306" t="str">
        <f t="shared" si="45"/>
        <v>-</v>
      </c>
      <c r="DP360" s="367" t="str">
        <f t="shared" si="46"/>
        <v>-</v>
      </c>
      <c r="DQ360" s="310" t="str">
        <f t="shared" si="47"/>
        <v>-</v>
      </c>
      <c r="DR360" s="310" t="str">
        <f t="shared" si="48"/>
        <v>✔</v>
      </c>
      <c r="DS360" s="310" t="str">
        <f t="shared" si="49"/>
        <v>-</v>
      </c>
      <c r="DT360" s="310" t="str">
        <f t="shared" si="50"/>
        <v>-</v>
      </c>
      <c r="DU360" s="370" t="str">
        <f t="shared" si="51"/>
        <v>-</v>
      </c>
      <c r="DV360" s="306" t="str">
        <f t="shared" si="52"/>
        <v>✔</v>
      </c>
      <c r="DW360" s="306" t="str">
        <f t="shared" si="53"/>
        <v>-</v>
      </c>
      <c r="DX360" s="306" t="str">
        <f t="shared" si="54"/>
        <v>-</v>
      </c>
      <c r="DY360" s="306" t="str">
        <f t="shared" si="55"/>
        <v>-</v>
      </c>
      <c r="DZ360" s="306" t="str">
        <f t="shared" si="56"/>
        <v>-</v>
      </c>
      <c r="EA360" s="367" t="str">
        <f t="shared" si="57"/>
        <v>-</v>
      </c>
      <c r="EB360" s="310" t="str">
        <f>IFERROR(__xludf.DUMMYFUNCTION("IF(REGEXMATCH(AW360,AS360),""✔"",""-"")"),"-")</f>
        <v>-</v>
      </c>
      <c r="EC360" s="310" t="str">
        <f t="shared" si="58"/>
        <v>#REF!</v>
      </c>
      <c r="ED360" s="370" t="str">
        <f t="shared" si="59"/>
        <v>-</v>
      </c>
      <c r="EE360" s="340" t="str">
        <f t="shared" si="60"/>
        <v>S-gG-m-P-d-n-S</v>
      </c>
      <c r="EF360" s="371" t="str">
        <f>IFERROR(__xludf.DUMMYFUNCTION("CONCATENATE(JOIN("""",HC360:HO360))"),"SRGmPdDS")</f>
        <v>SRGmPdDS</v>
      </c>
      <c r="EG360" s="372">
        <f t="shared" si="61"/>
        <v>2</v>
      </c>
      <c r="EH360" s="373" t="str">
        <f>IFERROR(__xludf.DUMMYFUNCTION("CONCATENATE(JOIN("""",JC360:JO360))"),"Ga, Pa, ")</f>
        <v>Ga, Pa, </v>
      </c>
      <c r="EI360" s="322">
        <f t="shared" si="62"/>
        <v>1</v>
      </c>
      <c r="EJ360" s="374" t="str">
        <f>IFERROR(__xludf.DUMMYFUNCTION("CONCATENATE(JOIN("""",KC360:KO360))"),"Ga, ")</f>
        <v>Ga, </v>
      </c>
      <c r="EK360" s="325" t="str">
        <f t="shared" si="63"/>
        <v>S-G2-G3-M1-P-D1-N2-S</v>
      </c>
      <c r="EL360" s="326" t="str">
        <f t="shared" si="64"/>
        <v>1-b3-3-4-5-b6-b7-8</v>
      </c>
      <c r="EM360" s="318" t="str">
        <f t="shared" si="65"/>
        <v>#REF!</v>
      </c>
      <c r="EN360" s="328" t="str">
        <f>IFERROR(__xludf.DUMMYFUNCTION("SUBSTITUTE(SUBSTITUTE(SUBSTITUTE(SUBSTITUTE(CONCATENATE(JOIN("" "",HP360:IB360)),""  "","" ""),""  "","" ""),""  "","" ""),""  "","" "")"),"o • • o o o • o o • o • o")</f>
        <v>o • • o o o • o o • o • o</v>
      </c>
      <c r="EO360" s="368" t="str">
        <f t="shared" si="66"/>
        <v>-</v>
      </c>
      <c r="EP360" s="339" t="str">
        <f t="shared" si="67"/>
        <v>-</v>
      </c>
      <c r="EQ360" s="339" t="str">
        <f t="shared" si="68"/>
        <v>Sa-Pa</v>
      </c>
      <c r="ER360" s="339" t="str">
        <f t="shared" si="69"/>
        <v>-</v>
      </c>
      <c r="ES360" s="340" t="str">
        <f t="shared" si="70"/>
        <v>-</v>
      </c>
      <c r="ET360" s="363"/>
      <c r="EU360" s="376" t="b">
        <f>IFERROR(__xludf.DUMMYFUNCTION("arrayformula(sum(--REGEXMATCH(""SRGMPDNS"",split(REGEXREPLACE(C360,""(.)"",""$1~""),""~""))))=len(C360)
"),FALSE)</f>
        <v>0</v>
      </c>
      <c r="EV360" s="290" t="b">
        <f>IFERROR(__xludf.DUMMYFUNCTION("arrayformula(sum(--REGEXMATCH(""SRGmPDNS"",split(REGEXREPLACE(C360,""(.)"",""$1~""),""~""))))=len(C360)"),FALSE)</f>
        <v>0</v>
      </c>
      <c r="EW360" s="290" t="b">
        <f>IFERROR(__xludf.DUMMYFUNCTION("arrayformula(sum(--REGEXMATCH(""SRGmPDnS"",split(REGEXREPLACE(C360,""(.)"",""$1~""),""~""))))=len(C360)"),FALSE)</f>
        <v>0</v>
      </c>
      <c r="EX360" s="290" t="b">
        <f>IFERROR(__xludf.DUMMYFUNCTION("arrayformula(sum(--REGEXMATCH(""SRgmPDnS"",split(REGEXREPLACE(C360,""(.)"",""$1~""),""~""))))=len(C360)"),FALSE)</f>
        <v>0</v>
      </c>
      <c r="EY360" s="290" t="b">
        <f>IFERROR(__xludf.DUMMYFUNCTION("arrayformula(sum(--REGEXMATCH(""SRgmPdnS"",split(REGEXREPLACE(C360,""(.)"",""$1~""),""~""))))=len(C360)"),FALSE)</f>
        <v>0</v>
      </c>
      <c r="EZ360" s="290" t="b">
        <f>IFERROR(__xludf.DUMMYFUNCTION("arrayformula(sum(--REGEXMATCH(""SrgmPdnS"",split(REGEXREPLACE(C360,""(.)"",""$1~""),""~""))))=len(C360)"),FALSE)</f>
        <v>0</v>
      </c>
      <c r="FA360" s="290" t="b">
        <f>IFERROR(__xludf.DUMMYFUNCTION("arrayformula(sum(--REGEXMATCH(""SrGmPdNS"",split(REGEXREPLACE(C360,""(.)"",""$1~""),""~""))))=len(C360)"),FALSE)</f>
        <v>0</v>
      </c>
      <c r="FB360" s="290" t="b">
        <f>IFERROR(__xludf.DUMMYFUNCTION("arrayformula(sum(--REGEXMATCH(""SrGMPDNS"",split(REGEXREPLACE(C360,""(.)"",""$1~""),""~""))))=len(C360)"),FALSE)</f>
        <v>0</v>
      </c>
      <c r="FC360" s="290" t="b">
        <f>IFERROR(__xludf.DUMMYFUNCTION("arrayformula(sum(--REGEXMATCH(""SrGMPdNS"",split(REGEXREPLACE(C360,""(.)"",""$1~""),""~""))))=len(C360)"),FALSE)</f>
        <v>0</v>
      </c>
      <c r="FD360" s="377" t="b">
        <f>IFERROR(__xludf.DUMMYFUNCTION("arrayformula(sum(--REGEXMATCH(""SrgMPdNS"",split(REGEXREPLACE(C360,""(.)"",""$1~""),""~""))))=len(C360)"),FALSE)</f>
        <v>0</v>
      </c>
      <c r="FE360" s="269" t="str">
        <f t="shared" si="71"/>
        <v>-</v>
      </c>
      <c r="FF360" s="269" t="str">
        <f t="shared" si="72"/>
        <v>-</v>
      </c>
      <c r="FG360" s="271" t="str">
        <f t="shared" si="73"/>
        <v>xxxoxxoxoxo</v>
      </c>
      <c r="FH360" s="269" t="str">
        <f t="shared" si="74"/>
        <v>xxoxxoxoxoo</v>
      </c>
      <c r="FI360" s="271" t="str">
        <f t="shared" si="75"/>
        <v>xoxxoxoxoox</v>
      </c>
      <c r="FJ360" s="271" t="str">
        <f t="shared" si="76"/>
        <v>-</v>
      </c>
      <c r="FK360" s="271" t="str">
        <f t="shared" si="77"/>
        <v>xxoxoxooxxx</v>
      </c>
      <c r="FL360" s="271" t="str">
        <f t="shared" si="78"/>
        <v>xoxoxooxxxo</v>
      </c>
      <c r="FM360" s="271" t="str">
        <f t="shared" si="79"/>
        <v>-</v>
      </c>
      <c r="FN360" s="271" t="str">
        <f t="shared" si="80"/>
        <v>xoxooxxxoxx</v>
      </c>
      <c r="FO360" s="274" t="str">
        <f t="shared" si="81"/>
        <v>-</v>
      </c>
      <c r="FP360" s="234" t="str">
        <f t="shared" si="82"/>
        <v>|</v>
      </c>
      <c r="FQ360" s="236" t="str">
        <f t="shared" si="83"/>
        <v>-</v>
      </c>
      <c r="FR360" s="237" t="str">
        <f t="shared" si="84"/>
        <v>-</v>
      </c>
      <c r="FS360" s="236" t="str">
        <f t="shared" si="85"/>
        <v>|</v>
      </c>
      <c r="FT360" s="237" t="str">
        <f t="shared" si="86"/>
        <v>|</v>
      </c>
      <c r="FU360" s="236" t="str">
        <f t="shared" si="87"/>
        <v>|</v>
      </c>
      <c r="FV360" s="237" t="str">
        <f t="shared" si="88"/>
        <v>-</v>
      </c>
      <c r="FW360" s="236" t="str">
        <f t="shared" si="89"/>
        <v>|</v>
      </c>
      <c r="FX360" s="237" t="str">
        <f t="shared" si="90"/>
        <v>|</v>
      </c>
      <c r="FY360" s="236" t="str">
        <f t="shared" si="91"/>
        <v>-</v>
      </c>
      <c r="FZ360" s="237" t="str">
        <f t="shared" si="92"/>
        <v>|</v>
      </c>
      <c r="GA360" s="236" t="str">
        <f t="shared" si="93"/>
        <v>-</v>
      </c>
      <c r="GB360" s="238" t="str">
        <f t="shared" si="94"/>
        <v>|</v>
      </c>
      <c r="GC360" s="244" t="str">
        <f>IFERROR(__xludf.DUMMYFUNCTION("IF(REGEXMATCH(C360, ""S""), ""1"","""")"),"1")</f>
        <v>1</v>
      </c>
      <c r="GD360" s="245" t="str">
        <f>IFERROR(__xludf.DUMMYFUNCTION("IF(REGEXMATCH(C360, ""r""), ""b2"","""")"),"")</f>
        <v/>
      </c>
      <c r="GE360" s="246" t="str">
        <f>IFERROR(__xludf.DUMMYFUNCTION("IF(REGEXMATCH(C360, ""R""), ""2"","""")"),"")</f>
        <v/>
      </c>
      <c r="GF360" s="246" t="str">
        <f>IFERROR(__xludf.DUMMYFUNCTION("IF(REGEXMATCH(C360, ""g""), ""b3"","""")"),"b3")</f>
        <v>b3</v>
      </c>
      <c r="GG360" s="245" t="str">
        <f>IFERROR(__xludf.DUMMYFUNCTION("IF(REGEXMATCH(C360, ""G""), ""3"","""")"),"3")</f>
        <v>3</v>
      </c>
      <c r="GH360" s="245" t="str">
        <f>IFERROR(__xludf.DUMMYFUNCTION("IF(REGEXMATCH(C360, ""m""), ""4"","""")"),"4")</f>
        <v>4</v>
      </c>
      <c r="GI360" s="246" t="str">
        <f>IFERROR(__xludf.DUMMYFUNCTION("IF(REGEXMATCH(C360, ""M""), ""#4"","""")"),"")</f>
        <v/>
      </c>
      <c r="GJ360" s="245" t="str">
        <f>IFERROR(__xludf.DUMMYFUNCTION("IF(REGEXMATCH(C360, ""P""), ""5"","""")"),"5")</f>
        <v>5</v>
      </c>
      <c r="GK360" s="246" t="str">
        <f>IFERROR(__xludf.DUMMYFUNCTION("IF(REGEXMATCH(C360, ""d""), ""b6"","""")"),"b6")</f>
        <v>b6</v>
      </c>
      <c r="GL360" s="245" t="str">
        <f>IFERROR(__xludf.DUMMYFUNCTION("IF(REGEXMATCH(C360, ""D""), ""6"","""")"),"")</f>
        <v/>
      </c>
      <c r="GM360" s="245" t="str">
        <f>IFERROR(__xludf.DUMMYFUNCTION("IF(REGEXMATCH(C360, ""n""), ""b7"","""")"),"b7")</f>
        <v>b7</v>
      </c>
      <c r="GN360" s="246" t="str">
        <f>IFERROR(__xludf.DUMMYFUNCTION("IF(REGEXMATCH(C360, ""N""), ""7"","""")"),"")</f>
        <v/>
      </c>
      <c r="GO360" s="249" t="str">
        <f>IFERROR(__xludf.DUMMYFUNCTION("IF(REGEXMATCH(C360, ""S""), ""8"","""")"),"8")</f>
        <v>8</v>
      </c>
      <c r="GP360" s="244" t="str">
        <f>IFERROR(__xludf.DUMMYFUNCTION("IF(REGEXMATCH(C360, ""S""), ""S"","""")"),"S")</f>
        <v>S</v>
      </c>
      <c r="GQ360" s="294" t="str">
        <f>IFERROR(__xludf.DUMMYFUNCTION("IF(REGEXMATCH(C360, ""r""), ""R1"","""")"),"")</f>
        <v/>
      </c>
      <c r="GR360" s="295" t="str">
        <f>IFERROR(__xludf.DUMMYFUNCTION("IF(REGEXMATCH(C360, ""R""), ""R2"","""")"),"")</f>
        <v/>
      </c>
      <c r="GS360" s="295" t="str">
        <f>IFERROR(__xludf.DUMMYFUNCTION("IF(REGEXMATCH(C360, ""g""), ""G2"","""")"),"G2")</f>
        <v>G2</v>
      </c>
      <c r="GT360" s="294" t="str">
        <f>IFERROR(__xludf.DUMMYFUNCTION("IF(REGEXMATCH(C360, ""G""), ""G3"","""")"),"G3")</f>
        <v>G3</v>
      </c>
      <c r="GU360" s="294" t="str">
        <f>IFERROR(__xludf.DUMMYFUNCTION("IF(REGEXMATCH(C360, ""m""), ""M1"","""")"),"M1")</f>
        <v>M1</v>
      </c>
      <c r="GV360" s="295" t="str">
        <f>IFERROR(__xludf.DUMMYFUNCTION("IF(REGEXMATCH(C360, ""M""), ""M2"","""")"),"")</f>
        <v/>
      </c>
      <c r="GW360" s="294" t="str">
        <f>IFERROR(__xludf.DUMMYFUNCTION("IF(REGEXMATCH(C360, ""P""), ""P"","""")"),"P")</f>
        <v>P</v>
      </c>
      <c r="GX360" s="295" t="str">
        <f>IFERROR(__xludf.DUMMYFUNCTION("IF(REGEXMATCH(C360, ""d""), ""D1"","""")"),"D1")</f>
        <v>D1</v>
      </c>
      <c r="GY360" s="294" t="str">
        <f>IFERROR(__xludf.DUMMYFUNCTION("IF(REGEXMATCH(C360, ""D""), ""D2"","""")"),"")</f>
        <v/>
      </c>
      <c r="GZ360" s="294" t="str">
        <f>IFERROR(__xludf.DUMMYFUNCTION("IF(REGEXMATCH(C360, ""n""), ""N2"","""")"),"N2")</f>
        <v>N2</v>
      </c>
      <c r="HA360" s="295" t="str">
        <f>IFERROR(__xludf.DUMMYFUNCTION("IF(REGEXMATCH(C360, ""N""), ""N3"","""")"),"")</f>
        <v/>
      </c>
      <c r="HB360" s="249" t="str">
        <f>IFERROR(__xludf.DUMMYFUNCTION("IF(REGEXMATCH(C360, ""S""), ""S"","""")"),"S")</f>
        <v>S</v>
      </c>
      <c r="HC360" s="331" t="str">
        <f t="shared" si="95"/>
        <v>S</v>
      </c>
      <c r="HD360" s="332" t="str">
        <f t="shared" si="96"/>
        <v/>
      </c>
      <c r="HE360" s="332" t="str">
        <f t="shared" si="97"/>
        <v>R</v>
      </c>
      <c r="HF360" s="332" t="str">
        <f t="shared" si="98"/>
        <v/>
      </c>
      <c r="HG360" s="332" t="str">
        <f t="shared" si="99"/>
        <v>G</v>
      </c>
      <c r="HH360" s="332" t="str">
        <f t="shared" si="100"/>
        <v>m</v>
      </c>
      <c r="HI360" s="332" t="str">
        <f t="shared" si="101"/>
        <v/>
      </c>
      <c r="HJ360" s="332" t="str">
        <f t="shared" si="102"/>
        <v>P</v>
      </c>
      <c r="HK360" s="332" t="str">
        <f t="shared" si="103"/>
        <v>d</v>
      </c>
      <c r="HL360" s="332" t="str">
        <f t="shared" si="104"/>
        <v>D</v>
      </c>
      <c r="HM360" s="332" t="str">
        <f t="shared" si="105"/>
        <v/>
      </c>
      <c r="HN360" s="332" t="str">
        <f t="shared" si="106"/>
        <v/>
      </c>
      <c r="HO360" s="343" t="str">
        <f t="shared" si="107"/>
        <v>S</v>
      </c>
      <c r="HP360" s="331" t="str">
        <f t="shared" si="108"/>
        <v>o</v>
      </c>
      <c r="HQ360" s="332" t="str">
        <f t="shared" si="109"/>
        <v>•</v>
      </c>
      <c r="HR360" s="332" t="str">
        <f t="shared" si="110"/>
        <v>•</v>
      </c>
      <c r="HS360" s="332" t="str">
        <f t="shared" si="111"/>
        <v>o</v>
      </c>
      <c r="HT360" s="332" t="str">
        <f t="shared" si="112"/>
        <v>o</v>
      </c>
      <c r="HU360" s="332" t="str">
        <f t="shared" si="113"/>
        <v>o</v>
      </c>
      <c r="HV360" s="332" t="str">
        <f t="shared" si="114"/>
        <v>•</v>
      </c>
      <c r="HW360" s="332" t="str">
        <f t="shared" si="115"/>
        <v>o</v>
      </c>
      <c r="HX360" s="332" t="str">
        <f t="shared" si="116"/>
        <v>o</v>
      </c>
      <c r="HY360" s="332" t="str">
        <f t="shared" si="117"/>
        <v>•</v>
      </c>
      <c r="HZ360" s="332" t="str">
        <f t="shared" si="118"/>
        <v>o</v>
      </c>
      <c r="IA360" s="332" t="str">
        <f t="shared" si="119"/>
        <v>•</v>
      </c>
      <c r="IB360" s="338" t="str">
        <f t="shared" si="120"/>
        <v>o</v>
      </c>
      <c r="IC360" s="331" t="str">
        <f t="shared" si="121"/>
        <v>•</v>
      </c>
      <c r="ID360" s="332" t="str">
        <f t="shared" si="122"/>
        <v>o</v>
      </c>
      <c r="IE360" s="332" t="str">
        <f t="shared" si="123"/>
        <v>o</v>
      </c>
      <c r="IF360" s="332" t="str">
        <f t="shared" si="124"/>
        <v>•</v>
      </c>
      <c r="IG360" s="332" t="str">
        <f t="shared" si="125"/>
        <v>•</v>
      </c>
      <c r="IH360" s="332" t="str">
        <f t="shared" si="126"/>
        <v>•</v>
      </c>
      <c r="II360" s="332" t="str">
        <f t="shared" si="127"/>
        <v>o</v>
      </c>
      <c r="IJ360" s="332" t="str">
        <f t="shared" si="128"/>
        <v>•</v>
      </c>
      <c r="IK360" s="332" t="str">
        <f t="shared" si="129"/>
        <v>•</v>
      </c>
      <c r="IL360" s="332" t="str">
        <f t="shared" si="130"/>
        <v>o</v>
      </c>
      <c r="IM360" s="332" t="str">
        <f t="shared" si="131"/>
        <v>•</v>
      </c>
      <c r="IN360" s="332" t="str">
        <f t="shared" si="132"/>
        <v>o</v>
      </c>
      <c r="IO360" s="338" t="str">
        <f t="shared" si="133"/>
        <v>•</v>
      </c>
      <c r="IP360" s="346" t="b">
        <f t="shared" si="134"/>
        <v>0</v>
      </c>
      <c r="IQ360" s="347" t="b">
        <f t="shared" si="135"/>
        <v>0</v>
      </c>
      <c r="IR360" s="347" t="b">
        <f t="shared" si="136"/>
        <v>0</v>
      </c>
      <c r="IS360" s="347" t="b">
        <f t="shared" si="137"/>
        <v>0</v>
      </c>
      <c r="IT360" s="347" t="b">
        <f t="shared" si="138"/>
        <v>1</v>
      </c>
      <c r="IU360" s="347" t="b">
        <f t="shared" si="139"/>
        <v>0</v>
      </c>
      <c r="IV360" s="347" t="b">
        <f t="shared" si="140"/>
        <v>0</v>
      </c>
      <c r="IW360" s="347" t="b">
        <f t="shared" si="141"/>
        <v>1</v>
      </c>
      <c r="IX360" s="347" t="b">
        <f t="shared" si="142"/>
        <v>0</v>
      </c>
      <c r="IY360" s="347" t="b">
        <f t="shared" si="143"/>
        <v>0</v>
      </c>
      <c r="IZ360" s="347" t="b">
        <f t="shared" si="144"/>
        <v>0</v>
      </c>
      <c r="JA360" s="347" t="b">
        <f t="shared" si="145"/>
        <v>0</v>
      </c>
      <c r="JB360" s="353" t="b">
        <f t="shared" si="146"/>
        <v>0</v>
      </c>
      <c r="JC360" s="354" t="str">
        <f t="shared" si="147"/>
        <v/>
      </c>
      <c r="JD360" s="355" t="str">
        <f t="shared" si="148"/>
        <v/>
      </c>
      <c r="JE360" s="355" t="str">
        <f t="shared" si="149"/>
        <v/>
      </c>
      <c r="JF360" s="355" t="str">
        <f t="shared" si="150"/>
        <v/>
      </c>
      <c r="JG360" s="355" t="str">
        <f t="shared" si="151"/>
        <v>Ga, </v>
      </c>
      <c r="JH360" s="355" t="str">
        <f t="shared" si="152"/>
        <v/>
      </c>
      <c r="JI360" s="355" t="str">
        <f t="shared" si="153"/>
        <v/>
      </c>
      <c r="JJ360" s="355" t="str">
        <f t="shared" si="154"/>
        <v>Pa, </v>
      </c>
      <c r="JK360" s="355" t="str">
        <f t="shared" si="155"/>
        <v/>
      </c>
      <c r="JL360" s="355" t="str">
        <f t="shared" si="156"/>
        <v/>
      </c>
      <c r="JM360" s="355" t="str">
        <f t="shared" si="157"/>
        <v/>
      </c>
      <c r="JN360" s="355" t="str">
        <f t="shared" si="158"/>
        <v/>
      </c>
      <c r="JO360" s="359" t="str">
        <f t="shared" si="159"/>
        <v/>
      </c>
      <c r="JP360" s="346" t="b">
        <f t="shared" si="160"/>
        <v>0</v>
      </c>
      <c r="JQ360" s="347" t="b">
        <f t="shared" si="161"/>
        <v>0</v>
      </c>
      <c r="JR360" s="347" t="b">
        <f t="shared" si="162"/>
        <v>0</v>
      </c>
      <c r="JS360" s="347" t="b">
        <f t="shared" si="163"/>
        <v>0</v>
      </c>
      <c r="JT360" s="347" t="b">
        <f t="shared" si="164"/>
        <v>1</v>
      </c>
      <c r="JU360" s="347" t="b">
        <f t="shared" si="165"/>
        <v>0</v>
      </c>
      <c r="JV360" s="347" t="b">
        <f t="shared" si="166"/>
        <v>0</v>
      </c>
      <c r="JW360" s="347" t="b">
        <f t="shared" si="167"/>
        <v>0</v>
      </c>
      <c r="JX360" s="347" t="b">
        <f t="shared" si="168"/>
        <v>0</v>
      </c>
      <c r="JY360" s="347" t="b">
        <f t="shared" si="169"/>
        <v>0</v>
      </c>
      <c r="JZ360" s="347" t="b">
        <f t="shared" si="170"/>
        <v>0</v>
      </c>
      <c r="KA360" s="347" t="b">
        <f t="shared" si="171"/>
        <v>0</v>
      </c>
      <c r="KB360" s="365" t="b">
        <f t="shared" si="172"/>
        <v>0</v>
      </c>
      <c r="KC360" s="354" t="str">
        <f t="shared" si="173"/>
        <v/>
      </c>
      <c r="KD360" s="355" t="str">
        <f t="shared" si="174"/>
        <v/>
      </c>
      <c r="KE360" s="355" t="str">
        <f t="shared" si="175"/>
        <v/>
      </c>
      <c r="KF360" s="355" t="str">
        <f t="shared" si="176"/>
        <v/>
      </c>
      <c r="KG360" s="355" t="str">
        <f t="shared" si="177"/>
        <v>Ga, </v>
      </c>
      <c r="KH360" s="355" t="str">
        <f t="shared" si="178"/>
        <v/>
      </c>
      <c r="KI360" s="355" t="str">
        <f t="shared" si="179"/>
        <v/>
      </c>
      <c r="KJ360" s="355" t="str">
        <f t="shared" si="180"/>
        <v/>
      </c>
      <c r="KK360" s="355" t="str">
        <f t="shared" si="181"/>
        <v/>
      </c>
      <c r="KL360" s="355" t="str">
        <f t="shared" si="182"/>
        <v/>
      </c>
      <c r="KM360" s="355" t="str">
        <f t="shared" si="183"/>
        <v/>
      </c>
      <c r="KN360" s="355" t="str">
        <f t="shared" si="184"/>
        <v/>
      </c>
      <c r="KO360" s="359"/>
      <c r="KP360" s="378"/>
      <c r="KQ360" s="379" t="s">
        <v>9</v>
      </c>
      <c r="KR360" s="380" t="s">
        <v>9</v>
      </c>
      <c r="KS360" s="381" t="s">
        <v>9</v>
      </c>
      <c r="KT360" s="382">
        <f t="shared" si="186"/>
        <v>0</v>
      </c>
      <c r="KU360" s="383">
        <f t="shared" si="187"/>
        <v>0</v>
      </c>
      <c r="KV360" s="381" t="str">
        <f t="shared" si="205"/>
        <v>S</v>
      </c>
      <c r="KW360" s="382">
        <f t="shared" si="189"/>
        <v>0</v>
      </c>
      <c r="KX360" s="384">
        <f t="shared" si="190"/>
        <v>0</v>
      </c>
      <c r="KY360" s="382">
        <f t="shared" ref="KY360:KZ360" si="955">KW360-KT360</f>
        <v>0</v>
      </c>
      <c r="KZ360" s="369">
        <f t="shared" si="955"/>
        <v>0</v>
      </c>
      <c r="LA360" s="385" t="str">
        <f t="shared" si="192"/>
        <v>✔</v>
      </c>
      <c r="LB360" s="340" t="str">
        <f>IFERROR(__xludf.DUMMYFUNCTION("JOIN("""",ArrayFormula(MID(KS360,LEN(KS360)-SEQUENCE(1,LEN(KS360))+1,1)))"),"S")</f>
        <v>S</v>
      </c>
      <c r="LC360" s="373" t="str">
        <f>IFERROR(__xludf.DUMMYFUNCTION("JOIN("""",ArrayFormula(MID(KV360,LEN(KV360)-SEQUENCE(1,LEN(KV360))+1,1)))"),"S")</f>
        <v>S</v>
      </c>
      <c r="LD360" s="373" t="str">
        <f t="shared" si="193"/>
        <v>S</v>
      </c>
      <c r="LE360" s="339" t="str">
        <f t="shared" si="194"/>
        <v>S</v>
      </c>
      <c r="LF360" s="386" t="str">
        <f>IFERROR(__xludf.DUMMYFUNCTION("SUBSTITUTE(SUBSTITUTE(CONCATENATE(JOIN("""",LH360:LT360)),""1"",""""),""2"","""")"),"SS")</f>
        <v>SS</v>
      </c>
      <c r="LG360" s="369" t="str">
        <f t="shared" si="195"/>
        <v>-</v>
      </c>
      <c r="LH360" s="387" t="str">
        <f>IFERROR(__xludf.DUMMYFUNCTION("IF(REGEXMATCH(LD360, ""S""), ""S"",IF(REGEXMATCH(LE360, ""S""), ""S"",""""))"),"S")</f>
        <v>S</v>
      </c>
      <c r="LI360" s="299" t="str">
        <f>IFERROR(__xludf.DUMMYFUNCTION("IF(REGEXMATCH(LD360, ""r""), ""r1"",IF(REGEXMATCH(LE360, ""r""), ""r2"",""""))"),"")</f>
        <v/>
      </c>
      <c r="LJ360" s="299" t="str">
        <f>IFERROR(__xludf.DUMMYFUNCTION("IF(REGEXMATCH(LD360, ""R""), ""R1"",IF(REGEXMATCH(LE360, ""R""), ""R2"",""""))"),"")</f>
        <v/>
      </c>
      <c r="LK360" s="299" t="str">
        <f>IFERROR(__xludf.DUMMYFUNCTION("IF(REGEXMATCH(LD360, ""g""), ""g1"",IF(REGEXMATCH(LE360, ""g""), ""g2"",""""))"),"")</f>
        <v/>
      </c>
      <c r="LL360" s="299" t="str">
        <f>IFERROR(__xludf.DUMMYFUNCTION("IF(REGEXMATCH(LD360, ""G""), ""G1"",IF(REGEXMATCH(LE360, ""G""), ""G2"",""""))"),"")</f>
        <v/>
      </c>
      <c r="LM360" s="299" t="str">
        <f>IFERROR(__xludf.DUMMYFUNCTION("IF(REGEXMATCH(LD360, ""m""), ""m1"",IF(REGEXMATCH(LE360, ""m""), ""m2"",""""))"),"")</f>
        <v/>
      </c>
      <c r="LN360" s="299" t="str">
        <f>IFERROR(__xludf.DUMMYFUNCTION("IF(REGEXMATCH(LD360, ""M""), ""M1"",IF(REGEXMATCH(LE360, ""M""), ""M2"",""""))"),"")</f>
        <v/>
      </c>
      <c r="LO360" s="299" t="str">
        <f>IFERROR(__xludf.DUMMYFUNCTION("IF(REGEXMATCH(LD360, ""P""), ""P1"",IF(REGEXMATCH(LE360, ""P""), ""P2"",""""))"),"")</f>
        <v/>
      </c>
      <c r="LP360" s="299" t="str">
        <f>IFERROR(__xludf.DUMMYFUNCTION("IF(REGEXMATCH(LD360, ""d""), ""d1"",IF(REGEXMATCH(LE360, ""d""), ""d2"",""""))"),"")</f>
        <v/>
      </c>
      <c r="LQ360" s="299" t="str">
        <f>IFERROR(__xludf.DUMMYFUNCTION("IF(REGEXMATCH(LD360, ""D""), ""D1"",IF(REGEXMATCH(LE360, ""D""), ""D2"",""""))"),"")</f>
        <v/>
      </c>
      <c r="LR360" s="299" t="str">
        <f>IFERROR(__xludf.DUMMYFUNCTION("IF(REGEXMATCH(LD360, ""n""), ""n1"",IF(REGEXMATCH(LE360, ""n""), ""n2"",""""))"),"")</f>
        <v/>
      </c>
      <c r="LS360" s="299" t="str">
        <f>IFERROR(__xludf.DUMMYFUNCTION("IF(REGEXMATCH(LD360, ""N""), ""N1"",IF(REGEXMATCH(LE360, ""N""), ""N2"",""""))"),"")</f>
        <v/>
      </c>
      <c r="LT360" s="388" t="str">
        <f>IFERROR(__xludf.DUMMYFUNCTION("IF(REGEXMATCH(LD360, ""S""), ""S"",IF(REGEXMATCH(LE360, ""S""), ""S"",""""))"),"S")</f>
        <v>S</v>
      </c>
      <c r="LU360" s="389">
        <f t="shared" si="196"/>
        <v>1</v>
      </c>
      <c r="LV360" s="378"/>
      <c r="LW360" s="369"/>
      <c r="LX360" s="369"/>
    </row>
    <row r="361" ht="18.0" customHeight="1">
      <c r="A361" s="298" t="s">
        <v>1238</v>
      </c>
      <c r="B361" s="222" t="s">
        <v>597</v>
      </c>
      <c r="C361" s="233" t="str">
        <f t="shared" si="7"/>
        <v>SrGmMPDNS</v>
      </c>
      <c r="D361" s="234" t="str">
        <f>IFERROR(__xludf.DUMMYFUNCTION("IF(REGEXMATCH(C361, ""S""), ""S"","""")"),"S")</f>
        <v>S</v>
      </c>
      <c r="E361" s="236" t="str">
        <f>IFERROR(__xludf.DUMMYFUNCTION("IF(REGEXMATCH(C361, ""r""), ""r"","""")"),"r")</f>
        <v>r</v>
      </c>
      <c r="F361" s="237" t="str">
        <f>IFERROR(__xludf.DUMMYFUNCTION("IF(REGEXMATCH(C361, ""R""), ""R"","""")"),"")</f>
        <v/>
      </c>
      <c r="G361" s="237" t="str">
        <f>IFERROR(__xludf.DUMMYFUNCTION("IF(REGEXMATCH(C361, ""g""), ""g"","""")"),"")</f>
        <v/>
      </c>
      <c r="H361" s="236" t="str">
        <f>IFERROR(__xludf.DUMMYFUNCTION("IF(REGEXMATCH(C361, ""G""), ""G"","""")"),"G")</f>
        <v>G</v>
      </c>
      <c r="I361" s="236" t="str">
        <f>IFERROR(__xludf.DUMMYFUNCTION("IF(REGEXMATCH(C361, ""m""), ""m"","""")"),"m")</f>
        <v>m</v>
      </c>
      <c r="J361" s="237" t="str">
        <f>IFERROR(__xludf.DUMMYFUNCTION("IF(REGEXMATCH(C361, ""M""), ""M"","""")"),"M")</f>
        <v>M</v>
      </c>
      <c r="K361" s="236" t="str">
        <f>IFERROR(__xludf.DUMMYFUNCTION("IF(REGEXMATCH(C361, ""P""), ""P"","""")"),"P")</f>
        <v>P</v>
      </c>
      <c r="L361" s="237" t="str">
        <f>IFERROR(__xludf.DUMMYFUNCTION("IF(REGEXMATCH(C361, ""d""), ""d"","""")"),"")</f>
        <v/>
      </c>
      <c r="M361" s="236" t="str">
        <f>IFERROR(__xludf.DUMMYFUNCTION("IF(REGEXMATCH(C361, ""D""), ""D"","""")"),"D")</f>
        <v>D</v>
      </c>
      <c r="N361" s="236" t="str">
        <f>IFERROR(__xludf.DUMMYFUNCTION("IF(REGEXMATCH(C361, ""n""), ""n"","""")"),"")</f>
        <v/>
      </c>
      <c r="O361" s="237" t="str">
        <f>IFERROR(__xludf.DUMMYFUNCTION("IF(REGEXMATCH(C361, ""N""), ""N"","""")"),"N")</f>
        <v>N</v>
      </c>
      <c r="P361" s="238" t="str">
        <f>IFERROR(__xludf.DUMMYFUNCTION("IF(REGEXMATCH(C361, ""S""), ""S"","""")"),"S")</f>
        <v>S</v>
      </c>
      <c r="Q361" s="239" t="str">
        <f>IFERROR(__xludf.DUMMYFUNCTION("SUBSTITUTE(CONCATENATE(JOIN(""-"",D361:J361)),""-"","""")"),"SrGmM")</f>
        <v>SrGmM</v>
      </c>
      <c r="R361" s="229" t="str">
        <f>IFERROR(__xludf.DUMMYFUNCTION("SUBSTITUTE(CONCATENATE(JOIN(""-"",K361:P361)),""-"","""")"),"PDNS")</f>
        <v>PDNS</v>
      </c>
      <c r="S361" s="282" t="str">
        <f t="shared" si="8"/>
        <v>S-R-G-M</v>
      </c>
      <c r="T361" s="282" t="str">
        <f t="shared" si="9"/>
        <v>P-D-N-S</v>
      </c>
      <c r="U361" s="237" t="str">
        <f>IFERROR(__xludf.DUMMYFUNCTION("SUBSTITUTE(JOIN(""-"",S361,T361),""--"",""-"")"),"S-R-G-M-P-D-N-S")</f>
        <v>S-R-G-M-P-D-N-S</v>
      </c>
      <c r="V361" s="309" t="str">
        <f t="shared" si="10"/>
        <v>rGmMDN</v>
      </c>
      <c r="W361" s="244" t="str">
        <f>IFERROR(__xludf.DUMMYFUNCTION("IF(REGEXMATCH(C361, ""S""), ""0"","""")"),"0")</f>
        <v>0</v>
      </c>
      <c r="X361" s="245" t="str">
        <f>IFERROR(__xludf.DUMMYFUNCTION("IF(REGEXMATCH(C361, ""r""), ""1"","""")"),"1")</f>
        <v>1</v>
      </c>
      <c r="Y361" s="246" t="str">
        <f>IFERROR(__xludf.DUMMYFUNCTION("IF(REGEXMATCH(C361, ""R""), ""2"","""")"),"")</f>
        <v/>
      </c>
      <c r="Z361" s="246" t="str">
        <f>IFERROR(__xludf.DUMMYFUNCTION("IF(REGEXMATCH(C361, ""g""), ""3"","""")"),"")</f>
        <v/>
      </c>
      <c r="AA361" s="245" t="str">
        <f>IFERROR(__xludf.DUMMYFUNCTION("IF(REGEXMATCH(C361, ""G""), ""4"","""")"),"4")</f>
        <v>4</v>
      </c>
      <c r="AB361" s="245" t="str">
        <f>IFERROR(__xludf.DUMMYFUNCTION("IF(REGEXMATCH(C361, ""m""), ""5"","""")"),"5")</f>
        <v>5</v>
      </c>
      <c r="AC361" s="246" t="str">
        <f>IFERROR(__xludf.DUMMYFUNCTION("IF(REGEXMATCH(C361, ""M""), ""6"","""")"),"6")</f>
        <v>6</v>
      </c>
      <c r="AD361" s="245" t="str">
        <f>IFERROR(__xludf.DUMMYFUNCTION("IF(REGEXMATCH(C361, ""P""), ""7"","""")"),"7")</f>
        <v>7</v>
      </c>
      <c r="AE361" s="246" t="str">
        <f>IFERROR(__xludf.DUMMYFUNCTION("IF(REGEXMATCH(C361, ""d""), ""8"","""")"),"")</f>
        <v/>
      </c>
      <c r="AF361" s="245" t="str">
        <f>IFERROR(__xludf.DUMMYFUNCTION("IF(REGEXMATCH(C361, ""D""), ""9"","""")"),"9")</f>
        <v>9</v>
      </c>
      <c r="AG361" s="245" t="str">
        <f>IFERROR(__xludf.DUMMYFUNCTION("IF(REGEXMATCH(C361, ""n""), ""10"","""")"),"")</f>
        <v/>
      </c>
      <c r="AH361" s="246" t="str">
        <f>IFERROR(__xludf.DUMMYFUNCTION("IF(REGEXMATCH(C361, ""N""), ""11"","""")"),"11")</f>
        <v>11</v>
      </c>
      <c r="AI361" s="249" t="str">
        <f>IFERROR(__xludf.DUMMYFUNCTION("IF(REGEXMATCH(C361, ""S""), ""0"","""")"),"0")</f>
        <v>0</v>
      </c>
      <c r="AJ361" s="313" t="str">
        <f t="shared" si="11"/>
        <v>T</v>
      </c>
      <c r="AK361" s="313" t="str">
        <f t="shared" si="12"/>
        <v>T</v>
      </c>
      <c r="AL361" s="313" t="str">
        <f t="shared" si="13"/>
        <v>-</v>
      </c>
      <c r="AM361" s="313" t="str">
        <f t="shared" si="14"/>
        <v>-</v>
      </c>
      <c r="AN361" s="313" t="str">
        <f t="shared" si="15"/>
        <v>-</v>
      </c>
      <c r="AO361" s="314" t="str">
        <f t="shared" si="16"/>
        <v>T</v>
      </c>
      <c r="AP361" s="316">
        <f t="shared" si="17"/>
        <v>3</v>
      </c>
      <c r="AQ361" s="319" t="str">
        <f t="shared" si="18"/>
        <v>-</v>
      </c>
      <c r="AR361" s="320">
        <f t="shared" si="19"/>
        <v>0</v>
      </c>
      <c r="AS361" s="250" t="str">
        <f>IFERROR(__xludf.DUMMYFUNCTION("SUBSTITUTE(SUBSTITUTE(CONCATENATE(JOIN("""",FP361:GA361)),""|"",""x""),""-"",""o"")"),"xxooxxxxoxox")</f>
        <v>xxooxxxxoxox</v>
      </c>
      <c r="AT361" s="323" t="str">
        <f>IFERROR(__xludf.DUMMYFUNCTION("JOIN("""",AS361,AS361)"),"xxooxxxxoxoxxxooxxxxoxox")</f>
        <v>xxooxxxxoxoxxxooxxxxoxox</v>
      </c>
      <c r="AU361" s="256" t="str">
        <f>IFERROR(__xludf.DUMMYFUNCTION("JOIN("""",ArrayFormula(MID(AS361,LEN(AS361)-SEQUENCE(1,LEN(AS361))+1,1)))"),"xoxoxxxxooxx")</f>
        <v>xoxoxxxxooxx</v>
      </c>
      <c r="AV361" s="256" t="str">
        <f>IFERROR(__xludf.DUMMYFUNCTION("LEFT(CONCATENATE(""x"",JOIN("""",ArrayFormula(MID(AS361,LEN(AS361)-SEQUENCE(1,LEN(AS361))+1,1)))),12)"),"xxoxoxxxxoox")</f>
        <v>xxoxoxxxxoox</v>
      </c>
      <c r="AW361" s="327" t="str">
        <f>IFERROR(__xludf.DUMMYFUNCTION("JOIN("""",AU361,AU361)"),"xoxoxxxxooxxxoxoxxxxooxx")</f>
        <v>xoxoxxxxooxxxoxoxxxxooxx</v>
      </c>
      <c r="AX361" s="239" t="str">
        <f>IFERROR(__xludf.DUMMYFUNCTION("IF(REGEXMATCH(AW361,AS361),""✔"",""-"")"),"-")</f>
        <v>-</v>
      </c>
      <c r="AY361" s="330" t="str">
        <f t="shared" si="20"/>
        <v>-</v>
      </c>
      <c r="AZ361" s="260" t="str">
        <f t="shared" si="21"/>
        <v>#REF!</v>
      </c>
      <c r="BA361" s="333" t="str">
        <f t="shared" si="22"/>
        <v>xxooxxx</v>
      </c>
      <c r="BB361" s="334" t="str">
        <f t="shared" si="23"/>
        <v>xoxoxx</v>
      </c>
      <c r="BC361" s="335" t="str">
        <f t="shared" si="236"/>
        <v>-</v>
      </c>
      <c r="BD361" s="336" t="str">
        <f t="shared" si="25"/>
        <v>Vihang: 'xxooxxx' + 'xoxoxx'</v>
      </c>
      <c r="BE361" s="337">
        <f>IFERROR(__xludf.DUMMYFUNCTION("COUNTUNIQUE(FILTER(AT:AT,REGEXMATCH(AT:AT,AS361)))-1"),0.0)</f>
        <v>0</v>
      </c>
      <c r="BF361" s="261" t="str">
        <f>IFERROR(__xludf.DUMMYFUNCTION("IF(BI361=0,""(n/a)"",IF(BJ361=2,""(PAIR)"",IF(REGEXMATCH(AT361,""xoxoxxoxoxox""),""Bilawal"",IF(REGEXMATCH(AT361,""xoxoxooxoxoo""),""Bhupali"",IF(REGEXMATCH(AT361,""xoxoxxoxxoxo""),""Charukeshi"",IF(REGEXMATCH(AT361,""xoxoooxxoxxo""),""Kameshwari"",IF(REG"&amp;"EXMATCH(AT361,""xoxoxooxoxox""),""Shankara"",IF(REGEXMATCH(AT361,""xxooxoxxxoox""),""Basant"",IF(REGEXMATCH(AT361,""xoxoxxxxoxox""),""Bihag"",IF(REGEXMATCH(AT361,""xoxxxxoxoxxx""),""Pilu"",IF(REGEXMATCH(AT361,""xoxxoxoxxoox""),""Kirwani"",IF(REGEXMATCH(AT"&amp;"361,""xoxxoxoxoxxx""),""Mk.Malhar"",IF(REGEXMATCH(AT361,""xxooxxoxxoox""),""Bhairav"",IF(REGEXMATCH(AT361,""xxoxooxxxoox""),""Todi"",IF(REGEXMATCH(AT361,""xxooxoxooxox""),""Marwa"",IF(REGEXMATCH(AT361,""xxoooxoxxooo""),""Gunkali"",IF(REGEXMATCH(AT361,""xo"&amp;"xoxxoxxoox""),""Nat Bhairav"",IF(REGEXMATCH(AT361,""xoxxoooxoxoo""),""Shivranjani"",IF(REGEXMATCH(AT361,""xooxxxoxooxo""),""Jog"",IF(REGEXMATCH(AT361,""xxooxoxoxoox""),""Hemshri"",IF(REGEXMATCH(AT361,""xoooxooxoxxo""),""Kalavati"",IF(REGEXMATCH(AT361,""xx"&amp;"oxoxxoxoox""),""Kedar"",IF(REGEXMATCH(AT361,""xoxxxxoxooxx""),""Gara"",IF(REGEXMATCH(AT361,""xooxoxooxoox""),""Chandrakauns"",IF(REGEXMATCH(AT361,""xoxxxxoxxxox""),""Mand"",IF(REGEXMATCH(AT361,""xoxxxxoxoxox""),""Hanskinkini"",IF(REGEXMATCH(AT361,""xxooxx"&amp;"oxooxo""),""Lilavati"",IF(REGEXMATCH(AT361,""xooxoxoooxox""),""Rajeshwari"",IF(REGEXMATCH(AT361,""xoooxxoxoxxx""),""Khokar"",IF(REGEXMATCH(AT361,""xxooxoxxxxox""),""Maligoura"",""-""))))))))))))))))))))))))))))))"),"(n/a)")</f>
        <v>(n/a)</v>
      </c>
      <c r="BG361" s="239" t="str">
        <f t="shared" si="26"/>
        <v>#REF!</v>
      </c>
      <c r="BH361" s="239">
        <f>IFERROR(__xludf.DUMMYFUNCTION("COUNTUNIQUE(FE361:FO361)-1"),7.0)</f>
        <v>7</v>
      </c>
      <c r="BI361" s="239">
        <f>IFERROR(__xludf.DUMMYFUNCTION("COUNTUNIQUE(FILTER(AT:AT,REGEXMATCH(AT:AT,AS361)))-1"),0.0)</f>
        <v>0</v>
      </c>
      <c r="BJ361" s="239">
        <f>IFERROR(__xludf.DUMMYFUNCTION("COUNTA(FILTER(AT:AT,REGEXMATCH(AT:AT,AS361)))"),7.0)</f>
        <v>7</v>
      </c>
      <c r="BK361" s="341">
        <f>IFERROR(__xludf.DUMMYFUNCTION("COUNTA(FILTER(AT:AT,REGEXMATCH(AT:AT,AS361)))-AR361"),7.0)</f>
        <v>7</v>
      </c>
      <c r="BL361" s="276" t="str">
        <f>IFERROR(__xludf.DUMMYFUNCTION("IF(AS361=""oooooooooooo"",""-"",IF(REGEXMATCH(AT361,""xx""), ""Hemi."", ""Anhemi.""))"),"Hemi.")</f>
        <v>Hemi.</v>
      </c>
      <c r="BM361" s="282" t="str">
        <f>IFERROR(__xludf.DUMMYFUNCTION("IF(AS361=""oooooooooooo"",""-"",IF(REGEXMATCH(AT361,""xxx""), ""Cohem."", ""-""))"),"Cohem.")</f>
        <v>Cohem.</v>
      </c>
      <c r="BN361" s="282" t="str">
        <f>IFERROR(__xludf.DUMMYFUNCTION("IF(AS361=""oooooooooooo"",""-"",IF(REGEXMATCH(AT361,""xxxx""), ""Co-Co."", ""-""))"),"Co-Co.")</f>
        <v>Co-Co.</v>
      </c>
      <c r="BO361" s="342" t="str">
        <f>IFERROR(__xludf.DUMMYFUNCTION("IF(AS361=""oooooooooooo"",""-"",IF(REGEXMATCH(AT361,""xxxxx""), ""CCC."", ""-""))"),"-")</f>
        <v>-</v>
      </c>
      <c r="BP361" s="344" t="str">
        <f t="shared" si="27"/>
        <v>-</v>
      </c>
      <c r="BQ361" s="282" t="str">
        <f>IFERROR(__xludf.DUMMYFUNCTION("IF(REGEXMATCH(JOIN(""-"",EU361:FD361),""TRUE""),""✔"",""-"")"),"-")</f>
        <v>-</v>
      </c>
      <c r="BR361" s="225">
        <f t="shared" si="28"/>
        <v>0</v>
      </c>
      <c r="BS361" s="345" t="str">
        <f>IFERROR(__xludf.DUMMYFUNCTION("SUBSTITUTE(SUBSTITUTE(SUBSTITUTE(SUBSTITUTE(CONCATENATE(JOIN(""-"",GC361:GO361)),""--"",""-""),""--"",""-""),""--"",""-""),""--"",""-"")"),"1-b2-3-4-#4-5-6-7-8")</f>
        <v>1-b2-3-4-#4-5-6-7-8</v>
      </c>
      <c r="BT361" s="299" t="str">
        <f>IFERROR(__xludf.DUMMYFUNCTION("SUBSTITUTE(SUBSTITUTE(SUBSTITUTE(SUBSTITUTE(CONCATENATE(JOIN(""-"",GP361:HB361)),""--"",""-""),""--"",""-""),""--"",""-""),""--"",""-"")"),"S-R1-G3-M1-M2-P-D2-N3-S")</f>
        <v>S-R1-G3-M1-M2-P-D2-N3-S</v>
      </c>
      <c r="BU361" s="348" t="str">
        <f t="shared" si="29"/>
        <v>C-Db-E-F-F#-G-A-B-C</v>
      </c>
      <c r="BV361" s="349" t="str">
        <f t="shared" si="30"/>
        <v>SRgdnS</v>
      </c>
      <c r="BW361" s="350">
        <f t="shared" si="31"/>
        <v>0</v>
      </c>
      <c r="BX361" s="351">
        <f t="shared" si="32"/>
        <v>7</v>
      </c>
      <c r="BY361" s="352" t="s">
        <v>275</v>
      </c>
      <c r="BZ361" s="309" t="str">
        <f>IFERROR(__xludf.DUMMYFUNCTION("IF(REGEXMATCH(C361, ""S""), ""x"",""x"")"),"x")</f>
        <v>x</v>
      </c>
      <c r="CA361" s="245" t="str">
        <f>IFERROR(__xludf.DUMMYFUNCTION("IF(REGEXMATCH(C361, ""r""), ""o"",""x"")"),"o")</f>
        <v>o</v>
      </c>
      <c r="CB361" s="246" t="str">
        <f>IFERROR(__xludf.DUMMYFUNCTION("IF(REGEXMATCH(C361, ""R""), ""o"",""x"")"),"x")</f>
        <v>x</v>
      </c>
      <c r="CC361" s="246" t="str">
        <f>IFERROR(__xludf.DUMMYFUNCTION("IF(REGEXMATCH(C361, ""g""), ""o"",""x"")"),"x")</f>
        <v>x</v>
      </c>
      <c r="CD361" s="245" t="str">
        <f>IFERROR(__xludf.DUMMYFUNCTION("IF(REGEXMATCH(C361, ""G""), ""o"",""x"")"),"o")</f>
        <v>o</v>
      </c>
      <c r="CE361" s="245" t="str">
        <f>IFERROR(__xludf.DUMMYFUNCTION("IF(REGEXMATCH(C361, ""m""), ""o"",""x"")"),"o")</f>
        <v>o</v>
      </c>
      <c r="CF361" s="246" t="str">
        <f>IFERROR(__xludf.DUMMYFUNCTION("IF(REGEXMATCH(C361, ""M""), ""o"",""x"")"),"o")</f>
        <v>o</v>
      </c>
      <c r="CG361" s="245" t="str">
        <f>IFERROR(__xludf.DUMMYFUNCTION("IF(REGEXMATCH(C361, ""P""), ""o"",""x"")"),"o")</f>
        <v>o</v>
      </c>
      <c r="CH361" s="246" t="str">
        <f>IFERROR(__xludf.DUMMYFUNCTION("IF(REGEXMATCH(C361, ""d""), ""o"",""x"")"),"x")</f>
        <v>x</v>
      </c>
      <c r="CI361" s="245" t="str">
        <f>IFERROR(__xludf.DUMMYFUNCTION("IF(REGEXMATCH(C361, ""D""), ""o"",""x"")"),"o")</f>
        <v>o</v>
      </c>
      <c r="CJ361" s="245" t="str">
        <f>IFERROR(__xludf.DUMMYFUNCTION("IF(REGEXMATCH(C361, ""n""), ""o"",""x"")"),"x")</f>
        <v>x</v>
      </c>
      <c r="CK361" s="245" t="str">
        <f>IFERROR(__xludf.DUMMYFUNCTION("IF(REGEXMATCH(C361, ""N""), ""o"",""x"")"),"o")</f>
        <v>o</v>
      </c>
      <c r="CL361" s="356" t="str">
        <f>IFERROR(__xludf.DUMMYFUNCTION("IF(REGEXMATCH(C361, ""S""), ""x"",""x"")"),"x")</f>
        <v>x</v>
      </c>
      <c r="CM361" s="357" t="str">
        <f t="shared" si="33"/>
        <v>xoxxooooxoxo</v>
      </c>
      <c r="CN361" s="358">
        <f t="shared" si="34"/>
        <v>0</v>
      </c>
      <c r="CO361" s="246" t="str">
        <f>IFERROR(__xludf.DUMMYFUNCTION("IF(REGEXMATCH($C361, ""S""), ""S"",""S"")"),"S")</f>
        <v>S</v>
      </c>
      <c r="CP361" s="246" t="str">
        <f>IFERROR(__xludf.DUMMYFUNCTION("IF(REGEXMATCH($C361, ""r""), """",""r"")"),"")</f>
        <v/>
      </c>
      <c r="CQ361" s="246" t="str">
        <f>IFERROR(__xludf.DUMMYFUNCTION("IF(REGEXMATCH($C361, ""R""), """",""R"")"),"R")</f>
        <v>R</v>
      </c>
      <c r="CR361" s="246" t="str">
        <f>IFERROR(__xludf.DUMMYFUNCTION("IF(REGEXMATCH($C361, ""g""), """",""g"")"),"g")</f>
        <v>g</v>
      </c>
      <c r="CS361" s="246" t="str">
        <f>IFERROR(__xludf.DUMMYFUNCTION("IF(REGEXMATCH($C361, ""G""), """",""G"")"),"")</f>
        <v/>
      </c>
      <c r="CT361" s="246" t="str">
        <f>IFERROR(__xludf.DUMMYFUNCTION("IF(REGEXMATCH($C361, ""m""), """",""m"")"),"")</f>
        <v/>
      </c>
      <c r="CU361" s="246" t="str">
        <f>IFERROR(__xludf.DUMMYFUNCTION("IF(REGEXMATCH($C361, ""M""), """",""M"")"),"")</f>
        <v/>
      </c>
      <c r="CV361" s="246" t="str">
        <f>IFERROR(__xludf.DUMMYFUNCTION("IF(REGEXMATCH($C361, ""P""), """",""P"")"),"")</f>
        <v/>
      </c>
      <c r="CW361" s="246" t="str">
        <f>IFERROR(__xludf.DUMMYFUNCTION("IF(REGEXMATCH($C361, ""d""), """",""d"")"),"d")</f>
        <v>d</v>
      </c>
      <c r="CX361" s="246" t="str">
        <f>IFERROR(__xludf.DUMMYFUNCTION("IF(REGEXMATCH($C361, ""D""), """",""D"")"),"")</f>
        <v/>
      </c>
      <c r="CY361" s="246" t="str">
        <f>IFERROR(__xludf.DUMMYFUNCTION("IF(REGEXMATCH($C361, ""n""), """",""n"")"),"n")</f>
        <v>n</v>
      </c>
      <c r="CZ361" s="246" t="str">
        <f>IFERROR(__xludf.DUMMYFUNCTION("IF(REGEXMATCH($C361, ""N""), """",""N"")"),"")</f>
        <v/>
      </c>
      <c r="DA361" s="246" t="str">
        <f>IFERROR(__xludf.DUMMYFUNCTION("IF(REGEXMATCH($C361, ""S""), ""S"",""S"")"),"S")</f>
        <v>S</v>
      </c>
      <c r="DB361" s="362" t="str">
        <f>IFERROR(__xludf.DUMMYFUNCTION("JOIN("""",CO361:DA361,"""","""")"),"SRgdnS")</f>
        <v>SRgdnS</v>
      </c>
      <c r="DC361" s="363"/>
      <c r="DD361" s="301" t="str">
        <f t="shared" si="35"/>
        <v>#REF!</v>
      </c>
      <c r="DE361" s="302" t="str">
        <f t="shared" si="36"/>
        <v>#REF!</v>
      </c>
      <c r="DF361" s="301" t="str">
        <f t="shared" ref="DF361:DG361" si="956">SUBSTITUTE(S361,"-","")</f>
        <v>SRGM</v>
      </c>
      <c r="DG361" s="301" t="str">
        <f t="shared" si="956"/>
        <v>PDNS</v>
      </c>
      <c r="DH361" s="302" t="str">
        <f t="shared" si="38"/>
        <v>(n/a)</v>
      </c>
      <c r="DI361" s="301" t="str">
        <f t="shared" si="39"/>
        <v>Hemi.</v>
      </c>
      <c r="DJ361" s="364" t="str">
        <f t="shared" si="40"/>
        <v>Co-Co.</v>
      </c>
      <c r="DK361" s="306" t="str">
        <f t="shared" si="41"/>
        <v>-</v>
      </c>
      <c r="DL361" s="366" t="str">
        <f t="shared" si="42"/>
        <v>-</v>
      </c>
      <c r="DM361" s="308" t="str">
        <f t="shared" si="43"/>
        <v>✔</v>
      </c>
      <c r="DN361" s="306" t="str">
        <f t="shared" si="44"/>
        <v>-</v>
      </c>
      <c r="DO361" s="306" t="str">
        <f t="shared" si="45"/>
        <v>-</v>
      </c>
      <c r="DP361" s="367" t="str">
        <f t="shared" si="46"/>
        <v>-</v>
      </c>
      <c r="DQ361" s="310" t="str">
        <f t="shared" si="47"/>
        <v>-</v>
      </c>
      <c r="DR361" s="310" t="str">
        <f t="shared" si="48"/>
        <v>-</v>
      </c>
      <c r="DS361" s="310" t="str">
        <f t="shared" si="49"/>
        <v>✔</v>
      </c>
      <c r="DT361" s="310" t="str">
        <f t="shared" si="50"/>
        <v>-</v>
      </c>
      <c r="DU361" s="370" t="str">
        <f t="shared" si="51"/>
        <v>-</v>
      </c>
      <c r="DV361" s="306" t="str">
        <f t="shared" si="52"/>
        <v>-</v>
      </c>
      <c r="DW361" s="306" t="str">
        <f t="shared" si="53"/>
        <v>-</v>
      </c>
      <c r="DX361" s="306" t="str">
        <f t="shared" si="54"/>
        <v>-</v>
      </c>
      <c r="DY361" s="306" t="str">
        <f t="shared" si="55"/>
        <v>-</v>
      </c>
      <c r="DZ361" s="306" t="str">
        <f t="shared" si="56"/>
        <v>-</v>
      </c>
      <c r="EA361" s="367" t="str">
        <f t="shared" si="57"/>
        <v>-</v>
      </c>
      <c r="EB361" s="310" t="str">
        <f>IFERROR(__xludf.DUMMYFUNCTION("IF(REGEXMATCH(AW361,AS361),""✔"",""-"")"),"-")</f>
        <v>-</v>
      </c>
      <c r="EC361" s="310" t="str">
        <f t="shared" si="58"/>
        <v>#REF!</v>
      </c>
      <c r="ED361" s="370" t="str">
        <f t="shared" si="59"/>
        <v>-</v>
      </c>
      <c r="EE361" s="340" t="str">
        <f t="shared" si="60"/>
        <v>S-r-G-mM-P-D-N-S</v>
      </c>
      <c r="EF361" s="371" t="str">
        <f>IFERROR(__xludf.DUMMYFUNCTION("CONCATENATE(JOIN("""",HC361:HO361))"),"SrgmMPdNS")</f>
        <v>SrgmMPdNS</v>
      </c>
      <c r="EG361" s="372">
        <f t="shared" si="61"/>
        <v>2</v>
      </c>
      <c r="EH361" s="373" t="str">
        <f>IFERROR(__xludf.DUMMYFUNCTION("CONCATENATE(JOIN("""",JC361:JO361))"),"re, Pa, ")</f>
        <v>re, Pa, </v>
      </c>
      <c r="EI361" s="322">
        <f t="shared" si="62"/>
        <v>0</v>
      </c>
      <c r="EJ361" s="374" t="str">
        <f>IFERROR(__xludf.DUMMYFUNCTION("CONCATENATE(JOIN("""",KC361:KO361))"),"")</f>
        <v/>
      </c>
      <c r="EK361" s="325" t="str">
        <f t="shared" si="63"/>
        <v>S-R1-G3-M1-M2-P-D2-N3-S</v>
      </c>
      <c r="EL361" s="326" t="str">
        <f t="shared" si="64"/>
        <v>1-b2-3-4-#4-5-6-7-8</v>
      </c>
      <c r="EM361" s="318" t="str">
        <f t="shared" si="65"/>
        <v>#REF!</v>
      </c>
      <c r="EN361" s="328" t="str">
        <f>IFERROR(__xludf.DUMMYFUNCTION("SUBSTITUTE(SUBSTITUTE(SUBSTITUTE(SUBSTITUTE(CONCATENATE(JOIN("" "",HP361:IB361)),""  "","" ""),""  "","" ""),""  "","" ""),""  "","" "")"),"o o • • o o o o • o • o o")</f>
        <v>o o • • o o o o • o • o o</v>
      </c>
      <c r="EO361" s="368" t="str">
        <f t="shared" si="66"/>
        <v>-</v>
      </c>
      <c r="EP361" s="339" t="str">
        <f t="shared" si="67"/>
        <v>-</v>
      </c>
      <c r="EQ361" s="339" t="str">
        <f t="shared" si="68"/>
        <v>Sa-Pa</v>
      </c>
      <c r="ER361" s="339" t="str">
        <f t="shared" si="69"/>
        <v>-</v>
      </c>
      <c r="ES361" s="340" t="str">
        <f t="shared" si="70"/>
        <v>-</v>
      </c>
      <c r="ET361" s="363"/>
      <c r="EU361" s="376" t="b">
        <f>IFERROR(__xludf.DUMMYFUNCTION("arrayformula(sum(--REGEXMATCH(""SRGMPDNS"",split(REGEXREPLACE(C361,""(.)"",""$1~""),""~""))))=len(C361)
"),FALSE)</f>
        <v>0</v>
      </c>
      <c r="EV361" s="290" t="b">
        <f>IFERROR(__xludf.DUMMYFUNCTION("arrayformula(sum(--REGEXMATCH(""SRGmPDNS"",split(REGEXREPLACE(C361,""(.)"",""$1~""),""~""))))=len(C361)"),FALSE)</f>
        <v>0</v>
      </c>
      <c r="EW361" s="290" t="b">
        <f>IFERROR(__xludf.DUMMYFUNCTION("arrayformula(sum(--REGEXMATCH(""SRGmPDnS"",split(REGEXREPLACE(C361,""(.)"",""$1~""),""~""))))=len(C361)"),FALSE)</f>
        <v>0</v>
      </c>
      <c r="EX361" s="290" t="b">
        <f>IFERROR(__xludf.DUMMYFUNCTION("arrayformula(sum(--REGEXMATCH(""SRgmPDnS"",split(REGEXREPLACE(C361,""(.)"",""$1~""),""~""))))=len(C361)"),FALSE)</f>
        <v>0</v>
      </c>
      <c r="EY361" s="290" t="b">
        <f>IFERROR(__xludf.DUMMYFUNCTION("arrayformula(sum(--REGEXMATCH(""SRgmPdnS"",split(REGEXREPLACE(C361,""(.)"",""$1~""),""~""))))=len(C361)"),FALSE)</f>
        <v>0</v>
      </c>
      <c r="EZ361" s="290" t="b">
        <f>IFERROR(__xludf.DUMMYFUNCTION("arrayformula(sum(--REGEXMATCH(""SrgmPdnS"",split(REGEXREPLACE(C361,""(.)"",""$1~""),""~""))))=len(C361)"),FALSE)</f>
        <v>0</v>
      </c>
      <c r="FA361" s="290" t="b">
        <f>IFERROR(__xludf.DUMMYFUNCTION("arrayformula(sum(--REGEXMATCH(""SrGmPdNS"",split(REGEXREPLACE(C361,""(.)"",""$1~""),""~""))))=len(C361)"),FALSE)</f>
        <v>0</v>
      </c>
      <c r="FB361" s="290" t="b">
        <f>IFERROR(__xludf.DUMMYFUNCTION("arrayformula(sum(--REGEXMATCH(""SrGMPDNS"",split(REGEXREPLACE(C361,""(.)"",""$1~""),""~""))))=len(C361)"),FALSE)</f>
        <v>0</v>
      </c>
      <c r="FC361" s="290" t="b">
        <f>IFERROR(__xludf.DUMMYFUNCTION("arrayformula(sum(--REGEXMATCH(""SrGMPdNS"",split(REGEXREPLACE(C361,""(.)"",""$1~""),""~""))))=len(C361)"),FALSE)</f>
        <v>0</v>
      </c>
      <c r="FD361" s="377" t="b">
        <f>IFERROR(__xludf.DUMMYFUNCTION("arrayformula(sum(--REGEXMATCH(""SrgMPdNS"",split(REGEXREPLACE(C361,""(.)"",""$1~""),""~""))))=len(C361)"),FALSE)</f>
        <v>0</v>
      </c>
      <c r="FE361" s="269" t="str">
        <f t="shared" si="71"/>
        <v>xooxxxxoxox</v>
      </c>
      <c r="FF361" s="269" t="str">
        <f t="shared" si="72"/>
        <v>-</v>
      </c>
      <c r="FG361" s="271" t="str">
        <f t="shared" si="73"/>
        <v>-</v>
      </c>
      <c r="FH361" s="269" t="str">
        <f t="shared" si="74"/>
        <v>xxxxoxoxxxo</v>
      </c>
      <c r="FI361" s="271" t="str">
        <f t="shared" si="75"/>
        <v>xxxoxoxxxoo</v>
      </c>
      <c r="FJ361" s="271" t="str">
        <f t="shared" si="76"/>
        <v>xxoxoxxxoox</v>
      </c>
      <c r="FK361" s="271" t="str">
        <f t="shared" si="77"/>
        <v>xoxoxxxooxx</v>
      </c>
      <c r="FL361" s="271" t="str">
        <f t="shared" si="78"/>
        <v>-</v>
      </c>
      <c r="FM361" s="271" t="str">
        <f t="shared" si="79"/>
        <v>xoxxxooxxxx</v>
      </c>
      <c r="FN361" s="271" t="str">
        <f t="shared" si="80"/>
        <v>-</v>
      </c>
      <c r="FO361" s="274" t="str">
        <f t="shared" si="81"/>
        <v>xxxooxxxxox</v>
      </c>
      <c r="FP361" s="234" t="str">
        <f t="shared" si="82"/>
        <v>|</v>
      </c>
      <c r="FQ361" s="236" t="str">
        <f t="shared" si="83"/>
        <v>|</v>
      </c>
      <c r="FR361" s="237" t="str">
        <f t="shared" si="84"/>
        <v>-</v>
      </c>
      <c r="FS361" s="236" t="str">
        <f t="shared" si="85"/>
        <v>-</v>
      </c>
      <c r="FT361" s="237" t="str">
        <f t="shared" si="86"/>
        <v>|</v>
      </c>
      <c r="FU361" s="236" t="str">
        <f t="shared" si="87"/>
        <v>|</v>
      </c>
      <c r="FV361" s="237" t="str">
        <f t="shared" si="88"/>
        <v>|</v>
      </c>
      <c r="FW361" s="236" t="str">
        <f t="shared" si="89"/>
        <v>|</v>
      </c>
      <c r="FX361" s="237" t="str">
        <f t="shared" si="90"/>
        <v>-</v>
      </c>
      <c r="FY361" s="236" t="str">
        <f t="shared" si="91"/>
        <v>|</v>
      </c>
      <c r="FZ361" s="237" t="str">
        <f t="shared" si="92"/>
        <v>-</v>
      </c>
      <c r="GA361" s="236" t="str">
        <f t="shared" si="93"/>
        <v>|</v>
      </c>
      <c r="GB361" s="238" t="str">
        <f t="shared" si="94"/>
        <v>|</v>
      </c>
      <c r="GC361" s="244" t="str">
        <f>IFERROR(__xludf.DUMMYFUNCTION("IF(REGEXMATCH(C361, ""S""), ""1"","""")"),"1")</f>
        <v>1</v>
      </c>
      <c r="GD361" s="245" t="str">
        <f>IFERROR(__xludf.DUMMYFUNCTION("IF(REGEXMATCH(C361, ""r""), ""b2"","""")"),"b2")</f>
        <v>b2</v>
      </c>
      <c r="GE361" s="246" t="str">
        <f>IFERROR(__xludf.DUMMYFUNCTION("IF(REGEXMATCH(C361, ""R""), ""2"","""")"),"")</f>
        <v/>
      </c>
      <c r="GF361" s="246" t="str">
        <f>IFERROR(__xludf.DUMMYFUNCTION("IF(REGEXMATCH(C361, ""g""), ""b3"","""")"),"")</f>
        <v/>
      </c>
      <c r="GG361" s="245" t="str">
        <f>IFERROR(__xludf.DUMMYFUNCTION("IF(REGEXMATCH(C361, ""G""), ""3"","""")"),"3")</f>
        <v>3</v>
      </c>
      <c r="GH361" s="245" t="str">
        <f>IFERROR(__xludf.DUMMYFUNCTION("IF(REGEXMATCH(C361, ""m""), ""4"","""")"),"4")</f>
        <v>4</v>
      </c>
      <c r="GI361" s="246" t="str">
        <f>IFERROR(__xludf.DUMMYFUNCTION("IF(REGEXMATCH(C361, ""M""), ""#4"","""")"),"#4")</f>
        <v>#4</v>
      </c>
      <c r="GJ361" s="245" t="str">
        <f>IFERROR(__xludf.DUMMYFUNCTION("IF(REGEXMATCH(C361, ""P""), ""5"","""")"),"5")</f>
        <v>5</v>
      </c>
      <c r="GK361" s="246" t="str">
        <f>IFERROR(__xludf.DUMMYFUNCTION("IF(REGEXMATCH(C361, ""d""), ""b6"","""")"),"")</f>
        <v/>
      </c>
      <c r="GL361" s="245" t="str">
        <f>IFERROR(__xludf.DUMMYFUNCTION("IF(REGEXMATCH(C361, ""D""), ""6"","""")"),"6")</f>
        <v>6</v>
      </c>
      <c r="GM361" s="245" t="str">
        <f>IFERROR(__xludf.DUMMYFUNCTION("IF(REGEXMATCH(C361, ""n""), ""b7"","""")"),"")</f>
        <v/>
      </c>
      <c r="GN361" s="246" t="str">
        <f>IFERROR(__xludf.DUMMYFUNCTION("IF(REGEXMATCH(C361, ""N""), ""7"","""")"),"7")</f>
        <v>7</v>
      </c>
      <c r="GO361" s="249" t="str">
        <f>IFERROR(__xludf.DUMMYFUNCTION("IF(REGEXMATCH(C361, ""S""), ""8"","""")"),"8")</f>
        <v>8</v>
      </c>
      <c r="GP361" s="244" t="str">
        <f>IFERROR(__xludf.DUMMYFUNCTION("IF(REGEXMATCH(C361, ""S""), ""S"","""")"),"S")</f>
        <v>S</v>
      </c>
      <c r="GQ361" s="294" t="str">
        <f>IFERROR(__xludf.DUMMYFUNCTION("IF(REGEXMATCH(C361, ""r""), ""R1"","""")"),"R1")</f>
        <v>R1</v>
      </c>
      <c r="GR361" s="295" t="str">
        <f>IFERROR(__xludf.DUMMYFUNCTION("IF(REGEXMATCH(C361, ""R""), ""R2"","""")"),"")</f>
        <v/>
      </c>
      <c r="GS361" s="295" t="str">
        <f>IFERROR(__xludf.DUMMYFUNCTION("IF(REGEXMATCH(C361, ""g""), ""G2"","""")"),"")</f>
        <v/>
      </c>
      <c r="GT361" s="294" t="str">
        <f>IFERROR(__xludf.DUMMYFUNCTION("IF(REGEXMATCH(C361, ""G""), ""G3"","""")"),"G3")</f>
        <v>G3</v>
      </c>
      <c r="GU361" s="294" t="str">
        <f>IFERROR(__xludf.DUMMYFUNCTION("IF(REGEXMATCH(C361, ""m""), ""M1"","""")"),"M1")</f>
        <v>M1</v>
      </c>
      <c r="GV361" s="295" t="str">
        <f>IFERROR(__xludf.DUMMYFUNCTION("IF(REGEXMATCH(C361, ""M""), ""M2"","""")"),"M2")</f>
        <v>M2</v>
      </c>
      <c r="GW361" s="294" t="str">
        <f>IFERROR(__xludf.DUMMYFUNCTION("IF(REGEXMATCH(C361, ""P""), ""P"","""")"),"P")</f>
        <v>P</v>
      </c>
      <c r="GX361" s="295" t="str">
        <f>IFERROR(__xludf.DUMMYFUNCTION("IF(REGEXMATCH(C361, ""d""), ""D1"","""")"),"")</f>
        <v/>
      </c>
      <c r="GY361" s="294" t="str">
        <f>IFERROR(__xludf.DUMMYFUNCTION("IF(REGEXMATCH(C361, ""D""), ""D2"","""")"),"D2")</f>
        <v>D2</v>
      </c>
      <c r="GZ361" s="294" t="str">
        <f>IFERROR(__xludf.DUMMYFUNCTION("IF(REGEXMATCH(C361, ""n""), ""N2"","""")"),"")</f>
        <v/>
      </c>
      <c r="HA361" s="295" t="str">
        <f>IFERROR(__xludf.DUMMYFUNCTION("IF(REGEXMATCH(C361, ""N""), ""N3"","""")"),"N3")</f>
        <v>N3</v>
      </c>
      <c r="HB361" s="249" t="str">
        <f>IFERROR(__xludf.DUMMYFUNCTION("IF(REGEXMATCH(C361, ""S""), ""S"","""")"),"S")</f>
        <v>S</v>
      </c>
      <c r="HC361" s="331" t="str">
        <f t="shared" si="95"/>
        <v>S</v>
      </c>
      <c r="HD361" s="332" t="str">
        <f t="shared" si="96"/>
        <v>r</v>
      </c>
      <c r="HE361" s="332" t="str">
        <f t="shared" si="97"/>
        <v/>
      </c>
      <c r="HF361" s="332" t="str">
        <f t="shared" si="98"/>
        <v>g</v>
      </c>
      <c r="HG361" s="332" t="str">
        <f t="shared" si="99"/>
        <v/>
      </c>
      <c r="HH361" s="332" t="str">
        <f t="shared" si="100"/>
        <v>m</v>
      </c>
      <c r="HI361" s="332" t="str">
        <f t="shared" si="101"/>
        <v>M</v>
      </c>
      <c r="HJ361" s="332" t="str">
        <f t="shared" si="102"/>
        <v>P</v>
      </c>
      <c r="HK361" s="332" t="str">
        <f t="shared" si="103"/>
        <v>d</v>
      </c>
      <c r="HL361" s="332" t="str">
        <f t="shared" si="104"/>
        <v/>
      </c>
      <c r="HM361" s="332" t="str">
        <f t="shared" si="105"/>
        <v/>
      </c>
      <c r="HN361" s="332" t="str">
        <f t="shared" si="106"/>
        <v>N</v>
      </c>
      <c r="HO361" s="343" t="str">
        <f t="shared" si="107"/>
        <v>S</v>
      </c>
      <c r="HP361" s="331" t="str">
        <f t="shared" si="108"/>
        <v>o</v>
      </c>
      <c r="HQ361" s="332" t="str">
        <f t="shared" si="109"/>
        <v>o</v>
      </c>
      <c r="HR361" s="332" t="str">
        <f t="shared" si="110"/>
        <v>•</v>
      </c>
      <c r="HS361" s="332" t="str">
        <f t="shared" si="111"/>
        <v>•</v>
      </c>
      <c r="HT361" s="332" t="str">
        <f t="shared" si="112"/>
        <v>o</v>
      </c>
      <c r="HU361" s="332" t="str">
        <f t="shared" si="113"/>
        <v>o</v>
      </c>
      <c r="HV361" s="332" t="str">
        <f t="shared" si="114"/>
        <v>o</v>
      </c>
      <c r="HW361" s="332" t="str">
        <f t="shared" si="115"/>
        <v>o</v>
      </c>
      <c r="HX361" s="332" t="str">
        <f t="shared" si="116"/>
        <v>•</v>
      </c>
      <c r="HY361" s="332" t="str">
        <f t="shared" si="117"/>
        <v>o</v>
      </c>
      <c r="HZ361" s="332" t="str">
        <f t="shared" si="118"/>
        <v>•</v>
      </c>
      <c r="IA361" s="332" t="str">
        <f t="shared" si="119"/>
        <v>o</v>
      </c>
      <c r="IB361" s="338" t="str">
        <f t="shared" si="120"/>
        <v>o</v>
      </c>
      <c r="IC361" s="331" t="str">
        <f t="shared" si="121"/>
        <v>•</v>
      </c>
      <c r="ID361" s="332" t="str">
        <f t="shared" si="122"/>
        <v>•</v>
      </c>
      <c r="IE361" s="332" t="str">
        <f t="shared" si="123"/>
        <v>o</v>
      </c>
      <c r="IF361" s="332" t="str">
        <f t="shared" si="124"/>
        <v>o</v>
      </c>
      <c r="IG361" s="332" t="str">
        <f t="shared" si="125"/>
        <v>•</v>
      </c>
      <c r="IH361" s="332" t="str">
        <f t="shared" si="126"/>
        <v>•</v>
      </c>
      <c r="II361" s="332" t="str">
        <f t="shared" si="127"/>
        <v>•</v>
      </c>
      <c r="IJ361" s="332" t="str">
        <f t="shared" si="128"/>
        <v>•</v>
      </c>
      <c r="IK361" s="332" t="str">
        <f t="shared" si="129"/>
        <v>o</v>
      </c>
      <c r="IL361" s="332" t="str">
        <f t="shared" si="130"/>
        <v>•</v>
      </c>
      <c r="IM361" s="332" t="str">
        <f t="shared" si="131"/>
        <v>o</v>
      </c>
      <c r="IN361" s="332" t="str">
        <f t="shared" si="132"/>
        <v>•</v>
      </c>
      <c r="IO361" s="338" t="str">
        <f t="shared" si="133"/>
        <v>•</v>
      </c>
      <c r="IP361" s="346" t="b">
        <f t="shared" si="134"/>
        <v>0</v>
      </c>
      <c r="IQ361" s="347" t="b">
        <f t="shared" si="135"/>
        <v>1</v>
      </c>
      <c r="IR361" s="347" t="b">
        <f t="shared" si="136"/>
        <v>0</v>
      </c>
      <c r="IS361" s="347" t="b">
        <f t="shared" si="137"/>
        <v>0</v>
      </c>
      <c r="IT361" s="347" t="b">
        <f t="shared" si="138"/>
        <v>0</v>
      </c>
      <c r="IU361" s="347" t="b">
        <f t="shared" si="139"/>
        <v>0</v>
      </c>
      <c r="IV361" s="347" t="b">
        <f t="shared" si="140"/>
        <v>0</v>
      </c>
      <c r="IW361" s="347" t="b">
        <f t="shared" si="141"/>
        <v>1</v>
      </c>
      <c r="IX361" s="347" t="b">
        <f t="shared" si="142"/>
        <v>0</v>
      </c>
      <c r="IY361" s="347" t="b">
        <f t="shared" si="143"/>
        <v>0</v>
      </c>
      <c r="IZ361" s="347" t="b">
        <f t="shared" si="144"/>
        <v>0</v>
      </c>
      <c r="JA361" s="347" t="b">
        <f t="shared" si="145"/>
        <v>0</v>
      </c>
      <c r="JB361" s="353" t="b">
        <f t="shared" si="146"/>
        <v>0</v>
      </c>
      <c r="JC361" s="354" t="str">
        <f t="shared" si="147"/>
        <v/>
      </c>
      <c r="JD361" s="355" t="str">
        <f t="shared" si="148"/>
        <v>re, </v>
      </c>
      <c r="JE361" s="355" t="str">
        <f t="shared" si="149"/>
        <v/>
      </c>
      <c r="JF361" s="355" t="str">
        <f t="shared" si="150"/>
        <v/>
      </c>
      <c r="JG361" s="355" t="str">
        <f t="shared" si="151"/>
        <v/>
      </c>
      <c r="JH361" s="355" t="str">
        <f t="shared" si="152"/>
        <v/>
      </c>
      <c r="JI361" s="355" t="str">
        <f t="shared" si="153"/>
        <v/>
      </c>
      <c r="JJ361" s="355" t="str">
        <f t="shared" si="154"/>
        <v>Pa, </v>
      </c>
      <c r="JK361" s="355" t="str">
        <f t="shared" si="155"/>
        <v/>
      </c>
      <c r="JL361" s="355" t="str">
        <f t="shared" si="156"/>
        <v/>
      </c>
      <c r="JM361" s="355" t="str">
        <f t="shared" si="157"/>
        <v/>
      </c>
      <c r="JN361" s="355" t="str">
        <f t="shared" si="158"/>
        <v/>
      </c>
      <c r="JO361" s="359" t="str">
        <f t="shared" si="159"/>
        <v/>
      </c>
      <c r="JP361" s="346" t="b">
        <f t="shared" si="160"/>
        <v>0</v>
      </c>
      <c r="JQ361" s="347" t="b">
        <f t="shared" si="161"/>
        <v>0</v>
      </c>
      <c r="JR361" s="347" t="b">
        <f t="shared" si="162"/>
        <v>0</v>
      </c>
      <c r="JS361" s="347" t="b">
        <f t="shared" si="163"/>
        <v>0</v>
      </c>
      <c r="JT361" s="347" t="b">
        <f t="shared" si="164"/>
        <v>0</v>
      </c>
      <c r="JU361" s="347" t="b">
        <f t="shared" si="165"/>
        <v>0</v>
      </c>
      <c r="JV361" s="347" t="b">
        <f t="shared" si="166"/>
        <v>0</v>
      </c>
      <c r="JW361" s="347" t="b">
        <f t="shared" si="167"/>
        <v>0</v>
      </c>
      <c r="JX361" s="347" t="b">
        <f t="shared" si="168"/>
        <v>0</v>
      </c>
      <c r="JY361" s="347" t="b">
        <f t="shared" si="169"/>
        <v>0</v>
      </c>
      <c r="JZ361" s="347" t="b">
        <f t="shared" si="170"/>
        <v>0</v>
      </c>
      <c r="KA361" s="347" t="b">
        <f t="shared" si="171"/>
        <v>0</v>
      </c>
      <c r="KB361" s="365" t="b">
        <f t="shared" si="172"/>
        <v>0</v>
      </c>
      <c r="KC361" s="354" t="str">
        <f t="shared" si="173"/>
        <v/>
      </c>
      <c r="KD361" s="355" t="str">
        <f t="shared" si="174"/>
        <v/>
      </c>
      <c r="KE361" s="355" t="str">
        <f t="shared" si="175"/>
        <v/>
      </c>
      <c r="KF361" s="355" t="str">
        <f t="shared" si="176"/>
        <v/>
      </c>
      <c r="KG361" s="355" t="str">
        <f t="shared" si="177"/>
        <v/>
      </c>
      <c r="KH361" s="355" t="str">
        <f t="shared" si="178"/>
        <v/>
      </c>
      <c r="KI361" s="355" t="str">
        <f t="shared" si="179"/>
        <v/>
      </c>
      <c r="KJ361" s="355" t="str">
        <f t="shared" si="180"/>
        <v/>
      </c>
      <c r="KK361" s="355" t="str">
        <f t="shared" si="181"/>
        <v/>
      </c>
      <c r="KL361" s="355" t="str">
        <f t="shared" si="182"/>
        <v/>
      </c>
      <c r="KM361" s="355" t="str">
        <f t="shared" si="183"/>
        <v/>
      </c>
      <c r="KN361" s="355" t="str">
        <f t="shared" si="184"/>
        <v/>
      </c>
      <c r="KO361" s="359"/>
      <c r="KP361" s="378"/>
      <c r="KQ361" s="379" t="s">
        <v>9</v>
      </c>
      <c r="KR361" s="380" t="s">
        <v>9</v>
      </c>
      <c r="KS361" s="381" t="s">
        <v>9</v>
      </c>
      <c r="KT361" s="382">
        <f t="shared" si="186"/>
        <v>0</v>
      </c>
      <c r="KU361" s="383">
        <f t="shared" si="187"/>
        <v>0</v>
      </c>
      <c r="KV361" s="381" t="str">
        <f t="shared" si="205"/>
        <v>S</v>
      </c>
      <c r="KW361" s="382">
        <f t="shared" si="189"/>
        <v>0</v>
      </c>
      <c r="KX361" s="384">
        <f t="shared" si="190"/>
        <v>0</v>
      </c>
      <c r="KY361" s="382">
        <f t="shared" ref="KY361:KZ361" si="957">KW361-KT361</f>
        <v>0</v>
      </c>
      <c r="KZ361" s="369">
        <f t="shared" si="957"/>
        <v>0</v>
      </c>
      <c r="LA361" s="385" t="str">
        <f t="shared" si="192"/>
        <v>✔</v>
      </c>
      <c r="LB361" s="340" t="str">
        <f>IFERROR(__xludf.DUMMYFUNCTION("JOIN("""",ArrayFormula(MID(KS361,LEN(KS361)-SEQUENCE(1,LEN(KS361))+1,1)))"),"S")</f>
        <v>S</v>
      </c>
      <c r="LC361" s="373" t="str">
        <f>IFERROR(__xludf.DUMMYFUNCTION("JOIN("""",ArrayFormula(MID(KV361,LEN(KV361)-SEQUENCE(1,LEN(KV361))+1,1)))"),"S")</f>
        <v>S</v>
      </c>
      <c r="LD361" s="373" t="str">
        <f t="shared" si="193"/>
        <v>S</v>
      </c>
      <c r="LE361" s="339" t="str">
        <f t="shared" si="194"/>
        <v>S</v>
      </c>
      <c r="LF361" s="386" t="str">
        <f>IFERROR(__xludf.DUMMYFUNCTION("SUBSTITUTE(SUBSTITUTE(CONCATENATE(JOIN("""",LH361:LT361)),""1"",""""),""2"","""")"),"SS")</f>
        <v>SS</v>
      </c>
      <c r="LG361" s="369" t="str">
        <f t="shared" si="195"/>
        <v>-</v>
      </c>
      <c r="LH361" s="387" t="str">
        <f>IFERROR(__xludf.DUMMYFUNCTION("IF(REGEXMATCH(LD361, ""S""), ""S"",IF(REGEXMATCH(LE361, ""S""), ""S"",""""))"),"S")</f>
        <v>S</v>
      </c>
      <c r="LI361" s="299" t="str">
        <f>IFERROR(__xludf.DUMMYFUNCTION("IF(REGEXMATCH(LD361, ""r""), ""r1"",IF(REGEXMATCH(LE361, ""r""), ""r2"",""""))"),"")</f>
        <v/>
      </c>
      <c r="LJ361" s="299" t="str">
        <f>IFERROR(__xludf.DUMMYFUNCTION("IF(REGEXMATCH(LD361, ""R""), ""R1"",IF(REGEXMATCH(LE361, ""R""), ""R2"",""""))"),"")</f>
        <v/>
      </c>
      <c r="LK361" s="299" t="str">
        <f>IFERROR(__xludf.DUMMYFUNCTION("IF(REGEXMATCH(LD361, ""g""), ""g1"",IF(REGEXMATCH(LE361, ""g""), ""g2"",""""))"),"")</f>
        <v/>
      </c>
      <c r="LL361" s="299" t="str">
        <f>IFERROR(__xludf.DUMMYFUNCTION("IF(REGEXMATCH(LD361, ""G""), ""G1"",IF(REGEXMATCH(LE361, ""G""), ""G2"",""""))"),"")</f>
        <v/>
      </c>
      <c r="LM361" s="299" t="str">
        <f>IFERROR(__xludf.DUMMYFUNCTION("IF(REGEXMATCH(LD361, ""m""), ""m1"",IF(REGEXMATCH(LE361, ""m""), ""m2"",""""))"),"")</f>
        <v/>
      </c>
      <c r="LN361" s="299" t="str">
        <f>IFERROR(__xludf.DUMMYFUNCTION("IF(REGEXMATCH(LD361, ""M""), ""M1"",IF(REGEXMATCH(LE361, ""M""), ""M2"",""""))"),"")</f>
        <v/>
      </c>
      <c r="LO361" s="299" t="str">
        <f>IFERROR(__xludf.DUMMYFUNCTION("IF(REGEXMATCH(LD361, ""P""), ""P1"",IF(REGEXMATCH(LE361, ""P""), ""P2"",""""))"),"")</f>
        <v/>
      </c>
      <c r="LP361" s="299" t="str">
        <f>IFERROR(__xludf.DUMMYFUNCTION("IF(REGEXMATCH(LD361, ""d""), ""d1"",IF(REGEXMATCH(LE361, ""d""), ""d2"",""""))"),"")</f>
        <v/>
      </c>
      <c r="LQ361" s="299" t="str">
        <f>IFERROR(__xludf.DUMMYFUNCTION("IF(REGEXMATCH(LD361, ""D""), ""D1"",IF(REGEXMATCH(LE361, ""D""), ""D2"",""""))"),"")</f>
        <v/>
      </c>
      <c r="LR361" s="299" t="str">
        <f>IFERROR(__xludf.DUMMYFUNCTION("IF(REGEXMATCH(LD361, ""n""), ""n1"",IF(REGEXMATCH(LE361, ""n""), ""n2"",""""))"),"")</f>
        <v/>
      </c>
      <c r="LS361" s="299" t="str">
        <f>IFERROR(__xludf.DUMMYFUNCTION("IF(REGEXMATCH(LD361, ""N""), ""N1"",IF(REGEXMATCH(LE361, ""N""), ""N2"",""""))"),"")</f>
        <v/>
      </c>
      <c r="LT361" s="388" t="str">
        <f>IFERROR(__xludf.DUMMYFUNCTION("IF(REGEXMATCH(LD361, ""S""), ""S"",IF(REGEXMATCH(LE361, ""S""), ""S"",""""))"),"S")</f>
        <v>S</v>
      </c>
      <c r="LU361" s="389">
        <f t="shared" si="196"/>
        <v>1</v>
      </c>
      <c r="LV361" s="378"/>
      <c r="LW361" s="369"/>
      <c r="LX361" s="369"/>
    </row>
    <row r="362" ht="18.0" customHeight="1">
      <c r="A362" s="298" t="s">
        <v>1240</v>
      </c>
      <c r="B362" s="222" t="s">
        <v>1152</v>
      </c>
      <c r="C362" s="233" t="str">
        <f t="shared" si="7"/>
        <v>SRgMPDS</v>
      </c>
      <c r="D362" s="234" t="str">
        <f>IFERROR(__xludf.DUMMYFUNCTION("IF(REGEXMATCH(C362, ""S""), ""S"","""")"),"S")</f>
        <v>S</v>
      </c>
      <c r="E362" s="236" t="str">
        <f>IFERROR(__xludf.DUMMYFUNCTION("IF(REGEXMATCH(C362, ""r""), ""r"","""")"),"")</f>
        <v/>
      </c>
      <c r="F362" s="237" t="str">
        <f>IFERROR(__xludf.DUMMYFUNCTION("IF(REGEXMATCH(C362, ""R""), ""R"","""")"),"R")</f>
        <v>R</v>
      </c>
      <c r="G362" s="237" t="str">
        <f>IFERROR(__xludf.DUMMYFUNCTION("IF(REGEXMATCH(C362, ""g""), ""g"","""")"),"g")</f>
        <v>g</v>
      </c>
      <c r="H362" s="236" t="str">
        <f>IFERROR(__xludf.DUMMYFUNCTION("IF(REGEXMATCH(C362, ""G""), ""G"","""")"),"")</f>
        <v/>
      </c>
      <c r="I362" s="236" t="str">
        <f>IFERROR(__xludf.DUMMYFUNCTION("IF(REGEXMATCH(C362, ""m""), ""m"","""")"),"")</f>
        <v/>
      </c>
      <c r="J362" s="237" t="str">
        <f>IFERROR(__xludf.DUMMYFUNCTION("IF(REGEXMATCH(C362, ""M""), ""M"","""")"),"M")</f>
        <v>M</v>
      </c>
      <c r="K362" s="236" t="str">
        <f>IFERROR(__xludf.DUMMYFUNCTION("IF(REGEXMATCH(C362, ""P""), ""P"","""")"),"P")</f>
        <v>P</v>
      </c>
      <c r="L362" s="237" t="str">
        <f>IFERROR(__xludf.DUMMYFUNCTION("IF(REGEXMATCH(C362, ""d""), ""d"","""")"),"")</f>
        <v/>
      </c>
      <c r="M362" s="236" t="str">
        <f>IFERROR(__xludf.DUMMYFUNCTION("IF(REGEXMATCH(C362, ""D""), ""D"","""")"),"D")</f>
        <v>D</v>
      </c>
      <c r="N362" s="236" t="str">
        <f>IFERROR(__xludf.DUMMYFUNCTION("IF(REGEXMATCH(C362, ""n""), ""n"","""")"),"")</f>
        <v/>
      </c>
      <c r="O362" s="237" t="str">
        <f>IFERROR(__xludf.DUMMYFUNCTION("IF(REGEXMATCH(C362, ""N""), ""N"","""")"),"")</f>
        <v/>
      </c>
      <c r="P362" s="238" t="str">
        <f>IFERROR(__xludf.DUMMYFUNCTION("IF(REGEXMATCH(C362, ""S""), ""S"","""")"),"S")</f>
        <v>S</v>
      </c>
      <c r="Q362" s="239" t="str">
        <f>IFERROR(__xludf.DUMMYFUNCTION("SUBSTITUTE(CONCATENATE(JOIN(""-"",D362:J362)),""-"","""")"),"SRgM")</f>
        <v>SRgM</v>
      </c>
      <c r="R362" s="229" t="str">
        <f>IFERROR(__xludf.DUMMYFUNCTION("SUBSTITUTE(CONCATENATE(JOIN(""-"",K362:P362)),""-"","""")"),"PDS")</f>
        <v>PDS</v>
      </c>
      <c r="S362" s="282" t="str">
        <f t="shared" si="8"/>
        <v>S-R-G-M</v>
      </c>
      <c r="T362" s="282" t="str">
        <f t="shared" si="9"/>
        <v>P-D-S</v>
      </c>
      <c r="U362" s="237" t="str">
        <f>IFERROR(__xludf.DUMMYFUNCTION("SUBSTITUTE(JOIN(""-"",S362,T362),""--"",""-"")"),"S-R-G-M-P-D-S")</f>
        <v>S-R-G-M-P-D-S</v>
      </c>
      <c r="V362" s="309" t="str">
        <f t="shared" si="10"/>
        <v>RgMD</v>
      </c>
      <c r="W362" s="244" t="str">
        <f>IFERROR(__xludf.DUMMYFUNCTION("IF(REGEXMATCH(C362, ""S""), ""0"","""")"),"0")</f>
        <v>0</v>
      </c>
      <c r="X362" s="245" t="str">
        <f>IFERROR(__xludf.DUMMYFUNCTION("IF(REGEXMATCH(C362, ""r""), ""1"","""")"),"")</f>
        <v/>
      </c>
      <c r="Y362" s="246" t="str">
        <f>IFERROR(__xludf.DUMMYFUNCTION("IF(REGEXMATCH(C362, ""R""), ""2"","""")"),"2")</f>
        <v>2</v>
      </c>
      <c r="Z362" s="246" t="str">
        <f>IFERROR(__xludf.DUMMYFUNCTION("IF(REGEXMATCH(C362, ""g""), ""3"","""")"),"3")</f>
        <v>3</v>
      </c>
      <c r="AA362" s="245" t="str">
        <f>IFERROR(__xludf.DUMMYFUNCTION("IF(REGEXMATCH(C362, ""G""), ""4"","""")"),"")</f>
        <v/>
      </c>
      <c r="AB362" s="245" t="str">
        <f>IFERROR(__xludf.DUMMYFUNCTION("IF(REGEXMATCH(C362, ""m""), ""5"","""")"),"")</f>
        <v/>
      </c>
      <c r="AC362" s="246" t="str">
        <f>IFERROR(__xludf.DUMMYFUNCTION("IF(REGEXMATCH(C362, ""M""), ""6"","""")"),"6")</f>
        <v>6</v>
      </c>
      <c r="AD362" s="245" t="str">
        <f>IFERROR(__xludf.DUMMYFUNCTION("IF(REGEXMATCH(C362, ""P""), ""7"","""")"),"7")</f>
        <v>7</v>
      </c>
      <c r="AE362" s="246" t="str">
        <f>IFERROR(__xludf.DUMMYFUNCTION("IF(REGEXMATCH(C362, ""d""), ""8"","""")"),"")</f>
        <v/>
      </c>
      <c r="AF362" s="245" t="str">
        <f>IFERROR(__xludf.DUMMYFUNCTION("IF(REGEXMATCH(C362, ""D""), ""9"","""")"),"9")</f>
        <v>9</v>
      </c>
      <c r="AG362" s="245" t="str">
        <f>IFERROR(__xludf.DUMMYFUNCTION("IF(REGEXMATCH(C362, ""n""), ""10"","""")"),"")</f>
        <v/>
      </c>
      <c r="AH362" s="246" t="str">
        <f>IFERROR(__xludf.DUMMYFUNCTION("IF(REGEXMATCH(C362, ""N""), ""11"","""")"),"")</f>
        <v/>
      </c>
      <c r="AI362" s="249" t="str">
        <f>IFERROR(__xludf.DUMMYFUNCTION("IF(REGEXMATCH(C362, ""S""), ""0"","""")"),"0")</f>
        <v>0</v>
      </c>
      <c r="AJ362" s="313" t="str">
        <f t="shared" si="11"/>
        <v>T</v>
      </c>
      <c r="AK362" s="313" t="str">
        <f t="shared" si="12"/>
        <v>-</v>
      </c>
      <c r="AL362" s="313" t="str">
        <f t="shared" si="13"/>
        <v>-</v>
      </c>
      <c r="AM362" s="313" t="str">
        <f t="shared" si="14"/>
        <v>T</v>
      </c>
      <c r="AN362" s="313" t="str">
        <f t="shared" si="15"/>
        <v>-</v>
      </c>
      <c r="AO362" s="314" t="str">
        <f t="shared" si="16"/>
        <v>-</v>
      </c>
      <c r="AP362" s="316">
        <f t="shared" si="17"/>
        <v>2</v>
      </c>
      <c r="AQ362" s="319" t="str">
        <f t="shared" si="18"/>
        <v>#REF!</v>
      </c>
      <c r="AR362" s="320">
        <f t="shared" si="19"/>
        <v>0</v>
      </c>
      <c r="AS362" s="250" t="str">
        <f>IFERROR(__xludf.DUMMYFUNCTION("SUBSTITUTE(SUBSTITUTE(CONCATENATE(JOIN("""",FP362:GA362)),""|"",""x""),""-"",""o"")"),"xoxxooxxoxoo")</f>
        <v>xoxxooxxoxoo</v>
      </c>
      <c r="AT362" s="323" t="str">
        <f>IFERROR(__xludf.DUMMYFUNCTION("JOIN("""",AS362,AS362)"),"xoxxooxxoxooxoxxooxxoxoo")</f>
        <v>xoxxooxxoxooxoxxooxxoxoo</v>
      </c>
      <c r="AU362" s="256" t="str">
        <f>IFERROR(__xludf.DUMMYFUNCTION("JOIN("""",ArrayFormula(MID(AS362,LEN(AS362)-SEQUENCE(1,LEN(AS362))+1,1)))"),"ooxoxxooxxox")</f>
        <v>ooxoxxooxxox</v>
      </c>
      <c r="AV362" s="256" t="str">
        <f>IFERROR(__xludf.DUMMYFUNCTION("LEFT(CONCATENATE(""x"",JOIN("""",ArrayFormula(MID(AS362,LEN(AS362)-SEQUENCE(1,LEN(AS362))+1,1)))),12)"),"xooxoxxooxxo")</f>
        <v>xooxoxxooxxo</v>
      </c>
      <c r="AW362" s="327" t="str">
        <f>IFERROR(__xludf.DUMMYFUNCTION("JOIN("""",AU362,AU362)"),"ooxoxxooxxoxooxoxxooxxox")</f>
        <v>ooxoxxooxxoxooxoxxooxxox</v>
      </c>
      <c r="AX362" s="239" t="str">
        <f>IFERROR(__xludf.DUMMYFUNCTION("IF(REGEXMATCH(AW362,AS362),""✔"",""-"")"),"✔")</f>
        <v>✔</v>
      </c>
      <c r="AY362" s="330" t="str">
        <f t="shared" si="20"/>
        <v>-</v>
      </c>
      <c r="AZ362" s="260" t="str">
        <f t="shared" si="21"/>
        <v>#REF!</v>
      </c>
      <c r="BA362" s="333" t="str">
        <f t="shared" si="22"/>
        <v>xoxxoox</v>
      </c>
      <c r="BB362" s="334" t="str">
        <f t="shared" si="23"/>
        <v>xoxoox</v>
      </c>
      <c r="BC362" s="335" t="str">
        <f t="shared" si="236"/>
        <v>-</v>
      </c>
      <c r="BD362" s="336" t="str">
        <f t="shared" si="25"/>
        <v>Vijayanagari: 'xoxxoox' + 'xoxoox'</v>
      </c>
      <c r="BE362" s="337">
        <f>IFERROR(__xludf.DUMMYFUNCTION("COUNTUNIQUE(FILTER(AT:AT,REGEXMATCH(AT:AT,AS362)))-1"),0.0)</f>
        <v>0</v>
      </c>
      <c r="BF362" s="261" t="str">
        <f>IFERROR(__xludf.DUMMYFUNCTION("IF(BI362=0,""(n/a)"",IF(BJ362=2,""(PAIR)"",IF(REGEXMATCH(AT362,""xoxoxxoxoxox""),""Bilawal"",IF(REGEXMATCH(AT362,""xoxoxooxoxoo""),""Bhupali"",IF(REGEXMATCH(AT362,""xoxoxxoxxoxo""),""Charukeshi"",IF(REGEXMATCH(AT362,""xoxoooxxoxxo""),""Kameshwari"",IF(REG"&amp;"EXMATCH(AT362,""xoxoxooxoxox""),""Shankara"",IF(REGEXMATCH(AT362,""xxooxoxxxoox""),""Basant"",IF(REGEXMATCH(AT362,""xoxoxxxxoxox""),""Bihag"",IF(REGEXMATCH(AT362,""xoxxxxoxoxxx""),""Pilu"",IF(REGEXMATCH(AT362,""xoxxoxoxxoox""),""Kirwani"",IF(REGEXMATCH(AT"&amp;"362,""xoxxoxoxoxxx""),""Mk.Malhar"",IF(REGEXMATCH(AT362,""xxooxxoxxoox""),""Bhairav"",IF(REGEXMATCH(AT362,""xxoxooxxxoox""),""Todi"",IF(REGEXMATCH(AT362,""xxooxoxooxox""),""Marwa"",IF(REGEXMATCH(AT362,""xxoooxoxxooo""),""Gunkali"",IF(REGEXMATCH(AT362,""xo"&amp;"xoxxoxxoox""),""Nat Bhairav"",IF(REGEXMATCH(AT362,""xoxxoooxoxoo""),""Shivranjani"",IF(REGEXMATCH(AT362,""xooxxxoxooxo""),""Jog"",IF(REGEXMATCH(AT362,""xxooxoxoxoox""),""Hemshri"",IF(REGEXMATCH(AT362,""xoooxooxoxxo""),""Kalavati"",IF(REGEXMATCH(AT362,""xx"&amp;"oxoxxoxoox""),""Kedar"",IF(REGEXMATCH(AT362,""xoxxxxoxooxx""),""Gara"",IF(REGEXMATCH(AT362,""xooxoxooxoox""),""Chandrakauns"",IF(REGEXMATCH(AT362,""xoxxxxoxxxox""),""Mand"",IF(REGEXMATCH(AT362,""xoxxxxoxoxox""),""Hanskinkini"",IF(REGEXMATCH(AT362,""xxooxx"&amp;"oxooxo""),""Lilavati"",IF(REGEXMATCH(AT362,""xooxoxoooxox""),""Rajeshwari"",IF(REGEXMATCH(AT362,""xoooxxoxoxxx""),""Khokar"",IF(REGEXMATCH(AT362,""xxooxoxxxxox""),""Maligoura"",""-""))))))))))))))))))))))))))))))"),"(n/a)")</f>
        <v>(n/a)</v>
      </c>
      <c r="BG362" s="239" t="str">
        <f t="shared" si="26"/>
        <v>#REF!</v>
      </c>
      <c r="BH362" s="239">
        <f>IFERROR(__xludf.DUMMYFUNCTION("COUNTUNIQUE(FE362:FO362)-1"),5.0)</f>
        <v>5</v>
      </c>
      <c r="BI362" s="239">
        <f>IFERROR(__xludf.DUMMYFUNCTION("COUNTUNIQUE(FILTER(AT:AT,REGEXMATCH(AT:AT,AS362)))-1"),0.0)</f>
        <v>0</v>
      </c>
      <c r="BJ362" s="239">
        <f>IFERROR(__xludf.DUMMYFUNCTION("COUNTA(FILTER(AT:AT,REGEXMATCH(AT:AT,AS362)))"),2.0)</f>
        <v>2</v>
      </c>
      <c r="BK362" s="341">
        <f>IFERROR(__xludf.DUMMYFUNCTION("COUNTA(FILTER(AT:AT,REGEXMATCH(AT:AT,AS362)))-AR362"),2.0)</f>
        <v>2</v>
      </c>
      <c r="BL362" s="276" t="str">
        <f>IFERROR(__xludf.DUMMYFUNCTION("IF(AS362=""oooooooooooo"",""-"",IF(REGEXMATCH(AT362,""xx""), ""Hemi."", ""Anhemi.""))"),"Hemi.")</f>
        <v>Hemi.</v>
      </c>
      <c r="BM362" s="282" t="str">
        <f>IFERROR(__xludf.DUMMYFUNCTION("IF(AS362=""oooooooooooo"",""-"",IF(REGEXMATCH(AT362,""xxx""), ""Cohem."", ""-""))"),"-")</f>
        <v>-</v>
      </c>
      <c r="BN362" s="282" t="str">
        <f>IFERROR(__xludf.DUMMYFUNCTION("IF(AS362=""oooooooooooo"",""-"",IF(REGEXMATCH(AT362,""xxxx""), ""Co-Co."", ""-""))"),"-")</f>
        <v>-</v>
      </c>
      <c r="BO362" s="342" t="str">
        <f>IFERROR(__xludf.DUMMYFUNCTION("IF(AS362=""oooooooooooo"",""-"",IF(REGEXMATCH(AT362,""xxxxx""), ""CCC."", ""-""))"),"-")</f>
        <v>-</v>
      </c>
      <c r="BP362" s="344" t="str">
        <f t="shared" si="27"/>
        <v>-</v>
      </c>
      <c r="BQ362" s="282" t="str">
        <f>IFERROR(__xludf.DUMMYFUNCTION("IF(REGEXMATCH(JOIN(""-"",EU362:FD362),""TRUE""),""✔"",""-"")"),"-")</f>
        <v>-</v>
      </c>
      <c r="BR362" s="225">
        <f t="shared" si="28"/>
        <v>0</v>
      </c>
      <c r="BS362" s="345" t="str">
        <f>IFERROR(__xludf.DUMMYFUNCTION("SUBSTITUTE(SUBSTITUTE(SUBSTITUTE(SUBSTITUTE(CONCATENATE(JOIN(""-"",GC362:GO362)),""--"",""-""),""--"",""-""),""--"",""-""),""--"",""-"")"),"1-2-b3-#4-5-6-8")</f>
        <v>1-2-b3-#4-5-6-8</v>
      </c>
      <c r="BT362" s="299" t="str">
        <f>IFERROR(__xludf.DUMMYFUNCTION("SUBSTITUTE(SUBSTITUTE(SUBSTITUTE(SUBSTITUTE(CONCATENATE(JOIN(""-"",GP362:HB362)),""--"",""-""),""--"",""-""),""--"",""-""),""--"",""-"")"),"S-R2-G2-M2-P-D2-S")</f>
        <v>S-R2-G2-M2-P-D2-S</v>
      </c>
      <c r="BU362" s="348" t="str">
        <f t="shared" si="29"/>
        <v>C-D-Eb-F#-G-A-C</v>
      </c>
      <c r="BV362" s="349" t="str">
        <f t="shared" si="30"/>
        <v>SrGmdnNS</v>
      </c>
      <c r="BW362" s="350">
        <f t="shared" si="31"/>
        <v>0</v>
      </c>
      <c r="BX362" s="351">
        <f t="shared" si="32"/>
        <v>2</v>
      </c>
      <c r="BY362" s="392"/>
      <c r="BZ362" s="309" t="str">
        <f>IFERROR(__xludf.DUMMYFUNCTION("IF(REGEXMATCH(C362, ""S""), ""x"",""x"")"),"x")</f>
        <v>x</v>
      </c>
      <c r="CA362" s="245" t="str">
        <f>IFERROR(__xludf.DUMMYFUNCTION("IF(REGEXMATCH(C362, ""r""), ""o"",""x"")"),"x")</f>
        <v>x</v>
      </c>
      <c r="CB362" s="246" t="str">
        <f>IFERROR(__xludf.DUMMYFUNCTION("IF(REGEXMATCH(C362, ""R""), ""o"",""x"")"),"o")</f>
        <v>o</v>
      </c>
      <c r="CC362" s="246" t="str">
        <f>IFERROR(__xludf.DUMMYFUNCTION("IF(REGEXMATCH(C362, ""g""), ""o"",""x"")"),"o")</f>
        <v>o</v>
      </c>
      <c r="CD362" s="245" t="str">
        <f>IFERROR(__xludf.DUMMYFUNCTION("IF(REGEXMATCH(C362, ""G""), ""o"",""x"")"),"x")</f>
        <v>x</v>
      </c>
      <c r="CE362" s="245" t="str">
        <f>IFERROR(__xludf.DUMMYFUNCTION("IF(REGEXMATCH(C362, ""m""), ""o"",""x"")"),"x")</f>
        <v>x</v>
      </c>
      <c r="CF362" s="246" t="str">
        <f>IFERROR(__xludf.DUMMYFUNCTION("IF(REGEXMATCH(C362, ""M""), ""o"",""x"")"),"o")</f>
        <v>o</v>
      </c>
      <c r="CG362" s="245" t="str">
        <f>IFERROR(__xludf.DUMMYFUNCTION("IF(REGEXMATCH(C362, ""P""), ""o"",""x"")"),"o")</f>
        <v>o</v>
      </c>
      <c r="CH362" s="246" t="str">
        <f>IFERROR(__xludf.DUMMYFUNCTION("IF(REGEXMATCH(C362, ""d""), ""o"",""x"")"),"x")</f>
        <v>x</v>
      </c>
      <c r="CI362" s="245" t="str">
        <f>IFERROR(__xludf.DUMMYFUNCTION("IF(REGEXMATCH(C362, ""D""), ""o"",""x"")"),"o")</f>
        <v>o</v>
      </c>
      <c r="CJ362" s="245" t="str">
        <f>IFERROR(__xludf.DUMMYFUNCTION("IF(REGEXMATCH(C362, ""n""), ""o"",""x"")"),"x")</f>
        <v>x</v>
      </c>
      <c r="CK362" s="245" t="str">
        <f>IFERROR(__xludf.DUMMYFUNCTION("IF(REGEXMATCH(C362, ""N""), ""o"",""x"")"),"x")</f>
        <v>x</v>
      </c>
      <c r="CL362" s="356" t="str">
        <f>IFERROR(__xludf.DUMMYFUNCTION("IF(REGEXMATCH(C362, ""S""), ""x"",""x"")"),"x")</f>
        <v>x</v>
      </c>
      <c r="CM362" s="357" t="str">
        <f t="shared" si="33"/>
        <v>xxooxxooxoxx</v>
      </c>
      <c r="CN362" s="358">
        <f t="shared" si="34"/>
        <v>0</v>
      </c>
      <c r="CO362" s="246" t="str">
        <f>IFERROR(__xludf.DUMMYFUNCTION("IF(REGEXMATCH($C362, ""S""), ""S"",""S"")"),"S")</f>
        <v>S</v>
      </c>
      <c r="CP362" s="246" t="str">
        <f>IFERROR(__xludf.DUMMYFUNCTION("IF(REGEXMATCH($C362, ""r""), """",""r"")"),"r")</f>
        <v>r</v>
      </c>
      <c r="CQ362" s="246" t="str">
        <f>IFERROR(__xludf.DUMMYFUNCTION("IF(REGEXMATCH($C362, ""R""), """",""R"")"),"")</f>
        <v/>
      </c>
      <c r="CR362" s="246" t="str">
        <f>IFERROR(__xludf.DUMMYFUNCTION("IF(REGEXMATCH($C362, ""g""), """",""g"")"),"")</f>
        <v/>
      </c>
      <c r="CS362" s="246" t="str">
        <f>IFERROR(__xludf.DUMMYFUNCTION("IF(REGEXMATCH($C362, ""G""), """",""G"")"),"G")</f>
        <v>G</v>
      </c>
      <c r="CT362" s="246" t="str">
        <f>IFERROR(__xludf.DUMMYFUNCTION("IF(REGEXMATCH($C362, ""m""), """",""m"")"),"m")</f>
        <v>m</v>
      </c>
      <c r="CU362" s="246" t="str">
        <f>IFERROR(__xludf.DUMMYFUNCTION("IF(REGEXMATCH($C362, ""M""), """",""M"")"),"")</f>
        <v/>
      </c>
      <c r="CV362" s="246" t="str">
        <f>IFERROR(__xludf.DUMMYFUNCTION("IF(REGEXMATCH($C362, ""P""), """",""P"")"),"")</f>
        <v/>
      </c>
      <c r="CW362" s="246" t="str">
        <f>IFERROR(__xludf.DUMMYFUNCTION("IF(REGEXMATCH($C362, ""d""), """",""d"")"),"d")</f>
        <v>d</v>
      </c>
      <c r="CX362" s="246" t="str">
        <f>IFERROR(__xludf.DUMMYFUNCTION("IF(REGEXMATCH($C362, ""D""), """",""D"")"),"")</f>
        <v/>
      </c>
      <c r="CY362" s="246" t="str">
        <f>IFERROR(__xludf.DUMMYFUNCTION("IF(REGEXMATCH($C362, ""n""), """",""n"")"),"n")</f>
        <v>n</v>
      </c>
      <c r="CZ362" s="246" t="str">
        <f>IFERROR(__xludf.DUMMYFUNCTION("IF(REGEXMATCH($C362, ""N""), """",""N"")"),"N")</f>
        <v>N</v>
      </c>
      <c r="DA362" s="246" t="str">
        <f>IFERROR(__xludf.DUMMYFUNCTION("IF(REGEXMATCH($C362, ""S""), ""S"",""S"")"),"S")</f>
        <v>S</v>
      </c>
      <c r="DB362" s="362" t="str">
        <f>IFERROR(__xludf.DUMMYFUNCTION("JOIN("""",CO362:DA362,"""","""")"),"SrGmdnNS")</f>
        <v>SrGmdnNS</v>
      </c>
      <c r="DC362" s="363"/>
      <c r="DD362" s="301" t="str">
        <f t="shared" si="35"/>
        <v>#REF!</v>
      </c>
      <c r="DE362" s="302" t="str">
        <f t="shared" si="36"/>
        <v>#REF!</v>
      </c>
      <c r="DF362" s="301" t="str">
        <f t="shared" ref="DF362:DG362" si="958">SUBSTITUTE(S362,"-","")</f>
        <v>SRGM</v>
      </c>
      <c r="DG362" s="301" t="str">
        <f t="shared" si="958"/>
        <v>PDS</v>
      </c>
      <c r="DH362" s="302" t="str">
        <f t="shared" si="38"/>
        <v>(n/a)</v>
      </c>
      <c r="DI362" s="301" t="str">
        <f t="shared" si="39"/>
        <v>Hemi.</v>
      </c>
      <c r="DJ362" s="364" t="str">
        <f t="shared" si="40"/>
        <v>-</v>
      </c>
      <c r="DK362" s="306" t="str">
        <f t="shared" si="41"/>
        <v>-</v>
      </c>
      <c r="DL362" s="366" t="str">
        <f t="shared" si="42"/>
        <v>-</v>
      </c>
      <c r="DM362" s="308" t="str">
        <f t="shared" si="43"/>
        <v>✔</v>
      </c>
      <c r="DN362" s="306" t="str">
        <f t="shared" si="44"/>
        <v>-</v>
      </c>
      <c r="DO362" s="306" t="str">
        <f t="shared" si="45"/>
        <v>-</v>
      </c>
      <c r="DP362" s="367" t="str">
        <f t="shared" si="46"/>
        <v>✔</v>
      </c>
      <c r="DQ362" s="310" t="str">
        <f t="shared" si="47"/>
        <v>-</v>
      </c>
      <c r="DR362" s="310" t="str">
        <f t="shared" si="48"/>
        <v>-</v>
      </c>
      <c r="DS362" s="310" t="str">
        <f t="shared" si="49"/>
        <v>-</v>
      </c>
      <c r="DT362" s="310" t="str">
        <f t="shared" si="50"/>
        <v>-</v>
      </c>
      <c r="DU362" s="370" t="str">
        <f t="shared" si="51"/>
        <v>-</v>
      </c>
      <c r="DV362" s="306" t="str">
        <f t="shared" si="52"/>
        <v>-</v>
      </c>
      <c r="DW362" s="306" t="str">
        <f t="shared" si="53"/>
        <v>-</v>
      </c>
      <c r="DX362" s="306" t="str">
        <f t="shared" si="54"/>
        <v>-</v>
      </c>
      <c r="DY362" s="306" t="str">
        <f t="shared" si="55"/>
        <v>-</v>
      </c>
      <c r="DZ362" s="306" t="str">
        <f t="shared" si="56"/>
        <v>-</v>
      </c>
      <c r="EA362" s="367" t="str">
        <f t="shared" si="57"/>
        <v>✔</v>
      </c>
      <c r="EB362" s="310" t="str">
        <f>IFERROR(__xludf.DUMMYFUNCTION("IF(REGEXMATCH(AW362,AS362),""✔"",""-"")"),"✔")</f>
        <v>✔</v>
      </c>
      <c r="EC362" s="310" t="str">
        <f t="shared" si="58"/>
        <v>#REF!</v>
      </c>
      <c r="ED362" s="370" t="str">
        <f t="shared" si="59"/>
        <v>-</v>
      </c>
      <c r="EE362" s="340" t="str">
        <f t="shared" si="60"/>
        <v>S-R-g-M-P-D-S</v>
      </c>
      <c r="EF362" s="371" t="str">
        <f>IFERROR(__xludf.DUMMYFUNCTION("CONCATENATE(JOIN("""",HC362:HO362))"),"SgmMDnS")</f>
        <v>SgmMDnS</v>
      </c>
      <c r="EG362" s="372">
        <f t="shared" si="61"/>
        <v>3</v>
      </c>
      <c r="EH362" s="373" t="str">
        <f>IFERROR(__xludf.DUMMYFUNCTION("CONCATENATE(JOIN("""",JC362:JO362))"),"ga, Ma, Dha, ")</f>
        <v>ga, Ma, Dha, </v>
      </c>
      <c r="EI362" s="322">
        <f t="shared" si="62"/>
        <v>2</v>
      </c>
      <c r="EJ362" s="374" t="str">
        <f>IFERROR(__xludf.DUMMYFUNCTION("CONCATENATE(JOIN("""",KC362:KO362))"),"ga, Ma, ")</f>
        <v>ga, Ma, </v>
      </c>
      <c r="EK362" s="325" t="str">
        <f t="shared" si="63"/>
        <v>S-R2-G2-M2-P-D2-S</v>
      </c>
      <c r="EL362" s="326" t="str">
        <f t="shared" si="64"/>
        <v>1-2-b3-#4-5-6-8</v>
      </c>
      <c r="EM362" s="318" t="str">
        <f t="shared" si="65"/>
        <v>#REF!</v>
      </c>
      <c r="EN362" s="328" t="str">
        <f>IFERROR(__xludf.DUMMYFUNCTION("SUBSTITUTE(SUBSTITUTE(SUBSTITUTE(SUBSTITUTE(CONCATENATE(JOIN("" "",HP362:IB362)),""  "","" ""),""  "","" ""),""  "","" ""),""  "","" "")"),"o • o o • • o o • o • • o")</f>
        <v>o • o o • • o o • o • • o</v>
      </c>
      <c r="EO362" s="368" t="str">
        <f t="shared" si="66"/>
        <v>Sa-Pa</v>
      </c>
      <c r="EP362" s="339" t="str">
        <f t="shared" si="67"/>
        <v>Sa-Pa</v>
      </c>
      <c r="EQ362" s="339" t="str">
        <f t="shared" si="68"/>
        <v>Sa-Pa</v>
      </c>
      <c r="ER362" s="339" t="str">
        <f t="shared" si="69"/>
        <v>-</v>
      </c>
      <c r="ES362" s="340" t="str">
        <f t="shared" si="70"/>
        <v>-</v>
      </c>
      <c r="ET362" s="363"/>
      <c r="EU362" s="376" t="b">
        <f>IFERROR(__xludf.DUMMYFUNCTION("arrayformula(sum(--REGEXMATCH(""SRGMPDNS"",split(REGEXREPLACE(C362,""(.)"",""$1~""),""~""))))=len(C362)
"),FALSE)</f>
        <v>0</v>
      </c>
      <c r="EV362" s="290" t="b">
        <f>IFERROR(__xludf.DUMMYFUNCTION("arrayformula(sum(--REGEXMATCH(""SRGmPDNS"",split(REGEXREPLACE(C362,""(.)"",""$1~""),""~""))))=len(C362)"),FALSE)</f>
        <v>0</v>
      </c>
      <c r="EW362" s="290" t="b">
        <f>IFERROR(__xludf.DUMMYFUNCTION("arrayformula(sum(--REGEXMATCH(""SRGmPDnS"",split(REGEXREPLACE(C362,""(.)"",""$1~""),""~""))))=len(C362)"),FALSE)</f>
        <v>0</v>
      </c>
      <c r="EX362" s="290" t="b">
        <f>IFERROR(__xludf.DUMMYFUNCTION("arrayformula(sum(--REGEXMATCH(""SRgmPDnS"",split(REGEXREPLACE(C362,""(.)"",""$1~""),""~""))))=len(C362)"),FALSE)</f>
        <v>0</v>
      </c>
      <c r="EY362" s="290" t="b">
        <f>IFERROR(__xludf.DUMMYFUNCTION("arrayformula(sum(--REGEXMATCH(""SRgmPdnS"",split(REGEXREPLACE(C362,""(.)"",""$1~""),""~""))))=len(C362)"),FALSE)</f>
        <v>0</v>
      </c>
      <c r="EZ362" s="290" t="b">
        <f>IFERROR(__xludf.DUMMYFUNCTION("arrayformula(sum(--REGEXMATCH(""SrgmPdnS"",split(REGEXREPLACE(C362,""(.)"",""$1~""),""~""))))=len(C362)"),FALSE)</f>
        <v>0</v>
      </c>
      <c r="FA362" s="290" t="b">
        <f>IFERROR(__xludf.DUMMYFUNCTION("arrayformula(sum(--REGEXMATCH(""SrGmPdNS"",split(REGEXREPLACE(C362,""(.)"",""$1~""),""~""))))=len(C362)"),FALSE)</f>
        <v>0</v>
      </c>
      <c r="FB362" s="290" t="b">
        <f>IFERROR(__xludf.DUMMYFUNCTION("arrayformula(sum(--REGEXMATCH(""SrGMPDNS"",split(REGEXREPLACE(C362,""(.)"",""$1~""),""~""))))=len(C362)"),FALSE)</f>
        <v>0</v>
      </c>
      <c r="FC362" s="290" t="b">
        <f>IFERROR(__xludf.DUMMYFUNCTION("arrayformula(sum(--REGEXMATCH(""SrGMPdNS"",split(REGEXREPLACE(C362,""(.)"",""$1~""),""~""))))=len(C362)"),FALSE)</f>
        <v>0</v>
      </c>
      <c r="FD362" s="377" t="b">
        <f>IFERROR(__xludf.DUMMYFUNCTION("arrayformula(sum(--REGEXMATCH(""SrgMPdNS"",split(REGEXREPLACE(C362,""(.)"",""$1~""),""~""))))=len(C362)"),FALSE)</f>
        <v>0</v>
      </c>
      <c r="FE362" s="269" t="str">
        <f t="shared" si="71"/>
        <v>-</v>
      </c>
      <c r="FF362" s="269" t="str">
        <f t="shared" si="72"/>
        <v>xxooxxoxoox</v>
      </c>
      <c r="FG362" s="271" t="str">
        <f t="shared" si="73"/>
        <v>xooxxoxooxo</v>
      </c>
      <c r="FH362" s="269" t="str">
        <f t="shared" si="74"/>
        <v>-</v>
      </c>
      <c r="FI362" s="271" t="str">
        <f t="shared" si="75"/>
        <v>-</v>
      </c>
      <c r="FJ362" s="271" t="str">
        <f t="shared" si="76"/>
        <v>xxoxooxoxxo</v>
      </c>
      <c r="FK362" s="271" t="str">
        <f t="shared" si="77"/>
        <v>xoxooxoxxoo</v>
      </c>
      <c r="FL362" s="271" t="str">
        <f t="shared" si="78"/>
        <v>-</v>
      </c>
      <c r="FM362" s="271" t="str">
        <f t="shared" si="79"/>
        <v>xooxoxxooxx</v>
      </c>
      <c r="FN362" s="271" t="str">
        <f t="shared" si="80"/>
        <v>-</v>
      </c>
      <c r="FO362" s="274" t="str">
        <f t="shared" si="81"/>
        <v>-</v>
      </c>
      <c r="FP362" s="234" t="str">
        <f t="shared" si="82"/>
        <v>|</v>
      </c>
      <c r="FQ362" s="236" t="str">
        <f t="shared" si="83"/>
        <v>-</v>
      </c>
      <c r="FR362" s="237" t="str">
        <f t="shared" si="84"/>
        <v>|</v>
      </c>
      <c r="FS362" s="236" t="str">
        <f t="shared" si="85"/>
        <v>|</v>
      </c>
      <c r="FT362" s="237" t="str">
        <f t="shared" si="86"/>
        <v>-</v>
      </c>
      <c r="FU362" s="236" t="str">
        <f t="shared" si="87"/>
        <v>-</v>
      </c>
      <c r="FV362" s="237" t="str">
        <f t="shared" si="88"/>
        <v>|</v>
      </c>
      <c r="FW362" s="236" t="str">
        <f t="shared" si="89"/>
        <v>|</v>
      </c>
      <c r="FX362" s="237" t="str">
        <f t="shared" si="90"/>
        <v>-</v>
      </c>
      <c r="FY362" s="236" t="str">
        <f t="shared" si="91"/>
        <v>|</v>
      </c>
      <c r="FZ362" s="237" t="str">
        <f t="shared" si="92"/>
        <v>-</v>
      </c>
      <c r="GA362" s="236" t="str">
        <f t="shared" si="93"/>
        <v>-</v>
      </c>
      <c r="GB362" s="238" t="str">
        <f t="shared" si="94"/>
        <v>|</v>
      </c>
      <c r="GC362" s="244" t="str">
        <f>IFERROR(__xludf.DUMMYFUNCTION("IF(REGEXMATCH(C362, ""S""), ""1"","""")"),"1")</f>
        <v>1</v>
      </c>
      <c r="GD362" s="245" t="str">
        <f>IFERROR(__xludf.DUMMYFUNCTION("IF(REGEXMATCH(C362, ""r""), ""b2"","""")"),"")</f>
        <v/>
      </c>
      <c r="GE362" s="246" t="str">
        <f>IFERROR(__xludf.DUMMYFUNCTION("IF(REGEXMATCH(C362, ""R""), ""2"","""")"),"2")</f>
        <v>2</v>
      </c>
      <c r="GF362" s="246" t="str">
        <f>IFERROR(__xludf.DUMMYFUNCTION("IF(REGEXMATCH(C362, ""g""), ""b3"","""")"),"b3")</f>
        <v>b3</v>
      </c>
      <c r="GG362" s="245" t="str">
        <f>IFERROR(__xludf.DUMMYFUNCTION("IF(REGEXMATCH(C362, ""G""), ""3"","""")"),"")</f>
        <v/>
      </c>
      <c r="GH362" s="245" t="str">
        <f>IFERROR(__xludf.DUMMYFUNCTION("IF(REGEXMATCH(C362, ""m""), ""4"","""")"),"")</f>
        <v/>
      </c>
      <c r="GI362" s="246" t="str">
        <f>IFERROR(__xludf.DUMMYFUNCTION("IF(REGEXMATCH(C362, ""M""), ""#4"","""")"),"#4")</f>
        <v>#4</v>
      </c>
      <c r="GJ362" s="245" t="str">
        <f>IFERROR(__xludf.DUMMYFUNCTION("IF(REGEXMATCH(C362, ""P""), ""5"","""")"),"5")</f>
        <v>5</v>
      </c>
      <c r="GK362" s="246" t="str">
        <f>IFERROR(__xludf.DUMMYFUNCTION("IF(REGEXMATCH(C362, ""d""), ""b6"","""")"),"")</f>
        <v/>
      </c>
      <c r="GL362" s="245" t="str">
        <f>IFERROR(__xludf.DUMMYFUNCTION("IF(REGEXMATCH(C362, ""D""), ""6"","""")"),"6")</f>
        <v>6</v>
      </c>
      <c r="GM362" s="245" t="str">
        <f>IFERROR(__xludf.DUMMYFUNCTION("IF(REGEXMATCH(C362, ""n""), ""b7"","""")"),"")</f>
        <v/>
      </c>
      <c r="GN362" s="246" t="str">
        <f>IFERROR(__xludf.DUMMYFUNCTION("IF(REGEXMATCH(C362, ""N""), ""7"","""")"),"")</f>
        <v/>
      </c>
      <c r="GO362" s="249" t="str">
        <f>IFERROR(__xludf.DUMMYFUNCTION("IF(REGEXMATCH(C362, ""S""), ""8"","""")"),"8")</f>
        <v>8</v>
      </c>
      <c r="GP362" s="244" t="str">
        <f>IFERROR(__xludf.DUMMYFUNCTION("IF(REGEXMATCH(C362, ""S""), ""S"","""")"),"S")</f>
        <v>S</v>
      </c>
      <c r="GQ362" s="294" t="str">
        <f>IFERROR(__xludf.DUMMYFUNCTION("IF(REGEXMATCH(C362, ""r""), ""R1"","""")"),"")</f>
        <v/>
      </c>
      <c r="GR362" s="295" t="str">
        <f>IFERROR(__xludf.DUMMYFUNCTION("IF(REGEXMATCH(C362, ""R""), ""R2"","""")"),"R2")</f>
        <v>R2</v>
      </c>
      <c r="GS362" s="295" t="str">
        <f>IFERROR(__xludf.DUMMYFUNCTION("IF(REGEXMATCH(C362, ""g""), ""G2"","""")"),"G2")</f>
        <v>G2</v>
      </c>
      <c r="GT362" s="294" t="str">
        <f>IFERROR(__xludf.DUMMYFUNCTION("IF(REGEXMATCH(C362, ""G""), ""G3"","""")"),"")</f>
        <v/>
      </c>
      <c r="GU362" s="294" t="str">
        <f>IFERROR(__xludf.DUMMYFUNCTION("IF(REGEXMATCH(C362, ""m""), ""M1"","""")"),"")</f>
        <v/>
      </c>
      <c r="GV362" s="295" t="str">
        <f>IFERROR(__xludf.DUMMYFUNCTION("IF(REGEXMATCH(C362, ""M""), ""M2"","""")"),"M2")</f>
        <v>M2</v>
      </c>
      <c r="GW362" s="294" t="str">
        <f>IFERROR(__xludf.DUMMYFUNCTION("IF(REGEXMATCH(C362, ""P""), ""P"","""")"),"P")</f>
        <v>P</v>
      </c>
      <c r="GX362" s="295" t="str">
        <f>IFERROR(__xludf.DUMMYFUNCTION("IF(REGEXMATCH(C362, ""d""), ""D1"","""")"),"")</f>
        <v/>
      </c>
      <c r="GY362" s="294" t="str">
        <f>IFERROR(__xludf.DUMMYFUNCTION("IF(REGEXMATCH(C362, ""D""), ""D2"","""")"),"D2")</f>
        <v>D2</v>
      </c>
      <c r="GZ362" s="294" t="str">
        <f>IFERROR(__xludf.DUMMYFUNCTION("IF(REGEXMATCH(C362, ""n""), ""N2"","""")"),"")</f>
        <v/>
      </c>
      <c r="HA362" s="295" t="str">
        <f>IFERROR(__xludf.DUMMYFUNCTION("IF(REGEXMATCH(C362, ""N""), ""N3"","""")"),"")</f>
        <v/>
      </c>
      <c r="HB362" s="249" t="str">
        <f>IFERROR(__xludf.DUMMYFUNCTION("IF(REGEXMATCH(C362, ""S""), ""S"","""")"),"S")</f>
        <v>S</v>
      </c>
      <c r="HC362" s="331" t="str">
        <f t="shared" si="95"/>
        <v>S</v>
      </c>
      <c r="HD362" s="332" t="str">
        <f t="shared" si="96"/>
        <v/>
      </c>
      <c r="HE362" s="332" t="str">
        <f t="shared" si="97"/>
        <v/>
      </c>
      <c r="HF362" s="332" t="str">
        <f t="shared" si="98"/>
        <v>g</v>
      </c>
      <c r="HG362" s="332" t="str">
        <f t="shared" si="99"/>
        <v/>
      </c>
      <c r="HH362" s="332" t="str">
        <f t="shared" si="100"/>
        <v>m</v>
      </c>
      <c r="HI362" s="332" t="str">
        <f t="shared" si="101"/>
        <v>M</v>
      </c>
      <c r="HJ362" s="332" t="str">
        <f t="shared" si="102"/>
        <v/>
      </c>
      <c r="HK362" s="332" t="str">
        <f t="shared" si="103"/>
        <v/>
      </c>
      <c r="HL362" s="332" t="str">
        <f t="shared" si="104"/>
        <v>D</v>
      </c>
      <c r="HM362" s="332" t="str">
        <f t="shared" si="105"/>
        <v>n</v>
      </c>
      <c r="HN362" s="332" t="str">
        <f t="shared" si="106"/>
        <v/>
      </c>
      <c r="HO362" s="343" t="str">
        <f t="shared" si="107"/>
        <v>S</v>
      </c>
      <c r="HP362" s="331" t="str">
        <f t="shared" si="108"/>
        <v>o</v>
      </c>
      <c r="HQ362" s="332" t="str">
        <f t="shared" si="109"/>
        <v>•</v>
      </c>
      <c r="HR362" s="332" t="str">
        <f t="shared" si="110"/>
        <v>o</v>
      </c>
      <c r="HS362" s="332" t="str">
        <f t="shared" si="111"/>
        <v>o</v>
      </c>
      <c r="HT362" s="332" t="str">
        <f t="shared" si="112"/>
        <v>•</v>
      </c>
      <c r="HU362" s="332" t="str">
        <f t="shared" si="113"/>
        <v>•</v>
      </c>
      <c r="HV362" s="332" t="str">
        <f t="shared" si="114"/>
        <v>o</v>
      </c>
      <c r="HW362" s="332" t="str">
        <f t="shared" si="115"/>
        <v>o</v>
      </c>
      <c r="HX362" s="332" t="str">
        <f t="shared" si="116"/>
        <v>•</v>
      </c>
      <c r="HY362" s="332" t="str">
        <f t="shared" si="117"/>
        <v>o</v>
      </c>
      <c r="HZ362" s="332" t="str">
        <f t="shared" si="118"/>
        <v>•</v>
      </c>
      <c r="IA362" s="332" t="str">
        <f t="shared" si="119"/>
        <v>•</v>
      </c>
      <c r="IB362" s="338" t="str">
        <f t="shared" si="120"/>
        <v>o</v>
      </c>
      <c r="IC362" s="331" t="str">
        <f t="shared" si="121"/>
        <v>•</v>
      </c>
      <c r="ID362" s="332" t="str">
        <f t="shared" si="122"/>
        <v>o</v>
      </c>
      <c r="IE362" s="332" t="str">
        <f t="shared" si="123"/>
        <v>•</v>
      </c>
      <c r="IF362" s="332" t="str">
        <f t="shared" si="124"/>
        <v>•</v>
      </c>
      <c r="IG362" s="332" t="str">
        <f t="shared" si="125"/>
        <v>o</v>
      </c>
      <c r="IH362" s="332" t="str">
        <f t="shared" si="126"/>
        <v>o</v>
      </c>
      <c r="II362" s="332" t="str">
        <f t="shared" si="127"/>
        <v>•</v>
      </c>
      <c r="IJ362" s="332" t="str">
        <f t="shared" si="128"/>
        <v>•</v>
      </c>
      <c r="IK362" s="332" t="str">
        <f t="shared" si="129"/>
        <v>o</v>
      </c>
      <c r="IL362" s="332" t="str">
        <f t="shared" si="130"/>
        <v>•</v>
      </c>
      <c r="IM362" s="332" t="str">
        <f t="shared" si="131"/>
        <v>o</v>
      </c>
      <c r="IN362" s="332" t="str">
        <f t="shared" si="132"/>
        <v>o</v>
      </c>
      <c r="IO362" s="338" t="str">
        <f t="shared" si="133"/>
        <v>•</v>
      </c>
      <c r="IP362" s="346" t="b">
        <f t="shared" si="134"/>
        <v>0</v>
      </c>
      <c r="IQ362" s="347" t="b">
        <f t="shared" si="135"/>
        <v>0</v>
      </c>
      <c r="IR362" s="347" t="b">
        <f t="shared" si="136"/>
        <v>0</v>
      </c>
      <c r="IS362" s="347" t="b">
        <f t="shared" si="137"/>
        <v>1</v>
      </c>
      <c r="IT362" s="347" t="b">
        <f t="shared" si="138"/>
        <v>0</v>
      </c>
      <c r="IU362" s="347" t="b">
        <f t="shared" si="139"/>
        <v>0</v>
      </c>
      <c r="IV362" s="347" t="b">
        <f t="shared" si="140"/>
        <v>1</v>
      </c>
      <c r="IW362" s="347" t="b">
        <f t="shared" si="141"/>
        <v>0</v>
      </c>
      <c r="IX362" s="347" t="b">
        <f t="shared" si="142"/>
        <v>0</v>
      </c>
      <c r="IY362" s="347" t="b">
        <f t="shared" si="143"/>
        <v>1</v>
      </c>
      <c r="IZ362" s="347" t="b">
        <f t="shared" si="144"/>
        <v>0</v>
      </c>
      <c r="JA362" s="347" t="b">
        <f t="shared" si="145"/>
        <v>0</v>
      </c>
      <c r="JB362" s="353" t="b">
        <f t="shared" si="146"/>
        <v>0</v>
      </c>
      <c r="JC362" s="354" t="str">
        <f t="shared" si="147"/>
        <v/>
      </c>
      <c r="JD362" s="355" t="str">
        <f t="shared" si="148"/>
        <v/>
      </c>
      <c r="JE362" s="355" t="str">
        <f t="shared" si="149"/>
        <v/>
      </c>
      <c r="JF362" s="355" t="str">
        <f t="shared" si="150"/>
        <v>ga, </v>
      </c>
      <c r="JG362" s="355" t="str">
        <f t="shared" si="151"/>
        <v/>
      </c>
      <c r="JH362" s="355" t="str">
        <f t="shared" si="152"/>
        <v/>
      </c>
      <c r="JI362" s="355" t="str">
        <f t="shared" si="153"/>
        <v>Ma, </v>
      </c>
      <c r="JJ362" s="355" t="str">
        <f t="shared" si="154"/>
        <v/>
      </c>
      <c r="JK362" s="355" t="str">
        <f t="shared" si="155"/>
        <v/>
      </c>
      <c r="JL362" s="355" t="str">
        <f t="shared" si="156"/>
        <v>Dha, </v>
      </c>
      <c r="JM362" s="355" t="str">
        <f t="shared" si="157"/>
        <v/>
      </c>
      <c r="JN362" s="355" t="str">
        <f t="shared" si="158"/>
        <v/>
      </c>
      <c r="JO362" s="359" t="str">
        <f t="shared" si="159"/>
        <v/>
      </c>
      <c r="JP362" s="346" t="b">
        <f t="shared" si="160"/>
        <v>0</v>
      </c>
      <c r="JQ362" s="347" t="b">
        <f t="shared" si="161"/>
        <v>0</v>
      </c>
      <c r="JR362" s="347" t="b">
        <f t="shared" si="162"/>
        <v>0</v>
      </c>
      <c r="JS362" s="347" t="b">
        <f t="shared" si="163"/>
        <v>1</v>
      </c>
      <c r="JT362" s="347" t="b">
        <f t="shared" si="164"/>
        <v>0</v>
      </c>
      <c r="JU362" s="347" t="b">
        <f t="shared" si="165"/>
        <v>0</v>
      </c>
      <c r="JV362" s="347" t="b">
        <f t="shared" si="166"/>
        <v>1</v>
      </c>
      <c r="JW362" s="347" t="b">
        <f t="shared" si="167"/>
        <v>0</v>
      </c>
      <c r="JX362" s="347" t="b">
        <f t="shared" si="168"/>
        <v>0</v>
      </c>
      <c r="JY362" s="347" t="b">
        <f t="shared" si="169"/>
        <v>0</v>
      </c>
      <c r="JZ362" s="347" t="b">
        <f t="shared" si="170"/>
        <v>0</v>
      </c>
      <c r="KA362" s="347" t="b">
        <f t="shared" si="171"/>
        <v>0</v>
      </c>
      <c r="KB362" s="365" t="b">
        <f t="shared" si="172"/>
        <v>0</v>
      </c>
      <c r="KC362" s="354" t="str">
        <f t="shared" si="173"/>
        <v/>
      </c>
      <c r="KD362" s="355" t="str">
        <f t="shared" si="174"/>
        <v/>
      </c>
      <c r="KE362" s="355" t="str">
        <f t="shared" si="175"/>
        <v/>
      </c>
      <c r="KF362" s="355" t="str">
        <f t="shared" si="176"/>
        <v>ga, </v>
      </c>
      <c r="KG362" s="355" t="str">
        <f t="shared" si="177"/>
        <v/>
      </c>
      <c r="KH362" s="355" t="str">
        <f t="shared" si="178"/>
        <v/>
      </c>
      <c r="KI362" s="355" t="str">
        <f t="shared" si="179"/>
        <v>Ma, </v>
      </c>
      <c r="KJ362" s="355" t="str">
        <f t="shared" si="180"/>
        <v/>
      </c>
      <c r="KK362" s="355" t="str">
        <f t="shared" si="181"/>
        <v/>
      </c>
      <c r="KL362" s="355" t="str">
        <f t="shared" si="182"/>
        <v/>
      </c>
      <c r="KM362" s="355" t="str">
        <f t="shared" si="183"/>
        <v/>
      </c>
      <c r="KN362" s="355" t="str">
        <f t="shared" si="184"/>
        <v/>
      </c>
      <c r="KO362" s="359"/>
      <c r="KP362" s="378"/>
      <c r="KQ362" s="379" t="s">
        <v>1152</v>
      </c>
      <c r="KR362" s="380" t="s">
        <v>1493</v>
      </c>
      <c r="KS362" s="381" t="str">
        <f>KQ362</f>
        <v>S-R-g-M-P-D-S</v>
      </c>
      <c r="KT362" s="382">
        <f t="shared" si="186"/>
        <v>6</v>
      </c>
      <c r="KU362" s="383">
        <f t="shared" si="187"/>
        <v>6</v>
      </c>
      <c r="KV362" s="381" t="str">
        <f t="shared" si="205"/>
        <v>S-D-P-M-g-R-S</v>
      </c>
      <c r="KW362" s="382">
        <f t="shared" si="189"/>
        <v>6</v>
      </c>
      <c r="KX362" s="384">
        <f t="shared" si="190"/>
        <v>6</v>
      </c>
      <c r="KY362" s="382">
        <f t="shared" ref="KY362:KZ362" si="959">KW362-KT362</f>
        <v>0</v>
      </c>
      <c r="KZ362" s="369">
        <f t="shared" si="959"/>
        <v>0</v>
      </c>
      <c r="LA362" s="385" t="str">
        <f t="shared" si="192"/>
        <v>✔</v>
      </c>
      <c r="LB362" s="340" t="str">
        <f>IFERROR(__xludf.DUMMYFUNCTION("JOIN("""",ArrayFormula(MID(KS362,LEN(KS362)-SEQUENCE(1,LEN(KS362))+1,1)))"),"S-D-P-M-g-R-S")</f>
        <v>S-D-P-M-g-R-S</v>
      </c>
      <c r="LC362" s="373" t="str">
        <f>IFERROR(__xludf.DUMMYFUNCTION("JOIN("""",ArrayFormula(MID(KV362,LEN(KV362)-SEQUENCE(1,LEN(KV362))+1,1)))"),"S-R-g-M-P-D-S")</f>
        <v>S-R-g-M-P-D-S</v>
      </c>
      <c r="LD362" s="373" t="str">
        <f t="shared" si="193"/>
        <v>SRgMPDS</v>
      </c>
      <c r="LE362" s="339" t="str">
        <f t="shared" si="194"/>
        <v>SRgMPDS</v>
      </c>
      <c r="LF362" s="386" t="str">
        <f>IFERROR(__xludf.DUMMYFUNCTION("SUBSTITUTE(SUBSTITUTE(CONCATENATE(JOIN("""",LH362:LT362)),""1"",""""),""2"","""")"),"SRgMPDS")</f>
        <v>SRgMPDS</v>
      </c>
      <c r="LG362" s="369" t="str">
        <f t="shared" si="195"/>
        <v>✔</v>
      </c>
      <c r="LH362" s="387" t="str">
        <f>IFERROR(__xludf.DUMMYFUNCTION("IF(REGEXMATCH(LD362, ""S""), ""S"",IF(REGEXMATCH(LE362, ""S""), ""S"",""""))"),"S")</f>
        <v>S</v>
      </c>
      <c r="LI362" s="299" t="str">
        <f>IFERROR(__xludf.DUMMYFUNCTION("IF(REGEXMATCH(LD362, ""r""), ""r1"",IF(REGEXMATCH(LE362, ""r""), ""r2"",""""))"),"")</f>
        <v/>
      </c>
      <c r="LJ362" s="299" t="str">
        <f>IFERROR(__xludf.DUMMYFUNCTION("IF(REGEXMATCH(LD362, ""R""), ""R1"",IF(REGEXMATCH(LE362, ""R""), ""R2"",""""))"),"R1")</f>
        <v>R1</v>
      </c>
      <c r="LK362" s="299" t="str">
        <f>IFERROR(__xludf.DUMMYFUNCTION("IF(REGEXMATCH(LD362, ""g""), ""g1"",IF(REGEXMATCH(LE362, ""g""), ""g2"",""""))"),"g1")</f>
        <v>g1</v>
      </c>
      <c r="LL362" s="299" t="str">
        <f>IFERROR(__xludf.DUMMYFUNCTION("IF(REGEXMATCH(LD362, ""G""), ""G1"",IF(REGEXMATCH(LE362, ""G""), ""G2"",""""))"),"")</f>
        <v/>
      </c>
      <c r="LM362" s="299" t="str">
        <f>IFERROR(__xludf.DUMMYFUNCTION("IF(REGEXMATCH(LD362, ""m""), ""m1"",IF(REGEXMATCH(LE362, ""m""), ""m2"",""""))"),"")</f>
        <v/>
      </c>
      <c r="LN362" s="299" t="str">
        <f>IFERROR(__xludf.DUMMYFUNCTION("IF(REGEXMATCH(LD362, ""M""), ""M1"",IF(REGEXMATCH(LE362, ""M""), ""M2"",""""))"),"M1")</f>
        <v>M1</v>
      </c>
      <c r="LO362" s="299" t="str">
        <f>IFERROR(__xludf.DUMMYFUNCTION("IF(REGEXMATCH(LD362, ""P""), ""P1"",IF(REGEXMATCH(LE362, ""P""), ""P2"",""""))"),"P1")</f>
        <v>P1</v>
      </c>
      <c r="LP362" s="299" t="str">
        <f>IFERROR(__xludf.DUMMYFUNCTION("IF(REGEXMATCH(LD362, ""d""), ""d1"",IF(REGEXMATCH(LE362, ""d""), ""d2"",""""))"),"")</f>
        <v/>
      </c>
      <c r="LQ362" s="299" t="str">
        <f>IFERROR(__xludf.DUMMYFUNCTION("IF(REGEXMATCH(LD362, ""D""), ""D1"",IF(REGEXMATCH(LE362, ""D""), ""D2"",""""))"),"D1")</f>
        <v>D1</v>
      </c>
      <c r="LR362" s="299" t="str">
        <f>IFERROR(__xludf.DUMMYFUNCTION("IF(REGEXMATCH(LD362, ""n""), ""n1"",IF(REGEXMATCH(LE362, ""n""), ""n2"",""""))"),"")</f>
        <v/>
      </c>
      <c r="LS362" s="299" t="str">
        <f>IFERROR(__xludf.DUMMYFUNCTION("IF(REGEXMATCH(LD362, ""N""), ""N1"",IF(REGEXMATCH(LE362, ""N""), ""N2"",""""))"),"")</f>
        <v/>
      </c>
      <c r="LT362" s="388" t="str">
        <f>IFERROR(__xludf.DUMMYFUNCTION("IF(REGEXMATCH(LD362, ""S""), ""S"",IF(REGEXMATCH(LE362, ""S""), ""S"",""""))"),"S")</f>
        <v>S</v>
      </c>
      <c r="LU362" s="389">
        <f t="shared" si="196"/>
        <v>1</v>
      </c>
      <c r="LV362" s="378"/>
      <c r="LW362" s="369"/>
      <c r="LX362" s="369"/>
    </row>
    <row r="363" ht="18.0" customHeight="1">
      <c r="A363" s="298" t="s">
        <v>1242</v>
      </c>
      <c r="B363" s="222" t="s">
        <v>1243</v>
      </c>
      <c r="C363" s="233" t="str">
        <f t="shared" si="7"/>
        <v>SrGmPdDnS</v>
      </c>
      <c r="D363" s="234" t="str">
        <f>IFERROR(__xludf.DUMMYFUNCTION("IF(REGEXMATCH(C363, ""S""), ""S"","""")"),"S")</f>
        <v>S</v>
      </c>
      <c r="E363" s="236" t="str">
        <f>IFERROR(__xludf.DUMMYFUNCTION("IF(REGEXMATCH(C363, ""r""), ""r"","""")"),"r")</f>
        <v>r</v>
      </c>
      <c r="F363" s="237" t="str">
        <f>IFERROR(__xludf.DUMMYFUNCTION("IF(REGEXMATCH(C363, ""R""), ""R"","""")"),"")</f>
        <v/>
      </c>
      <c r="G363" s="237" t="str">
        <f>IFERROR(__xludf.DUMMYFUNCTION("IF(REGEXMATCH(C363, ""g""), ""g"","""")"),"")</f>
        <v/>
      </c>
      <c r="H363" s="236" t="str">
        <f>IFERROR(__xludf.DUMMYFUNCTION("IF(REGEXMATCH(C363, ""G""), ""G"","""")"),"G")</f>
        <v>G</v>
      </c>
      <c r="I363" s="236" t="str">
        <f>IFERROR(__xludf.DUMMYFUNCTION("IF(REGEXMATCH(C363, ""m""), ""m"","""")"),"m")</f>
        <v>m</v>
      </c>
      <c r="J363" s="237" t="str">
        <f>IFERROR(__xludf.DUMMYFUNCTION("IF(REGEXMATCH(C363, ""M""), ""M"","""")"),"")</f>
        <v/>
      </c>
      <c r="K363" s="236" t="str">
        <f>IFERROR(__xludf.DUMMYFUNCTION("IF(REGEXMATCH(C363, ""P""), ""P"","""")"),"P")</f>
        <v>P</v>
      </c>
      <c r="L363" s="237" t="str">
        <f>IFERROR(__xludf.DUMMYFUNCTION("IF(REGEXMATCH(C363, ""d""), ""d"","""")"),"d")</f>
        <v>d</v>
      </c>
      <c r="M363" s="236" t="str">
        <f>IFERROR(__xludf.DUMMYFUNCTION("IF(REGEXMATCH(C363, ""D""), ""D"","""")"),"D")</f>
        <v>D</v>
      </c>
      <c r="N363" s="236" t="str">
        <f>IFERROR(__xludf.DUMMYFUNCTION("IF(REGEXMATCH(C363, ""n""), ""n"","""")"),"n")</f>
        <v>n</v>
      </c>
      <c r="O363" s="237" t="str">
        <f>IFERROR(__xludf.DUMMYFUNCTION("IF(REGEXMATCH(C363, ""N""), ""N"","""")"),"")</f>
        <v/>
      </c>
      <c r="P363" s="238" t="str">
        <f>IFERROR(__xludf.DUMMYFUNCTION("IF(REGEXMATCH(C363, ""S""), ""S"","""")"),"S")</f>
        <v>S</v>
      </c>
      <c r="Q363" s="239" t="str">
        <f>IFERROR(__xludf.DUMMYFUNCTION("SUBSTITUTE(CONCATENATE(JOIN(""-"",D363:J363)),""-"","""")"),"SrGm")</f>
        <v>SrGm</v>
      </c>
      <c r="R363" s="229" t="str">
        <f>IFERROR(__xludf.DUMMYFUNCTION("SUBSTITUTE(CONCATENATE(JOIN(""-"",K363:P363)),""-"","""")"),"PdDnS")</f>
        <v>PdDnS</v>
      </c>
      <c r="S363" s="282" t="str">
        <f t="shared" si="8"/>
        <v>S-R-G-M</v>
      </c>
      <c r="T363" s="282" t="str">
        <f t="shared" si="9"/>
        <v>P-D-N-S</v>
      </c>
      <c r="U363" s="237" t="str">
        <f>IFERROR(__xludf.DUMMYFUNCTION("SUBSTITUTE(JOIN(""-"",S363,T363),""--"",""-"")"),"S-R-G-M-P-D-N-S")</f>
        <v>S-R-G-M-P-D-N-S</v>
      </c>
      <c r="V363" s="309" t="str">
        <f t="shared" si="10"/>
        <v>rGmdDn</v>
      </c>
      <c r="W363" s="244" t="str">
        <f>IFERROR(__xludf.DUMMYFUNCTION("IF(REGEXMATCH(C363, ""S""), ""0"","""")"),"0")</f>
        <v>0</v>
      </c>
      <c r="X363" s="245" t="str">
        <f>IFERROR(__xludf.DUMMYFUNCTION("IF(REGEXMATCH(C363, ""r""), ""1"","""")"),"1")</f>
        <v>1</v>
      </c>
      <c r="Y363" s="246" t="str">
        <f>IFERROR(__xludf.DUMMYFUNCTION("IF(REGEXMATCH(C363, ""R""), ""2"","""")"),"")</f>
        <v/>
      </c>
      <c r="Z363" s="246" t="str">
        <f>IFERROR(__xludf.DUMMYFUNCTION("IF(REGEXMATCH(C363, ""g""), ""3"","""")"),"")</f>
        <v/>
      </c>
      <c r="AA363" s="245" t="str">
        <f>IFERROR(__xludf.DUMMYFUNCTION("IF(REGEXMATCH(C363, ""G""), ""4"","""")"),"4")</f>
        <v>4</v>
      </c>
      <c r="AB363" s="245" t="str">
        <f>IFERROR(__xludf.DUMMYFUNCTION("IF(REGEXMATCH(C363, ""m""), ""5"","""")"),"5")</f>
        <v>5</v>
      </c>
      <c r="AC363" s="246" t="str">
        <f>IFERROR(__xludf.DUMMYFUNCTION("IF(REGEXMATCH(C363, ""M""), ""6"","""")"),"")</f>
        <v/>
      </c>
      <c r="AD363" s="245" t="str">
        <f>IFERROR(__xludf.DUMMYFUNCTION("IF(REGEXMATCH(C363, ""P""), ""7"","""")"),"7")</f>
        <v>7</v>
      </c>
      <c r="AE363" s="246" t="str">
        <f>IFERROR(__xludf.DUMMYFUNCTION("IF(REGEXMATCH(C363, ""d""), ""8"","""")"),"8")</f>
        <v>8</v>
      </c>
      <c r="AF363" s="245" t="str">
        <f>IFERROR(__xludf.DUMMYFUNCTION("IF(REGEXMATCH(C363, ""D""), ""9"","""")"),"9")</f>
        <v>9</v>
      </c>
      <c r="AG363" s="245" t="str">
        <f>IFERROR(__xludf.DUMMYFUNCTION("IF(REGEXMATCH(C363, ""n""), ""10"","""")"),"10")</f>
        <v>10</v>
      </c>
      <c r="AH363" s="246" t="str">
        <f>IFERROR(__xludf.DUMMYFUNCTION("IF(REGEXMATCH(C363, ""N""), ""11"","""")"),"")</f>
        <v/>
      </c>
      <c r="AI363" s="249" t="str">
        <f>IFERROR(__xludf.DUMMYFUNCTION("IF(REGEXMATCH(C363, ""S""), ""0"","""")"),"0")</f>
        <v>0</v>
      </c>
      <c r="AJ363" s="313" t="str">
        <f t="shared" si="11"/>
        <v>-</v>
      </c>
      <c r="AK363" s="313" t="str">
        <f t="shared" si="12"/>
        <v>T</v>
      </c>
      <c r="AL363" s="313" t="str">
        <f t="shared" si="13"/>
        <v>-</v>
      </c>
      <c r="AM363" s="313" t="str">
        <f t="shared" si="14"/>
        <v>-</v>
      </c>
      <c r="AN363" s="313" t="str">
        <f t="shared" si="15"/>
        <v>T</v>
      </c>
      <c r="AO363" s="314" t="str">
        <f t="shared" si="16"/>
        <v>-</v>
      </c>
      <c r="AP363" s="316">
        <f t="shared" si="17"/>
        <v>2</v>
      </c>
      <c r="AQ363" s="319" t="str">
        <f t="shared" si="18"/>
        <v>-</v>
      </c>
      <c r="AR363" s="320">
        <f t="shared" si="19"/>
        <v>0</v>
      </c>
      <c r="AS363" s="250" t="str">
        <f>IFERROR(__xludf.DUMMYFUNCTION("SUBSTITUTE(SUBSTITUTE(CONCATENATE(JOIN("""",FP363:GA363)),""|"",""x""),""-"",""o"")"),"xxooxxoxxxxo")</f>
        <v>xxooxxoxxxxo</v>
      </c>
      <c r="AT363" s="323" t="str">
        <f>IFERROR(__xludf.DUMMYFUNCTION("JOIN("""",AS363,AS363)"),"xxooxxoxxxxoxxooxxoxxxxo")</f>
        <v>xxooxxoxxxxoxxooxxoxxxxo</v>
      </c>
      <c r="AU363" s="256" t="str">
        <f>IFERROR(__xludf.DUMMYFUNCTION("JOIN("""",ArrayFormula(MID(AS363,LEN(AS363)-SEQUENCE(1,LEN(AS363))+1,1)))"),"oxxxxoxxooxx")</f>
        <v>oxxxxoxxooxx</v>
      </c>
      <c r="AV363" s="256" t="str">
        <f>IFERROR(__xludf.DUMMYFUNCTION("LEFT(CONCATENATE(""x"",JOIN("""",ArrayFormula(MID(AS363,LEN(AS363)-SEQUENCE(1,LEN(AS363))+1,1)))),12)"),"xoxxxxoxxoox")</f>
        <v>xoxxxxoxxoox</v>
      </c>
      <c r="AW363" s="327" t="str">
        <f>IFERROR(__xludf.DUMMYFUNCTION("JOIN("""",AU363,AU363)"),"oxxxxoxxooxxoxxxxoxxooxx")</f>
        <v>oxxxxoxxooxxoxxxxoxxooxx</v>
      </c>
      <c r="AX363" s="239" t="str">
        <f>IFERROR(__xludf.DUMMYFUNCTION("IF(REGEXMATCH(AW363,AS363),""✔"",""-"")"),"✔")</f>
        <v>✔</v>
      </c>
      <c r="AY363" s="330" t="str">
        <f t="shared" si="20"/>
        <v>-</v>
      </c>
      <c r="AZ363" s="260" t="str">
        <f t="shared" si="21"/>
        <v>#REF!</v>
      </c>
      <c r="BA363" s="333" t="str">
        <f t="shared" si="22"/>
        <v>xxooxxo</v>
      </c>
      <c r="BB363" s="334" t="str">
        <f t="shared" si="23"/>
        <v>xxxxox</v>
      </c>
      <c r="BC363" s="335" t="str">
        <f t="shared" si="236"/>
        <v>-</v>
      </c>
      <c r="BD363" s="336" t="str">
        <f t="shared" si="25"/>
        <v>Virat Bhairav: 'xxooxxo' + 'xxxxox'</v>
      </c>
      <c r="BE363" s="337">
        <f>IFERROR(__xludf.DUMMYFUNCTION("COUNTUNIQUE(FILTER(AT:AT,REGEXMATCH(AT:AT,AS363)))-1"),1.0)</f>
        <v>1</v>
      </c>
      <c r="BF363" s="261" t="str">
        <f>IFERROR(__xludf.DUMMYFUNCTION("IF(BI363=0,""(n/a)"",IF(BJ363=2,""(PAIR)"",IF(REGEXMATCH(AT363,""xoxoxxoxoxox""),""Bilawal"",IF(REGEXMATCH(AT363,""xoxoxooxoxoo""),""Bhupali"",IF(REGEXMATCH(AT363,""xoxoxxoxxoxo""),""Charukeshi"",IF(REGEXMATCH(AT363,""xoxoooxxoxxo""),""Kameshwari"",IF(REG"&amp;"EXMATCH(AT363,""xoxoxooxoxox""),""Shankara"",IF(REGEXMATCH(AT363,""xxooxoxxxoox""),""Basant"",IF(REGEXMATCH(AT363,""xoxoxxxxoxox""),""Bihag"",IF(REGEXMATCH(AT363,""xoxxxxoxoxxx""),""Pilu"",IF(REGEXMATCH(AT363,""xoxxoxoxxoox""),""Kirwani"",IF(REGEXMATCH(AT"&amp;"363,""xoxxoxoxoxxx""),""Mk.Malhar"",IF(REGEXMATCH(AT363,""xxooxxoxxoox""),""Bhairav"",IF(REGEXMATCH(AT363,""xxoxooxxxoox""),""Todi"",IF(REGEXMATCH(AT363,""xxooxoxooxox""),""Marwa"",IF(REGEXMATCH(AT363,""xxoooxoxxooo""),""Gunkali"",IF(REGEXMATCH(AT363,""xo"&amp;"xoxxoxxoox""),""Nat Bhairav"",IF(REGEXMATCH(AT363,""xoxxoooxoxoo""),""Shivranjani"",IF(REGEXMATCH(AT363,""xooxxxoxooxo""),""Jog"",IF(REGEXMATCH(AT363,""xxooxoxoxoox""),""Hemshri"",IF(REGEXMATCH(AT363,""xoooxooxoxxo""),""Kalavati"",IF(REGEXMATCH(AT363,""xx"&amp;"oxoxxoxoox""),""Kedar"",IF(REGEXMATCH(AT363,""xoxxxxoxooxx""),""Gara"",IF(REGEXMATCH(AT363,""xooxoxooxoox""),""Chandrakauns"",IF(REGEXMATCH(AT363,""xoxxxxoxxxox""),""Mand"",IF(REGEXMATCH(AT363,""xoxxxxoxoxox""),""Hanskinkini"",IF(REGEXMATCH(AT363,""xxooxx"&amp;"oxooxo""),""Lilavati"",IF(REGEXMATCH(AT363,""xooxoxoooxox""),""Rajeshwari"",IF(REGEXMATCH(AT363,""xoooxxoxoxxx""),""Khokar"",IF(REGEXMATCH(AT363,""xxooxoxxxxox""),""Maligoura"",""-""))))))))))))))))))))))))))))))"),"(PAIR)")</f>
        <v>(PAIR)</v>
      </c>
      <c r="BG363" s="239" t="str">
        <f t="shared" si="26"/>
        <v>#REF!</v>
      </c>
      <c r="BH363" s="239">
        <f>IFERROR(__xludf.DUMMYFUNCTION("COUNTUNIQUE(FE363:FO363)-1"),7.0)</f>
        <v>7</v>
      </c>
      <c r="BI363" s="239">
        <f>IFERROR(__xludf.DUMMYFUNCTION("COUNTUNIQUE(FILTER(AT:AT,REGEXMATCH(AT:AT,AS363)))-1"),1.0)</f>
        <v>1</v>
      </c>
      <c r="BJ363" s="239">
        <f>IFERROR(__xludf.DUMMYFUNCTION("COUNTA(FILTER(AT:AT,REGEXMATCH(AT:AT,AS363)))"),2.0)</f>
        <v>2</v>
      </c>
      <c r="BK363" s="341">
        <f>IFERROR(__xludf.DUMMYFUNCTION("COUNTA(FILTER(AT:AT,REGEXMATCH(AT:AT,AS363)))-AR363"),2.0)</f>
        <v>2</v>
      </c>
      <c r="BL363" s="276" t="str">
        <f>IFERROR(__xludf.DUMMYFUNCTION("IF(AS363=""oooooooooooo"",""-"",IF(REGEXMATCH(AT363,""xx""), ""Hemi."", ""Anhemi.""))"),"Hemi.")</f>
        <v>Hemi.</v>
      </c>
      <c r="BM363" s="282" t="str">
        <f>IFERROR(__xludf.DUMMYFUNCTION("IF(AS363=""oooooooooooo"",""-"",IF(REGEXMATCH(AT363,""xxx""), ""Cohem."", ""-""))"),"Cohem.")</f>
        <v>Cohem.</v>
      </c>
      <c r="BN363" s="282" t="str">
        <f>IFERROR(__xludf.DUMMYFUNCTION("IF(AS363=""oooooooooooo"",""-"",IF(REGEXMATCH(AT363,""xxxx""), ""Co-Co."", ""-""))"),"Co-Co.")</f>
        <v>Co-Co.</v>
      </c>
      <c r="BO363" s="342" t="str">
        <f>IFERROR(__xludf.DUMMYFUNCTION("IF(AS363=""oooooooooooo"",""-"",IF(REGEXMATCH(AT363,""xxxxx""), ""CCC."", ""-""))"),"-")</f>
        <v>-</v>
      </c>
      <c r="BP363" s="344" t="str">
        <f t="shared" si="27"/>
        <v>-</v>
      </c>
      <c r="BQ363" s="282" t="str">
        <f>IFERROR(__xludf.DUMMYFUNCTION("IF(REGEXMATCH(JOIN(""-"",EU363:FD363),""TRUE""),""✔"",""-"")"),"-")</f>
        <v>-</v>
      </c>
      <c r="BR363" s="225">
        <f t="shared" si="28"/>
        <v>0</v>
      </c>
      <c r="BS363" s="345" t="str">
        <f>IFERROR(__xludf.DUMMYFUNCTION("SUBSTITUTE(SUBSTITUTE(SUBSTITUTE(SUBSTITUTE(CONCATENATE(JOIN(""-"",GC363:GO363)),""--"",""-""),""--"",""-""),""--"",""-""),""--"",""-"")"),"1-b2-3-4-5-b6-6-b7-8")</f>
        <v>1-b2-3-4-5-b6-6-b7-8</v>
      </c>
      <c r="BT363" s="299" t="str">
        <f>IFERROR(__xludf.DUMMYFUNCTION("SUBSTITUTE(SUBSTITUTE(SUBSTITUTE(SUBSTITUTE(CONCATENATE(JOIN(""-"",GP363:HB363)),""--"",""-""),""--"",""-""),""--"",""-""),""--"",""-"")"),"S-R1-G3-M1-P-D1-D2-N2-S")</f>
        <v>S-R1-G3-M1-P-D1-D2-N2-S</v>
      </c>
      <c r="BU363" s="348" t="str">
        <f t="shared" si="29"/>
        <v>C-Db-E-F-G-Ab-A-Bb-C</v>
      </c>
      <c r="BV363" s="349" t="str">
        <f t="shared" si="30"/>
        <v>SRgMNS</v>
      </c>
      <c r="BW363" s="350">
        <f t="shared" si="31"/>
        <v>0</v>
      </c>
      <c r="BX363" s="351">
        <f t="shared" si="32"/>
        <v>1</v>
      </c>
      <c r="BY363" s="392"/>
      <c r="BZ363" s="309" t="str">
        <f>IFERROR(__xludf.DUMMYFUNCTION("IF(REGEXMATCH(C363, ""S""), ""x"",""x"")"),"x")</f>
        <v>x</v>
      </c>
      <c r="CA363" s="245" t="str">
        <f>IFERROR(__xludf.DUMMYFUNCTION("IF(REGEXMATCH(C363, ""r""), ""o"",""x"")"),"o")</f>
        <v>o</v>
      </c>
      <c r="CB363" s="246" t="str">
        <f>IFERROR(__xludf.DUMMYFUNCTION("IF(REGEXMATCH(C363, ""R""), ""o"",""x"")"),"x")</f>
        <v>x</v>
      </c>
      <c r="CC363" s="246" t="str">
        <f>IFERROR(__xludf.DUMMYFUNCTION("IF(REGEXMATCH(C363, ""g""), ""o"",""x"")"),"x")</f>
        <v>x</v>
      </c>
      <c r="CD363" s="245" t="str">
        <f>IFERROR(__xludf.DUMMYFUNCTION("IF(REGEXMATCH(C363, ""G""), ""o"",""x"")"),"o")</f>
        <v>o</v>
      </c>
      <c r="CE363" s="245" t="str">
        <f>IFERROR(__xludf.DUMMYFUNCTION("IF(REGEXMATCH(C363, ""m""), ""o"",""x"")"),"o")</f>
        <v>o</v>
      </c>
      <c r="CF363" s="246" t="str">
        <f>IFERROR(__xludf.DUMMYFUNCTION("IF(REGEXMATCH(C363, ""M""), ""o"",""x"")"),"x")</f>
        <v>x</v>
      </c>
      <c r="CG363" s="245" t="str">
        <f>IFERROR(__xludf.DUMMYFUNCTION("IF(REGEXMATCH(C363, ""P""), ""o"",""x"")"),"o")</f>
        <v>o</v>
      </c>
      <c r="CH363" s="246" t="str">
        <f>IFERROR(__xludf.DUMMYFUNCTION("IF(REGEXMATCH(C363, ""d""), ""o"",""x"")"),"o")</f>
        <v>o</v>
      </c>
      <c r="CI363" s="245" t="str">
        <f>IFERROR(__xludf.DUMMYFUNCTION("IF(REGEXMATCH(C363, ""D""), ""o"",""x"")"),"o")</f>
        <v>o</v>
      </c>
      <c r="CJ363" s="245" t="str">
        <f>IFERROR(__xludf.DUMMYFUNCTION("IF(REGEXMATCH(C363, ""n""), ""o"",""x"")"),"o")</f>
        <v>o</v>
      </c>
      <c r="CK363" s="245" t="str">
        <f>IFERROR(__xludf.DUMMYFUNCTION("IF(REGEXMATCH(C363, ""N""), ""o"",""x"")"),"x")</f>
        <v>x</v>
      </c>
      <c r="CL363" s="356" t="str">
        <f>IFERROR(__xludf.DUMMYFUNCTION("IF(REGEXMATCH(C363, ""S""), ""x"",""x"")"),"x")</f>
        <v>x</v>
      </c>
      <c r="CM363" s="357" t="str">
        <f t="shared" si="33"/>
        <v>xoxxooxoooox</v>
      </c>
      <c r="CN363" s="358">
        <f t="shared" si="34"/>
        <v>0</v>
      </c>
      <c r="CO363" s="246" t="str">
        <f>IFERROR(__xludf.DUMMYFUNCTION("IF(REGEXMATCH($C363, ""S""), ""S"",""S"")"),"S")</f>
        <v>S</v>
      </c>
      <c r="CP363" s="246" t="str">
        <f>IFERROR(__xludf.DUMMYFUNCTION("IF(REGEXMATCH($C363, ""r""), """",""r"")"),"")</f>
        <v/>
      </c>
      <c r="CQ363" s="246" t="str">
        <f>IFERROR(__xludf.DUMMYFUNCTION("IF(REGEXMATCH($C363, ""R""), """",""R"")"),"R")</f>
        <v>R</v>
      </c>
      <c r="CR363" s="246" t="str">
        <f>IFERROR(__xludf.DUMMYFUNCTION("IF(REGEXMATCH($C363, ""g""), """",""g"")"),"g")</f>
        <v>g</v>
      </c>
      <c r="CS363" s="246" t="str">
        <f>IFERROR(__xludf.DUMMYFUNCTION("IF(REGEXMATCH($C363, ""G""), """",""G"")"),"")</f>
        <v/>
      </c>
      <c r="CT363" s="246" t="str">
        <f>IFERROR(__xludf.DUMMYFUNCTION("IF(REGEXMATCH($C363, ""m""), """",""m"")"),"")</f>
        <v/>
      </c>
      <c r="CU363" s="246" t="str">
        <f>IFERROR(__xludf.DUMMYFUNCTION("IF(REGEXMATCH($C363, ""M""), """",""M"")"),"M")</f>
        <v>M</v>
      </c>
      <c r="CV363" s="246" t="str">
        <f>IFERROR(__xludf.DUMMYFUNCTION("IF(REGEXMATCH($C363, ""P""), """",""P"")"),"")</f>
        <v/>
      </c>
      <c r="CW363" s="246" t="str">
        <f>IFERROR(__xludf.DUMMYFUNCTION("IF(REGEXMATCH($C363, ""d""), """",""d"")"),"")</f>
        <v/>
      </c>
      <c r="CX363" s="246" t="str">
        <f>IFERROR(__xludf.DUMMYFUNCTION("IF(REGEXMATCH($C363, ""D""), """",""D"")"),"")</f>
        <v/>
      </c>
      <c r="CY363" s="246" t="str">
        <f>IFERROR(__xludf.DUMMYFUNCTION("IF(REGEXMATCH($C363, ""n""), """",""n"")"),"")</f>
        <v/>
      </c>
      <c r="CZ363" s="246" t="str">
        <f>IFERROR(__xludf.DUMMYFUNCTION("IF(REGEXMATCH($C363, ""N""), """",""N"")"),"N")</f>
        <v>N</v>
      </c>
      <c r="DA363" s="246" t="str">
        <f>IFERROR(__xludf.DUMMYFUNCTION("IF(REGEXMATCH($C363, ""S""), ""S"",""S"")"),"S")</f>
        <v>S</v>
      </c>
      <c r="DB363" s="362" t="str">
        <f>IFERROR(__xludf.DUMMYFUNCTION("JOIN("""",CO363:DA363,"""","""")"),"SRgMNS")</f>
        <v>SRgMNS</v>
      </c>
      <c r="DC363" s="363"/>
      <c r="DD363" s="301" t="str">
        <f t="shared" si="35"/>
        <v>#REF!</v>
      </c>
      <c r="DE363" s="302" t="str">
        <f t="shared" si="36"/>
        <v>#REF!</v>
      </c>
      <c r="DF363" s="301" t="str">
        <f t="shared" ref="DF363:DG363" si="960">SUBSTITUTE(S363,"-","")</f>
        <v>SRGM</v>
      </c>
      <c r="DG363" s="301" t="str">
        <f t="shared" si="960"/>
        <v>PDNS</v>
      </c>
      <c r="DH363" s="302" t="str">
        <f t="shared" si="38"/>
        <v>(PAIR)</v>
      </c>
      <c r="DI363" s="301" t="str">
        <f t="shared" si="39"/>
        <v>Hemi.</v>
      </c>
      <c r="DJ363" s="364" t="str">
        <f t="shared" si="40"/>
        <v>Co-Co.</v>
      </c>
      <c r="DK363" s="306" t="str">
        <f t="shared" si="41"/>
        <v>-</v>
      </c>
      <c r="DL363" s="366" t="str">
        <f t="shared" si="42"/>
        <v>-</v>
      </c>
      <c r="DM363" s="308" t="str">
        <f t="shared" si="43"/>
        <v>✔</v>
      </c>
      <c r="DN363" s="306" t="str">
        <f t="shared" si="44"/>
        <v>-</v>
      </c>
      <c r="DO363" s="306" t="str">
        <f t="shared" si="45"/>
        <v>-</v>
      </c>
      <c r="DP363" s="367" t="str">
        <f t="shared" si="46"/>
        <v>-</v>
      </c>
      <c r="DQ363" s="310" t="str">
        <f t="shared" si="47"/>
        <v>-</v>
      </c>
      <c r="DR363" s="310" t="str">
        <f t="shared" si="48"/>
        <v>-</v>
      </c>
      <c r="DS363" s="310" t="str">
        <f t="shared" si="49"/>
        <v>-</v>
      </c>
      <c r="DT363" s="310" t="str">
        <f t="shared" si="50"/>
        <v>✔</v>
      </c>
      <c r="DU363" s="370" t="str">
        <f t="shared" si="51"/>
        <v>-</v>
      </c>
      <c r="DV363" s="306" t="str">
        <f t="shared" si="52"/>
        <v>-</v>
      </c>
      <c r="DW363" s="306" t="str">
        <f t="shared" si="53"/>
        <v>-</v>
      </c>
      <c r="DX363" s="306" t="str">
        <f t="shared" si="54"/>
        <v>-</v>
      </c>
      <c r="DY363" s="306" t="str">
        <f t="shared" si="55"/>
        <v>-</v>
      </c>
      <c r="DZ363" s="306" t="str">
        <f t="shared" si="56"/>
        <v>-</v>
      </c>
      <c r="EA363" s="367" t="str">
        <f t="shared" si="57"/>
        <v>-</v>
      </c>
      <c r="EB363" s="310" t="str">
        <f>IFERROR(__xludf.DUMMYFUNCTION("IF(REGEXMATCH(AW363,AS363),""✔"",""-"")"),"✔")</f>
        <v>✔</v>
      </c>
      <c r="EC363" s="310" t="str">
        <f t="shared" si="58"/>
        <v>#REF!</v>
      </c>
      <c r="ED363" s="370" t="str">
        <f t="shared" si="59"/>
        <v>-</v>
      </c>
      <c r="EE363" s="340" t="str">
        <f t="shared" si="60"/>
        <v>S-r-G-m-P-dD-n-S</v>
      </c>
      <c r="EF363" s="371" t="str">
        <f>IFERROR(__xludf.DUMMYFUNCTION("CONCATENATE(JOIN("""",HC363:HO363))"),"SRgGmPdNS")</f>
        <v>SRgGmPdNS</v>
      </c>
      <c r="EG363" s="372">
        <f t="shared" si="61"/>
        <v>3</v>
      </c>
      <c r="EH363" s="373" t="str">
        <f>IFERROR(__xludf.DUMMYFUNCTION("CONCATENATE(JOIN("""",JC363:JO363))"),"Ga, Pa, dha, ")</f>
        <v>Ga, Pa, dha, </v>
      </c>
      <c r="EI363" s="322">
        <f t="shared" si="62"/>
        <v>0</v>
      </c>
      <c r="EJ363" s="374" t="str">
        <f>IFERROR(__xludf.DUMMYFUNCTION("CONCATENATE(JOIN("""",KC363:KO363))"),"")</f>
        <v/>
      </c>
      <c r="EK363" s="325" t="str">
        <f t="shared" si="63"/>
        <v>S-R1-G3-M1-P-D1-D2-N2-S</v>
      </c>
      <c r="EL363" s="326" t="str">
        <f t="shared" si="64"/>
        <v>1-b2-3-4-5-b6-6-b7-8</v>
      </c>
      <c r="EM363" s="318" t="str">
        <f t="shared" si="65"/>
        <v>#REF!</v>
      </c>
      <c r="EN363" s="328" t="str">
        <f>IFERROR(__xludf.DUMMYFUNCTION("SUBSTITUTE(SUBSTITUTE(SUBSTITUTE(SUBSTITUTE(CONCATENATE(JOIN("" "",HP363:IB363)),""  "","" ""),""  "","" ""),""  "","" ""),""  "","" "")"),"o o • • o o • o o o o • o")</f>
        <v>o o • • o o • o o o o • o</v>
      </c>
      <c r="EO363" s="368" t="str">
        <f t="shared" si="66"/>
        <v>-</v>
      </c>
      <c r="EP363" s="339" t="str">
        <f t="shared" si="67"/>
        <v>-</v>
      </c>
      <c r="EQ363" s="339" t="str">
        <f t="shared" si="68"/>
        <v>Sa-Pa</v>
      </c>
      <c r="ER363" s="339" t="str">
        <f t="shared" si="69"/>
        <v>-</v>
      </c>
      <c r="ES363" s="340" t="str">
        <f t="shared" si="70"/>
        <v>-</v>
      </c>
      <c r="ET363" s="363"/>
      <c r="EU363" s="376" t="b">
        <f>IFERROR(__xludf.DUMMYFUNCTION("arrayformula(sum(--REGEXMATCH(""SRGMPDNS"",split(REGEXREPLACE(C363,""(.)"",""$1~""),""~""))))=len(C363)
"),FALSE)</f>
        <v>0</v>
      </c>
      <c r="EV363" s="290" t="b">
        <f>IFERROR(__xludf.DUMMYFUNCTION("arrayformula(sum(--REGEXMATCH(""SRGmPDNS"",split(REGEXREPLACE(C363,""(.)"",""$1~""),""~""))))=len(C363)"),FALSE)</f>
        <v>0</v>
      </c>
      <c r="EW363" s="290" t="b">
        <f>IFERROR(__xludf.DUMMYFUNCTION("arrayformula(sum(--REGEXMATCH(""SRGmPDnS"",split(REGEXREPLACE(C363,""(.)"",""$1~""),""~""))))=len(C363)"),FALSE)</f>
        <v>0</v>
      </c>
      <c r="EX363" s="290" t="b">
        <f>IFERROR(__xludf.DUMMYFUNCTION("arrayformula(sum(--REGEXMATCH(""SRgmPDnS"",split(REGEXREPLACE(C363,""(.)"",""$1~""),""~""))))=len(C363)"),FALSE)</f>
        <v>0</v>
      </c>
      <c r="EY363" s="290" t="b">
        <f>IFERROR(__xludf.DUMMYFUNCTION("arrayformula(sum(--REGEXMATCH(""SRgmPdnS"",split(REGEXREPLACE(C363,""(.)"",""$1~""),""~""))))=len(C363)"),FALSE)</f>
        <v>0</v>
      </c>
      <c r="EZ363" s="290" t="b">
        <f>IFERROR(__xludf.DUMMYFUNCTION("arrayformula(sum(--REGEXMATCH(""SrgmPdnS"",split(REGEXREPLACE(C363,""(.)"",""$1~""),""~""))))=len(C363)"),FALSE)</f>
        <v>0</v>
      </c>
      <c r="FA363" s="290" t="b">
        <f>IFERROR(__xludf.DUMMYFUNCTION("arrayformula(sum(--REGEXMATCH(""SrGmPdNS"",split(REGEXREPLACE(C363,""(.)"",""$1~""),""~""))))=len(C363)"),FALSE)</f>
        <v>0</v>
      </c>
      <c r="FB363" s="290" t="b">
        <f>IFERROR(__xludf.DUMMYFUNCTION("arrayformula(sum(--REGEXMATCH(""SrGMPDNS"",split(REGEXREPLACE(C363,""(.)"",""$1~""),""~""))))=len(C363)"),FALSE)</f>
        <v>0</v>
      </c>
      <c r="FC363" s="290" t="b">
        <f>IFERROR(__xludf.DUMMYFUNCTION("arrayformula(sum(--REGEXMATCH(""SrGMPdNS"",split(REGEXREPLACE(C363,""(.)"",""$1~""),""~""))))=len(C363)"),FALSE)</f>
        <v>0</v>
      </c>
      <c r="FD363" s="377" t="b">
        <f>IFERROR(__xludf.DUMMYFUNCTION("arrayformula(sum(--REGEXMATCH(""SrgMPdNS"",split(REGEXREPLACE(C363,""(.)"",""$1~""),""~""))))=len(C363)"),FALSE)</f>
        <v>0</v>
      </c>
      <c r="FE363" s="269" t="str">
        <f t="shared" si="71"/>
        <v>xooxxoxxxxo</v>
      </c>
      <c r="FF363" s="269" t="str">
        <f t="shared" si="72"/>
        <v>-</v>
      </c>
      <c r="FG363" s="271" t="str">
        <f t="shared" si="73"/>
        <v>-</v>
      </c>
      <c r="FH363" s="269" t="str">
        <f t="shared" si="74"/>
        <v>xxoxxxxoxxo</v>
      </c>
      <c r="FI363" s="271" t="str">
        <f t="shared" si="75"/>
        <v>xoxxxxoxxoo</v>
      </c>
      <c r="FJ363" s="271" t="str">
        <f t="shared" si="76"/>
        <v>-</v>
      </c>
      <c r="FK363" s="271" t="str">
        <f t="shared" si="77"/>
        <v>xxxxoxxooxx</v>
      </c>
      <c r="FL363" s="271" t="str">
        <f t="shared" si="78"/>
        <v>xxxoxxooxxo</v>
      </c>
      <c r="FM363" s="271" t="str">
        <f t="shared" si="79"/>
        <v>xxoxxooxxox</v>
      </c>
      <c r="FN363" s="271" t="str">
        <f t="shared" si="80"/>
        <v>xoxxooxxoxx</v>
      </c>
      <c r="FO363" s="274" t="str">
        <f t="shared" si="81"/>
        <v>-</v>
      </c>
      <c r="FP363" s="234" t="str">
        <f t="shared" si="82"/>
        <v>|</v>
      </c>
      <c r="FQ363" s="236" t="str">
        <f t="shared" si="83"/>
        <v>|</v>
      </c>
      <c r="FR363" s="237" t="str">
        <f t="shared" si="84"/>
        <v>-</v>
      </c>
      <c r="FS363" s="236" t="str">
        <f t="shared" si="85"/>
        <v>-</v>
      </c>
      <c r="FT363" s="237" t="str">
        <f t="shared" si="86"/>
        <v>|</v>
      </c>
      <c r="FU363" s="236" t="str">
        <f t="shared" si="87"/>
        <v>|</v>
      </c>
      <c r="FV363" s="237" t="str">
        <f t="shared" si="88"/>
        <v>-</v>
      </c>
      <c r="FW363" s="236" t="str">
        <f t="shared" si="89"/>
        <v>|</v>
      </c>
      <c r="FX363" s="237" t="str">
        <f t="shared" si="90"/>
        <v>|</v>
      </c>
      <c r="FY363" s="236" t="str">
        <f t="shared" si="91"/>
        <v>|</v>
      </c>
      <c r="FZ363" s="237" t="str">
        <f t="shared" si="92"/>
        <v>|</v>
      </c>
      <c r="GA363" s="236" t="str">
        <f t="shared" si="93"/>
        <v>-</v>
      </c>
      <c r="GB363" s="238" t="str">
        <f t="shared" si="94"/>
        <v>|</v>
      </c>
      <c r="GC363" s="244" t="str">
        <f>IFERROR(__xludf.DUMMYFUNCTION("IF(REGEXMATCH(C363, ""S""), ""1"","""")"),"1")</f>
        <v>1</v>
      </c>
      <c r="GD363" s="245" t="str">
        <f>IFERROR(__xludf.DUMMYFUNCTION("IF(REGEXMATCH(C363, ""r""), ""b2"","""")"),"b2")</f>
        <v>b2</v>
      </c>
      <c r="GE363" s="246" t="str">
        <f>IFERROR(__xludf.DUMMYFUNCTION("IF(REGEXMATCH(C363, ""R""), ""2"","""")"),"")</f>
        <v/>
      </c>
      <c r="GF363" s="246" t="str">
        <f>IFERROR(__xludf.DUMMYFUNCTION("IF(REGEXMATCH(C363, ""g""), ""b3"","""")"),"")</f>
        <v/>
      </c>
      <c r="GG363" s="245" t="str">
        <f>IFERROR(__xludf.DUMMYFUNCTION("IF(REGEXMATCH(C363, ""G""), ""3"","""")"),"3")</f>
        <v>3</v>
      </c>
      <c r="GH363" s="245" t="str">
        <f>IFERROR(__xludf.DUMMYFUNCTION("IF(REGEXMATCH(C363, ""m""), ""4"","""")"),"4")</f>
        <v>4</v>
      </c>
      <c r="GI363" s="246" t="str">
        <f>IFERROR(__xludf.DUMMYFUNCTION("IF(REGEXMATCH(C363, ""M""), ""#4"","""")"),"")</f>
        <v/>
      </c>
      <c r="GJ363" s="245" t="str">
        <f>IFERROR(__xludf.DUMMYFUNCTION("IF(REGEXMATCH(C363, ""P""), ""5"","""")"),"5")</f>
        <v>5</v>
      </c>
      <c r="GK363" s="246" t="str">
        <f>IFERROR(__xludf.DUMMYFUNCTION("IF(REGEXMATCH(C363, ""d""), ""b6"","""")"),"b6")</f>
        <v>b6</v>
      </c>
      <c r="GL363" s="245" t="str">
        <f>IFERROR(__xludf.DUMMYFUNCTION("IF(REGEXMATCH(C363, ""D""), ""6"","""")"),"6")</f>
        <v>6</v>
      </c>
      <c r="GM363" s="245" t="str">
        <f>IFERROR(__xludf.DUMMYFUNCTION("IF(REGEXMATCH(C363, ""n""), ""b7"","""")"),"b7")</f>
        <v>b7</v>
      </c>
      <c r="GN363" s="246" t="str">
        <f>IFERROR(__xludf.DUMMYFUNCTION("IF(REGEXMATCH(C363, ""N""), ""7"","""")"),"")</f>
        <v/>
      </c>
      <c r="GO363" s="249" t="str">
        <f>IFERROR(__xludf.DUMMYFUNCTION("IF(REGEXMATCH(C363, ""S""), ""8"","""")"),"8")</f>
        <v>8</v>
      </c>
      <c r="GP363" s="244" t="str">
        <f>IFERROR(__xludf.DUMMYFUNCTION("IF(REGEXMATCH(C363, ""S""), ""S"","""")"),"S")</f>
        <v>S</v>
      </c>
      <c r="GQ363" s="294" t="str">
        <f>IFERROR(__xludf.DUMMYFUNCTION("IF(REGEXMATCH(C363, ""r""), ""R1"","""")"),"R1")</f>
        <v>R1</v>
      </c>
      <c r="GR363" s="295" t="str">
        <f>IFERROR(__xludf.DUMMYFUNCTION("IF(REGEXMATCH(C363, ""R""), ""R2"","""")"),"")</f>
        <v/>
      </c>
      <c r="GS363" s="295" t="str">
        <f>IFERROR(__xludf.DUMMYFUNCTION("IF(REGEXMATCH(C363, ""g""), ""G2"","""")"),"")</f>
        <v/>
      </c>
      <c r="GT363" s="294" t="str">
        <f>IFERROR(__xludf.DUMMYFUNCTION("IF(REGEXMATCH(C363, ""G""), ""G3"","""")"),"G3")</f>
        <v>G3</v>
      </c>
      <c r="GU363" s="294" t="str">
        <f>IFERROR(__xludf.DUMMYFUNCTION("IF(REGEXMATCH(C363, ""m""), ""M1"","""")"),"M1")</f>
        <v>M1</v>
      </c>
      <c r="GV363" s="295" t="str">
        <f>IFERROR(__xludf.DUMMYFUNCTION("IF(REGEXMATCH(C363, ""M""), ""M2"","""")"),"")</f>
        <v/>
      </c>
      <c r="GW363" s="294" t="str">
        <f>IFERROR(__xludf.DUMMYFUNCTION("IF(REGEXMATCH(C363, ""P""), ""P"","""")"),"P")</f>
        <v>P</v>
      </c>
      <c r="GX363" s="295" t="str">
        <f>IFERROR(__xludf.DUMMYFUNCTION("IF(REGEXMATCH(C363, ""d""), ""D1"","""")"),"D1")</f>
        <v>D1</v>
      </c>
      <c r="GY363" s="294" t="str">
        <f>IFERROR(__xludf.DUMMYFUNCTION("IF(REGEXMATCH(C363, ""D""), ""D2"","""")"),"D2")</f>
        <v>D2</v>
      </c>
      <c r="GZ363" s="294" t="str">
        <f>IFERROR(__xludf.DUMMYFUNCTION("IF(REGEXMATCH(C363, ""n""), ""N2"","""")"),"N2")</f>
        <v>N2</v>
      </c>
      <c r="HA363" s="295" t="str">
        <f>IFERROR(__xludf.DUMMYFUNCTION("IF(REGEXMATCH(C363, ""N""), ""N3"","""")"),"")</f>
        <v/>
      </c>
      <c r="HB363" s="249" t="str">
        <f>IFERROR(__xludf.DUMMYFUNCTION("IF(REGEXMATCH(C363, ""S""), ""S"","""")"),"S")</f>
        <v>S</v>
      </c>
      <c r="HC363" s="331" t="str">
        <f t="shared" si="95"/>
        <v>S</v>
      </c>
      <c r="HD363" s="332" t="str">
        <f t="shared" si="96"/>
        <v/>
      </c>
      <c r="HE363" s="332" t="str">
        <f t="shared" si="97"/>
        <v>R</v>
      </c>
      <c r="HF363" s="332" t="str">
        <f t="shared" si="98"/>
        <v>g</v>
      </c>
      <c r="HG363" s="332" t="str">
        <f t="shared" si="99"/>
        <v>G</v>
      </c>
      <c r="HH363" s="332" t="str">
        <f t="shared" si="100"/>
        <v>m</v>
      </c>
      <c r="HI363" s="332" t="str">
        <f t="shared" si="101"/>
        <v/>
      </c>
      <c r="HJ363" s="332" t="str">
        <f t="shared" si="102"/>
        <v>P</v>
      </c>
      <c r="HK363" s="332" t="str">
        <f t="shared" si="103"/>
        <v>d</v>
      </c>
      <c r="HL363" s="332" t="str">
        <f t="shared" si="104"/>
        <v/>
      </c>
      <c r="HM363" s="332" t="str">
        <f t="shared" si="105"/>
        <v/>
      </c>
      <c r="HN363" s="332" t="str">
        <f t="shared" si="106"/>
        <v>N</v>
      </c>
      <c r="HO363" s="343" t="str">
        <f t="shared" si="107"/>
        <v>S</v>
      </c>
      <c r="HP363" s="331" t="str">
        <f t="shared" si="108"/>
        <v>o</v>
      </c>
      <c r="HQ363" s="332" t="str">
        <f t="shared" si="109"/>
        <v>o</v>
      </c>
      <c r="HR363" s="332" t="str">
        <f t="shared" si="110"/>
        <v>•</v>
      </c>
      <c r="HS363" s="332" t="str">
        <f t="shared" si="111"/>
        <v>•</v>
      </c>
      <c r="HT363" s="332" t="str">
        <f t="shared" si="112"/>
        <v>o</v>
      </c>
      <c r="HU363" s="332" t="str">
        <f t="shared" si="113"/>
        <v>o</v>
      </c>
      <c r="HV363" s="332" t="str">
        <f t="shared" si="114"/>
        <v>•</v>
      </c>
      <c r="HW363" s="332" t="str">
        <f t="shared" si="115"/>
        <v>o</v>
      </c>
      <c r="HX363" s="332" t="str">
        <f t="shared" si="116"/>
        <v>o</v>
      </c>
      <c r="HY363" s="332" t="str">
        <f t="shared" si="117"/>
        <v>o</v>
      </c>
      <c r="HZ363" s="332" t="str">
        <f t="shared" si="118"/>
        <v>o</v>
      </c>
      <c r="IA363" s="332" t="str">
        <f t="shared" si="119"/>
        <v>•</v>
      </c>
      <c r="IB363" s="338" t="str">
        <f t="shared" si="120"/>
        <v>o</v>
      </c>
      <c r="IC363" s="331" t="str">
        <f t="shared" si="121"/>
        <v>•</v>
      </c>
      <c r="ID363" s="332" t="str">
        <f t="shared" si="122"/>
        <v>•</v>
      </c>
      <c r="IE363" s="332" t="str">
        <f t="shared" si="123"/>
        <v>o</v>
      </c>
      <c r="IF363" s="332" t="str">
        <f t="shared" si="124"/>
        <v>o</v>
      </c>
      <c r="IG363" s="332" t="str">
        <f t="shared" si="125"/>
        <v>•</v>
      </c>
      <c r="IH363" s="332" t="str">
        <f t="shared" si="126"/>
        <v>•</v>
      </c>
      <c r="II363" s="332" t="str">
        <f t="shared" si="127"/>
        <v>o</v>
      </c>
      <c r="IJ363" s="332" t="str">
        <f t="shared" si="128"/>
        <v>•</v>
      </c>
      <c r="IK363" s="332" t="str">
        <f t="shared" si="129"/>
        <v>•</v>
      </c>
      <c r="IL363" s="332" t="str">
        <f t="shared" si="130"/>
        <v>•</v>
      </c>
      <c r="IM363" s="332" t="str">
        <f t="shared" si="131"/>
        <v>•</v>
      </c>
      <c r="IN363" s="332" t="str">
        <f t="shared" si="132"/>
        <v>o</v>
      </c>
      <c r="IO363" s="338" t="str">
        <f t="shared" si="133"/>
        <v>•</v>
      </c>
      <c r="IP363" s="346" t="b">
        <f t="shared" si="134"/>
        <v>0</v>
      </c>
      <c r="IQ363" s="347" t="b">
        <f t="shared" si="135"/>
        <v>0</v>
      </c>
      <c r="IR363" s="347" t="b">
        <f t="shared" si="136"/>
        <v>0</v>
      </c>
      <c r="IS363" s="347" t="b">
        <f t="shared" si="137"/>
        <v>0</v>
      </c>
      <c r="IT363" s="347" t="b">
        <f t="shared" si="138"/>
        <v>1</v>
      </c>
      <c r="IU363" s="347" t="b">
        <f t="shared" si="139"/>
        <v>0</v>
      </c>
      <c r="IV363" s="347" t="b">
        <f t="shared" si="140"/>
        <v>0</v>
      </c>
      <c r="IW363" s="347" t="b">
        <f t="shared" si="141"/>
        <v>1</v>
      </c>
      <c r="IX363" s="347" t="b">
        <f t="shared" si="142"/>
        <v>1</v>
      </c>
      <c r="IY363" s="347" t="b">
        <f t="shared" si="143"/>
        <v>0</v>
      </c>
      <c r="IZ363" s="347" t="b">
        <f t="shared" si="144"/>
        <v>0</v>
      </c>
      <c r="JA363" s="347" t="b">
        <f t="shared" si="145"/>
        <v>0</v>
      </c>
      <c r="JB363" s="353" t="b">
        <f t="shared" si="146"/>
        <v>0</v>
      </c>
      <c r="JC363" s="354" t="str">
        <f t="shared" si="147"/>
        <v/>
      </c>
      <c r="JD363" s="355" t="str">
        <f t="shared" si="148"/>
        <v/>
      </c>
      <c r="JE363" s="355" t="str">
        <f t="shared" si="149"/>
        <v/>
      </c>
      <c r="JF363" s="355" t="str">
        <f t="shared" si="150"/>
        <v/>
      </c>
      <c r="JG363" s="355" t="str">
        <f t="shared" si="151"/>
        <v>Ga, </v>
      </c>
      <c r="JH363" s="355" t="str">
        <f t="shared" si="152"/>
        <v/>
      </c>
      <c r="JI363" s="355" t="str">
        <f t="shared" si="153"/>
        <v/>
      </c>
      <c r="JJ363" s="355" t="str">
        <f t="shared" si="154"/>
        <v>Pa, </v>
      </c>
      <c r="JK363" s="355" t="str">
        <f t="shared" si="155"/>
        <v>dha, </v>
      </c>
      <c r="JL363" s="355" t="str">
        <f t="shared" si="156"/>
        <v/>
      </c>
      <c r="JM363" s="355" t="str">
        <f t="shared" si="157"/>
        <v/>
      </c>
      <c r="JN363" s="355" t="str">
        <f t="shared" si="158"/>
        <v/>
      </c>
      <c r="JO363" s="359" t="str">
        <f t="shared" si="159"/>
        <v/>
      </c>
      <c r="JP363" s="346" t="b">
        <f t="shared" si="160"/>
        <v>0</v>
      </c>
      <c r="JQ363" s="347" t="b">
        <f t="shared" si="161"/>
        <v>0</v>
      </c>
      <c r="JR363" s="347" t="b">
        <f t="shared" si="162"/>
        <v>0</v>
      </c>
      <c r="JS363" s="347" t="b">
        <f t="shared" si="163"/>
        <v>0</v>
      </c>
      <c r="JT363" s="347" t="b">
        <f t="shared" si="164"/>
        <v>0</v>
      </c>
      <c r="JU363" s="347" t="b">
        <f t="shared" si="165"/>
        <v>0</v>
      </c>
      <c r="JV363" s="347" t="b">
        <f t="shared" si="166"/>
        <v>0</v>
      </c>
      <c r="JW363" s="347" t="b">
        <f t="shared" si="167"/>
        <v>0</v>
      </c>
      <c r="JX363" s="347" t="b">
        <f t="shared" si="168"/>
        <v>0</v>
      </c>
      <c r="JY363" s="347" t="b">
        <f t="shared" si="169"/>
        <v>0</v>
      </c>
      <c r="JZ363" s="347" t="b">
        <f t="shared" si="170"/>
        <v>0</v>
      </c>
      <c r="KA363" s="347" t="b">
        <f t="shared" si="171"/>
        <v>0</v>
      </c>
      <c r="KB363" s="365" t="b">
        <f t="shared" si="172"/>
        <v>0</v>
      </c>
      <c r="KC363" s="354" t="str">
        <f t="shared" si="173"/>
        <v/>
      </c>
      <c r="KD363" s="355" t="str">
        <f t="shared" si="174"/>
        <v/>
      </c>
      <c r="KE363" s="355" t="str">
        <f t="shared" si="175"/>
        <v/>
      </c>
      <c r="KF363" s="355" t="str">
        <f t="shared" si="176"/>
        <v/>
      </c>
      <c r="KG363" s="355" t="str">
        <f t="shared" si="177"/>
        <v/>
      </c>
      <c r="KH363" s="355" t="str">
        <f t="shared" si="178"/>
        <v/>
      </c>
      <c r="KI363" s="355" t="str">
        <f t="shared" si="179"/>
        <v/>
      </c>
      <c r="KJ363" s="355" t="str">
        <f t="shared" si="180"/>
        <v/>
      </c>
      <c r="KK363" s="355" t="str">
        <f t="shared" si="181"/>
        <v/>
      </c>
      <c r="KL363" s="355" t="str">
        <f t="shared" si="182"/>
        <v/>
      </c>
      <c r="KM363" s="355" t="str">
        <f t="shared" si="183"/>
        <v/>
      </c>
      <c r="KN363" s="355" t="str">
        <f t="shared" si="184"/>
        <v/>
      </c>
      <c r="KO363" s="359"/>
      <c r="KP363" s="378"/>
      <c r="KQ363" s="379" t="s">
        <v>9</v>
      </c>
      <c r="KR363" s="380" t="s">
        <v>9</v>
      </c>
      <c r="KS363" s="381" t="s">
        <v>9</v>
      </c>
      <c r="KT363" s="382">
        <f t="shared" si="186"/>
        <v>0</v>
      </c>
      <c r="KU363" s="383">
        <f t="shared" si="187"/>
        <v>0</v>
      </c>
      <c r="KV363" s="381" t="str">
        <f t="shared" si="205"/>
        <v>S</v>
      </c>
      <c r="KW363" s="382">
        <f t="shared" si="189"/>
        <v>0</v>
      </c>
      <c r="KX363" s="384">
        <f t="shared" si="190"/>
        <v>0</v>
      </c>
      <c r="KY363" s="382">
        <f t="shared" ref="KY363:KZ363" si="961">KW363-KT363</f>
        <v>0</v>
      </c>
      <c r="KZ363" s="369">
        <f t="shared" si="961"/>
        <v>0</v>
      </c>
      <c r="LA363" s="385" t="str">
        <f t="shared" si="192"/>
        <v>✔</v>
      </c>
      <c r="LB363" s="340" t="str">
        <f>IFERROR(__xludf.DUMMYFUNCTION("JOIN("""",ArrayFormula(MID(KS363,LEN(KS363)-SEQUENCE(1,LEN(KS363))+1,1)))"),"S")</f>
        <v>S</v>
      </c>
      <c r="LC363" s="373" t="str">
        <f>IFERROR(__xludf.DUMMYFUNCTION("JOIN("""",ArrayFormula(MID(KV363,LEN(KV363)-SEQUENCE(1,LEN(KV363))+1,1)))"),"S")</f>
        <v>S</v>
      </c>
      <c r="LD363" s="373" t="str">
        <f t="shared" si="193"/>
        <v>S</v>
      </c>
      <c r="LE363" s="339" t="str">
        <f t="shared" si="194"/>
        <v>S</v>
      </c>
      <c r="LF363" s="386" t="str">
        <f>IFERROR(__xludf.DUMMYFUNCTION("SUBSTITUTE(SUBSTITUTE(CONCATENATE(JOIN("""",LH363:LT363)),""1"",""""),""2"","""")"),"SS")</f>
        <v>SS</v>
      </c>
      <c r="LG363" s="369" t="str">
        <f t="shared" si="195"/>
        <v>-</v>
      </c>
      <c r="LH363" s="387" t="str">
        <f>IFERROR(__xludf.DUMMYFUNCTION("IF(REGEXMATCH(LD363, ""S""), ""S"",IF(REGEXMATCH(LE363, ""S""), ""S"",""""))"),"S")</f>
        <v>S</v>
      </c>
      <c r="LI363" s="299" t="str">
        <f>IFERROR(__xludf.DUMMYFUNCTION("IF(REGEXMATCH(LD363, ""r""), ""r1"",IF(REGEXMATCH(LE363, ""r""), ""r2"",""""))"),"")</f>
        <v/>
      </c>
      <c r="LJ363" s="299" t="str">
        <f>IFERROR(__xludf.DUMMYFUNCTION("IF(REGEXMATCH(LD363, ""R""), ""R1"",IF(REGEXMATCH(LE363, ""R""), ""R2"",""""))"),"")</f>
        <v/>
      </c>
      <c r="LK363" s="299" t="str">
        <f>IFERROR(__xludf.DUMMYFUNCTION("IF(REGEXMATCH(LD363, ""g""), ""g1"",IF(REGEXMATCH(LE363, ""g""), ""g2"",""""))"),"")</f>
        <v/>
      </c>
      <c r="LL363" s="299" t="str">
        <f>IFERROR(__xludf.DUMMYFUNCTION("IF(REGEXMATCH(LD363, ""G""), ""G1"",IF(REGEXMATCH(LE363, ""G""), ""G2"",""""))"),"")</f>
        <v/>
      </c>
      <c r="LM363" s="299" t="str">
        <f>IFERROR(__xludf.DUMMYFUNCTION("IF(REGEXMATCH(LD363, ""m""), ""m1"",IF(REGEXMATCH(LE363, ""m""), ""m2"",""""))"),"")</f>
        <v/>
      </c>
      <c r="LN363" s="299" t="str">
        <f>IFERROR(__xludf.DUMMYFUNCTION("IF(REGEXMATCH(LD363, ""M""), ""M1"",IF(REGEXMATCH(LE363, ""M""), ""M2"",""""))"),"")</f>
        <v/>
      </c>
      <c r="LO363" s="299" t="str">
        <f>IFERROR(__xludf.DUMMYFUNCTION("IF(REGEXMATCH(LD363, ""P""), ""P1"",IF(REGEXMATCH(LE363, ""P""), ""P2"",""""))"),"")</f>
        <v/>
      </c>
      <c r="LP363" s="299" t="str">
        <f>IFERROR(__xludf.DUMMYFUNCTION("IF(REGEXMATCH(LD363, ""d""), ""d1"",IF(REGEXMATCH(LE363, ""d""), ""d2"",""""))"),"")</f>
        <v/>
      </c>
      <c r="LQ363" s="299" t="str">
        <f>IFERROR(__xludf.DUMMYFUNCTION("IF(REGEXMATCH(LD363, ""D""), ""D1"",IF(REGEXMATCH(LE363, ""D""), ""D2"",""""))"),"")</f>
        <v/>
      </c>
      <c r="LR363" s="299" t="str">
        <f>IFERROR(__xludf.DUMMYFUNCTION("IF(REGEXMATCH(LD363, ""n""), ""n1"",IF(REGEXMATCH(LE363, ""n""), ""n2"",""""))"),"")</f>
        <v/>
      </c>
      <c r="LS363" s="299" t="str">
        <f>IFERROR(__xludf.DUMMYFUNCTION("IF(REGEXMATCH(LD363, ""N""), ""N1"",IF(REGEXMATCH(LE363, ""N""), ""N2"",""""))"),"")</f>
        <v/>
      </c>
      <c r="LT363" s="388" t="str">
        <f>IFERROR(__xludf.DUMMYFUNCTION("IF(REGEXMATCH(LD363, ""S""), ""S"",IF(REGEXMATCH(LE363, ""S""), ""S"",""""))"),"S")</f>
        <v>S</v>
      </c>
      <c r="LU363" s="389">
        <f t="shared" si="196"/>
        <v>1</v>
      </c>
      <c r="LV363" s="378"/>
      <c r="LW363" s="369"/>
      <c r="LX363" s="369"/>
    </row>
    <row r="364" ht="18.0" customHeight="1">
      <c r="A364" s="298" t="s">
        <v>1245</v>
      </c>
      <c r="B364" s="222" t="s">
        <v>553</v>
      </c>
      <c r="C364" s="233" t="str">
        <f t="shared" si="7"/>
        <v>SrgmdNS</v>
      </c>
      <c r="D364" s="234" t="str">
        <f>IFERROR(__xludf.DUMMYFUNCTION("IF(REGEXMATCH(C364, ""S""), ""S"","""")"),"S")</f>
        <v>S</v>
      </c>
      <c r="E364" s="236" t="str">
        <f>IFERROR(__xludf.DUMMYFUNCTION("IF(REGEXMATCH(C364, ""r""), ""r"","""")"),"r")</f>
        <v>r</v>
      </c>
      <c r="F364" s="237" t="str">
        <f>IFERROR(__xludf.DUMMYFUNCTION("IF(REGEXMATCH(C364, ""R""), ""R"","""")"),"")</f>
        <v/>
      </c>
      <c r="G364" s="237" t="str">
        <f>IFERROR(__xludf.DUMMYFUNCTION("IF(REGEXMATCH(C364, ""g""), ""g"","""")"),"g")</f>
        <v>g</v>
      </c>
      <c r="H364" s="236" t="str">
        <f>IFERROR(__xludf.DUMMYFUNCTION("IF(REGEXMATCH(C364, ""G""), ""G"","""")"),"")</f>
        <v/>
      </c>
      <c r="I364" s="236" t="str">
        <f>IFERROR(__xludf.DUMMYFUNCTION("IF(REGEXMATCH(C364, ""m""), ""m"","""")"),"m")</f>
        <v>m</v>
      </c>
      <c r="J364" s="237" t="str">
        <f>IFERROR(__xludf.DUMMYFUNCTION("IF(REGEXMATCH(C364, ""M""), ""M"","""")"),"")</f>
        <v/>
      </c>
      <c r="K364" s="236" t="str">
        <f>IFERROR(__xludf.DUMMYFUNCTION("IF(REGEXMATCH(C364, ""P""), ""P"","""")"),"")</f>
        <v/>
      </c>
      <c r="L364" s="237" t="str">
        <f>IFERROR(__xludf.DUMMYFUNCTION("IF(REGEXMATCH(C364, ""d""), ""d"","""")"),"d")</f>
        <v>d</v>
      </c>
      <c r="M364" s="236" t="str">
        <f>IFERROR(__xludf.DUMMYFUNCTION("IF(REGEXMATCH(C364, ""D""), ""D"","""")"),"")</f>
        <v/>
      </c>
      <c r="N364" s="236" t="str">
        <f>IFERROR(__xludf.DUMMYFUNCTION("IF(REGEXMATCH(C364, ""n""), ""n"","""")"),"")</f>
        <v/>
      </c>
      <c r="O364" s="237" t="str">
        <f>IFERROR(__xludf.DUMMYFUNCTION("IF(REGEXMATCH(C364, ""N""), ""N"","""")"),"N")</f>
        <v>N</v>
      </c>
      <c r="P364" s="238" t="str">
        <f>IFERROR(__xludf.DUMMYFUNCTION("IF(REGEXMATCH(C364, ""S""), ""S"","""")"),"S")</f>
        <v>S</v>
      </c>
      <c r="Q364" s="239" t="str">
        <f>IFERROR(__xludf.DUMMYFUNCTION("SUBSTITUTE(CONCATENATE(JOIN(""-"",D364:J364)),""-"","""")"),"Srgm")</f>
        <v>Srgm</v>
      </c>
      <c r="R364" s="229" t="str">
        <f>IFERROR(__xludf.DUMMYFUNCTION("SUBSTITUTE(CONCATENATE(JOIN(""-"",K364:P364)),""-"","""")"),"dNS")</f>
        <v>dNS</v>
      </c>
      <c r="S364" s="282" t="str">
        <f t="shared" si="8"/>
        <v>S-R-G-M</v>
      </c>
      <c r="T364" s="282" t="str">
        <f t="shared" si="9"/>
        <v>D-N-S</v>
      </c>
      <c r="U364" s="237" t="str">
        <f>IFERROR(__xludf.DUMMYFUNCTION("SUBSTITUTE(JOIN(""-"",S364,T364),""--"",""-"")"),"S-R-G-M-D-N-S")</f>
        <v>S-R-G-M-D-N-S</v>
      </c>
      <c r="V364" s="309" t="str">
        <f t="shared" si="10"/>
        <v>rgmdN</v>
      </c>
      <c r="W364" s="244" t="str">
        <f>IFERROR(__xludf.DUMMYFUNCTION("IF(REGEXMATCH(C364, ""S""), ""0"","""")"),"0")</f>
        <v>0</v>
      </c>
      <c r="X364" s="245" t="str">
        <f>IFERROR(__xludf.DUMMYFUNCTION("IF(REGEXMATCH(C364, ""r""), ""1"","""")"),"1")</f>
        <v>1</v>
      </c>
      <c r="Y364" s="246" t="str">
        <f>IFERROR(__xludf.DUMMYFUNCTION("IF(REGEXMATCH(C364, ""R""), ""2"","""")"),"")</f>
        <v/>
      </c>
      <c r="Z364" s="246" t="str">
        <f>IFERROR(__xludf.DUMMYFUNCTION("IF(REGEXMATCH(C364, ""g""), ""3"","""")"),"3")</f>
        <v>3</v>
      </c>
      <c r="AA364" s="245" t="str">
        <f>IFERROR(__xludf.DUMMYFUNCTION("IF(REGEXMATCH(C364, ""G""), ""4"","""")"),"")</f>
        <v/>
      </c>
      <c r="AB364" s="245" t="str">
        <f>IFERROR(__xludf.DUMMYFUNCTION("IF(REGEXMATCH(C364, ""m""), ""5"","""")"),"5")</f>
        <v>5</v>
      </c>
      <c r="AC364" s="246" t="str">
        <f>IFERROR(__xludf.DUMMYFUNCTION("IF(REGEXMATCH(C364, ""M""), ""6"","""")"),"")</f>
        <v/>
      </c>
      <c r="AD364" s="245" t="str">
        <f>IFERROR(__xludf.DUMMYFUNCTION("IF(REGEXMATCH(C364, ""P""), ""7"","""")"),"")</f>
        <v/>
      </c>
      <c r="AE364" s="246" t="str">
        <f>IFERROR(__xludf.DUMMYFUNCTION("IF(REGEXMATCH(C364, ""d""), ""8"","""")"),"8")</f>
        <v>8</v>
      </c>
      <c r="AF364" s="245" t="str">
        <f>IFERROR(__xludf.DUMMYFUNCTION("IF(REGEXMATCH(C364, ""D""), ""9"","""")"),"")</f>
        <v/>
      </c>
      <c r="AG364" s="245" t="str">
        <f>IFERROR(__xludf.DUMMYFUNCTION("IF(REGEXMATCH(C364, ""n""), ""10"","""")"),"")</f>
        <v/>
      </c>
      <c r="AH364" s="246" t="str">
        <f>IFERROR(__xludf.DUMMYFUNCTION("IF(REGEXMATCH(C364, ""N""), ""11"","""")"),"11")</f>
        <v>11</v>
      </c>
      <c r="AI364" s="249" t="str">
        <f>IFERROR(__xludf.DUMMYFUNCTION("IF(REGEXMATCH(C364, ""S""), ""0"","""")"),"0")</f>
        <v>0</v>
      </c>
      <c r="AJ364" s="313" t="str">
        <f t="shared" si="11"/>
        <v>-</v>
      </c>
      <c r="AK364" s="313" t="str">
        <f t="shared" si="12"/>
        <v>-</v>
      </c>
      <c r="AL364" s="313" t="str">
        <f t="shared" si="13"/>
        <v>-</v>
      </c>
      <c r="AM364" s="313" t="str">
        <f t="shared" si="14"/>
        <v>-</v>
      </c>
      <c r="AN364" s="313" t="str">
        <f t="shared" si="15"/>
        <v>-</v>
      </c>
      <c r="AO364" s="314" t="str">
        <f t="shared" si="16"/>
        <v>T</v>
      </c>
      <c r="AP364" s="316">
        <f t="shared" si="17"/>
        <v>1</v>
      </c>
      <c r="AQ364" s="319" t="str">
        <f t="shared" si="18"/>
        <v>#REF!</v>
      </c>
      <c r="AR364" s="320">
        <f t="shared" si="19"/>
        <v>0</v>
      </c>
      <c r="AS364" s="250" t="str">
        <f>IFERROR(__xludf.DUMMYFUNCTION("SUBSTITUTE(SUBSTITUTE(CONCATENATE(JOIN("""",FP364:GA364)),""|"",""x""),""-"",""o"")"),"xxoxoxooxoox")</f>
        <v>xxoxoxooxoox</v>
      </c>
      <c r="AT364" s="323" t="str">
        <f>IFERROR(__xludf.DUMMYFUNCTION("JOIN("""",AS364,AS364)"),"xxoxoxooxooxxxoxoxooxoox")</f>
        <v>xxoxoxooxooxxxoxoxooxoox</v>
      </c>
      <c r="AU364" s="256" t="str">
        <f>IFERROR(__xludf.DUMMYFUNCTION("JOIN("""",ArrayFormula(MID(AS364,LEN(AS364)-SEQUENCE(1,LEN(AS364))+1,1)))"),"xooxooxoxoxx")</f>
        <v>xooxooxoxoxx</v>
      </c>
      <c r="AV364" s="256" t="str">
        <f>IFERROR(__xludf.DUMMYFUNCTION("LEFT(CONCATENATE(""x"",JOIN("""",ArrayFormula(MID(AS364,LEN(AS364)-SEQUENCE(1,LEN(AS364))+1,1)))),12)"),"xxooxooxoxox")</f>
        <v>xxooxooxoxox</v>
      </c>
      <c r="AW364" s="327" t="str">
        <f>IFERROR(__xludf.DUMMYFUNCTION("JOIN("""",AU364,AU364)"),"xooxooxoxoxxxooxooxoxoxx")</f>
        <v>xooxooxoxoxxxooxooxoxoxx</v>
      </c>
      <c r="AX364" s="239" t="str">
        <f>IFERROR(__xludf.DUMMYFUNCTION("IF(REGEXMATCH(AW364,AS364),""✔"",""-"")"),"-")</f>
        <v>-</v>
      </c>
      <c r="AY364" s="330" t="str">
        <f t="shared" si="20"/>
        <v>-</v>
      </c>
      <c r="AZ364" s="260" t="str">
        <f t="shared" si="21"/>
        <v>#REF!</v>
      </c>
      <c r="BA364" s="333" t="str">
        <f t="shared" si="22"/>
        <v>xxoxoxo</v>
      </c>
      <c r="BB364" s="334" t="str">
        <f t="shared" si="23"/>
        <v>oxooxx</v>
      </c>
      <c r="BC364" s="335" t="str">
        <f t="shared" si="236"/>
        <v>-</v>
      </c>
      <c r="BD364" s="336" t="str">
        <f t="shared" si="25"/>
        <v>Viyogavarali: 'xxoxoxo' + 'oxooxx'</v>
      </c>
      <c r="BE364" s="337">
        <f>IFERROR(__xludf.DUMMYFUNCTION("COUNTUNIQUE(FILTER(AT:AT,REGEXMATCH(AT:AT,AS364)))-1"),0.0)</f>
        <v>0</v>
      </c>
      <c r="BF364" s="261" t="str">
        <f>IFERROR(__xludf.DUMMYFUNCTION("IF(BI364=0,""(n/a)"",IF(BJ364=2,""(PAIR)"",IF(REGEXMATCH(AT364,""xoxoxxoxoxox""),""Bilawal"",IF(REGEXMATCH(AT364,""xoxoxooxoxoo""),""Bhupali"",IF(REGEXMATCH(AT364,""xoxoxxoxxoxo""),""Charukeshi"",IF(REGEXMATCH(AT364,""xoxoooxxoxxo""),""Kameshwari"",IF(REG"&amp;"EXMATCH(AT364,""xoxoxooxoxox""),""Shankara"",IF(REGEXMATCH(AT364,""xxooxoxxxoox""),""Basant"",IF(REGEXMATCH(AT364,""xoxoxxxxoxox""),""Bihag"",IF(REGEXMATCH(AT364,""xoxxxxoxoxxx""),""Pilu"",IF(REGEXMATCH(AT364,""xoxxoxoxxoox""),""Kirwani"",IF(REGEXMATCH(AT"&amp;"364,""xoxxoxoxoxxx""),""Mk.Malhar"",IF(REGEXMATCH(AT364,""xxooxxoxxoox""),""Bhairav"",IF(REGEXMATCH(AT364,""xxoxooxxxoox""),""Todi"",IF(REGEXMATCH(AT364,""xxooxoxooxox""),""Marwa"",IF(REGEXMATCH(AT364,""xxoooxoxxooo""),""Gunkali"",IF(REGEXMATCH(AT364,""xo"&amp;"xoxxoxxoox""),""Nat Bhairav"",IF(REGEXMATCH(AT364,""xoxxoooxoxoo""),""Shivranjani"",IF(REGEXMATCH(AT364,""xooxxxoxooxo""),""Jog"",IF(REGEXMATCH(AT364,""xxooxoxoxoox""),""Hemshri"",IF(REGEXMATCH(AT364,""xoooxooxoxxo""),""Kalavati"",IF(REGEXMATCH(AT364,""xx"&amp;"oxoxxoxoox""),""Kedar"",IF(REGEXMATCH(AT364,""xoxxxxoxooxx""),""Gara"",IF(REGEXMATCH(AT364,""xooxoxooxoox""),""Chandrakauns"",IF(REGEXMATCH(AT364,""xoxxxxoxxxox""),""Mand"",IF(REGEXMATCH(AT364,""xoxxxxoxoxox""),""Hanskinkini"",IF(REGEXMATCH(AT364,""xxooxx"&amp;"oxooxo""),""Lilavati"",IF(REGEXMATCH(AT364,""xooxoxoooxox""),""Rajeshwari"",IF(REGEXMATCH(AT364,""xoooxxoxoxxx""),""Khokar"",IF(REGEXMATCH(AT364,""xxooxoxxxxox""),""Maligoura"",""-""))))))))))))))))))))))))))))))"),"(n/a)")</f>
        <v>(n/a)</v>
      </c>
      <c r="BG364" s="239" t="str">
        <f t="shared" si="26"/>
        <v>#REF!</v>
      </c>
      <c r="BH364" s="239">
        <f>IFERROR(__xludf.DUMMYFUNCTION("COUNTUNIQUE(FE364:FO364)-1"),5.0)</f>
        <v>5</v>
      </c>
      <c r="BI364" s="239">
        <f>IFERROR(__xludf.DUMMYFUNCTION("COUNTUNIQUE(FILTER(AT:AT,REGEXMATCH(AT:AT,AS364)))-1"),0.0)</f>
        <v>0</v>
      </c>
      <c r="BJ364" s="239">
        <f>IFERROR(__xludf.DUMMYFUNCTION("COUNTA(FILTER(AT:AT,REGEXMATCH(AT:AT,AS364)))"),2.0)</f>
        <v>2</v>
      </c>
      <c r="BK364" s="341">
        <f>IFERROR(__xludf.DUMMYFUNCTION("COUNTA(FILTER(AT:AT,REGEXMATCH(AT:AT,AS364)))-AR364"),2.0)</f>
        <v>2</v>
      </c>
      <c r="BL364" s="276" t="str">
        <f>IFERROR(__xludf.DUMMYFUNCTION("IF(AS364=""oooooooooooo"",""-"",IF(REGEXMATCH(AT364,""xx""), ""Hemi."", ""Anhemi.""))"),"Hemi.")</f>
        <v>Hemi.</v>
      </c>
      <c r="BM364" s="282" t="str">
        <f>IFERROR(__xludf.DUMMYFUNCTION("IF(AS364=""oooooooooooo"",""-"",IF(REGEXMATCH(AT364,""xxx""), ""Cohem."", ""-""))"),"Cohem.")</f>
        <v>Cohem.</v>
      </c>
      <c r="BN364" s="282" t="str">
        <f>IFERROR(__xludf.DUMMYFUNCTION("IF(AS364=""oooooooooooo"",""-"",IF(REGEXMATCH(AT364,""xxxx""), ""Co-Co."", ""-""))"),"-")</f>
        <v>-</v>
      </c>
      <c r="BO364" s="342" t="str">
        <f>IFERROR(__xludf.DUMMYFUNCTION("IF(AS364=""oooooooooooo"",""-"",IF(REGEXMATCH(AT364,""xxxxx""), ""CCC."", ""-""))"),"-")</f>
        <v>-</v>
      </c>
      <c r="BP364" s="344" t="str">
        <f t="shared" si="27"/>
        <v>-</v>
      </c>
      <c r="BQ364" s="282" t="str">
        <f>IFERROR(__xludf.DUMMYFUNCTION("IF(REGEXMATCH(JOIN(""-"",EU364:FD364),""TRUE""),""✔"",""-"")"),"-")</f>
        <v>-</v>
      </c>
      <c r="BR364" s="225">
        <f t="shared" si="28"/>
        <v>0</v>
      </c>
      <c r="BS364" s="345" t="str">
        <f>IFERROR(__xludf.DUMMYFUNCTION("SUBSTITUTE(SUBSTITUTE(SUBSTITUTE(SUBSTITUTE(CONCATENATE(JOIN(""-"",GC364:GO364)),""--"",""-""),""--"",""-""),""--"",""-""),""--"",""-"")"),"1-b2-b3-4-b6-7-8")</f>
        <v>1-b2-b3-4-b6-7-8</v>
      </c>
      <c r="BT364" s="299" t="str">
        <f>IFERROR(__xludf.DUMMYFUNCTION("SUBSTITUTE(SUBSTITUTE(SUBSTITUTE(SUBSTITUTE(CONCATENATE(JOIN(""-"",GP364:HB364)),""--"",""-""),""--"",""-""),""--"",""-""),""--"",""-"")"),"S-R1-G2-M1-D1-N3-S")</f>
        <v>S-R1-G2-M1-D1-N3-S</v>
      </c>
      <c r="BU364" s="348" t="str">
        <f t="shared" si="29"/>
        <v>C-Db-Eb-F-Ab-B-C</v>
      </c>
      <c r="BV364" s="349" t="str">
        <f t="shared" si="30"/>
        <v>SRGMPDnS</v>
      </c>
      <c r="BW364" s="350">
        <f t="shared" si="31"/>
        <v>1</v>
      </c>
      <c r="BX364" s="351">
        <f t="shared" si="32"/>
        <v>2</v>
      </c>
      <c r="BY364" s="352" t="s">
        <v>275</v>
      </c>
      <c r="BZ364" s="309" t="str">
        <f>IFERROR(__xludf.DUMMYFUNCTION("IF(REGEXMATCH(C364, ""S""), ""x"",""x"")"),"x")</f>
        <v>x</v>
      </c>
      <c r="CA364" s="245" t="str">
        <f>IFERROR(__xludf.DUMMYFUNCTION("IF(REGEXMATCH(C364, ""r""), ""o"",""x"")"),"o")</f>
        <v>o</v>
      </c>
      <c r="CB364" s="246" t="str">
        <f>IFERROR(__xludf.DUMMYFUNCTION("IF(REGEXMATCH(C364, ""R""), ""o"",""x"")"),"x")</f>
        <v>x</v>
      </c>
      <c r="CC364" s="246" t="str">
        <f>IFERROR(__xludf.DUMMYFUNCTION("IF(REGEXMATCH(C364, ""g""), ""o"",""x"")"),"o")</f>
        <v>o</v>
      </c>
      <c r="CD364" s="245" t="str">
        <f>IFERROR(__xludf.DUMMYFUNCTION("IF(REGEXMATCH(C364, ""G""), ""o"",""x"")"),"x")</f>
        <v>x</v>
      </c>
      <c r="CE364" s="245" t="str">
        <f>IFERROR(__xludf.DUMMYFUNCTION("IF(REGEXMATCH(C364, ""m""), ""o"",""x"")"),"o")</f>
        <v>o</v>
      </c>
      <c r="CF364" s="246" t="str">
        <f>IFERROR(__xludf.DUMMYFUNCTION("IF(REGEXMATCH(C364, ""M""), ""o"",""x"")"),"x")</f>
        <v>x</v>
      </c>
      <c r="CG364" s="245" t="str">
        <f>IFERROR(__xludf.DUMMYFUNCTION("IF(REGEXMATCH(C364, ""P""), ""o"",""x"")"),"x")</f>
        <v>x</v>
      </c>
      <c r="CH364" s="246" t="str">
        <f>IFERROR(__xludf.DUMMYFUNCTION("IF(REGEXMATCH(C364, ""d""), ""o"",""x"")"),"o")</f>
        <v>o</v>
      </c>
      <c r="CI364" s="245" t="str">
        <f>IFERROR(__xludf.DUMMYFUNCTION("IF(REGEXMATCH(C364, ""D""), ""o"",""x"")"),"x")</f>
        <v>x</v>
      </c>
      <c r="CJ364" s="245" t="str">
        <f>IFERROR(__xludf.DUMMYFUNCTION("IF(REGEXMATCH(C364, ""n""), ""o"",""x"")"),"x")</f>
        <v>x</v>
      </c>
      <c r="CK364" s="245" t="str">
        <f>IFERROR(__xludf.DUMMYFUNCTION("IF(REGEXMATCH(C364, ""N""), ""o"",""x"")"),"o")</f>
        <v>o</v>
      </c>
      <c r="CL364" s="356" t="str">
        <f>IFERROR(__xludf.DUMMYFUNCTION("IF(REGEXMATCH(C364, ""S""), ""x"",""x"")"),"x")</f>
        <v>x</v>
      </c>
      <c r="CM364" s="357" t="str">
        <f t="shared" si="33"/>
        <v>xoxoxoxxoxxo</v>
      </c>
      <c r="CN364" s="358">
        <f t="shared" si="34"/>
        <v>1</v>
      </c>
      <c r="CO364" s="246" t="str">
        <f>IFERROR(__xludf.DUMMYFUNCTION("IF(REGEXMATCH($C364, ""S""), ""S"",""S"")"),"S")</f>
        <v>S</v>
      </c>
      <c r="CP364" s="246" t="str">
        <f>IFERROR(__xludf.DUMMYFUNCTION("IF(REGEXMATCH($C364, ""r""), """",""r"")"),"")</f>
        <v/>
      </c>
      <c r="CQ364" s="246" t="str">
        <f>IFERROR(__xludf.DUMMYFUNCTION("IF(REGEXMATCH($C364, ""R""), """",""R"")"),"R")</f>
        <v>R</v>
      </c>
      <c r="CR364" s="246" t="str">
        <f>IFERROR(__xludf.DUMMYFUNCTION("IF(REGEXMATCH($C364, ""g""), """",""g"")"),"")</f>
        <v/>
      </c>
      <c r="CS364" s="246" t="str">
        <f>IFERROR(__xludf.DUMMYFUNCTION("IF(REGEXMATCH($C364, ""G""), """",""G"")"),"G")</f>
        <v>G</v>
      </c>
      <c r="CT364" s="246" t="str">
        <f>IFERROR(__xludf.DUMMYFUNCTION("IF(REGEXMATCH($C364, ""m""), """",""m"")"),"")</f>
        <v/>
      </c>
      <c r="CU364" s="246" t="str">
        <f>IFERROR(__xludf.DUMMYFUNCTION("IF(REGEXMATCH($C364, ""M""), """",""M"")"),"M")</f>
        <v>M</v>
      </c>
      <c r="CV364" s="246" t="str">
        <f>IFERROR(__xludf.DUMMYFUNCTION("IF(REGEXMATCH($C364, ""P""), """",""P"")"),"P")</f>
        <v>P</v>
      </c>
      <c r="CW364" s="246" t="str">
        <f>IFERROR(__xludf.DUMMYFUNCTION("IF(REGEXMATCH($C364, ""d""), """",""d"")"),"")</f>
        <v/>
      </c>
      <c r="CX364" s="246" t="str">
        <f>IFERROR(__xludf.DUMMYFUNCTION("IF(REGEXMATCH($C364, ""D""), """",""D"")"),"D")</f>
        <v>D</v>
      </c>
      <c r="CY364" s="246" t="str">
        <f>IFERROR(__xludf.DUMMYFUNCTION("IF(REGEXMATCH($C364, ""n""), """",""n"")"),"n")</f>
        <v>n</v>
      </c>
      <c r="CZ364" s="246" t="str">
        <f>IFERROR(__xludf.DUMMYFUNCTION("IF(REGEXMATCH($C364, ""N""), """",""N"")"),"")</f>
        <v/>
      </c>
      <c r="DA364" s="246" t="str">
        <f>IFERROR(__xludf.DUMMYFUNCTION("IF(REGEXMATCH($C364, ""S""), ""S"",""S"")"),"S")</f>
        <v>S</v>
      </c>
      <c r="DB364" s="362" t="str">
        <f>IFERROR(__xludf.DUMMYFUNCTION("JOIN("""",CO364:DA364,"""","""")"),"SRGMPDnS")</f>
        <v>SRGMPDnS</v>
      </c>
      <c r="DC364" s="363"/>
      <c r="DD364" s="301" t="str">
        <f t="shared" si="35"/>
        <v>#REF!</v>
      </c>
      <c r="DE364" s="302" t="str">
        <f t="shared" si="36"/>
        <v>#REF!</v>
      </c>
      <c r="DF364" s="301" t="str">
        <f t="shared" ref="DF364:DG364" si="962">SUBSTITUTE(S364,"-","")</f>
        <v>SRGM</v>
      </c>
      <c r="DG364" s="301" t="str">
        <f t="shared" si="962"/>
        <v>DNS</v>
      </c>
      <c r="DH364" s="302" t="str">
        <f t="shared" si="38"/>
        <v>(n/a)</v>
      </c>
      <c r="DI364" s="301" t="str">
        <f t="shared" si="39"/>
        <v>Hemi.</v>
      </c>
      <c r="DJ364" s="364" t="str">
        <f t="shared" si="40"/>
        <v>Cohem.</v>
      </c>
      <c r="DK364" s="306" t="str">
        <f t="shared" si="41"/>
        <v>-</v>
      </c>
      <c r="DL364" s="366" t="str">
        <f t="shared" si="42"/>
        <v>-</v>
      </c>
      <c r="DM364" s="308" t="str">
        <f t="shared" si="43"/>
        <v>✔</v>
      </c>
      <c r="DN364" s="306" t="str">
        <f t="shared" si="44"/>
        <v>-</v>
      </c>
      <c r="DO364" s="306" t="str">
        <f t="shared" si="45"/>
        <v>-</v>
      </c>
      <c r="DP364" s="367" t="str">
        <f t="shared" si="46"/>
        <v>-</v>
      </c>
      <c r="DQ364" s="310" t="str">
        <f t="shared" si="47"/>
        <v>-</v>
      </c>
      <c r="DR364" s="310" t="str">
        <f t="shared" si="48"/>
        <v>-</v>
      </c>
      <c r="DS364" s="310" t="str">
        <f t="shared" si="49"/>
        <v>-</v>
      </c>
      <c r="DT364" s="310" t="str">
        <f t="shared" si="50"/>
        <v>-</v>
      </c>
      <c r="DU364" s="370" t="str">
        <f t="shared" si="51"/>
        <v>-</v>
      </c>
      <c r="DV364" s="306" t="str">
        <f t="shared" si="52"/>
        <v>-</v>
      </c>
      <c r="DW364" s="306" t="str">
        <f t="shared" si="53"/>
        <v>-</v>
      </c>
      <c r="DX364" s="306" t="str">
        <f t="shared" si="54"/>
        <v>-</v>
      </c>
      <c r="DY364" s="306" t="str">
        <f t="shared" si="55"/>
        <v>✔</v>
      </c>
      <c r="DZ364" s="306" t="str">
        <f t="shared" si="56"/>
        <v>-</v>
      </c>
      <c r="EA364" s="367" t="str">
        <f t="shared" si="57"/>
        <v>-</v>
      </c>
      <c r="EB364" s="310" t="str">
        <f>IFERROR(__xludf.DUMMYFUNCTION("IF(REGEXMATCH(AW364,AS364),""✔"",""-"")"),"-")</f>
        <v>-</v>
      </c>
      <c r="EC364" s="310" t="str">
        <f t="shared" si="58"/>
        <v>#REF!</v>
      </c>
      <c r="ED364" s="370" t="str">
        <f t="shared" si="59"/>
        <v>-</v>
      </c>
      <c r="EE364" s="340" t="str">
        <f t="shared" si="60"/>
        <v>S-r-g-m-d-N-S</v>
      </c>
      <c r="EF364" s="371" t="str">
        <f>IFERROR(__xludf.DUMMYFUNCTION("CONCATENATE(JOIN("""",HC364:HO364))"),"SrGPDNS")</f>
        <v>SrGPDNS</v>
      </c>
      <c r="EG364" s="372">
        <f t="shared" si="61"/>
        <v>3</v>
      </c>
      <c r="EH364" s="373" t="str">
        <f>IFERROR(__xludf.DUMMYFUNCTION("CONCATENATE(JOIN("""",JC364:JO364))"),"Sa, ga, Ni, ")</f>
        <v>Sa, ga, Ni, </v>
      </c>
      <c r="EI364" s="322">
        <f t="shared" si="62"/>
        <v>1</v>
      </c>
      <c r="EJ364" s="374" t="str">
        <f>IFERROR(__xludf.DUMMYFUNCTION("CONCATENATE(JOIN("""",KC364:KO364))"),"Ni, ")</f>
        <v>Ni, </v>
      </c>
      <c r="EK364" s="325" t="str">
        <f t="shared" si="63"/>
        <v>S-R1-G2-M1-D1-N3-S</v>
      </c>
      <c r="EL364" s="326" t="str">
        <f t="shared" si="64"/>
        <v>1-b2-b3-4-b6-7-8</v>
      </c>
      <c r="EM364" s="318" t="str">
        <f t="shared" si="65"/>
        <v>#REF!</v>
      </c>
      <c r="EN364" s="328" t="str">
        <f>IFERROR(__xludf.DUMMYFUNCTION("SUBSTITUTE(SUBSTITUTE(SUBSTITUTE(SUBSTITUTE(CONCATENATE(JOIN("" "",HP364:IB364)),""  "","" ""),""  "","" ""),""  "","" ""),""  "","" "")"),"o o • o • o • • o • • o o")</f>
        <v>o o • o • o • • o • • o o</v>
      </c>
      <c r="EO364" s="368" t="str">
        <f t="shared" si="66"/>
        <v>Sa-ma</v>
      </c>
      <c r="EP364" s="339" t="str">
        <f t="shared" si="67"/>
        <v>-</v>
      </c>
      <c r="EQ364" s="339" t="str">
        <f t="shared" si="68"/>
        <v>-</v>
      </c>
      <c r="ER364" s="339" t="str">
        <f t="shared" si="69"/>
        <v>-</v>
      </c>
      <c r="ES364" s="340" t="str">
        <f t="shared" si="70"/>
        <v>Sa-ma</v>
      </c>
      <c r="ET364" s="363"/>
      <c r="EU364" s="376" t="b">
        <f>IFERROR(__xludf.DUMMYFUNCTION("arrayformula(sum(--REGEXMATCH(""SRGMPDNS"",split(REGEXREPLACE(C364,""(.)"",""$1~""),""~""))))=len(C364)
"),FALSE)</f>
        <v>0</v>
      </c>
      <c r="EV364" s="290" t="b">
        <f>IFERROR(__xludf.DUMMYFUNCTION("arrayformula(sum(--REGEXMATCH(""SRGmPDNS"",split(REGEXREPLACE(C364,""(.)"",""$1~""),""~""))))=len(C364)"),FALSE)</f>
        <v>0</v>
      </c>
      <c r="EW364" s="290" t="b">
        <f>IFERROR(__xludf.DUMMYFUNCTION("arrayformula(sum(--REGEXMATCH(""SRGmPDnS"",split(REGEXREPLACE(C364,""(.)"",""$1~""),""~""))))=len(C364)"),FALSE)</f>
        <v>0</v>
      </c>
      <c r="EX364" s="290" t="b">
        <f>IFERROR(__xludf.DUMMYFUNCTION("arrayformula(sum(--REGEXMATCH(""SRgmPDnS"",split(REGEXREPLACE(C364,""(.)"",""$1~""),""~""))))=len(C364)"),FALSE)</f>
        <v>0</v>
      </c>
      <c r="EY364" s="290" t="b">
        <f>IFERROR(__xludf.DUMMYFUNCTION("arrayformula(sum(--REGEXMATCH(""SRgmPdnS"",split(REGEXREPLACE(C364,""(.)"",""$1~""),""~""))))=len(C364)"),FALSE)</f>
        <v>0</v>
      </c>
      <c r="EZ364" s="290" t="b">
        <f>IFERROR(__xludf.DUMMYFUNCTION("arrayformula(sum(--REGEXMATCH(""SrgmPdnS"",split(REGEXREPLACE(C364,""(.)"",""$1~""),""~""))))=len(C364)"),FALSE)</f>
        <v>0</v>
      </c>
      <c r="FA364" s="290" t="b">
        <f>IFERROR(__xludf.DUMMYFUNCTION("arrayformula(sum(--REGEXMATCH(""SrGmPdNS"",split(REGEXREPLACE(C364,""(.)"",""$1~""),""~""))))=len(C364)"),FALSE)</f>
        <v>0</v>
      </c>
      <c r="FB364" s="290" t="b">
        <f>IFERROR(__xludf.DUMMYFUNCTION("arrayformula(sum(--REGEXMATCH(""SrGMPDNS"",split(REGEXREPLACE(C364,""(.)"",""$1~""),""~""))))=len(C364)"),FALSE)</f>
        <v>0</v>
      </c>
      <c r="FC364" s="290" t="b">
        <f>IFERROR(__xludf.DUMMYFUNCTION("arrayformula(sum(--REGEXMATCH(""SrGMPdNS"",split(REGEXREPLACE(C364,""(.)"",""$1~""),""~""))))=len(C364)"),FALSE)</f>
        <v>0</v>
      </c>
      <c r="FD364" s="377" t="b">
        <f>IFERROR(__xludf.DUMMYFUNCTION("arrayformula(sum(--REGEXMATCH(""SrgMPdNS"",split(REGEXREPLACE(C364,""(.)"",""$1~""),""~""))))=len(C364)"),FALSE)</f>
        <v>0</v>
      </c>
      <c r="FE364" s="269" t="str">
        <f t="shared" si="71"/>
        <v>xoxoxooxoox</v>
      </c>
      <c r="FF364" s="269" t="str">
        <f t="shared" si="72"/>
        <v>-</v>
      </c>
      <c r="FG364" s="271" t="str">
        <f t="shared" si="73"/>
        <v>xoxooxooxxx</v>
      </c>
      <c r="FH364" s="269" t="str">
        <f t="shared" si="74"/>
        <v>-</v>
      </c>
      <c r="FI364" s="271" t="str">
        <f t="shared" si="75"/>
        <v>xooxooxxxox</v>
      </c>
      <c r="FJ364" s="271" t="str">
        <f t="shared" si="76"/>
        <v>-</v>
      </c>
      <c r="FK364" s="271" t="str">
        <f t="shared" si="77"/>
        <v>-</v>
      </c>
      <c r="FL364" s="271" t="str">
        <f t="shared" si="78"/>
        <v>xooxxxoxoxo</v>
      </c>
      <c r="FM364" s="271" t="str">
        <f t="shared" si="79"/>
        <v>-</v>
      </c>
      <c r="FN364" s="271" t="str">
        <f t="shared" si="80"/>
        <v>-</v>
      </c>
      <c r="FO364" s="274" t="str">
        <f t="shared" si="81"/>
        <v>xxxoxoxooxo</v>
      </c>
      <c r="FP364" s="234" t="str">
        <f t="shared" si="82"/>
        <v>|</v>
      </c>
      <c r="FQ364" s="236" t="str">
        <f t="shared" si="83"/>
        <v>|</v>
      </c>
      <c r="FR364" s="237" t="str">
        <f t="shared" si="84"/>
        <v>-</v>
      </c>
      <c r="FS364" s="236" t="str">
        <f t="shared" si="85"/>
        <v>|</v>
      </c>
      <c r="FT364" s="237" t="str">
        <f t="shared" si="86"/>
        <v>-</v>
      </c>
      <c r="FU364" s="236" t="str">
        <f t="shared" si="87"/>
        <v>|</v>
      </c>
      <c r="FV364" s="237" t="str">
        <f t="shared" si="88"/>
        <v>-</v>
      </c>
      <c r="FW364" s="236" t="str">
        <f t="shared" si="89"/>
        <v>-</v>
      </c>
      <c r="FX364" s="237" t="str">
        <f t="shared" si="90"/>
        <v>|</v>
      </c>
      <c r="FY364" s="236" t="str">
        <f t="shared" si="91"/>
        <v>-</v>
      </c>
      <c r="FZ364" s="237" t="str">
        <f t="shared" si="92"/>
        <v>-</v>
      </c>
      <c r="GA364" s="236" t="str">
        <f t="shared" si="93"/>
        <v>|</v>
      </c>
      <c r="GB364" s="238" t="str">
        <f t="shared" si="94"/>
        <v>|</v>
      </c>
      <c r="GC364" s="244" t="str">
        <f>IFERROR(__xludf.DUMMYFUNCTION("IF(REGEXMATCH(C364, ""S""), ""1"","""")"),"1")</f>
        <v>1</v>
      </c>
      <c r="GD364" s="245" t="str">
        <f>IFERROR(__xludf.DUMMYFUNCTION("IF(REGEXMATCH(C364, ""r""), ""b2"","""")"),"b2")</f>
        <v>b2</v>
      </c>
      <c r="GE364" s="246" t="str">
        <f>IFERROR(__xludf.DUMMYFUNCTION("IF(REGEXMATCH(C364, ""R""), ""2"","""")"),"")</f>
        <v/>
      </c>
      <c r="GF364" s="246" t="str">
        <f>IFERROR(__xludf.DUMMYFUNCTION("IF(REGEXMATCH(C364, ""g""), ""b3"","""")"),"b3")</f>
        <v>b3</v>
      </c>
      <c r="GG364" s="245" t="str">
        <f>IFERROR(__xludf.DUMMYFUNCTION("IF(REGEXMATCH(C364, ""G""), ""3"","""")"),"")</f>
        <v/>
      </c>
      <c r="GH364" s="245" t="str">
        <f>IFERROR(__xludf.DUMMYFUNCTION("IF(REGEXMATCH(C364, ""m""), ""4"","""")"),"4")</f>
        <v>4</v>
      </c>
      <c r="GI364" s="246" t="str">
        <f>IFERROR(__xludf.DUMMYFUNCTION("IF(REGEXMATCH(C364, ""M""), ""#4"","""")"),"")</f>
        <v/>
      </c>
      <c r="GJ364" s="245" t="str">
        <f>IFERROR(__xludf.DUMMYFUNCTION("IF(REGEXMATCH(C364, ""P""), ""5"","""")"),"")</f>
        <v/>
      </c>
      <c r="GK364" s="246" t="str">
        <f>IFERROR(__xludf.DUMMYFUNCTION("IF(REGEXMATCH(C364, ""d""), ""b6"","""")"),"b6")</f>
        <v>b6</v>
      </c>
      <c r="GL364" s="245" t="str">
        <f>IFERROR(__xludf.DUMMYFUNCTION("IF(REGEXMATCH(C364, ""D""), ""6"","""")"),"")</f>
        <v/>
      </c>
      <c r="GM364" s="245" t="str">
        <f>IFERROR(__xludf.DUMMYFUNCTION("IF(REGEXMATCH(C364, ""n""), ""b7"","""")"),"")</f>
        <v/>
      </c>
      <c r="GN364" s="246" t="str">
        <f>IFERROR(__xludf.DUMMYFUNCTION("IF(REGEXMATCH(C364, ""N""), ""7"","""")"),"7")</f>
        <v>7</v>
      </c>
      <c r="GO364" s="249" t="str">
        <f>IFERROR(__xludf.DUMMYFUNCTION("IF(REGEXMATCH(C364, ""S""), ""8"","""")"),"8")</f>
        <v>8</v>
      </c>
      <c r="GP364" s="244" t="str">
        <f>IFERROR(__xludf.DUMMYFUNCTION("IF(REGEXMATCH(C364, ""S""), ""S"","""")"),"S")</f>
        <v>S</v>
      </c>
      <c r="GQ364" s="294" t="str">
        <f>IFERROR(__xludf.DUMMYFUNCTION("IF(REGEXMATCH(C364, ""r""), ""R1"","""")"),"R1")</f>
        <v>R1</v>
      </c>
      <c r="GR364" s="295" t="str">
        <f>IFERROR(__xludf.DUMMYFUNCTION("IF(REGEXMATCH(C364, ""R""), ""R2"","""")"),"")</f>
        <v/>
      </c>
      <c r="GS364" s="295" t="str">
        <f>IFERROR(__xludf.DUMMYFUNCTION("IF(REGEXMATCH(C364, ""g""), ""G2"","""")"),"G2")</f>
        <v>G2</v>
      </c>
      <c r="GT364" s="294" t="str">
        <f>IFERROR(__xludf.DUMMYFUNCTION("IF(REGEXMATCH(C364, ""G""), ""G3"","""")"),"")</f>
        <v/>
      </c>
      <c r="GU364" s="294" t="str">
        <f>IFERROR(__xludf.DUMMYFUNCTION("IF(REGEXMATCH(C364, ""m""), ""M1"","""")"),"M1")</f>
        <v>M1</v>
      </c>
      <c r="GV364" s="295" t="str">
        <f>IFERROR(__xludf.DUMMYFUNCTION("IF(REGEXMATCH(C364, ""M""), ""M2"","""")"),"")</f>
        <v/>
      </c>
      <c r="GW364" s="294" t="str">
        <f>IFERROR(__xludf.DUMMYFUNCTION("IF(REGEXMATCH(C364, ""P""), ""P"","""")"),"")</f>
        <v/>
      </c>
      <c r="GX364" s="295" t="str">
        <f>IFERROR(__xludf.DUMMYFUNCTION("IF(REGEXMATCH(C364, ""d""), ""D1"","""")"),"D1")</f>
        <v>D1</v>
      </c>
      <c r="GY364" s="294" t="str">
        <f>IFERROR(__xludf.DUMMYFUNCTION("IF(REGEXMATCH(C364, ""D""), ""D2"","""")"),"")</f>
        <v/>
      </c>
      <c r="GZ364" s="294" t="str">
        <f>IFERROR(__xludf.DUMMYFUNCTION("IF(REGEXMATCH(C364, ""n""), ""N2"","""")"),"")</f>
        <v/>
      </c>
      <c r="HA364" s="295" t="str">
        <f>IFERROR(__xludf.DUMMYFUNCTION("IF(REGEXMATCH(C364, ""N""), ""N3"","""")"),"N3")</f>
        <v>N3</v>
      </c>
      <c r="HB364" s="249" t="str">
        <f>IFERROR(__xludf.DUMMYFUNCTION("IF(REGEXMATCH(C364, ""S""), ""S"","""")"),"S")</f>
        <v>S</v>
      </c>
      <c r="HC364" s="331" t="str">
        <f t="shared" si="95"/>
        <v>S</v>
      </c>
      <c r="HD364" s="332" t="str">
        <f t="shared" si="96"/>
        <v>r</v>
      </c>
      <c r="HE364" s="332" t="str">
        <f t="shared" si="97"/>
        <v/>
      </c>
      <c r="HF364" s="332" t="str">
        <f t="shared" si="98"/>
        <v/>
      </c>
      <c r="HG364" s="332" t="str">
        <f t="shared" si="99"/>
        <v>G</v>
      </c>
      <c r="HH364" s="332" t="str">
        <f t="shared" si="100"/>
        <v/>
      </c>
      <c r="HI364" s="332" t="str">
        <f t="shared" si="101"/>
        <v/>
      </c>
      <c r="HJ364" s="332" t="str">
        <f t="shared" si="102"/>
        <v>P</v>
      </c>
      <c r="HK364" s="332" t="str">
        <f t="shared" si="103"/>
        <v/>
      </c>
      <c r="HL364" s="332" t="str">
        <f t="shared" si="104"/>
        <v>D</v>
      </c>
      <c r="HM364" s="332" t="str">
        <f t="shared" si="105"/>
        <v/>
      </c>
      <c r="HN364" s="332" t="str">
        <f t="shared" si="106"/>
        <v>N</v>
      </c>
      <c r="HO364" s="343" t="str">
        <f t="shared" si="107"/>
        <v>S</v>
      </c>
      <c r="HP364" s="331" t="str">
        <f t="shared" si="108"/>
        <v>o</v>
      </c>
      <c r="HQ364" s="332" t="str">
        <f t="shared" si="109"/>
        <v>o</v>
      </c>
      <c r="HR364" s="332" t="str">
        <f t="shared" si="110"/>
        <v>•</v>
      </c>
      <c r="HS364" s="332" t="str">
        <f t="shared" si="111"/>
        <v>o</v>
      </c>
      <c r="HT364" s="332" t="str">
        <f t="shared" si="112"/>
        <v>•</v>
      </c>
      <c r="HU364" s="332" t="str">
        <f t="shared" si="113"/>
        <v>o</v>
      </c>
      <c r="HV364" s="332" t="str">
        <f t="shared" si="114"/>
        <v>•</v>
      </c>
      <c r="HW364" s="332" t="str">
        <f t="shared" si="115"/>
        <v>•</v>
      </c>
      <c r="HX364" s="332" t="str">
        <f t="shared" si="116"/>
        <v>o</v>
      </c>
      <c r="HY364" s="332" t="str">
        <f t="shared" si="117"/>
        <v>•</v>
      </c>
      <c r="HZ364" s="332" t="str">
        <f t="shared" si="118"/>
        <v>•</v>
      </c>
      <c r="IA364" s="332" t="str">
        <f t="shared" si="119"/>
        <v>o</v>
      </c>
      <c r="IB364" s="338" t="str">
        <f t="shared" si="120"/>
        <v>o</v>
      </c>
      <c r="IC364" s="331" t="str">
        <f t="shared" si="121"/>
        <v>•</v>
      </c>
      <c r="ID364" s="332" t="str">
        <f t="shared" si="122"/>
        <v>•</v>
      </c>
      <c r="IE364" s="332" t="str">
        <f t="shared" si="123"/>
        <v>o</v>
      </c>
      <c r="IF364" s="332" t="str">
        <f t="shared" si="124"/>
        <v>•</v>
      </c>
      <c r="IG364" s="332" t="str">
        <f t="shared" si="125"/>
        <v>o</v>
      </c>
      <c r="IH364" s="332" t="str">
        <f t="shared" si="126"/>
        <v>•</v>
      </c>
      <c r="II364" s="332" t="str">
        <f t="shared" si="127"/>
        <v>o</v>
      </c>
      <c r="IJ364" s="332" t="str">
        <f t="shared" si="128"/>
        <v>o</v>
      </c>
      <c r="IK364" s="332" t="str">
        <f t="shared" si="129"/>
        <v>•</v>
      </c>
      <c r="IL364" s="332" t="str">
        <f t="shared" si="130"/>
        <v>o</v>
      </c>
      <c r="IM364" s="332" t="str">
        <f t="shared" si="131"/>
        <v>o</v>
      </c>
      <c r="IN364" s="332" t="str">
        <f t="shared" si="132"/>
        <v>•</v>
      </c>
      <c r="IO364" s="338" t="str">
        <f t="shared" si="133"/>
        <v>•</v>
      </c>
      <c r="IP364" s="346" t="b">
        <f t="shared" si="134"/>
        <v>1</v>
      </c>
      <c r="IQ364" s="347" t="b">
        <f t="shared" si="135"/>
        <v>0</v>
      </c>
      <c r="IR364" s="347" t="b">
        <f t="shared" si="136"/>
        <v>0</v>
      </c>
      <c r="IS364" s="347" t="b">
        <f t="shared" si="137"/>
        <v>1</v>
      </c>
      <c r="IT364" s="347" t="b">
        <f t="shared" si="138"/>
        <v>0</v>
      </c>
      <c r="IU364" s="347" t="b">
        <f t="shared" si="139"/>
        <v>0</v>
      </c>
      <c r="IV364" s="347" t="b">
        <f t="shared" si="140"/>
        <v>0</v>
      </c>
      <c r="IW364" s="347" t="b">
        <f t="shared" si="141"/>
        <v>0</v>
      </c>
      <c r="IX364" s="347" t="b">
        <f t="shared" si="142"/>
        <v>0</v>
      </c>
      <c r="IY364" s="347" t="b">
        <f t="shared" si="143"/>
        <v>0</v>
      </c>
      <c r="IZ364" s="347" t="b">
        <f t="shared" si="144"/>
        <v>0</v>
      </c>
      <c r="JA364" s="347" t="b">
        <f t="shared" si="145"/>
        <v>1</v>
      </c>
      <c r="JB364" s="353" t="b">
        <f t="shared" si="146"/>
        <v>1</v>
      </c>
      <c r="JC364" s="354" t="str">
        <f t="shared" si="147"/>
        <v>Sa, </v>
      </c>
      <c r="JD364" s="355" t="str">
        <f t="shared" si="148"/>
        <v/>
      </c>
      <c r="JE364" s="355" t="str">
        <f t="shared" si="149"/>
        <v/>
      </c>
      <c r="JF364" s="355" t="str">
        <f t="shared" si="150"/>
        <v>ga, </v>
      </c>
      <c r="JG364" s="355" t="str">
        <f t="shared" si="151"/>
        <v/>
      </c>
      <c r="JH364" s="355" t="str">
        <f t="shared" si="152"/>
        <v/>
      </c>
      <c r="JI364" s="355" t="str">
        <f t="shared" si="153"/>
        <v/>
      </c>
      <c r="JJ364" s="355" t="str">
        <f t="shared" si="154"/>
        <v/>
      </c>
      <c r="JK364" s="355" t="str">
        <f t="shared" si="155"/>
        <v/>
      </c>
      <c r="JL364" s="355" t="str">
        <f t="shared" si="156"/>
        <v/>
      </c>
      <c r="JM364" s="355" t="str">
        <f t="shared" si="157"/>
        <v/>
      </c>
      <c r="JN364" s="355" t="str">
        <f t="shared" si="158"/>
        <v>Ni, </v>
      </c>
      <c r="JO364" s="359" t="str">
        <f t="shared" si="159"/>
        <v/>
      </c>
      <c r="JP364" s="346" t="b">
        <f t="shared" si="160"/>
        <v>0</v>
      </c>
      <c r="JQ364" s="347" t="b">
        <f t="shared" si="161"/>
        <v>0</v>
      </c>
      <c r="JR364" s="347" t="b">
        <f t="shared" si="162"/>
        <v>0</v>
      </c>
      <c r="JS364" s="347" t="b">
        <f t="shared" si="163"/>
        <v>0</v>
      </c>
      <c r="JT364" s="347" t="b">
        <f t="shared" si="164"/>
        <v>0</v>
      </c>
      <c r="JU364" s="347" t="b">
        <f t="shared" si="165"/>
        <v>0</v>
      </c>
      <c r="JV364" s="347" t="b">
        <f t="shared" si="166"/>
        <v>0</v>
      </c>
      <c r="JW364" s="347" t="b">
        <f t="shared" si="167"/>
        <v>0</v>
      </c>
      <c r="JX364" s="347" t="b">
        <f t="shared" si="168"/>
        <v>0</v>
      </c>
      <c r="JY364" s="347" t="b">
        <f t="shared" si="169"/>
        <v>0</v>
      </c>
      <c r="JZ364" s="347" t="b">
        <f t="shared" si="170"/>
        <v>0</v>
      </c>
      <c r="KA364" s="347" t="b">
        <f t="shared" si="171"/>
        <v>1</v>
      </c>
      <c r="KB364" s="365" t="b">
        <f t="shared" si="172"/>
        <v>0</v>
      </c>
      <c r="KC364" s="354" t="str">
        <f t="shared" si="173"/>
        <v/>
      </c>
      <c r="KD364" s="355" t="str">
        <f t="shared" si="174"/>
        <v/>
      </c>
      <c r="KE364" s="355" t="str">
        <f t="shared" si="175"/>
        <v/>
      </c>
      <c r="KF364" s="355" t="str">
        <f t="shared" si="176"/>
        <v/>
      </c>
      <c r="KG364" s="355" t="str">
        <f t="shared" si="177"/>
        <v/>
      </c>
      <c r="KH364" s="355" t="str">
        <f t="shared" si="178"/>
        <v/>
      </c>
      <c r="KI364" s="355" t="str">
        <f t="shared" si="179"/>
        <v/>
      </c>
      <c r="KJ364" s="355" t="str">
        <f t="shared" si="180"/>
        <v/>
      </c>
      <c r="KK364" s="355" t="str">
        <f t="shared" si="181"/>
        <v/>
      </c>
      <c r="KL364" s="355" t="str">
        <f t="shared" si="182"/>
        <v/>
      </c>
      <c r="KM364" s="355" t="str">
        <f t="shared" si="183"/>
        <v/>
      </c>
      <c r="KN364" s="355" t="str">
        <f t="shared" si="184"/>
        <v>Ni, </v>
      </c>
      <c r="KO364" s="359"/>
      <c r="KP364" s="378"/>
      <c r="KQ364" s="379" t="s">
        <v>553</v>
      </c>
      <c r="KR364" s="380" t="s">
        <v>1277</v>
      </c>
      <c r="KS364" s="381" t="str">
        <f t="shared" ref="KS364:KS365" si="965">KQ364</f>
        <v>S-r-g-m-d-N-S</v>
      </c>
      <c r="KT364" s="382">
        <f t="shared" si="186"/>
        <v>6</v>
      </c>
      <c r="KU364" s="383">
        <f t="shared" si="187"/>
        <v>6</v>
      </c>
      <c r="KV364" s="381" t="str">
        <f t="shared" si="205"/>
        <v>S-N-d-m-g-r-S</v>
      </c>
      <c r="KW364" s="382">
        <f t="shared" si="189"/>
        <v>6</v>
      </c>
      <c r="KX364" s="384">
        <f t="shared" si="190"/>
        <v>6</v>
      </c>
      <c r="KY364" s="382">
        <f t="shared" ref="KY364:KZ364" si="963">KW364-KT364</f>
        <v>0</v>
      </c>
      <c r="KZ364" s="369">
        <f t="shared" si="963"/>
        <v>0</v>
      </c>
      <c r="LA364" s="385" t="str">
        <f t="shared" si="192"/>
        <v>✔</v>
      </c>
      <c r="LB364" s="340" t="str">
        <f>IFERROR(__xludf.DUMMYFUNCTION("JOIN("""",ArrayFormula(MID(KS364,LEN(KS364)-SEQUENCE(1,LEN(KS364))+1,1)))"),"S-N-d-m-g-r-S")</f>
        <v>S-N-d-m-g-r-S</v>
      </c>
      <c r="LC364" s="373" t="str">
        <f>IFERROR(__xludf.DUMMYFUNCTION("JOIN("""",ArrayFormula(MID(KV364,LEN(KV364)-SEQUENCE(1,LEN(KV364))+1,1)))"),"S-r-g-m-d-N-S")</f>
        <v>S-r-g-m-d-N-S</v>
      </c>
      <c r="LD364" s="373" t="str">
        <f t="shared" si="193"/>
        <v>SrgmdNS</v>
      </c>
      <c r="LE364" s="339" t="str">
        <f t="shared" si="194"/>
        <v>SrgmdNS</v>
      </c>
      <c r="LF364" s="386" t="str">
        <f>IFERROR(__xludf.DUMMYFUNCTION("SUBSTITUTE(SUBSTITUTE(CONCATENATE(JOIN("""",LH364:LT364)),""1"",""""),""2"","""")"),"SrgmdNS")</f>
        <v>SrgmdNS</v>
      </c>
      <c r="LG364" s="369" t="str">
        <f t="shared" si="195"/>
        <v>✔</v>
      </c>
      <c r="LH364" s="387" t="str">
        <f>IFERROR(__xludf.DUMMYFUNCTION("IF(REGEXMATCH(LD364, ""S""), ""S"",IF(REGEXMATCH(LE364, ""S""), ""S"",""""))"),"S")</f>
        <v>S</v>
      </c>
      <c r="LI364" s="299" t="str">
        <f>IFERROR(__xludf.DUMMYFUNCTION("IF(REGEXMATCH(LD364, ""r""), ""r1"",IF(REGEXMATCH(LE364, ""r""), ""r2"",""""))"),"r1")</f>
        <v>r1</v>
      </c>
      <c r="LJ364" s="299" t="str">
        <f>IFERROR(__xludf.DUMMYFUNCTION("IF(REGEXMATCH(LD364, ""R""), ""R1"",IF(REGEXMATCH(LE364, ""R""), ""R2"",""""))"),"")</f>
        <v/>
      </c>
      <c r="LK364" s="299" t="str">
        <f>IFERROR(__xludf.DUMMYFUNCTION("IF(REGEXMATCH(LD364, ""g""), ""g1"",IF(REGEXMATCH(LE364, ""g""), ""g2"",""""))"),"g1")</f>
        <v>g1</v>
      </c>
      <c r="LL364" s="299" t="str">
        <f>IFERROR(__xludf.DUMMYFUNCTION("IF(REGEXMATCH(LD364, ""G""), ""G1"",IF(REGEXMATCH(LE364, ""G""), ""G2"",""""))"),"")</f>
        <v/>
      </c>
      <c r="LM364" s="299" t="str">
        <f>IFERROR(__xludf.DUMMYFUNCTION("IF(REGEXMATCH(LD364, ""m""), ""m1"",IF(REGEXMATCH(LE364, ""m""), ""m2"",""""))"),"m1")</f>
        <v>m1</v>
      </c>
      <c r="LN364" s="299" t="str">
        <f>IFERROR(__xludf.DUMMYFUNCTION("IF(REGEXMATCH(LD364, ""M""), ""M1"",IF(REGEXMATCH(LE364, ""M""), ""M2"",""""))"),"")</f>
        <v/>
      </c>
      <c r="LO364" s="299" t="str">
        <f>IFERROR(__xludf.DUMMYFUNCTION("IF(REGEXMATCH(LD364, ""P""), ""P1"",IF(REGEXMATCH(LE364, ""P""), ""P2"",""""))"),"")</f>
        <v/>
      </c>
      <c r="LP364" s="299" t="str">
        <f>IFERROR(__xludf.DUMMYFUNCTION("IF(REGEXMATCH(LD364, ""d""), ""d1"",IF(REGEXMATCH(LE364, ""d""), ""d2"",""""))"),"d1")</f>
        <v>d1</v>
      </c>
      <c r="LQ364" s="299" t="str">
        <f>IFERROR(__xludf.DUMMYFUNCTION("IF(REGEXMATCH(LD364, ""D""), ""D1"",IF(REGEXMATCH(LE364, ""D""), ""D2"",""""))"),"")</f>
        <v/>
      </c>
      <c r="LR364" s="299" t="str">
        <f>IFERROR(__xludf.DUMMYFUNCTION("IF(REGEXMATCH(LD364, ""n""), ""n1"",IF(REGEXMATCH(LE364, ""n""), ""n2"",""""))"),"")</f>
        <v/>
      </c>
      <c r="LS364" s="299" t="str">
        <f>IFERROR(__xludf.DUMMYFUNCTION("IF(REGEXMATCH(LD364, ""N""), ""N1"",IF(REGEXMATCH(LE364, ""N""), ""N2"",""""))"),"N1")</f>
        <v>N1</v>
      </c>
      <c r="LT364" s="388" t="str">
        <f>IFERROR(__xludf.DUMMYFUNCTION("IF(REGEXMATCH(LD364, ""S""), ""S"",IF(REGEXMATCH(LE364, ""S""), ""S"",""""))"),"S")</f>
        <v>S</v>
      </c>
      <c r="LU364" s="389">
        <f t="shared" si="196"/>
        <v>1</v>
      </c>
      <c r="LV364" s="378"/>
      <c r="LW364" s="369"/>
      <c r="LX364" s="369"/>
    </row>
    <row r="365" ht="18.0" customHeight="1">
      <c r="A365" s="447" t="s">
        <v>1247</v>
      </c>
      <c r="B365" s="222" t="s">
        <v>208</v>
      </c>
      <c r="C365" s="233" t="str">
        <f t="shared" si="7"/>
        <v>SRGMPDNS</v>
      </c>
      <c r="D365" s="234" t="str">
        <f>IFERROR(__xludf.DUMMYFUNCTION("IF(REGEXMATCH(C365, ""S""), ""S"","""")"),"S")</f>
        <v>S</v>
      </c>
      <c r="E365" s="236" t="str">
        <f>IFERROR(__xludf.DUMMYFUNCTION("IF(REGEXMATCH(C365, ""r""), ""r"","""")"),"")</f>
        <v/>
      </c>
      <c r="F365" s="237" t="str">
        <f>IFERROR(__xludf.DUMMYFUNCTION("IF(REGEXMATCH(C365, ""R""), ""R"","""")"),"R")</f>
        <v>R</v>
      </c>
      <c r="G365" s="237" t="str">
        <f>IFERROR(__xludf.DUMMYFUNCTION("IF(REGEXMATCH(C365, ""g""), ""g"","""")"),"")</f>
        <v/>
      </c>
      <c r="H365" s="236" t="str">
        <f>IFERROR(__xludf.DUMMYFUNCTION("IF(REGEXMATCH(C365, ""G""), ""G"","""")"),"G")</f>
        <v>G</v>
      </c>
      <c r="I365" s="236" t="str">
        <f>IFERROR(__xludf.DUMMYFUNCTION("IF(REGEXMATCH(C365, ""m""), ""m"","""")"),"")</f>
        <v/>
      </c>
      <c r="J365" s="237" t="str">
        <f>IFERROR(__xludf.DUMMYFUNCTION("IF(REGEXMATCH(C365, ""M""), ""M"","""")"),"M")</f>
        <v>M</v>
      </c>
      <c r="K365" s="236" t="str">
        <f>IFERROR(__xludf.DUMMYFUNCTION("IF(REGEXMATCH(C365, ""P""), ""P"","""")"),"P")</f>
        <v>P</v>
      </c>
      <c r="L365" s="237" t="str">
        <f>IFERROR(__xludf.DUMMYFUNCTION("IF(REGEXMATCH(C365, ""d""), ""d"","""")"),"")</f>
        <v/>
      </c>
      <c r="M365" s="236" t="str">
        <f>IFERROR(__xludf.DUMMYFUNCTION("IF(REGEXMATCH(C365, ""D""), ""D"","""")"),"D")</f>
        <v>D</v>
      </c>
      <c r="N365" s="236" t="str">
        <f>IFERROR(__xludf.DUMMYFUNCTION("IF(REGEXMATCH(C365, ""n""), ""n"","""")"),"")</f>
        <v/>
      </c>
      <c r="O365" s="237" t="str">
        <f>IFERROR(__xludf.DUMMYFUNCTION("IF(REGEXMATCH(C365, ""N""), ""N"","""")"),"N")</f>
        <v>N</v>
      </c>
      <c r="P365" s="238" t="str">
        <f>IFERROR(__xludf.DUMMYFUNCTION("IF(REGEXMATCH(C365, ""S""), ""S"","""")"),"S")</f>
        <v>S</v>
      </c>
      <c r="Q365" s="239" t="str">
        <f>IFERROR(__xludf.DUMMYFUNCTION("SUBSTITUTE(CONCATENATE(JOIN(""-"",D365:J365)),""-"","""")"),"SRGM")</f>
        <v>SRGM</v>
      </c>
      <c r="R365" s="229" t="str">
        <f>IFERROR(__xludf.DUMMYFUNCTION("SUBSTITUTE(CONCATENATE(JOIN(""-"",K365:P365)),""-"","""")"),"PDNS")</f>
        <v>PDNS</v>
      </c>
      <c r="S365" s="282" t="str">
        <f t="shared" si="8"/>
        <v>S-R-G-M</v>
      </c>
      <c r="T365" s="282" t="str">
        <f t="shared" si="9"/>
        <v>P-D-N-S</v>
      </c>
      <c r="U365" s="237" t="str">
        <f>IFERROR(__xludf.DUMMYFUNCTION("SUBSTITUTE(JOIN(""-"",S365,T365),""--"",""-"")"),"S-R-G-M-P-D-N-S")</f>
        <v>S-R-G-M-P-D-N-S</v>
      </c>
      <c r="V365" s="309" t="str">
        <f t="shared" si="10"/>
        <v>RGMDN</v>
      </c>
      <c r="W365" s="244" t="str">
        <f>IFERROR(__xludf.DUMMYFUNCTION("IF(REGEXMATCH(C365, ""S""), ""0"","""")"),"0")</f>
        <v>0</v>
      </c>
      <c r="X365" s="245" t="str">
        <f>IFERROR(__xludf.DUMMYFUNCTION("IF(REGEXMATCH(C365, ""r""), ""1"","""")"),"")</f>
        <v/>
      </c>
      <c r="Y365" s="246" t="str">
        <f>IFERROR(__xludf.DUMMYFUNCTION("IF(REGEXMATCH(C365, ""R""), ""2"","""")"),"2")</f>
        <v>2</v>
      </c>
      <c r="Z365" s="246" t="str">
        <f>IFERROR(__xludf.DUMMYFUNCTION("IF(REGEXMATCH(C365, ""g""), ""3"","""")"),"")</f>
        <v/>
      </c>
      <c r="AA365" s="245" t="str">
        <f>IFERROR(__xludf.DUMMYFUNCTION("IF(REGEXMATCH(C365, ""G""), ""4"","""")"),"4")</f>
        <v>4</v>
      </c>
      <c r="AB365" s="245" t="str">
        <f>IFERROR(__xludf.DUMMYFUNCTION("IF(REGEXMATCH(C365, ""m""), ""5"","""")"),"")</f>
        <v/>
      </c>
      <c r="AC365" s="246" t="str">
        <f>IFERROR(__xludf.DUMMYFUNCTION("IF(REGEXMATCH(C365, ""M""), ""6"","""")"),"6")</f>
        <v>6</v>
      </c>
      <c r="AD365" s="245" t="str">
        <f>IFERROR(__xludf.DUMMYFUNCTION("IF(REGEXMATCH(C365, ""P""), ""7"","""")"),"7")</f>
        <v>7</v>
      </c>
      <c r="AE365" s="246" t="str">
        <f>IFERROR(__xludf.DUMMYFUNCTION("IF(REGEXMATCH(C365, ""d""), ""8"","""")"),"")</f>
        <v/>
      </c>
      <c r="AF365" s="245" t="str">
        <f>IFERROR(__xludf.DUMMYFUNCTION("IF(REGEXMATCH(C365, ""D""), ""9"","""")"),"9")</f>
        <v>9</v>
      </c>
      <c r="AG365" s="245" t="str">
        <f>IFERROR(__xludf.DUMMYFUNCTION("IF(REGEXMATCH(C365, ""n""), ""10"","""")"),"")</f>
        <v/>
      </c>
      <c r="AH365" s="246" t="str">
        <f>IFERROR(__xludf.DUMMYFUNCTION("IF(REGEXMATCH(C365, ""N""), ""11"","""")"),"11")</f>
        <v>11</v>
      </c>
      <c r="AI365" s="249" t="str">
        <f>IFERROR(__xludf.DUMMYFUNCTION("IF(REGEXMATCH(C365, ""S""), ""0"","""")"),"0")</f>
        <v>0</v>
      </c>
      <c r="AJ365" s="313" t="str">
        <f t="shared" si="11"/>
        <v>T</v>
      </c>
      <c r="AK365" s="313" t="str">
        <f t="shared" si="12"/>
        <v>-</v>
      </c>
      <c r="AL365" s="313" t="str">
        <f t="shared" si="13"/>
        <v>-</v>
      </c>
      <c r="AM365" s="313" t="str">
        <f t="shared" si="14"/>
        <v>-</v>
      </c>
      <c r="AN365" s="313" t="str">
        <f t="shared" si="15"/>
        <v>-</v>
      </c>
      <c r="AO365" s="314" t="str">
        <f t="shared" si="16"/>
        <v>-</v>
      </c>
      <c r="AP365" s="316">
        <f t="shared" si="17"/>
        <v>1</v>
      </c>
      <c r="AQ365" s="319" t="str">
        <f t="shared" si="18"/>
        <v>-</v>
      </c>
      <c r="AR365" s="320">
        <f t="shared" si="19"/>
        <v>0</v>
      </c>
      <c r="AS365" s="250" t="str">
        <f>IFERROR(__xludf.DUMMYFUNCTION("SUBSTITUTE(SUBSTITUTE(CONCATENATE(JOIN("""",FP365:GA365)),""|"",""x""),""-"",""o"")"),"xoxoxoxxoxox")</f>
        <v>xoxoxoxxoxox</v>
      </c>
      <c r="AT365" s="323" t="str">
        <f>IFERROR(__xludf.DUMMYFUNCTION("JOIN("""",AS365,AS365)"),"xoxoxoxxoxoxxoxoxoxxoxox")</f>
        <v>xoxoxoxxoxoxxoxoxoxxoxox</v>
      </c>
      <c r="AU365" s="256" t="str">
        <f>IFERROR(__xludf.DUMMYFUNCTION("JOIN("""",ArrayFormula(MID(AS365,LEN(AS365)-SEQUENCE(1,LEN(AS365))+1,1)))"),"xoxoxxoxoxox")</f>
        <v>xoxoxxoxoxox</v>
      </c>
      <c r="AV365" s="256" t="str">
        <f>IFERROR(__xludf.DUMMYFUNCTION("LEFT(CONCATENATE(""x"",JOIN("""",ArrayFormula(MID(AS365,LEN(AS365)-SEQUENCE(1,LEN(AS365))+1,1)))),12)"),"xxoxoxxoxoxo")</f>
        <v>xxoxoxxoxoxo</v>
      </c>
      <c r="AW365" s="327" t="str">
        <f>IFERROR(__xludf.DUMMYFUNCTION("JOIN("""",AU365,AU365)"),"xoxoxxoxoxoxxoxoxxoxoxox")</f>
        <v>xoxoxxoxoxoxxoxoxxoxoxox</v>
      </c>
      <c r="AX365" s="239" t="str">
        <f>IFERROR(__xludf.DUMMYFUNCTION("IF(REGEXMATCH(AW365,AS365),""✔"",""-"")"),"✔")</f>
        <v>✔</v>
      </c>
      <c r="AY365" s="330" t="str">
        <f t="shared" si="20"/>
        <v>-</v>
      </c>
      <c r="AZ365" s="260" t="str">
        <f t="shared" si="21"/>
        <v>#REF!</v>
      </c>
      <c r="BA365" s="333" t="str">
        <f t="shared" si="22"/>
        <v>xoxoxox</v>
      </c>
      <c r="BB365" s="334" t="str">
        <f t="shared" si="23"/>
        <v>xoxoxx</v>
      </c>
      <c r="BC365" s="335" t="str">
        <f t="shared" si="236"/>
        <v>-</v>
      </c>
      <c r="BD365" s="336" t="str">
        <f t="shared" si="25"/>
        <v>Yaman: 'xoxoxox' + 'xoxoxx'</v>
      </c>
      <c r="BE365" s="337">
        <f>IFERROR(__xludf.DUMMYFUNCTION("COUNTUNIQUE(FILTER(AT:AT,REGEXMATCH(AT:AT,AS365)))-1"),6.0)</f>
        <v>6</v>
      </c>
      <c r="BF365" s="261" t="str">
        <f>IFERROR(__xludf.DUMMYFUNCTION("IF(BI365=0,""(n/a)"",IF(BJ365=2,""(PAIR)"",IF(REGEXMATCH(AT365,""xoxoxxoxoxox""),""Bilawal"",IF(REGEXMATCH(AT365,""xoxoxooxoxoo""),""Bhupali"",IF(REGEXMATCH(AT365,""xoxoxxoxxoxo""),""Charukeshi"",IF(REGEXMATCH(AT365,""xoxoooxxoxxo""),""Kameshwari"",IF(REG"&amp;"EXMATCH(AT365,""xoxoxooxoxox""),""Shankara"",IF(REGEXMATCH(AT365,""xxooxoxxxoox""),""Basant"",IF(REGEXMATCH(AT365,""xoxoxxxxoxox""),""Bihag"",IF(REGEXMATCH(AT365,""xoxxxxoxoxxx""),""Pilu"",IF(REGEXMATCH(AT365,""xoxxoxoxxoox""),""Kirwani"",IF(REGEXMATCH(AT"&amp;"365,""xoxxoxoxoxxx""),""Mk.Malhar"",IF(REGEXMATCH(AT365,""xxooxxoxxoox""),""Bhairav"",IF(REGEXMATCH(AT365,""xxoxooxxxoox""),""Todi"",IF(REGEXMATCH(AT365,""xxooxoxooxox""),""Marwa"",IF(REGEXMATCH(AT365,""xxoooxoxxooo""),""Gunkali"",IF(REGEXMATCH(AT365,""xo"&amp;"xoxxoxxoox""),""Nat Bhairav"",IF(REGEXMATCH(AT365,""xoxxoooxoxoo""),""Shivranjani"",IF(REGEXMATCH(AT365,""xooxxxoxooxo""),""Jog"",IF(REGEXMATCH(AT365,""xxooxoxoxoox""),""Hemshri"",IF(REGEXMATCH(AT365,""xoooxooxoxxo""),""Kalavati"",IF(REGEXMATCH(AT365,""xx"&amp;"oxoxxoxoox""),""Kedar"",IF(REGEXMATCH(AT365,""xoxxxxoxooxx""),""Gara"",IF(REGEXMATCH(AT365,""xooxoxooxoox""),""Chandrakauns"",IF(REGEXMATCH(AT365,""xoxxxxoxxxox""),""Mand"",IF(REGEXMATCH(AT365,""xoxxxxoxoxox""),""Hanskinkini"",IF(REGEXMATCH(AT365,""xxooxx"&amp;"oxooxo""),""Lilavati"",IF(REGEXMATCH(AT365,""xooxoxoooxox""),""Rajeshwari"",IF(REGEXMATCH(AT365,""xoooxxoxoxxx""),""Khokar"",IF(REGEXMATCH(AT365,""xxooxoxxxxox""),""Maligoura"",""-""))))))))))))))))))))))))))))))"),"Bilawal")</f>
        <v>Bilawal</v>
      </c>
      <c r="BG365" s="239" t="str">
        <f t="shared" si="26"/>
        <v>#REF!</v>
      </c>
      <c r="BH365" s="239">
        <f>IFERROR(__xludf.DUMMYFUNCTION("COUNTUNIQUE(FE365:FO365)-1"),6.0)</f>
        <v>6</v>
      </c>
      <c r="BI365" s="239">
        <f>IFERROR(__xludf.DUMMYFUNCTION("COUNTUNIQUE(FILTER(AT:AT,REGEXMATCH(AT:AT,AS365)))-1"),6.0)</f>
        <v>6</v>
      </c>
      <c r="BJ365" s="239">
        <f>IFERROR(__xludf.DUMMYFUNCTION("COUNTA(FILTER(AT:AT,REGEXMATCH(AT:AT,AS365)))"),48.0)</f>
        <v>48</v>
      </c>
      <c r="BK365" s="341">
        <f>IFERROR(__xludf.DUMMYFUNCTION("COUNTA(FILTER(AT:AT,REGEXMATCH(AT:AT,AS365)))-AR365"),48.0)</f>
        <v>48</v>
      </c>
      <c r="BL365" s="276" t="str">
        <f>IFERROR(__xludf.DUMMYFUNCTION("IF(AS365=""oooooooooooo"",""-"",IF(REGEXMATCH(AT365,""xx""), ""Hemi."", ""Anhemi.""))"),"Hemi.")</f>
        <v>Hemi.</v>
      </c>
      <c r="BM365" s="282" t="str">
        <f>IFERROR(__xludf.DUMMYFUNCTION("IF(AS365=""oooooooooooo"",""-"",IF(REGEXMATCH(AT365,""xxx""), ""Cohem."", ""-""))"),"-")</f>
        <v>-</v>
      </c>
      <c r="BN365" s="282" t="str">
        <f>IFERROR(__xludf.DUMMYFUNCTION("IF(AS365=""oooooooooooo"",""-"",IF(REGEXMATCH(AT365,""xxxx""), ""Co-Co."", ""-""))"),"-")</f>
        <v>-</v>
      </c>
      <c r="BO365" s="342" t="str">
        <f>IFERROR(__xludf.DUMMYFUNCTION("IF(AS365=""oooooooooooo"",""-"",IF(REGEXMATCH(AT365,""xxxxx""), ""CCC."", ""-""))"),"-")</f>
        <v>-</v>
      </c>
      <c r="BP365" s="344" t="str">
        <f t="shared" si="27"/>
        <v>Kalyan</v>
      </c>
      <c r="BQ365" s="282" t="str">
        <f>IFERROR(__xludf.DUMMYFUNCTION("IF(REGEXMATCH(JOIN(""-"",EU365:FD365),""TRUE""),""✔"",""-"")"),"✔")</f>
        <v>✔</v>
      </c>
      <c r="BR365" s="225">
        <f t="shared" si="28"/>
        <v>1</v>
      </c>
      <c r="BS365" s="345" t="str">
        <f>IFERROR(__xludf.DUMMYFUNCTION("SUBSTITUTE(SUBSTITUTE(SUBSTITUTE(SUBSTITUTE(CONCATENATE(JOIN(""-"",GC365:GO365)),""--"",""-""),""--"",""-""),""--"",""-""),""--"",""-"")"),"1-2-3-#4-5-6-7-8")</f>
        <v>1-2-3-#4-5-6-7-8</v>
      </c>
      <c r="BT365" s="299" t="str">
        <f>IFERROR(__xludf.DUMMYFUNCTION("SUBSTITUTE(SUBSTITUTE(SUBSTITUTE(SUBSTITUTE(CONCATENATE(JOIN(""-"",GP365:HB365)),""--"",""-""),""--"",""-""),""--"",""-""),""--"",""-"")"),"S-R2-G3-M2-P-D2-N3-S")</f>
        <v>S-R2-G3-M2-P-D2-N3-S</v>
      </c>
      <c r="BU365" s="348" t="str">
        <f t="shared" si="29"/>
        <v>C-D-E-F#-G-A-B-C</v>
      </c>
      <c r="BV365" s="349" t="str">
        <f t="shared" si="30"/>
        <v>SrgmdnS</v>
      </c>
      <c r="BW365" s="350">
        <f t="shared" si="31"/>
        <v>0</v>
      </c>
      <c r="BX365" s="351">
        <f t="shared" si="32"/>
        <v>2</v>
      </c>
      <c r="BY365" s="392"/>
      <c r="BZ365" s="309" t="str">
        <f>IFERROR(__xludf.DUMMYFUNCTION("IF(REGEXMATCH(C365, ""S""), ""x"",""x"")"),"x")</f>
        <v>x</v>
      </c>
      <c r="CA365" s="245" t="str">
        <f>IFERROR(__xludf.DUMMYFUNCTION("IF(REGEXMATCH(C365, ""r""), ""o"",""x"")"),"x")</f>
        <v>x</v>
      </c>
      <c r="CB365" s="246" t="str">
        <f>IFERROR(__xludf.DUMMYFUNCTION("IF(REGEXMATCH(C365, ""R""), ""o"",""x"")"),"o")</f>
        <v>o</v>
      </c>
      <c r="CC365" s="246" t="str">
        <f>IFERROR(__xludf.DUMMYFUNCTION("IF(REGEXMATCH(C365, ""g""), ""o"",""x"")"),"x")</f>
        <v>x</v>
      </c>
      <c r="CD365" s="245" t="str">
        <f>IFERROR(__xludf.DUMMYFUNCTION("IF(REGEXMATCH(C365, ""G""), ""o"",""x"")"),"o")</f>
        <v>o</v>
      </c>
      <c r="CE365" s="245" t="str">
        <f>IFERROR(__xludf.DUMMYFUNCTION("IF(REGEXMATCH(C365, ""m""), ""o"",""x"")"),"x")</f>
        <v>x</v>
      </c>
      <c r="CF365" s="246" t="str">
        <f>IFERROR(__xludf.DUMMYFUNCTION("IF(REGEXMATCH(C365, ""M""), ""o"",""x"")"),"o")</f>
        <v>o</v>
      </c>
      <c r="CG365" s="245" t="str">
        <f>IFERROR(__xludf.DUMMYFUNCTION("IF(REGEXMATCH(C365, ""P""), ""o"",""x"")"),"o")</f>
        <v>o</v>
      </c>
      <c r="CH365" s="246" t="str">
        <f>IFERROR(__xludf.DUMMYFUNCTION("IF(REGEXMATCH(C365, ""d""), ""o"",""x"")"),"x")</f>
        <v>x</v>
      </c>
      <c r="CI365" s="245" t="str">
        <f>IFERROR(__xludf.DUMMYFUNCTION("IF(REGEXMATCH(C365, ""D""), ""o"",""x"")"),"o")</f>
        <v>o</v>
      </c>
      <c r="CJ365" s="245" t="str">
        <f>IFERROR(__xludf.DUMMYFUNCTION("IF(REGEXMATCH(C365, ""n""), ""o"",""x"")"),"x")</f>
        <v>x</v>
      </c>
      <c r="CK365" s="245" t="str">
        <f>IFERROR(__xludf.DUMMYFUNCTION("IF(REGEXMATCH(C365, ""N""), ""o"",""x"")"),"o")</f>
        <v>o</v>
      </c>
      <c r="CL365" s="356" t="str">
        <f>IFERROR(__xludf.DUMMYFUNCTION("IF(REGEXMATCH(C365, ""S""), ""x"",""x"")"),"x")</f>
        <v>x</v>
      </c>
      <c r="CM365" s="357" t="str">
        <f t="shared" si="33"/>
        <v>xxoxoxooxoxo</v>
      </c>
      <c r="CN365" s="358">
        <f t="shared" si="34"/>
        <v>0</v>
      </c>
      <c r="CO365" s="246" t="str">
        <f>IFERROR(__xludf.DUMMYFUNCTION("IF(REGEXMATCH($C365, ""S""), ""S"",""S"")"),"S")</f>
        <v>S</v>
      </c>
      <c r="CP365" s="246" t="str">
        <f>IFERROR(__xludf.DUMMYFUNCTION("IF(REGEXMATCH($C365, ""r""), """",""r"")"),"r")</f>
        <v>r</v>
      </c>
      <c r="CQ365" s="246" t="str">
        <f>IFERROR(__xludf.DUMMYFUNCTION("IF(REGEXMATCH($C365, ""R""), """",""R"")"),"")</f>
        <v/>
      </c>
      <c r="CR365" s="246" t="str">
        <f>IFERROR(__xludf.DUMMYFUNCTION("IF(REGEXMATCH($C365, ""g""), """",""g"")"),"g")</f>
        <v>g</v>
      </c>
      <c r="CS365" s="246" t="str">
        <f>IFERROR(__xludf.DUMMYFUNCTION("IF(REGEXMATCH($C365, ""G""), """",""G"")"),"")</f>
        <v/>
      </c>
      <c r="CT365" s="246" t="str">
        <f>IFERROR(__xludf.DUMMYFUNCTION("IF(REGEXMATCH($C365, ""m""), """",""m"")"),"m")</f>
        <v>m</v>
      </c>
      <c r="CU365" s="246" t="str">
        <f>IFERROR(__xludf.DUMMYFUNCTION("IF(REGEXMATCH($C365, ""M""), """",""M"")"),"")</f>
        <v/>
      </c>
      <c r="CV365" s="246" t="str">
        <f>IFERROR(__xludf.DUMMYFUNCTION("IF(REGEXMATCH($C365, ""P""), """",""P"")"),"")</f>
        <v/>
      </c>
      <c r="CW365" s="246" t="str">
        <f>IFERROR(__xludf.DUMMYFUNCTION("IF(REGEXMATCH($C365, ""d""), """",""d"")"),"d")</f>
        <v>d</v>
      </c>
      <c r="CX365" s="246" t="str">
        <f>IFERROR(__xludf.DUMMYFUNCTION("IF(REGEXMATCH($C365, ""D""), """",""D"")"),"")</f>
        <v/>
      </c>
      <c r="CY365" s="246" t="str">
        <f>IFERROR(__xludf.DUMMYFUNCTION("IF(REGEXMATCH($C365, ""n""), """",""n"")"),"n")</f>
        <v>n</v>
      </c>
      <c r="CZ365" s="246" t="str">
        <f>IFERROR(__xludf.DUMMYFUNCTION("IF(REGEXMATCH($C365, ""N""), """",""N"")"),"")</f>
        <v/>
      </c>
      <c r="DA365" s="246" t="str">
        <f>IFERROR(__xludf.DUMMYFUNCTION("IF(REGEXMATCH($C365, ""S""), ""S"",""S"")"),"S")</f>
        <v>S</v>
      </c>
      <c r="DB365" s="362" t="str">
        <f>IFERROR(__xludf.DUMMYFUNCTION("JOIN("""",CO365:DA365,"""","""")"),"SrgmdnS")</f>
        <v>SrgmdnS</v>
      </c>
      <c r="DC365" s="363"/>
      <c r="DD365" s="301" t="str">
        <f t="shared" si="35"/>
        <v>#REF!</v>
      </c>
      <c r="DE365" s="302" t="str">
        <f t="shared" si="36"/>
        <v>#REF!</v>
      </c>
      <c r="DF365" s="301" t="str">
        <f t="shared" ref="DF365:DG365" si="964">SUBSTITUTE(S365,"-","")</f>
        <v>SRGM</v>
      </c>
      <c r="DG365" s="301" t="str">
        <f t="shared" si="964"/>
        <v>PDNS</v>
      </c>
      <c r="DH365" s="302" t="str">
        <f t="shared" si="38"/>
        <v>Bilawal</v>
      </c>
      <c r="DI365" s="301" t="str">
        <f t="shared" si="39"/>
        <v>Hemi.</v>
      </c>
      <c r="DJ365" s="364" t="str">
        <f t="shared" si="40"/>
        <v>-</v>
      </c>
      <c r="DK365" s="306" t="str">
        <f t="shared" si="41"/>
        <v>Kalyan</v>
      </c>
      <c r="DL365" s="366" t="str">
        <f t="shared" si="42"/>
        <v>-</v>
      </c>
      <c r="DM365" s="308" t="str">
        <f t="shared" si="43"/>
        <v>-</v>
      </c>
      <c r="DN365" s="306" t="str">
        <f t="shared" si="44"/>
        <v>-</v>
      </c>
      <c r="DO365" s="306" t="str">
        <f t="shared" si="45"/>
        <v>-</v>
      </c>
      <c r="DP365" s="367" t="str">
        <f t="shared" si="46"/>
        <v>✔</v>
      </c>
      <c r="DQ365" s="310" t="str">
        <f t="shared" si="47"/>
        <v>-</v>
      </c>
      <c r="DR365" s="310" t="str">
        <f t="shared" si="48"/>
        <v>-</v>
      </c>
      <c r="DS365" s="310" t="str">
        <f t="shared" si="49"/>
        <v>-</v>
      </c>
      <c r="DT365" s="310" t="str">
        <f t="shared" si="50"/>
        <v>-</v>
      </c>
      <c r="DU365" s="370" t="str">
        <f t="shared" si="51"/>
        <v>-</v>
      </c>
      <c r="DV365" s="306" t="str">
        <f t="shared" si="52"/>
        <v>-</v>
      </c>
      <c r="DW365" s="306" t="str">
        <f t="shared" si="53"/>
        <v>-</v>
      </c>
      <c r="DX365" s="306" t="str">
        <f t="shared" si="54"/>
        <v>-</v>
      </c>
      <c r="DY365" s="306" t="str">
        <f t="shared" si="55"/>
        <v>-</v>
      </c>
      <c r="DZ365" s="306" t="str">
        <f t="shared" si="56"/>
        <v>-</v>
      </c>
      <c r="EA365" s="367" t="str">
        <f t="shared" si="57"/>
        <v>-</v>
      </c>
      <c r="EB365" s="310" t="str">
        <f>IFERROR(__xludf.DUMMYFUNCTION("IF(REGEXMATCH(AW365,AS365),""✔"",""-"")"),"✔")</f>
        <v>✔</v>
      </c>
      <c r="EC365" s="310" t="str">
        <f t="shared" si="58"/>
        <v>#REF!</v>
      </c>
      <c r="ED365" s="370" t="str">
        <f t="shared" si="59"/>
        <v>-</v>
      </c>
      <c r="EE365" s="340" t="str">
        <f t="shared" si="60"/>
        <v>S-R-G-M-P-D-N-S</v>
      </c>
      <c r="EF365" s="371" t="str">
        <f>IFERROR(__xludf.DUMMYFUNCTION("CONCATENATE(JOIN("""",HC365:HO365))"),"SrgmMdnS")</f>
        <v>SrgmMdnS</v>
      </c>
      <c r="EG365" s="372">
        <f t="shared" si="61"/>
        <v>1</v>
      </c>
      <c r="EH365" s="373" t="str">
        <f>IFERROR(__xludf.DUMMYFUNCTION("CONCATENATE(JOIN("""",JC365:JO365))"),"Ma, ")</f>
        <v>Ma, </v>
      </c>
      <c r="EI365" s="322">
        <f t="shared" si="62"/>
        <v>0</v>
      </c>
      <c r="EJ365" s="374" t="str">
        <f>IFERROR(__xludf.DUMMYFUNCTION("CONCATENATE(JOIN("""",KC365:KO365))"),"")</f>
        <v/>
      </c>
      <c r="EK365" s="325" t="str">
        <f t="shared" si="63"/>
        <v>S-R2-G3-M2-P-D2-N3-S</v>
      </c>
      <c r="EL365" s="326" t="str">
        <f t="shared" si="64"/>
        <v>1-2-3-#4-5-6-7-8</v>
      </c>
      <c r="EM365" s="318" t="str">
        <f t="shared" si="65"/>
        <v>#REF!</v>
      </c>
      <c r="EN365" s="328" t="str">
        <f>IFERROR(__xludf.DUMMYFUNCTION("SUBSTITUTE(SUBSTITUTE(SUBSTITUTE(SUBSTITUTE(CONCATENATE(JOIN("" "",HP365:IB365)),""  "","" ""),""  "","" ""),""  "","" ""),""  "","" "")"),"o • o • o • o o • o • o o")</f>
        <v>o • o • o • o o • o • o o</v>
      </c>
      <c r="EO365" s="368" t="str">
        <f t="shared" si="66"/>
        <v>Sa-Pa</v>
      </c>
      <c r="EP365" s="339" t="str">
        <f t="shared" si="67"/>
        <v>Sa-Pa</v>
      </c>
      <c r="EQ365" s="339" t="str">
        <f t="shared" si="68"/>
        <v>Sa-Pa</v>
      </c>
      <c r="ER365" s="339" t="str">
        <f t="shared" si="69"/>
        <v>-</v>
      </c>
      <c r="ES365" s="340" t="str">
        <f t="shared" si="70"/>
        <v>-</v>
      </c>
      <c r="ET365" s="363"/>
      <c r="EU365" s="376" t="b">
        <f>IFERROR(__xludf.DUMMYFUNCTION("arrayformula(sum(--REGEXMATCH(""SRGMPDNS"",split(REGEXREPLACE(C365,""(.)"",""$1~""),""~""))))=len(C365)
"),TRUE)</f>
        <v>1</v>
      </c>
      <c r="EV365" s="290" t="b">
        <f>IFERROR(__xludf.DUMMYFUNCTION("arrayformula(sum(--REGEXMATCH(""SRGmPDNS"",split(REGEXREPLACE(C365,""(.)"",""$1~""),""~""))))=len(C365)"),FALSE)</f>
        <v>0</v>
      </c>
      <c r="EW365" s="290" t="b">
        <f>IFERROR(__xludf.DUMMYFUNCTION("arrayformula(sum(--REGEXMATCH(""SRGmPDnS"",split(REGEXREPLACE(C365,""(.)"",""$1~""),""~""))))=len(C365)"),FALSE)</f>
        <v>0</v>
      </c>
      <c r="EX365" s="290" t="b">
        <f>IFERROR(__xludf.DUMMYFUNCTION("arrayformula(sum(--REGEXMATCH(""SRgmPDnS"",split(REGEXREPLACE(C365,""(.)"",""$1~""),""~""))))=len(C365)"),FALSE)</f>
        <v>0</v>
      </c>
      <c r="EY365" s="290" t="b">
        <f>IFERROR(__xludf.DUMMYFUNCTION("arrayformula(sum(--REGEXMATCH(""SRgmPdnS"",split(REGEXREPLACE(C365,""(.)"",""$1~""),""~""))))=len(C365)"),FALSE)</f>
        <v>0</v>
      </c>
      <c r="EZ365" s="290" t="b">
        <f>IFERROR(__xludf.DUMMYFUNCTION("arrayformula(sum(--REGEXMATCH(""SrgmPdnS"",split(REGEXREPLACE(C365,""(.)"",""$1~""),""~""))))=len(C365)"),FALSE)</f>
        <v>0</v>
      </c>
      <c r="FA365" s="290" t="b">
        <f>IFERROR(__xludf.DUMMYFUNCTION("arrayformula(sum(--REGEXMATCH(""SrGmPdNS"",split(REGEXREPLACE(C365,""(.)"",""$1~""),""~""))))=len(C365)"),FALSE)</f>
        <v>0</v>
      </c>
      <c r="FB365" s="290" t="b">
        <f>IFERROR(__xludf.DUMMYFUNCTION("arrayformula(sum(--REGEXMATCH(""SrGMPDNS"",split(REGEXREPLACE(C365,""(.)"",""$1~""),""~""))))=len(C365)"),FALSE)</f>
        <v>0</v>
      </c>
      <c r="FC365" s="290" t="b">
        <f>IFERROR(__xludf.DUMMYFUNCTION("arrayformula(sum(--REGEXMATCH(""SrGMPdNS"",split(REGEXREPLACE(C365,""(.)"",""$1~""),""~""))))=len(C365)"),FALSE)</f>
        <v>0</v>
      </c>
      <c r="FD365" s="377" t="b">
        <f>IFERROR(__xludf.DUMMYFUNCTION("arrayformula(sum(--REGEXMATCH(""SrgMPdNS"",split(REGEXREPLACE(C365,""(.)"",""$1~""),""~""))))=len(C365)"),FALSE)</f>
        <v>0</v>
      </c>
      <c r="FE365" s="269" t="str">
        <f t="shared" si="71"/>
        <v>-</v>
      </c>
      <c r="FF365" s="269" t="str">
        <f t="shared" si="72"/>
        <v>xoxoxxoxoxx</v>
      </c>
      <c r="FG365" s="271" t="str">
        <f t="shared" si="73"/>
        <v>-</v>
      </c>
      <c r="FH365" s="269" t="str">
        <f t="shared" si="74"/>
        <v>xoxxoxoxxox</v>
      </c>
      <c r="FI365" s="271" t="str">
        <f t="shared" si="75"/>
        <v>-</v>
      </c>
      <c r="FJ365" s="271" t="str">
        <f t="shared" si="76"/>
        <v>xxoxoxxoxox</v>
      </c>
      <c r="FK365" s="271" t="str">
        <f t="shared" si="77"/>
        <v>xoxoxxoxoxo</v>
      </c>
      <c r="FL365" s="271" t="str">
        <f t="shared" si="78"/>
        <v>-</v>
      </c>
      <c r="FM365" s="271" t="str">
        <f t="shared" si="79"/>
        <v>xoxxoxoxoxx</v>
      </c>
      <c r="FN365" s="271" t="str">
        <f t="shared" si="80"/>
        <v>-</v>
      </c>
      <c r="FO365" s="274" t="str">
        <f t="shared" si="81"/>
        <v>xxoxoxoxxox</v>
      </c>
      <c r="FP365" s="234" t="str">
        <f t="shared" si="82"/>
        <v>|</v>
      </c>
      <c r="FQ365" s="236" t="str">
        <f t="shared" si="83"/>
        <v>-</v>
      </c>
      <c r="FR365" s="237" t="str">
        <f t="shared" si="84"/>
        <v>|</v>
      </c>
      <c r="FS365" s="236" t="str">
        <f t="shared" si="85"/>
        <v>-</v>
      </c>
      <c r="FT365" s="237" t="str">
        <f t="shared" si="86"/>
        <v>|</v>
      </c>
      <c r="FU365" s="236" t="str">
        <f t="shared" si="87"/>
        <v>-</v>
      </c>
      <c r="FV365" s="237" t="str">
        <f t="shared" si="88"/>
        <v>|</v>
      </c>
      <c r="FW365" s="236" t="str">
        <f t="shared" si="89"/>
        <v>|</v>
      </c>
      <c r="FX365" s="237" t="str">
        <f t="shared" si="90"/>
        <v>-</v>
      </c>
      <c r="FY365" s="236" t="str">
        <f t="shared" si="91"/>
        <v>|</v>
      </c>
      <c r="FZ365" s="237" t="str">
        <f t="shared" si="92"/>
        <v>-</v>
      </c>
      <c r="GA365" s="236" t="str">
        <f t="shared" si="93"/>
        <v>|</v>
      </c>
      <c r="GB365" s="238" t="str">
        <f t="shared" si="94"/>
        <v>|</v>
      </c>
      <c r="GC365" s="244" t="str">
        <f>IFERROR(__xludf.DUMMYFUNCTION("IF(REGEXMATCH(C365, ""S""), ""1"","""")"),"1")</f>
        <v>1</v>
      </c>
      <c r="GD365" s="245" t="str">
        <f>IFERROR(__xludf.DUMMYFUNCTION("IF(REGEXMATCH(C365, ""r""), ""b2"","""")"),"")</f>
        <v/>
      </c>
      <c r="GE365" s="246" t="str">
        <f>IFERROR(__xludf.DUMMYFUNCTION("IF(REGEXMATCH(C365, ""R""), ""2"","""")"),"2")</f>
        <v>2</v>
      </c>
      <c r="GF365" s="246" t="str">
        <f>IFERROR(__xludf.DUMMYFUNCTION("IF(REGEXMATCH(C365, ""g""), ""b3"","""")"),"")</f>
        <v/>
      </c>
      <c r="GG365" s="245" t="str">
        <f>IFERROR(__xludf.DUMMYFUNCTION("IF(REGEXMATCH(C365, ""G""), ""3"","""")"),"3")</f>
        <v>3</v>
      </c>
      <c r="GH365" s="245" t="str">
        <f>IFERROR(__xludf.DUMMYFUNCTION("IF(REGEXMATCH(C365, ""m""), ""4"","""")"),"")</f>
        <v/>
      </c>
      <c r="GI365" s="246" t="str">
        <f>IFERROR(__xludf.DUMMYFUNCTION("IF(REGEXMATCH(C365, ""M""), ""#4"","""")"),"#4")</f>
        <v>#4</v>
      </c>
      <c r="GJ365" s="245" t="str">
        <f>IFERROR(__xludf.DUMMYFUNCTION("IF(REGEXMATCH(C365, ""P""), ""5"","""")"),"5")</f>
        <v>5</v>
      </c>
      <c r="GK365" s="246" t="str">
        <f>IFERROR(__xludf.DUMMYFUNCTION("IF(REGEXMATCH(C365, ""d""), ""b6"","""")"),"")</f>
        <v/>
      </c>
      <c r="GL365" s="245" t="str">
        <f>IFERROR(__xludf.DUMMYFUNCTION("IF(REGEXMATCH(C365, ""D""), ""6"","""")"),"6")</f>
        <v>6</v>
      </c>
      <c r="GM365" s="245" t="str">
        <f>IFERROR(__xludf.DUMMYFUNCTION("IF(REGEXMATCH(C365, ""n""), ""b7"","""")"),"")</f>
        <v/>
      </c>
      <c r="GN365" s="246" t="str">
        <f>IFERROR(__xludf.DUMMYFUNCTION("IF(REGEXMATCH(C365, ""N""), ""7"","""")"),"7")</f>
        <v>7</v>
      </c>
      <c r="GO365" s="249" t="str">
        <f>IFERROR(__xludf.DUMMYFUNCTION("IF(REGEXMATCH(C365, ""S""), ""8"","""")"),"8")</f>
        <v>8</v>
      </c>
      <c r="GP365" s="244" t="str">
        <f>IFERROR(__xludf.DUMMYFUNCTION("IF(REGEXMATCH(C365, ""S""), ""S"","""")"),"S")</f>
        <v>S</v>
      </c>
      <c r="GQ365" s="294" t="str">
        <f>IFERROR(__xludf.DUMMYFUNCTION("IF(REGEXMATCH(C365, ""r""), ""R1"","""")"),"")</f>
        <v/>
      </c>
      <c r="GR365" s="295" t="str">
        <f>IFERROR(__xludf.DUMMYFUNCTION("IF(REGEXMATCH(C365, ""R""), ""R2"","""")"),"R2")</f>
        <v>R2</v>
      </c>
      <c r="GS365" s="295" t="str">
        <f>IFERROR(__xludf.DUMMYFUNCTION("IF(REGEXMATCH(C365, ""g""), ""G2"","""")"),"")</f>
        <v/>
      </c>
      <c r="GT365" s="294" t="str">
        <f>IFERROR(__xludf.DUMMYFUNCTION("IF(REGEXMATCH(C365, ""G""), ""G3"","""")"),"G3")</f>
        <v>G3</v>
      </c>
      <c r="GU365" s="294" t="str">
        <f>IFERROR(__xludf.DUMMYFUNCTION("IF(REGEXMATCH(C365, ""m""), ""M1"","""")"),"")</f>
        <v/>
      </c>
      <c r="GV365" s="295" t="str">
        <f>IFERROR(__xludf.DUMMYFUNCTION("IF(REGEXMATCH(C365, ""M""), ""M2"","""")"),"M2")</f>
        <v>M2</v>
      </c>
      <c r="GW365" s="294" t="str">
        <f>IFERROR(__xludf.DUMMYFUNCTION("IF(REGEXMATCH(C365, ""P""), ""P"","""")"),"P")</f>
        <v>P</v>
      </c>
      <c r="GX365" s="295" t="str">
        <f>IFERROR(__xludf.DUMMYFUNCTION("IF(REGEXMATCH(C365, ""d""), ""D1"","""")"),"")</f>
        <v/>
      </c>
      <c r="GY365" s="294" t="str">
        <f>IFERROR(__xludf.DUMMYFUNCTION("IF(REGEXMATCH(C365, ""D""), ""D2"","""")"),"D2")</f>
        <v>D2</v>
      </c>
      <c r="GZ365" s="294" t="str">
        <f>IFERROR(__xludf.DUMMYFUNCTION("IF(REGEXMATCH(C365, ""n""), ""N2"","""")"),"")</f>
        <v/>
      </c>
      <c r="HA365" s="295" t="str">
        <f>IFERROR(__xludf.DUMMYFUNCTION("IF(REGEXMATCH(C365, ""N""), ""N3"","""")"),"N3")</f>
        <v>N3</v>
      </c>
      <c r="HB365" s="249" t="str">
        <f>IFERROR(__xludf.DUMMYFUNCTION("IF(REGEXMATCH(C365, ""S""), ""S"","""")"),"S")</f>
        <v>S</v>
      </c>
      <c r="HC365" s="331" t="str">
        <f t="shared" si="95"/>
        <v>S</v>
      </c>
      <c r="HD365" s="332" t="str">
        <f t="shared" si="96"/>
        <v>r</v>
      </c>
      <c r="HE365" s="332" t="str">
        <f t="shared" si="97"/>
        <v/>
      </c>
      <c r="HF365" s="332" t="str">
        <f t="shared" si="98"/>
        <v>g</v>
      </c>
      <c r="HG365" s="332" t="str">
        <f t="shared" si="99"/>
        <v/>
      </c>
      <c r="HH365" s="332" t="str">
        <f t="shared" si="100"/>
        <v>m</v>
      </c>
      <c r="HI365" s="332" t="str">
        <f t="shared" si="101"/>
        <v>M</v>
      </c>
      <c r="HJ365" s="332" t="str">
        <f t="shared" si="102"/>
        <v/>
      </c>
      <c r="HK365" s="332" t="str">
        <f t="shared" si="103"/>
        <v>d</v>
      </c>
      <c r="HL365" s="332" t="str">
        <f t="shared" si="104"/>
        <v/>
      </c>
      <c r="HM365" s="332" t="str">
        <f t="shared" si="105"/>
        <v>n</v>
      </c>
      <c r="HN365" s="332" t="str">
        <f t="shared" si="106"/>
        <v/>
      </c>
      <c r="HO365" s="343" t="str">
        <f t="shared" si="107"/>
        <v>S</v>
      </c>
      <c r="HP365" s="331" t="str">
        <f t="shared" si="108"/>
        <v>o</v>
      </c>
      <c r="HQ365" s="332" t="str">
        <f t="shared" si="109"/>
        <v>•</v>
      </c>
      <c r="HR365" s="332" t="str">
        <f t="shared" si="110"/>
        <v>o</v>
      </c>
      <c r="HS365" s="332" t="str">
        <f t="shared" si="111"/>
        <v>•</v>
      </c>
      <c r="HT365" s="332" t="str">
        <f t="shared" si="112"/>
        <v>o</v>
      </c>
      <c r="HU365" s="332" t="str">
        <f t="shared" si="113"/>
        <v>•</v>
      </c>
      <c r="HV365" s="332" t="str">
        <f t="shared" si="114"/>
        <v>o</v>
      </c>
      <c r="HW365" s="332" t="str">
        <f t="shared" si="115"/>
        <v>o</v>
      </c>
      <c r="HX365" s="332" t="str">
        <f t="shared" si="116"/>
        <v>•</v>
      </c>
      <c r="HY365" s="332" t="str">
        <f t="shared" si="117"/>
        <v>o</v>
      </c>
      <c r="HZ365" s="332" t="str">
        <f t="shared" si="118"/>
        <v>•</v>
      </c>
      <c r="IA365" s="332" t="str">
        <f t="shared" si="119"/>
        <v>o</v>
      </c>
      <c r="IB365" s="338" t="str">
        <f t="shared" si="120"/>
        <v>o</v>
      </c>
      <c r="IC365" s="331" t="str">
        <f t="shared" si="121"/>
        <v>•</v>
      </c>
      <c r="ID365" s="332" t="str">
        <f t="shared" si="122"/>
        <v>o</v>
      </c>
      <c r="IE365" s="332" t="str">
        <f t="shared" si="123"/>
        <v>•</v>
      </c>
      <c r="IF365" s="332" t="str">
        <f t="shared" si="124"/>
        <v>o</v>
      </c>
      <c r="IG365" s="332" t="str">
        <f t="shared" si="125"/>
        <v>•</v>
      </c>
      <c r="IH365" s="332" t="str">
        <f t="shared" si="126"/>
        <v>o</v>
      </c>
      <c r="II365" s="332" t="str">
        <f t="shared" si="127"/>
        <v>•</v>
      </c>
      <c r="IJ365" s="332" t="str">
        <f t="shared" si="128"/>
        <v>•</v>
      </c>
      <c r="IK365" s="332" t="str">
        <f t="shared" si="129"/>
        <v>o</v>
      </c>
      <c r="IL365" s="332" t="str">
        <f t="shared" si="130"/>
        <v>•</v>
      </c>
      <c r="IM365" s="332" t="str">
        <f t="shared" si="131"/>
        <v>o</v>
      </c>
      <c r="IN365" s="332" t="str">
        <f t="shared" si="132"/>
        <v>•</v>
      </c>
      <c r="IO365" s="338" t="str">
        <f t="shared" si="133"/>
        <v>•</v>
      </c>
      <c r="IP365" s="346" t="b">
        <f t="shared" si="134"/>
        <v>0</v>
      </c>
      <c r="IQ365" s="347" t="b">
        <f t="shared" si="135"/>
        <v>0</v>
      </c>
      <c r="IR365" s="347" t="b">
        <f t="shared" si="136"/>
        <v>0</v>
      </c>
      <c r="IS365" s="347" t="b">
        <f t="shared" si="137"/>
        <v>0</v>
      </c>
      <c r="IT365" s="347" t="b">
        <f t="shared" si="138"/>
        <v>0</v>
      </c>
      <c r="IU365" s="347" t="b">
        <f t="shared" si="139"/>
        <v>0</v>
      </c>
      <c r="IV365" s="347" t="b">
        <f t="shared" si="140"/>
        <v>1</v>
      </c>
      <c r="IW365" s="347" t="b">
        <f t="shared" si="141"/>
        <v>0</v>
      </c>
      <c r="IX365" s="347" t="b">
        <f t="shared" si="142"/>
        <v>0</v>
      </c>
      <c r="IY365" s="347" t="b">
        <f t="shared" si="143"/>
        <v>0</v>
      </c>
      <c r="IZ365" s="347" t="b">
        <f t="shared" si="144"/>
        <v>0</v>
      </c>
      <c r="JA365" s="347" t="b">
        <f t="shared" si="145"/>
        <v>0</v>
      </c>
      <c r="JB365" s="353" t="b">
        <f t="shared" si="146"/>
        <v>0</v>
      </c>
      <c r="JC365" s="354" t="str">
        <f t="shared" si="147"/>
        <v/>
      </c>
      <c r="JD365" s="355" t="str">
        <f t="shared" si="148"/>
        <v/>
      </c>
      <c r="JE365" s="355" t="str">
        <f t="shared" si="149"/>
        <v/>
      </c>
      <c r="JF365" s="355" t="str">
        <f t="shared" si="150"/>
        <v/>
      </c>
      <c r="JG365" s="355" t="str">
        <f t="shared" si="151"/>
        <v/>
      </c>
      <c r="JH365" s="355" t="str">
        <f t="shared" si="152"/>
        <v/>
      </c>
      <c r="JI365" s="355" t="str">
        <f t="shared" si="153"/>
        <v>Ma, </v>
      </c>
      <c r="JJ365" s="355" t="str">
        <f t="shared" si="154"/>
        <v/>
      </c>
      <c r="JK365" s="355" t="str">
        <f t="shared" si="155"/>
        <v/>
      </c>
      <c r="JL365" s="355" t="str">
        <f t="shared" si="156"/>
        <v/>
      </c>
      <c r="JM365" s="355" t="str">
        <f t="shared" si="157"/>
        <v/>
      </c>
      <c r="JN365" s="355" t="str">
        <f t="shared" si="158"/>
        <v/>
      </c>
      <c r="JO365" s="359" t="str">
        <f t="shared" si="159"/>
        <v/>
      </c>
      <c r="JP365" s="346" t="b">
        <f t="shared" si="160"/>
        <v>0</v>
      </c>
      <c r="JQ365" s="347" t="b">
        <f t="shared" si="161"/>
        <v>0</v>
      </c>
      <c r="JR365" s="347" t="b">
        <f t="shared" si="162"/>
        <v>0</v>
      </c>
      <c r="JS365" s="347" t="b">
        <f t="shared" si="163"/>
        <v>0</v>
      </c>
      <c r="JT365" s="347" t="b">
        <f t="shared" si="164"/>
        <v>0</v>
      </c>
      <c r="JU365" s="347" t="b">
        <f t="shared" si="165"/>
        <v>0</v>
      </c>
      <c r="JV365" s="347" t="b">
        <f t="shared" si="166"/>
        <v>0</v>
      </c>
      <c r="JW365" s="347" t="b">
        <f t="shared" si="167"/>
        <v>0</v>
      </c>
      <c r="JX365" s="347" t="b">
        <f t="shared" si="168"/>
        <v>0</v>
      </c>
      <c r="JY365" s="347" t="b">
        <f t="shared" si="169"/>
        <v>0</v>
      </c>
      <c r="JZ365" s="347" t="b">
        <f t="shared" si="170"/>
        <v>0</v>
      </c>
      <c r="KA365" s="347" t="b">
        <f t="shared" si="171"/>
        <v>0</v>
      </c>
      <c r="KB365" s="365" t="b">
        <f t="shared" si="172"/>
        <v>0</v>
      </c>
      <c r="KC365" s="354" t="str">
        <f t="shared" si="173"/>
        <v/>
      </c>
      <c r="KD365" s="355" t="str">
        <f t="shared" si="174"/>
        <v/>
      </c>
      <c r="KE365" s="355" t="str">
        <f t="shared" si="175"/>
        <v/>
      </c>
      <c r="KF365" s="355" t="str">
        <f t="shared" si="176"/>
        <v/>
      </c>
      <c r="KG365" s="355" t="str">
        <f t="shared" si="177"/>
        <v/>
      </c>
      <c r="KH365" s="355" t="str">
        <f t="shared" si="178"/>
        <v/>
      </c>
      <c r="KI365" s="355" t="str">
        <f t="shared" si="179"/>
        <v/>
      </c>
      <c r="KJ365" s="355" t="str">
        <f t="shared" si="180"/>
        <v/>
      </c>
      <c r="KK365" s="355" t="str">
        <f t="shared" si="181"/>
        <v/>
      </c>
      <c r="KL365" s="355" t="str">
        <f t="shared" si="182"/>
        <v/>
      </c>
      <c r="KM365" s="355" t="str">
        <f t="shared" si="183"/>
        <v/>
      </c>
      <c r="KN365" s="355" t="str">
        <f t="shared" si="184"/>
        <v/>
      </c>
      <c r="KO365" s="359"/>
      <c r="KP365" s="378"/>
      <c r="KQ365" s="379" t="s">
        <v>208</v>
      </c>
      <c r="KR365" s="380" t="s">
        <v>1454</v>
      </c>
      <c r="KS365" s="381" t="str">
        <f t="shared" si="965"/>
        <v>S-R-G-M-P-D-N-S</v>
      </c>
      <c r="KT365" s="382">
        <f t="shared" si="186"/>
        <v>7</v>
      </c>
      <c r="KU365" s="383">
        <f t="shared" si="187"/>
        <v>7</v>
      </c>
      <c r="KV365" s="381" t="str">
        <f t="shared" si="205"/>
        <v>S-N-D-P-M-G-R-S</v>
      </c>
      <c r="KW365" s="382">
        <f t="shared" si="189"/>
        <v>7</v>
      </c>
      <c r="KX365" s="384">
        <f t="shared" si="190"/>
        <v>7</v>
      </c>
      <c r="KY365" s="382">
        <f t="shared" ref="KY365:KZ365" si="966">KW365-KT365</f>
        <v>0</v>
      </c>
      <c r="KZ365" s="369">
        <f t="shared" si="966"/>
        <v>0</v>
      </c>
      <c r="LA365" s="385" t="str">
        <f t="shared" si="192"/>
        <v>✔</v>
      </c>
      <c r="LB365" s="340" t="str">
        <f>IFERROR(__xludf.DUMMYFUNCTION("JOIN("""",ArrayFormula(MID(KS365,LEN(KS365)-SEQUENCE(1,LEN(KS365))+1,1)))"),"S-N-D-P-M-G-R-S")</f>
        <v>S-N-D-P-M-G-R-S</v>
      </c>
      <c r="LC365" s="373" t="str">
        <f>IFERROR(__xludf.DUMMYFUNCTION("JOIN("""",ArrayFormula(MID(KV365,LEN(KV365)-SEQUENCE(1,LEN(KV365))+1,1)))"),"S-R-G-M-P-D-N-S")</f>
        <v>S-R-G-M-P-D-N-S</v>
      </c>
      <c r="LD365" s="373" t="str">
        <f t="shared" si="193"/>
        <v>SRGMPDNS</v>
      </c>
      <c r="LE365" s="339" t="str">
        <f t="shared" si="194"/>
        <v>SRGMPDNS</v>
      </c>
      <c r="LF365" s="386" t="str">
        <f>IFERROR(__xludf.DUMMYFUNCTION("SUBSTITUTE(SUBSTITUTE(CONCATENATE(JOIN("""",LH365:LT365)),""1"",""""),""2"","""")"),"SRGMPDNS")</f>
        <v>SRGMPDNS</v>
      </c>
      <c r="LG365" s="369" t="str">
        <f t="shared" si="195"/>
        <v>✔</v>
      </c>
      <c r="LH365" s="387" t="str">
        <f>IFERROR(__xludf.DUMMYFUNCTION("IF(REGEXMATCH(LD365, ""S""), ""S"",IF(REGEXMATCH(LE365, ""S""), ""S"",""""))"),"S")</f>
        <v>S</v>
      </c>
      <c r="LI365" s="299" t="str">
        <f>IFERROR(__xludf.DUMMYFUNCTION("IF(REGEXMATCH(LD365, ""r""), ""r1"",IF(REGEXMATCH(LE365, ""r""), ""r2"",""""))"),"")</f>
        <v/>
      </c>
      <c r="LJ365" s="299" t="str">
        <f>IFERROR(__xludf.DUMMYFUNCTION("IF(REGEXMATCH(LD365, ""R""), ""R1"",IF(REGEXMATCH(LE365, ""R""), ""R2"",""""))"),"R1")</f>
        <v>R1</v>
      </c>
      <c r="LK365" s="299" t="str">
        <f>IFERROR(__xludf.DUMMYFUNCTION("IF(REGEXMATCH(LD365, ""g""), ""g1"",IF(REGEXMATCH(LE365, ""g""), ""g2"",""""))"),"")</f>
        <v/>
      </c>
      <c r="LL365" s="299" t="str">
        <f>IFERROR(__xludf.DUMMYFUNCTION("IF(REGEXMATCH(LD365, ""G""), ""G1"",IF(REGEXMATCH(LE365, ""G""), ""G2"",""""))"),"G1")</f>
        <v>G1</v>
      </c>
      <c r="LM365" s="299" t="str">
        <f>IFERROR(__xludf.DUMMYFUNCTION("IF(REGEXMATCH(LD365, ""m""), ""m1"",IF(REGEXMATCH(LE365, ""m""), ""m2"",""""))"),"")</f>
        <v/>
      </c>
      <c r="LN365" s="299" t="str">
        <f>IFERROR(__xludf.DUMMYFUNCTION("IF(REGEXMATCH(LD365, ""M""), ""M1"",IF(REGEXMATCH(LE365, ""M""), ""M2"",""""))"),"M1")</f>
        <v>M1</v>
      </c>
      <c r="LO365" s="299" t="str">
        <f>IFERROR(__xludf.DUMMYFUNCTION("IF(REGEXMATCH(LD365, ""P""), ""P1"",IF(REGEXMATCH(LE365, ""P""), ""P2"",""""))"),"P1")</f>
        <v>P1</v>
      </c>
      <c r="LP365" s="299" t="str">
        <f>IFERROR(__xludf.DUMMYFUNCTION("IF(REGEXMATCH(LD365, ""d""), ""d1"",IF(REGEXMATCH(LE365, ""d""), ""d2"",""""))"),"")</f>
        <v/>
      </c>
      <c r="LQ365" s="299" t="str">
        <f>IFERROR(__xludf.DUMMYFUNCTION("IF(REGEXMATCH(LD365, ""D""), ""D1"",IF(REGEXMATCH(LE365, ""D""), ""D2"",""""))"),"D1")</f>
        <v>D1</v>
      </c>
      <c r="LR365" s="299" t="str">
        <f>IFERROR(__xludf.DUMMYFUNCTION("IF(REGEXMATCH(LD365, ""n""), ""n1"",IF(REGEXMATCH(LE365, ""n""), ""n2"",""""))"),"")</f>
        <v/>
      </c>
      <c r="LS365" s="299" t="str">
        <f>IFERROR(__xludf.DUMMYFUNCTION("IF(REGEXMATCH(LD365, ""N""), ""N1"",IF(REGEXMATCH(LE365, ""N""), ""N2"",""""))"),"N1")</f>
        <v>N1</v>
      </c>
      <c r="LT365" s="388" t="str">
        <f>IFERROR(__xludf.DUMMYFUNCTION("IF(REGEXMATCH(LD365, ""S""), ""S"",IF(REGEXMATCH(LE365, ""S""), ""S"",""""))"),"S")</f>
        <v>S</v>
      </c>
      <c r="LU365" s="389">
        <f t="shared" si="196"/>
        <v>1</v>
      </c>
      <c r="LV365" s="378"/>
      <c r="LW365" s="369"/>
      <c r="LX365" s="369"/>
    </row>
    <row r="366" ht="18.0" customHeight="1">
      <c r="A366" s="298" t="s">
        <v>1511</v>
      </c>
      <c r="B366" s="222" t="s">
        <v>632</v>
      </c>
      <c r="C366" s="233" t="str">
        <f t="shared" si="7"/>
        <v>SRGmMPDNS</v>
      </c>
      <c r="D366" s="234" t="str">
        <f>IFERROR(__xludf.DUMMYFUNCTION("IF(REGEXMATCH(C366, ""S""), ""S"","""")"),"S")</f>
        <v>S</v>
      </c>
      <c r="E366" s="236" t="str">
        <f>IFERROR(__xludf.DUMMYFUNCTION("IF(REGEXMATCH(C366, ""r""), ""r"","""")"),"")</f>
        <v/>
      </c>
      <c r="F366" s="237" t="str">
        <f>IFERROR(__xludf.DUMMYFUNCTION("IF(REGEXMATCH(C366, ""R""), ""R"","""")"),"R")</f>
        <v>R</v>
      </c>
      <c r="G366" s="237" t="str">
        <f>IFERROR(__xludf.DUMMYFUNCTION("IF(REGEXMATCH(C366, ""g""), ""g"","""")"),"")</f>
        <v/>
      </c>
      <c r="H366" s="236" t="str">
        <f>IFERROR(__xludf.DUMMYFUNCTION("IF(REGEXMATCH(C366, ""G""), ""G"","""")"),"G")</f>
        <v>G</v>
      </c>
      <c r="I366" s="236" t="str">
        <f>IFERROR(__xludf.DUMMYFUNCTION("IF(REGEXMATCH(C366, ""m""), ""m"","""")"),"m")</f>
        <v>m</v>
      </c>
      <c r="J366" s="237" t="str">
        <f>IFERROR(__xludf.DUMMYFUNCTION("IF(REGEXMATCH(C366, ""M""), ""M"","""")"),"M")</f>
        <v>M</v>
      </c>
      <c r="K366" s="236" t="str">
        <f>IFERROR(__xludf.DUMMYFUNCTION("IF(REGEXMATCH(C366, ""P""), ""P"","""")"),"P")</f>
        <v>P</v>
      </c>
      <c r="L366" s="237" t="str">
        <f>IFERROR(__xludf.DUMMYFUNCTION("IF(REGEXMATCH(C366, ""d""), ""d"","""")"),"")</f>
        <v/>
      </c>
      <c r="M366" s="236" t="str">
        <f>IFERROR(__xludf.DUMMYFUNCTION("IF(REGEXMATCH(C366, ""D""), ""D"","""")"),"D")</f>
        <v>D</v>
      </c>
      <c r="N366" s="236" t="str">
        <f>IFERROR(__xludf.DUMMYFUNCTION("IF(REGEXMATCH(C366, ""n""), ""n"","""")"),"")</f>
        <v/>
      </c>
      <c r="O366" s="237" t="str">
        <f>IFERROR(__xludf.DUMMYFUNCTION("IF(REGEXMATCH(C366, ""N""), ""N"","""")"),"N")</f>
        <v>N</v>
      </c>
      <c r="P366" s="238" t="str">
        <f>IFERROR(__xludf.DUMMYFUNCTION("IF(REGEXMATCH(C366, ""S""), ""S"","""")"),"S")</f>
        <v>S</v>
      </c>
      <c r="Q366" s="239" t="str">
        <f>IFERROR(__xludf.DUMMYFUNCTION("SUBSTITUTE(CONCATENATE(JOIN(""-"",D366:J366)),""-"","""")"),"SRGmM")</f>
        <v>SRGmM</v>
      </c>
      <c r="R366" s="229" t="str">
        <f>IFERROR(__xludf.DUMMYFUNCTION("SUBSTITUTE(CONCATENATE(JOIN(""-"",K366:P366)),""-"","""")"),"PDNS")</f>
        <v>PDNS</v>
      </c>
      <c r="S366" s="282" t="str">
        <f t="shared" si="8"/>
        <v>S-R-G-M</v>
      </c>
      <c r="T366" s="282" t="str">
        <f t="shared" si="9"/>
        <v>P-D-N-S</v>
      </c>
      <c r="U366" s="237" t="str">
        <f>IFERROR(__xludf.DUMMYFUNCTION("SUBSTITUTE(JOIN(""-"",S366,T366),""--"",""-"")"),"S-R-G-M-P-D-N-S")</f>
        <v>S-R-G-M-P-D-N-S</v>
      </c>
      <c r="V366" s="309" t="str">
        <f t="shared" si="10"/>
        <v>RGmMDN</v>
      </c>
      <c r="W366" s="244" t="str">
        <f>IFERROR(__xludf.DUMMYFUNCTION("IF(REGEXMATCH(C366, ""S""), ""0"","""")"),"0")</f>
        <v>0</v>
      </c>
      <c r="X366" s="245" t="str">
        <f>IFERROR(__xludf.DUMMYFUNCTION("IF(REGEXMATCH(C366, ""r""), ""1"","""")"),"")</f>
        <v/>
      </c>
      <c r="Y366" s="246" t="str">
        <f>IFERROR(__xludf.DUMMYFUNCTION("IF(REGEXMATCH(C366, ""R""), ""2"","""")"),"2")</f>
        <v>2</v>
      </c>
      <c r="Z366" s="246" t="str">
        <f>IFERROR(__xludf.DUMMYFUNCTION("IF(REGEXMATCH(C366, ""g""), ""3"","""")"),"")</f>
        <v/>
      </c>
      <c r="AA366" s="245" t="str">
        <f>IFERROR(__xludf.DUMMYFUNCTION("IF(REGEXMATCH(C366, ""G""), ""4"","""")"),"4")</f>
        <v>4</v>
      </c>
      <c r="AB366" s="245" t="str">
        <f>IFERROR(__xludf.DUMMYFUNCTION("IF(REGEXMATCH(C366, ""m""), ""5"","""")"),"5")</f>
        <v>5</v>
      </c>
      <c r="AC366" s="246" t="str">
        <f>IFERROR(__xludf.DUMMYFUNCTION("IF(REGEXMATCH(C366, ""M""), ""6"","""")"),"6")</f>
        <v>6</v>
      </c>
      <c r="AD366" s="245" t="str">
        <f>IFERROR(__xludf.DUMMYFUNCTION("IF(REGEXMATCH(C366, ""P""), ""7"","""")"),"7")</f>
        <v>7</v>
      </c>
      <c r="AE366" s="246" t="str">
        <f>IFERROR(__xludf.DUMMYFUNCTION("IF(REGEXMATCH(C366, ""d""), ""8"","""")"),"")</f>
        <v/>
      </c>
      <c r="AF366" s="245" t="str">
        <f>IFERROR(__xludf.DUMMYFUNCTION("IF(REGEXMATCH(C366, ""D""), ""9"","""")"),"9")</f>
        <v>9</v>
      </c>
      <c r="AG366" s="245" t="str">
        <f>IFERROR(__xludf.DUMMYFUNCTION("IF(REGEXMATCH(C366, ""n""), ""10"","""")"),"")</f>
        <v/>
      </c>
      <c r="AH366" s="246" t="str">
        <f>IFERROR(__xludf.DUMMYFUNCTION("IF(REGEXMATCH(C366, ""N""), ""11"","""")"),"11")</f>
        <v>11</v>
      </c>
      <c r="AI366" s="249" t="str">
        <f>IFERROR(__xludf.DUMMYFUNCTION("IF(REGEXMATCH(C366, ""S""), ""0"","""")"),"0")</f>
        <v>0</v>
      </c>
      <c r="AJ366" s="313" t="str">
        <f t="shared" si="11"/>
        <v>T</v>
      </c>
      <c r="AK366" s="313" t="str">
        <f t="shared" si="12"/>
        <v>-</v>
      </c>
      <c r="AL366" s="313" t="str">
        <f t="shared" si="13"/>
        <v>-</v>
      </c>
      <c r="AM366" s="313" t="str">
        <f t="shared" si="14"/>
        <v>-</v>
      </c>
      <c r="AN366" s="313" t="str">
        <f t="shared" si="15"/>
        <v>-</v>
      </c>
      <c r="AO366" s="314" t="str">
        <f t="shared" si="16"/>
        <v>T</v>
      </c>
      <c r="AP366" s="316">
        <f t="shared" si="17"/>
        <v>2</v>
      </c>
      <c r="AQ366" s="319" t="str">
        <f t="shared" si="18"/>
        <v>-</v>
      </c>
      <c r="AR366" s="320">
        <f t="shared" si="19"/>
        <v>0</v>
      </c>
      <c r="AS366" s="250" t="str">
        <f>IFERROR(__xludf.DUMMYFUNCTION("SUBSTITUTE(SUBSTITUTE(CONCATENATE(JOIN("""",FP366:GA366)),""|"",""x""),""-"",""o"")"),"xoxoxxxxoxox")</f>
        <v>xoxoxxxxoxox</v>
      </c>
      <c r="AT366" s="323" t="str">
        <f>IFERROR(__xludf.DUMMYFUNCTION("JOIN("""",AS366,AS366)"),"xoxoxxxxoxoxxoxoxxxxoxox")</f>
        <v>xoxoxxxxoxoxxoxoxxxxoxox</v>
      </c>
      <c r="AU366" s="256" t="str">
        <f>IFERROR(__xludf.DUMMYFUNCTION("JOIN("""",ArrayFormula(MID(AS366,LEN(AS366)-SEQUENCE(1,LEN(AS366))+1,1)))"),"xoxoxxxxoxox")</f>
        <v>xoxoxxxxoxox</v>
      </c>
      <c r="AV366" s="256" t="str">
        <f>IFERROR(__xludf.DUMMYFUNCTION("LEFT(CONCATENATE(""x"",JOIN("""",ArrayFormula(MID(AS366,LEN(AS366)-SEQUENCE(1,LEN(AS366))+1,1)))),12)"),"xxoxoxxxxoxo")</f>
        <v>xxoxoxxxxoxo</v>
      </c>
      <c r="AW366" s="327" t="str">
        <f>IFERROR(__xludf.DUMMYFUNCTION("JOIN("""",AU366,AU366)"),"xoxoxxxxoxoxxoxoxxxxoxox")</f>
        <v>xoxoxxxxoxoxxoxoxxxxoxox</v>
      </c>
      <c r="AX366" s="239" t="str">
        <f>IFERROR(__xludf.DUMMYFUNCTION("IF(REGEXMATCH(AW366,AS366),""✔"",""-"")"),"✔")</f>
        <v>✔</v>
      </c>
      <c r="AY366" s="330" t="str">
        <f t="shared" si="20"/>
        <v>-</v>
      </c>
      <c r="AZ366" s="260" t="str">
        <f t="shared" si="21"/>
        <v>#REF!</v>
      </c>
      <c r="BA366" s="333" t="str">
        <f t="shared" si="22"/>
        <v>xoxoxxx</v>
      </c>
      <c r="BB366" s="334" t="str">
        <f t="shared" si="23"/>
        <v>xoxoxx</v>
      </c>
      <c r="BC366" s="335" t="str">
        <f t="shared" si="236"/>
        <v>✔</v>
      </c>
      <c r="BD366" s="336" t="str">
        <f t="shared" si="25"/>
        <v>Yaman Kalyan: 'xoxoxxx' + 'xoxoxx'</v>
      </c>
      <c r="BE366" s="337">
        <f>IFERROR(__xludf.DUMMYFUNCTION("COUNTUNIQUE(FILTER(AT:AT,REGEXMATCH(AT:AT,AS366)))-1"),3.0)</f>
        <v>3</v>
      </c>
      <c r="BF366" s="261" t="str">
        <f>IFERROR(__xludf.DUMMYFUNCTION("IF(BI366=0,""(n/a)"",IF(BJ366=2,""(PAIR)"",IF(REGEXMATCH(AT366,""xoxoxxoxoxox""),""Bilawal"",IF(REGEXMATCH(AT366,""xoxoxooxoxoo""),""Bhupali"",IF(REGEXMATCH(AT366,""xoxoxxoxxoxo""),""Charukeshi"",IF(REGEXMATCH(AT366,""xoxoooxxoxxo""),""Kameshwari"",IF(REG"&amp;"EXMATCH(AT366,""xoxoxooxoxox""),""Shankara"",IF(REGEXMATCH(AT366,""xxooxoxxxoox""),""Basant"",IF(REGEXMATCH(AT366,""xoxoxxxxoxox""),""Bihag"",IF(REGEXMATCH(AT366,""xoxxxxoxoxxx""),""Pilu"",IF(REGEXMATCH(AT366,""xoxxoxoxxoox""),""Kirwani"",IF(REGEXMATCH(AT"&amp;"366,""xoxxoxoxoxxx""),""Mk.Malhar"",IF(REGEXMATCH(AT366,""xxooxxoxxoox""),""Bhairav"",IF(REGEXMATCH(AT366,""xxoxooxxxoox""),""Todi"",IF(REGEXMATCH(AT366,""xxooxoxooxox""),""Marwa"",IF(REGEXMATCH(AT366,""xxoooxoxxooo""),""Gunkali"",IF(REGEXMATCH(AT366,""xo"&amp;"xoxxoxxoox""),""Nat Bhairav"",IF(REGEXMATCH(AT366,""xoxxoooxoxoo""),""Shivranjani"",IF(REGEXMATCH(AT366,""xooxxxoxooxo""),""Jog"",IF(REGEXMATCH(AT366,""xxooxoxoxoox""),""Hemshri"",IF(REGEXMATCH(AT366,""xoooxooxoxxo""),""Kalavati"",IF(REGEXMATCH(AT366,""xx"&amp;"oxoxxoxoox""),""Kedar"",IF(REGEXMATCH(AT366,""xoxxxxoxooxx""),""Gara"",IF(REGEXMATCH(AT366,""xooxoxooxoox""),""Chandrakauns"",IF(REGEXMATCH(AT366,""xoxxxxoxxxox""),""Mand"",IF(REGEXMATCH(AT366,""xoxxxxoxoxox""),""Hanskinkini"",IF(REGEXMATCH(AT366,""xxooxx"&amp;"oxooxo""),""Lilavati"",IF(REGEXMATCH(AT366,""xooxoxoooxox""),""Rajeshwari"",IF(REGEXMATCH(AT366,""xoooxxoxoxxx""),""Khokar"",IF(REGEXMATCH(AT366,""xxooxoxxxxox""),""Maligoura"",""-""))))))))))))))))))))))))))))))"),"Bihag")</f>
        <v>Bihag</v>
      </c>
      <c r="BG366" s="239" t="str">
        <f t="shared" si="26"/>
        <v>#REF!</v>
      </c>
      <c r="BH366" s="239">
        <f>IFERROR(__xludf.DUMMYFUNCTION("COUNTUNIQUE(FE366:FO366)-1"),7.0)</f>
        <v>7</v>
      </c>
      <c r="BI366" s="239">
        <f>IFERROR(__xludf.DUMMYFUNCTION("COUNTUNIQUE(FILTER(AT:AT,REGEXMATCH(AT:AT,AS366)))-1"),3.0)</f>
        <v>3</v>
      </c>
      <c r="BJ366" s="239">
        <f>IFERROR(__xludf.DUMMYFUNCTION("COUNTA(FILTER(AT:AT,REGEXMATCH(AT:AT,AS366)))"),36.0)</f>
        <v>36</v>
      </c>
      <c r="BK366" s="341">
        <f>IFERROR(__xludf.DUMMYFUNCTION("COUNTA(FILTER(AT:AT,REGEXMATCH(AT:AT,AS366)))-AR366"),36.0)</f>
        <v>36</v>
      </c>
      <c r="BL366" s="276" t="str">
        <f>IFERROR(__xludf.DUMMYFUNCTION("IF(AS366=""oooooooooooo"",""-"",IF(REGEXMATCH(AT366,""xx""), ""Hemi."", ""Anhemi.""))"),"Hemi.")</f>
        <v>Hemi.</v>
      </c>
      <c r="BM366" s="282" t="str">
        <f>IFERROR(__xludf.DUMMYFUNCTION("IF(AS366=""oooooooooooo"",""-"",IF(REGEXMATCH(AT366,""xxx""), ""Cohem."", ""-""))"),"Cohem.")</f>
        <v>Cohem.</v>
      </c>
      <c r="BN366" s="282" t="str">
        <f>IFERROR(__xludf.DUMMYFUNCTION("IF(AS366=""oooooooooooo"",""-"",IF(REGEXMATCH(AT366,""xxxx""), ""Co-Co."", ""-""))"),"Co-Co.")</f>
        <v>Co-Co.</v>
      </c>
      <c r="BO366" s="342" t="str">
        <f>IFERROR(__xludf.DUMMYFUNCTION("IF(AS366=""oooooooooooo"",""-"",IF(REGEXMATCH(AT366,""xxxxx""), ""CCC."", ""-""))"),"-")</f>
        <v>-</v>
      </c>
      <c r="BP366" s="344" t="str">
        <f t="shared" si="27"/>
        <v>-</v>
      </c>
      <c r="BQ366" s="282" t="str">
        <f>IFERROR(__xludf.DUMMYFUNCTION("IF(REGEXMATCH(JOIN(""-"",EU366:FD366),""TRUE""),""✔"",""-"")"),"-")</f>
        <v>-</v>
      </c>
      <c r="BR366" s="225">
        <f t="shared" si="28"/>
        <v>0</v>
      </c>
      <c r="BS366" s="345" t="str">
        <f>IFERROR(__xludf.DUMMYFUNCTION("SUBSTITUTE(SUBSTITUTE(SUBSTITUTE(SUBSTITUTE(CONCATENATE(JOIN(""-"",GC366:GO366)),""--"",""-""),""--"",""-""),""--"",""-""),""--"",""-"")"),"1-2-3-4-#4-5-6-7-8")</f>
        <v>1-2-3-4-#4-5-6-7-8</v>
      </c>
      <c r="BT366" s="299" t="str">
        <f>IFERROR(__xludf.DUMMYFUNCTION("SUBSTITUTE(SUBSTITUTE(SUBSTITUTE(SUBSTITUTE(CONCATENATE(JOIN(""-"",GP366:HB366)),""--"",""-""),""--"",""-""),""--"",""-""),""--"",""-"")"),"S-R2-G3-M1-M2-P-D2-N3-S")</f>
        <v>S-R2-G3-M1-M2-P-D2-N3-S</v>
      </c>
      <c r="BU366" s="348" t="str">
        <f t="shared" si="29"/>
        <v>C-D-E-F-F#-G-A-B-C</v>
      </c>
      <c r="BV366" s="349" t="str">
        <f t="shared" si="30"/>
        <v>SrgdnS</v>
      </c>
      <c r="BW366" s="350">
        <f t="shared" si="31"/>
        <v>0</v>
      </c>
      <c r="BX366" s="351">
        <f t="shared" si="32"/>
        <v>13</v>
      </c>
      <c r="BY366" s="392"/>
      <c r="BZ366" s="309" t="str">
        <f>IFERROR(__xludf.DUMMYFUNCTION("IF(REGEXMATCH(C366, ""S""), ""x"",""x"")"),"x")</f>
        <v>x</v>
      </c>
      <c r="CA366" s="245" t="str">
        <f>IFERROR(__xludf.DUMMYFUNCTION("IF(REGEXMATCH(C366, ""r""), ""o"",""x"")"),"x")</f>
        <v>x</v>
      </c>
      <c r="CB366" s="246" t="str">
        <f>IFERROR(__xludf.DUMMYFUNCTION("IF(REGEXMATCH(C366, ""R""), ""o"",""x"")"),"o")</f>
        <v>o</v>
      </c>
      <c r="CC366" s="246" t="str">
        <f>IFERROR(__xludf.DUMMYFUNCTION("IF(REGEXMATCH(C366, ""g""), ""o"",""x"")"),"x")</f>
        <v>x</v>
      </c>
      <c r="CD366" s="245" t="str">
        <f>IFERROR(__xludf.DUMMYFUNCTION("IF(REGEXMATCH(C366, ""G""), ""o"",""x"")"),"o")</f>
        <v>o</v>
      </c>
      <c r="CE366" s="245" t="str">
        <f>IFERROR(__xludf.DUMMYFUNCTION("IF(REGEXMATCH(C366, ""m""), ""o"",""x"")"),"o")</f>
        <v>o</v>
      </c>
      <c r="CF366" s="246" t="str">
        <f>IFERROR(__xludf.DUMMYFUNCTION("IF(REGEXMATCH(C366, ""M""), ""o"",""x"")"),"o")</f>
        <v>o</v>
      </c>
      <c r="CG366" s="245" t="str">
        <f>IFERROR(__xludf.DUMMYFUNCTION("IF(REGEXMATCH(C366, ""P""), ""o"",""x"")"),"o")</f>
        <v>o</v>
      </c>
      <c r="CH366" s="246" t="str">
        <f>IFERROR(__xludf.DUMMYFUNCTION("IF(REGEXMATCH(C366, ""d""), ""o"",""x"")"),"x")</f>
        <v>x</v>
      </c>
      <c r="CI366" s="245" t="str">
        <f>IFERROR(__xludf.DUMMYFUNCTION("IF(REGEXMATCH(C366, ""D""), ""o"",""x"")"),"o")</f>
        <v>o</v>
      </c>
      <c r="CJ366" s="245" t="str">
        <f>IFERROR(__xludf.DUMMYFUNCTION("IF(REGEXMATCH(C366, ""n""), ""o"",""x"")"),"x")</f>
        <v>x</v>
      </c>
      <c r="CK366" s="245" t="str">
        <f>IFERROR(__xludf.DUMMYFUNCTION("IF(REGEXMATCH(C366, ""N""), ""o"",""x"")"),"o")</f>
        <v>o</v>
      </c>
      <c r="CL366" s="356" t="str">
        <f>IFERROR(__xludf.DUMMYFUNCTION("IF(REGEXMATCH(C366, ""S""), ""x"",""x"")"),"x")</f>
        <v>x</v>
      </c>
      <c r="CM366" s="357" t="str">
        <f t="shared" si="33"/>
        <v>xxoxooooxoxo</v>
      </c>
      <c r="CN366" s="358">
        <f t="shared" si="34"/>
        <v>0</v>
      </c>
      <c r="CO366" s="246" t="str">
        <f>IFERROR(__xludf.DUMMYFUNCTION("IF(REGEXMATCH($C366, ""S""), ""S"",""S"")"),"S")</f>
        <v>S</v>
      </c>
      <c r="CP366" s="246" t="str">
        <f>IFERROR(__xludf.DUMMYFUNCTION("IF(REGEXMATCH($C366, ""r""), """",""r"")"),"r")</f>
        <v>r</v>
      </c>
      <c r="CQ366" s="246" t="str">
        <f>IFERROR(__xludf.DUMMYFUNCTION("IF(REGEXMATCH($C366, ""R""), """",""R"")"),"")</f>
        <v/>
      </c>
      <c r="CR366" s="246" t="str">
        <f>IFERROR(__xludf.DUMMYFUNCTION("IF(REGEXMATCH($C366, ""g""), """",""g"")"),"g")</f>
        <v>g</v>
      </c>
      <c r="CS366" s="246" t="str">
        <f>IFERROR(__xludf.DUMMYFUNCTION("IF(REGEXMATCH($C366, ""G""), """",""G"")"),"")</f>
        <v/>
      </c>
      <c r="CT366" s="246" t="str">
        <f>IFERROR(__xludf.DUMMYFUNCTION("IF(REGEXMATCH($C366, ""m""), """",""m"")"),"")</f>
        <v/>
      </c>
      <c r="CU366" s="246" t="str">
        <f>IFERROR(__xludf.DUMMYFUNCTION("IF(REGEXMATCH($C366, ""M""), """",""M"")"),"")</f>
        <v/>
      </c>
      <c r="CV366" s="246" t="str">
        <f>IFERROR(__xludf.DUMMYFUNCTION("IF(REGEXMATCH($C366, ""P""), """",""P"")"),"")</f>
        <v/>
      </c>
      <c r="CW366" s="246" t="str">
        <f>IFERROR(__xludf.DUMMYFUNCTION("IF(REGEXMATCH($C366, ""d""), """",""d"")"),"d")</f>
        <v>d</v>
      </c>
      <c r="CX366" s="246" t="str">
        <f>IFERROR(__xludf.DUMMYFUNCTION("IF(REGEXMATCH($C366, ""D""), """",""D"")"),"")</f>
        <v/>
      </c>
      <c r="CY366" s="246" t="str">
        <f>IFERROR(__xludf.DUMMYFUNCTION("IF(REGEXMATCH($C366, ""n""), """",""n"")"),"n")</f>
        <v>n</v>
      </c>
      <c r="CZ366" s="246" t="str">
        <f>IFERROR(__xludf.DUMMYFUNCTION("IF(REGEXMATCH($C366, ""N""), """",""N"")"),"")</f>
        <v/>
      </c>
      <c r="DA366" s="246" t="str">
        <f>IFERROR(__xludf.DUMMYFUNCTION("IF(REGEXMATCH($C366, ""S""), ""S"",""S"")"),"S")</f>
        <v>S</v>
      </c>
      <c r="DB366" s="362" t="str">
        <f>IFERROR(__xludf.DUMMYFUNCTION("JOIN("""",CO366:DA366,"""","""")"),"SrgdnS")</f>
        <v>SrgdnS</v>
      </c>
      <c r="DC366" s="363"/>
      <c r="DD366" s="301" t="str">
        <f t="shared" si="35"/>
        <v>#REF!</v>
      </c>
      <c r="DE366" s="302" t="str">
        <f t="shared" si="36"/>
        <v>#REF!</v>
      </c>
      <c r="DF366" s="301" t="str">
        <f t="shared" ref="DF366:DG366" si="967">SUBSTITUTE(S366,"-","")</f>
        <v>SRGM</v>
      </c>
      <c r="DG366" s="301" t="str">
        <f t="shared" si="967"/>
        <v>PDNS</v>
      </c>
      <c r="DH366" s="302" t="str">
        <f t="shared" si="38"/>
        <v>Bihag</v>
      </c>
      <c r="DI366" s="301" t="str">
        <f t="shared" si="39"/>
        <v>Hemi.</v>
      </c>
      <c r="DJ366" s="364" t="str">
        <f t="shared" si="40"/>
        <v>Co-Co.</v>
      </c>
      <c r="DK366" s="306" t="str">
        <f t="shared" si="41"/>
        <v>-</v>
      </c>
      <c r="DL366" s="366" t="str">
        <f t="shared" si="42"/>
        <v>-</v>
      </c>
      <c r="DM366" s="308" t="str">
        <f t="shared" si="43"/>
        <v>✔</v>
      </c>
      <c r="DN366" s="306" t="str">
        <f t="shared" si="44"/>
        <v>-</v>
      </c>
      <c r="DO366" s="306" t="str">
        <f t="shared" si="45"/>
        <v>-</v>
      </c>
      <c r="DP366" s="367" t="str">
        <f t="shared" si="46"/>
        <v>-</v>
      </c>
      <c r="DQ366" s="310" t="str">
        <f t="shared" si="47"/>
        <v>-</v>
      </c>
      <c r="DR366" s="310" t="str">
        <f t="shared" si="48"/>
        <v>-</v>
      </c>
      <c r="DS366" s="310" t="str">
        <f t="shared" si="49"/>
        <v>✔</v>
      </c>
      <c r="DT366" s="310" t="str">
        <f t="shared" si="50"/>
        <v>-</v>
      </c>
      <c r="DU366" s="370" t="str">
        <f t="shared" si="51"/>
        <v>-</v>
      </c>
      <c r="DV366" s="306" t="str">
        <f t="shared" si="52"/>
        <v>-</v>
      </c>
      <c r="DW366" s="306" t="str">
        <f t="shared" si="53"/>
        <v>-</v>
      </c>
      <c r="DX366" s="306" t="str">
        <f t="shared" si="54"/>
        <v>-</v>
      </c>
      <c r="DY366" s="306" t="str">
        <f t="shared" si="55"/>
        <v>-</v>
      </c>
      <c r="DZ366" s="306" t="str">
        <f t="shared" si="56"/>
        <v>-</v>
      </c>
      <c r="EA366" s="367" t="str">
        <f t="shared" si="57"/>
        <v>-</v>
      </c>
      <c r="EB366" s="310" t="str">
        <f>IFERROR(__xludf.DUMMYFUNCTION("IF(REGEXMATCH(AW366,AS366),""✔"",""-"")"),"✔")</f>
        <v>✔</v>
      </c>
      <c r="EC366" s="310" t="str">
        <f t="shared" si="58"/>
        <v>#REF!</v>
      </c>
      <c r="ED366" s="370" t="str">
        <f t="shared" si="59"/>
        <v>-</v>
      </c>
      <c r="EE366" s="340" t="str">
        <f t="shared" si="60"/>
        <v>S-R-G-mM-P-D-N-S</v>
      </c>
      <c r="EF366" s="371" t="str">
        <f>IFERROR(__xludf.DUMMYFUNCTION("CONCATENATE(JOIN("""",HC366:HO366))"),"SrgmMPdnS")</f>
        <v>SrgmMPdnS</v>
      </c>
      <c r="EG366" s="372">
        <f t="shared" si="61"/>
        <v>1</v>
      </c>
      <c r="EH366" s="373" t="str">
        <f>IFERROR(__xludf.DUMMYFUNCTION("CONCATENATE(JOIN("""",JC366:JO366))"),"Ma, ")</f>
        <v>Ma, </v>
      </c>
      <c r="EI366" s="322">
        <f t="shared" si="62"/>
        <v>0</v>
      </c>
      <c r="EJ366" s="374" t="str">
        <f>IFERROR(__xludf.DUMMYFUNCTION("CONCATENATE(JOIN("""",KC366:KO366))"),"")</f>
        <v/>
      </c>
      <c r="EK366" s="325" t="str">
        <f t="shared" si="63"/>
        <v>S-R2-G3-M1-M2-P-D2-N3-S</v>
      </c>
      <c r="EL366" s="326" t="str">
        <f t="shared" si="64"/>
        <v>1-2-3-4-#4-5-6-7-8</v>
      </c>
      <c r="EM366" s="318" t="str">
        <f t="shared" si="65"/>
        <v>#REF!</v>
      </c>
      <c r="EN366" s="328" t="str">
        <f>IFERROR(__xludf.DUMMYFUNCTION("SUBSTITUTE(SUBSTITUTE(SUBSTITUTE(SUBSTITUTE(CONCATENATE(JOIN("" "",HP366:IB366)),""  "","" ""),""  "","" ""),""  "","" ""),""  "","" "")"),"o • o • o o o o • o • o o")</f>
        <v>o • o • o o o o • o • o o</v>
      </c>
      <c r="EO366" s="368" t="str">
        <f t="shared" si="66"/>
        <v>-</v>
      </c>
      <c r="EP366" s="339" t="str">
        <f t="shared" si="67"/>
        <v>-</v>
      </c>
      <c r="EQ366" s="339" t="str">
        <f t="shared" si="68"/>
        <v>Sa-Pa</v>
      </c>
      <c r="ER366" s="339" t="str">
        <f t="shared" si="69"/>
        <v>-</v>
      </c>
      <c r="ES366" s="340" t="str">
        <f t="shared" si="70"/>
        <v>-</v>
      </c>
      <c r="ET366" s="363"/>
      <c r="EU366" s="376" t="b">
        <f>IFERROR(__xludf.DUMMYFUNCTION("arrayformula(sum(--REGEXMATCH(""SRGMPDNS"",split(REGEXREPLACE(C366,""(.)"",""$1~""),""~""))))=len(C366)
"),FALSE)</f>
        <v>0</v>
      </c>
      <c r="EV366" s="290" t="b">
        <f>IFERROR(__xludf.DUMMYFUNCTION("arrayformula(sum(--REGEXMATCH(""SRGmPDNS"",split(REGEXREPLACE(C366,""(.)"",""$1~""),""~""))))=len(C366)"),FALSE)</f>
        <v>0</v>
      </c>
      <c r="EW366" s="290" t="b">
        <f>IFERROR(__xludf.DUMMYFUNCTION("arrayformula(sum(--REGEXMATCH(""SRGmPDnS"",split(REGEXREPLACE(C366,""(.)"",""$1~""),""~""))))=len(C366)"),FALSE)</f>
        <v>0</v>
      </c>
      <c r="EX366" s="290" t="b">
        <f>IFERROR(__xludf.DUMMYFUNCTION("arrayformula(sum(--REGEXMATCH(""SRgmPDnS"",split(REGEXREPLACE(C366,""(.)"",""$1~""),""~""))))=len(C366)"),FALSE)</f>
        <v>0</v>
      </c>
      <c r="EY366" s="290" t="b">
        <f>IFERROR(__xludf.DUMMYFUNCTION("arrayformula(sum(--REGEXMATCH(""SRgmPdnS"",split(REGEXREPLACE(C366,""(.)"",""$1~""),""~""))))=len(C366)"),FALSE)</f>
        <v>0</v>
      </c>
      <c r="EZ366" s="290" t="b">
        <f>IFERROR(__xludf.DUMMYFUNCTION("arrayformula(sum(--REGEXMATCH(""SrgmPdnS"",split(REGEXREPLACE(C366,""(.)"",""$1~""),""~""))))=len(C366)"),FALSE)</f>
        <v>0</v>
      </c>
      <c r="FA366" s="290" t="b">
        <f>IFERROR(__xludf.DUMMYFUNCTION("arrayformula(sum(--REGEXMATCH(""SrGmPdNS"",split(REGEXREPLACE(C366,""(.)"",""$1~""),""~""))))=len(C366)"),FALSE)</f>
        <v>0</v>
      </c>
      <c r="FB366" s="290" t="b">
        <f>IFERROR(__xludf.DUMMYFUNCTION("arrayformula(sum(--REGEXMATCH(""SrGMPDNS"",split(REGEXREPLACE(C366,""(.)"",""$1~""),""~""))))=len(C366)"),FALSE)</f>
        <v>0</v>
      </c>
      <c r="FC366" s="290" t="b">
        <f>IFERROR(__xludf.DUMMYFUNCTION("arrayformula(sum(--REGEXMATCH(""SrGMPdNS"",split(REGEXREPLACE(C366,""(.)"",""$1~""),""~""))))=len(C366)"),FALSE)</f>
        <v>0</v>
      </c>
      <c r="FD366" s="377" t="b">
        <f>IFERROR(__xludf.DUMMYFUNCTION("arrayformula(sum(--REGEXMATCH(""SrgMPdNS"",split(REGEXREPLACE(C366,""(.)"",""$1~""),""~""))))=len(C366)"),FALSE)</f>
        <v>0</v>
      </c>
      <c r="FE366" s="269" t="str">
        <f t="shared" si="71"/>
        <v>-</v>
      </c>
      <c r="FF366" s="269" t="str">
        <f t="shared" si="72"/>
        <v>xoxxxxoxoxx</v>
      </c>
      <c r="FG366" s="271" t="str">
        <f t="shared" si="73"/>
        <v>-</v>
      </c>
      <c r="FH366" s="269" t="str">
        <f t="shared" si="74"/>
        <v>xxxxoxoxxox</v>
      </c>
      <c r="FI366" s="271" t="str">
        <f t="shared" si="75"/>
        <v>xxxoxoxxoxo</v>
      </c>
      <c r="FJ366" s="271" t="str">
        <f t="shared" si="76"/>
        <v>xxoxoxxoxox</v>
      </c>
      <c r="FK366" s="271" t="str">
        <f t="shared" si="77"/>
        <v>xoxoxxoxoxx</v>
      </c>
      <c r="FL366" s="271" t="str">
        <f t="shared" si="78"/>
        <v>-</v>
      </c>
      <c r="FM366" s="271" t="str">
        <f t="shared" si="79"/>
        <v>xoxxoxoxxxx</v>
      </c>
      <c r="FN366" s="271" t="str">
        <f t="shared" si="80"/>
        <v>-</v>
      </c>
      <c r="FO366" s="274" t="str">
        <f t="shared" si="81"/>
        <v>xxoxoxxxxox</v>
      </c>
      <c r="FP366" s="234" t="str">
        <f t="shared" si="82"/>
        <v>|</v>
      </c>
      <c r="FQ366" s="236" t="str">
        <f t="shared" si="83"/>
        <v>-</v>
      </c>
      <c r="FR366" s="237" t="str">
        <f t="shared" si="84"/>
        <v>|</v>
      </c>
      <c r="FS366" s="236" t="str">
        <f t="shared" si="85"/>
        <v>-</v>
      </c>
      <c r="FT366" s="237" t="str">
        <f t="shared" si="86"/>
        <v>|</v>
      </c>
      <c r="FU366" s="236" t="str">
        <f t="shared" si="87"/>
        <v>|</v>
      </c>
      <c r="FV366" s="237" t="str">
        <f t="shared" si="88"/>
        <v>|</v>
      </c>
      <c r="FW366" s="236" t="str">
        <f t="shared" si="89"/>
        <v>|</v>
      </c>
      <c r="FX366" s="237" t="str">
        <f t="shared" si="90"/>
        <v>-</v>
      </c>
      <c r="FY366" s="236" t="str">
        <f t="shared" si="91"/>
        <v>|</v>
      </c>
      <c r="FZ366" s="237" t="str">
        <f t="shared" si="92"/>
        <v>-</v>
      </c>
      <c r="GA366" s="236" t="str">
        <f t="shared" si="93"/>
        <v>|</v>
      </c>
      <c r="GB366" s="238" t="str">
        <f t="shared" si="94"/>
        <v>|</v>
      </c>
      <c r="GC366" s="244" t="str">
        <f>IFERROR(__xludf.DUMMYFUNCTION("IF(REGEXMATCH(C366, ""S""), ""1"","""")"),"1")</f>
        <v>1</v>
      </c>
      <c r="GD366" s="245" t="str">
        <f>IFERROR(__xludf.DUMMYFUNCTION("IF(REGEXMATCH(C366, ""r""), ""b2"","""")"),"")</f>
        <v/>
      </c>
      <c r="GE366" s="246" t="str">
        <f>IFERROR(__xludf.DUMMYFUNCTION("IF(REGEXMATCH(C366, ""R""), ""2"","""")"),"2")</f>
        <v>2</v>
      </c>
      <c r="GF366" s="246" t="str">
        <f>IFERROR(__xludf.DUMMYFUNCTION("IF(REGEXMATCH(C366, ""g""), ""b3"","""")"),"")</f>
        <v/>
      </c>
      <c r="GG366" s="245" t="str">
        <f>IFERROR(__xludf.DUMMYFUNCTION("IF(REGEXMATCH(C366, ""G""), ""3"","""")"),"3")</f>
        <v>3</v>
      </c>
      <c r="GH366" s="245" t="str">
        <f>IFERROR(__xludf.DUMMYFUNCTION("IF(REGEXMATCH(C366, ""m""), ""4"","""")"),"4")</f>
        <v>4</v>
      </c>
      <c r="GI366" s="246" t="str">
        <f>IFERROR(__xludf.DUMMYFUNCTION("IF(REGEXMATCH(C366, ""M""), ""#4"","""")"),"#4")</f>
        <v>#4</v>
      </c>
      <c r="GJ366" s="245" t="str">
        <f>IFERROR(__xludf.DUMMYFUNCTION("IF(REGEXMATCH(C366, ""P""), ""5"","""")"),"5")</f>
        <v>5</v>
      </c>
      <c r="GK366" s="246" t="str">
        <f>IFERROR(__xludf.DUMMYFUNCTION("IF(REGEXMATCH(C366, ""d""), ""b6"","""")"),"")</f>
        <v/>
      </c>
      <c r="GL366" s="245" t="str">
        <f>IFERROR(__xludf.DUMMYFUNCTION("IF(REGEXMATCH(C366, ""D""), ""6"","""")"),"6")</f>
        <v>6</v>
      </c>
      <c r="GM366" s="245" t="str">
        <f>IFERROR(__xludf.DUMMYFUNCTION("IF(REGEXMATCH(C366, ""n""), ""b7"","""")"),"")</f>
        <v/>
      </c>
      <c r="GN366" s="246" t="str">
        <f>IFERROR(__xludf.DUMMYFUNCTION("IF(REGEXMATCH(C366, ""N""), ""7"","""")"),"7")</f>
        <v>7</v>
      </c>
      <c r="GO366" s="249" t="str">
        <f>IFERROR(__xludf.DUMMYFUNCTION("IF(REGEXMATCH(C366, ""S""), ""8"","""")"),"8")</f>
        <v>8</v>
      </c>
      <c r="GP366" s="244" t="str">
        <f>IFERROR(__xludf.DUMMYFUNCTION("IF(REGEXMATCH(C366, ""S""), ""S"","""")"),"S")</f>
        <v>S</v>
      </c>
      <c r="GQ366" s="294" t="str">
        <f>IFERROR(__xludf.DUMMYFUNCTION("IF(REGEXMATCH(C366, ""r""), ""R1"","""")"),"")</f>
        <v/>
      </c>
      <c r="GR366" s="295" t="str">
        <f>IFERROR(__xludf.DUMMYFUNCTION("IF(REGEXMATCH(C366, ""R""), ""R2"","""")"),"R2")</f>
        <v>R2</v>
      </c>
      <c r="GS366" s="295" t="str">
        <f>IFERROR(__xludf.DUMMYFUNCTION("IF(REGEXMATCH(C366, ""g""), ""G2"","""")"),"")</f>
        <v/>
      </c>
      <c r="GT366" s="294" t="str">
        <f>IFERROR(__xludf.DUMMYFUNCTION("IF(REGEXMATCH(C366, ""G""), ""G3"","""")"),"G3")</f>
        <v>G3</v>
      </c>
      <c r="GU366" s="294" t="str">
        <f>IFERROR(__xludf.DUMMYFUNCTION("IF(REGEXMATCH(C366, ""m""), ""M1"","""")"),"M1")</f>
        <v>M1</v>
      </c>
      <c r="GV366" s="295" t="str">
        <f>IFERROR(__xludf.DUMMYFUNCTION("IF(REGEXMATCH(C366, ""M""), ""M2"","""")"),"M2")</f>
        <v>M2</v>
      </c>
      <c r="GW366" s="294" t="str">
        <f>IFERROR(__xludf.DUMMYFUNCTION("IF(REGEXMATCH(C366, ""P""), ""P"","""")"),"P")</f>
        <v>P</v>
      </c>
      <c r="GX366" s="295" t="str">
        <f>IFERROR(__xludf.DUMMYFUNCTION("IF(REGEXMATCH(C366, ""d""), ""D1"","""")"),"")</f>
        <v/>
      </c>
      <c r="GY366" s="294" t="str">
        <f>IFERROR(__xludf.DUMMYFUNCTION("IF(REGEXMATCH(C366, ""D""), ""D2"","""")"),"D2")</f>
        <v>D2</v>
      </c>
      <c r="GZ366" s="294" t="str">
        <f>IFERROR(__xludf.DUMMYFUNCTION("IF(REGEXMATCH(C366, ""n""), ""N2"","""")"),"")</f>
        <v/>
      </c>
      <c r="HA366" s="295" t="str">
        <f>IFERROR(__xludf.DUMMYFUNCTION("IF(REGEXMATCH(C366, ""N""), ""N3"","""")"),"N3")</f>
        <v>N3</v>
      </c>
      <c r="HB366" s="249" t="str">
        <f>IFERROR(__xludf.DUMMYFUNCTION("IF(REGEXMATCH(C366, ""S""), ""S"","""")"),"S")</f>
        <v>S</v>
      </c>
      <c r="HC366" s="331" t="str">
        <f t="shared" si="95"/>
        <v>S</v>
      </c>
      <c r="HD366" s="332" t="str">
        <f t="shared" si="96"/>
        <v>r</v>
      </c>
      <c r="HE366" s="332" t="str">
        <f t="shared" si="97"/>
        <v/>
      </c>
      <c r="HF366" s="332" t="str">
        <f t="shared" si="98"/>
        <v>g</v>
      </c>
      <c r="HG366" s="332" t="str">
        <f t="shared" si="99"/>
        <v/>
      </c>
      <c r="HH366" s="332" t="str">
        <f t="shared" si="100"/>
        <v>m</v>
      </c>
      <c r="HI366" s="332" t="str">
        <f t="shared" si="101"/>
        <v>M</v>
      </c>
      <c r="HJ366" s="332" t="str">
        <f t="shared" si="102"/>
        <v>P</v>
      </c>
      <c r="HK366" s="332" t="str">
        <f t="shared" si="103"/>
        <v>d</v>
      </c>
      <c r="HL366" s="332" t="str">
        <f t="shared" si="104"/>
        <v/>
      </c>
      <c r="HM366" s="332" t="str">
        <f t="shared" si="105"/>
        <v>n</v>
      </c>
      <c r="HN366" s="332" t="str">
        <f t="shared" si="106"/>
        <v/>
      </c>
      <c r="HO366" s="343" t="str">
        <f t="shared" si="107"/>
        <v>S</v>
      </c>
      <c r="HP366" s="331" t="str">
        <f t="shared" si="108"/>
        <v>o</v>
      </c>
      <c r="HQ366" s="332" t="str">
        <f t="shared" si="109"/>
        <v>•</v>
      </c>
      <c r="HR366" s="332" t="str">
        <f t="shared" si="110"/>
        <v>o</v>
      </c>
      <c r="HS366" s="332" t="str">
        <f t="shared" si="111"/>
        <v>•</v>
      </c>
      <c r="HT366" s="332" t="str">
        <f t="shared" si="112"/>
        <v>o</v>
      </c>
      <c r="HU366" s="332" t="str">
        <f t="shared" si="113"/>
        <v>o</v>
      </c>
      <c r="HV366" s="332" t="str">
        <f t="shared" si="114"/>
        <v>o</v>
      </c>
      <c r="HW366" s="332" t="str">
        <f t="shared" si="115"/>
        <v>o</v>
      </c>
      <c r="HX366" s="332" t="str">
        <f t="shared" si="116"/>
        <v>•</v>
      </c>
      <c r="HY366" s="332" t="str">
        <f t="shared" si="117"/>
        <v>o</v>
      </c>
      <c r="HZ366" s="332" t="str">
        <f t="shared" si="118"/>
        <v>•</v>
      </c>
      <c r="IA366" s="332" t="str">
        <f t="shared" si="119"/>
        <v>o</v>
      </c>
      <c r="IB366" s="338" t="str">
        <f t="shared" si="120"/>
        <v>o</v>
      </c>
      <c r="IC366" s="331" t="str">
        <f t="shared" si="121"/>
        <v>•</v>
      </c>
      <c r="ID366" s="332" t="str">
        <f t="shared" si="122"/>
        <v>o</v>
      </c>
      <c r="IE366" s="332" t="str">
        <f t="shared" si="123"/>
        <v>•</v>
      </c>
      <c r="IF366" s="332" t="str">
        <f t="shared" si="124"/>
        <v>o</v>
      </c>
      <c r="IG366" s="332" t="str">
        <f t="shared" si="125"/>
        <v>•</v>
      </c>
      <c r="IH366" s="332" t="str">
        <f t="shared" si="126"/>
        <v>•</v>
      </c>
      <c r="II366" s="332" t="str">
        <f t="shared" si="127"/>
        <v>•</v>
      </c>
      <c r="IJ366" s="332" t="str">
        <f t="shared" si="128"/>
        <v>•</v>
      </c>
      <c r="IK366" s="332" t="str">
        <f t="shared" si="129"/>
        <v>o</v>
      </c>
      <c r="IL366" s="332" t="str">
        <f t="shared" si="130"/>
        <v>•</v>
      </c>
      <c r="IM366" s="332" t="str">
        <f t="shared" si="131"/>
        <v>o</v>
      </c>
      <c r="IN366" s="332" t="str">
        <f t="shared" si="132"/>
        <v>•</v>
      </c>
      <c r="IO366" s="338" t="str">
        <f t="shared" si="133"/>
        <v>•</v>
      </c>
      <c r="IP366" s="346" t="b">
        <f t="shared" si="134"/>
        <v>0</v>
      </c>
      <c r="IQ366" s="347" t="b">
        <f t="shared" si="135"/>
        <v>0</v>
      </c>
      <c r="IR366" s="347" t="b">
        <f t="shared" si="136"/>
        <v>0</v>
      </c>
      <c r="IS366" s="347" t="b">
        <f t="shared" si="137"/>
        <v>0</v>
      </c>
      <c r="IT366" s="347" t="b">
        <f t="shared" si="138"/>
        <v>0</v>
      </c>
      <c r="IU366" s="347" t="b">
        <f t="shared" si="139"/>
        <v>0</v>
      </c>
      <c r="IV366" s="347" t="b">
        <f t="shared" si="140"/>
        <v>1</v>
      </c>
      <c r="IW366" s="347" t="b">
        <f t="shared" si="141"/>
        <v>0</v>
      </c>
      <c r="IX366" s="347" t="b">
        <f t="shared" si="142"/>
        <v>0</v>
      </c>
      <c r="IY366" s="347" t="b">
        <f t="shared" si="143"/>
        <v>0</v>
      </c>
      <c r="IZ366" s="347" t="b">
        <f t="shared" si="144"/>
        <v>0</v>
      </c>
      <c r="JA366" s="347" t="b">
        <f t="shared" si="145"/>
        <v>0</v>
      </c>
      <c r="JB366" s="353" t="b">
        <f t="shared" si="146"/>
        <v>0</v>
      </c>
      <c r="JC366" s="354" t="str">
        <f t="shared" si="147"/>
        <v/>
      </c>
      <c r="JD366" s="355" t="str">
        <f t="shared" si="148"/>
        <v/>
      </c>
      <c r="JE366" s="355" t="str">
        <f t="shared" si="149"/>
        <v/>
      </c>
      <c r="JF366" s="355" t="str">
        <f t="shared" si="150"/>
        <v/>
      </c>
      <c r="JG366" s="355" t="str">
        <f t="shared" si="151"/>
        <v/>
      </c>
      <c r="JH366" s="355" t="str">
        <f t="shared" si="152"/>
        <v/>
      </c>
      <c r="JI366" s="355" t="str">
        <f t="shared" si="153"/>
        <v>Ma, </v>
      </c>
      <c r="JJ366" s="355" t="str">
        <f t="shared" si="154"/>
        <v/>
      </c>
      <c r="JK366" s="355" t="str">
        <f t="shared" si="155"/>
        <v/>
      </c>
      <c r="JL366" s="355" t="str">
        <f t="shared" si="156"/>
        <v/>
      </c>
      <c r="JM366" s="355" t="str">
        <f t="shared" si="157"/>
        <v/>
      </c>
      <c r="JN366" s="355" t="str">
        <f t="shared" si="158"/>
        <v/>
      </c>
      <c r="JO366" s="359" t="str">
        <f t="shared" si="159"/>
        <v/>
      </c>
      <c r="JP366" s="346" t="b">
        <f t="shared" si="160"/>
        <v>0</v>
      </c>
      <c r="JQ366" s="347" t="b">
        <f t="shared" si="161"/>
        <v>0</v>
      </c>
      <c r="JR366" s="347" t="b">
        <f t="shared" si="162"/>
        <v>0</v>
      </c>
      <c r="JS366" s="347" t="b">
        <f t="shared" si="163"/>
        <v>0</v>
      </c>
      <c r="JT366" s="347" t="b">
        <f t="shared" si="164"/>
        <v>0</v>
      </c>
      <c r="JU366" s="347" t="b">
        <f t="shared" si="165"/>
        <v>0</v>
      </c>
      <c r="JV366" s="347" t="b">
        <f t="shared" si="166"/>
        <v>0</v>
      </c>
      <c r="JW366" s="347" t="b">
        <f t="shared" si="167"/>
        <v>0</v>
      </c>
      <c r="JX366" s="347" t="b">
        <f t="shared" si="168"/>
        <v>0</v>
      </c>
      <c r="JY366" s="347" t="b">
        <f t="shared" si="169"/>
        <v>0</v>
      </c>
      <c r="JZ366" s="347" t="b">
        <f t="shared" si="170"/>
        <v>0</v>
      </c>
      <c r="KA366" s="347" t="b">
        <f t="shared" si="171"/>
        <v>0</v>
      </c>
      <c r="KB366" s="365" t="b">
        <f t="shared" si="172"/>
        <v>0</v>
      </c>
      <c r="KC366" s="354" t="str">
        <f t="shared" si="173"/>
        <v/>
      </c>
      <c r="KD366" s="355" t="str">
        <f t="shared" si="174"/>
        <v/>
      </c>
      <c r="KE366" s="355" t="str">
        <f t="shared" si="175"/>
        <v/>
      </c>
      <c r="KF366" s="355" t="str">
        <f t="shared" si="176"/>
        <v/>
      </c>
      <c r="KG366" s="355" t="str">
        <f t="shared" si="177"/>
        <v/>
      </c>
      <c r="KH366" s="355" t="str">
        <f t="shared" si="178"/>
        <v/>
      </c>
      <c r="KI366" s="355" t="str">
        <f t="shared" si="179"/>
        <v/>
      </c>
      <c r="KJ366" s="355" t="str">
        <f t="shared" si="180"/>
        <v/>
      </c>
      <c r="KK366" s="355" t="str">
        <f t="shared" si="181"/>
        <v/>
      </c>
      <c r="KL366" s="355" t="str">
        <f t="shared" si="182"/>
        <v/>
      </c>
      <c r="KM366" s="355" t="str">
        <f t="shared" si="183"/>
        <v/>
      </c>
      <c r="KN366" s="355" t="str">
        <f t="shared" si="184"/>
        <v/>
      </c>
      <c r="KO366" s="359"/>
      <c r="KP366" s="378"/>
      <c r="KQ366" s="379" t="s">
        <v>9</v>
      </c>
      <c r="KR366" s="380" t="s">
        <v>9</v>
      </c>
      <c r="KS366" s="381" t="s">
        <v>9</v>
      </c>
      <c r="KT366" s="382">
        <f t="shared" si="186"/>
        <v>0</v>
      </c>
      <c r="KU366" s="383">
        <f t="shared" si="187"/>
        <v>0</v>
      </c>
      <c r="KV366" s="381" t="str">
        <f t="shared" si="205"/>
        <v>S</v>
      </c>
      <c r="KW366" s="382">
        <f t="shared" si="189"/>
        <v>0</v>
      </c>
      <c r="KX366" s="384">
        <f t="shared" si="190"/>
        <v>0</v>
      </c>
      <c r="KY366" s="382">
        <f t="shared" ref="KY366:KZ366" si="968">KW366-KT366</f>
        <v>0</v>
      </c>
      <c r="KZ366" s="369">
        <f t="shared" si="968"/>
        <v>0</v>
      </c>
      <c r="LA366" s="385" t="str">
        <f t="shared" si="192"/>
        <v>✔</v>
      </c>
      <c r="LB366" s="340" t="str">
        <f>IFERROR(__xludf.DUMMYFUNCTION("JOIN("""",ArrayFormula(MID(KS366,LEN(KS366)-SEQUENCE(1,LEN(KS366))+1,1)))"),"S")</f>
        <v>S</v>
      </c>
      <c r="LC366" s="373" t="str">
        <f>IFERROR(__xludf.DUMMYFUNCTION("JOIN("""",ArrayFormula(MID(KV366,LEN(KV366)-SEQUENCE(1,LEN(KV366))+1,1)))"),"S")</f>
        <v>S</v>
      </c>
      <c r="LD366" s="373" t="str">
        <f t="shared" si="193"/>
        <v>S</v>
      </c>
      <c r="LE366" s="339" t="str">
        <f t="shared" si="194"/>
        <v>S</v>
      </c>
      <c r="LF366" s="386" t="str">
        <f>IFERROR(__xludf.DUMMYFUNCTION("SUBSTITUTE(SUBSTITUTE(CONCATENATE(JOIN("""",LH366:LT366)),""1"",""""),""2"","""")"),"SS")</f>
        <v>SS</v>
      </c>
      <c r="LG366" s="369" t="str">
        <f t="shared" si="195"/>
        <v>-</v>
      </c>
      <c r="LH366" s="387" t="str">
        <f>IFERROR(__xludf.DUMMYFUNCTION("IF(REGEXMATCH(LD366, ""S""), ""S"",IF(REGEXMATCH(LE366, ""S""), ""S"",""""))"),"S")</f>
        <v>S</v>
      </c>
      <c r="LI366" s="299" t="str">
        <f>IFERROR(__xludf.DUMMYFUNCTION("IF(REGEXMATCH(LD366, ""r""), ""r1"",IF(REGEXMATCH(LE366, ""r""), ""r2"",""""))"),"")</f>
        <v/>
      </c>
      <c r="LJ366" s="299" t="str">
        <f>IFERROR(__xludf.DUMMYFUNCTION("IF(REGEXMATCH(LD366, ""R""), ""R1"",IF(REGEXMATCH(LE366, ""R""), ""R2"",""""))"),"")</f>
        <v/>
      </c>
      <c r="LK366" s="299" t="str">
        <f>IFERROR(__xludf.DUMMYFUNCTION("IF(REGEXMATCH(LD366, ""g""), ""g1"",IF(REGEXMATCH(LE366, ""g""), ""g2"",""""))"),"")</f>
        <v/>
      </c>
      <c r="LL366" s="299" t="str">
        <f>IFERROR(__xludf.DUMMYFUNCTION("IF(REGEXMATCH(LD366, ""G""), ""G1"",IF(REGEXMATCH(LE366, ""G""), ""G2"",""""))"),"")</f>
        <v/>
      </c>
      <c r="LM366" s="299" t="str">
        <f>IFERROR(__xludf.DUMMYFUNCTION("IF(REGEXMATCH(LD366, ""m""), ""m1"",IF(REGEXMATCH(LE366, ""m""), ""m2"",""""))"),"")</f>
        <v/>
      </c>
      <c r="LN366" s="299" t="str">
        <f>IFERROR(__xludf.DUMMYFUNCTION("IF(REGEXMATCH(LD366, ""M""), ""M1"",IF(REGEXMATCH(LE366, ""M""), ""M2"",""""))"),"")</f>
        <v/>
      </c>
      <c r="LO366" s="299" t="str">
        <f>IFERROR(__xludf.DUMMYFUNCTION("IF(REGEXMATCH(LD366, ""P""), ""P1"",IF(REGEXMATCH(LE366, ""P""), ""P2"",""""))"),"")</f>
        <v/>
      </c>
      <c r="LP366" s="299" t="str">
        <f>IFERROR(__xludf.DUMMYFUNCTION("IF(REGEXMATCH(LD366, ""d""), ""d1"",IF(REGEXMATCH(LE366, ""d""), ""d2"",""""))"),"")</f>
        <v/>
      </c>
      <c r="LQ366" s="299" t="str">
        <f>IFERROR(__xludf.DUMMYFUNCTION("IF(REGEXMATCH(LD366, ""D""), ""D1"",IF(REGEXMATCH(LE366, ""D""), ""D2"",""""))"),"")</f>
        <v/>
      </c>
      <c r="LR366" s="299" t="str">
        <f>IFERROR(__xludf.DUMMYFUNCTION("IF(REGEXMATCH(LD366, ""n""), ""n1"",IF(REGEXMATCH(LE366, ""n""), ""n2"",""""))"),"")</f>
        <v/>
      </c>
      <c r="LS366" s="299" t="str">
        <f>IFERROR(__xludf.DUMMYFUNCTION("IF(REGEXMATCH(LD366, ""N""), ""N1"",IF(REGEXMATCH(LE366, ""N""), ""N2"",""""))"),"")</f>
        <v/>
      </c>
      <c r="LT366" s="388" t="str">
        <f>IFERROR(__xludf.DUMMYFUNCTION("IF(REGEXMATCH(LD366, ""S""), ""S"",IF(REGEXMATCH(LE366, ""S""), ""S"",""""))"),"S")</f>
        <v>S</v>
      </c>
      <c r="LU366" s="389">
        <f t="shared" si="196"/>
        <v>1</v>
      </c>
      <c r="LV366" s="378"/>
      <c r="LW366" s="369"/>
      <c r="LX366" s="369"/>
    </row>
    <row r="367" ht="18.0" customHeight="1">
      <c r="A367" s="298" t="s">
        <v>1248</v>
      </c>
      <c r="B367" s="222" t="s">
        <v>1249</v>
      </c>
      <c r="C367" s="233" t="str">
        <f t="shared" si="7"/>
        <v>SGmPdS</v>
      </c>
      <c r="D367" s="234" t="str">
        <f>IFERROR(__xludf.DUMMYFUNCTION("IF(REGEXMATCH(C367, ""S""), ""S"","""")"),"S")</f>
        <v>S</v>
      </c>
      <c r="E367" s="236" t="str">
        <f>IFERROR(__xludf.DUMMYFUNCTION("IF(REGEXMATCH(C367, ""r""), ""r"","""")"),"")</f>
        <v/>
      </c>
      <c r="F367" s="237" t="str">
        <f>IFERROR(__xludf.DUMMYFUNCTION("IF(REGEXMATCH(C367, ""R""), ""R"","""")"),"")</f>
        <v/>
      </c>
      <c r="G367" s="237" t="str">
        <f>IFERROR(__xludf.DUMMYFUNCTION("IF(REGEXMATCH(C367, ""g""), ""g"","""")"),"")</f>
        <v/>
      </c>
      <c r="H367" s="236" t="str">
        <f>IFERROR(__xludf.DUMMYFUNCTION("IF(REGEXMATCH(C367, ""G""), ""G"","""")"),"G")</f>
        <v>G</v>
      </c>
      <c r="I367" s="236" t="str">
        <f>IFERROR(__xludf.DUMMYFUNCTION("IF(REGEXMATCH(C367, ""m""), ""m"","""")"),"m")</f>
        <v>m</v>
      </c>
      <c r="J367" s="237" t="str">
        <f>IFERROR(__xludf.DUMMYFUNCTION("IF(REGEXMATCH(C367, ""M""), ""M"","""")"),"")</f>
        <v/>
      </c>
      <c r="K367" s="236" t="str">
        <f>IFERROR(__xludf.DUMMYFUNCTION("IF(REGEXMATCH(C367, ""P""), ""P"","""")"),"P")</f>
        <v>P</v>
      </c>
      <c r="L367" s="237" t="str">
        <f>IFERROR(__xludf.DUMMYFUNCTION("IF(REGEXMATCH(C367, ""d""), ""d"","""")"),"d")</f>
        <v>d</v>
      </c>
      <c r="M367" s="236" t="str">
        <f>IFERROR(__xludf.DUMMYFUNCTION("IF(REGEXMATCH(C367, ""D""), ""D"","""")"),"")</f>
        <v/>
      </c>
      <c r="N367" s="236" t="str">
        <f>IFERROR(__xludf.DUMMYFUNCTION("IF(REGEXMATCH(C367, ""n""), ""n"","""")"),"")</f>
        <v/>
      </c>
      <c r="O367" s="237" t="str">
        <f>IFERROR(__xludf.DUMMYFUNCTION("IF(REGEXMATCH(C367, ""N""), ""N"","""")"),"")</f>
        <v/>
      </c>
      <c r="P367" s="238" t="str">
        <f>IFERROR(__xludf.DUMMYFUNCTION("IF(REGEXMATCH(C367, ""S""), ""S"","""")"),"S")</f>
        <v>S</v>
      </c>
      <c r="Q367" s="239" t="str">
        <f>IFERROR(__xludf.DUMMYFUNCTION("SUBSTITUTE(CONCATENATE(JOIN(""-"",D367:J367)),""-"","""")"),"SGm")</f>
        <v>SGm</v>
      </c>
      <c r="R367" s="229" t="str">
        <f>IFERROR(__xludf.DUMMYFUNCTION("SUBSTITUTE(CONCATENATE(JOIN(""-"",K367:P367)),""-"","""")"),"PdS")</f>
        <v>PdS</v>
      </c>
      <c r="S367" s="282" t="str">
        <f t="shared" si="8"/>
        <v>S-G-M</v>
      </c>
      <c r="T367" s="282" t="str">
        <f t="shared" si="9"/>
        <v>P-D-S</v>
      </c>
      <c r="U367" s="237" t="str">
        <f>IFERROR(__xludf.DUMMYFUNCTION("SUBSTITUTE(JOIN(""-"",S367,T367),""--"",""-"")"),"S-G-M-P-D-S")</f>
        <v>S-G-M-P-D-S</v>
      </c>
      <c r="V367" s="309" t="str">
        <f t="shared" si="10"/>
        <v>Gmd</v>
      </c>
      <c r="W367" s="244" t="str">
        <f>IFERROR(__xludf.DUMMYFUNCTION("IF(REGEXMATCH(C367, ""S""), ""0"","""")"),"0")</f>
        <v>0</v>
      </c>
      <c r="X367" s="245" t="str">
        <f>IFERROR(__xludf.DUMMYFUNCTION("IF(REGEXMATCH(C367, ""r""), ""1"","""")"),"")</f>
        <v/>
      </c>
      <c r="Y367" s="246" t="str">
        <f>IFERROR(__xludf.DUMMYFUNCTION("IF(REGEXMATCH(C367, ""R""), ""2"","""")"),"")</f>
        <v/>
      </c>
      <c r="Z367" s="246" t="str">
        <f>IFERROR(__xludf.DUMMYFUNCTION("IF(REGEXMATCH(C367, ""g""), ""3"","""")"),"")</f>
        <v/>
      </c>
      <c r="AA367" s="245" t="str">
        <f>IFERROR(__xludf.DUMMYFUNCTION("IF(REGEXMATCH(C367, ""G""), ""4"","""")"),"4")</f>
        <v>4</v>
      </c>
      <c r="AB367" s="245" t="str">
        <f>IFERROR(__xludf.DUMMYFUNCTION("IF(REGEXMATCH(C367, ""m""), ""5"","""")"),"5")</f>
        <v>5</v>
      </c>
      <c r="AC367" s="246" t="str">
        <f>IFERROR(__xludf.DUMMYFUNCTION("IF(REGEXMATCH(C367, ""M""), ""6"","""")"),"")</f>
        <v/>
      </c>
      <c r="AD367" s="245" t="str">
        <f>IFERROR(__xludf.DUMMYFUNCTION("IF(REGEXMATCH(C367, ""P""), ""7"","""")"),"7")</f>
        <v>7</v>
      </c>
      <c r="AE367" s="246" t="str">
        <f>IFERROR(__xludf.DUMMYFUNCTION("IF(REGEXMATCH(C367, ""d""), ""8"","""")"),"8")</f>
        <v>8</v>
      </c>
      <c r="AF367" s="245" t="str">
        <f>IFERROR(__xludf.DUMMYFUNCTION("IF(REGEXMATCH(C367, ""D""), ""9"","""")"),"")</f>
        <v/>
      </c>
      <c r="AG367" s="245" t="str">
        <f>IFERROR(__xludf.DUMMYFUNCTION("IF(REGEXMATCH(C367, ""n""), ""10"","""")"),"")</f>
        <v/>
      </c>
      <c r="AH367" s="246" t="str">
        <f>IFERROR(__xludf.DUMMYFUNCTION("IF(REGEXMATCH(C367, ""N""), ""11"","""")"),"")</f>
        <v/>
      </c>
      <c r="AI367" s="249" t="str">
        <f>IFERROR(__xludf.DUMMYFUNCTION("IF(REGEXMATCH(C367, ""S""), ""0"","""")"),"0")</f>
        <v>0</v>
      </c>
      <c r="AJ367" s="313" t="str">
        <f t="shared" si="11"/>
        <v>-</v>
      </c>
      <c r="AK367" s="313" t="str">
        <f t="shared" si="12"/>
        <v>-</v>
      </c>
      <c r="AL367" s="313" t="str">
        <f t="shared" si="13"/>
        <v>-</v>
      </c>
      <c r="AM367" s="313" t="str">
        <f t="shared" si="14"/>
        <v>-</v>
      </c>
      <c r="AN367" s="313" t="str">
        <f t="shared" si="15"/>
        <v>-</v>
      </c>
      <c r="AO367" s="314" t="str">
        <f t="shared" si="16"/>
        <v>-</v>
      </c>
      <c r="AP367" s="316">
        <f t="shared" si="17"/>
        <v>0</v>
      </c>
      <c r="AQ367" s="319" t="str">
        <f t="shared" si="18"/>
        <v>#REF!</v>
      </c>
      <c r="AR367" s="320">
        <f t="shared" si="19"/>
        <v>0</v>
      </c>
      <c r="AS367" s="250" t="str">
        <f>IFERROR(__xludf.DUMMYFUNCTION("SUBSTITUTE(SUBSTITUTE(CONCATENATE(JOIN("""",FP367:GA367)),""|"",""x""),""-"",""o"")"),"xoooxxoxxooo")</f>
        <v>xoooxxoxxooo</v>
      </c>
      <c r="AT367" s="323" t="str">
        <f>IFERROR(__xludf.DUMMYFUNCTION("JOIN("""",AS367,AS367)"),"xoooxxoxxoooxoooxxoxxooo")</f>
        <v>xoooxxoxxoooxoooxxoxxooo</v>
      </c>
      <c r="AU367" s="256" t="str">
        <f>IFERROR(__xludf.DUMMYFUNCTION("JOIN("""",ArrayFormula(MID(AS367,LEN(AS367)-SEQUENCE(1,LEN(AS367))+1,1)))"),"oooxxoxxooox")</f>
        <v>oooxxoxxooox</v>
      </c>
      <c r="AV367" s="256" t="str">
        <f>IFERROR(__xludf.DUMMYFUNCTION("LEFT(CONCATENATE(""x"",JOIN("""",ArrayFormula(MID(AS367,LEN(AS367)-SEQUENCE(1,LEN(AS367))+1,1)))),12)"),"xoooxxoxxooo")</f>
        <v>xoooxxoxxooo</v>
      </c>
      <c r="AW367" s="327" t="str">
        <f>IFERROR(__xludf.DUMMYFUNCTION("JOIN("""",AU367,AU367)"),"oooxxoxxoooxoooxxoxxooox")</f>
        <v>oooxxoxxoooxoooxxoxxooox</v>
      </c>
      <c r="AX367" s="239" t="str">
        <f>IFERROR(__xludf.DUMMYFUNCTION("IF(REGEXMATCH(AW367,AS367),""✔"",""-"")"),"✔")</f>
        <v>✔</v>
      </c>
      <c r="AY367" s="330" t="str">
        <f t="shared" si="20"/>
        <v>✔</v>
      </c>
      <c r="AZ367" s="260" t="str">
        <f t="shared" si="21"/>
        <v>#REF!</v>
      </c>
      <c r="BA367" s="333" t="str">
        <f t="shared" si="22"/>
        <v>xoooxxo</v>
      </c>
      <c r="BB367" s="334" t="str">
        <f t="shared" si="23"/>
        <v>xxooox</v>
      </c>
      <c r="BC367" s="335" t="str">
        <f t="shared" si="236"/>
        <v>-</v>
      </c>
      <c r="BD367" s="336" t="str">
        <f t="shared" si="25"/>
        <v>Zeelaf: 'xoooxxo' + 'xxooox'</v>
      </c>
      <c r="BE367" s="337">
        <f>IFERROR(__xludf.DUMMYFUNCTION("COUNTUNIQUE(FILTER(AT:AT,REGEXMATCH(AT:AT,AS367)))-1"),0.0)</f>
        <v>0</v>
      </c>
      <c r="BF367" s="261" t="str">
        <f>IFERROR(__xludf.DUMMYFUNCTION("IF(BI367=0,""(n/a)"",IF(BJ367=2,""(PAIR)"",IF(REGEXMATCH(AT367,""xoxoxxoxoxox""),""Bilawal"",IF(REGEXMATCH(AT367,""xoxoxooxoxoo""),""Bhupali"",IF(REGEXMATCH(AT367,""xoxoxxoxxoxo""),""Charukeshi"",IF(REGEXMATCH(AT367,""xoxoooxxoxxo""),""Kameshwari"",IF(REG"&amp;"EXMATCH(AT367,""xoxoxooxoxox""),""Shankara"",IF(REGEXMATCH(AT367,""xxooxoxxxoox""),""Basant"",IF(REGEXMATCH(AT367,""xoxoxxxxoxox""),""Bihag"",IF(REGEXMATCH(AT367,""xoxxxxoxoxxx""),""Pilu"",IF(REGEXMATCH(AT367,""xoxxoxoxxoox""),""Kirwani"",IF(REGEXMATCH(AT"&amp;"367,""xoxxoxoxoxxx""),""Mk.Malhar"",IF(REGEXMATCH(AT367,""xxooxxoxxoox""),""Bhairav"",IF(REGEXMATCH(AT367,""xxoxooxxxoox""),""Todi"",IF(REGEXMATCH(AT367,""xxooxoxooxox""),""Marwa"",IF(REGEXMATCH(AT367,""xxoooxoxxooo""),""Gunkali"",IF(REGEXMATCH(AT367,""xo"&amp;"xoxxoxxoox""),""Nat Bhairav"",IF(REGEXMATCH(AT367,""xoxxoooxoxoo""),""Shivranjani"",IF(REGEXMATCH(AT367,""xooxxxoxooxo""),""Jog"",IF(REGEXMATCH(AT367,""xxooxoxoxoox""),""Hemshri"",IF(REGEXMATCH(AT367,""xoooxooxoxxo""),""Kalavati"",IF(REGEXMATCH(AT367,""xx"&amp;"oxoxxoxoox""),""Kedar"",IF(REGEXMATCH(AT367,""xoxxxxoxooxx""),""Gara"",IF(REGEXMATCH(AT367,""xooxoxooxoox""),""Chandrakauns"",IF(REGEXMATCH(AT367,""xoxxxxoxxxox""),""Mand"",IF(REGEXMATCH(AT367,""xoxxxxoxoxox""),""Hanskinkini"",IF(REGEXMATCH(AT367,""xxooxx"&amp;"oxooxo""),""Lilavati"",IF(REGEXMATCH(AT367,""xooxoxoooxox""),""Rajeshwari"",IF(REGEXMATCH(AT367,""xoooxxoxoxxx""),""Khokar"",IF(REGEXMATCH(AT367,""xxooxoxxxxox""),""Maligoura"",""-""))))))))))))))))))))))))))))))"),"(n/a)")</f>
        <v>(n/a)</v>
      </c>
      <c r="BG367" s="239" t="str">
        <f t="shared" si="26"/>
        <v>#REF!</v>
      </c>
      <c r="BH367" s="239">
        <f>IFERROR(__xludf.DUMMYFUNCTION("COUNTUNIQUE(FE367:FO367)-1"),4.0)</f>
        <v>4</v>
      </c>
      <c r="BI367" s="239">
        <f>IFERROR(__xludf.DUMMYFUNCTION("COUNTUNIQUE(FILTER(AT:AT,REGEXMATCH(AT:AT,AS367)))-1"),0.0)</f>
        <v>0</v>
      </c>
      <c r="BJ367" s="239">
        <f>IFERROR(__xludf.DUMMYFUNCTION("COUNTA(FILTER(AT:AT,REGEXMATCH(AT:AT,AS367)))"),1.0)</f>
        <v>1</v>
      </c>
      <c r="BK367" s="341">
        <f>IFERROR(__xludf.DUMMYFUNCTION("COUNTA(FILTER(AT:AT,REGEXMATCH(AT:AT,AS367)))-AR367"),1.0)</f>
        <v>1</v>
      </c>
      <c r="BL367" s="276" t="str">
        <f>IFERROR(__xludf.DUMMYFUNCTION("IF(AS367=""oooooooooooo"",""-"",IF(REGEXMATCH(AT367,""xx""), ""Hemi."", ""Anhemi.""))"),"Hemi.")</f>
        <v>Hemi.</v>
      </c>
      <c r="BM367" s="282" t="str">
        <f>IFERROR(__xludf.DUMMYFUNCTION("IF(AS367=""oooooooooooo"",""-"",IF(REGEXMATCH(AT367,""xxx""), ""Cohem."", ""-""))"),"-")</f>
        <v>-</v>
      </c>
      <c r="BN367" s="282" t="str">
        <f>IFERROR(__xludf.DUMMYFUNCTION("IF(AS367=""oooooooooooo"",""-"",IF(REGEXMATCH(AT367,""xxxx""), ""Co-Co."", ""-""))"),"-")</f>
        <v>-</v>
      </c>
      <c r="BO367" s="342" t="str">
        <f>IFERROR(__xludf.DUMMYFUNCTION("IF(AS367=""oooooooooooo"",""-"",IF(REGEXMATCH(AT367,""xxxxx""), ""CCC."", ""-""))"),"-")</f>
        <v>-</v>
      </c>
      <c r="BP367" s="344" t="str">
        <f t="shared" si="27"/>
        <v>-</v>
      </c>
      <c r="BQ367" s="282" t="str">
        <f>IFERROR(__xludf.DUMMYFUNCTION("IF(REGEXMATCH(JOIN(""-"",EU367:FD367),""TRUE""),""✔"",""-"")"),"✔")</f>
        <v>✔</v>
      </c>
      <c r="BR367" s="225">
        <f t="shared" si="28"/>
        <v>1</v>
      </c>
      <c r="BS367" s="345" t="str">
        <f>IFERROR(__xludf.DUMMYFUNCTION("SUBSTITUTE(SUBSTITUTE(SUBSTITUTE(SUBSTITUTE(CONCATENATE(JOIN(""-"",GC367:GO367)),""--"",""-""),""--"",""-""),""--"",""-""),""--"",""-"")"),"1-3-4-5-b6-8")</f>
        <v>1-3-4-5-b6-8</v>
      </c>
      <c r="BT367" s="299" t="str">
        <f>IFERROR(__xludf.DUMMYFUNCTION("SUBSTITUTE(SUBSTITUTE(SUBSTITUTE(SUBSTITUTE(CONCATENATE(JOIN(""-"",GP367:HB367)),""--"",""-""),""--"",""-""),""--"",""-""),""--"",""-"")"),"S-G3-M1-P-D1-S")</f>
        <v>S-G3-M1-P-D1-S</v>
      </c>
      <c r="BU367" s="348" t="str">
        <f t="shared" si="29"/>
        <v>C-E-F-G-Ab-C</v>
      </c>
      <c r="BV367" s="349" t="str">
        <f t="shared" si="30"/>
        <v>SrRgMDnNS</v>
      </c>
      <c r="BW367" s="350">
        <f t="shared" si="31"/>
        <v>0</v>
      </c>
      <c r="BX367" s="351">
        <f t="shared" si="32"/>
        <v>1</v>
      </c>
      <c r="BY367" s="392"/>
      <c r="BZ367" s="309" t="str">
        <f>IFERROR(__xludf.DUMMYFUNCTION("IF(REGEXMATCH(C367, ""S""), ""x"",""x"")"),"x")</f>
        <v>x</v>
      </c>
      <c r="CA367" s="245" t="str">
        <f>IFERROR(__xludf.DUMMYFUNCTION("IF(REGEXMATCH(C367, ""r""), ""o"",""x"")"),"x")</f>
        <v>x</v>
      </c>
      <c r="CB367" s="246" t="str">
        <f>IFERROR(__xludf.DUMMYFUNCTION("IF(REGEXMATCH(C367, ""R""), ""o"",""x"")"),"x")</f>
        <v>x</v>
      </c>
      <c r="CC367" s="246" t="str">
        <f>IFERROR(__xludf.DUMMYFUNCTION("IF(REGEXMATCH(C367, ""g""), ""o"",""x"")"),"x")</f>
        <v>x</v>
      </c>
      <c r="CD367" s="245" t="str">
        <f>IFERROR(__xludf.DUMMYFUNCTION("IF(REGEXMATCH(C367, ""G""), ""o"",""x"")"),"o")</f>
        <v>o</v>
      </c>
      <c r="CE367" s="245" t="str">
        <f>IFERROR(__xludf.DUMMYFUNCTION("IF(REGEXMATCH(C367, ""m""), ""o"",""x"")"),"o")</f>
        <v>o</v>
      </c>
      <c r="CF367" s="246" t="str">
        <f>IFERROR(__xludf.DUMMYFUNCTION("IF(REGEXMATCH(C367, ""M""), ""o"",""x"")"),"x")</f>
        <v>x</v>
      </c>
      <c r="CG367" s="245" t="str">
        <f>IFERROR(__xludf.DUMMYFUNCTION("IF(REGEXMATCH(C367, ""P""), ""o"",""x"")"),"o")</f>
        <v>o</v>
      </c>
      <c r="CH367" s="246" t="str">
        <f>IFERROR(__xludf.DUMMYFUNCTION("IF(REGEXMATCH(C367, ""d""), ""o"",""x"")"),"o")</f>
        <v>o</v>
      </c>
      <c r="CI367" s="245" t="str">
        <f>IFERROR(__xludf.DUMMYFUNCTION("IF(REGEXMATCH(C367, ""D""), ""o"",""x"")"),"x")</f>
        <v>x</v>
      </c>
      <c r="CJ367" s="245" t="str">
        <f>IFERROR(__xludf.DUMMYFUNCTION("IF(REGEXMATCH(C367, ""n""), ""o"",""x"")"),"x")</f>
        <v>x</v>
      </c>
      <c r="CK367" s="245" t="str">
        <f>IFERROR(__xludf.DUMMYFUNCTION("IF(REGEXMATCH(C367, ""N""), ""o"",""x"")"),"x")</f>
        <v>x</v>
      </c>
      <c r="CL367" s="356" t="str">
        <f>IFERROR(__xludf.DUMMYFUNCTION("IF(REGEXMATCH(C367, ""S""), ""x"",""x"")"),"x")</f>
        <v>x</v>
      </c>
      <c r="CM367" s="357" t="str">
        <f t="shared" si="33"/>
        <v>xxxxooxooxxx</v>
      </c>
      <c r="CN367" s="358">
        <f t="shared" si="34"/>
        <v>0</v>
      </c>
      <c r="CO367" s="246" t="str">
        <f>IFERROR(__xludf.DUMMYFUNCTION("IF(REGEXMATCH($C367, ""S""), ""S"",""S"")"),"S")</f>
        <v>S</v>
      </c>
      <c r="CP367" s="246" t="str">
        <f>IFERROR(__xludf.DUMMYFUNCTION("IF(REGEXMATCH($C367, ""r""), """",""r"")"),"r")</f>
        <v>r</v>
      </c>
      <c r="CQ367" s="246" t="str">
        <f>IFERROR(__xludf.DUMMYFUNCTION("IF(REGEXMATCH($C367, ""R""), """",""R"")"),"R")</f>
        <v>R</v>
      </c>
      <c r="CR367" s="246" t="str">
        <f>IFERROR(__xludf.DUMMYFUNCTION("IF(REGEXMATCH($C367, ""g""), """",""g"")"),"g")</f>
        <v>g</v>
      </c>
      <c r="CS367" s="246" t="str">
        <f>IFERROR(__xludf.DUMMYFUNCTION("IF(REGEXMATCH($C367, ""G""), """",""G"")"),"")</f>
        <v/>
      </c>
      <c r="CT367" s="246" t="str">
        <f>IFERROR(__xludf.DUMMYFUNCTION("IF(REGEXMATCH($C367, ""m""), """",""m"")"),"")</f>
        <v/>
      </c>
      <c r="CU367" s="246" t="str">
        <f>IFERROR(__xludf.DUMMYFUNCTION("IF(REGEXMATCH($C367, ""M""), """",""M"")"),"M")</f>
        <v>M</v>
      </c>
      <c r="CV367" s="246" t="str">
        <f>IFERROR(__xludf.DUMMYFUNCTION("IF(REGEXMATCH($C367, ""P""), """",""P"")"),"")</f>
        <v/>
      </c>
      <c r="CW367" s="246" t="str">
        <f>IFERROR(__xludf.DUMMYFUNCTION("IF(REGEXMATCH($C367, ""d""), """",""d"")"),"")</f>
        <v/>
      </c>
      <c r="CX367" s="246" t="str">
        <f>IFERROR(__xludf.DUMMYFUNCTION("IF(REGEXMATCH($C367, ""D""), """",""D"")"),"D")</f>
        <v>D</v>
      </c>
      <c r="CY367" s="246" t="str">
        <f>IFERROR(__xludf.DUMMYFUNCTION("IF(REGEXMATCH($C367, ""n""), """",""n"")"),"n")</f>
        <v>n</v>
      </c>
      <c r="CZ367" s="246" t="str">
        <f>IFERROR(__xludf.DUMMYFUNCTION("IF(REGEXMATCH($C367, ""N""), """",""N"")"),"N")</f>
        <v>N</v>
      </c>
      <c r="DA367" s="246" t="str">
        <f>IFERROR(__xludf.DUMMYFUNCTION("IF(REGEXMATCH($C367, ""S""), ""S"",""S"")"),"S")</f>
        <v>S</v>
      </c>
      <c r="DB367" s="362" t="str">
        <f>IFERROR(__xludf.DUMMYFUNCTION("JOIN("""",CO367:DA367,"""","""")"),"SrRgMDnNS")</f>
        <v>SrRgMDnNS</v>
      </c>
      <c r="DC367" s="363"/>
      <c r="DD367" s="301" t="str">
        <f t="shared" si="35"/>
        <v>#REF!</v>
      </c>
      <c r="DE367" s="302" t="str">
        <f t="shared" si="36"/>
        <v>#REF!</v>
      </c>
      <c r="DF367" s="301" t="str">
        <f t="shared" ref="DF367:DG367" si="969">SUBSTITUTE(S367,"-","")</f>
        <v>SGM</v>
      </c>
      <c r="DG367" s="301" t="str">
        <f t="shared" si="969"/>
        <v>PDS</v>
      </c>
      <c r="DH367" s="302" t="str">
        <f t="shared" si="38"/>
        <v>(n/a)</v>
      </c>
      <c r="DI367" s="301" t="str">
        <f t="shared" si="39"/>
        <v>Hemi.</v>
      </c>
      <c r="DJ367" s="364" t="str">
        <f t="shared" si="40"/>
        <v>-</v>
      </c>
      <c r="DK367" s="306" t="str">
        <f t="shared" si="41"/>
        <v>-</v>
      </c>
      <c r="DL367" s="366" t="str">
        <f t="shared" si="42"/>
        <v>✔</v>
      </c>
      <c r="DM367" s="308" t="str">
        <f t="shared" si="43"/>
        <v>-</v>
      </c>
      <c r="DN367" s="306" t="str">
        <f t="shared" si="44"/>
        <v>-</v>
      </c>
      <c r="DO367" s="306" t="str">
        <f t="shared" si="45"/>
        <v>-</v>
      </c>
      <c r="DP367" s="367" t="str">
        <f t="shared" si="46"/>
        <v>-</v>
      </c>
      <c r="DQ367" s="310" t="str">
        <f t="shared" si="47"/>
        <v>-</v>
      </c>
      <c r="DR367" s="310" t="str">
        <f t="shared" si="48"/>
        <v>-</v>
      </c>
      <c r="DS367" s="310" t="str">
        <f t="shared" si="49"/>
        <v>-</v>
      </c>
      <c r="DT367" s="310" t="str">
        <f t="shared" si="50"/>
        <v>-</v>
      </c>
      <c r="DU367" s="370" t="str">
        <f t="shared" si="51"/>
        <v>-</v>
      </c>
      <c r="DV367" s="306" t="str">
        <f t="shared" si="52"/>
        <v>✔</v>
      </c>
      <c r="DW367" s="306" t="str">
        <f t="shared" si="53"/>
        <v>-</v>
      </c>
      <c r="DX367" s="306" t="str">
        <f t="shared" si="54"/>
        <v>-</v>
      </c>
      <c r="DY367" s="306" t="str">
        <f t="shared" si="55"/>
        <v>-</v>
      </c>
      <c r="DZ367" s="306" t="str">
        <f t="shared" si="56"/>
        <v>-</v>
      </c>
      <c r="EA367" s="367" t="str">
        <f t="shared" si="57"/>
        <v>✔</v>
      </c>
      <c r="EB367" s="310" t="str">
        <f>IFERROR(__xludf.DUMMYFUNCTION("IF(REGEXMATCH(AW367,AS367),""✔"",""-"")"),"✔")</f>
        <v>✔</v>
      </c>
      <c r="EC367" s="310" t="str">
        <f t="shared" si="58"/>
        <v>#REF!</v>
      </c>
      <c r="ED367" s="370" t="str">
        <f t="shared" si="59"/>
        <v>✔</v>
      </c>
      <c r="EE367" s="340" t="str">
        <f t="shared" si="60"/>
        <v>S-G-m-P-d-S</v>
      </c>
      <c r="EF367" s="371" t="str">
        <f>IFERROR(__xludf.DUMMYFUNCTION("CONCATENATE(JOIN("""",HC367:HO367))"),"SGmPdS")</f>
        <v>SGmPdS</v>
      </c>
      <c r="EG367" s="372">
        <f t="shared" si="61"/>
        <v>3</v>
      </c>
      <c r="EH367" s="373" t="str">
        <f>IFERROR(__xludf.DUMMYFUNCTION("CONCATENATE(JOIN("""",JC367:JO367))"),"Ga, Pa, dha, ")</f>
        <v>Ga, Pa, dha, </v>
      </c>
      <c r="EI367" s="322">
        <f t="shared" si="62"/>
        <v>2</v>
      </c>
      <c r="EJ367" s="374" t="str">
        <f>IFERROR(__xludf.DUMMYFUNCTION("CONCATENATE(JOIN("""",KC367:KO367))"),"Ga, dha, ")</f>
        <v>Ga, dha, </v>
      </c>
      <c r="EK367" s="325" t="str">
        <f t="shared" si="63"/>
        <v>S-G3-M1-P-D1-S</v>
      </c>
      <c r="EL367" s="326" t="str">
        <f t="shared" si="64"/>
        <v>1-3-4-5-b6-8</v>
      </c>
      <c r="EM367" s="318" t="str">
        <f t="shared" si="65"/>
        <v>#REF!</v>
      </c>
      <c r="EN367" s="328" t="str">
        <f>IFERROR(__xludf.DUMMYFUNCTION("SUBSTITUTE(SUBSTITUTE(SUBSTITUTE(SUBSTITUTE(CONCATENATE(JOIN("" "",HP367:IB367)),""  "","" ""),""  "","" ""),""  "","" ""),""  "","" "")"),"o • • • o o • o o • • • o")</f>
        <v>o • • • o o • o o • • • o</v>
      </c>
      <c r="EO367" s="368" t="str">
        <f t="shared" si="66"/>
        <v>-</v>
      </c>
      <c r="EP367" s="339" t="str">
        <f t="shared" si="67"/>
        <v>-</v>
      </c>
      <c r="EQ367" s="339" t="str">
        <f t="shared" si="68"/>
        <v>Sa-Pa</v>
      </c>
      <c r="ER367" s="339" t="str">
        <f t="shared" si="69"/>
        <v>-</v>
      </c>
      <c r="ES367" s="340" t="str">
        <f t="shared" si="70"/>
        <v>-</v>
      </c>
      <c r="ET367" s="363"/>
      <c r="EU367" s="376" t="b">
        <f>IFERROR(__xludf.DUMMYFUNCTION("arrayformula(sum(--REGEXMATCH(""SRGMPDNS"",split(REGEXREPLACE(C367,""(.)"",""$1~""),""~""))))=len(C367)
"),FALSE)</f>
        <v>0</v>
      </c>
      <c r="EV367" s="290" t="b">
        <f>IFERROR(__xludf.DUMMYFUNCTION("arrayformula(sum(--REGEXMATCH(""SRGmPDNS"",split(REGEXREPLACE(C367,""(.)"",""$1~""),""~""))))=len(C367)"),FALSE)</f>
        <v>0</v>
      </c>
      <c r="EW367" s="290" t="b">
        <f>IFERROR(__xludf.DUMMYFUNCTION("arrayformula(sum(--REGEXMATCH(""SRGmPDnS"",split(REGEXREPLACE(C367,""(.)"",""$1~""),""~""))))=len(C367)"),FALSE)</f>
        <v>0</v>
      </c>
      <c r="EX367" s="290" t="b">
        <f>IFERROR(__xludf.DUMMYFUNCTION("arrayformula(sum(--REGEXMATCH(""SRgmPDnS"",split(REGEXREPLACE(C367,""(.)"",""$1~""),""~""))))=len(C367)"),FALSE)</f>
        <v>0</v>
      </c>
      <c r="EY367" s="290" t="b">
        <f>IFERROR(__xludf.DUMMYFUNCTION("arrayformula(sum(--REGEXMATCH(""SRgmPdnS"",split(REGEXREPLACE(C367,""(.)"",""$1~""),""~""))))=len(C367)"),FALSE)</f>
        <v>0</v>
      </c>
      <c r="EZ367" s="290" t="b">
        <f>IFERROR(__xludf.DUMMYFUNCTION("arrayformula(sum(--REGEXMATCH(""SrgmPdnS"",split(REGEXREPLACE(C367,""(.)"",""$1~""),""~""))))=len(C367)"),FALSE)</f>
        <v>0</v>
      </c>
      <c r="FA367" s="290" t="b">
        <f>IFERROR(__xludf.DUMMYFUNCTION("arrayformula(sum(--REGEXMATCH(""SrGmPdNS"",split(REGEXREPLACE(C367,""(.)"",""$1~""),""~""))))=len(C367)"),TRUE)</f>
        <v>1</v>
      </c>
      <c r="FB367" s="290" t="b">
        <f>IFERROR(__xludf.DUMMYFUNCTION("arrayformula(sum(--REGEXMATCH(""SrGMPDNS"",split(REGEXREPLACE(C367,""(.)"",""$1~""),""~""))))=len(C367)"),FALSE)</f>
        <v>0</v>
      </c>
      <c r="FC367" s="290" t="b">
        <f>IFERROR(__xludf.DUMMYFUNCTION("arrayformula(sum(--REGEXMATCH(""SrGMPdNS"",split(REGEXREPLACE(C367,""(.)"",""$1~""),""~""))))=len(C367)"),FALSE)</f>
        <v>0</v>
      </c>
      <c r="FD367" s="377" t="b">
        <f>IFERROR(__xludf.DUMMYFUNCTION("arrayformula(sum(--REGEXMATCH(""SrgMPdNS"",split(REGEXREPLACE(C367,""(.)"",""$1~""),""~""))))=len(C367)"),FALSE)</f>
        <v>0</v>
      </c>
      <c r="FE367" s="269" t="str">
        <f t="shared" si="71"/>
        <v>-</v>
      </c>
      <c r="FF367" s="269" t="str">
        <f t="shared" si="72"/>
        <v>-</v>
      </c>
      <c r="FG367" s="271" t="str">
        <f t="shared" si="73"/>
        <v>-</v>
      </c>
      <c r="FH367" s="269" t="str">
        <f t="shared" si="74"/>
        <v>xxoxxoooxoo</v>
      </c>
      <c r="FI367" s="271" t="str">
        <f t="shared" si="75"/>
        <v>xoxxoooxooo</v>
      </c>
      <c r="FJ367" s="271" t="str">
        <f t="shared" si="76"/>
        <v>-</v>
      </c>
      <c r="FK367" s="271" t="str">
        <f t="shared" si="77"/>
        <v>xxoooxoooxx</v>
      </c>
      <c r="FL367" s="271" t="str">
        <f t="shared" si="78"/>
        <v>xoooxoooxxo</v>
      </c>
      <c r="FM367" s="271" t="str">
        <f t="shared" si="79"/>
        <v>-</v>
      </c>
      <c r="FN367" s="271" t="str">
        <f t="shared" si="80"/>
        <v>-</v>
      </c>
      <c r="FO367" s="274" t="str">
        <f t="shared" si="81"/>
        <v>-</v>
      </c>
      <c r="FP367" s="234" t="str">
        <f t="shared" si="82"/>
        <v>|</v>
      </c>
      <c r="FQ367" s="236" t="str">
        <f t="shared" si="83"/>
        <v>-</v>
      </c>
      <c r="FR367" s="237" t="str">
        <f t="shared" si="84"/>
        <v>-</v>
      </c>
      <c r="FS367" s="236" t="str">
        <f t="shared" si="85"/>
        <v>-</v>
      </c>
      <c r="FT367" s="237" t="str">
        <f t="shared" si="86"/>
        <v>|</v>
      </c>
      <c r="FU367" s="236" t="str">
        <f t="shared" si="87"/>
        <v>|</v>
      </c>
      <c r="FV367" s="237" t="str">
        <f t="shared" si="88"/>
        <v>-</v>
      </c>
      <c r="FW367" s="236" t="str">
        <f t="shared" si="89"/>
        <v>|</v>
      </c>
      <c r="FX367" s="237" t="str">
        <f t="shared" si="90"/>
        <v>|</v>
      </c>
      <c r="FY367" s="236" t="str">
        <f t="shared" si="91"/>
        <v>-</v>
      </c>
      <c r="FZ367" s="237" t="str">
        <f t="shared" si="92"/>
        <v>-</v>
      </c>
      <c r="GA367" s="236" t="str">
        <f t="shared" si="93"/>
        <v>-</v>
      </c>
      <c r="GB367" s="238" t="str">
        <f t="shared" si="94"/>
        <v>|</v>
      </c>
      <c r="GC367" s="244" t="str">
        <f>IFERROR(__xludf.DUMMYFUNCTION("IF(REGEXMATCH(C367, ""S""), ""1"","""")"),"1")</f>
        <v>1</v>
      </c>
      <c r="GD367" s="245" t="str">
        <f>IFERROR(__xludf.DUMMYFUNCTION("IF(REGEXMATCH(C367, ""r""), ""b2"","""")"),"")</f>
        <v/>
      </c>
      <c r="GE367" s="246" t="str">
        <f>IFERROR(__xludf.DUMMYFUNCTION("IF(REGEXMATCH(C367, ""R""), ""2"","""")"),"")</f>
        <v/>
      </c>
      <c r="GF367" s="246" t="str">
        <f>IFERROR(__xludf.DUMMYFUNCTION("IF(REGEXMATCH(C367, ""g""), ""b3"","""")"),"")</f>
        <v/>
      </c>
      <c r="GG367" s="245" t="str">
        <f>IFERROR(__xludf.DUMMYFUNCTION("IF(REGEXMATCH(C367, ""G""), ""3"","""")"),"3")</f>
        <v>3</v>
      </c>
      <c r="GH367" s="245" t="str">
        <f>IFERROR(__xludf.DUMMYFUNCTION("IF(REGEXMATCH(C367, ""m""), ""4"","""")"),"4")</f>
        <v>4</v>
      </c>
      <c r="GI367" s="246" t="str">
        <f>IFERROR(__xludf.DUMMYFUNCTION("IF(REGEXMATCH(C367, ""M""), ""#4"","""")"),"")</f>
        <v/>
      </c>
      <c r="GJ367" s="245" t="str">
        <f>IFERROR(__xludf.DUMMYFUNCTION("IF(REGEXMATCH(C367, ""P""), ""5"","""")"),"5")</f>
        <v>5</v>
      </c>
      <c r="GK367" s="246" t="str">
        <f>IFERROR(__xludf.DUMMYFUNCTION("IF(REGEXMATCH(C367, ""d""), ""b6"","""")"),"b6")</f>
        <v>b6</v>
      </c>
      <c r="GL367" s="245" t="str">
        <f>IFERROR(__xludf.DUMMYFUNCTION("IF(REGEXMATCH(C367, ""D""), ""6"","""")"),"")</f>
        <v/>
      </c>
      <c r="GM367" s="245" t="str">
        <f>IFERROR(__xludf.DUMMYFUNCTION("IF(REGEXMATCH(C367, ""n""), ""b7"","""")"),"")</f>
        <v/>
      </c>
      <c r="GN367" s="246" t="str">
        <f>IFERROR(__xludf.DUMMYFUNCTION("IF(REGEXMATCH(C367, ""N""), ""7"","""")"),"")</f>
        <v/>
      </c>
      <c r="GO367" s="249" t="str">
        <f>IFERROR(__xludf.DUMMYFUNCTION("IF(REGEXMATCH(C367, ""S""), ""8"","""")"),"8")</f>
        <v>8</v>
      </c>
      <c r="GP367" s="244" t="str">
        <f>IFERROR(__xludf.DUMMYFUNCTION("IF(REGEXMATCH(C367, ""S""), ""S"","""")"),"S")</f>
        <v>S</v>
      </c>
      <c r="GQ367" s="294" t="str">
        <f>IFERROR(__xludf.DUMMYFUNCTION("IF(REGEXMATCH(C367, ""r""), ""R1"","""")"),"")</f>
        <v/>
      </c>
      <c r="GR367" s="295" t="str">
        <f>IFERROR(__xludf.DUMMYFUNCTION("IF(REGEXMATCH(C367, ""R""), ""R2"","""")"),"")</f>
        <v/>
      </c>
      <c r="GS367" s="295" t="str">
        <f>IFERROR(__xludf.DUMMYFUNCTION("IF(REGEXMATCH(C367, ""g""), ""G2"","""")"),"")</f>
        <v/>
      </c>
      <c r="GT367" s="294" t="str">
        <f>IFERROR(__xludf.DUMMYFUNCTION("IF(REGEXMATCH(C367, ""G""), ""G3"","""")"),"G3")</f>
        <v>G3</v>
      </c>
      <c r="GU367" s="294" t="str">
        <f>IFERROR(__xludf.DUMMYFUNCTION("IF(REGEXMATCH(C367, ""m""), ""M1"","""")"),"M1")</f>
        <v>M1</v>
      </c>
      <c r="GV367" s="295" t="str">
        <f>IFERROR(__xludf.DUMMYFUNCTION("IF(REGEXMATCH(C367, ""M""), ""M2"","""")"),"")</f>
        <v/>
      </c>
      <c r="GW367" s="294" t="str">
        <f>IFERROR(__xludf.DUMMYFUNCTION("IF(REGEXMATCH(C367, ""P""), ""P"","""")"),"P")</f>
        <v>P</v>
      </c>
      <c r="GX367" s="295" t="str">
        <f>IFERROR(__xludf.DUMMYFUNCTION("IF(REGEXMATCH(C367, ""d""), ""D1"","""")"),"D1")</f>
        <v>D1</v>
      </c>
      <c r="GY367" s="294" t="str">
        <f>IFERROR(__xludf.DUMMYFUNCTION("IF(REGEXMATCH(C367, ""D""), ""D2"","""")"),"")</f>
        <v/>
      </c>
      <c r="GZ367" s="294" t="str">
        <f>IFERROR(__xludf.DUMMYFUNCTION("IF(REGEXMATCH(C367, ""n""), ""N2"","""")"),"")</f>
        <v/>
      </c>
      <c r="HA367" s="295" t="str">
        <f>IFERROR(__xludf.DUMMYFUNCTION("IF(REGEXMATCH(C367, ""N""), ""N3"","""")"),"")</f>
        <v/>
      </c>
      <c r="HB367" s="249" t="str">
        <f>IFERROR(__xludf.DUMMYFUNCTION("IF(REGEXMATCH(C367, ""S""), ""S"","""")"),"S")</f>
        <v>S</v>
      </c>
      <c r="HC367" s="331" t="str">
        <f t="shared" si="95"/>
        <v>S</v>
      </c>
      <c r="HD367" s="332" t="str">
        <f t="shared" si="96"/>
        <v/>
      </c>
      <c r="HE367" s="332" t="str">
        <f t="shared" si="97"/>
        <v/>
      </c>
      <c r="HF367" s="332" t="str">
        <f t="shared" si="98"/>
        <v/>
      </c>
      <c r="HG367" s="332" t="str">
        <f t="shared" si="99"/>
        <v>G</v>
      </c>
      <c r="HH367" s="332" t="str">
        <f t="shared" si="100"/>
        <v>m</v>
      </c>
      <c r="HI367" s="332" t="str">
        <f t="shared" si="101"/>
        <v/>
      </c>
      <c r="HJ367" s="332" t="str">
        <f t="shared" si="102"/>
        <v>P</v>
      </c>
      <c r="HK367" s="332" t="str">
        <f t="shared" si="103"/>
        <v>d</v>
      </c>
      <c r="HL367" s="332" t="str">
        <f t="shared" si="104"/>
        <v/>
      </c>
      <c r="HM367" s="332" t="str">
        <f t="shared" si="105"/>
        <v/>
      </c>
      <c r="HN367" s="332" t="str">
        <f t="shared" si="106"/>
        <v/>
      </c>
      <c r="HO367" s="343" t="str">
        <f t="shared" si="107"/>
        <v>S</v>
      </c>
      <c r="HP367" s="331" t="str">
        <f t="shared" si="108"/>
        <v>o</v>
      </c>
      <c r="HQ367" s="332" t="str">
        <f t="shared" si="109"/>
        <v>•</v>
      </c>
      <c r="HR367" s="332" t="str">
        <f t="shared" si="110"/>
        <v>•</v>
      </c>
      <c r="HS367" s="332" t="str">
        <f t="shared" si="111"/>
        <v>•</v>
      </c>
      <c r="HT367" s="332" t="str">
        <f t="shared" si="112"/>
        <v>o</v>
      </c>
      <c r="HU367" s="332" t="str">
        <f t="shared" si="113"/>
        <v>o</v>
      </c>
      <c r="HV367" s="332" t="str">
        <f t="shared" si="114"/>
        <v>•</v>
      </c>
      <c r="HW367" s="332" t="str">
        <f t="shared" si="115"/>
        <v>o</v>
      </c>
      <c r="HX367" s="332" t="str">
        <f t="shared" si="116"/>
        <v>o</v>
      </c>
      <c r="HY367" s="332" t="str">
        <f t="shared" si="117"/>
        <v>•</v>
      </c>
      <c r="HZ367" s="332" t="str">
        <f t="shared" si="118"/>
        <v>•</v>
      </c>
      <c r="IA367" s="332" t="str">
        <f t="shared" si="119"/>
        <v>•</v>
      </c>
      <c r="IB367" s="338" t="str">
        <f t="shared" si="120"/>
        <v>o</v>
      </c>
      <c r="IC367" s="331" t="str">
        <f t="shared" si="121"/>
        <v>•</v>
      </c>
      <c r="ID367" s="332" t="str">
        <f t="shared" si="122"/>
        <v>o</v>
      </c>
      <c r="IE367" s="332" t="str">
        <f t="shared" si="123"/>
        <v>o</v>
      </c>
      <c r="IF367" s="332" t="str">
        <f t="shared" si="124"/>
        <v>o</v>
      </c>
      <c r="IG367" s="332" t="str">
        <f t="shared" si="125"/>
        <v>•</v>
      </c>
      <c r="IH367" s="332" t="str">
        <f t="shared" si="126"/>
        <v>•</v>
      </c>
      <c r="II367" s="332" t="str">
        <f t="shared" si="127"/>
        <v>o</v>
      </c>
      <c r="IJ367" s="332" t="str">
        <f t="shared" si="128"/>
        <v>•</v>
      </c>
      <c r="IK367" s="332" t="str">
        <f t="shared" si="129"/>
        <v>•</v>
      </c>
      <c r="IL367" s="332" t="str">
        <f t="shared" si="130"/>
        <v>o</v>
      </c>
      <c r="IM367" s="332" t="str">
        <f t="shared" si="131"/>
        <v>o</v>
      </c>
      <c r="IN367" s="332" t="str">
        <f t="shared" si="132"/>
        <v>o</v>
      </c>
      <c r="IO367" s="338" t="str">
        <f t="shared" si="133"/>
        <v>•</v>
      </c>
      <c r="IP367" s="346" t="b">
        <f t="shared" si="134"/>
        <v>0</v>
      </c>
      <c r="IQ367" s="347" t="b">
        <f t="shared" si="135"/>
        <v>0</v>
      </c>
      <c r="IR367" s="347" t="b">
        <f t="shared" si="136"/>
        <v>0</v>
      </c>
      <c r="IS367" s="347" t="b">
        <f t="shared" si="137"/>
        <v>0</v>
      </c>
      <c r="IT367" s="347" t="b">
        <f t="shared" si="138"/>
        <v>1</v>
      </c>
      <c r="IU367" s="347" t="b">
        <f t="shared" si="139"/>
        <v>0</v>
      </c>
      <c r="IV367" s="347" t="b">
        <f t="shared" si="140"/>
        <v>0</v>
      </c>
      <c r="IW367" s="347" t="b">
        <f t="shared" si="141"/>
        <v>1</v>
      </c>
      <c r="IX367" s="347" t="b">
        <f t="shared" si="142"/>
        <v>1</v>
      </c>
      <c r="IY367" s="347" t="b">
        <f t="shared" si="143"/>
        <v>0</v>
      </c>
      <c r="IZ367" s="347" t="b">
        <f t="shared" si="144"/>
        <v>0</v>
      </c>
      <c r="JA367" s="347" t="b">
        <f t="shared" si="145"/>
        <v>0</v>
      </c>
      <c r="JB367" s="353" t="b">
        <f t="shared" si="146"/>
        <v>0</v>
      </c>
      <c r="JC367" s="354" t="str">
        <f t="shared" si="147"/>
        <v/>
      </c>
      <c r="JD367" s="355" t="str">
        <f t="shared" si="148"/>
        <v/>
      </c>
      <c r="JE367" s="355" t="str">
        <f t="shared" si="149"/>
        <v/>
      </c>
      <c r="JF367" s="355" t="str">
        <f t="shared" si="150"/>
        <v/>
      </c>
      <c r="JG367" s="355" t="str">
        <f t="shared" si="151"/>
        <v>Ga, </v>
      </c>
      <c r="JH367" s="355" t="str">
        <f t="shared" si="152"/>
        <v/>
      </c>
      <c r="JI367" s="355" t="str">
        <f t="shared" si="153"/>
        <v/>
      </c>
      <c r="JJ367" s="355" t="str">
        <f t="shared" si="154"/>
        <v>Pa, </v>
      </c>
      <c r="JK367" s="355" t="str">
        <f t="shared" si="155"/>
        <v>dha, </v>
      </c>
      <c r="JL367" s="355" t="str">
        <f t="shared" si="156"/>
        <v/>
      </c>
      <c r="JM367" s="355" t="str">
        <f t="shared" si="157"/>
        <v/>
      </c>
      <c r="JN367" s="355" t="str">
        <f t="shared" si="158"/>
        <v/>
      </c>
      <c r="JO367" s="359" t="str">
        <f t="shared" si="159"/>
        <v/>
      </c>
      <c r="JP367" s="346" t="b">
        <f t="shared" si="160"/>
        <v>0</v>
      </c>
      <c r="JQ367" s="347" t="b">
        <f t="shared" si="161"/>
        <v>0</v>
      </c>
      <c r="JR367" s="347" t="b">
        <f t="shared" si="162"/>
        <v>0</v>
      </c>
      <c r="JS367" s="347" t="b">
        <f t="shared" si="163"/>
        <v>0</v>
      </c>
      <c r="JT367" s="347" t="b">
        <f t="shared" si="164"/>
        <v>1</v>
      </c>
      <c r="JU367" s="347" t="b">
        <f t="shared" si="165"/>
        <v>0</v>
      </c>
      <c r="JV367" s="347" t="b">
        <f t="shared" si="166"/>
        <v>0</v>
      </c>
      <c r="JW367" s="347" t="b">
        <f t="shared" si="167"/>
        <v>0</v>
      </c>
      <c r="JX367" s="347" t="b">
        <f t="shared" si="168"/>
        <v>1</v>
      </c>
      <c r="JY367" s="347" t="b">
        <f t="shared" si="169"/>
        <v>0</v>
      </c>
      <c r="JZ367" s="347" t="b">
        <f t="shared" si="170"/>
        <v>0</v>
      </c>
      <c r="KA367" s="347" t="b">
        <f t="shared" si="171"/>
        <v>0</v>
      </c>
      <c r="KB367" s="365" t="b">
        <f t="shared" si="172"/>
        <v>0</v>
      </c>
      <c r="KC367" s="354" t="str">
        <f t="shared" si="173"/>
        <v/>
      </c>
      <c r="KD367" s="355" t="str">
        <f t="shared" si="174"/>
        <v/>
      </c>
      <c r="KE367" s="355" t="str">
        <f t="shared" si="175"/>
        <v/>
      </c>
      <c r="KF367" s="355" t="str">
        <f t="shared" si="176"/>
        <v/>
      </c>
      <c r="KG367" s="355" t="str">
        <f t="shared" si="177"/>
        <v>Ga, </v>
      </c>
      <c r="KH367" s="355" t="str">
        <f t="shared" si="178"/>
        <v/>
      </c>
      <c r="KI367" s="355" t="str">
        <f t="shared" si="179"/>
        <v/>
      </c>
      <c r="KJ367" s="355" t="str">
        <f t="shared" si="180"/>
        <v/>
      </c>
      <c r="KK367" s="355" t="str">
        <f t="shared" si="181"/>
        <v>dha, </v>
      </c>
      <c r="KL367" s="355" t="str">
        <f t="shared" si="182"/>
        <v/>
      </c>
      <c r="KM367" s="355" t="str">
        <f t="shared" si="183"/>
        <v/>
      </c>
      <c r="KN367" s="355" t="str">
        <f t="shared" si="184"/>
        <v/>
      </c>
      <c r="KO367" s="359"/>
      <c r="KP367" s="378"/>
      <c r="KQ367" s="379" t="s">
        <v>1249</v>
      </c>
      <c r="KR367" s="380" t="s">
        <v>1512</v>
      </c>
      <c r="KS367" s="381" t="str">
        <f>KQ367</f>
        <v>S-G-m-P-d-S</v>
      </c>
      <c r="KT367" s="382">
        <f t="shared" si="186"/>
        <v>5</v>
      </c>
      <c r="KU367" s="383">
        <f t="shared" si="187"/>
        <v>5</v>
      </c>
      <c r="KV367" s="381" t="str">
        <f t="shared" si="205"/>
        <v>S-d-P-m-G-S</v>
      </c>
      <c r="KW367" s="382">
        <f t="shared" si="189"/>
        <v>5</v>
      </c>
      <c r="KX367" s="384">
        <f t="shared" si="190"/>
        <v>5</v>
      </c>
      <c r="KY367" s="382">
        <f t="shared" ref="KY367:KZ367" si="970">KW367-KT367</f>
        <v>0</v>
      </c>
      <c r="KZ367" s="369">
        <f t="shared" si="970"/>
        <v>0</v>
      </c>
      <c r="LA367" s="385" t="str">
        <f t="shared" si="192"/>
        <v>✔</v>
      </c>
      <c r="LB367" s="340" t="str">
        <f>IFERROR(__xludf.DUMMYFUNCTION("JOIN("""",ArrayFormula(MID(KS367,LEN(KS367)-SEQUENCE(1,LEN(KS367))+1,1)))"),"S-d-P-m-G-S")</f>
        <v>S-d-P-m-G-S</v>
      </c>
      <c r="LC367" s="373" t="str">
        <f>IFERROR(__xludf.DUMMYFUNCTION("JOIN("""",ArrayFormula(MID(KV367,LEN(KV367)-SEQUENCE(1,LEN(KV367))+1,1)))"),"S-G-m-P-d-S")</f>
        <v>S-G-m-P-d-S</v>
      </c>
      <c r="LD367" s="373" t="str">
        <f t="shared" si="193"/>
        <v>SGmPdS</v>
      </c>
      <c r="LE367" s="339" t="str">
        <f t="shared" si="194"/>
        <v>SGmPdS</v>
      </c>
      <c r="LF367" s="386" t="str">
        <f>IFERROR(__xludf.DUMMYFUNCTION("SUBSTITUTE(SUBSTITUTE(CONCATENATE(JOIN("""",LH367:LT367)),""1"",""""),""2"","""")"),"SGmPdS")</f>
        <v>SGmPdS</v>
      </c>
      <c r="LG367" s="369" t="str">
        <f t="shared" si="195"/>
        <v>✔</v>
      </c>
      <c r="LH367" s="387" t="str">
        <f>IFERROR(__xludf.DUMMYFUNCTION("IF(REGEXMATCH(LD367, ""S""), ""S"",IF(REGEXMATCH(LE367, ""S""), ""S"",""""))"),"S")</f>
        <v>S</v>
      </c>
      <c r="LI367" s="299" t="str">
        <f>IFERROR(__xludf.DUMMYFUNCTION("IF(REGEXMATCH(LD367, ""r""), ""r1"",IF(REGEXMATCH(LE367, ""r""), ""r2"",""""))"),"")</f>
        <v/>
      </c>
      <c r="LJ367" s="299" t="str">
        <f>IFERROR(__xludf.DUMMYFUNCTION("IF(REGEXMATCH(LD367, ""R""), ""R1"",IF(REGEXMATCH(LE367, ""R""), ""R2"",""""))"),"")</f>
        <v/>
      </c>
      <c r="LK367" s="299" t="str">
        <f>IFERROR(__xludf.DUMMYFUNCTION("IF(REGEXMATCH(LD367, ""g""), ""g1"",IF(REGEXMATCH(LE367, ""g""), ""g2"",""""))"),"")</f>
        <v/>
      </c>
      <c r="LL367" s="299" t="str">
        <f>IFERROR(__xludf.DUMMYFUNCTION("IF(REGEXMATCH(LD367, ""G""), ""G1"",IF(REGEXMATCH(LE367, ""G""), ""G2"",""""))"),"G1")</f>
        <v>G1</v>
      </c>
      <c r="LM367" s="299" t="str">
        <f>IFERROR(__xludf.DUMMYFUNCTION("IF(REGEXMATCH(LD367, ""m""), ""m1"",IF(REGEXMATCH(LE367, ""m""), ""m2"",""""))"),"m1")</f>
        <v>m1</v>
      </c>
      <c r="LN367" s="299" t="str">
        <f>IFERROR(__xludf.DUMMYFUNCTION("IF(REGEXMATCH(LD367, ""M""), ""M1"",IF(REGEXMATCH(LE367, ""M""), ""M2"",""""))"),"")</f>
        <v/>
      </c>
      <c r="LO367" s="299" t="str">
        <f>IFERROR(__xludf.DUMMYFUNCTION("IF(REGEXMATCH(LD367, ""P""), ""P1"",IF(REGEXMATCH(LE367, ""P""), ""P2"",""""))"),"P1")</f>
        <v>P1</v>
      </c>
      <c r="LP367" s="299" t="str">
        <f>IFERROR(__xludf.DUMMYFUNCTION("IF(REGEXMATCH(LD367, ""d""), ""d1"",IF(REGEXMATCH(LE367, ""d""), ""d2"",""""))"),"d1")</f>
        <v>d1</v>
      </c>
      <c r="LQ367" s="299" t="str">
        <f>IFERROR(__xludf.DUMMYFUNCTION("IF(REGEXMATCH(LD367, ""D""), ""D1"",IF(REGEXMATCH(LE367, ""D""), ""D2"",""""))"),"")</f>
        <v/>
      </c>
      <c r="LR367" s="299" t="str">
        <f>IFERROR(__xludf.DUMMYFUNCTION("IF(REGEXMATCH(LD367, ""n""), ""n1"",IF(REGEXMATCH(LE367, ""n""), ""n2"",""""))"),"")</f>
        <v/>
      </c>
      <c r="LS367" s="299" t="str">
        <f>IFERROR(__xludf.DUMMYFUNCTION("IF(REGEXMATCH(LD367, ""N""), ""N1"",IF(REGEXMATCH(LE367, ""N""), ""N2"",""""))"),"")</f>
        <v/>
      </c>
      <c r="LT367" s="388" t="str">
        <f>IFERROR(__xludf.DUMMYFUNCTION("IF(REGEXMATCH(LD367, ""S""), ""S"",IF(REGEXMATCH(LE367, ""S""), ""S"",""""))"),"S")</f>
        <v>S</v>
      </c>
      <c r="LU367" s="389">
        <f t="shared" si="196"/>
        <v>1</v>
      </c>
      <c r="LV367" s="378"/>
      <c r="LW367" s="369"/>
      <c r="LX367" s="369"/>
    </row>
    <row r="368" ht="18.0" customHeight="1">
      <c r="A368" s="447" t="s">
        <v>1251</v>
      </c>
      <c r="B368" s="222" t="s">
        <v>741</v>
      </c>
      <c r="C368" s="233" t="str">
        <f t="shared" si="7"/>
        <v>SRgGmPDnNS</v>
      </c>
      <c r="D368" s="234" t="str">
        <f>IFERROR(__xludf.DUMMYFUNCTION("IF(REGEXMATCH(C368, ""S""), ""S"","""")"),"S")</f>
        <v>S</v>
      </c>
      <c r="E368" s="236" t="str">
        <f>IFERROR(__xludf.DUMMYFUNCTION("IF(REGEXMATCH(C368, ""r""), ""r"","""")"),"")</f>
        <v/>
      </c>
      <c r="F368" s="237" t="str">
        <f>IFERROR(__xludf.DUMMYFUNCTION("IF(REGEXMATCH(C368, ""R""), ""R"","""")"),"R")</f>
        <v>R</v>
      </c>
      <c r="G368" s="237" t="str">
        <f>IFERROR(__xludf.DUMMYFUNCTION("IF(REGEXMATCH(C368, ""g""), ""g"","""")"),"g")</f>
        <v>g</v>
      </c>
      <c r="H368" s="236" t="str">
        <f>IFERROR(__xludf.DUMMYFUNCTION("IF(REGEXMATCH(C368, ""G""), ""G"","""")"),"G")</f>
        <v>G</v>
      </c>
      <c r="I368" s="236" t="str">
        <f>IFERROR(__xludf.DUMMYFUNCTION("IF(REGEXMATCH(C368, ""m""), ""m"","""")"),"m")</f>
        <v>m</v>
      </c>
      <c r="J368" s="237" t="str">
        <f>IFERROR(__xludf.DUMMYFUNCTION("IF(REGEXMATCH(C368, ""M""), ""M"","""")"),"")</f>
        <v/>
      </c>
      <c r="K368" s="236" t="str">
        <f>IFERROR(__xludf.DUMMYFUNCTION("IF(REGEXMATCH(C368, ""P""), ""P"","""")"),"P")</f>
        <v>P</v>
      </c>
      <c r="L368" s="237" t="str">
        <f>IFERROR(__xludf.DUMMYFUNCTION("IF(REGEXMATCH(C368, ""d""), ""d"","""")"),"")</f>
        <v/>
      </c>
      <c r="M368" s="236" t="str">
        <f>IFERROR(__xludf.DUMMYFUNCTION("IF(REGEXMATCH(C368, ""D""), ""D"","""")"),"D")</f>
        <v>D</v>
      </c>
      <c r="N368" s="236" t="str">
        <f>IFERROR(__xludf.DUMMYFUNCTION("IF(REGEXMATCH(C368, ""n""), ""n"","""")"),"n")</f>
        <v>n</v>
      </c>
      <c r="O368" s="237" t="str">
        <f>IFERROR(__xludf.DUMMYFUNCTION("IF(REGEXMATCH(C368, ""N""), ""N"","""")"),"N")</f>
        <v>N</v>
      </c>
      <c r="P368" s="238" t="str">
        <f>IFERROR(__xludf.DUMMYFUNCTION("IF(REGEXMATCH(C368, ""S""), ""S"","""")"),"S")</f>
        <v>S</v>
      </c>
      <c r="Q368" s="239" t="str">
        <f>IFERROR(__xludf.DUMMYFUNCTION("SUBSTITUTE(CONCATENATE(JOIN(""-"",D368:J368)),""-"","""")"),"SRgGm")</f>
        <v>SRgGm</v>
      </c>
      <c r="R368" s="229" t="str">
        <f>IFERROR(__xludf.DUMMYFUNCTION("SUBSTITUTE(CONCATENATE(JOIN(""-"",K368:P368)),""-"","""")"),"PDnNS")</f>
        <v>PDnNS</v>
      </c>
      <c r="S368" s="282" t="str">
        <f t="shared" si="8"/>
        <v>S-R-G-M</v>
      </c>
      <c r="T368" s="282" t="str">
        <f t="shared" si="9"/>
        <v>P-D-N-S</v>
      </c>
      <c r="U368" s="237" t="str">
        <f>IFERROR(__xludf.DUMMYFUNCTION("SUBSTITUTE(JOIN(""-"",S368,T368),""--"",""-"")"),"S-R-G-M-P-D-N-S")</f>
        <v>S-R-G-M-P-D-N-S</v>
      </c>
      <c r="V368" s="309" t="str">
        <f t="shared" si="10"/>
        <v>RgGmDnN</v>
      </c>
      <c r="W368" s="244" t="str">
        <f>IFERROR(__xludf.DUMMYFUNCTION("IF(REGEXMATCH(C368, ""S""), ""0"","""")"),"0")</f>
        <v>0</v>
      </c>
      <c r="X368" s="245" t="str">
        <f>IFERROR(__xludf.DUMMYFUNCTION("IF(REGEXMATCH(C368, ""r""), ""1"","""")"),"")</f>
        <v/>
      </c>
      <c r="Y368" s="246" t="str">
        <f>IFERROR(__xludf.DUMMYFUNCTION("IF(REGEXMATCH(C368, ""R""), ""2"","""")"),"2")</f>
        <v>2</v>
      </c>
      <c r="Z368" s="246" t="str">
        <f>IFERROR(__xludf.DUMMYFUNCTION("IF(REGEXMATCH(C368, ""g""), ""3"","""")"),"3")</f>
        <v>3</v>
      </c>
      <c r="AA368" s="245" t="str">
        <f>IFERROR(__xludf.DUMMYFUNCTION("IF(REGEXMATCH(C368, ""G""), ""4"","""")"),"4")</f>
        <v>4</v>
      </c>
      <c r="AB368" s="245" t="str">
        <f>IFERROR(__xludf.DUMMYFUNCTION("IF(REGEXMATCH(C368, ""m""), ""5"","""")"),"5")</f>
        <v>5</v>
      </c>
      <c r="AC368" s="246" t="str">
        <f>IFERROR(__xludf.DUMMYFUNCTION("IF(REGEXMATCH(C368, ""M""), ""6"","""")"),"")</f>
        <v/>
      </c>
      <c r="AD368" s="245" t="str">
        <f>IFERROR(__xludf.DUMMYFUNCTION("IF(REGEXMATCH(C368, ""P""), ""7"","""")"),"7")</f>
        <v>7</v>
      </c>
      <c r="AE368" s="246" t="str">
        <f>IFERROR(__xludf.DUMMYFUNCTION("IF(REGEXMATCH(C368, ""d""), ""8"","""")"),"")</f>
        <v/>
      </c>
      <c r="AF368" s="245" t="str">
        <f>IFERROR(__xludf.DUMMYFUNCTION("IF(REGEXMATCH(C368, ""D""), ""9"","""")"),"9")</f>
        <v>9</v>
      </c>
      <c r="AG368" s="245" t="str">
        <f>IFERROR(__xludf.DUMMYFUNCTION("IF(REGEXMATCH(C368, ""n""), ""10"","""")"),"10")</f>
        <v>10</v>
      </c>
      <c r="AH368" s="246" t="str">
        <f>IFERROR(__xludf.DUMMYFUNCTION("IF(REGEXMATCH(C368, ""N""), ""11"","""")"),"11")</f>
        <v>11</v>
      </c>
      <c r="AI368" s="249" t="str">
        <f>IFERROR(__xludf.DUMMYFUNCTION("IF(REGEXMATCH(C368, ""S""), ""0"","""")"),"0")</f>
        <v>0</v>
      </c>
      <c r="AJ368" s="313" t="str">
        <f t="shared" si="11"/>
        <v>-</v>
      </c>
      <c r="AK368" s="313" t="str">
        <f t="shared" si="12"/>
        <v>-</v>
      </c>
      <c r="AL368" s="313" t="str">
        <f t="shared" si="13"/>
        <v>-</v>
      </c>
      <c r="AM368" s="313" t="str">
        <f t="shared" si="14"/>
        <v>T</v>
      </c>
      <c r="AN368" s="313" t="str">
        <f t="shared" si="15"/>
        <v>T</v>
      </c>
      <c r="AO368" s="314" t="str">
        <f t="shared" si="16"/>
        <v>T</v>
      </c>
      <c r="AP368" s="316">
        <f t="shared" si="17"/>
        <v>3</v>
      </c>
      <c r="AQ368" s="319" t="str">
        <f t="shared" si="18"/>
        <v>-</v>
      </c>
      <c r="AR368" s="320">
        <f t="shared" si="19"/>
        <v>0</v>
      </c>
      <c r="AS368" s="250" t="str">
        <f>IFERROR(__xludf.DUMMYFUNCTION("SUBSTITUTE(SUBSTITUTE(CONCATENATE(JOIN("""",FP368:GA368)),""|"",""x""),""-"",""o"")"),"xoxxxxoxoxxx")</f>
        <v>xoxxxxoxoxxx</v>
      </c>
      <c r="AT368" s="323" t="str">
        <f>IFERROR(__xludf.DUMMYFUNCTION("JOIN("""",AS368,AS368)"),"xoxxxxoxoxxxxoxxxxoxoxxx")</f>
        <v>xoxxxxoxoxxxxoxxxxoxoxxx</v>
      </c>
      <c r="AU368" s="256" t="str">
        <f>IFERROR(__xludf.DUMMYFUNCTION("JOIN("""",ArrayFormula(MID(AS368,LEN(AS368)-SEQUENCE(1,LEN(AS368))+1,1)))"),"xxxoxoxxxxox")</f>
        <v>xxxoxoxxxxox</v>
      </c>
      <c r="AV368" s="256" t="str">
        <f>IFERROR(__xludf.DUMMYFUNCTION("LEFT(CONCATENATE(""x"",JOIN("""",ArrayFormula(MID(AS368,LEN(AS368)-SEQUENCE(1,LEN(AS368))+1,1)))),12)"),"xxxxoxoxxxxo")</f>
        <v>xxxxoxoxxxxo</v>
      </c>
      <c r="AW368" s="327" t="str">
        <f>IFERROR(__xludf.DUMMYFUNCTION("JOIN("""",AU368,AU368)"),"xxxoxoxxxxoxxxxoxoxxxxox")</f>
        <v>xxxoxoxxxxoxxxxoxoxxxxox</v>
      </c>
      <c r="AX368" s="239" t="str">
        <f>IFERROR(__xludf.DUMMYFUNCTION("IF(REGEXMATCH(AW368,AS368),""✔"",""-"")"),"✔")</f>
        <v>✔</v>
      </c>
      <c r="AY368" s="330" t="str">
        <f t="shared" si="20"/>
        <v>-</v>
      </c>
      <c r="AZ368" s="260" t="str">
        <f t="shared" si="21"/>
        <v>#REF!</v>
      </c>
      <c r="BA368" s="333" t="str">
        <f t="shared" si="22"/>
        <v>xoxxxxo</v>
      </c>
      <c r="BB368" s="334" t="str">
        <f t="shared" si="23"/>
        <v>xoxxxx</v>
      </c>
      <c r="BC368" s="335" t="str">
        <f t="shared" si="236"/>
        <v>✔</v>
      </c>
      <c r="BD368" s="336" t="str">
        <f t="shared" si="25"/>
        <v>Zila Kafi: 'xoxxxxo' + 'xoxxxx'</v>
      </c>
      <c r="BE368" s="337">
        <f>IFERROR(__xludf.DUMMYFUNCTION("COUNTUNIQUE(FILTER(AT:AT,REGEXMATCH(AT:AT,AS368)))-1"),4.0)</f>
        <v>4</v>
      </c>
      <c r="BF368" s="261" t="str">
        <f>IFERROR(__xludf.DUMMYFUNCTION("IF(BI368=0,""(n/a)"",IF(BJ368=2,""(PAIR)"",IF(REGEXMATCH(AT368,""xoxoxxoxoxox""),""Bilawal"",IF(REGEXMATCH(AT368,""xoxoxooxoxoo""),""Bhupali"",IF(REGEXMATCH(AT368,""xoxoxxoxxoxo""),""Charukeshi"",IF(REGEXMATCH(AT368,""xoxoooxxoxxo""),""Kameshwari"",IF(REG"&amp;"EXMATCH(AT368,""xoxoxooxoxox""),""Shankara"",IF(REGEXMATCH(AT368,""xxooxoxxxoox""),""Basant"",IF(REGEXMATCH(AT368,""xoxoxxxxoxox""),""Bihag"",IF(REGEXMATCH(AT368,""xoxxxxoxoxxx""),""Pilu"",IF(REGEXMATCH(AT368,""xoxxoxoxxoox""),""Kirwani"",IF(REGEXMATCH(AT"&amp;"368,""xoxxoxoxoxxx""),""Mk.Malhar"",IF(REGEXMATCH(AT368,""xxooxxoxxoox""),""Bhairav"",IF(REGEXMATCH(AT368,""xxoxooxxxoox""),""Todi"",IF(REGEXMATCH(AT368,""xxooxoxooxox""),""Marwa"",IF(REGEXMATCH(AT368,""xxoooxoxxooo""),""Gunkali"",IF(REGEXMATCH(AT368,""xo"&amp;"xoxxoxxoox""),""Nat Bhairav"",IF(REGEXMATCH(AT368,""xoxxoooxoxoo""),""Shivranjani"",IF(REGEXMATCH(AT368,""xooxxxoxooxo""),""Jog"",IF(REGEXMATCH(AT368,""xxooxoxoxoox""),""Hemshri"",IF(REGEXMATCH(AT368,""xoooxooxoxxo""),""Kalavati"",IF(REGEXMATCH(AT368,""xx"&amp;"oxoxxoxoox""),""Kedar"",IF(REGEXMATCH(AT368,""xoxxxxoxooxx""),""Gara"",IF(REGEXMATCH(AT368,""xooxoxooxoox""),""Chandrakauns"",IF(REGEXMATCH(AT368,""xoxxxxoxxxox""),""Mand"",IF(REGEXMATCH(AT368,""xoxxxxoxoxox""),""Hanskinkini"",IF(REGEXMATCH(AT368,""xxooxx"&amp;"oxooxo""),""Lilavati"",IF(REGEXMATCH(AT368,""xooxoxoooxox""),""Rajeshwari"",IF(REGEXMATCH(AT368,""xoooxxoxoxxx""),""Khokar"",IF(REGEXMATCH(AT368,""xxooxoxxxxox""),""Maligoura"",""-""))))))))))))))))))))))))))))))"),"Pilu")</f>
        <v>Pilu</v>
      </c>
      <c r="BG368" s="239" t="str">
        <f t="shared" si="26"/>
        <v>#REF!</v>
      </c>
      <c r="BH368" s="239">
        <f>IFERROR(__xludf.DUMMYFUNCTION("COUNTUNIQUE(FE368:FO368)-1"),8.0)</f>
        <v>8</v>
      </c>
      <c r="BI368" s="239">
        <f>IFERROR(__xludf.DUMMYFUNCTION("COUNTUNIQUE(FILTER(AT:AT,REGEXMATCH(AT:AT,AS368)))-1"),4.0)</f>
        <v>4</v>
      </c>
      <c r="BJ368" s="239">
        <f>IFERROR(__xludf.DUMMYFUNCTION("COUNTA(FILTER(AT:AT,REGEXMATCH(AT:AT,AS368)))"),26.0)</f>
        <v>26</v>
      </c>
      <c r="BK368" s="341">
        <f>IFERROR(__xludf.DUMMYFUNCTION("COUNTA(FILTER(AT:AT,REGEXMATCH(AT:AT,AS368)))-AR368"),26.0)</f>
        <v>26</v>
      </c>
      <c r="BL368" s="276" t="str">
        <f>IFERROR(__xludf.DUMMYFUNCTION("IF(AS368=""oooooooooooo"",""-"",IF(REGEXMATCH(AT368,""xx""), ""Hemi."", ""Anhemi.""))"),"Hemi.")</f>
        <v>Hemi.</v>
      </c>
      <c r="BM368" s="282" t="str">
        <f>IFERROR(__xludf.DUMMYFUNCTION("IF(AS368=""oooooooooooo"",""-"",IF(REGEXMATCH(AT368,""xxx""), ""Cohem."", ""-""))"),"Cohem.")</f>
        <v>Cohem.</v>
      </c>
      <c r="BN368" s="282" t="str">
        <f>IFERROR(__xludf.DUMMYFUNCTION("IF(AS368=""oooooooooooo"",""-"",IF(REGEXMATCH(AT368,""xxxx""), ""Co-Co."", ""-""))"),"Co-Co.")</f>
        <v>Co-Co.</v>
      </c>
      <c r="BO368" s="342" t="str">
        <f>IFERROR(__xludf.DUMMYFUNCTION("IF(AS368=""oooooooooooo"",""-"",IF(REGEXMATCH(AT368,""xxxxx""), ""CCC."", ""-""))"),"-")</f>
        <v>-</v>
      </c>
      <c r="BP368" s="344" t="str">
        <f t="shared" si="27"/>
        <v>-</v>
      </c>
      <c r="BQ368" s="282" t="str">
        <f>IFERROR(__xludf.DUMMYFUNCTION("IF(REGEXMATCH(JOIN(""-"",EU368:FD368),""TRUE""),""✔"",""-"")"),"-")</f>
        <v>-</v>
      </c>
      <c r="BR368" s="225">
        <f t="shared" si="28"/>
        <v>0</v>
      </c>
      <c r="BS368" s="345" t="str">
        <f>IFERROR(__xludf.DUMMYFUNCTION("SUBSTITUTE(SUBSTITUTE(SUBSTITUTE(SUBSTITUTE(CONCATENATE(JOIN(""-"",GC368:GO368)),""--"",""-""),""--"",""-""),""--"",""-""),""--"",""-"")"),"1-2-b3-3-4-5-6-b7-7-8")</f>
        <v>1-2-b3-3-4-5-6-b7-7-8</v>
      </c>
      <c r="BT368" s="299" t="str">
        <f>IFERROR(__xludf.DUMMYFUNCTION("SUBSTITUTE(SUBSTITUTE(SUBSTITUTE(SUBSTITUTE(CONCATENATE(JOIN(""-"",GP368:HB368)),""--"",""-""),""--"",""-""),""--"",""-""),""--"",""-"")"),"S-R2-G2-G3-M1-P-D2-N2-N3-S")</f>
        <v>S-R2-G2-G3-M1-P-D2-N2-N3-S</v>
      </c>
      <c r="BU368" s="348" t="str">
        <f t="shared" si="29"/>
        <v>C-D-Eb-E-F-G-A-Bb-B-C</v>
      </c>
      <c r="BV368" s="349" t="str">
        <f t="shared" si="30"/>
        <v>SrMdS</v>
      </c>
      <c r="BW368" s="350">
        <f t="shared" si="31"/>
        <v>0</v>
      </c>
      <c r="BX368" s="351">
        <f t="shared" si="32"/>
        <v>11</v>
      </c>
      <c r="BY368" s="392"/>
      <c r="BZ368" s="309" t="str">
        <f>IFERROR(__xludf.DUMMYFUNCTION("IF(REGEXMATCH(C368, ""S""), ""x"",""x"")"),"x")</f>
        <v>x</v>
      </c>
      <c r="CA368" s="245" t="str">
        <f>IFERROR(__xludf.DUMMYFUNCTION("IF(REGEXMATCH(C368, ""r""), ""o"",""x"")"),"x")</f>
        <v>x</v>
      </c>
      <c r="CB368" s="246" t="str">
        <f>IFERROR(__xludf.DUMMYFUNCTION("IF(REGEXMATCH(C368, ""R""), ""o"",""x"")"),"o")</f>
        <v>o</v>
      </c>
      <c r="CC368" s="246" t="str">
        <f>IFERROR(__xludf.DUMMYFUNCTION("IF(REGEXMATCH(C368, ""g""), ""o"",""x"")"),"o")</f>
        <v>o</v>
      </c>
      <c r="CD368" s="245" t="str">
        <f>IFERROR(__xludf.DUMMYFUNCTION("IF(REGEXMATCH(C368, ""G""), ""o"",""x"")"),"o")</f>
        <v>o</v>
      </c>
      <c r="CE368" s="245" t="str">
        <f>IFERROR(__xludf.DUMMYFUNCTION("IF(REGEXMATCH(C368, ""m""), ""o"",""x"")"),"o")</f>
        <v>o</v>
      </c>
      <c r="CF368" s="246" t="str">
        <f>IFERROR(__xludf.DUMMYFUNCTION("IF(REGEXMATCH(C368, ""M""), ""o"",""x"")"),"x")</f>
        <v>x</v>
      </c>
      <c r="CG368" s="245" t="str">
        <f>IFERROR(__xludf.DUMMYFUNCTION("IF(REGEXMATCH(C368, ""P""), ""o"",""x"")"),"o")</f>
        <v>o</v>
      </c>
      <c r="CH368" s="246" t="str">
        <f>IFERROR(__xludf.DUMMYFUNCTION("IF(REGEXMATCH(C368, ""d""), ""o"",""x"")"),"x")</f>
        <v>x</v>
      </c>
      <c r="CI368" s="245" t="str">
        <f>IFERROR(__xludf.DUMMYFUNCTION("IF(REGEXMATCH(C368, ""D""), ""o"",""x"")"),"o")</f>
        <v>o</v>
      </c>
      <c r="CJ368" s="245" t="str">
        <f>IFERROR(__xludf.DUMMYFUNCTION("IF(REGEXMATCH(C368, ""n""), ""o"",""x"")"),"o")</f>
        <v>o</v>
      </c>
      <c r="CK368" s="245" t="str">
        <f>IFERROR(__xludf.DUMMYFUNCTION("IF(REGEXMATCH(C368, ""N""), ""o"",""x"")"),"o")</f>
        <v>o</v>
      </c>
      <c r="CL368" s="356" t="str">
        <f>IFERROR(__xludf.DUMMYFUNCTION("IF(REGEXMATCH(C368, ""S""), ""x"",""x"")"),"x")</f>
        <v>x</v>
      </c>
      <c r="CM368" s="357" t="str">
        <f t="shared" si="33"/>
        <v>xxooooxoxooo</v>
      </c>
      <c r="CN368" s="358">
        <f t="shared" si="34"/>
        <v>0</v>
      </c>
      <c r="CO368" s="246" t="str">
        <f>IFERROR(__xludf.DUMMYFUNCTION("IF(REGEXMATCH($C368, ""S""), ""S"",""S"")"),"S")</f>
        <v>S</v>
      </c>
      <c r="CP368" s="246" t="str">
        <f>IFERROR(__xludf.DUMMYFUNCTION("IF(REGEXMATCH($C368, ""r""), """",""r"")"),"r")</f>
        <v>r</v>
      </c>
      <c r="CQ368" s="246" t="str">
        <f>IFERROR(__xludf.DUMMYFUNCTION("IF(REGEXMATCH($C368, ""R""), """",""R"")"),"")</f>
        <v/>
      </c>
      <c r="CR368" s="246" t="str">
        <f>IFERROR(__xludf.DUMMYFUNCTION("IF(REGEXMATCH($C368, ""g""), """",""g"")"),"")</f>
        <v/>
      </c>
      <c r="CS368" s="246" t="str">
        <f>IFERROR(__xludf.DUMMYFUNCTION("IF(REGEXMATCH($C368, ""G""), """",""G"")"),"")</f>
        <v/>
      </c>
      <c r="CT368" s="246" t="str">
        <f>IFERROR(__xludf.DUMMYFUNCTION("IF(REGEXMATCH($C368, ""m""), """",""m"")"),"")</f>
        <v/>
      </c>
      <c r="CU368" s="246" t="str">
        <f>IFERROR(__xludf.DUMMYFUNCTION("IF(REGEXMATCH($C368, ""M""), """",""M"")"),"M")</f>
        <v>M</v>
      </c>
      <c r="CV368" s="246" t="str">
        <f>IFERROR(__xludf.DUMMYFUNCTION("IF(REGEXMATCH($C368, ""P""), """",""P"")"),"")</f>
        <v/>
      </c>
      <c r="CW368" s="246" t="str">
        <f>IFERROR(__xludf.DUMMYFUNCTION("IF(REGEXMATCH($C368, ""d""), """",""d"")"),"d")</f>
        <v>d</v>
      </c>
      <c r="CX368" s="246" t="str">
        <f>IFERROR(__xludf.DUMMYFUNCTION("IF(REGEXMATCH($C368, ""D""), """",""D"")"),"")</f>
        <v/>
      </c>
      <c r="CY368" s="246" t="str">
        <f>IFERROR(__xludf.DUMMYFUNCTION("IF(REGEXMATCH($C368, ""n""), """",""n"")"),"")</f>
        <v/>
      </c>
      <c r="CZ368" s="246" t="str">
        <f>IFERROR(__xludf.DUMMYFUNCTION("IF(REGEXMATCH($C368, ""N""), """",""N"")"),"")</f>
        <v/>
      </c>
      <c r="DA368" s="246" t="str">
        <f>IFERROR(__xludf.DUMMYFUNCTION("IF(REGEXMATCH($C368, ""S""), ""S"",""S"")"),"S")</f>
        <v>S</v>
      </c>
      <c r="DB368" s="362" t="str">
        <f>IFERROR(__xludf.DUMMYFUNCTION("JOIN("""",CO368:DA368,"""","""")"),"SrMdS")</f>
        <v>SrMdS</v>
      </c>
      <c r="DC368" s="363"/>
      <c r="DD368" s="301" t="str">
        <f t="shared" si="35"/>
        <v>#REF!</v>
      </c>
      <c r="DE368" s="302" t="str">
        <f t="shared" si="36"/>
        <v>#REF!</v>
      </c>
      <c r="DF368" s="301" t="str">
        <f t="shared" ref="DF368:DG368" si="971">SUBSTITUTE(S368,"-","")</f>
        <v>SRGM</v>
      </c>
      <c r="DG368" s="301" t="str">
        <f t="shared" si="971"/>
        <v>PDNS</v>
      </c>
      <c r="DH368" s="302" t="str">
        <f t="shared" si="38"/>
        <v>Pilu</v>
      </c>
      <c r="DI368" s="301" t="str">
        <f t="shared" si="39"/>
        <v>Hemi.</v>
      </c>
      <c r="DJ368" s="364" t="str">
        <f t="shared" si="40"/>
        <v>Co-Co.</v>
      </c>
      <c r="DK368" s="306" t="str">
        <f t="shared" si="41"/>
        <v>-</v>
      </c>
      <c r="DL368" s="366" t="str">
        <f t="shared" si="42"/>
        <v>-</v>
      </c>
      <c r="DM368" s="308" t="str">
        <f t="shared" si="43"/>
        <v>✔</v>
      </c>
      <c r="DN368" s="306" t="str">
        <f t="shared" si="44"/>
        <v>-</v>
      </c>
      <c r="DO368" s="306" t="str">
        <f t="shared" si="45"/>
        <v>-</v>
      </c>
      <c r="DP368" s="367" t="str">
        <f t="shared" si="46"/>
        <v>-</v>
      </c>
      <c r="DQ368" s="310" t="str">
        <f t="shared" si="47"/>
        <v>-</v>
      </c>
      <c r="DR368" s="310" t="str">
        <f t="shared" si="48"/>
        <v>✔</v>
      </c>
      <c r="DS368" s="310" t="str">
        <f t="shared" si="49"/>
        <v>-</v>
      </c>
      <c r="DT368" s="310" t="str">
        <f t="shared" si="50"/>
        <v>-</v>
      </c>
      <c r="DU368" s="370" t="str">
        <f t="shared" si="51"/>
        <v>✔</v>
      </c>
      <c r="DV368" s="306" t="str">
        <f t="shared" si="52"/>
        <v>-</v>
      </c>
      <c r="DW368" s="306" t="str">
        <f t="shared" si="53"/>
        <v>-</v>
      </c>
      <c r="DX368" s="306" t="str">
        <f t="shared" si="54"/>
        <v>-</v>
      </c>
      <c r="DY368" s="306" t="str">
        <f t="shared" si="55"/>
        <v>-</v>
      </c>
      <c r="DZ368" s="306" t="str">
        <f t="shared" si="56"/>
        <v>-</v>
      </c>
      <c r="EA368" s="367" t="str">
        <f t="shared" si="57"/>
        <v>-</v>
      </c>
      <c r="EB368" s="310" t="str">
        <f>IFERROR(__xludf.DUMMYFUNCTION("IF(REGEXMATCH(AW368,AS368),""✔"",""-"")"),"✔")</f>
        <v>✔</v>
      </c>
      <c r="EC368" s="310" t="str">
        <f t="shared" si="58"/>
        <v>#REF!</v>
      </c>
      <c r="ED368" s="370" t="str">
        <f t="shared" si="59"/>
        <v>-</v>
      </c>
      <c r="EE368" s="340" t="str">
        <f t="shared" si="60"/>
        <v>S-R-gG-m-P-D-nN-S</v>
      </c>
      <c r="EF368" s="371" t="str">
        <f>IFERROR(__xludf.DUMMYFUNCTION("CONCATENATE(JOIN("""",HC368:HO368))"),"SrRgmPdDnS")</f>
        <v>SrRgmPdDnS</v>
      </c>
      <c r="EG368" s="372">
        <f t="shared" si="61"/>
        <v>1</v>
      </c>
      <c r="EH368" s="373" t="str">
        <f>IFERROR(__xludf.DUMMYFUNCTION("CONCATENATE(JOIN("""",JC368:JO368))"),"Ni, ")</f>
        <v>Ni, </v>
      </c>
      <c r="EI368" s="322">
        <f t="shared" si="62"/>
        <v>0</v>
      </c>
      <c r="EJ368" s="374" t="str">
        <f>IFERROR(__xludf.DUMMYFUNCTION("CONCATENATE(JOIN("""",KC368:KO368))"),"")</f>
        <v/>
      </c>
      <c r="EK368" s="325" t="str">
        <f t="shared" si="63"/>
        <v>S-R2-G2-G3-M1-P-D2-N2-N3-S</v>
      </c>
      <c r="EL368" s="326" t="str">
        <f t="shared" si="64"/>
        <v>1-2-b3-3-4-5-6-b7-7-8</v>
      </c>
      <c r="EM368" s="318" t="str">
        <f t="shared" si="65"/>
        <v>#REF!</v>
      </c>
      <c r="EN368" s="328" t="str">
        <f>IFERROR(__xludf.DUMMYFUNCTION("SUBSTITUTE(SUBSTITUTE(SUBSTITUTE(SUBSTITUTE(CONCATENATE(JOIN("" "",HP368:IB368)),""  "","" ""),""  "","" ""),""  "","" ""),""  "","" "")"),"o • o o o o • o • o o o o")</f>
        <v>o • o o o o • o • o o o o</v>
      </c>
      <c r="EO368" s="368" t="str">
        <f t="shared" si="66"/>
        <v>-</v>
      </c>
      <c r="EP368" s="339" t="str">
        <f t="shared" si="67"/>
        <v>-</v>
      </c>
      <c r="EQ368" s="339" t="str">
        <f t="shared" si="68"/>
        <v>Sa-Pa</v>
      </c>
      <c r="ER368" s="339" t="str">
        <f t="shared" si="69"/>
        <v>-</v>
      </c>
      <c r="ES368" s="340" t="str">
        <f t="shared" si="70"/>
        <v>-</v>
      </c>
      <c r="ET368" s="363"/>
      <c r="EU368" s="376" t="b">
        <f>IFERROR(__xludf.DUMMYFUNCTION("arrayformula(sum(--REGEXMATCH(""SRGMPDNS"",split(REGEXREPLACE(C368,""(.)"",""$1~""),""~""))))=len(C368)
"),FALSE)</f>
        <v>0</v>
      </c>
      <c r="EV368" s="290" t="b">
        <f>IFERROR(__xludf.DUMMYFUNCTION("arrayformula(sum(--REGEXMATCH(""SRGmPDNS"",split(REGEXREPLACE(C368,""(.)"",""$1~""),""~""))))=len(C368)"),FALSE)</f>
        <v>0</v>
      </c>
      <c r="EW368" s="290" t="b">
        <f>IFERROR(__xludf.DUMMYFUNCTION("arrayformula(sum(--REGEXMATCH(""SRGmPDnS"",split(REGEXREPLACE(C368,""(.)"",""$1~""),""~""))))=len(C368)"),FALSE)</f>
        <v>0</v>
      </c>
      <c r="EX368" s="290" t="b">
        <f>IFERROR(__xludf.DUMMYFUNCTION("arrayformula(sum(--REGEXMATCH(""SRgmPDnS"",split(REGEXREPLACE(C368,""(.)"",""$1~""),""~""))))=len(C368)"),FALSE)</f>
        <v>0</v>
      </c>
      <c r="EY368" s="290" t="b">
        <f>IFERROR(__xludf.DUMMYFUNCTION("arrayformula(sum(--REGEXMATCH(""SRgmPdnS"",split(REGEXREPLACE(C368,""(.)"",""$1~""),""~""))))=len(C368)"),FALSE)</f>
        <v>0</v>
      </c>
      <c r="EZ368" s="290" t="b">
        <f>IFERROR(__xludf.DUMMYFUNCTION("arrayformula(sum(--REGEXMATCH(""SrgmPdnS"",split(REGEXREPLACE(C368,""(.)"",""$1~""),""~""))))=len(C368)"),FALSE)</f>
        <v>0</v>
      </c>
      <c r="FA368" s="290" t="b">
        <f>IFERROR(__xludf.DUMMYFUNCTION("arrayformula(sum(--REGEXMATCH(""SrGmPdNS"",split(REGEXREPLACE(C368,""(.)"",""$1~""),""~""))))=len(C368)"),FALSE)</f>
        <v>0</v>
      </c>
      <c r="FB368" s="290" t="b">
        <f>IFERROR(__xludf.DUMMYFUNCTION("arrayformula(sum(--REGEXMATCH(""SrGMPDNS"",split(REGEXREPLACE(C368,""(.)"",""$1~""),""~""))))=len(C368)"),FALSE)</f>
        <v>0</v>
      </c>
      <c r="FC368" s="290" t="b">
        <f>IFERROR(__xludf.DUMMYFUNCTION("arrayformula(sum(--REGEXMATCH(""SrGMPdNS"",split(REGEXREPLACE(C368,""(.)"",""$1~""),""~""))))=len(C368)"),FALSE)</f>
        <v>0</v>
      </c>
      <c r="FD368" s="377" t="b">
        <f>IFERROR(__xludf.DUMMYFUNCTION("arrayformula(sum(--REGEXMATCH(""SrgMPdNS"",split(REGEXREPLACE(C368,""(.)"",""$1~""),""~""))))=len(C368)"),FALSE)</f>
        <v>0</v>
      </c>
      <c r="FE368" s="269" t="str">
        <f t="shared" si="71"/>
        <v>-</v>
      </c>
      <c r="FF368" s="269" t="str">
        <f t="shared" si="72"/>
        <v>xxxxoxoxxxx</v>
      </c>
      <c r="FG368" s="271" t="str">
        <f t="shared" si="73"/>
        <v>xxxoxoxxxxo</v>
      </c>
      <c r="FH368" s="269" t="str">
        <f t="shared" si="74"/>
        <v>xxoxoxxxxox</v>
      </c>
      <c r="FI368" s="271" t="str">
        <f t="shared" si="75"/>
        <v>xoxoxxxxoxx</v>
      </c>
      <c r="FJ368" s="271" t="str">
        <f t="shared" si="76"/>
        <v>-</v>
      </c>
      <c r="FK368" s="271" t="str">
        <f t="shared" si="77"/>
        <v>xoxxxxoxxxx</v>
      </c>
      <c r="FL368" s="271" t="str">
        <f t="shared" si="78"/>
        <v>-</v>
      </c>
      <c r="FM368" s="271" t="str">
        <f t="shared" si="79"/>
        <v>xxxxoxxxxox</v>
      </c>
      <c r="FN368" s="271" t="str">
        <f t="shared" si="80"/>
        <v>xxxoxxxxoxo</v>
      </c>
      <c r="FO368" s="274" t="str">
        <f t="shared" si="81"/>
        <v>xxoxxxxoxox</v>
      </c>
      <c r="FP368" s="234" t="str">
        <f t="shared" si="82"/>
        <v>|</v>
      </c>
      <c r="FQ368" s="236" t="str">
        <f t="shared" si="83"/>
        <v>-</v>
      </c>
      <c r="FR368" s="237" t="str">
        <f t="shared" si="84"/>
        <v>|</v>
      </c>
      <c r="FS368" s="236" t="str">
        <f t="shared" si="85"/>
        <v>|</v>
      </c>
      <c r="FT368" s="237" t="str">
        <f t="shared" si="86"/>
        <v>|</v>
      </c>
      <c r="FU368" s="236" t="str">
        <f t="shared" si="87"/>
        <v>|</v>
      </c>
      <c r="FV368" s="237" t="str">
        <f t="shared" si="88"/>
        <v>-</v>
      </c>
      <c r="FW368" s="236" t="str">
        <f t="shared" si="89"/>
        <v>|</v>
      </c>
      <c r="FX368" s="237" t="str">
        <f t="shared" si="90"/>
        <v>-</v>
      </c>
      <c r="FY368" s="236" t="str">
        <f t="shared" si="91"/>
        <v>|</v>
      </c>
      <c r="FZ368" s="237" t="str">
        <f t="shared" si="92"/>
        <v>|</v>
      </c>
      <c r="GA368" s="236" t="str">
        <f t="shared" si="93"/>
        <v>|</v>
      </c>
      <c r="GB368" s="238" t="str">
        <f t="shared" si="94"/>
        <v>|</v>
      </c>
      <c r="GC368" s="244" t="str">
        <f>IFERROR(__xludf.DUMMYFUNCTION("IF(REGEXMATCH(C368, ""S""), ""1"","""")"),"1")</f>
        <v>1</v>
      </c>
      <c r="GD368" s="245" t="str">
        <f>IFERROR(__xludf.DUMMYFUNCTION("IF(REGEXMATCH(C368, ""r""), ""b2"","""")"),"")</f>
        <v/>
      </c>
      <c r="GE368" s="246" t="str">
        <f>IFERROR(__xludf.DUMMYFUNCTION("IF(REGEXMATCH(C368, ""R""), ""2"","""")"),"2")</f>
        <v>2</v>
      </c>
      <c r="GF368" s="246" t="str">
        <f>IFERROR(__xludf.DUMMYFUNCTION("IF(REGEXMATCH(C368, ""g""), ""b3"","""")"),"b3")</f>
        <v>b3</v>
      </c>
      <c r="GG368" s="245" t="str">
        <f>IFERROR(__xludf.DUMMYFUNCTION("IF(REGEXMATCH(C368, ""G""), ""3"","""")"),"3")</f>
        <v>3</v>
      </c>
      <c r="GH368" s="245" t="str">
        <f>IFERROR(__xludf.DUMMYFUNCTION("IF(REGEXMATCH(C368, ""m""), ""4"","""")"),"4")</f>
        <v>4</v>
      </c>
      <c r="GI368" s="246" t="str">
        <f>IFERROR(__xludf.DUMMYFUNCTION("IF(REGEXMATCH(C368, ""M""), ""#4"","""")"),"")</f>
        <v/>
      </c>
      <c r="GJ368" s="245" t="str">
        <f>IFERROR(__xludf.DUMMYFUNCTION("IF(REGEXMATCH(C368, ""P""), ""5"","""")"),"5")</f>
        <v>5</v>
      </c>
      <c r="GK368" s="246" t="str">
        <f>IFERROR(__xludf.DUMMYFUNCTION("IF(REGEXMATCH(C368, ""d""), ""b6"","""")"),"")</f>
        <v/>
      </c>
      <c r="GL368" s="245" t="str">
        <f>IFERROR(__xludf.DUMMYFUNCTION("IF(REGEXMATCH(C368, ""D""), ""6"","""")"),"6")</f>
        <v>6</v>
      </c>
      <c r="GM368" s="245" t="str">
        <f>IFERROR(__xludf.DUMMYFUNCTION("IF(REGEXMATCH(C368, ""n""), ""b7"","""")"),"b7")</f>
        <v>b7</v>
      </c>
      <c r="GN368" s="246" t="str">
        <f>IFERROR(__xludf.DUMMYFUNCTION("IF(REGEXMATCH(C368, ""N""), ""7"","""")"),"7")</f>
        <v>7</v>
      </c>
      <c r="GO368" s="249" t="str">
        <f>IFERROR(__xludf.DUMMYFUNCTION("IF(REGEXMATCH(C368, ""S""), ""8"","""")"),"8")</f>
        <v>8</v>
      </c>
      <c r="GP368" s="244" t="str">
        <f>IFERROR(__xludf.DUMMYFUNCTION("IF(REGEXMATCH(C368, ""S""), ""S"","""")"),"S")</f>
        <v>S</v>
      </c>
      <c r="GQ368" s="294" t="str">
        <f>IFERROR(__xludf.DUMMYFUNCTION("IF(REGEXMATCH(C368, ""r""), ""R1"","""")"),"")</f>
        <v/>
      </c>
      <c r="GR368" s="295" t="str">
        <f>IFERROR(__xludf.DUMMYFUNCTION("IF(REGEXMATCH(C368, ""R""), ""R2"","""")"),"R2")</f>
        <v>R2</v>
      </c>
      <c r="GS368" s="295" t="str">
        <f>IFERROR(__xludf.DUMMYFUNCTION("IF(REGEXMATCH(C368, ""g""), ""G2"","""")"),"G2")</f>
        <v>G2</v>
      </c>
      <c r="GT368" s="294" t="str">
        <f>IFERROR(__xludf.DUMMYFUNCTION("IF(REGEXMATCH(C368, ""G""), ""G3"","""")"),"G3")</f>
        <v>G3</v>
      </c>
      <c r="GU368" s="294" t="str">
        <f>IFERROR(__xludf.DUMMYFUNCTION("IF(REGEXMATCH(C368, ""m""), ""M1"","""")"),"M1")</f>
        <v>M1</v>
      </c>
      <c r="GV368" s="295" t="str">
        <f>IFERROR(__xludf.DUMMYFUNCTION("IF(REGEXMATCH(C368, ""M""), ""M2"","""")"),"")</f>
        <v/>
      </c>
      <c r="GW368" s="294" t="str">
        <f>IFERROR(__xludf.DUMMYFUNCTION("IF(REGEXMATCH(C368, ""P""), ""P"","""")"),"P")</f>
        <v>P</v>
      </c>
      <c r="GX368" s="295" t="str">
        <f>IFERROR(__xludf.DUMMYFUNCTION("IF(REGEXMATCH(C368, ""d""), ""D1"","""")"),"")</f>
        <v/>
      </c>
      <c r="GY368" s="294" t="str">
        <f>IFERROR(__xludf.DUMMYFUNCTION("IF(REGEXMATCH(C368, ""D""), ""D2"","""")"),"D2")</f>
        <v>D2</v>
      </c>
      <c r="GZ368" s="294" t="str">
        <f>IFERROR(__xludf.DUMMYFUNCTION("IF(REGEXMATCH(C368, ""n""), ""N2"","""")"),"N2")</f>
        <v>N2</v>
      </c>
      <c r="HA368" s="295" t="str">
        <f>IFERROR(__xludf.DUMMYFUNCTION("IF(REGEXMATCH(C368, ""N""), ""N3"","""")"),"N3")</f>
        <v>N3</v>
      </c>
      <c r="HB368" s="249" t="str">
        <f>IFERROR(__xludf.DUMMYFUNCTION("IF(REGEXMATCH(C368, ""S""), ""S"","""")"),"S")</f>
        <v>S</v>
      </c>
      <c r="HC368" s="331" t="str">
        <f t="shared" si="95"/>
        <v>S</v>
      </c>
      <c r="HD368" s="332" t="str">
        <f t="shared" si="96"/>
        <v>r</v>
      </c>
      <c r="HE368" s="332" t="str">
        <f t="shared" si="97"/>
        <v>R</v>
      </c>
      <c r="HF368" s="332" t="str">
        <f t="shared" si="98"/>
        <v>g</v>
      </c>
      <c r="HG368" s="332" t="str">
        <f t="shared" si="99"/>
        <v/>
      </c>
      <c r="HH368" s="332" t="str">
        <f t="shared" si="100"/>
        <v>m</v>
      </c>
      <c r="HI368" s="332" t="str">
        <f t="shared" si="101"/>
        <v/>
      </c>
      <c r="HJ368" s="332" t="str">
        <f t="shared" si="102"/>
        <v>P</v>
      </c>
      <c r="HK368" s="332" t="str">
        <f t="shared" si="103"/>
        <v>d</v>
      </c>
      <c r="HL368" s="332" t="str">
        <f t="shared" si="104"/>
        <v>D</v>
      </c>
      <c r="HM368" s="332" t="str">
        <f t="shared" si="105"/>
        <v>n</v>
      </c>
      <c r="HN368" s="332" t="str">
        <f t="shared" si="106"/>
        <v/>
      </c>
      <c r="HO368" s="343" t="str">
        <f t="shared" si="107"/>
        <v>S</v>
      </c>
      <c r="HP368" s="331" t="str">
        <f t="shared" si="108"/>
        <v>o</v>
      </c>
      <c r="HQ368" s="332" t="str">
        <f t="shared" si="109"/>
        <v>•</v>
      </c>
      <c r="HR368" s="332" t="str">
        <f t="shared" si="110"/>
        <v>o</v>
      </c>
      <c r="HS368" s="332" t="str">
        <f t="shared" si="111"/>
        <v>o</v>
      </c>
      <c r="HT368" s="332" t="str">
        <f t="shared" si="112"/>
        <v>o</v>
      </c>
      <c r="HU368" s="332" t="str">
        <f t="shared" si="113"/>
        <v>o</v>
      </c>
      <c r="HV368" s="332" t="str">
        <f t="shared" si="114"/>
        <v>•</v>
      </c>
      <c r="HW368" s="332" t="str">
        <f t="shared" si="115"/>
        <v>o</v>
      </c>
      <c r="HX368" s="332" t="str">
        <f t="shared" si="116"/>
        <v>•</v>
      </c>
      <c r="HY368" s="332" t="str">
        <f t="shared" si="117"/>
        <v>o</v>
      </c>
      <c r="HZ368" s="332" t="str">
        <f t="shared" si="118"/>
        <v>o</v>
      </c>
      <c r="IA368" s="332" t="str">
        <f t="shared" si="119"/>
        <v>o</v>
      </c>
      <c r="IB368" s="338" t="str">
        <f t="shared" si="120"/>
        <v>o</v>
      </c>
      <c r="IC368" s="331" t="str">
        <f t="shared" si="121"/>
        <v>•</v>
      </c>
      <c r="ID368" s="332" t="str">
        <f t="shared" si="122"/>
        <v>o</v>
      </c>
      <c r="IE368" s="332" t="str">
        <f t="shared" si="123"/>
        <v>•</v>
      </c>
      <c r="IF368" s="332" t="str">
        <f t="shared" si="124"/>
        <v>•</v>
      </c>
      <c r="IG368" s="332" t="str">
        <f t="shared" si="125"/>
        <v>•</v>
      </c>
      <c r="IH368" s="332" t="str">
        <f t="shared" si="126"/>
        <v>•</v>
      </c>
      <c r="II368" s="332" t="str">
        <f t="shared" si="127"/>
        <v>o</v>
      </c>
      <c r="IJ368" s="332" t="str">
        <f t="shared" si="128"/>
        <v>•</v>
      </c>
      <c r="IK368" s="332" t="str">
        <f t="shared" si="129"/>
        <v>o</v>
      </c>
      <c r="IL368" s="332" t="str">
        <f t="shared" si="130"/>
        <v>•</v>
      </c>
      <c r="IM368" s="332" t="str">
        <f t="shared" si="131"/>
        <v>•</v>
      </c>
      <c r="IN368" s="332" t="str">
        <f t="shared" si="132"/>
        <v>•</v>
      </c>
      <c r="IO368" s="338" t="str">
        <f t="shared" si="133"/>
        <v>•</v>
      </c>
      <c r="IP368" s="346" t="b">
        <f t="shared" si="134"/>
        <v>0</v>
      </c>
      <c r="IQ368" s="347" t="b">
        <f t="shared" si="135"/>
        <v>0</v>
      </c>
      <c r="IR368" s="347" t="b">
        <f t="shared" si="136"/>
        <v>0</v>
      </c>
      <c r="IS368" s="347" t="b">
        <f t="shared" si="137"/>
        <v>0</v>
      </c>
      <c r="IT368" s="347" t="b">
        <f t="shared" si="138"/>
        <v>0</v>
      </c>
      <c r="IU368" s="347" t="b">
        <f t="shared" si="139"/>
        <v>0</v>
      </c>
      <c r="IV368" s="347" t="b">
        <f t="shared" si="140"/>
        <v>0</v>
      </c>
      <c r="IW368" s="347" t="b">
        <f t="shared" si="141"/>
        <v>0</v>
      </c>
      <c r="IX368" s="347" t="b">
        <f t="shared" si="142"/>
        <v>0</v>
      </c>
      <c r="IY368" s="347" t="b">
        <f t="shared" si="143"/>
        <v>0</v>
      </c>
      <c r="IZ368" s="347" t="b">
        <f t="shared" si="144"/>
        <v>0</v>
      </c>
      <c r="JA368" s="347" t="b">
        <f t="shared" si="145"/>
        <v>1</v>
      </c>
      <c r="JB368" s="353" t="b">
        <f t="shared" si="146"/>
        <v>0</v>
      </c>
      <c r="JC368" s="354" t="str">
        <f t="shared" si="147"/>
        <v/>
      </c>
      <c r="JD368" s="355" t="str">
        <f t="shared" si="148"/>
        <v/>
      </c>
      <c r="JE368" s="355" t="str">
        <f t="shared" si="149"/>
        <v/>
      </c>
      <c r="JF368" s="355" t="str">
        <f t="shared" si="150"/>
        <v/>
      </c>
      <c r="JG368" s="355" t="str">
        <f t="shared" si="151"/>
        <v/>
      </c>
      <c r="JH368" s="355" t="str">
        <f t="shared" si="152"/>
        <v/>
      </c>
      <c r="JI368" s="355" t="str">
        <f t="shared" si="153"/>
        <v/>
      </c>
      <c r="JJ368" s="355" t="str">
        <f t="shared" si="154"/>
        <v/>
      </c>
      <c r="JK368" s="355" t="str">
        <f t="shared" si="155"/>
        <v/>
      </c>
      <c r="JL368" s="355" t="str">
        <f t="shared" si="156"/>
        <v/>
      </c>
      <c r="JM368" s="355" t="str">
        <f t="shared" si="157"/>
        <v/>
      </c>
      <c r="JN368" s="355" t="str">
        <f t="shared" si="158"/>
        <v>Ni, </v>
      </c>
      <c r="JO368" s="359" t="str">
        <f t="shared" si="159"/>
        <v/>
      </c>
      <c r="JP368" s="346" t="b">
        <f t="shared" si="160"/>
        <v>0</v>
      </c>
      <c r="JQ368" s="347" t="b">
        <f t="shared" si="161"/>
        <v>0</v>
      </c>
      <c r="JR368" s="347" t="b">
        <f t="shared" si="162"/>
        <v>0</v>
      </c>
      <c r="JS368" s="347" t="b">
        <f t="shared" si="163"/>
        <v>0</v>
      </c>
      <c r="JT368" s="347" t="b">
        <f t="shared" si="164"/>
        <v>0</v>
      </c>
      <c r="JU368" s="347" t="b">
        <f t="shared" si="165"/>
        <v>0</v>
      </c>
      <c r="JV368" s="347" t="b">
        <f t="shared" si="166"/>
        <v>0</v>
      </c>
      <c r="JW368" s="347" t="b">
        <f t="shared" si="167"/>
        <v>0</v>
      </c>
      <c r="JX368" s="347" t="b">
        <f t="shared" si="168"/>
        <v>0</v>
      </c>
      <c r="JY368" s="347" t="b">
        <f t="shared" si="169"/>
        <v>0</v>
      </c>
      <c r="JZ368" s="347" t="b">
        <f t="shared" si="170"/>
        <v>0</v>
      </c>
      <c r="KA368" s="347" t="b">
        <f t="shared" si="171"/>
        <v>0</v>
      </c>
      <c r="KB368" s="365" t="b">
        <f t="shared" si="172"/>
        <v>0</v>
      </c>
      <c r="KC368" s="354" t="str">
        <f t="shared" si="173"/>
        <v/>
      </c>
      <c r="KD368" s="355" t="str">
        <f t="shared" si="174"/>
        <v/>
      </c>
      <c r="KE368" s="355" t="str">
        <f t="shared" si="175"/>
        <v/>
      </c>
      <c r="KF368" s="355" t="str">
        <f t="shared" si="176"/>
        <v/>
      </c>
      <c r="KG368" s="355" t="str">
        <f t="shared" si="177"/>
        <v/>
      </c>
      <c r="KH368" s="355" t="str">
        <f t="shared" si="178"/>
        <v/>
      </c>
      <c r="KI368" s="355" t="str">
        <f t="shared" si="179"/>
        <v/>
      </c>
      <c r="KJ368" s="355" t="str">
        <f t="shared" si="180"/>
        <v/>
      </c>
      <c r="KK368" s="355" t="str">
        <f t="shared" si="181"/>
        <v/>
      </c>
      <c r="KL368" s="355" t="str">
        <f t="shared" si="182"/>
        <v/>
      </c>
      <c r="KM368" s="355" t="str">
        <f t="shared" si="183"/>
        <v/>
      </c>
      <c r="KN368" s="355" t="str">
        <f t="shared" si="184"/>
        <v/>
      </c>
      <c r="KO368" s="359"/>
      <c r="KP368" s="378"/>
      <c r="KQ368" s="379" t="s">
        <v>9</v>
      </c>
      <c r="KR368" s="380" t="s">
        <v>9</v>
      </c>
      <c r="KS368" s="381" t="s">
        <v>9</v>
      </c>
      <c r="KT368" s="382">
        <f t="shared" si="186"/>
        <v>0</v>
      </c>
      <c r="KU368" s="383">
        <f t="shared" si="187"/>
        <v>0</v>
      </c>
      <c r="KV368" s="381" t="str">
        <f t="shared" si="205"/>
        <v>S</v>
      </c>
      <c r="KW368" s="382">
        <f t="shared" si="189"/>
        <v>0</v>
      </c>
      <c r="KX368" s="384">
        <f t="shared" si="190"/>
        <v>0</v>
      </c>
      <c r="KY368" s="382">
        <f t="shared" ref="KY368:KZ368" si="972">KW368-KT368</f>
        <v>0</v>
      </c>
      <c r="KZ368" s="369">
        <f t="shared" si="972"/>
        <v>0</v>
      </c>
      <c r="LA368" s="385" t="str">
        <f t="shared" si="192"/>
        <v>✔</v>
      </c>
      <c r="LB368" s="340" t="str">
        <f>IFERROR(__xludf.DUMMYFUNCTION("JOIN("""",ArrayFormula(MID(KS368,LEN(KS368)-SEQUENCE(1,LEN(KS368))+1,1)))"),"S")</f>
        <v>S</v>
      </c>
      <c r="LC368" s="373" t="str">
        <f>IFERROR(__xludf.DUMMYFUNCTION("JOIN("""",ArrayFormula(MID(KV368,LEN(KV368)-SEQUENCE(1,LEN(KV368))+1,1)))"),"S")</f>
        <v>S</v>
      </c>
      <c r="LD368" s="373" t="str">
        <f t="shared" si="193"/>
        <v>S</v>
      </c>
      <c r="LE368" s="339" t="str">
        <f t="shared" si="194"/>
        <v>S</v>
      </c>
      <c r="LF368" s="386" t="str">
        <f>IFERROR(__xludf.DUMMYFUNCTION("SUBSTITUTE(SUBSTITUTE(CONCATENATE(JOIN("""",LH368:LT368)),""1"",""""),""2"","""")"),"SS")</f>
        <v>SS</v>
      </c>
      <c r="LG368" s="369" t="str">
        <f t="shared" si="195"/>
        <v>-</v>
      </c>
      <c r="LH368" s="387" t="str">
        <f>IFERROR(__xludf.DUMMYFUNCTION("IF(REGEXMATCH(LD368, ""S""), ""S"",IF(REGEXMATCH(LE368, ""S""), ""S"",""""))"),"S")</f>
        <v>S</v>
      </c>
      <c r="LI368" s="299" t="str">
        <f>IFERROR(__xludf.DUMMYFUNCTION("IF(REGEXMATCH(LD368, ""r""), ""r1"",IF(REGEXMATCH(LE368, ""r""), ""r2"",""""))"),"")</f>
        <v/>
      </c>
      <c r="LJ368" s="299" t="str">
        <f>IFERROR(__xludf.DUMMYFUNCTION("IF(REGEXMATCH(LD368, ""R""), ""R1"",IF(REGEXMATCH(LE368, ""R""), ""R2"",""""))"),"")</f>
        <v/>
      </c>
      <c r="LK368" s="299" t="str">
        <f>IFERROR(__xludf.DUMMYFUNCTION("IF(REGEXMATCH(LD368, ""g""), ""g1"",IF(REGEXMATCH(LE368, ""g""), ""g2"",""""))"),"")</f>
        <v/>
      </c>
      <c r="LL368" s="299" t="str">
        <f>IFERROR(__xludf.DUMMYFUNCTION("IF(REGEXMATCH(LD368, ""G""), ""G1"",IF(REGEXMATCH(LE368, ""G""), ""G2"",""""))"),"")</f>
        <v/>
      </c>
      <c r="LM368" s="299" t="str">
        <f>IFERROR(__xludf.DUMMYFUNCTION("IF(REGEXMATCH(LD368, ""m""), ""m1"",IF(REGEXMATCH(LE368, ""m""), ""m2"",""""))"),"")</f>
        <v/>
      </c>
      <c r="LN368" s="299" t="str">
        <f>IFERROR(__xludf.DUMMYFUNCTION("IF(REGEXMATCH(LD368, ""M""), ""M1"",IF(REGEXMATCH(LE368, ""M""), ""M2"",""""))"),"")</f>
        <v/>
      </c>
      <c r="LO368" s="299" t="str">
        <f>IFERROR(__xludf.DUMMYFUNCTION("IF(REGEXMATCH(LD368, ""P""), ""P1"",IF(REGEXMATCH(LE368, ""P""), ""P2"",""""))"),"")</f>
        <v/>
      </c>
      <c r="LP368" s="299" t="str">
        <f>IFERROR(__xludf.DUMMYFUNCTION("IF(REGEXMATCH(LD368, ""d""), ""d1"",IF(REGEXMATCH(LE368, ""d""), ""d2"",""""))"),"")</f>
        <v/>
      </c>
      <c r="LQ368" s="299" t="str">
        <f>IFERROR(__xludf.DUMMYFUNCTION("IF(REGEXMATCH(LD368, ""D""), ""D1"",IF(REGEXMATCH(LE368, ""D""), ""D2"",""""))"),"")</f>
        <v/>
      </c>
      <c r="LR368" s="299" t="str">
        <f>IFERROR(__xludf.DUMMYFUNCTION("IF(REGEXMATCH(LD368, ""n""), ""n1"",IF(REGEXMATCH(LE368, ""n""), ""n2"",""""))"),"")</f>
        <v/>
      </c>
      <c r="LS368" s="299" t="str">
        <f>IFERROR(__xludf.DUMMYFUNCTION("IF(REGEXMATCH(LD368, ""N""), ""N1"",IF(REGEXMATCH(LE368, ""N""), ""N2"",""""))"),"")</f>
        <v/>
      </c>
      <c r="LT368" s="388" t="str">
        <f>IFERROR(__xludf.DUMMYFUNCTION("IF(REGEXMATCH(LD368, ""S""), ""S"",IF(REGEXMATCH(LE368, ""S""), ""S"",""""))"),"S")</f>
        <v>S</v>
      </c>
      <c r="LU368" s="389">
        <f t="shared" si="196"/>
        <v>1</v>
      </c>
      <c r="LV368" s="378"/>
      <c r="LW368" s="369"/>
      <c r="LX368" s="369"/>
    </row>
    <row r="369" ht="18.0" customHeight="1">
      <c r="A369" s="448" t="s">
        <v>1513</v>
      </c>
      <c r="B369" s="222" t="s">
        <v>1514</v>
      </c>
      <c r="C369" s="233" t="str">
        <f t="shared" si="7"/>
        <v>SgGmMnS</v>
      </c>
      <c r="D369" s="234" t="str">
        <f>IFERROR(__xludf.DUMMYFUNCTION("IF(REGEXMATCH(C369, ""S""), ""S"","""")"),"S")</f>
        <v>S</v>
      </c>
      <c r="E369" s="236" t="str">
        <f>IFERROR(__xludf.DUMMYFUNCTION("IF(REGEXMATCH(C369, ""r""), ""r"","""")"),"")</f>
        <v/>
      </c>
      <c r="F369" s="237" t="str">
        <f>IFERROR(__xludf.DUMMYFUNCTION("IF(REGEXMATCH(C369, ""R""), ""R"","""")"),"")</f>
        <v/>
      </c>
      <c r="G369" s="237" t="str">
        <f>IFERROR(__xludf.DUMMYFUNCTION("IF(REGEXMATCH(C369, ""g""), ""g"","""")"),"g")</f>
        <v>g</v>
      </c>
      <c r="H369" s="236" t="str">
        <f>IFERROR(__xludf.DUMMYFUNCTION("IF(REGEXMATCH(C369, ""G""), ""G"","""")"),"G")</f>
        <v>G</v>
      </c>
      <c r="I369" s="236" t="str">
        <f>IFERROR(__xludf.DUMMYFUNCTION("IF(REGEXMATCH(C369, ""m""), ""m"","""")"),"m")</f>
        <v>m</v>
      </c>
      <c r="J369" s="237" t="str">
        <f>IFERROR(__xludf.DUMMYFUNCTION("IF(REGEXMATCH(C369, ""M""), ""M"","""")"),"M")</f>
        <v>M</v>
      </c>
      <c r="K369" s="236" t="str">
        <f>IFERROR(__xludf.DUMMYFUNCTION("IF(REGEXMATCH(C369, ""P""), ""P"","""")"),"")</f>
        <v/>
      </c>
      <c r="L369" s="237" t="str">
        <f>IFERROR(__xludf.DUMMYFUNCTION("IF(REGEXMATCH(C369, ""d""), ""d"","""")"),"")</f>
        <v/>
      </c>
      <c r="M369" s="236" t="str">
        <f>IFERROR(__xludf.DUMMYFUNCTION("IF(REGEXMATCH(C369, ""D""), ""D"","""")"),"")</f>
        <v/>
      </c>
      <c r="N369" s="236" t="str">
        <f>IFERROR(__xludf.DUMMYFUNCTION("IF(REGEXMATCH(C369, ""n""), ""n"","""")"),"n")</f>
        <v>n</v>
      </c>
      <c r="O369" s="237" t="str">
        <f>IFERROR(__xludf.DUMMYFUNCTION("IF(REGEXMATCH(C369, ""N""), ""N"","""")"),"")</f>
        <v/>
      </c>
      <c r="P369" s="238" t="str">
        <f>IFERROR(__xludf.DUMMYFUNCTION("IF(REGEXMATCH(C369, ""S""), ""S"","""")"),"S")</f>
        <v>S</v>
      </c>
      <c r="Q369" s="239" t="str">
        <f>IFERROR(__xludf.DUMMYFUNCTION("SUBSTITUTE(CONCATENATE(JOIN(""-"",D369:J369)),""-"","""")"),"SgGmM")</f>
        <v>SgGmM</v>
      </c>
      <c r="R369" s="229" t="str">
        <f>IFERROR(__xludf.DUMMYFUNCTION("SUBSTITUTE(CONCATENATE(JOIN(""-"",K369:P369)),""-"","""")"),"nS")</f>
        <v>nS</v>
      </c>
      <c r="S369" s="282" t="str">
        <f t="shared" si="8"/>
        <v>S-G-M</v>
      </c>
      <c r="T369" s="282" t="str">
        <f t="shared" si="9"/>
        <v>N-S</v>
      </c>
      <c r="U369" s="237" t="str">
        <f>IFERROR(__xludf.DUMMYFUNCTION("SUBSTITUTE(JOIN(""-"",S369,T369),""--"",""-"")"),"S-G-M-N-S")</f>
        <v>S-G-M-N-S</v>
      </c>
      <c r="V369" s="309" t="str">
        <f t="shared" si="10"/>
        <v>gGmMn</v>
      </c>
      <c r="W369" s="244" t="str">
        <f>IFERROR(__xludf.DUMMYFUNCTION("IF(REGEXMATCH(C369, ""S""), ""0"","""")"),"0")</f>
        <v>0</v>
      </c>
      <c r="X369" s="245" t="str">
        <f>IFERROR(__xludf.DUMMYFUNCTION("IF(REGEXMATCH(C369, ""r""), ""1"","""")"),"")</f>
        <v/>
      </c>
      <c r="Y369" s="246" t="str">
        <f>IFERROR(__xludf.DUMMYFUNCTION("IF(REGEXMATCH(C369, ""R""), ""2"","""")"),"")</f>
        <v/>
      </c>
      <c r="Z369" s="246" t="str">
        <f>IFERROR(__xludf.DUMMYFUNCTION("IF(REGEXMATCH(C369, ""g""), ""3"","""")"),"3")</f>
        <v>3</v>
      </c>
      <c r="AA369" s="245" t="str">
        <f>IFERROR(__xludf.DUMMYFUNCTION("IF(REGEXMATCH(C369, ""G""), ""4"","""")"),"4")</f>
        <v>4</v>
      </c>
      <c r="AB369" s="245" t="str">
        <f>IFERROR(__xludf.DUMMYFUNCTION("IF(REGEXMATCH(C369, ""m""), ""5"","""")"),"5")</f>
        <v>5</v>
      </c>
      <c r="AC369" s="246" t="str">
        <f>IFERROR(__xludf.DUMMYFUNCTION("IF(REGEXMATCH(C369, ""M""), ""6"","""")"),"6")</f>
        <v>6</v>
      </c>
      <c r="AD369" s="245" t="str">
        <f>IFERROR(__xludf.DUMMYFUNCTION("IF(REGEXMATCH(C369, ""P""), ""7"","""")"),"")</f>
        <v/>
      </c>
      <c r="AE369" s="246" t="str">
        <f>IFERROR(__xludf.DUMMYFUNCTION("IF(REGEXMATCH(C369, ""d""), ""8"","""")"),"")</f>
        <v/>
      </c>
      <c r="AF369" s="245" t="str">
        <f>IFERROR(__xludf.DUMMYFUNCTION("IF(REGEXMATCH(C369, ""D""), ""9"","""")"),"")</f>
        <v/>
      </c>
      <c r="AG369" s="245" t="str">
        <f>IFERROR(__xludf.DUMMYFUNCTION("IF(REGEXMATCH(C369, ""n""), ""10"","""")"),"10")</f>
        <v>10</v>
      </c>
      <c r="AH369" s="246" t="str">
        <f>IFERROR(__xludf.DUMMYFUNCTION("IF(REGEXMATCH(C369, ""N""), ""11"","""")"),"")</f>
        <v/>
      </c>
      <c r="AI369" s="249" t="str">
        <f>IFERROR(__xludf.DUMMYFUNCTION("IF(REGEXMATCH(C369, ""S""), ""0"","""")"),"0")</f>
        <v>0</v>
      </c>
      <c r="AJ369" s="313" t="str">
        <f t="shared" si="11"/>
        <v>T</v>
      </c>
      <c r="AK369" s="313" t="str">
        <f t="shared" si="12"/>
        <v>-</v>
      </c>
      <c r="AL369" s="313" t="str">
        <f t="shared" si="13"/>
        <v>-</v>
      </c>
      <c r="AM369" s="313" t="str">
        <f t="shared" si="14"/>
        <v>-</v>
      </c>
      <c r="AN369" s="313" t="str">
        <f t="shared" si="15"/>
        <v>T</v>
      </c>
      <c r="AO369" s="314" t="str">
        <f t="shared" si="16"/>
        <v>-</v>
      </c>
      <c r="AP369" s="316">
        <f t="shared" si="17"/>
        <v>2</v>
      </c>
      <c r="AQ369" s="319" t="str">
        <f t="shared" si="18"/>
        <v>#REF!</v>
      </c>
      <c r="AR369" s="320">
        <f t="shared" si="19"/>
        <v>0</v>
      </c>
      <c r="AS369" s="250" t="str">
        <f>IFERROR(__xludf.DUMMYFUNCTION("SUBSTITUTE(SUBSTITUTE(CONCATENATE(JOIN("""",FP369:GA369)),""|"",""x""),""-"",""o"")"),"xooxxxxoooxo")</f>
        <v>xooxxxxoooxo</v>
      </c>
      <c r="AT369" s="323" t="str">
        <f>IFERROR(__xludf.DUMMYFUNCTION("JOIN("""",AS369,AS369)"),"xooxxxxoooxoxooxxxxoooxo")</f>
        <v>xooxxxxoooxoxooxxxxoooxo</v>
      </c>
      <c r="AU369" s="256" t="str">
        <f>IFERROR(__xludf.DUMMYFUNCTION("JOIN("""",ArrayFormula(MID(AS369,LEN(AS369)-SEQUENCE(1,LEN(AS369))+1,1)))"),"oxoooxxxxoox")</f>
        <v>oxoooxxxxoox</v>
      </c>
      <c r="AV369" s="256" t="str">
        <f>IFERROR(__xludf.DUMMYFUNCTION("LEFT(CONCATENATE(""x"",JOIN("""",ArrayFormula(MID(AS369,LEN(AS369)-SEQUENCE(1,LEN(AS369))+1,1)))),12)"),"xoxoooxxxxoo")</f>
        <v>xoxoooxxxxoo</v>
      </c>
      <c r="AW369" s="327" t="str">
        <f>IFERROR(__xludf.DUMMYFUNCTION("JOIN("""",AU369,AU369)"),"oxoooxxxxooxoxoooxxxxoox")</f>
        <v>oxoooxxxxooxoxoooxxxxoox</v>
      </c>
      <c r="AX369" s="239" t="str">
        <f>IFERROR(__xludf.DUMMYFUNCTION("IF(REGEXMATCH(AW369,AS369),""✔"",""-"")"),"-")</f>
        <v>-</v>
      </c>
      <c r="AY369" s="330" t="str">
        <f t="shared" si="20"/>
        <v>-</v>
      </c>
      <c r="AZ369" s="260" t="str">
        <f t="shared" si="21"/>
        <v>#REF!</v>
      </c>
      <c r="BA369" s="333" t="str">
        <f t="shared" si="22"/>
        <v>xooxxxx</v>
      </c>
      <c r="BB369" s="334" t="str">
        <f t="shared" si="23"/>
        <v>oooxox</v>
      </c>
      <c r="BC369" s="335" t="str">
        <f t="shared" si="236"/>
        <v>-</v>
      </c>
      <c r="BD369" s="336" t="str">
        <f t="shared" si="25"/>
        <v>zz[TEST]: 'xooxxxx' + 'oooxox'</v>
      </c>
      <c r="BE369" s="337">
        <f>IFERROR(__xludf.DUMMYFUNCTION("COUNTUNIQUE(FILTER(AT:AT,REGEXMATCH(AT:AT,AS369)))-1"),0.0)</f>
        <v>0</v>
      </c>
      <c r="BF369" s="261" t="str">
        <f>IFERROR(__xludf.DUMMYFUNCTION("IF(BI369=0,""(n/a)"",IF(BJ369=2,""(PAIR)"",IF(REGEXMATCH(AT369,""xoxoxxoxoxox""),""Bilawal"",IF(REGEXMATCH(AT369,""xoxoxooxoxoo""),""Bhupali"",IF(REGEXMATCH(AT369,""xoxoxxoxxoxo""),""Charukeshi"",IF(REGEXMATCH(AT369,""xoxoooxxoxxo""),""Kameshwari"",IF(REG"&amp;"EXMATCH(AT369,""xoxoxooxoxox""),""Shankara"",IF(REGEXMATCH(AT369,""xxooxoxxxoox""),""Basant"",IF(REGEXMATCH(AT369,""xoxoxxxxoxox""),""Bihag"",IF(REGEXMATCH(AT369,""xoxxxxoxoxxx""),""Pilu"",IF(REGEXMATCH(AT369,""xoxxoxoxxoox""),""Kirwani"",IF(REGEXMATCH(AT"&amp;"369,""xoxxoxoxoxxx""),""Mk.Malhar"",IF(REGEXMATCH(AT369,""xxooxxoxxoox""),""Bhairav"",IF(REGEXMATCH(AT369,""xxoxooxxxoox""),""Todi"",IF(REGEXMATCH(AT369,""xxooxoxooxox""),""Marwa"",IF(REGEXMATCH(AT369,""xxoooxoxxooo""),""Gunkali"",IF(REGEXMATCH(AT369,""xo"&amp;"xoxxoxxoox""),""Nat Bhairav"",IF(REGEXMATCH(AT369,""xoxxoooxoxoo""),""Shivranjani"",IF(REGEXMATCH(AT369,""xooxxxoxooxo""),""Jog"",IF(REGEXMATCH(AT369,""xxooxoxoxoox""),""Hemshri"",IF(REGEXMATCH(AT369,""xoooxooxoxxo""),""Kalavati"",IF(REGEXMATCH(AT369,""xx"&amp;"oxoxxoxoox""),""Kedar"",IF(REGEXMATCH(AT369,""xoxxxxoxooxx""),""Gara"",IF(REGEXMATCH(AT369,""xooxoxooxoox""),""Chandrakauns"",IF(REGEXMATCH(AT369,""xoxxxxoxxxox""),""Mand"",IF(REGEXMATCH(AT369,""xoxxxxoxoxox""),""Hanskinkini"",IF(REGEXMATCH(AT369,""xxooxx"&amp;"oxooxo""),""Lilavati"",IF(REGEXMATCH(AT369,""xooxoxoooxox""),""Rajeshwari"",IF(REGEXMATCH(AT369,""xoooxxoxoxxx""),""Khokar"",IF(REGEXMATCH(AT369,""xxooxoxxxxox""),""Maligoura"",""-""))))))))))))))))))))))))))))))"),"(n/a)")</f>
        <v>(n/a)</v>
      </c>
      <c r="BG369" s="239" t="str">
        <f t="shared" si="26"/>
        <v>#REF!</v>
      </c>
      <c r="BH369" s="239">
        <f>IFERROR(__xludf.DUMMYFUNCTION("COUNTUNIQUE(FE369:FO369)-1"),5.0)</f>
        <v>5</v>
      </c>
      <c r="BI369" s="239">
        <f>IFERROR(__xludf.DUMMYFUNCTION("COUNTUNIQUE(FILTER(AT:AT,REGEXMATCH(AT:AT,AS369)))-1"),0.0)</f>
        <v>0</v>
      </c>
      <c r="BJ369" s="239">
        <f>IFERROR(__xludf.DUMMYFUNCTION("COUNTA(FILTER(AT:AT,REGEXMATCH(AT:AT,AS369)))"),1.0)</f>
        <v>1</v>
      </c>
      <c r="BK369" s="341">
        <f>IFERROR(__xludf.DUMMYFUNCTION("COUNTA(FILTER(AT:AT,REGEXMATCH(AT:AT,AS369)))-AR369"),1.0)</f>
        <v>1</v>
      </c>
      <c r="BL369" s="276" t="str">
        <f>IFERROR(__xludf.DUMMYFUNCTION("IF(AS369=""oooooooooooo"",""-"",IF(REGEXMATCH(AT369,""xx""), ""Hemi."", ""Anhemi.""))"),"Hemi.")</f>
        <v>Hemi.</v>
      </c>
      <c r="BM369" s="282" t="str">
        <f>IFERROR(__xludf.DUMMYFUNCTION("IF(AS369=""oooooooooooo"",""-"",IF(REGEXMATCH(AT369,""xxx""), ""Cohem."", ""-""))"),"Cohem.")</f>
        <v>Cohem.</v>
      </c>
      <c r="BN369" s="282" t="str">
        <f>IFERROR(__xludf.DUMMYFUNCTION("IF(AS369=""oooooooooooo"",""-"",IF(REGEXMATCH(AT369,""xxxx""), ""Co-Co."", ""-""))"),"Co-Co.")</f>
        <v>Co-Co.</v>
      </c>
      <c r="BO369" s="342" t="str">
        <f>IFERROR(__xludf.DUMMYFUNCTION("IF(AS369=""oooooooooooo"",""-"",IF(REGEXMATCH(AT369,""xxxxx""), ""CCC."", ""-""))"),"-")</f>
        <v>-</v>
      </c>
      <c r="BP369" s="344" t="str">
        <f t="shared" si="27"/>
        <v>-</v>
      </c>
      <c r="BQ369" s="282" t="str">
        <f>IFERROR(__xludf.DUMMYFUNCTION("IF(REGEXMATCH(JOIN(""-"",EU369:FD369),""TRUE""),""✔"",""-"")"),"-")</f>
        <v>-</v>
      </c>
      <c r="BR369" s="225">
        <f t="shared" si="28"/>
        <v>0</v>
      </c>
      <c r="BS369" s="345" t="str">
        <f>IFERROR(__xludf.DUMMYFUNCTION("SUBSTITUTE(SUBSTITUTE(SUBSTITUTE(SUBSTITUTE(CONCATENATE(JOIN(""-"",GC369:GO369)),""--"",""-""),""--"",""-""),""--"",""-""),""--"",""-"")"),"1-b3-3-4-#4-b7-8")</f>
        <v>1-b3-3-4-#4-b7-8</v>
      </c>
      <c r="BT369" s="299" t="str">
        <f>IFERROR(__xludf.DUMMYFUNCTION("SUBSTITUTE(SUBSTITUTE(SUBSTITUTE(SUBSTITUTE(CONCATENATE(JOIN(""-"",GP369:HB369)),""--"",""-""),""--"",""-""),""--"",""-""),""--"",""-"")"),"S-G2-G3-M1-M2-N2-S")</f>
        <v>S-G2-G3-M1-M2-N2-S</v>
      </c>
      <c r="BU369" s="348" t="str">
        <f t="shared" si="29"/>
        <v>C-Eb-E-F-F#-Bb-C</v>
      </c>
      <c r="BV369" s="349" t="str">
        <f t="shared" si="30"/>
        <v>SrRPdDNS</v>
      </c>
      <c r="BW369" s="350">
        <f t="shared" si="31"/>
        <v>0</v>
      </c>
      <c r="BX369" s="351">
        <f t="shared" si="32"/>
        <v>1</v>
      </c>
      <c r="BY369" s="392"/>
      <c r="BZ369" s="309" t="str">
        <f>IFERROR(__xludf.DUMMYFUNCTION("IF(REGEXMATCH(C369, ""S""), ""x"",""x"")"),"x")</f>
        <v>x</v>
      </c>
      <c r="CA369" s="245" t="str">
        <f>IFERROR(__xludf.DUMMYFUNCTION("IF(REGEXMATCH(C369, ""r""), ""o"",""x"")"),"x")</f>
        <v>x</v>
      </c>
      <c r="CB369" s="246" t="str">
        <f>IFERROR(__xludf.DUMMYFUNCTION("IF(REGEXMATCH(C369, ""R""), ""o"",""x"")"),"x")</f>
        <v>x</v>
      </c>
      <c r="CC369" s="246" t="str">
        <f>IFERROR(__xludf.DUMMYFUNCTION("IF(REGEXMATCH(C369, ""g""), ""o"",""x"")"),"o")</f>
        <v>o</v>
      </c>
      <c r="CD369" s="245" t="str">
        <f>IFERROR(__xludf.DUMMYFUNCTION("IF(REGEXMATCH(C369, ""G""), ""o"",""x"")"),"o")</f>
        <v>o</v>
      </c>
      <c r="CE369" s="245" t="str">
        <f>IFERROR(__xludf.DUMMYFUNCTION("IF(REGEXMATCH(C369, ""m""), ""o"",""x"")"),"o")</f>
        <v>o</v>
      </c>
      <c r="CF369" s="246" t="str">
        <f>IFERROR(__xludf.DUMMYFUNCTION("IF(REGEXMATCH(C369, ""M""), ""o"",""x"")"),"o")</f>
        <v>o</v>
      </c>
      <c r="CG369" s="245" t="str">
        <f>IFERROR(__xludf.DUMMYFUNCTION("IF(REGEXMATCH(C369, ""P""), ""o"",""x"")"),"x")</f>
        <v>x</v>
      </c>
      <c r="CH369" s="246" t="str">
        <f>IFERROR(__xludf.DUMMYFUNCTION("IF(REGEXMATCH(C369, ""d""), ""o"",""x"")"),"x")</f>
        <v>x</v>
      </c>
      <c r="CI369" s="245" t="str">
        <f>IFERROR(__xludf.DUMMYFUNCTION("IF(REGEXMATCH(C369, ""D""), ""o"",""x"")"),"x")</f>
        <v>x</v>
      </c>
      <c r="CJ369" s="245" t="str">
        <f>IFERROR(__xludf.DUMMYFUNCTION("IF(REGEXMATCH(C369, ""n""), ""o"",""x"")"),"o")</f>
        <v>o</v>
      </c>
      <c r="CK369" s="245" t="str">
        <f>IFERROR(__xludf.DUMMYFUNCTION("IF(REGEXMATCH(C369, ""N""), ""o"",""x"")"),"x")</f>
        <v>x</v>
      </c>
      <c r="CL369" s="356" t="str">
        <f>IFERROR(__xludf.DUMMYFUNCTION("IF(REGEXMATCH(C369, ""S""), ""x"",""x"")"),"x")</f>
        <v>x</v>
      </c>
      <c r="CM369" s="357" t="str">
        <f t="shared" si="33"/>
        <v>xxxooooxxxox</v>
      </c>
      <c r="CN369" s="358">
        <f t="shared" si="34"/>
        <v>0</v>
      </c>
      <c r="CO369" s="246" t="str">
        <f>IFERROR(__xludf.DUMMYFUNCTION("IF(REGEXMATCH($C369, ""S""), ""S"",""S"")"),"S")</f>
        <v>S</v>
      </c>
      <c r="CP369" s="246" t="str">
        <f>IFERROR(__xludf.DUMMYFUNCTION("IF(REGEXMATCH($C369, ""r""), """",""r"")"),"r")</f>
        <v>r</v>
      </c>
      <c r="CQ369" s="246" t="str">
        <f>IFERROR(__xludf.DUMMYFUNCTION("IF(REGEXMATCH($C369, ""R""), """",""R"")"),"R")</f>
        <v>R</v>
      </c>
      <c r="CR369" s="246" t="str">
        <f>IFERROR(__xludf.DUMMYFUNCTION("IF(REGEXMATCH($C369, ""g""), """",""g"")"),"")</f>
        <v/>
      </c>
      <c r="CS369" s="246" t="str">
        <f>IFERROR(__xludf.DUMMYFUNCTION("IF(REGEXMATCH($C369, ""G""), """",""G"")"),"")</f>
        <v/>
      </c>
      <c r="CT369" s="246" t="str">
        <f>IFERROR(__xludf.DUMMYFUNCTION("IF(REGEXMATCH($C369, ""m""), """",""m"")"),"")</f>
        <v/>
      </c>
      <c r="CU369" s="246" t="str">
        <f>IFERROR(__xludf.DUMMYFUNCTION("IF(REGEXMATCH($C369, ""M""), """",""M"")"),"")</f>
        <v/>
      </c>
      <c r="CV369" s="246" t="str">
        <f>IFERROR(__xludf.DUMMYFUNCTION("IF(REGEXMATCH($C369, ""P""), """",""P"")"),"P")</f>
        <v>P</v>
      </c>
      <c r="CW369" s="246" t="str">
        <f>IFERROR(__xludf.DUMMYFUNCTION("IF(REGEXMATCH($C369, ""d""), """",""d"")"),"d")</f>
        <v>d</v>
      </c>
      <c r="CX369" s="246" t="str">
        <f>IFERROR(__xludf.DUMMYFUNCTION("IF(REGEXMATCH($C369, ""D""), """",""D"")"),"D")</f>
        <v>D</v>
      </c>
      <c r="CY369" s="246" t="str">
        <f>IFERROR(__xludf.DUMMYFUNCTION("IF(REGEXMATCH($C369, ""n""), """",""n"")"),"")</f>
        <v/>
      </c>
      <c r="CZ369" s="246" t="str">
        <f>IFERROR(__xludf.DUMMYFUNCTION("IF(REGEXMATCH($C369, ""N""), """",""N"")"),"N")</f>
        <v>N</v>
      </c>
      <c r="DA369" s="246" t="str">
        <f>IFERROR(__xludf.DUMMYFUNCTION("IF(REGEXMATCH($C369, ""S""), ""S"",""S"")"),"S")</f>
        <v>S</v>
      </c>
      <c r="DB369" s="362" t="str">
        <f>IFERROR(__xludf.DUMMYFUNCTION("JOIN("""",CO369:DA369,"""","""")"),"SrRPdDNS")</f>
        <v>SrRPdDNS</v>
      </c>
      <c r="DC369" s="363"/>
      <c r="DD369" s="301" t="str">
        <f t="shared" si="35"/>
        <v>#REF!</v>
      </c>
      <c r="DE369" s="302" t="str">
        <f t="shared" si="36"/>
        <v>#REF!</v>
      </c>
      <c r="DF369" s="301" t="str">
        <f t="shared" ref="DF369:DG369" si="973">SUBSTITUTE(S369,"-","")</f>
        <v>SGM</v>
      </c>
      <c r="DG369" s="301" t="str">
        <f t="shared" si="973"/>
        <v>NS</v>
      </c>
      <c r="DH369" s="302" t="str">
        <f t="shared" si="38"/>
        <v>(n/a)</v>
      </c>
      <c r="DI369" s="301" t="str">
        <f t="shared" si="39"/>
        <v>Hemi.</v>
      </c>
      <c r="DJ369" s="364" t="str">
        <f t="shared" si="40"/>
        <v>Co-Co.</v>
      </c>
      <c r="DK369" s="306" t="str">
        <f t="shared" si="41"/>
        <v>-</v>
      </c>
      <c r="DL369" s="366" t="str">
        <f t="shared" si="42"/>
        <v>-</v>
      </c>
      <c r="DM369" s="308" t="str">
        <f t="shared" si="43"/>
        <v>✔</v>
      </c>
      <c r="DN369" s="306" t="str">
        <f t="shared" si="44"/>
        <v>-</v>
      </c>
      <c r="DO369" s="306" t="str">
        <f t="shared" si="45"/>
        <v>-</v>
      </c>
      <c r="DP369" s="367" t="str">
        <f t="shared" si="46"/>
        <v>-</v>
      </c>
      <c r="DQ369" s="310" t="str">
        <f t="shared" si="47"/>
        <v>-</v>
      </c>
      <c r="DR369" s="310" t="str">
        <f t="shared" si="48"/>
        <v>✔</v>
      </c>
      <c r="DS369" s="310" t="str">
        <f t="shared" si="49"/>
        <v>✔</v>
      </c>
      <c r="DT369" s="310" t="str">
        <f t="shared" si="50"/>
        <v>-</v>
      </c>
      <c r="DU369" s="370" t="str">
        <f t="shared" si="51"/>
        <v>-</v>
      </c>
      <c r="DV369" s="306" t="str">
        <f t="shared" si="52"/>
        <v>✔</v>
      </c>
      <c r="DW369" s="306" t="str">
        <f t="shared" si="53"/>
        <v>-</v>
      </c>
      <c r="DX369" s="306" t="str">
        <f t="shared" si="54"/>
        <v>-</v>
      </c>
      <c r="DY369" s="306" t="str">
        <f t="shared" si="55"/>
        <v>✔</v>
      </c>
      <c r="DZ369" s="306" t="str">
        <f t="shared" si="56"/>
        <v>✔</v>
      </c>
      <c r="EA369" s="367" t="str">
        <f t="shared" si="57"/>
        <v>-</v>
      </c>
      <c r="EB369" s="310" t="str">
        <f>IFERROR(__xludf.DUMMYFUNCTION("IF(REGEXMATCH(AW369,AS369),""✔"",""-"")"),"-")</f>
        <v>-</v>
      </c>
      <c r="EC369" s="310" t="str">
        <f t="shared" si="58"/>
        <v>#REF!</v>
      </c>
      <c r="ED369" s="370" t="str">
        <f t="shared" si="59"/>
        <v>-</v>
      </c>
      <c r="EE369" s="340" t="str">
        <f t="shared" si="60"/>
        <v>S-gG-mM-n-S</v>
      </c>
      <c r="EF369" s="371" t="str">
        <f>IFERROR(__xludf.DUMMYFUNCTION("CONCATENATE(JOIN("""",HC369:HO369))"),"SRMPdDS")</f>
        <v>SRMPdDS</v>
      </c>
      <c r="EG369" s="372">
        <f t="shared" si="61"/>
        <v>3</v>
      </c>
      <c r="EH369" s="373" t="str">
        <f>IFERROR(__xludf.DUMMYFUNCTION("CONCATENATE(JOIN("""",JC369:JO369))"),"Sa, Ga, Ma, ")</f>
        <v>Sa, Ga, Ma, </v>
      </c>
      <c r="EI369" s="322">
        <f t="shared" si="62"/>
        <v>2</v>
      </c>
      <c r="EJ369" s="374" t="str">
        <f>IFERROR(__xludf.DUMMYFUNCTION("CONCATENATE(JOIN("""",KC369:KO369))"),"Ga, Ma, ")</f>
        <v>Ga, Ma, </v>
      </c>
      <c r="EK369" s="325" t="str">
        <f t="shared" si="63"/>
        <v>S-G2-G3-M1-M2-N2-S</v>
      </c>
      <c r="EL369" s="326" t="str">
        <f t="shared" si="64"/>
        <v>1-b3-3-4-#4-b7-8</v>
      </c>
      <c r="EM369" s="318" t="str">
        <f t="shared" si="65"/>
        <v>#REF!</v>
      </c>
      <c r="EN369" s="328" t="str">
        <f>IFERROR(__xludf.DUMMYFUNCTION("SUBSTITUTE(SUBSTITUTE(SUBSTITUTE(SUBSTITUTE(CONCATENATE(JOIN("" "",HP369:IB369)),""  "","" ""),""  "","" ""),""  "","" ""),""  "","" "")"),"o • • o o o o • • • o • o")</f>
        <v>o • • o o o o • • • o • o</v>
      </c>
      <c r="EO369" s="368" t="str">
        <f t="shared" si="66"/>
        <v>-</v>
      </c>
      <c r="EP369" s="339" t="str">
        <f t="shared" si="67"/>
        <v>-</v>
      </c>
      <c r="EQ369" s="339" t="str">
        <f t="shared" si="68"/>
        <v>-</v>
      </c>
      <c r="ER369" s="339" t="str">
        <f t="shared" si="69"/>
        <v>-</v>
      </c>
      <c r="ES369" s="340" t="str">
        <f t="shared" si="70"/>
        <v>-</v>
      </c>
      <c r="ET369" s="363"/>
      <c r="EU369" s="376" t="b">
        <f>IFERROR(__xludf.DUMMYFUNCTION("arrayformula(sum(--REGEXMATCH(""SRGMPDNS"",split(REGEXREPLACE(C369,""(.)"",""$1~""),""~""))))=len(C369)
"),FALSE)</f>
        <v>0</v>
      </c>
      <c r="EV369" s="290" t="b">
        <f>IFERROR(__xludf.DUMMYFUNCTION("arrayformula(sum(--REGEXMATCH(""SRGmPDNS"",split(REGEXREPLACE(C369,""(.)"",""$1~""),""~""))))=len(C369)"),FALSE)</f>
        <v>0</v>
      </c>
      <c r="EW369" s="290" t="b">
        <f>IFERROR(__xludf.DUMMYFUNCTION("arrayformula(sum(--REGEXMATCH(""SRGmPDnS"",split(REGEXREPLACE(C369,""(.)"",""$1~""),""~""))))=len(C369)"),FALSE)</f>
        <v>0</v>
      </c>
      <c r="EX369" s="290" t="b">
        <f>IFERROR(__xludf.DUMMYFUNCTION("arrayformula(sum(--REGEXMATCH(""SRgmPDnS"",split(REGEXREPLACE(C369,""(.)"",""$1~""),""~""))))=len(C369)"),FALSE)</f>
        <v>0</v>
      </c>
      <c r="EY369" s="290" t="b">
        <f>IFERROR(__xludf.DUMMYFUNCTION("arrayformula(sum(--REGEXMATCH(""SRgmPdnS"",split(REGEXREPLACE(C369,""(.)"",""$1~""),""~""))))=len(C369)"),FALSE)</f>
        <v>0</v>
      </c>
      <c r="EZ369" s="290" t="b">
        <f>IFERROR(__xludf.DUMMYFUNCTION("arrayformula(sum(--REGEXMATCH(""SrgmPdnS"",split(REGEXREPLACE(C369,""(.)"",""$1~""),""~""))))=len(C369)"),FALSE)</f>
        <v>0</v>
      </c>
      <c r="FA369" s="290" t="b">
        <f>IFERROR(__xludf.DUMMYFUNCTION("arrayformula(sum(--REGEXMATCH(""SrGmPdNS"",split(REGEXREPLACE(C369,""(.)"",""$1~""),""~""))))=len(C369)"),FALSE)</f>
        <v>0</v>
      </c>
      <c r="FB369" s="290" t="b">
        <f>IFERROR(__xludf.DUMMYFUNCTION("arrayformula(sum(--REGEXMATCH(""SrGMPDNS"",split(REGEXREPLACE(C369,""(.)"",""$1~""),""~""))))=len(C369)"),FALSE)</f>
        <v>0</v>
      </c>
      <c r="FC369" s="290" t="b">
        <f>IFERROR(__xludf.DUMMYFUNCTION("arrayformula(sum(--REGEXMATCH(""SrGMPdNS"",split(REGEXREPLACE(C369,""(.)"",""$1~""),""~""))))=len(C369)"),FALSE)</f>
        <v>0</v>
      </c>
      <c r="FD369" s="377" t="b">
        <f>IFERROR(__xludf.DUMMYFUNCTION("arrayformula(sum(--REGEXMATCH(""SrgMPdNS"",split(REGEXREPLACE(C369,""(.)"",""$1~""),""~""))))=len(C369)"),FALSE)</f>
        <v>0</v>
      </c>
      <c r="FE369" s="269" t="str">
        <f t="shared" si="71"/>
        <v>-</v>
      </c>
      <c r="FF369" s="269" t="str">
        <f t="shared" si="72"/>
        <v>-</v>
      </c>
      <c r="FG369" s="271" t="str">
        <f t="shared" si="73"/>
        <v>xxxxoooxoxo</v>
      </c>
      <c r="FH369" s="269" t="str">
        <f t="shared" si="74"/>
        <v>xxxoooxoxoo</v>
      </c>
      <c r="FI369" s="271" t="str">
        <f t="shared" si="75"/>
        <v>xxoooxoxoox</v>
      </c>
      <c r="FJ369" s="271" t="str">
        <f t="shared" si="76"/>
        <v>xoooxoxooxx</v>
      </c>
      <c r="FK369" s="271" t="str">
        <f t="shared" si="77"/>
        <v>-</v>
      </c>
      <c r="FL369" s="271" t="str">
        <f t="shared" si="78"/>
        <v>-</v>
      </c>
      <c r="FM369" s="271" t="str">
        <f t="shared" si="79"/>
        <v>-</v>
      </c>
      <c r="FN369" s="271" t="str">
        <f t="shared" si="80"/>
        <v>xoxooxxxxoo</v>
      </c>
      <c r="FO369" s="274" t="str">
        <f t="shared" si="81"/>
        <v>-</v>
      </c>
      <c r="FP369" s="234" t="str">
        <f t="shared" si="82"/>
        <v>|</v>
      </c>
      <c r="FQ369" s="236" t="str">
        <f t="shared" si="83"/>
        <v>-</v>
      </c>
      <c r="FR369" s="237" t="str">
        <f t="shared" si="84"/>
        <v>-</v>
      </c>
      <c r="FS369" s="236" t="str">
        <f t="shared" si="85"/>
        <v>|</v>
      </c>
      <c r="FT369" s="237" t="str">
        <f t="shared" si="86"/>
        <v>|</v>
      </c>
      <c r="FU369" s="236" t="str">
        <f t="shared" si="87"/>
        <v>|</v>
      </c>
      <c r="FV369" s="237" t="str">
        <f t="shared" si="88"/>
        <v>|</v>
      </c>
      <c r="FW369" s="236" t="str">
        <f t="shared" si="89"/>
        <v>-</v>
      </c>
      <c r="FX369" s="237" t="str">
        <f t="shared" si="90"/>
        <v>-</v>
      </c>
      <c r="FY369" s="236" t="str">
        <f t="shared" si="91"/>
        <v>-</v>
      </c>
      <c r="FZ369" s="237" t="str">
        <f t="shared" si="92"/>
        <v>|</v>
      </c>
      <c r="GA369" s="236" t="str">
        <f t="shared" si="93"/>
        <v>-</v>
      </c>
      <c r="GB369" s="238" t="str">
        <f t="shared" si="94"/>
        <v>|</v>
      </c>
      <c r="GC369" s="244" t="str">
        <f>IFERROR(__xludf.DUMMYFUNCTION("IF(REGEXMATCH(C369, ""S""), ""1"","""")"),"1")</f>
        <v>1</v>
      </c>
      <c r="GD369" s="245" t="str">
        <f>IFERROR(__xludf.DUMMYFUNCTION("IF(REGEXMATCH(C369, ""r""), ""b2"","""")"),"")</f>
        <v/>
      </c>
      <c r="GE369" s="246" t="str">
        <f>IFERROR(__xludf.DUMMYFUNCTION("IF(REGEXMATCH(C369, ""R""), ""2"","""")"),"")</f>
        <v/>
      </c>
      <c r="GF369" s="246" t="str">
        <f>IFERROR(__xludf.DUMMYFUNCTION("IF(REGEXMATCH(C369, ""g""), ""b3"","""")"),"b3")</f>
        <v>b3</v>
      </c>
      <c r="GG369" s="245" t="str">
        <f>IFERROR(__xludf.DUMMYFUNCTION("IF(REGEXMATCH(C369, ""G""), ""3"","""")"),"3")</f>
        <v>3</v>
      </c>
      <c r="GH369" s="245" t="str">
        <f>IFERROR(__xludf.DUMMYFUNCTION("IF(REGEXMATCH(C369, ""m""), ""4"","""")"),"4")</f>
        <v>4</v>
      </c>
      <c r="GI369" s="246" t="str">
        <f>IFERROR(__xludf.DUMMYFUNCTION("IF(REGEXMATCH(C369, ""M""), ""#4"","""")"),"#4")</f>
        <v>#4</v>
      </c>
      <c r="GJ369" s="245" t="str">
        <f>IFERROR(__xludf.DUMMYFUNCTION("IF(REGEXMATCH(C369, ""P""), ""5"","""")"),"")</f>
        <v/>
      </c>
      <c r="GK369" s="246" t="str">
        <f>IFERROR(__xludf.DUMMYFUNCTION("IF(REGEXMATCH(C369, ""d""), ""b6"","""")"),"")</f>
        <v/>
      </c>
      <c r="GL369" s="245" t="str">
        <f>IFERROR(__xludf.DUMMYFUNCTION("IF(REGEXMATCH(C369, ""D""), ""6"","""")"),"")</f>
        <v/>
      </c>
      <c r="GM369" s="245" t="str">
        <f>IFERROR(__xludf.DUMMYFUNCTION("IF(REGEXMATCH(C369, ""n""), ""b7"","""")"),"b7")</f>
        <v>b7</v>
      </c>
      <c r="GN369" s="246" t="str">
        <f>IFERROR(__xludf.DUMMYFUNCTION("IF(REGEXMATCH(C369, ""N""), ""7"","""")"),"")</f>
        <v/>
      </c>
      <c r="GO369" s="249" t="str">
        <f>IFERROR(__xludf.DUMMYFUNCTION("IF(REGEXMATCH(C369, ""S""), ""8"","""")"),"8")</f>
        <v>8</v>
      </c>
      <c r="GP369" s="244" t="str">
        <f>IFERROR(__xludf.DUMMYFUNCTION("IF(REGEXMATCH(C369, ""S""), ""S"","""")"),"S")</f>
        <v>S</v>
      </c>
      <c r="GQ369" s="294" t="str">
        <f>IFERROR(__xludf.DUMMYFUNCTION("IF(REGEXMATCH(C369, ""r""), ""R1"","""")"),"")</f>
        <v/>
      </c>
      <c r="GR369" s="295" t="str">
        <f>IFERROR(__xludf.DUMMYFUNCTION("IF(REGEXMATCH(C369, ""R""), ""R2"","""")"),"")</f>
        <v/>
      </c>
      <c r="GS369" s="295" t="str">
        <f>IFERROR(__xludf.DUMMYFUNCTION("IF(REGEXMATCH(C369, ""g""), ""G2"","""")"),"G2")</f>
        <v>G2</v>
      </c>
      <c r="GT369" s="294" t="str">
        <f>IFERROR(__xludf.DUMMYFUNCTION("IF(REGEXMATCH(C369, ""G""), ""G3"","""")"),"G3")</f>
        <v>G3</v>
      </c>
      <c r="GU369" s="294" t="str">
        <f>IFERROR(__xludf.DUMMYFUNCTION("IF(REGEXMATCH(C369, ""m""), ""M1"","""")"),"M1")</f>
        <v>M1</v>
      </c>
      <c r="GV369" s="295" t="str">
        <f>IFERROR(__xludf.DUMMYFUNCTION("IF(REGEXMATCH(C369, ""M""), ""M2"","""")"),"M2")</f>
        <v>M2</v>
      </c>
      <c r="GW369" s="294" t="str">
        <f>IFERROR(__xludf.DUMMYFUNCTION("IF(REGEXMATCH(C369, ""P""), ""P"","""")"),"")</f>
        <v/>
      </c>
      <c r="GX369" s="295" t="str">
        <f>IFERROR(__xludf.DUMMYFUNCTION("IF(REGEXMATCH(C369, ""d""), ""D1"","""")"),"")</f>
        <v/>
      </c>
      <c r="GY369" s="294" t="str">
        <f>IFERROR(__xludf.DUMMYFUNCTION("IF(REGEXMATCH(C369, ""D""), ""D2"","""")"),"")</f>
        <v/>
      </c>
      <c r="GZ369" s="294" t="str">
        <f>IFERROR(__xludf.DUMMYFUNCTION("IF(REGEXMATCH(C369, ""n""), ""N2"","""")"),"N2")</f>
        <v>N2</v>
      </c>
      <c r="HA369" s="295" t="str">
        <f>IFERROR(__xludf.DUMMYFUNCTION("IF(REGEXMATCH(C369, ""N""), ""N3"","""")"),"")</f>
        <v/>
      </c>
      <c r="HB369" s="249" t="str">
        <f>IFERROR(__xludf.DUMMYFUNCTION("IF(REGEXMATCH(C369, ""S""), ""S"","""")"),"S")</f>
        <v>S</v>
      </c>
      <c r="HC369" s="331" t="str">
        <f t="shared" si="95"/>
        <v>S</v>
      </c>
      <c r="HD369" s="332" t="str">
        <f t="shared" si="96"/>
        <v/>
      </c>
      <c r="HE369" s="332" t="str">
        <f t="shared" si="97"/>
        <v>R</v>
      </c>
      <c r="HF369" s="332" t="str">
        <f t="shared" si="98"/>
        <v/>
      </c>
      <c r="HG369" s="332" t="str">
        <f t="shared" si="99"/>
        <v/>
      </c>
      <c r="HH369" s="332" t="str">
        <f t="shared" si="100"/>
        <v/>
      </c>
      <c r="HI369" s="332" t="str">
        <f t="shared" si="101"/>
        <v>M</v>
      </c>
      <c r="HJ369" s="332" t="str">
        <f t="shared" si="102"/>
        <v>P</v>
      </c>
      <c r="HK369" s="332" t="str">
        <f t="shared" si="103"/>
        <v>d</v>
      </c>
      <c r="HL369" s="332" t="str">
        <f t="shared" si="104"/>
        <v>D</v>
      </c>
      <c r="HM369" s="332" t="str">
        <f t="shared" si="105"/>
        <v/>
      </c>
      <c r="HN369" s="332" t="str">
        <f t="shared" si="106"/>
        <v/>
      </c>
      <c r="HO369" s="343" t="str">
        <f t="shared" si="107"/>
        <v>S</v>
      </c>
      <c r="HP369" s="331" t="str">
        <f t="shared" si="108"/>
        <v>o</v>
      </c>
      <c r="HQ369" s="332" t="str">
        <f t="shared" si="109"/>
        <v>•</v>
      </c>
      <c r="HR369" s="332" t="str">
        <f t="shared" si="110"/>
        <v>•</v>
      </c>
      <c r="HS369" s="332" t="str">
        <f t="shared" si="111"/>
        <v>o</v>
      </c>
      <c r="HT369" s="332" t="str">
        <f t="shared" si="112"/>
        <v>o</v>
      </c>
      <c r="HU369" s="332" t="str">
        <f t="shared" si="113"/>
        <v>o</v>
      </c>
      <c r="HV369" s="332" t="str">
        <f t="shared" si="114"/>
        <v>o</v>
      </c>
      <c r="HW369" s="332" t="str">
        <f t="shared" si="115"/>
        <v>•</v>
      </c>
      <c r="HX369" s="332" t="str">
        <f t="shared" si="116"/>
        <v>•</v>
      </c>
      <c r="HY369" s="332" t="str">
        <f t="shared" si="117"/>
        <v>•</v>
      </c>
      <c r="HZ369" s="332" t="str">
        <f t="shared" si="118"/>
        <v>o</v>
      </c>
      <c r="IA369" s="332" t="str">
        <f t="shared" si="119"/>
        <v>•</v>
      </c>
      <c r="IB369" s="338" t="str">
        <f t="shared" si="120"/>
        <v>o</v>
      </c>
      <c r="IC369" s="331" t="str">
        <f t="shared" si="121"/>
        <v>•</v>
      </c>
      <c r="ID369" s="332" t="str">
        <f t="shared" si="122"/>
        <v>o</v>
      </c>
      <c r="IE369" s="332" t="str">
        <f t="shared" si="123"/>
        <v>o</v>
      </c>
      <c r="IF369" s="332" t="str">
        <f t="shared" si="124"/>
        <v>•</v>
      </c>
      <c r="IG369" s="332" t="str">
        <f t="shared" si="125"/>
        <v>•</v>
      </c>
      <c r="IH369" s="332" t="str">
        <f t="shared" si="126"/>
        <v>•</v>
      </c>
      <c r="II369" s="332" t="str">
        <f t="shared" si="127"/>
        <v>•</v>
      </c>
      <c r="IJ369" s="332" t="str">
        <f t="shared" si="128"/>
        <v>o</v>
      </c>
      <c r="IK369" s="332" t="str">
        <f t="shared" si="129"/>
        <v>o</v>
      </c>
      <c r="IL369" s="332" t="str">
        <f t="shared" si="130"/>
        <v>o</v>
      </c>
      <c r="IM369" s="332" t="str">
        <f t="shared" si="131"/>
        <v>•</v>
      </c>
      <c r="IN369" s="332" t="str">
        <f t="shared" si="132"/>
        <v>o</v>
      </c>
      <c r="IO369" s="338" t="str">
        <f t="shared" si="133"/>
        <v>•</v>
      </c>
      <c r="IP369" s="346" t="b">
        <f t="shared" si="134"/>
        <v>1</v>
      </c>
      <c r="IQ369" s="347" t="b">
        <f t="shared" si="135"/>
        <v>0</v>
      </c>
      <c r="IR369" s="347" t="b">
        <f t="shared" si="136"/>
        <v>0</v>
      </c>
      <c r="IS369" s="347" t="b">
        <f t="shared" si="137"/>
        <v>0</v>
      </c>
      <c r="IT369" s="347" t="b">
        <f t="shared" si="138"/>
        <v>1</v>
      </c>
      <c r="IU369" s="347" t="b">
        <f t="shared" si="139"/>
        <v>0</v>
      </c>
      <c r="IV369" s="347" t="b">
        <f t="shared" si="140"/>
        <v>1</v>
      </c>
      <c r="IW369" s="347" t="b">
        <f t="shared" si="141"/>
        <v>0</v>
      </c>
      <c r="IX369" s="347" t="b">
        <f t="shared" si="142"/>
        <v>0</v>
      </c>
      <c r="IY369" s="347" t="b">
        <f t="shared" si="143"/>
        <v>0</v>
      </c>
      <c r="IZ369" s="347" t="b">
        <f t="shared" si="144"/>
        <v>0</v>
      </c>
      <c r="JA369" s="347" t="b">
        <f t="shared" si="145"/>
        <v>0</v>
      </c>
      <c r="JB369" s="353" t="b">
        <f t="shared" si="146"/>
        <v>1</v>
      </c>
      <c r="JC369" s="354" t="str">
        <f t="shared" si="147"/>
        <v>Sa, </v>
      </c>
      <c r="JD369" s="355" t="str">
        <f t="shared" si="148"/>
        <v/>
      </c>
      <c r="JE369" s="355" t="str">
        <f t="shared" si="149"/>
        <v/>
      </c>
      <c r="JF369" s="355" t="str">
        <f t="shared" si="150"/>
        <v/>
      </c>
      <c r="JG369" s="355" t="str">
        <f t="shared" si="151"/>
        <v>Ga, </v>
      </c>
      <c r="JH369" s="355" t="str">
        <f t="shared" si="152"/>
        <v/>
      </c>
      <c r="JI369" s="355" t="str">
        <f t="shared" si="153"/>
        <v>Ma, </v>
      </c>
      <c r="JJ369" s="355" t="str">
        <f t="shared" si="154"/>
        <v/>
      </c>
      <c r="JK369" s="355" t="str">
        <f t="shared" si="155"/>
        <v/>
      </c>
      <c r="JL369" s="355" t="str">
        <f t="shared" si="156"/>
        <v/>
      </c>
      <c r="JM369" s="355" t="str">
        <f t="shared" si="157"/>
        <v/>
      </c>
      <c r="JN369" s="355" t="str">
        <f t="shared" si="158"/>
        <v/>
      </c>
      <c r="JO369" s="359" t="str">
        <f t="shared" si="159"/>
        <v/>
      </c>
      <c r="JP369" s="346" t="b">
        <f t="shared" si="160"/>
        <v>0</v>
      </c>
      <c r="JQ369" s="347" t="b">
        <f t="shared" si="161"/>
        <v>0</v>
      </c>
      <c r="JR369" s="347" t="b">
        <f t="shared" si="162"/>
        <v>0</v>
      </c>
      <c r="JS369" s="347" t="b">
        <f t="shared" si="163"/>
        <v>0</v>
      </c>
      <c r="JT369" s="347" t="b">
        <f t="shared" si="164"/>
        <v>1</v>
      </c>
      <c r="JU369" s="347" t="b">
        <f t="shared" si="165"/>
        <v>0</v>
      </c>
      <c r="JV369" s="347" t="b">
        <f t="shared" si="166"/>
        <v>1</v>
      </c>
      <c r="JW369" s="347" t="b">
        <f t="shared" si="167"/>
        <v>0</v>
      </c>
      <c r="JX369" s="347" t="b">
        <f t="shared" si="168"/>
        <v>0</v>
      </c>
      <c r="JY369" s="347" t="b">
        <f t="shared" si="169"/>
        <v>0</v>
      </c>
      <c r="JZ369" s="347" t="b">
        <f t="shared" si="170"/>
        <v>0</v>
      </c>
      <c r="KA369" s="347" t="b">
        <f t="shared" si="171"/>
        <v>0</v>
      </c>
      <c r="KB369" s="365" t="b">
        <f t="shared" si="172"/>
        <v>0</v>
      </c>
      <c r="KC369" s="354" t="str">
        <f t="shared" si="173"/>
        <v/>
      </c>
      <c r="KD369" s="355" t="str">
        <f t="shared" si="174"/>
        <v/>
      </c>
      <c r="KE369" s="355" t="str">
        <f t="shared" si="175"/>
        <v/>
      </c>
      <c r="KF369" s="355" t="str">
        <f t="shared" si="176"/>
        <v/>
      </c>
      <c r="KG369" s="355" t="str">
        <f t="shared" si="177"/>
        <v>Ga, </v>
      </c>
      <c r="KH369" s="355" t="str">
        <f t="shared" si="178"/>
        <v/>
      </c>
      <c r="KI369" s="355" t="str">
        <f t="shared" si="179"/>
        <v>Ma, </v>
      </c>
      <c r="KJ369" s="355" t="str">
        <f t="shared" si="180"/>
        <v/>
      </c>
      <c r="KK369" s="355" t="str">
        <f t="shared" si="181"/>
        <v/>
      </c>
      <c r="KL369" s="355" t="str">
        <f t="shared" si="182"/>
        <v/>
      </c>
      <c r="KM369" s="355" t="str">
        <f t="shared" si="183"/>
        <v/>
      </c>
      <c r="KN369" s="355" t="str">
        <f t="shared" si="184"/>
        <v/>
      </c>
      <c r="KO369" s="359"/>
      <c r="KP369" s="378"/>
      <c r="KQ369" s="379" t="s">
        <v>9</v>
      </c>
      <c r="KR369" s="380" t="s">
        <v>9</v>
      </c>
      <c r="KS369" s="381" t="s">
        <v>9</v>
      </c>
      <c r="KT369" s="382">
        <f t="shared" si="186"/>
        <v>0</v>
      </c>
      <c r="KU369" s="383">
        <f t="shared" si="187"/>
        <v>0</v>
      </c>
      <c r="KV369" s="381" t="str">
        <f t="shared" si="205"/>
        <v>S</v>
      </c>
      <c r="KW369" s="382">
        <f t="shared" si="189"/>
        <v>0</v>
      </c>
      <c r="KX369" s="384">
        <f t="shared" si="190"/>
        <v>0</v>
      </c>
      <c r="KY369" s="382">
        <f t="shared" ref="KY369:KZ369" si="974">KW369-KT369</f>
        <v>0</v>
      </c>
      <c r="KZ369" s="369">
        <f t="shared" si="974"/>
        <v>0</v>
      </c>
      <c r="LA369" s="385" t="str">
        <f t="shared" si="192"/>
        <v>✔</v>
      </c>
      <c r="LB369" s="340" t="str">
        <f>IFERROR(__xludf.DUMMYFUNCTION("JOIN("""",ArrayFormula(MID(KS369,LEN(KS369)-SEQUENCE(1,LEN(KS369))+1,1)))"),"S")</f>
        <v>S</v>
      </c>
      <c r="LC369" s="373" t="str">
        <f>IFERROR(__xludf.DUMMYFUNCTION("JOIN("""",ArrayFormula(MID(KV369,LEN(KV369)-SEQUENCE(1,LEN(KV369))+1,1)))"),"S")</f>
        <v>S</v>
      </c>
      <c r="LD369" s="373" t="str">
        <f t="shared" si="193"/>
        <v>S</v>
      </c>
      <c r="LE369" s="339" t="str">
        <f t="shared" si="194"/>
        <v>S</v>
      </c>
      <c r="LF369" s="386" t="str">
        <f>IFERROR(__xludf.DUMMYFUNCTION("SUBSTITUTE(SUBSTITUTE(CONCATENATE(JOIN("""",LH369:LT369)),""1"",""""),""2"","""")"),"SS")</f>
        <v>SS</v>
      </c>
      <c r="LG369" s="369" t="str">
        <f t="shared" si="195"/>
        <v>-</v>
      </c>
      <c r="LH369" s="387" t="str">
        <f>IFERROR(__xludf.DUMMYFUNCTION("IF(REGEXMATCH(LD369, ""S""), ""S"",IF(REGEXMATCH(LE369, ""S""), ""S"",""""))"),"S")</f>
        <v>S</v>
      </c>
      <c r="LI369" s="299" t="str">
        <f>IFERROR(__xludf.DUMMYFUNCTION("IF(REGEXMATCH(LD369, ""r""), ""r1"",IF(REGEXMATCH(LE369, ""r""), ""r2"",""""))"),"")</f>
        <v/>
      </c>
      <c r="LJ369" s="299" t="str">
        <f>IFERROR(__xludf.DUMMYFUNCTION("IF(REGEXMATCH(LD369, ""R""), ""R1"",IF(REGEXMATCH(LE369, ""R""), ""R2"",""""))"),"")</f>
        <v/>
      </c>
      <c r="LK369" s="299" t="str">
        <f>IFERROR(__xludf.DUMMYFUNCTION("IF(REGEXMATCH(LD369, ""g""), ""g1"",IF(REGEXMATCH(LE369, ""g""), ""g2"",""""))"),"")</f>
        <v/>
      </c>
      <c r="LL369" s="299" t="str">
        <f>IFERROR(__xludf.DUMMYFUNCTION("IF(REGEXMATCH(LD369, ""G""), ""G1"",IF(REGEXMATCH(LE369, ""G""), ""G2"",""""))"),"")</f>
        <v/>
      </c>
      <c r="LM369" s="299" t="str">
        <f>IFERROR(__xludf.DUMMYFUNCTION("IF(REGEXMATCH(LD369, ""m""), ""m1"",IF(REGEXMATCH(LE369, ""m""), ""m2"",""""))"),"")</f>
        <v/>
      </c>
      <c r="LN369" s="299" t="str">
        <f>IFERROR(__xludf.DUMMYFUNCTION("IF(REGEXMATCH(LD369, ""M""), ""M1"",IF(REGEXMATCH(LE369, ""M""), ""M2"",""""))"),"")</f>
        <v/>
      </c>
      <c r="LO369" s="299" t="str">
        <f>IFERROR(__xludf.DUMMYFUNCTION("IF(REGEXMATCH(LD369, ""P""), ""P1"",IF(REGEXMATCH(LE369, ""P""), ""P2"",""""))"),"")</f>
        <v/>
      </c>
      <c r="LP369" s="299" t="str">
        <f>IFERROR(__xludf.DUMMYFUNCTION("IF(REGEXMATCH(LD369, ""d""), ""d1"",IF(REGEXMATCH(LE369, ""d""), ""d2"",""""))"),"")</f>
        <v/>
      </c>
      <c r="LQ369" s="299" t="str">
        <f>IFERROR(__xludf.DUMMYFUNCTION("IF(REGEXMATCH(LD369, ""D""), ""D1"",IF(REGEXMATCH(LE369, ""D""), ""D2"",""""))"),"")</f>
        <v/>
      </c>
      <c r="LR369" s="299" t="str">
        <f>IFERROR(__xludf.DUMMYFUNCTION("IF(REGEXMATCH(LD369, ""n""), ""n1"",IF(REGEXMATCH(LE369, ""n""), ""n2"",""""))"),"")</f>
        <v/>
      </c>
      <c r="LS369" s="299" t="str">
        <f>IFERROR(__xludf.DUMMYFUNCTION("IF(REGEXMATCH(LD369, ""N""), ""N1"",IF(REGEXMATCH(LE369, ""N""), ""N2"",""""))"),"")</f>
        <v/>
      </c>
      <c r="LT369" s="388" t="str">
        <f>IFERROR(__xludf.DUMMYFUNCTION("IF(REGEXMATCH(LD369, ""S""), ""S"",IF(REGEXMATCH(LE369, ""S""), ""S"",""""))"),"S")</f>
        <v>S</v>
      </c>
      <c r="LU369" s="389">
        <f t="shared" si="196"/>
        <v>1</v>
      </c>
      <c r="LV369" s="378"/>
      <c r="LW369" s="369"/>
      <c r="LX369" s="369"/>
    </row>
    <row r="370" ht="18.0" customHeight="1">
      <c r="A370" s="449"/>
      <c r="B370" s="420"/>
      <c r="C370" s="424"/>
      <c r="D370" s="425"/>
      <c r="E370" s="426"/>
      <c r="F370" s="309"/>
      <c r="G370" s="309"/>
      <c r="H370" s="426"/>
      <c r="I370" s="426"/>
      <c r="J370" s="309"/>
      <c r="K370" s="426"/>
      <c r="L370" s="309"/>
      <c r="M370" s="426"/>
      <c r="N370" s="426"/>
      <c r="O370" s="309"/>
      <c r="P370" s="425"/>
      <c r="Q370" s="330"/>
      <c r="R370" s="330"/>
      <c r="S370" s="309"/>
      <c r="T370" s="309"/>
      <c r="U370" s="282"/>
      <c r="V370" s="309"/>
      <c r="W370" s="427"/>
      <c r="X370" s="424"/>
      <c r="Y370" s="362"/>
      <c r="Z370" s="362"/>
      <c r="AA370" s="424"/>
      <c r="AB370" s="424"/>
      <c r="AC370" s="362"/>
      <c r="AD370" s="424"/>
      <c r="AE370" s="362"/>
      <c r="AF370" s="424"/>
      <c r="AG370" s="424"/>
      <c r="AH370" s="362"/>
      <c r="AI370" s="427"/>
      <c r="AJ370" s="313"/>
      <c r="AK370" s="313"/>
      <c r="AL370" s="313"/>
      <c r="AM370" s="313"/>
      <c r="AN370" s="313"/>
      <c r="AO370" s="314"/>
      <c r="AP370" s="316"/>
      <c r="AQ370" s="319"/>
      <c r="AR370" s="450"/>
      <c r="AS370" s="429"/>
      <c r="AT370" s="429"/>
      <c r="AU370" s="430"/>
      <c r="AV370" s="430"/>
      <c r="AW370" s="430"/>
      <c r="AX370" s="330"/>
      <c r="AY370" s="330"/>
      <c r="AZ370" s="330"/>
      <c r="BA370" s="451"/>
      <c r="BB370" s="334"/>
      <c r="BC370" s="364"/>
      <c r="BD370" s="336"/>
      <c r="BE370" s="452"/>
      <c r="BF370" s="309"/>
      <c r="BG370" s="330"/>
      <c r="BH370" s="330"/>
      <c r="BI370" s="330"/>
      <c r="BJ370" s="330"/>
      <c r="BK370" s="330"/>
      <c r="BL370" s="309"/>
      <c r="BM370" s="309"/>
      <c r="BN370" s="309"/>
      <c r="BO370" s="309"/>
      <c r="BP370" s="309"/>
      <c r="BQ370" s="330"/>
      <c r="BR370" s="330"/>
      <c r="BS370" s="453"/>
      <c r="BT370" s="362"/>
      <c r="BU370" s="309"/>
      <c r="BV370" s="350" t="str">
        <f t="shared" si="30"/>
        <v/>
      </c>
      <c r="BW370" s="350" t="str">
        <f t="shared" si="31"/>
        <v/>
      </c>
      <c r="BX370" s="351"/>
      <c r="BY370" s="392"/>
      <c r="BZ370" s="309"/>
      <c r="CA370" s="237"/>
      <c r="CB370" s="237"/>
      <c r="CC370" s="237"/>
      <c r="CD370" s="237"/>
      <c r="CE370" s="237"/>
      <c r="CF370" s="237"/>
      <c r="CG370" s="237"/>
      <c r="CH370" s="237"/>
      <c r="CI370" s="237"/>
      <c r="CJ370" s="237"/>
      <c r="CK370" s="245"/>
      <c r="CL370" s="309"/>
      <c r="CM370" s="454"/>
      <c r="CN370" s="358"/>
      <c r="CO370" s="246"/>
      <c r="CP370" s="282"/>
      <c r="CQ370" s="237"/>
      <c r="CR370" s="237"/>
      <c r="CS370" s="237"/>
      <c r="CT370" s="237"/>
      <c r="CU370" s="237"/>
      <c r="CV370" s="237"/>
      <c r="CW370" s="237"/>
      <c r="CX370" s="237"/>
      <c r="CY370" s="237"/>
      <c r="CZ370" s="237"/>
      <c r="DA370" s="282"/>
      <c r="DB370" s="309"/>
      <c r="DC370" s="455"/>
      <c r="DD370" s="434"/>
      <c r="DE370" s="435"/>
      <c r="DF370" s="434"/>
      <c r="DG370" s="434"/>
      <c r="DH370" s="435"/>
      <c r="DI370" s="434"/>
      <c r="DJ370" s="434"/>
      <c r="DK370" s="366"/>
      <c r="DL370" s="366"/>
      <c r="DM370" s="366"/>
      <c r="DN370" s="366"/>
      <c r="DO370" s="366"/>
      <c r="DP370" s="366"/>
      <c r="DQ370" s="436"/>
      <c r="DR370" s="436"/>
      <c r="DS370" s="436"/>
      <c r="DT370" s="436"/>
      <c r="DU370" s="436"/>
      <c r="DV370" s="366"/>
      <c r="DW370" s="366"/>
      <c r="DX370" s="366"/>
      <c r="DY370" s="366"/>
      <c r="DZ370" s="366"/>
      <c r="EA370" s="366"/>
      <c r="EB370" s="436"/>
      <c r="EC370" s="436"/>
      <c r="ED370" s="436"/>
      <c r="EE370" s="340"/>
      <c r="EF370" s="340"/>
      <c r="EG370" s="372"/>
      <c r="EH370" s="340"/>
      <c r="EI370" s="322"/>
      <c r="EJ370" s="456"/>
      <c r="EK370" s="321"/>
      <c r="EL370" s="321"/>
      <c r="EM370" s="321"/>
      <c r="EN370" s="321"/>
      <c r="EO370" s="368"/>
      <c r="EP370" s="340"/>
      <c r="EQ370" s="340"/>
      <c r="ER370" s="340"/>
      <c r="ES370" s="340"/>
      <c r="ET370" s="455"/>
      <c r="EU370" s="457"/>
      <c r="EV370" s="433"/>
      <c r="EW370" s="433"/>
      <c r="EX370" s="433"/>
      <c r="EY370" s="433"/>
      <c r="EZ370" s="433"/>
      <c r="FA370" s="433"/>
      <c r="FB370" s="433"/>
      <c r="FC370" s="433"/>
      <c r="FD370" s="458"/>
      <c r="FE370" s="431"/>
      <c r="FF370" s="431"/>
      <c r="FG370" s="432"/>
      <c r="FH370" s="431"/>
      <c r="FI370" s="432"/>
      <c r="FJ370" s="432"/>
      <c r="FK370" s="432"/>
      <c r="FL370" s="432"/>
      <c r="FM370" s="432"/>
      <c r="FN370" s="432"/>
      <c r="FO370" s="432"/>
      <c r="FP370" s="425"/>
      <c r="FQ370" s="426"/>
      <c r="FR370" s="309"/>
      <c r="FS370" s="426"/>
      <c r="FT370" s="309"/>
      <c r="FU370" s="426"/>
      <c r="FV370" s="309"/>
      <c r="FW370" s="426"/>
      <c r="FX370" s="309"/>
      <c r="FY370" s="426"/>
      <c r="FZ370" s="309"/>
      <c r="GA370" s="426"/>
      <c r="GB370" s="425"/>
      <c r="GC370" s="427"/>
      <c r="GD370" s="424"/>
      <c r="GE370" s="362"/>
      <c r="GF370" s="362"/>
      <c r="GG370" s="424"/>
      <c r="GH370" s="424"/>
      <c r="GI370" s="362"/>
      <c r="GJ370" s="424"/>
      <c r="GK370" s="362"/>
      <c r="GL370" s="424"/>
      <c r="GM370" s="424"/>
      <c r="GN370" s="362"/>
      <c r="GO370" s="427"/>
      <c r="GP370" s="427"/>
      <c r="GQ370" s="424"/>
      <c r="GR370" s="362"/>
      <c r="GS370" s="362"/>
      <c r="GT370" s="424"/>
      <c r="GU370" s="424"/>
      <c r="GV370" s="362"/>
      <c r="GW370" s="424"/>
      <c r="GX370" s="362"/>
      <c r="GY370" s="424"/>
      <c r="GZ370" s="424"/>
      <c r="HA370" s="362"/>
      <c r="HB370" s="427"/>
      <c r="HC370" s="437"/>
      <c r="HD370" s="438"/>
      <c r="HE370" s="438"/>
      <c r="HF370" s="438"/>
      <c r="HG370" s="438"/>
      <c r="HH370" s="438"/>
      <c r="HI370" s="438"/>
      <c r="HJ370" s="438"/>
      <c r="HK370" s="438"/>
      <c r="HL370" s="438"/>
      <c r="HM370" s="438"/>
      <c r="HN370" s="438"/>
      <c r="HO370" s="437"/>
      <c r="HP370" s="437"/>
      <c r="HQ370" s="438"/>
      <c r="HR370" s="438"/>
      <c r="HS370" s="438"/>
      <c r="HT370" s="438"/>
      <c r="HU370" s="438"/>
      <c r="HV370" s="438"/>
      <c r="HW370" s="438"/>
      <c r="HX370" s="438"/>
      <c r="HY370" s="438"/>
      <c r="HZ370" s="438"/>
      <c r="IA370" s="438"/>
      <c r="IB370" s="437"/>
      <c r="IC370" s="437"/>
      <c r="ID370" s="438"/>
      <c r="IE370" s="438"/>
      <c r="IF370" s="438"/>
      <c r="IG370" s="438"/>
      <c r="IH370" s="438"/>
      <c r="II370" s="438"/>
      <c r="IJ370" s="438"/>
      <c r="IK370" s="438"/>
      <c r="IL370" s="438"/>
      <c r="IM370" s="438"/>
      <c r="IN370" s="438"/>
      <c r="IO370" s="437"/>
      <c r="IP370" s="439"/>
      <c r="IQ370" s="440"/>
      <c r="IR370" s="440"/>
      <c r="IS370" s="440"/>
      <c r="IT370" s="440"/>
      <c r="IU370" s="440"/>
      <c r="IV370" s="440"/>
      <c r="IW370" s="440"/>
      <c r="IX370" s="440"/>
      <c r="IY370" s="440"/>
      <c r="IZ370" s="440"/>
      <c r="JA370" s="440"/>
      <c r="JB370" s="439"/>
      <c r="JC370" s="441"/>
      <c r="JD370" s="442"/>
      <c r="JE370" s="442"/>
      <c r="JF370" s="442"/>
      <c r="JG370" s="442"/>
      <c r="JH370" s="442"/>
      <c r="JI370" s="442"/>
      <c r="JJ370" s="442"/>
      <c r="JK370" s="442"/>
      <c r="JL370" s="442"/>
      <c r="JM370" s="442"/>
      <c r="JN370" s="442"/>
      <c r="JO370" s="441"/>
      <c r="JP370" s="443"/>
      <c r="JQ370" s="444"/>
      <c r="JR370" s="444"/>
      <c r="JS370" s="444"/>
      <c r="JT370" s="444"/>
      <c r="JU370" s="444"/>
      <c r="JV370" s="444"/>
      <c r="JW370" s="444"/>
      <c r="JX370" s="444"/>
      <c r="JY370" s="444"/>
      <c r="JZ370" s="444"/>
      <c r="KA370" s="444"/>
      <c r="KB370" s="443"/>
      <c r="KC370" s="441"/>
      <c r="KD370" s="442"/>
      <c r="KE370" s="442"/>
      <c r="KF370" s="442"/>
      <c r="KG370" s="442"/>
      <c r="KH370" s="442"/>
      <c r="KI370" s="442"/>
      <c r="KJ370" s="442"/>
      <c r="KK370" s="442"/>
      <c r="KL370" s="442"/>
      <c r="KM370" s="442"/>
      <c r="KN370" s="442"/>
      <c r="KO370" s="441"/>
      <c r="KP370" s="459"/>
      <c r="KQ370" s="460"/>
      <c r="KR370" s="460"/>
      <c r="KS370" s="369"/>
      <c r="KT370" s="369"/>
      <c r="KU370" s="369"/>
      <c r="KV370" s="369"/>
      <c r="KW370" s="369"/>
      <c r="KX370" s="369"/>
      <c r="KY370" s="369"/>
      <c r="KZ370" s="369"/>
      <c r="LA370" s="369"/>
      <c r="LB370" s="340"/>
      <c r="LC370" s="340"/>
      <c r="LD370" s="340"/>
      <c r="LE370" s="340"/>
      <c r="LF370" s="340"/>
      <c r="LG370" s="340"/>
      <c r="LH370" s="461"/>
      <c r="LI370" s="462"/>
      <c r="LJ370" s="462"/>
      <c r="LK370" s="462"/>
      <c r="LL370" s="462"/>
      <c r="LM370" s="462"/>
      <c r="LN370" s="462"/>
      <c r="LO370" s="462"/>
      <c r="LP370" s="462"/>
      <c r="LQ370" s="462"/>
      <c r="LR370" s="462"/>
      <c r="LS370" s="462"/>
      <c r="LT370" s="461"/>
      <c r="LU370" s="369"/>
      <c r="LV370" s="459"/>
      <c r="LW370" s="369"/>
      <c r="LX370" s="369"/>
    </row>
  </sheetData>
  <autoFilter ref="$A$2:$LX$369">
    <sortState ref="A2:LX369">
      <sortCondition ref="A2:A369"/>
      <sortCondition ref="BC2:BC369"/>
      <sortCondition ref="B2:B369"/>
      <sortCondition ref="C2:C369"/>
      <sortCondition ref="U2:U369"/>
      <sortCondition descending="1" ref="AQ2:AQ369"/>
      <sortCondition ref="AP2:AP369"/>
      <sortCondition descending="1" ref="EI2:EI369"/>
    </sortState>
  </autoFilter>
  <hyperlinks>
    <hyperlink r:id="rId1" ref="LU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</hyperlinks>
  <drawing r:id="rId3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75"/>
    <col customWidth="1" min="2" max="2" width="9.13"/>
    <col customWidth="1" min="3" max="10" width="5.38"/>
    <col customWidth="1" min="11" max="14" width="5.63"/>
    <col customWidth="1" min="15" max="15" width="16.75"/>
    <col customWidth="1" min="16" max="19" width="5.0"/>
    <col customWidth="1" min="20" max="20" width="11.75"/>
  </cols>
  <sheetData>
    <row r="1">
      <c r="A1" s="12" t="s">
        <v>0</v>
      </c>
      <c r="B1" s="16"/>
      <c r="C1" s="20" t="s">
        <v>23</v>
      </c>
      <c r="F1" s="22"/>
      <c r="G1" s="24" t="s">
        <v>33</v>
      </c>
      <c r="J1" s="22"/>
      <c r="K1" s="20" t="s">
        <v>39</v>
      </c>
      <c r="N1" s="22"/>
      <c r="O1" s="16">
        <f>IFERROR(__xludf.DUMMYFUNCTION("COUNTUNIQUE(O3:O170)"),168.0)</f>
        <v>168</v>
      </c>
      <c r="P1" s="20" t="s">
        <v>49</v>
      </c>
      <c r="S1" s="22"/>
      <c r="T1" s="16">
        <f>IFERROR(__xludf.DUMMYFUNCTION("COUNTUNIQUE(T3:T170)"),168.0)</f>
        <v>168</v>
      </c>
      <c r="U1" s="32"/>
      <c r="V1" s="32"/>
      <c r="W1" s="32"/>
    </row>
    <row r="2">
      <c r="A2" s="34" t="s">
        <v>50</v>
      </c>
      <c r="B2" s="36" t="s">
        <v>51</v>
      </c>
      <c r="C2" s="38" t="s">
        <v>53</v>
      </c>
      <c r="D2" s="38" t="s">
        <v>54</v>
      </c>
      <c r="E2" s="38" t="s">
        <v>56</v>
      </c>
      <c r="F2" s="41" t="s">
        <v>57</v>
      </c>
      <c r="G2" s="42" t="s">
        <v>59</v>
      </c>
      <c r="H2" s="42" t="s">
        <v>63</v>
      </c>
      <c r="I2" s="42" t="s">
        <v>64</v>
      </c>
      <c r="J2" s="44" t="s">
        <v>68</v>
      </c>
      <c r="K2" s="38" t="s">
        <v>69</v>
      </c>
      <c r="L2" s="38" t="s">
        <v>72</v>
      </c>
      <c r="M2" s="38" t="s">
        <v>73</v>
      </c>
      <c r="N2" s="41" t="s">
        <v>74</v>
      </c>
      <c r="O2" s="36" t="s">
        <v>76</v>
      </c>
      <c r="P2" s="38" t="s">
        <v>78</v>
      </c>
      <c r="Q2" s="38" t="s">
        <v>81</v>
      </c>
      <c r="R2" s="38" t="s">
        <v>82</v>
      </c>
      <c r="S2" s="41" t="s">
        <v>83</v>
      </c>
      <c r="T2" s="36" t="s">
        <v>76</v>
      </c>
      <c r="U2" s="32"/>
      <c r="V2" s="32"/>
      <c r="W2" s="32"/>
    </row>
    <row r="3">
      <c r="A3" s="53" t="s">
        <v>87</v>
      </c>
      <c r="B3" s="55">
        <v>1234.0</v>
      </c>
      <c r="C3" s="58">
        <v>1.0</v>
      </c>
      <c r="D3" s="58">
        <v>2.0</v>
      </c>
      <c r="E3" s="58">
        <v>3.0</v>
      </c>
      <c r="F3" s="61">
        <v>4.0</v>
      </c>
      <c r="G3" s="69" t="str">
        <f t="shared" ref="G3:J3" si="1">SUBSTITUTE(SUBSTITUTE(SUBSTITUTE(C3,"8","1"),"9","2"),"10","3")</f>
        <v>1</v>
      </c>
      <c r="H3" s="69" t="str">
        <f t="shared" si="1"/>
        <v>2</v>
      </c>
      <c r="I3" s="69" t="str">
        <f t="shared" si="1"/>
        <v>3</v>
      </c>
      <c r="J3" s="74" t="str">
        <f t="shared" si="1"/>
        <v>4</v>
      </c>
      <c r="K3" s="58" t="str">
        <f t="shared" ref="K3:N3" si="2">SUBSTITUTE(SUBSTITUTE(SUBSTITUTE(SUBSTITUTE(SUBSTITUTE(SUBSTITUTE(SUBSTITUTE(G3,"1","Sa"),"2","Re"),"3","Ga"),"4","Ma"),"5","Pa"),"6","Dha"),"7","Ni")</f>
        <v>Sa</v>
      </c>
      <c r="L3" s="58" t="str">
        <f t="shared" si="2"/>
        <v>Re</v>
      </c>
      <c r="M3" s="58" t="str">
        <f t="shared" si="2"/>
        <v>Ga</v>
      </c>
      <c r="N3" s="61" t="str">
        <f t="shared" si="2"/>
        <v>Ma</v>
      </c>
      <c r="O3" s="55" t="str">
        <f>IFERROR(__xludf.DUMMYFUNCTION("CONCATENATE(JOIN(""-"",K3:N3))"),"Sa-Re-Ga-Ma")</f>
        <v>Sa-Re-Ga-Ma</v>
      </c>
      <c r="P3" s="58" t="str">
        <f t="shared" ref="P3:S3" si="3">SUBSTITUTE(SUBSTITUTE(SUBSTITUTE(SUBSTITUTE(SUBSTITUTE(SUBSTITUTE(SUBSTITUTE(G3,"1","S"),"2","R"),"3","G"),"4","M"),"5","P"),"6","D"),"7","N")</f>
        <v>S</v>
      </c>
      <c r="Q3" s="58" t="str">
        <f t="shared" si="3"/>
        <v>R</v>
      </c>
      <c r="R3" s="58" t="str">
        <f t="shared" si="3"/>
        <v>G</v>
      </c>
      <c r="S3" s="58" t="str">
        <f t="shared" si="3"/>
        <v>M</v>
      </c>
      <c r="T3" s="55" t="str">
        <f>IFERROR(__xludf.DUMMYFUNCTION("CONCATENATE(JOIN("""",P3:S3))"),"SRGM")</f>
        <v>SRGM</v>
      </c>
      <c r="U3" s="32" t="str">
        <f>IFERROR(__xludf.DUMMYFUNCTION("CONCATENATE(JOIN("" | "",T3:T26))"),"SRGM | SRMG | SGMR | RGMS | RSGM | RSMG | GSMR | GRMS | SGRM | SMRG | SMGR | RMGS | GSRM | MSRG | MSGR | MRGS | RGSM | RMSG | GMSR | GMRS | GRSM | MRSG | MGSR | MGRS")</f>
        <v>SRGM | SRMG | SGMR | RGMS | RSGM | RSMG | GSMR | GRMS | SGRM | SMRG | SMGR | RMGS | GSRM | MSRG | MSGR | MRGS | RGSM | RMSG | GMSR | GMRS | GRSM | MRSG | MGSR | MGRS</v>
      </c>
      <c r="V3" s="32"/>
      <c r="W3" s="32"/>
    </row>
    <row r="4">
      <c r="A4" s="53" t="s">
        <v>96</v>
      </c>
      <c r="B4" s="55">
        <v>1234.0</v>
      </c>
      <c r="C4" s="58">
        <v>1.0</v>
      </c>
      <c r="D4" s="58">
        <v>2.0</v>
      </c>
      <c r="E4" s="58">
        <v>4.0</v>
      </c>
      <c r="F4" s="61">
        <v>3.0</v>
      </c>
      <c r="G4" s="69" t="str">
        <f t="shared" ref="G4:J4" si="4">SUBSTITUTE(SUBSTITUTE(SUBSTITUTE(C4,"8","1"),"9","2"),"10","3")</f>
        <v>1</v>
      </c>
      <c r="H4" s="69" t="str">
        <f t="shared" si="4"/>
        <v>2</v>
      </c>
      <c r="I4" s="69" t="str">
        <f t="shared" si="4"/>
        <v>4</v>
      </c>
      <c r="J4" s="74" t="str">
        <f t="shared" si="4"/>
        <v>3</v>
      </c>
      <c r="K4" s="58" t="str">
        <f t="shared" ref="K4:N4" si="5">SUBSTITUTE(SUBSTITUTE(SUBSTITUTE(SUBSTITUTE(SUBSTITUTE(SUBSTITUTE(SUBSTITUTE(G4,"1","Sa"),"2","Re"),"3","Ga"),"4","Ma"),"5","Pa"),"6","Dha"),"7","Ni")</f>
        <v>Sa</v>
      </c>
      <c r="L4" s="58" t="str">
        <f t="shared" si="5"/>
        <v>Re</v>
      </c>
      <c r="M4" s="58" t="str">
        <f t="shared" si="5"/>
        <v>Ma</v>
      </c>
      <c r="N4" s="61" t="str">
        <f t="shared" si="5"/>
        <v>Ga</v>
      </c>
      <c r="O4" s="55" t="str">
        <f>IFERROR(__xludf.DUMMYFUNCTION("CONCATENATE(JOIN(""-"",K4:N4))"),"Sa-Re-Ma-Ga")</f>
        <v>Sa-Re-Ma-Ga</v>
      </c>
      <c r="P4" s="58" t="str">
        <f t="shared" ref="P4:S4" si="6">SUBSTITUTE(SUBSTITUTE(SUBSTITUTE(SUBSTITUTE(SUBSTITUTE(SUBSTITUTE(SUBSTITUTE(G4,"1","S"),"2","R"),"3","G"),"4","M"),"5","P"),"6","D"),"7","N")</f>
        <v>S</v>
      </c>
      <c r="Q4" s="58" t="str">
        <f t="shared" si="6"/>
        <v>R</v>
      </c>
      <c r="R4" s="58" t="str">
        <f t="shared" si="6"/>
        <v>M</v>
      </c>
      <c r="S4" s="58" t="str">
        <f t="shared" si="6"/>
        <v>G</v>
      </c>
      <c r="T4" s="55" t="str">
        <f>IFERROR(__xludf.DUMMYFUNCTION("CONCATENATE(JOIN("""",P4:S4))"),"SRMG")</f>
        <v>SRMG</v>
      </c>
      <c r="U4" s="32"/>
      <c r="V4" s="32"/>
      <c r="W4" s="32"/>
    </row>
    <row r="5">
      <c r="A5" s="53" t="s">
        <v>97</v>
      </c>
      <c r="B5" s="55">
        <v>1234.0</v>
      </c>
      <c r="C5" s="58">
        <v>1.0</v>
      </c>
      <c r="D5" s="58">
        <v>3.0</v>
      </c>
      <c r="E5" s="58">
        <v>4.0</v>
      </c>
      <c r="F5" s="61">
        <v>2.0</v>
      </c>
      <c r="G5" s="69" t="str">
        <f t="shared" ref="G5:J5" si="7">SUBSTITUTE(SUBSTITUTE(SUBSTITUTE(C5,"8","1"),"9","2"),"10","3")</f>
        <v>1</v>
      </c>
      <c r="H5" s="69" t="str">
        <f t="shared" si="7"/>
        <v>3</v>
      </c>
      <c r="I5" s="69" t="str">
        <f t="shared" si="7"/>
        <v>4</v>
      </c>
      <c r="J5" s="74" t="str">
        <f t="shared" si="7"/>
        <v>2</v>
      </c>
      <c r="K5" s="58" t="str">
        <f t="shared" ref="K5:N5" si="8">SUBSTITUTE(SUBSTITUTE(SUBSTITUTE(SUBSTITUTE(SUBSTITUTE(SUBSTITUTE(SUBSTITUTE(G5,"1","Sa"),"2","Re"),"3","Ga"),"4","Ma"),"5","Pa"),"6","Dha"),"7","Ni")</f>
        <v>Sa</v>
      </c>
      <c r="L5" s="58" t="str">
        <f t="shared" si="8"/>
        <v>Ga</v>
      </c>
      <c r="M5" s="58" t="str">
        <f t="shared" si="8"/>
        <v>Ma</v>
      </c>
      <c r="N5" s="61" t="str">
        <f t="shared" si="8"/>
        <v>Re</v>
      </c>
      <c r="O5" s="55" t="str">
        <f>IFERROR(__xludf.DUMMYFUNCTION("CONCATENATE(JOIN(""-"",K5:N5))"),"Sa-Ga-Ma-Re")</f>
        <v>Sa-Ga-Ma-Re</v>
      </c>
      <c r="P5" s="58" t="str">
        <f t="shared" ref="P5:S5" si="9">SUBSTITUTE(SUBSTITUTE(SUBSTITUTE(SUBSTITUTE(SUBSTITUTE(SUBSTITUTE(SUBSTITUTE(G5,"1","S"),"2","R"),"3","G"),"4","M"),"5","P"),"6","D"),"7","N")</f>
        <v>S</v>
      </c>
      <c r="Q5" s="58" t="str">
        <f t="shared" si="9"/>
        <v>G</v>
      </c>
      <c r="R5" s="58" t="str">
        <f t="shared" si="9"/>
        <v>M</v>
      </c>
      <c r="S5" s="58" t="str">
        <f t="shared" si="9"/>
        <v>R</v>
      </c>
      <c r="T5" s="55" t="str">
        <f>IFERROR(__xludf.DUMMYFUNCTION("CONCATENATE(JOIN("""",P5:S5))"),"SGMR")</f>
        <v>SGMR</v>
      </c>
      <c r="U5" s="32"/>
      <c r="V5" s="32"/>
      <c r="W5" s="32"/>
    </row>
    <row r="6">
      <c r="A6" s="53" t="s">
        <v>98</v>
      </c>
      <c r="B6" s="55">
        <v>1234.0</v>
      </c>
      <c r="C6" s="58">
        <v>2.0</v>
      </c>
      <c r="D6" s="58">
        <v>3.0</v>
      </c>
      <c r="E6" s="58">
        <v>4.0</v>
      </c>
      <c r="F6" s="61">
        <v>1.0</v>
      </c>
      <c r="G6" s="69" t="str">
        <f t="shared" ref="G6:J6" si="10">SUBSTITUTE(SUBSTITUTE(SUBSTITUTE(C6,"8","1"),"9","2"),"10","3")</f>
        <v>2</v>
      </c>
      <c r="H6" s="69" t="str">
        <f t="shared" si="10"/>
        <v>3</v>
      </c>
      <c r="I6" s="69" t="str">
        <f t="shared" si="10"/>
        <v>4</v>
      </c>
      <c r="J6" s="74" t="str">
        <f t="shared" si="10"/>
        <v>1</v>
      </c>
      <c r="K6" s="58" t="str">
        <f t="shared" ref="K6:N6" si="11">SUBSTITUTE(SUBSTITUTE(SUBSTITUTE(SUBSTITUTE(SUBSTITUTE(SUBSTITUTE(SUBSTITUTE(G6,"1","Sa"),"2","Re"),"3","Ga"),"4","Ma"),"5","Pa"),"6","Dha"),"7","Ni")</f>
        <v>Re</v>
      </c>
      <c r="L6" s="58" t="str">
        <f t="shared" si="11"/>
        <v>Ga</v>
      </c>
      <c r="M6" s="58" t="str">
        <f t="shared" si="11"/>
        <v>Ma</v>
      </c>
      <c r="N6" s="61" t="str">
        <f t="shared" si="11"/>
        <v>Sa</v>
      </c>
      <c r="O6" s="55" t="str">
        <f>IFERROR(__xludf.DUMMYFUNCTION("CONCATENATE(JOIN(""-"",K6:N6))"),"Re-Ga-Ma-Sa")</f>
        <v>Re-Ga-Ma-Sa</v>
      </c>
      <c r="P6" s="58" t="str">
        <f t="shared" ref="P6:S6" si="12">SUBSTITUTE(SUBSTITUTE(SUBSTITUTE(SUBSTITUTE(SUBSTITUTE(SUBSTITUTE(SUBSTITUTE(G6,"1","S"),"2","R"),"3","G"),"4","M"),"5","P"),"6","D"),"7","N")</f>
        <v>R</v>
      </c>
      <c r="Q6" s="58" t="str">
        <f t="shared" si="12"/>
        <v>G</v>
      </c>
      <c r="R6" s="58" t="str">
        <f t="shared" si="12"/>
        <v>M</v>
      </c>
      <c r="S6" s="58" t="str">
        <f t="shared" si="12"/>
        <v>S</v>
      </c>
      <c r="T6" s="55" t="str">
        <f>IFERROR(__xludf.DUMMYFUNCTION("CONCATENATE(JOIN("""",P6:S6))"),"RGMS")</f>
        <v>RGMS</v>
      </c>
      <c r="U6" s="32"/>
      <c r="V6" s="32"/>
      <c r="W6" s="32"/>
    </row>
    <row r="7">
      <c r="A7" s="53" t="s">
        <v>99</v>
      </c>
      <c r="B7" s="55">
        <v>1234.0</v>
      </c>
      <c r="C7" s="58">
        <v>2.0</v>
      </c>
      <c r="D7" s="58">
        <v>1.0</v>
      </c>
      <c r="E7" s="58">
        <v>3.0</v>
      </c>
      <c r="F7" s="61">
        <v>4.0</v>
      </c>
      <c r="G7" s="69" t="str">
        <f t="shared" ref="G7:J7" si="13">SUBSTITUTE(SUBSTITUTE(SUBSTITUTE(C7,"8","1"),"9","2"),"10","3")</f>
        <v>2</v>
      </c>
      <c r="H7" s="69" t="str">
        <f t="shared" si="13"/>
        <v>1</v>
      </c>
      <c r="I7" s="69" t="str">
        <f t="shared" si="13"/>
        <v>3</v>
      </c>
      <c r="J7" s="74" t="str">
        <f t="shared" si="13"/>
        <v>4</v>
      </c>
      <c r="K7" s="58" t="str">
        <f t="shared" ref="K7:N7" si="14">SUBSTITUTE(SUBSTITUTE(SUBSTITUTE(SUBSTITUTE(SUBSTITUTE(SUBSTITUTE(SUBSTITUTE(G7,"1","Sa"),"2","Re"),"3","Ga"),"4","Ma"),"5","Pa"),"6","Dha"),"7","Ni")</f>
        <v>Re</v>
      </c>
      <c r="L7" s="58" t="str">
        <f t="shared" si="14"/>
        <v>Sa</v>
      </c>
      <c r="M7" s="58" t="str">
        <f t="shared" si="14"/>
        <v>Ga</v>
      </c>
      <c r="N7" s="61" t="str">
        <f t="shared" si="14"/>
        <v>Ma</v>
      </c>
      <c r="O7" s="55" t="str">
        <f>IFERROR(__xludf.DUMMYFUNCTION("CONCATENATE(JOIN(""-"",K7:N7))"),"Re-Sa-Ga-Ma")</f>
        <v>Re-Sa-Ga-Ma</v>
      </c>
      <c r="P7" s="58" t="str">
        <f t="shared" ref="P7:S7" si="15">SUBSTITUTE(SUBSTITUTE(SUBSTITUTE(SUBSTITUTE(SUBSTITUTE(SUBSTITUTE(SUBSTITUTE(G7,"1","S"),"2","R"),"3","G"),"4","M"),"5","P"),"6","D"),"7","N")</f>
        <v>R</v>
      </c>
      <c r="Q7" s="58" t="str">
        <f t="shared" si="15"/>
        <v>S</v>
      </c>
      <c r="R7" s="58" t="str">
        <f t="shared" si="15"/>
        <v>G</v>
      </c>
      <c r="S7" s="58" t="str">
        <f t="shared" si="15"/>
        <v>M</v>
      </c>
      <c r="T7" s="55" t="str">
        <f>IFERROR(__xludf.DUMMYFUNCTION("CONCATENATE(JOIN("""",P7:S7))"),"RSGM")</f>
        <v>RSGM</v>
      </c>
      <c r="U7" s="32"/>
      <c r="V7" s="32"/>
      <c r="W7" s="32"/>
    </row>
    <row r="8">
      <c r="A8" s="53" t="s">
        <v>100</v>
      </c>
      <c r="B8" s="55">
        <v>1234.0</v>
      </c>
      <c r="C8" s="58">
        <v>2.0</v>
      </c>
      <c r="D8" s="58">
        <v>1.0</v>
      </c>
      <c r="E8" s="58">
        <v>4.0</v>
      </c>
      <c r="F8" s="61">
        <v>3.0</v>
      </c>
      <c r="G8" s="69" t="str">
        <f t="shared" ref="G8:J8" si="16">SUBSTITUTE(SUBSTITUTE(SUBSTITUTE(C8,"8","1"),"9","2"),"10","3")</f>
        <v>2</v>
      </c>
      <c r="H8" s="69" t="str">
        <f t="shared" si="16"/>
        <v>1</v>
      </c>
      <c r="I8" s="69" t="str">
        <f t="shared" si="16"/>
        <v>4</v>
      </c>
      <c r="J8" s="74" t="str">
        <f t="shared" si="16"/>
        <v>3</v>
      </c>
      <c r="K8" s="58" t="str">
        <f t="shared" ref="K8:N8" si="17">SUBSTITUTE(SUBSTITUTE(SUBSTITUTE(SUBSTITUTE(SUBSTITUTE(SUBSTITUTE(SUBSTITUTE(G8,"1","Sa"),"2","Re"),"3","Ga"),"4","Ma"),"5","Pa"),"6","Dha"),"7","Ni")</f>
        <v>Re</v>
      </c>
      <c r="L8" s="58" t="str">
        <f t="shared" si="17"/>
        <v>Sa</v>
      </c>
      <c r="M8" s="58" t="str">
        <f t="shared" si="17"/>
        <v>Ma</v>
      </c>
      <c r="N8" s="61" t="str">
        <f t="shared" si="17"/>
        <v>Ga</v>
      </c>
      <c r="O8" s="55" t="str">
        <f>IFERROR(__xludf.DUMMYFUNCTION("CONCATENATE(JOIN(""-"",K8:N8))"),"Re-Sa-Ma-Ga")</f>
        <v>Re-Sa-Ma-Ga</v>
      </c>
      <c r="P8" s="58" t="str">
        <f t="shared" ref="P8:S8" si="18">SUBSTITUTE(SUBSTITUTE(SUBSTITUTE(SUBSTITUTE(SUBSTITUTE(SUBSTITUTE(SUBSTITUTE(G8,"1","S"),"2","R"),"3","G"),"4","M"),"5","P"),"6","D"),"7","N")</f>
        <v>R</v>
      </c>
      <c r="Q8" s="58" t="str">
        <f t="shared" si="18"/>
        <v>S</v>
      </c>
      <c r="R8" s="58" t="str">
        <f t="shared" si="18"/>
        <v>M</v>
      </c>
      <c r="S8" s="58" t="str">
        <f t="shared" si="18"/>
        <v>G</v>
      </c>
      <c r="T8" s="55" t="str">
        <f>IFERROR(__xludf.DUMMYFUNCTION("CONCATENATE(JOIN("""",P8:S8))"),"RSMG")</f>
        <v>RSMG</v>
      </c>
      <c r="U8" s="32"/>
      <c r="V8" s="32"/>
      <c r="W8" s="32"/>
    </row>
    <row r="9">
      <c r="A9" s="53" t="s">
        <v>101</v>
      </c>
      <c r="B9" s="55">
        <v>1234.0</v>
      </c>
      <c r="C9" s="58">
        <v>3.0</v>
      </c>
      <c r="D9" s="58">
        <v>1.0</v>
      </c>
      <c r="E9" s="58">
        <v>4.0</v>
      </c>
      <c r="F9" s="61">
        <v>2.0</v>
      </c>
      <c r="G9" s="69" t="str">
        <f t="shared" ref="G9:J9" si="19">SUBSTITUTE(SUBSTITUTE(SUBSTITUTE(C9,"8","1"),"9","2"),"10","3")</f>
        <v>3</v>
      </c>
      <c r="H9" s="69" t="str">
        <f t="shared" si="19"/>
        <v>1</v>
      </c>
      <c r="I9" s="69" t="str">
        <f t="shared" si="19"/>
        <v>4</v>
      </c>
      <c r="J9" s="74" t="str">
        <f t="shared" si="19"/>
        <v>2</v>
      </c>
      <c r="K9" s="58" t="str">
        <f t="shared" ref="K9:N9" si="20">SUBSTITUTE(SUBSTITUTE(SUBSTITUTE(SUBSTITUTE(SUBSTITUTE(SUBSTITUTE(SUBSTITUTE(G9,"1","Sa"),"2","Re"),"3","Ga"),"4","Ma"),"5","Pa"),"6","Dha"),"7","Ni")</f>
        <v>Ga</v>
      </c>
      <c r="L9" s="58" t="str">
        <f t="shared" si="20"/>
        <v>Sa</v>
      </c>
      <c r="M9" s="58" t="str">
        <f t="shared" si="20"/>
        <v>Ma</v>
      </c>
      <c r="N9" s="61" t="str">
        <f t="shared" si="20"/>
        <v>Re</v>
      </c>
      <c r="O9" s="55" t="str">
        <f>IFERROR(__xludf.DUMMYFUNCTION("CONCATENATE(JOIN(""-"",K9:N9))"),"Ga-Sa-Ma-Re")</f>
        <v>Ga-Sa-Ma-Re</v>
      </c>
      <c r="P9" s="58" t="str">
        <f t="shared" ref="P9:S9" si="21">SUBSTITUTE(SUBSTITUTE(SUBSTITUTE(SUBSTITUTE(SUBSTITUTE(SUBSTITUTE(SUBSTITUTE(G9,"1","S"),"2","R"),"3","G"),"4","M"),"5","P"),"6","D"),"7","N")</f>
        <v>G</v>
      </c>
      <c r="Q9" s="58" t="str">
        <f t="shared" si="21"/>
        <v>S</v>
      </c>
      <c r="R9" s="58" t="str">
        <f t="shared" si="21"/>
        <v>M</v>
      </c>
      <c r="S9" s="58" t="str">
        <f t="shared" si="21"/>
        <v>R</v>
      </c>
      <c r="T9" s="55" t="str">
        <f>IFERROR(__xludf.DUMMYFUNCTION("CONCATENATE(JOIN("""",P9:S9))"),"GSMR")</f>
        <v>GSMR</v>
      </c>
      <c r="U9" s="32"/>
      <c r="V9" s="32"/>
      <c r="W9" s="32"/>
    </row>
    <row r="10">
      <c r="A10" s="53" t="s">
        <v>102</v>
      </c>
      <c r="B10" s="55">
        <v>1234.0</v>
      </c>
      <c r="C10" s="58">
        <v>3.0</v>
      </c>
      <c r="D10" s="58">
        <v>2.0</v>
      </c>
      <c r="E10" s="58">
        <v>4.0</v>
      </c>
      <c r="F10" s="61">
        <v>1.0</v>
      </c>
      <c r="G10" s="69" t="str">
        <f t="shared" ref="G10:J10" si="22">SUBSTITUTE(SUBSTITUTE(SUBSTITUTE(C10,"8","1"),"9","2"),"10","3")</f>
        <v>3</v>
      </c>
      <c r="H10" s="69" t="str">
        <f t="shared" si="22"/>
        <v>2</v>
      </c>
      <c r="I10" s="69" t="str">
        <f t="shared" si="22"/>
        <v>4</v>
      </c>
      <c r="J10" s="74" t="str">
        <f t="shared" si="22"/>
        <v>1</v>
      </c>
      <c r="K10" s="58" t="str">
        <f t="shared" ref="K10:N10" si="23">SUBSTITUTE(SUBSTITUTE(SUBSTITUTE(SUBSTITUTE(SUBSTITUTE(SUBSTITUTE(SUBSTITUTE(G10,"1","Sa"),"2","Re"),"3","Ga"),"4","Ma"),"5","Pa"),"6","Dha"),"7","Ni")</f>
        <v>Ga</v>
      </c>
      <c r="L10" s="58" t="str">
        <f t="shared" si="23"/>
        <v>Re</v>
      </c>
      <c r="M10" s="58" t="str">
        <f t="shared" si="23"/>
        <v>Ma</v>
      </c>
      <c r="N10" s="61" t="str">
        <f t="shared" si="23"/>
        <v>Sa</v>
      </c>
      <c r="O10" s="55" t="str">
        <f>IFERROR(__xludf.DUMMYFUNCTION("CONCATENATE(JOIN(""-"",K10:N10))"),"Ga-Re-Ma-Sa")</f>
        <v>Ga-Re-Ma-Sa</v>
      </c>
      <c r="P10" s="58" t="str">
        <f t="shared" ref="P10:S10" si="24">SUBSTITUTE(SUBSTITUTE(SUBSTITUTE(SUBSTITUTE(SUBSTITUTE(SUBSTITUTE(SUBSTITUTE(G10,"1","S"),"2","R"),"3","G"),"4","M"),"5","P"),"6","D"),"7","N")</f>
        <v>G</v>
      </c>
      <c r="Q10" s="58" t="str">
        <f t="shared" si="24"/>
        <v>R</v>
      </c>
      <c r="R10" s="58" t="str">
        <f t="shared" si="24"/>
        <v>M</v>
      </c>
      <c r="S10" s="58" t="str">
        <f t="shared" si="24"/>
        <v>S</v>
      </c>
      <c r="T10" s="55" t="str">
        <f>IFERROR(__xludf.DUMMYFUNCTION("CONCATENATE(JOIN("""",P10:S10))"),"GRMS")</f>
        <v>GRMS</v>
      </c>
      <c r="U10" s="32"/>
      <c r="V10" s="32"/>
      <c r="W10" s="32"/>
    </row>
    <row r="11">
      <c r="A11" s="53" t="s">
        <v>104</v>
      </c>
      <c r="B11" s="55">
        <v>1234.0</v>
      </c>
      <c r="C11" s="58">
        <v>1.0</v>
      </c>
      <c r="D11" s="58">
        <v>3.0</v>
      </c>
      <c r="E11" s="58">
        <v>2.0</v>
      </c>
      <c r="F11" s="61">
        <v>4.0</v>
      </c>
      <c r="G11" s="69" t="str">
        <f t="shared" ref="G11:J11" si="25">SUBSTITUTE(SUBSTITUTE(SUBSTITUTE(C11,"8","1"),"9","2"),"10","3")</f>
        <v>1</v>
      </c>
      <c r="H11" s="69" t="str">
        <f t="shared" si="25"/>
        <v>3</v>
      </c>
      <c r="I11" s="69" t="str">
        <f t="shared" si="25"/>
        <v>2</v>
      </c>
      <c r="J11" s="74" t="str">
        <f t="shared" si="25"/>
        <v>4</v>
      </c>
      <c r="K11" s="58" t="str">
        <f t="shared" ref="K11:N11" si="26">SUBSTITUTE(SUBSTITUTE(SUBSTITUTE(SUBSTITUTE(SUBSTITUTE(SUBSTITUTE(SUBSTITUTE(G11,"1","Sa"),"2","Re"),"3","Ga"),"4","Ma"),"5","Pa"),"6","Dha"),"7","Ni")</f>
        <v>Sa</v>
      </c>
      <c r="L11" s="58" t="str">
        <f t="shared" si="26"/>
        <v>Ga</v>
      </c>
      <c r="M11" s="58" t="str">
        <f t="shared" si="26"/>
        <v>Re</v>
      </c>
      <c r="N11" s="61" t="str">
        <f t="shared" si="26"/>
        <v>Ma</v>
      </c>
      <c r="O11" s="55" t="str">
        <f>IFERROR(__xludf.DUMMYFUNCTION("CONCATENATE(JOIN(""-"",K11:N11))"),"Sa-Ga-Re-Ma")</f>
        <v>Sa-Ga-Re-Ma</v>
      </c>
      <c r="P11" s="58" t="str">
        <f t="shared" ref="P11:S11" si="27">SUBSTITUTE(SUBSTITUTE(SUBSTITUTE(SUBSTITUTE(SUBSTITUTE(SUBSTITUTE(SUBSTITUTE(G11,"1","S"),"2","R"),"3","G"),"4","M"),"5","P"),"6","D"),"7","N")</f>
        <v>S</v>
      </c>
      <c r="Q11" s="58" t="str">
        <f t="shared" si="27"/>
        <v>G</v>
      </c>
      <c r="R11" s="58" t="str">
        <f t="shared" si="27"/>
        <v>R</v>
      </c>
      <c r="S11" s="58" t="str">
        <f t="shared" si="27"/>
        <v>M</v>
      </c>
      <c r="T11" s="55" t="str">
        <f>IFERROR(__xludf.DUMMYFUNCTION("CONCATENATE(JOIN("""",P11:S11))"),"SGRM")</f>
        <v>SGRM</v>
      </c>
      <c r="U11" s="32"/>
      <c r="V11" s="32"/>
      <c r="W11" s="32"/>
    </row>
    <row r="12">
      <c r="A12" s="53" t="s">
        <v>105</v>
      </c>
      <c r="B12" s="55">
        <v>1234.0</v>
      </c>
      <c r="C12" s="58">
        <v>1.0</v>
      </c>
      <c r="D12" s="58">
        <v>4.0</v>
      </c>
      <c r="E12" s="58">
        <v>2.0</v>
      </c>
      <c r="F12" s="61">
        <v>3.0</v>
      </c>
      <c r="G12" s="69" t="str">
        <f t="shared" ref="G12:J12" si="28">SUBSTITUTE(SUBSTITUTE(SUBSTITUTE(C12,"8","1"),"9","2"),"10","3")</f>
        <v>1</v>
      </c>
      <c r="H12" s="69" t="str">
        <f t="shared" si="28"/>
        <v>4</v>
      </c>
      <c r="I12" s="69" t="str">
        <f t="shared" si="28"/>
        <v>2</v>
      </c>
      <c r="J12" s="74" t="str">
        <f t="shared" si="28"/>
        <v>3</v>
      </c>
      <c r="K12" s="58" t="str">
        <f t="shared" ref="K12:N12" si="29">SUBSTITUTE(SUBSTITUTE(SUBSTITUTE(SUBSTITUTE(SUBSTITUTE(SUBSTITUTE(SUBSTITUTE(G12,"1","Sa"),"2","Re"),"3","Ga"),"4","Ma"),"5","Pa"),"6","Dha"),"7","Ni")</f>
        <v>Sa</v>
      </c>
      <c r="L12" s="58" t="str">
        <f t="shared" si="29"/>
        <v>Ma</v>
      </c>
      <c r="M12" s="58" t="str">
        <f t="shared" si="29"/>
        <v>Re</v>
      </c>
      <c r="N12" s="61" t="str">
        <f t="shared" si="29"/>
        <v>Ga</v>
      </c>
      <c r="O12" s="55" t="str">
        <f>IFERROR(__xludf.DUMMYFUNCTION("CONCATENATE(JOIN(""-"",K12:N12))"),"Sa-Ma-Re-Ga")</f>
        <v>Sa-Ma-Re-Ga</v>
      </c>
      <c r="P12" s="58" t="str">
        <f t="shared" ref="P12:S12" si="30">SUBSTITUTE(SUBSTITUTE(SUBSTITUTE(SUBSTITUTE(SUBSTITUTE(SUBSTITUTE(SUBSTITUTE(G12,"1","S"),"2","R"),"3","G"),"4","M"),"5","P"),"6","D"),"7","N")</f>
        <v>S</v>
      </c>
      <c r="Q12" s="58" t="str">
        <f t="shared" si="30"/>
        <v>M</v>
      </c>
      <c r="R12" s="58" t="str">
        <f t="shared" si="30"/>
        <v>R</v>
      </c>
      <c r="S12" s="58" t="str">
        <f t="shared" si="30"/>
        <v>G</v>
      </c>
      <c r="T12" s="55" t="str">
        <f>IFERROR(__xludf.DUMMYFUNCTION("CONCATENATE(JOIN("""",P12:S12))"),"SMRG")</f>
        <v>SMRG</v>
      </c>
      <c r="U12" s="32"/>
      <c r="V12" s="32"/>
      <c r="W12" s="32"/>
    </row>
    <row r="13">
      <c r="A13" s="53" t="s">
        <v>106</v>
      </c>
      <c r="B13" s="55">
        <v>1234.0</v>
      </c>
      <c r="C13" s="58">
        <v>1.0</v>
      </c>
      <c r="D13" s="58">
        <v>4.0</v>
      </c>
      <c r="E13" s="58">
        <v>3.0</v>
      </c>
      <c r="F13" s="61">
        <v>2.0</v>
      </c>
      <c r="G13" s="69" t="str">
        <f t="shared" ref="G13:J13" si="31">SUBSTITUTE(SUBSTITUTE(SUBSTITUTE(C13,"8","1"),"9","2"),"10","3")</f>
        <v>1</v>
      </c>
      <c r="H13" s="69" t="str">
        <f t="shared" si="31"/>
        <v>4</v>
      </c>
      <c r="I13" s="69" t="str">
        <f t="shared" si="31"/>
        <v>3</v>
      </c>
      <c r="J13" s="74" t="str">
        <f t="shared" si="31"/>
        <v>2</v>
      </c>
      <c r="K13" s="58" t="str">
        <f t="shared" ref="K13:N13" si="32">SUBSTITUTE(SUBSTITUTE(SUBSTITUTE(SUBSTITUTE(SUBSTITUTE(SUBSTITUTE(SUBSTITUTE(G13,"1","Sa"),"2","Re"),"3","Ga"),"4","Ma"),"5","Pa"),"6","Dha"),"7","Ni")</f>
        <v>Sa</v>
      </c>
      <c r="L13" s="58" t="str">
        <f t="shared" si="32"/>
        <v>Ma</v>
      </c>
      <c r="M13" s="58" t="str">
        <f t="shared" si="32"/>
        <v>Ga</v>
      </c>
      <c r="N13" s="61" t="str">
        <f t="shared" si="32"/>
        <v>Re</v>
      </c>
      <c r="O13" s="55" t="str">
        <f>IFERROR(__xludf.DUMMYFUNCTION("CONCATENATE(JOIN(""-"",K13:N13))"),"Sa-Ma-Ga-Re")</f>
        <v>Sa-Ma-Ga-Re</v>
      </c>
      <c r="P13" s="58" t="str">
        <f t="shared" ref="P13:S13" si="33">SUBSTITUTE(SUBSTITUTE(SUBSTITUTE(SUBSTITUTE(SUBSTITUTE(SUBSTITUTE(SUBSTITUTE(G13,"1","S"),"2","R"),"3","G"),"4","M"),"5","P"),"6","D"),"7","N")</f>
        <v>S</v>
      </c>
      <c r="Q13" s="58" t="str">
        <f t="shared" si="33"/>
        <v>M</v>
      </c>
      <c r="R13" s="58" t="str">
        <f t="shared" si="33"/>
        <v>G</v>
      </c>
      <c r="S13" s="58" t="str">
        <f t="shared" si="33"/>
        <v>R</v>
      </c>
      <c r="T13" s="55" t="str">
        <f>IFERROR(__xludf.DUMMYFUNCTION("CONCATENATE(JOIN("""",P13:S13))"),"SMGR")</f>
        <v>SMGR</v>
      </c>
      <c r="U13" s="32"/>
      <c r="V13" s="32"/>
      <c r="W13" s="32"/>
    </row>
    <row r="14">
      <c r="A14" s="53" t="s">
        <v>200</v>
      </c>
      <c r="B14" s="55">
        <v>1234.0</v>
      </c>
      <c r="C14" s="58">
        <v>2.0</v>
      </c>
      <c r="D14" s="58">
        <v>4.0</v>
      </c>
      <c r="E14" s="58">
        <v>3.0</v>
      </c>
      <c r="F14" s="61">
        <v>1.0</v>
      </c>
      <c r="G14" s="69" t="str">
        <f t="shared" ref="G14:J14" si="34">SUBSTITUTE(SUBSTITUTE(SUBSTITUTE(C14,"8","1"),"9","2"),"10","3")</f>
        <v>2</v>
      </c>
      <c r="H14" s="69" t="str">
        <f t="shared" si="34"/>
        <v>4</v>
      </c>
      <c r="I14" s="69" t="str">
        <f t="shared" si="34"/>
        <v>3</v>
      </c>
      <c r="J14" s="74" t="str">
        <f t="shared" si="34"/>
        <v>1</v>
      </c>
      <c r="K14" s="58" t="str">
        <f t="shared" ref="K14:N14" si="35">SUBSTITUTE(SUBSTITUTE(SUBSTITUTE(SUBSTITUTE(SUBSTITUTE(SUBSTITUTE(SUBSTITUTE(G14,"1","Sa"),"2","Re"),"3","Ga"),"4","Ma"),"5","Pa"),"6","Dha"),"7","Ni")</f>
        <v>Re</v>
      </c>
      <c r="L14" s="58" t="str">
        <f t="shared" si="35"/>
        <v>Ma</v>
      </c>
      <c r="M14" s="58" t="str">
        <f t="shared" si="35"/>
        <v>Ga</v>
      </c>
      <c r="N14" s="61" t="str">
        <f t="shared" si="35"/>
        <v>Sa</v>
      </c>
      <c r="O14" s="55" t="str">
        <f>IFERROR(__xludf.DUMMYFUNCTION("CONCATENATE(JOIN(""-"",K14:N14))"),"Re-Ma-Ga-Sa")</f>
        <v>Re-Ma-Ga-Sa</v>
      </c>
      <c r="P14" s="58" t="str">
        <f t="shared" ref="P14:S14" si="36">SUBSTITUTE(SUBSTITUTE(SUBSTITUTE(SUBSTITUTE(SUBSTITUTE(SUBSTITUTE(SUBSTITUTE(G14,"1","S"),"2","R"),"3","G"),"4","M"),"5","P"),"6","D"),"7","N")</f>
        <v>R</v>
      </c>
      <c r="Q14" s="58" t="str">
        <f t="shared" si="36"/>
        <v>M</v>
      </c>
      <c r="R14" s="58" t="str">
        <f t="shared" si="36"/>
        <v>G</v>
      </c>
      <c r="S14" s="58" t="str">
        <f t="shared" si="36"/>
        <v>S</v>
      </c>
      <c r="T14" s="55" t="str">
        <f>IFERROR(__xludf.DUMMYFUNCTION("CONCATENATE(JOIN("""",P14:S14))"),"RMGS")</f>
        <v>RMGS</v>
      </c>
      <c r="U14" s="32"/>
      <c r="V14" s="32"/>
      <c r="W14" s="32"/>
    </row>
    <row r="15">
      <c r="A15" s="53" t="s">
        <v>202</v>
      </c>
      <c r="B15" s="55">
        <v>1234.0</v>
      </c>
      <c r="C15" s="58">
        <v>3.0</v>
      </c>
      <c r="D15" s="58">
        <v>1.0</v>
      </c>
      <c r="E15" s="58">
        <v>2.0</v>
      </c>
      <c r="F15" s="61">
        <v>4.0</v>
      </c>
      <c r="G15" s="69" t="str">
        <f t="shared" ref="G15:J15" si="37">SUBSTITUTE(SUBSTITUTE(SUBSTITUTE(C15,"8","1"),"9","2"),"10","3")</f>
        <v>3</v>
      </c>
      <c r="H15" s="69" t="str">
        <f t="shared" si="37"/>
        <v>1</v>
      </c>
      <c r="I15" s="69" t="str">
        <f t="shared" si="37"/>
        <v>2</v>
      </c>
      <c r="J15" s="74" t="str">
        <f t="shared" si="37"/>
        <v>4</v>
      </c>
      <c r="K15" s="58" t="str">
        <f t="shared" ref="K15:N15" si="38">SUBSTITUTE(SUBSTITUTE(SUBSTITUTE(SUBSTITUTE(SUBSTITUTE(SUBSTITUTE(SUBSTITUTE(G15,"1","Sa"),"2","Re"),"3","Ga"),"4","Ma"),"5","Pa"),"6","Dha"),"7","Ni")</f>
        <v>Ga</v>
      </c>
      <c r="L15" s="58" t="str">
        <f t="shared" si="38"/>
        <v>Sa</v>
      </c>
      <c r="M15" s="58" t="str">
        <f t="shared" si="38"/>
        <v>Re</v>
      </c>
      <c r="N15" s="61" t="str">
        <f t="shared" si="38"/>
        <v>Ma</v>
      </c>
      <c r="O15" s="55" t="str">
        <f>IFERROR(__xludf.DUMMYFUNCTION("CONCATENATE(JOIN(""-"",K15:N15))"),"Ga-Sa-Re-Ma")</f>
        <v>Ga-Sa-Re-Ma</v>
      </c>
      <c r="P15" s="58" t="str">
        <f t="shared" ref="P15:S15" si="39">SUBSTITUTE(SUBSTITUTE(SUBSTITUTE(SUBSTITUTE(SUBSTITUTE(SUBSTITUTE(SUBSTITUTE(G15,"1","S"),"2","R"),"3","G"),"4","M"),"5","P"),"6","D"),"7","N")</f>
        <v>G</v>
      </c>
      <c r="Q15" s="58" t="str">
        <f t="shared" si="39"/>
        <v>S</v>
      </c>
      <c r="R15" s="58" t="str">
        <f t="shared" si="39"/>
        <v>R</v>
      </c>
      <c r="S15" s="58" t="str">
        <f t="shared" si="39"/>
        <v>M</v>
      </c>
      <c r="T15" s="55" t="str">
        <f>IFERROR(__xludf.DUMMYFUNCTION("CONCATENATE(JOIN("""",P15:S15))"),"GSRM")</f>
        <v>GSRM</v>
      </c>
      <c r="U15" s="32"/>
      <c r="V15" s="32"/>
      <c r="W15" s="32"/>
    </row>
    <row r="16">
      <c r="A16" s="53" t="s">
        <v>204</v>
      </c>
      <c r="B16" s="55">
        <v>1234.0</v>
      </c>
      <c r="C16" s="58">
        <v>4.0</v>
      </c>
      <c r="D16" s="58">
        <v>1.0</v>
      </c>
      <c r="E16" s="58">
        <v>2.0</v>
      </c>
      <c r="F16" s="61">
        <v>3.0</v>
      </c>
      <c r="G16" s="69" t="str">
        <f t="shared" ref="G16:J16" si="40">SUBSTITUTE(SUBSTITUTE(SUBSTITUTE(C16,"8","1"),"9","2"),"10","3")</f>
        <v>4</v>
      </c>
      <c r="H16" s="69" t="str">
        <f t="shared" si="40"/>
        <v>1</v>
      </c>
      <c r="I16" s="69" t="str">
        <f t="shared" si="40"/>
        <v>2</v>
      </c>
      <c r="J16" s="74" t="str">
        <f t="shared" si="40"/>
        <v>3</v>
      </c>
      <c r="K16" s="58" t="str">
        <f t="shared" ref="K16:N16" si="41">SUBSTITUTE(SUBSTITUTE(SUBSTITUTE(SUBSTITUTE(SUBSTITUTE(SUBSTITUTE(SUBSTITUTE(G16,"1","Sa"),"2","Re"),"3","Ga"),"4","Ma"),"5","Pa"),"6","Dha"),"7","Ni")</f>
        <v>Ma</v>
      </c>
      <c r="L16" s="58" t="str">
        <f t="shared" si="41"/>
        <v>Sa</v>
      </c>
      <c r="M16" s="58" t="str">
        <f t="shared" si="41"/>
        <v>Re</v>
      </c>
      <c r="N16" s="61" t="str">
        <f t="shared" si="41"/>
        <v>Ga</v>
      </c>
      <c r="O16" s="55" t="str">
        <f>IFERROR(__xludf.DUMMYFUNCTION("CONCATENATE(JOIN(""-"",K16:N16))"),"Ma-Sa-Re-Ga")</f>
        <v>Ma-Sa-Re-Ga</v>
      </c>
      <c r="P16" s="58" t="str">
        <f t="shared" ref="P16:S16" si="42">SUBSTITUTE(SUBSTITUTE(SUBSTITUTE(SUBSTITUTE(SUBSTITUTE(SUBSTITUTE(SUBSTITUTE(G16,"1","S"),"2","R"),"3","G"),"4","M"),"5","P"),"6","D"),"7","N")</f>
        <v>M</v>
      </c>
      <c r="Q16" s="58" t="str">
        <f t="shared" si="42"/>
        <v>S</v>
      </c>
      <c r="R16" s="58" t="str">
        <f t="shared" si="42"/>
        <v>R</v>
      </c>
      <c r="S16" s="58" t="str">
        <f t="shared" si="42"/>
        <v>G</v>
      </c>
      <c r="T16" s="55" t="str">
        <f>IFERROR(__xludf.DUMMYFUNCTION("CONCATENATE(JOIN("""",P16:S16))"),"MSRG")</f>
        <v>MSRG</v>
      </c>
      <c r="U16" s="32"/>
      <c r="V16" s="32"/>
      <c r="W16" s="32"/>
    </row>
    <row r="17">
      <c r="A17" s="53" t="s">
        <v>206</v>
      </c>
      <c r="B17" s="55">
        <v>1234.0</v>
      </c>
      <c r="C17" s="58">
        <v>4.0</v>
      </c>
      <c r="D17" s="58">
        <v>1.0</v>
      </c>
      <c r="E17" s="58">
        <v>3.0</v>
      </c>
      <c r="F17" s="61">
        <v>2.0</v>
      </c>
      <c r="G17" s="69" t="str">
        <f t="shared" ref="G17:J17" si="43">SUBSTITUTE(SUBSTITUTE(SUBSTITUTE(C17,"8","1"),"9","2"),"10","3")</f>
        <v>4</v>
      </c>
      <c r="H17" s="69" t="str">
        <f t="shared" si="43"/>
        <v>1</v>
      </c>
      <c r="I17" s="69" t="str">
        <f t="shared" si="43"/>
        <v>3</v>
      </c>
      <c r="J17" s="74" t="str">
        <f t="shared" si="43"/>
        <v>2</v>
      </c>
      <c r="K17" s="58" t="str">
        <f t="shared" ref="K17:N17" si="44">SUBSTITUTE(SUBSTITUTE(SUBSTITUTE(SUBSTITUTE(SUBSTITUTE(SUBSTITUTE(SUBSTITUTE(G17,"1","Sa"),"2","Re"),"3","Ga"),"4","Ma"),"5","Pa"),"6","Dha"),"7","Ni")</f>
        <v>Ma</v>
      </c>
      <c r="L17" s="58" t="str">
        <f t="shared" si="44"/>
        <v>Sa</v>
      </c>
      <c r="M17" s="58" t="str">
        <f t="shared" si="44"/>
        <v>Ga</v>
      </c>
      <c r="N17" s="61" t="str">
        <f t="shared" si="44"/>
        <v>Re</v>
      </c>
      <c r="O17" s="55" t="str">
        <f>IFERROR(__xludf.DUMMYFUNCTION("CONCATENATE(JOIN(""-"",K17:N17))"),"Ma-Sa-Ga-Re")</f>
        <v>Ma-Sa-Ga-Re</v>
      </c>
      <c r="P17" s="58" t="str">
        <f t="shared" ref="P17:S17" si="45">SUBSTITUTE(SUBSTITUTE(SUBSTITUTE(SUBSTITUTE(SUBSTITUTE(SUBSTITUTE(SUBSTITUTE(G17,"1","S"),"2","R"),"3","G"),"4","M"),"5","P"),"6","D"),"7","N")</f>
        <v>M</v>
      </c>
      <c r="Q17" s="58" t="str">
        <f t="shared" si="45"/>
        <v>S</v>
      </c>
      <c r="R17" s="58" t="str">
        <f t="shared" si="45"/>
        <v>G</v>
      </c>
      <c r="S17" s="58" t="str">
        <f t="shared" si="45"/>
        <v>R</v>
      </c>
      <c r="T17" s="55" t="str">
        <f>IFERROR(__xludf.DUMMYFUNCTION("CONCATENATE(JOIN("""",P17:S17))"),"MSGR")</f>
        <v>MSGR</v>
      </c>
      <c r="U17" s="32"/>
      <c r="V17" s="32"/>
      <c r="W17" s="32"/>
    </row>
    <row r="18">
      <c r="A18" s="53" t="s">
        <v>209</v>
      </c>
      <c r="B18" s="55">
        <v>1234.0</v>
      </c>
      <c r="C18" s="58">
        <v>4.0</v>
      </c>
      <c r="D18" s="58">
        <v>2.0</v>
      </c>
      <c r="E18" s="58">
        <v>3.0</v>
      </c>
      <c r="F18" s="61">
        <v>1.0</v>
      </c>
      <c r="G18" s="69" t="str">
        <f t="shared" ref="G18:J18" si="46">SUBSTITUTE(SUBSTITUTE(SUBSTITUTE(C18,"8","1"),"9","2"),"10","3")</f>
        <v>4</v>
      </c>
      <c r="H18" s="69" t="str">
        <f t="shared" si="46"/>
        <v>2</v>
      </c>
      <c r="I18" s="69" t="str">
        <f t="shared" si="46"/>
        <v>3</v>
      </c>
      <c r="J18" s="74" t="str">
        <f t="shared" si="46"/>
        <v>1</v>
      </c>
      <c r="K18" s="58" t="str">
        <f t="shared" ref="K18:N18" si="47">SUBSTITUTE(SUBSTITUTE(SUBSTITUTE(SUBSTITUTE(SUBSTITUTE(SUBSTITUTE(SUBSTITUTE(G18,"1","Sa"),"2","Re"),"3","Ga"),"4","Ma"),"5","Pa"),"6","Dha"),"7","Ni")</f>
        <v>Ma</v>
      </c>
      <c r="L18" s="58" t="str">
        <f t="shared" si="47"/>
        <v>Re</v>
      </c>
      <c r="M18" s="58" t="str">
        <f t="shared" si="47"/>
        <v>Ga</v>
      </c>
      <c r="N18" s="61" t="str">
        <f t="shared" si="47"/>
        <v>Sa</v>
      </c>
      <c r="O18" s="55" t="str">
        <f>IFERROR(__xludf.DUMMYFUNCTION("CONCATENATE(JOIN(""-"",K18:N18))"),"Ma-Re-Ga-Sa")</f>
        <v>Ma-Re-Ga-Sa</v>
      </c>
      <c r="P18" s="58" t="str">
        <f t="shared" ref="P18:S18" si="48">SUBSTITUTE(SUBSTITUTE(SUBSTITUTE(SUBSTITUTE(SUBSTITUTE(SUBSTITUTE(SUBSTITUTE(G18,"1","S"),"2","R"),"3","G"),"4","M"),"5","P"),"6","D"),"7","N")</f>
        <v>M</v>
      </c>
      <c r="Q18" s="58" t="str">
        <f t="shared" si="48"/>
        <v>R</v>
      </c>
      <c r="R18" s="58" t="str">
        <f t="shared" si="48"/>
        <v>G</v>
      </c>
      <c r="S18" s="58" t="str">
        <f t="shared" si="48"/>
        <v>S</v>
      </c>
      <c r="T18" s="55" t="str">
        <f>IFERROR(__xludf.DUMMYFUNCTION("CONCATENATE(JOIN("""",P18:S18))"),"MRGS")</f>
        <v>MRGS</v>
      </c>
      <c r="U18" s="32"/>
      <c r="V18" s="32"/>
      <c r="W18" s="32"/>
    </row>
    <row r="19">
      <c r="A19" s="53" t="s">
        <v>211</v>
      </c>
      <c r="B19" s="55">
        <v>1234.0</v>
      </c>
      <c r="C19" s="58">
        <v>2.0</v>
      </c>
      <c r="D19" s="58">
        <v>3.0</v>
      </c>
      <c r="E19" s="58">
        <v>1.0</v>
      </c>
      <c r="F19" s="61">
        <v>4.0</v>
      </c>
      <c r="G19" s="69" t="str">
        <f t="shared" ref="G19:J19" si="49">SUBSTITUTE(SUBSTITUTE(SUBSTITUTE(C19,"8","1"),"9","2"),"10","3")</f>
        <v>2</v>
      </c>
      <c r="H19" s="69" t="str">
        <f t="shared" si="49"/>
        <v>3</v>
      </c>
      <c r="I19" s="69" t="str">
        <f t="shared" si="49"/>
        <v>1</v>
      </c>
      <c r="J19" s="74" t="str">
        <f t="shared" si="49"/>
        <v>4</v>
      </c>
      <c r="K19" s="58" t="str">
        <f t="shared" ref="K19:N19" si="50">SUBSTITUTE(SUBSTITUTE(SUBSTITUTE(SUBSTITUTE(SUBSTITUTE(SUBSTITUTE(SUBSTITUTE(G19,"1","Sa"),"2","Re"),"3","Ga"),"4","Ma"),"5","Pa"),"6","Dha"),"7","Ni")</f>
        <v>Re</v>
      </c>
      <c r="L19" s="58" t="str">
        <f t="shared" si="50"/>
        <v>Ga</v>
      </c>
      <c r="M19" s="58" t="str">
        <f t="shared" si="50"/>
        <v>Sa</v>
      </c>
      <c r="N19" s="61" t="str">
        <f t="shared" si="50"/>
        <v>Ma</v>
      </c>
      <c r="O19" s="55" t="str">
        <f>IFERROR(__xludf.DUMMYFUNCTION("CONCATENATE(JOIN(""-"",K19:N19))"),"Re-Ga-Sa-Ma")</f>
        <v>Re-Ga-Sa-Ma</v>
      </c>
      <c r="P19" s="58" t="str">
        <f t="shared" ref="P19:S19" si="51">SUBSTITUTE(SUBSTITUTE(SUBSTITUTE(SUBSTITUTE(SUBSTITUTE(SUBSTITUTE(SUBSTITUTE(G19,"1","S"),"2","R"),"3","G"),"4","M"),"5","P"),"6","D"),"7","N")</f>
        <v>R</v>
      </c>
      <c r="Q19" s="58" t="str">
        <f t="shared" si="51"/>
        <v>G</v>
      </c>
      <c r="R19" s="58" t="str">
        <f t="shared" si="51"/>
        <v>S</v>
      </c>
      <c r="S19" s="58" t="str">
        <f t="shared" si="51"/>
        <v>M</v>
      </c>
      <c r="T19" s="55" t="str">
        <f>IFERROR(__xludf.DUMMYFUNCTION("CONCATENATE(JOIN("""",P19:S19))"),"RGSM")</f>
        <v>RGSM</v>
      </c>
      <c r="U19" s="32"/>
      <c r="V19" s="32"/>
      <c r="W19" s="32"/>
    </row>
    <row r="20">
      <c r="A20" s="53" t="s">
        <v>213</v>
      </c>
      <c r="B20" s="55">
        <v>1234.0</v>
      </c>
      <c r="C20" s="58">
        <v>2.0</v>
      </c>
      <c r="D20" s="58">
        <v>4.0</v>
      </c>
      <c r="E20" s="58">
        <v>1.0</v>
      </c>
      <c r="F20" s="61">
        <v>3.0</v>
      </c>
      <c r="G20" s="69" t="str">
        <f t="shared" ref="G20:J20" si="52">SUBSTITUTE(SUBSTITUTE(SUBSTITUTE(C20,"8","1"),"9","2"),"10","3")</f>
        <v>2</v>
      </c>
      <c r="H20" s="69" t="str">
        <f t="shared" si="52"/>
        <v>4</v>
      </c>
      <c r="I20" s="69" t="str">
        <f t="shared" si="52"/>
        <v>1</v>
      </c>
      <c r="J20" s="74" t="str">
        <f t="shared" si="52"/>
        <v>3</v>
      </c>
      <c r="K20" s="58" t="str">
        <f t="shared" ref="K20:N20" si="53">SUBSTITUTE(SUBSTITUTE(SUBSTITUTE(SUBSTITUTE(SUBSTITUTE(SUBSTITUTE(SUBSTITUTE(G20,"1","Sa"),"2","Re"),"3","Ga"),"4","Ma"),"5","Pa"),"6","Dha"),"7","Ni")</f>
        <v>Re</v>
      </c>
      <c r="L20" s="58" t="str">
        <f t="shared" si="53"/>
        <v>Ma</v>
      </c>
      <c r="M20" s="58" t="str">
        <f t="shared" si="53"/>
        <v>Sa</v>
      </c>
      <c r="N20" s="61" t="str">
        <f t="shared" si="53"/>
        <v>Ga</v>
      </c>
      <c r="O20" s="55" t="str">
        <f>IFERROR(__xludf.DUMMYFUNCTION("CONCATENATE(JOIN(""-"",K20:N20))"),"Re-Ma-Sa-Ga")</f>
        <v>Re-Ma-Sa-Ga</v>
      </c>
      <c r="P20" s="58" t="str">
        <f t="shared" ref="P20:S20" si="54">SUBSTITUTE(SUBSTITUTE(SUBSTITUTE(SUBSTITUTE(SUBSTITUTE(SUBSTITUTE(SUBSTITUTE(G20,"1","S"),"2","R"),"3","G"),"4","M"),"5","P"),"6","D"),"7","N")</f>
        <v>R</v>
      </c>
      <c r="Q20" s="58" t="str">
        <f t="shared" si="54"/>
        <v>M</v>
      </c>
      <c r="R20" s="58" t="str">
        <f t="shared" si="54"/>
        <v>S</v>
      </c>
      <c r="S20" s="58" t="str">
        <f t="shared" si="54"/>
        <v>G</v>
      </c>
      <c r="T20" s="55" t="str">
        <f>IFERROR(__xludf.DUMMYFUNCTION("CONCATENATE(JOIN("""",P20:S20))"),"RMSG")</f>
        <v>RMSG</v>
      </c>
      <c r="U20" s="32"/>
      <c r="V20" s="32"/>
      <c r="W20" s="32"/>
    </row>
    <row r="21">
      <c r="A21" s="53" t="s">
        <v>215</v>
      </c>
      <c r="B21" s="55">
        <v>1234.0</v>
      </c>
      <c r="C21" s="58">
        <v>3.0</v>
      </c>
      <c r="D21" s="58">
        <v>4.0</v>
      </c>
      <c r="E21" s="58">
        <v>1.0</v>
      </c>
      <c r="F21" s="61">
        <v>2.0</v>
      </c>
      <c r="G21" s="69" t="str">
        <f t="shared" ref="G21:J21" si="55">SUBSTITUTE(SUBSTITUTE(SUBSTITUTE(C21,"8","1"),"9","2"),"10","3")</f>
        <v>3</v>
      </c>
      <c r="H21" s="69" t="str">
        <f t="shared" si="55"/>
        <v>4</v>
      </c>
      <c r="I21" s="69" t="str">
        <f t="shared" si="55"/>
        <v>1</v>
      </c>
      <c r="J21" s="74" t="str">
        <f t="shared" si="55"/>
        <v>2</v>
      </c>
      <c r="K21" s="58" t="str">
        <f t="shared" ref="K21:N21" si="56">SUBSTITUTE(SUBSTITUTE(SUBSTITUTE(SUBSTITUTE(SUBSTITUTE(SUBSTITUTE(SUBSTITUTE(G21,"1","Sa"),"2","Re"),"3","Ga"),"4","Ma"),"5","Pa"),"6","Dha"),"7","Ni")</f>
        <v>Ga</v>
      </c>
      <c r="L21" s="58" t="str">
        <f t="shared" si="56"/>
        <v>Ma</v>
      </c>
      <c r="M21" s="58" t="str">
        <f t="shared" si="56"/>
        <v>Sa</v>
      </c>
      <c r="N21" s="61" t="str">
        <f t="shared" si="56"/>
        <v>Re</v>
      </c>
      <c r="O21" s="55" t="str">
        <f>IFERROR(__xludf.DUMMYFUNCTION("CONCATENATE(JOIN(""-"",K21:N21))"),"Ga-Ma-Sa-Re")</f>
        <v>Ga-Ma-Sa-Re</v>
      </c>
      <c r="P21" s="58" t="str">
        <f t="shared" ref="P21:S21" si="57">SUBSTITUTE(SUBSTITUTE(SUBSTITUTE(SUBSTITUTE(SUBSTITUTE(SUBSTITUTE(SUBSTITUTE(G21,"1","S"),"2","R"),"3","G"),"4","M"),"5","P"),"6","D"),"7","N")</f>
        <v>G</v>
      </c>
      <c r="Q21" s="58" t="str">
        <f t="shared" si="57"/>
        <v>M</v>
      </c>
      <c r="R21" s="58" t="str">
        <f t="shared" si="57"/>
        <v>S</v>
      </c>
      <c r="S21" s="58" t="str">
        <f t="shared" si="57"/>
        <v>R</v>
      </c>
      <c r="T21" s="55" t="str">
        <f>IFERROR(__xludf.DUMMYFUNCTION("CONCATENATE(JOIN("""",P21:S21))"),"GMSR")</f>
        <v>GMSR</v>
      </c>
      <c r="U21" s="32"/>
      <c r="V21" s="32"/>
      <c r="W21" s="32"/>
    </row>
    <row r="22">
      <c r="A22" s="53" t="s">
        <v>219</v>
      </c>
      <c r="B22" s="55">
        <v>1234.0</v>
      </c>
      <c r="C22" s="58">
        <v>3.0</v>
      </c>
      <c r="D22" s="58">
        <v>4.0</v>
      </c>
      <c r="E22" s="58">
        <v>2.0</v>
      </c>
      <c r="F22" s="61">
        <v>1.0</v>
      </c>
      <c r="G22" s="69" t="str">
        <f t="shared" ref="G22:J22" si="58">SUBSTITUTE(SUBSTITUTE(SUBSTITUTE(C22,"8","1"),"9","2"),"10","3")</f>
        <v>3</v>
      </c>
      <c r="H22" s="69" t="str">
        <f t="shared" si="58"/>
        <v>4</v>
      </c>
      <c r="I22" s="69" t="str">
        <f t="shared" si="58"/>
        <v>2</v>
      </c>
      <c r="J22" s="74" t="str">
        <f t="shared" si="58"/>
        <v>1</v>
      </c>
      <c r="K22" s="58" t="str">
        <f t="shared" ref="K22:N22" si="59">SUBSTITUTE(SUBSTITUTE(SUBSTITUTE(SUBSTITUTE(SUBSTITUTE(SUBSTITUTE(SUBSTITUTE(G22,"1","Sa"),"2","Re"),"3","Ga"),"4","Ma"),"5","Pa"),"6","Dha"),"7","Ni")</f>
        <v>Ga</v>
      </c>
      <c r="L22" s="58" t="str">
        <f t="shared" si="59"/>
        <v>Ma</v>
      </c>
      <c r="M22" s="58" t="str">
        <f t="shared" si="59"/>
        <v>Re</v>
      </c>
      <c r="N22" s="61" t="str">
        <f t="shared" si="59"/>
        <v>Sa</v>
      </c>
      <c r="O22" s="55" t="str">
        <f>IFERROR(__xludf.DUMMYFUNCTION("CONCATENATE(JOIN(""-"",K22:N22))"),"Ga-Ma-Re-Sa")</f>
        <v>Ga-Ma-Re-Sa</v>
      </c>
      <c r="P22" s="58" t="str">
        <f t="shared" ref="P22:S22" si="60">SUBSTITUTE(SUBSTITUTE(SUBSTITUTE(SUBSTITUTE(SUBSTITUTE(SUBSTITUTE(SUBSTITUTE(G22,"1","S"),"2","R"),"3","G"),"4","M"),"5","P"),"6","D"),"7","N")</f>
        <v>G</v>
      </c>
      <c r="Q22" s="58" t="str">
        <f t="shared" si="60"/>
        <v>M</v>
      </c>
      <c r="R22" s="58" t="str">
        <f t="shared" si="60"/>
        <v>R</v>
      </c>
      <c r="S22" s="58" t="str">
        <f t="shared" si="60"/>
        <v>S</v>
      </c>
      <c r="T22" s="55" t="str">
        <f>IFERROR(__xludf.DUMMYFUNCTION("CONCATENATE(JOIN("""",P22:S22))"),"GMRS")</f>
        <v>GMRS</v>
      </c>
      <c r="U22" s="32"/>
      <c r="V22" s="32"/>
      <c r="W22" s="32"/>
    </row>
    <row r="23">
      <c r="A23" s="53" t="s">
        <v>221</v>
      </c>
      <c r="B23" s="55">
        <v>1234.0</v>
      </c>
      <c r="C23" s="58">
        <v>3.0</v>
      </c>
      <c r="D23" s="58">
        <v>2.0</v>
      </c>
      <c r="E23" s="58">
        <v>1.0</v>
      </c>
      <c r="F23" s="61">
        <v>4.0</v>
      </c>
      <c r="G23" s="69" t="str">
        <f t="shared" ref="G23:J23" si="61">SUBSTITUTE(SUBSTITUTE(SUBSTITUTE(C23,"8","1"),"9","2"),"10","3")</f>
        <v>3</v>
      </c>
      <c r="H23" s="69" t="str">
        <f t="shared" si="61"/>
        <v>2</v>
      </c>
      <c r="I23" s="69" t="str">
        <f t="shared" si="61"/>
        <v>1</v>
      </c>
      <c r="J23" s="74" t="str">
        <f t="shared" si="61"/>
        <v>4</v>
      </c>
      <c r="K23" s="58" t="str">
        <f t="shared" ref="K23:N23" si="62">SUBSTITUTE(SUBSTITUTE(SUBSTITUTE(SUBSTITUTE(SUBSTITUTE(SUBSTITUTE(SUBSTITUTE(G23,"1","Sa"),"2","Re"),"3","Ga"),"4","Ma"),"5","Pa"),"6","Dha"),"7","Ni")</f>
        <v>Ga</v>
      </c>
      <c r="L23" s="58" t="str">
        <f t="shared" si="62"/>
        <v>Re</v>
      </c>
      <c r="M23" s="58" t="str">
        <f t="shared" si="62"/>
        <v>Sa</v>
      </c>
      <c r="N23" s="61" t="str">
        <f t="shared" si="62"/>
        <v>Ma</v>
      </c>
      <c r="O23" s="55" t="str">
        <f>IFERROR(__xludf.DUMMYFUNCTION("CONCATENATE(JOIN(""-"",K23:N23))"),"Ga-Re-Sa-Ma")</f>
        <v>Ga-Re-Sa-Ma</v>
      </c>
      <c r="P23" s="58" t="str">
        <f t="shared" ref="P23:S23" si="63">SUBSTITUTE(SUBSTITUTE(SUBSTITUTE(SUBSTITUTE(SUBSTITUTE(SUBSTITUTE(SUBSTITUTE(G23,"1","S"),"2","R"),"3","G"),"4","M"),"5","P"),"6","D"),"7","N")</f>
        <v>G</v>
      </c>
      <c r="Q23" s="58" t="str">
        <f t="shared" si="63"/>
        <v>R</v>
      </c>
      <c r="R23" s="58" t="str">
        <f t="shared" si="63"/>
        <v>S</v>
      </c>
      <c r="S23" s="58" t="str">
        <f t="shared" si="63"/>
        <v>M</v>
      </c>
      <c r="T23" s="55" t="str">
        <f>IFERROR(__xludf.DUMMYFUNCTION("CONCATENATE(JOIN("""",P23:S23))"),"GRSM")</f>
        <v>GRSM</v>
      </c>
      <c r="U23" s="32"/>
      <c r="V23" s="32"/>
      <c r="W23" s="32"/>
    </row>
    <row r="24">
      <c r="A24" s="53" t="s">
        <v>223</v>
      </c>
      <c r="B24" s="55">
        <v>1234.0</v>
      </c>
      <c r="C24" s="58">
        <v>4.0</v>
      </c>
      <c r="D24" s="58">
        <v>2.0</v>
      </c>
      <c r="E24" s="58">
        <v>1.0</v>
      </c>
      <c r="F24" s="61">
        <v>3.0</v>
      </c>
      <c r="G24" s="69" t="str">
        <f t="shared" ref="G24:J24" si="64">SUBSTITUTE(SUBSTITUTE(SUBSTITUTE(C24,"8","1"),"9","2"),"10","3")</f>
        <v>4</v>
      </c>
      <c r="H24" s="69" t="str">
        <f t="shared" si="64"/>
        <v>2</v>
      </c>
      <c r="I24" s="69" t="str">
        <f t="shared" si="64"/>
        <v>1</v>
      </c>
      <c r="J24" s="74" t="str">
        <f t="shared" si="64"/>
        <v>3</v>
      </c>
      <c r="K24" s="58" t="str">
        <f t="shared" ref="K24:N24" si="65">SUBSTITUTE(SUBSTITUTE(SUBSTITUTE(SUBSTITUTE(SUBSTITUTE(SUBSTITUTE(SUBSTITUTE(G24,"1","Sa"),"2","Re"),"3","Ga"),"4","Ma"),"5","Pa"),"6","Dha"),"7","Ni")</f>
        <v>Ma</v>
      </c>
      <c r="L24" s="58" t="str">
        <f t="shared" si="65"/>
        <v>Re</v>
      </c>
      <c r="M24" s="58" t="str">
        <f t="shared" si="65"/>
        <v>Sa</v>
      </c>
      <c r="N24" s="61" t="str">
        <f t="shared" si="65"/>
        <v>Ga</v>
      </c>
      <c r="O24" s="55" t="str">
        <f>IFERROR(__xludf.DUMMYFUNCTION("CONCATENATE(JOIN(""-"",K24:N24))"),"Ma-Re-Sa-Ga")</f>
        <v>Ma-Re-Sa-Ga</v>
      </c>
      <c r="P24" s="58" t="str">
        <f t="shared" ref="P24:S24" si="66">SUBSTITUTE(SUBSTITUTE(SUBSTITUTE(SUBSTITUTE(SUBSTITUTE(SUBSTITUTE(SUBSTITUTE(G24,"1","S"),"2","R"),"3","G"),"4","M"),"5","P"),"6","D"),"7","N")</f>
        <v>M</v>
      </c>
      <c r="Q24" s="58" t="str">
        <f t="shared" si="66"/>
        <v>R</v>
      </c>
      <c r="R24" s="58" t="str">
        <f t="shared" si="66"/>
        <v>S</v>
      </c>
      <c r="S24" s="58" t="str">
        <f t="shared" si="66"/>
        <v>G</v>
      </c>
      <c r="T24" s="55" t="str">
        <f>IFERROR(__xludf.DUMMYFUNCTION("CONCATENATE(JOIN("""",P24:S24))"),"MRSG")</f>
        <v>MRSG</v>
      </c>
      <c r="U24" s="32"/>
      <c r="V24" s="32"/>
      <c r="W24" s="32"/>
    </row>
    <row r="25">
      <c r="A25" s="53" t="s">
        <v>225</v>
      </c>
      <c r="B25" s="55">
        <v>1234.0</v>
      </c>
      <c r="C25" s="58">
        <v>4.0</v>
      </c>
      <c r="D25" s="58">
        <v>3.0</v>
      </c>
      <c r="E25" s="58">
        <v>1.0</v>
      </c>
      <c r="F25" s="61">
        <v>2.0</v>
      </c>
      <c r="G25" s="69" t="str">
        <f t="shared" ref="G25:J25" si="67">SUBSTITUTE(SUBSTITUTE(SUBSTITUTE(C25,"8","1"),"9","2"),"10","3")</f>
        <v>4</v>
      </c>
      <c r="H25" s="69" t="str">
        <f t="shared" si="67"/>
        <v>3</v>
      </c>
      <c r="I25" s="69" t="str">
        <f t="shared" si="67"/>
        <v>1</v>
      </c>
      <c r="J25" s="74" t="str">
        <f t="shared" si="67"/>
        <v>2</v>
      </c>
      <c r="K25" s="58" t="str">
        <f t="shared" ref="K25:N25" si="68">SUBSTITUTE(SUBSTITUTE(SUBSTITUTE(SUBSTITUTE(SUBSTITUTE(SUBSTITUTE(SUBSTITUTE(G25,"1","Sa"),"2","Re"),"3","Ga"),"4","Ma"),"5","Pa"),"6","Dha"),"7","Ni")</f>
        <v>Ma</v>
      </c>
      <c r="L25" s="58" t="str">
        <f t="shared" si="68"/>
        <v>Ga</v>
      </c>
      <c r="M25" s="58" t="str">
        <f t="shared" si="68"/>
        <v>Sa</v>
      </c>
      <c r="N25" s="61" t="str">
        <f t="shared" si="68"/>
        <v>Re</v>
      </c>
      <c r="O25" s="55" t="str">
        <f>IFERROR(__xludf.DUMMYFUNCTION("CONCATENATE(JOIN(""-"",K25:N25))"),"Ma-Ga-Sa-Re")</f>
        <v>Ma-Ga-Sa-Re</v>
      </c>
      <c r="P25" s="58" t="str">
        <f t="shared" ref="P25:S25" si="69">SUBSTITUTE(SUBSTITUTE(SUBSTITUTE(SUBSTITUTE(SUBSTITUTE(SUBSTITUTE(SUBSTITUTE(G25,"1","S"),"2","R"),"3","G"),"4","M"),"5","P"),"6","D"),"7","N")</f>
        <v>M</v>
      </c>
      <c r="Q25" s="58" t="str">
        <f t="shared" si="69"/>
        <v>G</v>
      </c>
      <c r="R25" s="58" t="str">
        <f t="shared" si="69"/>
        <v>S</v>
      </c>
      <c r="S25" s="58" t="str">
        <f t="shared" si="69"/>
        <v>R</v>
      </c>
      <c r="T25" s="55" t="str">
        <f>IFERROR(__xludf.DUMMYFUNCTION("CONCATENATE(JOIN("""",P25:S25))"),"MGSR")</f>
        <v>MGSR</v>
      </c>
      <c r="U25" s="32"/>
      <c r="V25" s="32"/>
      <c r="W25" s="32"/>
    </row>
    <row r="26">
      <c r="A26" s="262" t="s">
        <v>227</v>
      </c>
      <c r="B26" s="263">
        <v>1234.0</v>
      </c>
      <c r="C26" s="264">
        <v>4.0</v>
      </c>
      <c r="D26" s="264">
        <v>3.0</v>
      </c>
      <c r="E26" s="264">
        <v>2.0</v>
      </c>
      <c r="F26" s="265">
        <v>1.0</v>
      </c>
      <c r="G26" s="266" t="str">
        <f t="shared" ref="G26:J26" si="70">SUBSTITUTE(SUBSTITUTE(SUBSTITUTE(C26,"8","1"),"9","2"),"10","3")</f>
        <v>4</v>
      </c>
      <c r="H26" s="266" t="str">
        <f t="shared" si="70"/>
        <v>3</v>
      </c>
      <c r="I26" s="266" t="str">
        <f t="shared" si="70"/>
        <v>2</v>
      </c>
      <c r="J26" s="268" t="str">
        <f t="shared" si="70"/>
        <v>1</v>
      </c>
      <c r="K26" s="264" t="str">
        <f t="shared" ref="K26:N26" si="71">SUBSTITUTE(SUBSTITUTE(SUBSTITUTE(SUBSTITUTE(SUBSTITUTE(SUBSTITUTE(SUBSTITUTE(G26,"1","Sa"),"2","Re"),"3","Ga"),"4","Ma"),"5","Pa"),"6","Dha"),"7","Ni")</f>
        <v>Ma</v>
      </c>
      <c r="L26" s="264" t="str">
        <f t="shared" si="71"/>
        <v>Ga</v>
      </c>
      <c r="M26" s="264" t="str">
        <f t="shared" si="71"/>
        <v>Re</v>
      </c>
      <c r="N26" s="265" t="str">
        <f t="shared" si="71"/>
        <v>Sa</v>
      </c>
      <c r="O26" s="263" t="str">
        <f>IFERROR(__xludf.DUMMYFUNCTION("CONCATENATE(JOIN(""-"",K26:N26))"),"Ma-Ga-Re-Sa")</f>
        <v>Ma-Ga-Re-Sa</v>
      </c>
      <c r="P26" s="264" t="str">
        <f t="shared" ref="P26:S26" si="72">SUBSTITUTE(SUBSTITUTE(SUBSTITUTE(SUBSTITUTE(SUBSTITUTE(SUBSTITUTE(SUBSTITUTE(G26,"1","S"),"2","R"),"3","G"),"4","M"),"5","P"),"6","D"),"7","N")</f>
        <v>M</v>
      </c>
      <c r="Q26" s="264" t="str">
        <f t="shared" si="72"/>
        <v>G</v>
      </c>
      <c r="R26" s="264" t="str">
        <f t="shared" si="72"/>
        <v>R</v>
      </c>
      <c r="S26" s="264" t="str">
        <f t="shared" si="72"/>
        <v>S</v>
      </c>
      <c r="T26" s="263" t="str">
        <f>IFERROR(__xludf.DUMMYFUNCTION("CONCATENATE(JOIN("""",P26:S26))"),"MGRS")</f>
        <v>MGRS</v>
      </c>
      <c r="U26" s="32"/>
      <c r="V26" s="32"/>
      <c r="W26" s="32"/>
    </row>
    <row r="27">
      <c r="A27" s="53" t="s">
        <v>230</v>
      </c>
      <c r="B27" s="55">
        <v>2345.0</v>
      </c>
      <c r="C27" s="58">
        <f t="shared" ref="C27:F27" si="73">C3+1</f>
        <v>2</v>
      </c>
      <c r="D27" s="272">
        <f t="shared" si="73"/>
        <v>3</v>
      </c>
      <c r="E27" s="272">
        <f t="shared" si="73"/>
        <v>4</v>
      </c>
      <c r="F27" s="273">
        <f t="shared" si="73"/>
        <v>5</v>
      </c>
      <c r="G27" s="69" t="str">
        <f t="shared" ref="G27:J27" si="74">SUBSTITUTE(SUBSTITUTE(SUBSTITUTE(C27,"8","1"),"9","2"),"10","3")</f>
        <v>2</v>
      </c>
      <c r="H27" s="69" t="str">
        <f t="shared" si="74"/>
        <v>3</v>
      </c>
      <c r="I27" s="69" t="str">
        <f t="shared" si="74"/>
        <v>4</v>
      </c>
      <c r="J27" s="74" t="str">
        <f t="shared" si="74"/>
        <v>5</v>
      </c>
      <c r="K27" s="58" t="str">
        <f t="shared" ref="K27:N27" si="75">SUBSTITUTE(SUBSTITUTE(SUBSTITUTE(SUBSTITUTE(SUBSTITUTE(SUBSTITUTE(SUBSTITUTE(G27,"1","Sa"),"2","Re"),"3","Ga"),"4","Ma"),"5","Pa"),"6","Dha"),"7","Ni")</f>
        <v>Re</v>
      </c>
      <c r="L27" s="58" t="str">
        <f t="shared" si="75"/>
        <v>Ga</v>
      </c>
      <c r="M27" s="58" t="str">
        <f t="shared" si="75"/>
        <v>Ma</v>
      </c>
      <c r="N27" s="61" t="str">
        <f t="shared" si="75"/>
        <v>Pa</v>
      </c>
      <c r="O27" s="55" t="str">
        <f>IFERROR(__xludf.DUMMYFUNCTION("CONCATENATE(JOIN(""-"",K27:N27))"),"Re-Ga-Ma-Pa")</f>
        <v>Re-Ga-Ma-Pa</v>
      </c>
      <c r="P27" s="58" t="str">
        <f t="shared" ref="P27:S27" si="76">SUBSTITUTE(SUBSTITUTE(SUBSTITUTE(SUBSTITUTE(SUBSTITUTE(SUBSTITUTE(SUBSTITUTE(G27,"1","S"),"2","R"),"3","G"),"4","M"),"5","P"),"6","D"),"7","N")</f>
        <v>R</v>
      </c>
      <c r="Q27" s="58" t="str">
        <f t="shared" si="76"/>
        <v>G</v>
      </c>
      <c r="R27" s="58" t="str">
        <f t="shared" si="76"/>
        <v>M</v>
      </c>
      <c r="S27" s="58" t="str">
        <f t="shared" si="76"/>
        <v>P</v>
      </c>
      <c r="T27" s="55" t="str">
        <f>IFERROR(__xludf.DUMMYFUNCTION("CONCATENATE(JOIN("""",P27:S27))"),"RGMP")</f>
        <v>RGMP</v>
      </c>
      <c r="U27" s="32" t="str">
        <f>IFERROR(__xludf.DUMMYFUNCTION("CONCATENATE(JOIN("" | "",T27:T50))"),"RGMP | RGPM | RMPG | GMPR | GRMP | GRPM | MRPG | MGPR | RMGP | RPGM | RPMG | GPMR | MRGP | PRGM | PRMG | PGMR | GMRP | GPRM | MPRG | MPGR | MGRP | PGRM | PMRG | PMGR")</f>
        <v>RGMP | RGPM | RMPG | GMPR | GRMP | GRPM | MRPG | MGPR | RMGP | RPGM | RPMG | GPMR | MRGP | PRGM | PRMG | PGMR | GMRP | GPRM | MPRG | MPGR | MGRP | PGRM | PMRG | PMGR</v>
      </c>
      <c r="V27" s="32"/>
      <c r="W27" s="32"/>
    </row>
    <row r="28">
      <c r="A28" s="53" t="s">
        <v>232</v>
      </c>
      <c r="B28" s="55">
        <v>2345.0</v>
      </c>
      <c r="C28" s="58">
        <f t="shared" ref="C28:F28" si="77">C4+1</f>
        <v>2</v>
      </c>
      <c r="D28" s="272">
        <f t="shared" si="77"/>
        <v>3</v>
      </c>
      <c r="E28" s="272">
        <f t="shared" si="77"/>
        <v>5</v>
      </c>
      <c r="F28" s="273">
        <f t="shared" si="77"/>
        <v>4</v>
      </c>
      <c r="G28" s="69" t="str">
        <f t="shared" ref="G28:J28" si="78">SUBSTITUTE(SUBSTITUTE(SUBSTITUTE(C28,"8","1"),"9","2"),"10","3")</f>
        <v>2</v>
      </c>
      <c r="H28" s="69" t="str">
        <f t="shared" si="78"/>
        <v>3</v>
      </c>
      <c r="I28" s="69" t="str">
        <f t="shared" si="78"/>
        <v>5</v>
      </c>
      <c r="J28" s="74" t="str">
        <f t="shared" si="78"/>
        <v>4</v>
      </c>
      <c r="K28" s="58" t="str">
        <f t="shared" ref="K28:N28" si="79">SUBSTITUTE(SUBSTITUTE(SUBSTITUTE(SUBSTITUTE(SUBSTITUTE(SUBSTITUTE(SUBSTITUTE(G28,"1","Sa"),"2","Re"),"3","Ga"),"4","Ma"),"5","Pa"),"6","Dha"),"7","Ni")</f>
        <v>Re</v>
      </c>
      <c r="L28" s="58" t="str">
        <f t="shared" si="79"/>
        <v>Ga</v>
      </c>
      <c r="M28" s="58" t="str">
        <f t="shared" si="79"/>
        <v>Pa</v>
      </c>
      <c r="N28" s="61" t="str">
        <f t="shared" si="79"/>
        <v>Ma</v>
      </c>
      <c r="O28" s="55" t="str">
        <f>IFERROR(__xludf.DUMMYFUNCTION("CONCATENATE(JOIN(""-"",K28:N28))"),"Re-Ga-Pa-Ma")</f>
        <v>Re-Ga-Pa-Ma</v>
      </c>
      <c r="P28" s="58" t="str">
        <f t="shared" ref="P28:S28" si="80">SUBSTITUTE(SUBSTITUTE(SUBSTITUTE(SUBSTITUTE(SUBSTITUTE(SUBSTITUTE(SUBSTITUTE(G28,"1","S"),"2","R"),"3","G"),"4","M"),"5","P"),"6","D"),"7","N")</f>
        <v>R</v>
      </c>
      <c r="Q28" s="58" t="str">
        <f t="shared" si="80"/>
        <v>G</v>
      </c>
      <c r="R28" s="58" t="str">
        <f t="shared" si="80"/>
        <v>P</v>
      </c>
      <c r="S28" s="58" t="str">
        <f t="shared" si="80"/>
        <v>M</v>
      </c>
      <c r="T28" s="55" t="str">
        <f>IFERROR(__xludf.DUMMYFUNCTION("CONCATENATE(JOIN("""",P28:S28))"),"RGPM")</f>
        <v>RGPM</v>
      </c>
      <c r="U28" s="32"/>
      <c r="V28" s="32"/>
      <c r="W28" s="32"/>
    </row>
    <row r="29">
      <c r="A29" s="53" t="s">
        <v>234</v>
      </c>
      <c r="B29" s="55">
        <v>2345.0</v>
      </c>
      <c r="C29" s="58">
        <f t="shared" ref="C29:F29" si="81">C5+1</f>
        <v>2</v>
      </c>
      <c r="D29" s="272">
        <f t="shared" si="81"/>
        <v>4</v>
      </c>
      <c r="E29" s="272">
        <f t="shared" si="81"/>
        <v>5</v>
      </c>
      <c r="F29" s="273">
        <f t="shared" si="81"/>
        <v>3</v>
      </c>
      <c r="G29" s="69" t="str">
        <f t="shared" ref="G29:J29" si="82">SUBSTITUTE(SUBSTITUTE(SUBSTITUTE(C29,"8","1"),"9","2"),"10","3")</f>
        <v>2</v>
      </c>
      <c r="H29" s="69" t="str">
        <f t="shared" si="82"/>
        <v>4</v>
      </c>
      <c r="I29" s="69" t="str">
        <f t="shared" si="82"/>
        <v>5</v>
      </c>
      <c r="J29" s="74" t="str">
        <f t="shared" si="82"/>
        <v>3</v>
      </c>
      <c r="K29" s="58" t="str">
        <f t="shared" ref="K29:N29" si="83">SUBSTITUTE(SUBSTITUTE(SUBSTITUTE(SUBSTITUTE(SUBSTITUTE(SUBSTITUTE(SUBSTITUTE(G29,"1","Sa"),"2","Re"),"3","Ga"),"4","Ma"),"5","Pa"),"6","Dha"),"7","Ni")</f>
        <v>Re</v>
      </c>
      <c r="L29" s="58" t="str">
        <f t="shared" si="83"/>
        <v>Ma</v>
      </c>
      <c r="M29" s="58" t="str">
        <f t="shared" si="83"/>
        <v>Pa</v>
      </c>
      <c r="N29" s="61" t="str">
        <f t="shared" si="83"/>
        <v>Ga</v>
      </c>
      <c r="O29" s="55" t="str">
        <f>IFERROR(__xludf.DUMMYFUNCTION("CONCATENATE(JOIN(""-"",K29:N29))"),"Re-Ma-Pa-Ga")</f>
        <v>Re-Ma-Pa-Ga</v>
      </c>
      <c r="P29" s="58" t="str">
        <f t="shared" ref="P29:S29" si="84">SUBSTITUTE(SUBSTITUTE(SUBSTITUTE(SUBSTITUTE(SUBSTITUTE(SUBSTITUTE(SUBSTITUTE(G29,"1","S"),"2","R"),"3","G"),"4","M"),"5","P"),"6","D"),"7","N")</f>
        <v>R</v>
      </c>
      <c r="Q29" s="58" t="str">
        <f t="shared" si="84"/>
        <v>M</v>
      </c>
      <c r="R29" s="58" t="str">
        <f t="shared" si="84"/>
        <v>P</v>
      </c>
      <c r="S29" s="58" t="str">
        <f t="shared" si="84"/>
        <v>G</v>
      </c>
      <c r="T29" s="55" t="str">
        <f>IFERROR(__xludf.DUMMYFUNCTION("CONCATENATE(JOIN("""",P29:S29))"),"RMPG")</f>
        <v>RMPG</v>
      </c>
      <c r="U29" s="32"/>
      <c r="V29" s="32"/>
      <c r="W29" s="32"/>
    </row>
    <row r="30">
      <c r="A30" s="53" t="s">
        <v>237</v>
      </c>
      <c r="B30" s="55">
        <v>2345.0</v>
      </c>
      <c r="C30" s="58">
        <f t="shared" ref="C30:F30" si="85">C6+1</f>
        <v>3</v>
      </c>
      <c r="D30" s="272">
        <f t="shared" si="85"/>
        <v>4</v>
      </c>
      <c r="E30" s="272">
        <f t="shared" si="85"/>
        <v>5</v>
      </c>
      <c r="F30" s="273">
        <f t="shared" si="85"/>
        <v>2</v>
      </c>
      <c r="G30" s="69" t="str">
        <f t="shared" ref="G30:J30" si="86">SUBSTITUTE(SUBSTITUTE(SUBSTITUTE(C30,"8","1"),"9","2"),"10","3")</f>
        <v>3</v>
      </c>
      <c r="H30" s="69" t="str">
        <f t="shared" si="86"/>
        <v>4</v>
      </c>
      <c r="I30" s="69" t="str">
        <f t="shared" si="86"/>
        <v>5</v>
      </c>
      <c r="J30" s="74" t="str">
        <f t="shared" si="86"/>
        <v>2</v>
      </c>
      <c r="K30" s="58" t="str">
        <f t="shared" ref="K30:N30" si="87">SUBSTITUTE(SUBSTITUTE(SUBSTITUTE(SUBSTITUTE(SUBSTITUTE(SUBSTITUTE(SUBSTITUTE(G30,"1","Sa"),"2","Re"),"3","Ga"),"4","Ma"),"5","Pa"),"6","Dha"),"7","Ni")</f>
        <v>Ga</v>
      </c>
      <c r="L30" s="58" t="str">
        <f t="shared" si="87"/>
        <v>Ma</v>
      </c>
      <c r="M30" s="58" t="str">
        <f t="shared" si="87"/>
        <v>Pa</v>
      </c>
      <c r="N30" s="61" t="str">
        <f t="shared" si="87"/>
        <v>Re</v>
      </c>
      <c r="O30" s="55" t="str">
        <f>IFERROR(__xludf.DUMMYFUNCTION("CONCATENATE(JOIN(""-"",K30:N30))"),"Ga-Ma-Pa-Re")</f>
        <v>Ga-Ma-Pa-Re</v>
      </c>
      <c r="P30" s="58" t="str">
        <f t="shared" ref="P30:S30" si="88">SUBSTITUTE(SUBSTITUTE(SUBSTITUTE(SUBSTITUTE(SUBSTITUTE(SUBSTITUTE(SUBSTITUTE(G30,"1","S"),"2","R"),"3","G"),"4","M"),"5","P"),"6","D"),"7","N")</f>
        <v>G</v>
      </c>
      <c r="Q30" s="58" t="str">
        <f t="shared" si="88"/>
        <v>M</v>
      </c>
      <c r="R30" s="58" t="str">
        <f t="shared" si="88"/>
        <v>P</v>
      </c>
      <c r="S30" s="58" t="str">
        <f t="shared" si="88"/>
        <v>R</v>
      </c>
      <c r="T30" s="55" t="str">
        <f>IFERROR(__xludf.DUMMYFUNCTION("CONCATENATE(JOIN("""",P30:S30))"),"GMPR")</f>
        <v>GMPR</v>
      </c>
      <c r="U30" s="32"/>
      <c r="V30" s="32"/>
      <c r="W30" s="32"/>
    </row>
    <row r="31">
      <c r="A31" s="53" t="s">
        <v>239</v>
      </c>
      <c r="B31" s="55">
        <v>2345.0</v>
      </c>
      <c r="C31" s="58">
        <f t="shared" ref="C31:F31" si="89">C7+1</f>
        <v>3</v>
      </c>
      <c r="D31" s="272">
        <f t="shared" si="89"/>
        <v>2</v>
      </c>
      <c r="E31" s="272">
        <f t="shared" si="89"/>
        <v>4</v>
      </c>
      <c r="F31" s="273">
        <f t="shared" si="89"/>
        <v>5</v>
      </c>
      <c r="G31" s="69" t="str">
        <f t="shared" ref="G31:J31" si="90">SUBSTITUTE(SUBSTITUTE(SUBSTITUTE(C31,"8","1"),"9","2"),"10","3")</f>
        <v>3</v>
      </c>
      <c r="H31" s="69" t="str">
        <f t="shared" si="90"/>
        <v>2</v>
      </c>
      <c r="I31" s="69" t="str">
        <f t="shared" si="90"/>
        <v>4</v>
      </c>
      <c r="J31" s="74" t="str">
        <f t="shared" si="90"/>
        <v>5</v>
      </c>
      <c r="K31" s="58" t="str">
        <f t="shared" ref="K31:N31" si="91">SUBSTITUTE(SUBSTITUTE(SUBSTITUTE(SUBSTITUTE(SUBSTITUTE(SUBSTITUTE(SUBSTITUTE(G31,"1","Sa"),"2","Re"),"3","Ga"),"4","Ma"),"5","Pa"),"6","Dha"),"7","Ni")</f>
        <v>Ga</v>
      </c>
      <c r="L31" s="58" t="str">
        <f t="shared" si="91"/>
        <v>Re</v>
      </c>
      <c r="M31" s="58" t="str">
        <f t="shared" si="91"/>
        <v>Ma</v>
      </c>
      <c r="N31" s="61" t="str">
        <f t="shared" si="91"/>
        <v>Pa</v>
      </c>
      <c r="O31" s="55" t="str">
        <f>IFERROR(__xludf.DUMMYFUNCTION("CONCATENATE(JOIN(""-"",K31:N31))"),"Ga-Re-Ma-Pa")</f>
        <v>Ga-Re-Ma-Pa</v>
      </c>
      <c r="P31" s="58" t="str">
        <f t="shared" ref="P31:S31" si="92">SUBSTITUTE(SUBSTITUTE(SUBSTITUTE(SUBSTITUTE(SUBSTITUTE(SUBSTITUTE(SUBSTITUTE(G31,"1","S"),"2","R"),"3","G"),"4","M"),"5","P"),"6","D"),"7","N")</f>
        <v>G</v>
      </c>
      <c r="Q31" s="58" t="str">
        <f t="shared" si="92"/>
        <v>R</v>
      </c>
      <c r="R31" s="58" t="str">
        <f t="shared" si="92"/>
        <v>M</v>
      </c>
      <c r="S31" s="58" t="str">
        <f t="shared" si="92"/>
        <v>P</v>
      </c>
      <c r="T31" s="55" t="str">
        <f>IFERROR(__xludf.DUMMYFUNCTION("CONCATENATE(JOIN("""",P31:S31))"),"GRMP")</f>
        <v>GRMP</v>
      </c>
      <c r="U31" s="32"/>
      <c r="V31" s="32"/>
      <c r="W31" s="32"/>
    </row>
    <row r="32">
      <c r="A32" s="53" t="s">
        <v>241</v>
      </c>
      <c r="B32" s="55">
        <v>2345.0</v>
      </c>
      <c r="C32" s="58">
        <f t="shared" ref="C32:F32" si="93">C8+1</f>
        <v>3</v>
      </c>
      <c r="D32" s="272">
        <f t="shared" si="93"/>
        <v>2</v>
      </c>
      <c r="E32" s="272">
        <f t="shared" si="93"/>
        <v>5</v>
      </c>
      <c r="F32" s="273">
        <f t="shared" si="93"/>
        <v>4</v>
      </c>
      <c r="G32" s="69" t="str">
        <f t="shared" ref="G32:J32" si="94">SUBSTITUTE(SUBSTITUTE(SUBSTITUTE(C32,"8","1"),"9","2"),"10","3")</f>
        <v>3</v>
      </c>
      <c r="H32" s="69" t="str">
        <f t="shared" si="94"/>
        <v>2</v>
      </c>
      <c r="I32" s="69" t="str">
        <f t="shared" si="94"/>
        <v>5</v>
      </c>
      <c r="J32" s="74" t="str">
        <f t="shared" si="94"/>
        <v>4</v>
      </c>
      <c r="K32" s="58" t="str">
        <f t="shared" ref="K32:N32" si="95">SUBSTITUTE(SUBSTITUTE(SUBSTITUTE(SUBSTITUTE(SUBSTITUTE(SUBSTITUTE(SUBSTITUTE(G32,"1","Sa"),"2","Re"),"3","Ga"),"4","Ma"),"5","Pa"),"6","Dha"),"7","Ni")</f>
        <v>Ga</v>
      </c>
      <c r="L32" s="58" t="str">
        <f t="shared" si="95"/>
        <v>Re</v>
      </c>
      <c r="M32" s="58" t="str">
        <f t="shared" si="95"/>
        <v>Pa</v>
      </c>
      <c r="N32" s="61" t="str">
        <f t="shared" si="95"/>
        <v>Ma</v>
      </c>
      <c r="O32" s="55" t="str">
        <f>IFERROR(__xludf.DUMMYFUNCTION("CONCATENATE(JOIN(""-"",K32:N32))"),"Ga-Re-Pa-Ma")</f>
        <v>Ga-Re-Pa-Ma</v>
      </c>
      <c r="P32" s="58" t="str">
        <f t="shared" ref="P32:S32" si="96">SUBSTITUTE(SUBSTITUTE(SUBSTITUTE(SUBSTITUTE(SUBSTITUTE(SUBSTITUTE(SUBSTITUTE(G32,"1","S"),"2","R"),"3","G"),"4","M"),"5","P"),"6","D"),"7","N")</f>
        <v>G</v>
      </c>
      <c r="Q32" s="58" t="str">
        <f t="shared" si="96"/>
        <v>R</v>
      </c>
      <c r="R32" s="58" t="str">
        <f t="shared" si="96"/>
        <v>P</v>
      </c>
      <c r="S32" s="58" t="str">
        <f t="shared" si="96"/>
        <v>M</v>
      </c>
      <c r="T32" s="55" t="str">
        <f>IFERROR(__xludf.DUMMYFUNCTION("CONCATENATE(JOIN("""",P32:S32))"),"GRPM")</f>
        <v>GRPM</v>
      </c>
      <c r="U32" s="32"/>
      <c r="V32" s="32"/>
      <c r="W32" s="32"/>
    </row>
    <row r="33">
      <c r="A33" s="53" t="s">
        <v>244</v>
      </c>
      <c r="B33" s="55">
        <v>2345.0</v>
      </c>
      <c r="C33" s="58">
        <f t="shared" ref="C33:F33" si="97">C9+1</f>
        <v>4</v>
      </c>
      <c r="D33" s="272">
        <f t="shared" si="97"/>
        <v>2</v>
      </c>
      <c r="E33" s="272">
        <f t="shared" si="97"/>
        <v>5</v>
      </c>
      <c r="F33" s="273">
        <f t="shared" si="97"/>
        <v>3</v>
      </c>
      <c r="G33" s="69" t="str">
        <f t="shared" ref="G33:J33" si="98">SUBSTITUTE(SUBSTITUTE(SUBSTITUTE(C33,"8","1"),"9","2"),"10","3")</f>
        <v>4</v>
      </c>
      <c r="H33" s="69" t="str">
        <f t="shared" si="98"/>
        <v>2</v>
      </c>
      <c r="I33" s="69" t="str">
        <f t="shared" si="98"/>
        <v>5</v>
      </c>
      <c r="J33" s="74" t="str">
        <f t="shared" si="98"/>
        <v>3</v>
      </c>
      <c r="K33" s="58" t="str">
        <f t="shared" ref="K33:N33" si="99">SUBSTITUTE(SUBSTITUTE(SUBSTITUTE(SUBSTITUTE(SUBSTITUTE(SUBSTITUTE(SUBSTITUTE(G33,"1","Sa"),"2","Re"),"3","Ga"),"4","Ma"),"5","Pa"),"6","Dha"),"7","Ni")</f>
        <v>Ma</v>
      </c>
      <c r="L33" s="58" t="str">
        <f t="shared" si="99"/>
        <v>Re</v>
      </c>
      <c r="M33" s="58" t="str">
        <f t="shared" si="99"/>
        <v>Pa</v>
      </c>
      <c r="N33" s="61" t="str">
        <f t="shared" si="99"/>
        <v>Ga</v>
      </c>
      <c r="O33" s="55" t="str">
        <f>IFERROR(__xludf.DUMMYFUNCTION("CONCATENATE(JOIN(""-"",K33:N33))"),"Ma-Re-Pa-Ga")</f>
        <v>Ma-Re-Pa-Ga</v>
      </c>
      <c r="P33" s="58" t="str">
        <f t="shared" ref="P33:S33" si="100">SUBSTITUTE(SUBSTITUTE(SUBSTITUTE(SUBSTITUTE(SUBSTITUTE(SUBSTITUTE(SUBSTITUTE(G33,"1","S"),"2","R"),"3","G"),"4","M"),"5","P"),"6","D"),"7","N")</f>
        <v>M</v>
      </c>
      <c r="Q33" s="58" t="str">
        <f t="shared" si="100"/>
        <v>R</v>
      </c>
      <c r="R33" s="58" t="str">
        <f t="shared" si="100"/>
        <v>P</v>
      </c>
      <c r="S33" s="58" t="str">
        <f t="shared" si="100"/>
        <v>G</v>
      </c>
      <c r="T33" s="55" t="str">
        <f>IFERROR(__xludf.DUMMYFUNCTION("CONCATENATE(JOIN("""",P33:S33))"),"MRPG")</f>
        <v>MRPG</v>
      </c>
      <c r="U33" s="32"/>
      <c r="V33" s="32"/>
      <c r="W33" s="32"/>
    </row>
    <row r="34">
      <c r="A34" s="53" t="s">
        <v>247</v>
      </c>
      <c r="B34" s="55">
        <v>2345.0</v>
      </c>
      <c r="C34" s="58">
        <f t="shared" ref="C34:F34" si="101">C10+1</f>
        <v>4</v>
      </c>
      <c r="D34" s="272">
        <f t="shared" si="101"/>
        <v>3</v>
      </c>
      <c r="E34" s="272">
        <f t="shared" si="101"/>
        <v>5</v>
      </c>
      <c r="F34" s="273">
        <f t="shared" si="101"/>
        <v>2</v>
      </c>
      <c r="G34" s="69" t="str">
        <f t="shared" ref="G34:J34" si="102">SUBSTITUTE(SUBSTITUTE(SUBSTITUTE(C34,"8","1"),"9","2"),"10","3")</f>
        <v>4</v>
      </c>
      <c r="H34" s="69" t="str">
        <f t="shared" si="102"/>
        <v>3</v>
      </c>
      <c r="I34" s="69" t="str">
        <f t="shared" si="102"/>
        <v>5</v>
      </c>
      <c r="J34" s="74" t="str">
        <f t="shared" si="102"/>
        <v>2</v>
      </c>
      <c r="K34" s="58" t="str">
        <f t="shared" ref="K34:N34" si="103">SUBSTITUTE(SUBSTITUTE(SUBSTITUTE(SUBSTITUTE(SUBSTITUTE(SUBSTITUTE(SUBSTITUTE(G34,"1","Sa"),"2","Re"),"3","Ga"),"4","Ma"),"5","Pa"),"6","Dha"),"7","Ni")</f>
        <v>Ma</v>
      </c>
      <c r="L34" s="58" t="str">
        <f t="shared" si="103"/>
        <v>Ga</v>
      </c>
      <c r="M34" s="58" t="str">
        <f t="shared" si="103"/>
        <v>Pa</v>
      </c>
      <c r="N34" s="61" t="str">
        <f t="shared" si="103"/>
        <v>Re</v>
      </c>
      <c r="O34" s="55" t="str">
        <f>IFERROR(__xludf.DUMMYFUNCTION("CONCATENATE(JOIN(""-"",K34:N34))"),"Ma-Ga-Pa-Re")</f>
        <v>Ma-Ga-Pa-Re</v>
      </c>
      <c r="P34" s="58" t="str">
        <f t="shared" ref="P34:S34" si="104">SUBSTITUTE(SUBSTITUTE(SUBSTITUTE(SUBSTITUTE(SUBSTITUTE(SUBSTITUTE(SUBSTITUTE(G34,"1","S"),"2","R"),"3","G"),"4","M"),"5","P"),"6","D"),"7","N")</f>
        <v>M</v>
      </c>
      <c r="Q34" s="58" t="str">
        <f t="shared" si="104"/>
        <v>G</v>
      </c>
      <c r="R34" s="58" t="str">
        <f t="shared" si="104"/>
        <v>P</v>
      </c>
      <c r="S34" s="58" t="str">
        <f t="shared" si="104"/>
        <v>R</v>
      </c>
      <c r="T34" s="55" t="str">
        <f>IFERROR(__xludf.DUMMYFUNCTION("CONCATENATE(JOIN("""",P34:S34))"),"MGPR")</f>
        <v>MGPR</v>
      </c>
      <c r="U34" s="32"/>
      <c r="V34" s="32"/>
      <c r="W34" s="32"/>
    </row>
    <row r="35">
      <c r="A35" s="53" t="s">
        <v>249</v>
      </c>
      <c r="B35" s="55">
        <v>2345.0</v>
      </c>
      <c r="C35" s="58">
        <f t="shared" ref="C35:F35" si="105">C11+1</f>
        <v>2</v>
      </c>
      <c r="D35" s="272">
        <f t="shared" si="105"/>
        <v>4</v>
      </c>
      <c r="E35" s="272">
        <f t="shared" si="105"/>
        <v>3</v>
      </c>
      <c r="F35" s="273">
        <f t="shared" si="105"/>
        <v>5</v>
      </c>
      <c r="G35" s="69" t="str">
        <f t="shared" ref="G35:J35" si="106">SUBSTITUTE(SUBSTITUTE(SUBSTITUTE(C35,"8","1"),"9","2"),"10","3")</f>
        <v>2</v>
      </c>
      <c r="H35" s="69" t="str">
        <f t="shared" si="106"/>
        <v>4</v>
      </c>
      <c r="I35" s="69" t="str">
        <f t="shared" si="106"/>
        <v>3</v>
      </c>
      <c r="J35" s="74" t="str">
        <f t="shared" si="106"/>
        <v>5</v>
      </c>
      <c r="K35" s="58" t="str">
        <f t="shared" ref="K35:N35" si="107">SUBSTITUTE(SUBSTITUTE(SUBSTITUTE(SUBSTITUTE(SUBSTITUTE(SUBSTITUTE(SUBSTITUTE(G35,"1","Sa"),"2","Re"),"3","Ga"),"4","Ma"),"5","Pa"),"6","Dha"),"7","Ni")</f>
        <v>Re</v>
      </c>
      <c r="L35" s="58" t="str">
        <f t="shared" si="107"/>
        <v>Ma</v>
      </c>
      <c r="M35" s="58" t="str">
        <f t="shared" si="107"/>
        <v>Ga</v>
      </c>
      <c r="N35" s="61" t="str">
        <f t="shared" si="107"/>
        <v>Pa</v>
      </c>
      <c r="O35" s="55" t="str">
        <f>IFERROR(__xludf.DUMMYFUNCTION("CONCATENATE(JOIN(""-"",K35:N35))"),"Re-Ma-Ga-Pa")</f>
        <v>Re-Ma-Ga-Pa</v>
      </c>
      <c r="P35" s="58" t="str">
        <f t="shared" ref="P35:S35" si="108">SUBSTITUTE(SUBSTITUTE(SUBSTITUTE(SUBSTITUTE(SUBSTITUTE(SUBSTITUTE(SUBSTITUTE(G35,"1","S"),"2","R"),"3","G"),"4","M"),"5","P"),"6","D"),"7","N")</f>
        <v>R</v>
      </c>
      <c r="Q35" s="58" t="str">
        <f t="shared" si="108"/>
        <v>M</v>
      </c>
      <c r="R35" s="58" t="str">
        <f t="shared" si="108"/>
        <v>G</v>
      </c>
      <c r="S35" s="58" t="str">
        <f t="shared" si="108"/>
        <v>P</v>
      </c>
      <c r="T35" s="55" t="str">
        <f>IFERROR(__xludf.DUMMYFUNCTION("CONCATENATE(JOIN("""",P35:S35))"),"RMGP")</f>
        <v>RMGP</v>
      </c>
      <c r="U35" s="32"/>
      <c r="V35" s="32"/>
      <c r="W35" s="32"/>
    </row>
    <row r="36">
      <c r="A36" s="53" t="s">
        <v>251</v>
      </c>
      <c r="B36" s="55">
        <v>2345.0</v>
      </c>
      <c r="C36" s="58">
        <f t="shared" ref="C36:F36" si="109">C12+1</f>
        <v>2</v>
      </c>
      <c r="D36" s="272">
        <f t="shared" si="109"/>
        <v>5</v>
      </c>
      <c r="E36" s="272">
        <f t="shared" si="109"/>
        <v>3</v>
      </c>
      <c r="F36" s="273">
        <f t="shared" si="109"/>
        <v>4</v>
      </c>
      <c r="G36" s="69" t="str">
        <f t="shared" ref="G36:J36" si="110">SUBSTITUTE(SUBSTITUTE(SUBSTITUTE(C36,"8","1"),"9","2"),"10","3")</f>
        <v>2</v>
      </c>
      <c r="H36" s="69" t="str">
        <f t="shared" si="110"/>
        <v>5</v>
      </c>
      <c r="I36" s="69" t="str">
        <f t="shared" si="110"/>
        <v>3</v>
      </c>
      <c r="J36" s="74" t="str">
        <f t="shared" si="110"/>
        <v>4</v>
      </c>
      <c r="K36" s="58" t="str">
        <f t="shared" ref="K36:N36" si="111">SUBSTITUTE(SUBSTITUTE(SUBSTITUTE(SUBSTITUTE(SUBSTITUTE(SUBSTITUTE(SUBSTITUTE(G36,"1","Sa"),"2","Re"),"3","Ga"),"4","Ma"),"5","Pa"),"6","Dha"),"7","Ni")</f>
        <v>Re</v>
      </c>
      <c r="L36" s="58" t="str">
        <f t="shared" si="111"/>
        <v>Pa</v>
      </c>
      <c r="M36" s="58" t="str">
        <f t="shared" si="111"/>
        <v>Ga</v>
      </c>
      <c r="N36" s="61" t="str">
        <f t="shared" si="111"/>
        <v>Ma</v>
      </c>
      <c r="O36" s="55" t="str">
        <f>IFERROR(__xludf.DUMMYFUNCTION("CONCATENATE(JOIN(""-"",K36:N36))"),"Re-Pa-Ga-Ma")</f>
        <v>Re-Pa-Ga-Ma</v>
      </c>
      <c r="P36" s="58" t="str">
        <f t="shared" ref="P36:S36" si="112">SUBSTITUTE(SUBSTITUTE(SUBSTITUTE(SUBSTITUTE(SUBSTITUTE(SUBSTITUTE(SUBSTITUTE(G36,"1","S"),"2","R"),"3","G"),"4","M"),"5","P"),"6","D"),"7","N")</f>
        <v>R</v>
      </c>
      <c r="Q36" s="58" t="str">
        <f t="shared" si="112"/>
        <v>P</v>
      </c>
      <c r="R36" s="58" t="str">
        <f t="shared" si="112"/>
        <v>G</v>
      </c>
      <c r="S36" s="58" t="str">
        <f t="shared" si="112"/>
        <v>M</v>
      </c>
      <c r="T36" s="55" t="str">
        <f>IFERROR(__xludf.DUMMYFUNCTION("CONCATENATE(JOIN("""",P36:S36))"),"RPGM")</f>
        <v>RPGM</v>
      </c>
      <c r="U36" s="32"/>
      <c r="V36" s="32"/>
      <c r="W36" s="32"/>
    </row>
    <row r="37">
      <c r="A37" s="53" t="s">
        <v>253</v>
      </c>
      <c r="B37" s="55">
        <v>2345.0</v>
      </c>
      <c r="C37" s="58">
        <f t="shared" ref="C37:F37" si="113">C13+1</f>
        <v>2</v>
      </c>
      <c r="D37" s="272">
        <f t="shared" si="113"/>
        <v>5</v>
      </c>
      <c r="E37" s="272">
        <f t="shared" si="113"/>
        <v>4</v>
      </c>
      <c r="F37" s="273">
        <f t="shared" si="113"/>
        <v>3</v>
      </c>
      <c r="G37" s="69" t="str">
        <f t="shared" ref="G37:J37" si="114">SUBSTITUTE(SUBSTITUTE(SUBSTITUTE(C37,"8","1"),"9","2"),"10","3")</f>
        <v>2</v>
      </c>
      <c r="H37" s="69" t="str">
        <f t="shared" si="114"/>
        <v>5</v>
      </c>
      <c r="I37" s="69" t="str">
        <f t="shared" si="114"/>
        <v>4</v>
      </c>
      <c r="J37" s="74" t="str">
        <f t="shared" si="114"/>
        <v>3</v>
      </c>
      <c r="K37" s="58" t="str">
        <f t="shared" ref="K37:N37" si="115">SUBSTITUTE(SUBSTITUTE(SUBSTITUTE(SUBSTITUTE(SUBSTITUTE(SUBSTITUTE(SUBSTITUTE(G37,"1","Sa"),"2","Re"),"3","Ga"),"4","Ma"),"5","Pa"),"6","Dha"),"7","Ni")</f>
        <v>Re</v>
      </c>
      <c r="L37" s="58" t="str">
        <f t="shared" si="115"/>
        <v>Pa</v>
      </c>
      <c r="M37" s="58" t="str">
        <f t="shared" si="115"/>
        <v>Ma</v>
      </c>
      <c r="N37" s="61" t="str">
        <f t="shared" si="115"/>
        <v>Ga</v>
      </c>
      <c r="O37" s="55" t="str">
        <f>IFERROR(__xludf.DUMMYFUNCTION("CONCATENATE(JOIN(""-"",K37:N37))"),"Re-Pa-Ma-Ga")</f>
        <v>Re-Pa-Ma-Ga</v>
      </c>
      <c r="P37" s="58" t="str">
        <f t="shared" ref="P37:S37" si="116">SUBSTITUTE(SUBSTITUTE(SUBSTITUTE(SUBSTITUTE(SUBSTITUTE(SUBSTITUTE(SUBSTITUTE(G37,"1","S"),"2","R"),"3","G"),"4","M"),"5","P"),"6","D"),"7","N")</f>
        <v>R</v>
      </c>
      <c r="Q37" s="58" t="str">
        <f t="shared" si="116"/>
        <v>P</v>
      </c>
      <c r="R37" s="58" t="str">
        <f t="shared" si="116"/>
        <v>M</v>
      </c>
      <c r="S37" s="58" t="str">
        <f t="shared" si="116"/>
        <v>G</v>
      </c>
      <c r="T37" s="55" t="str">
        <f>IFERROR(__xludf.DUMMYFUNCTION("CONCATENATE(JOIN("""",P37:S37))"),"RPMG")</f>
        <v>RPMG</v>
      </c>
      <c r="U37" s="32"/>
      <c r="V37" s="32"/>
      <c r="W37" s="32"/>
    </row>
    <row r="38">
      <c r="A38" s="53" t="s">
        <v>255</v>
      </c>
      <c r="B38" s="55">
        <v>2345.0</v>
      </c>
      <c r="C38" s="58">
        <f t="shared" ref="C38:F38" si="117">C14+1</f>
        <v>3</v>
      </c>
      <c r="D38" s="272">
        <f t="shared" si="117"/>
        <v>5</v>
      </c>
      <c r="E38" s="272">
        <f t="shared" si="117"/>
        <v>4</v>
      </c>
      <c r="F38" s="273">
        <f t="shared" si="117"/>
        <v>2</v>
      </c>
      <c r="G38" s="69" t="str">
        <f t="shared" ref="G38:J38" si="118">SUBSTITUTE(SUBSTITUTE(SUBSTITUTE(C38,"8","1"),"9","2"),"10","3")</f>
        <v>3</v>
      </c>
      <c r="H38" s="69" t="str">
        <f t="shared" si="118"/>
        <v>5</v>
      </c>
      <c r="I38" s="69" t="str">
        <f t="shared" si="118"/>
        <v>4</v>
      </c>
      <c r="J38" s="74" t="str">
        <f t="shared" si="118"/>
        <v>2</v>
      </c>
      <c r="K38" s="58" t="str">
        <f t="shared" ref="K38:N38" si="119">SUBSTITUTE(SUBSTITUTE(SUBSTITUTE(SUBSTITUTE(SUBSTITUTE(SUBSTITUTE(SUBSTITUTE(G38,"1","Sa"),"2","Re"),"3","Ga"),"4","Ma"),"5","Pa"),"6","Dha"),"7","Ni")</f>
        <v>Ga</v>
      </c>
      <c r="L38" s="58" t="str">
        <f t="shared" si="119"/>
        <v>Pa</v>
      </c>
      <c r="M38" s="58" t="str">
        <f t="shared" si="119"/>
        <v>Ma</v>
      </c>
      <c r="N38" s="61" t="str">
        <f t="shared" si="119"/>
        <v>Re</v>
      </c>
      <c r="O38" s="55" t="str">
        <f>IFERROR(__xludf.DUMMYFUNCTION("CONCATENATE(JOIN(""-"",K38:N38))"),"Ga-Pa-Ma-Re")</f>
        <v>Ga-Pa-Ma-Re</v>
      </c>
      <c r="P38" s="58" t="str">
        <f t="shared" ref="P38:S38" si="120">SUBSTITUTE(SUBSTITUTE(SUBSTITUTE(SUBSTITUTE(SUBSTITUTE(SUBSTITUTE(SUBSTITUTE(G38,"1","S"),"2","R"),"3","G"),"4","M"),"5","P"),"6","D"),"7","N")</f>
        <v>G</v>
      </c>
      <c r="Q38" s="58" t="str">
        <f t="shared" si="120"/>
        <v>P</v>
      </c>
      <c r="R38" s="58" t="str">
        <f t="shared" si="120"/>
        <v>M</v>
      </c>
      <c r="S38" s="58" t="str">
        <f t="shared" si="120"/>
        <v>R</v>
      </c>
      <c r="T38" s="55" t="str">
        <f>IFERROR(__xludf.DUMMYFUNCTION("CONCATENATE(JOIN("""",P38:S38))"),"GPMR")</f>
        <v>GPMR</v>
      </c>
      <c r="U38" s="32"/>
      <c r="V38" s="32"/>
      <c r="W38" s="32"/>
    </row>
    <row r="39">
      <c r="A39" s="53" t="s">
        <v>257</v>
      </c>
      <c r="B39" s="55">
        <v>2345.0</v>
      </c>
      <c r="C39" s="58">
        <f t="shared" ref="C39:F39" si="121">C15+1</f>
        <v>4</v>
      </c>
      <c r="D39" s="272">
        <f t="shared" si="121"/>
        <v>2</v>
      </c>
      <c r="E39" s="272">
        <f t="shared" si="121"/>
        <v>3</v>
      </c>
      <c r="F39" s="273">
        <f t="shared" si="121"/>
        <v>5</v>
      </c>
      <c r="G39" s="69" t="str">
        <f t="shared" ref="G39:J39" si="122">SUBSTITUTE(SUBSTITUTE(SUBSTITUTE(C39,"8","1"),"9","2"),"10","3")</f>
        <v>4</v>
      </c>
      <c r="H39" s="69" t="str">
        <f t="shared" si="122"/>
        <v>2</v>
      </c>
      <c r="I39" s="69" t="str">
        <f t="shared" si="122"/>
        <v>3</v>
      </c>
      <c r="J39" s="74" t="str">
        <f t="shared" si="122"/>
        <v>5</v>
      </c>
      <c r="K39" s="58" t="str">
        <f t="shared" ref="K39:N39" si="123">SUBSTITUTE(SUBSTITUTE(SUBSTITUTE(SUBSTITUTE(SUBSTITUTE(SUBSTITUTE(SUBSTITUTE(G39,"1","Sa"),"2","Re"),"3","Ga"),"4","Ma"),"5","Pa"),"6","Dha"),"7","Ni")</f>
        <v>Ma</v>
      </c>
      <c r="L39" s="58" t="str">
        <f t="shared" si="123"/>
        <v>Re</v>
      </c>
      <c r="M39" s="58" t="str">
        <f t="shared" si="123"/>
        <v>Ga</v>
      </c>
      <c r="N39" s="61" t="str">
        <f t="shared" si="123"/>
        <v>Pa</v>
      </c>
      <c r="O39" s="55" t="str">
        <f>IFERROR(__xludf.DUMMYFUNCTION("CONCATENATE(JOIN(""-"",K39:N39))"),"Ma-Re-Ga-Pa")</f>
        <v>Ma-Re-Ga-Pa</v>
      </c>
      <c r="P39" s="58" t="str">
        <f t="shared" ref="P39:S39" si="124">SUBSTITUTE(SUBSTITUTE(SUBSTITUTE(SUBSTITUTE(SUBSTITUTE(SUBSTITUTE(SUBSTITUTE(G39,"1","S"),"2","R"),"3","G"),"4","M"),"5","P"),"6","D"),"7","N")</f>
        <v>M</v>
      </c>
      <c r="Q39" s="58" t="str">
        <f t="shared" si="124"/>
        <v>R</v>
      </c>
      <c r="R39" s="58" t="str">
        <f t="shared" si="124"/>
        <v>G</v>
      </c>
      <c r="S39" s="58" t="str">
        <f t="shared" si="124"/>
        <v>P</v>
      </c>
      <c r="T39" s="55" t="str">
        <f>IFERROR(__xludf.DUMMYFUNCTION("CONCATENATE(JOIN("""",P39:S39))"),"MRGP")</f>
        <v>MRGP</v>
      </c>
      <c r="U39" s="32"/>
      <c r="V39" s="32"/>
      <c r="W39" s="32"/>
    </row>
    <row r="40">
      <c r="A40" s="53" t="s">
        <v>259</v>
      </c>
      <c r="B40" s="55">
        <v>2345.0</v>
      </c>
      <c r="C40" s="58">
        <f t="shared" ref="C40:F40" si="125">C16+1</f>
        <v>5</v>
      </c>
      <c r="D40" s="272">
        <f t="shared" si="125"/>
        <v>2</v>
      </c>
      <c r="E40" s="272">
        <f t="shared" si="125"/>
        <v>3</v>
      </c>
      <c r="F40" s="273">
        <f t="shared" si="125"/>
        <v>4</v>
      </c>
      <c r="G40" s="69" t="str">
        <f t="shared" ref="G40:J40" si="126">SUBSTITUTE(SUBSTITUTE(SUBSTITUTE(C40,"8","1"),"9","2"),"10","3")</f>
        <v>5</v>
      </c>
      <c r="H40" s="69" t="str">
        <f t="shared" si="126"/>
        <v>2</v>
      </c>
      <c r="I40" s="69" t="str">
        <f t="shared" si="126"/>
        <v>3</v>
      </c>
      <c r="J40" s="74" t="str">
        <f t="shared" si="126"/>
        <v>4</v>
      </c>
      <c r="K40" s="58" t="str">
        <f t="shared" ref="K40:N40" si="127">SUBSTITUTE(SUBSTITUTE(SUBSTITUTE(SUBSTITUTE(SUBSTITUTE(SUBSTITUTE(SUBSTITUTE(G40,"1","Sa"),"2","Re"),"3","Ga"),"4","Ma"),"5","Pa"),"6","Dha"),"7","Ni")</f>
        <v>Pa</v>
      </c>
      <c r="L40" s="58" t="str">
        <f t="shared" si="127"/>
        <v>Re</v>
      </c>
      <c r="M40" s="58" t="str">
        <f t="shared" si="127"/>
        <v>Ga</v>
      </c>
      <c r="N40" s="61" t="str">
        <f t="shared" si="127"/>
        <v>Ma</v>
      </c>
      <c r="O40" s="55" t="str">
        <f>IFERROR(__xludf.DUMMYFUNCTION("CONCATENATE(JOIN(""-"",K40:N40))"),"Pa-Re-Ga-Ma")</f>
        <v>Pa-Re-Ga-Ma</v>
      </c>
      <c r="P40" s="58" t="str">
        <f t="shared" ref="P40:S40" si="128">SUBSTITUTE(SUBSTITUTE(SUBSTITUTE(SUBSTITUTE(SUBSTITUTE(SUBSTITUTE(SUBSTITUTE(G40,"1","S"),"2","R"),"3","G"),"4","M"),"5","P"),"6","D"),"7","N")</f>
        <v>P</v>
      </c>
      <c r="Q40" s="58" t="str">
        <f t="shared" si="128"/>
        <v>R</v>
      </c>
      <c r="R40" s="58" t="str">
        <f t="shared" si="128"/>
        <v>G</v>
      </c>
      <c r="S40" s="58" t="str">
        <f t="shared" si="128"/>
        <v>M</v>
      </c>
      <c r="T40" s="55" t="str">
        <f>IFERROR(__xludf.DUMMYFUNCTION("CONCATENATE(JOIN("""",P40:S40))"),"PRGM")</f>
        <v>PRGM</v>
      </c>
      <c r="U40" s="32"/>
      <c r="V40" s="32"/>
      <c r="W40" s="32"/>
    </row>
    <row r="41">
      <c r="A41" s="53" t="s">
        <v>261</v>
      </c>
      <c r="B41" s="55">
        <v>2345.0</v>
      </c>
      <c r="C41" s="58">
        <f t="shared" ref="C41:F41" si="129">C17+1</f>
        <v>5</v>
      </c>
      <c r="D41" s="272">
        <f t="shared" si="129"/>
        <v>2</v>
      </c>
      <c r="E41" s="272">
        <f t="shared" si="129"/>
        <v>4</v>
      </c>
      <c r="F41" s="273">
        <f t="shared" si="129"/>
        <v>3</v>
      </c>
      <c r="G41" s="69" t="str">
        <f t="shared" ref="G41:J41" si="130">SUBSTITUTE(SUBSTITUTE(SUBSTITUTE(C41,"8","1"),"9","2"),"10","3")</f>
        <v>5</v>
      </c>
      <c r="H41" s="69" t="str">
        <f t="shared" si="130"/>
        <v>2</v>
      </c>
      <c r="I41" s="69" t="str">
        <f t="shared" si="130"/>
        <v>4</v>
      </c>
      <c r="J41" s="74" t="str">
        <f t="shared" si="130"/>
        <v>3</v>
      </c>
      <c r="K41" s="58" t="str">
        <f t="shared" ref="K41:N41" si="131">SUBSTITUTE(SUBSTITUTE(SUBSTITUTE(SUBSTITUTE(SUBSTITUTE(SUBSTITUTE(SUBSTITUTE(G41,"1","Sa"),"2","Re"),"3","Ga"),"4","Ma"),"5","Pa"),"6","Dha"),"7","Ni")</f>
        <v>Pa</v>
      </c>
      <c r="L41" s="58" t="str">
        <f t="shared" si="131"/>
        <v>Re</v>
      </c>
      <c r="M41" s="58" t="str">
        <f t="shared" si="131"/>
        <v>Ma</v>
      </c>
      <c r="N41" s="61" t="str">
        <f t="shared" si="131"/>
        <v>Ga</v>
      </c>
      <c r="O41" s="55" t="str">
        <f>IFERROR(__xludf.DUMMYFUNCTION("CONCATENATE(JOIN(""-"",K41:N41))"),"Pa-Re-Ma-Ga")</f>
        <v>Pa-Re-Ma-Ga</v>
      </c>
      <c r="P41" s="58" t="str">
        <f t="shared" ref="P41:S41" si="132">SUBSTITUTE(SUBSTITUTE(SUBSTITUTE(SUBSTITUTE(SUBSTITUTE(SUBSTITUTE(SUBSTITUTE(G41,"1","S"),"2","R"),"3","G"),"4","M"),"5","P"),"6","D"),"7","N")</f>
        <v>P</v>
      </c>
      <c r="Q41" s="58" t="str">
        <f t="shared" si="132"/>
        <v>R</v>
      </c>
      <c r="R41" s="58" t="str">
        <f t="shared" si="132"/>
        <v>M</v>
      </c>
      <c r="S41" s="58" t="str">
        <f t="shared" si="132"/>
        <v>G</v>
      </c>
      <c r="T41" s="55" t="str">
        <f>IFERROR(__xludf.DUMMYFUNCTION("CONCATENATE(JOIN("""",P41:S41))"),"PRMG")</f>
        <v>PRMG</v>
      </c>
      <c r="U41" s="32"/>
      <c r="V41" s="32"/>
      <c r="W41" s="32"/>
    </row>
    <row r="42">
      <c r="A42" s="53" t="s">
        <v>263</v>
      </c>
      <c r="B42" s="55">
        <v>2345.0</v>
      </c>
      <c r="C42" s="58">
        <f t="shared" ref="C42:F42" si="133">C18+1</f>
        <v>5</v>
      </c>
      <c r="D42" s="272">
        <f t="shared" si="133"/>
        <v>3</v>
      </c>
      <c r="E42" s="272">
        <f t="shared" si="133"/>
        <v>4</v>
      </c>
      <c r="F42" s="273">
        <f t="shared" si="133"/>
        <v>2</v>
      </c>
      <c r="G42" s="69" t="str">
        <f t="shared" ref="G42:J42" si="134">SUBSTITUTE(SUBSTITUTE(SUBSTITUTE(C42,"8","1"),"9","2"),"10","3")</f>
        <v>5</v>
      </c>
      <c r="H42" s="69" t="str">
        <f t="shared" si="134"/>
        <v>3</v>
      </c>
      <c r="I42" s="69" t="str">
        <f t="shared" si="134"/>
        <v>4</v>
      </c>
      <c r="J42" s="74" t="str">
        <f t="shared" si="134"/>
        <v>2</v>
      </c>
      <c r="K42" s="58" t="str">
        <f t="shared" ref="K42:N42" si="135">SUBSTITUTE(SUBSTITUTE(SUBSTITUTE(SUBSTITUTE(SUBSTITUTE(SUBSTITUTE(SUBSTITUTE(G42,"1","Sa"),"2","Re"),"3","Ga"),"4","Ma"),"5","Pa"),"6","Dha"),"7","Ni")</f>
        <v>Pa</v>
      </c>
      <c r="L42" s="58" t="str">
        <f t="shared" si="135"/>
        <v>Ga</v>
      </c>
      <c r="M42" s="58" t="str">
        <f t="shared" si="135"/>
        <v>Ma</v>
      </c>
      <c r="N42" s="61" t="str">
        <f t="shared" si="135"/>
        <v>Re</v>
      </c>
      <c r="O42" s="55" t="str">
        <f>IFERROR(__xludf.DUMMYFUNCTION("CONCATENATE(JOIN(""-"",K42:N42))"),"Pa-Ga-Ma-Re")</f>
        <v>Pa-Ga-Ma-Re</v>
      </c>
      <c r="P42" s="58" t="str">
        <f t="shared" ref="P42:S42" si="136">SUBSTITUTE(SUBSTITUTE(SUBSTITUTE(SUBSTITUTE(SUBSTITUTE(SUBSTITUTE(SUBSTITUTE(G42,"1","S"),"2","R"),"3","G"),"4","M"),"5","P"),"6","D"),"7","N")</f>
        <v>P</v>
      </c>
      <c r="Q42" s="58" t="str">
        <f t="shared" si="136"/>
        <v>G</v>
      </c>
      <c r="R42" s="58" t="str">
        <f t="shared" si="136"/>
        <v>M</v>
      </c>
      <c r="S42" s="58" t="str">
        <f t="shared" si="136"/>
        <v>R</v>
      </c>
      <c r="T42" s="55" t="str">
        <f>IFERROR(__xludf.DUMMYFUNCTION("CONCATENATE(JOIN("""",P42:S42))"),"PGMR")</f>
        <v>PGMR</v>
      </c>
      <c r="U42" s="32"/>
      <c r="V42" s="32"/>
      <c r="W42" s="32"/>
    </row>
    <row r="43">
      <c r="A43" s="53" t="s">
        <v>265</v>
      </c>
      <c r="B43" s="55">
        <v>2345.0</v>
      </c>
      <c r="C43" s="58">
        <f t="shared" ref="C43:F43" si="137">C19+1</f>
        <v>3</v>
      </c>
      <c r="D43" s="272">
        <f t="shared" si="137"/>
        <v>4</v>
      </c>
      <c r="E43" s="272">
        <f t="shared" si="137"/>
        <v>2</v>
      </c>
      <c r="F43" s="273">
        <f t="shared" si="137"/>
        <v>5</v>
      </c>
      <c r="G43" s="69" t="str">
        <f t="shared" ref="G43:J43" si="138">SUBSTITUTE(SUBSTITUTE(SUBSTITUTE(C43,"8","1"),"9","2"),"10","3")</f>
        <v>3</v>
      </c>
      <c r="H43" s="69" t="str">
        <f t="shared" si="138"/>
        <v>4</v>
      </c>
      <c r="I43" s="69" t="str">
        <f t="shared" si="138"/>
        <v>2</v>
      </c>
      <c r="J43" s="74" t="str">
        <f t="shared" si="138"/>
        <v>5</v>
      </c>
      <c r="K43" s="58" t="str">
        <f t="shared" ref="K43:N43" si="139">SUBSTITUTE(SUBSTITUTE(SUBSTITUTE(SUBSTITUTE(SUBSTITUTE(SUBSTITUTE(SUBSTITUTE(G43,"1","Sa"),"2","Re"),"3","Ga"),"4","Ma"),"5","Pa"),"6","Dha"),"7","Ni")</f>
        <v>Ga</v>
      </c>
      <c r="L43" s="58" t="str">
        <f t="shared" si="139"/>
        <v>Ma</v>
      </c>
      <c r="M43" s="58" t="str">
        <f t="shared" si="139"/>
        <v>Re</v>
      </c>
      <c r="N43" s="61" t="str">
        <f t="shared" si="139"/>
        <v>Pa</v>
      </c>
      <c r="O43" s="55" t="str">
        <f>IFERROR(__xludf.DUMMYFUNCTION("CONCATENATE(JOIN(""-"",K43:N43))"),"Ga-Ma-Re-Pa")</f>
        <v>Ga-Ma-Re-Pa</v>
      </c>
      <c r="P43" s="58" t="str">
        <f t="shared" ref="P43:S43" si="140">SUBSTITUTE(SUBSTITUTE(SUBSTITUTE(SUBSTITUTE(SUBSTITUTE(SUBSTITUTE(SUBSTITUTE(G43,"1","S"),"2","R"),"3","G"),"4","M"),"5","P"),"6","D"),"7","N")</f>
        <v>G</v>
      </c>
      <c r="Q43" s="58" t="str">
        <f t="shared" si="140"/>
        <v>M</v>
      </c>
      <c r="R43" s="58" t="str">
        <f t="shared" si="140"/>
        <v>R</v>
      </c>
      <c r="S43" s="58" t="str">
        <f t="shared" si="140"/>
        <v>P</v>
      </c>
      <c r="T43" s="55" t="str">
        <f>IFERROR(__xludf.DUMMYFUNCTION("CONCATENATE(JOIN("""",P43:S43))"),"GMRP")</f>
        <v>GMRP</v>
      </c>
      <c r="U43" s="32"/>
      <c r="V43" s="32"/>
      <c r="W43" s="32"/>
    </row>
    <row r="44">
      <c r="A44" s="53" t="s">
        <v>267</v>
      </c>
      <c r="B44" s="55">
        <v>2345.0</v>
      </c>
      <c r="C44" s="58">
        <f t="shared" ref="C44:F44" si="141">C20+1</f>
        <v>3</v>
      </c>
      <c r="D44" s="272">
        <f t="shared" si="141"/>
        <v>5</v>
      </c>
      <c r="E44" s="272">
        <f t="shared" si="141"/>
        <v>2</v>
      </c>
      <c r="F44" s="273">
        <f t="shared" si="141"/>
        <v>4</v>
      </c>
      <c r="G44" s="69" t="str">
        <f t="shared" ref="G44:J44" si="142">SUBSTITUTE(SUBSTITUTE(SUBSTITUTE(C44,"8","1"),"9","2"),"10","3")</f>
        <v>3</v>
      </c>
      <c r="H44" s="69" t="str">
        <f t="shared" si="142"/>
        <v>5</v>
      </c>
      <c r="I44" s="69" t="str">
        <f t="shared" si="142"/>
        <v>2</v>
      </c>
      <c r="J44" s="74" t="str">
        <f t="shared" si="142"/>
        <v>4</v>
      </c>
      <c r="K44" s="58" t="str">
        <f t="shared" ref="K44:N44" si="143">SUBSTITUTE(SUBSTITUTE(SUBSTITUTE(SUBSTITUTE(SUBSTITUTE(SUBSTITUTE(SUBSTITUTE(G44,"1","Sa"),"2","Re"),"3","Ga"),"4","Ma"),"5","Pa"),"6","Dha"),"7","Ni")</f>
        <v>Ga</v>
      </c>
      <c r="L44" s="58" t="str">
        <f t="shared" si="143"/>
        <v>Pa</v>
      </c>
      <c r="M44" s="58" t="str">
        <f t="shared" si="143"/>
        <v>Re</v>
      </c>
      <c r="N44" s="61" t="str">
        <f t="shared" si="143"/>
        <v>Ma</v>
      </c>
      <c r="O44" s="55" t="str">
        <f>IFERROR(__xludf.DUMMYFUNCTION("CONCATENATE(JOIN(""-"",K44:N44))"),"Ga-Pa-Re-Ma")</f>
        <v>Ga-Pa-Re-Ma</v>
      </c>
      <c r="P44" s="58" t="str">
        <f t="shared" ref="P44:S44" si="144">SUBSTITUTE(SUBSTITUTE(SUBSTITUTE(SUBSTITUTE(SUBSTITUTE(SUBSTITUTE(SUBSTITUTE(G44,"1","S"),"2","R"),"3","G"),"4","M"),"5","P"),"6","D"),"7","N")</f>
        <v>G</v>
      </c>
      <c r="Q44" s="58" t="str">
        <f t="shared" si="144"/>
        <v>P</v>
      </c>
      <c r="R44" s="58" t="str">
        <f t="shared" si="144"/>
        <v>R</v>
      </c>
      <c r="S44" s="58" t="str">
        <f t="shared" si="144"/>
        <v>M</v>
      </c>
      <c r="T44" s="55" t="str">
        <f>IFERROR(__xludf.DUMMYFUNCTION("CONCATENATE(JOIN("""",P44:S44))"),"GPRM")</f>
        <v>GPRM</v>
      </c>
      <c r="U44" s="32"/>
      <c r="V44" s="32"/>
      <c r="W44" s="32"/>
    </row>
    <row r="45">
      <c r="A45" s="53" t="s">
        <v>269</v>
      </c>
      <c r="B45" s="55">
        <v>2345.0</v>
      </c>
      <c r="C45" s="58">
        <f t="shared" ref="C45:F45" si="145">C21+1</f>
        <v>4</v>
      </c>
      <c r="D45" s="272">
        <f t="shared" si="145"/>
        <v>5</v>
      </c>
      <c r="E45" s="272">
        <f t="shared" si="145"/>
        <v>2</v>
      </c>
      <c r="F45" s="273">
        <f t="shared" si="145"/>
        <v>3</v>
      </c>
      <c r="G45" s="69" t="str">
        <f t="shared" ref="G45:J45" si="146">SUBSTITUTE(SUBSTITUTE(SUBSTITUTE(C45,"8","1"),"9","2"),"10","3")</f>
        <v>4</v>
      </c>
      <c r="H45" s="69" t="str">
        <f t="shared" si="146"/>
        <v>5</v>
      </c>
      <c r="I45" s="69" t="str">
        <f t="shared" si="146"/>
        <v>2</v>
      </c>
      <c r="J45" s="74" t="str">
        <f t="shared" si="146"/>
        <v>3</v>
      </c>
      <c r="K45" s="58" t="str">
        <f t="shared" ref="K45:N45" si="147">SUBSTITUTE(SUBSTITUTE(SUBSTITUTE(SUBSTITUTE(SUBSTITUTE(SUBSTITUTE(SUBSTITUTE(G45,"1","Sa"),"2","Re"),"3","Ga"),"4","Ma"),"5","Pa"),"6","Dha"),"7","Ni")</f>
        <v>Ma</v>
      </c>
      <c r="L45" s="58" t="str">
        <f t="shared" si="147"/>
        <v>Pa</v>
      </c>
      <c r="M45" s="58" t="str">
        <f t="shared" si="147"/>
        <v>Re</v>
      </c>
      <c r="N45" s="61" t="str">
        <f t="shared" si="147"/>
        <v>Ga</v>
      </c>
      <c r="O45" s="55" t="str">
        <f>IFERROR(__xludf.DUMMYFUNCTION("CONCATENATE(JOIN(""-"",K45:N45))"),"Ma-Pa-Re-Ga")</f>
        <v>Ma-Pa-Re-Ga</v>
      </c>
      <c r="P45" s="58" t="str">
        <f t="shared" ref="P45:S45" si="148">SUBSTITUTE(SUBSTITUTE(SUBSTITUTE(SUBSTITUTE(SUBSTITUTE(SUBSTITUTE(SUBSTITUTE(G45,"1","S"),"2","R"),"3","G"),"4","M"),"5","P"),"6","D"),"7","N")</f>
        <v>M</v>
      </c>
      <c r="Q45" s="58" t="str">
        <f t="shared" si="148"/>
        <v>P</v>
      </c>
      <c r="R45" s="58" t="str">
        <f t="shared" si="148"/>
        <v>R</v>
      </c>
      <c r="S45" s="58" t="str">
        <f t="shared" si="148"/>
        <v>G</v>
      </c>
      <c r="T45" s="55" t="str">
        <f>IFERROR(__xludf.DUMMYFUNCTION("CONCATENATE(JOIN("""",P45:S45))"),"MPRG")</f>
        <v>MPRG</v>
      </c>
      <c r="U45" s="32"/>
      <c r="V45" s="32"/>
      <c r="W45" s="32"/>
    </row>
    <row r="46">
      <c r="A46" s="53" t="s">
        <v>271</v>
      </c>
      <c r="B46" s="55">
        <v>2345.0</v>
      </c>
      <c r="C46" s="58">
        <f t="shared" ref="C46:F46" si="149">C22+1</f>
        <v>4</v>
      </c>
      <c r="D46" s="272">
        <f t="shared" si="149"/>
        <v>5</v>
      </c>
      <c r="E46" s="272">
        <f t="shared" si="149"/>
        <v>3</v>
      </c>
      <c r="F46" s="273">
        <f t="shared" si="149"/>
        <v>2</v>
      </c>
      <c r="G46" s="69" t="str">
        <f t="shared" ref="G46:J46" si="150">SUBSTITUTE(SUBSTITUTE(SUBSTITUTE(C46,"8","1"),"9","2"),"10","3")</f>
        <v>4</v>
      </c>
      <c r="H46" s="69" t="str">
        <f t="shared" si="150"/>
        <v>5</v>
      </c>
      <c r="I46" s="69" t="str">
        <f t="shared" si="150"/>
        <v>3</v>
      </c>
      <c r="J46" s="74" t="str">
        <f t="shared" si="150"/>
        <v>2</v>
      </c>
      <c r="K46" s="58" t="str">
        <f t="shared" ref="K46:N46" si="151">SUBSTITUTE(SUBSTITUTE(SUBSTITUTE(SUBSTITUTE(SUBSTITUTE(SUBSTITUTE(SUBSTITUTE(G46,"1","Sa"),"2","Re"),"3","Ga"),"4","Ma"),"5","Pa"),"6","Dha"),"7","Ni")</f>
        <v>Ma</v>
      </c>
      <c r="L46" s="58" t="str">
        <f t="shared" si="151"/>
        <v>Pa</v>
      </c>
      <c r="M46" s="58" t="str">
        <f t="shared" si="151"/>
        <v>Ga</v>
      </c>
      <c r="N46" s="61" t="str">
        <f t="shared" si="151"/>
        <v>Re</v>
      </c>
      <c r="O46" s="55" t="str">
        <f>IFERROR(__xludf.DUMMYFUNCTION("CONCATENATE(JOIN(""-"",K46:N46))"),"Ma-Pa-Ga-Re")</f>
        <v>Ma-Pa-Ga-Re</v>
      </c>
      <c r="P46" s="58" t="str">
        <f t="shared" ref="P46:S46" si="152">SUBSTITUTE(SUBSTITUTE(SUBSTITUTE(SUBSTITUTE(SUBSTITUTE(SUBSTITUTE(SUBSTITUTE(G46,"1","S"),"2","R"),"3","G"),"4","M"),"5","P"),"6","D"),"7","N")</f>
        <v>M</v>
      </c>
      <c r="Q46" s="58" t="str">
        <f t="shared" si="152"/>
        <v>P</v>
      </c>
      <c r="R46" s="58" t="str">
        <f t="shared" si="152"/>
        <v>G</v>
      </c>
      <c r="S46" s="58" t="str">
        <f t="shared" si="152"/>
        <v>R</v>
      </c>
      <c r="T46" s="55" t="str">
        <f>IFERROR(__xludf.DUMMYFUNCTION("CONCATENATE(JOIN("""",P46:S46))"),"MPGR")</f>
        <v>MPGR</v>
      </c>
      <c r="U46" s="32"/>
      <c r="V46" s="32"/>
      <c r="W46" s="32"/>
    </row>
    <row r="47">
      <c r="A47" s="53" t="s">
        <v>273</v>
      </c>
      <c r="B47" s="55">
        <v>2345.0</v>
      </c>
      <c r="C47" s="58">
        <f t="shared" ref="C47:F47" si="153">C23+1</f>
        <v>4</v>
      </c>
      <c r="D47" s="272">
        <f t="shared" si="153"/>
        <v>3</v>
      </c>
      <c r="E47" s="272">
        <f t="shared" si="153"/>
        <v>2</v>
      </c>
      <c r="F47" s="273">
        <f t="shared" si="153"/>
        <v>5</v>
      </c>
      <c r="G47" s="69" t="str">
        <f t="shared" ref="G47:J47" si="154">SUBSTITUTE(SUBSTITUTE(SUBSTITUTE(C47,"8","1"),"9","2"),"10","3")</f>
        <v>4</v>
      </c>
      <c r="H47" s="69" t="str">
        <f t="shared" si="154"/>
        <v>3</v>
      </c>
      <c r="I47" s="69" t="str">
        <f t="shared" si="154"/>
        <v>2</v>
      </c>
      <c r="J47" s="74" t="str">
        <f t="shared" si="154"/>
        <v>5</v>
      </c>
      <c r="K47" s="58" t="str">
        <f t="shared" ref="K47:N47" si="155">SUBSTITUTE(SUBSTITUTE(SUBSTITUTE(SUBSTITUTE(SUBSTITUTE(SUBSTITUTE(SUBSTITUTE(G47,"1","Sa"),"2","Re"),"3","Ga"),"4","Ma"),"5","Pa"),"6","Dha"),"7","Ni")</f>
        <v>Ma</v>
      </c>
      <c r="L47" s="58" t="str">
        <f t="shared" si="155"/>
        <v>Ga</v>
      </c>
      <c r="M47" s="58" t="str">
        <f t="shared" si="155"/>
        <v>Re</v>
      </c>
      <c r="N47" s="61" t="str">
        <f t="shared" si="155"/>
        <v>Pa</v>
      </c>
      <c r="O47" s="55" t="str">
        <f>IFERROR(__xludf.DUMMYFUNCTION("CONCATENATE(JOIN(""-"",K47:N47))"),"Ma-Ga-Re-Pa")</f>
        <v>Ma-Ga-Re-Pa</v>
      </c>
      <c r="P47" s="58" t="str">
        <f t="shared" ref="P47:S47" si="156">SUBSTITUTE(SUBSTITUTE(SUBSTITUTE(SUBSTITUTE(SUBSTITUTE(SUBSTITUTE(SUBSTITUTE(G47,"1","S"),"2","R"),"3","G"),"4","M"),"5","P"),"6","D"),"7","N")</f>
        <v>M</v>
      </c>
      <c r="Q47" s="58" t="str">
        <f t="shared" si="156"/>
        <v>G</v>
      </c>
      <c r="R47" s="58" t="str">
        <f t="shared" si="156"/>
        <v>R</v>
      </c>
      <c r="S47" s="58" t="str">
        <f t="shared" si="156"/>
        <v>P</v>
      </c>
      <c r="T47" s="55" t="str">
        <f>IFERROR(__xludf.DUMMYFUNCTION("CONCATENATE(JOIN("""",P47:S47))"),"MGRP")</f>
        <v>MGRP</v>
      </c>
      <c r="U47" s="32"/>
      <c r="V47" s="32"/>
      <c r="W47" s="32"/>
    </row>
    <row r="48">
      <c r="A48" s="53" t="s">
        <v>276</v>
      </c>
      <c r="B48" s="55">
        <v>2345.0</v>
      </c>
      <c r="C48" s="58">
        <f t="shared" ref="C48:F48" si="157">C24+1</f>
        <v>5</v>
      </c>
      <c r="D48" s="272">
        <f t="shared" si="157"/>
        <v>3</v>
      </c>
      <c r="E48" s="272">
        <f t="shared" si="157"/>
        <v>2</v>
      </c>
      <c r="F48" s="273">
        <f t="shared" si="157"/>
        <v>4</v>
      </c>
      <c r="G48" s="69" t="str">
        <f t="shared" ref="G48:J48" si="158">SUBSTITUTE(SUBSTITUTE(SUBSTITUTE(C48,"8","1"),"9","2"),"10","3")</f>
        <v>5</v>
      </c>
      <c r="H48" s="69" t="str">
        <f t="shared" si="158"/>
        <v>3</v>
      </c>
      <c r="I48" s="69" t="str">
        <f t="shared" si="158"/>
        <v>2</v>
      </c>
      <c r="J48" s="74" t="str">
        <f t="shared" si="158"/>
        <v>4</v>
      </c>
      <c r="K48" s="58" t="str">
        <f t="shared" ref="K48:N48" si="159">SUBSTITUTE(SUBSTITUTE(SUBSTITUTE(SUBSTITUTE(SUBSTITUTE(SUBSTITUTE(SUBSTITUTE(G48,"1","Sa"),"2","Re"),"3","Ga"),"4","Ma"),"5","Pa"),"6","Dha"),"7","Ni")</f>
        <v>Pa</v>
      </c>
      <c r="L48" s="58" t="str">
        <f t="shared" si="159"/>
        <v>Ga</v>
      </c>
      <c r="M48" s="58" t="str">
        <f t="shared" si="159"/>
        <v>Re</v>
      </c>
      <c r="N48" s="61" t="str">
        <f t="shared" si="159"/>
        <v>Ma</v>
      </c>
      <c r="O48" s="55" t="str">
        <f>IFERROR(__xludf.DUMMYFUNCTION("CONCATENATE(JOIN(""-"",K48:N48))"),"Pa-Ga-Re-Ma")</f>
        <v>Pa-Ga-Re-Ma</v>
      </c>
      <c r="P48" s="58" t="str">
        <f t="shared" ref="P48:S48" si="160">SUBSTITUTE(SUBSTITUTE(SUBSTITUTE(SUBSTITUTE(SUBSTITUTE(SUBSTITUTE(SUBSTITUTE(G48,"1","S"),"2","R"),"3","G"),"4","M"),"5","P"),"6","D"),"7","N")</f>
        <v>P</v>
      </c>
      <c r="Q48" s="58" t="str">
        <f t="shared" si="160"/>
        <v>G</v>
      </c>
      <c r="R48" s="58" t="str">
        <f t="shared" si="160"/>
        <v>R</v>
      </c>
      <c r="S48" s="58" t="str">
        <f t="shared" si="160"/>
        <v>M</v>
      </c>
      <c r="T48" s="55" t="str">
        <f>IFERROR(__xludf.DUMMYFUNCTION("CONCATENATE(JOIN("""",P48:S48))"),"PGRM")</f>
        <v>PGRM</v>
      </c>
      <c r="U48" s="32"/>
      <c r="V48" s="32"/>
      <c r="W48" s="32"/>
    </row>
    <row r="49">
      <c r="A49" s="53" t="s">
        <v>278</v>
      </c>
      <c r="B49" s="55">
        <v>2345.0</v>
      </c>
      <c r="C49" s="58">
        <f t="shared" ref="C49:F49" si="161">C25+1</f>
        <v>5</v>
      </c>
      <c r="D49" s="272">
        <f t="shared" si="161"/>
        <v>4</v>
      </c>
      <c r="E49" s="272">
        <f t="shared" si="161"/>
        <v>2</v>
      </c>
      <c r="F49" s="273">
        <f t="shared" si="161"/>
        <v>3</v>
      </c>
      <c r="G49" s="69" t="str">
        <f t="shared" ref="G49:J49" si="162">SUBSTITUTE(SUBSTITUTE(SUBSTITUTE(C49,"8","1"),"9","2"),"10","3")</f>
        <v>5</v>
      </c>
      <c r="H49" s="69" t="str">
        <f t="shared" si="162"/>
        <v>4</v>
      </c>
      <c r="I49" s="69" t="str">
        <f t="shared" si="162"/>
        <v>2</v>
      </c>
      <c r="J49" s="74" t="str">
        <f t="shared" si="162"/>
        <v>3</v>
      </c>
      <c r="K49" s="58" t="str">
        <f t="shared" ref="K49:N49" si="163">SUBSTITUTE(SUBSTITUTE(SUBSTITUTE(SUBSTITUTE(SUBSTITUTE(SUBSTITUTE(SUBSTITUTE(G49,"1","Sa"),"2","Re"),"3","Ga"),"4","Ma"),"5","Pa"),"6","Dha"),"7","Ni")</f>
        <v>Pa</v>
      </c>
      <c r="L49" s="58" t="str">
        <f t="shared" si="163"/>
        <v>Ma</v>
      </c>
      <c r="M49" s="58" t="str">
        <f t="shared" si="163"/>
        <v>Re</v>
      </c>
      <c r="N49" s="61" t="str">
        <f t="shared" si="163"/>
        <v>Ga</v>
      </c>
      <c r="O49" s="55" t="str">
        <f>IFERROR(__xludf.DUMMYFUNCTION("CONCATENATE(JOIN(""-"",K49:N49))"),"Pa-Ma-Re-Ga")</f>
        <v>Pa-Ma-Re-Ga</v>
      </c>
      <c r="P49" s="58" t="str">
        <f t="shared" ref="P49:S49" si="164">SUBSTITUTE(SUBSTITUTE(SUBSTITUTE(SUBSTITUTE(SUBSTITUTE(SUBSTITUTE(SUBSTITUTE(G49,"1","S"),"2","R"),"3","G"),"4","M"),"5","P"),"6","D"),"7","N")</f>
        <v>P</v>
      </c>
      <c r="Q49" s="58" t="str">
        <f t="shared" si="164"/>
        <v>M</v>
      </c>
      <c r="R49" s="58" t="str">
        <f t="shared" si="164"/>
        <v>R</v>
      </c>
      <c r="S49" s="58" t="str">
        <f t="shared" si="164"/>
        <v>G</v>
      </c>
      <c r="T49" s="55" t="str">
        <f>IFERROR(__xludf.DUMMYFUNCTION("CONCATENATE(JOIN("""",P49:S49))"),"PMRG")</f>
        <v>PMRG</v>
      </c>
      <c r="U49" s="32"/>
      <c r="V49" s="32"/>
      <c r="W49" s="32"/>
    </row>
    <row r="50">
      <c r="A50" s="262" t="s">
        <v>280</v>
      </c>
      <c r="B50" s="263">
        <v>2345.0</v>
      </c>
      <c r="C50" s="264">
        <f t="shared" ref="C50:F50" si="165">C26+1</f>
        <v>5</v>
      </c>
      <c r="D50" s="360">
        <f t="shared" si="165"/>
        <v>4</v>
      </c>
      <c r="E50" s="360">
        <f t="shared" si="165"/>
        <v>3</v>
      </c>
      <c r="F50" s="361">
        <f t="shared" si="165"/>
        <v>2</v>
      </c>
      <c r="G50" s="266" t="str">
        <f t="shared" ref="G50:J50" si="166">SUBSTITUTE(SUBSTITUTE(SUBSTITUTE(C50,"8","1"),"9","2"),"10","3")</f>
        <v>5</v>
      </c>
      <c r="H50" s="266" t="str">
        <f t="shared" si="166"/>
        <v>4</v>
      </c>
      <c r="I50" s="266" t="str">
        <f t="shared" si="166"/>
        <v>3</v>
      </c>
      <c r="J50" s="268" t="str">
        <f t="shared" si="166"/>
        <v>2</v>
      </c>
      <c r="K50" s="264" t="str">
        <f t="shared" ref="K50:N50" si="167">SUBSTITUTE(SUBSTITUTE(SUBSTITUTE(SUBSTITUTE(SUBSTITUTE(SUBSTITUTE(SUBSTITUTE(G50,"1","Sa"),"2","Re"),"3","Ga"),"4","Ma"),"5","Pa"),"6","Dha"),"7","Ni")</f>
        <v>Pa</v>
      </c>
      <c r="L50" s="264" t="str">
        <f t="shared" si="167"/>
        <v>Ma</v>
      </c>
      <c r="M50" s="264" t="str">
        <f t="shared" si="167"/>
        <v>Ga</v>
      </c>
      <c r="N50" s="265" t="str">
        <f t="shared" si="167"/>
        <v>Re</v>
      </c>
      <c r="O50" s="263" t="str">
        <f>IFERROR(__xludf.DUMMYFUNCTION("CONCATENATE(JOIN(""-"",K50:N50))"),"Pa-Ma-Ga-Re")</f>
        <v>Pa-Ma-Ga-Re</v>
      </c>
      <c r="P50" s="264" t="str">
        <f t="shared" ref="P50:S50" si="168">SUBSTITUTE(SUBSTITUTE(SUBSTITUTE(SUBSTITUTE(SUBSTITUTE(SUBSTITUTE(SUBSTITUTE(G50,"1","S"),"2","R"),"3","G"),"4","M"),"5","P"),"6","D"),"7","N")</f>
        <v>P</v>
      </c>
      <c r="Q50" s="264" t="str">
        <f t="shared" si="168"/>
        <v>M</v>
      </c>
      <c r="R50" s="264" t="str">
        <f t="shared" si="168"/>
        <v>G</v>
      </c>
      <c r="S50" s="264" t="str">
        <f t="shared" si="168"/>
        <v>R</v>
      </c>
      <c r="T50" s="263" t="str">
        <f>IFERROR(__xludf.DUMMYFUNCTION("CONCATENATE(JOIN("""",P50:S50))"),"PMGR")</f>
        <v>PMGR</v>
      </c>
      <c r="U50" s="32"/>
      <c r="V50" s="32"/>
      <c r="W50" s="32"/>
    </row>
    <row r="51">
      <c r="A51" s="53" t="s">
        <v>283</v>
      </c>
      <c r="B51" s="55">
        <v>3456.0</v>
      </c>
      <c r="C51" s="58">
        <f t="shared" ref="C51:F51" si="169">C3+2</f>
        <v>3</v>
      </c>
      <c r="D51" s="272">
        <f t="shared" si="169"/>
        <v>4</v>
      </c>
      <c r="E51" s="272">
        <f t="shared" si="169"/>
        <v>5</v>
      </c>
      <c r="F51" s="273">
        <f t="shared" si="169"/>
        <v>6</v>
      </c>
      <c r="G51" s="69" t="str">
        <f t="shared" ref="G51:J51" si="170">SUBSTITUTE(SUBSTITUTE(SUBSTITUTE(C51,"8","1"),"9","2"),"10","3")</f>
        <v>3</v>
      </c>
      <c r="H51" s="69" t="str">
        <f t="shared" si="170"/>
        <v>4</v>
      </c>
      <c r="I51" s="69" t="str">
        <f t="shared" si="170"/>
        <v>5</v>
      </c>
      <c r="J51" s="74" t="str">
        <f t="shared" si="170"/>
        <v>6</v>
      </c>
      <c r="K51" s="58" t="str">
        <f t="shared" ref="K51:N51" si="171">SUBSTITUTE(SUBSTITUTE(SUBSTITUTE(SUBSTITUTE(SUBSTITUTE(SUBSTITUTE(SUBSTITUTE(G51,"1","Sa"),"2","Re"),"3","Ga"),"4","Ma"),"5","Pa"),"6","Dha"),"7","Ni")</f>
        <v>Ga</v>
      </c>
      <c r="L51" s="58" t="str">
        <f t="shared" si="171"/>
        <v>Ma</v>
      </c>
      <c r="M51" s="58" t="str">
        <f t="shared" si="171"/>
        <v>Pa</v>
      </c>
      <c r="N51" s="61" t="str">
        <f t="shared" si="171"/>
        <v>Dha</v>
      </c>
      <c r="O51" s="55" t="str">
        <f>IFERROR(__xludf.DUMMYFUNCTION("CONCATENATE(JOIN(""-"",K51:N51))"),"Ga-Ma-Pa-Dha")</f>
        <v>Ga-Ma-Pa-Dha</v>
      </c>
      <c r="P51" s="58" t="str">
        <f t="shared" ref="P51:S51" si="172">SUBSTITUTE(SUBSTITUTE(SUBSTITUTE(SUBSTITUTE(SUBSTITUTE(SUBSTITUTE(SUBSTITUTE(G51,"1","S"),"2","R"),"3","G"),"4","M"),"5","P"),"6","D"),"7","N")</f>
        <v>G</v>
      </c>
      <c r="Q51" s="58" t="str">
        <f t="shared" si="172"/>
        <v>M</v>
      </c>
      <c r="R51" s="58" t="str">
        <f t="shared" si="172"/>
        <v>P</v>
      </c>
      <c r="S51" s="58" t="str">
        <f t="shared" si="172"/>
        <v>D</v>
      </c>
      <c r="T51" s="55" t="str">
        <f>IFERROR(__xludf.DUMMYFUNCTION("CONCATENATE(JOIN("""",P51:S51))"),"GMPD")</f>
        <v>GMPD</v>
      </c>
      <c r="U51" s="32" t="str">
        <f>IFERROR(__xludf.DUMMYFUNCTION("CONCATENATE(JOIN("" | "",T51:T74))"),"GMPD | GMDP | GPDM | MPDG | MGPD | MGDP | PGDM | PMDG | GPMD | GDMP | GDPM | MDPG | PGMD | DGMP | DGPM | DMPG | MPGD | MDGP | PDGM | PDMG | PMGD | DMGP | DPGM | DPMG")</f>
        <v>GMPD | GMDP | GPDM | MPDG | MGPD | MGDP | PGDM | PMDG | GPMD | GDMP | GDPM | MDPG | PGMD | DGMP | DGPM | DMPG | MPGD | MDGP | PDGM | PDMG | PMGD | DMGP | DPGM | DPMG</v>
      </c>
      <c r="V51" s="32"/>
      <c r="W51" s="32"/>
    </row>
    <row r="52">
      <c r="A52" s="53" t="s">
        <v>285</v>
      </c>
      <c r="B52" s="55">
        <v>3456.0</v>
      </c>
      <c r="C52" s="58">
        <f t="shared" ref="C52:F52" si="173">C4+2</f>
        <v>3</v>
      </c>
      <c r="D52" s="272">
        <f t="shared" si="173"/>
        <v>4</v>
      </c>
      <c r="E52" s="272">
        <f t="shared" si="173"/>
        <v>6</v>
      </c>
      <c r="F52" s="273">
        <f t="shared" si="173"/>
        <v>5</v>
      </c>
      <c r="G52" s="69" t="str">
        <f t="shared" ref="G52:J52" si="174">SUBSTITUTE(SUBSTITUTE(SUBSTITUTE(C52,"8","1"),"9","2"),"10","3")</f>
        <v>3</v>
      </c>
      <c r="H52" s="69" t="str">
        <f t="shared" si="174"/>
        <v>4</v>
      </c>
      <c r="I52" s="69" t="str">
        <f t="shared" si="174"/>
        <v>6</v>
      </c>
      <c r="J52" s="74" t="str">
        <f t="shared" si="174"/>
        <v>5</v>
      </c>
      <c r="K52" s="58" t="str">
        <f t="shared" ref="K52:N52" si="175">SUBSTITUTE(SUBSTITUTE(SUBSTITUTE(SUBSTITUTE(SUBSTITUTE(SUBSTITUTE(SUBSTITUTE(G52,"1","Sa"),"2","Re"),"3","Ga"),"4","Ma"),"5","Pa"),"6","Dha"),"7","Ni")</f>
        <v>Ga</v>
      </c>
      <c r="L52" s="58" t="str">
        <f t="shared" si="175"/>
        <v>Ma</v>
      </c>
      <c r="M52" s="58" t="str">
        <f t="shared" si="175"/>
        <v>Dha</v>
      </c>
      <c r="N52" s="61" t="str">
        <f t="shared" si="175"/>
        <v>Pa</v>
      </c>
      <c r="O52" s="55" t="str">
        <f>IFERROR(__xludf.DUMMYFUNCTION("CONCATENATE(JOIN(""-"",K52:N52))"),"Ga-Ma-Dha-Pa")</f>
        <v>Ga-Ma-Dha-Pa</v>
      </c>
      <c r="P52" s="58" t="str">
        <f t="shared" ref="P52:S52" si="176">SUBSTITUTE(SUBSTITUTE(SUBSTITUTE(SUBSTITUTE(SUBSTITUTE(SUBSTITUTE(SUBSTITUTE(G52,"1","S"),"2","R"),"3","G"),"4","M"),"5","P"),"6","D"),"7","N")</f>
        <v>G</v>
      </c>
      <c r="Q52" s="58" t="str">
        <f t="shared" si="176"/>
        <v>M</v>
      </c>
      <c r="R52" s="58" t="str">
        <f t="shared" si="176"/>
        <v>D</v>
      </c>
      <c r="S52" s="58" t="str">
        <f t="shared" si="176"/>
        <v>P</v>
      </c>
      <c r="T52" s="55" t="str">
        <f>IFERROR(__xludf.DUMMYFUNCTION("CONCATENATE(JOIN("""",P52:S52))"),"GMDP")</f>
        <v>GMDP</v>
      </c>
      <c r="U52" s="32"/>
      <c r="V52" s="32"/>
      <c r="W52" s="32"/>
    </row>
    <row r="53">
      <c r="A53" s="53" t="s">
        <v>287</v>
      </c>
      <c r="B53" s="55">
        <v>3456.0</v>
      </c>
      <c r="C53" s="58">
        <f t="shared" ref="C53:F53" si="177">C5+2</f>
        <v>3</v>
      </c>
      <c r="D53" s="272">
        <f t="shared" si="177"/>
        <v>5</v>
      </c>
      <c r="E53" s="272">
        <f t="shared" si="177"/>
        <v>6</v>
      </c>
      <c r="F53" s="273">
        <f t="shared" si="177"/>
        <v>4</v>
      </c>
      <c r="G53" s="69" t="str">
        <f t="shared" ref="G53:J53" si="178">SUBSTITUTE(SUBSTITUTE(SUBSTITUTE(C53,"8","1"),"9","2"),"10","3")</f>
        <v>3</v>
      </c>
      <c r="H53" s="69" t="str">
        <f t="shared" si="178"/>
        <v>5</v>
      </c>
      <c r="I53" s="69" t="str">
        <f t="shared" si="178"/>
        <v>6</v>
      </c>
      <c r="J53" s="74" t="str">
        <f t="shared" si="178"/>
        <v>4</v>
      </c>
      <c r="K53" s="58" t="str">
        <f t="shared" ref="K53:N53" si="179">SUBSTITUTE(SUBSTITUTE(SUBSTITUTE(SUBSTITUTE(SUBSTITUTE(SUBSTITUTE(SUBSTITUTE(G53,"1","Sa"),"2","Re"),"3","Ga"),"4","Ma"),"5","Pa"),"6","Dha"),"7","Ni")</f>
        <v>Ga</v>
      </c>
      <c r="L53" s="58" t="str">
        <f t="shared" si="179"/>
        <v>Pa</v>
      </c>
      <c r="M53" s="58" t="str">
        <f t="shared" si="179"/>
        <v>Dha</v>
      </c>
      <c r="N53" s="61" t="str">
        <f t="shared" si="179"/>
        <v>Ma</v>
      </c>
      <c r="O53" s="55" t="str">
        <f>IFERROR(__xludf.DUMMYFUNCTION("CONCATENATE(JOIN(""-"",K53:N53))"),"Ga-Pa-Dha-Ma")</f>
        <v>Ga-Pa-Dha-Ma</v>
      </c>
      <c r="P53" s="58" t="str">
        <f t="shared" ref="P53:S53" si="180">SUBSTITUTE(SUBSTITUTE(SUBSTITUTE(SUBSTITUTE(SUBSTITUTE(SUBSTITUTE(SUBSTITUTE(G53,"1","S"),"2","R"),"3","G"),"4","M"),"5","P"),"6","D"),"7","N")</f>
        <v>G</v>
      </c>
      <c r="Q53" s="58" t="str">
        <f t="shared" si="180"/>
        <v>P</v>
      </c>
      <c r="R53" s="58" t="str">
        <f t="shared" si="180"/>
        <v>D</v>
      </c>
      <c r="S53" s="58" t="str">
        <f t="shared" si="180"/>
        <v>M</v>
      </c>
      <c r="T53" s="55" t="str">
        <f>IFERROR(__xludf.DUMMYFUNCTION("CONCATENATE(JOIN("""",P53:S53))"),"GPDM")</f>
        <v>GPDM</v>
      </c>
      <c r="U53" s="32"/>
      <c r="V53" s="32"/>
      <c r="W53" s="32"/>
    </row>
    <row r="54">
      <c r="A54" s="53" t="s">
        <v>290</v>
      </c>
      <c r="B54" s="55">
        <v>3456.0</v>
      </c>
      <c r="C54" s="58">
        <f t="shared" ref="C54:F54" si="181">C6+2</f>
        <v>4</v>
      </c>
      <c r="D54" s="272">
        <f t="shared" si="181"/>
        <v>5</v>
      </c>
      <c r="E54" s="272">
        <f t="shared" si="181"/>
        <v>6</v>
      </c>
      <c r="F54" s="273">
        <f t="shared" si="181"/>
        <v>3</v>
      </c>
      <c r="G54" s="69" t="str">
        <f t="shared" ref="G54:J54" si="182">SUBSTITUTE(SUBSTITUTE(SUBSTITUTE(C54,"8","1"),"9","2"),"10","3")</f>
        <v>4</v>
      </c>
      <c r="H54" s="69" t="str">
        <f t="shared" si="182"/>
        <v>5</v>
      </c>
      <c r="I54" s="69" t="str">
        <f t="shared" si="182"/>
        <v>6</v>
      </c>
      <c r="J54" s="74" t="str">
        <f t="shared" si="182"/>
        <v>3</v>
      </c>
      <c r="K54" s="58" t="str">
        <f t="shared" ref="K54:N54" si="183">SUBSTITUTE(SUBSTITUTE(SUBSTITUTE(SUBSTITUTE(SUBSTITUTE(SUBSTITUTE(SUBSTITUTE(G54,"1","Sa"),"2","Re"),"3","Ga"),"4","Ma"),"5","Pa"),"6","Dha"),"7","Ni")</f>
        <v>Ma</v>
      </c>
      <c r="L54" s="58" t="str">
        <f t="shared" si="183"/>
        <v>Pa</v>
      </c>
      <c r="M54" s="58" t="str">
        <f t="shared" si="183"/>
        <v>Dha</v>
      </c>
      <c r="N54" s="61" t="str">
        <f t="shared" si="183"/>
        <v>Ga</v>
      </c>
      <c r="O54" s="55" t="str">
        <f>IFERROR(__xludf.DUMMYFUNCTION("CONCATENATE(JOIN(""-"",K54:N54))"),"Ma-Pa-Dha-Ga")</f>
        <v>Ma-Pa-Dha-Ga</v>
      </c>
      <c r="P54" s="58" t="str">
        <f t="shared" ref="P54:S54" si="184">SUBSTITUTE(SUBSTITUTE(SUBSTITUTE(SUBSTITUTE(SUBSTITUTE(SUBSTITUTE(SUBSTITUTE(G54,"1","S"),"2","R"),"3","G"),"4","M"),"5","P"),"6","D"),"7","N")</f>
        <v>M</v>
      </c>
      <c r="Q54" s="58" t="str">
        <f t="shared" si="184"/>
        <v>P</v>
      </c>
      <c r="R54" s="58" t="str">
        <f t="shared" si="184"/>
        <v>D</v>
      </c>
      <c r="S54" s="58" t="str">
        <f t="shared" si="184"/>
        <v>G</v>
      </c>
      <c r="T54" s="55" t="str">
        <f>IFERROR(__xludf.DUMMYFUNCTION("CONCATENATE(JOIN("""",P54:S54))"),"MPDG")</f>
        <v>MPDG</v>
      </c>
      <c r="U54" s="32"/>
      <c r="V54" s="32"/>
      <c r="W54" s="32"/>
    </row>
    <row r="55">
      <c r="A55" s="53" t="s">
        <v>292</v>
      </c>
      <c r="B55" s="55">
        <v>3456.0</v>
      </c>
      <c r="C55" s="58">
        <f t="shared" ref="C55:F55" si="185">C7+2</f>
        <v>4</v>
      </c>
      <c r="D55" s="272">
        <f t="shared" si="185"/>
        <v>3</v>
      </c>
      <c r="E55" s="272">
        <f t="shared" si="185"/>
        <v>5</v>
      </c>
      <c r="F55" s="273">
        <f t="shared" si="185"/>
        <v>6</v>
      </c>
      <c r="G55" s="69" t="str">
        <f t="shared" ref="G55:J55" si="186">SUBSTITUTE(SUBSTITUTE(SUBSTITUTE(C55,"8","1"),"9","2"),"10","3")</f>
        <v>4</v>
      </c>
      <c r="H55" s="69" t="str">
        <f t="shared" si="186"/>
        <v>3</v>
      </c>
      <c r="I55" s="69" t="str">
        <f t="shared" si="186"/>
        <v>5</v>
      </c>
      <c r="J55" s="74" t="str">
        <f t="shared" si="186"/>
        <v>6</v>
      </c>
      <c r="K55" s="58" t="str">
        <f t="shared" ref="K55:N55" si="187">SUBSTITUTE(SUBSTITUTE(SUBSTITUTE(SUBSTITUTE(SUBSTITUTE(SUBSTITUTE(SUBSTITUTE(G55,"1","Sa"),"2","Re"),"3","Ga"),"4","Ma"),"5","Pa"),"6","Dha"),"7","Ni")</f>
        <v>Ma</v>
      </c>
      <c r="L55" s="58" t="str">
        <f t="shared" si="187"/>
        <v>Ga</v>
      </c>
      <c r="M55" s="58" t="str">
        <f t="shared" si="187"/>
        <v>Pa</v>
      </c>
      <c r="N55" s="61" t="str">
        <f t="shared" si="187"/>
        <v>Dha</v>
      </c>
      <c r="O55" s="55" t="str">
        <f>IFERROR(__xludf.DUMMYFUNCTION("CONCATENATE(JOIN(""-"",K55:N55))"),"Ma-Ga-Pa-Dha")</f>
        <v>Ma-Ga-Pa-Dha</v>
      </c>
      <c r="P55" s="58" t="str">
        <f t="shared" ref="P55:S55" si="188">SUBSTITUTE(SUBSTITUTE(SUBSTITUTE(SUBSTITUTE(SUBSTITUTE(SUBSTITUTE(SUBSTITUTE(G55,"1","S"),"2","R"),"3","G"),"4","M"),"5","P"),"6","D"),"7","N")</f>
        <v>M</v>
      </c>
      <c r="Q55" s="58" t="str">
        <f t="shared" si="188"/>
        <v>G</v>
      </c>
      <c r="R55" s="58" t="str">
        <f t="shared" si="188"/>
        <v>P</v>
      </c>
      <c r="S55" s="58" t="str">
        <f t="shared" si="188"/>
        <v>D</v>
      </c>
      <c r="T55" s="55" t="str">
        <f>IFERROR(__xludf.DUMMYFUNCTION("CONCATENATE(JOIN("""",P55:S55))"),"MGPD")</f>
        <v>MGPD</v>
      </c>
      <c r="U55" s="32"/>
      <c r="V55" s="32"/>
      <c r="W55" s="32"/>
    </row>
    <row r="56">
      <c r="A56" s="53" t="s">
        <v>294</v>
      </c>
      <c r="B56" s="55">
        <v>3456.0</v>
      </c>
      <c r="C56" s="58">
        <f t="shared" ref="C56:F56" si="189">C8+2</f>
        <v>4</v>
      </c>
      <c r="D56" s="272">
        <f t="shared" si="189"/>
        <v>3</v>
      </c>
      <c r="E56" s="272">
        <f t="shared" si="189"/>
        <v>6</v>
      </c>
      <c r="F56" s="273">
        <f t="shared" si="189"/>
        <v>5</v>
      </c>
      <c r="G56" s="69" t="str">
        <f t="shared" ref="G56:J56" si="190">SUBSTITUTE(SUBSTITUTE(SUBSTITUTE(C56,"8","1"),"9","2"),"10","3")</f>
        <v>4</v>
      </c>
      <c r="H56" s="69" t="str">
        <f t="shared" si="190"/>
        <v>3</v>
      </c>
      <c r="I56" s="69" t="str">
        <f t="shared" si="190"/>
        <v>6</v>
      </c>
      <c r="J56" s="74" t="str">
        <f t="shared" si="190"/>
        <v>5</v>
      </c>
      <c r="K56" s="58" t="str">
        <f t="shared" ref="K56:N56" si="191">SUBSTITUTE(SUBSTITUTE(SUBSTITUTE(SUBSTITUTE(SUBSTITUTE(SUBSTITUTE(SUBSTITUTE(G56,"1","Sa"),"2","Re"),"3","Ga"),"4","Ma"),"5","Pa"),"6","Dha"),"7","Ni")</f>
        <v>Ma</v>
      </c>
      <c r="L56" s="58" t="str">
        <f t="shared" si="191"/>
        <v>Ga</v>
      </c>
      <c r="M56" s="58" t="str">
        <f t="shared" si="191"/>
        <v>Dha</v>
      </c>
      <c r="N56" s="61" t="str">
        <f t="shared" si="191"/>
        <v>Pa</v>
      </c>
      <c r="O56" s="55" t="str">
        <f>IFERROR(__xludf.DUMMYFUNCTION("CONCATENATE(JOIN(""-"",K56:N56))"),"Ma-Ga-Dha-Pa")</f>
        <v>Ma-Ga-Dha-Pa</v>
      </c>
      <c r="P56" s="58" t="str">
        <f t="shared" ref="P56:S56" si="192">SUBSTITUTE(SUBSTITUTE(SUBSTITUTE(SUBSTITUTE(SUBSTITUTE(SUBSTITUTE(SUBSTITUTE(G56,"1","S"),"2","R"),"3","G"),"4","M"),"5","P"),"6","D"),"7","N")</f>
        <v>M</v>
      </c>
      <c r="Q56" s="58" t="str">
        <f t="shared" si="192"/>
        <v>G</v>
      </c>
      <c r="R56" s="58" t="str">
        <f t="shared" si="192"/>
        <v>D</v>
      </c>
      <c r="S56" s="58" t="str">
        <f t="shared" si="192"/>
        <v>P</v>
      </c>
      <c r="T56" s="55" t="str">
        <f>IFERROR(__xludf.DUMMYFUNCTION("CONCATENATE(JOIN("""",P56:S56))"),"MGDP")</f>
        <v>MGDP</v>
      </c>
      <c r="U56" s="32"/>
      <c r="V56" s="32"/>
      <c r="W56" s="32"/>
    </row>
    <row r="57">
      <c r="A57" s="53" t="s">
        <v>296</v>
      </c>
      <c r="B57" s="55">
        <v>3456.0</v>
      </c>
      <c r="C57" s="58">
        <f t="shared" ref="C57:F57" si="193">C9+2</f>
        <v>5</v>
      </c>
      <c r="D57" s="272">
        <f t="shared" si="193"/>
        <v>3</v>
      </c>
      <c r="E57" s="272">
        <f t="shared" si="193"/>
        <v>6</v>
      </c>
      <c r="F57" s="273">
        <f t="shared" si="193"/>
        <v>4</v>
      </c>
      <c r="G57" s="69" t="str">
        <f t="shared" ref="G57:J57" si="194">SUBSTITUTE(SUBSTITUTE(SUBSTITUTE(C57,"8","1"),"9","2"),"10","3")</f>
        <v>5</v>
      </c>
      <c r="H57" s="69" t="str">
        <f t="shared" si="194"/>
        <v>3</v>
      </c>
      <c r="I57" s="69" t="str">
        <f t="shared" si="194"/>
        <v>6</v>
      </c>
      <c r="J57" s="74" t="str">
        <f t="shared" si="194"/>
        <v>4</v>
      </c>
      <c r="K57" s="58" t="str">
        <f t="shared" ref="K57:N57" si="195">SUBSTITUTE(SUBSTITUTE(SUBSTITUTE(SUBSTITUTE(SUBSTITUTE(SUBSTITUTE(SUBSTITUTE(G57,"1","Sa"),"2","Re"),"3","Ga"),"4","Ma"),"5","Pa"),"6","Dha"),"7","Ni")</f>
        <v>Pa</v>
      </c>
      <c r="L57" s="58" t="str">
        <f t="shared" si="195"/>
        <v>Ga</v>
      </c>
      <c r="M57" s="58" t="str">
        <f t="shared" si="195"/>
        <v>Dha</v>
      </c>
      <c r="N57" s="61" t="str">
        <f t="shared" si="195"/>
        <v>Ma</v>
      </c>
      <c r="O57" s="55" t="str">
        <f>IFERROR(__xludf.DUMMYFUNCTION("CONCATENATE(JOIN(""-"",K57:N57))"),"Pa-Ga-Dha-Ma")</f>
        <v>Pa-Ga-Dha-Ma</v>
      </c>
      <c r="P57" s="58" t="str">
        <f t="shared" ref="P57:S57" si="196">SUBSTITUTE(SUBSTITUTE(SUBSTITUTE(SUBSTITUTE(SUBSTITUTE(SUBSTITUTE(SUBSTITUTE(G57,"1","S"),"2","R"),"3","G"),"4","M"),"5","P"),"6","D"),"7","N")</f>
        <v>P</v>
      </c>
      <c r="Q57" s="58" t="str">
        <f t="shared" si="196"/>
        <v>G</v>
      </c>
      <c r="R57" s="58" t="str">
        <f t="shared" si="196"/>
        <v>D</v>
      </c>
      <c r="S57" s="58" t="str">
        <f t="shared" si="196"/>
        <v>M</v>
      </c>
      <c r="T57" s="55" t="str">
        <f>IFERROR(__xludf.DUMMYFUNCTION("CONCATENATE(JOIN("""",P57:S57))"),"PGDM")</f>
        <v>PGDM</v>
      </c>
      <c r="U57" s="32"/>
      <c r="V57" s="32"/>
      <c r="W57" s="32"/>
    </row>
    <row r="58">
      <c r="A58" s="53" t="s">
        <v>299</v>
      </c>
      <c r="B58" s="55">
        <v>3456.0</v>
      </c>
      <c r="C58" s="58">
        <f t="shared" ref="C58:F58" si="197">C10+2</f>
        <v>5</v>
      </c>
      <c r="D58" s="272">
        <f t="shared" si="197"/>
        <v>4</v>
      </c>
      <c r="E58" s="272">
        <f t="shared" si="197"/>
        <v>6</v>
      </c>
      <c r="F58" s="273">
        <f t="shared" si="197"/>
        <v>3</v>
      </c>
      <c r="G58" s="69" t="str">
        <f t="shared" ref="G58:J58" si="198">SUBSTITUTE(SUBSTITUTE(SUBSTITUTE(C58,"8","1"),"9","2"),"10","3")</f>
        <v>5</v>
      </c>
      <c r="H58" s="69" t="str">
        <f t="shared" si="198"/>
        <v>4</v>
      </c>
      <c r="I58" s="69" t="str">
        <f t="shared" si="198"/>
        <v>6</v>
      </c>
      <c r="J58" s="74" t="str">
        <f t="shared" si="198"/>
        <v>3</v>
      </c>
      <c r="K58" s="58" t="str">
        <f t="shared" ref="K58:N58" si="199">SUBSTITUTE(SUBSTITUTE(SUBSTITUTE(SUBSTITUTE(SUBSTITUTE(SUBSTITUTE(SUBSTITUTE(G58,"1","Sa"),"2","Re"),"3","Ga"),"4","Ma"),"5","Pa"),"6","Dha"),"7","Ni")</f>
        <v>Pa</v>
      </c>
      <c r="L58" s="58" t="str">
        <f t="shared" si="199"/>
        <v>Ma</v>
      </c>
      <c r="M58" s="58" t="str">
        <f t="shared" si="199"/>
        <v>Dha</v>
      </c>
      <c r="N58" s="61" t="str">
        <f t="shared" si="199"/>
        <v>Ga</v>
      </c>
      <c r="O58" s="55" t="str">
        <f>IFERROR(__xludf.DUMMYFUNCTION("CONCATENATE(JOIN(""-"",K58:N58))"),"Pa-Ma-Dha-Ga")</f>
        <v>Pa-Ma-Dha-Ga</v>
      </c>
      <c r="P58" s="58" t="str">
        <f t="shared" ref="P58:S58" si="200">SUBSTITUTE(SUBSTITUTE(SUBSTITUTE(SUBSTITUTE(SUBSTITUTE(SUBSTITUTE(SUBSTITUTE(G58,"1","S"),"2","R"),"3","G"),"4","M"),"5","P"),"6","D"),"7","N")</f>
        <v>P</v>
      </c>
      <c r="Q58" s="58" t="str">
        <f t="shared" si="200"/>
        <v>M</v>
      </c>
      <c r="R58" s="58" t="str">
        <f t="shared" si="200"/>
        <v>D</v>
      </c>
      <c r="S58" s="58" t="str">
        <f t="shared" si="200"/>
        <v>G</v>
      </c>
      <c r="T58" s="55" t="str">
        <f>IFERROR(__xludf.DUMMYFUNCTION("CONCATENATE(JOIN("""",P58:S58))"),"PMDG")</f>
        <v>PMDG</v>
      </c>
      <c r="U58" s="32"/>
      <c r="V58" s="32"/>
      <c r="W58" s="32"/>
    </row>
    <row r="59">
      <c r="A59" s="53" t="s">
        <v>301</v>
      </c>
      <c r="B59" s="55">
        <v>3456.0</v>
      </c>
      <c r="C59" s="58">
        <f t="shared" ref="C59:F59" si="201">C11+2</f>
        <v>3</v>
      </c>
      <c r="D59" s="272">
        <f t="shared" si="201"/>
        <v>5</v>
      </c>
      <c r="E59" s="272">
        <f t="shared" si="201"/>
        <v>4</v>
      </c>
      <c r="F59" s="273">
        <f t="shared" si="201"/>
        <v>6</v>
      </c>
      <c r="G59" s="69" t="str">
        <f t="shared" ref="G59:J59" si="202">SUBSTITUTE(SUBSTITUTE(SUBSTITUTE(C59,"8","1"),"9","2"),"10","3")</f>
        <v>3</v>
      </c>
      <c r="H59" s="69" t="str">
        <f t="shared" si="202"/>
        <v>5</v>
      </c>
      <c r="I59" s="69" t="str">
        <f t="shared" si="202"/>
        <v>4</v>
      </c>
      <c r="J59" s="74" t="str">
        <f t="shared" si="202"/>
        <v>6</v>
      </c>
      <c r="K59" s="58" t="str">
        <f t="shared" ref="K59:N59" si="203">SUBSTITUTE(SUBSTITUTE(SUBSTITUTE(SUBSTITUTE(SUBSTITUTE(SUBSTITUTE(SUBSTITUTE(G59,"1","Sa"),"2","Re"),"3","Ga"),"4","Ma"),"5","Pa"),"6","Dha"),"7","Ni")</f>
        <v>Ga</v>
      </c>
      <c r="L59" s="58" t="str">
        <f t="shared" si="203"/>
        <v>Pa</v>
      </c>
      <c r="M59" s="58" t="str">
        <f t="shared" si="203"/>
        <v>Ma</v>
      </c>
      <c r="N59" s="61" t="str">
        <f t="shared" si="203"/>
        <v>Dha</v>
      </c>
      <c r="O59" s="55" t="str">
        <f>IFERROR(__xludf.DUMMYFUNCTION("CONCATENATE(JOIN(""-"",K59:N59))"),"Ga-Pa-Ma-Dha")</f>
        <v>Ga-Pa-Ma-Dha</v>
      </c>
      <c r="P59" s="58" t="str">
        <f t="shared" ref="P59:S59" si="204">SUBSTITUTE(SUBSTITUTE(SUBSTITUTE(SUBSTITUTE(SUBSTITUTE(SUBSTITUTE(SUBSTITUTE(G59,"1","S"),"2","R"),"3","G"),"4","M"),"5","P"),"6","D"),"7","N")</f>
        <v>G</v>
      </c>
      <c r="Q59" s="58" t="str">
        <f t="shared" si="204"/>
        <v>P</v>
      </c>
      <c r="R59" s="58" t="str">
        <f t="shared" si="204"/>
        <v>M</v>
      </c>
      <c r="S59" s="58" t="str">
        <f t="shared" si="204"/>
        <v>D</v>
      </c>
      <c r="T59" s="55" t="str">
        <f>IFERROR(__xludf.DUMMYFUNCTION("CONCATENATE(JOIN("""",P59:S59))"),"GPMD")</f>
        <v>GPMD</v>
      </c>
      <c r="U59" s="32"/>
      <c r="V59" s="32"/>
      <c r="W59" s="32"/>
    </row>
    <row r="60">
      <c r="A60" s="53" t="s">
        <v>303</v>
      </c>
      <c r="B60" s="55">
        <v>3456.0</v>
      </c>
      <c r="C60" s="58">
        <f t="shared" ref="C60:F60" si="205">C12+2</f>
        <v>3</v>
      </c>
      <c r="D60" s="272">
        <f t="shared" si="205"/>
        <v>6</v>
      </c>
      <c r="E60" s="272">
        <f t="shared" si="205"/>
        <v>4</v>
      </c>
      <c r="F60" s="273">
        <f t="shared" si="205"/>
        <v>5</v>
      </c>
      <c r="G60" s="69" t="str">
        <f t="shared" ref="G60:J60" si="206">SUBSTITUTE(SUBSTITUTE(SUBSTITUTE(C60,"8","1"),"9","2"),"10","3")</f>
        <v>3</v>
      </c>
      <c r="H60" s="69" t="str">
        <f t="shared" si="206"/>
        <v>6</v>
      </c>
      <c r="I60" s="69" t="str">
        <f t="shared" si="206"/>
        <v>4</v>
      </c>
      <c r="J60" s="74" t="str">
        <f t="shared" si="206"/>
        <v>5</v>
      </c>
      <c r="K60" s="58" t="str">
        <f t="shared" ref="K60:N60" si="207">SUBSTITUTE(SUBSTITUTE(SUBSTITUTE(SUBSTITUTE(SUBSTITUTE(SUBSTITUTE(SUBSTITUTE(G60,"1","Sa"),"2","Re"),"3","Ga"),"4","Ma"),"5","Pa"),"6","Dha"),"7","Ni")</f>
        <v>Ga</v>
      </c>
      <c r="L60" s="58" t="str">
        <f t="shared" si="207"/>
        <v>Dha</v>
      </c>
      <c r="M60" s="58" t="str">
        <f t="shared" si="207"/>
        <v>Ma</v>
      </c>
      <c r="N60" s="61" t="str">
        <f t="shared" si="207"/>
        <v>Pa</v>
      </c>
      <c r="O60" s="55" t="str">
        <f>IFERROR(__xludf.DUMMYFUNCTION("CONCATENATE(JOIN(""-"",K60:N60))"),"Ga-Dha-Ma-Pa")</f>
        <v>Ga-Dha-Ma-Pa</v>
      </c>
      <c r="P60" s="58" t="str">
        <f t="shared" ref="P60:S60" si="208">SUBSTITUTE(SUBSTITUTE(SUBSTITUTE(SUBSTITUTE(SUBSTITUTE(SUBSTITUTE(SUBSTITUTE(G60,"1","S"),"2","R"),"3","G"),"4","M"),"5","P"),"6","D"),"7","N")</f>
        <v>G</v>
      </c>
      <c r="Q60" s="58" t="str">
        <f t="shared" si="208"/>
        <v>D</v>
      </c>
      <c r="R60" s="58" t="str">
        <f t="shared" si="208"/>
        <v>M</v>
      </c>
      <c r="S60" s="58" t="str">
        <f t="shared" si="208"/>
        <v>P</v>
      </c>
      <c r="T60" s="55" t="str">
        <f>IFERROR(__xludf.DUMMYFUNCTION("CONCATENATE(JOIN("""",P60:S60))"),"GDMP")</f>
        <v>GDMP</v>
      </c>
      <c r="U60" s="32"/>
      <c r="V60" s="32"/>
      <c r="W60" s="32"/>
    </row>
    <row r="61">
      <c r="A61" s="53" t="s">
        <v>305</v>
      </c>
      <c r="B61" s="55">
        <v>3456.0</v>
      </c>
      <c r="C61" s="58">
        <f t="shared" ref="C61:F61" si="209">C13+2</f>
        <v>3</v>
      </c>
      <c r="D61" s="272">
        <f t="shared" si="209"/>
        <v>6</v>
      </c>
      <c r="E61" s="272">
        <f t="shared" si="209"/>
        <v>5</v>
      </c>
      <c r="F61" s="273">
        <f t="shared" si="209"/>
        <v>4</v>
      </c>
      <c r="G61" s="69" t="str">
        <f t="shared" ref="G61:J61" si="210">SUBSTITUTE(SUBSTITUTE(SUBSTITUTE(C61,"8","1"),"9","2"),"10","3")</f>
        <v>3</v>
      </c>
      <c r="H61" s="69" t="str">
        <f t="shared" si="210"/>
        <v>6</v>
      </c>
      <c r="I61" s="69" t="str">
        <f t="shared" si="210"/>
        <v>5</v>
      </c>
      <c r="J61" s="74" t="str">
        <f t="shared" si="210"/>
        <v>4</v>
      </c>
      <c r="K61" s="58" t="str">
        <f t="shared" ref="K61:N61" si="211">SUBSTITUTE(SUBSTITUTE(SUBSTITUTE(SUBSTITUTE(SUBSTITUTE(SUBSTITUTE(SUBSTITUTE(G61,"1","Sa"),"2","Re"),"3","Ga"),"4","Ma"),"5","Pa"),"6","Dha"),"7","Ni")</f>
        <v>Ga</v>
      </c>
      <c r="L61" s="58" t="str">
        <f t="shared" si="211"/>
        <v>Dha</v>
      </c>
      <c r="M61" s="58" t="str">
        <f t="shared" si="211"/>
        <v>Pa</v>
      </c>
      <c r="N61" s="61" t="str">
        <f t="shared" si="211"/>
        <v>Ma</v>
      </c>
      <c r="O61" s="55" t="str">
        <f>IFERROR(__xludf.DUMMYFUNCTION("CONCATENATE(JOIN(""-"",K61:N61))"),"Ga-Dha-Pa-Ma")</f>
        <v>Ga-Dha-Pa-Ma</v>
      </c>
      <c r="P61" s="58" t="str">
        <f t="shared" ref="P61:S61" si="212">SUBSTITUTE(SUBSTITUTE(SUBSTITUTE(SUBSTITUTE(SUBSTITUTE(SUBSTITUTE(SUBSTITUTE(G61,"1","S"),"2","R"),"3","G"),"4","M"),"5","P"),"6","D"),"7","N")</f>
        <v>G</v>
      </c>
      <c r="Q61" s="58" t="str">
        <f t="shared" si="212"/>
        <v>D</v>
      </c>
      <c r="R61" s="58" t="str">
        <f t="shared" si="212"/>
        <v>P</v>
      </c>
      <c r="S61" s="58" t="str">
        <f t="shared" si="212"/>
        <v>M</v>
      </c>
      <c r="T61" s="55" t="str">
        <f>IFERROR(__xludf.DUMMYFUNCTION("CONCATENATE(JOIN("""",P61:S61))"),"GDPM")</f>
        <v>GDPM</v>
      </c>
      <c r="U61" s="32"/>
      <c r="V61" s="32"/>
      <c r="W61" s="32"/>
    </row>
    <row r="62">
      <c r="A62" s="53" t="s">
        <v>307</v>
      </c>
      <c r="B62" s="55">
        <v>3456.0</v>
      </c>
      <c r="C62" s="58">
        <f t="shared" ref="C62:F62" si="213">C14+2</f>
        <v>4</v>
      </c>
      <c r="D62" s="272">
        <f t="shared" si="213"/>
        <v>6</v>
      </c>
      <c r="E62" s="272">
        <f t="shared" si="213"/>
        <v>5</v>
      </c>
      <c r="F62" s="273">
        <f t="shared" si="213"/>
        <v>3</v>
      </c>
      <c r="G62" s="69" t="str">
        <f t="shared" ref="G62:J62" si="214">SUBSTITUTE(SUBSTITUTE(SUBSTITUTE(C62,"8","1"),"9","2"),"10","3")</f>
        <v>4</v>
      </c>
      <c r="H62" s="69" t="str">
        <f t="shared" si="214"/>
        <v>6</v>
      </c>
      <c r="I62" s="69" t="str">
        <f t="shared" si="214"/>
        <v>5</v>
      </c>
      <c r="J62" s="74" t="str">
        <f t="shared" si="214"/>
        <v>3</v>
      </c>
      <c r="K62" s="58" t="str">
        <f t="shared" ref="K62:N62" si="215">SUBSTITUTE(SUBSTITUTE(SUBSTITUTE(SUBSTITUTE(SUBSTITUTE(SUBSTITUTE(SUBSTITUTE(G62,"1","Sa"),"2","Re"),"3","Ga"),"4","Ma"),"5","Pa"),"6","Dha"),"7","Ni")</f>
        <v>Ma</v>
      </c>
      <c r="L62" s="58" t="str">
        <f t="shared" si="215"/>
        <v>Dha</v>
      </c>
      <c r="M62" s="58" t="str">
        <f t="shared" si="215"/>
        <v>Pa</v>
      </c>
      <c r="N62" s="61" t="str">
        <f t="shared" si="215"/>
        <v>Ga</v>
      </c>
      <c r="O62" s="55" t="str">
        <f>IFERROR(__xludf.DUMMYFUNCTION("CONCATENATE(JOIN(""-"",K62:N62))"),"Ma-Dha-Pa-Ga")</f>
        <v>Ma-Dha-Pa-Ga</v>
      </c>
      <c r="P62" s="58" t="str">
        <f t="shared" ref="P62:S62" si="216">SUBSTITUTE(SUBSTITUTE(SUBSTITUTE(SUBSTITUTE(SUBSTITUTE(SUBSTITUTE(SUBSTITUTE(G62,"1","S"),"2","R"),"3","G"),"4","M"),"5","P"),"6","D"),"7","N")</f>
        <v>M</v>
      </c>
      <c r="Q62" s="58" t="str">
        <f t="shared" si="216"/>
        <v>D</v>
      </c>
      <c r="R62" s="58" t="str">
        <f t="shared" si="216"/>
        <v>P</v>
      </c>
      <c r="S62" s="58" t="str">
        <f t="shared" si="216"/>
        <v>G</v>
      </c>
      <c r="T62" s="55" t="str">
        <f>IFERROR(__xludf.DUMMYFUNCTION("CONCATENATE(JOIN("""",P62:S62))"),"MDPG")</f>
        <v>MDPG</v>
      </c>
      <c r="U62" s="32"/>
      <c r="V62" s="32"/>
      <c r="W62" s="32"/>
    </row>
    <row r="63">
      <c r="A63" s="53" t="s">
        <v>309</v>
      </c>
      <c r="B63" s="55">
        <v>3456.0</v>
      </c>
      <c r="C63" s="58">
        <f t="shared" ref="C63:F63" si="217">C15+2</f>
        <v>5</v>
      </c>
      <c r="D63" s="272">
        <f t="shared" si="217"/>
        <v>3</v>
      </c>
      <c r="E63" s="272">
        <f t="shared" si="217"/>
        <v>4</v>
      </c>
      <c r="F63" s="273">
        <f t="shared" si="217"/>
        <v>6</v>
      </c>
      <c r="G63" s="69" t="str">
        <f t="shared" ref="G63:J63" si="218">SUBSTITUTE(SUBSTITUTE(SUBSTITUTE(C63,"8","1"),"9","2"),"10","3")</f>
        <v>5</v>
      </c>
      <c r="H63" s="69" t="str">
        <f t="shared" si="218"/>
        <v>3</v>
      </c>
      <c r="I63" s="69" t="str">
        <f t="shared" si="218"/>
        <v>4</v>
      </c>
      <c r="J63" s="74" t="str">
        <f t="shared" si="218"/>
        <v>6</v>
      </c>
      <c r="K63" s="58" t="str">
        <f t="shared" ref="K63:N63" si="219">SUBSTITUTE(SUBSTITUTE(SUBSTITUTE(SUBSTITUTE(SUBSTITUTE(SUBSTITUTE(SUBSTITUTE(G63,"1","Sa"),"2","Re"),"3","Ga"),"4","Ma"),"5","Pa"),"6","Dha"),"7","Ni")</f>
        <v>Pa</v>
      </c>
      <c r="L63" s="58" t="str">
        <f t="shared" si="219"/>
        <v>Ga</v>
      </c>
      <c r="M63" s="58" t="str">
        <f t="shared" si="219"/>
        <v>Ma</v>
      </c>
      <c r="N63" s="61" t="str">
        <f t="shared" si="219"/>
        <v>Dha</v>
      </c>
      <c r="O63" s="55" t="str">
        <f>IFERROR(__xludf.DUMMYFUNCTION("CONCATENATE(JOIN(""-"",K63:N63))"),"Pa-Ga-Ma-Dha")</f>
        <v>Pa-Ga-Ma-Dha</v>
      </c>
      <c r="P63" s="58" t="str">
        <f t="shared" ref="P63:S63" si="220">SUBSTITUTE(SUBSTITUTE(SUBSTITUTE(SUBSTITUTE(SUBSTITUTE(SUBSTITUTE(SUBSTITUTE(G63,"1","S"),"2","R"),"3","G"),"4","M"),"5","P"),"6","D"),"7","N")</f>
        <v>P</v>
      </c>
      <c r="Q63" s="58" t="str">
        <f t="shared" si="220"/>
        <v>G</v>
      </c>
      <c r="R63" s="58" t="str">
        <f t="shared" si="220"/>
        <v>M</v>
      </c>
      <c r="S63" s="58" t="str">
        <f t="shared" si="220"/>
        <v>D</v>
      </c>
      <c r="T63" s="55" t="str">
        <f>IFERROR(__xludf.DUMMYFUNCTION("CONCATENATE(JOIN("""",P63:S63))"),"PGMD")</f>
        <v>PGMD</v>
      </c>
      <c r="U63" s="32"/>
      <c r="V63" s="32"/>
      <c r="W63" s="32"/>
    </row>
    <row r="64">
      <c r="A64" s="53" t="s">
        <v>311</v>
      </c>
      <c r="B64" s="55">
        <v>3456.0</v>
      </c>
      <c r="C64" s="58">
        <f t="shared" ref="C64:F64" si="221">C16+2</f>
        <v>6</v>
      </c>
      <c r="D64" s="272">
        <f t="shared" si="221"/>
        <v>3</v>
      </c>
      <c r="E64" s="272">
        <f t="shared" si="221"/>
        <v>4</v>
      </c>
      <c r="F64" s="273">
        <f t="shared" si="221"/>
        <v>5</v>
      </c>
      <c r="G64" s="69" t="str">
        <f t="shared" ref="G64:J64" si="222">SUBSTITUTE(SUBSTITUTE(SUBSTITUTE(C64,"8","1"),"9","2"),"10","3")</f>
        <v>6</v>
      </c>
      <c r="H64" s="69" t="str">
        <f t="shared" si="222"/>
        <v>3</v>
      </c>
      <c r="I64" s="69" t="str">
        <f t="shared" si="222"/>
        <v>4</v>
      </c>
      <c r="J64" s="74" t="str">
        <f t="shared" si="222"/>
        <v>5</v>
      </c>
      <c r="K64" s="58" t="str">
        <f t="shared" ref="K64:N64" si="223">SUBSTITUTE(SUBSTITUTE(SUBSTITUTE(SUBSTITUTE(SUBSTITUTE(SUBSTITUTE(SUBSTITUTE(G64,"1","Sa"),"2","Re"),"3","Ga"),"4","Ma"),"5","Pa"),"6","Dha"),"7","Ni")</f>
        <v>Dha</v>
      </c>
      <c r="L64" s="58" t="str">
        <f t="shared" si="223"/>
        <v>Ga</v>
      </c>
      <c r="M64" s="58" t="str">
        <f t="shared" si="223"/>
        <v>Ma</v>
      </c>
      <c r="N64" s="61" t="str">
        <f t="shared" si="223"/>
        <v>Pa</v>
      </c>
      <c r="O64" s="55" t="str">
        <f>IFERROR(__xludf.DUMMYFUNCTION("CONCATENATE(JOIN(""-"",K64:N64))"),"Dha-Ga-Ma-Pa")</f>
        <v>Dha-Ga-Ma-Pa</v>
      </c>
      <c r="P64" s="58" t="str">
        <f t="shared" ref="P64:S64" si="224">SUBSTITUTE(SUBSTITUTE(SUBSTITUTE(SUBSTITUTE(SUBSTITUTE(SUBSTITUTE(SUBSTITUTE(G64,"1","S"),"2","R"),"3","G"),"4","M"),"5","P"),"6","D"),"7","N")</f>
        <v>D</v>
      </c>
      <c r="Q64" s="58" t="str">
        <f t="shared" si="224"/>
        <v>G</v>
      </c>
      <c r="R64" s="58" t="str">
        <f t="shared" si="224"/>
        <v>M</v>
      </c>
      <c r="S64" s="58" t="str">
        <f t="shared" si="224"/>
        <v>P</v>
      </c>
      <c r="T64" s="55" t="str">
        <f>IFERROR(__xludf.DUMMYFUNCTION("CONCATENATE(JOIN("""",P64:S64))"),"DGMP")</f>
        <v>DGMP</v>
      </c>
      <c r="U64" s="32"/>
      <c r="V64" s="32"/>
      <c r="W64" s="32"/>
    </row>
    <row r="65">
      <c r="A65" s="53" t="s">
        <v>313</v>
      </c>
      <c r="B65" s="55">
        <v>3456.0</v>
      </c>
      <c r="C65" s="58">
        <f t="shared" ref="C65:F65" si="225">C17+2</f>
        <v>6</v>
      </c>
      <c r="D65" s="272">
        <f t="shared" si="225"/>
        <v>3</v>
      </c>
      <c r="E65" s="272">
        <f t="shared" si="225"/>
        <v>5</v>
      </c>
      <c r="F65" s="273">
        <f t="shared" si="225"/>
        <v>4</v>
      </c>
      <c r="G65" s="69" t="str">
        <f t="shared" ref="G65:J65" si="226">SUBSTITUTE(SUBSTITUTE(SUBSTITUTE(C65,"8","1"),"9","2"),"10","3")</f>
        <v>6</v>
      </c>
      <c r="H65" s="69" t="str">
        <f t="shared" si="226"/>
        <v>3</v>
      </c>
      <c r="I65" s="69" t="str">
        <f t="shared" si="226"/>
        <v>5</v>
      </c>
      <c r="J65" s="74" t="str">
        <f t="shared" si="226"/>
        <v>4</v>
      </c>
      <c r="K65" s="58" t="str">
        <f t="shared" ref="K65:N65" si="227">SUBSTITUTE(SUBSTITUTE(SUBSTITUTE(SUBSTITUTE(SUBSTITUTE(SUBSTITUTE(SUBSTITUTE(G65,"1","Sa"),"2","Re"),"3","Ga"),"4","Ma"),"5","Pa"),"6","Dha"),"7","Ni")</f>
        <v>Dha</v>
      </c>
      <c r="L65" s="58" t="str">
        <f t="shared" si="227"/>
        <v>Ga</v>
      </c>
      <c r="M65" s="58" t="str">
        <f t="shared" si="227"/>
        <v>Pa</v>
      </c>
      <c r="N65" s="61" t="str">
        <f t="shared" si="227"/>
        <v>Ma</v>
      </c>
      <c r="O65" s="55" t="str">
        <f>IFERROR(__xludf.DUMMYFUNCTION("CONCATENATE(JOIN(""-"",K65:N65))"),"Dha-Ga-Pa-Ma")</f>
        <v>Dha-Ga-Pa-Ma</v>
      </c>
      <c r="P65" s="58" t="str">
        <f t="shared" ref="P65:S65" si="228">SUBSTITUTE(SUBSTITUTE(SUBSTITUTE(SUBSTITUTE(SUBSTITUTE(SUBSTITUTE(SUBSTITUTE(G65,"1","S"),"2","R"),"3","G"),"4","M"),"5","P"),"6","D"),"7","N")</f>
        <v>D</v>
      </c>
      <c r="Q65" s="58" t="str">
        <f t="shared" si="228"/>
        <v>G</v>
      </c>
      <c r="R65" s="58" t="str">
        <f t="shared" si="228"/>
        <v>P</v>
      </c>
      <c r="S65" s="58" t="str">
        <f t="shared" si="228"/>
        <v>M</v>
      </c>
      <c r="T65" s="55" t="str">
        <f>IFERROR(__xludf.DUMMYFUNCTION("CONCATENATE(JOIN("""",P65:S65))"),"DGPM")</f>
        <v>DGPM</v>
      </c>
      <c r="U65" s="32"/>
      <c r="V65" s="32"/>
      <c r="W65" s="32"/>
    </row>
    <row r="66">
      <c r="A66" s="53" t="s">
        <v>315</v>
      </c>
      <c r="B66" s="55">
        <v>3456.0</v>
      </c>
      <c r="C66" s="58">
        <f t="shared" ref="C66:F66" si="229">C18+2</f>
        <v>6</v>
      </c>
      <c r="D66" s="272">
        <f t="shared" si="229"/>
        <v>4</v>
      </c>
      <c r="E66" s="272">
        <f t="shared" si="229"/>
        <v>5</v>
      </c>
      <c r="F66" s="273">
        <f t="shared" si="229"/>
        <v>3</v>
      </c>
      <c r="G66" s="69" t="str">
        <f t="shared" ref="G66:J66" si="230">SUBSTITUTE(SUBSTITUTE(SUBSTITUTE(C66,"8","1"),"9","2"),"10","3")</f>
        <v>6</v>
      </c>
      <c r="H66" s="69" t="str">
        <f t="shared" si="230"/>
        <v>4</v>
      </c>
      <c r="I66" s="69" t="str">
        <f t="shared" si="230"/>
        <v>5</v>
      </c>
      <c r="J66" s="74" t="str">
        <f t="shared" si="230"/>
        <v>3</v>
      </c>
      <c r="K66" s="58" t="str">
        <f t="shared" ref="K66:N66" si="231">SUBSTITUTE(SUBSTITUTE(SUBSTITUTE(SUBSTITUTE(SUBSTITUTE(SUBSTITUTE(SUBSTITUTE(G66,"1","Sa"),"2","Re"),"3","Ga"),"4","Ma"),"5","Pa"),"6","Dha"),"7","Ni")</f>
        <v>Dha</v>
      </c>
      <c r="L66" s="58" t="str">
        <f t="shared" si="231"/>
        <v>Ma</v>
      </c>
      <c r="M66" s="58" t="str">
        <f t="shared" si="231"/>
        <v>Pa</v>
      </c>
      <c r="N66" s="61" t="str">
        <f t="shared" si="231"/>
        <v>Ga</v>
      </c>
      <c r="O66" s="55" t="str">
        <f>IFERROR(__xludf.DUMMYFUNCTION("CONCATENATE(JOIN(""-"",K66:N66))"),"Dha-Ma-Pa-Ga")</f>
        <v>Dha-Ma-Pa-Ga</v>
      </c>
      <c r="P66" s="58" t="str">
        <f t="shared" ref="P66:S66" si="232">SUBSTITUTE(SUBSTITUTE(SUBSTITUTE(SUBSTITUTE(SUBSTITUTE(SUBSTITUTE(SUBSTITUTE(G66,"1","S"),"2","R"),"3","G"),"4","M"),"5","P"),"6","D"),"7","N")</f>
        <v>D</v>
      </c>
      <c r="Q66" s="58" t="str">
        <f t="shared" si="232"/>
        <v>M</v>
      </c>
      <c r="R66" s="58" t="str">
        <f t="shared" si="232"/>
        <v>P</v>
      </c>
      <c r="S66" s="58" t="str">
        <f t="shared" si="232"/>
        <v>G</v>
      </c>
      <c r="T66" s="55" t="str">
        <f>IFERROR(__xludf.DUMMYFUNCTION("CONCATENATE(JOIN("""",P66:S66))"),"DMPG")</f>
        <v>DMPG</v>
      </c>
      <c r="U66" s="32"/>
      <c r="V66" s="32"/>
      <c r="W66" s="32"/>
    </row>
    <row r="67">
      <c r="A67" s="53" t="s">
        <v>319</v>
      </c>
      <c r="B67" s="55">
        <v>3456.0</v>
      </c>
      <c r="C67" s="58">
        <f t="shared" ref="C67:F67" si="233">C19+2</f>
        <v>4</v>
      </c>
      <c r="D67" s="272">
        <f t="shared" si="233"/>
        <v>5</v>
      </c>
      <c r="E67" s="272">
        <f t="shared" si="233"/>
        <v>3</v>
      </c>
      <c r="F67" s="273">
        <f t="shared" si="233"/>
        <v>6</v>
      </c>
      <c r="G67" s="69" t="str">
        <f t="shared" ref="G67:J67" si="234">SUBSTITUTE(SUBSTITUTE(SUBSTITUTE(C67,"8","1"),"9","2"),"10","3")</f>
        <v>4</v>
      </c>
      <c r="H67" s="69" t="str">
        <f t="shared" si="234"/>
        <v>5</v>
      </c>
      <c r="I67" s="69" t="str">
        <f t="shared" si="234"/>
        <v>3</v>
      </c>
      <c r="J67" s="74" t="str">
        <f t="shared" si="234"/>
        <v>6</v>
      </c>
      <c r="K67" s="58" t="str">
        <f t="shared" ref="K67:N67" si="235">SUBSTITUTE(SUBSTITUTE(SUBSTITUTE(SUBSTITUTE(SUBSTITUTE(SUBSTITUTE(SUBSTITUTE(G67,"1","Sa"),"2","Re"),"3","Ga"),"4","Ma"),"5","Pa"),"6","Dha"),"7","Ni")</f>
        <v>Ma</v>
      </c>
      <c r="L67" s="58" t="str">
        <f t="shared" si="235"/>
        <v>Pa</v>
      </c>
      <c r="M67" s="58" t="str">
        <f t="shared" si="235"/>
        <v>Ga</v>
      </c>
      <c r="N67" s="61" t="str">
        <f t="shared" si="235"/>
        <v>Dha</v>
      </c>
      <c r="O67" s="55" t="str">
        <f>IFERROR(__xludf.DUMMYFUNCTION("CONCATENATE(JOIN(""-"",K67:N67))"),"Ma-Pa-Ga-Dha")</f>
        <v>Ma-Pa-Ga-Dha</v>
      </c>
      <c r="P67" s="58" t="str">
        <f t="shared" ref="P67:S67" si="236">SUBSTITUTE(SUBSTITUTE(SUBSTITUTE(SUBSTITUTE(SUBSTITUTE(SUBSTITUTE(SUBSTITUTE(G67,"1","S"),"2","R"),"3","G"),"4","M"),"5","P"),"6","D"),"7","N")</f>
        <v>M</v>
      </c>
      <c r="Q67" s="58" t="str">
        <f t="shared" si="236"/>
        <v>P</v>
      </c>
      <c r="R67" s="58" t="str">
        <f t="shared" si="236"/>
        <v>G</v>
      </c>
      <c r="S67" s="58" t="str">
        <f t="shared" si="236"/>
        <v>D</v>
      </c>
      <c r="T67" s="55" t="str">
        <f>IFERROR(__xludf.DUMMYFUNCTION("CONCATENATE(JOIN("""",P67:S67))"),"MPGD")</f>
        <v>MPGD</v>
      </c>
      <c r="U67" s="32"/>
      <c r="V67" s="32"/>
      <c r="W67" s="32"/>
    </row>
    <row r="68">
      <c r="A68" s="53" t="s">
        <v>321</v>
      </c>
      <c r="B68" s="55">
        <v>3456.0</v>
      </c>
      <c r="C68" s="58">
        <f t="shared" ref="C68:F68" si="237">C20+2</f>
        <v>4</v>
      </c>
      <c r="D68" s="272">
        <f t="shared" si="237"/>
        <v>6</v>
      </c>
      <c r="E68" s="272">
        <f t="shared" si="237"/>
        <v>3</v>
      </c>
      <c r="F68" s="273">
        <f t="shared" si="237"/>
        <v>5</v>
      </c>
      <c r="G68" s="69" t="str">
        <f t="shared" ref="G68:J68" si="238">SUBSTITUTE(SUBSTITUTE(SUBSTITUTE(C68,"8","1"),"9","2"),"10","3")</f>
        <v>4</v>
      </c>
      <c r="H68" s="69" t="str">
        <f t="shared" si="238"/>
        <v>6</v>
      </c>
      <c r="I68" s="69" t="str">
        <f t="shared" si="238"/>
        <v>3</v>
      </c>
      <c r="J68" s="74" t="str">
        <f t="shared" si="238"/>
        <v>5</v>
      </c>
      <c r="K68" s="58" t="str">
        <f t="shared" ref="K68:N68" si="239">SUBSTITUTE(SUBSTITUTE(SUBSTITUTE(SUBSTITUTE(SUBSTITUTE(SUBSTITUTE(SUBSTITUTE(G68,"1","Sa"),"2","Re"),"3","Ga"),"4","Ma"),"5","Pa"),"6","Dha"),"7","Ni")</f>
        <v>Ma</v>
      </c>
      <c r="L68" s="58" t="str">
        <f t="shared" si="239"/>
        <v>Dha</v>
      </c>
      <c r="M68" s="58" t="str">
        <f t="shared" si="239"/>
        <v>Ga</v>
      </c>
      <c r="N68" s="61" t="str">
        <f t="shared" si="239"/>
        <v>Pa</v>
      </c>
      <c r="O68" s="55" t="str">
        <f>IFERROR(__xludf.DUMMYFUNCTION("CONCATENATE(JOIN(""-"",K68:N68))"),"Ma-Dha-Ga-Pa")</f>
        <v>Ma-Dha-Ga-Pa</v>
      </c>
      <c r="P68" s="58" t="str">
        <f t="shared" ref="P68:S68" si="240">SUBSTITUTE(SUBSTITUTE(SUBSTITUTE(SUBSTITUTE(SUBSTITUTE(SUBSTITUTE(SUBSTITUTE(G68,"1","S"),"2","R"),"3","G"),"4","M"),"5","P"),"6","D"),"7","N")</f>
        <v>M</v>
      </c>
      <c r="Q68" s="58" t="str">
        <f t="shared" si="240"/>
        <v>D</v>
      </c>
      <c r="R68" s="58" t="str">
        <f t="shared" si="240"/>
        <v>G</v>
      </c>
      <c r="S68" s="58" t="str">
        <f t="shared" si="240"/>
        <v>P</v>
      </c>
      <c r="T68" s="55" t="str">
        <f>IFERROR(__xludf.DUMMYFUNCTION("CONCATENATE(JOIN("""",P68:S68))"),"MDGP")</f>
        <v>MDGP</v>
      </c>
      <c r="U68" s="32"/>
      <c r="V68" s="32"/>
      <c r="W68" s="32"/>
    </row>
    <row r="69">
      <c r="A69" s="53" t="s">
        <v>323</v>
      </c>
      <c r="B69" s="55">
        <v>3456.0</v>
      </c>
      <c r="C69" s="58">
        <f t="shared" ref="C69:F69" si="241">C21+2</f>
        <v>5</v>
      </c>
      <c r="D69" s="272">
        <f t="shared" si="241"/>
        <v>6</v>
      </c>
      <c r="E69" s="272">
        <f t="shared" si="241"/>
        <v>3</v>
      </c>
      <c r="F69" s="273">
        <f t="shared" si="241"/>
        <v>4</v>
      </c>
      <c r="G69" s="69" t="str">
        <f t="shared" ref="G69:J69" si="242">SUBSTITUTE(SUBSTITUTE(SUBSTITUTE(C69,"8","1"),"9","2"),"10","3")</f>
        <v>5</v>
      </c>
      <c r="H69" s="69" t="str">
        <f t="shared" si="242"/>
        <v>6</v>
      </c>
      <c r="I69" s="69" t="str">
        <f t="shared" si="242"/>
        <v>3</v>
      </c>
      <c r="J69" s="74" t="str">
        <f t="shared" si="242"/>
        <v>4</v>
      </c>
      <c r="K69" s="58" t="str">
        <f t="shared" ref="K69:N69" si="243">SUBSTITUTE(SUBSTITUTE(SUBSTITUTE(SUBSTITUTE(SUBSTITUTE(SUBSTITUTE(SUBSTITUTE(G69,"1","Sa"),"2","Re"),"3","Ga"),"4","Ma"),"5","Pa"),"6","Dha"),"7","Ni")</f>
        <v>Pa</v>
      </c>
      <c r="L69" s="58" t="str">
        <f t="shared" si="243"/>
        <v>Dha</v>
      </c>
      <c r="M69" s="58" t="str">
        <f t="shared" si="243"/>
        <v>Ga</v>
      </c>
      <c r="N69" s="61" t="str">
        <f t="shared" si="243"/>
        <v>Ma</v>
      </c>
      <c r="O69" s="55" t="str">
        <f>IFERROR(__xludf.DUMMYFUNCTION("CONCATENATE(JOIN(""-"",K69:N69))"),"Pa-Dha-Ga-Ma")</f>
        <v>Pa-Dha-Ga-Ma</v>
      </c>
      <c r="P69" s="58" t="str">
        <f t="shared" ref="P69:S69" si="244">SUBSTITUTE(SUBSTITUTE(SUBSTITUTE(SUBSTITUTE(SUBSTITUTE(SUBSTITUTE(SUBSTITUTE(G69,"1","S"),"2","R"),"3","G"),"4","M"),"5","P"),"6","D"),"7","N")</f>
        <v>P</v>
      </c>
      <c r="Q69" s="58" t="str">
        <f t="shared" si="244"/>
        <v>D</v>
      </c>
      <c r="R69" s="58" t="str">
        <f t="shared" si="244"/>
        <v>G</v>
      </c>
      <c r="S69" s="58" t="str">
        <f t="shared" si="244"/>
        <v>M</v>
      </c>
      <c r="T69" s="55" t="str">
        <f>IFERROR(__xludf.DUMMYFUNCTION("CONCATENATE(JOIN("""",P69:S69))"),"PDGM")</f>
        <v>PDGM</v>
      </c>
      <c r="U69" s="32"/>
      <c r="V69" s="32"/>
      <c r="W69" s="32"/>
    </row>
    <row r="70">
      <c r="A70" s="53" t="s">
        <v>325</v>
      </c>
      <c r="B70" s="55">
        <v>3456.0</v>
      </c>
      <c r="C70" s="58">
        <f t="shared" ref="C70:F70" si="245">C22+2</f>
        <v>5</v>
      </c>
      <c r="D70" s="272">
        <f t="shared" si="245"/>
        <v>6</v>
      </c>
      <c r="E70" s="272">
        <f t="shared" si="245"/>
        <v>4</v>
      </c>
      <c r="F70" s="273">
        <f t="shared" si="245"/>
        <v>3</v>
      </c>
      <c r="G70" s="69" t="str">
        <f t="shared" ref="G70:J70" si="246">SUBSTITUTE(SUBSTITUTE(SUBSTITUTE(C70,"8","1"),"9","2"),"10","3")</f>
        <v>5</v>
      </c>
      <c r="H70" s="69" t="str">
        <f t="shared" si="246"/>
        <v>6</v>
      </c>
      <c r="I70" s="69" t="str">
        <f t="shared" si="246"/>
        <v>4</v>
      </c>
      <c r="J70" s="74" t="str">
        <f t="shared" si="246"/>
        <v>3</v>
      </c>
      <c r="K70" s="58" t="str">
        <f t="shared" ref="K70:N70" si="247">SUBSTITUTE(SUBSTITUTE(SUBSTITUTE(SUBSTITUTE(SUBSTITUTE(SUBSTITUTE(SUBSTITUTE(G70,"1","Sa"),"2","Re"),"3","Ga"),"4","Ma"),"5","Pa"),"6","Dha"),"7","Ni")</f>
        <v>Pa</v>
      </c>
      <c r="L70" s="58" t="str">
        <f t="shared" si="247"/>
        <v>Dha</v>
      </c>
      <c r="M70" s="58" t="str">
        <f t="shared" si="247"/>
        <v>Ma</v>
      </c>
      <c r="N70" s="61" t="str">
        <f t="shared" si="247"/>
        <v>Ga</v>
      </c>
      <c r="O70" s="55" t="str">
        <f>IFERROR(__xludf.DUMMYFUNCTION("CONCATENATE(JOIN(""-"",K70:N70))"),"Pa-Dha-Ma-Ga")</f>
        <v>Pa-Dha-Ma-Ga</v>
      </c>
      <c r="P70" s="58" t="str">
        <f t="shared" ref="P70:S70" si="248">SUBSTITUTE(SUBSTITUTE(SUBSTITUTE(SUBSTITUTE(SUBSTITUTE(SUBSTITUTE(SUBSTITUTE(G70,"1","S"),"2","R"),"3","G"),"4","M"),"5","P"),"6","D"),"7","N")</f>
        <v>P</v>
      </c>
      <c r="Q70" s="58" t="str">
        <f t="shared" si="248"/>
        <v>D</v>
      </c>
      <c r="R70" s="58" t="str">
        <f t="shared" si="248"/>
        <v>M</v>
      </c>
      <c r="S70" s="58" t="str">
        <f t="shared" si="248"/>
        <v>G</v>
      </c>
      <c r="T70" s="55" t="str">
        <f>IFERROR(__xludf.DUMMYFUNCTION("CONCATENATE(JOIN("""",P70:S70))"),"PDMG")</f>
        <v>PDMG</v>
      </c>
      <c r="U70" s="32"/>
      <c r="V70" s="32"/>
      <c r="W70" s="32"/>
    </row>
    <row r="71">
      <c r="A71" s="53" t="s">
        <v>328</v>
      </c>
      <c r="B71" s="55">
        <v>3456.0</v>
      </c>
      <c r="C71" s="58">
        <f t="shared" ref="C71:F71" si="249">C23+2</f>
        <v>5</v>
      </c>
      <c r="D71" s="272">
        <f t="shared" si="249"/>
        <v>4</v>
      </c>
      <c r="E71" s="272">
        <f t="shared" si="249"/>
        <v>3</v>
      </c>
      <c r="F71" s="273">
        <f t="shared" si="249"/>
        <v>6</v>
      </c>
      <c r="G71" s="69" t="str">
        <f t="shared" ref="G71:J71" si="250">SUBSTITUTE(SUBSTITUTE(SUBSTITUTE(C71,"8","1"),"9","2"),"10","3")</f>
        <v>5</v>
      </c>
      <c r="H71" s="69" t="str">
        <f t="shared" si="250"/>
        <v>4</v>
      </c>
      <c r="I71" s="69" t="str">
        <f t="shared" si="250"/>
        <v>3</v>
      </c>
      <c r="J71" s="74" t="str">
        <f t="shared" si="250"/>
        <v>6</v>
      </c>
      <c r="K71" s="58" t="str">
        <f t="shared" ref="K71:N71" si="251">SUBSTITUTE(SUBSTITUTE(SUBSTITUTE(SUBSTITUTE(SUBSTITUTE(SUBSTITUTE(SUBSTITUTE(G71,"1","Sa"),"2","Re"),"3","Ga"),"4","Ma"),"5","Pa"),"6","Dha"),"7","Ni")</f>
        <v>Pa</v>
      </c>
      <c r="L71" s="58" t="str">
        <f t="shared" si="251"/>
        <v>Ma</v>
      </c>
      <c r="M71" s="58" t="str">
        <f t="shared" si="251"/>
        <v>Ga</v>
      </c>
      <c r="N71" s="61" t="str">
        <f t="shared" si="251"/>
        <v>Dha</v>
      </c>
      <c r="O71" s="55" t="str">
        <f>IFERROR(__xludf.DUMMYFUNCTION("CONCATENATE(JOIN(""-"",K71:N71))"),"Pa-Ma-Ga-Dha")</f>
        <v>Pa-Ma-Ga-Dha</v>
      </c>
      <c r="P71" s="58" t="str">
        <f t="shared" ref="P71:S71" si="252">SUBSTITUTE(SUBSTITUTE(SUBSTITUTE(SUBSTITUTE(SUBSTITUTE(SUBSTITUTE(SUBSTITUTE(G71,"1","S"),"2","R"),"3","G"),"4","M"),"5","P"),"6","D"),"7","N")</f>
        <v>P</v>
      </c>
      <c r="Q71" s="58" t="str">
        <f t="shared" si="252"/>
        <v>M</v>
      </c>
      <c r="R71" s="58" t="str">
        <f t="shared" si="252"/>
        <v>G</v>
      </c>
      <c r="S71" s="58" t="str">
        <f t="shared" si="252"/>
        <v>D</v>
      </c>
      <c r="T71" s="55" t="str">
        <f>IFERROR(__xludf.DUMMYFUNCTION("CONCATENATE(JOIN("""",P71:S71))"),"PMGD")</f>
        <v>PMGD</v>
      </c>
      <c r="U71" s="32"/>
      <c r="V71" s="32"/>
      <c r="W71" s="32"/>
    </row>
    <row r="72">
      <c r="A72" s="53" t="s">
        <v>330</v>
      </c>
      <c r="B72" s="55">
        <v>3456.0</v>
      </c>
      <c r="C72" s="58">
        <f t="shared" ref="C72:F72" si="253">C24+2</f>
        <v>6</v>
      </c>
      <c r="D72" s="272">
        <f t="shared" si="253"/>
        <v>4</v>
      </c>
      <c r="E72" s="272">
        <f t="shared" si="253"/>
        <v>3</v>
      </c>
      <c r="F72" s="273">
        <f t="shared" si="253"/>
        <v>5</v>
      </c>
      <c r="G72" s="69" t="str">
        <f t="shared" ref="G72:J72" si="254">SUBSTITUTE(SUBSTITUTE(SUBSTITUTE(C72,"8","1"),"9","2"),"10","3")</f>
        <v>6</v>
      </c>
      <c r="H72" s="69" t="str">
        <f t="shared" si="254"/>
        <v>4</v>
      </c>
      <c r="I72" s="69" t="str">
        <f t="shared" si="254"/>
        <v>3</v>
      </c>
      <c r="J72" s="74" t="str">
        <f t="shared" si="254"/>
        <v>5</v>
      </c>
      <c r="K72" s="58" t="str">
        <f t="shared" ref="K72:N72" si="255">SUBSTITUTE(SUBSTITUTE(SUBSTITUTE(SUBSTITUTE(SUBSTITUTE(SUBSTITUTE(SUBSTITUTE(G72,"1","Sa"),"2","Re"),"3","Ga"),"4","Ma"),"5","Pa"),"6","Dha"),"7","Ni")</f>
        <v>Dha</v>
      </c>
      <c r="L72" s="58" t="str">
        <f t="shared" si="255"/>
        <v>Ma</v>
      </c>
      <c r="M72" s="58" t="str">
        <f t="shared" si="255"/>
        <v>Ga</v>
      </c>
      <c r="N72" s="61" t="str">
        <f t="shared" si="255"/>
        <v>Pa</v>
      </c>
      <c r="O72" s="55" t="str">
        <f>IFERROR(__xludf.DUMMYFUNCTION("CONCATENATE(JOIN(""-"",K72:N72))"),"Dha-Ma-Ga-Pa")</f>
        <v>Dha-Ma-Ga-Pa</v>
      </c>
      <c r="P72" s="58" t="str">
        <f t="shared" ref="P72:S72" si="256">SUBSTITUTE(SUBSTITUTE(SUBSTITUTE(SUBSTITUTE(SUBSTITUTE(SUBSTITUTE(SUBSTITUTE(G72,"1","S"),"2","R"),"3","G"),"4","M"),"5","P"),"6","D"),"7","N")</f>
        <v>D</v>
      </c>
      <c r="Q72" s="58" t="str">
        <f t="shared" si="256"/>
        <v>M</v>
      </c>
      <c r="R72" s="58" t="str">
        <f t="shared" si="256"/>
        <v>G</v>
      </c>
      <c r="S72" s="58" t="str">
        <f t="shared" si="256"/>
        <v>P</v>
      </c>
      <c r="T72" s="55" t="str">
        <f>IFERROR(__xludf.DUMMYFUNCTION("CONCATENATE(JOIN("""",P72:S72))"),"DMGP")</f>
        <v>DMGP</v>
      </c>
      <c r="U72" s="32"/>
      <c r="V72" s="32"/>
      <c r="W72" s="32"/>
    </row>
    <row r="73">
      <c r="A73" s="53" t="s">
        <v>332</v>
      </c>
      <c r="B73" s="55">
        <v>3456.0</v>
      </c>
      <c r="C73" s="58">
        <f t="shared" ref="C73:F73" si="257">C25+2</f>
        <v>6</v>
      </c>
      <c r="D73" s="272">
        <f t="shared" si="257"/>
        <v>5</v>
      </c>
      <c r="E73" s="272">
        <f t="shared" si="257"/>
        <v>3</v>
      </c>
      <c r="F73" s="273">
        <f t="shared" si="257"/>
        <v>4</v>
      </c>
      <c r="G73" s="69" t="str">
        <f t="shared" ref="G73:J73" si="258">SUBSTITUTE(SUBSTITUTE(SUBSTITUTE(C73,"8","1"),"9","2"),"10","3")</f>
        <v>6</v>
      </c>
      <c r="H73" s="69" t="str">
        <f t="shared" si="258"/>
        <v>5</v>
      </c>
      <c r="I73" s="69" t="str">
        <f t="shared" si="258"/>
        <v>3</v>
      </c>
      <c r="J73" s="74" t="str">
        <f t="shared" si="258"/>
        <v>4</v>
      </c>
      <c r="K73" s="58" t="str">
        <f t="shared" ref="K73:N73" si="259">SUBSTITUTE(SUBSTITUTE(SUBSTITUTE(SUBSTITUTE(SUBSTITUTE(SUBSTITUTE(SUBSTITUTE(G73,"1","Sa"),"2","Re"),"3","Ga"),"4","Ma"),"5","Pa"),"6","Dha"),"7","Ni")</f>
        <v>Dha</v>
      </c>
      <c r="L73" s="58" t="str">
        <f t="shared" si="259"/>
        <v>Pa</v>
      </c>
      <c r="M73" s="58" t="str">
        <f t="shared" si="259"/>
        <v>Ga</v>
      </c>
      <c r="N73" s="61" t="str">
        <f t="shared" si="259"/>
        <v>Ma</v>
      </c>
      <c r="O73" s="55" t="str">
        <f>IFERROR(__xludf.DUMMYFUNCTION("CONCATENATE(JOIN(""-"",K73:N73))"),"Dha-Pa-Ga-Ma")</f>
        <v>Dha-Pa-Ga-Ma</v>
      </c>
      <c r="P73" s="58" t="str">
        <f t="shared" ref="P73:S73" si="260">SUBSTITUTE(SUBSTITUTE(SUBSTITUTE(SUBSTITUTE(SUBSTITUTE(SUBSTITUTE(SUBSTITUTE(G73,"1","S"),"2","R"),"3","G"),"4","M"),"5","P"),"6","D"),"7","N")</f>
        <v>D</v>
      </c>
      <c r="Q73" s="58" t="str">
        <f t="shared" si="260"/>
        <v>P</v>
      </c>
      <c r="R73" s="58" t="str">
        <f t="shared" si="260"/>
        <v>G</v>
      </c>
      <c r="S73" s="58" t="str">
        <f t="shared" si="260"/>
        <v>M</v>
      </c>
      <c r="T73" s="55" t="str">
        <f>IFERROR(__xludf.DUMMYFUNCTION("CONCATENATE(JOIN("""",P73:S73))"),"DPGM")</f>
        <v>DPGM</v>
      </c>
      <c r="U73" s="32"/>
      <c r="V73" s="32"/>
      <c r="W73" s="32"/>
    </row>
    <row r="74">
      <c r="A74" s="262" t="s">
        <v>334</v>
      </c>
      <c r="B74" s="263">
        <v>3456.0</v>
      </c>
      <c r="C74" s="264">
        <f t="shared" ref="C74:F74" si="261">C26+2</f>
        <v>6</v>
      </c>
      <c r="D74" s="360">
        <f t="shared" si="261"/>
        <v>5</v>
      </c>
      <c r="E74" s="360">
        <f t="shared" si="261"/>
        <v>4</v>
      </c>
      <c r="F74" s="361">
        <f t="shared" si="261"/>
        <v>3</v>
      </c>
      <c r="G74" s="266" t="str">
        <f t="shared" ref="G74:J74" si="262">SUBSTITUTE(SUBSTITUTE(SUBSTITUTE(C74,"8","1"),"9","2"),"10","3")</f>
        <v>6</v>
      </c>
      <c r="H74" s="266" t="str">
        <f t="shared" si="262"/>
        <v>5</v>
      </c>
      <c r="I74" s="266" t="str">
        <f t="shared" si="262"/>
        <v>4</v>
      </c>
      <c r="J74" s="268" t="str">
        <f t="shared" si="262"/>
        <v>3</v>
      </c>
      <c r="K74" s="264" t="str">
        <f t="shared" ref="K74:N74" si="263">SUBSTITUTE(SUBSTITUTE(SUBSTITUTE(SUBSTITUTE(SUBSTITUTE(SUBSTITUTE(SUBSTITUTE(G74,"1","Sa"),"2","Re"),"3","Ga"),"4","Ma"),"5","Pa"),"6","Dha"),"7","Ni")</f>
        <v>Dha</v>
      </c>
      <c r="L74" s="264" t="str">
        <f t="shared" si="263"/>
        <v>Pa</v>
      </c>
      <c r="M74" s="264" t="str">
        <f t="shared" si="263"/>
        <v>Ma</v>
      </c>
      <c r="N74" s="265" t="str">
        <f t="shared" si="263"/>
        <v>Ga</v>
      </c>
      <c r="O74" s="263" t="str">
        <f>IFERROR(__xludf.DUMMYFUNCTION("CONCATENATE(JOIN(""-"",K74:N74))"),"Dha-Pa-Ma-Ga")</f>
        <v>Dha-Pa-Ma-Ga</v>
      </c>
      <c r="P74" s="264" t="str">
        <f t="shared" ref="P74:S74" si="264">SUBSTITUTE(SUBSTITUTE(SUBSTITUTE(SUBSTITUTE(SUBSTITUTE(SUBSTITUTE(SUBSTITUTE(G74,"1","S"),"2","R"),"3","G"),"4","M"),"5","P"),"6","D"),"7","N")</f>
        <v>D</v>
      </c>
      <c r="Q74" s="264" t="str">
        <f t="shared" si="264"/>
        <v>P</v>
      </c>
      <c r="R74" s="264" t="str">
        <f t="shared" si="264"/>
        <v>M</v>
      </c>
      <c r="S74" s="264" t="str">
        <f t="shared" si="264"/>
        <v>G</v>
      </c>
      <c r="T74" s="263" t="str">
        <f>IFERROR(__xludf.DUMMYFUNCTION("CONCATENATE(JOIN("""",P74:S74))"),"DPMG")</f>
        <v>DPMG</v>
      </c>
      <c r="U74" s="32"/>
      <c r="V74" s="32"/>
      <c r="W74" s="32"/>
    </row>
    <row r="75">
      <c r="A75" s="53" t="s">
        <v>337</v>
      </c>
      <c r="B75" s="55">
        <v>4567.0</v>
      </c>
      <c r="C75" s="58">
        <f t="shared" ref="C75:F75" si="265">C3+3</f>
        <v>4</v>
      </c>
      <c r="D75" s="272">
        <f t="shared" si="265"/>
        <v>5</v>
      </c>
      <c r="E75" s="272">
        <f t="shared" si="265"/>
        <v>6</v>
      </c>
      <c r="F75" s="273">
        <f t="shared" si="265"/>
        <v>7</v>
      </c>
      <c r="G75" s="69" t="str">
        <f t="shared" ref="G75:J75" si="266">SUBSTITUTE(SUBSTITUTE(SUBSTITUTE(C75,"8","1"),"9","2"),"10","3")</f>
        <v>4</v>
      </c>
      <c r="H75" s="69" t="str">
        <f t="shared" si="266"/>
        <v>5</v>
      </c>
      <c r="I75" s="69" t="str">
        <f t="shared" si="266"/>
        <v>6</v>
      </c>
      <c r="J75" s="74" t="str">
        <f t="shared" si="266"/>
        <v>7</v>
      </c>
      <c r="K75" s="58" t="str">
        <f t="shared" ref="K75:N75" si="267">SUBSTITUTE(SUBSTITUTE(SUBSTITUTE(SUBSTITUTE(SUBSTITUTE(SUBSTITUTE(SUBSTITUTE(G75,"1","Sa"),"2","Re"),"3","Ga"),"4","Ma"),"5","Pa"),"6","Dha"),"7","Ni")</f>
        <v>Ma</v>
      </c>
      <c r="L75" s="58" t="str">
        <f t="shared" si="267"/>
        <v>Pa</v>
      </c>
      <c r="M75" s="58" t="str">
        <f t="shared" si="267"/>
        <v>Dha</v>
      </c>
      <c r="N75" s="61" t="str">
        <f t="shared" si="267"/>
        <v>Ni</v>
      </c>
      <c r="O75" s="55" t="str">
        <f>IFERROR(__xludf.DUMMYFUNCTION("CONCATENATE(JOIN(""-"",K75:N75))"),"Ma-Pa-Dha-Ni")</f>
        <v>Ma-Pa-Dha-Ni</v>
      </c>
      <c r="P75" s="58" t="str">
        <f t="shared" ref="P75:S75" si="268">SUBSTITUTE(SUBSTITUTE(SUBSTITUTE(SUBSTITUTE(SUBSTITUTE(SUBSTITUTE(SUBSTITUTE(G75,"1","S"),"2","R"),"3","G"),"4","M"),"5","P"),"6","D"),"7","N")</f>
        <v>M</v>
      </c>
      <c r="Q75" s="58" t="str">
        <f t="shared" si="268"/>
        <v>P</v>
      </c>
      <c r="R75" s="58" t="str">
        <f t="shared" si="268"/>
        <v>D</v>
      </c>
      <c r="S75" s="58" t="str">
        <f t="shared" si="268"/>
        <v>N</v>
      </c>
      <c r="T75" s="55" t="str">
        <f>IFERROR(__xludf.DUMMYFUNCTION("CONCATENATE(JOIN("""",P75:S75))"),"MPDN")</f>
        <v>MPDN</v>
      </c>
      <c r="U75" s="32" t="str">
        <f>IFERROR(__xludf.DUMMYFUNCTION("CONCATENATE(JOIN("" | "",T75:T98))"),"MPDN | MPND | MDNP | PDNM | PMDN | PMND | DMNP | DPNM | MDPN | MNPD | MNDP | PNDM | DMPN | NMPD | NMDP | NPDM | PDMN | PNMD | DNMP | DNPM | DPMN | NPMD | NDMP | NDPM")</f>
        <v>MPDN | MPND | MDNP | PDNM | PMDN | PMND | DMNP | DPNM | MDPN | MNPD | MNDP | PNDM | DMPN | NMPD | NMDP | NPDM | PDMN | PNMD | DNMP | DNPM | DPMN | NPMD | NDMP | NDPM</v>
      </c>
      <c r="V75" s="32"/>
      <c r="W75" s="32"/>
    </row>
    <row r="76">
      <c r="A76" s="53" t="s">
        <v>340</v>
      </c>
      <c r="B76" s="55">
        <v>4567.0</v>
      </c>
      <c r="C76" s="58">
        <f t="shared" ref="C76:F76" si="269">C4+3</f>
        <v>4</v>
      </c>
      <c r="D76" s="272">
        <f t="shared" si="269"/>
        <v>5</v>
      </c>
      <c r="E76" s="272">
        <f t="shared" si="269"/>
        <v>7</v>
      </c>
      <c r="F76" s="273">
        <f t="shared" si="269"/>
        <v>6</v>
      </c>
      <c r="G76" s="69" t="str">
        <f t="shared" ref="G76:J76" si="270">SUBSTITUTE(SUBSTITUTE(SUBSTITUTE(C76,"8","1"),"9","2"),"10","3")</f>
        <v>4</v>
      </c>
      <c r="H76" s="69" t="str">
        <f t="shared" si="270"/>
        <v>5</v>
      </c>
      <c r="I76" s="69" t="str">
        <f t="shared" si="270"/>
        <v>7</v>
      </c>
      <c r="J76" s="74" t="str">
        <f t="shared" si="270"/>
        <v>6</v>
      </c>
      <c r="K76" s="58" t="str">
        <f t="shared" ref="K76:N76" si="271">SUBSTITUTE(SUBSTITUTE(SUBSTITUTE(SUBSTITUTE(SUBSTITUTE(SUBSTITUTE(SUBSTITUTE(G76,"1","Sa"),"2","Re"),"3","Ga"),"4","Ma"),"5","Pa"),"6","Dha"),"7","Ni")</f>
        <v>Ma</v>
      </c>
      <c r="L76" s="58" t="str">
        <f t="shared" si="271"/>
        <v>Pa</v>
      </c>
      <c r="M76" s="58" t="str">
        <f t="shared" si="271"/>
        <v>Ni</v>
      </c>
      <c r="N76" s="61" t="str">
        <f t="shared" si="271"/>
        <v>Dha</v>
      </c>
      <c r="O76" s="55" t="str">
        <f>IFERROR(__xludf.DUMMYFUNCTION("CONCATENATE(JOIN(""-"",K76:N76))"),"Ma-Pa-Ni-Dha")</f>
        <v>Ma-Pa-Ni-Dha</v>
      </c>
      <c r="P76" s="58" t="str">
        <f t="shared" ref="P76:S76" si="272">SUBSTITUTE(SUBSTITUTE(SUBSTITUTE(SUBSTITUTE(SUBSTITUTE(SUBSTITUTE(SUBSTITUTE(G76,"1","S"),"2","R"),"3","G"),"4","M"),"5","P"),"6","D"),"7","N")</f>
        <v>M</v>
      </c>
      <c r="Q76" s="58" t="str">
        <f t="shared" si="272"/>
        <v>P</v>
      </c>
      <c r="R76" s="58" t="str">
        <f t="shared" si="272"/>
        <v>N</v>
      </c>
      <c r="S76" s="58" t="str">
        <f t="shared" si="272"/>
        <v>D</v>
      </c>
      <c r="T76" s="55" t="str">
        <f>IFERROR(__xludf.DUMMYFUNCTION("CONCATENATE(JOIN("""",P76:S76))"),"MPND")</f>
        <v>MPND</v>
      </c>
      <c r="U76" s="32"/>
      <c r="V76" s="32"/>
      <c r="W76" s="32"/>
    </row>
    <row r="77">
      <c r="A77" s="53" t="s">
        <v>342</v>
      </c>
      <c r="B77" s="55">
        <v>4567.0</v>
      </c>
      <c r="C77" s="58">
        <f t="shared" ref="C77:F77" si="273">C5+3</f>
        <v>4</v>
      </c>
      <c r="D77" s="272">
        <f t="shared" si="273"/>
        <v>6</v>
      </c>
      <c r="E77" s="272">
        <f t="shared" si="273"/>
        <v>7</v>
      </c>
      <c r="F77" s="273">
        <f t="shared" si="273"/>
        <v>5</v>
      </c>
      <c r="G77" s="69" t="str">
        <f t="shared" ref="G77:J77" si="274">SUBSTITUTE(SUBSTITUTE(SUBSTITUTE(C77,"8","1"),"9","2"),"10","3")</f>
        <v>4</v>
      </c>
      <c r="H77" s="69" t="str">
        <f t="shared" si="274"/>
        <v>6</v>
      </c>
      <c r="I77" s="69" t="str">
        <f t="shared" si="274"/>
        <v>7</v>
      </c>
      <c r="J77" s="74" t="str">
        <f t="shared" si="274"/>
        <v>5</v>
      </c>
      <c r="K77" s="58" t="str">
        <f t="shared" ref="K77:N77" si="275">SUBSTITUTE(SUBSTITUTE(SUBSTITUTE(SUBSTITUTE(SUBSTITUTE(SUBSTITUTE(SUBSTITUTE(G77,"1","Sa"),"2","Re"),"3","Ga"),"4","Ma"),"5","Pa"),"6","Dha"),"7","Ni")</f>
        <v>Ma</v>
      </c>
      <c r="L77" s="58" t="str">
        <f t="shared" si="275"/>
        <v>Dha</v>
      </c>
      <c r="M77" s="58" t="str">
        <f t="shared" si="275"/>
        <v>Ni</v>
      </c>
      <c r="N77" s="61" t="str">
        <f t="shared" si="275"/>
        <v>Pa</v>
      </c>
      <c r="O77" s="55" t="str">
        <f>IFERROR(__xludf.DUMMYFUNCTION("CONCATENATE(JOIN(""-"",K77:N77))"),"Ma-Dha-Ni-Pa")</f>
        <v>Ma-Dha-Ni-Pa</v>
      </c>
      <c r="P77" s="58" t="str">
        <f t="shared" ref="P77:S77" si="276">SUBSTITUTE(SUBSTITUTE(SUBSTITUTE(SUBSTITUTE(SUBSTITUTE(SUBSTITUTE(SUBSTITUTE(G77,"1","S"),"2","R"),"3","G"),"4","M"),"5","P"),"6","D"),"7","N")</f>
        <v>M</v>
      </c>
      <c r="Q77" s="58" t="str">
        <f t="shared" si="276"/>
        <v>D</v>
      </c>
      <c r="R77" s="58" t="str">
        <f t="shared" si="276"/>
        <v>N</v>
      </c>
      <c r="S77" s="58" t="str">
        <f t="shared" si="276"/>
        <v>P</v>
      </c>
      <c r="T77" s="55" t="str">
        <f>IFERROR(__xludf.DUMMYFUNCTION("CONCATENATE(JOIN("""",P77:S77))"),"MDNP")</f>
        <v>MDNP</v>
      </c>
      <c r="U77" s="32"/>
      <c r="V77" s="32"/>
      <c r="W77" s="32"/>
    </row>
    <row r="78">
      <c r="A78" s="53" t="s">
        <v>344</v>
      </c>
      <c r="B78" s="55">
        <v>4567.0</v>
      </c>
      <c r="C78" s="58">
        <f t="shared" ref="C78:F78" si="277">C6+3</f>
        <v>5</v>
      </c>
      <c r="D78" s="272">
        <f t="shared" si="277"/>
        <v>6</v>
      </c>
      <c r="E78" s="272">
        <f t="shared" si="277"/>
        <v>7</v>
      </c>
      <c r="F78" s="273">
        <f t="shared" si="277"/>
        <v>4</v>
      </c>
      <c r="G78" s="69" t="str">
        <f t="shared" ref="G78:J78" si="278">SUBSTITUTE(SUBSTITUTE(SUBSTITUTE(C78,"8","1"),"9","2"),"10","3")</f>
        <v>5</v>
      </c>
      <c r="H78" s="69" t="str">
        <f t="shared" si="278"/>
        <v>6</v>
      </c>
      <c r="I78" s="69" t="str">
        <f t="shared" si="278"/>
        <v>7</v>
      </c>
      <c r="J78" s="74" t="str">
        <f t="shared" si="278"/>
        <v>4</v>
      </c>
      <c r="K78" s="58" t="str">
        <f t="shared" ref="K78:N78" si="279">SUBSTITUTE(SUBSTITUTE(SUBSTITUTE(SUBSTITUTE(SUBSTITUTE(SUBSTITUTE(SUBSTITUTE(G78,"1","Sa"),"2","Re"),"3","Ga"),"4","Ma"),"5","Pa"),"6","Dha"),"7","Ni")</f>
        <v>Pa</v>
      </c>
      <c r="L78" s="58" t="str">
        <f t="shared" si="279"/>
        <v>Dha</v>
      </c>
      <c r="M78" s="58" t="str">
        <f t="shared" si="279"/>
        <v>Ni</v>
      </c>
      <c r="N78" s="61" t="str">
        <f t="shared" si="279"/>
        <v>Ma</v>
      </c>
      <c r="O78" s="55" t="str">
        <f>IFERROR(__xludf.DUMMYFUNCTION("CONCATENATE(JOIN(""-"",K78:N78))"),"Pa-Dha-Ni-Ma")</f>
        <v>Pa-Dha-Ni-Ma</v>
      </c>
      <c r="P78" s="58" t="str">
        <f t="shared" ref="P78:S78" si="280">SUBSTITUTE(SUBSTITUTE(SUBSTITUTE(SUBSTITUTE(SUBSTITUTE(SUBSTITUTE(SUBSTITUTE(G78,"1","S"),"2","R"),"3","G"),"4","M"),"5","P"),"6","D"),"7","N")</f>
        <v>P</v>
      </c>
      <c r="Q78" s="58" t="str">
        <f t="shared" si="280"/>
        <v>D</v>
      </c>
      <c r="R78" s="58" t="str">
        <f t="shared" si="280"/>
        <v>N</v>
      </c>
      <c r="S78" s="58" t="str">
        <f t="shared" si="280"/>
        <v>M</v>
      </c>
      <c r="T78" s="55" t="str">
        <f>IFERROR(__xludf.DUMMYFUNCTION("CONCATENATE(JOIN("""",P78:S78))"),"PDNM")</f>
        <v>PDNM</v>
      </c>
      <c r="U78" s="32"/>
      <c r="V78" s="32"/>
      <c r="W78" s="32"/>
    </row>
    <row r="79">
      <c r="A79" s="53" t="s">
        <v>346</v>
      </c>
      <c r="B79" s="55">
        <v>4567.0</v>
      </c>
      <c r="C79" s="58">
        <f t="shared" ref="C79:F79" si="281">C7+3</f>
        <v>5</v>
      </c>
      <c r="D79" s="272">
        <f t="shared" si="281"/>
        <v>4</v>
      </c>
      <c r="E79" s="272">
        <f t="shared" si="281"/>
        <v>6</v>
      </c>
      <c r="F79" s="273">
        <f t="shared" si="281"/>
        <v>7</v>
      </c>
      <c r="G79" s="69" t="str">
        <f t="shared" ref="G79:J79" si="282">SUBSTITUTE(SUBSTITUTE(SUBSTITUTE(C79,"8","1"),"9","2"),"10","3")</f>
        <v>5</v>
      </c>
      <c r="H79" s="69" t="str">
        <f t="shared" si="282"/>
        <v>4</v>
      </c>
      <c r="I79" s="69" t="str">
        <f t="shared" si="282"/>
        <v>6</v>
      </c>
      <c r="J79" s="74" t="str">
        <f t="shared" si="282"/>
        <v>7</v>
      </c>
      <c r="K79" s="58" t="str">
        <f t="shared" ref="K79:N79" si="283">SUBSTITUTE(SUBSTITUTE(SUBSTITUTE(SUBSTITUTE(SUBSTITUTE(SUBSTITUTE(SUBSTITUTE(G79,"1","Sa"),"2","Re"),"3","Ga"),"4","Ma"),"5","Pa"),"6","Dha"),"7","Ni")</f>
        <v>Pa</v>
      </c>
      <c r="L79" s="58" t="str">
        <f t="shared" si="283"/>
        <v>Ma</v>
      </c>
      <c r="M79" s="58" t="str">
        <f t="shared" si="283"/>
        <v>Dha</v>
      </c>
      <c r="N79" s="61" t="str">
        <f t="shared" si="283"/>
        <v>Ni</v>
      </c>
      <c r="O79" s="55" t="str">
        <f>IFERROR(__xludf.DUMMYFUNCTION("CONCATENATE(JOIN(""-"",K79:N79))"),"Pa-Ma-Dha-Ni")</f>
        <v>Pa-Ma-Dha-Ni</v>
      </c>
      <c r="P79" s="58" t="str">
        <f t="shared" ref="P79:S79" si="284">SUBSTITUTE(SUBSTITUTE(SUBSTITUTE(SUBSTITUTE(SUBSTITUTE(SUBSTITUTE(SUBSTITUTE(G79,"1","S"),"2","R"),"3","G"),"4","M"),"5","P"),"6","D"),"7","N")</f>
        <v>P</v>
      </c>
      <c r="Q79" s="58" t="str">
        <f t="shared" si="284"/>
        <v>M</v>
      </c>
      <c r="R79" s="58" t="str">
        <f t="shared" si="284"/>
        <v>D</v>
      </c>
      <c r="S79" s="58" t="str">
        <f t="shared" si="284"/>
        <v>N</v>
      </c>
      <c r="T79" s="55" t="str">
        <f>IFERROR(__xludf.DUMMYFUNCTION("CONCATENATE(JOIN("""",P79:S79))"),"PMDN")</f>
        <v>PMDN</v>
      </c>
      <c r="U79" s="32"/>
      <c r="V79" s="32"/>
      <c r="W79" s="32"/>
    </row>
    <row r="80">
      <c r="A80" s="53" t="s">
        <v>347</v>
      </c>
      <c r="B80" s="55">
        <v>4567.0</v>
      </c>
      <c r="C80" s="58">
        <f t="shared" ref="C80:F80" si="285">C8+3</f>
        <v>5</v>
      </c>
      <c r="D80" s="272">
        <f t="shared" si="285"/>
        <v>4</v>
      </c>
      <c r="E80" s="272">
        <f t="shared" si="285"/>
        <v>7</v>
      </c>
      <c r="F80" s="273">
        <f t="shared" si="285"/>
        <v>6</v>
      </c>
      <c r="G80" s="69" t="str">
        <f t="shared" ref="G80:J80" si="286">SUBSTITUTE(SUBSTITUTE(SUBSTITUTE(C80,"8","1"),"9","2"),"10","3")</f>
        <v>5</v>
      </c>
      <c r="H80" s="69" t="str">
        <f t="shared" si="286"/>
        <v>4</v>
      </c>
      <c r="I80" s="69" t="str">
        <f t="shared" si="286"/>
        <v>7</v>
      </c>
      <c r="J80" s="74" t="str">
        <f t="shared" si="286"/>
        <v>6</v>
      </c>
      <c r="K80" s="58" t="str">
        <f t="shared" ref="K80:N80" si="287">SUBSTITUTE(SUBSTITUTE(SUBSTITUTE(SUBSTITUTE(SUBSTITUTE(SUBSTITUTE(SUBSTITUTE(G80,"1","Sa"),"2","Re"),"3","Ga"),"4","Ma"),"5","Pa"),"6","Dha"),"7","Ni")</f>
        <v>Pa</v>
      </c>
      <c r="L80" s="58" t="str">
        <f t="shared" si="287"/>
        <v>Ma</v>
      </c>
      <c r="M80" s="58" t="str">
        <f t="shared" si="287"/>
        <v>Ni</v>
      </c>
      <c r="N80" s="61" t="str">
        <f t="shared" si="287"/>
        <v>Dha</v>
      </c>
      <c r="O80" s="55" t="str">
        <f>IFERROR(__xludf.DUMMYFUNCTION("CONCATENATE(JOIN(""-"",K80:N80))"),"Pa-Ma-Ni-Dha")</f>
        <v>Pa-Ma-Ni-Dha</v>
      </c>
      <c r="P80" s="58" t="str">
        <f t="shared" ref="P80:S80" si="288">SUBSTITUTE(SUBSTITUTE(SUBSTITUTE(SUBSTITUTE(SUBSTITUTE(SUBSTITUTE(SUBSTITUTE(G80,"1","S"),"2","R"),"3","G"),"4","M"),"5","P"),"6","D"),"7","N")</f>
        <v>P</v>
      </c>
      <c r="Q80" s="58" t="str">
        <f t="shared" si="288"/>
        <v>M</v>
      </c>
      <c r="R80" s="58" t="str">
        <f t="shared" si="288"/>
        <v>N</v>
      </c>
      <c r="S80" s="58" t="str">
        <f t="shared" si="288"/>
        <v>D</v>
      </c>
      <c r="T80" s="55" t="str">
        <f>IFERROR(__xludf.DUMMYFUNCTION("CONCATENATE(JOIN("""",P80:S80))"),"PMND")</f>
        <v>PMND</v>
      </c>
      <c r="U80" s="32"/>
      <c r="V80" s="32"/>
      <c r="W80" s="32"/>
    </row>
    <row r="81">
      <c r="A81" s="53" t="s">
        <v>349</v>
      </c>
      <c r="B81" s="55">
        <v>4567.0</v>
      </c>
      <c r="C81" s="58">
        <f t="shared" ref="C81:F81" si="289">C9+3</f>
        <v>6</v>
      </c>
      <c r="D81" s="272">
        <f t="shared" si="289"/>
        <v>4</v>
      </c>
      <c r="E81" s="272">
        <f t="shared" si="289"/>
        <v>7</v>
      </c>
      <c r="F81" s="273">
        <f t="shared" si="289"/>
        <v>5</v>
      </c>
      <c r="G81" s="69" t="str">
        <f t="shared" ref="G81:J81" si="290">SUBSTITUTE(SUBSTITUTE(SUBSTITUTE(C81,"8","1"),"9","2"),"10","3")</f>
        <v>6</v>
      </c>
      <c r="H81" s="69" t="str">
        <f t="shared" si="290"/>
        <v>4</v>
      </c>
      <c r="I81" s="69" t="str">
        <f t="shared" si="290"/>
        <v>7</v>
      </c>
      <c r="J81" s="74" t="str">
        <f t="shared" si="290"/>
        <v>5</v>
      </c>
      <c r="K81" s="58" t="str">
        <f t="shared" ref="K81:N81" si="291">SUBSTITUTE(SUBSTITUTE(SUBSTITUTE(SUBSTITUTE(SUBSTITUTE(SUBSTITUTE(SUBSTITUTE(G81,"1","Sa"),"2","Re"),"3","Ga"),"4","Ma"),"5","Pa"),"6","Dha"),"7","Ni")</f>
        <v>Dha</v>
      </c>
      <c r="L81" s="58" t="str">
        <f t="shared" si="291"/>
        <v>Ma</v>
      </c>
      <c r="M81" s="58" t="str">
        <f t="shared" si="291"/>
        <v>Ni</v>
      </c>
      <c r="N81" s="61" t="str">
        <f t="shared" si="291"/>
        <v>Pa</v>
      </c>
      <c r="O81" s="55" t="str">
        <f>IFERROR(__xludf.DUMMYFUNCTION("CONCATENATE(JOIN(""-"",K81:N81))"),"Dha-Ma-Ni-Pa")</f>
        <v>Dha-Ma-Ni-Pa</v>
      </c>
      <c r="P81" s="58" t="str">
        <f t="shared" ref="P81:S81" si="292">SUBSTITUTE(SUBSTITUTE(SUBSTITUTE(SUBSTITUTE(SUBSTITUTE(SUBSTITUTE(SUBSTITUTE(G81,"1","S"),"2","R"),"3","G"),"4","M"),"5","P"),"6","D"),"7","N")</f>
        <v>D</v>
      </c>
      <c r="Q81" s="58" t="str">
        <f t="shared" si="292"/>
        <v>M</v>
      </c>
      <c r="R81" s="58" t="str">
        <f t="shared" si="292"/>
        <v>N</v>
      </c>
      <c r="S81" s="58" t="str">
        <f t="shared" si="292"/>
        <v>P</v>
      </c>
      <c r="T81" s="55" t="str">
        <f>IFERROR(__xludf.DUMMYFUNCTION("CONCATENATE(JOIN("""",P81:S81))"),"DMNP")</f>
        <v>DMNP</v>
      </c>
      <c r="U81" s="32"/>
      <c r="V81" s="32"/>
      <c r="W81" s="32"/>
    </row>
    <row r="82">
      <c r="A82" s="53" t="s">
        <v>351</v>
      </c>
      <c r="B82" s="55">
        <v>4567.0</v>
      </c>
      <c r="C82" s="58">
        <f t="shared" ref="C82:F82" si="293">C10+3</f>
        <v>6</v>
      </c>
      <c r="D82" s="272">
        <f t="shared" si="293"/>
        <v>5</v>
      </c>
      <c r="E82" s="272">
        <f t="shared" si="293"/>
        <v>7</v>
      </c>
      <c r="F82" s="273">
        <f t="shared" si="293"/>
        <v>4</v>
      </c>
      <c r="G82" s="69" t="str">
        <f t="shared" ref="G82:J82" si="294">SUBSTITUTE(SUBSTITUTE(SUBSTITUTE(C82,"8","1"),"9","2"),"10","3")</f>
        <v>6</v>
      </c>
      <c r="H82" s="69" t="str">
        <f t="shared" si="294"/>
        <v>5</v>
      </c>
      <c r="I82" s="69" t="str">
        <f t="shared" si="294"/>
        <v>7</v>
      </c>
      <c r="J82" s="74" t="str">
        <f t="shared" si="294"/>
        <v>4</v>
      </c>
      <c r="K82" s="58" t="str">
        <f t="shared" ref="K82:N82" si="295">SUBSTITUTE(SUBSTITUTE(SUBSTITUTE(SUBSTITUTE(SUBSTITUTE(SUBSTITUTE(SUBSTITUTE(G82,"1","Sa"),"2","Re"),"3","Ga"),"4","Ma"),"5","Pa"),"6","Dha"),"7","Ni")</f>
        <v>Dha</v>
      </c>
      <c r="L82" s="58" t="str">
        <f t="shared" si="295"/>
        <v>Pa</v>
      </c>
      <c r="M82" s="58" t="str">
        <f t="shared" si="295"/>
        <v>Ni</v>
      </c>
      <c r="N82" s="61" t="str">
        <f t="shared" si="295"/>
        <v>Ma</v>
      </c>
      <c r="O82" s="55" t="str">
        <f>IFERROR(__xludf.DUMMYFUNCTION("CONCATENATE(JOIN(""-"",K82:N82))"),"Dha-Pa-Ni-Ma")</f>
        <v>Dha-Pa-Ni-Ma</v>
      </c>
      <c r="P82" s="58" t="str">
        <f t="shared" ref="P82:S82" si="296">SUBSTITUTE(SUBSTITUTE(SUBSTITUTE(SUBSTITUTE(SUBSTITUTE(SUBSTITUTE(SUBSTITUTE(G82,"1","S"),"2","R"),"3","G"),"4","M"),"5","P"),"6","D"),"7","N")</f>
        <v>D</v>
      </c>
      <c r="Q82" s="58" t="str">
        <f t="shared" si="296"/>
        <v>P</v>
      </c>
      <c r="R82" s="58" t="str">
        <f t="shared" si="296"/>
        <v>N</v>
      </c>
      <c r="S82" s="58" t="str">
        <f t="shared" si="296"/>
        <v>M</v>
      </c>
      <c r="T82" s="55" t="str">
        <f>IFERROR(__xludf.DUMMYFUNCTION("CONCATENATE(JOIN("""",P82:S82))"),"DPNM")</f>
        <v>DPNM</v>
      </c>
      <c r="U82" s="32"/>
      <c r="V82" s="32"/>
      <c r="W82" s="32"/>
    </row>
    <row r="83">
      <c r="A83" s="53" t="s">
        <v>355</v>
      </c>
      <c r="B83" s="55">
        <v>4567.0</v>
      </c>
      <c r="C83" s="58">
        <f t="shared" ref="C83:F83" si="297">C11+3</f>
        <v>4</v>
      </c>
      <c r="D83" s="272">
        <f t="shared" si="297"/>
        <v>6</v>
      </c>
      <c r="E83" s="272">
        <f t="shared" si="297"/>
        <v>5</v>
      </c>
      <c r="F83" s="273">
        <f t="shared" si="297"/>
        <v>7</v>
      </c>
      <c r="G83" s="69" t="str">
        <f t="shared" ref="G83:J83" si="298">SUBSTITUTE(SUBSTITUTE(SUBSTITUTE(C83,"8","1"),"9","2"),"10","3")</f>
        <v>4</v>
      </c>
      <c r="H83" s="69" t="str">
        <f t="shared" si="298"/>
        <v>6</v>
      </c>
      <c r="I83" s="69" t="str">
        <f t="shared" si="298"/>
        <v>5</v>
      </c>
      <c r="J83" s="74" t="str">
        <f t="shared" si="298"/>
        <v>7</v>
      </c>
      <c r="K83" s="58" t="str">
        <f t="shared" ref="K83:N83" si="299">SUBSTITUTE(SUBSTITUTE(SUBSTITUTE(SUBSTITUTE(SUBSTITUTE(SUBSTITUTE(SUBSTITUTE(G83,"1","Sa"),"2","Re"),"3","Ga"),"4","Ma"),"5","Pa"),"6","Dha"),"7","Ni")</f>
        <v>Ma</v>
      </c>
      <c r="L83" s="58" t="str">
        <f t="shared" si="299"/>
        <v>Dha</v>
      </c>
      <c r="M83" s="58" t="str">
        <f t="shared" si="299"/>
        <v>Pa</v>
      </c>
      <c r="N83" s="61" t="str">
        <f t="shared" si="299"/>
        <v>Ni</v>
      </c>
      <c r="O83" s="55" t="str">
        <f>IFERROR(__xludf.DUMMYFUNCTION("CONCATENATE(JOIN(""-"",K83:N83))"),"Ma-Dha-Pa-Ni")</f>
        <v>Ma-Dha-Pa-Ni</v>
      </c>
      <c r="P83" s="58" t="str">
        <f t="shared" ref="P83:S83" si="300">SUBSTITUTE(SUBSTITUTE(SUBSTITUTE(SUBSTITUTE(SUBSTITUTE(SUBSTITUTE(SUBSTITUTE(G83,"1","S"),"2","R"),"3","G"),"4","M"),"5","P"),"6","D"),"7","N")</f>
        <v>M</v>
      </c>
      <c r="Q83" s="58" t="str">
        <f t="shared" si="300"/>
        <v>D</v>
      </c>
      <c r="R83" s="58" t="str">
        <f t="shared" si="300"/>
        <v>P</v>
      </c>
      <c r="S83" s="58" t="str">
        <f t="shared" si="300"/>
        <v>N</v>
      </c>
      <c r="T83" s="55" t="str">
        <f>IFERROR(__xludf.DUMMYFUNCTION("CONCATENATE(JOIN("""",P83:S83))"),"MDPN")</f>
        <v>MDPN</v>
      </c>
      <c r="U83" s="32"/>
      <c r="V83" s="32"/>
      <c r="W83" s="32"/>
    </row>
    <row r="84">
      <c r="A84" s="53" t="s">
        <v>358</v>
      </c>
      <c r="B84" s="55">
        <v>4567.0</v>
      </c>
      <c r="C84" s="58">
        <f t="shared" ref="C84:F84" si="301">C12+3</f>
        <v>4</v>
      </c>
      <c r="D84" s="272">
        <f t="shared" si="301"/>
        <v>7</v>
      </c>
      <c r="E84" s="272">
        <f t="shared" si="301"/>
        <v>5</v>
      </c>
      <c r="F84" s="273">
        <f t="shared" si="301"/>
        <v>6</v>
      </c>
      <c r="G84" s="69" t="str">
        <f t="shared" ref="G84:J84" si="302">SUBSTITUTE(SUBSTITUTE(SUBSTITUTE(C84,"8","1"),"9","2"),"10","3")</f>
        <v>4</v>
      </c>
      <c r="H84" s="69" t="str">
        <f t="shared" si="302"/>
        <v>7</v>
      </c>
      <c r="I84" s="69" t="str">
        <f t="shared" si="302"/>
        <v>5</v>
      </c>
      <c r="J84" s="74" t="str">
        <f t="shared" si="302"/>
        <v>6</v>
      </c>
      <c r="K84" s="58" t="str">
        <f t="shared" ref="K84:N84" si="303">SUBSTITUTE(SUBSTITUTE(SUBSTITUTE(SUBSTITUTE(SUBSTITUTE(SUBSTITUTE(SUBSTITUTE(G84,"1","Sa"),"2","Re"),"3","Ga"),"4","Ma"),"5","Pa"),"6","Dha"),"7","Ni")</f>
        <v>Ma</v>
      </c>
      <c r="L84" s="58" t="str">
        <f t="shared" si="303"/>
        <v>Ni</v>
      </c>
      <c r="M84" s="58" t="str">
        <f t="shared" si="303"/>
        <v>Pa</v>
      </c>
      <c r="N84" s="61" t="str">
        <f t="shared" si="303"/>
        <v>Dha</v>
      </c>
      <c r="O84" s="55" t="str">
        <f>IFERROR(__xludf.DUMMYFUNCTION("CONCATENATE(JOIN(""-"",K84:N84))"),"Ma-Ni-Pa-Dha")</f>
        <v>Ma-Ni-Pa-Dha</v>
      </c>
      <c r="P84" s="58" t="str">
        <f t="shared" ref="P84:S84" si="304">SUBSTITUTE(SUBSTITUTE(SUBSTITUTE(SUBSTITUTE(SUBSTITUTE(SUBSTITUTE(SUBSTITUTE(G84,"1","S"),"2","R"),"3","G"),"4","M"),"5","P"),"6","D"),"7","N")</f>
        <v>M</v>
      </c>
      <c r="Q84" s="58" t="str">
        <f t="shared" si="304"/>
        <v>N</v>
      </c>
      <c r="R84" s="58" t="str">
        <f t="shared" si="304"/>
        <v>P</v>
      </c>
      <c r="S84" s="58" t="str">
        <f t="shared" si="304"/>
        <v>D</v>
      </c>
      <c r="T84" s="55" t="str">
        <f>IFERROR(__xludf.DUMMYFUNCTION("CONCATENATE(JOIN("""",P84:S84))"),"MNPD")</f>
        <v>MNPD</v>
      </c>
      <c r="U84" s="32"/>
      <c r="V84" s="32"/>
      <c r="W84" s="32"/>
    </row>
    <row r="85">
      <c r="A85" s="53" t="s">
        <v>360</v>
      </c>
      <c r="B85" s="55">
        <v>4567.0</v>
      </c>
      <c r="C85" s="58">
        <f t="shared" ref="C85:F85" si="305">C13+3</f>
        <v>4</v>
      </c>
      <c r="D85" s="272">
        <f t="shared" si="305"/>
        <v>7</v>
      </c>
      <c r="E85" s="272">
        <f t="shared" si="305"/>
        <v>6</v>
      </c>
      <c r="F85" s="273">
        <f t="shared" si="305"/>
        <v>5</v>
      </c>
      <c r="G85" s="69" t="str">
        <f t="shared" ref="G85:J85" si="306">SUBSTITUTE(SUBSTITUTE(SUBSTITUTE(C85,"8","1"),"9","2"),"10","3")</f>
        <v>4</v>
      </c>
      <c r="H85" s="69" t="str">
        <f t="shared" si="306"/>
        <v>7</v>
      </c>
      <c r="I85" s="69" t="str">
        <f t="shared" si="306"/>
        <v>6</v>
      </c>
      <c r="J85" s="74" t="str">
        <f t="shared" si="306"/>
        <v>5</v>
      </c>
      <c r="K85" s="58" t="str">
        <f t="shared" ref="K85:N85" si="307">SUBSTITUTE(SUBSTITUTE(SUBSTITUTE(SUBSTITUTE(SUBSTITUTE(SUBSTITUTE(SUBSTITUTE(G85,"1","Sa"),"2","Re"),"3","Ga"),"4","Ma"),"5","Pa"),"6","Dha"),"7","Ni")</f>
        <v>Ma</v>
      </c>
      <c r="L85" s="58" t="str">
        <f t="shared" si="307"/>
        <v>Ni</v>
      </c>
      <c r="M85" s="58" t="str">
        <f t="shared" si="307"/>
        <v>Dha</v>
      </c>
      <c r="N85" s="61" t="str">
        <f t="shared" si="307"/>
        <v>Pa</v>
      </c>
      <c r="O85" s="55" t="str">
        <f>IFERROR(__xludf.DUMMYFUNCTION("CONCATENATE(JOIN(""-"",K85:N85))"),"Ma-Ni-Dha-Pa")</f>
        <v>Ma-Ni-Dha-Pa</v>
      </c>
      <c r="P85" s="58" t="str">
        <f t="shared" ref="P85:S85" si="308">SUBSTITUTE(SUBSTITUTE(SUBSTITUTE(SUBSTITUTE(SUBSTITUTE(SUBSTITUTE(SUBSTITUTE(G85,"1","S"),"2","R"),"3","G"),"4","M"),"5","P"),"6","D"),"7","N")</f>
        <v>M</v>
      </c>
      <c r="Q85" s="58" t="str">
        <f t="shared" si="308"/>
        <v>N</v>
      </c>
      <c r="R85" s="58" t="str">
        <f t="shared" si="308"/>
        <v>D</v>
      </c>
      <c r="S85" s="58" t="str">
        <f t="shared" si="308"/>
        <v>P</v>
      </c>
      <c r="T85" s="55" t="str">
        <f>IFERROR(__xludf.DUMMYFUNCTION("CONCATENATE(JOIN("""",P85:S85))"),"MNDP")</f>
        <v>MNDP</v>
      </c>
      <c r="U85" s="32"/>
      <c r="V85" s="32"/>
      <c r="W85" s="32"/>
    </row>
    <row r="86">
      <c r="A86" s="53" t="s">
        <v>364</v>
      </c>
      <c r="B86" s="55">
        <v>4567.0</v>
      </c>
      <c r="C86" s="58">
        <f t="shared" ref="C86:F86" si="309">C14+3</f>
        <v>5</v>
      </c>
      <c r="D86" s="272">
        <f t="shared" si="309"/>
        <v>7</v>
      </c>
      <c r="E86" s="272">
        <f t="shared" si="309"/>
        <v>6</v>
      </c>
      <c r="F86" s="273">
        <f t="shared" si="309"/>
        <v>4</v>
      </c>
      <c r="G86" s="69" t="str">
        <f t="shared" ref="G86:J86" si="310">SUBSTITUTE(SUBSTITUTE(SUBSTITUTE(C86,"8","1"),"9","2"),"10","3")</f>
        <v>5</v>
      </c>
      <c r="H86" s="69" t="str">
        <f t="shared" si="310"/>
        <v>7</v>
      </c>
      <c r="I86" s="69" t="str">
        <f t="shared" si="310"/>
        <v>6</v>
      </c>
      <c r="J86" s="74" t="str">
        <f t="shared" si="310"/>
        <v>4</v>
      </c>
      <c r="K86" s="58" t="str">
        <f t="shared" ref="K86:N86" si="311">SUBSTITUTE(SUBSTITUTE(SUBSTITUTE(SUBSTITUTE(SUBSTITUTE(SUBSTITUTE(SUBSTITUTE(G86,"1","Sa"),"2","Re"),"3","Ga"),"4","Ma"),"5","Pa"),"6","Dha"),"7","Ni")</f>
        <v>Pa</v>
      </c>
      <c r="L86" s="58" t="str">
        <f t="shared" si="311"/>
        <v>Ni</v>
      </c>
      <c r="M86" s="58" t="str">
        <f t="shared" si="311"/>
        <v>Dha</v>
      </c>
      <c r="N86" s="61" t="str">
        <f t="shared" si="311"/>
        <v>Ma</v>
      </c>
      <c r="O86" s="55" t="str">
        <f>IFERROR(__xludf.DUMMYFUNCTION("CONCATENATE(JOIN(""-"",K86:N86))"),"Pa-Ni-Dha-Ma")</f>
        <v>Pa-Ni-Dha-Ma</v>
      </c>
      <c r="P86" s="58" t="str">
        <f t="shared" ref="P86:S86" si="312">SUBSTITUTE(SUBSTITUTE(SUBSTITUTE(SUBSTITUTE(SUBSTITUTE(SUBSTITUTE(SUBSTITUTE(G86,"1","S"),"2","R"),"3","G"),"4","M"),"5","P"),"6","D"),"7","N")</f>
        <v>P</v>
      </c>
      <c r="Q86" s="58" t="str">
        <f t="shared" si="312"/>
        <v>N</v>
      </c>
      <c r="R86" s="58" t="str">
        <f t="shared" si="312"/>
        <v>D</v>
      </c>
      <c r="S86" s="58" t="str">
        <f t="shared" si="312"/>
        <v>M</v>
      </c>
      <c r="T86" s="55" t="str">
        <f>IFERROR(__xludf.DUMMYFUNCTION("CONCATENATE(JOIN("""",P86:S86))"),"PNDM")</f>
        <v>PNDM</v>
      </c>
      <c r="U86" s="32"/>
      <c r="V86" s="32"/>
      <c r="W86" s="32"/>
    </row>
    <row r="87">
      <c r="A87" s="53" t="s">
        <v>366</v>
      </c>
      <c r="B87" s="55">
        <v>4567.0</v>
      </c>
      <c r="C87" s="58">
        <f t="shared" ref="C87:F87" si="313">C15+3</f>
        <v>6</v>
      </c>
      <c r="D87" s="272">
        <f t="shared" si="313"/>
        <v>4</v>
      </c>
      <c r="E87" s="272">
        <f t="shared" si="313"/>
        <v>5</v>
      </c>
      <c r="F87" s="273">
        <f t="shared" si="313"/>
        <v>7</v>
      </c>
      <c r="G87" s="69" t="str">
        <f t="shared" ref="G87:J87" si="314">SUBSTITUTE(SUBSTITUTE(SUBSTITUTE(C87,"8","1"),"9","2"),"10","3")</f>
        <v>6</v>
      </c>
      <c r="H87" s="69" t="str">
        <f t="shared" si="314"/>
        <v>4</v>
      </c>
      <c r="I87" s="69" t="str">
        <f t="shared" si="314"/>
        <v>5</v>
      </c>
      <c r="J87" s="74" t="str">
        <f t="shared" si="314"/>
        <v>7</v>
      </c>
      <c r="K87" s="58" t="str">
        <f t="shared" ref="K87:N87" si="315">SUBSTITUTE(SUBSTITUTE(SUBSTITUTE(SUBSTITUTE(SUBSTITUTE(SUBSTITUTE(SUBSTITUTE(G87,"1","Sa"),"2","Re"),"3","Ga"),"4","Ma"),"5","Pa"),"6","Dha"),"7","Ni")</f>
        <v>Dha</v>
      </c>
      <c r="L87" s="58" t="str">
        <f t="shared" si="315"/>
        <v>Ma</v>
      </c>
      <c r="M87" s="58" t="str">
        <f t="shared" si="315"/>
        <v>Pa</v>
      </c>
      <c r="N87" s="61" t="str">
        <f t="shared" si="315"/>
        <v>Ni</v>
      </c>
      <c r="O87" s="55" t="str">
        <f>IFERROR(__xludf.DUMMYFUNCTION("CONCATENATE(JOIN(""-"",K87:N87))"),"Dha-Ma-Pa-Ni")</f>
        <v>Dha-Ma-Pa-Ni</v>
      </c>
      <c r="P87" s="58" t="str">
        <f t="shared" ref="P87:S87" si="316">SUBSTITUTE(SUBSTITUTE(SUBSTITUTE(SUBSTITUTE(SUBSTITUTE(SUBSTITUTE(SUBSTITUTE(G87,"1","S"),"2","R"),"3","G"),"4","M"),"5","P"),"6","D"),"7","N")</f>
        <v>D</v>
      </c>
      <c r="Q87" s="58" t="str">
        <f t="shared" si="316"/>
        <v>M</v>
      </c>
      <c r="R87" s="58" t="str">
        <f t="shared" si="316"/>
        <v>P</v>
      </c>
      <c r="S87" s="58" t="str">
        <f t="shared" si="316"/>
        <v>N</v>
      </c>
      <c r="T87" s="55" t="str">
        <f>IFERROR(__xludf.DUMMYFUNCTION("CONCATENATE(JOIN("""",P87:S87))"),"DMPN")</f>
        <v>DMPN</v>
      </c>
      <c r="U87" s="32"/>
      <c r="V87" s="32"/>
      <c r="W87" s="32"/>
    </row>
    <row r="88">
      <c r="A88" s="53" t="s">
        <v>367</v>
      </c>
      <c r="B88" s="55">
        <v>4567.0</v>
      </c>
      <c r="C88" s="58">
        <f t="shared" ref="C88:F88" si="317">C16+3</f>
        <v>7</v>
      </c>
      <c r="D88" s="272">
        <f t="shared" si="317"/>
        <v>4</v>
      </c>
      <c r="E88" s="272">
        <f t="shared" si="317"/>
        <v>5</v>
      </c>
      <c r="F88" s="273">
        <f t="shared" si="317"/>
        <v>6</v>
      </c>
      <c r="G88" s="69" t="str">
        <f t="shared" ref="G88:J88" si="318">SUBSTITUTE(SUBSTITUTE(SUBSTITUTE(C88,"8","1"),"9","2"),"10","3")</f>
        <v>7</v>
      </c>
      <c r="H88" s="69" t="str">
        <f t="shared" si="318"/>
        <v>4</v>
      </c>
      <c r="I88" s="69" t="str">
        <f t="shared" si="318"/>
        <v>5</v>
      </c>
      <c r="J88" s="74" t="str">
        <f t="shared" si="318"/>
        <v>6</v>
      </c>
      <c r="K88" s="58" t="str">
        <f t="shared" ref="K88:N88" si="319">SUBSTITUTE(SUBSTITUTE(SUBSTITUTE(SUBSTITUTE(SUBSTITUTE(SUBSTITUTE(SUBSTITUTE(G88,"1","Sa"),"2","Re"),"3","Ga"),"4","Ma"),"5","Pa"),"6","Dha"),"7","Ni")</f>
        <v>Ni</v>
      </c>
      <c r="L88" s="58" t="str">
        <f t="shared" si="319"/>
        <v>Ma</v>
      </c>
      <c r="M88" s="58" t="str">
        <f t="shared" si="319"/>
        <v>Pa</v>
      </c>
      <c r="N88" s="61" t="str">
        <f t="shared" si="319"/>
        <v>Dha</v>
      </c>
      <c r="O88" s="55" t="str">
        <f>IFERROR(__xludf.DUMMYFUNCTION("CONCATENATE(JOIN(""-"",K88:N88))"),"Ni-Ma-Pa-Dha")</f>
        <v>Ni-Ma-Pa-Dha</v>
      </c>
      <c r="P88" s="58" t="str">
        <f t="shared" ref="P88:S88" si="320">SUBSTITUTE(SUBSTITUTE(SUBSTITUTE(SUBSTITUTE(SUBSTITUTE(SUBSTITUTE(SUBSTITUTE(G88,"1","S"),"2","R"),"3","G"),"4","M"),"5","P"),"6","D"),"7","N")</f>
        <v>N</v>
      </c>
      <c r="Q88" s="58" t="str">
        <f t="shared" si="320"/>
        <v>M</v>
      </c>
      <c r="R88" s="58" t="str">
        <f t="shared" si="320"/>
        <v>P</v>
      </c>
      <c r="S88" s="58" t="str">
        <f t="shared" si="320"/>
        <v>D</v>
      </c>
      <c r="T88" s="55" t="str">
        <f>IFERROR(__xludf.DUMMYFUNCTION("CONCATENATE(JOIN("""",P88:S88))"),"NMPD")</f>
        <v>NMPD</v>
      </c>
      <c r="U88" s="32"/>
      <c r="V88" s="32"/>
      <c r="W88" s="32"/>
    </row>
    <row r="89">
      <c r="A89" s="53" t="s">
        <v>369</v>
      </c>
      <c r="B89" s="55">
        <v>4567.0</v>
      </c>
      <c r="C89" s="58">
        <f t="shared" ref="C89:F89" si="321">C17+3</f>
        <v>7</v>
      </c>
      <c r="D89" s="272">
        <f t="shared" si="321"/>
        <v>4</v>
      </c>
      <c r="E89" s="272">
        <f t="shared" si="321"/>
        <v>6</v>
      </c>
      <c r="F89" s="273">
        <f t="shared" si="321"/>
        <v>5</v>
      </c>
      <c r="G89" s="69" t="str">
        <f t="shared" ref="G89:J89" si="322">SUBSTITUTE(SUBSTITUTE(SUBSTITUTE(C89,"8","1"),"9","2"),"10","3")</f>
        <v>7</v>
      </c>
      <c r="H89" s="69" t="str">
        <f t="shared" si="322"/>
        <v>4</v>
      </c>
      <c r="I89" s="69" t="str">
        <f t="shared" si="322"/>
        <v>6</v>
      </c>
      <c r="J89" s="74" t="str">
        <f t="shared" si="322"/>
        <v>5</v>
      </c>
      <c r="K89" s="58" t="str">
        <f t="shared" ref="K89:N89" si="323">SUBSTITUTE(SUBSTITUTE(SUBSTITUTE(SUBSTITUTE(SUBSTITUTE(SUBSTITUTE(SUBSTITUTE(G89,"1","Sa"),"2","Re"),"3","Ga"),"4","Ma"),"5","Pa"),"6","Dha"),"7","Ni")</f>
        <v>Ni</v>
      </c>
      <c r="L89" s="58" t="str">
        <f t="shared" si="323"/>
        <v>Ma</v>
      </c>
      <c r="M89" s="58" t="str">
        <f t="shared" si="323"/>
        <v>Dha</v>
      </c>
      <c r="N89" s="61" t="str">
        <f t="shared" si="323"/>
        <v>Pa</v>
      </c>
      <c r="O89" s="55" t="str">
        <f>IFERROR(__xludf.DUMMYFUNCTION("CONCATENATE(JOIN(""-"",K89:N89))"),"Ni-Ma-Dha-Pa")</f>
        <v>Ni-Ma-Dha-Pa</v>
      </c>
      <c r="P89" s="58" t="str">
        <f t="shared" ref="P89:S89" si="324">SUBSTITUTE(SUBSTITUTE(SUBSTITUTE(SUBSTITUTE(SUBSTITUTE(SUBSTITUTE(SUBSTITUTE(G89,"1","S"),"2","R"),"3","G"),"4","M"),"5","P"),"6","D"),"7","N")</f>
        <v>N</v>
      </c>
      <c r="Q89" s="58" t="str">
        <f t="shared" si="324"/>
        <v>M</v>
      </c>
      <c r="R89" s="58" t="str">
        <f t="shared" si="324"/>
        <v>D</v>
      </c>
      <c r="S89" s="58" t="str">
        <f t="shared" si="324"/>
        <v>P</v>
      </c>
      <c r="T89" s="55" t="str">
        <f>IFERROR(__xludf.DUMMYFUNCTION("CONCATENATE(JOIN("""",P89:S89))"),"NMDP")</f>
        <v>NMDP</v>
      </c>
      <c r="U89" s="32"/>
      <c r="V89" s="32"/>
      <c r="W89" s="32"/>
    </row>
    <row r="90">
      <c r="A90" s="53" t="s">
        <v>372</v>
      </c>
      <c r="B90" s="55">
        <v>4567.0</v>
      </c>
      <c r="C90" s="58">
        <f t="shared" ref="C90:F90" si="325">C18+3</f>
        <v>7</v>
      </c>
      <c r="D90" s="272">
        <f t="shared" si="325"/>
        <v>5</v>
      </c>
      <c r="E90" s="272">
        <f t="shared" si="325"/>
        <v>6</v>
      </c>
      <c r="F90" s="273">
        <f t="shared" si="325"/>
        <v>4</v>
      </c>
      <c r="G90" s="69" t="str">
        <f t="shared" ref="G90:J90" si="326">SUBSTITUTE(SUBSTITUTE(SUBSTITUTE(C90,"8","1"),"9","2"),"10","3")</f>
        <v>7</v>
      </c>
      <c r="H90" s="69" t="str">
        <f t="shared" si="326"/>
        <v>5</v>
      </c>
      <c r="I90" s="69" t="str">
        <f t="shared" si="326"/>
        <v>6</v>
      </c>
      <c r="J90" s="74" t="str">
        <f t="shared" si="326"/>
        <v>4</v>
      </c>
      <c r="K90" s="58" t="str">
        <f t="shared" ref="K90:N90" si="327">SUBSTITUTE(SUBSTITUTE(SUBSTITUTE(SUBSTITUTE(SUBSTITUTE(SUBSTITUTE(SUBSTITUTE(G90,"1","Sa"),"2","Re"),"3","Ga"),"4","Ma"),"5","Pa"),"6","Dha"),"7","Ni")</f>
        <v>Ni</v>
      </c>
      <c r="L90" s="58" t="str">
        <f t="shared" si="327"/>
        <v>Pa</v>
      </c>
      <c r="M90" s="58" t="str">
        <f t="shared" si="327"/>
        <v>Dha</v>
      </c>
      <c r="N90" s="61" t="str">
        <f t="shared" si="327"/>
        <v>Ma</v>
      </c>
      <c r="O90" s="55" t="str">
        <f>IFERROR(__xludf.DUMMYFUNCTION("CONCATENATE(JOIN(""-"",K90:N90))"),"Ni-Pa-Dha-Ma")</f>
        <v>Ni-Pa-Dha-Ma</v>
      </c>
      <c r="P90" s="58" t="str">
        <f t="shared" ref="P90:S90" si="328">SUBSTITUTE(SUBSTITUTE(SUBSTITUTE(SUBSTITUTE(SUBSTITUTE(SUBSTITUTE(SUBSTITUTE(G90,"1","S"),"2","R"),"3","G"),"4","M"),"5","P"),"6","D"),"7","N")</f>
        <v>N</v>
      </c>
      <c r="Q90" s="58" t="str">
        <f t="shared" si="328"/>
        <v>P</v>
      </c>
      <c r="R90" s="58" t="str">
        <f t="shared" si="328"/>
        <v>D</v>
      </c>
      <c r="S90" s="58" t="str">
        <f t="shared" si="328"/>
        <v>M</v>
      </c>
      <c r="T90" s="55" t="str">
        <f>IFERROR(__xludf.DUMMYFUNCTION("CONCATENATE(JOIN("""",P90:S90))"),"NPDM")</f>
        <v>NPDM</v>
      </c>
      <c r="U90" s="32"/>
      <c r="V90" s="32"/>
      <c r="W90" s="32"/>
    </row>
    <row r="91">
      <c r="A91" s="53" t="s">
        <v>373</v>
      </c>
      <c r="B91" s="55">
        <v>4567.0</v>
      </c>
      <c r="C91" s="58">
        <f t="shared" ref="C91:F91" si="329">C19+3</f>
        <v>5</v>
      </c>
      <c r="D91" s="272">
        <f t="shared" si="329"/>
        <v>6</v>
      </c>
      <c r="E91" s="272">
        <f t="shared" si="329"/>
        <v>4</v>
      </c>
      <c r="F91" s="273">
        <f t="shared" si="329"/>
        <v>7</v>
      </c>
      <c r="G91" s="69" t="str">
        <f t="shared" ref="G91:J91" si="330">SUBSTITUTE(SUBSTITUTE(SUBSTITUTE(C91,"8","1"),"9","2"),"10","3")</f>
        <v>5</v>
      </c>
      <c r="H91" s="69" t="str">
        <f t="shared" si="330"/>
        <v>6</v>
      </c>
      <c r="I91" s="69" t="str">
        <f t="shared" si="330"/>
        <v>4</v>
      </c>
      <c r="J91" s="74" t="str">
        <f t="shared" si="330"/>
        <v>7</v>
      </c>
      <c r="K91" s="58" t="str">
        <f t="shared" ref="K91:N91" si="331">SUBSTITUTE(SUBSTITUTE(SUBSTITUTE(SUBSTITUTE(SUBSTITUTE(SUBSTITUTE(SUBSTITUTE(G91,"1","Sa"),"2","Re"),"3","Ga"),"4","Ma"),"5","Pa"),"6","Dha"),"7","Ni")</f>
        <v>Pa</v>
      </c>
      <c r="L91" s="58" t="str">
        <f t="shared" si="331"/>
        <v>Dha</v>
      </c>
      <c r="M91" s="58" t="str">
        <f t="shared" si="331"/>
        <v>Ma</v>
      </c>
      <c r="N91" s="61" t="str">
        <f t="shared" si="331"/>
        <v>Ni</v>
      </c>
      <c r="O91" s="55" t="str">
        <f>IFERROR(__xludf.DUMMYFUNCTION("CONCATENATE(JOIN(""-"",K91:N91))"),"Pa-Dha-Ma-Ni")</f>
        <v>Pa-Dha-Ma-Ni</v>
      </c>
      <c r="P91" s="58" t="str">
        <f t="shared" ref="P91:S91" si="332">SUBSTITUTE(SUBSTITUTE(SUBSTITUTE(SUBSTITUTE(SUBSTITUTE(SUBSTITUTE(SUBSTITUTE(G91,"1","S"),"2","R"),"3","G"),"4","M"),"5","P"),"6","D"),"7","N")</f>
        <v>P</v>
      </c>
      <c r="Q91" s="58" t="str">
        <f t="shared" si="332"/>
        <v>D</v>
      </c>
      <c r="R91" s="58" t="str">
        <f t="shared" si="332"/>
        <v>M</v>
      </c>
      <c r="S91" s="58" t="str">
        <f t="shared" si="332"/>
        <v>N</v>
      </c>
      <c r="T91" s="55" t="str">
        <f>IFERROR(__xludf.DUMMYFUNCTION("CONCATENATE(JOIN("""",P91:S91))"),"PDMN")</f>
        <v>PDMN</v>
      </c>
      <c r="U91" s="32"/>
      <c r="V91" s="32"/>
      <c r="W91" s="32"/>
    </row>
    <row r="92">
      <c r="A92" s="53" t="s">
        <v>374</v>
      </c>
      <c r="B92" s="55">
        <v>4567.0</v>
      </c>
      <c r="C92" s="58">
        <f t="shared" ref="C92:F92" si="333">C20+3</f>
        <v>5</v>
      </c>
      <c r="D92" s="272">
        <f t="shared" si="333"/>
        <v>7</v>
      </c>
      <c r="E92" s="272">
        <f t="shared" si="333"/>
        <v>4</v>
      </c>
      <c r="F92" s="273">
        <f t="shared" si="333"/>
        <v>6</v>
      </c>
      <c r="G92" s="69" t="str">
        <f t="shared" ref="G92:J92" si="334">SUBSTITUTE(SUBSTITUTE(SUBSTITUTE(C92,"8","1"),"9","2"),"10","3")</f>
        <v>5</v>
      </c>
      <c r="H92" s="69" t="str">
        <f t="shared" si="334"/>
        <v>7</v>
      </c>
      <c r="I92" s="69" t="str">
        <f t="shared" si="334"/>
        <v>4</v>
      </c>
      <c r="J92" s="74" t="str">
        <f t="shared" si="334"/>
        <v>6</v>
      </c>
      <c r="K92" s="58" t="str">
        <f t="shared" ref="K92:N92" si="335">SUBSTITUTE(SUBSTITUTE(SUBSTITUTE(SUBSTITUTE(SUBSTITUTE(SUBSTITUTE(SUBSTITUTE(G92,"1","Sa"),"2","Re"),"3","Ga"),"4","Ma"),"5","Pa"),"6","Dha"),"7","Ni")</f>
        <v>Pa</v>
      </c>
      <c r="L92" s="58" t="str">
        <f t="shared" si="335"/>
        <v>Ni</v>
      </c>
      <c r="M92" s="58" t="str">
        <f t="shared" si="335"/>
        <v>Ma</v>
      </c>
      <c r="N92" s="61" t="str">
        <f t="shared" si="335"/>
        <v>Dha</v>
      </c>
      <c r="O92" s="55" t="str">
        <f>IFERROR(__xludf.DUMMYFUNCTION("CONCATENATE(JOIN(""-"",K92:N92))"),"Pa-Ni-Ma-Dha")</f>
        <v>Pa-Ni-Ma-Dha</v>
      </c>
      <c r="P92" s="58" t="str">
        <f t="shared" ref="P92:S92" si="336">SUBSTITUTE(SUBSTITUTE(SUBSTITUTE(SUBSTITUTE(SUBSTITUTE(SUBSTITUTE(SUBSTITUTE(G92,"1","S"),"2","R"),"3","G"),"4","M"),"5","P"),"6","D"),"7","N")</f>
        <v>P</v>
      </c>
      <c r="Q92" s="58" t="str">
        <f t="shared" si="336"/>
        <v>N</v>
      </c>
      <c r="R92" s="58" t="str">
        <f t="shared" si="336"/>
        <v>M</v>
      </c>
      <c r="S92" s="58" t="str">
        <f t="shared" si="336"/>
        <v>D</v>
      </c>
      <c r="T92" s="55" t="str">
        <f>IFERROR(__xludf.DUMMYFUNCTION("CONCATENATE(JOIN("""",P92:S92))"),"PNMD")</f>
        <v>PNMD</v>
      </c>
      <c r="U92" s="32"/>
      <c r="V92" s="32"/>
      <c r="W92" s="32"/>
    </row>
    <row r="93">
      <c r="A93" s="53" t="s">
        <v>375</v>
      </c>
      <c r="B93" s="55">
        <v>4567.0</v>
      </c>
      <c r="C93" s="58">
        <f t="shared" ref="C93:F93" si="337">C21+3</f>
        <v>6</v>
      </c>
      <c r="D93" s="272">
        <f t="shared" si="337"/>
        <v>7</v>
      </c>
      <c r="E93" s="272">
        <f t="shared" si="337"/>
        <v>4</v>
      </c>
      <c r="F93" s="273">
        <f t="shared" si="337"/>
        <v>5</v>
      </c>
      <c r="G93" s="69" t="str">
        <f t="shared" ref="G93:J93" si="338">SUBSTITUTE(SUBSTITUTE(SUBSTITUTE(C93,"8","1"),"9","2"),"10","3")</f>
        <v>6</v>
      </c>
      <c r="H93" s="69" t="str">
        <f t="shared" si="338"/>
        <v>7</v>
      </c>
      <c r="I93" s="69" t="str">
        <f t="shared" si="338"/>
        <v>4</v>
      </c>
      <c r="J93" s="74" t="str">
        <f t="shared" si="338"/>
        <v>5</v>
      </c>
      <c r="K93" s="58" t="str">
        <f t="shared" ref="K93:N93" si="339">SUBSTITUTE(SUBSTITUTE(SUBSTITUTE(SUBSTITUTE(SUBSTITUTE(SUBSTITUTE(SUBSTITUTE(G93,"1","Sa"),"2","Re"),"3","Ga"),"4","Ma"),"5","Pa"),"6","Dha"),"7","Ni")</f>
        <v>Dha</v>
      </c>
      <c r="L93" s="58" t="str">
        <f t="shared" si="339"/>
        <v>Ni</v>
      </c>
      <c r="M93" s="58" t="str">
        <f t="shared" si="339"/>
        <v>Ma</v>
      </c>
      <c r="N93" s="61" t="str">
        <f t="shared" si="339"/>
        <v>Pa</v>
      </c>
      <c r="O93" s="55" t="str">
        <f>IFERROR(__xludf.DUMMYFUNCTION("CONCATENATE(JOIN(""-"",K93:N93))"),"Dha-Ni-Ma-Pa")</f>
        <v>Dha-Ni-Ma-Pa</v>
      </c>
      <c r="P93" s="58" t="str">
        <f t="shared" ref="P93:S93" si="340">SUBSTITUTE(SUBSTITUTE(SUBSTITUTE(SUBSTITUTE(SUBSTITUTE(SUBSTITUTE(SUBSTITUTE(G93,"1","S"),"2","R"),"3","G"),"4","M"),"5","P"),"6","D"),"7","N")</f>
        <v>D</v>
      </c>
      <c r="Q93" s="58" t="str">
        <f t="shared" si="340"/>
        <v>N</v>
      </c>
      <c r="R93" s="58" t="str">
        <f t="shared" si="340"/>
        <v>M</v>
      </c>
      <c r="S93" s="58" t="str">
        <f t="shared" si="340"/>
        <v>P</v>
      </c>
      <c r="T93" s="55" t="str">
        <f>IFERROR(__xludf.DUMMYFUNCTION("CONCATENATE(JOIN("""",P93:S93))"),"DNMP")</f>
        <v>DNMP</v>
      </c>
      <c r="U93" s="32"/>
      <c r="V93" s="32"/>
      <c r="W93" s="32"/>
    </row>
    <row r="94">
      <c r="A94" s="53" t="s">
        <v>378</v>
      </c>
      <c r="B94" s="55">
        <v>4567.0</v>
      </c>
      <c r="C94" s="58">
        <f t="shared" ref="C94:F94" si="341">C22+3</f>
        <v>6</v>
      </c>
      <c r="D94" s="272">
        <f t="shared" si="341"/>
        <v>7</v>
      </c>
      <c r="E94" s="272">
        <f t="shared" si="341"/>
        <v>5</v>
      </c>
      <c r="F94" s="273">
        <f t="shared" si="341"/>
        <v>4</v>
      </c>
      <c r="G94" s="69" t="str">
        <f t="shared" ref="G94:J94" si="342">SUBSTITUTE(SUBSTITUTE(SUBSTITUTE(C94,"8","1"),"9","2"),"10","3")</f>
        <v>6</v>
      </c>
      <c r="H94" s="69" t="str">
        <f t="shared" si="342"/>
        <v>7</v>
      </c>
      <c r="I94" s="69" t="str">
        <f t="shared" si="342"/>
        <v>5</v>
      </c>
      <c r="J94" s="74" t="str">
        <f t="shared" si="342"/>
        <v>4</v>
      </c>
      <c r="K94" s="58" t="str">
        <f t="shared" ref="K94:N94" si="343">SUBSTITUTE(SUBSTITUTE(SUBSTITUTE(SUBSTITUTE(SUBSTITUTE(SUBSTITUTE(SUBSTITUTE(G94,"1","Sa"),"2","Re"),"3","Ga"),"4","Ma"),"5","Pa"),"6","Dha"),"7","Ni")</f>
        <v>Dha</v>
      </c>
      <c r="L94" s="58" t="str">
        <f t="shared" si="343"/>
        <v>Ni</v>
      </c>
      <c r="M94" s="58" t="str">
        <f t="shared" si="343"/>
        <v>Pa</v>
      </c>
      <c r="N94" s="61" t="str">
        <f t="shared" si="343"/>
        <v>Ma</v>
      </c>
      <c r="O94" s="55" t="str">
        <f>IFERROR(__xludf.DUMMYFUNCTION("CONCATENATE(JOIN(""-"",K94:N94))"),"Dha-Ni-Pa-Ma")</f>
        <v>Dha-Ni-Pa-Ma</v>
      </c>
      <c r="P94" s="58" t="str">
        <f t="shared" ref="P94:S94" si="344">SUBSTITUTE(SUBSTITUTE(SUBSTITUTE(SUBSTITUTE(SUBSTITUTE(SUBSTITUTE(SUBSTITUTE(G94,"1","S"),"2","R"),"3","G"),"4","M"),"5","P"),"6","D"),"7","N")</f>
        <v>D</v>
      </c>
      <c r="Q94" s="58" t="str">
        <f t="shared" si="344"/>
        <v>N</v>
      </c>
      <c r="R94" s="58" t="str">
        <f t="shared" si="344"/>
        <v>P</v>
      </c>
      <c r="S94" s="58" t="str">
        <f t="shared" si="344"/>
        <v>M</v>
      </c>
      <c r="T94" s="55" t="str">
        <f>IFERROR(__xludf.DUMMYFUNCTION("CONCATENATE(JOIN("""",P94:S94))"),"DNPM")</f>
        <v>DNPM</v>
      </c>
      <c r="U94" s="32"/>
      <c r="V94" s="32"/>
      <c r="W94" s="32"/>
    </row>
    <row r="95">
      <c r="A95" s="53" t="s">
        <v>379</v>
      </c>
      <c r="B95" s="55">
        <v>4567.0</v>
      </c>
      <c r="C95" s="58">
        <f t="shared" ref="C95:F95" si="345">C23+3</f>
        <v>6</v>
      </c>
      <c r="D95" s="272">
        <f t="shared" si="345"/>
        <v>5</v>
      </c>
      <c r="E95" s="272">
        <f t="shared" si="345"/>
        <v>4</v>
      </c>
      <c r="F95" s="273">
        <f t="shared" si="345"/>
        <v>7</v>
      </c>
      <c r="G95" s="69" t="str">
        <f t="shared" ref="G95:J95" si="346">SUBSTITUTE(SUBSTITUTE(SUBSTITUTE(C95,"8","1"),"9","2"),"10","3")</f>
        <v>6</v>
      </c>
      <c r="H95" s="69" t="str">
        <f t="shared" si="346"/>
        <v>5</v>
      </c>
      <c r="I95" s="69" t="str">
        <f t="shared" si="346"/>
        <v>4</v>
      </c>
      <c r="J95" s="74" t="str">
        <f t="shared" si="346"/>
        <v>7</v>
      </c>
      <c r="K95" s="58" t="str">
        <f t="shared" ref="K95:N95" si="347">SUBSTITUTE(SUBSTITUTE(SUBSTITUTE(SUBSTITUTE(SUBSTITUTE(SUBSTITUTE(SUBSTITUTE(G95,"1","Sa"),"2","Re"),"3","Ga"),"4","Ma"),"5","Pa"),"6","Dha"),"7","Ni")</f>
        <v>Dha</v>
      </c>
      <c r="L95" s="58" t="str">
        <f t="shared" si="347"/>
        <v>Pa</v>
      </c>
      <c r="M95" s="58" t="str">
        <f t="shared" si="347"/>
        <v>Ma</v>
      </c>
      <c r="N95" s="61" t="str">
        <f t="shared" si="347"/>
        <v>Ni</v>
      </c>
      <c r="O95" s="55" t="str">
        <f>IFERROR(__xludf.DUMMYFUNCTION("CONCATENATE(JOIN(""-"",K95:N95))"),"Dha-Pa-Ma-Ni")</f>
        <v>Dha-Pa-Ma-Ni</v>
      </c>
      <c r="P95" s="58" t="str">
        <f t="shared" ref="P95:S95" si="348">SUBSTITUTE(SUBSTITUTE(SUBSTITUTE(SUBSTITUTE(SUBSTITUTE(SUBSTITUTE(SUBSTITUTE(G95,"1","S"),"2","R"),"3","G"),"4","M"),"5","P"),"6","D"),"7","N")</f>
        <v>D</v>
      </c>
      <c r="Q95" s="58" t="str">
        <f t="shared" si="348"/>
        <v>P</v>
      </c>
      <c r="R95" s="58" t="str">
        <f t="shared" si="348"/>
        <v>M</v>
      </c>
      <c r="S95" s="58" t="str">
        <f t="shared" si="348"/>
        <v>N</v>
      </c>
      <c r="T95" s="55" t="str">
        <f>IFERROR(__xludf.DUMMYFUNCTION("CONCATENATE(JOIN("""",P95:S95))"),"DPMN")</f>
        <v>DPMN</v>
      </c>
      <c r="U95" s="32"/>
      <c r="V95" s="32"/>
      <c r="W95" s="32"/>
    </row>
    <row r="96">
      <c r="A96" s="53" t="s">
        <v>384</v>
      </c>
      <c r="B96" s="55">
        <v>4567.0</v>
      </c>
      <c r="C96" s="58">
        <f t="shared" ref="C96:F96" si="349">C24+3</f>
        <v>7</v>
      </c>
      <c r="D96" s="272">
        <f t="shared" si="349"/>
        <v>5</v>
      </c>
      <c r="E96" s="272">
        <f t="shared" si="349"/>
        <v>4</v>
      </c>
      <c r="F96" s="273">
        <f t="shared" si="349"/>
        <v>6</v>
      </c>
      <c r="G96" s="69" t="str">
        <f t="shared" ref="G96:J96" si="350">SUBSTITUTE(SUBSTITUTE(SUBSTITUTE(C96,"8","1"),"9","2"),"10","3")</f>
        <v>7</v>
      </c>
      <c r="H96" s="69" t="str">
        <f t="shared" si="350"/>
        <v>5</v>
      </c>
      <c r="I96" s="69" t="str">
        <f t="shared" si="350"/>
        <v>4</v>
      </c>
      <c r="J96" s="74" t="str">
        <f t="shared" si="350"/>
        <v>6</v>
      </c>
      <c r="K96" s="58" t="str">
        <f t="shared" ref="K96:N96" si="351">SUBSTITUTE(SUBSTITUTE(SUBSTITUTE(SUBSTITUTE(SUBSTITUTE(SUBSTITUTE(SUBSTITUTE(G96,"1","Sa"),"2","Re"),"3","Ga"),"4","Ma"),"5","Pa"),"6","Dha"),"7","Ni")</f>
        <v>Ni</v>
      </c>
      <c r="L96" s="58" t="str">
        <f t="shared" si="351"/>
        <v>Pa</v>
      </c>
      <c r="M96" s="58" t="str">
        <f t="shared" si="351"/>
        <v>Ma</v>
      </c>
      <c r="N96" s="61" t="str">
        <f t="shared" si="351"/>
        <v>Dha</v>
      </c>
      <c r="O96" s="55" t="str">
        <f>IFERROR(__xludf.DUMMYFUNCTION("CONCATENATE(JOIN(""-"",K96:N96))"),"Ni-Pa-Ma-Dha")</f>
        <v>Ni-Pa-Ma-Dha</v>
      </c>
      <c r="P96" s="58" t="str">
        <f t="shared" ref="P96:S96" si="352">SUBSTITUTE(SUBSTITUTE(SUBSTITUTE(SUBSTITUTE(SUBSTITUTE(SUBSTITUTE(SUBSTITUTE(G96,"1","S"),"2","R"),"3","G"),"4","M"),"5","P"),"6","D"),"7","N")</f>
        <v>N</v>
      </c>
      <c r="Q96" s="58" t="str">
        <f t="shared" si="352"/>
        <v>P</v>
      </c>
      <c r="R96" s="58" t="str">
        <f t="shared" si="352"/>
        <v>M</v>
      </c>
      <c r="S96" s="58" t="str">
        <f t="shared" si="352"/>
        <v>D</v>
      </c>
      <c r="T96" s="55" t="str">
        <f>IFERROR(__xludf.DUMMYFUNCTION("CONCATENATE(JOIN("""",P96:S96))"),"NPMD")</f>
        <v>NPMD</v>
      </c>
      <c r="U96" s="32"/>
      <c r="V96" s="32"/>
      <c r="W96" s="32"/>
    </row>
    <row r="97">
      <c r="A97" s="53" t="s">
        <v>385</v>
      </c>
      <c r="B97" s="55">
        <v>4567.0</v>
      </c>
      <c r="C97" s="58">
        <f t="shared" ref="C97:F97" si="353">C25+3</f>
        <v>7</v>
      </c>
      <c r="D97" s="272">
        <f t="shared" si="353"/>
        <v>6</v>
      </c>
      <c r="E97" s="272">
        <f t="shared" si="353"/>
        <v>4</v>
      </c>
      <c r="F97" s="273">
        <f t="shared" si="353"/>
        <v>5</v>
      </c>
      <c r="G97" s="69" t="str">
        <f t="shared" ref="G97:J97" si="354">SUBSTITUTE(SUBSTITUTE(SUBSTITUTE(C97,"8","1"),"9","2"),"10","3")</f>
        <v>7</v>
      </c>
      <c r="H97" s="69" t="str">
        <f t="shared" si="354"/>
        <v>6</v>
      </c>
      <c r="I97" s="69" t="str">
        <f t="shared" si="354"/>
        <v>4</v>
      </c>
      <c r="J97" s="74" t="str">
        <f t="shared" si="354"/>
        <v>5</v>
      </c>
      <c r="K97" s="58" t="str">
        <f t="shared" ref="K97:N97" si="355">SUBSTITUTE(SUBSTITUTE(SUBSTITUTE(SUBSTITUTE(SUBSTITUTE(SUBSTITUTE(SUBSTITUTE(G97,"1","Sa"),"2","Re"),"3","Ga"),"4","Ma"),"5","Pa"),"6","Dha"),"7","Ni")</f>
        <v>Ni</v>
      </c>
      <c r="L97" s="58" t="str">
        <f t="shared" si="355"/>
        <v>Dha</v>
      </c>
      <c r="M97" s="58" t="str">
        <f t="shared" si="355"/>
        <v>Ma</v>
      </c>
      <c r="N97" s="61" t="str">
        <f t="shared" si="355"/>
        <v>Pa</v>
      </c>
      <c r="O97" s="55" t="str">
        <f>IFERROR(__xludf.DUMMYFUNCTION("CONCATENATE(JOIN(""-"",K97:N97))"),"Ni-Dha-Ma-Pa")</f>
        <v>Ni-Dha-Ma-Pa</v>
      </c>
      <c r="P97" s="58" t="str">
        <f t="shared" ref="P97:S97" si="356">SUBSTITUTE(SUBSTITUTE(SUBSTITUTE(SUBSTITUTE(SUBSTITUTE(SUBSTITUTE(SUBSTITUTE(G97,"1","S"),"2","R"),"3","G"),"4","M"),"5","P"),"6","D"),"7","N")</f>
        <v>N</v>
      </c>
      <c r="Q97" s="58" t="str">
        <f t="shared" si="356"/>
        <v>D</v>
      </c>
      <c r="R97" s="58" t="str">
        <f t="shared" si="356"/>
        <v>M</v>
      </c>
      <c r="S97" s="58" t="str">
        <f t="shared" si="356"/>
        <v>P</v>
      </c>
      <c r="T97" s="55" t="str">
        <f>IFERROR(__xludf.DUMMYFUNCTION("CONCATENATE(JOIN("""",P97:S97))"),"NDMP")</f>
        <v>NDMP</v>
      </c>
      <c r="U97" s="32"/>
      <c r="V97" s="32"/>
      <c r="W97" s="32"/>
    </row>
    <row r="98">
      <c r="A98" s="262" t="s">
        <v>386</v>
      </c>
      <c r="B98" s="263">
        <v>4567.0</v>
      </c>
      <c r="C98" s="264">
        <f t="shared" ref="C98:F98" si="357">C26+3</f>
        <v>7</v>
      </c>
      <c r="D98" s="360">
        <f t="shared" si="357"/>
        <v>6</v>
      </c>
      <c r="E98" s="360">
        <f t="shared" si="357"/>
        <v>5</v>
      </c>
      <c r="F98" s="361">
        <f t="shared" si="357"/>
        <v>4</v>
      </c>
      <c r="G98" s="266" t="str">
        <f t="shared" ref="G98:J98" si="358">SUBSTITUTE(SUBSTITUTE(SUBSTITUTE(C98,"8","1"),"9","2"),"10","3")</f>
        <v>7</v>
      </c>
      <c r="H98" s="266" t="str">
        <f t="shared" si="358"/>
        <v>6</v>
      </c>
      <c r="I98" s="266" t="str">
        <f t="shared" si="358"/>
        <v>5</v>
      </c>
      <c r="J98" s="268" t="str">
        <f t="shared" si="358"/>
        <v>4</v>
      </c>
      <c r="K98" s="264" t="str">
        <f t="shared" ref="K98:N98" si="359">SUBSTITUTE(SUBSTITUTE(SUBSTITUTE(SUBSTITUTE(SUBSTITUTE(SUBSTITUTE(SUBSTITUTE(G98,"1","Sa"),"2","Re"),"3","Ga"),"4","Ma"),"5","Pa"),"6","Dha"),"7","Ni")</f>
        <v>Ni</v>
      </c>
      <c r="L98" s="264" t="str">
        <f t="shared" si="359"/>
        <v>Dha</v>
      </c>
      <c r="M98" s="264" t="str">
        <f t="shared" si="359"/>
        <v>Pa</v>
      </c>
      <c r="N98" s="265" t="str">
        <f t="shared" si="359"/>
        <v>Ma</v>
      </c>
      <c r="O98" s="263" t="str">
        <f>IFERROR(__xludf.DUMMYFUNCTION("CONCATENATE(JOIN(""-"",K98:N98))"),"Ni-Dha-Pa-Ma")</f>
        <v>Ni-Dha-Pa-Ma</v>
      </c>
      <c r="P98" s="264" t="str">
        <f t="shared" ref="P98:S98" si="360">SUBSTITUTE(SUBSTITUTE(SUBSTITUTE(SUBSTITUTE(SUBSTITUTE(SUBSTITUTE(SUBSTITUTE(G98,"1","S"),"2","R"),"3","G"),"4","M"),"5","P"),"6","D"),"7","N")</f>
        <v>N</v>
      </c>
      <c r="Q98" s="264" t="str">
        <f t="shared" si="360"/>
        <v>D</v>
      </c>
      <c r="R98" s="264" t="str">
        <f t="shared" si="360"/>
        <v>P</v>
      </c>
      <c r="S98" s="264" t="str">
        <f t="shared" si="360"/>
        <v>M</v>
      </c>
      <c r="T98" s="263" t="str">
        <f>IFERROR(__xludf.DUMMYFUNCTION("CONCATENATE(JOIN("""",P98:S98))"),"NDPM")</f>
        <v>NDPM</v>
      </c>
      <c r="U98" s="32"/>
      <c r="V98" s="32"/>
      <c r="W98" s="32"/>
    </row>
    <row r="99">
      <c r="A99" s="53" t="s">
        <v>387</v>
      </c>
      <c r="B99" s="55">
        <v>5671.0</v>
      </c>
      <c r="C99" s="58">
        <f t="shared" ref="C99:F99" si="361">C3+4</f>
        <v>5</v>
      </c>
      <c r="D99" s="272">
        <f t="shared" si="361"/>
        <v>6</v>
      </c>
      <c r="E99" s="272">
        <f t="shared" si="361"/>
        <v>7</v>
      </c>
      <c r="F99" s="273">
        <f t="shared" si="361"/>
        <v>8</v>
      </c>
      <c r="G99" s="69" t="str">
        <f t="shared" ref="G99:J99" si="362">SUBSTITUTE(SUBSTITUTE(SUBSTITUTE(C99,"8","1"),"9","2"),"10","3")</f>
        <v>5</v>
      </c>
      <c r="H99" s="69" t="str">
        <f t="shared" si="362"/>
        <v>6</v>
      </c>
      <c r="I99" s="69" t="str">
        <f t="shared" si="362"/>
        <v>7</v>
      </c>
      <c r="J99" s="74" t="str">
        <f t="shared" si="362"/>
        <v>1</v>
      </c>
      <c r="K99" s="58" t="str">
        <f t="shared" ref="K99:N99" si="363">SUBSTITUTE(SUBSTITUTE(SUBSTITUTE(SUBSTITUTE(SUBSTITUTE(SUBSTITUTE(SUBSTITUTE(G99,"1","Sa"),"2","Re"),"3","Ga"),"4","Ma"),"5","Pa"),"6","Dha"),"7","Ni")</f>
        <v>Pa</v>
      </c>
      <c r="L99" s="58" t="str">
        <f t="shared" si="363"/>
        <v>Dha</v>
      </c>
      <c r="M99" s="58" t="str">
        <f t="shared" si="363"/>
        <v>Ni</v>
      </c>
      <c r="N99" s="61" t="str">
        <f t="shared" si="363"/>
        <v>Sa</v>
      </c>
      <c r="O99" s="55" t="str">
        <f>IFERROR(__xludf.DUMMYFUNCTION("CONCATENATE(JOIN(""-"",K99:N99))"),"Pa-Dha-Ni-Sa")</f>
        <v>Pa-Dha-Ni-Sa</v>
      </c>
      <c r="P99" s="58" t="str">
        <f t="shared" ref="P99:S99" si="364">SUBSTITUTE(SUBSTITUTE(SUBSTITUTE(SUBSTITUTE(SUBSTITUTE(SUBSTITUTE(SUBSTITUTE(G99,"1","S"),"2","R"),"3","G"),"4","M"),"5","P"),"6","D"),"7","N")</f>
        <v>P</v>
      </c>
      <c r="Q99" s="58" t="str">
        <f t="shared" si="364"/>
        <v>D</v>
      </c>
      <c r="R99" s="58" t="str">
        <f t="shared" si="364"/>
        <v>N</v>
      </c>
      <c r="S99" s="58" t="str">
        <f t="shared" si="364"/>
        <v>S</v>
      </c>
      <c r="T99" s="55" t="str">
        <f>IFERROR(__xludf.DUMMYFUNCTION("CONCATENATE(JOIN("""",P99:S99))"),"PDNS")</f>
        <v>PDNS</v>
      </c>
      <c r="U99" s="32" t="str">
        <f>IFERROR(__xludf.DUMMYFUNCTION("CONCATENATE(JOIN("" | "",T99:T122))"),"PDNS | PDSN | PNSD | DNSP | DPNS | DPSN | NPSD | NDSP | PNDS | PSDN | PSND | DSNP | NPDS | SPDN | SPND | SDNP | DNPS | DSPN | NSPD | NSDP | NDPS | SDPN | SNPD | SNDP")</f>
        <v>PDNS | PDSN | PNSD | DNSP | DPNS | DPSN | NPSD | NDSP | PNDS | PSDN | PSND | DSNP | NPDS | SPDN | SPND | SDNP | DNPS | DSPN | NSPD | NSDP | NDPS | SDPN | SNPD | SNDP</v>
      </c>
      <c r="V99" s="32"/>
      <c r="W99" s="32"/>
    </row>
    <row r="100">
      <c r="A100" s="53" t="s">
        <v>390</v>
      </c>
      <c r="B100" s="55">
        <v>5671.0</v>
      </c>
      <c r="C100" s="58">
        <f t="shared" ref="C100:F100" si="365">C4+4</f>
        <v>5</v>
      </c>
      <c r="D100" s="272">
        <f t="shared" si="365"/>
        <v>6</v>
      </c>
      <c r="E100" s="272">
        <f t="shared" si="365"/>
        <v>8</v>
      </c>
      <c r="F100" s="273">
        <f t="shared" si="365"/>
        <v>7</v>
      </c>
      <c r="G100" s="69" t="str">
        <f t="shared" ref="G100:J100" si="366">SUBSTITUTE(SUBSTITUTE(SUBSTITUTE(C100,"8","1"),"9","2"),"10","3")</f>
        <v>5</v>
      </c>
      <c r="H100" s="69" t="str">
        <f t="shared" si="366"/>
        <v>6</v>
      </c>
      <c r="I100" s="69" t="str">
        <f t="shared" si="366"/>
        <v>1</v>
      </c>
      <c r="J100" s="74" t="str">
        <f t="shared" si="366"/>
        <v>7</v>
      </c>
      <c r="K100" s="58" t="str">
        <f t="shared" ref="K100:N100" si="367">SUBSTITUTE(SUBSTITUTE(SUBSTITUTE(SUBSTITUTE(SUBSTITUTE(SUBSTITUTE(SUBSTITUTE(G100,"1","Sa"),"2","Re"),"3","Ga"),"4","Ma"),"5","Pa"),"6","Dha"),"7","Ni")</f>
        <v>Pa</v>
      </c>
      <c r="L100" s="58" t="str">
        <f t="shared" si="367"/>
        <v>Dha</v>
      </c>
      <c r="M100" s="58" t="str">
        <f t="shared" si="367"/>
        <v>Sa</v>
      </c>
      <c r="N100" s="61" t="str">
        <f t="shared" si="367"/>
        <v>Ni</v>
      </c>
      <c r="O100" s="55" t="str">
        <f>IFERROR(__xludf.DUMMYFUNCTION("CONCATENATE(JOIN(""-"",K100:N100))"),"Pa-Dha-Sa-Ni")</f>
        <v>Pa-Dha-Sa-Ni</v>
      </c>
      <c r="P100" s="58" t="str">
        <f t="shared" ref="P100:S100" si="368">SUBSTITUTE(SUBSTITUTE(SUBSTITUTE(SUBSTITUTE(SUBSTITUTE(SUBSTITUTE(SUBSTITUTE(G100,"1","S"),"2","R"),"3","G"),"4","M"),"5","P"),"6","D"),"7","N")</f>
        <v>P</v>
      </c>
      <c r="Q100" s="58" t="str">
        <f t="shared" si="368"/>
        <v>D</v>
      </c>
      <c r="R100" s="58" t="str">
        <f t="shared" si="368"/>
        <v>S</v>
      </c>
      <c r="S100" s="58" t="str">
        <f t="shared" si="368"/>
        <v>N</v>
      </c>
      <c r="T100" s="55" t="str">
        <f>IFERROR(__xludf.DUMMYFUNCTION("CONCATENATE(JOIN("""",P100:S100))"),"PDSN")</f>
        <v>PDSN</v>
      </c>
      <c r="U100" s="32"/>
      <c r="V100" s="32"/>
      <c r="W100" s="32"/>
    </row>
    <row r="101">
      <c r="A101" s="53" t="s">
        <v>391</v>
      </c>
      <c r="B101" s="55">
        <v>5671.0</v>
      </c>
      <c r="C101" s="58">
        <f t="shared" ref="C101:F101" si="369">C5+4</f>
        <v>5</v>
      </c>
      <c r="D101" s="272">
        <f t="shared" si="369"/>
        <v>7</v>
      </c>
      <c r="E101" s="272">
        <f t="shared" si="369"/>
        <v>8</v>
      </c>
      <c r="F101" s="273">
        <f t="shared" si="369"/>
        <v>6</v>
      </c>
      <c r="G101" s="69" t="str">
        <f t="shared" ref="G101:J101" si="370">SUBSTITUTE(SUBSTITUTE(SUBSTITUTE(C101,"8","1"),"9","2"),"10","3")</f>
        <v>5</v>
      </c>
      <c r="H101" s="69" t="str">
        <f t="shared" si="370"/>
        <v>7</v>
      </c>
      <c r="I101" s="69" t="str">
        <f t="shared" si="370"/>
        <v>1</v>
      </c>
      <c r="J101" s="74" t="str">
        <f t="shared" si="370"/>
        <v>6</v>
      </c>
      <c r="K101" s="58" t="str">
        <f t="shared" ref="K101:N101" si="371">SUBSTITUTE(SUBSTITUTE(SUBSTITUTE(SUBSTITUTE(SUBSTITUTE(SUBSTITUTE(SUBSTITUTE(G101,"1","Sa"),"2","Re"),"3","Ga"),"4","Ma"),"5","Pa"),"6","Dha"),"7","Ni")</f>
        <v>Pa</v>
      </c>
      <c r="L101" s="58" t="str">
        <f t="shared" si="371"/>
        <v>Ni</v>
      </c>
      <c r="M101" s="58" t="str">
        <f t="shared" si="371"/>
        <v>Sa</v>
      </c>
      <c r="N101" s="61" t="str">
        <f t="shared" si="371"/>
        <v>Dha</v>
      </c>
      <c r="O101" s="55" t="str">
        <f>IFERROR(__xludf.DUMMYFUNCTION("CONCATENATE(JOIN(""-"",K101:N101))"),"Pa-Ni-Sa-Dha")</f>
        <v>Pa-Ni-Sa-Dha</v>
      </c>
      <c r="P101" s="58" t="str">
        <f t="shared" ref="P101:S101" si="372">SUBSTITUTE(SUBSTITUTE(SUBSTITUTE(SUBSTITUTE(SUBSTITUTE(SUBSTITUTE(SUBSTITUTE(G101,"1","S"),"2","R"),"3","G"),"4","M"),"5","P"),"6","D"),"7","N")</f>
        <v>P</v>
      </c>
      <c r="Q101" s="58" t="str">
        <f t="shared" si="372"/>
        <v>N</v>
      </c>
      <c r="R101" s="58" t="str">
        <f t="shared" si="372"/>
        <v>S</v>
      </c>
      <c r="S101" s="58" t="str">
        <f t="shared" si="372"/>
        <v>D</v>
      </c>
      <c r="T101" s="55" t="str">
        <f>IFERROR(__xludf.DUMMYFUNCTION("CONCATENATE(JOIN("""",P101:S101))"),"PNSD")</f>
        <v>PNSD</v>
      </c>
      <c r="U101" s="32"/>
      <c r="V101" s="32"/>
      <c r="W101" s="32"/>
    </row>
    <row r="102">
      <c r="A102" s="53" t="s">
        <v>392</v>
      </c>
      <c r="B102" s="55">
        <v>5671.0</v>
      </c>
      <c r="C102" s="58">
        <f t="shared" ref="C102:F102" si="373">C6+4</f>
        <v>6</v>
      </c>
      <c r="D102" s="272">
        <f t="shared" si="373"/>
        <v>7</v>
      </c>
      <c r="E102" s="272">
        <f t="shared" si="373"/>
        <v>8</v>
      </c>
      <c r="F102" s="273">
        <f t="shared" si="373"/>
        <v>5</v>
      </c>
      <c r="G102" s="69" t="str">
        <f t="shared" ref="G102:J102" si="374">SUBSTITUTE(SUBSTITUTE(SUBSTITUTE(C102,"8","1"),"9","2"),"10","3")</f>
        <v>6</v>
      </c>
      <c r="H102" s="69" t="str">
        <f t="shared" si="374"/>
        <v>7</v>
      </c>
      <c r="I102" s="69" t="str">
        <f t="shared" si="374"/>
        <v>1</v>
      </c>
      <c r="J102" s="74" t="str">
        <f t="shared" si="374"/>
        <v>5</v>
      </c>
      <c r="K102" s="58" t="str">
        <f t="shared" ref="K102:N102" si="375">SUBSTITUTE(SUBSTITUTE(SUBSTITUTE(SUBSTITUTE(SUBSTITUTE(SUBSTITUTE(SUBSTITUTE(G102,"1","Sa"),"2","Re"),"3","Ga"),"4","Ma"),"5","Pa"),"6","Dha"),"7","Ni")</f>
        <v>Dha</v>
      </c>
      <c r="L102" s="58" t="str">
        <f t="shared" si="375"/>
        <v>Ni</v>
      </c>
      <c r="M102" s="58" t="str">
        <f t="shared" si="375"/>
        <v>Sa</v>
      </c>
      <c r="N102" s="61" t="str">
        <f t="shared" si="375"/>
        <v>Pa</v>
      </c>
      <c r="O102" s="55" t="str">
        <f>IFERROR(__xludf.DUMMYFUNCTION("CONCATENATE(JOIN(""-"",K102:N102))"),"Dha-Ni-Sa-Pa")</f>
        <v>Dha-Ni-Sa-Pa</v>
      </c>
      <c r="P102" s="58" t="str">
        <f t="shared" ref="P102:S102" si="376">SUBSTITUTE(SUBSTITUTE(SUBSTITUTE(SUBSTITUTE(SUBSTITUTE(SUBSTITUTE(SUBSTITUTE(G102,"1","S"),"2","R"),"3","G"),"4","M"),"5","P"),"6","D"),"7","N")</f>
        <v>D</v>
      </c>
      <c r="Q102" s="58" t="str">
        <f t="shared" si="376"/>
        <v>N</v>
      </c>
      <c r="R102" s="58" t="str">
        <f t="shared" si="376"/>
        <v>S</v>
      </c>
      <c r="S102" s="58" t="str">
        <f t="shared" si="376"/>
        <v>P</v>
      </c>
      <c r="T102" s="55" t="str">
        <f>IFERROR(__xludf.DUMMYFUNCTION("CONCATENATE(JOIN("""",P102:S102))"),"DNSP")</f>
        <v>DNSP</v>
      </c>
      <c r="U102" s="32"/>
      <c r="V102" s="32"/>
      <c r="W102" s="32"/>
    </row>
    <row r="103">
      <c r="A103" s="53" t="s">
        <v>393</v>
      </c>
      <c r="B103" s="55">
        <v>5671.0</v>
      </c>
      <c r="C103" s="58">
        <f t="shared" ref="C103:F103" si="377">C7+4</f>
        <v>6</v>
      </c>
      <c r="D103" s="272">
        <f t="shared" si="377"/>
        <v>5</v>
      </c>
      <c r="E103" s="272">
        <f t="shared" si="377"/>
        <v>7</v>
      </c>
      <c r="F103" s="273">
        <f t="shared" si="377"/>
        <v>8</v>
      </c>
      <c r="G103" s="69" t="str">
        <f t="shared" ref="G103:J103" si="378">SUBSTITUTE(SUBSTITUTE(SUBSTITUTE(C103,"8","1"),"9","2"),"10","3")</f>
        <v>6</v>
      </c>
      <c r="H103" s="69" t="str">
        <f t="shared" si="378"/>
        <v>5</v>
      </c>
      <c r="I103" s="69" t="str">
        <f t="shared" si="378"/>
        <v>7</v>
      </c>
      <c r="J103" s="74" t="str">
        <f t="shared" si="378"/>
        <v>1</v>
      </c>
      <c r="K103" s="58" t="str">
        <f t="shared" ref="K103:N103" si="379">SUBSTITUTE(SUBSTITUTE(SUBSTITUTE(SUBSTITUTE(SUBSTITUTE(SUBSTITUTE(SUBSTITUTE(G103,"1","Sa"),"2","Re"),"3","Ga"),"4","Ma"),"5","Pa"),"6","Dha"),"7","Ni")</f>
        <v>Dha</v>
      </c>
      <c r="L103" s="58" t="str">
        <f t="shared" si="379"/>
        <v>Pa</v>
      </c>
      <c r="M103" s="58" t="str">
        <f t="shared" si="379"/>
        <v>Ni</v>
      </c>
      <c r="N103" s="61" t="str">
        <f t="shared" si="379"/>
        <v>Sa</v>
      </c>
      <c r="O103" s="55" t="str">
        <f>IFERROR(__xludf.DUMMYFUNCTION("CONCATENATE(JOIN(""-"",K103:N103))"),"Dha-Pa-Ni-Sa")</f>
        <v>Dha-Pa-Ni-Sa</v>
      </c>
      <c r="P103" s="58" t="str">
        <f t="shared" ref="P103:S103" si="380">SUBSTITUTE(SUBSTITUTE(SUBSTITUTE(SUBSTITUTE(SUBSTITUTE(SUBSTITUTE(SUBSTITUTE(G103,"1","S"),"2","R"),"3","G"),"4","M"),"5","P"),"6","D"),"7","N")</f>
        <v>D</v>
      </c>
      <c r="Q103" s="58" t="str">
        <f t="shared" si="380"/>
        <v>P</v>
      </c>
      <c r="R103" s="58" t="str">
        <f t="shared" si="380"/>
        <v>N</v>
      </c>
      <c r="S103" s="58" t="str">
        <f t="shared" si="380"/>
        <v>S</v>
      </c>
      <c r="T103" s="55" t="str">
        <f>IFERROR(__xludf.DUMMYFUNCTION("CONCATENATE(JOIN("""",P103:S103))"),"DPNS")</f>
        <v>DPNS</v>
      </c>
      <c r="U103" s="32"/>
      <c r="V103" s="32"/>
      <c r="W103" s="32"/>
    </row>
    <row r="104">
      <c r="A104" s="53" t="s">
        <v>394</v>
      </c>
      <c r="B104" s="55">
        <v>5671.0</v>
      </c>
      <c r="C104" s="58">
        <f t="shared" ref="C104:F104" si="381">C8+4</f>
        <v>6</v>
      </c>
      <c r="D104" s="272">
        <f t="shared" si="381"/>
        <v>5</v>
      </c>
      <c r="E104" s="272">
        <f t="shared" si="381"/>
        <v>8</v>
      </c>
      <c r="F104" s="273">
        <f t="shared" si="381"/>
        <v>7</v>
      </c>
      <c r="G104" s="69" t="str">
        <f t="shared" ref="G104:J104" si="382">SUBSTITUTE(SUBSTITUTE(SUBSTITUTE(C104,"8","1"),"9","2"),"10","3")</f>
        <v>6</v>
      </c>
      <c r="H104" s="69" t="str">
        <f t="shared" si="382"/>
        <v>5</v>
      </c>
      <c r="I104" s="69" t="str">
        <f t="shared" si="382"/>
        <v>1</v>
      </c>
      <c r="J104" s="74" t="str">
        <f t="shared" si="382"/>
        <v>7</v>
      </c>
      <c r="K104" s="58" t="str">
        <f t="shared" ref="K104:N104" si="383">SUBSTITUTE(SUBSTITUTE(SUBSTITUTE(SUBSTITUTE(SUBSTITUTE(SUBSTITUTE(SUBSTITUTE(G104,"1","Sa"),"2","Re"),"3","Ga"),"4","Ma"),"5","Pa"),"6","Dha"),"7","Ni")</f>
        <v>Dha</v>
      </c>
      <c r="L104" s="58" t="str">
        <f t="shared" si="383"/>
        <v>Pa</v>
      </c>
      <c r="M104" s="58" t="str">
        <f t="shared" si="383"/>
        <v>Sa</v>
      </c>
      <c r="N104" s="61" t="str">
        <f t="shared" si="383"/>
        <v>Ni</v>
      </c>
      <c r="O104" s="55" t="str">
        <f>IFERROR(__xludf.DUMMYFUNCTION("CONCATENATE(JOIN(""-"",K104:N104))"),"Dha-Pa-Sa-Ni")</f>
        <v>Dha-Pa-Sa-Ni</v>
      </c>
      <c r="P104" s="58" t="str">
        <f t="shared" ref="P104:S104" si="384">SUBSTITUTE(SUBSTITUTE(SUBSTITUTE(SUBSTITUTE(SUBSTITUTE(SUBSTITUTE(SUBSTITUTE(G104,"1","S"),"2","R"),"3","G"),"4","M"),"5","P"),"6","D"),"7","N")</f>
        <v>D</v>
      </c>
      <c r="Q104" s="58" t="str">
        <f t="shared" si="384"/>
        <v>P</v>
      </c>
      <c r="R104" s="58" t="str">
        <f t="shared" si="384"/>
        <v>S</v>
      </c>
      <c r="S104" s="58" t="str">
        <f t="shared" si="384"/>
        <v>N</v>
      </c>
      <c r="T104" s="55" t="str">
        <f>IFERROR(__xludf.DUMMYFUNCTION("CONCATENATE(JOIN("""",P104:S104))"),"DPSN")</f>
        <v>DPSN</v>
      </c>
      <c r="U104" s="32"/>
      <c r="V104" s="32"/>
      <c r="W104" s="32"/>
    </row>
    <row r="105">
      <c r="A105" s="53" t="s">
        <v>395</v>
      </c>
      <c r="B105" s="55">
        <v>5671.0</v>
      </c>
      <c r="C105" s="58">
        <f t="shared" ref="C105:F105" si="385">C9+4</f>
        <v>7</v>
      </c>
      <c r="D105" s="272">
        <f t="shared" si="385"/>
        <v>5</v>
      </c>
      <c r="E105" s="272">
        <f t="shared" si="385"/>
        <v>8</v>
      </c>
      <c r="F105" s="273">
        <f t="shared" si="385"/>
        <v>6</v>
      </c>
      <c r="G105" s="69" t="str">
        <f t="shared" ref="G105:J105" si="386">SUBSTITUTE(SUBSTITUTE(SUBSTITUTE(C105,"8","1"),"9","2"),"10","3")</f>
        <v>7</v>
      </c>
      <c r="H105" s="69" t="str">
        <f t="shared" si="386"/>
        <v>5</v>
      </c>
      <c r="I105" s="69" t="str">
        <f t="shared" si="386"/>
        <v>1</v>
      </c>
      <c r="J105" s="74" t="str">
        <f t="shared" si="386"/>
        <v>6</v>
      </c>
      <c r="K105" s="58" t="str">
        <f t="shared" ref="K105:N105" si="387">SUBSTITUTE(SUBSTITUTE(SUBSTITUTE(SUBSTITUTE(SUBSTITUTE(SUBSTITUTE(SUBSTITUTE(G105,"1","Sa"),"2","Re"),"3","Ga"),"4","Ma"),"5","Pa"),"6","Dha"),"7","Ni")</f>
        <v>Ni</v>
      </c>
      <c r="L105" s="58" t="str">
        <f t="shared" si="387"/>
        <v>Pa</v>
      </c>
      <c r="M105" s="58" t="str">
        <f t="shared" si="387"/>
        <v>Sa</v>
      </c>
      <c r="N105" s="61" t="str">
        <f t="shared" si="387"/>
        <v>Dha</v>
      </c>
      <c r="O105" s="55" t="str">
        <f>IFERROR(__xludf.DUMMYFUNCTION("CONCATENATE(JOIN(""-"",K105:N105))"),"Ni-Pa-Sa-Dha")</f>
        <v>Ni-Pa-Sa-Dha</v>
      </c>
      <c r="P105" s="58" t="str">
        <f t="shared" ref="P105:S105" si="388">SUBSTITUTE(SUBSTITUTE(SUBSTITUTE(SUBSTITUTE(SUBSTITUTE(SUBSTITUTE(SUBSTITUTE(G105,"1","S"),"2","R"),"3","G"),"4","M"),"5","P"),"6","D"),"7","N")</f>
        <v>N</v>
      </c>
      <c r="Q105" s="58" t="str">
        <f t="shared" si="388"/>
        <v>P</v>
      </c>
      <c r="R105" s="58" t="str">
        <f t="shared" si="388"/>
        <v>S</v>
      </c>
      <c r="S105" s="58" t="str">
        <f t="shared" si="388"/>
        <v>D</v>
      </c>
      <c r="T105" s="55" t="str">
        <f>IFERROR(__xludf.DUMMYFUNCTION("CONCATENATE(JOIN("""",P105:S105))"),"NPSD")</f>
        <v>NPSD</v>
      </c>
      <c r="U105" s="32"/>
      <c r="V105" s="32"/>
      <c r="W105" s="32"/>
    </row>
    <row r="106">
      <c r="A106" s="53" t="s">
        <v>400</v>
      </c>
      <c r="B106" s="55">
        <v>5671.0</v>
      </c>
      <c r="C106" s="58">
        <f t="shared" ref="C106:F106" si="389">C10+4</f>
        <v>7</v>
      </c>
      <c r="D106" s="272">
        <f t="shared" si="389"/>
        <v>6</v>
      </c>
      <c r="E106" s="272">
        <f t="shared" si="389"/>
        <v>8</v>
      </c>
      <c r="F106" s="273">
        <f t="shared" si="389"/>
        <v>5</v>
      </c>
      <c r="G106" s="69" t="str">
        <f t="shared" ref="G106:J106" si="390">SUBSTITUTE(SUBSTITUTE(SUBSTITUTE(C106,"8","1"),"9","2"),"10","3")</f>
        <v>7</v>
      </c>
      <c r="H106" s="69" t="str">
        <f t="shared" si="390"/>
        <v>6</v>
      </c>
      <c r="I106" s="69" t="str">
        <f t="shared" si="390"/>
        <v>1</v>
      </c>
      <c r="J106" s="74" t="str">
        <f t="shared" si="390"/>
        <v>5</v>
      </c>
      <c r="K106" s="58" t="str">
        <f t="shared" ref="K106:N106" si="391">SUBSTITUTE(SUBSTITUTE(SUBSTITUTE(SUBSTITUTE(SUBSTITUTE(SUBSTITUTE(SUBSTITUTE(G106,"1","Sa"),"2","Re"),"3","Ga"),"4","Ma"),"5","Pa"),"6","Dha"),"7","Ni")</f>
        <v>Ni</v>
      </c>
      <c r="L106" s="58" t="str">
        <f t="shared" si="391"/>
        <v>Dha</v>
      </c>
      <c r="M106" s="58" t="str">
        <f t="shared" si="391"/>
        <v>Sa</v>
      </c>
      <c r="N106" s="61" t="str">
        <f t="shared" si="391"/>
        <v>Pa</v>
      </c>
      <c r="O106" s="55" t="str">
        <f>IFERROR(__xludf.DUMMYFUNCTION("CONCATENATE(JOIN(""-"",K106:N106))"),"Ni-Dha-Sa-Pa")</f>
        <v>Ni-Dha-Sa-Pa</v>
      </c>
      <c r="P106" s="58" t="str">
        <f t="shared" ref="P106:S106" si="392">SUBSTITUTE(SUBSTITUTE(SUBSTITUTE(SUBSTITUTE(SUBSTITUTE(SUBSTITUTE(SUBSTITUTE(G106,"1","S"),"2","R"),"3","G"),"4","M"),"5","P"),"6","D"),"7","N")</f>
        <v>N</v>
      </c>
      <c r="Q106" s="58" t="str">
        <f t="shared" si="392"/>
        <v>D</v>
      </c>
      <c r="R106" s="58" t="str">
        <f t="shared" si="392"/>
        <v>S</v>
      </c>
      <c r="S106" s="58" t="str">
        <f t="shared" si="392"/>
        <v>P</v>
      </c>
      <c r="T106" s="55" t="str">
        <f>IFERROR(__xludf.DUMMYFUNCTION("CONCATENATE(JOIN("""",P106:S106))"),"NDSP")</f>
        <v>NDSP</v>
      </c>
      <c r="U106" s="32"/>
      <c r="V106" s="32"/>
      <c r="W106" s="32"/>
    </row>
    <row r="107">
      <c r="A107" s="53" t="s">
        <v>402</v>
      </c>
      <c r="B107" s="55">
        <v>5671.0</v>
      </c>
      <c r="C107" s="58">
        <f t="shared" ref="C107:F107" si="393">C11+4</f>
        <v>5</v>
      </c>
      <c r="D107" s="272">
        <f t="shared" si="393"/>
        <v>7</v>
      </c>
      <c r="E107" s="272">
        <f t="shared" si="393"/>
        <v>6</v>
      </c>
      <c r="F107" s="273">
        <f t="shared" si="393"/>
        <v>8</v>
      </c>
      <c r="G107" s="69" t="str">
        <f t="shared" ref="G107:J107" si="394">SUBSTITUTE(SUBSTITUTE(SUBSTITUTE(C107,"8","1"),"9","2"),"10","3")</f>
        <v>5</v>
      </c>
      <c r="H107" s="69" t="str">
        <f t="shared" si="394"/>
        <v>7</v>
      </c>
      <c r="I107" s="69" t="str">
        <f t="shared" si="394"/>
        <v>6</v>
      </c>
      <c r="J107" s="74" t="str">
        <f t="shared" si="394"/>
        <v>1</v>
      </c>
      <c r="K107" s="58" t="str">
        <f t="shared" ref="K107:N107" si="395">SUBSTITUTE(SUBSTITUTE(SUBSTITUTE(SUBSTITUTE(SUBSTITUTE(SUBSTITUTE(SUBSTITUTE(G107,"1","Sa"),"2","Re"),"3","Ga"),"4","Ma"),"5","Pa"),"6","Dha"),"7","Ni")</f>
        <v>Pa</v>
      </c>
      <c r="L107" s="58" t="str">
        <f t="shared" si="395"/>
        <v>Ni</v>
      </c>
      <c r="M107" s="58" t="str">
        <f t="shared" si="395"/>
        <v>Dha</v>
      </c>
      <c r="N107" s="61" t="str">
        <f t="shared" si="395"/>
        <v>Sa</v>
      </c>
      <c r="O107" s="55" t="str">
        <f>IFERROR(__xludf.DUMMYFUNCTION("CONCATENATE(JOIN(""-"",K107:N107))"),"Pa-Ni-Dha-Sa")</f>
        <v>Pa-Ni-Dha-Sa</v>
      </c>
      <c r="P107" s="58" t="str">
        <f t="shared" ref="P107:S107" si="396">SUBSTITUTE(SUBSTITUTE(SUBSTITUTE(SUBSTITUTE(SUBSTITUTE(SUBSTITUTE(SUBSTITUTE(G107,"1","S"),"2","R"),"3","G"),"4","M"),"5","P"),"6","D"),"7","N")</f>
        <v>P</v>
      </c>
      <c r="Q107" s="58" t="str">
        <f t="shared" si="396"/>
        <v>N</v>
      </c>
      <c r="R107" s="58" t="str">
        <f t="shared" si="396"/>
        <v>D</v>
      </c>
      <c r="S107" s="58" t="str">
        <f t="shared" si="396"/>
        <v>S</v>
      </c>
      <c r="T107" s="55" t="str">
        <f>IFERROR(__xludf.DUMMYFUNCTION("CONCATENATE(JOIN("""",P107:S107))"),"PNDS")</f>
        <v>PNDS</v>
      </c>
      <c r="U107" s="32"/>
      <c r="V107" s="32"/>
      <c r="W107" s="32"/>
    </row>
    <row r="108">
      <c r="A108" s="53" t="s">
        <v>404</v>
      </c>
      <c r="B108" s="55">
        <v>5671.0</v>
      </c>
      <c r="C108" s="58">
        <f t="shared" ref="C108:F108" si="397">C12+4</f>
        <v>5</v>
      </c>
      <c r="D108" s="272">
        <f t="shared" si="397"/>
        <v>8</v>
      </c>
      <c r="E108" s="272">
        <f t="shared" si="397"/>
        <v>6</v>
      </c>
      <c r="F108" s="273">
        <f t="shared" si="397"/>
        <v>7</v>
      </c>
      <c r="G108" s="69" t="str">
        <f t="shared" ref="G108:J108" si="398">SUBSTITUTE(SUBSTITUTE(SUBSTITUTE(C108,"8","1"),"9","2"),"10","3")</f>
        <v>5</v>
      </c>
      <c r="H108" s="69" t="str">
        <f t="shared" si="398"/>
        <v>1</v>
      </c>
      <c r="I108" s="69" t="str">
        <f t="shared" si="398"/>
        <v>6</v>
      </c>
      <c r="J108" s="74" t="str">
        <f t="shared" si="398"/>
        <v>7</v>
      </c>
      <c r="K108" s="58" t="str">
        <f t="shared" ref="K108:N108" si="399">SUBSTITUTE(SUBSTITUTE(SUBSTITUTE(SUBSTITUTE(SUBSTITUTE(SUBSTITUTE(SUBSTITUTE(G108,"1","Sa"),"2","Re"),"3","Ga"),"4","Ma"),"5","Pa"),"6","Dha"),"7","Ni")</f>
        <v>Pa</v>
      </c>
      <c r="L108" s="58" t="str">
        <f t="shared" si="399"/>
        <v>Sa</v>
      </c>
      <c r="M108" s="58" t="str">
        <f t="shared" si="399"/>
        <v>Dha</v>
      </c>
      <c r="N108" s="61" t="str">
        <f t="shared" si="399"/>
        <v>Ni</v>
      </c>
      <c r="O108" s="55" t="str">
        <f>IFERROR(__xludf.DUMMYFUNCTION("CONCATENATE(JOIN(""-"",K108:N108))"),"Pa-Sa-Dha-Ni")</f>
        <v>Pa-Sa-Dha-Ni</v>
      </c>
      <c r="P108" s="58" t="str">
        <f t="shared" ref="P108:S108" si="400">SUBSTITUTE(SUBSTITUTE(SUBSTITUTE(SUBSTITUTE(SUBSTITUTE(SUBSTITUTE(SUBSTITUTE(G108,"1","S"),"2","R"),"3","G"),"4","M"),"5","P"),"6","D"),"7","N")</f>
        <v>P</v>
      </c>
      <c r="Q108" s="58" t="str">
        <f t="shared" si="400"/>
        <v>S</v>
      </c>
      <c r="R108" s="58" t="str">
        <f t="shared" si="400"/>
        <v>D</v>
      </c>
      <c r="S108" s="58" t="str">
        <f t="shared" si="400"/>
        <v>N</v>
      </c>
      <c r="T108" s="55" t="str">
        <f>IFERROR(__xludf.DUMMYFUNCTION("CONCATENATE(JOIN("""",P108:S108))"),"PSDN")</f>
        <v>PSDN</v>
      </c>
      <c r="U108" s="32"/>
      <c r="V108" s="32"/>
      <c r="W108" s="32"/>
    </row>
    <row r="109">
      <c r="A109" s="53" t="s">
        <v>406</v>
      </c>
      <c r="B109" s="55">
        <v>5671.0</v>
      </c>
      <c r="C109" s="58">
        <f t="shared" ref="C109:F109" si="401">C13+4</f>
        <v>5</v>
      </c>
      <c r="D109" s="272">
        <f t="shared" si="401"/>
        <v>8</v>
      </c>
      <c r="E109" s="272">
        <f t="shared" si="401"/>
        <v>7</v>
      </c>
      <c r="F109" s="273">
        <f t="shared" si="401"/>
        <v>6</v>
      </c>
      <c r="G109" s="69" t="str">
        <f t="shared" ref="G109:J109" si="402">SUBSTITUTE(SUBSTITUTE(SUBSTITUTE(C109,"8","1"),"9","2"),"10","3")</f>
        <v>5</v>
      </c>
      <c r="H109" s="69" t="str">
        <f t="shared" si="402"/>
        <v>1</v>
      </c>
      <c r="I109" s="69" t="str">
        <f t="shared" si="402"/>
        <v>7</v>
      </c>
      <c r="J109" s="74" t="str">
        <f t="shared" si="402"/>
        <v>6</v>
      </c>
      <c r="K109" s="58" t="str">
        <f t="shared" ref="K109:N109" si="403">SUBSTITUTE(SUBSTITUTE(SUBSTITUTE(SUBSTITUTE(SUBSTITUTE(SUBSTITUTE(SUBSTITUTE(G109,"1","Sa"),"2","Re"),"3","Ga"),"4","Ma"),"5","Pa"),"6","Dha"),"7","Ni")</f>
        <v>Pa</v>
      </c>
      <c r="L109" s="58" t="str">
        <f t="shared" si="403"/>
        <v>Sa</v>
      </c>
      <c r="M109" s="58" t="str">
        <f t="shared" si="403"/>
        <v>Ni</v>
      </c>
      <c r="N109" s="61" t="str">
        <f t="shared" si="403"/>
        <v>Dha</v>
      </c>
      <c r="O109" s="55" t="str">
        <f>IFERROR(__xludf.DUMMYFUNCTION("CONCATENATE(JOIN(""-"",K109:N109))"),"Pa-Sa-Ni-Dha")</f>
        <v>Pa-Sa-Ni-Dha</v>
      </c>
      <c r="P109" s="58" t="str">
        <f t="shared" ref="P109:S109" si="404">SUBSTITUTE(SUBSTITUTE(SUBSTITUTE(SUBSTITUTE(SUBSTITUTE(SUBSTITUTE(SUBSTITUTE(G109,"1","S"),"2","R"),"3","G"),"4","M"),"5","P"),"6","D"),"7","N")</f>
        <v>P</v>
      </c>
      <c r="Q109" s="58" t="str">
        <f t="shared" si="404"/>
        <v>S</v>
      </c>
      <c r="R109" s="58" t="str">
        <f t="shared" si="404"/>
        <v>N</v>
      </c>
      <c r="S109" s="58" t="str">
        <f t="shared" si="404"/>
        <v>D</v>
      </c>
      <c r="T109" s="55" t="str">
        <f>IFERROR(__xludf.DUMMYFUNCTION("CONCATENATE(JOIN("""",P109:S109))"),"PSND")</f>
        <v>PSND</v>
      </c>
      <c r="U109" s="32"/>
      <c r="V109" s="32"/>
      <c r="W109" s="32"/>
    </row>
    <row r="110">
      <c r="A110" s="53" t="s">
        <v>407</v>
      </c>
      <c r="B110" s="55">
        <v>5671.0</v>
      </c>
      <c r="C110" s="58">
        <f t="shared" ref="C110:F110" si="405">C14+4</f>
        <v>6</v>
      </c>
      <c r="D110" s="272">
        <f t="shared" si="405"/>
        <v>8</v>
      </c>
      <c r="E110" s="272">
        <f t="shared" si="405"/>
        <v>7</v>
      </c>
      <c r="F110" s="273">
        <f t="shared" si="405"/>
        <v>5</v>
      </c>
      <c r="G110" s="69" t="str">
        <f t="shared" ref="G110:J110" si="406">SUBSTITUTE(SUBSTITUTE(SUBSTITUTE(C110,"8","1"),"9","2"),"10","3")</f>
        <v>6</v>
      </c>
      <c r="H110" s="69" t="str">
        <f t="shared" si="406"/>
        <v>1</v>
      </c>
      <c r="I110" s="69" t="str">
        <f t="shared" si="406"/>
        <v>7</v>
      </c>
      <c r="J110" s="74" t="str">
        <f t="shared" si="406"/>
        <v>5</v>
      </c>
      <c r="K110" s="58" t="str">
        <f t="shared" ref="K110:N110" si="407">SUBSTITUTE(SUBSTITUTE(SUBSTITUTE(SUBSTITUTE(SUBSTITUTE(SUBSTITUTE(SUBSTITUTE(G110,"1","Sa"),"2","Re"),"3","Ga"),"4","Ma"),"5","Pa"),"6","Dha"),"7","Ni")</f>
        <v>Dha</v>
      </c>
      <c r="L110" s="58" t="str">
        <f t="shared" si="407"/>
        <v>Sa</v>
      </c>
      <c r="M110" s="58" t="str">
        <f t="shared" si="407"/>
        <v>Ni</v>
      </c>
      <c r="N110" s="61" t="str">
        <f t="shared" si="407"/>
        <v>Pa</v>
      </c>
      <c r="O110" s="55" t="str">
        <f>IFERROR(__xludf.DUMMYFUNCTION("CONCATENATE(JOIN(""-"",K110:N110))"),"Dha-Sa-Ni-Pa")</f>
        <v>Dha-Sa-Ni-Pa</v>
      </c>
      <c r="P110" s="58" t="str">
        <f t="shared" ref="P110:S110" si="408">SUBSTITUTE(SUBSTITUTE(SUBSTITUTE(SUBSTITUTE(SUBSTITUTE(SUBSTITUTE(SUBSTITUTE(G110,"1","S"),"2","R"),"3","G"),"4","M"),"5","P"),"6","D"),"7","N")</f>
        <v>D</v>
      </c>
      <c r="Q110" s="58" t="str">
        <f t="shared" si="408"/>
        <v>S</v>
      </c>
      <c r="R110" s="58" t="str">
        <f t="shared" si="408"/>
        <v>N</v>
      </c>
      <c r="S110" s="58" t="str">
        <f t="shared" si="408"/>
        <v>P</v>
      </c>
      <c r="T110" s="55" t="str">
        <f>IFERROR(__xludf.DUMMYFUNCTION("CONCATENATE(JOIN("""",P110:S110))"),"DSNP")</f>
        <v>DSNP</v>
      </c>
      <c r="U110" s="32"/>
      <c r="V110" s="32"/>
      <c r="W110" s="32"/>
    </row>
    <row r="111">
      <c r="A111" s="53" t="s">
        <v>408</v>
      </c>
      <c r="B111" s="55">
        <v>5671.0</v>
      </c>
      <c r="C111" s="58">
        <f t="shared" ref="C111:F111" si="409">C15+4</f>
        <v>7</v>
      </c>
      <c r="D111" s="272">
        <f t="shared" si="409"/>
        <v>5</v>
      </c>
      <c r="E111" s="272">
        <f t="shared" si="409"/>
        <v>6</v>
      </c>
      <c r="F111" s="273">
        <f t="shared" si="409"/>
        <v>8</v>
      </c>
      <c r="G111" s="69" t="str">
        <f t="shared" ref="G111:J111" si="410">SUBSTITUTE(SUBSTITUTE(SUBSTITUTE(C111,"8","1"),"9","2"),"10","3")</f>
        <v>7</v>
      </c>
      <c r="H111" s="69" t="str">
        <f t="shared" si="410"/>
        <v>5</v>
      </c>
      <c r="I111" s="69" t="str">
        <f t="shared" si="410"/>
        <v>6</v>
      </c>
      <c r="J111" s="74" t="str">
        <f t="shared" si="410"/>
        <v>1</v>
      </c>
      <c r="K111" s="58" t="str">
        <f t="shared" ref="K111:N111" si="411">SUBSTITUTE(SUBSTITUTE(SUBSTITUTE(SUBSTITUTE(SUBSTITUTE(SUBSTITUTE(SUBSTITUTE(G111,"1","Sa"),"2","Re"),"3","Ga"),"4","Ma"),"5","Pa"),"6","Dha"),"7","Ni")</f>
        <v>Ni</v>
      </c>
      <c r="L111" s="58" t="str">
        <f t="shared" si="411"/>
        <v>Pa</v>
      </c>
      <c r="M111" s="58" t="str">
        <f t="shared" si="411"/>
        <v>Dha</v>
      </c>
      <c r="N111" s="61" t="str">
        <f t="shared" si="411"/>
        <v>Sa</v>
      </c>
      <c r="O111" s="55" t="str">
        <f>IFERROR(__xludf.DUMMYFUNCTION("CONCATENATE(JOIN(""-"",K111:N111))"),"Ni-Pa-Dha-Sa")</f>
        <v>Ni-Pa-Dha-Sa</v>
      </c>
      <c r="P111" s="58" t="str">
        <f t="shared" ref="P111:S111" si="412">SUBSTITUTE(SUBSTITUTE(SUBSTITUTE(SUBSTITUTE(SUBSTITUTE(SUBSTITUTE(SUBSTITUTE(G111,"1","S"),"2","R"),"3","G"),"4","M"),"5","P"),"6","D"),"7","N")</f>
        <v>N</v>
      </c>
      <c r="Q111" s="58" t="str">
        <f t="shared" si="412"/>
        <v>P</v>
      </c>
      <c r="R111" s="58" t="str">
        <f t="shared" si="412"/>
        <v>D</v>
      </c>
      <c r="S111" s="58" t="str">
        <f t="shared" si="412"/>
        <v>S</v>
      </c>
      <c r="T111" s="55" t="str">
        <f>IFERROR(__xludf.DUMMYFUNCTION("CONCATENATE(JOIN("""",P111:S111))"),"NPDS")</f>
        <v>NPDS</v>
      </c>
      <c r="U111" s="32"/>
      <c r="V111" s="32"/>
      <c r="W111" s="32"/>
    </row>
    <row r="112">
      <c r="A112" s="53" t="s">
        <v>409</v>
      </c>
      <c r="B112" s="55">
        <v>5671.0</v>
      </c>
      <c r="C112" s="58">
        <f t="shared" ref="C112:F112" si="413">C16+4</f>
        <v>8</v>
      </c>
      <c r="D112" s="272">
        <f t="shared" si="413"/>
        <v>5</v>
      </c>
      <c r="E112" s="272">
        <f t="shared" si="413"/>
        <v>6</v>
      </c>
      <c r="F112" s="273">
        <f t="shared" si="413"/>
        <v>7</v>
      </c>
      <c r="G112" s="69" t="str">
        <f t="shared" ref="G112:J112" si="414">SUBSTITUTE(SUBSTITUTE(SUBSTITUTE(C112,"8","1"),"9","2"),"10","3")</f>
        <v>1</v>
      </c>
      <c r="H112" s="69" t="str">
        <f t="shared" si="414"/>
        <v>5</v>
      </c>
      <c r="I112" s="69" t="str">
        <f t="shared" si="414"/>
        <v>6</v>
      </c>
      <c r="J112" s="74" t="str">
        <f t="shared" si="414"/>
        <v>7</v>
      </c>
      <c r="K112" s="58" t="str">
        <f t="shared" ref="K112:N112" si="415">SUBSTITUTE(SUBSTITUTE(SUBSTITUTE(SUBSTITUTE(SUBSTITUTE(SUBSTITUTE(SUBSTITUTE(G112,"1","Sa"),"2","Re"),"3","Ga"),"4","Ma"),"5","Pa"),"6","Dha"),"7","Ni")</f>
        <v>Sa</v>
      </c>
      <c r="L112" s="58" t="str">
        <f t="shared" si="415"/>
        <v>Pa</v>
      </c>
      <c r="M112" s="58" t="str">
        <f t="shared" si="415"/>
        <v>Dha</v>
      </c>
      <c r="N112" s="61" t="str">
        <f t="shared" si="415"/>
        <v>Ni</v>
      </c>
      <c r="O112" s="55" t="str">
        <f>IFERROR(__xludf.DUMMYFUNCTION("CONCATENATE(JOIN(""-"",K112:N112))"),"Sa-Pa-Dha-Ni")</f>
        <v>Sa-Pa-Dha-Ni</v>
      </c>
      <c r="P112" s="58" t="str">
        <f t="shared" ref="P112:S112" si="416">SUBSTITUTE(SUBSTITUTE(SUBSTITUTE(SUBSTITUTE(SUBSTITUTE(SUBSTITUTE(SUBSTITUTE(G112,"1","S"),"2","R"),"3","G"),"4","M"),"5","P"),"6","D"),"7","N")</f>
        <v>S</v>
      </c>
      <c r="Q112" s="58" t="str">
        <f t="shared" si="416"/>
        <v>P</v>
      </c>
      <c r="R112" s="58" t="str">
        <f t="shared" si="416"/>
        <v>D</v>
      </c>
      <c r="S112" s="58" t="str">
        <f t="shared" si="416"/>
        <v>N</v>
      </c>
      <c r="T112" s="55" t="str">
        <f>IFERROR(__xludf.DUMMYFUNCTION("CONCATENATE(JOIN("""",P112:S112))"),"SPDN")</f>
        <v>SPDN</v>
      </c>
      <c r="U112" s="32"/>
      <c r="V112" s="32"/>
      <c r="W112" s="32"/>
    </row>
    <row r="113">
      <c r="A113" s="53" t="s">
        <v>410</v>
      </c>
      <c r="B113" s="55">
        <v>5671.0</v>
      </c>
      <c r="C113" s="58">
        <f t="shared" ref="C113:F113" si="417">C17+4</f>
        <v>8</v>
      </c>
      <c r="D113" s="272">
        <f t="shared" si="417"/>
        <v>5</v>
      </c>
      <c r="E113" s="272">
        <f t="shared" si="417"/>
        <v>7</v>
      </c>
      <c r="F113" s="273">
        <f t="shared" si="417"/>
        <v>6</v>
      </c>
      <c r="G113" s="69" t="str">
        <f t="shared" ref="G113:J113" si="418">SUBSTITUTE(SUBSTITUTE(SUBSTITUTE(C113,"8","1"),"9","2"),"10","3")</f>
        <v>1</v>
      </c>
      <c r="H113" s="69" t="str">
        <f t="shared" si="418"/>
        <v>5</v>
      </c>
      <c r="I113" s="69" t="str">
        <f t="shared" si="418"/>
        <v>7</v>
      </c>
      <c r="J113" s="74" t="str">
        <f t="shared" si="418"/>
        <v>6</v>
      </c>
      <c r="K113" s="58" t="str">
        <f t="shared" ref="K113:N113" si="419">SUBSTITUTE(SUBSTITUTE(SUBSTITUTE(SUBSTITUTE(SUBSTITUTE(SUBSTITUTE(SUBSTITUTE(G113,"1","Sa"),"2","Re"),"3","Ga"),"4","Ma"),"5","Pa"),"6","Dha"),"7","Ni")</f>
        <v>Sa</v>
      </c>
      <c r="L113" s="58" t="str">
        <f t="shared" si="419"/>
        <v>Pa</v>
      </c>
      <c r="M113" s="58" t="str">
        <f t="shared" si="419"/>
        <v>Ni</v>
      </c>
      <c r="N113" s="61" t="str">
        <f t="shared" si="419"/>
        <v>Dha</v>
      </c>
      <c r="O113" s="55" t="str">
        <f>IFERROR(__xludf.DUMMYFUNCTION("CONCATENATE(JOIN(""-"",K113:N113))"),"Sa-Pa-Ni-Dha")</f>
        <v>Sa-Pa-Ni-Dha</v>
      </c>
      <c r="P113" s="58" t="str">
        <f t="shared" ref="P113:S113" si="420">SUBSTITUTE(SUBSTITUTE(SUBSTITUTE(SUBSTITUTE(SUBSTITUTE(SUBSTITUTE(SUBSTITUTE(G113,"1","S"),"2","R"),"3","G"),"4","M"),"5","P"),"6","D"),"7","N")</f>
        <v>S</v>
      </c>
      <c r="Q113" s="58" t="str">
        <f t="shared" si="420"/>
        <v>P</v>
      </c>
      <c r="R113" s="58" t="str">
        <f t="shared" si="420"/>
        <v>N</v>
      </c>
      <c r="S113" s="58" t="str">
        <f t="shared" si="420"/>
        <v>D</v>
      </c>
      <c r="T113" s="55" t="str">
        <f>IFERROR(__xludf.DUMMYFUNCTION("CONCATENATE(JOIN("""",P113:S113))"),"SPND")</f>
        <v>SPND</v>
      </c>
      <c r="U113" s="32"/>
      <c r="V113" s="32"/>
      <c r="W113" s="32"/>
    </row>
    <row r="114">
      <c r="A114" s="53" t="s">
        <v>411</v>
      </c>
      <c r="B114" s="55">
        <v>5671.0</v>
      </c>
      <c r="C114" s="58">
        <f t="shared" ref="C114:F114" si="421">C18+4</f>
        <v>8</v>
      </c>
      <c r="D114" s="272">
        <f t="shared" si="421"/>
        <v>6</v>
      </c>
      <c r="E114" s="272">
        <f t="shared" si="421"/>
        <v>7</v>
      </c>
      <c r="F114" s="273">
        <f t="shared" si="421"/>
        <v>5</v>
      </c>
      <c r="G114" s="69" t="str">
        <f t="shared" ref="G114:J114" si="422">SUBSTITUTE(SUBSTITUTE(SUBSTITUTE(C114,"8","1"),"9","2"),"10","3")</f>
        <v>1</v>
      </c>
      <c r="H114" s="69" t="str">
        <f t="shared" si="422"/>
        <v>6</v>
      </c>
      <c r="I114" s="69" t="str">
        <f t="shared" si="422"/>
        <v>7</v>
      </c>
      <c r="J114" s="74" t="str">
        <f t="shared" si="422"/>
        <v>5</v>
      </c>
      <c r="K114" s="58" t="str">
        <f t="shared" ref="K114:N114" si="423">SUBSTITUTE(SUBSTITUTE(SUBSTITUTE(SUBSTITUTE(SUBSTITUTE(SUBSTITUTE(SUBSTITUTE(G114,"1","Sa"),"2","Re"),"3","Ga"),"4","Ma"),"5","Pa"),"6","Dha"),"7","Ni")</f>
        <v>Sa</v>
      </c>
      <c r="L114" s="58" t="str">
        <f t="shared" si="423"/>
        <v>Dha</v>
      </c>
      <c r="M114" s="58" t="str">
        <f t="shared" si="423"/>
        <v>Ni</v>
      </c>
      <c r="N114" s="61" t="str">
        <f t="shared" si="423"/>
        <v>Pa</v>
      </c>
      <c r="O114" s="55" t="str">
        <f>IFERROR(__xludf.DUMMYFUNCTION("CONCATENATE(JOIN(""-"",K114:N114))"),"Sa-Dha-Ni-Pa")</f>
        <v>Sa-Dha-Ni-Pa</v>
      </c>
      <c r="P114" s="58" t="str">
        <f t="shared" ref="P114:S114" si="424">SUBSTITUTE(SUBSTITUTE(SUBSTITUTE(SUBSTITUTE(SUBSTITUTE(SUBSTITUTE(SUBSTITUTE(G114,"1","S"),"2","R"),"3","G"),"4","M"),"5","P"),"6","D"),"7","N")</f>
        <v>S</v>
      </c>
      <c r="Q114" s="58" t="str">
        <f t="shared" si="424"/>
        <v>D</v>
      </c>
      <c r="R114" s="58" t="str">
        <f t="shared" si="424"/>
        <v>N</v>
      </c>
      <c r="S114" s="58" t="str">
        <f t="shared" si="424"/>
        <v>P</v>
      </c>
      <c r="T114" s="55" t="str">
        <f>IFERROR(__xludf.DUMMYFUNCTION("CONCATENATE(JOIN("""",P114:S114))"),"SDNP")</f>
        <v>SDNP</v>
      </c>
      <c r="U114" s="32"/>
      <c r="V114" s="32"/>
      <c r="W114" s="32"/>
    </row>
    <row r="115">
      <c r="A115" s="53" t="s">
        <v>414</v>
      </c>
      <c r="B115" s="55">
        <v>5671.0</v>
      </c>
      <c r="C115" s="58">
        <f t="shared" ref="C115:F115" si="425">C19+4</f>
        <v>6</v>
      </c>
      <c r="D115" s="272">
        <f t="shared" si="425"/>
        <v>7</v>
      </c>
      <c r="E115" s="272">
        <f t="shared" si="425"/>
        <v>5</v>
      </c>
      <c r="F115" s="273">
        <f t="shared" si="425"/>
        <v>8</v>
      </c>
      <c r="G115" s="69" t="str">
        <f t="shared" ref="G115:J115" si="426">SUBSTITUTE(SUBSTITUTE(SUBSTITUTE(C115,"8","1"),"9","2"),"10","3")</f>
        <v>6</v>
      </c>
      <c r="H115" s="69" t="str">
        <f t="shared" si="426"/>
        <v>7</v>
      </c>
      <c r="I115" s="69" t="str">
        <f t="shared" si="426"/>
        <v>5</v>
      </c>
      <c r="J115" s="74" t="str">
        <f t="shared" si="426"/>
        <v>1</v>
      </c>
      <c r="K115" s="58" t="str">
        <f t="shared" ref="K115:N115" si="427">SUBSTITUTE(SUBSTITUTE(SUBSTITUTE(SUBSTITUTE(SUBSTITUTE(SUBSTITUTE(SUBSTITUTE(G115,"1","Sa"),"2","Re"),"3","Ga"),"4","Ma"),"5","Pa"),"6","Dha"),"7","Ni")</f>
        <v>Dha</v>
      </c>
      <c r="L115" s="58" t="str">
        <f t="shared" si="427"/>
        <v>Ni</v>
      </c>
      <c r="M115" s="58" t="str">
        <f t="shared" si="427"/>
        <v>Pa</v>
      </c>
      <c r="N115" s="61" t="str">
        <f t="shared" si="427"/>
        <v>Sa</v>
      </c>
      <c r="O115" s="55" t="str">
        <f>IFERROR(__xludf.DUMMYFUNCTION("CONCATENATE(JOIN(""-"",K115:N115))"),"Dha-Ni-Pa-Sa")</f>
        <v>Dha-Ni-Pa-Sa</v>
      </c>
      <c r="P115" s="58" t="str">
        <f t="shared" ref="P115:S115" si="428">SUBSTITUTE(SUBSTITUTE(SUBSTITUTE(SUBSTITUTE(SUBSTITUTE(SUBSTITUTE(SUBSTITUTE(G115,"1","S"),"2","R"),"3","G"),"4","M"),"5","P"),"6","D"),"7","N")</f>
        <v>D</v>
      </c>
      <c r="Q115" s="58" t="str">
        <f t="shared" si="428"/>
        <v>N</v>
      </c>
      <c r="R115" s="58" t="str">
        <f t="shared" si="428"/>
        <v>P</v>
      </c>
      <c r="S115" s="58" t="str">
        <f t="shared" si="428"/>
        <v>S</v>
      </c>
      <c r="T115" s="55" t="str">
        <f>IFERROR(__xludf.DUMMYFUNCTION("CONCATENATE(JOIN("""",P115:S115))"),"DNPS")</f>
        <v>DNPS</v>
      </c>
      <c r="U115" s="32"/>
      <c r="V115" s="32"/>
      <c r="W115" s="32"/>
    </row>
    <row r="116">
      <c r="A116" s="53" t="s">
        <v>415</v>
      </c>
      <c r="B116" s="55">
        <v>5671.0</v>
      </c>
      <c r="C116" s="58">
        <f t="shared" ref="C116:F116" si="429">C20+4</f>
        <v>6</v>
      </c>
      <c r="D116" s="272">
        <f t="shared" si="429"/>
        <v>8</v>
      </c>
      <c r="E116" s="272">
        <f t="shared" si="429"/>
        <v>5</v>
      </c>
      <c r="F116" s="273">
        <f t="shared" si="429"/>
        <v>7</v>
      </c>
      <c r="G116" s="69" t="str">
        <f t="shared" ref="G116:J116" si="430">SUBSTITUTE(SUBSTITUTE(SUBSTITUTE(C116,"8","1"),"9","2"),"10","3")</f>
        <v>6</v>
      </c>
      <c r="H116" s="69" t="str">
        <f t="shared" si="430"/>
        <v>1</v>
      </c>
      <c r="I116" s="69" t="str">
        <f t="shared" si="430"/>
        <v>5</v>
      </c>
      <c r="J116" s="74" t="str">
        <f t="shared" si="430"/>
        <v>7</v>
      </c>
      <c r="K116" s="58" t="str">
        <f t="shared" ref="K116:N116" si="431">SUBSTITUTE(SUBSTITUTE(SUBSTITUTE(SUBSTITUTE(SUBSTITUTE(SUBSTITUTE(SUBSTITUTE(G116,"1","Sa"),"2","Re"),"3","Ga"),"4","Ma"),"5","Pa"),"6","Dha"),"7","Ni")</f>
        <v>Dha</v>
      </c>
      <c r="L116" s="58" t="str">
        <f t="shared" si="431"/>
        <v>Sa</v>
      </c>
      <c r="M116" s="58" t="str">
        <f t="shared" si="431"/>
        <v>Pa</v>
      </c>
      <c r="N116" s="61" t="str">
        <f t="shared" si="431"/>
        <v>Ni</v>
      </c>
      <c r="O116" s="55" t="str">
        <f>IFERROR(__xludf.DUMMYFUNCTION("CONCATENATE(JOIN(""-"",K116:N116))"),"Dha-Sa-Pa-Ni")</f>
        <v>Dha-Sa-Pa-Ni</v>
      </c>
      <c r="P116" s="58" t="str">
        <f t="shared" ref="P116:S116" si="432">SUBSTITUTE(SUBSTITUTE(SUBSTITUTE(SUBSTITUTE(SUBSTITUTE(SUBSTITUTE(SUBSTITUTE(G116,"1","S"),"2","R"),"3","G"),"4","M"),"5","P"),"6","D"),"7","N")</f>
        <v>D</v>
      </c>
      <c r="Q116" s="58" t="str">
        <f t="shared" si="432"/>
        <v>S</v>
      </c>
      <c r="R116" s="58" t="str">
        <f t="shared" si="432"/>
        <v>P</v>
      </c>
      <c r="S116" s="58" t="str">
        <f t="shared" si="432"/>
        <v>N</v>
      </c>
      <c r="T116" s="55" t="str">
        <f>IFERROR(__xludf.DUMMYFUNCTION("CONCATENATE(JOIN("""",P116:S116))"),"DSPN")</f>
        <v>DSPN</v>
      </c>
      <c r="U116" s="32"/>
      <c r="V116" s="32"/>
      <c r="W116" s="32"/>
    </row>
    <row r="117">
      <c r="A117" s="53" t="s">
        <v>416</v>
      </c>
      <c r="B117" s="55">
        <v>5671.0</v>
      </c>
      <c r="C117" s="58">
        <f t="shared" ref="C117:F117" si="433">C21+4</f>
        <v>7</v>
      </c>
      <c r="D117" s="272">
        <f t="shared" si="433"/>
        <v>8</v>
      </c>
      <c r="E117" s="272">
        <f t="shared" si="433"/>
        <v>5</v>
      </c>
      <c r="F117" s="273">
        <f t="shared" si="433"/>
        <v>6</v>
      </c>
      <c r="G117" s="69" t="str">
        <f t="shared" ref="G117:J117" si="434">SUBSTITUTE(SUBSTITUTE(SUBSTITUTE(C117,"8","1"),"9","2"),"10","3")</f>
        <v>7</v>
      </c>
      <c r="H117" s="69" t="str">
        <f t="shared" si="434"/>
        <v>1</v>
      </c>
      <c r="I117" s="69" t="str">
        <f t="shared" si="434"/>
        <v>5</v>
      </c>
      <c r="J117" s="74" t="str">
        <f t="shared" si="434"/>
        <v>6</v>
      </c>
      <c r="K117" s="58" t="str">
        <f t="shared" ref="K117:N117" si="435">SUBSTITUTE(SUBSTITUTE(SUBSTITUTE(SUBSTITUTE(SUBSTITUTE(SUBSTITUTE(SUBSTITUTE(G117,"1","Sa"),"2","Re"),"3","Ga"),"4","Ma"),"5","Pa"),"6","Dha"),"7","Ni")</f>
        <v>Ni</v>
      </c>
      <c r="L117" s="58" t="str">
        <f t="shared" si="435"/>
        <v>Sa</v>
      </c>
      <c r="M117" s="58" t="str">
        <f t="shared" si="435"/>
        <v>Pa</v>
      </c>
      <c r="N117" s="61" t="str">
        <f t="shared" si="435"/>
        <v>Dha</v>
      </c>
      <c r="O117" s="55" t="str">
        <f>IFERROR(__xludf.DUMMYFUNCTION("CONCATENATE(JOIN(""-"",K117:N117))"),"Ni-Sa-Pa-Dha")</f>
        <v>Ni-Sa-Pa-Dha</v>
      </c>
      <c r="P117" s="58" t="str">
        <f t="shared" ref="P117:S117" si="436">SUBSTITUTE(SUBSTITUTE(SUBSTITUTE(SUBSTITUTE(SUBSTITUTE(SUBSTITUTE(SUBSTITUTE(G117,"1","S"),"2","R"),"3","G"),"4","M"),"5","P"),"6","D"),"7","N")</f>
        <v>N</v>
      </c>
      <c r="Q117" s="58" t="str">
        <f t="shared" si="436"/>
        <v>S</v>
      </c>
      <c r="R117" s="58" t="str">
        <f t="shared" si="436"/>
        <v>P</v>
      </c>
      <c r="S117" s="58" t="str">
        <f t="shared" si="436"/>
        <v>D</v>
      </c>
      <c r="T117" s="55" t="str">
        <f>IFERROR(__xludf.DUMMYFUNCTION("CONCATENATE(JOIN("""",P117:S117))"),"NSPD")</f>
        <v>NSPD</v>
      </c>
      <c r="U117" s="32"/>
      <c r="V117" s="32"/>
      <c r="W117" s="32"/>
    </row>
    <row r="118">
      <c r="A118" s="53" t="s">
        <v>417</v>
      </c>
      <c r="B118" s="55">
        <v>5671.0</v>
      </c>
      <c r="C118" s="58">
        <f t="shared" ref="C118:F118" si="437">C22+4</f>
        <v>7</v>
      </c>
      <c r="D118" s="272">
        <f t="shared" si="437"/>
        <v>8</v>
      </c>
      <c r="E118" s="272">
        <f t="shared" si="437"/>
        <v>6</v>
      </c>
      <c r="F118" s="273">
        <f t="shared" si="437"/>
        <v>5</v>
      </c>
      <c r="G118" s="69" t="str">
        <f t="shared" ref="G118:J118" si="438">SUBSTITUTE(SUBSTITUTE(SUBSTITUTE(C118,"8","1"),"9","2"),"10","3")</f>
        <v>7</v>
      </c>
      <c r="H118" s="69" t="str">
        <f t="shared" si="438"/>
        <v>1</v>
      </c>
      <c r="I118" s="69" t="str">
        <f t="shared" si="438"/>
        <v>6</v>
      </c>
      <c r="J118" s="74" t="str">
        <f t="shared" si="438"/>
        <v>5</v>
      </c>
      <c r="K118" s="58" t="str">
        <f t="shared" ref="K118:N118" si="439">SUBSTITUTE(SUBSTITUTE(SUBSTITUTE(SUBSTITUTE(SUBSTITUTE(SUBSTITUTE(SUBSTITUTE(G118,"1","Sa"),"2","Re"),"3","Ga"),"4","Ma"),"5","Pa"),"6","Dha"),"7","Ni")</f>
        <v>Ni</v>
      </c>
      <c r="L118" s="58" t="str">
        <f t="shared" si="439"/>
        <v>Sa</v>
      </c>
      <c r="M118" s="58" t="str">
        <f t="shared" si="439"/>
        <v>Dha</v>
      </c>
      <c r="N118" s="61" t="str">
        <f t="shared" si="439"/>
        <v>Pa</v>
      </c>
      <c r="O118" s="55" t="str">
        <f>IFERROR(__xludf.DUMMYFUNCTION("CONCATENATE(JOIN(""-"",K118:N118))"),"Ni-Sa-Dha-Pa")</f>
        <v>Ni-Sa-Dha-Pa</v>
      </c>
      <c r="P118" s="58" t="str">
        <f t="shared" ref="P118:S118" si="440">SUBSTITUTE(SUBSTITUTE(SUBSTITUTE(SUBSTITUTE(SUBSTITUTE(SUBSTITUTE(SUBSTITUTE(G118,"1","S"),"2","R"),"3","G"),"4","M"),"5","P"),"6","D"),"7","N")</f>
        <v>N</v>
      </c>
      <c r="Q118" s="58" t="str">
        <f t="shared" si="440"/>
        <v>S</v>
      </c>
      <c r="R118" s="58" t="str">
        <f t="shared" si="440"/>
        <v>D</v>
      </c>
      <c r="S118" s="58" t="str">
        <f t="shared" si="440"/>
        <v>P</v>
      </c>
      <c r="T118" s="55" t="str">
        <f>IFERROR(__xludf.DUMMYFUNCTION("CONCATENATE(JOIN("""",P118:S118))"),"NSDP")</f>
        <v>NSDP</v>
      </c>
      <c r="U118" s="32"/>
      <c r="V118" s="32"/>
      <c r="W118" s="32"/>
    </row>
    <row r="119">
      <c r="A119" s="53" t="s">
        <v>418</v>
      </c>
      <c r="B119" s="55">
        <v>5671.0</v>
      </c>
      <c r="C119" s="58">
        <f t="shared" ref="C119:F119" si="441">C23+4</f>
        <v>7</v>
      </c>
      <c r="D119" s="272">
        <f t="shared" si="441"/>
        <v>6</v>
      </c>
      <c r="E119" s="272">
        <f t="shared" si="441"/>
        <v>5</v>
      </c>
      <c r="F119" s="273">
        <f t="shared" si="441"/>
        <v>8</v>
      </c>
      <c r="G119" s="69" t="str">
        <f t="shared" ref="G119:J119" si="442">SUBSTITUTE(SUBSTITUTE(SUBSTITUTE(C119,"8","1"),"9","2"),"10","3")</f>
        <v>7</v>
      </c>
      <c r="H119" s="69" t="str">
        <f t="shared" si="442"/>
        <v>6</v>
      </c>
      <c r="I119" s="69" t="str">
        <f t="shared" si="442"/>
        <v>5</v>
      </c>
      <c r="J119" s="74" t="str">
        <f t="shared" si="442"/>
        <v>1</v>
      </c>
      <c r="K119" s="58" t="str">
        <f t="shared" ref="K119:N119" si="443">SUBSTITUTE(SUBSTITUTE(SUBSTITUTE(SUBSTITUTE(SUBSTITUTE(SUBSTITUTE(SUBSTITUTE(G119,"1","Sa"),"2","Re"),"3","Ga"),"4","Ma"),"5","Pa"),"6","Dha"),"7","Ni")</f>
        <v>Ni</v>
      </c>
      <c r="L119" s="58" t="str">
        <f t="shared" si="443"/>
        <v>Dha</v>
      </c>
      <c r="M119" s="58" t="str">
        <f t="shared" si="443"/>
        <v>Pa</v>
      </c>
      <c r="N119" s="61" t="str">
        <f t="shared" si="443"/>
        <v>Sa</v>
      </c>
      <c r="O119" s="55" t="str">
        <f>IFERROR(__xludf.DUMMYFUNCTION("CONCATENATE(JOIN(""-"",K119:N119))"),"Ni-Dha-Pa-Sa")</f>
        <v>Ni-Dha-Pa-Sa</v>
      </c>
      <c r="P119" s="58" t="str">
        <f t="shared" ref="P119:S119" si="444">SUBSTITUTE(SUBSTITUTE(SUBSTITUTE(SUBSTITUTE(SUBSTITUTE(SUBSTITUTE(SUBSTITUTE(G119,"1","S"),"2","R"),"3","G"),"4","M"),"5","P"),"6","D"),"7","N")</f>
        <v>N</v>
      </c>
      <c r="Q119" s="58" t="str">
        <f t="shared" si="444"/>
        <v>D</v>
      </c>
      <c r="R119" s="58" t="str">
        <f t="shared" si="444"/>
        <v>P</v>
      </c>
      <c r="S119" s="58" t="str">
        <f t="shared" si="444"/>
        <v>S</v>
      </c>
      <c r="T119" s="55" t="str">
        <f>IFERROR(__xludf.DUMMYFUNCTION("CONCATENATE(JOIN("""",P119:S119))"),"NDPS")</f>
        <v>NDPS</v>
      </c>
      <c r="U119" s="32"/>
      <c r="V119" s="32"/>
      <c r="W119" s="32"/>
    </row>
    <row r="120">
      <c r="A120" s="53" t="s">
        <v>419</v>
      </c>
      <c r="B120" s="55">
        <v>5671.0</v>
      </c>
      <c r="C120" s="58">
        <f t="shared" ref="C120:F120" si="445">C24+4</f>
        <v>8</v>
      </c>
      <c r="D120" s="272">
        <f t="shared" si="445"/>
        <v>6</v>
      </c>
      <c r="E120" s="272">
        <f t="shared" si="445"/>
        <v>5</v>
      </c>
      <c r="F120" s="273">
        <f t="shared" si="445"/>
        <v>7</v>
      </c>
      <c r="G120" s="69" t="str">
        <f t="shared" ref="G120:J120" si="446">SUBSTITUTE(SUBSTITUTE(SUBSTITUTE(C120,"8","1"),"9","2"),"10","3")</f>
        <v>1</v>
      </c>
      <c r="H120" s="69" t="str">
        <f t="shared" si="446"/>
        <v>6</v>
      </c>
      <c r="I120" s="69" t="str">
        <f t="shared" si="446"/>
        <v>5</v>
      </c>
      <c r="J120" s="74" t="str">
        <f t="shared" si="446"/>
        <v>7</v>
      </c>
      <c r="K120" s="58" t="str">
        <f t="shared" ref="K120:N120" si="447">SUBSTITUTE(SUBSTITUTE(SUBSTITUTE(SUBSTITUTE(SUBSTITUTE(SUBSTITUTE(SUBSTITUTE(G120,"1","Sa"),"2","Re"),"3","Ga"),"4","Ma"),"5","Pa"),"6","Dha"),"7","Ni")</f>
        <v>Sa</v>
      </c>
      <c r="L120" s="58" t="str">
        <f t="shared" si="447"/>
        <v>Dha</v>
      </c>
      <c r="M120" s="58" t="str">
        <f t="shared" si="447"/>
        <v>Pa</v>
      </c>
      <c r="N120" s="61" t="str">
        <f t="shared" si="447"/>
        <v>Ni</v>
      </c>
      <c r="O120" s="55" t="str">
        <f>IFERROR(__xludf.DUMMYFUNCTION("CONCATENATE(JOIN(""-"",K120:N120))"),"Sa-Dha-Pa-Ni")</f>
        <v>Sa-Dha-Pa-Ni</v>
      </c>
      <c r="P120" s="58" t="str">
        <f t="shared" ref="P120:S120" si="448">SUBSTITUTE(SUBSTITUTE(SUBSTITUTE(SUBSTITUTE(SUBSTITUTE(SUBSTITUTE(SUBSTITUTE(G120,"1","S"),"2","R"),"3","G"),"4","M"),"5","P"),"6","D"),"7","N")</f>
        <v>S</v>
      </c>
      <c r="Q120" s="58" t="str">
        <f t="shared" si="448"/>
        <v>D</v>
      </c>
      <c r="R120" s="58" t="str">
        <f t="shared" si="448"/>
        <v>P</v>
      </c>
      <c r="S120" s="58" t="str">
        <f t="shared" si="448"/>
        <v>N</v>
      </c>
      <c r="T120" s="55" t="str">
        <f>IFERROR(__xludf.DUMMYFUNCTION("CONCATENATE(JOIN("""",P120:S120))"),"SDPN")</f>
        <v>SDPN</v>
      </c>
      <c r="U120" s="32"/>
      <c r="V120" s="32"/>
      <c r="W120" s="32"/>
    </row>
    <row r="121">
      <c r="A121" s="53" t="s">
        <v>420</v>
      </c>
      <c r="B121" s="55">
        <v>5671.0</v>
      </c>
      <c r="C121" s="58">
        <f t="shared" ref="C121:F121" si="449">C25+4</f>
        <v>8</v>
      </c>
      <c r="D121" s="272">
        <f t="shared" si="449"/>
        <v>7</v>
      </c>
      <c r="E121" s="272">
        <f t="shared" si="449"/>
        <v>5</v>
      </c>
      <c r="F121" s="273">
        <f t="shared" si="449"/>
        <v>6</v>
      </c>
      <c r="G121" s="69" t="str">
        <f t="shared" ref="G121:J121" si="450">SUBSTITUTE(SUBSTITUTE(SUBSTITUTE(C121,"8","1"),"9","2"),"10","3")</f>
        <v>1</v>
      </c>
      <c r="H121" s="69" t="str">
        <f t="shared" si="450"/>
        <v>7</v>
      </c>
      <c r="I121" s="69" t="str">
        <f t="shared" si="450"/>
        <v>5</v>
      </c>
      <c r="J121" s="74" t="str">
        <f t="shared" si="450"/>
        <v>6</v>
      </c>
      <c r="K121" s="58" t="str">
        <f t="shared" ref="K121:N121" si="451">SUBSTITUTE(SUBSTITUTE(SUBSTITUTE(SUBSTITUTE(SUBSTITUTE(SUBSTITUTE(SUBSTITUTE(G121,"1","Sa"),"2","Re"),"3","Ga"),"4","Ma"),"5","Pa"),"6","Dha"),"7","Ni")</f>
        <v>Sa</v>
      </c>
      <c r="L121" s="58" t="str">
        <f t="shared" si="451"/>
        <v>Ni</v>
      </c>
      <c r="M121" s="58" t="str">
        <f t="shared" si="451"/>
        <v>Pa</v>
      </c>
      <c r="N121" s="61" t="str">
        <f t="shared" si="451"/>
        <v>Dha</v>
      </c>
      <c r="O121" s="55" t="str">
        <f>IFERROR(__xludf.DUMMYFUNCTION("CONCATENATE(JOIN(""-"",K121:N121))"),"Sa-Ni-Pa-Dha")</f>
        <v>Sa-Ni-Pa-Dha</v>
      </c>
      <c r="P121" s="58" t="str">
        <f t="shared" ref="P121:S121" si="452">SUBSTITUTE(SUBSTITUTE(SUBSTITUTE(SUBSTITUTE(SUBSTITUTE(SUBSTITUTE(SUBSTITUTE(G121,"1","S"),"2","R"),"3","G"),"4","M"),"5","P"),"6","D"),"7","N")</f>
        <v>S</v>
      </c>
      <c r="Q121" s="58" t="str">
        <f t="shared" si="452"/>
        <v>N</v>
      </c>
      <c r="R121" s="58" t="str">
        <f t="shared" si="452"/>
        <v>P</v>
      </c>
      <c r="S121" s="58" t="str">
        <f t="shared" si="452"/>
        <v>D</v>
      </c>
      <c r="T121" s="55" t="str">
        <f>IFERROR(__xludf.DUMMYFUNCTION("CONCATENATE(JOIN("""",P121:S121))"),"SNPD")</f>
        <v>SNPD</v>
      </c>
      <c r="U121" s="32"/>
      <c r="V121" s="32"/>
      <c r="W121" s="32"/>
    </row>
    <row r="122">
      <c r="A122" s="262" t="s">
        <v>421</v>
      </c>
      <c r="B122" s="263">
        <v>5671.0</v>
      </c>
      <c r="C122" s="264">
        <f t="shared" ref="C122:F122" si="453">C26+4</f>
        <v>8</v>
      </c>
      <c r="D122" s="360">
        <f t="shared" si="453"/>
        <v>7</v>
      </c>
      <c r="E122" s="360">
        <f t="shared" si="453"/>
        <v>6</v>
      </c>
      <c r="F122" s="361">
        <f t="shared" si="453"/>
        <v>5</v>
      </c>
      <c r="G122" s="266" t="str">
        <f t="shared" ref="G122:J122" si="454">SUBSTITUTE(SUBSTITUTE(SUBSTITUTE(C122,"8","1"),"9","2"),"10","3")</f>
        <v>1</v>
      </c>
      <c r="H122" s="266" t="str">
        <f t="shared" si="454"/>
        <v>7</v>
      </c>
      <c r="I122" s="266" t="str">
        <f t="shared" si="454"/>
        <v>6</v>
      </c>
      <c r="J122" s="268" t="str">
        <f t="shared" si="454"/>
        <v>5</v>
      </c>
      <c r="K122" s="264" t="str">
        <f t="shared" ref="K122:N122" si="455">SUBSTITUTE(SUBSTITUTE(SUBSTITUTE(SUBSTITUTE(SUBSTITUTE(SUBSTITUTE(SUBSTITUTE(G122,"1","Sa"),"2","Re"),"3","Ga"),"4","Ma"),"5","Pa"),"6","Dha"),"7","Ni")</f>
        <v>Sa</v>
      </c>
      <c r="L122" s="264" t="str">
        <f t="shared" si="455"/>
        <v>Ni</v>
      </c>
      <c r="M122" s="264" t="str">
        <f t="shared" si="455"/>
        <v>Dha</v>
      </c>
      <c r="N122" s="265" t="str">
        <f t="shared" si="455"/>
        <v>Pa</v>
      </c>
      <c r="O122" s="263" t="str">
        <f>IFERROR(__xludf.DUMMYFUNCTION("CONCATENATE(JOIN(""-"",K122:N122))"),"Sa-Ni-Dha-Pa")</f>
        <v>Sa-Ni-Dha-Pa</v>
      </c>
      <c r="P122" s="264" t="str">
        <f t="shared" ref="P122:S122" si="456">SUBSTITUTE(SUBSTITUTE(SUBSTITUTE(SUBSTITUTE(SUBSTITUTE(SUBSTITUTE(SUBSTITUTE(G122,"1","S"),"2","R"),"3","G"),"4","M"),"5","P"),"6","D"),"7","N")</f>
        <v>S</v>
      </c>
      <c r="Q122" s="264" t="str">
        <f t="shared" si="456"/>
        <v>N</v>
      </c>
      <c r="R122" s="264" t="str">
        <f t="shared" si="456"/>
        <v>D</v>
      </c>
      <c r="S122" s="264" t="str">
        <f t="shared" si="456"/>
        <v>P</v>
      </c>
      <c r="T122" s="263" t="str">
        <f>IFERROR(__xludf.DUMMYFUNCTION("CONCATENATE(JOIN("""",P122:S122))"),"SNDP")</f>
        <v>SNDP</v>
      </c>
      <c r="U122" s="32"/>
      <c r="V122" s="32"/>
      <c r="W122" s="32"/>
    </row>
    <row r="123">
      <c r="A123" s="53" t="s">
        <v>422</v>
      </c>
      <c r="B123" s="55">
        <v>6712.0</v>
      </c>
      <c r="C123" s="58">
        <f t="shared" ref="C123:F123" si="457">C3+5</f>
        <v>6</v>
      </c>
      <c r="D123" s="272">
        <f t="shared" si="457"/>
        <v>7</v>
      </c>
      <c r="E123" s="272">
        <f t="shared" si="457"/>
        <v>8</v>
      </c>
      <c r="F123" s="273">
        <f t="shared" si="457"/>
        <v>9</v>
      </c>
      <c r="G123" s="69" t="str">
        <f t="shared" ref="G123:J123" si="458">SUBSTITUTE(SUBSTITUTE(SUBSTITUTE(C123,"8","1"),"9","2"),"10","3")</f>
        <v>6</v>
      </c>
      <c r="H123" s="69" t="str">
        <f t="shared" si="458"/>
        <v>7</v>
      </c>
      <c r="I123" s="69" t="str">
        <f t="shared" si="458"/>
        <v>1</v>
      </c>
      <c r="J123" s="74" t="str">
        <f t="shared" si="458"/>
        <v>2</v>
      </c>
      <c r="K123" s="58" t="str">
        <f t="shared" ref="K123:N123" si="459">SUBSTITUTE(SUBSTITUTE(SUBSTITUTE(SUBSTITUTE(SUBSTITUTE(SUBSTITUTE(SUBSTITUTE(G123,"1","Sa"),"2","Re"),"3","Ga"),"4","Ma"),"5","Pa"),"6","Dha"),"7","Ni")</f>
        <v>Dha</v>
      </c>
      <c r="L123" s="58" t="str">
        <f t="shared" si="459"/>
        <v>Ni</v>
      </c>
      <c r="M123" s="58" t="str">
        <f t="shared" si="459"/>
        <v>Sa</v>
      </c>
      <c r="N123" s="61" t="str">
        <f t="shared" si="459"/>
        <v>Re</v>
      </c>
      <c r="O123" s="55" t="str">
        <f>IFERROR(__xludf.DUMMYFUNCTION("CONCATENATE(JOIN(""-"",K123:N123))"),"Dha-Ni-Sa-Re")</f>
        <v>Dha-Ni-Sa-Re</v>
      </c>
      <c r="P123" s="58" t="str">
        <f t="shared" ref="P123:S123" si="460">SUBSTITUTE(SUBSTITUTE(SUBSTITUTE(SUBSTITUTE(SUBSTITUTE(SUBSTITUTE(SUBSTITUTE(G123,"1","S"),"2","R"),"3","G"),"4","M"),"5","P"),"6","D"),"7","N")</f>
        <v>D</v>
      </c>
      <c r="Q123" s="58" t="str">
        <f t="shared" si="460"/>
        <v>N</v>
      </c>
      <c r="R123" s="58" t="str">
        <f t="shared" si="460"/>
        <v>S</v>
      </c>
      <c r="S123" s="58" t="str">
        <f t="shared" si="460"/>
        <v>R</v>
      </c>
      <c r="T123" s="55" t="str">
        <f>IFERROR(__xludf.DUMMYFUNCTION("CONCATENATE(JOIN("""",P123:S123))"),"DNSR")</f>
        <v>DNSR</v>
      </c>
      <c r="U123" s="32" t="str">
        <f>IFERROR(__xludf.DUMMYFUNCTION("CONCATENATE(JOIN("" | "",T123:T146))"),"DNSR | DNRS | DSRN | NSRD | NDSR | NDRS | SDRN | SNRD | DSNR | DRNS | DRSN | NRSD | SDNR | RDNS | RDSN | RNSD | NSDR | NRDS | SRDN | SRND | SNDR | RNDS | RSDN | RSND")</f>
        <v>DNSR | DNRS | DSRN | NSRD | NDSR | NDRS | SDRN | SNRD | DSNR | DRNS | DRSN | NRSD | SDNR | RDNS | RDSN | RNSD | NSDR | NRDS | SRDN | SRND | SNDR | RNDS | RSDN | RSND</v>
      </c>
      <c r="V123" s="32"/>
      <c r="W123" s="32"/>
    </row>
    <row r="124">
      <c r="A124" s="53" t="s">
        <v>423</v>
      </c>
      <c r="B124" s="55">
        <v>6712.0</v>
      </c>
      <c r="C124" s="58">
        <f t="shared" ref="C124:F124" si="461">C4+5</f>
        <v>6</v>
      </c>
      <c r="D124" s="272">
        <f t="shared" si="461"/>
        <v>7</v>
      </c>
      <c r="E124" s="272">
        <f t="shared" si="461"/>
        <v>9</v>
      </c>
      <c r="F124" s="273">
        <f t="shared" si="461"/>
        <v>8</v>
      </c>
      <c r="G124" s="69" t="str">
        <f t="shared" ref="G124:J124" si="462">SUBSTITUTE(SUBSTITUTE(SUBSTITUTE(C124,"8","1"),"9","2"),"10","3")</f>
        <v>6</v>
      </c>
      <c r="H124" s="69" t="str">
        <f t="shared" si="462"/>
        <v>7</v>
      </c>
      <c r="I124" s="69" t="str">
        <f t="shared" si="462"/>
        <v>2</v>
      </c>
      <c r="J124" s="74" t="str">
        <f t="shared" si="462"/>
        <v>1</v>
      </c>
      <c r="K124" s="58" t="str">
        <f t="shared" ref="K124:N124" si="463">SUBSTITUTE(SUBSTITUTE(SUBSTITUTE(SUBSTITUTE(SUBSTITUTE(SUBSTITUTE(SUBSTITUTE(G124,"1","Sa"),"2","Re"),"3","Ga"),"4","Ma"),"5","Pa"),"6","Dha"),"7","Ni")</f>
        <v>Dha</v>
      </c>
      <c r="L124" s="58" t="str">
        <f t="shared" si="463"/>
        <v>Ni</v>
      </c>
      <c r="M124" s="58" t="str">
        <f t="shared" si="463"/>
        <v>Re</v>
      </c>
      <c r="N124" s="61" t="str">
        <f t="shared" si="463"/>
        <v>Sa</v>
      </c>
      <c r="O124" s="55" t="str">
        <f>IFERROR(__xludf.DUMMYFUNCTION("CONCATENATE(JOIN(""-"",K124:N124))"),"Dha-Ni-Re-Sa")</f>
        <v>Dha-Ni-Re-Sa</v>
      </c>
      <c r="P124" s="58" t="str">
        <f t="shared" ref="P124:S124" si="464">SUBSTITUTE(SUBSTITUTE(SUBSTITUTE(SUBSTITUTE(SUBSTITUTE(SUBSTITUTE(SUBSTITUTE(G124,"1","S"),"2","R"),"3","G"),"4","M"),"5","P"),"6","D"),"7","N")</f>
        <v>D</v>
      </c>
      <c r="Q124" s="58" t="str">
        <f t="shared" si="464"/>
        <v>N</v>
      </c>
      <c r="R124" s="58" t="str">
        <f t="shared" si="464"/>
        <v>R</v>
      </c>
      <c r="S124" s="58" t="str">
        <f t="shared" si="464"/>
        <v>S</v>
      </c>
      <c r="T124" s="55" t="str">
        <f>IFERROR(__xludf.DUMMYFUNCTION("CONCATENATE(JOIN("""",P124:S124))"),"DNRS")</f>
        <v>DNRS</v>
      </c>
      <c r="U124" s="32"/>
      <c r="V124" s="32"/>
      <c r="W124" s="32"/>
    </row>
    <row r="125">
      <c r="A125" s="53" t="s">
        <v>424</v>
      </c>
      <c r="B125" s="55">
        <v>6712.0</v>
      </c>
      <c r="C125" s="58">
        <f t="shared" ref="C125:F125" si="465">C5+5</f>
        <v>6</v>
      </c>
      <c r="D125" s="272">
        <f t="shared" si="465"/>
        <v>8</v>
      </c>
      <c r="E125" s="272">
        <f t="shared" si="465"/>
        <v>9</v>
      </c>
      <c r="F125" s="273">
        <f t="shared" si="465"/>
        <v>7</v>
      </c>
      <c r="G125" s="69" t="str">
        <f t="shared" ref="G125:J125" si="466">SUBSTITUTE(SUBSTITUTE(SUBSTITUTE(C125,"8","1"),"9","2"),"10","3")</f>
        <v>6</v>
      </c>
      <c r="H125" s="69" t="str">
        <f t="shared" si="466"/>
        <v>1</v>
      </c>
      <c r="I125" s="69" t="str">
        <f t="shared" si="466"/>
        <v>2</v>
      </c>
      <c r="J125" s="74" t="str">
        <f t="shared" si="466"/>
        <v>7</v>
      </c>
      <c r="K125" s="58" t="str">
        <f t="shared" ref="K125:N125" si="467">SUBSTITUTE(SUBSTITUTE(SUBSTITUTE(SUBSTITUTE(SUBSTITUTE(SUBSTITUTE(SUBSTITUTE(G125,"1","Sa"),"2","Re"),"3","Ga"),"4","Ma"),"5","Pa"),"6","Dha"),"7","Ni")</f>
        <v>Dha</v>
      </c>
      <c r="L125" s="58" t="str">
        <f t="shared" si="467"/>
        <v>Sa</v>
      </c>
      <c r="M125" s="58" t="str">
        <f t="shared" si="467"/>
        <v>Re</v>
      </c>
      <c r="N125" s="61" t="str">
        <f t="shared" si="467"/>
        <v>Ni</v>
      </c>
      <c r="O125" s="55" t="str">
        <f>IFERROR(__xludf.DUMMYFUNCTION("CONCATENATE(JOIN(""-"",K125:N125))"),"Dha-Sa-Re-Ni")</f>
        <v>Dha-Sa-Re-Ni</v>
      </c>
      <c r="P125" s="58" t="str">
        <f t="shared" ref="P125:S125" si="468">SUBSTITUTE(SUBSTITUTE(SUBSTITUTE(SUBSTITUTE(SUBSTITUTE(SUBSTITUTE(SUBSTITUTE(G125,"1","S"),"2","R"),"3","G"),"4","M"),"5","P"),"6","D"),"7","N")</f>
        <v>D</v>
      </c>
      <c r="Q125" s="58" t="str">
        <f t="shared" si="468"/>
        <v>S</v>
      </c>
      <c r="R125" s="58" t="str">
        <f t="shared" si="468"/>
        <v>R</v>
      </c>
      <c r="S125" s="58" t="str">
        <f t="shared" si="468"/>
        <v>N</v>
      </c>
      <c r="T125" s="55" t="str">
        <f>IFERROR(__xludf.DUMMYFUNCTION("CONCATENATE(JOIN("""",P125:S125))"),"DSRN")</f>
        <v>DSRN</v>
      </c>
      <c r="U125" s="32"/>
      <c r="V125" s="32"/>
      <c r="W125" s="32"/>
    </row>
    <row r="126">
      <c r="A126" s="53" t="s">
        <v>427</v>
      </c>
      <c r="B126" s="55">
        <v>6712.0</v>
      </c>
      <c r="C126" s="58">
        <f t="shared" ref="C126:F126" si="469">C6+5</f>
        <v>7</v>
      </c>
      <c r="D126" s="272">
        <f t="shared" si="469"/>
        <v>8</v>
      </c>
      <c r="E126" s="272">
        <f t="shared" si="469"/>
        <v>9</v>
      </c>
      <c r="F126" s="273">
        <f t="shared" si="469"/>
        <v>6</v>
      </c>
      <c r="G126" s="69" t="str">
        <f t="shared" ref="G126:J126" si="470">SUBSTITUTE(SUBSTITUTE(SUBSTITUTE(C126,"8","1"),"9","2"),"10","3")</f>
        <v>7</v>
      </c>
      <c r="H126" s="69" t="str">
        <f t="shared" si="470"/>
        <v>1</v>
      </c>
      <c r="I126" s="69" t="str">
        <f t="shared" si="470"/>
        <v>2</v>
      </c>
      <c r="J126" s="74" t="str">
        <f t="shared" si="470"/>
        <v>6</v>
      </c>
      <c r="K126" s="58" t="str">
        <f t="shared" ref="K126:N126" si="471">SUBSTITUTE(SUBSTITUTE(SUBSTITUTE(SUBSTITUTE(SUBSTITUTE(SUBSTITUTE(SUBSTITUTE(G126,"1","Sa"),"2","Re"),"3","Ga"),"4","Ma"),"5","Pa"),"6","Dha"),"7","Ni")</f>
        <v>Ni</v>
      </c>
      <c r="L126" s="58" t="str">
        <f t="shared" si="471"/>
        <v>Sa</v>
      </c>
      <c r="M126" s="58" t="str">
        <f t="shared" si="471"/>
        <v>Re</v>
      </c>
      <c r="N126" s="61" t="str">
        <f t="shared" si="471"/>
        <v>Dha</v>
      </c>
      <c r="O126" s="55" t="str">
        <f>IFERROR(__xludf.DUMMYFUNCTION("CONCATENATE(JOIN(""-"",K126:N126))"),"Ni-Sa-Re-Dha")</f>
        <v>Ni-Sa-Re-Dha</v>
      </c>
      <c r="P126" s="58" t="str">
        <f t="shared" ref="P126:S126" si="472">SUBSTITUTE(SUBSTITUTE(SUBSTITUTE(SUBSTITUTE(SUBSTITUTE(SUBSTITUTE(SUBSTITUTE(G126,"1","S"),"2","R"),"3","G"),"4","M"),"5","P"),"6","D"),"7","N")</f>
        <v>N</v>
      </c>
      <c r="Q126" s="58" t="str">
        <f t="shared" si="472"/>
        <v>S</v>
      </c>
      <c r="R126" s="58" t="str">
        <f t="shared" si="472"/>
        <v>R</v>
      </c>
      <c r="S126" s="58" t="str">
        <f t="shared" si="472"/>
        <v>D</v>
      </c>
      <c r="T126" s="55" t="str">
        <f>IFERROR(__xludf.DUMMYFUNCTION("CONCATENATE(JOIN("""",P126:S126))"),"NSRD")</f>
        <v>NSRD</v>
      </c>
      <c r="U126" s="32"/>
      <c r="V126" s="32"/>
      <c r="W126" s="32"/>
    </row>
    <row r="127">
      <c r="A127" s="53" t="s">
        <v>428</v>
      </c>
      <c r="B127" s="55">
        <v>6712.0</v>
      </c>
      <c r="C127" s="58">
        <f t="shared" ref="C127:F127" si="473">C7+5</f>
        <v>7</v>
      </c>
      <c r="D127" s="272">
        <f t="shared" si="473"/>
        <v>6</v>
      </c>
      <c r="E127" s="272">
        <f t="shared" si="473"/>
        <v>8</v>
      </c>
      <c r="F127" s="273">
        <f t="shared" si="473"/>
        <v>9</v>
      </c>
      <c r="G127" s="69" t="str">
        <f t="shared" ref="G127:J127" si="474">SUBSTITUTE(SUBSTITUTE(SUBSTITUTE(C127,"8","1"),"9","2"),"10","3")</f>
        <v>7</v>
      </c>
      <c r="H127" s="69" t="str">
        <f t="shared" si="474"/>
        <v>6</v>
      </c>
      <c r="I127" s="69" t="str">
        <f t="shared" si="474"/>
        <v>1</v>
      </c>
      <c r="J127" s="74" t="str">
        <f t="shared" si="474"/>
        <v>2</v>
      </c>
      <c r="K127" s="58" t="str">
        <f t="shared" ref="K127:N127" si="475">SUBSTITUTE(SUBSTITUTE(SUBSTITUTE(SUBSTITUTE(SUBSTITUTE(SUBSTITUTE(SUBSTITUTE(G127,"1","Sa"),"2","Re"),"3","Ga"),"4","Ma"),"5","Pa"),"6","Dha"),"7","Ni")</f>
        <v>Ni</v>
      </c>
      <c r="L127" s="58" t="str">
        <f t="shared" si="475"/>
        <v>Dha</v>
      </c>
      <c r="M127" s="58" t="str">
        <f t="shared" si="475"/>
        <v>Sa</v>
      </c>
      <c r="N127" s="61" t="str">
        <f t="shared" si="475"/>
        <v>Re</v>
      </c>
      <c r="O127" s="55" t="str">
        <f>IFERROR(__xludf.DUMMYFUNCTION("CONCATENATE(JOIN(""-"",K127:N127))"),"Ni-Dha-Sa-Re")</f>
        <v>Ni-Dha-Sa-Re</v>
      </c>
      <c r="P127" s="58" t="str">
        <f t="shared" ref="P127:S127" si="476">SUBSTITUTE(SUBSTITUTE(SUBSTITUTE(SUBSTITUTE(SUBSTITUTE(SUBSTITUTE(SUBSTITUTE(G127,"1","S"),"2","R"),"3","G"),"4","M"),"5","P"),"6","D"),"7","N")</f>
        <v>N</v>
      </c>
      <c r="Q127" s="58" t="str">
        <f t="shared" si="476"/>
        <v>D</v>
      </c>
      <c r="R127" s="58" t="str">
        <f t="shared" si="476"/>
        <v>S</v>
      </c>
      <c r="S127" s="58" t="str">
        <f t="shared" si="476"/>
        <v>R</v>
      </c>
      <c r="T127" s="55" t="str">
        <f>IFERROR(__xludf.DUMMYFUNCTION("CONCATENATE(JOIN("""",P127:S127))"),"NDSR")</f>
        <v>NDSR</v>
      </c>
      <c r="U127" s="32"/>
      <c r="V127" s="32"/>
      <c r="W127" s="32"/>
    </row>
    <row r="128">
      <c r="A128" s="53" t="s">
        <v>429</v>
      </c>
      <c r="B128" s="55">
        <v>6712.0</v>
      </c>
      <c r="C128" s="58">
        <f t="shared" ref="C128:F128" si="477">C8+5</f>
        <v>7</v>
      </c>
      <c r="D128" s="272">
        <f t="shared" si="477"/>
        <v>6</v>
      </c>
      <c r="E128" s="272">
        <f t="shared" si="477"/>
        <v>9</v>
      </c>
      <c r="F128" s="273">
        <f t="shared" si="477"/>
        <v>8</v>
      </c>
      <c r="G128" s="69" t="str">
        <f t="shared" ref="G128:J128" si="478">SUBSTITUTE(SUBSTITUTE(SUBSTITUTE(C128,"8","1"),"9","2"),"10","3")</f>
        <v>7</v>
      </c>
      <c r="H128" s="69" t="str">
        <f t="shared" si="478"/>
        <v>6</v>
      </c>
      <c r="I128" s="69" t="str">
        <f t="shared" si="478"/>
        <v>2</v>
      </c>
      <c r="J128" s="74" t="str">
        <f t="shared" si="478"/>
        <v>1</v>
      </c>
      <c r="K128" s="58" t="str">
        <f t="shared" ref="K128:N128" si="479">SUBSTITUTE(SUBSTITUTE(SUBSTITUTE(SUBSTITUTE(SUBSTITUTE(SUBSTITUTE(SUBSTITUTE(G128,"1","Sa"),"2","Re"),"3","Ga"),"4","Ma"),"5","Pa"),"6","Dha"),"7","Ni")</f>
        <v>Ni</v>
      </c>
      <c r="L128" s="58" t="str">
        <f t="shared" si="479"/>
        <v>Dha</v>
      </c>
      <c r="M128" s="58" t="str">
        <f t="shared" si="479"/>
        <v>Re</v>
      </c>
      <c r="N128" s="61" t="str">
        <f t="shared" si="479"/>
        <v>Sa</v>
      </c>
      <c r="O128" s="55" t="str">
        <f>IFERROR(__xludf.DUMMYFUNCTION("CONCATENATE(JOIN(""-"",K128:N128))"),"Ni-Dha-Re-Sa")</f>
        <v>Ni-Dha-Re-Sa</v>
      </c>
      <c r="P128" s="58" t="str">
        <f t="shared" ref="P128:S128" si="480">SUBSTITUTE(SUBSTITUTE(SUBSTITUTE(SUBSTITUTE(SUBSTITUTE(SUBSTITUTE(SUBSTITUTE(G128,"1","S"),"2","R"),"3","G"),"4","M"),"5","P"),"6","D"),"7","N")</f>
        <v>N</v>
      </c>
      <c r="Q128" s="58" t="str">
        <f t="shared" si="480"/>
        <v>D</v>
      </c>
      <c r="R128" s="58" t="str">
        <f t="shared" si="480"/>
        <v>R</v>
      </c>
      <c r="S128" s="58" t="str">
        <f t="shared" si="480"/>
        <v>S</v>
      </c>
      <c r="T128" s="55" t="str">
        <f>IFERROR(__xludf.DUMMYFUNCTION("CONCATENATE(JOIN("""",P128:S128))"),"NDRS")</f>
        <v>NDRS</v>
      </c>
      <c r="U128" s="32"/>
      <c r="V128" s="32"/>
      <c r="W128" s="32"/>
    </row>
    <row r="129">
      <c r="A129" s="53" t="s">
        <v>432</v>
      </c>
      <c r="B129" s="55">
        <v>6712.0</v>
      </c>
      <c r="C129" s="58">
        <f t="shared" ref="C129:F129" si="481">C9+5</f>
        <v>8</v>
      </c>
      <c r="D129" s="272">
        <f t="shared" si="481"/>
        <v>6</v>
      </c>
      <c r="E129" s="272">
        <f t="shared" si="481"/>
        <v>9</v>
      </c>
      <c r="F129" s="273">
        <f t="shared" si="481"/>
        <v>7</v>
      </c>
      <c r="G129" s="69" t="str">
        <f t="shared" ref="G129:J129" si="482">SUBSTITUTE(SUBSTITUTE(SUBSTITUTE(C129,"8","1"),"9","2"),"10","3")</f>
        <v>1</v>
      </c>
      <c r="H129" s="69" t="str">
        <f t="shared" si="482"/>
        <v>6</v>
      </c>
      <c r="I129" s="69" t="str">
        <f t="shared" si="482"/>
        <v>2</v>
      </c>
      <c r="J129" s="74" t="str">
        <f t="shared" si="482"/>
        <v>7</v>
      </c>
      <c r="K129" s="58" t="str">
        <f t="shared" ref="K129:N129" si="483">SUBSTITUTE(SUBSTITUTE(SUBSTITUTE(SUBSTITUTE(SUBSTITUTE(SUBSTITUTE(SUBSTITUTE(G129,"1","Sa"),"2","Re"),"3","Ga"),"4","Ma"),"5","Pa"),"6","Dha"),"7","Ni")</f>
        <v>Sa</v>
      </c>
      <c r="L129" s="58" t="str">
        <f t="shared" si="483"/>
        <v>Dha</v>
      </c>
      <c r="M129" s="58" t="str">
        <f t="shared" si="483"/>
        <v>Re</v>
      </c>
      <c r="N129" s="61" t="str">
        <f t="shared" si="483"/>
        <v>Ni</v>
      </c>
      <c r="O129" s="55" t="str">
        <f>IFERROR(__xludf.DUMMYFUNCTION("CONCATENATE(JOIN(""-"",K129:N129))"),"Sa-Dha-Re-Ni")</f>
        <v>Sa-Dha-Re-Ni</v>
      </c>
      <c r="P129" s="58" t="str">
        <f t="shared" ref="P129:S129" si="484">SUBSTITUTE(SUBSTITUTE(SUBSTITUTE(SUBSTITUTE(SUBSTITUTE(SUBSTITUTE(SUBSTITUTE(G129,"1","S"),"2","R"),"3","G"),"4","M"),"5","P"),"6","D"),"7","N")</f>
        <v>S</v>
      </c>
      <c r="Q129" s="58" t="str">
        <f t="shared" si="484"/>
        <v>D</v>
      </c>
      <c r="R129" s="58" t="str">
        <f t="shared" si="484"/>
        <v>R</v>
      </c>
      <c r="S129" s="58" t="str">
        <f t="shared" si="484"/>
        <v>N</v>
      </c>
      <c r="T129" s="55" t="str">
        <f>IFERROR(__xludf.DUMMYFUNCTION("CONCATENATE(JOIN("""",P129:S129))"),"SDRN")</f>
        <v>SDRN</v>
      </c>
      <c r="U129" s="32"/>
      <c r="V129" s="32"/>
      <c r="W129" s="32"/>
    </row>
    <row r="130">
      <c r="A130" s="53" t="s">
        <v>434</v>
      </c>
      <c r="B130" s="55">
        <v>6712.0</v>
      </c>
      <c r="C130" s="58">
        <f t="shared" ref="C130:F130" si="485">C10+5</f>
        <v>8</v>
      </c>
      <c r="D130" s="272">
        <f t="shared" si="485"/>
        <v>7</v>
      </c>
      <c r="E130" s="272">
        <f t="shared" si="485"/>
        <v>9</v>
      </c>
      <c r="F130" s="273">
        <f t="shared" si="485"/>
        <v>6</v>
      </c>
      <c r="G130" s="69" t="str">
        <f t="shared" ref="G130:J130" si="486">SUBSTITUTE(SUBSTITUTE(SUBSTITUTE(C130,"8","1"),"9","2"),"10","3")</f>
        <v>1</v>
      </c>
      <c r="H130" s="69" t="str">
        <f t="shared" si="486"/>
        <v>7</v>
      </c>
      <c r="I130" s="69" t="str">
        <f t="shared" si="486"/>
        <v>2</v>
      </c>
      <c r="J130" s="74" t="str">
        <f t="shared" si="486"/>
        <v>6</v>
      </c>
      <c r="K130" s="58" t="str">
        <f t="shared" ref="K130:N130" si="487">SUBSTITUTE(SUBSTITUTE(SUBSTITUTE(SUBSTITUTE(SUBSTITUTE(SUBSTITUTE(SUBSTITUTE(G130,"1","Sa"),"2","Re"),"3","Ga"),"4","Ma"),"5","Pa"),"6","Dha"),"7","Ni")</f>
        <v>Sa</v>
      </c>
      <c r="L130" s="58" t="str">
        <f t="shared" si="487"/>
        <v>Ni</v>
      </c>
      <c r="M130" s="58" t="str">
        <f t="shared" si="487"/>
        <v>Re</v>
      </c>
      <c r="N130" s="61" t="str">
        <f t="shared" si="487"/>
        <v>Dha</v>
      </c>
      <c r="O130" s="55" t="str">
        <f>IFERROR(__xludf.DUMMYFUNCTION("CONCATENATE(JOIN(""-"",K130:N130))"),"Sa-Ni-Re-Dha")</f>
        <v>Sa-Ni-Re-Dha</v>
      </c>
      <c r="P130" s="58" t="str">
        <f t="shared" ref="P130:S130" si="488">SUBSTITUTE(SUBSTITUTE(SUBSTITUTE(SUBSTITUTE(SUBSTITUTE(SUBSTITUTE(SUBSTITUTE(G130,"1","S"),"2","R"),"3","G"),"4","M"),"5","P"),"6","D"),"7","N")</f>
        <v>S</v>
      </c>
      <c r="Q130" s="58" t="str">
        <f t="shared" si="488"/>
        <v>N</v>
      </c>
      <c r="R130" s="58" t="str">
        <f t="shared" si="488"/>
        <v>R</v>
      </c>
      <c r="S130" s="58" t="str">
        <f t="shared" si="488"/>
        <v>D</v>
      </c>
      <c r="T130" s="55" t="str">
        <f>IFERROR(__xludf.DUMMYFUNCTION("CONCATENATE(JOIN("""",P130:S130))"),"SNRD")</f>
        <v>SNRD</v>
      </c>
      <c r="U130" s="32"/>
      <c r="V130" s="32"/>
      <c r="W130" s="32"/>
    </row>
    <row r="131">
      <c r="A131" s="53" t="s">
        <v>436</v>
      </c>
      <c r="B131" s="55">
        <v>6712.0</v>
      </c>
      <c r="C131" s="58">
        <f t="shared" ref="C131:F131" si="489">C11+5</f>
        <v>6</v>
      </c>
      <c r="D131" s="272">
        <f t="shared" si="489"/>
        <v>8</v>
      </c>
      <c r="E131" s="272">
        <f t="shared" si="489"/>
        <v>7</v>
      </c>
      <c r="F131" s="273">
        <f t="shared" si="489"/>
        <v>9</v>
      </c>
      <c r="G131" s="69" t="str">
        <f t="shared" ref="G131:J131" si="490">SUBSTITUTE(SUBSTITUTE(SUBSTITUTE(C131,"8","1"),"9","2"),"10","3")</f>
        <v>6</v>
      </c>
      <c r="H131" s="69" t="str">
        <f t="shared" si="490"/>
        <v>1</v>
      </c>
      <c r="I131" s="69" t="str">
        <f t="shared" si="490"/>
        <v>7</v>
      </c>
      <c r="J131" s="74" t="str">
        <f t="shared" si="490"/>
        <v>2</v>
      </c>
      <c r="K131" s="58" t="str">
        <f t="shared" ref="K131:N131" si="491">SUBSTITUTE(SUBSTITUTE(SUBSTITUTE(SUBSTITUTE(SUBSTITUTE(SUBSTITUTE(SUBSTITUTE(G131,"1","Sa"),"2","Re"),"3","Ga"),"4","Ma"),"5","Pa"),"6","Dha"),"7","Ni")</f>
        <v>Dha</v>
      </c>
      <c r="L131" s="58" t="str">
        <f t="shared" si="491"/>
        <v>Sa</v>
      </c>
      <c r="M131" s="58" t="str">
        <f t="shared" si="491"/>
        <v>Ni</v>
      </c>
      <c r="N131" s="61" t="str">
        <f t="shared" si="491"/>
        <v>Re</v>
      </c>
      <c r="O131" s="55" t="str">
        <f>IFERROR(__xludf.DUMMYFUNCTION("CONCATENATE(JOIN(""-"",K131:N131))"),"Dha-Sa-Ni-Re")</f>
        <v>Dha-Sa-Ni-Re</v>
      </c>
      <c r="P131" s="58" t="str">
        <f t="shared" ref="P131:S131" si="492">SUBSTITUTE(SUBSTITUTE(SUBSTITUTE(SUBSTITUTE(SUBSTITUTE(SUBSTITUTE(SUBSTITUTE(G131,"1","S"),"2","R"),"3","G"),"4","M"),"5","P"),"6","D"),"7","N")</f>
        <v>D</v>
      </c>
      <c r="Q131" s="58" t="str">
        <f t="shared" si="492"/>
        <v>S</v>
      </c>
      <c r="R131" s="58" t="str">
        <f t="shared" si="492"/>
        <v>N</v>
      </c>
      <c r="S131" s="58" t="str">
        <f t="shared" si="492"/>
        <v>R</v>
      </c>
      <c r="T131" s="55" t="str">
        <f>IFERROR(__xludf.DUMMYFUNCTION("CONCATENATE(JOIN("""",P131:S131))"),"DSNR")</f>
        <v>DSNR</v>
      </c>
      <c r="U131" s="32"/>
      <c r="V131" s="32"/>
      <c r="W131" s="32"/>
    </row>
    <row r="132">
      <c r="A132" s="53" t="s">
        <v>439</v>
      </c>
      <c r="B132" s="55">
        <v>6712.0</v>
      </c>
      <c r="C132" s="58">
        <f t="shared" ref="C132:F132" si="493">C12+5</f>
        <v>6</v>
      </c>
      <c r="D132" s="272">
        <f t="shared" si="493"/>
        <v>9</v>
      </c>
      <c r="E132" s="272">
        <f t="shared" si="493"/>
        <v>7</v>
      </c>
      <c r="F132" s="273">
        <f t="shared" si="493"/>
        <v>8</v>
      </c>
      <c r="G132" s="69" t="str">
        <f t="shared" ref="G132:J132" si="494">SUBSTITUTE(SUBSTITUTE(SUBSTITUTE(C132,"8","1"),"9","2"),"10","3")</f>
        <v>6</v>
      </c>
      <c r="H132" s="69" t="str">
        <f t="shared" si="494"/>
        <v>2</v>
      </c>
      <c r="I132" s="69" t="str">
        <f t="shared" si="494"/>
        <v>7</v>
      </c>
      <c r="J132" s="74" t="str">
        <f t="shared" si="494"/>
        <v>1</v>
      </c>
      <c r="K132" s="58" t="str">
        <f t="shared" ref="K132:N132" si="495">SUBSTITUTE(SUBSTITUTE(SUBSTITUTE(SUBSTITUTE(SUBSTITUTE(SUBSTITUTE(SUBSTITUTE(G132,"1","Sa"),"2","Re"),"3","Ga"),"4","Ma"),"5","Pa"),"6","Dha"),"7","Ni")</f>
        <v>Dha</v>
      </c>
      <c r="L132" s="58" t="str">
        <f t="shared" si="495"/>
        <v>Re</v>
      </c>
      <c r="M132" s="58" t="str">
        <f t="shared" si="495"/>
        <v>Ni</v>
      </c>
      <c r="N132" s="61" t="str">
        <f t="shared" si="495"/>
        <v>Sa</v>
      </c>
      <c r="O132" s="55" t="str">
        <f>IFERROR(__xludf.DUMMYFUNCTION("CONCATENATE(JOIN(""-"",K132:N132))"),"Dha-Re-Ni-Sa")</f>
        <v>Dha-Re-Ni-Sa</v>
      </c>
      <c r="P132" s="58" t="str">
        <f t="shared" ref="P132:S132" si="496">SUBSTITUTE(SUBSTITUTE(SUBSTITUTE(SUBSTITUTE(SUBSTITUTE(SUBSTITUTE(SUBSTITUTE(G132,"1","S"),"2","R"),"3","G"),"4","M"),"5","P"),"6","D"),"7","N")</f>
        <v>D</v>
      </c>
      <c r="Q132" s="58" t="str">
        <f t="shared" si="496"/>
        <v>R</v>
      </c>
      <c r="R132" s="58" t="str">
        <f t="shared" si="496"/>
        <v>N</v>
      </c>
      <c r="S132" s="58" t="str">
        <f t="shared" si="496"/>
        <v>S</v>
      </c>
      <c r="T132" s="55" t="str">
        <f>IFERROR(__xludf.DUMMYFUNCTION("CONCATENATE(JOIN("""",P132:S132))"),"DRNS")</f>
        <v>DRNS</v>
      </c>
      <c r="U132" s="32"/>
      <c r="V132" s="32"/>
      <c r="W132" s="32"/>
    </row>
    <row r="133">
      <c r="A133" s="53" t="s">
        <v>440</v>
      </c>
      <c r="B133" s="55">
        <v>6712.0</v>
      </c>
      <c r="C133" s="58">
        <f t="shared" ref="C133:F133" si="497">C13+5</f>
        <v>6</v>
      </c>
      <c r="D133" s="272">
        <f t="shared" si="497"/>
        <v>9</v>
      </c>
      <c r="E133" s="272">
        <f t="shared" si="497"/>
        <v>8</v>
      </c>
      <c r="F133" s="273">
        <f t="shared" si="497"/>
        <v>7</v>
      </c>
      <c r="G133" s="69" t="str">
        <f t="shared" ref="G133:J133" si="498">SUBSTITUTE(SUBSTITUTE(SUBSTITUTE(C133,"8","1"),"9","2"),"10","3")</f>
        <v>6</v>
      </c>
      <c r="H133" s="69" t="str">
        <f t="shared" si="498"/>
        <v>2</v>
      </c>
      <c r="I133" s="69" t="str">
        <f t="shared" si="498"/>
        <v>1</v>
      </c>
      <c r="J133" s="74" t="str">
        <f t="shared" si="498"/>
        <v>7</v>
      </c>
      <c r="K133" s="58" t="str">
        <f t="shared" ref="K133:N133" si="499">SUBSTITUTE(SUBSTITUTE(SUBSTITUTE(SUBSTITUTE(SUBSTITUTE(SUBSTITUTE(SUBSTITUTE(G133,"1","Sa"),"2","Re"),"3","Ga"),"4","Ma"),"5","Pa"),"6","Dha"),"7","Ni")</f>
        <v>Dha</v>
      </c>
      <c r="L133" s="58" t="str">
        <f t="shared" si="499"/>
        <v>Re</v>
      </c>
      <c r="M133" s="58" t="str">
        <f t="shared" si="499"/>
        <v>Sa</v>
      </c>
      <c r="N133" s="61" t="str">
        <f t="shared" si="499"/>
        <v>Ni</v>
      </c>
      <c r="O133" s="55" t="str">
        <f>IFERROR(__xludf.DUMMYFUNCTION("CONCATENATE(JOIN(""-"",K133:N133))"),"Dha-Re-Sa-Ni")</f>
        <v>Dha-Re-Sa-Ni</v>
      </c>
      <c r="P133" s="58" t="str">
        <f t="shared" ref="P133:S133" si="500">SUBSTITUTE(SUBSTITUTE(SUBSTITUTE(SUBSTITUTE(SUBSTITUTE(SUBSTITUTE(SUBSTITUTE(G133,"1","S"),"2","R"),"3","G"),"4","M"),"5","P"),"6","D"),"7","N")</f>
        <v>D</v>
      </c>
      <c r="Q133" s="58" t="str">
        <f t="shared" si="500"/>
        <v>R</v>
      </c>
      <c r="R133" s="58" t="str">
        <f t="shared" si="500"/>
        <v>S</v>
      </c>
      <c r="S133" s="58" t="str">
        <f t="shared" si="500"/>
        <v>N</v>
      </c>
      <c r="T133" s="55" t="str">
        <f>IFERROR(__xludf.DUMMYFUNCTION("CONCATENATE(JOIN("""",P133:S133))"),"DRSN")</f>
        <v>DRSN</v>
      </c>
      <c r="U133" s="32"/>
      <c r="V133" s="32"/>
      <c r="W133" s="32"/>
    </row>
    <row r="134">
      <c r="A134" s="53" t="s">
        <v>441</v>
      </c>
      <c r="B134" s="55">
        <v>6712.0</v>
      </c>
      <c r="C134" s="58">
        <f t="shared" ref="C134:F134" si="501">C14+5</f>
        <v>7</v>
      </c>
      <c r="D134" s="272">
        <f t="shared" si="501"/>
        <v>9</v>
      </c>
      <c r="E134" s="272">
        <f t="shared" si="501"/>
        <v>8</v>
      </c>
      <c r="F134" s="273">
        <f t="shared" si="501"/>
        <v>6</v>
      </c>
      <c r="G134" s="69" t="str">
        <f t="shared" ref="G134:J134" si="502">SUBSTITUTE(SUBSTITUTE(SUBSTITUTE(C134,"8","1"),"9","2"),"10","3")</f>
        <v>7</v>
      </c>
      <c r="H134" s="69" t="str">
        <f t="shared" si="502"/>
        <v>2</v>
      </c>
      <c r="I134" s="69" t="str">
        <f t="shared" si="502"/>
        <v>1</v>
      </c>
      <c r="J134" s="74" t="str">
        <f t="shared" si="502"/>
        <v>6</v>
      </c>
      <c r="K134" s="58" t="str">
        <f t="shared" ref="K134:N134" si="503">SUBSTITUTE(SUBSTITUTE(SUBSTITUTE(SUBSTITUTE(SUBSTITUTE(SUBSTITUTE(SUBSTITUTE(G134,"1","Sa"),"2","Re"),"3","Ga"),"4","Ma"),"5","Pa"),"6","Dha"),"7","Ni")</f>
        <v>Ni</v>
      </c>
      <c r="L134" s="58" t="str">
        <f t="shared" si="503"/>
        <v>Re</v>
      </c>
      <c r="M134" s="58" t="str">
        <f t="shared" si="503"/>
        <v>Sa</v>
      </c>
      <c r="N134" s="61" t="str">
        <f t="shared" si="503"/>
        <v>Dha</v>
      </c>
      <c r="O134" s="55" t="str">
        <f>IFERROR(__xludf.DUMMYFUNCTION("CONCATENATE(JOIN(""-"",K134:N134))"),"Ni-Re-Sa-Dha")</f>
        <v>Ni-Re-Sa-Dha</v>
      </c>
      <c r="P134" s="58" t="str">
        <f t="shared" ref="P134:S134" si="504">SUBSTITUTE(SUBSTITUTE(SUBSTITUTE(SUBSTITUTE(SUBSTITUTE(SUBSTITUTE(SUBSTITUTE(G134,"1","S"),"2","R"),"3","G"),"4","M"),"5","P"),"6","D"),"7","N")</f>
        <v>N</v>
      </c>
      <c r="Q134" s="58" t="str">
        <f t="shared" si="504"/>
        <v>R</v>
      </c>
      <c r="R134" s="58" t="str">
        <f t="shared" si="504"/>
        <v>S</v>
      </c>
      <c r="S134" s="58" t="str">
        <f t="shared" si="504"/>
        <v>D</v>
      </c>
      <c r="T134" s="55" t="str">
        <f>IFERROR(__xludf.DUMMYFUNCTION("CONCATENATE(JOIN("""",P134:S134))"),"NRSD")</f>
        <v>NRSD</v>
      </c>
      <c r="U134" s="32"/>
      <c r="V134" s="32"/>
      <c r="W134" s="32"/>
    </row>
    <row r="135">
      <c r="A135" s="53" t="s">
        <v>442</v>
      </c>
      <c r="B135" s="55">
        <v>6712.0</v>
      </c>
      <c r="C135" s="58">
        <f t="shared" ref="C135:F135" si="505">C15+5</f>
        <v>8</v>
      </c>
      <c r="D135" s="272">
        <f t="shared" si="505"/>
        <v>6</v>
      </c>
      <c r="E135" s="272">
        <f t="shared" si="505"/>
        <v>7</v>
      </c>
      <c r="F135" s="273">
        <f t="shared" si="505"/>
        <v>9</v>
      </c>
      <c r="G135" s="69" t="str">
        <f t="shared" ref="G135:J135" si="506">SUBSTITUTE(SUBSTITUTE(SUBSTITUTE(C135,"8","1"),"9","2"),"10","3")</f>
        <v>1</v>
      </c>
      <c r="H135" s="69" t="str">
        <f t="shared" si="506"/>
        <v>6</v>
      </c>
      <c r="I135" s="69" t="str">
        <f t="shared" si="506"/>
        <v>7</v>
      </c>
      <c r="J135" s="74" t="str">
        <f t="shared" si="506"/>
        <v>2</v>
      </c>
      <c r="K135" s="58" t="str">
        <f t="shared" ref="K135:N135" si="507">SUBSTITUTE(SUBSTITUTE(SUBSTITUTE(SUBSTITUTE(SUBSTITUTE(SUBSTITUTE(SUBSTITUTE(G135,"1","Sa"),"2","Re"),"3","Ga"),"4","Ma"),"5","Pa"),"6","Dha"),"7","Ni")</f>
        <v>Sa</v>
      </c>
      <c r="L135" s="58" t="str">
        <f t="shared" si="507"/>
        <v>Dha</v>
      </c>
      <c r="M135" s="58" t="str">
        <f t="shared" si="507"/>
        <v>Ni</v>
      </c>
      <c r="N135" s="61" t="str">
        <f t="shared" si="507"/>
        <v>Re</v>
      </c>
      <c r="O135" s="55" t="str">
        <f>IFERROR(__xludf.DUMMYFUNCTION("CONCATENATE(JOIN(""-"",K135:N135))"),"Sa-Dha-Ni-Re")</f>
        <v>Sa-Dha-Ni-Re</v>
      </c>
      <c r="P135" s="58" t="str">
        <f t="shared" ref="P135:S135" si="508">SUBSTITUTE(SUBSTITUTE(SUBSTITUTE(SUBSTITUTE(SUBSTITUTE(SUBSTITUTE(SUBSTITUTE(G135,"1","S"),"2","R"),"3","G"),"4","M"),"5","P"),"6","D"),"7","N")</f>
        <v>S</v>
      </c>
      <c r="Q135" s="58" t="str">
        <f t="shared" si="508"/>
        <v>D</v>
      </c>
      <c r="R135" s="58" t="str">
        <f t="shared" si="508"/>
        <v>N</v>
      </c>
      <c r="S135" s="58" t="str">
        <f t="shared" si="508"/>
        <v>R</v>
      </c>
      <c r="T135" s="55" t="str">
        <f>IFERROR(__xludf.DUMMYFUNCTION("CONCATENATE(JOIN("""",P135:S135))"),"SDNR")</f>
        <v>SDNR</v>
      </c>
      <c r="U135" s="32"/>
      <c r="V135" s="32"/>
      <c r="W135" s="32"/>
    </row>
    <row r="136">
      <c r="A136" s="53" t="s">
        <v>443</v>
      </c>
      <c r="B136" s="55">
        <v>6712.0</v>
      </c>
      <c r="C136" s="58">
        <f t="shared" ref="C136:F136" si="509">C16+5</f>
        <v>9</v>
      </c>
      <c r="D136" s="272">
        <f t="shared" si="509"/>
        <v>6</v>
      </c>
      <c r="E136" s="272">
        <f t="shared" si="509"/>
        <v>7</v>
      </c>
      <c r="F136" s="273">
        <f t="shared" si="509"/>
        <v>8</v>
      </c>
      <c r="G136" s="69" t="str">
        <f t="shared" ref="G136:J136" si="510">SUBSTITUTE(SUBSTITUTE(SUBSTITUTE(C136,"8","1"),"9","2"),"10","3")</f>
        <v>2</v>
      </c>
      <c r="H136" s="69" t="str">
        <f t="shared" si="510"/>
        <v>6</v>
      </c>
      <c r="I136" s="69" t="str">
        <f t="shared" si="510"/>
        <v>7</v>
      </c>
      <c r="J136" s="74" t="str">
        <f t="shared" si="510"/>
        <v>1</v>
      </c>
      <c r="K136" s="58" t="str">
        <f t="shared" ref="K136:N136" si="511">SUBSTITUTE(SUBSTITUTE(SUBSTITUTE(SUBSTITUTE(SUBSTITUTE(SUBSTITUTE(SUBSTITUTE(G136,"1","Sa"),"2","Re"),"3","Ga"),"4","Ma"),"5","Pa"),"6","Dha"),"7","Ni")</f>
        <v>Re</v>
      </c>
      <c r="L136" s="58" t="str">
        <f t="shared" si="511"/>
        <v>Dha</v>
      </c>
      <c r="M136" s="58" t="str">
        <f t="shared" si="511"/>
        <v>Ni</v>
      </c>
      <c r="N136" s="61" t="str">
        <f t="shared" si="511"/>
        <v>Sa</v>
      </c>
      <c r="O136" s="55" t="str">
        <f>IFERROR(__xludf.DUMMYFUNCTION("CONCATENATE(JOIN(""-"",K136:N136))"),"Re-Dha-Ni-Sa")</f>
        <v>Re-Dha-Ni-Sa</v>
      </c>
      <c r="P136" s="58" t="str">
        <f t="shared" ref="P136:S136" si="512">SUBSTITUTE(SUBSTITUTE(SUBSTITUTE(SUBSTITUTE(SUBSTITUTE(SUBSTITUTE(SUBSTITUTE(G136,"1","S"),"2","R"),"3","G"),"4","M"),"5","P"),"6","D"),"7","N")</f>
        <v>R</v>
      </c>
      <c r="Q136" s="58" t="str">
        <f t="shared" si="512"/>
        <v>D</v>
      </c>
      <c r="R136" s="58" t="str">
        <f t="shared" si="512"/>
        <v>N</v>
      </c>
      <c r="S136" s="58" t="str">
        <f t="shared" si="512"/>
        <v>S</v>
      </c>
      <c r="T136" s="55" t="str">
        <f>IFERROR(__xludf.DUMMYFUNCTION("CONCATENATE(JOIN("""",P136:S136))"),"RDNS")</f>
        <v>RDNS</v>
      </c>
      <c r="U136" s="32"/>
      <c r="V136" s="32"/>
      <c r="W136" s="32"/>
    </row>
    <row r="137">
      <c r="A137" s="53" t="s">
        <v>446</v>
      </c>
      <c r="B137" s="55">
        <v>6712.0</v>
      </c>
      <c r="C137" s="58">
        <f t="shared" ref="C137:F137" si="513">C17+5</f>
        <v>9</v>
      </c>
      <c r="D137" s="272">
        <f t="shared" si="513"/>
        <v>6</v>
      </c>
      <c r="E137" s="272">
        <f t="shared" si="513"/>
        <v>8</v>
      </c>
      <c r="F137" s="273">
        <f t="shared" si="513"/>
        <v>7</v>
      </c>
      <c r="G137" s="69" t="str">
        <f t="shared" ref="G137:J137" si="514">SUBSTITUTE(SUBSTITUTE(SUBSTITUTE(C137,"8","1"),"9","2"),"10","3")</f>
        <v>2</v>
      </c>
      <c r="H137" s="69" t="str">
        <f t="shared" si="514"/>
        <v>6</v>
      </c>
      <c r="I137" s="69" t="str">
        <f t="shared" si="514"/>
        <v>1</v>
      </c>
      <c r="J137" s="74" t="str">
        <f t="shared" si="514"/>
        <v>7</v>
      </c>
      <c r="K137" s="58" t="str">
        <f t="shared" ref="K137:N137" si="515">SUBSTITUTE(SUBSTITUTE(SUBSTITUTE(SUBSTITUTE(SUBSTITUTE(SUBSTITUTE(SUBSTITUTE(G137,"1","Sa"),"2","Re"),"3","Ga"),"4","Ma"),"5","Pa"),"6","Dha"),"7","Ni")</f>
        <v>Re</v>
      </c>
      <c r="L137" s="58" t="str">
        <f t="shared" si="515"/>
        <v>Dha</v>
      </c>
      <c r="M137" s="58" t="str">
        <f t="shared" si="515"/>
        <v>Sa</v>
      </c>
      <c r="N137" s="61" t="str">
        <f t="shared" si="515"/>
        <v>Ni</v>
      </c>
      <c r="O137" s="55" t="str">
        <f>IFERROR(__xludf.DUMMYFUNCTION("CONCATENATE(JOIN(""-"",K137:N137))"),"Re-Dha-Sa-Ni")</f>
        <v>Re-Dha-Sa-Ni</v>
      </c>
      <c r="P137" s="58" t="str">
        <f t="shared" ref="P137:S137" si="516">SUBSTITUTE(SUBSTITUTE(SUBSTITUTE(SUBSTITUTE(SUBSTITUTE(SUBSTITUTE(SUBSTITUTE(G137,"1","S"),"2","R"),"3","G"),"4","M"),"5","P"),"6","D"),"7","N")</f>
        <v>R</v>
      </c>
      <c r="Q137" s="58" t="str">
        <f t="shared" si="516"/>
        <v>D</v>
      </c>
      <c r="R137" s="58" t="str">
        <f t="shared" si="516"/>
        <v>S</v>
      </c>
      <c r="S137" s="58" t="str">
        <f t="shared" si="516"/>
        <v>N</v>
      </c>
      <c r="T137" s="55" t="str">
        <f>IFERROR(__xludf.DUMMYFUNCTION("CONCATENATE(JOIN("""",P137:S137))"),"RDSN")</f>
        <v>RDSN</v>
      </c>
      <c r="U137" s="32"/>
      <c r="V137" s="32"/>
      <c r="W137" s="32"/>
    </row>
    <row r="138">
      <c r="A138" s="53" t="s">
        <v>447</v>
      </c>
      <c r="B138" s="55">
        <v>6712.0</v>
      </c>
      <c r="C138" s="58">
        <f t="shared" ref="C138:F138" si="517">C18+5</f>
        <v>9</v>
      </c>
      <c r="D138" s="272">
        <f t="shared" si="517"/>
        <v>7</v>
      </c>
      <c r="E138" s="272">
        <f t="shared" si="517"/>
        <v>8</v>
      </c>
      <c r="F138" s="273">
        <f t="shared" si="517"/>
        <v>6</v>
      </c>
      <c r="G138" s="69" t="str">
        <f t="shared" ref="G138:J138" si="518">SUBSTITUTE(SUBSTITUTE(SUBSTITUTE(C138,"8","1"),"9","2"),"10","3")</f>
        <v>2</v>
      </c>
      <c r="H138" s="69" t="str">
        <f t="shared" si="518"/>
        <v>7</v>
      </c>
      <c r="I138" s="69" t="str">
        <f t="shared" si="518"/>
        <v>1</v>
      </c>
      <c r="J138" s="74" t="str">
        <f t="shared" si="518"/>
        <v>6</v>
      </c>
      <c r="K138" s="58" t="str">
        <f t="shared" ref="K138:N138" si="519">SUBSTITUTE(SUBSTITUTE(SUBSTITUTE(SUBSTITUTE(SUBSTITUTE(SUBSTITUTE(SUBSTITUTE(G138,"1","Sa"),"2","Re"),"3","Ga"),"4","Ma"),"5","Pa"),"6","Dha"),"7","Ni")</f>
        <v>Re</v>
      </c>
      <c r="L138" s="58" t="str">
        <f t="shared" si="519"/>
        <v>Ni</v>
      </c>
      <c r="M138" s="58" t="str">
        <f t="shared" si="519"/>
        <v>Sa</v>
      </c>
      <c r="N138" s="61" t="str">
        <f t="shared" si="519"/>
        <v>Dha</v>
      </c>
      <c r="O138" s="55" t="str">
        <f>IFERROR(__xludf.DUMMYFUNCTION("CONCATENATE(JOIN(""-"",K138:N138))"),"Re-Ni-Sa-Dha")</f>
        <v>Re-Ni-Sa-Dha</v>
      </c>
      <c r="P138" s="58" t="str">
        <f t="shared" ref="P138:S138" si="520">SUBSTITUTE(SUBSTITUTE(SUBSTITUTE(SUBSTITUTE(SUBSTITUTE(SUBSTITUTE(SUBSTITUTE(G138,"1","S"),"2","R"),"3","G"),"4","M"),"5","P"),"6","D"),"7","N")</f>
        <v>R</v>
      </c>
      <c r="Q138" s="58" t="str">
        <f t="shared" si="520"/>
        <v>N</v>
      </c>
      <c r="R138" s="58" t="str">
        <f t="shared" si="520"/>
        <v>S</v>
      </c>
      <c r="S138" s="58" t="str">
        <f t="shared" si="520"/>
        <v>D</v>
      </c>
      <c r="T138" s="55" t="str">
        <f>IFERROR(__xludf.DUMMYFUNCTION("CONCATENATE(JOIN("""",P138:S138))"),"RNSD")</f>
        <v>RNSD</v>
      </c>
      <c r="U138" s="32"/>
      <c r="V138" s="32"/>
      <c r="W138" s="32"/>
    </row>
    <row r="139">
      <c r="A139" s="53" t="s">
        <v>448</v>
      </c>
      <c r="B139" s="55">
        <v>6712.0</v>
      </c>
      <c r="C139" s="58">
        <f t="shared" ref="C139:F139" si="521">C19+5</f>
        <v>7</v>
      </c>
      <c r="D139" s="272">
        <f t="shared" si="521"/>
        <v>8</v>
      </c>
      <c r="E139" s="272">
        <f t="shared" si="521"/>
        <v>6</v>
      </c>
      <c r="F139" s="273">
        <f t="shared" si="521"/>
        <v>9</v>
      </c>
      <c r="G139" s="69" t="str">
        <f t="shared" ref="G139:J139" si="522">SUBSTITUTE(SUBSTITUTE(SUBSTITUTE(C139,"8","1"),"9","2"),"10","3")</f>
        <v>7</v>
      </c>
      <c r="H139" s="69" t="str">
        <f t="shared" si="522"/>
        <v>1</v>
      </c>
      <c r="I139" s="69" t="str">
        <f t="shared" si="522"/>
        <v>6</v>
      </c>
      <c r="J139" s="74" t="str">
        <f t="shared" si="522"/>
        <v>2</v>
      </c>
      <c r="K139" s="58" t="str">
        <f t="shared" ref="K139:N139" si="523">SUBSTITUTE(SUBSTITUTE(SUBSTITUTE(SUBSTITUTE(SUBSTITUTE(SUBSTITUTE(SUBSTITUTE(G139,"1","Sa"),"2","Re"),"3","Ga"),"4","Ma"),"5","Pa"),"6","Dha"),"7","Ni")</f>
        <v>Ni</v>
      </c>
      <c r="L139" s="58" t="str">
        <f t="shared" si="523"/>
        <v>Sa</v>
      </c>
      <c r="M139" s="58" t="str">
        <f t="shared" si="523"/>
        <v>Dha</v>
      </c>
      <c r="N139" s="61" t="str">
        <f t="shared" si="523"/>
        <v>Re</v>
      </c>
      <c r="O139" s="55" t="str">
        <f>IFERROR(__xludf.DUMMYFUNCTION("CONCATENATE(JOIN(""-"",K139:N139))"),"Ni-Sa-Dha-Re")</f>
        <v>Ni-Sa-Dha-Re</v>
      </c>
      <c r="P139" s="58" t="str">
        <f t="shared" ref="P139:S139" si="524">SUBSTITUTE(SUBSTITUTE(SUBSTITUTE(SUBSTITUTE(SUBSTITUTE(SUBSTITUTE(SUBSTITUTE(G139,"1","S"),"2","R"),"3","G"),"4","M"),"5","P"),"6","D"),"7","N")</f>
        <v>N</v>
      </c>
      <c r="Q139" s="58" t="str">
        <f t="shared" si="524"/>
        <v>S</v>
      </c>
      <c r="R139" s="58" t="str">
        <f t="shared" si="524"/>
        <v>D</v>
      </c>
      <c r="S139" s="58" t="str">
        <f t="shared" si="524"/>
        <v>R</v>
      </c>
      <c r="T139" s="55" t="str">
        <f>IFERROR(__xludf.DUMMYFUNCTION("CONCATENATE(JOIN("""",P139:S139))"),"NSDR")</f>
        <v>NSDR</v>
      </c>
      <c r="U139" s="32"/>
      <c r="V139" s="32"/>
      <c r="W139" s="32"/>
    </row>
    <row r="140">
      <c r="A140" s="53" t="s">
        <v>449</v>
      </c>
      <c r="B140" s="55">
        <v>6712.0</v>
      </c>
      <c r="C140" s="58">
        <f t="shared" ref="C140:F140" si="525">C20+5</f>
        <v>7</v>
      </c>
      <c r="D140" s="272">
        <f t="shared" si="525"/>
        <v>9</v>
      </c>
      <c r="E140" s="272">
        <f t="shared" si="525"/>
        <v>6</v>
      </c>
      <c r="F140" s="273">
        <f t="shared" si="525"/>
        <v>8</v>
      </c>
      <c r="G140" s="69" t="str">
        <f t="shared" ref="G140:J140" si="526">SUBSTITUTE(SUBSTITUTE(SUBSTITUTE(C140,"8","1"),"9","2"),"10","3")</f>
        <v>7</v>
      </c>
      <c r="H140" s="69" t="str">
        <f t="shared" si="526"/>
        <v>2</v>
      </c>
      <c r="I140" s="69" t="str">
        <f t="shared" si="526"/>
        <v>6</v>
      </c>
      <c r="J140" s="74" t="str">
        <f t="shared" si="526"/>
        <v>1</v>
      </c>
      <c r="K140" s="58" t="str">
        <f t="shared" ref="K140:N140" si="527">SUBSTITUTE(SUBSTITUTE(SUBSTITUTE(SUBSTITUTE(SUBSTITUTE(SUBSTITUTE(SUBSTITUTE(G140,"1","Sa"),"2","Re"),"3","Ga"),"4","Ma"),"5","Pa"),"6","Dha"),"7","Ni")</f>
        <v>Ni</v>
      </c>
      <c r="L140" s="58" t="str">
        <f t="shared" si="527"/>
        <v>Re</v>
      </c>
      <c r="M140" s="58" t="str">
        <f t="shared" si="527"/>
        <v>Dha</v>
      </c>
      <c r="N140" s="61" t="str">
        <f t="shared" si="527"/>
        <v>Sa</v>
      </c>
      <c r="O140" s="55" t="str">
        <f>IFERROR(__xludf.DUMMYFUNCTION("CONCATENATE(JOIN(""-"",K140:N140))"),"Ni-Re-Dha-Sa")</f>
        <v>Ni-Re-Dha-Sa</v>
      </c>
      <c r="P140" s="58" t="str">
        <f t="shared" ref="P140:S140" si="528">SUBSTITUTE(SUBSTITUTE(SUBSTITUTE(SUBSTITUTE(SUBSTITUTE(SUBSTITUTE(SUBSTITUTE(G140,"1","S"),"2","R"),"3","G"),"4","M"),"5","P"),"6","D"),"7","N")</f>
        <v>N</v>
      </c>
      <c r="Q140" s="58" t="str">
        <f t="shared" si="528"/>
        <v>R</v>
      </c>
      <c r="R140" s="58" t="str">
        <f t="shared" si="528"/>
        <v>D</v>
      </c>
      <c r="S140" s="58" t="str">
        <f t="shared" si="528"/>
        <v>S</v>
      </c>
      <c r="T140" s="55" t="str">
        <f>IFERROR(__xludf.DUMMYFUNCTION("CONCATENATE(JOIN("""",P140:S140))"),"NRDS")</f>
        <v>NRDS</v>
      </c>
      <c r="U140" s="32"/>
      <c r="V140" s="32"/>
      <c r="W140" s="32"/>
    </row>
    <row r="141">
      <c r="A141" s="53" t="s">
        <v>453</v>
      </c>
      <c r="B141" s="55">
        <v>6712.0</v>
      </c>
      <c r="C141" s="58">
        <f t="shared" ref="C141:F141" si="529">C21+5</f>
        <v>8</v>
      </c>
      <c r="D141" s="272">
        <f t="shared" si="529"/>
        <v>9</v>
      </c>
      <c r="E141" s="272">
        <f t="shared" si="529"/>
        <v>6</v>
      </c>
      <c r="F141" s="273">
        <f t="shared" si="529"/>
        <v>7</v>
      </c>
      <c r="G141" s="69" t="str">
        <f t="shared" ref="G141:J141" si="530">SUBSTITUTE(SUBSTITUTE(SUBSTITUTE(C141,"8","1"),"9","2"),"10","3")</f>
        <v>1</v>
      </c>
      <c r="H141" s="69" t="str">
        <f t="shared" si="530"/>
        <v>2</v>
      </c>
      <c r="I141" s="69" t="str">
        <f t="shared" si="530"/>
        <v>6</v>
      </c>
      <c r="J141" s="74" t="str">
        <f t="shared" si="530"/>
        <v>7</v>
      </c>
      <c r="K141" s="58" t="str">
        <f t="shared" ref="K141:N141" si="531">SUBSTITUTE(SUBSTITUTE(SUBSTITUTE(SUBSTITUTE(SUBSTITUTE(SUBSTITUTE(SUBSTITUTE(G141,"1","Sa"),"2","Re"),"3","Ga"),"4","Ma"),"5","Pa"),"6","Dha"),"7","Ni")</f>
        <v>Sa</v>
      </c>
      <c r="L141" s="58" t="str">
        <f t="shared" si="531"/>
        <v>Re</v>
      </c>
      <c r="M141" s="58" t="str">
        <f t="shared" si="531"/>
        <v>Dha</v>
      </c>
      <c r="N141" s="61" t="str">
        <f t="shared" si="531"/>
        <v>Ni</v>
      </c>
      <c r="O141" s="55" t="str">
        <f>IFERROR(__xludf.DUMMYFUNCTION("CONCATENATE(JOIN(""-"",K141:N141))"),"Sa-Re-Dha-Ni")</f>
        <v>Sa-Re-Dha-Ni</v>
      </c>
      <c r="P141" s="58" t="str">
        <f t="shared" ref="P141:S141" si="532">SUBSTITUTE(SUBSTITUTE(SUBSTITUTE(SUBSTITUTE(SUBSTITUTE(SUBSTITUTE(SUBSTITUTE(G141,"1","S"),"2","R"),"3","G"),"4","M"),"5","P"),"6","D"),"7","N")</f>
        <v>S</v>
      </c>
      <c r="Q141" s="58" t="str">
        <f t="shared" si="532"/>
        <v>R</v>
      </c>
      <c r="R141" s="58" t="str">
        <f t="shared" si="532"/>
        <v>D</v>
      </c>
      <c r="S141" s="58" t="str">
        <f t="shared" si="532"/>
        <v>N</v>
      </c>
      <c r="T141" s="55" t="str">
        <f>IFERROR(__xludf.DUMMYFUNCTION("CONCATENATE(JOIN("""",P141:S141))"),"SRDN")</f>
        <v>SRDN</v>
      </c>
      <c r="U141" s="32"/>
      <c r="V141" s="32"/>
      <c r="W141" s="32"/>
    </row>
    <row r="142">
      <c r="A142" s="53" t="s">
        <v>454</v>
      </c>
      <c r="B142" s="55">
        <v>6712.0</v>
      </c>
      <c r="C142" s="58">
        <f t="shared" ref="C142:F142" si="533">C22+5</f>
        <v>8</v>
      </c>
      <c r="D142" s="272">
        <f t="shared" si="533"/>
        <v>9</v>
      </c>
      <c r="E142" s="272">
        <f t="shared" si="533"/>
        <v>7</v>
      </c>
      <c r="F142" s="273">
        <f t="shared" si="533"/>
        <v>6</v>
      </c>
      <c r="G142" s="69" t="str">
        <f t="shared" ref="G142:J142" si="534">SUBSTITUTE(SUBSTITUTE(SUBSTITUTE(C142,"8","1"),"9","2"),"10","3")</f>
        <v>1</v>
      </c>
      <c r="H142" s="69" t="str">
        <f t="shared" si="534"/>
        <v>2</v>
      </c>
      <c r="I142" s="69" t="str">
        <f t="shared" si="534"/>
        <v>7</v>
      </c>
      <c r="J142" s="74" t="str">
        <f t="shared" si="534"/>
        <v>6</v>
      </c>
      <c r="K142" s="58" t="str">
        <f t="shared" ref="K142:N142" si="535">SUBSTITUTE(SUBSTITUTE(SUBSTITUTE(SUBSTITUTE(SUBSTITUTE(SUBSTITUTE(SUBSTITUTE(G142,"1","Sa"),"2","Re"),"3","Ga"),"4","Ma"),"5","Pa"),"6","Dha"),"7","Ni")</f>
        <v>Sa</v>
      </c>
      <c r="L142" s="58" t="str">
        <f t="shared" si="535"/>
        <v>Re</v>
      </c>
      <c r="M142" s="58" t="str">
        <f t="shared" si="535"/>
        <v>Ni</v>
      </c>
      <c r="N142" s="61" t="str">
        <f t="shared" si="535"/>
        <v>Dha</v>
      </c>
      <c r="O142" s="55" t="str">
        <f>IFERROR(__xludf.DUMMYFUNCTION("CONCATENATE(JOIN(""-"",K142:N142))"),"Sa-Re-Ni-Dha")</f>
        <v>Sa-Re-Ni-Dha</v>
      </c>
      <c r="P142" s="58" t="str">
        <f t="shared" ref="P142:S142" si="536">SUBSTITUTE(SUBSTITUTE(SUBSTITUTE(SUBSTITUTE(SUBSTITUTE(SUBSTITUTE(SUBSTITUTE(G142,"1","S"),"2","R"),"3","G"),"4","M"),"5","P"),"6","D"),"7","N")</f>
        <v>S</v>
      </c>
      <c r="Q142" s="58" t="str">
        <f t="shared" si="536"/>
        <v>R</v>
      </c>
      <c r="R142" s="58" t="str">
        <f t="shared" si="536"/>
        <v>N</v>
      </c>
      <c r="S142" s="58" t="str">
        <f t="shared" si="536"/>
        <v>D</v>
      </c>
      <c r="T142" s="55" t="str">
        <f>IFERROR(__xludf.DUMMYFUNCTION("CONCATENATE(JOIN("""",P142:S142))"),"SRND")</f>
        <v>SRND</v>
      </c>
      <c r="U142" s="32"/>
      <c r="V142" s="32"/>
      <c r="W142" s="32"/>
    </row>
    <row r="143">
      <c r="A143" s="53" t="s">
        <v>455</v>
      </c>
      <c r="B143" s="55">
        <v>6712.0</v>
      </c>
      <c r="C143" s="58">
        <f t="shared" ref="C143:F143" si="537">C23+5</f>
        <v>8</v>
      </c>
      <c r="D143" s="272">
        <f t="shared" si="537"/>
        <v>7</v>
      </c>
      <c r="E143" s="272">
        <f t="shared" si="537"/>
        <v>6</v>
      </c>
      <c r="F143" s="273">
        <f t="shared" si="537"/>
        <v>9</v>
      </c>
      <c r="G143" s="69" t="str">
        <f t="shared" ref="G143:J143" si="538">SUBSTITUTE(SUBSTITUTE(SUBSTITUTE(C143,"8","1"),"9","2"),"10","3")</f>
        <v>1</v>
      </c>
      <c r="H143" s="69" t="str">
        <f t="shared" si="538"/>
        <v>7</v>
      </c>
      <c r="I143" s="69" t="str">
        <f t="shared" si="538"/>
        <v>6</v>
      </c>
      <c r="J143" s="74" t="str">
        <f t="shared" si="538"/>
        <v>2</v>
      </c>
      <c r="K143" s="58" t="str">
        <f t="shared" ref="K143:N143" si="539">SUBSTITUTE(SUBSTITUTE(SUBSTITUTE(SUBSTITUTE(SUBSTITUTE(SUBSTITUTE(SUBSTITUTE(G143,"1","Sa"),"2","Re"),"3","Ga"),"4","Ma"),"5","Pa"),"6","Dha"),"7","Ni")</f>
        <v>Sa</v>
      </c>
      <c r="L143" s="58" t="str">
        <f t="shared" si="539"/>
        <v>Ni</v>
      </c>
      <c r="M143" s="58" t="str">
        <f t="shared" si="539"/>
        <v>Dha</v>
      </c>
      <c r="N143" s="61" t="str">
        <f t="shared" si="539"/>
        <v>Re</v>
      </c>
      <c r="O143" s="55" t="str">
        <f>IFERROR(__xludf.DUMMYFUNCTION("CONCATENATE(JOIN(""-"",K143:N143))"),"Sa-Ni-Dha-Re")</f>
        <v>Sa-Ni-Dha-Re</v>
      </c>
      <c r="P143" s="58" t="str">
        <f t="shared" ref="P143:S143" si="540">SUBSTITUTE(SUBSTITUTE(SUBSTITUTE(SUBSTITUTE(SUBSTITUTE(SUBSTITUTE(SUBSTITUTE(G143,"1","S"),"2","R"),"3","G"),"4","M"),"5","P"),"6","D"),"7","N")</f>
        <v>S</v>
      </c>
      <c r="Q143" s="58" t="str">
        <f t="shared" si="540"/>
        <v>N</v>
      </c>
      <c r="R143" s="58" t="str">
        <f t="shared" si="540"/>
        <v>D</v>
      </c>
      <c r="S143" s="58" t="str">
        <f t="shared" si="540"/>
        <v>R</v>
      </c>
      <c r="T143" s="55" t="str">
        <f>IFERROR(__xludf.DUMMYFUNCTION("CONCATENATE(JOIN("""",P143:S143))"),"SNDR")</f>
        <v>SNDR</v>
      </c>
      <c r="U143" s="32"/>
      <c r="V143" s="32"/>
      <c r="W143" s="32"/>
    </row>
    <row r="144">
      <c r="A144" s="53" t="s">
        <v>456</v>
      </c>
      <c r="B144" s="55">
        <v>6712.0</v>
      </c>
      <c r="C144" s="58">
        <f t="shared" ref="C144:F144" si="541">C24+5</f>
        <v>9</v>
      </c>
      <c r="D144" s="272">
        <f t="shared" si="541"/>
        <v>7</v>
      </c>
      <c r="E144" s="272">
        <f t="shared" si="541"/>
        <v>6</v>
      </c>
      <c r="F144" s="273">
        <f t="shared" si="541"/>
        <v>8</v>
      </c>
      <c r="G144" s="69" t="str">
        <f t="shared" ref="G144:J144" si="542">SUBSTITUTE(SUBSTITUTE(SUBSTITUTE(C144,"8","1"),"9","2"),"10","3")</f>
        <v>2</v>
      </c>
      <c r="H144" s="69" t="str">
        <f t="shared" si="542"/>
        <v>7</v>
      </c>
      <c r="I144" s="69" t="str">
        <f t="shared" si="542"/>
        <v>6</v>
      </c>
      <c r="J144" s="74" t="str">
        <f t="shared" si="542"/>
        <v>1</v>
      </c>
      <c r="K144" s="58" t="str">
        <f t="shared" ref="K144:N144" si="543">SUBSTITUTE(SUBSTITUTE(SUBSTITUTE(SUBSTITUTE(SUBSTITUTE(SUBSTITUTE(SUBSTITUTE(G144,"1","Sa"),"2","Re"),"3","Ga"),"4","Ma"),"5","Pa"),"6","Dha"),"7","Ni")</f>
        <v>Re</v>
      </c>
      <c r="L144" s="58" t="str">
        <f t="shared" si="543"/>
        <v>Ni</v>
      </c>
      <c r="M144" s="58" t="str">
        <f t="shared" si="543"/>
        <v>Dha</v>
      </c>
      <c r="N144" s="61" t="str">
        <f t="shared" si="543"/>
        <v>Sa</v>
      </c>
      <c r="O144" s="55" t="str">
        <f>IFERROR(__xludf.DUMMYFUNCTION("CONCATENATE(JOIN(""-"",K144:N144))"),"Re-Ni-Dha-Sa")</f>
        <v>Re-Ni-Dha-Sa</v>
      </c>
      <c r="P144" s="58" t="str">
        <f t="shared" ref="P144:S144" si="544">SUBSTITUTE(SUBSTITUTE(SUBSTITUTE(SUBSTITUTE(SUBSTITUTE(SUBSTITUTE(SUBSTITUTE(G144,"1","S"),"2","R"),"3","G"),"4","M"),"5","P"),"6","D"),"7","N")</f>
        <v>R</v>
      </c>
      <c r="Q144" s="58" t="str">
        <f t="shared" si="544"/>
        <v>N</v>
      </c>
      <c r="R144" s="58" t="str">
        <f t="shared" si="544"/>
        <v>D</v>
      </c>
      <c r="S144" s="58" t="str">
        <f t="shared" si="544"/>
        <v>S</v>
      </c>
      <c r="T144" s="55" t="str">
        <f>IFERROR(__xludf.DUMMYFUNCTION("CONCATENATE(JOIN("""",P144:S144))"),"RNDS")</f>
        <v>RNDS</v>
      </c>
      <c r="U144" s="32"/>
      <c r="V144" s="32"/>
      <c r="W144" s="32"/>
    </row>
    <row r="145">
      <c r="A145" s="53" t="s">
        <v>457</v>
      </c>
      <c r="B145" s="55">
        <v>6712.0</v>
      </c>
      <c r="C145" s="58">
        <f t="shared" ref="C145:F145" si="545">C25+5</f>
        <v>9</v>
      </c>
      <c r="D145" s="272">
        <f t="shared" si="545"/>
        <v>8</v>
      </c>
      <c r="E145" s="272">
        <f t="shared" si="545"/>
        <v>6</v>
      </c>
      <c r="F145" s="273">
        <f t="shared" si="545"/>
        <v>7</v>
      </c>
      <c r="G145" s="69" t="str">
        <f t="shared" ref="G145:J145" si="546">SUBSTITUTE(SUBSTITUTE(SUBSTITUTE(C145,"8","1"),"9","2"),"10","3")</f>
        <v>2</v>
      </c>
      <c r="H145" s="69" t="str">
        <f t="shared" si="546"/>
        <v>1</v>
      </c>
      <c r="I145" s="69" t="str">
        <f t="shared" si="546"/>
        <v>6</v>
      </c>
      <c r="J145" s="74" t="str">
        <f t="shared" si="546"/>
        <v>7</v>
      </c>
      <c r="K145" s="58" t="str">
        <f t="shared" ref="K145:N145" si="547">SUBSTITUTE(SUBSTITUTE(SUBSTITUTE(SUBSTITUTE(SUBSTITUTE(SUBSTITUTE(SUBSTITUTE(G145,"1","Sa"),"2","Re"),"3","Ga"),"4","Ma"),"5","Pa"),"6","Dha"),"7","Ni")</f>
        <v>Re</v>
      </c>
      <c r="L145" s="58" t="str">
        <f t="shared" si="547"/>
        <v>Sa</v>
      </c>
      <c r="M145" s="58" t="str">
        <f t="shared" si="547"/>
        <v>Dha</v>
      </c>
      <c r="N145" s="61" t="str">
        <f t="shared" si="547"/>
        <v>Ni</v>
      </c>
      <c r="O145" s="55" t="str">
        <f>IFERROR(__xludf.DUMMYFUNCTION("CONCATENATE(JOIN(""-"",K145:N145))"),"Re-Sa-Dha-Ni")</f>
        <v>Re-Sa-Dha-Ni</v>
      </c>
      <c r="P145" s="58" t="str">
        <f t="shared" ref="P145:S145" si="548">SUBSTITUTE(SUBSTITUTE(SUBSTITUTE(SUBSTITUTE(SUBSTITUTE(SUBSTITUTE(SUBSTITUTE(G145,"1","S"),"2","R"),"3","G"),"4","M"),"5","P"),"6","D"),"7","N")</f>
        <v>R</v>
      </c>
      <c r="Q145" s="58" t="str">
        <f t="shared" si="548"/>
        <v>S</v>
      </c>
      <c r="R145" s="58" t="str">
        <f t="shared" si="548"/>
        <v>D</v>
      </c>
      <c r="S145" s="58" t="str">
        <f t="shared" si="548"/>
        <v>N</v>
      </c>
      <c r="T145" s="55" t="str">
        <f>IFERROR(__xludf.DUMMYFUNCTION("CONCATENATE(JOIN("""",P145:S145))"),"RSDN")</f>
        <v>RSDN</v>
      </c>
      <c r="U145" s="32"/>
      <c r="V145" s="32"/>
      <c r="W145" s="32"/>
    </row>
    <row r="146">
      <c r="A146" s="262" t="s">
        <v>458</v>
      </c>
      <c r="B146" s="263">
        <v>6712.0</v>
      </c>
      <c r="C146" s="264">
        <f t="shared" ref="C146:F146" si="549">C26+5</f>
        <v>9</v>
      </c>
      <c r="D146" s="360">
        <f t="shared" si="549"/>
        <v>8</v>
      </c>
      <c r="E146" s="360">
        <f t="shared" si="549"/>
        <v>7</v>
      </c>
      <c r="F146" s="361">
        <f t="shared" si="549"/>
        <v>6</v>
      </c>
      <c r="G146" s="266" t="str">
        <f t="shared" ref="G146:J146" si="550">SUBSTITUTE(SUBSTITUTE(SUBSTITUTE(C146,"8","1"),"9","2"),"10","3")</f>
        <v>2</v>
      </c>
      <c r="H146" s="266" t="str">
        <f t="shared" si="550"/>
        <v>1</v>
      </c>
      <c r="I146" s="266" t="str">
        <f t="shared" si="550"/>
        <v>7</v>
      </c>
      <c r="J146" s="268" t="str">
        <f t="shared" si="550"/>
        <v>6</v>
      </c>
      <c r="K146" s="264" t="str">
        <f t="shared" ref="K146:N146" si="551">SUBSTITUTE(SUBSTITUTE(SUBSTITUTE(SUBSTITUTE(SUBSTITUTE(SUBSTITUTE(SUBSTITUTE(G146,"1","Sa"),"2","Re"),"3","Ga"),"4","Ma"),"5","Pa"),"6","Dha"),"7","Ni")</f>
        <v>Re</v>
      </c>
      <c r="L146" s="264" t="str">
        <f t="shared" si="551"/>
        <v>Sa</v>
      </c>
      <c r="M146" s="264" t="str">
        <f t="shared" si="551"/>
        <v>Ni</v>
      </c>
      <c r="N146" s="265" t="str">
        <f t="shared" si="551"/>
        <v>Dha</v>
      </c>
      <c r="O146" s="263" t="str">
        <f>IFERROR(__xludf.DUMMYFUNCTION("CONCATENATE(JOIN(""-"",K146:N146))"),"Re-Sa-Ni-Dha")</f>
        <v>Re-Sa-Ni-Dha</v>
      </c>
      <c r="P146" s="264" t="str">
        <f t="shared" ref="P146:S146" si="552">SUBSTITUTE(SUBSTITUTE(SUBSTITUTE(SUBSTITUTE(SUBSTITUTE(SUBSTITUTE(SUBSTITUTE(G146,"1","S"),"2","R"),"3","G"),"4","M"),"5","P"),"6","D"),"7","N")</f>
        <v>R</v>
      </c>
      <c r="Q146" s="264" t="str">
        <f t="shared" si="552"/>
        <v>S</v>
      </c>
      <c r="R146" s="264" t="str">
        <f t="shared" si="552"/>
        <v>N</v>
      </c>
      <c r="S146" s="264" t="str">
        <f t="shared" si="552"/>
        <v>D</v>
      </c>
      <c r="T146" s="263" t="str">
        <f>IFERROR(__xludf.DUMMYFUNCTION("CONCATENATE(JOIN("""",P146:S146))"),"RSND")</f>
        <v>RSND</v>
      </c>
      <c r="U146" s="32"/>
      <c r="V146" s="32"/>
      <c r="W146" s="32"/>
    </row>
    <row r="147">
      <c r="A147" s="53" t="s">
        <v>459</v>
      </c>
      <c r="B147" s="55">
        <v>7123.0</v>
      </c>
      <c r="C147" s="58">
        <f t="shared" ref="C147:F147" si="553">C3+6</f>
        <v>7</v>
      </c>
      <c r="D147" s="272">
        <f t="shared" si="553"/>
        <v>8</v>
      </c>
      <c r="E147" s="272">
        <f t="shared" si="553"/>
        <v>9</v>
      </c>
      <c r="F147" s="273">
        <f t="shared" si="553"/>
        <v>10</v>
      </c>
      <c r="G147" s="69" t="str">
        <f t="shared" ref="G147:J147" si="554">SUBSTITUTE(SUBSTITUTE(SUBSTITUTE(C147,"8","1"),"9","2"),"10","3")</f>
        <v>7</v>
      </c>
      <c r="H147" s="69" t="str">
        <f t="shared" si="554"/>
        <v>1</v>
      </c>
      <c r="I147" s="69" t="str">
        <f t="shared" si="554"/>
        <v>2</v>
      </c>
      <c r="J147" s="74" t="str">
        <f t="shared" si="554"/>
        <v>3</v>
      </c>
      <c r="K147" s="58" t="str">
        <f t="shared" ref="K147:N147" si="555">SUBSTITUTE(SUBSTITUTE(SUBSTITUTE(SUBSTITUTE(SUBSTITUTE(SUBSTITUTE(SUBSTITUTE(G147,"1","Sa"),"2","Re"),"3","Ga"),"4","Ma"),"5","Pa"),"6","Dha"),"7","Ni")</f>
        <v>Ni</v>
      </c>
      <c r="L147" s="58" t="str">
        <f t="shared" si="555"/>
        <v>Sa</v>
      </c>
      <c r="M147" s="58" t="str">
        <f t="shared" si="555"/>
        <v>Re</v>
      </c>
      <c r="N147" s="61" t="str">
        <f t="shared" si="555"/>
        <v>Ga</v>
      </c>
      <c r="O147" s="55" t="str">
        <f>IFERROR(__xludf.DUMMYFUNCTION("CONCATENATE(JOIN(""-"",K147:N147))"),"Ni-Sa-Re-Ga")</f>
        <v>Ni-Sa-Re-Ga</v>
      </c>
      <c r="P147" s="58" t="str">
        <f t="shared" ref="P147:S147" si="556">SUBSTITUTE(SUBSTITUTE(SUBSTITUTE(SUBSTITUTE(SUBSTITUTE(SUBSTITUTE(SUBSTITUTE(G147,"1","S"),"2","R"),"3","G"),"4","M"),"5","P"),"6","D"),"7","N")</f>
        <v>N</v>
      </c>
      <c r="Q147" s="58" t="str">
        <f t="shared" si="556"/>
        <v>S</v>
      </c>
      <c r="R147" s="58" t="str">
        <f t="shared" si="556"/>
        <v>R</v>
      </c>
      <c r="S147" s="58" t="str">
        <f t="shared" si="556"/>
        <v>G</v>
      </c>
      <c r="T147" s="55" t="str">
        <f>IFERROR(__xludf.DUMMYFUNCTION("CONCATENATE(JOIN("""",P147:S147))"),"NSRG")</f>
        <v>NSRG</v>
      </c>
      <c r="U147" s="32" t="str">
        <f>IFERROR(__xludf.DUMMYFUNCTION("CONCATENATE(JOIN("" | "",T147:T170))"),"NSRG | NSGR | NRGS | SRGN | SNRG | SNGR | RNGS | RSGN | NRSG | NGSR | NGRS | SGRN | RNSG | GNSR | GNRS | GSRN | SRNG | SGNR | RGNS | RGSN | RSNG | GSNR | GRNS | GRSN")</f>
        <v>NSRG | NSGR | NRGS | SRGN | SNRG | SNGR | RNGS | RSGN | NRSG | NGSR | NGRS | SGRN | RNSG | GNSR | GNRS | GSRN | SRNG | SGNR | RGNS | RGSN | RSNG | GSNR | GRNS | GRSN</v>
      </c>
      <c r="V147" s="32"/>
      <c r="W147" s="32"/>
    </row>
    <row r="148">
      <c r="A148" s="53" t="s">
        <v>460</v>
      </c>
      <c r="B148" s="55">
        <v>7123.0</v>
      </c>
      <c r="C148" s="58">
        <f t="shared" ref="C148:F148" si="557">C4+6</f>
        <v>7</v>
      </c>
      <c r="D148" s="272">
        <f t="shared" si="557"/>
        <v>8</v>
      </c>
      <c r="E148" s="272">
        <f t="shared" si="557"/>
        <v>10</v>
      </c>
      <c r="F148" s="273">
        <f t="shared" si="557"/>
        <v>9</v>
      </c>
      <c r="G148" s="69" t="str">
        <f t="shared" ref="G148:J148" si="558">SUBSTITUTE(SUBSTITUTE(SUBSTITUTE(C148,"8","1"),"9","2"),"10","3")</f>
        <v>7</v>
      </c>
      <c r="H148" s="69" t="str">
        <f t="shared" si="558"/>
        <v>1</v>
      </c>
      <c r="I148" s="69" t="str">
        <f t="shared" si="558"/>
        <v>3</v>
      </c>
      <c r="J148" s="74" t="str">
        <f t="shared" si="558"/>
        <v>2</v>
      </c>
      <c r="K148" s="58" t="str">
        <f t="shared" ref="K148:N148" si="559">SUBSTITUTE(SUBSTITUTE(SUBSTITUTE(SUBSTITUTE(SUBSTITUTE(SUBSTITUTE(SUBSTITUTE(G148,"1","Sa"),"2","Re"),"3","Ga"),"4","Ma"),"5","Pa"),"6","Dha"),"7","Ni")</f>
        <v>Ni</v>
      </c>
      <c r="L148" s="58" t="str">
        <f t="shared" si="559"/>
        <v>Sa</v>
      </c>
      <c r="M148" s="58" t="str">
        <f t="shared" si="559"/>
        <v>Ga</v>
      </c>
      <c r="N148" s="61" t="str">
        <f t="shared" si="559"/>
        <v>Re</v>
      </c>
      <c r="O148" s="55" t="str">
        <f>IFERROR(__xludf.DUMMYFUNCTION("CONCATENATE(JOIN(""-"",K148:N148))"),"Ni-Sa-Ga-Re")</f>
        <v>Ni-Sa-Ga-Re</v>
      </c>
      <c r="P148" s="58" t="str">
        <f t="shared" ref="P148:S148" si="560">SUBSTITUTE(SUBSTITUTE(SUBSTITUTE(SUBSTITUTE(SUBSTITUTE(SUBSTITUTE(SUBSTITUTE(G148,"1","S"),"2","R"),"3","G"),"4","M"),"5","P"),"6","D"),"7","N")</f>
        <v>N</v>
      </c>
      <c r="Q148" s="58" t="str">
        <f t="shared" si="560"/>
        <v>S</v>
      </c>
      <c r="R148" s="58" t="str">
        <f t="shared" si="560"/>
        <v>G</v>
      </c>
      <c r="S148" s="58" t="str">
        <f t="shared" si="560"/>
        <v>R</v>
      </c>
      <c r="T148" s="55" t="str">
        <f>IFERROR(__xludf.DUMMYFUNCTION("CONCATENATE(JOIN("""",P148:S148))"),"NSGR")</f>
        <v>NSGR</v>
      </c>
      <c r="U148" s="32"/>
      <c r="V148" s="32"/>
      <c r="W148" s="32"/>
    </row>
    <row r="149">
      <c r="A149" s="53" t="s">
        <v>463</v>
      </c>
      <c r="B149" s="55">
        <v>7123.0</v>
      </c>
      <c r="C149" s="58">
        <f t="shared" ref="C149:F149" si="561">C5+6</f>
        <v>7</v>
      </c>
      <c r="D149" s="272">
        <f t="shared" si="561"/>
        <v>9</v>
      </c>
      <c r="E149" s="272">
        <f t="shared" si="561"/>
        <v>10</v>
      </c>
      <c r="F149" s="273">
        <f t="shared" si="561"/>
        <v>8</v>
      </c>
      <c r="G149" s="69" t="str">
        <f t="shared" ref="G149:J149" si="562">SUBSTITUTE(SUBSTITUTE(SUBSTITUTE(C149,"8","1"),"9","2"),"10","3")</f>
        <v>7</v>
      </c>
      <c r="H149" s="69" t="str">
        <f t="shared" si="562"/>
        <v>2</v>
      </c>
      <c r="I149" s="69" t="str">
        <f t="shared" si="562"/>
        <v>3</v>
      </c>
      <c r="J149" s="74" t="str">
        <f t="shared" si="562"/>
        <v>1</v>
      </c>
      <c r="K149" s="58" t="str">
        <f t="shared" ref="K149:N149" si="563">SUBSTITUTE(SUBSTITUTE(SUBSTITUTE(SUBSTITUTE(SUBSTITUTE(SUBSTITUTE(SUBSTITUTE(G149,"1","Sa"),"2","Re"),"3","Ga"),"4","Ma"),"5","Pa"),"6","Dha"),"7","Ni")</f>
        <v>Ni</v>
      </c>
      <c r="L149" s="58" t="str">
        <f t="shared" si="563"/>
        <v>Re</v>
      </c>
      <c r="M149" s="58" t="str">
        <f t="shared" si="563"/>
        <v>Ga</v>
      </c>
      <c r="N149" s="61" t="str">
        <f t="shared" si="563"/>
        <v>Sa</v>
      </c>
      <c r="O149" s="55" t="str">
        <f>IFERROR(__xludf.DUMMYFUNCTION("CONCATENATE(JOIN(""-"",K149:N149))"),"Ni-Re-Ga-Sa")</f>
        <v>Ni-Re-Ga-Sa</v>
      </c>
      <c r="P149" s="58" t="str">
        <f t="shared" ref="P149:S149" si="564">SUBSTITUTE(SUBSTITUTE(SUBSTITUTE(SUBSTITUTE(SUBSTITUTE(SUBSTITUTE(SUBSTITUTE(G149,"1","S"),"2","R"),"3","G"),"4","M"),"5","P"),"6","D"),"7","N")</f>
        <v>N</v>
      </c>
      <c r="Q149" s="58" t="str">
        <f t="shared" si="564"/>
        <v>R</v>
      </c>
      <c r="R149" s="58" t="str">
        <f t="shared" si="564"/>
        <v>G</v>
      </c>
      <c r="S149" s="58" t="str">
        <f t="shared" si="564"/>
        <v>S</v>
      </c>
      <c r="T149" s="55" t="str">
        <f>IFERROR(__xludf.DUMMYFUNCTION("CONCATENATE(JOIN("""",P149:S149))"),"NRGS")</f>
        <v>NRGS</v>
      </c>
      <c r="U149" s="32"/>
      <c r="V149" s="32"/>
      <c r="W149" s="32"/>
    </row>
    <row r="150">
      <c r="A150" s="53" t="s">
        <v>464</v>
      </c>
      <c r="B150" s="55">
        <v>7123.0</v>
      </c>
      <c r="C150" s="58">
        <f t="shared" ref="C150:F150" si="565">C6+6</f>
        <v>8</v>
      </c>
      <c r="D150" s="272">
        <f t="shared" si="565"/>
        <v>9</v>
      </c>
      <c r="E150" s="272">
        <f t="shared" si="565"/>
        <v>10</v>
      </c>
      <c r="F150" s="273">
        <f t="shared" si="565"/>
        <v>7</v>
      </c>
      <c r="G150" s="69" t="str">
        <f t="shared" ref="G150:J150" si="566">SUBSTITUTE(SUBSTITUTE(SUBSTITUTE(C150,"8","1"),"9","2"),"10","3")</f>
        <v>1</v>
      </c>
      <c r="H150" s="69" t="str">
        <f t="shared" si="566"/>
        <v>2</v>
      </c>
      <c r="I150" s="69" t="str">
        <f t="shared" si="566"/>
        <v>3</v>
      </c>
      <c r="J150" s="74" t="str">
        <f t="shared" si="566"/>
        <v>7</v>
      </c>
      <c r="K150" s="58" t="str">
        <f t="shared" ref="K150:N150" si="567">SUBSTITUTE(SUBSTITUTE(SUBSTITUTE(SUBSTITUTE(SUBSTITUTE(SUBSTITUTE(SUBSTITUTE(G150,"1","Sa"),"2","Re"),"3","Ga"),"4","Ma"),"5","Pa"),"6","Dha"),"7","Ni")</f>
        <v>Sa</v>
      </c>
      <c r="L150" s="58" t="str">
        <f t="shared" si="567"/>
        <v>Re</v>
      </c>
      <c r="M150" s="58" t="str">
        <f t="shared" si="567"/>
        <v>Ga</v>
      </c>
      <c r="N150" s="61" t="str">
        <f t="shared" si="567"/>
        <v>Ni</v>
      </c>
      <c r="O150" s="55" t="str">
        <f>IFERROR(__xludf.DUMMYFUNCTION("CONCATENATE(JOIN(""-"",K150:N150))"),"Sa-Re-Ga-Ni")</f>
        <v>Sa-Re-Ga-Ni</v>
      </c>
      <c r="P150" s="58" t="str">
        <f t="shared" ref="P150:S150" si="568">SUBSTITUTE(SUBSTITUTE(SUBSTITUTE(SUBSTITUTE(SUBSTITUTE(SUBSTITUTE(SUBSTITUTE(G150,"1","S"),"2","R"),"3","G"),"4","M"),"5","P"),"6","D"),"7","N")</f>
        <v>S</v>
      </c>
      <c r="Q150" s="58" t="str">
        <f t="shared" si="568"/>
        <v>R</v>
      </c>
      <c r="R150" s="58" t="str">
        <f t="shared" si="568"/>
        <v>G</v>
      </c>
      <c r="S150" s="58" t="str">
        <f t="shared" si="568"/>
        <v>N</v>
      </c>
      <c r="T150" s="55" t="str">
        <f>IFERROR(__xludf.DUMMYFUNCTION("CONCATENATE(JOIN("""",P150:S150))"),"SRGN")</f>
        <v>SRGN</v>
      </c>
      <c r="U150" s="32"/>
      <c r="V150" s="32"/>
      <c r="W150" s="32"/>
    </row>
    <row r="151">
      <c r="A151" s="53" t="s">
        <v>465</v>
      </c>
      <c r="B151" s="55">
        <v>7123.0</v>
      </c>
      <c r="C151" s="58">
        <f t="shared" ref="C151:F151" si="569">C7+6</f>
        <v>8</v>
      </c>
      <c r="D151" s="272">
        <f t="shared" si="569"/>
        <v>7</v>
      </c>
      <c r="E151" s="272">
        <f t="shared" si="569"/>
        <v>9</v>
      </c>
      <c r="F151" s="273">
        <f t="shared" si="569"/>
        <v>10</v>
      </c>
      <c r="G151" s="69" t="str">
        <f t="shared" ref="G151:J151" si="570">SUBSTITUTE(SUBSTITUTE(SUBSTITUTE(C151,"8","1"),"9","2"),"10","3")</f>
        <v>1</v>
      </c>
      <c r="H151" s="69" t="str">
        <f t="shared" si="570"/>
        <v>7</v>
      </c>
      <c r="I151" s="69" t="str">
        <f t="shared" si="570"/>
        <v>2</v>
      </c>
      <c r="J151" s="74" t="str">
        <f t="shared" si="570"/>
        <v>3</v>
      </c>
      <c r="K151" s="58" t="str">
        <f t="shared" ref="K151:N151" si="571">SUBSTITUTE(SUBSTITUTE(SUBSTITUTE(SUBSTITUTE(SUBSTITUTE(SUBSTITUTE(SUBSTITUTE(G151,"1","Sa"),"2","Re"),"3","Ga"),"4","Ma"),"5","Pa"),"6","Dha"),"7","Ni")</f>
        <v>Sa</v>
      </c>
      <c r="L151" s="58" t="str">
        <f t="shared" si="571"/>
        <v>Ni</v>
      </c>
      <c r="M151" s="58" t="str">
        <f t="shared" si="571"/>
        <v>Re</v>
      </c>
      <c r="N151" s="61" t="str">
        <f t="shared" si="571"/>
        <v>Ga</v>
      </c>
      <c r="O151" s="55" t="str">
        <f>IFERROR(__xludf.DUMMYFUNCTION("CONCATENATE(JOIN(""-"",K151:N151))"),"Sa-Ni-Re-Ga")</f>
        <v>Sa-Ni-Re-Ga</v>
      </c>
      <c r="P151" s="58" t="str">
        <f t="shared" ref="P151:S151" si="572">SUBSTITUTE(SUBSTITUTE(SUBSTITUTE(SUBSTITUTE(SUBSTITUTE(SUBSTITUTE(SUBSTITUTE(G151,"1","S"),"2","R"),"3","G"),"4","M"),"5","P"),"6","D"),"7","N")</f>
        <v>S</v>
      </c>
      <c r="Q151" s="58" t="str">
        <f t="shared" si="572"/>
        <v>N</v>
      </c>
      <c r="R151" s="58" t="str">
        <f t="shared" si="572"/>
        <v>R</v>
      </c>
      <c r="S151" s="58" t="str">
        <f t="shared" si="572"/>
        <v>G</v>
      </c>
      <c r="T151" s="55" t="str">
        <f>IFERROR(__xludf.DUMMYFUNCTION("CONCATENATE(JOIN("""",P151:S151))"),"SNRG")</f>
        <v>SNRG</v>
      </c>
      <c r="U151" s="32"/>
      <c r="V151" s="32"/>
      <c r="W151" s="32"/>
    </row>
    <row r="152">
      <c r="A152" s="53" t="s">
        <v>468</v>
      </c>
      <c r="B152" s="55">
        <v>7123.0</v>
      </c>
      <c r="C152" s="58">
        <f t="shared" ref="C152:F152" si="573">C8+6</f>
        <v>8</v>
      </c>
      <c r="D152" s="272">
        <f t="shared" si="573"/>
        <v>7</v>
      </c>
      <c r="E152" s="272">
        <f t="shared" si="573"/>
        <v>10</v>
      </c>
      <c r="F152" s="273">
        <f t="shared" si="573"/>
        <v>9</v>
      </c>
      <c r="G152" s="69" t="str">
        <f t="shared" ref="G152:J152" si="574">SUBSTITUTE(SUBSTITUTE(SUBSTITUTE(C152,"8","1"),"9","2"),"10","3")</f>
        <v>1</v>
      </c>
      <c r="H152" s="69" t="str">
        <f t="shared" si="574"/>
        <v>7</v>
      </c>
      <c r="I152" s="69" t="str">
        <f t="shared" si="574"/>
        <v>3</v>
      </c>
      <c r="J152" s="74" t="str">
        <f t="shared" si="574"/>
        <v>2</v>
      </c>
      <c r="K152" s="58" t="str">
        <f t="shared" ref="K152:N152" si="575">SUBSTITUTE(SUBSTITUTE(SUBSTITUTE(SUBSTITUTE(SUBSTITUTE(SUBSTITUTE(SUBSTITUTE(G152,"1","Sa"),"2","Re"),"3","Ga"),"4","Ma"),"5","Pa"),"6","Dha"),"7","Ni")</f>
        <v>Sa</v>
      </c>
      <c r="L152" s="58" t="str">
        <f t="shared" si="575"/>
        <v>Ni</v>
      </c>
      <c r="M152" s="58" t="str">
        <f t="shared" si="575"/>
        <v>Ga</v>
      </c>
      <c r="N152" s="61" t="str">
        <f t="shared" si="575"/>
        <v>Re</v>
      </c>
      <c r="O152" s="55" t="str">
        <f>IFERROR(__xludf.DUMMYFUNCTION("CONCATENATE(JOIN(""-"",K152:N152))"),"Sa-Ni-Ga-Re")</f>
        <v>Sa-Ni-Ga-Re</v>
      </c>
      <c r="P152" s="58" t="str">
        <f t="shared" ref="P152:S152" si="576">SUBSTITUTE(SUBSTITUTE(SUBSTITUTE(SUBSTITUTE(SUBSTITUTE(SUBSTITUTE(SUBSTITUTE(G152,"1","S"),"2","R"),"3","G"),"4","M"),"5","P"),"6","D"),"7","N")</f>
        <v>S</v>
      </c>
      <c r="Q152" s="58" t="str">
        <f t="shared" si="576"/>
        <v>N</v>
      </c>
      <c r="R152" s="58" t="str">
        <f t="shared" si="576"/>
        <v>G</v>
      </c>
      <c r="S152" s="58" t="str">
        <f t="shared" si="576"/>
        <v>R</v>
      </c>
      <c r="T152" s="55" t="str">
        <f>IFERROR(__xludf.DUMMYFUNCTION("CONCATENATE(JOIN("""",P152:S152))"),"SNGR")</f>
        <v>SNGR</v>
      </c>
      <c r="U152" s="32"/>
      <c r="V152" s="32"/>
      <c r="W152" s="32"/>
    </row>
    <row r="153">
      <c r="A153" s="53" t="s">
        <v>469</v>
      </c>
      <c r="B153" s="55">
        <v>7123.0</v>
      </c>
      <c r="C153" s="58">
        <f t="shared" ref="C153:F153" si="577">C9+6</f>
        <v>9</v>
      </c>
      <c r="D153" s="272">
        <f t="shared" si="577"/>
        <v>7</v>
      </c>
      <c r="E153" s="272">
        <f t="shared" si="577"/>
        <v>10</v>
      </c>
      <c r="F153" s="273">
        <f t="shared" si="577"/>
        <v>8</v>
      </c>
      <c r="G153" s="69" t="str">
        <f t="shared" ref="G153:J153" si="578">SUBSTITUTE(SUBSTITUTE(SUBSTITUTE(C153,"8","1"),"9","2"),"10","3")</f>
        <v>2</v>
      </c>
      <c r="H153" s="69" t="str">
        <f t="shared" si="578"/>
        <v>7</v>
      </c>
      <c r="I153" s="69" t="str">
        <f t="shared" si="578"/>
        <v>3</v>
      </c>
      <c r="J153" s="74" t="str">
        <f t="shared" si="578"/>
        <v>1</v>
      </c>
      <c r="K153" s="58" t="str">
        <f t="shared" ref="K153:N153" si="579">SUBSTITUTE(SUBSTITUTE(SUBSTITUTE(SUBSTITUTE(SUBSTITUTE(SUBSTITUTE(SUBSTITUTE(G153,"1","Sa"),"2","Re"),"3","Ga"),"4","Ma"),"5","Pa"),"6","Dha"),"7","Ni")</f>
        <v>Re</v>
      </c>
      <c r="L153" s="58" t="str">
        <f t="shared" si="579"/>
        <v>Ni</v>
      </c>
      <c r="M153" s="58" t="str">
        <f t="shared" si="579"/>
        <v>Ga</v>
      </c>
      <c r="N153" s="61" t="str">
        <f t="shared" si="579"/>
        <v>Sa</v>
      </c>
      <c r="O153" s="55" t="str">
        <f>IFERROR(__xludf.DUMMYFUNCTION("CONCATENATE(JOIN(""-"",K153:N153))"),"Re-Ni-Ga-Sa")</f>
        <v>Re-Ni-Ga-Sa</v>
      </c>
      <c r="P153" s="58" t="str">
        <f t="shared" ref="P153:S153" si="580">SUBSTITUTE(SUBSTITUTE(SUBSTITUTE(SUBSTITUTE(SUBSTITUTE(SUBSTITUTE(SUBSTITUTE(G153,"1","S"),"2","R"),"3","G"),"4","M"),"5","P"),"6","D"),"7","N")</f>
        <v>R</v>
      </c>
      <c r="Q153" s="58" t="str">
        <f t="shared" si="580"/>
        <v>N</v>
      </c>
      <c r="R153" s="58" t="str">
        <f t="shared" si="580"/>
        <v>G</v>
      </c>
      <c r="S153" s="58" t="str">
        <f t="shared" si="580"/>
        <v>S</v>
      </c>
      <c r="T153" s="55" t="str">
        <f>IFERROR(__xludf.DUMMYFUNCTION("CONCATENATE(JOIN("""",P153:S153))"),"RNGS")</f>
        <v>RNGS</v>
      </c>
      <c r="U153" s="32"/>
      <c r="V153" s="32"/>
      <c r="W153" s="32"/>
    </row>
    <row r="154">
      <c r="A154" s="53" t="s">
        <v>472</v>
      </c>
      <c r="B154" s="55">
        <v>7123.0</v>
      </c>
      <c r="C154" s="58">
        <f t="shared" ref="C154:F154" si="581">C10+6</f>
        <v>9</v>
      </c>
      <c r="D154" s="272">
        <f t="shared" si="581"/>
        <v>8</v>
      </c>
      <c r="E154" s="272">
        <f t="shared" si="581"/>
        <v>10</v>
      </c>
      <c r="F154" s="273">
        <f t="shared" si="581"/>
        <v>7</v>
      </c>
      <c r="G154" s="69" t="str">
        <f t="shared" ref="G154:J154" si="582">SUBSTITUTE(SUBSTITUTE(SUBSTITUTE(C154,"8","1"),"9","2"),"10","3")</f>
        <v>2</v>
      </c>
      <c r="H154" s="69" t="str">
        <f t="shared" si="582"/>
        <v>1</v>
      </c>
      <c r="I154" s="69" t="str">
        <f t="shared" si="582"/>
        <v>3</v>
      </c>
      <c r="J154" s="74" t="str">
        <f t="shared" si="582"/>
        <v>7</v>
      </c>
      <c r="K154" s="58" t="str">
        <f t="shared" ref="K154:N154" si="583">SUBSTITUTE(SUBSTITUTE(SUBSTITUTE(SUBSTITUTE(SUBSTITUTE(SUBSTITUTE(SUBSTITUTE(G154,"1","Sa"),"2","Re"),"3","Ga"),"4","Ma"),"5","Pa"),"6","Dha"),"7","Ni")</f>
        <v>Re</v>
      </c>
      <c r="L154" s="58" t="str">
        <f t="shared" si="583"/>
        <v>Sa</v>
      </c>
      <c r="M154" s="58" t="str">
        <f t="shared" si="583"/>
        <v>Ga</v>
      </c>
      <c r="N154" s="61" t="str">
        <f t="shared" si="583"/>
        <v>Ni</v>
      </c>
      <c r="O154" s="55" t="str">
        <f>IFERROR(__xludf.DUMMYFUNCTION("CONCATENATE(JOIN(""-"",K154:N154))"),"Re-Sa-Ga-Ni")</f>
        <v>Re-Sa-Ga-Ni</v>
      </c>
      <c r="P154" s="58" t="str">
        <f t="shared" ref="P154:S154" si="584">SUBSTITUTE(SUBSTITUTE(SUBSTITUTE(SUBSTITUTE(SUBSTITUTE(SUBSTITUTE(SUBSTITUTE(G154,"1","S"),"2","R"),"3","G"),"4","M"),"5","P"),"6","D"),"7","N")</f>
        <v>R</v>
      </c>
      <c r="Q154" s="58" t="str">
        <f t="shared" si="584"/>
        <v>S</v>
      </c>
      <c r="R154" s="58" t="str">
        <f t="shared" si="584"/>
        <v>G</v>
      </c>
      <c r="S154" s="58" t="str">
        <f t="shared" si="584"/>
        <v>N</v>
      </c>
      <c r="T154" s="55" t="str">
        <f>IFERROR(__xludf.DUMMYFUNCTION("CONCATENATE(JOIN("""",P154:S154))"),"RSGN")</f>
        <v>RSGN</v>
      </c>
      <c r="U154" s="32"/>
      <c r="V154" s="32"/>
      <c r="W154" s="32"/>
    </row>
    <row r="155">
      <c r="A155" s="53" t="s">
        <v>473</v>
      </c>
      <c r="B155" s="55">
        <v>7123.0</v>
      </c>
      <c r="C155" s="58">
        <f t="shared" ref="C155:F155" si="585">C11+6</f>
        <v>7</v>
      </c>
      <c r="D155" s="272">
        <f t="shared" si="585"/>
        <v>9</v>
      </c>
      <c r="E155" s="272">
        <f t="shared" si="585"/>
        <v>8</v>
      </c>
      <c r="F155" s="273">
        <f t="shared" si="585"/>
        <v>10</v>
      </c>
      <c r="G155" s="69" t="str">
        <f t="shared" ref="G155:J155" si="586">SUBSTITUTE(SUBSTITUTE(SUBSTITUTE(C155,"8","1"),"9","2"),"10","3")</f>
        <v>7</v>
      </c>
      <c r="H155" s="69" t="str">
        <f t="shared" si="586"/>
        <v>2</v>
      </c>
      <c r="I155" s="69" t="str">
        <f t="shared" si="586"/>
        <v>1</v>
      </c>
      <c r="J155" s="74" t="str">
        <f t="shared" si="586"/>
        <v>3</v>
      </c>
      <c r="K155" s="58" t="str">
        <f t="shared" ref="K155:N155" si="587">SUBSTITUTE(SUBSTITUTE(SUBSTITUTE(SUBSTITUTE(SUBSTITUTE(SUBSTITUTE(SUBSTITUTE(G155,"1","Sa"),"2","Re"),"3","Ga"),"4","Ma"),"5","Pa"),"6","Dha"),"7","Ni")</f>
        <v>Ni</v>
      </c>
      <c r="L155" s="58" t="str">
        <f t="shared" si="587"/>
        <v>Re</v>
      </c>
      <c r="M155" s="58" t="str">
        <f t="shared" si="587"/>
        <v>Sa</v>
      </c>
      <c r="N155" s="61" t="str">
        <f t="shared" si="587"/>
        <v>Ga</v>
      </c>
      <c r="O155" s="55" t="str">
        <f>IFERROR(__xludf.DUMMYFUNCTION("CONCATENATE(JOIN(""-"",K155:N155))"),"Ni-Re-Sa-Ga")</f>
        <v>Ni-Re-Sa-Ga</v>
      </c>
      <c r="P155" s="58" t="str">
        <f t="shared" ref="P155:S155" si="588">SUBSTITUTE(SUBSTITUTE(SUBSTITUTE(SUBSTITUTE(SUBSTITUTE(SUBSTITUTE(SUBSTITUTE(G155,"1","S"),"2","R"),"3","G"),"4","M"),"5","P"),"6","D"),"7","N")</f>
        <v>N</v>
      </c>
      <c r="Q155" s="58" t="str">
        <f t="shared" si="588"/>
        <v>R</v>
      </c>
      <c r="R155" s="58" t="str">
        <f t="shared" si="588"/>
        <v>S</v>
      </c>
      <c r="S155" s="58" t="str">
        <f t="shared" si="588"/>
        <v>G</v>
      </c>
      <c r="T155" s="55" t="str">
        <f>IFERROR(__xludf.DUMMYFUNCTION("CONCATENATE(JOIN("""",P155:S155))"),"NRSG")</f>
        <v>NRSG</v>
      </c>
      <c r="U155" s="32"/>
      <c r="V155" s="32"/>
      <c r="W155" s="32"/>
    </row>
    <row r="156">
      <c r="A156" s="53" t="s">
        <v>474</v>
      </c>
      <c r="B156" s="55">
        <v>7123.0</v>
      </c>
      <c r="C156" s="58">
        <f t="shared" ref="C156:F156" si="589">C12+6</f>
        <v>7</v>
      </c>
      <c r="D156" s="272">
        <f t="shared" si="589"/>
        <v>10</v>
      </c>
      <c r="E156" s="272">
        <f t="shared" si="589"/>
        <v>8</v>
      </c>
      <c r="F156" s="273">
        <f t="shared" si="589"/>
        <v>9</v>
      </c>
      <c r="G156" s="69" t="str">
        <f t="shared" ref="G156:J156" si="590">SUBSTITUTE(SUBSTITUTE(SUBSTITUTE(C156,"8","1"),"9","2"),"10","3")</f>
        <v>7</v>
      </c>
      <c r="H156" s="69" t="str">
        <f t="shared" si="590"/>
        <v>3</v>
      </c>
      <c r="I156" s="69" t="str">
        <f t="shared" si="590"/>
        <v>1</v>
      </c>
      <c r="J156" s="74" t="str">
        <f t="shared" si="590"/>
        <v>2</v>
      </c>
      <c r="K156" s="58" t="str">
        <f t="shared" ref="K156:N156" si="591">SUBSTITUTE(SUBSTITUTE(SUBSTITUTE(SUBSTITUTE(SUBSTITUTE(SUBSTITUTE(SUBSTITUTE(G156,"1","Sa"),"2","Re"),"3","Ga"),"4","Ma"),"5","Pa"),"6","Dha"),"7","Ni")</f>
        <v>Ni</v>
      </c>
      <c r="L156" s="58" t="str">
        <f t="shared" si="591"/>
        <v>Ga</v>
      </c>
      <c r="M156" s="58" t="str">
        <f t="shared" si="591"/>
        <v>Sa</v>
      </c>
      <c r="N156" s="61" t="str">
        <f t="shared" si="591"/>
        <v>Re</v>
      </c>
      <c r="O156" s="55" t="str">
        <f>IFERROR(__xludf.DUMMYFUNCTION("CONCATENATE(JOIN(""-"",K156:N156))"),"Ni-Ga-Sa-Re")</f>
        <v>Ni-Ga-Sa-Re</v>
      </c>
      <c r="P156" s="58" t="str">
        <f t="shared" ref="P156:S156" si="592">SUBSTITUTE(SUBSTITUTE(SUBSTITUTE(SUBSTITUTE(SUBSTITUTE(SUBSTITUTE(SUBSTITUTE(G156,"1","S"),"2","R"),"3","G"),"4","M"),"5","P"),"6","D"),"7","N")</f>
        <v>N</v>
      </c>
      <c r="Q156" s="58" t="str">
        <f t="shared" si="592"/>
        <v>G</v>
      </c>
      <c r="R156" s="58" t="str">
        <f t="shared" si="592"/>
        <v>S</v>
      </c>
      <c r="S156" s="58" t="str">
        <f t="shared" si="592"/>
        <v>R</v>
      </c>
      <c r="T156" s="55" t="str">
        <f>IFERROR(__xludf.DUMMYFUNCTION("CONCATENATE(JOIN("""",P156:S156))"),"NGSR")</f>
        <v>NGSR</v>
      </c>
      <c r="U156" s="32"/>
      <c r="V156" s="32"/>
      <c r="W156" s="32"/>
    </row>
    <row r="157">
      <c r="A157" s="53" t="s">
        <v>477</v>
      </c>
      <c r="B157" s="55">
        <v>7123.0</v>
      </c>
      <c r="C157" s="58">
        <f t="shared" ref="C157:F157" si="593">C13+6</f>
        <v>7</v>
      </c>
      <c r="D157" s="272">
        <f t="shared" si="593"/>
        <v>10</v>
      </c>
      <c r="E157" s="272">
        <f t="shared" si="593"/>
        <v>9</v>
      </c>
      <c r="F157" s="273">
        <f t="shared" si="593"/>
        <v>8</v>
      </c>
      <c r="G157" s="69" t="str">
        <f t="shared" ref="G157:J157" si="594">SUBSTITUTE(SUBSTITUTE(SUBSTITUTE(C157,"8","1"),"9","2"),"10","3")</f>
        <v>7</v>
      </c>
      <c r="H157" s="69" t="str">
        <f t="shared" si="594"/>
        <v>3</v>
      </c>
      <c r="I157" s="69" t="str">
        <f t="shared" si="594"/>
        <v>2</v>
      </c>
      <c r="J157" s="74" t="str">
        <f t="shared" si="594"/>
        <v>1</v>
      </c>
      <c r="K157" s="58" t="str">
        <f t="shared" ref="K157:N157" si="595">SUBSTITUTE(SUBSTITUTE(SUBSTITUTE(SUBSTITUTE(SUBSTITUTE(SUBSTITUTE(SUBSTITUTE(G157,"1","Sa"),"2","Re"),"3","Ga"),"4","Ma"),"5","Pa"),"6","Dha"),"7","Ni")</f>
        <v>Ni</v>
      </c>
      <c r="L157" s="58" t="str">
        <f t="shared" si="595"/>
        <v>Ga</v>
      </c>
      <c r="M157" s="58" t="str">
        <f t="shared" si="595"/>
        <v>Re</v>
      </c>
      <c r="N157" s="61" t="str">
        <f t="shared" si="595"/>
        <v>Sa</v>
      </c>
      <c r="O157" s="55" t="str">
        <f>IFERROR(__xludf.DUMMYFUNCTION("CONCATENATE(JOIN(""-"",K157:N157))"),"Ni-Ga-Re-Sa")</f>
        <v>Ni-Ga-Re-Sa</v>
      </c>
      <c r="P157" s="58" t="str">
        <f t="shared" ref="P157:S157" si="596">SUBSTITUTE(SUBSTITUTE(SUBSTITUTE(SUBSTITUTE(SUBSTITUTE(SUBSTITUTE(SUBSTITUTE(G157,"1","S"),"2","R"),"3","G"),"4","M"),"5","P"),"6","D"),"7","N")</f>
        <v>N</v>
      </c>
      <c r="Q157" s="58" t="str">
        <f t="shared" si="596"/>
        <v>G</v>
      </c>
      <c r="R157" s="58" t="str">
        <f t="shared" si="596"/>
        <v>R</v>
      </c>
      <c r="S157" s="58" t="str">
        <f t="shared" si="596"/>
        <v>S</v>
      </c>
      <c r="T157" s="55" t="str">
        <f>IFERROR(__xludf.DUMMYFUNCTION("CONCATENATE(JOIN("""",P157:S157))"),"NGRS")</f>
        <v>NGRS</v>
      </c>
      <c r="U157" s="32"/>
      <c r="V157" s="32"/>
      <c r="W157" s="32"/>
    </row>
    <row r="158">
      <c r="A158" s="53" t="s">
        <v>478</v>
      </c>
      <c r="B158" s="55">
        <v>7123.0</v>
      </c>
      <c r="C158" s="58">
        <f t="shared" ref="C158:F158" si="597">C14+6</f>
        <v>8</v>
      </c>
      <c r="D158" s="272">
        <f t="shared" si="597"/>
        <v>10</v>
      </c>
      <c r="E158" s="272">
        <f t="shared" si="597"/>
        <v>9</v>
      </c>
      <c r="F158" s="273">
        <f t="shared" si="597"/>
        <v>7</v>
      </c>
      <c r="G158" s="69" t="str">
        <f t="shared" ref="G158:J158" si="598">SUBSTITUTE(SUBSTITUTE(SUBSTITUTE(C158,"8","1"),"9","2"),"10","3")</f>
        <v>1</v>
      </c>
      <c r="H158" s="69" t="str">
        <f t="shared" si="598"/>
        <v>3</v>
      </c>
      <c r="I158" s="69" t="str">
        <f t="shared" si="598"/>
        <v>2</v>
      </c>
      <c r="J158" s="74" t="str">
        <f t="shared" si="598"/>
        <v>7</v>
      </c>
      <c r="K158" s="58" t="str">
        <f t="shared" ref="K158:N158" si="599">SUBSTITUTE(SUBSTITUTE(SUBSTITUTE(SUBSTITUTE(SUBSTITUTE(SUBSTITUTE(SUBSTITUTE(G158,"1","Sa"),"2","Re"),"3","Ga"),"4","Ma"),"5","Pa"),"6","Dha"),"7","Ni")</f>
        <v>Sa</v>
      </c>
      <c r="L158" s="58" t="str">
        <f t="shared" si="599"/>
        <v>Ga</v>
      </c>
      <c r="M158" s="58" t="str">
        <f t="shared" si="599"/>
        <v>Re</v>
      </c>
      <c r="N158" s="61" t="str">
        <f t="shared" si="599"/>
        <v>Ni</v>
      </c>
      <c r="O158" s="55" t="str">
        <f>IFERROR(__xludf.DUMMYFUNCTION("CONCATENATE(JOIN(""-"",K158:N158))"),"Sa-Ga-Re-Ni")</f>
        <v>Sa-Ga-Re-Ni</v>
      </c>
      <c r="P158" s="58" t="str">
        <f t="shared" ref="P158:S158" si="600">SUBSTITUTE(SUBSTITUTE(SUBSTITUTE(SUBSTITUTE(SUBSTITUTE(SUBSTITUTE(SUBSTITUTE(G158,"1","S"),"2","R"),"3","G"),"4","M"),"5","P"),"6","D"),"7","N")</f>
        <v>S</v>
      </c>
      <c r="Q158" s="58" t="str">
        <f t="shared" si="600"/>
        <v>G</v>
      </c>
      <c r="R158" s="58" t="str">
        <f t="shared" si="600"/>
        <v>R</v>
      </c>
      <c r="S158" s="58" t="str">
        <f t="shared" si="600"/>
        <v>N</v>
      </c>
      <c r="T158" s="55" t="str">
        <f>IFERROR(__xludf.DUMMYFUNCTION("CONCATENATE(JOIN("""",P158:S158))"),"SGRN")</f>
        <v>SGRN</v>
      </c>
      <c r="U158" s="32"/>
      <c r="V158" s="32"/>
      <c r="W158" s="32"/>
    </row>
    <row r="159">
      <c r="A159" s="53" t="s">
        <v>479</v>
      </c>
      <c r="B159" s="55">
        <v>7123.0</v>
      </c>
      <c r="C159" s="58">
        <f t="shared" ref="C159:F159" si="601">C15+6</f>
        <v>9</v>
      </c>
      <c r="D159" s="272">
        <f t="shared" si="601"/>
        <v>7</v>
      </c>
      <c r="E159" s="272">
        <f t="shared" si="601"/>
        <v>8</v>
      </c>
      <c r="F159" s="273">
        <f t="shared" si="601"/>
        <v>10</v>
      </c>
      <c r="G159" s="69" t="str">
        <f t="shared" ref="G159:J159" si="602">SUBSTITUTE(SUBSTITUTE(SUBSTITUTE(C159,"8","1"),"9","2"),"10","3")</f>
        <v>2</v>
      </c>
      <c r="H159" s="69" t="str">
        <f t="shared" si="602"/>
        <v>7</v>
      </c>
      <c r="I159" s="69" t="str">
        <f t="shared" si="602"/>
        <v>1</v>
      </c>
      <c r="J159" s="74" t="str">
        <f t="shared" si="602"/>
        <v>3</v>
      </c>
      <c r="K159" s="58" t="str">
        <f t="shared" ref="K159:N159" si="603">SUBSTITUTE(SUBSTITUTE(SUBSTITUTE(SUBSTITUTE(SUBSTITUTE(SUBSTITUTE(SUBSTITUTE(G159,"1","Sa"),"2","Re"),"3","Ga"),"4","Ma"),"5","Pa"),"6","Dha"),"7","Ni")</f>
        <v>Re</v>
      </c>
      <c r="L159" s="58" t="str">
        <f t="shared" si="603"/>
        <v>Ni</v>
      </c>
      <c r="M159" s="58" t="str">
        <f t="shared" si="603"/>
        <v>Sa</v>
      </c>
      <c r="N159" s="61" t="str">
        <f t="shared" si="603"/>
        <v>Ga</v>
      </c>
      <c r="O159" s="55" t="str">
        <f>IFERROR(__xludf.DUMMYFUNCTION("CONCATENATE(JOIN(""-"",K159:N159))"),"Re-Ni-Sa-Ga")</f>
        <v>Re-Ni-Sa-Ga</v>
      </c>
      <c r="P159" s="58" t="str">
        <f t="shared" ref="P159:S159" si="604">SUBSTITUTE(SUBSTITUTE(SUBSTITUTE(SUBSTITUTE(SUBSTITUTE(SUBSTITUTE(SUBSTITUTE(G159,"1","S"),"2","R"),"3","G"),"4","M"),"5","P"),"6","D"),"7","N")</f>
        <v>R</v>
      </c>
      <c r="Q159" s="58" t="str">
        <f t="shared" si="604"/>
        <v>N</v>
      </c>
      <c r="R159" s="58" t="str">
        <f t="shared" si="604"/>
        <v>S</v>
      </c>
      <c r="S159" s="58" t="str">
        <f t="shared" si="604"/>
        <v>G</v>
      </c>
      <c r="T159" s="55" t="str">
        <f>IFERROR(__xludf.DUMMYFUNCTION("CONCATENATE(JOIN("""",P159:S159))"),"RNSG")</f>
        <v>RNSG</v>
      </c>
      <c r="U159" s="32"/>
      <c r="V159" s="32"/>
      <c r="W159" s="32"/>
    </row>
    <row r="160">
      <c r="A160" s="53" t="s">
        <v>480</v>
      </c>
      <c r="B160" s="55">
        <v>7123.0</v>
      </c>
      <c r="C160" s="58">
        <f t="shared" ref="C160:F160" si="605">C16+6</f>
        <v>10</v>
      </c>
      <c r="D160" s="272">
        <f t="shared" si="605"/>
        <v>7</v>
      </c>
      <c r="E160" s="272">
        <f t="shared" si="605"/>
        <v>8</v>
      </c>
      <c r="F160" s="273">
        <f t="shared" si="605"/>
        <v>9</v>
      </c>
      <c r="G160" s="69" t="str">
        <f t="shared" ref="G160:J160" si="606">SUBSTITUTE(SUBSTITUTE(SUBSTITUTE(C160,"8","1"),"9","2"),"10","3")</f>
        <v>3</v>
      </c>
      <c r="H160" s="69" t="str">
        <f t="shared" si="606"/>
        <v>7</v>
      </c>
      <c r="I160" s="69" t="str">
        <f t="shared" si="606"/>
        <v>1</v>
      </c>
      <c r="J160" s="74" t="str">
        <f t="shared" si="606"/>
        <v>2</v>
      </c>
      <c r="K160" s="58" t="str">
        <f t="shared" ref="K160:N160" si="607">SUBSTITUTE(SUBSTITUTE(SUBSTITUTE(SUBSTITUTE(SUBSTITUTE(SUBSTITUTE(SUBSTITUTE(G160,"1","Sa"),"2","Re"),"3","Ga"),"4","Ma"),"5","Pa"),"6","Dha"),"7","Ni")</f>
        <v>Ga</v>
      </c>
      <c r="L160" s="58" t="str">
        <f t="shared" si="607"/>
        <v>Ni</v>
      </c>
      <c r="M160" s="58" t="str">
        <f t="shared" si="607"/>
        <v>Sa</v>
      </c>
      <c r="N160" s="61" t="str">
        <f t="shared" si="607"/>
        <v>Re</v>
      </c>
      <c r="O160" s="55" t="str">
        <f>IFERROR(__xludf.DUMMYFUNCTION("CONCATENATE(JOIN(""-"",K160:N160))"),"Ga-Ni-Sa-Re")</f>
        <v>Ga-Ni-Sa-Re</v>
      </c>
      <c r="P160" s="58" t="str">
        <f t="shared" ref="P160:S160" si="608">SUBSTITUTE(SUBSTITUTE(SUBSTITUTE(SUBSTITUTE(SUBSTITUTE(SUBSTITUTE(SUBSTITUTE(G160,"1","S"),"2","R"),"3","G"),"4","M"),"5","P"),"6","D"),"7","N")</f>
        <v>G</v>
      </c>
      <c r="Q160" s="58" t="str">
        <f t="shared" si="608"/>
        <v>N</v>
      </c>
      <c r="R160" s="58" t="str">
        <f t="shared" si="608"/>
        <v>S</v>
      </c>
      <c r="S160" s="58" t="str">
        <f t="shared" si="608"/>
        <v>R</v>
      </c>
      <c r="T160" s="55" t="str">
        <f>IFERROR(__xludf.DUMMYFUNCTION("CONCATENATE(JOIN("""",P160:S160))"),"GNSR")</f>
        <v>GNSR</v>
      </c>
      <c r="U160" s="32"/>
      <c r="V160" s="32"/>
      <c r="W160" s="32"/>
    </row>
    <row r="161">
      <c r="A161" s="53" t="s">
        <v>481</v>
      </c>
      <c r="B161" s="55">
        <v>7123.0</v>
      </c>
      <c r="C161" s="58">
        <f t="shared" ref="C161:F161" si="609">C17+6</f>
        <v>10</v>
      </c>
      <c r="D161" s="272">
        <f t="shared" si="609"/>
        <v>7</v>
      </c>
      <c r="E161" s="272">
        <f t="shared" si="609"/>
        <v>9</v>
      </c>
      <c r="F161" s="273">
        <f t="shared" si="609"/>
        <v>8</v>
      </c>
      <c r="G161" s="69" t="str">
        <f t="shared" ref="G161:J161" si="610">SUBSTITUTE(SUBSTITUTE(SUBSTITUTE(C161,"8","1"),"9","2"),"10","3")</f>
        <v>3</v>
      </c>
      <c r="H161" s="69" t="str">
        <f t="shared" si="610"/>
        <v>7</v>
      </c>
      <c r="I161" s="69" t="str">
        <f t="shared" si="610"/>
        <v>2</v>
      </c>
      <c r="J161" s="74" t="str">
        <f t="shared" si="610"/>
        <v>1</v>
      </c>
      <c r="K161" s="58" t="str">
        <f t="shared" ref="K161:N161" si="611">SUBSTITUTE(SUBSTITUTE(SUBSTITUTE(SUBSTITUTE(SUBSTITUTE(SUBSTITUTE(SUBSTITUTE(G161,"1","Sa"),"2","Re"),"3","Ga"),"4","Ma"),"5","Pa"),"6","Dha"),"7","Ni")</f>
        <v>Ga</v>
      </c>
      <c r="L161" s="58" t="str">
        <f t="shared" si="611"/>
        <v>Ni</v>
      </c>
      <c r="M161" s="58" t="str">
        <f t="shared" si="611"/>
        <v>Re</v>
      </c>
      <c r="N161" s="61" t="str">
        <f t="shared" si="611"/>
        <v>Sa</v>
      </c>
      <c r="O161" s="55" t="str">
        <f>IFERROR(__xludf.DUMMYFUNCTION("CONCATENATE(JOIN(""-"",K161:N161))"),"Ga-Ni-Re-Sa")</f>
        <v>Ga-Ni-Re-Sa</v>
      </c>
      <c r="P161" s="58" t="str">
        <f t="shared" ref="P161:S161" si="612">SUBSTITUTE(SUBSTITUTE(SUBSTITUTE(SUBSTITUTE(SUBSTITUTE(SUBSTITUTE(SUBSTITUTE(G161,"1","S"),"2","R"),"3","G"),"4","M"),"5","P"),"6","D"),"7","N")</f>
        <v>G</v>
      </c>
      <c r="Q161" s="58" t="str">
        <f t="shared" si="612"/>
        <v>N</v>
      </c>
      <c r="R161" s="58" t="str">
        <f t="shared" si="612"/>
        <v>R</v>
      </c>
      <c r="S161" s="58" t="str">
        <f t="shared" si="612"/>
        <v>S</v>
      </c>
      <c r="T161" s="55" t="str">
        <f>IFERROR(__xludf.DUMMYFUNCTION("CONCATENATE(JOIN("""",P161:S161))"),"GNRS")</f>
        <v>GNRS</v>
      </c>
      <c r="U161" s="32"/>
      <c r="V161" s="32"/>
      <c r="W161" s="32"/>
    </row>
    <row r="162">
      <c r="A162" s="53" t="s">
        <v>482</v>
      </c>
      <c r="B162" s="55">
        <v>7123.0</v>
      </c>
      <c r="C162" s="58">
        <f t="shared" ref="C162:F162" si="613">C18+6</f>
        <v>10</v>
      </c>
      <c r="D162" s="272">
        <f t="shared" si="613"/>
        <v>8</v>
      </c>
      <c r="E162" s="272">
        <f t="shared" si="613"/>
        <v>9</v>
      </c>
      <c r="F162" s="273">
        <f t="shared" si="613"/>
        <v>7</v>
      </c>
      <c r="G162" s="69" t="str">
        <f t="shared" ref="G162:J162" si="614">SUBSTITUTE(SUBSTITUTE(SUBSTITUTE(C162,"8","1"),"9","2"),"10","3")</f>
        <v>3</v>
      </c>
      <c r="H162" s="69" t="str">
        <f t="shared" si="614"/>
        <v>1</v>
      </c>
      <c r="I162" s="69" t="str">
        <f t="shared" si="614"/>
        <v>2</v>
      </c>
      <c r="J162" s="74" t="str">
        <f t="shared" si="614"/>
        <v>7</v>
      </c>
      <c r="K162" s="58" t="str">
        <f t="shared" ref="K162:N162" si="615">SUBSTITUTE(SUBSTITUTE(SUBSTITUTE(SUBSTITUTE(SUBSTITUTE(SUBSTITUTE(SUBSTITUTE(G162,"1","Sa"),"2","Re"),"3","Ga"),"4","Ma"),"5","Pa"),"6","Dha"),"7","Ni")</f>
        <v>Ga</v>
      </c>
      <c r="L162" s="58" t="str">
        <f t="shared" si="615"/>
        <v>Sa</v>
      </c>
      <c r="M162" s="58" t="str">
        <f t="shared" si="615"/>
        <v>Re</v>
      </c>
      <c r="N162" s="61" t="str">
        <f t="shared" si="615"/>
        <v>Ni</v>
      </c>
      <c r="O162" s="55" t="str">
        <f>IFERROR(__xludf.DUMMYFUNCTION("CONCATENATE(JOIN(""-"",K162:N162))"),"Ga-Sa-Re-Ni")</f>
        <v>Ga-Sa-Re-Ni</v>
      </c>
      <c r="P162" s="58" t="str">
        <f t="shared" ref="P162:S162" si="616">SUBSTITUTE(SUBSTITUTE(SUBSTITUTE(SUBSTITUTE(SUBSTITUTE(SUBSTITUTE(SUBSTITUTE(G162,"1","S"),"2","R"),"3","G"),"4","M"),"5","P"),"6","D"),"7","N")</f>
        <v>G</v>
      </c>
      <c r="Q162" s="58" t="str">
        <f t="shared" si="616"/>
        <v>S</v>
      </c>
      <c r="R162" s="58" t="str">
        <f t="shared" si="616"/>
        <v>R</v>
      </c>
      <c r="S162" s="58" t="str">
        <f t="shared" si="616"/>
        <v>N</v>
      </c>
      <c r="T162" s="55" t="str">
        <f>IFERROR(__xludf.DUMMYFUNCTION("CONCATENATE(JOIN("""",P162:S162))"),"GSRN")</f>
        <v>GSRN</v>
      </c>
      <c r="U162" s="32"/>
      <c r="V162" s="32"/>
      <c r="W162" s="32"/>
    </row>
    <row r="163">
      <c r="A163" s="53" t="s">
        <v>483</v>
      </c>
      <c r="B163" s="55">
        <v>7123.0</v>
      </c>
      <c r="C163" s="58">
        <f t="shared" ref="C163:F163" si="617">C19+6</f>
        <v>8</v>
      </c>
      <c r="D163" s="272">
        <f t="shared" si="617"/>
        <v>9</v>
      </c>
      <c r="E163" s="272">
        <f t="shared" si="617"/>
        <v>7</v>
      </c>
      <c r="F163" s="273">
        <f t="shared" si="617"/>
        <v>10</v>
      </c>
      <c r="G163" s="69" t="str">
        <f t="shared" ref="G163:J163" si="618">SUBSTITUTE(SUBSTITUTE(SUBSTITUTE(C163,"8","1"),"9","2"),"10","3")</f>
        <v>1</v>
      </c>
      <c r="H163" s="69" t="str">
        <f t="shared" si="618"/>
        <v>2</v>
      </c>
      <c r="I163" s="69" t="str">
        <f t="shared" si="618"/>
        <v>7</v>
      </c>
      <c r="J163" s="74" t="str">
        <f t="shared" si="618"/>
        <v>3</v>
      </c>
      <c r="K163" s="58" t="str">
        <f t="shared" ref="K163:N163" si="619">SUBSTITUTE(SUBSTITUTE(SUBSTITUTE(SUBSTITUTE(SUBSTITUTE(SUBSTITUTE(SUBSTITUTE(G163,"1","Sa"),"2","Re"),"3","Ga"),"4","Ma"),"5","Pa"),"6","Dha"),"7","Ni")</f>
        <v>Sa</v>
      </c>
      <c r="L163" s="58" t="str">
        <f t="shared" si="619"/>
        <v>Re</v>
      </c>
      <c r="M163" s="58" t="str">
        <f t="shared" si="619"/>
        <v>Ni</v>
      </c>
      <c r="N163" s="61" t="str">
        <f t="shared" si="619"/>
        <v>Ga</v>
      </c>
      <c r="O163" s="55" t="str">
        <f>IFERROR(__xludf.DUMMYFUNCTION("CONCATENATE(JOIN(""-"",K163:N163))"),"Sa-Re-Ni-Ga")</f>
        <v>Sa-Re-Ni-Ga</v>
      </c>
      <c r="P163" s="58" t="str">
        <f t="shared" ref="P163:S163" si="620">SUBSTITUTE(SUBSTITUTE(SUBSTITUTE(SUBSTITUTE(SUBSTITUTE(SUBSTITUTE(SUBSTITUTE(G163,"1","S"),"2","R"),"3","G"),"4","M"),"5","P"),"6","D"),"7","N")</f>
        <v>S</v>
      </c>
      <c r="Q163" s="58" t="str">
        <f t="shared" si="620"/>
        <v>R</v>
      </c>
      <c r="R163" s="58" t="str">
        <f t="shared" si="620"/>
        <v>N</v>
      </c>
      <c r="S163" s="58" t="str">
        <f t="shared" si="620"/>
        <v>G</v>
      </c>
      <c r="T163" s="55" t="str">
        <f>IFERROR(__xludf.DUMMYFUNCTION("CONCATENATE(JOIN("""",P163:S163))"),"SRNG")</f>
        <v>SRNG</v>
      </c>
      <c r="U163" s="32"/>
      <c r="V163" s="32"/>
      <c r="W163" s="32"/>
    </row>
    <row r="164">
      <c r="A164" s="53" t="s">
        <v>484</v>
      </c>
      <c r="B164" s="55">
        <v>7123.0</v>
      </c>
      <c r="C164" s="58">
        <f t="shared" ref="C164:F164" si="621">C20+6</f>
        <v>8</v>
      </c>
      <c r="D164" s="272">
        <f t="shared" si="621"/>
        <v>10</v>
      </c>
      <c r="E164" s="272">
        <f t="shared" si="621"/>
        <v>7</v>
      </c>
      <c r="F164" s="273">
        <f t="shared" si="621"/>
        <v>9</v>
      </c>
      <c r="G164" s="69" t="str">
        <f t="shared" ref="G164:J164" si="622">SUBSTITUTE(SUBSTITUTE(SUBSTITUTE(C164,"8","1"),"9","2"),"10","3")</f>
        <v>1</v>
      </c>
      <c r="H164" s="69" t="str">
        <f t="shared" si="622"/>
        <v>3</v>
      </c>
      <c r="I164" s="69" t="str">
        <f t="shared" si="622"/>
        <v>7</v>
      </c>
      <c r="J164" s="74" t="str">
        <f t="shared" si="622"/>
        <v>2</v>
      </c>
      <c r="K164" s="58" t="str">
        <f t="shared" ref="K164:N164" si="623">SUBSTITUTE(SUBSTITUTE(SUBSTITUTE(SUBSTITUTE(SUBSTITUTE(SUBSTITUTE(SUBSTITUTE(G164,"1","Sa"),"2","Re"),"3","Ga"),"4","Ma"),"5","Pa"),"6","Dha"),"7","Ni")</f>
        <v>Sa</v>
      </c>
      <c r="L164" s="58" t="str">
        <f t="shared" si="623"/>
        <v>Ga</v>
      </c>
      <c r="M164" s="58" t="str">
        <f t="shared" si="623"/>
        <v>Ni</v>
      </c>
      <c r="N164" s="61" t="str">
        <f t="shared" si="623"/>
        <v>Re</v>
      </c>
      <c r="O164" s="55" t="str">
        <f>IFERROR(__xludf.DUMMYFUNCTION("CONCATENATE(JOIN(""-"",K164:N164))"),"Sa-Ga-Ni-Re")</f>
        <v>Sa-Ga-Ni-Re</v>
      </c>
      <c r="P164" s="58" t="str">
        <f t="shared" ref="P164:S164" si="624">SUBSTITUTE(SUBSTITUTE(SUBSTITUTE(SUBSTITUTE(SUBSTITUTE(SUBSTITUTE(SUBSTITUTE(G164,"1","S"),"2","R"),"3","G"),"4","M"),"5","P"),"6","D"),"7","N")</f>
        <v>S</v>
      </c>
      <c r="Q164" s="58" t="str">
        <f t="shared" si="624"/>
        <v>G</v>
      </c>
      <c r="R164" s="58" t="str">
        <f t="shared" si="624"/>
        <v>N</v>
      </c>
      <c r="S164" s="58" t="str">
        <f t="shared" si="624"/>
        <v>R</v>
      </c>
      <c r="T164" s="55" t="str">
        <f>IFERROR(__xludf.DUMMYFUNCTION("CONCATENATE(JOIN("""",P164:S164))"),"SGNR")</f>
        <v>SGNR</v>
      </c>
      <c r="U164" s="32"/>
      <c r="V164" s="32"/>
      <c r="W164" s="32"/>
    </row>
    <row r="165">
      <c r="A165" s="53" t="s">
        <v>487</v>
      </c>
      <c r="B165" s="55">
        <v>7123.0</v>
      </c>
      <c r="C165" s="58">
        <f t="shared" ref="C165:F165" si="625">C21+6</f>
        <v>9</v>
      </c>
      <c r="D165" s="272">
        <f t="shared" si="625"/>
        <v>10</v>
      </c>
      <c r="E165" s="272">
        <f t="shared" si="625"/>
        <v>7</v>
      </c>
      <c r="F165" s="273">
        <f t="shared" si="625"/>
        <v>8</v>
      </c>
      <c r="G165" s="69" t="str">
        <f t="shared" ref="G165:J165" si="626">SUBSTITUTE(SUBSTITUTE(SUBSTITUTE(C165,"8","1"),"9","2"),"10","3")</f>
        <v>2</v>
      </c>
      <c r="H165" s="69" t="str">
        <f t="shared" si="626"/>
        <v>3</v>
      </c>
      <c r="I165" s="69" t="str">
        <f t="shared" si="626"/>
        <v>7</v>
      </c>
      <c r="J165" s="74" t="str">
        <f t="shared" si="626"/>
        <v>1</v>
      </c>
      <c r="K165" s="58" t="str">
        <f t="shared" ref="K165:N165" si="627">SUBSTITUTE(SUBSTITUTE(SUBSTITUTE(SUBSTITUTE(SUBSTITUTE(SUBSTITUTE(SUBSTITUTE(G165,"1","Sa"),"2","Re"),"3","Ga"),"4","Ma"),"5","Pa"),"6","Dha"),"7","Ni")</f>
        <v>Re</v>
      </c>
      <c r="L165" s="58" t="str">
        <f t="shared" si="627"/>
        <v>Ga</v>
      </c>
      <c r="M165" s="58" t="str">
        <f t="shared" si="627"/>
        <v>Ni</v>
      </c>
      <c r="N165" s="61" t="str">
        <f t="shared" si="627"/>
        <v>Sa</v>
      </c>
      <c r="O165" s="55" t="str">
        <f>IFERROR(__xludf.DUMMYFUNCTION("CONCATENATE(JOIN(""-"",K165:N165))"),"Re-Ga-Ni-Sa")</f>
        <v>Re-Ga-Ni-Sa</v>
      </c>
      <c r="P165" s="58" t="str">
        <f t="shared" ref="P165:S165" si="628">SUBSTITUTE(SUBSTITUTE(SUBSTITUTE(SUBSTITUTE(SUBSTITUTE(SUBSTITUTE(SUBSTITUTE(G165,"1","S"),"2","R"),"3","G"),"4","M"),"5","P"),"6","D"),"7","N")</f>
        <v>R</v>
      </c>
      <c r="Q165" s="58" t="str">
        <f t="shared" si="628"/>
        <v>G</v>
      </c>
      <c r="R165" s="58" t="str">
        <f t="shared" si="628"/>
        <v>N</v>
      </c>
      <c r="S165" s="58" t="str">
        <f t="shared" si="628"/>
        <v>S</v>
      </c>
      <c r="T165" s="55" t="str">
        <f>IFERROR(__xludf.DUMMYFUNCTION("CONCATENATE(JOIN("""",P165:S165))"),"RGNS")</f>
        <v>RGNS</v>
      </c>
      <c r="U165" s="32"/>
      <c r="V165" s="32"/>
      <c r="W165" s="32"/>
    </row>
    <row r="166">
      <c r="A166" s="53" t="s">
        <v>490</v>
      </c>
      <c r="B166" s="55">
        <v>7123.0</v>
      </c>
      <c r="C166" s="58">
        <f t="shared" ref="C166:F166" si="629">C22+6</f>
        <v>9</v>
      </c>
      <c r="D166" s="272">
        <f t="shared" si="629"/>
        <v>10</v>
      </c>
      <c r="E166" s="272">
        <f t="shared" si="629"/>
        <v>8</v>
      </c>
      <c r="F166" s="273">
        <f t="shared" si="629"/>
        <v>7</v>
      </c>
      <c r="G166" s="69" t="str">
        <f t="shared" ref="G166:J166" si="630">SUBSTITUTE(SUBSTITUTE(SUBSTITUTE(C166,"8","1"),"9","2"),"10","3")</f>
        <v>2</v>
      </c>
      <c r="H166" s="69" t="str">
        <f t="shared" si="630"/>
        <v>3</v>
      </c>
      <c r="I166" s="69" t="str">
        <f t="shared" si="630"/>
        <v>1</v>
      </c>
      <c r="J166" s="74" t="str">
        <f t="shared" si="630"/>
        <v>7</v>
      </c>
      <c r="K166" s="58" t="str">
        <f t="shared" ref="K166:N166" si="631">SUBSTITUTE(SUBSTITUTE(SUBSTITUTE(SUBSTITUTE(SUBSTITUTE(SUBSTITUTE(SUBSTITUTE(G166,"1","Sa"),"2","Re"),"3","Ga"),"4","Ma"),"5","Pa"),"6","Dha"),"7","Ni")</f>
        <v>Re</v>
      </c>
      <c r="L166" s="58" t="str">
        <f t="shared" si="631"/>
        <v>Ga</v>
      </c>
      <c r="M166" s="58" t="str">
        <f t="shared" si="631"/>
        <v>Sa</v>
      </c>
      <c r="N166" s="61" t="str">
        <f t="shared" si="631"/>
        <v>Ni</v>
      </c>
      <c r="O166" s="55" t="str">
        <f>IFERROR(__xludf.DUMMYFUNCTION("CONCATENATE(JOIN(""-"",K166:N166))"),"Re-Ga-Sa-Ni")</f>
        <v>Re-Ga-Sa-Ni</v>
      </c>
      <c r="P166" s="58" t="str">
        <f t="shared" ref="P166:S166" si="632">SUBSTITUTE(SUBSTITUTE(SUBSTITUTE(SUBSTITUTE(SUBSTITUTE(SUBSTITUTE(SUBSTITUTE(G166,"1","S"),"2","R"),"3","G"),"4","M"),"5","P"),"6","D"),"7","N")</f>
        <v>R</v>
      </c>
      <c r="Q166" s="58" t="str">
        <f t="shared" si="632"/>
        <v>G</v>
      </c>
      <c r="R166" s="58" t="str">
        <f t="shared" si="632"/>
        <v>S</v>
      </c>
      <c r="S166" s="58" t="str">
        <f t="shared" si="632"/>
        <v>N</v>
      </c>
      <c r="T166" s="55" t="str">
        <f>IFERROR(__xludf.DUMMYFUNCTION("CONCATENATE(JOIN("""",P166:S166))"),"RGSN")</f>
        <v>RGSN</v>
      </c>
      <c r="U166" s="32"/>
      <c r="V166" s="32"/>
      <c r="W166" s="32"/>
    </row>
    <row r="167">
      <c r="A167" s="53" t="s">
        <v>491</v>
      </c>
      <c r="B167" s="55">
        <v>7123.0</v>
      </c>
      <c r="C167" s="58">
        <f t="shared" ref="C167:F167" si="633">C23+6</f>
        <v>9</v>
      </c>
      <c r="D167" s="272">
        <f t="shared" si="633"/>
        <v>8</v>
      </c>
      <c r="E167" s="272">
        <f t="shared" si="633"/>
        <v>7</v>
      </c>
      <c r="F167" s="273">
        <f t="shared" si="633"/>
        <v>10</v>
      </c>
      <c r="G167" s="69" t="str">
        <f t="shared" ref="G167:J167" si="634">SUBSTITUTE(SUBSTITUTE(SUBSTITUTE(C167,"8","1"),"9","2"),"10","3")</f>
        <v>2</v>
      </c>
      <c r="H167" s="69" t="str">
        <f t="shared" si="634"/>
        <v>1</v>
      </c>
      <c r="I167" s="69" t="str">
        <f t="shared" si="634"/>
        <v>7</v>
      </c>
      <c r="J167" s="74" t="str">
        <f t="shared" si="634"/>
        <v>3</v>
      </c>
      <c r="K167" s="58" t="str">
        <f t="shared" ref="K167:N167" si="635">SUBSTITUTE(SUBSTITUTE(SUBSTITUTE(SUBSTITUTE(SUBSTITUTE(SUBSTITUTE(SUBSTITUTE(G167,"1","Sa"),"2","Re"),"3","Ga"),"4","Ma"),"5","Pa"),"6","Dha"),"7","Ni")</f>
        <v>Re</v>
      </c>
      <c r="L167" s="58" t="str">
        <f t="shared" si="635"/>
        <v>Sa</v>
      </c>
      <c r="M167" s="58" t="str">
        <f t="shared" si="635"/>
        <v>Ni</v>
      </c>
      <c r="N167" s="61" t="str">
        <f t="shared" si="635"/>
        <v>Ga</v>
      </c>
      <c r="O167" s="55" t="str">
        <f>IFERROR(__xludf.DUMMYFUNCTION("CONCATENATE(JOIN(""-"",K167:N167))"),"Re-Sa-Ni-Ga")</f>
        <v>Re-Sa-Ni-Ga</v>
      </c>
      <c r="P167" s="58" t="str">
        <f t="shared" ref="P167:S167" si="636">SUBSTITUTE(SUBSTITUTE(SUBSTITUTE(SUBSTITUTE(SUBSTITUTE(SUBSTITUTE(SUBSTITUTE(G167,"1","S"),"2","R"),"3","G"),"4","M"),"5","P"),"6","D"),"7","N")</f>
        <v>R</v>
      </c>
      <c r="Q167" s="58" t="str">
        <f t="shared" si="636"/>
        <v>S</v>
      </c>
      <c r="R167" s="58" t="str">
        <f t="shared" si="636"/>
        <v>N</v>
      </c>
      <c r="S167" s="58" t="str">
        <f t="shared" si="636"/>
        <v>G</v>
      </c>
      <c r="T167" s="55" t="str">
        <f>IFERROR(__xludf.DUMMYFUNCTION("CONCATENATE(JOIN("""",P167:S167))"),"RSNG")</f>
        <v>RSNG</v>
      </c>
      <c r="U167" s="32"/>
      <c r="V167" s="32"/>
      <c r="W167" s="32"/>
    </row>
    <row r="168">
      <c r="A168" s="53" t="s">
        <v>493</v>
      </c>
      <c r="B168" s="55">
        <v>7123.0</v>
      </c>
      <c r="C168" s="58">
        <f t="shared" ref="C168:F168" si="637">C24+6</f>
        <v>10</v>
      </c>
      <c r="D168" s="272">
        <f t="shared" si="637"/>
        <v>8</v>
      </c>
      <c r="E168" s="272">
        <f t="shared" si="637"/>
        <v>7</v>
      </c>
      <c r="F168" s="273">
        <f t="shared" si="637"/>
        <v>9</v>
      </c>
      <c r="G168" s="69" t="str">
        <f t="shared" ref="G168:J168" si="638">SUBSTITUTE(SUBSTITUTE(SUBSTITUTE(C168,"8","1"),"9","2"),"10","3")</f>
        <v>3</v>
      </c>
      <c r="H168" s="69" t="str">
        <f t="shared" si="638"/>
        <v>1</v>
      </c>
      <c r="I168" s="69" t="str">
        <f t="shared" si="638"/>
        <v>7</v>
      </c>
      <c r="J168" s="74" t="str">
        <f t="shared" si="638"/>
        <v>2</v>
      </c>
      <c r="K168" s="58" t="str">
        <f t="shared" ref="K168:N168" si="639">SUBSTITUTE(SUBSTITUTE(SUBSTITUTE(SUBSTITUTE(SUBSTITUTE(SUBSTITUTE(SUBSTITUTE(G168,"1","Sa"),"2","Re"),"3","Ga"),"4","Ma"),"5","Pa"),"6","Dha"),"7","Ni")</f>
        <v>Ga</v>
      </c>
      <c r="L168" s="58" t="str">
        <f t="shared" si="639"/>
        <v>Sa</v>
      </c>
      <c r="M168" s="58" t="str">
        <f t="shared" si="639"/>
        <v>Ni</v>
      </c>
      <c r="N168" s="61" t="str">
        <f t="shared" si="639"/>
        <v>Re</v>
      </c>
      <c r="O168" s="55" t="str">
        <f>IFERROR(__xludf.DUMMYFUNCTION("CONCATENATE(JOIN(""-"",K168:N168))"),"Ga-Sa-Ni-Re")</f>
        <v>Ga-Sa-Ni-Re</v>
      </c>
      <c r="P168" s="58" t="str">
        <f t="shared" ref="P168:S168" si="640">SUBSTITUTE(SUBSTITUTE(SUBSTITUTE(SUBSTITUTE(SUBSTITUTE(SUBSTITUTE(SUBSTITUTE(G168,"1","S"),"2","R"),"3","G"),"4","M"),"5","P"),"6","D"),"7","N")</f>
        <v>G</v>
      </c>
      <c r="Q168" s="58" t="str">
        <f t="shared" si="640"/>
        <v>S</v>
      </c>
      <c r="R168" s="58" t="str">
        <f t="shared" si="640"/>
        <v>N</v>
      </c>
      <c r="S168" s="58" t="str">
        <f t="shared" si="640"/>
        <v>R</v>
      </c>
      <c r="T168" s="55" t="str">
        <f>IFERROR(__xludf.DUMMYFUNCTION("CONCATENATE(JOIN("""",P168:S168))"),"GSNR")</f>
        <v>GSNR</v>
      </c>
      <c r="U168" s="32"/>
      <c r="V168" s="32"/>
      <c r="W168" s="32"/>
    </row>
    <row r="169">
      <c r="A169" s="53" t="s">
        <v>495</v>
      </c>
      <c r="B169" s="55">
        <v>7123.0</v>
      </c>
      <c r="C169" s="58">
        <f t="shared" ref="C169:F169" si="641">C25+6</f>
        <v>10</v>
      </c>
      <c r="D169" s="272">
        <f t="shared" si="641"/>
        <v>9</v>
      </c>
      <c r="E169" s="272">
        <f t="shared" si="641"/>
        <v>7</v>
      </c>
      <c r="F169" s="273">
        <f t="shared" si="641"/>
        <v>8</v>
      </c>
      <c r="G169" s="69" t="str">
        <f t="shared" ref="G169:J169" si="642">SUBSTITUTE(SUBSTITUTE(SUBSTITUTE(C169,"8","1"),"9","2"),"10","3")</f>
        <v>3</v>
      </c>
      <c r="H169" s="69" t="str">
        <f t="shared" si="642"/>
        <v>2</v>
      </c>
      <c r="I169" s="69" t="str">
        <f t="shared" si="642"/>
        <v>7</v>
      </c>
      <c r="J169" s="74" t="str">
        <f t="shared" si="642"/>
        <v>1</v>
      </c>
      <c r="K169" s="58" t="str">
        <f t="shared" ref="K169:N169" si="643">SUBSTITUTE(SUBSTITUTE(SUBSTITUTE(SUBSTITUTE(SUBSTITUTE(SUBSTITUTE(SUBSTITUTE(G169,"1","Sa"),"2","Re"),"3","Ga"),"4","Ma"),"5","Pa"),"6","Dha"),"7","Ni")</f>
        <v>Ga</v>
      </c>
      <c r="L169" s="58" t="str">
        <f t="shared" si="643"/>
        <v>Re</v>
      </c>
      <c r="M169" s="58" t="str">
        <f t="shared" si="643"/>
        <v>Ni</v>
      </c>
      <c r="N169" s="61" t="str">
        <f t="shared" si="643"/>
        <v>Sa</v>
      </c>
      <c r="O169" s="55" t="str">
        <f>IFERROR(__xludf.DUMMYFUNCTION("CONCATENATE(JOIN(""-"",K169:N169))"),"Ga-Re-Ni-Sa")</f>
        <v>Ga-Re-Ni-Sa</v>
      </c>
      <c r="P169" s="58" t="str">
        <f t="shared" ref="P169:S169" si="644">SUBSTITUTE(SUBSTITUTE(SUBSTITUTE(SUBSTITUTE(SUBSTITUTE(SUBSTITUTE(SUBSTITUTE(G169,"1","S"),"2","R"),"3","G"),"4","M"),"5","P"),"6","D"),"7","N")</f>
        <v>G</v>
      </c>
      <c r="Q169" s="58" t="str">
        <f t="shared" si="644"/>
        <v>R</v>
      </c>
      <c r="R169" s="58" t="str">
        <f t="shared" si="644"/>
        <v>N</v>
      </c>
      <c r="S169" s="58" t="str">
        <f t="shared" si="644"/>
        <v>S</v>
      </c>
      <c r="T169" s="55" t="str">
        <f>IFERROR(__xludf.DUMMYFUNCTION("CONCATENATE(JOIN("""",P169:S169))"),"GRNS")</f>
        <v>GRNS</v>
      </c>
      <c r="U169" s="32"/>
      <c r="V169" s="32"/>
      <c r="W169" s="32"/>
    </row>
    <row r="170">
      <c r="A170" s="262" t="s">
        <v>497</v>
      </c>
      <c r="B170" s="263">
        <v>7123.0</v>
      </c>
      <c r="C170" s="264">
        <f t="shared" ref="C170:F170" si="645">C26+6</f>
        <v>10</v>
      </c>
      <c r="D170" s="360">
        <f t="shared" si="645"/>
        <v>9</v>
      </c>
      <c r="E170" s="360">
        <f t="shared" si="645"/>
        <v>8</v>
      </c>
      <c r="F170" s="361">
        <f t="shared" si="645"/>
        <v>7</v>
      </c>
      <c r="G170" s="266" t="str">
        <f t="shared" ref="G170:J170" si="646">SUBSTITUTE(SUBSTITUTE(SUBSTITUTE(C170,"8","1"),"9","2"),"10","3")</f>
        <v>3</v>
      </c>
      <c r="H170" s="266" t="str">
        <f t="shared" si="646"/>
        <v>2</v>
      </c>
      <c r="I170" s="266" t="str">
        <f t="shared" si="646"/>
        <v>1</v>
      </c>
      <c r="J170" s="268" t="str">
        <f t="shared" si="646"/>
        <v>7</v>
      </c>
      <c r="K170" s="264" t="str">
        <f t="shared" ref="K170:N170" si="647">SUBSTITUTE(SUBSTITUTE(SUBSTITUTE(SUBSTITUTE(SUBSTITUTE(SUBSTITUTE(SUBSTITUTE(G170,"1","Sa"),"2","Re"),"3","Ga"),"4","Ma"),"5","Pa"),"6","Dha"),"7","Ni")</f>
        <v>Ga</v>
      </c>
      <c r="L170" s="264" t="str">
        <f t="shared" si="647"/>
        <v>Re</v>
      </c>
      <c r="M170" s="264" t="str">
        <f t="shared" si="647"/>
        <v>Sa</v>
      </c>
      <c r="N170" s="265" t="str">
        <f t="shared" si="647"/>
        <v>Ni</v>
      </c>
      <c r="O170" s="263" t="str">
        <f>IFERROR(__xludf.DUMMYFUNCTION("CONCATENATE(JOIN(""-"",K170:N170))"),"Ga-Re-Sa-Ni")</f>
        <v>Ga-Re-Sa-Ni</v>
      </c>
      <c r="P170" s="264" t="str">
        <f t="shared" ref="P170:S170" si="648">SUBSTITUTE(SUBSTITUTE(SUBSTITUTE(SUBSTITUTE(SUBSTITUTE(SUBSTITUTE(SUBSTITUTE(G170,"1","S"),"2","R"),"3","G"),"4","M"),"5","P"),"6","D"),"7","N")</f>
        <v>G</v>
      </c>
      <c r="Q170" s="264" t="str">
        <f t="shared" si="648"/>
        <v>R</v>
      </c>
      <c r="R170" s="264" t="str">
        <f t="shared" si="648"/>
        <v>S</v>
      </c>
      <c r="S170" s="264" t="str">
        <f t="shared" si="648"/>
        <v>N</v>
      </c>
      <c r="T170" s="263" t="str">
        <f>IFERROR(__xludf.DUMMYFUNCTION("CONCATENATE(JOIN("""",P170:S170))"),"GRSN")</f>
        <v>GRSN</v>
      </c>
      <c r="U170" s="396"/>
      <c r="V170" s="396"/>
      <c r="W170" s="396"/>
    </row>
  </sheetData>
  <autoFilter ref="$B$2:$O$170"/>
  <mergeCells count="4">
    <mergeCell ref="C1:F1"/>
    <mergeCell ref="G1:J1"/>
    <mergeCell ref="K1:N1"/>
    <mergeCell ref="P1:S1"/>
  </mergeCells>
  <hyperlinks>
    <hyperlink r:id="rId1" location="merukhand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2.25"/>
    <col customWidth="1" min="2" max="2" width="4.75"/>
    <col customWidth="1" min="3" max="3" width="12.25"/>
    <col customWidth="1" min="4" max="4" width="5.25"/>
    <col customWidth="1" min="5" max="5" width="9.63"/>
    <col customWidth="1" min="6" max="6" width="3.75"/>
    <col customWidth="1" min="7" max="7" width="1.63"/>
    <col customWidth="1" min="8" max="8" width="2.88"/>
    <col customWidth="1" min="9" max="9" width="1.75"/>
    <col customWidth="1" min="10" max="10" width="2.38"/>
    <col customWidth="1" min="11" max="11" width="3.0"/>
    <col customWidth="1" min="12" max="12" width="1.63"/>
    <col customWidth="1" min="13" max="13" width="3.38"/>
    <col customWidth="1" min="14" max="14" width="2.13"/>
    <col customWidth="1" min="15" max="15" width="2.38"/>
    <col customWidth="1" min="16" max="16" width="3.63"/>
    <col customWidth="1" min="17" max="17" width="1.63"/>
    <col customWidth="1" min="18" max="18" width="3.88"/>
    <col customWidth="1" min="19" max="19" width="2.63"/>
    <col customWidth="1" min="20" max="20" width="2.5"/>
    <col customWidth="1" min="21" max="21" width="4.25"/>
    <col customWidth="1" min="22" max="22" width="1.63"/>
    <col customWidth="1" min="23" max="23" width="3.38"/>
    <col customWidth="1" min="24" max="24" width="2.38"/>
    <col customWidth="1" min="25" max="25" width="1.63"/>
    <col customWidth="1" min="26" max="26" width="3.38"/>
    <col customWidth="1" min="27" max="27" width="2.13"/>
    <col customWidth="1" min="28" max="28" width="2.38"/>
    <col customWidth="1" min="29" max="29" width="3.63"/>
    <col customWidth="1" min="30" max="30" width="1.63"/>
    <col customWidth="1" min="31" max="31" width="3.38"/>
    <col customWidth="1" min="32" max="32" width="2.13"/>
    <col customWidth="1" min="33" max="33" width="2.38"/>
    <col customWidth="1" min="34" max="34" width="3.63"/>
    <col customWidth="1" min="35" max="35" width="1.63"/>
    <col customWidth="1" min="36" max="36" width="2.38"/>
  </cols>
  <sheetData>
    <row r="1">
      <c r="A1" s="2" t="s">
        <v>2</v>
      </c>
      <c r="B1" s="2" t="s">
        <v>4</v>
      </c>
      <c r="C1" s="2" t="s">
        <v>5</v>
      </c>
      <c r="D1" s="4" t="s">
        <v>6</v>
      </c>
      <c r="E1" s="4" t="s">
        <v>8</v>
      </c>
      <c r="F1" s="6" t="s">
        <v>9</v>
      </c>
      <c r="G1" s="8" t="s">
        <v>11</v>
      </c>
      <c r="H1" s="10" t="s">
        <v>14</v>
      </c>
      <c r="I1" s="10" t="s">
        <v>16</v>
      </c>
      <c r="J1" s="10" t="s">
        <v>17</v>
      </c>
      <c r="K1" s="10" t="s">
        <v>18</v>
      </c>
      <c r="L1" s="13" t="s">
        <v>11</v>
      </c>
      <c r="M1" s="15" t="s">
        <v>19</v>
      </c>
      <c r="N1" s="10" t="s">
        <v>20</v>
      </c>
      <c r="O1" s="10" t="s">
        <v>21</v>
      </c>
      <c r="P1" s="18" t="s">
        <v>22</v>
      </c>
      <c r="Q1" s="13" t="s">
        <v>11</v>
      </c>
      <c r="R1" s="10" t="s">
        <v>24</v>
      </c>
      <c r="S1" s="10" t="s">
        <v>25</v>
      </c>
      <c r="T1" s="10" t="s">
        <v>27</v>
      </c>
      <c r="U1" s="10" t="s">
        <v>28</v>
      </c>
      <c r="V1" s="8" t="s">
        <v>11</v>
      </c>
      <c r="W1" s="23" t="s">
        <v>30</v>
      </c>
      <c r="X1" s="6" t="s">
        <v>29</v>
      </c>
      <c r="Y1" s="13" t="s">
        <v>11</v>
      </c>
      <c r="Z1" s="15" t="s">
        <v>35</v>
      </c>
      <c r="AA1" s="10" t="s">
        <v>31</v>
      </c>
      <c r="AB1" s="10" t="s">
        <v>32</v>
      </c>
      <c r="AC1" s="18" t="s">
        <v>37</v>
      </c>
      <c r="AD1" s="13" t="s">
        <v>11</v>
      </c>
      <c r="AE1" s="15" t="s">
        <v>38</v>
      </c>
      <c r="AF1" s="10" t="s">
        <v>34</v>
      </c>
      <c r="AG1" s="10" t="s">
        <v>36</v>
      </c>
      <c r="AH1" s="18" t="s">
        <v>40</v>
      </c>
      <c r="AI1" s="13" t="s">
        <v>11</v>
      </c>
      <c r="AJ1" s="26" t="s">
        <v>9</v>
      </c>
    </row>
    <row r="2">
      <c r="A2" s="33" t="str">
        <f t="shared" ref="A2:A97" si="1">SUBSTITUTE(C2,"-x","")</f>
        <v>S</v>
      </c>
      <c r="B2" s="33">
        <f t="shared" ref="B2:B97" si="2">len(SUBSTITUTE(A2,"-",""))</f>
        <v>1</v>
      </c>
      <c r="C2" s="33" t="str">
        <f t="shared" ref="C2:C97" si="3">IF(D2="Prv.", CONCATENATE(F2,"-",H2:K2,"-",M2:P2,"-",R2:U2),CONCATENATE("-",W2:X2,"-",Z2:AC2,"-",AE2:AH2,"-",AJ2))</f>
        <v>S-x-x-x</v>
      </c>
      <c r="D2" s="49" t="s">
        <v>79</v>
      </c>
      <c r="E2" s="49" t="s">
        <v>84</v>
      </c>
      <c r="F2" s="56" t="str">
        <f t="shared" ref="F2:F97" si="4">IF(D2="Prv.", "S", "")</f>
        <v>S</v>
      </c>
      <c r="G2" s="59" t="s">
        <v>11</v>
      </c>
      <c r="H2" s="63" t="str">
        <f>IFERROR(__xludf.DUMMYFUNCTION("IF(REGEXMATCH(E2, ""R1""), ""x"","""")"),"x")</f>
        <v>x</v>
      </c>
      <c r="I2" s="65" t="str">
        <f>IFERROR(__xludf.DUMMYFUNCTION("IF(REGEXMATCH(E2, ""R2""), ""r"","""")"),"")</f>
        <v/>
      </c>
      <c r="J2" s="63" t="str">
        <f>IFERROR(__xludf.DUMMYFUNCTION("IF(REGEXMATCH(E2, ""R3""), ""R"","""")"),"")</f>
        <v/>
      </c>
      <c r="K2" s="65" t="str">
        <f>IFERROR(__xludf.DUMMYFUNCTION("IF(REGEXMATCH(E2, ""R4""), ""rR"","""")"),"")</f>
        <v/>
      </c>
      <c r="L2" s="70" t="s">
        <v>11</v>
      </c>
      <c r="M2" s="72" t="str">
        <f>IFERROR(__xludf.DUMMYFUNCTION("IF(REGEXMATCH(E2, ""G1""), ""x"","""")"),"x")</f>
        <v>x</v>
      </c>
      <c r="N2" s="65" t="str">
        <f>IFERROR(__xludf.DUMMYFUNCTION("IF(REGEXMATCH(E2, ""G2""), ""g"","""")"),"")</f>
        <v/>
      </c>
      <c r="O2" s="65" t="str">
        <f>IFERROR(__xludf.DUMMYFUNCTION("IF(REGEXMATCH(E2, ""G3""), ""G"","""")"),"")</f>
        <v/>
      </c>
      <c r="P2" s="79" t="str">
        <f>IFERROR(__xludf.DUMMYFUNCTION("IF(REGEXMATCH(E2, ""G4""), ""gG"","""")"),"")</f>
        <v/>
      </c>
      <c r="Q2" s="70" t="s">
        <v>11</v>
      </c>
      <c r="R2" s="72" t="str">
        <f>IFERROR(__xludf.DUMMYFUNCTION("IF(REGEXMATCH(E2, ""M1""), ""x"","""")"),"x")</f>
        <v>x</v>
      </c>
      <c r="S2" s="65" t="str">
        <f>IFERROR(__xludf.DUMMYFUNCTION("IF(REGEXMATCH(E2, ""M2""), ""m"","""")"),"")</f>
        <v/>
      </c>
      <c r="T2" s="65" t="str">
        <f>IFERROR(__xludf.DUMMYFUNCTION("IF(REGEXMATCH(E2, ""M3""), ""M"","""")"),"")</f>
        <v/>
      </c>
      <c r="U2" s="79" t="str">
        <f>IFERROR(__xludf.DUMMYFUNCTION("IF(REGEXMATCH(E2, ""M4""), ""mM"","""")"),"")</f>
        <v/>
      </c>
      <c r="V2" s="59" t="s">
        <v>11</v>
      </c>
      <c r="W2" s="84" t="str">
        <f>IFERROR(__xludf.DUMMYFUNCTION("IF(REGEXMATCH(E2, ""P1""), ""x"","""")"),"")</f>
        <v/>
      </c>
      <c r="X2" s="56" t="str">
        <f>IFERROR(__xludf.DUMMYFUNCTION("IF(REGEXMATCH(E2, ""P2""), ""P"","""")"),"")</f>
        <v/>
      </c>
      <c r="Y2" s="70" t="s">
        <v>11</v>
      </c>
      <c r="Z2" s="72" t="str">
        <f>IFERROR(__xludf.DUMMYFUNCTION("IF(REGEXMATCH(E2, ""D1""), ""x"","""")"),"")</f>
        <v/>
      </c>
      <c r="AA2" s="65" t="str">
        <f>IFERROR(__xludf.DUMMYFUNCTION("IF(REGEXMATCH(E2, ""D2""), ""d"","""")"),"")</f>
        <v/>
      </c>
      <c r="AB2" s="65" t="str">
        <f>IFERROR(__xludf.DUMMYFUNCTION("IF(REGEXMATCH(E2, ""D3""), ""D"","""")"),"")</f>
        <v/>
      </c>
      <c r="AC2" s="79" t="str">
        <f>IFERROR(__xludf.DUMMYFUNCTION("IF(REGEXMATCH(E2, ""D4""), ""dD"","""")"),"")</f>
        <v/>
      </c>
      <c r="AD2" s="70" t="s">
        <v>11</v>
      </c>
      <c r="AE2" s="72" t="str">
        <f>IFERROR(__xludf.DUMMYFUNCTION("IF(REGEXMATCH(E2, ""N1""), ""x"","""")"),"")</f>
        <v/>
      </c>
      <c r="AF2" s="65" t="str">
        <f>IFERROR(__xludf.DUMMYFUNCTION("IF(REGEXMATCH(E2, ""N2""), ""n"","""")"),"")</f>
        <v/>
      </c>
      <c r="AG2" s="65" t="str">
        <f>IFERROR(__xludf.DUMMYFUNCTION("IF(REGEXMATCH(E2, ""N3""), ""N"","""")"),"")</f>
        <v/>
      </c>
      <c r="AH2" s="79" t="str">
        <f>IFERROR(__xludf.DUMMYFUNCTION("IF(REGEXMATCH(E2, ""N4""), ""nN"","""")"),"")</f>
        <v/>
      </c>
      <c r="AI2" s="70" t="s">
        <v>11</v>
      </c>
      <c r="AJ2" s="92" t="str">
        <f t="shared" ref="AJ2:AJ97" si="5">IF(D2="Utt.", "S", "")</f>
        <v/>
      </c>
    </row>
    <row r="3">
      <c r="A3" s="33" t="str">
        <f t="shared" si="1"/>
        <v>S-m</v>
      </c>
      <c r="B3" s="33">
        <f t="shared" si="2"/>
        <v>2</v>
      </c>
      <c r="C3" s="33" t="str">
        <f t="shared" si="3"/>
        <v>S-x-x-m</v>
      </c>
      <c r="D3" s="49" t="s">
        <v>79</v>
      </c>
      <c r="E3" s="49" t="s">
        <v>141</v>
      </c>
      <c r="F3" s="56" t="str">
        <f t="shared" si="4"/>
        <v>S</v>
      </c>
      <c r="G3" s="59" t="s">
        <v>11</v>
      </c>
      <c r="H3" s="63" t="str">
        <f>IFERROR(__xludf.DUMMYFUNCTION("IF(REGEXMATCH(E3, ""R1""), ""x"","""")"),"x")</f>
        <v>x</v>
      </c>
      <c r="I3" s="65" t="str">
        <f>IFERROR(__xludf.DUMMYFUNCTION("IF(REGEXMATCH(E3, ""R2""), ""r"","""")"),"")</f>
        <v/>
      </c>
      <c r="J3" s="63" t="str">
        <f>IFERROR(__xludf.DUMMYFUNCTION("IF(REGEXMATCH(E3, ""R3""), ""R"","""")"),"")</f>
        <v/>
      </c>
      <c r="K3" s="65" t="str">
        <f>IFERROR(__xludf.DUMMYFUNCTION("IF(REGEXMATCH(E3, ""R4""), ""rR"","""")"),"")</f>
        <v/>
      </c>
      <c r="L3" s="70" t="s">
        <v>11</v>
      </c>
      <c r="M3" s="72" t="str">
        <f>IFERROR(__xludf.DUMMYFUNCTION("IF(REGEXMATCH(E3, ""G1""), ""x"","""")"),"x")</f>
        <v>x</v>
      </c>
      <c r="N3" s="65" t="str">
        <f>IFERROR(__xludf.DUMMYFUNCTION("IF(REGEXMATCH(E3, ""G2""), ""g"","""")"),"")</f>
        <v/>
      </c>
      <c r="O3" s="65" t="str">
        <f>IFERROR(__xludf.DUMMYFUNCTION("IF(REGEXMATCH(E3, ""G3""), ""G"","""")"),"")</f>
        <v/>
      </c>
      <c r="P3" s="79" t="str">
        <f>IFERROR(__xludf.DUMMYFUNCTION("IF(REGEXMATCH(E3, ""G4""), ""gG"","""")"),"")</f>
        <v/>
      </c>
      <c r="Q3" s="70" t="s">
        <v>11</v>
      </c>
      <c r="R3" s="72" t="str">
        <f>IFERROR(__xludf.DUMMYFUNCTION("IF(REGEXMATCH(E3, ""M1""), ""x"","""")"),"")</f>
        <v/>
      </c>
      <c r="S3" s="65" t="str">
        <f>IFERROR(__xludf.DUMMYFUNCTION("IF(REGEXMATCH(E3, ""M2""), ""m"","""")"),"m")</f>
        <v>m</v>
      </c>
      <c r="T3" s="65" t="str">
        <f>IFERROR(__xludf.DUMMYFUNCTION("IF(REGEXMATCH(E3, ""M3""), ""M"","""")"),"")</f>
        <v/>
      </c>
      <c r="U3" s="79" t="str">
        <f>IFERROR(__xludf.DUMMYFUNCTION("IF(REGEXMATCH(E3, ""M4""), ""mM"","""")"),"")</f>
        <v/>
      </c>
      <c r="V3" s="59" t="s">
        <v>11</v>
      </c>
      <c r="W3" s="84" t="str">
        <f>IFERROR(__xludf.DUMMYFUNCTION("IF(REGEXMATCH(E3, ""P1""), ""x"","""")"),"")</f>
        <v/>
      </c>
      <c r="X3" s="56" t="str">
        <f>IFERROR(__xludf.DUMMYFUNCTION("IF(REGEXMATCH(E3, ""P2""), ""P"","""")"),"")</f>
        <v/>
      </c>
      <c r="Y3" s="70" t="s">
        <v>11</v>
      </c>
      <c r="Z3" s="72" t="str">
        <f>IFERROR(__xludf.DUMMYFUNCTION("IF(REGEXMATCH(E3, ""D1""), ""x"","""")"),"")</f>
        <v/>
      </c>
      <c r="AA3" s="65" t="str">
        <f>IFERROR(__xludf.DUMMYFUNCTION("IF(REGEXMATCH(E3, ""D2""), ""d"","""")"),"")</f>
        <v/>
      </c>
      <c r="AB3" s="65" t="str">
        <f>IFERROR(__xludf.DUMMYFUNCTION("IF(REGEXMATCH(E3, ""D3""), ""D"","""")"),"")</f>
        <v/>
      </c>
      <c r="AC3" s="79" t="str">
        <f>IFERROR(__xludf.DUMMYFUNCTION("IF(REGEXMATCH(E3, ""D4""), ""dD"","""")"),"")</f>
        <v/>
      </c>
      <c r="AD3" s="70" t="s">
        <v>11</v>
      </c>
      <c r="AE3" s="72" t="str">
        <f>IFERROR(__xludf.DUMMYFUNCTION("IF(REGEXMATCH(E3, ""N1""), ""x"","""")"),"")</f>
        <v/>
      </c>
      <c r="AF3" s="65" t="str">
        <f>IFERROR(__xludf.DUMMYFUNCTION("IF(REGEXMATCH(E3, ""N2""), ""n"","""")"),"")</f>
        <v/>
      </c>
      <c r="AG3" s="65" t="str">
        <f>IFERROR(__xludf.DUMMYFUNCTION("IF(REGEXMATCH(E3, ""N3""), ""N"","""")"),"")</f>
        <v/>
      </c>
      <c r="AH3" s="79" t="str">
        <f>IFERROR(__xludf.DUMMYFUNCTION("IF(REGEXMATCH(E3, ""N4""), ""nN"","""")"),"")</f>
        <v/>
      </c>
      <c r="AI3" s="70" t="s">
        <v>11</v>
      </c>
      <c r="AJ3" s="92" t="str">
        <f t="shared" si="5"/>
        <v/>
      </c>
    </row>
    <row r="4">
      <c r="A4" s="33" t="str">
        <f t="shared" si="1"/>
        <v>S-M</v>
      </c>
      <c r="B4" s="33">
        <f t="shared" si="2"/>
        <v>2</v>
      </c>
      <c r="C4" s="33" t="str">
        <f t="shared" si="3"/>
        <v>S-x-x-M</v>
      </c>
      <c r="D4" s="49" t="s">
        <v>79</v>
      </c>
      <c r="E4" s="49" t="s">
        <v>160</v>
      </c>
      <c r="F4" s="56" t="str">
        <f t="shared" si="4"/>
        <v>S</v>
      </c>
      <c r="G4" s="59" t="s">
        <v>11</v>
      </c>
      <c r="H4" s="63" t="str">
        <f>IFERROR(__xludf.DUMMYFUNCTION("IF(REGEXMATCH(E4, ""R1""), ""x"","""")"),"x")</f>
        <v>x</v>
      </c>
      <c r="I4" s="65" t="str">
        <f>IFERROR(__xludf.DUMMYFUNCTION("IF(REGEXMATCH(E4, ""R2""), ""r"","""")"),"")</f>
        <v/>
      </c>
      <c r="J4" s="63" t="str">
        <f>IFERROR(__xludf.DUMMYFUNCTION("IF(REGEXMATCH(E4, ""R3""), ""R"","""")"),"")</f>
        <v/>
      </c>
      <c r="K4" s="65" t="str">
        <f>IFERROR(__xludf.DUMMYFUNCTION("IF(REGEXMATCH(E4, ""R4""), ""rR"","""")"),"")</f>
        <v/>
      </c>
      <c r="L4" s="70" t="s">
        <v>11</v>
      </c>
      <c r="M4" s="72" t="str">
        <f>IFERROR(__xludf.DUMMYFUNCTION("IF(REGEXMATCH(E4, ""G1""), ""x"","""")"),"x")</f>
        <v>x</v>
      </c>
      <c r="N4" s="65" t="str">
        <f>IFERROR(__xludf.DUMMYFUNCTION("IF(REGEXMATCH(E4, ""G2""), ""g"","""")"),"")</f>
        <v/>
      </c>
      <c r="O4" s="65" t="str">
        <f>IFERROR(__xludf.DUMMYFUNCTION("IF(REGEXMATCH(E4, ""G3""), ""G"","""")"),"")</f>
        <v/>
      </c>
      <c r="P4" s="79" t="str">
        <f>IFERROR(__xludf.DUMMYFUNCTION("IF(REGEXMATCH(E4, ""G4""), ""gG"","""")"),"")</f>
        <v/>
      </c>
      <c r="Q4" s="70" t="s">
        <v>11</v>
      </c>
      <c r="R4" s="72" t="str">
        <f>IFERROR(__xludf.DUMMYFUNCTION("IF(REGEXMATCH(E4, ""M1""), ""x"","""")"),"")</f>
        <v/>
      </c>
      <c r="S4" s="65" t="str">
        <f>IFERROR(__xludf.DUMMYFUNCTION("IF(REGEXMATCH(E4, ""M2""), ""m"","""")"),"")</f>
        <v/>
      </c>
      <c r="T4" s="65" t="str">
        <f>IFERROR(__xludf.DUMMYFUNCTION("IF(REGEXMATCH(E4, ""M3""), ""M"","""")"),"M")</f>
        <v>M</v>
      </c>
      <c r="U4" s="79" t="str">
        <f>IFERROR(__xludf.DUMMYFUNCTION("IF(REGEXMATCH(E4, ""M4""), ""mM"","""")"),"")</f>
        <v/>
      </c>
      <c r="V4" s="59" t="s">
        <v>11</v>
      </c>
      <c r="W4" s="84" t="str">
        <f>IFERROR(__xludf.DUMMYFUNCTION("IF(REGEXMATCH(E4, ""P1""), ""x"","""")"),"")</f>
        <v/>
      </c>
      <c r="X4" s="56" t="str">
        <f>IFERROR(__xludf.DUMMYFUNCTION("IF(REGEXMATCH(E4, ""P2""), ""P"","""")"),"")</f>
        <v/>
      </c>
      <c r="Y4" s="70" t="s">
        <v>11</v>
      </c>
      <c r="Z4" s="72" t="str">
        <f>IFERROR(__xludf.DUMMYFUNCTION("IF(REGEXMATCH(E4, ""D1""), ""x"","""")"),"")</f>
        <v/>
      </c>
      <c r="AA4" s="65" t="str">
        <f>IFERROR(__xludf.DUMMYFUNCTION("IF(REGEXMATCH(E4, ""D2""), ""d"","""")"),"")</f>
        <v/>
      </c>
      <c r="AB4" s="65" t="str">
        <f>IFERROR(__xludf.DUMMYFUNCTION("IF(REGEXMATCH(E4, ""D3""), ""D"","""")"),"")</f>
        <v/>
      </c>
      <c r="AC4" s="79" t="str">
        <f>IFERROR(__xludf.DUMMYFUNCTION("IF(REGEXMATCH(E4, ""D4""), ""dD"","""")"),"")</f>
        <v/>
      </c>
      <c r="AD4" s="70" t="s">
        <v>11</v>
      </c>
      <c r="AE4" s="72" t="str">
        <f>IFERROR(__xludf.DUMMYFUNCTION("IF(REGEXMATCH(E4, ""N1""), ""x"","""")"),"")</f>
        <v/>
      </c>
      <c r="AF4" s="65" t="str">
        <f>IFERROR(__xludf.DUMMYFUNCTION("IF(REGEXMATCH(E4, ""N2""), ""n"","""")"),"")</f>
        <v/>
      </c>
      <c r="AG4" s="65" t="str">
        <f>IFERROR(__xludf.DUMMYFUNCTION("IF(REGEXMATCH(E4, ""N3""), ""N"","""")"),"")</f>
        <v/>
      </c>
      <c r="AH4" s="79" t="str">
        <f>IFERROR(__xludf.DUMMYFUNCTION("IF(REGEXMATCH(E4, ""N4""), ""nN"","""")"),"")</f>
        <v/>
      </c>
      <c r="AI4" s="70" t="s">
        <v>11</v>
      </c>
      <c r="AJ4" s="92" t="str">
        <f t="shared" si="5"/>
        <v/>
      </c>
    </row>
    <row r="5">
      <c r="A5" s="33" t="str">
        <f t="shared" si="1"/>
        <v>S-g</v>
      </c>
      <c r="B5" s="33">
        <f t="shared" si="2"/>
        <v>2</v>
      </c>
      <c r="C5" s="33" t="str">
        <f t="shared" si="3"/>
        <v>S-x-g-x</v>
      </c>
      <c r="D5" s="49" t="s">
        <v>79</v>
      </c>
      <c r="E5" s="49" t="s">
        <v>170</v>
      </c>
      <c r="F5" s="56" t="str">
        <f t="shared" si="4"/>
        <v>S</v>
      </c>
      <c r="G5" s="59" t="s">
        <v>11</v>
      </c>
      <c r="H5" s="63" t="str">
        <f>IFERROR(__xludf.DUMMYFUNCTION("IF(REGEXMATCH(E5, ""R1""), ""x"","""")"),"x")</f>
        <v>x</v>
      </c>
      <c r="I5" s="65" t="str">
        <f>IFERROR(__xludf.DUMMYFUNCTION("IF(REGEXMATCH(E5, ""R2""), ""r"","""")"),"")</f>
        <v/>
      </c>
      <c r="J5" s="63" t="str">
        <f>IFERROR(__xludf.DUMMYFUNCTION("IF(REGEXMATCH(E5, ""R3""), ""R"","""")"),"")</f>
        <v/>
      </c>
      <c r="K5" s="65" t="str">
        <f>IFERROR(__xludf.DUMMYFUNCTION("IF(REGEXMATCH(E5, ""R4""), ""rR"","""")"),"")</f>
        <v/>
      </c>
      <c r="L5" s="70" t="s">
        <v>11</v>
      </c>
      <c r="M5" s="72" t="str">
        <f>IFERROR(__xludf.DUMMYFUNCTION("IF(REGEXMATCH(E5, ""G1""), ""x"","""")"),"")</f>
        <v/>
      </c>
      <c r="N5" s="65" t="str">
        <f>IFERROR(__xludf.DUMMYFUNCTION("IF(REGEXMATCH(E5, ""G2""), ""g"","""")"),"g")</f>
        <v>g</v>
      </c>
      <c r="O5" s="65" t="str">
        <f>IFERROR(__xludf.DUMMYFUNCTION("IF(REGEXMATCH(E5, ""G3""), ""G"","""")"),"")</f>
        <v/>
      </c>
      <c r="P5" s="79" t="str">
        <f>IFERROR(__xludf.DUMMYFUNCTION("IF(REGEXMATCH(E5, ""G4""), ""gG"","""")"),"")</f>
        <v/>
      </c>
      <c r="Q5" s="70" t="s">
        <v>11</v>
      </c>
      <c r="R5" s="72" t="str">
        <f>IFERROR(__xludf.DUMMYFUNCTION("IF(REGEXMATCH(E5, ""M1""), ""x"","""")"),"x")</f>
        <v>x</v>
      </c>
      <c r="S5" s="65" t="str">
        <f>IFERROR(__xludf.DUMMYFUNCTION("IF(REGEXMATCH(E5, ""M2""), ""m"","""")"),"")</f>
        <v/>
      </c>
      <c r="T5" s="65" t="str">
        <f>IFERROR(__xludf.DUMMYFUNCTION("IF(REGEXMATCH(E5, ""M3""), ""M"","""")"),"")</f>
        <v/>
      </c>
      <c r="U5" s="79" t="str">
        <f>IFERROR(__xludf.DUMMYFUNCTION("IF(REGEXMATCH(E5, ""M4""), ""mM"","""")"),"")</f>
        <v/>
      </c>
      <c r="V5" s="59" t="s">
        <v>11</v>
      </c>
      <c r="W5" s="84" t="str">
        <f>IFERROR(__xludf.DUMMYFUNCTION("IF(REGEXMATCH(E5, ""P1""), ""x"","""")"),"")</f>
        <v/>
      </c>
      <c r="X5" s="56" t="str">
        <f>IFERROR(__xludf.DUMMYFUNCTION("IF(REGEXMATCH(E5, ""P2""), ""P"","""")"),"")</f>
        <v/>
      </c>
      <c r="Y5" s="70" t="s">
        <v>11</v>
      </c>
      <c r="Z5" s="72" t="str">
        <f>IFERROR(__xludf.DUMMYFUNCTION("IF(REGEXMATCH(E5, ""D1""), ""x"","""")"),"")</f>
        <v/>
      </c>
      <c r="AA5" s="65" t="str">
        <f>IFERROR(__xludf.DUMMYFUNCTION("IF(REGEXMATCH(E5, ""D2""), ""d"","""")"),"")</f>
        <v/>
      </c>
      <c r="AB5" s="65" t="str">
        <f>IFERROR(__xludf.DUMMYFUNCTION("IF(REGEXMATCH(E5, ""D3""), ""D"","""")"),"")</f>
        <v/>
      </c>
      <c r="AC5" s="79" t="str">
        <f>IFERROR(__xludf.DUMMYFUNCTION("IF(REGEXMATCH(E5, ""D4""), ""dD"","""")"),"")</f>
        <v/>
      </c>
      <c r="AD5" s="70" t="s">
        <v>11</v>
      </c>
      <c r="AE5" s="72" t="str">
        <f>IFERROR(__xludf.DUMMYFUNCTION("IF(REGEXMATCH(E5, ""N1""), ""x"","""")"),"")</f>
        <v/>
      </c>
      <c r="AF5" s="65" t="str">
        <f>IFERROR(__xludf.DUMMYFUNCTION("IF(REGEXMATCH(E5, ""N2""), ""n"","""")"),"")</f>
        <v/>
      </c>
      <c r="AG5" s="65" t="str">
        <f>IFERROR(__xludf.DUMMYFUNCTION("IF(REGEXMATCH(E5, ""N3""), ""N"","""")"),"")</f>
        <v/>
      </c>
      <c r="AH5" s="79" t="str">
        <f>IFERROR(__xludf.DUMMYFUNCTION("IF(REGEXMATCH(E5, ""N4""), ""nN"","""")"),"")</f>
        <v/>
      </c>
      <c r="AI5" s="70" t="s">
        <v>11</v>
      </c>
      <c r="AJ5" s="92" t="str">
        <f t="shared" si="5"/>
        <v/>
      </c>
    </row>
    <row r="6">
      <c r="A6" s="33" t="str">
        <f t="shared" si="1"/>
        <v>S-G</v>
      </c>
      <c r="B6" s="33">
        <f t="shared" si="2"/>
        <v>2</v>
      </c>
      <c r="C6" s="33" t="str">
        <f t="shared" si="3"/>
        <v>S-x-G-x</v>
      </c>
      <c r="D6" s="49" t="s">
        <v>79</v>
      </c>
      <c r="E6" s="49" t="s">
        <v>172</v>
      </c>
      <c r="F6" s="56" t="str">
        <f t="shared" si="4"/>
        <v>S</v>
      </c>
      <c r="G6" s="59" t="s">
        <v>11</v>
      </c>
      <c r="H6" s="63" t="str">
        <f>IFERROR(__xludf.DUMMYFUNCTION("IF(REGEXMATCH(E6, ""R1""), ""x"","""")"),"x")</f>
        <v>x</v>
      </c>
      <c r="I6" s="65" t="str">
        <f>IFERROR(__xludf.DUMMYFUNCTION("IF(REGEXMATCH(E6, ""R2""), ""r"","""")"),"")</f>
        <v/>
      </c>
      <c r="J6" s="63" t="str">
        <f>IFERROR(__xludf.DUMMYFUNCTION("IF(REGEXMATCH(E6, ""R3""), ""R"","""")"),"")</f>
        <v/>
      </c>
      <c r="K6" s="65" t="str">
        <f>IFERROR(__xludf.DUMMYFUNCTION("IF(REGEXMATCH(E6, ""R4""), ""rR"","""")"),"")</f>
        <v/>
      </c>
      <c r="L6" s="70" t="s">
        <v>11</v>
      </c>
      <c r="M6" s="72" t="str">
        <f>IFERROR(__xludf.DUMMYFUNCTION("IF(REGEXMATCH(E6, ""G1""), ""x"","""")"),"")</f>
        <v/>
      </c>
      <c r="N6" s="65" t="str">
        <f>IFERROR(__xludf.DUMMYFUNCTION("IF(REGEXMATCH(E6, ""G2""), ""g"","""")"),"")</f>
        <v/>
      </c>
      <c r="O6" s="65" t="str">
        <f>IFERROR(__xludf.DUMMYFUNCTION("IF(REGEXMATCH(E6, ""G3""), ""G"","""")"),"G")</f>
        <v>G</v>
      </c>
      <c r="P6" s="79" t="str">
        <f>IFERROR(__xludf.DUMMYFUNCTION("IF(REGEXMATCH(E6, ""G4""), ""gG"","""")"),"")</f>
        <v/>
      </c>
      <c r="Q6" s="70" t="s">
        <v>11</v>
      </c>
      <c r="R6" s="72" t="str">
        <f>IFERROR(__xludf.DUMMYFUNCTION("IF(REGEXMATCH(E6, ""M1""), ""x"","""")"),"x")</f>
        <v>x</v>
      </c>
      <c r="S6" s="65" t="str">
        <f>IFERROR(__xludf.DUMMYFUNCTION("IF(REGEXMATCH(E6, ""M2""), ""m"","""")"),"")</f>
        <v/>
      </c>
      <c r="T6" s="65" t="str">
        <f>IFERROR(__xludf.DUMMYFUNCTION("IF(REGEXMATCH(E6, ""M3""), ""M"","""")"),"")</f>
        <v/>
      </c>
      <c r="U6" s="79" t="str">
        <f>IFERROR(__xludf.DUMMYFUNCTION("IF(REGEXMATCH(E6, ""M4""), ""mM"","""")"),"")</f>
        <v/>
      </c>
      <c r="V6" s="59" t="s">
        <v>11</v>
      </c>
      <c r="W6" s="84" t="str">
        <f>IFERROR(__xludf.DUMMYFUNCTION("IF(REGEXMATCH(E6, ""P1""), ""x"","""")"),"")</f>
        <v/>
      </c>
      <c r="X6" s="56" t="str">
        <f>IFERROR(__xludf.DUMMYFUNCTION("IF(REGEXMATCH(E6, ""P2""), ""P"","""")"),"")</f>
        <v/>
      </c>
      <c r="Y6" s="70" t="s">
        <v>11</v>
      </c>
      <c r="Z6" s="72" t="str">
        <f>IFERROR(__xludf.DUMMYFUNCTION("IF(REGEXMATCH(E6, ""D1""), ""x"","""")"),"")</f>
        <v/>
      </c>
      <c r="AA6" s="65" t="str">
        <f>IFERROR(__xludf.DUMMYFUNCTION("IF(REGEXMATCH(E6, ""D2""), ""d"","""")"),"")</f>
        <v/>
      </c>
      <c r="AB6" s="65" t="str">
        <f>IFERROR(__xludf.DUMMYFUNCTION("IF(REGEXMATCH(E6, ""D3""), ""D"","""")"),"")</f>
        <v/>
      </c>
      <c r="AC6" s="79" t="str">
        <f>IFERROR(__xludf.DUMMYFUNCTION("IF(REGEXMATCH(E6, ""D4""), ""dD"","""")"),"")</f>
        <v/>
      </c>
      <c r="AD6" s="70" t="s">
        <v>11</v>
      </c>
      <c r="AE6" s="72" t="str">
        <f>IFERROR(__xludf.DUMMYFUNCTION("IF(REGEXMATCH(E6, ""N1""), ""x"","""")"),"")</f>
        <v/>
      </c>
      <c r="AF6" s="65" t="str">
        <f>IFERROR(__xludf.DUMMYFUNCTION("IF(REGEXMATCH(E6, ""N2""), ""n"","""")"),"")</f>
        <v/>
      </c>
      <c r="AG6" s="65" t="str">
        <f>IFERROR(__xludf.DUMMYFUNCTION("IF(REGEXMATCH(E6, ""N3""), ""N"","""")"),"")</f>
        <v/>
      </c>
      <c r="AH6" s="79" t="str">
        <f>IFERROR(__xludf.DUMMYFUNCTION("IF(REGEXMATCH(E6, ""N4""), ""nN"","""")"),"")</f>
        <v/>
      </c>
      <c r="AI6" s="70" t="s">
        <v>11</v>
      </c>
      <c r="AJ6" s="92" t="str">
        <f t="shared" si="5"/>
        <v/>
      </c>
    </row>
    <row r="7">
      <c r="A7" s="33" t="str">
        <f t="shared" si="1"/>
        <v>S-r</v>
      </c>
      <c r="B7" s="33">
        <f t="shared" si="2"/>
        <v>2</v>
      </c>
      <c r="C7" s="33" t="str">
        <f t="shared" si="3"/>
        <v>S-r-x-x</v>
      </c>
      <c r="D7" s="49" t="s">
        <v>79</v>
      </c>
      <c r="E7" s="49" t="s">
        <v>174</v>
      </c>
      <c r="F7" s="56" t="str">
        <f t="shared" si="4"/>
        <v>S</v>
      </c>
      <c r="G7" s="59" t="s">
        <v>11</v>
      </c>
      <c r="H7" s="63" t="str">
        <f>IFERROR(__xludf.DUMMYFUNCTION("IF(REGEXMATCH(E7, ""R1""), ""x"","""")"),"")</f>
        <v/>
      </c>
      <c r="I7" s="65" t="str">
        <f>IFERROR(__xludf.DUMMYFUNCTION("IF(REGEXMATCH(E7, ""R2""), ""r"","""")"),"r")</f>
        <v>r</v>
      </c>
      <c r="J7" s="63" t="str">
        <f>IFERROR(__xludf.DUMMYFUNCTION("IF(REGEXMATCH(E7, ""R3""), ""R"","""")"),"")</f>
        <v/>
      </c>
      <c r="K7" s="65" t="str">
        <f>IFERROR(__xludf.DUMMYFUNCTION("IF(REGEXMATCH(E7, ""R4""), ""rR"","""")"),"")</f>
        <v/>
      </c>
      <c r="L7" s="70" t="s">
        <v>11</v>
      </c>
      <c r="M7" s="72" t="str">
        <f>IFERROR(__xludf.DUMMYFUNCTION("IF(REGEXMATCH(E7, ""G1""), ""x"","""")"),"x")</f>
        <v>x</v>
      </c>
      <c r="N7" s="65" t="str">
        <f>IFERROR(__xludf.DUMMYFUNCTION("IF(REGEXMATCH(E7, ""G2""), ""g"","""")"),"")</f>
        <v/>
      </c>
      <c r="O7" s="65" t="str">
        <f>IFERROR(__xludf.DUMMYFUNCTION("IF(REGEXMATCH(E7, ""G3""), ""G"","""")"),"")</f>
        <v/>
      </c>
      <c r="P7" s="79" t="str">
        <f>IFERROR(__xludf.DUMMYFUNCTION("IF(REGEXMATCH(E7, ""G4""), ""gG"","""")"),"")</f>
        <v/>
      </c>
      <c r="Q7" s="70" t="s">
        <v>11</v>
      </c>
      <c r="R7" s="72" t="str">
        <f>IFERROR(__xludf.DUMMYFUNCTION("IF(REGEXMATCH(E7, ""M1""), ""x"","""")"),"x")</f>
        <v>x</v>
      </c>
      <c r="S7" s="65" t="str">
        <f>IFERROR(__xludf.DUMMYFUNCTION("IF(REGEXMATCH(E7, ""M2""), ""m"","""")"),"")</f>
        <v/>
      </c>
      <c r="T7" s="65" t="str">
        <f>IFERROR(__xludf.DUMMYFUNCTION("IF(REGEXMATCH(E7, ""M3""), ""M"","""")"),"")</f>
        <v/>
      </c>
      <c r="U7" s="79" t="str">
        <f>IFERROR(__xludf.DUMMYFUNCTION("IF(REGEXMATCH(E7, ""M4""), ""mM"","""")"),"")</f>
        <v/>
      </c>
      <c r="V7" s="59" t="s">
        <v>11</v>
      </c>
      <c r="W7" s="84" t="str">
        <f>IFERROR(__xludf.DUMMYFUNCTION("IF(REGEXMATCH(E7, ""P1""), ""x"","""")"),"")</f>
        <v/>
      </c>
      <c r="X7" s="56" t="str">
        <f>IFERROR(__xludf.DUMMYFUNCTION("IF(REGEXMATCH(E7, ""P2""), ""P"","""")"),"")</f>
        <v/>
      </c>
      <c r="Y7" s="70" t="s">
        <v>11</v>
      </c>
      <c r="Z7" s="72" t="str">
        <f>IFERROR(__xludf.DUMMYFUNCTION("IF(REGEXMATCH(E7, ""D1""), ""x"","""")"),"")</f>
        <v/>
      </c>
      <c r="AA7" s="65" t="str">
        <f>IFERROR(__xludf.DUMMYFUNCTION("IF(REGEXMATCH(E7, ""D2""), ""d"","""")"),"")</f>
        <v/>
      </c>
      <c r="AB7" s="65" t="str">
        <f>IFERROR(__xludf.DUMMYFUNCTION("IF(REGEXMATCH(E7, ""D3""), ""D"","""")"),"")</f>
        <v/>
      </c>
      <c r="AC7" s="79" t="str">
        <f>IFERROR(__xludf.DUMMYFUNCTION("IF(REGEXMATCH(E7, ""D4""), ""dD"","""")"),"")</f>
        <v/>
      </c>
      <c r="AD7" s="70" t="s">
        <v>11</v>
      </c>
      <c r="AE7" s="72" t="str">
        <f>IFERROR(__xludf.DUMMYFUNCTION("IF(REGEXMATCH(E7, ""N1""), ""x"","""")"),"")</f>
        <v/>
      </c>
      <c r="AF7" s="65" t="str">
        <f>IFERROR(__xludf.DUMMYFUNCTION("IF(REGEXMATCH(E7, ""N2""), ""n"","""")"),"")</f>
        <v/>
      </c>
      <c r="AG7" s="65" t="str">
        <f>IFERROR(__xludf.DUMMYFUNCTION("IF(REGEXMATCH(E7, ""N3""), ""N"","""")"),"")</f>
        <v/>
      </c>
      <c r="AH7" s="79" t="str">
        <f>IFERROR(__xludf.DUMMYFUNCTION("IF(REGEXMATCH(E7, ""N4""), ""nN"","""")"),"")</f>
        <v/>
      </c>
      <c r="AI7" s="70" t="s">
        <v>11</v>
      </c>
      <c r="AJ7" s="92" t="str">
        <f t="shared" si="5"/>
        <v/>
      </c>
    </row>
    <row r="8">
      <c r="A8" s="33" t="str">
        <f t="shared" si="1"/>
        <v>S-R</v>
      </c>
      <c r="B8" s="33">
        <f t="shared" si="2"/>
        <v>2</v>
      </c>
      <c r="C8" s="33" t="str">
        <f t="shared" si="3"/>
        <v>S-R-x-x</v>
      </c>
      <c r="D8" s="49" t="s">
        <v>79</v>
      </c>
      <c r="E8" s="49" t="s">
        <v>175</v>
      </c>
      <c r="F8" s="56" t="str">
        <f t="shared" si="4"/>
        <v>S</v>
      </c>
      <c r="G8" s="59" t="s">
        <v>11</v>
      </c>
      <c r="H8" s="63" t="str">
        <f>IFERROR(__xludf.DUMMYFUNCTION("IF(REGEXMATCH(E8, ""R1""), ""x"","""")"),"")</f>
        <v/>
      </c>
      <c r="I8" s="65" t="str">
        <f>IFERROR(__xludf.DUMMYFUNCTION("IF(REGEXMATCH(E8, ""R2""), ""r"","""")"),"")</f>
        <v/>
      </c>
      <c r="J8" s="63" t="str">
        <f>IFERROR(__xludf.DUMMYFUNCTION("IF(REGEXMATCH(E8, ""R3""), ""R"","""")"),"R")</f>
        <v>R</v>
      </c>
      <c r="K8" s="65" t="str">
        <f>IFERROR(__xludf.DUMMYFUNCTION("IF(REGEXMATCH(E8, ""R4""), ""rR"","""")"),"")</f>
        <v/>
      </c>
      <c r="L8" s="70" t="s">
        <v>11</v>
      </c>
      <c r="M8" s="72" t="str">
        <f>IFERROR(__xludf.DUMMYFUNCTION("IF(REGEXMATCH(E8, ""G1""), ""x"","""")"),"x")</f>
        <v>x</v>
      </c>
      <c r="N8" s="65" t="str">
        <f>IFERROR(__xludf.DUMMYFUNCTION("IF(REGEXMATCH(E8, ""G2""), ""g"","""")"),"")</f>
        <v/>
      </c>
      <c r="O8" s="65" t="str">
        <f>IFERROR(__xludf.DUMMYFUNCTION("IF(REGEXMATCH(E8, ""G3""), ""G"","""")"),"")</f>
        <v/>
      </c>
      <c r="P8" s="79" t="str">
        <f>IFERROR(__xludf.DUMMYFUNCTION("IF(REGEXMATCH(E8, ""G4""), ""gG"","""")"),"")</f>
        <v/>
      </c>
      <c r="Q8" s="70" t="s">
        <v>11</v>
      </c>
      <c r="R8" s="72" t="str">
        <f>IFERROR(__xludf.DUMMYFUNCTION("IF(REGEXMATCH(E8, ""M1""), ""x"","""")"),"x")</f>
        <v>x</v>
      </c>
      <c r="S8" s="65" t="str">
        <f>IFERROR(__xludf.DUMMYFUNCTION("IF(REGEXMATCH(E8, ""M2""), ""m"","""")"),"")</f>
        <v/>
      </c>
      <c r="T8" s="65" t="str">
        <f>IFERROR(__xludf.DUMMYFUNCTION("IF(REGEXMATCH(E8, ""M3""), ""M"","""")"),"")</f>
        <v/>
      </c>
      <c r="U8" s="79" t="str">
        <f>IFERROR(__xludf.DUMMYFUNCTION("IF(REGEXMATCH(E8, ""M4""), ""mM"","""")"),"")</f>
        <v/>
      </c>
      <c r="V8" s="59" t="s">
        <v>11</v>
      </c>
      <c r="W8" s="84" t="str">
        <f>IFERROR(__xludf.DUMMYFUNCTION("IF(REGEXMATCH(E8, ""P1""), ""x"","""")"),"")</f>
        <v/>
      </c>
      <c r="X8" s="56" t="str">
        <f>IFERROR(__xludf.DUMMYFUNCTION("IF(REGEXMATCH(E8, ""P2""), ""P"","""")"),"")</f>
        <v/>
      </c>
      <c r="Y8" s="70" t="s">
        <v>11</v>
      </c>
      <c r="Z8" s="72" t="str">
        <f>IFERROR(__xludf.DUMMYFUNCTION("IF(REGEXMATCH(E8, ""D1""), ""x"","""")"),"")</f>
        <v/>
      </c>
      <c r="AA8" s="65" t="str">
        <f>IFERROR(__xludf.DUMMYFUNCTION("IF(REGEXMATCH(E8, ""D2""), ""d"","""")"),"")</f>
        <v/>
      </c>
      <c r="AB8" s="65" t="str">
        <f>IFERROR(__xludf.DUMMYFUNCTION("IF(REGEXMATCH(E8, ""D3""), ""D"","""")"),"")</f>
        <v/>
      </c>
      <c r="AC8" s="79" t="str">
        <f>IFERROR(__xludf.DUMMYFUNCTION("IF(REGEXMATCH(E8, ""D4""), ""dD"","""")"),"")</f>
        <v/>
      </c>
      <c r="AD8" s="70" t="s">
        <v>11</v>
      </c>
      <c r="AE8" s="72" t="str">
        <f>IFERROR(__xludf.DUMMYFUNCTION("IF(REGEXMATCH(E8, ""N1""), ""x"","""")"),"")</f>
        <v/>
      </c>
      <c r="AF8" s="65" t="str">
        <f>IFERROR(__xludf.DUMMYFUNCTION("IF(REGEXMATCH(E8, ""N2""), ""n"","""")"),"")</f>
        <v/>
      </c>
      <c r="AG8" s="65" t="str">
        <f>IFERROR(__xludf.DUMMYFUNCTION("IF(REGEXMATCH(E8, ""N3""), ""N"","""")"),"")</f>
        <v/>
      </c>
      <c r="AH8" s="79" t="str">
        <f>IFERROR(__xludf.DUMMYFUNCTION("IF(REGEXMATCH(E8, ""N4""), ""nN"","""")"),"")</f>
        <v/>
      </c>
      <c r="AI8" s="70" t="s">
        <v>11</v>
      </c>
      <c r="AJ8" s="92" t="str">
        <f t="shared" si="5"/>
        <v/>
      </c>
    </row>
    <row r="9">
      <c r="A9" s="33" t="str">
        <f t="shared" si="1"/>
        <v>S-mM</v>
      </c>
      <c r="B9" s="33">
        <f t="shared" si="2"/>
        <v>3</v>
      </c>
      <c r="C9" s="33" t="str">
        <f t="shared" si="3"/>
        <v>S-x-x-mM</v>
      </c>
      <c r="D9" s="49" t="s">
        <v>79</v>
      </c>
      <c r="E9" s="49" t="s">
        <v>176</v>
      </c>
      <c r="F9" s="56" t="str">
        <f t="shared" si="4"/>
        <v>S</v>
      </c>
      <c r="G9" s="59" t="s">
        <v>11</v>
      </c>
      <c r="H9" s="63" t="str">
        <f>IFERROR(__xludf.DUMMYFUNCTION("IF(REGEXMATCH(E9, ""R1""), ""x"","""")"),"x")</f>
        <v>x</v>
      </c>
      <c r="I9" s="65" t="str">
        <f>IFERROR(__xludf.DUMMYFUNCTION("IF(REGEXMATCH(E9, ""R2""), ""r"","""")"),"")</f>
        <v/>
      </c>
      <c r="J9" s="63" t="str">
        <f>IFERROR(__xludf.DUMMYFUNCTION("IF(REGEXMATCH(E9, ""R3""), ""R"","""")"),"")</f>
        <v/>
      </c>
      <c r="K9" s="65" t="str">
        <f>IFERROR(__xludf.DUMMYFUNCTION("IF(REGEXMATCH(E9, ""R4""), ""rR"","""")"),"")</f>
        <v/>
      </c>
      <c r="L9" s="70" t="s">
        <v>11</v>
      </c>
      <c r="M9" s="72" t="str">
        <f>IFERROR(__xludf.DUMMYFUNCTION("IF(REGEXMATCH(E9, ""G1""), ""x"","""")"),"x")</f>
        <v>x</v>
      </c>
      <c r="N9" s="65" t="str">
        <f>IFERROR(__xludf.DUMMYFUNCTION("IF(REGEXMATCH(E9, ""G2""), ""g"","""")"),"")</f>
        <v/>
      </c>
      <c r="O9" s="65" t="str">
        <f>IFERROR(__xludf.DUMMYFUNCTION("IF(REGEXMATCH(E9, ""G3""), ""G"","""")"),"")</f>
        <v/>
      </c>
      <c r="P9" s="79" t="str">
        <f>IFERROR(__xludf.DUMMYFUNCTION("IF(REGEXMATCH(E9, ""G4""), ""gG"","""")"),"")</f>
        <v/>
      </c>
      <c r="Q9" s="70" t="s">
        <v>11</v>
      </c>
      <c r="R9" s="72" t="str">
        <f>IFERROR(__xludf.DUMMYFUNCTION("IF(REGEXMATCH(E9, ""M1""), ""x"","""")"),"")</f>
        <v/>
      </c>
      <c r="S9" s="65" t="str">
        <f>IFERROR(__xludf.DUMMYFUNCTION("IF(REGEXMATCH(E9, ""M2""), ""m"","""")"),"")</f>
        <v/>
      </c>
      <c r="T9" s="65" t="str">
        <f>IFERROR(__xludf.DUMMYFUNCTION("IF(REGEXMATCH(E9, ""M3""), ""M"","""")"),"")</f>
        <v/>
      </c>
      <c r="U9" s="79" t="str">
        <f>IFERROR(__xludf.DUMMYFUNCTION("IF(REGEXMATCH(E9, ""M4""), ""mM"","""")"),"mM")</f>
        <v>mM</v>
      </c>
      <c r="V9" s="59" t="s">
        <v>11</v>
      </c>
      <c r="W9" s="84" t="str">
        <f>IFERROR(__xludf.DUMMYFUNCTION("IF(REGEXMATCH(E9, ""P1""), ""x"","""")"),"")</f>
        <v/>
      </c>
      <c r="X9" s="56" t="str">
        <f>IFERROR(__xludf.DUMMYFUNCTION("IF(REGEXMATCH(E9, ""P2""), ""P"","""")"),"")</f>
        <v/>
      </c>
      <c r="Y9" s="70" t="s">
        <v>11</v>
      </c>
      <c r="Z9" s="72" t="str">
        <f>IFERROR(__xludf.DUMMYFUNCTION("IF(REGEXMATCH(E9, ""D1""), ""x"","""")"),"")</f>
        <v/>
      </c>
      <c r="AA9" s="65" t="str">
        <f>IFERROR(__xludf.DUMMYFUNCTION("IF(REGEXMATCH(E9, ""D2""), ""d"","""")"),"")</f>
        <v/>
      </c>
      <c r="AB9" s="65" t="str">
        <f>IFERROR(__xludf.DUMMYFUNCTION("IF(REGEXMATCH(E9, ""D3""), ""D"","""")"),"")</f>
        <v/>
      </c>
      <c r="AC9" s="79" t="str">
        <f>IFERROR(__xludf.DUMMYFUNCTION("IF(REGEXMATCH(E9, ""D4""), ""dD"","""")"),"")</f>
        <v/>
      </c>
      <c r="AD9" s="70" t="s">
        <v>11</v>
      </c>
      <c r="AE9" s="72" t="str">
        <f>IFERROR(__xludf.DUMMYFUNCTION("IF(REGEXMATCH(E9, ""N1""), ""x"","""")"),"")</f>
        <v/>
      </c>
      <c r="AF9" s="65" t="str">
        <f>IFERROR(__xludf.DUMMYFUNCTION("IF(REGEXMATCH(E9, ""N2""), ""n"","""")"),"")</f>
        <v/>
      </c>
      <c r="AG9" s="65" t="str">
        <f>IFERROR(__xludf.DUMMYFUNCTION("IF(REGEXMATCH(E9, ""N3""), ""N"","""")"),"")</f>
        <v/>
      </c>
      <c r="AH9" s="79" t="str">
        <f>IFERROR(__xludf.DUMMYFUNCTION("IF(REGEXMATCH(E9, ""N4""), ""nN"","""")"),"")</f>
        <v/>
      </c>
      <c r="AI9" s="70" t="s">
        <v>11</v>
      </c>
      <c r="AJ9" s="92" t="str">
        <f t="shared" si="5"/>
        <v/>
      </c>
    </row>
    <row r="10">
      <c r="A10" s="33" t="str">
        <f t="shared" si="1"/>
        <v>S-g-m</v>
      </c>
      <c r="B10" s="33">
        <f t="shared" si="2"/>
        <v>3</v>
      </c>
      <c r="C10" s="33" t="str">
        <f t="shared" si="3"/>
        <v>S-x-g-m</v>
      </c>
      <c r="D10" s="49" t="s">
        <v>79</v>
      </c>
      <c r="E10" s="49" t="s">
        <v>181</v>
      </c>
      <c r="F10" s="56" t="str">
        <f t="shared" si="4"/>
        <v>S</v>
      </c>
      <c r="G10" s="59" t="s">
        <v>11</v>
      </c>
      <c r="H10" s="63" t="str">
        <f>IFERROR(__xludf.DUMMYFUNCTION("IF(REGEXMATCH(E10, ""R1""), ""x"","""")"),"x")</f>
        <v>x</v>
      </c>
      <c r="I10" s="65" t="str">
        <f>IFERROR(__xludf.DUMMYFUNCTION("IF(REGEXMATCH(E10, ""R2""), ""r"","""")"),"")</f>
        <v/>
      </c>
      <c r="J10" s="63" t="str">
        <f>IFERROR(__xludf.DUMMYFUNCTION("IF(REGEXMATCH(E10, ""R3""), ""R"","""")"),"")</f>
        <v/>
      </c>
      <c r="K10" s="65" t="str">
        <f>IFERROR(__xludf.DUMMYFUNCTION("IF(REGEXMATCH(E10, ""R4""), ""rR"","""")"),"")</f>
        <v/>
      </c>
      <c r="L10" s="70" t="s">
        <v>11</v>
      </c>
      <c r="M10" s="72" t="str">
        <f>IFERROR(__xludf.DUMMYFUNCTION("IF(REGEXMATCH(E10, ""G1""), ""x"","""")"),"")</f>
        <v/>
      </c>
      <c r="N10" s="65" t="str">
        <f>IFERROR(__xludf.DUMMYFUNCTION("IF(REGEXMATCH(E10, ""G2""), ""g"","""")"),"g")</f>
        <v>g</v>
      </c>
      <c r="O10" s="65" t="str">
        <f>IFERROR(__xludf.DUMMYFUNCTION("IF(REGEXMATCH(E10, ""G3""), ""G"","""")"),"")</f>
        <v/>
      </c>
      <c r="P10" s="79" t="str">
        <f>IFERROR(__xludf.DUMMYFUNCTION("IF(REGEXMATCH(E10, ""G4""), ""gG"","""")"),"")</f>
        <v/>
      </c>
      <c r="Q10" s="70" t="s">
        <v>11</v>
      </c>
      <c r="R10" s="72" t="str">
        <f>IFERROR(__xludf.DUMMYFUNCTION("IF(REGEXMATCH(E10, ""M1""), ""x"","""")"),"")</f>
        <v/>
      </c>
      <c r="S10" s="65" t="str">
        <f>IFERROR(__xludf.DUMMYFUNCTION("IF(REGEXMATCH(E10, ""M2""), ""m"","""")"),"m")</f>
        <v>m</v>
      </c>
      <c r="T10" s="65" t="str">
        <f>IFERROR(__xludf.DUMMYFUNCTION("IF(REGEXMATCH(E10, ""M3""), ""M"","""")"),"")</f>
        <v/>
      </c>
      <c r="U10" s="79" t="str">
        <f>IFERROR(__xludf.DUMMYFUNCTION("IF(REGEXMATCH(E10, ""M4""), ""mM"","""")"),"")</f>
        <v/>
      </c>
      <c r="V10" s="59" t="s">
        <v>11</v>
      </c>
      <c r="W10" s="84" t="str">
        <f>IFERROR(__xludf.DUMMYFUNCTION("IF(REGEXMATCH(E10, ""P1""), ""x"","""")"),"")</f>
        <v/>
      </c>
      <c r="X10" s="56" t="str">
        <f>IFERROR(__xludf.DUMMYFUNCTION("IF(REGEXMATCH(E10, ""P2""), ""P"","""")"),"")</f>
        <v/>
      </c>
      <c r="Y10" s="70" t="s">
        <v>11</v>
      </c>
      <c r="Z10" s="72" t="str">
        <f>IFERROR(__xludf.DUMMYFUNCTION("IF(REGEXMATCH(E10, ""D1""), ""x"","""")"),"")</f>
        <v/>
      </c>
      <c r="AA10" s="65" t="str">
        <f>IFERROR(__xludf.DUMMYFUNCTION("IF(REGEXMATCH(E10, ""D2""), ""d"","""")"),"")</f>
        <v/>
      </c>
      <c r="AB10" s="65" t="str">
        <f>IFERROR(__xludf.DUMMYFUNCTION("IF(REGEXMATCH(E10, ""D3""), ""D"","""")"),"")</f>
        <v/>
      </c>
      <c r="AC10" s="79" t="str">
        <f>IFERROR(__xludf.DUMMYFUNCTION("IF(REGEXMATCH(E10, ""D4""), ""dD"","""")"),"")</f>
        <v/>
      </c>
      <c r="AD10" s="70" t="s">
        <v>11</v>
      </c>
      <c r="AE10" s="72" t="str">
        <f>IFERROR(__xludf.DUMMYFUNCTION("IF(REGEXMATCH(E10, ""N1""), ""x"","""")"),"")</f>
        <v/>
      </c>
      <c r="AF10" s="65" t="str">
        <f>IFERROR(__xludf.DUMMYFUNCTION("IF(REGEXMATCH(E10, ""N2""), ""n"","""")"),"")</f>
        <v/>
      </c>
      <c r="AG10" s="65" t="str">
        <f>IFERROR(__xludf.DUMMYFUNCTION("IF(REGEXMATCH(E10, ""N3""), ""N"","""")"),"")</f>
        <v/>
      </c>
      <c r="AH10" s="79" t="str">
        <f>IFERROR(__xludf.DUMMYFUNCTION("IF(REGEXMATCH(E10, ""N4""), ""nN"","""")"),"")</f>
        <v/>
      </c>
      <c r="AI10" s="70" t="s">
        <v>11</v>
      </c>
      <c r="AJ10" s="92" t="str">
        <f t="shared" si="5"/>
        <v/>
      </c>
    </row>
    <row r="11">
      <c r="A11" s="33" t="str">
        <f t="shared" si="1"/>
        <v>S-g-M</v>
      </c>
      <c r="B11" s="33">
        <f t="shared" si="2"/>
        <v>3</v>
      </c>
      <c r="C11" s="33" t="str">
        <f t="shared" si="3"/>
        <v>S-x-g-M</v>
      </c>
      <c r="D11" s="49" t="s">
        <v>79</v>
      </c>
      <c r="E11" s="49" t="s">
        <v>191</v>
      </c>
      <c r="F11" s="56" t="str">
        <f t="shared" si="4"/>
        <v>S</v>
      </c>
      <c r="G11" s="59" t="s">
        <v>11</v>
      </c>
      <c r="H11" s="63" t="str">
        <f>IFERROR(__xludf.DUMMYFUNCTION("IF(REGEXMATCH(E11, ""R1""), ""x"","""")"),"x")</f>
        <v>x</v>
      </c>
      <c r="I11" s="65" t="str">
        <f>IFERROR(__xludf.DUMMYFUNCTION("IF(REGEXMATCH(E11, ""R2""), ""r"","""")"),"")</f>
        <v/>
      </c>
      <c r="J11" s="63" t="str">
        <f>IFERROR(__xludf.DUMMYFUNCTION("IF(REGEXMATCH(E11, ""R3""), ""R"","""")"),"")</f>
        <v/>
      </c>
      <c r="K11" s="65" t="str">
        <f>IFERROR(__xludf.DUMMYFUNCTION("IF(REGEXMATCH(E11, ""R4""), ""rR"","""")"),"")</f>
        <v/>
      </c>
      <c r="L11" s="70" t="s">
        <v>11</v>
      </c>
      <c r="M11" s="72" t="str">
        <f>IFERROR(__xludf.DUMMYFUNCTION("IF(REGEXMATCH(E11, ""G1""), ""x"","""")"),"")</f>
        <v/>
      </c>
      <c r="N11" s="65" t="str">
        <f>IFERROR(__xludf.DUMMYFUNCTION("IF(REGEXMATCH(E11, ""G2""), ""g"","""")"),"g")</f>
        <v>g</v>
      </c>
      <c r="O11" s="65" t="str">
        <f>IFERROR(__xludf.DUMMYFUNCTION("IF(REGEXMATCH(E11, ""G3""), ""G"","""")"),"")</f>
        <v/>
      </c>
      <c r="P11" s="79" t="str">
        <f>IFERROR(__xludf.DUMMYFUNCTION("IF(REGEXMATCH(E11, ""G4""), ""gG"","""")"),"")</f>
        <v/>
      </c>
      <c r="Q11" s="70" t="s">
        <v>11</v>
      </c>
      <c r="R11" s="72" t="str">
        <f>IFERROR(__xludf.DUMMYFUNCTION("IF(REGEXMATCH(E11, ""M1""), ""x"","""")"),"")</f>
        <v/>
      </c>
      <c r="S11" s="65" t="str">
        <f>IFERROR(__xludf.DUMMYFUNCTION("IF(REGEXMATCH(E11, ""M2""), ""m"","""")"),"")</f>
        <v/>
      </c>
      <c r="T11" s="65" t="str">
        <f>IFERROR(__xludf.DUMMYFUNCTION("IF(REGEXMATCH(E11, ""M3""), ""M"","""")"),"M")</f>
        <v>M</v>
      </c>
      <c r="U11" s="79" t="str">
        <f>IFERROR(__xludf.DUMMYFUNCTION("IF(REGEXMATCH(E11, ""M4""), ""mM"","""")"),"")</f>
        <v/>
      </c>
      <c r="V11" s="59" t="s">
        <v>11</v>
      </c>
      <c r="W11" s="84" t="str">
        <f>IFERROR(__xludf.DUMMYFUNCTION("IF(REGEXMATCH(E11, ""P1""), ""x"","""")"),"")</f>
        <v/>
      </c>
      <c r="X11" s="56" t="str">
        <f>IFERROR(__xludf.DUMMYFUNCTION("IF(REGEXMATCH(E11, ""P2""), ""P"","""")"),"")</f>
        <v/>
      </c>
      <c r="Y11" s="70" t="s">
        <v>11</v>
      </c>
      <c r="Z11" s="72" t="str">
        <f>IFERROR(__xludf.DUMMYFUNCTION("IF(REGEXMATCH(E11, ""D1""), ""x"","""")"),"")</f>
        <v/>
      </c>
      <c r="AA11" s="65" t="str">
        <f>IFERROR(__xludf.DUMMYFUNCTION("IF(REGEXMATCH(E11, ""D2""), ""d"","""")"),"")</f>
        <v/>
      </c>
      <c r="AB11" s="65" t="str">
        <f>IFERROR(__xludf.DUMMYFUNCTION("IF(REGEXMATCH(E11, ""D3""), ""D"","""")"),"")</f>
        <v/>
      </c>
      <c r="AC11" s="79" t="str">
        <f>IFERROR(__xludf.DUMMYFUNCTION("IF(REGEXMATCH(E11, ""D4""), ""dD"","""")"),"")</f>
        <v/>
      </c>
      <c r="AD11" s="70" t="s">
        <v>11</v>
      </c>
      <c r="AE11" s="72" t="str">
        <f>IFERROR(__xludf.DUMMYFUNCTION("IF(REGEXMATCH(E11, ""N1""), ""x"","""")"),"")</f>
        <v/>
      </c>
      <c r="AF11" s="65" t="str">
        <f>IFERROR(__xludf.DUMMYFUNCTION("IF(REGEXMATCH(E11, ""N2""), ""n"","""")"),"")</f>
        <v/>
      </c>
      <c r="AG11" s="65" t="str">
        <f>IFERROR(__xludf.DUMMYFUNCTION("IF(REGEXMATCH(E11, ""N3""), ""N"","""")"),"")</f>
        <v/>
      </c>
      <c r="AH11" s="79" t="str">
        <f>IFERROR(__xludf.DUMMYFUNCTION("IF(REGEXMATCH(E11, ""N4""), ""nN"","""")"),"")</f>
        <v/>
      </c>
      <c r="AI11" s="70" t="s">
        <v>11</v>
      </c>
      <c r="AJ11" s="92" t="str">
        <f t="shared" si="5"/>
        <v/>
      </c>
    </row>
    <row r="12">
      <c r="A12" s="33" t="str">
        <f t="shared" si="1"/>
        <v>S-G-m</v>
      </c>
      <c r="B12" s="33">
        <f t="shared" si="2"/>
        <v>3</v>
      </c>
      <c r="C12" s="33" t="str">
        <f t="shared" si="3"/>
        <v>S-x-G-m</v>
      </c>
      <c r="D12" s="49" t="s">
        <v>79</v>
      </c>
      <c r="E12" s="49" t="s">
        <v>193</v>
      </c>
      <c r="F12" s="56" t="str">
        <f t="shared" si="4"/>
        <v>S</v>
      </c>
      <c r="G12" s="59" t="s">
        <v>11</v>
      </c>
      <c r="H12" s="63" t="str">
        <f>IFERROR(__xludf.DUMMYFUNCTION("IF(REGEXMATCH(E12, ""R1""), ""x"","""")"),"x")</f>
        <v>x</v>
      </c>
      <c r="I12" s="65" t="str">
        <f>IFERROR(__xludf.DUMMYFUNCTION("IF(REGEXMATCH(E12, ""R2""), ""r"","""")"),"")</f>
        <v/>
      </c>
      <c r="J12" s="63" t="str">
        <f>IFERROR(__xludf.DUMMYFUNCTION("IF(REGEXMATCH(E12, ""R3""), ""R"","""")"),"")</f>
        <v/>
      </c>
      <c r="K12" s="65" t="str">
        <f>IFERROR(__xludf.DUMMYFUNCTION("IF(REGEXMATCH(E12, ""R4""), ""rR"","""")"),"")</f>
        <v/>
      </c>
      <c r="L12" s="70" t="s">
        <v>11</v>
      </c>
      <c r="M12" s="72" t="str">
        <f>IFERROR(__xludf.DUMMYFUNCTION("IF(REGEXMATCH(E12, ""G1""), ""x"","""")"),"")</f>
        <v/>
      </c>
      <c r="N12" s="65" t="str">
        <f>IFERROR(__xludf.DUMMYFUNCTION("IF(REGEXMATCH(E12, ""G2""), ""g"","""")"),"")</f>
        <v/>
      </c>
      <c r="O12" s="65" t="str">
        <f>IFERROR(__xludf.DUMMYFUNCTION("IF(REGEXMATCH(E12, ""G3""), ""G"","""")"),"G")</f>
        <v>G</v>
      </c>
      <c r="P12" s="79" t="str">
        <f>IFERROR(__xludf.DUMMYFUNCTION("IF(REGEXMATCH(E12, ""G4""), ""gG"","""")"),"")</f>
        <v/>
      </c>
      <c r="Q12" s="70" t="s">
        <v>11</v>
      </c>
      <c r="R12" s="72" t="str">
        <f>IFERROR(__xludf.DUMMYFUNCTION("IF(REGEXMATCH(E12, ""M1""), ""x"","""")"),"")</f>
        <v/>
      </c>
      <c r="S12" s="65" t="str">
        <f>IFERROR(__xludf.DUMMYFUNCTION("IF(REGEXMATCH(E12, ""M2""), ""m"","""")"),"m")</f>
        <v>m</v>
      </c>
      <c r="T12" s="65" t="str">
        <f>IFERROR(__xludf.DUMMYFUNCTION("IF(REGEXMATCH(E12, ""M3""), ""M"","""")"),"")</f>
        <v/>
      </c>
      <c r="U12" s="79" t="str">
        <f>IFERROR(__xludf.DUMMYFUNCTION("IF(REGEXMATCH(E12, ""M4""), ""mM"","""")"),"")</f>
        <v/>
      </c>
      <c r="V12" s="59" t="s">
        <v>11</v>
      </c>
      <c r="W12" s="84" t="str">
        <f>IFERROR(__xludf.DUMMYFUNCTION("IF(REGEXMATCH(E12, ""P1""), ""x"","""")"),"")</f>
        <v/>
      </c>
      <c r="X12" s="56" t="str">
        <f>IFERROR(__xludf.DUMMYFUNCTION("IF(REGEXMATCH(E12, ""P2""), ""P"","""")"),"")</f>
        <v/>
      </c>
      <c r="Y12" s="70" t="s">
        <v>11</v>
      </c>
      <c r="Z12" s="72" t="str">
        <f>IFERROR(__xludf.DUMMYFUNCTION("IF(REGEXMATCH(E12, ""D1""), ""x"","""")"),"")</f>
        <v/>
      </c>
      <c r="AA12" s="65" t="str">
        <f>IFERROR(__xludf.DUMMYFUNCTION("IF(REGEXMATCH(E12, ""D2""), ""d"","""")"),"")</f>
        <v/>
      </c>
      <c r="AB12" s="65" t="str">
        <f>IFERROR(__xludf.DUMMYFUNCTION("IF(REGEXMATCH(E12, ""D3""), ""D"","""")"),"")</f>
        <v/>
      </c>
      <c r="AC12" s="79" t="str">
        <f>IFERROR(__xludf.DUMMYFUNCTION("IF(REGEXMATCH(E12, ""D4""), ""dD"","""")"),"")</f>
        <v/>
      </c>
      <c r="AD12" s="70" t="s">
        <v>11</v>
      </c>
      <c r="AE12" s="72" t="str">
        <f>IFERROR(__xludf.DUMMYFUNCTION("IF(REGEXMATCH(E12, ""N1""), ""x"","""")"),"")</f>
        <v/>
      </c>
      <c r="AF12" s="65" t="str">
        <f>IFERROR(__xludf.DUMMYFUNCTION("IF(REGEXMATCH(E12, ""N2""), ""n"","""")"),"")</f>
        <v/>
      </c>
      <c r="AG12" s="65" t="str">
        <f>IFERROR(__xludf.DUMMYFUNCTION("IF(REGEXMATCH(E12, ""N3""), ""N"","""")"),"")</f>
        <v/>
      </c>
      <c r="AH12" s="79" t="str">
        <f>IFERROR(__xludf.DUMMYFUNCTION("IF(REGEXMATCH(E12, ""N4""), ""nN"","""")"),"")</f>
        <v/>
      </c>
      <c r="AI12" s="70" t="s">
        <v>11</v>
      </c>
      <c r="AJ12" s="92" t="str">
        <f t="shared" si="5"/>
        <v/>
      </c>
    </row>
    <row r="13">
      <c r="A13" s="33" t="str">
        <f t="shared" si="1"/>
        <v>S-G-M</v>
      </c>
      <c r="B13" s="33">
        <f t="shared" si="2"/>
        <v>3</v>
      </c>
      <c r="C13" s="33" t="str">
        <f t="shared" si="3"/>
        <v>S-x-G-M</v>
      </c>
      <c r="D13" s="49" t="s">
        <v>79</v>
      </c>
      <c r="E13" s="49" t="s">
        <v>194</v>
      </c>
      <c r="F13" s="56" t="str">
        <f t="shared" si="4"/>
        <v>S</v>
      </c>
      <c r="G13" s="59" t="s">
        <v>11</v>
      </c>
      <c r="H13" s="63" t="str">
        <f>IFERROR(__xludf.DUMMYFUNCTION("IF(REGEXMATCH(E13, ""R1""), ""x"","""")"),"x")</f>
        <v>x</v>
      </c>
      <c r="I13" s="65" t="str">
        <f>IFERROR(__xludf.DUMMYFUNCTION("IF(REGEXMATCH(E13, ""R2""), ""r"","""")"),"")</f>
        <v/>
      </c>
      <c r="J13" s="63" t="str">
        <f>IFERROR(__xludf.DUMMYFUNCTION("IF(REGEXMATCH(E13, ""R3""), ""R"","""")"),"")</f>
        <v/>
      </c>
      <c r="K13" s="65" t="str">
        <f>IFERROR(__xludf.DUMMYFUNCTION("IF(REGEXMATCH(E13, ""R4""), ""rR"","""")"),"")</f>
        <v/>
      </c>
      <c r="L13" s="70" t="s">
        <v>11</v>
      </c>
      <c r="M13" s="72" t="str">
        <f>IFERROR(__xludf.DUMMYFUNCTION("IF(REGEXMATCH(E13, ""G1""), ""x"","""")"),"")</f>
        <v/>
      </c>
      <c r="N13" s="65" t="str">
        <f>IFERROR(__xludf.DUMMYFUNCTION("IF(REGEXMATCH(E13, ""G2""), ""g"","""")"),"")</f>
        <v/>
      </c>
      <c r="O13" s="65" t="str">
        <f>IFERROR(__xludf.DUMMYFUNCTION("IF(REGEXMATCH(E13, ""G3""), ""G"","""")"),"G")</f>
        <v>G</v>
      </c>
      <c r="P13" s="79" t="str">
        <f>IFERROR(__xludf.DUMMYFUNCTION("IF(REGEXMATCH(E13, ""G4""), ""gG"","""")"),"")</f>
        <v/>
      </c>
      <c r="Q13" s="70" t="s">
        <v>11</v>
      </c>
      <c r="R13" s="72" t="str">
        <f>IFERROR(__xludf.DUMMYFUNCTION("IF(REGEXMATCH(E13, ""M1""), ""x"","""")"),"")</f>
        <v/>
      </c>
      <c r="S13" s="65" t="str">
        <f>IFERROR(__xludf.DUMMYFUNCTION("IF(REGEXMATCH(E13, ""M2""), ""m"","""")"),"")</f>
        <v/>
      </c>
      <c r="T13" s="65" t="str">
        <f>IFERROR(__xludf.DUMMYFUNCTION("IF(REGEXMATCH(E13, ""M3""), ""M"","""")"),"M")</f>
        <v>M</v>
      </c>
      <c r="U13" s="79" t="str">
        <f>IFERROR(__xludf.DUMMYFUNCTION("IF(REGEXMATCH(E13, ""M4""), ""mM"","""")"),"")</f>
        <v/>
      </c>
      <c r="V13" s="59" t="s">
        <v>11</v>
      </c>
      <c r="W13" s="84" t="str">
        <f>IFERROR(__xludf.DUMMYFUNCTION("IF(REGEXMATCH(E13, ""P1""), ""x"","""")"),"")</f>
        <v/>
      </c>
      <c r="X13" s="56" t="str">
        <f>IFERROR(__xludf.DUMMYFUNCTION("IF(REGEXMATCH(E13, ""P2""), ""P"","""")"),"")</f>
        <v/>
      </c>
      <c r="Y13" s="70" t="s">
        <v>11</v>
      </c>
      <c r="Z13" s="72" t="str">
        <f>IFERROR(__xludf.DUMMYFUNCTION("IF(REGEXMATCH(E13, ""D1""), ""x"","""")"),"")</f>
        <v/>
      </c>
      <c r="AA13" s="65" t="str">
        <f>IFERROR(__xludf.DUMMYFUNCTION("IF(REGEXMATCH(E13, ""D2""), ""d"","""")"),"")</f>
        <v/>
      </c>
      <c r="AB13" s="65" t="str">
        <f>IFERROR(__xludf.DUMMYFUNCTION("IF(REGEXMATCH(E13, ""D3""), ""D"","""")"),"")</f>
        <v/>
      </c>
      <c r="AC13" s="79" t="str">
        <f>IFERROR(__xludf.DUMMYFUNCTION("IF(REGEXMATCH(E13, ""D4""), ""dD"","""")"),"")</f>
        <v/>
      </c>
      <c r="AD13" s="70" t="s">
        <v>11</v>
      </c>
      <c r="AE13" s="72" t="str">
        <f>IFERROR(__xludf.DUMMYFUNCTION("IF(REGEXMATCH(E13, ""N1""), ""x"","""")"),"")</f>
        <v/>
      </c>
      <c r="AF13" s="65" t="str">
        <f>IFERROR(__xludf.DUMMYFUNCTION("IF(REGEXMATCH(E13, ""N2""), ""n"","""")"),"")</f>
        <v/>
      </c>
      <c r="AG13" s="65" t="str">
        <f>IFERROR(__xludf.DUMMYFUNCTION("IF(REGEXMATCH(E13, ""N3""), ""N"","""")"),"")</f>
        <v/>
      </c>
      <c r="AH13" s="79" t="str">
        <f>IFERROR(__xludf.DUMMYFUNCTION("IF(REGEXMATCH(E13, ""N4""), ""nN"","""")"),"")</f>
        <v/>
      </c>
      <c r="AI13" s="70" t="s">
        <v>11</v>
      </c>
      <c r="AJ13" s="92" t="str">
        <f t="shared" si="5"/>
        <v/>
      </c>
    </row>
    <row r="14">
      <c r="A14" s="33" t="str">
        <f t="shared" si="1"/>
        <v>S-gG</v>
      </c>
      <c r="B14" s="33">
        <f t="shared" si="2"/>
        <v>3</v>
      </c>
      <c r="C14" s="33" t="str">
        <f t="shared" si="3"/>
        <v>S-x-gG-x</v>
      </c>
      <c r="D14" s="49" t="s">
        <v>79</v>
      </c>
      <c r="E14" s="49" t="s">
        <v>195</v>
      </c>
      <c r="F14" s="56" t="str">
        <f t="shared" si="4"/>
        <v>S</v>
      </c>
      <c r="G14" s="59" t="s">
        <v>11</v>
      </c>
      <c r="H14" s="63" t="str">
        <f>IFERROR(__xludf.DUMMYFUNCTION("IF(REGEXMATCH(E14, ""R1""), ""x"","""")"),"x")</f>
        <v>x</v>
      </c>
      <c r="I14" s="65" t="str">
        <f>IFERROR(__xludf.DUMMYFUNCTION("IF(REGEXMATCH(E14, ""R2""), ""r"","""")"),"")</f>
        <v/>
      </c>
      <c r="J14" s="63" t="str">
        <f>IFERROR(__xludf.DUMMYFUNCTION("IF(REGEXMATCH(E14, ""R3""), ""R"","""")"),"")</f>
        <v/>
      </c>
      <c r="K14" s="65" t="str">
        <f>IFERROR(__xludf.DUMMYFUNCTION("IF(REGEXMATCH(E14, ""R4""), ""rR"","""")"),"")</f>
        <v/>
      </c>
      <c r="L14" s="70" t="s">
        <v>11</v>
      </c>
      <c r="M14" s="72" t="str">
        <f>IFERROR(__xludf.DUMMYFUNCTION("IF(REGEXMATCH(E14, ""G1""), ""x"","""")"),"")</f>
        <v/>
      </c>
      <c r="N14" s="65" t="str">
        <f>IFERROR(__xludf.DUMMYFUNCTION("IF(REGEXMATCH(E14, ""G2""), ""g"","""")"),"")</f>
        <v/>
      </c>
      <c r="O14" s="65" t="str">
        <f>IFERROR(__xludf.DUMMYFUNCTION("IF(REGEXMATCH(E14, ""G3""), ""G"","""")"),"")</f>
        <v/>
      </c>
      <c r="P14" s="79" t="str">
        <f>IFERROR(__xludf.DUMMYFUNCTION("IF(REGEXMATCH(E14, ""G4""), ""gG"","""")"),"gG")</f>
        <v>gG</v>
      </c>
      <c r="Q14" s="70" t="s">
        <v>11</v>
      </c>
      <c r="R14" s="72" t="str">
        <f>IFERROR(__xludf.DUMMYFUNCTION("IF(REGEXMATCH(E14, ""M1""), ""x"","""")"),"x")</f>
        <v>x</v>
      </c>
      <c r="S14" s="65" t="str">
        <f>IFERROR(__xludf.DUMMYFUNCTION("IF(REGEXMATCH(E14, ""M2""), ""m"","""")"),"")</f>
        <v/>
      </c>
      <c r="T14" s="65" t="str">
        <f>IFERROR(__xludf.DUMMYFUNCTION("IF(REGEXMATCH(E14, ""M3""), ""M"","""")"),"")</f>
        <v/>
      </c>
      <c r="U14" s="79" t="str">
        <f>IFERROR(__xludf.DUMMYFUNCTION("IF(REGEXMATCH(E14, ""M4""), ""mM"","""")"),"")</f>
        <v/>
      </c>
      <c r="V14" s="59" t="s">
        <v>11</v>
      </c>
      <c r="W14" s="84" t="str">
        <f>IFERROR(__xludf.DUMMYFUNCTION("IF(REGEXMATCH(E14, ""P1""), ""x"","""")"),"")</f>
        <v/>
      </c>
      <c r="X14" s="56" t="str">
        <f>IFERROR(__xludf.DUMMYFUNCTION("IF(REGEXMATCH(E14, ""P2""), ""P"","""")"),"")</f>
        <v/>
      </c>
      <c r="Y14" s="70" t="s">
        <v>11</v>
      </c>
      <c r="Z14" s="72" t="str">
        <f>IFERROR(__xludf.DUMMYFUNCTION("IF(REGEXMATCH(E14, ""D1""), ""x"","""")"),"")</f>
        <v/>
      </c>
      <c r="AA14" s="65" t="str">
        <f>IFERROR(__xludf.DUMMYFUNCTION("IF(REGEXMATCH(E14, ""D2""), ""d"","""")"),"")</f>
        <v/>
      </c>
      <c r="AB14" s="65" t="str">
        <f>IFERROR(__xludf.DUMMYFUNCTION("IF(REGEXMATCH(E14, ""D3""), ""D"","""")"),"")</f>
        <v/>
      </c>
      <c r="AC14" s="79" t="str">
        <f>IFERROR(__xludf.DUMMYFUNCTION("IF(REGEXMATCH(E14, ""D4""), ""dD"","""")"),"")</f>
        <v/>
      </c>
      <c r="AD14" s="70" t="s">
        <v>11</v>
      </c>
      <c r="AE14" s="72" t="str">
        <f>IFERROR(__xludf.DUMMYFUNCTION("IF(REGEXMATCH(E14, ""N1""), ""x"","""")"),"")</f>
        <v/>
      </c>
      <c r="AF14" s="65" t="str">
        <f>IFERROR(__xludf.DUMMYFUNCTION("IF(REGEXMATCH(E14, ""N2""), ""n"","""")"),"")</f>
        <v/>
      </c>
      <c r="AG14" s="65" t="str">
        <f>IFERROR(__xludf.DUMMYFUNCTION("IF(REGEXMATCH(E14, ""N3""), ""N"","""")"),"")</f>
        <v/>
      </c>
      <c r="AH14" s="79" t="str">
        <f>IFERROR(__xludf.DUMMYFUNCTION("IF(REGEXMATCH(E14, ""N4""), ""nN"","""")"),"")</f>
        <v/>
      </c>
      <c r="AI14" s="70" t="s">
        <v>11</v>
      </c>
      <c r="AJ14" s="92" t="str">
        <f t="shared" si="5"/>
        <v/>
      </c>
    </row>
    <row r="15">
      <c r="A15" s="33" t="str">
        <f t="shared" si="1"/>
        <v>S-r-m</v>
      </c>
      <c r="B15" s="33">
        <f t="shared" si="2"/>
        <v>3</v>
      </c>
      <c r="C15" s="33" t="str">
        <f t="shared" si="3"/>
        <v>S-r-x-m</v>
      </c>
      <c r="D15" s="49" t="s">
        <v>79</v>
      </c>
      <c r="E15" s="49" t="s">
        <v>196</v>
      </c>
      <c r="F15" s="56" t="str">
        <f t="shared" si="4"/>
        <v>S</v>
      </c>
      <c r="G15" s="59" t="s">
        <v>11</v>
      </c>
      <c r="H15" s="63" t="str">
        <f>IFERROR(__xludf.DUMMYFUNCTION("IF(REGEXMATCH(E15, ""R1""), ""x"","""")"),"")</f>
        <v/>
      </c>
      <c r="I15" s="65" t="str">
        <f>IFERROR(__xludf.DUMMYFUNCTION("IF(REGEXMATCH(E15, ""R2""), ""r"","""")"),"r")</f>
        <v>r</v>
      </c>
      <c r="J15" s="63" t="str">
        <f>IFERROR(__xludf.DUMMYFUNCTION("IF(REGEXMATCH(E15, ""R3""), ""R"","""")"),"")</f>
        <v/>
      </c>
      <c r="K15" s="65" t="str">
        <f>IFERROR(__xludf.DUMMYFUNCTION("IF(REGEXMATCH(E15, ""R4""), ""rR"","""")"),"")</f>
        <v/>
      </c>
      <c r="L15" s="70" t="s">
        <v>11</v>
      </c>
      <c r="M15" s="72" t="str">
        <f>IFERROR(__xludf.DUMMYFUNCTION("IF(REGEXMATCH(E15, ""G1""), ""x"","""")"),"x")</f>
        <v>x</v>
      </c>
      <c r="N15" s="65" t="str">
        <f>IFERROR(__xludf.DUMMYFUNCTION("IF(REGEXMATCH(E15, ""G2""), ""g"","""")"),"")</f>
        <v/>
      </c>
      <c r="O15" s="65" t="str">
        <f>IFERROR(__xludf.DUMMYFUNCTION("IF(REGEXMATCH(E15, ""G3""), ""G"","""")"),"")</f>
        <v/>
      </c>
      <c r="P15" s="79" t="str">
        <f>IFERROR(__xludf.DUMMYFUNCTION("IF(REGEXMATCH(E15, ""G4""), ""gG"","""")"),"")</f>
        <v/>
      </c>
      <c r="Q15" s="70" t="s">
        <v>11</v>
      </c>
      <c r="R15" s="72" t="str">
        <f>IFERROR(__xludf.DUMMYFUNCTION("IF(REGEXMATCH(E15, ""M1""), ""x"","""")"),"")</f>
        <v/>
      </c>
      <c r="S15" s="65" t="str">
        <f>IFERROR(__xludf.DUMMYFUNCTION("IF(REGEXMATCH(E15, ""M2""), ""m"","""")"),"m")</f>
        <v>m</v>
      </c>
      <c r="T15" s="65" t="str">
        <f>IFERROR(__xludf.DUMMYFUNCTION("IF(REGEXMATCH(E15, ""M3""), ""M"","""")"),"")</f>
        <v/>
      </c>
      <c r="U15" s="79" t="str">
        <f>IFERROR(__xludf.DUMMYFUNCTION("IF(REGEXMATCH(E15, ""M4""), ""mM"","""")"),"")</f>
        <v/>
      </c>
      <c r="V15" s="59" t="s">
        <v>11</v>
      </c>
      <c r="W15" s="84" t="str">
        <f>IFERROR(__xludf.DUMMYFUNCTION("IF(REGEXMATCH(E15, ""P1""), ""x"","""")"),"")</f>
        <v/>
      </c>
      <c r="X15" s="56" t="str">
        <f>IFERROR(__xludf.DUMMYFUNCTION("IF(REGEXMATCH(E15, ""P2""), ""P"","""")"),"")</f>
        <v/>
      </c>
      <c r="Y15" s="70" t="s">
        <v>11</v>
      </c>
      <c r="Z15" s="72" t="str">
        <f>IFERROR(__xludf.DUMMYFUNCTION("IF(REGEXMATCH(E15, ""D1""), ""x"","""")"),"")</f>
        <v/>
      </c>
      <c r="AA15" s="65" t="str">
        <f>IFERROR(__xludf.DUMMYFUNCTION("IF(REGEXMATCH(E15, ""D2""), ""d"","""")"),"")</f>
        <v/>
      </c>
      <c r="AB15" s="65" t="str">
        <f>IFERROR(__xludf.DUMMYFUNCTION("IF(REGEXMATCH(E15, ""D3""), ""D"","""")"),"")</f>
        <v/>
      </c>
      <c r="AC15" s="79" t="str">
        <f>IFERROR(__xludf.DUMMYFUNCTION("IF(REGEXMATCH(E15, ""D4""), ""dD"","""")"),"")</f>
        <v/>
      </c>
      <c r="AD15" s="70" t="s">
        <v>11</v>
      </c>
      <c r="AE15" s="72" t="str">
        <f>IFERROR(__xludf.DUMMYFUNCTION("IF(REGEXMATCH(E15, ""N1""), ""x"","""")"),"")</f>
        <v/>
      </c>
      <c r="AF15" s="65" t="str">
        <f>IFERROR(__xludf.DUMMYFUNCTION("IF(REGEXMATCH(E15, ""N2""), ""n"","""")"),"")</f>
        <v/>
      </c>
      <c r="AG15" s="65" t="str">
        <f>IFERROR(__xludf.DUMMYFUNCTION("IF(REGEXMATCH(E15, ""N3""), ""N"","""")"),"")</f>
        <v/>
      </c>
      <c r="AH15" s="79" t="str">
        <f>IFERROR(__xludf.DUMMYFUNCTION("IF(REGEXMATCH(E15, ""N4""), ""nN"","""")"),"")</f>
        <v/>
      </c>
      <c r="AI15" s="70" t="s">
        <v>11</v>
      </c>
      <c r="AJ15" s="92" t="str">
        <f t="shared" si="5"/>
        <v/>
      </c>
    </row>
    <row r="16">
      <c r="A16" s="33" t="str">
        <f t="shared" si="1"/>
        <v>S-r-M</v>
      </c>
      <c r="B16" s="33">
        <f t="shared" si="2"/>
        <v>3</v>
      </c>
      <c r="C16" s="33" t="str">
        <f t="shared" si="3"/>
        <v>S-r-x-M</v>
      </c>
      <c r="D16" s="49" t="s">
        <v>79</v>
      </c>
      <c r="E16" s="49" t="s">
        <v>197</v>
      </c>
      <c r="F16" s="56" t="str">
        <f t="shared" si="4"/>
        <v>S</v>
      </c>
      <c r="G16" s="59" t="s">
        <v>11</v>
      </c>
      <c r="H16" s="63" t="str">
        <f>IFERROR(__xludf.DUMMYFUNCTION("IF(REGEXMATCH(E16, ""R1""), ""x"","""")"),"")</f>
        <v/>
      </c>
      <c r="I16" s="65" t="str">
        <f>IFERROR(__xludf.DUMMYFUNCTION("IF(REGEXMATCH(E16, ""R2""), ""r"","""")"),"r")</f>
        <v>r</v>
      </c>
      <c r="J16" s="63" t="str">
        <f>IFERROR(__xludf.DUMMYFUNCTION("IF(REGEXMATCH(E16, ""R3""), ""R"","""")"),"")</f>
        <v/>
      </c>
      <c r="K16" s="65" t="str">
        <f>IFERROR(__xludf.DUMMYFUNCTION("IF(REGEXMATCH(E16, ""R4""), ""rR"","""")"),"")</f>
        <v/>
      </c>
      <c r="L16" s="70" t="s">
        <v>11</v>
      </c>
      <c r="M16" s="72" t="str">
        <f>IFERROR(__xludf.DUMMYFUNCTION("IF(REGEXMATCH(E16, ""G1""), ""x"","""")"),"x")</f>
        <v>x</v>
      </c>
      <c r="N16" s="65" t="str">
        <f>IFERROR(__xludf.DUMMYFUNCTION("IF(REGEXMATCH(E16, ""G2""), ""g"","""")"),"")</f>
        <v/>
      </c>
      <c r="O16" s="65" t="str">
        <f>IFERROR(__xludf.DUMMYFUNCTION("IF(REGEXMATCH(E16, ""G3""), ""G"","""")"),"")</f>
        <v/>
      </c>
      <c r="P16" s="79" t="str">
        <f>IFERROR(__xludf.DUMMYFUNCTION("IF(REGEXMATCH(E16, ""G4""), ""gG"","""")"),"")</f>
        <v/>
      </c>
      <c r="Q16" s="70" t="s">
        <v>11</v>
      </c>
      <c r="R16" s="72" t="str">
        <f>IFERROR(__xludf.DUMMYFUNCTION("IF(REGEXMATCH(E16, ""M1""), ""x"","""")"),"")</f>
        <v/>
      </c>
      <c r="S16" s="65" t="str">
        <f>IFERROR(__xludf.DUMMYFUNCTION("IF(REGEXMATCH(E16, ""M2""), ""m"","""")"),"")</f>
        <v/>
      </c>
      <c r="T16" s="65" t="str">
        <f>IFERROR(__xludf.DUMMYFUNCTION("IF(REGEXMATCH(E16, ""M3""), ""M"","""")"),"M")</f>
        <v>M</v>
      </c>
      <c r="U16" s="79" t="str">
        <f>IFERROR(__xludf.DUMMYFUNCTION("IF(REGEXMATCH(E16, ""M4""), ""mM"","""")"),"")</f>
        <v/>
      </c>
      <c r="V16" s="59" t="s">
        <v>11</v>
      </c>
      <c r="W16" s="84" t="str">
        <f>IFERROR(__xludf.DUMMYFUNCTION("IF(REGEXMATCH(E16, ""P1""), ""x"","""")"),"")</f>
        <v/>
      </c>
      <c r="X16" s="56" t="str">
        <f>IFERROR(__xludf.DUMMYFUNCTION("IF(REGEXMATCH(E16, ""P2""), ""P"","""")"),"")</f>
        <v/>
      </c>
      <c r="Y16" s="70" t="s">
        <v>11</v>
      </c>
      <c r="Z16" s="72" t="str">
        <f>IFERROR(__xludf.DUMMYFUNCTION("IF(REGEXMATCH(E16, ""D1""), ""x"","""")"),"")</f>
        <v/>
      </c>
      <c r="AA16" s="65" t="str">
        <f>IFERROR(__xludf.DUMMYFUNCTION("IF(REGEXMATCH(E16, ""D2""), ""d"","""")"),"")</f>
        <v/>
      </c>
      <c r="AB16" s="65" t="str">
        <f>IFERROR(__xludf.DUMMYFUNCTION("IF(REGEXMATCH(E16, ""D3""), ""D"","""")"),"")</f>
        <v/>
      </c>
      <c r="AC16" s="79" t="str">
        <f>IFERROR(__xludf.DUMMYFUNCTION("IF(REGEXMATCH(E16, ""D4""), ""dD"","""")"),"")</f>
        <v/>
      </c>
      <c r="AD16" s="70" t="s">
        <v>11</v>
      </c>
      <c r="AE16" s="72" t="str">
        <f>IFERROR(__xludf.DUMMYFUNCTION("IF(REGEXMATCH(E16, ""N1""), ""x"","""")"),"")</f>
        <v/>
      </c>
      <c r="AF16" s="65" t="str">
        <f>IFERROR(__xludf.DUMMYFUNCTION("IF(REGEXMATCH(E16, ""N2""), ""n"","""")"),"")</f>
        <v/>
      </c>
      <c r="AG16" s="65" t="str">
        <f>IFERROR(__xludf.DUMMYFUNCTION("IF(REGEXMATCH(E16, ""N3""), ""N"","""")"),"")</f>
        <v/>
      </c>
      <c r="AH16" s="79" t="str">
        <f>IFERROR(__xludf.DUMMYFUNCTION("IF(REGEXMATCH(E16, ""N4""), ""nN"","""")"),"")</f>
        <v/>
      </c>
      <c r="AI16" s="70" t="s">
        <v>11</v>
      </c>
      <c r="AJ16" s="92" t="str">
        <f t="shared" si="5"/>
        <v/>
      </c>
    </row>
    <row r="17">
      <c r="A17" s="33" t="str">
        <f t="shared" si="1"/>
        <v>S-r-g</v>
      </c>
      <c r="B17" s="33">
        <f t="shared" si="2"/>
        <v>3</v>
      </c>
      <c r="C17" s="33" t="str">
        <f t="shared" si="3"/>
        <v>S-r-g-x</v>
      </c>
      <c r="D17" s="49" t="s">
        <v>79</v>
      </c>
      <c r="E17" s="49" t="s">
        <v>198</v>
      </c>
      <c r="F17" s="56" t="str">
        <f t="shared" si="4"/>
        <v>S</v>
      </c>
      <c r="G17" s="59" t="s">
        <v>11</v>
      </c>
      <c r="H17" s="63" t="str">
        <f>IFERROR(__xludf.DUMMYFUNCTION("IF(REGEXMATCH(E17, ""R1""), ""x"","""")"),"")</f>
        <v/>
      </c>
      <c r="I17" s="65" t="str">
        <f>IFERROR(__xludf.DUMMYFUNCTION("IF(REGEXMATCH(E17, ""R2""), ""r"","""")"),"r")</f>
        <v>r</v>
      </c>
      <c r="J17" s="63" t="str">
        <f>IFERROR(__xludf.DUMMYFUNCTION("IF(REGEXMATCH(E17, ""R3""), ""R"","""")"),"")</f>
        <v/>
      </c>
      <c r="K17" s="65" t="str">
        <f>IFERROR(__xludf.DUMMYFUNCTION("IF(REGEXMATCH(E17, ""R4""), ""rR"","""")"),"")</f>
        <v/>
      </c>
      <c r="L17" s="70" t="s">
        <v>11</v>
      </c>
      <c r="M17" s="72" t="str">
        <f>IFERROR(__xludf.DUMMYFUNCTION("IF(REGEXMATCH(E17, ""G1""), ""x"","""")"),"")</f>
        <v/>
      </c>
      <c r="N17" s="65" t="str">
        <f>IFERROR(__xludf.DUMMYFUNCTION("IF(REGEXMATCH(E17, ""G2""), ""g"","""")"),"g")</f>
        <v>g</v>
      </c>
      <c r="O17" s="65" t="str">
        <f>IFERROR(__xludf.DUMMYFUNCTION("IF(REGEXMATCH(E17, ""G3""), ""G"","""")"),"")</f>
        <v/>
      </c>
      <c r="P17" s="79" t="str">
        <f>IFERROR(__xludf.DUMMYFUNCTION("IF(REGEXMATCH(E17, ""G4""), ""gG"","""")"),"")</f>
        <v/>
      </c>
      <c r="Q17" s="70" t="s">
        <v>11</v>
      </c>
      <c r="R17" s="72" t="str">
        <f>IFERROR(__xludf.DUMMYFUNCTION("IF(REGEXMATCH(E17, ""M1""), ""x"","""")"),"x")</f>
        <v>x</v>
      </c>
      <c r="S17" s="65" t="str">
        <f>IFERROR(__xludf.DUMMYFUNCTION("IF(REGEXMATCH(E17, ""M2""), ""m"","""")"),"")</f>
        <v/>
      </c>
      <c r="T17" s="65" t="str">
        <f>IFERROR(__xludf.DUMMYFUNCTION("IF(REGEXMATCH(E17, ""M3""), ""M"","""")"),"")</f>
        <v/>
      </c>
      <c r="U17" s="79" t="str">
        <f>IFERROR(__xludf.DUMMYFUNCTION("IF(REGEXMATCH(E17, ""M4""), ""mM"","""")"),"")</f>
        <v/>
      </c>
      <c r="V17" s="59" t="s">
        <v>11</v>
      </c>
      <c r="W17" s="84" t="str">
        <f>IFERROR(__xludf.DUMMYFUNCTION("IF(REGEXMATCH(E17, ""P1""), ""x"","""")"),"")</f>
        <v/>
      </c>
      <c r="X17" s="56" t="str">
        <f>IFERROR(__xludf.DUMMYFUNCTION("IF(REGEXMATCH(E17, ""P2""), ""P"","""")"),"")</f>
        <v/>
      </c>
      <c r="Y17" s="70" t="s">
        <v>11</v>
      </c>
      <c r="Z17" s="72" t="str">
        <f>IFERROR(__xludf.DUMMYFUNCTION("IF(REGEXMATCH(E17, ""D1""), ""x"","""")"),"")</f>
        <v/>
      </c>
      <c r="AA17" s="65" t="str">
        <f>IFERROR(__xludf.DUMMYFUNCTION("IF(REGEXMATCH(E17, ""D2""), ""d"","""")"),"")</f>
        <v/>
      </c>
      <c r="AB17" s="65" t="str">
        <f>IFERROR(__xludf.DUMMYFUNCTION("IF(REGEXMATCH(E17, ""D3""), ""D"","""")"),"")</f>
        <v/>
      </c>
      <c r="AC17" s="79" t="str">
        <f>IFERROR(__xludf.DUMMYFUNCTION("IF(REGEXMATCH(E17, ""D4""), ""dD"","""")"),"")</f>
        <v/>
      </c>
      <c r="AD17" s="70" t="s">
        <v>11</v>
      </c>
      <c r="AE17" s="72" t="str">
        <f>IFERROR(__xludf.DUMMYFUNCTION("IF(REGEXMATCH(E17, ""N1""), ""x"","""")"),"")</f>
        <v/>
      </c>
      <c r="AF17" s="65" t="str">
        <f>IFERROR(__xludf.DUMMYFUNCTION("IF(REGEXMATCH(E17, ""N2""), ""n"","""")"),"")</f>
        <v/>
      </c>
      <c r="AG17" s="65" t="str">
        <f>IFERROR(__xludf.DUMMYFUNCTION("IF(REGEXMATCH(E17, ""N3""), ""N"","""")"),"")</f>
        <v/>
      </c>
      <c r="AH17" s="79" t="str">
        <f>IFERROR(__xludf.DUMMYFUNCTION("IF(REGEXMATCH(E17, ""N4""), ""nN"","""")"),"")</f>
        <v/>
      </c>
      <c r="AI17" s="70" t="s">
        <v>11</v>
      </c>
      <c r="AJ17" s="92" t="str">
        <f t="shared" si="5"/>
        <v/>
      </c>
    </row>
    <row r="18">
      <c r="A18" s="33" t="str">
        <f t="shared" si="1"/>
        <v>S-r-G</v>
      </c>
      <c r="B18" s="33">
        <f t="shared" si="2"/>
        <v>3</v>
      </c>
      <c r="C18" s="33" t="str">
        <f t="shared" si="3"/>
        <v>S-r-G-x</v>
      </c>
      <c r="D18" s="49" t="s">
        <v>79</v>
      </c>
      <c r="E18" s="49" t="s">
        <v>199</v>
      </c>
      <c r="F18" s="56" t="str">
        <f t="shared" si="4"/>
        <v>S</v>
      </c>
      <c r="G18" s="59" t="s">
        <v>11</v>
      </c>
      <c r="H18" s="63" t="str">
        <f>IFERROR(__xludf.DUMMYFUNCTION("IF(REGEXMATCH(E18, ""R1""), ""x"","""")"),"")</f>
        <v/>
      </c>
      <c r="I18" s="65" t="str">
        <f>IFERROR(__xludf.DUMMYFUNCTION("IF(REGEXMATCH(E18, ""R2""), ""r"","""")"),"r")</f>
        <v>r</v>
      </c>
      <c r="J18" s="63" t="str">
        <f>IFERROR(__xludf.DUMMYFUNCTION("IF(REGEXMATCH(E18, ""R3""), ""R"","""")"),"")</f>
        <v/>
      </c>
      <c r="K18" s="65" t="str">
        <f>IFERROR(__xludf.DUMMYFUNCTION("IF(REGEXMATCH(E18, ""R4""), ""rR"","""")"),"")</f>
        <v/>
      </c>
      <c r="L18" s="70" t="s">
        <v>11</v>
      </c>
      <c r="M18" s="72" t="str">
        <f>IFERROR(__xludf.DUMMYFUNCTION("IF(REGEXMATCH(E18, ""G1""), ""x"","""")"),"")</f>
        <v/>
      </c>
      <c r="N18" s="65" t="str">
        <f>IFERROR(__xludf.DUMMYFUNCTION("IF(REGEXMATCH(E18, ""G2""), ""g"","""")"),"")</f>
        <v/>
      </c>
      <c r="O18" s="65" t="str">
        <f>IFERROR(__xludf.DUMMYFUNCTION("IF(REGEXMATCH(E18, ""G3""), ""G"","""")"),"G")</f>
        <v>G</v>
      </c>
      <c r="P18" s="79" t="str">
        <f>IFERROR(__xludf.DUMMYFUNCTION("IF(REGEXMATCH(E18, ""G4""), ""gG"","""")"),"")</f>
        <v/>
      </c>
      <c r="Q18" s="70" t="s">
        <v>11</v>
      </c>
      <c r="R18" s="72" t="str">
        <f>IFERROR(__xludf.DUMMYFUNCTION("IF(REGEXMATCH(E18, ""M1""), ""x"","""")"),"x")</f>
        <v>x</v>
      </c>
      <c r="S18" s="65" t="str">
        <f>IFERROR(__xludf.DUMMYFUNCTION("IF(REGEXMATCH(E18, ""M2""), ""m"","""")"),"")</f>
        <v/>
      </c>
      <c r="T18" s="65" t="str">
        <f>IFERROR(__xludf.DUMMYFUNCTION("IF(REGEXMATCH(E18, ""M3""), ""M"","""")"),"")</f>
        <v/>
      </c>
      <c r="U18" s="79" t="str">
        <f>IFERROR(__xludf.DUMMYFUNCTION("IF(REGEXMATCH(E18, ""M4""), ""mM"","""")"),"")</f>
        <v/>
      </c>
      <c r="V18" s="59" t="s">
        <v>11</v>
      </c>
      <c r="W18" s="84" t="str">
        <f>IFERROR(__xludf.DUMMYFUNCTION("IF(REGEXMATCH(E18, ""P1""), ""x"","""")"),"")</f>
        <v/>
      </c>
      <c r="X18" s="56" t="str">
        <f>IFERROR(__xludf.DUMMYFUNCTION("IF(REGEXMATCH(E18, ""P2""), ""P"","""")"),"")</f>
        <v/>
      </c>
      <c r="Y18" s="70" t="s">
        <v>11</v>
      </c>
      <c r="Z18" s="72" t="str">
        <f>IFERROR(__xludf.DUMMYFUNCTION("IF(REGEXMATCH(E18, ""D1""), ""x"","""")"),"")</f>
        <v/>
      </c>
      <c r="AA18" s="65" t="str">
        <f>IFERROR(__xludf.DUMMYFUNCTION("IF(REGEXMATCH(E18, ""D2""), ""d"","""")"),"")</f>
        <v/>
      </c>
      <c r="AB18" s="65" t="str">
        <f>IFERROR(__xludf.DUMMYFUNCTION("IF(REGEXMATCH(E18, ""D3""), ""D"","""")"),"")</f>
        <v/>
      </c>
      <c r="AC18" s="79" t="str">
        <f>IFERROR(__xludf.DUMMYFUNCTION("IF(REGEXMATCH(E18, ""D4""), ""dD"","""")"),"")</f>
        <v/>
      </c>
      <c r="AD18" s="70" t="s">
        <v>11</v>
      </c>
      <c r="AE18" s="72" t="str">
        <f>IFERROR(__xludf.DUMMYFUNCTION("IF(REGEXMATCH(E18, ""N1""), ""x"","""")"),"")</f>
        <v/>
      </c>
      <c r="AF18" s="65" t="str">
        <f>IFERROR(__xludf.DUMMYFUNCTION("IF(REGEXMATCH(E18, ""N2""), ""n"","""")"),"")</f>
        <v/>
      </c>
      <c r="AG18" s="65" t="str">
        <f>IFERROR(__xludf.DUMMYFUNCTION("IF(REGEXMATCH(E18, ""N3""), ""N"","""")"),"")</f>
        <v/>
      </c>
      <c r="AH18" s="79" t="str">
        <f>IFERROR(__xludf.DUMMYFUNCTION("IF(REGEXMATCH(E18, ""N4""), ""nN"","""")"),"")</f>
        <v/>
      </c>
      <c r="AI18" s="70" t="s">
        <v>11</v>
      </c>
      <c r="AJ18" s="92" t="str">
        <f t="shared" si="5"/>
        <v/>
      </c>
    </row>
    <row r="19">
      <c r="A19" s="33" t="str">
        <f t="shared" si="1"/>
        <v>S-R-m</v>
      </c>
      <c r="B19" s="33">
        <f t="shared" si="2"/>
        <v>3</v>
      </c>
      <c r="C19" s="33" t="str">
        <f t="shared" si="3"/>
        <v>S-R-x-m</v>
      </c>
      <c r="D19" s="49" t="s">
        <v>79</v>
      </c>
      <c r="E19" s="49" t="s">
        <v>201</v>
      </c>
      <c r="F19" s="56" t="str">
        <f t="shared" si="4"/>
        <v>S</v>
      </c>
      <c r="G19" s="59" t="s">
        <v>11</v>
      </c>
      <c r="H19" s="63" t="str">
        <f>IFERROR(__xludf.DUMMYFUNCTION("IF(REGEXMATCH(E19, ""R1""), ""x"","""")"),"")</f>
        <v/>
      </c>
      <c r="I19" s="65" t="str">
        <f>IFERROR(__xludf.DUMMYFUNCTION("IF(REGEXMATCH(E19, ""R2""), ""r"","""")"),"")</f>
        <v/>
      </c>
      <c r="J19" s="63" t="str">
        <f>IFERROR(__xludf.DUMMYFUNCTION("IF(REGEXMATCH(E19, ""R3""), ""R"","""")"),"R")</f>
        <v>R</v>
      </c>
      <c r="K19" s="65" t="str">
        <f>IFERROR(__xludf.DUMMYFUNCTION("IF(REGEXMATCH(E19, ""R4""), ""rR"","""")"),"")</f>
        <v/>
      </c>
      <c r="L19" s="70" t="s">
        <v>11</v>
      </c>
      <c r="M19" s="72" t="str">
        <f>IFERROR(__xludf.DUMMYFUNCTION("IF(REGEXMATCH(E19, ""G1""), ""x"","""")"),"x")</f>
        <v>x</v>
      </c>
      <c r="N19" s="65" t="str">
        <f>IFERROR(__xludf.DUMMYFUNCTION("IF(REGEXMATCH(E19, ""G2""), ""g"","""")"),"")</f>
        <v/>
      </c>
      <c r="O19" s="65" t="str">
        <f>IFERROR(__xludf.DUMMYFUNCTION("IF(REGEXMATCH(E19, ""G3""), ""G"","""")"),"")</f>
        <v/>
      </c>
      <c r="P19" s="79" t="str">
        <f>IFERROR(__xludf.DUMMYFUNCTION("IF(REGEXMATCH(E19, ""G4""), ""gG"","""")"),"")</f>
        <v/>
      </c>
      <c r="Q19" s="70" t="s">
        <v>11</v>
      </c>
      <c r="R19" s="72" t="str">
        <f>IFERROR(__xludf.DUMMYFUNCTION("IF(REGEXMATCH(E19, ""M1""), ""x"","""")"),"")</f>
        <v/>
      </c>
      <c r="S19" s="65" t="str">
        <f>IFERROR(__xludf.DUMMYFUNCTION("IF(REGEXMATCH(E19, ""M2""), ""m"","""")"),"m")</f>
        <v>m</v>
      </c>
      <c r="T19" s="65" t="str">
        <f>IFERROR(__xludf.DUMMYFUNCTION("IF(REGEXMATCH(E19, ""M3""), ""M"","""")"),"")</f>
        <v/>
      </c>
      <c r="U19" s="79" t="str">
        <f>IFERROR(__xludf.DUMMYFUNCTION("IF(REGEXMATCH(E19, ""M4""), ""mM"","""")"),"")</f>
        <v/>
      </c>
      <c r="V19" s="59" t="s">
        <v>11</v>
      </c>
      <c r="W19" s="84" t="str">
        <f>IFERROR(__xludf.DUMMYFUNCTION("IF(REGEXMATCH(E19, ""P1""), ""x"","""")"),"")</f>
        <v/>
      </c>
      <c r="X19" s="56" t="str">
        <f>IFERROR(__xludf.DUMMYFUNCTION("IF(REGEXMATCH(E19, ""P2""), ""P"","""")"),"")</f>
        <v/>
      </c>
      <c r="Y19" s="70" t="s">
        <v>11</v>
      </c>
      <c r="Z19" s="72" t="str">
        <f>IFERROR(__xludf.DUMMYFUNCTION("IF(REGEXMATCH(E19, ""D1""), ""x"","""")"),"")</f>
        <v/>
      </c>
      <c r="AA19" s="65" t="str">
        <f>IFERROR(__xludf.DUMMYFUNCTION("IF(REGEXMATCH(E19, ""D2""), ""d"","""")"),"")</f>
        <v/>
      </c>
      <c r="AB19" s="65" t="str">
        <f>IFERROR(__xludf.DUMMYFUNCTION("IF(REGEXMATCH(E19, ""D3""), ""D"","""")"),"")</f>
        <v/>
      </c>
      <c r="AC19" s="79" t="str">
        <f>IFERROR(__xludf.DUMMYFUNCTION("IF(REGEXMATCH(E19, ""D4""), ""dD"","""")"),"")</f>
        <v/>
      </c>
      <c r="AD19" s="70" t="s">
        <v>11</v>
      </c>
      <c r="AE19" s="72" t="str">
        <f>IFERROR(__xludf.DUMMYFUNCTION("IF(REGEXMATCH(E19, ""N1""), ""x"","""")"),"")</f>
        <v/>
      </c>
      <c r="AF19" s="65" t="str">
        <f>IFERROR(__xludf.DUMMYFUNCTION("IF(REGEXMATCH(E19, ""N2""), ""n"","""")"),"")</f>
        <v/>
      </c>
      <c r="AG19" s="65" t="str">
        <f>IFERROR(__xludf.DUMMYFUNCTION("IF(REGEXMATCH(E19, ""N3""), ""N"","""")"),"")</f>
        <v/>
      </c>
      <c r="AH19" s="79" t="str">
        <f>IFERROR(__xludf.DUMMYFUNCTION("IF(REGEXMATCH(E19, ""N4""), ""nN"","""")"),"")</f>
        <v/>
      </c>
      <c r="AI19" s="70" t="s">
        <v>11</v>
      </c>
      <c r="AJ19" s="92" t="str">
        <f t="shared" si="5"/>
        <v/>
      </c>
    </row>
    <row r="20">
      <c r="A20" s="33" t="str">
        <f t="shared" si="1"/>
        <v>S-R-M</v>
      </c>
      <c r="B20" s="33">
        <f t="shared" si="2"/>
        <v>3</v>
      </c>
      <c r="C20" s="33" t="str">
        <f t="shared" si="3"/>
        <v>S-R-x-M</v>
      </c>
      <c r="D20" s="49" t="s">
        <v>79</v>
      </c>
      <c r="E20" s="49" t="s">
        <v>203</v>
      </c>
      <c r="F20" s="56" t="str">
        <f t="shared" si="4"/>
        <v>S</v>
      </c>
      <c r="G20" s="59" t="s">
        <v>11</v>
      </c>
      <c r="H20" s="63" t="str">
        <f>IFERROR(__xludf.DUMMYFUNCTION("IF(REGEXMATCH(E20, ""R1""), ""x"","""")"),"")</f>
        <v/>
      </c>
      <c r="I20" s="65" t="str">
        <f>IFERROR(__xludf.DUMMYFUNCTION("IF(REGEXMATCH(E20, ""R2""), ""r"","""")"),"")</f>
        <v/>
      </c>
      <c r="J20" s="63" t="str">
        <f>IFERROR(__xludf.DUMMYFUNCTION("IF(REGEXMATCH(E20, ""R3""), ""R"","""")"),"R")</f>
        <v>R</v>
      </c>
      <c r="K20" s="65" t="str">
        <f>IFERROR(__xludf.DUMMYFUNCTION("IF(REGEXMATCH(E20, ""R4""), ""rR"","""")"),"")</f>
        <v/>
      </c>
      <c r="L20" s="70" t="s">
        <v>11</v>
      </c>
      <c r="M20" s="72" t="str">
        <f>IFERROR(__xludf.DUMMYFUNCTION("IF(REGEXMATCH(E20, ""G1""), ""x"","""")"),"x")</f>
        <v>x</v>
      </c>
      <c r="N20" s="65" t="str">
        <f>IFERROR(__xludf.DUMMYFUNCTION("IF(REGEXMATCH(E20, ""G2""), ""g"","""")"),"")</f>
        <v/>
      </c>
      <c r="O20" s="65" t="str">
        <f>IFERROR(__xludf.DUMMYFUNCTION("IF(REGEXMATCH(E20, ""G3""), ""G"","""")"),"")</f>
        <v/>
      </c>
      <c r="P20" s="79" t="str">
        <f>IFERROR(__xludf.DUMMYFUNCTION("IF(REGEXMATCH(E20, ""G4""), ""gG"","""")"),"")</f>
        <v/>
      </c>
      <c r="Q20" s="70" t="s">
        <v>11</v>
      </c>
      <c r="R20" s="72" t="str">
        <f>IFERROR(__xludf.DUMMYFUNCTION("IF(REGEXMATCH(E20, ""M1""), ""x"","""")"),"")</f>
        <v/>
      </c>
      <c r="S20" s="65" t="str">
        <f>IFERROR(__xludf.DUMMYFUNCTION("IF(REGEXMATCH(E20, ""M2""), ""m"","""")"),"")</f>
        <v/>
      </c>
      <c r="T20" s="65" t="str">
        <f>IFERROR(__xludf.DUMMYFUNCTION("IF(REGEXMATCH(E20, ""M3""), ""M"","""")"),"M")</f>
        <v>M</v>
      </c>
      <c r="U20" s="79" t="str">
        <f>IFERROR(__xludf.DUMMYFUNCTION("IF(REGEXMATCH(E20, ""M4""), ""mM"","""")"),"")</f>
        <v/>
      </c>
      <c r="V20" s="59" t="s">
        <v>11</v>
      </c>
      <c r="W20" s="84" t="str">
        <f>IFERROR(__xludf.DUMMYFUNCTION("IF(REGEXMATCH(E20, ""P1""), ""x"","""")"),"")</f>
        <v/>
      </c>
      <c r="X20" s="56" t="str">
        <f>IFERROR(__xludf.DUMMYFUNCTION("IF(REGEXMATCH(E20, ""P2""), ""P"","""")"),"")</f>
        <v/>
      </c>
      <c r="Y20" s="70" t="s">
        <v>11</v>
      </c>
      <c r="Z20" s="72" t="str">
        <f>IFERROR(__xludf.DUMMYFUNCTION("IF(REGEXMATCH(E20, ""D1""), ""x"","""")"),"")</f>
        <v/>
      </c>
      <c r="AA20" s="65" t="str">
        <f>IFERROR(__xludf.DUMMYFUNCTION("IF(REGEXMATCH(E20, ""D2""), ""d"","""")"),"")</f>
        <v/>
      </c>
      <c r="AB20" s="65" t="str">
        <f>IFERROR(__xludf.DUMMYFUNCTION("IF(REGEXMATCH(E20, ""D3""), ""D"","""")"),"")</f>
        <v/>
      </c>
      <c r="AC20" s="79" t="str">
        <f>IFERROR(__xludf.DUMMYFUNCTION("IF(REGEXMATCH(E20, ""D4""), ""dD"","""")"),"")</f>
        <v/>
      </c>
      <c r="AD20" s="70" t="s">
        <v>11</v>
      </c>
      <c r="AE20" s="72" t="str">
        <f>IFERROR(__xludf.DUMMYFUNCTION("IF(REGEXMATCH(E20, ""N1""), ""x"","""")"),"")</f>
        <v/>
      </c>
      <c r="AF20" s="65" t="str">
        <f>IFERROR(__xludf.DUMMYFUNCTION("IF(REGEXMATCH(E20, ""N2""), ""n"","""")"),"")</f>
        <v/>
      </c>
      <c r="AG20" s="65" t="str">
        <f>IFERROR(__xludf.DUMMYFUNCTION("IF(REGEXMATCH(E20, ""N3""), ""N"","""")"),"")</f>
        <v/>
      </c>
      <c r="AH20" s="79" t="str">
        <f>IFERROR(__xludf.DUMMYFUNCTION("IF(REGEXMATCH(E20, ""N4""), ""nN"","""")"),"")</f>
        <v/>
      </c>
      <c r="AI20" s="70" t="s">
        <v>11</v>
      </c>
      <c r="AJ20" s="92" t="str">
        <f t="shared" si="5"/>
        <v/>
      </c>
    </row>
    <row r="21">
      <c r="A21" s="33" t="str">
        <f t="shared" si="1"/>
        <v>S-R-g</v>
      </c>
      <c r="B21" s="33">
        <f t="shared" si="2"/>
        <v>3</v>
      </c>
      <c r="C21" s="33" t="str">
        <f t="shared" si="3"/>
        <v>S-R-g-x</v>
      </c>
      <c r="D21" s="49" t="s">
        <v>79</v>
      </c>
      <c r="E21" s="49" t="s">
        <v>205</v>
      </c>
      <c r="F21" s="56" t="str">
        <f t="shared" si="4"/>
        <v>S</v>
      </c>
      <c r="G21" s="59" t="s">
        <v>11</v>
      </c>
      <c r="H21" s="63" t="str">
        <f>IFERROR(__xludf.DUMMYFUNCTION("IF(REGEXMATCH(E21, ""R1""), ""x"","""")"),"")</f>
        <v/>
      </c>
      <c r="I21" s="65" t="str">
        <f>IFERROR(__xludf.DUMMYFUNCTION("IF(REGEXMATCH(E21, ""R2""), ""r"","""")"),"")</f>
        <v/>
      </c>
      <c r="J21" s="63" t="str">
        <f>IFERROR(__xludf.DUMMYFUNCTION("IF(REGEXMATCH(E21, ""R3""), ""R"","""")"),"R")</f>
        <v>R</v>
      </c>
      <c r="K21" s="65" t="str">
        <f>IFERROR(__xludf.DUMMYFUNCTION("IF(REGEXMATCH(E21, ""R4""), ""rR"","""")"),"")</f>
        <v/>
      </c>
      <c r="L21" s="70" t="s">
        <v>11</v>
      </c>
      <c r="M21" s="72" t="str">
        <f>IFERROR(__xludf.DUMMYFUNCTION("IF(REGEXMATCH(E21, ""G1""), ""x"","""")"),"")</f>
        <v/>
      </c>
      <c r="N21" s="65" t="str">
        <f>IFERROR(__xludf.DUMMYFUNCTION("IF(REGEXMATCH(E21, ""G2""), ""g"","""")"),"g")</f>
        <v>g</v>
      </c>
      <c r="O21" s="65" t="str">
        <f>IFERROR(__xludf.DUMMYFUNCTION("IF(REGEXMATCH(E21, ""G3""), ""G"","""")"),"")</f>
        <v/>
      </c>
      <c r="P21" s="79" t="str">
        <f>IFERROR(__xludf.DUMMYFUNCTION("IF(REGEXMATCH(E21, ""G4""), ""gG"","""")"),"")</f>
        <v/>
      </c>
      <c r="Q21" s="70" t="s">
        <v>11</v>
      </c>
      <c r="R21" s="72" t="str">
        <f>IFERROR(__xludf.DUMMYFUNCTION("IF(REGEXMATCH(E21, ""M1""), ""x"","""")"),"x")</f>
        <v>x</v>
      </c>
      <c r="S21" s="65" t="str">
        <f>IFERROR(__xludf.DUMMYFUNCTION("IF(REGEXMATCH(E21, ""M2""), ""m"","""")"),"")</f>
        <v/>
      </c>
      <c r="T21" s="65" t="str">
        <f>IFERROR(__xludf.DUMMYFUNCTION("IF(REGEXMATCH(E21, ""M3""), ""M"","""")"),"")</f>
        <v/>
      </c>
      <c r="U21" s="79" t="str">
        <f>IFERROR(__xludf.DUMMYFUNCTION("IF(REGEXMATCH(E21, ""M4""), ""mM"","""")"),"")</f>
        <v/>
      </c>
      <c r="V21" s="59" t="s">
        <v>11</v>
      </c>
      <c r="W21" s="84" t="str">
        <f>IFERROR(__xludf.DUMMYFUNCTION("IF(REGEXMATCH(E21, ""P1""), ""x"","""")"),"")</f>
        <v/>
      </c>
      <c r="X21" s="56" t="str">
        <f>IFERROR(__xludf.DUMMYFUNCTION("IF(REGEXMATCH(E21, ""P2""), ""P"","""")"),"")</f>
        <v/>
      </c>
      <c r="Y21" s="70" t="s">
        <v>11</v>
      </c>
      <c r="Z21" s="72" t="str">
        <f>IFERROR(__xludf.DUMMYFUNCTION("IF(REGEXMATCH(E21, ""D1""), ""x"","""")"),"")</f>
        <v/>
      </c>
      <c r="AA21" s="65" t="str">
        <f>IFERROR(__xludf.DUMMYFUNCTION("IF(REGEXMATCH(E21, ""D2""), ""d"","""")"),"")</f>
        <v/>
      </c>
      <c r="AB21" s="65" t="str">
        <f>IFERROR(__xludf.DUMMYFUNCTION("IF(REGEXMATCH(E21, ""D3""), ""D"","""")"),"")</f>
        <v/>
      </c>
      <c r="AC21" s="79" t="str">
        <f>IFERROR(__xludf.DUMMYFUNCTION("IF(REGEXMATCH(E21, ""D4""), ""dD"","""")"),"")</f>
        <v/>
      </c>
      <c r="AD21" s="70" t="s">
        <v>11</v>
      </c>
      <c r="AE21" s="72" t="str">
        <f>IFERROR(__xludf.DUMMYFUNCTION("IF(REGEXMATCH(E21, ""N1""), ""x"","""")"),"")</f>
        <v/>
      </c>
      <c r="AF21" s="65" t="str">
        <f>IFERROR(__xludf.DUMMYFUNCTION("IF(REGEXMATCH(E21, ""N2""), ""n"","""")"),"")</f>
        <v/>
      </c>
      <c r="AG21" s="65" t="str">
        <f>IFERROR(__xludf.DUMMYFUNCTION("IF(REGEXMATCH(E21, ""N3""), ""N"","""")"),"")</f>
        <v/>
      </c>
      <c r="AH21" s="79" t="str">
        <f>IFERROR(__xludf.DUMMYFUNCTION("IF(REGEXMATCH(E21, ""N4""), ""nN"","""")"),"")</f>
        <v/>
      </c>
      <c r="AI21" s="70" t="s">
        <v>11</v>
      </c>
      <c r="AJ21" s="92" t="str">
        <f t="shared" si="5"/>
        <v/>
      </c>
    </row>
    <row r="22">
      <c r="A22" s="33" t="str">
        <f t="shared" si="1"/>
        <v>S-R-G</v>
      </c>
      <c r="B22" s="33">
        <f t="shared" si="2"/>
        <v>3</v>
      </c>
      <c r="C22" s="33" t="str">
        <f t="shared" si="3"/>
        <v>S-R-G-x</v>
      </c>
      <c r="D22" s="49" t="s">
        <v>79</v>
      </c>
      <c r="E22" s="49" t="s">
        <v>207</v>
      </c>
      <c r="F22" s="56" t="str">
        <f t="shared" si="4"/>
        <v>S</v>
      </c>
      <c r="G22" s="59" t="s">
        <v>11</v>
      </c>
      <c r="H22" s="63" t="str">
        <f>IFERROR(__xludf.DUMMYFUNCTION("IF(REGEXMATCH(E22, ""R1""), ""x"","""")"),"")</f>
        <v/>
      </c>
      <c r="I22" s="65" t="str">
        <f>IFERROR(__xludf.DUMMYFUNCTION("IF(REGEXMATCH(E22, ""R2""), ""r"","""")"),"")</f>
        <v/>
      </c>
      <c r="J22" s="63" t="str">
        <f>IFERROR(__xludf.DUMMYFUNCTION("IF(REGEXMATCH(E22, ""R3""), ""R"","""")"),"R")</f>
        <v>R</v>
      </c>
      <c r="K22" s="65" t="str">
        <f>IFERROR(__xludf.DUMMYFUNCTION("IF(REGEXMATCH(E22, ""R4""), ""rR"","""")"),"")</f>
        <v/>
      </c>
      <c r="L22" s="70" t="s">
        <v>11</v>
      </c>
      <c r="M22" s="72" t="str">
        <f>IFERROR(__xludf.DUMMYFUNCTION("IF(REGEXMATCH(E22, ""G1""), ""x"","""")"),"")</f>
        <v/>
      </c>
      <c r="N22" s="65" t="str">
        <f>IFERROR(__xludf.DUMMYFUNCTION("IF(REGEXMATCH(E22, ""G2""), ""g"","""")"),"")</f>
        <v/>
      </c>
      <c r="O22" s="65" t="str">
        <f>IFERROR(__xludf.DUMMYFUNCTION("IF(REGEXMATCH(E22, ""G3""), ""G"","""")"),"G")</f>
        <v>G</v>
      </c>
      <c r="P22" s="79" t="str">
        <f>IFERROR(__xludf.DUMMYFUNCTION("IF(REGEXMATCH(E22, ""G4""), ""gG"","""")"),"")</f>
        <v/>
      </c>
      <c r="Q22" s="70" t="s">
        <v>11</v>
      </c>
      <c r="R22" s="72" t="str">
        <f>IFERROR(__xludf.DUMMYFUNCTION("IF(REGEXMATCH(E22, ""M1""), ""x"","""")"),"x")</f>
        <v>x</v>
      </c>
      <c r="S22" s="65" t="str">
        <f>IFERROR(__xludf.DUMMYFUNCTION("IF(REGEXMATCH(E22, ""M2""), ""m"","""")"),"")</f>
        <v/>
      </c>
      <c r="T22" s="65" t="str">
        <f>IFERROR(__xludf.DUMMYFUNCTION("IF(REGEXMATCH(E22, ""M3""), ""M"","""")"),"")</f>
        <v/>
      </c>
      <c r="U22" s="79" t="str">
        <f>IFERROR(__xludf.DUMMYFUNCTION("IF(REGEXMATCH(E22, ""M4""), ""mM"","""")"),"")</f>
        <v/>
      </c>
      <c r="V22" s="59" t="s">
        <v>11</v>
      </c>
      <c r="W22" s="84" t="str">
        <f>IFERROR(__xludf.DUMMYFUNCTION("IF(REGEXMATCH(E22, ""P1""), ""x"","""")"),"")</f>
        <v/>
      </c>
      <c r="X22" s="56" t="str">
        <f>IFERROR(__xludf.DUMMYFUNCTION("IF(REGEXMATCH(E22, ""P2""), ""P"","""")"),"")</f>
        <v/>
      </c>
      <c r="Y22" s="70" t="s">
        <v>11</v>
      </c>
      <c r="Z22" s="72" t="str">
        <f>IFERROR(__xludf.DUMMYFUNCTION("IF(REGEXMATCH(E22, ""D1""), ""x"","""")"),"")</f>
        <v/>
      </c>
      <c r="AA22" s="65" t="str">
        <f>IFERROR(__xludf.DUMMYFUNCTION("IF(REGEXMATCH(E22, ""D2""), ""d"","""")"),"")</f>
        <v/>
      </c>
      <c r="AB22" s="65" t="str">
        <f>IFERROR(__xludf.DUMMYFUNCTION("IF(REGEXMATCH(E22, ""D3""), ""D"","""")"),"")</f>
        <v/>
      </c>
      <c r="AC22" s="79" t="str">
        <f>IFERROR(__xludf.DUMMYFUNCTION("IF(REGEXMATCH(E22, ""D4""), ""dD"","""")"),"")</f>
        <v/>
      </c>
      <c r="AD22" s="70" t="s">
        <v>11</v>
      </c>
      <c r="AE22" s="72" t="str">
        <f>IFERROR(__xludf.DUMMYFUNCTION("IF(REGEXMATCH(E22, ""N1""), ""x"","""")"),"")</f>
        <v/>
      </c>
      <c r="AF22" s="65" t="str">
        <f>IFERROR(__xludf.DUMMYFUNCTION("IF(REGEXMATCH(E22, ""N2""), ""n"","""")"),"")</f>
        <v/>
      </c>
      <c r="AG22" s="65" t="str">
        <f>IFERROR(__xludf.DUMMYFUNCTION("IF(REGEXMATCH(E22, ""N3""), ""N"","""")"),"")</f>
        <v/>
      </c>
      <c r="AH22" s="79" t="str">
        <f>IFERROR(__xludf.DUMMYFUNCTION("IF(REGEXMATCH(E22, ""N4""), ""nN"","""")"),"")</f>
        <v/>
      </c>
      <c r="AI22" s="70" t="s">
        <v>11</v>
      </c>
      <c r="AJ22" s="92" t="str">
        <f t="shared" si="5"/>
        <v/>
      </c>
    </row>
    <row r="23">
      <c r="A23" s="33" t="str">
        <f t="shared" si="1"/>
        <v>S-rR</v>
      </c>
      <c r="B23" s="33">
        <f t="shared" si="2"/>
        <v>3</v>
      </c>
      <c r="C23" s="33" t="str">
        <f t="shared" si="3"/>
        <v>S-rR-x-x</v>
      </c>
      <c r="D23" s="49" t="s">
        <v>79</v>
      </c>
      <c r="E23" s="49" t="s">
        <v>210</v>
      </c>
      <c r="F23" s="56" t="str">
        <f t="shared" si="4"/>
        <v>S</v>
      </c>
      <c r="G23" s="59" t="s">
        <v>11</v>
      </c>
      <c r="H23" s="63" t="str">
        <f>IFERROR(__xludf.DUMMYFUNCTION("IF(REGEXMATCH(E23, ""R1""), ""x"","""")"),"")</f>
        <v/>
      </c>
      <c r="I23" s="65" t="str">
        <f>IFERROR(__xludf.DUMMYFUNCTION("IF(REGEXMATCH(E23, ""R2""), ""r"","""")"),"")</f>
        <v/>
      </c>
      <c r="J23" s="63" t="str">
        <f>IFERROR(__xludf.DUMMYFUNCTION("IF(REGEXMATCH(E23, ""R3""), ""R"","""")"),"")</f>
        <v/>
      </c>
      <c r="K23" s="65" t="str">
        <f>IFERROR(__xludf.DUMMYFUNCTION("IF(REGEXMATCH(E23, ""R4""), ""rR"","""")"),"rR")</f>
        <v>rR</v>
      </c>
      <c r="L23" s="70" t="s">
        <v>11</v>
      </c>
      <c r="M23" s="72" t="str">
        <f>IFERROR(__xludf.DUMMYFUNCTION("IF(REGEXMATCH(E23, ""G1""), ""x"","""")"),"x")</f>
        <v>x</v>
      </c>
      <c r="N23" s="65" t="str">
        <f>IFERROR(__xludf.DUMMYFUNCTION("IF(REGEXMATCH(E23, ""G2""), ""g"","""")"),"")</f>
        <v/>
      </c>
      <c r="O23" s="65" t="str">
        <f>IFERROR(__xludf.DUMMYFUNCTION("IF(REGEXMATCH(E23, ""G3""), ""G"","""")"),"")</f>
        <v/>
      </c>
      <c r="P23" s="79" t="str">
        <f>IFERROR(__xludf.DUMMYFUNCTION("IF(REGEXMATCH(E23, ""G4""), ""gG"","""")"),"")</f>
        <v/>
      </c>
      <c r="Q23" s="70" t="s">
        <v>11</v>
      </c>
      <c r="R23" s="72" t="str">
        <f>IFERROR(__xludf.DUMMYFUNCTION("IF(REGEXMATCH(E23, ""M1""), ""x"","""")"),"x")</f>
        <v>x</v>
      </c>
      <c r="S23" s="65" t="str">
        <f>IFERROR(__xludf.DUMMYFUNCTION("IF(REGEXMATCH(E23, ""M2""), ""m"","""")"),"")</f>
        <v/>
      </c>
      <c r="T23" s="65" t="str">
        <f>IFERROR(__xludf.DUMMYFUNCTION("IF(REGEXMATCH(E23, ""M3""), ""M"","""")"),"")</f>
        <v/>
      </c>
      <c r="U23" s="79" t="str">
        <f>IFERROR(__xludf.DUMMYFUNCTION("IF(REGEXMATCH(E23, ""M4""), ""mM"","""")"),"")</f>
        <v/>
      </c>
      <c r="V23" s="59" t="s">
        <v>11</v>
      </c>
      <c r="W23" s="84" t="str">
        <f>IFERROR(__xludf.DUMMYFUNCTION("IF(REGEXMATCH(E23, ""P1""), ""x"","""")"),"")</f>
        <v/>
      </c>
      <c r="X23" s="56" t="str">
        <f>IFERROR(__xludf.DUMMYFUNCTION("IF(REGEXMATCH(E23, ""P2""), ""P"","""")"),"")</f>
        <v/>
      </c>
      <c r="Y23" s="70" t="s">
        <v>11</v>
      </c>
      <c r="Z23" s="72" t="str">
        <f>IFERROR(__xludf.DUMMYFUNCTION("IF(REGEXMATCH(E23, ""D1""), ""x"","""")"),"")</f>
        <v/>
      </c>
      <c r="AA23" s="65" t="str">
        <f>IFERROR(__xludf.DUMMYFUNCTION("IF(REGEXMATCH(E23, ""D2""), ""d"","""")"),"")</f>
        <v/>
      </c>
      <c r="AB23" s="65" t="str">
        <f>IFERROR(__xludf.DUMMYFUNCTION("IF(REGEXMATCH(E23, ""D3""), ""D"","""")"),"")</f>
        <v/>
      </c>
      <c r="AC23" s="79" t="str">
        <f>IFERROR(__xludf.DUMMYFUNCTION("IF(REGEXMATCH(E23, ""D4""), ""dD"","""")"),"")</f>
        <v/>
      </c>
      <c r="AD23" s="70" t="s">
        <v>11</v>
      </c>
      <c r="AE23" s="72" t="str">
        <f>IFERROR(__xludf.DUMMYFUNCTION("IF(REGEXMATCH(E23, ""N1""), ""x"","""")"),"")</f>
        <v/>
      </c>
      <c r="AF23" s="65" t="str">
        <f>IFERROR(__xludf.DUMMYFUNCTION("IF(REGEXMATCH(E23, ""N2""), ""n"","""")"),"")</f>
        <v/>
      </c>
      <c r="AG23" s="65" t="str">
        <f>IFERROR(__xludf.DUMMYFUNCTION("IF(REGEXMATCH(E23, ""N3""), ""N"","""")"),"")</f>
        <v/>
      </c>
      <c r="AH23" s="79" t="str">
        <f>IFERROR(__xludf.DUMMYFUNCTION("IF(REGEXMATCH(E23, ""N4""), ""nN"","""")"),"")</f>
        <v/>
      </c>
      <c r="AI23" s="70" t="s">
        <v>11</v>
      </c>
      <c r="AJ23" s="92" t="str">
        <f t="shared" si="5"/>
        <v/>
      </c>
    </row>
    <row r="24">
      <c r="A24" s="33" t="str">
        <f t="shared" si="1"/>
        <v>S-g-mM</v>
      </c>
      <c r="B24" s="33">
        <f t="shared" si="2"/>
        <v>4</v>
      </c>
      <c r="C24" s="33" t="str">
        <f t="shared" si="3"/>
        <v>S-x-g-mM</v>
      </c>
      <c r="D24" s="49" t="s">
        <v>79</v>
      </c>
      <c r="E24" s="49" t="s">
        <v>212</v>
      </c>
      <c r="F24" s="56" t="str">
        <f t="shared" si="4"/>
        <v>S</v>
      </c>
      <c r="G24" s="59" t="s">
        <v>11</v>
      </c>
      <c r="H24" s="63" t="str">
        <f>IFERROR(__xludf.DUMMYFUNCTION("IF(REGEXMATCH(E24, ""R1""), ""x"","""")"),"x")</f>
        <v>x</v>
      </c>
      <c r="I24" s="65" t="str">
        <f>IFERROR(__xludf.DUMMYFUNCTION("IF(REGEXMATCH(E24, ""R2""), ""r"","""")"),"")</f>
        <v/>
      </c>
      <c r="J24" s="63" t="str">
        <f>IFERROR(__xludf.DUMMYFUNCTION("IF(REGEXMATCH(E24, ""R3""), ""R"","""")"),"")</f>
        <v/>
      </c>
      <c r="K24" s="65" t="str">
        <f>IFERROR(__xludf.DUMMYFUNCTION("IF(REGEXMATCH(E24, ""R4""), ""rR"","""")"),"")</f>
        <v/>
      </c>
      <c r="L24" s="70" t="s">
        <v>11</v>
      </c>
      <c r="M24" s="72" t="str">
        <f>IFERROR(__xludf.DUMMYFUNCTION("IF(REGEXMATCH(E24, ""G1""), ""x"","""")"),"")</f>
        <v/>
      </c>
      <c r="N24" s="65" t="str">
        <f>IFERROR(__xludf.DUMMYFUNCTION("IF(REGEXMATCH(E24, ""G2""), ""g"","""")"),"g")</f>
        <v>g</v>
      </c>
      <c r="O24" s="65" t="str">
        <f>IFERROR(__xludf.DUMMYFUNCTION("IF(REGEXMATCH(E24, ""G3""), ""G"","""")"),"")</f>
        <v/>
      </c>
      <c r="P24" s="79" t="str">
        <f>IFERROR(__xludf.DUMMYFUNCTION("IF(REGEXMATCH(E24, ""G4""), ""gG"","""")"),"")</f>
        <v/>
      </c>
      <c r="Q24" s="70" t="s">
        <v>11</v>
      </c>
      <c r="R24" s="72" t="str">
        <f>IFERROR(__xludf.DUMMYFUNCTION("IF(REGEXMATCH(E24, ""M1""), ""x"","""")"),"")</f>
        <v/>
      </c>
      <c r="S24" s="65" t="str">
        <f>IFERROR(__xludf.DUMMYFUNCTION("IF(REGEXMATCH(E24, ""M2""), ""m"","""")"),"")</f>
        <v/>
      </c>
      <c r="T24" s="65" t="str">
        <f>IFERROR(__xludf.DUMMYFUNCTION("IF(REGEXMATCH(E24, ""M3""), ""M"","""")"),"")</f>
        <v/>
      </c>
      <c r="U24" s="79" t="str">
        <f>IFERROR(__xludf.DUMMYFUNCTION("IF(REGEXMATCH(E24, ""M4""), ""mM"","""")"),"mM")</f>
        <v>mM</v>
      </c>
      <c r="V24" s="59" t="s">
        <v>11</v>
      </c>
      <c r="W24" s="84" t="str">
        <f>IFERROR(__xludf.DUMMYFUNCTION("IF(REGEXMATCH(E24, ""P1""), ""x"","""")"),"")</f>
        <v/>
      </c>
      <c r="X24" s="56" t="str">
        <f>IFERROR(__xludf.DUMMYFUNCTION("IF(REGEXMATCH(E24, ""P2""), ""P"","""")"),"")</f>
        <v/>
      </c>
      <c r="Y24" s="70" t="s">
        <v>11</v>
      </c>
      <c r="Z24" s="72" t="str">
        <f>IFERROR(__xludf.DUMMYFUNCTION("IF(REGEXMATCH(E24, ""D1""), ""x"","""")"),"")</f>
        <v/>
      </c>
      <c r="AA24" s="65" t="str">
        <f>IFERROR(__xludf.DUMMYFUNCTION("IF(REGEXMATCH(E24, ""D2""), ""d"","""")"),"")</f>
        <v/>
      </c>
      <c r="AB24" s="65" t="str">
        <f>IFERROR(__xludf.DUMMYFUNCTION("IF(REGEXMATCH(E24, ""D3""), ""D"","""")"),"")</f>
        <v/>
      </c>
      <c r="AC24" s="79" t="str">
        <f>IFERROR(__xludf.DUMMYFUNCTION("IF(REGEXMATCH(E24, ""D4""), ""dD"","""")"),"")</f>
        <v/>
      </c>
      <c r="AD24" s="70" t="s">
        <v>11</v>
      </c>
      <c r="AE24" s="72" t="str">
        <f>IFERROR(__xludf.DUMMYFUNCTION("IF(REGEXMATCH(E24, ""N1""), ""x"","""")"),"")</f>
        <v/>
      </c>
      <c r="AF24" s="65" t="str">
        <f>IFERROR(__xludf.DUMMYFUNCTION("IF(REGEXMATCH(E24, ""N2""), ""n"","""")"),"")</f>
        <v/>
      </c>
      <c r="AG24" s="65" t="str">
        <f>IFERROR(__xludf.DUMMYFUNCTION("IF(REGEXMATCH(E24, ""N3""), ""N"","""")"),"")</f>
        <v/>
      </c>
      <c r="AH24" s="79" t="str">
        <f>IFERROR(__xludf.DUMMYFUNCTION("IF(REGEXMATCH(E24, ""N4""), ""nN"","""")"),"")</f>
        <v/>
      </c>
      <c r="AI24" s="70" t="s">
        <v>11</v>
      </c>
      <c r="AJ24" s="92" t="str">
        <f t="shared" si="5"/>
        <v/>
      </c>
    </row>
    <row r="25">
      <c r="A25" s="33" t="str">
        <f t="shared" si="1"/>
        <v>S-G-mM</v>
      </c>
      <c r="B25" s="33">
        <f t="shared" si="2"/>
        <v>4</v>
      </c>
      <c r="C25" s="33" t="str">
        <f t="shared" si="3"/>
        <v>S-x-G-mM</v>
      </c>
      <c r="D25" s="49" t="s">
        <v>79</v>
      </c>
      <c r="E25" s="49" t="s">
        <v>214</v>
      </c>
      <c r="F25" s="56" t="str">
        <f t="shared" si="4"/>
        <v>S</v>
      </c>
      <c r="G25" s="59" t="s">
        <v>11</v>
      </c>
      <c r="H25" s="63" t="str">
        <f>IFERROR(__xludf.DUMMYFUNCTION("IF(REGEXMATCH(E25, ""R1""), ""x"","""")"),"x")</f>
        <v>x</v>
      </c>
      <c r="I25" s="65" t="str">
        <f>IFERROR(__xludf.DUMMYFUNCTION("IF(REGEXMATCH(E25, ""R2""), ""r"","""")"),"")</f>
        <v/>
      </c>
      <c r="J25" s="63" t="str">
        <f>IFERROR(__xludf.DUMMYFUNCTION("IF(REGEXMATCH(E25, ""R3""), ""R"","""")"),"")</f>
        <v/>
      </c>
      <c r="K25" s="65" t="str">
        <f>IFERROR(__xludf.DUMMYFUNCTION("IF(REGEXMATCH(E25, ""R4""), ""rR"","""")"),"")</f>
        <v/>
      </c>
      <c r="L25" s="70" t="s">
        <v>11</v>
      </c>
      <c r="M25" s="72" t="str">
        <f>IFERROR(__xludf.DUMMYFUNCTION("IF(REGEXMATCH(E25, ""G1""), ""x"","""")"),"")</f>
        <v/>
      </c>
      <c r="N25" s="65" t="str">
        <f>IFERROR(__xludf.DUMMYFUNCTION("IF(REGEXMATCH(E25, ""G2""), ""g"","""")"),"")</f>
        <v/>
      </c>
      <c r="O25" s="65" t="str">
        <f>IFERROR(__xludf.DUMMYFUNCTION("IF(REGEXMATCH(E25, ""G3""), ""G"","""")"),"G")</f>
        <v>G</v>
      </c>
      <c r="P25" s="79" t="str">
        <f>IFERROR(__xludf.DUMMYFUNCTION("IF(REGEXMATCH(E25, ""G4""), ""gG"","""")"),"")</f>
        <v/>
      </c>
      <c r="Q25" s="70" t="s">
        <v>11</v>
      </c>
      <c r="R25" s="72" t="str">
        <f>IFERROR(__xludf.DUMMYFUNCTION("IF(REGEXMATCH(E25, ""M1""), ""x"","""")"),"")</f>
        <v/>
      </c>
      <c r="S25" s="65" t="str">
        <f>IFERROR(__xludf.DUMMYFUNCTION("IF(REGEXMATCH(E25, ""M2""), ""m"","""")"),"")</f>
        <v/>
      </c>
      <c r="T25" s="65" t="str">
        <f>IFERROR(__xludf.DUMMYFUNCTION("IF(REGEXMATCH(E25, ""M3""), ""M"","""")"),"")</f>
        <v/>
      </c>
      <c r="U25" s="79" t="str">
        <f>IFERROR(__xludf.DUMMYFUNCTION("IF(REGEXMATCH(E25, ""M4""), ""mM"","""")"),"mM")</f>
        <v>mM</v>
      </c>
      <c r="V25" s="59" t="s">
        <v>11</v>
      </c>
      <c r="W25" s="84" t="str">
        <f>IFERROR(__xludf.DUMMYFUNCTION("IF(REGEXMATCH(E25, ""P1""), ""x"","""")"),"")</f>
        <v/>
      </c>
      <c r="X25" s="56" t="str">
        <f>IFERROR(__xludf.DUMMYFUNCTION("IF(REGEXMATCH(E25, ""P2""), ""P"","""")"),"")</f>
        <v/>
      </c>
      <c r="Y25" s="70" t="s">
        <v>11</v>
      </c>
      <c r="Z25" s="72" t="str">
        <f>IFERROR(__xludf.DUMMYFUNCTION("IF(REGEXMATCH(E25, ""D1""), ""x"","""")"),"")</f>
        <v/>
      </c>
      <c r="AA25" s="65" t="str">
        <f>IFERROR(__xludf.DUMMYFUNCTION("IF(REGEXMATCH(E25, ""D2""), ""d"","""")"),"")</f>
        <v/>
      </c>
      <c r="AB25" s="65" t="str">
        <f>IFERROR(__xludf.DUMMYFUNCTION("IF(REGEXMATCH(E25, ""D3""), ""D"","""")"),"")</f>
        <v/>
      </c>
      <c r="AC25" s="79" t="str">
        <f>IFERROR(__xludf.DUMMYFUNCTION("IF(REGEXMATCH(E25, ""D4""), ""dD"","""")"),"")</f>
        <v/>
      </c>
      <c r="AD25" s="70" t="s">
        <v>11</v>
      </c>
      <c r="AE25" s="72" t="str">
        <f>IFERROR(__xludf.DUMMYFUNCTION("IF(REGEXMATCH(E25, ""N1""), ""x"","""")"),"")</f>
        <v/>
      </c>
      <c r="AF25" s="65" t="str">
        <f>IFERROR(__xludf.DUMMYFUNCTION("IF(REGEXMATCH(E25, ""N2""), ""n"","""")"),"")</f>
        <v/>
      </c>
      <c r="AG25" s="65" t="str">
        <f>IFERROR(__xludf.DUMMYFUNCTION("IF(REGEXMATCH(E25, ""N3""), ""N"","""")"),"")</f>
        <v/>
      </c>
      <c r="AH25" s="79" t="str">
        <f>IFERROR(__xludf.DUMMYFUNCTION("IF(REGEXMATCH(E25, ""N4""), ""nN"","""")"),"")</f>
        <v/>
      </c>
      <c r="AI25" s="70" t="s">
        <v>11</v>
      </c>
      <c r="AJ25" s="92" t="str">
        <f t="shared" si="5"/>
        <v/>
      </c>
    </row>
    <row r="26">
      <c r="A26" s="33" t="str">
        <f t="shared" si="1"/>
        <v>S-gG-m</v>
      </c>
      <c r="B26" s="33">
        <f t="shared" si="2"/>
        <v>4</v>
      </c>
      <c r="C26" s="33" t="str">
        <f t="shared" si="3"/>
        <v>S-x-gG-m</v>
      </c>
      <c r="D26" s="49" t="s">
        <v>79</v>
      </c>
      <c r="E26" s="49" t="s">
        <v>216</v>
      </c>
      <c r="F26" s="56" t="str">
        <f t="shared" si="4"/>
        <v>S</v>
      </c>
      <c r="G26" s="59" t="s">
        <v>11</v>
      </c>
      <c r="H26" s="63" t="str">
        <f>IFERROR(__xludf.DUMMYFUNCTION("IF(REGEXMATCH(E26, ""R1""), ""x"","""")"),"x")</f>
        <v>x</v>
      </c>
      <c r="I26" s="65" t="str">
        <f>IFERROR(__xludf.DUMMYFUNCTION("IF(REGEXMATCH(E26, ""R2""), ""r"","""")"),"")</f>
        <v/>
      </c>
      <c r="J26" s="63" t="str">
        <f>IFERROR(__xludf.DUMMYFUNCTION("IF(REGEXMATCH(E26, ""R3""), ""R"","""")"),"")</f>
        <v/>
      </c>
      <c r="K26" s="65" t="str">
        <f>IFERROR(__xludf.DUMMYFUNCTION("IF(REGEXMATCH(E26, ""R4""), ""rR"","""")"),"")</f>
        <v/>
      </c>
      <c r="L26" s="70" t="s">
        <v>11</v>
      </c>
      <c r="M26" s="72" t="str">
        <f>IFERROR(__xludf.DUMMYFUNCTION("IF(REGEXMATCH(E26, ""G1""), ""x"","""")"),"")</f>
        <v/>
      </c>
      <c r="N26" s="65" t="str">
        <f>IFERROR(__xludf.DUMMYFUNCTION("IF(REGEXMATCH(E26, ""G2""), ""g"","""")"),"")</f>
        <v/>
      </c>
      <c r="O26" s="65" t="str">
        <f>IFERROR(__xludf.DUMMYFUNCTION("IF(REGEXMATCH(E26, ""G3""), ""G"","""")"),"")</f>
        <v/>
      </c>
      <c r="P26" s="79" t="str">
        <f>IFERROR(__xludf.DUMMYFUNCTION("IF(REGEXMATCH(E26, ""G4""), ""gG"","""")"),"gG")</f>
        <v>gG</v>
      </c>
      <c r="Q26" s="70" t="s">
        <v>11</v>
      </c>
      <c r="R26" s="72" t="str">
        <f>IFERROR(__xludf.DUMMYFUNCTION("IF(REGEXMATCH(E26, ""M1""), ""x"","""")"),"")</f>
        <v/>
      </c>
      <c r="S26" s="65" t="str">
        <f>IFERROR(__xludf.DUMMYFUNCTION("IF(REGEXMATCH(E26, ""M2""), ""m"","""")"),"m")</f>
        <v>m</v>
      </c>
      <c r="T26" s="65" t="str">
        <f>IFERROR(__xludf.DUMMYFUNCTION("IF(REGEXMATCH(E26, ""M3""), ""M"","""")"),"")</f>
        <v/>
      </c>
      <c r="U26" s="79" t="str">
        <f>IFERROR(__xludf.DUMMYFUNCTION("IF(REGEXMATCH(E26, ""M4""), ""mM"","""")"),"")</f>
        <v/>
      </c>
      <c r="V26" s="59" t="s">
        <v>11</v>
      </c>
      <c r="W26" s="84" t="str">
        <f>IFERROR(__xludf.DUMMYFUNCTION("IF(REGEXMATCH(E26, ""P1""), ""x"","""")"),"")</f>
        <v/>
      </c>
      <c r="X26" s="56" t="str">
        <f>IFERROR(__xludf.DUMMYFUNCTION("IF(REGEXMATCH(E26, ""P2""), ""P"","""")"),"")</f>
        <v/>
      </c>
      <c r="Y26" s="70" t="s">
        <v>11</v>
      </c>
      <c r="Z26" s="72" t="str">
        <f>IFERROR(__xludf.DUMMYFUNCTION("IF(REGEXMATCH(E26, ""D1""), ""x"","""")"),"")</f>
        <v/>
      </c>
      <c r="AA26" s="65" t="str">
        <f>IFERROR(__xludf.DUMMYFUNCTION("IF(REGEXMATCH(E26, ""D2""), ""d"","""")"),"")</f>
        <v/>
      </c>
      <c r="AB26" s="65" t="str">
        <f>IFERROR(__xludf.DUMMYFUNCTION("IF(REGEXMATCH(E26, ""D3""), ""D"","""")"),"")</f>
        <v/>
      </c>
      <c r="AC26" s="79" t="str">
        <f>IFERROR(__xludf.DUMMYFUNCTION("IF(REGEXMATCH(E26, ""D4""), ""dD"","""")"),"")</f>
        <v/>
      </c>
      <c r="AD26" s="70" t="s">
        <v>11</v>
      </c>
      <c r="AE26" s="72" t="str">
        <f>IFERROR(__xludf.DUMMYFUNCTION("IF(REGEXMATCH(E26, ""N1""), ""x"","""")"),"")</f>
        <v/>
      </c>
      <c r="AF26" s="65" t="str">
        <f>IFERROR(__xludf.DUMMYFUNCTION("IF(REGEXMATCH(E26, ""N2""), ""n"","""")"),"")</f>
        <v/>
      </c>
      <c r="AG26" s="65" t="str">
        <f>IFERROR(__xludf.DUMMYFUNCTION("IF(REGEXMATCH(E26, ""N3""), ""N"","""")"),"")</f>
        <v/>
      </c>
      <c r="AH26" s="79" t="str">
        <f>IFERROR(__xludf.DUMMYFUNCTION("IF(REGEXMATCH(E26, ""N4""), ""nN"","""")"),"")</f>
        <v/>
      </c>
      <c r="AI26" s="70" t="s">
        <v>11</v>
      </c>
      <c r="AJ26" s="92" t="str">
        <f t="shared" si="5"/>
        <v/>
      </c>
    </row>
    <row r="27">
      <c r="A27" s="33" t="str">
        <f t="shared" si="1"/>
        <v>S-gG-M</v>
      </c>
      <c r="B27" s="33">
        <f t="shared" si="2"/>
        <v>4</v>
      </c>
      <c r="C27" s="33" t="str">
        <f t="shared" si="3"/>
        <v>S-x-gG-M</v>
      </c>
      <c r="D27" s="49" t="s">
        <v>79</v>
      </c>
      <c r="E27" s="49" t="s">
        <v>220</v>
      </c>
      <c r="F27" s="56" t="str">
        <f t="shared" si="4"/>
        <v>S</v>
      </c>
      <c r="G27" s="59" t="s">
        <v>11</v>
      </c>
      <c r="H27" s="63" t="str">
        <f>IFERROR(__xludf.DUMMYFUNCTION("IF(REGEXMATCH(E27, ""R1""), ""x"","""")"),"x")</f>
        <v>x</v>
      </c>
      <c r="I27" s="65" t="str">
        <f>IFERROR(__xludf.DUMMYFUNCTION("IF(REGEXMATCH(E27, ""R2""), ""r"","""")"),"")</f>
        <v/>
      </c>
      <c r="J27" s="63" t="str">
        <f>IFERROR(__xludf.DUMMYFUNCTION("IF(REGEXMATCH(E27, ""R3""), ""R"","""")"),"")</f>
        <v/>
      </c>
      <c r="K27" s="65" t="str">
        <f>IFERROR(__xludf.DUMMYFUNCTION("IF(REGEXMATCH(E27, ""R4""), ""rR"","""")"),"")</f>
        <v/>
      </c>
      <c r="L27" s="70" t="s">
        <v>11</v>
      </c>
      <c r="M27" s="72" t="str">
        <f>IFERROR(__xludf.DUMMYFUNCTION("IF(REGEXMATCH(E27, ""G1""), ""x"","""")"),"")</f>
        <v/>
      </c>
      <c r="N27" s="65" t="str">
        <f>IFERROR(__xludf.DUMMYFUNCTION("IF(REGEXMATCH(E27, ""G2""), ""g"","""")"),"")</f>
        <v/>
      </c>
      <c r="O27" s="65" t="str">
        <f>IFERROR(__xludf.DUMMYFUNCTION("IF(REGEXMATCH(E27, ""G3""), ""G"","""")"),"")</f>
        <v/>
      </c>
      <c r="P27" s="79" t="str">
        <f>IFERROR(__xludf.DUMMYFUNCTION("IF(REGEXMATCH(E27, ""G4""), ""gG"","""")"),"gG")</f>
        <v>gG</v>
      </c>
      <c r="Q27" s="70" t="s">
        <v>11</v>
      </c>
      <c r="R27" s="72" t="str">
        <f>IFERROR(__xludf.DUMMYFUNCTION("IF(REGEXMATCH(E27, ""M1""), ""x"","""")"),"")</f>
        <v/>
      </c>
      <c r="S27" s="65" t="str">
        <f>IFERROR(__xludf.DUMMYFUNCTION("IF(REGEXMATCH(E27, ""M2""), ""m"","""")"),"")</f>
        <v/>
      </c>
      <c r="T27" s="65" t="str">
        <f>IFERROR(__xludf.DUMMYFUNCTION("IF(REGEXMATCH(E27, ""M3""), ""M"","""")"),"M")</f>
        <v>M</v>
      </c>
      <c r="U27" s="79" t="str">
        <f>IFERROR(__xludf.DUMMYFUNCTION("IF(REGEXMATCH(E27, ""M4""), ""mM"","""")"),"")</f>
        <v/>
      </c>
      <c r="V27" s="59" t="s">
        <v>11</v>
      </c>
      <c r="W27" s="84" t="str">
        <f>IFERROR(__xludf.DUMMYFUNCTION("IF(REGEXMATCH(E27, ""P1""), ""x"","""")"),"")</f>
        <v/>
      </c>
      <c r="X27" s="56" t="str">
        <f>IFERROR(__xludf.DUMMYFUNCTION("IF(REGEXMATCH(E27, ""P2""), ""P"","""")"),"")</f>
        <v/>
      </c>
      <c r="Y27" s="70" t="s">
        <v>11</v>
      </c>
      <c r="Z27" s="72" t="str">
        <f>IFERROR(__xludf.DUMMYFUNCTION("IF(REGEXMATCH(E27, ""D1""), ""x"","""")"),"")</f>
        <v/>
      </c>
      <c r="AA27" s="65" t="str">
        <f>IFERROR(__xludf.DUMMYFUNCTION("IF(REGEXMATCH(E27, ""D2""), ""d"","""")"),"")</f>
        <v/>
      </c>
      <c r="AB27" s="65" t="str">
        <f>IFERROR(__xludf.DUMMYFUNCTION("IF(REGEXMATCH(E27, ""D3""), ""D"","""")"),"")</f>
        <v/>
      </c>
      <c r="AC27" s="79" t="str">
        <f>IFERROR(__xludf.DUMMYFUNCTION("IF(REGEXMATCH(E27, ""D4""), ""dD"","""")"),"")</f>
        <v/>
      </c>
      <c r="AD27" s="70" t="s">
        <v>11</v>
      </c>
      <c r="AE27" s="72" t="str">
        <f>IFERROR(__xludf.DUMMYFUNCTION("IF(REGEXMATCH(E27, ""N1""), ""x"","""")"),"")</f>
        <v/>
      </c>
      <c r="AF27" s="65" t="str">
        <f>IFERROR(__xludf.DUMMYFUNCTION("IF(REGEXMATCH(E27, ""N2""), ""n"","""")"),"")</f>
        <v/>
      </c>
      <c r="AG27" s="65" t="str">
        <f>IFERROR(__xludf.DUMMYFUNCTION("IF(REGEXMATCH(E27, ""N3""), ""N"","""")"),"")</f>
        <v/>
      </c>
      <c r="AH27" s="79" t="str">
        <f>IFERROR(__xludf.DUMMYFUNCTION("IF(REGEXMATCH(E27, ""N4""), ""nN"","""")"),"")</f>
        <v/>
      </c>
      <c r="AI27" s="70" t="s">
        <v>11</v>
      </c>
      <c r="AJ27" s="92" t="str">
        <f t="shared" si="5"/>
        <v/>
      </c>
    </row>
    <row r="28">
      <c r="A28" s="33" t="str">
        <f t="shared" si="1"/>
        <v>S-r-mM</v>
      </c>
      <c r="B28" s="33">
        <f t="shared" si="2"/>
        <v>4</v>
      </c>
      <c r="C28" s="33" t="str">
        <f t="shared" si="3"/>
        <v>S-r-x-mM</v>
      </c>
      <c r="D28" s="49" t="s">
        <v>79</v>
      </c>
      <c r="E28" s="49" t="s">
        <v>222</v>
      </c>
      <c r="F28" s="56" t="str">
        <f t="shared" si="4"/>
        <v>S</v>
      </c>
      <c r="G28" s="59" t="s">
        <v>11</v>
      </c>
      <c r="H28" s="63" t="str">
        <f>IFERROR(__xludf.DUMMYFUNCTION("IF(REGEXMATCH(E28, ""R1""), ""x"","""")"),"")</f>
        <v/>
      </c>
      <c r="I28" s="65" t="str">
        <f>IFERROR(__xludf.DUMMYFUNCTION("IF(REGEXMATCH(E28, ""R2""), ""r"","""")"),"r")</f>
        <v>r</v>
      </c>
      <c r="J28" s="63" t="str">
        <f>IFERROR(__xludf.DUMMYFUNCTION("IF(REGEXMATCH(E28, ""R3""), ""R"","""")"),"")</f>
        <v/>
      </c>
      <c r="K28" s="65" t="str">
        <f>IFERROR(__xludf.DUMMYFUNCTION("IF(REGEXMATCH(E28, ""R4""), ""rR"","""")"),"")</f>
        <v/>
      </c>
      <c r="L28" s="70" t="s">
        <v>11</v>
      </c>
      <c r="M28" s="72" t="str">
        <f>IFERROR(__xludf.DUMMYFUNCTION("IF(REGEXMATCH(E28, ""G1""), ""x"","""")"),"x")</f>
        <v>x</v>
      </c>
      <c r="N28" s="65" t="str">
        <f>IFERROR(__xludf.DUMMYFUNCTION("IF(REGEXMATCH(E28, ""G2""), ""g"","""")"),"")</f>
        <v/>
      </c>
      <c r="O28" s="65" t="str">
        <f>IFERROR(__xludf.DUMMYFUNCTION("IF(REGEXMATCH(E28, ""G3""), ""G"","""")"),"")</f>
        <v/>
      </c>
      <c r="P28" s="79" t="str">
        <f>IFERROR(__xludf.DUMMYFUNCTION("IF(REGEXMATCH(E28, ""G4""), ""gG"","""")"),"")</f>
        <v/>
      </c>
      <c r="Q28" s="70" t="s">
        <v>11</v>
      </c>
      <c r="R28" s="72" t="str">
        <f>IFERROR(__xludf.DUMMYFUNCTION("IF(REGEXMATCH(E28, ""M1""), ""x"","""")"),"")</f>
        <v/>
      </c>
      <c r="S28" s="65" t="str">
        <f>IFERROR(__xludf.DUMMYFUNCTION("IF(REGEXMATCH(E28, ""M2""), ""m"","""")"),"")</f>
        <v/>
      </c>
      <c r="T28" s="65" t="str">
        <f>IFERROR(__xludf.DUMMYFUNCTION("IF(REGEXMATCH(E28, ""M3""), ""M"","""")"),"")</f>
        <v/>
      </c>
      <c r="U28" s="79" t="str">
        <f>IFERROR(__xludf.DUMMYFUNCTION("IF(REGEXMATCH(E28, ""M4""), ""mM"","""")"),"mM")</f>
        <v>mM</v>
      </c>
      <c r="V28" s="59" t="s">
        <v>11</v>
      </c>
      <c r="W28" s="84" t="str">
        <f>IFERROR(__xludf.DUMMYFUNCTION("IF(REGEXMATCH(E28, ""P1""), ""x"","""")"),"")</f>
        <v/>
      </c>
      <c r="X28" s="56" t="str">
        <f>IFERROR(__xludf.DUMMYFUNCTION("IF(REGEXMATCH(E28, ""P2""), ""P"","""")"),"")</f>
        <v/>
      </c>
      <c r="Y28" s="70" t="s">
        <v>11</v>
      </c>
      <c r="Z28" s="72" t="str">
        <f>IFERROR(__xludf.DUMMYFUNCTION("IF(REGEXMATCH(E28, ""D1""), ""x"","""")"),"")</f>
        <v/>
      </c>
      <c r="AA28" s="65" t="str">
        <f>IFERROR(__xludf.DUMMYFUNCTION("IF(REGEXMATCH(E28, ""D2""), ""d"","""")"),"")</f>
        <v/>
      </c>
      <c r="AB28" s="65" t="str">
        <f>IFERROR(__xludf.DUMMYFUNCTION("IF(REGEXMATCH(E28, ""D3""), ""D"","""")"),"")</f>
        <v/>
      </c>
      <c r="AC28" s="79" t="str">
        <f>IFERROR(__xludf.DUMMYFUNCTION("IF(REGEXMATCH(E28, ""D4""), ""dD"","""")"),"")</f>
        <v/>
      </c>
      <c r="AD28" s="70" t="s">
        <v>11</v>
      </c>
      <c r="AE28" s="72" t="str">
        <f>IFERROR(__xludf.DUMMYFUNCTION("IF(REGEXMATCH(E28, ""N1""), ""x"","""")"),"")</f>
        <v/>
      </c>
      <c r="AF28" s="65" t="str">
        <f>IFERROR(__xludf.DUMMYFUNCTION("IF(REGEXMATCH(E28, ""N2""), ""n"","""")"),"")</f>
        <v/>
      </c>
      <c r="AG28" s="65" t="str">
        <f>IFERROR(__xludf.DUMMYFUNCTION("IF(REGEXMATCH(E28, ""N3""), ""N"","""")"),"")</f>
        <v/>
      </c>
      <c r="AH28" s="79" t="str">
        <f>IFERROR(__xludf.DUMMYFUNCTION("IF(REGEXMATCH(E28, ""N4""), ""nN"","""")"),"")</f>
        <v/>
      </c>
      <c r="AI28" s="70" t="s">
        <v>11</v>
      </c>
      <c r="AJ28" s="92" t="str">
        <f t="shared" si="5"/>
        <v/>
      </c>
    </row>
    <row r="29">
      <c r="A29" s="33" t="str">
        <f t="shared" si="1"/>
        <v>S-r-g-m</v>
      </c>
      <c r="B29" s="33">
        <f t="shared" si="2"/>
        <v>4</v>
      </c>
      <c r="C29" s="33" t="str">
        <f t="shared" si="3"/>
        <v>S-r-g-m</v>
      </c>
      <c r="D29" s="49" t="s">
        <v>79</v>
      </c>
      <c r="E29" s="49" t="s">
        <v>224</v>
      </c>
      <c r="F29" s="56" t="str">
        <f t="shared" si="4"/>
        <v>S</v>
      </c>
      <c r="G29" s="59" t="s">
        <v>11</v>
      </c>
      <c r="H29" s="63" t="str">
        <f>IFERROR(__xludf.DUMMYFUNCTION("IF(REGEXMATCH(E29, ""R1""), ""x"","""")"),"")</f>
        <v/>
      </c>
      <c r="I29" s="65" t="str">
        <f>IFERROR(__xludf.DUMMYFUNCTION("IF(REGEXMATCH(E29, ""R2""), ""r"","""")"),"r")</f>
        <v>r</v>
      </c>
      <c r="J29" s="63" t="str">
        <f>IFERROR(__xludf.DUMMYFUNCTION("IF(REGEXMATCH(E29, ""R3""), ""R"","""")"),"")</f>
        <v/>
      </c>
      <c r="K29" s="65" t="str">
        <f>IFERROR(__xludf.DUMMYFUNCTION("IF(REGEXMATCH(E29, ""R4""), ""rR"","""")"),"")</f>
        <v/>
      </c>
      <c r="L29" s="70" t="s">
        <v>11</v>
      </c>
      <c r="M29" s="72" t="str">
        <f>IFERROR(__xludf.DUMMYFUNCTION("IF(REGEXMATCH(E29, ""G1""), ""x"","""")"),"")</f>
        <v/>
      </c>
      <c r="N29" s="65" t="str">
        <f>IFERROR(__xludf.DUMMYFUNCTION("IF(REGEXMATCH(E29, ""G2""), ""g"","""")"),"g")</f>
        <v>g</v>
      </c>
      <c r="O29" s="65" t="str">
        <f>IFERROR(__xludf.DUMMYFUNCTION("IF(REGEXMATCH(E29, ""G3""), ""G"","""")"),"")</f>
        <v/>
      </c>
      <c r="P29" s="79" t="str">
        <f>IFERROR(__xludf.DUMMYFUNCTION("IF(REGEXMATCH(E29, ""G4""), ""gG"","""")"),"")</f>
        <v/>
      </c>
      <c r="Q29" s="70" t="s">
        <v>11</v>
      </c>
      <c r="R29" s="72" t="str">
        <f>IFERROR(__xludf.DUMMYFUNCTION("IF(REGEXMATCH(E29, ""M1""), ""x"","""")"),"")</f>
        <v/>
      </c>
      <c r="S29" s="65" t="str">
        <f>IFERROR(__xludf.DUMMYFUNCTION("IF(REGEXMATCH(E29, ""M2""), ""m"","""")"),"m")</f>
        <v>m</v>
      </c>
      <c r="T29" s="65" t="str">
        <f>IFERROR(__xludf.DUMMYFUNCTION("IF(REGEXMATCH(E29, ""M3""), ""M"","""")"),"")</f>
        <v/>
      </c>
      <c r="U29" s="79" t="str">
        <f>IFERROR(__xludf.DUMMYFUNCTION("IF(REGEXMATCH(E29, ""M4""), ""mM"","""")"),"")</f>
        <v/>
      </c>
      <c r="V29" s="59" t="s">
        <v>11</v>
      </c>
      <c r="W29" s="84" t="str">
        <f>IFERROR(__xludf.DUMMYFUNCTION("IF(REGEXMATCH(E29, ""P1""), ""x"","""")"),"")</f>
        <v/>
      </c>
      <c r="X29" s="56" t="str">
        <f>IFERROR(__xludf.DUMMYFUNCTION("IF(REGEXMATCH(E29, ""P2""), ""P"","""")"),"")</f>
        <v/>
      </c>
      <c r="Y29" s="70" t="s">
        <v>11</v>
      </c>
      <c r="Z29" s="72" t="str">
        <f>IFERROR(__xludf.DUMMYFUNCTION("IF(REGEXMATCH(E29, ""D1""), ""x"","""")"),"")</f>
        <v/>
      </c>
      <c r="AA29" s="65" t="str">
        <f>IFERROR(__xludf.DUMMYFUNCTION("IF(REGEXMATCH(E29, ""D2""), ""d"","""")"),"")</f>
        <v/>
      </c>
      <c r="AB29" s="65" t="str">
        <f>IFERROR(__xludf.DUMMYFUNCTION("IF(REGEXMATCH(E29, ""D3""), ""D"","""")"),"")</f>
        <v/>
      </c>
      <c r="AC29" s="79" t="str">
        <f>IFERROR(__xludf.DUMMYFUNCTION("IF(REGEXMATCH(E29, ""D4""), ""dD"","""")"),"")</f>
        <v/>
      </c>
      <c r="AD29" s="70" t="s">
        <v>11</v>
      </c>
      <c r="AE29" s="72" t="str">
        <f>IFERROR(__xludf.DUMMYFUNCTION("IF(REGEXMATCH(E29, ""N1""), ""x"","""")"),"")</f>
        <v/>
      </c>
      <c r="AF29" s="65" t="str">
        <f>IFERROR(__xludf.DUMMYFUNCTION("IF(REGEXMATCH(E29, ""N2""), ""n"","""")"),"")</f>
        <v/>
      </c>
      <c r="AG29" s="65" t="str">
        <f>IFERROR(__xludf.DUMMYFUNCTION("IF(REGEXMATCH(E29, ""N3""), ""N"","""")"),"")</f>
        <v/>
      </c>
      <c r="AH29" s="79" t="str">
        <f>IFERROR(__xludf.DUMMYFUNCTION("IF(REGEXMATCH(E29, ""N4""), ""nN"","""")"),"")</f>
        <v/>
      </c>
      <c r="AI29" s="70" t="s">
        <v>11</v>
      </c>
      <c r="AJ29" s="92" t="str">
        <f t="shared" si="5"/>
        <v/>
      </c>
    </row>
    <row r="30">
      <c r="A30" s="33" t="str">
        <f t="shared" si="1"/>
        <v>S-r-g-M</v>
      </c>
      <c r="B30" s="33">
        <f t="shared" si="2"/>
        <v>4</v>
      </c>
      <c r="C30" s="33" t="str">
        <f t="shared" si="3"/>
        <v>S-r-g-M</v>
      </c>
      <c r="D30" s="49" t="s">
        <v>79</v>
      </c>
      <c r="E30" s="49" t="s">
        <v>226</v>
      </c>
      <c r="F30" s="56" t="str">
        <f t="shared" si="4"/>
        <v>S</v>
      </c>
      <c r="G30" s="59" t="s">
        <v>11</v>
      </c>
      <c r="H30" s="63" t="str">
        <f>IFERROR(__xludf.DUMMYFUNCTION("IF(REGEXMATCH(E30, ""R1""), ""x"","""")"),"")</f>
        <v/>
      </c>
      <c r="I30" s="65" t="str">
        <f>IFERROR(__xludf.DUMMYFUNCTION("IF(REGEXMATCH(E30, ""R2""), ""r"","""")"),"r")</f>
        <v>r</v>
      </c>
      <c r="J30" s="63" t="str">
        <f>IFERROR(__xludf.DUMMYFUNCTION("IF(REGEXMATCH(E30, ""R3""), ""R"","""")"),"")</f>
        <v/>
      </c>
      <c r="K30" s="65" t="str">
        <f>IFERROR(__xludf.DUMMYFUNCTION("IF(REGEXMATCH(E30, ""R4""), ""rR"","""")"),"")</f>
        <v/>
      </c>
      <c r="L30" s="70" t="s">
        <v>11</v>
      </c>
      <c r="M30" s="72" t="str">
        <f>IFERROR(__xludf.DUMMYFUNCTION("IF(REGEXMATCH(E30, ""G1""), ""x"","""")"),"")</f>
        <v/>
      </c>
      <c r="N30" s="65" t="str">
        <f>IFERROR(__xludf.DUMMYFUNCTION("IF(REGEXMATCH(E30, ""G2""), ""g"","""")"),"g")</f>
        <v>g</v>
      </c>
      <c r="O30" s="65" t="str">
        <f>IFERROR(__xludf.DUMMYFUNCTION("IF(REGEXMATCH(E30, ""G3""), ""G"","""")"),"")</f>
        <v/>
      </c>
      <c r="P30" s="79" t="str">
        <f>IFERROR(__xludf.DUMMYFUNCTION("IF(REGEXMATCH(E30, ""G4""), ""gG"","""")"),"")</f>
        <v/>
      </c>
      <c r="Q30" s="70" t="s">
        <v>11</v>
      </c>
      <c r="R30" s="72" t="str">
        <f>IFERROR(__xludf.DUMMYFUNCTION("IF(REGEXMATCH(E30, ""M1""), ""x"","""")"),"")</f>
        <v/>
      </c>
      <c r="S30" s="65" t="str">
        <f>IFERROR(__xludf.DUMMYFUNCTION("IF(REGEXMATCH(E30, ""M2""), ""m"","""")"),"")</f>
        <v/>
      </c>
      <c r="T30" s="65" t="str">
        <f>IFERROR(__xludf.DUMMYFUNCTION("IF(REGEXMATCH(E30, ""M3""), ""M"","""")"),"M")</f>
        <v>M</v>
      </c>
      <c r="U30" s="79" t="str">
        <f>IFERROR(__xludf.DUMMYFUNCTION("IF(REGEXMATCH(E30, ""M4""), ""mM"","""")"),"")</f>
        <v/>
      </c>
      <c r="V30" s="59" t="s">
        <v>11</v>
      </c>
      <c r="W30" s="84" t="str">
        <f>IFERROR(__xludf.DUMMYFUNCTION("IF(REGEXMATCH(E30, ""P1""), ""x"","""")"),"")</f>
        <v/>
      </c>
      <c r="X30" s="56" t="str">
        <f>IFERROR(__xludf.DUMMYFUNCTION("IF(REGEXMATCH(E30, ""P2""), ""P"","""")"),"")</f>
        <v/>
      </c>
      <c r="Y30" s="70" t="s">
        <v>11</v>
      </c>
      <c r="Z30" s="72" t="str">
        <f>IFERROR(__xludf.DUMMYFUNCTION("IF(REGEXMATCH(E30, ""D1""), ""x"","""")"),"")</f>
        <v/>
      </c>
      <c r="AA30" s="65" t="str">
        <f>IFERROR(__xludf.DUMMYFUNCTION("IF(REGEXMATCH(E30, ""D2""), ""d"","""")"),"")</f>
        <v/>
      </c>
      <c r="AB30" s="65" t="str">
        <f>IFERROR(__xludf.DUMMYFUNCTION("IF(REGEXMATCH(E30, ""D3""), ""D"","""")"),"")</f>
        <v/>
      </c>
      <c r="AC30" s="79" t="str">
        <f>IFERROR(__xludf.DUMMYFUNCTION("IF(REGEXMATCH(E30, ""D4""), ""dD"","""")"),"")</f>
        <v/>
      </c>
      <c r="AD30" s="70" t="s">
        <v>11</v>
      </c>
      <c r="AE30" s="72" t="str">
        <f>IFERROR(__xludf.DUMMYFUNCTION("IF(REGEXMATCH(E30, ""N1""), ""x"","""")"),"")</f>
        <v/>
      </c>
      <c r="AF30" s="65" t="str">
        <f>IFERROR(__xludf.DUMMYFUNCTION("IF(REGEXMATCH(E30, ""N2""), ""n"","""")"),"")</f>
        <v/>
      </c>
      <c r="AG30" s="65" t="str">
        <f>IFERROR(__xludf.DUMMYFUNCTION("IF(REGEXMATCH(E30, ""N3""), ""N"","""")"),"")</f>
        <v/>
      </c>
      <c r="AH30" s="79" t="str">
        <f>IFERROR(__xludf.DUMMYFUNCTION("IF(REGEXMATCH(E30, ""N4""), ""nN"","""")"),"")</f>
        <v/>
      </c>
      <c r="AI30" s="70" t="s">
        <v>11</v>
      </c>
      <c r="AJ30" s="92" t="str">
        <f t="shared" si="5"/>
        <v/>
      </c>
    </row>
    <row r="31">
      <c r="A31" s="33" t="str">
        <f t="shared" si="1"/>
        <v>S-r-G-m</v>
      </c>
      <c r="B31" s="33">
        <f t="shared" si="2"/>
        <v>4</v>
      </c>
      <c r="C31" s="33" t="str">
        <f t="shared" si="3"/>
        <v>S-r-G-m</v>
      </c>
      <c r="D31" s="49" t="s">
        <v>79</v>
      </c>
      <c r="E31" s="49" t="s">
        <v>228</v>
      </c>
      <c r="F31" s="56" t="str">
        <f t="shared" si="4"/>
        <v>S</v>
      </c>
      <c r="G31" s="59" t="s">
        <v>11</v>
      </c>
      <c r="H31" s="63" t="str">
        <f>IFERROR(__xludf.DUMMYFUNCTION("IF(REGEXMATCH(E31, ""R1""), ""x"","""")"),"")</f>
        <v/>
      </c>
      <c r="I31" s="65" t="str">
        <f>IFERROR(__xludf.DUMMYFUNCTION("IF(REGEXMATCH(E31, ""R2""), ""r"","""")"),"r")</f>
        <v>r</v>
      </c>
      <c r="J31" s="63" t="str">
        <f>IFERROR(__xludf.DUMMYFUNCTION("IF(REGEXMATCH(E31, ""R3""), ""R"","""")"),"")</f>
        <v/>
      </c>
      <c r="K31" s="65" t="str">
        <f>IFERROR(__xludf.DUMMYFUNCTION("IF(REGEXMATCH(E31, ""R4""), ""rR"","""")"),"")</f>
        <v/>
      </c>
      <c r="L31" s="70" t="s">
        <v>11</v>
      </c>
      <c r="M31" s="72" t="str">
        <f>IFERROR(__xludf.DUMMYFUNCTION("IF(REGEXMATCH(E31, ""G1""), ""x"","""")"),"")</f>
        <v/>
      </c>
      <c r="N31" s="65" t="str">
        <f>IFERROR(__xludf.DUMMYFUNCTION("IF(REGEXMATCH(E31, ""G2""), ""g"","""")"),"")</f>
        <v/>
      </c>
      <c r="O31" s="65" t="str">
        <f>IFERROR(__xludf.DUMMYFUNCTION("IF(REGEXMATCH(E31, ""G3""), ""G"","""")"),"G")</f>
        <v>G</v>
      </c>
      <c r="P31" s="79" t="str">
        <f>IFERROR(__xludf.DUMMYFUNCTION("IF(REGEXMATCH(E31, ""G4""), ""gG"","""")"),"")</f>
        <v/>
      </c>
      <c r="Q31" s="70" t="s">
        <v>11</v>
      </c>
      <c r="R31" s="72" t="str">
        <f>IFERROR(__xludf.DUMMYFUNCTION("IF(REGEXMATCH(E31, ""M1""), ""x"","""")"),"")</f>
        <v/>
      </c>
      <c r="S31" s="65" t="str">
        <f>IFERROR(__xludf.DUMMYFUNCTION("IF(REGEXMATCH(E31, ""M2""), ""m"","""")"),"m")</f>
        <v>m</v>
      </c>
      <c r="T31" s="65" t="str">
        <f>IFERROR(__xludf.DUMMYFUNCTION("IF(REGEXMATCH(E31, ""M3""), ""M"","""")"),"")</f>
        <v/>
      </c>
      <c r="U31" s="79" t="str">
        <f>IFERROR(__xludf.DUMMYFUNCTION("IF(REGEXMATCH(E31, ""M4""), ""mM"","""")"),"")</f>
        <v/>
      </c>
      <c r="V31" s="59" t="s">
        <v>11</v>
      </c>
      <c r="W31" s="84" t="str">
        <f>IFERROR(__xludf.DUMMYFUNCTION("IF(REGEXMATCH(E31, ""P1""), ""x"","""")"),"")</f>
        <v/>
      </c>
      <c r="X31" s="56" t="str">
        <f>IFERROR(__xludf.DUMMYFUNCTION("IF(REGEXMATCH(E31, ""P2""), ""P"","""")"),"")</f>
        <v/>
      </c>
      <c r="Y31" s="70" t="s">
        <v>11</v>
      </c>
      <c r="Z31" s="72" t="str">
        <f>IFERROR(__xludf.DUMMYFUNCTION("IF(REGEXMATCH(E31, ""D1""), ""x"","""")"),"")</f>
        <v/>
      </c>
      <c r="AA31" s="65" t="str">
        <f>IFERROR(__xludf.DUMMYFUNCTION("IF(REGEXMATCH(E31, ""D2""), ""d"","""")"),"")</f>
        <v/>
      </c>
      <c r="AB31" s="65" t="str">
        <f>IFERROR(__xludf.DUMMYFUNCTION("IF(REGEXMATCH(E31, ""D3""), ""D"","""")"),"")</f>
        <v/>
      </c>
      <c r="AC31" s="79" t="str">
        <f>IFERROR(__xludf.DUMMYFUNCTION("IF(REGEXMATCH(E31, ""D4""), ""dD"","""")"),"")</f>
        <v/>
      </c>
      <c r="AD31" s="70" t="s">
        <v>11</v>
      </c>
      <c r="AE31" s="72" t="str">
        <f>IFERROR(__xludf.DUMMYFUNCTION("IF(REGEXMATCH(E31, ""N1""), ""x"","""")"),"")</f>
        <v/>
      </c>
      <c r="AF31" s="65" t="str">
        <f>IFERROR(__xludf.DUMMYFUNCTION("IF(REGEXMATCH(E31, ""N2""), ""n"","""")"),"")</f>
        <v/>
      </c>
      <c r="AG31" s="65" t="str">
        <f>IFERROR(__xludf.DUMMYFUNCTION("IF(REGEXMATCH(E31, ""N3""), ""N"","""")"),"")</f>
        <v/>
      </c>
      <c r="AH31" s="79" t="str">
        <f>IFERROR(__xludf.DUMMYFUNCTION("IF(REGEXMATCH(E31, ""N4""), ""nN"","""")"),"")</f>
        <v/>
      </c>
      <c r="AI31" s="70" t="s">
        <v>11</v>
      </c>
      <c r="AJ31" s="92" t="str">
        <f t="shared" si="5"/>
        <v/>
      </c>
    </row>
    <row r="32">
      <c r="A32" s="33" t="str">
        <f t="shared" si="1"/>
        <v>S-r-G-M</v>
      </c>
      <c r="B32" s="33">
        <f t="shared" si="2"/>
        <v>4</v>
      </c>
      <c r="C32" s="33" t="str">
        <f t="shared" si="3"/>
        <v>S-r-G-M</v>
      </c>
      <c r="D32" s="49" t="s">
        <v>79</v>
      </c>
      <c r="E32" s="49" t="s">
        <v>229</v>
      </c>
      <c r="F32" s="56" t="str">
        <f t="shared" si="4"/>
        <v>S</v>
      </c>
      <c r="G32" s="59" t="s">
        <v>11</v>
      </c>
      <c r="H32" s="63" t="str">
        <f>IFERROR(__xludf.DUMMYFUNCTION("IF(REGEXMATCH(E32, ""R1""), ""x"","""")"),"")</f>
        <v/>
      </c>
      <c r="I32" s="65" t="str">
        <f>IFERROR(__xludf.DUMMYFUNCTION("IF(REGEXMATCH(E32, ""R2""), ""r"","""")"),"r")</f>
        <v>r</v>
      </c>
      <c r="J32" s="63" t="str">
        <f>IFERROR(__xludf.DUMMYFUNCTION("IF(REGEXMATCH(E32, ""R3""), ""R"","""")"),"")</f>
        <v/>
      </c>
      <c r="K32" s="65" t="str">
        <f>IFERROR(__xludf.DUMMYFUNCTION("IF(REGEXMATCH(E32, ""R4""), ""rR"","""")"),"")</f>
        <v/>
      </c>
      <c r="L32" s="70" t="s">
        <v>11</v>
      </c>
      <c r="M32" s="72" t="str">
        <f>IFERROR(__xludf.DUMMYFUNCTION("IF(REGEXMATCH(E32, ""G1""), ""x"","""")"),"")</f>
        <v/>
      </c>
      <c r="N32" s="65" t="str">
        <f>IFERROR(__xludf.DUMMYFUNCTION("IF(REGEXMATCH(E32, ""G2""), ""g"","""")"),"")</f>
        <v/>
      </c>
      <c r="O32" s="65" t="str">
        <f>IFERROR(__xludf.DUMMYFUNCTION("IF(REGEXMATCH(E32, ""G3""), ""G"","""")"),"G")</f>
        <v>G</v>
      </c>
      <c r="P32" s="79" t="str">
        <f>IFERROR(__xludf.DUMMYFUNCTION("IF(REGEXMATCH(E32, ""G4""), ""gG"","""")"),"")</f>
        <v/>
      </c>
      <c r="Q32" s="70" t="s">
        <v>11</v>
      </c>
      <c r="R32" s="72" t="str">
        <f>IFERROR(__xludf.DUMMYFUNCTION("IF(REGEXMATCH(E32, ""M1""), ""x"","""")"),"")</f>
        <v/>
      </c>
      <c r="S32" s="65" t="str">
        <f>IFERROR(__xludf.DUMMYFUNCTION("IF(REGEXMATCH(E32, ""M2""), ""m"","""")"),"")</f>
        <v/>
      </c>
      <c r="T32" s="65" t="str">
        <f>IFERROR(__xludf.DUMMYFUNCTION("IF(REGEXMATCH(E32, ""M3""), ""M"","""")"),"M")</f>
        <v>M</v>
      </c>
      <c r="U32" s="79" t="str">
        <f>IFERROR(__xludf.DUMMYFUNCTION("IF(REGEXMATCH(E32, ""M4""), ""mM"","""")"),"")</f>
        <v/>
      </c>
      <c r="V32" s="59" t="s">
        <v>11</v>
      </c>
      <c r="W32" s="84" t="str">
        <f>IFERROR(__xludf.DUMMYFUNCTION("IF(REGEXMATCH(E32, ""P1""), ""x"","""")"),"")</f>
        <v/>
      </c>
      <c r="X32" s="56" t="str">
        <f>IFERROR(__xludf.DUMMYFUNCTION("IF(REGEXMATCH(E32, ""P2""), ""P"","""")"),"")</f>
        <v/>
      </c>
      <c r="Y32" s="70" t="s">
        <v>11</v>
      </c>
      <c r="Z32" s="72" t="str">
        <f>IFERROR(__xludf.DUMMYFUNCTION("IF(REGEXMATCH(E32, ""D1""), ""x"","""")"),"")</f>
        <v/>
      </c>
      <c r="AA32" s="65" t="str">
        <f>IFERROR(__xludf.DUMMYFUNCTION("IF(REGEXMATCH(E32, ""D2""), ""d"","""")"),"")</f>
        <v/>
      </c>
      <c r="AB32" s="65" t="str">
        <f>IFERROR(__xludf.DUMMYFUNCTION("IF(REGEXMATCH(E32, ""D3""), ""D"","""")"),"")</f>
        <v/>
      </c>
      <c r="AC32" s="79" t="str">
        <f>IFERROR(__xludf.DUMMYFUNCTION("IF(REGEXMATCH(E32, ""D4""), ""dD"","""")"),"")</f>
        <v/>
      </c>
      <c r="AD32" s="70" t="s">
        <v>11</v>
      </c>
      <c r="AE32" s="72" t="str">
        <f>IFERROR(__xludf.DUMMYFUNCTION("IF(REGEXMATCH(E32, ""N1""), ""x"","""")"),"")</f>
        <v/>
      </c>
      <c r="AF32" s="65" t="str">
        <f>IFERROR(__xludf.DUMMYFUNCTION("IF(REGEXMATCH(E32, ""N2""), ""n"","""")"),"")</f>
        <v/>
      </c>
      <c r="AG32" s="65" t="str">
        <f>IFERROR(__xludf.DUMMYFUNCTION("IF(REGEXMATCH(E32, ""N3""), ""N"","""")"),"")</f>
        <v/>
      </c>
      <c r="AH32" s="79" t="str">
        <f>IFERROR(__xludf.DUMMYFUNCTION("IF(REGEXMATCH(E32, ""N4""), ""nN"","""")"),"")</f>
        <v/>
      </c>
      <c r="AI32" s="70" t="s">
        <v>11</v>
      </c>
      <c r="AJ32" s="92" t="str">
        <f t="shared" si="5"/>
        <v/>
      </c>
    </row>
    <row r="33">
      <c r="A33" s="33" t="str">
        <f t="shared" si="1"/>
        <v>S-r-gG</v>
      </c>
      <c r="B33" s="33">
        <f t="shared" si="2"/>
        <v>4</v>
      </c>
      <c r="C33" s="33" t="str">
        <f t="shared" si="3"/>
        <v>S-r-gG-x</v>
      </c>
      <c r="D33" s="49" t="s">
        <v>79</v>
      </c>
      <c r="E33" s="49" t="s">
        <v>231</v>
      </c>
      <c r="F33" s="56" t="str">
        <f t="shared" si="4"/>
        <v>S</v>
      </c>
      <c r="G33" s="59" t="s">
        <v>11</v>
      </c>
      <c r="H33" s="63" t="str">
        <f>IFERROR(__xludf.DUMMYFUNCTION("IF(REGEXMATCH(E33, ""R1""), ""x"","""")"),"")</f>
        <v/>
      </c>
      <c r="I33" s="65" t="str">
        <f>IFERROR(__xludf.DUMMYFUNCTION("IF(REGEXMATCH(E33, ""R2""), ""r"","""")"),"r")</f>
        <v>r</v>
      </c>
      <c r="J33" s="63" t="str">
        <f>IFERROR(__xludf.DUMMYFUNCTION("IF(REGEXMATCH(E33, ""R3""), ""R"","""")"),"")</f>
        <v/>
      </c>
      <c r="K33" s="65" t="str">
        <f>IFERROR(__xludf.DUMMYFUNCTION("IF(REGEXMATCH(E33, ""R4""), ""rR"","""")"),"")</f>
        <v/>
      </c>
      <c r="L33" s="70" t="s">
        <v>11</v>
      </c>
      <c r="M33" s="72" t="str">
        <f>IFERROR(__xludf.DUMMYFUNCTION("IF(REGEXMATCH(E33, ""G1""), ""x"","""")"),"")</f>
        <v/>
      </c>
      <c r="N33" s="65" t="str">
        <f>IFERROR(__xludf.DUMMYFUNCTION("IF(REGEXMATCH(E33, ""G2""), ""g"","""")"),"")</f>
        <v/>
      </c>
      <c r="O33" s="65" t="str">
        <f>IFERROR(__xludf.DUMMYFUNCTION("IF(REGEXMATCH(E33, ""G3""), ""G"","""")"),"")</f>
        <v/>
      </c>
      <c r="P33" s="79" t="str">
        <f>IFERROR(__xludf.DUMMYFUNCTION("IF(REGEXMATCH(E33, ""G4""), ""gG"","""")"),"gG")</f>
        <v>gG</v>
      </c>
      <c r="Q33" s="70" t="s">
        <v>11</v>
      </c>
      <c r="R33" s="72" t="str">
        <f>IFERROR(__xludf.DUMMYFUNCTION("IF(REGEXMATCH(E33, ""M1""), ""x"","""")"),"x")</f>
        <v>x</v>
      </c>
      <c r="S33" s="65" t="str">
        <f>IFERROR(__xludf.DUMMYFUNCTION("IF(REGEXMATCH(E33, ""M2""), ""m"","""")"),"")</f>
        <v/>
      </c>
      <c r="T33" s="65" t="str">
        <f>IFERROR(__xludf.DUMMYFUNCTION("IF(REGEXMATCH(E33, ""M3""), ""M"","""")"),"")</f>
        <v/>
      </c>
      <c r="U33" s="79" t="str">
        <f>IFERROR(__xludf.DUMMYFUNCTION("IF(REGEXMATCH(E33, ""M4""), ""mM"","""")"),"")</f>
        <v/>
      </c>
      <c r="V33" s="59" t="s">
        <v>11</v>
      </c>
      <c r="W33" s="84" t="str">
        <f>IFERROR(__xludf.DUMMYFUNCTION("IF(REGEXMATCH(E33, ""P1""), ""x"","""")"),"")</f>
        <v/>
      </c>
      <c r="X33" s="56" t="str">
        <f>IFERROR(__xludf.DUMMYFUNCTION("IF(REGEXMATCH(E33, ""P2""), ""P"","""")"),"")</f>
        <v/>
      </c>
      <c r="Y33" s="70" t="s">
        <v>11</v>
      </c>
      <c r="Z33" s="72" t="str">
        <f>IFERROR(__xludf.DUMMYFUNCTION("IF(REGEXMATCH(E33, ""D1""), ""x"","""")"),"")</f>
        <v/>
      </c>
      <c r="AA33" s="65" t="str">
        <f>IFERROR(__xludf.DUMMYFUNCTION("IF(REGEXMATCH(E33, ""D2""), ""d"","""")"),"")</f>
        <v/>
      </c>
      <c r="AB33" s="65" t="str">
        <f>IFERROR(__xludf.DUMMYFUNCTION("IF(REGEXMATCH(E33, ""D3""), ""D"","""")"),"")</f>
        <v/>
      </c>
      <c r="AC33" s="79" t="str">
        <f>IFERROR(__xludf.DUMMYFUNCTION("IF(REGEXMATCH(E33, ""D4""), ""dD"","""")"),"")</f>
        <v/>
      </c>
      <c r="AD33" s="70" t="s">
        <v>11</v>
      </c>
      <c r="AE33" s="72" t="str">
        <f>IFERROR(__xludf.DUMMYFUNCTION("IF(REGEXMATCH(E33, ""N1""), ""x"","""")"),"")</f>
        <v/>
      </c>
      <c r="AF33" s="65" t="str">
        <f>IFERROR(__xludf.DUMMYFUNCTION("IF(REGEXMATCH(E33, ""N2""), ""n"","""")"),"")</f>
        <v/>
      </c>
      <c r="AG33" s="65" t="str">
        <f>IFERROR(__xludf.DUMMYFUNCTION("IF(REGEXMATCH(E33, ""N3""), ""N"","""")"),"")</f>
        <v/>
      </c>
      <c r="AH33" s="79" t="str">
        <f>IFERROR(__xludf.DUMMYFUNCTION("IF(REGEXMATCH(E33, ""N4""), ""nN"","""")"),"")</f>
        <v/>
      </c>
      <c r="AI33" s="70" t="s">
        <v>11</v>
      </c>
      <c r="AJ33" s="92" t="str">
        <f t="shared" si="5"/>
        <v/>
      </c>
    </row>
    <row r="34">
      <c r="A34" s="33" t="str">
        <f t="shared" si="1"/>
        <v>S-R-mM</v>
      </c>
      <c r="B34" s="33">
        <f t="shared" si="2"/>
        <v>4</v>
      </c>
      <c r="C34" s="33" t="str">
        <f t="shared" si="3"/>
        <v>S-R-x-mM</v>
      </c>
      <c r="D34" s="49" t="s">
        <v>79</v>
      </c>
      <c r="E34" s="49" t="s">
        <v>233</v>
      </c>
      <c r="F34" s="56" t="str">
        <f t="shared" si="4"/>
        <v>S</v>
      </c>
      <c r="G34" s="59" t="s">
        <v>11</v>
      </c>
      <c r="H34" s="63" t="str">
        <f>IFERROR(__xludf.DUMMYFUNCTION("IF(REGEXMATCH(E34, ""R1""), ""x"","""")"),"")</f>
        <v/>
      </c>
      <c r="I34" s="65" t="str">
        <f>IFERROR(__xludf.DUMMYFUNCTION("IF(REGEXMATCH(E34, ""R2""), ""r"","""")"),"")</f>
        <v/>
      </c>
      <c r="J34" s="63" t="str">
        <f>IFERROR(__xludf.DUMMYFUNCTION("IF(REGEXMATCH(E34, ""R3""), ""R"","""")"),"R")</f>
        <v>R</v>
      </c>
      <c r="K34" s="65" t="str">
        <f>IFERROR(__xludf.DUMMYFUNCTION("IF(REGEXMATCH(E34, ""R4""), ""rR"","""")"),"")</f>
        <v/>
      </c>
      <c r="L34" s="70" t="s">
        <v>11</v>
      </c>
      <c r="M34" s="72" t="str">
        <f>IFERROR(__xludf.DUMMYFUNCTION("IF(REGEXMATCH(E34, ""G1""), ""x"","""")"),"x")</f>
        <v>x</v>
      </c>
      <c r="N34" s="65" t="str">
        <f>IFERROR(__xludf.DUMMYFUNCTION("IF(REGEXMATCH(E34, ""G2""), ""g"","""")"),"")</f>
        <v/>
      </c>
      <c r="O34" s="65" t="str">
        <f>IFERROR(__xludf.DUMMYFUNCTION("IF(REGEXMATCH(E34, ""G3""), ""G"","""")"),"")</f>
        <v/>
      </c>
      <c r="P34" s="79" t="str">
        <f>IFERROR(__xludf.DUMMYFUNCTION("IF(REGEXMATCH(E34, ""G4""), ""gG"","""")"),"")</f>
        <v/>
      </c>
      <c r="Q34" s="70" t="s">
        <v>11</v>
      </c>
      <c r="R34" s="72" t="str">
        <f>IFERROR(__xludf.DUMMYFUNCTION("IF(REGEXMATCH(E34, ""M1""), ""x"","""")"),"")</f>
        <v/>
      </c>
      <c r="S34" s="65" t="str">
        <f>IFERROR(__xludf.DUMMYFUNCTION("IF(REGEXMATCH(E34, ""M2""), ""m"","""")"),"")</f>
        <v/>
      </c>
      <c r="T34" s="65" t="str">
        <f>IFERROR(__xludf.DUMMYFUNCTION("IF(REGEXMATCH(E34, ""M3""), ""M"","""")"),"")</f>
        <v/>
      </c>
      <c r="U34" s="79" t="str">
        <f>IFERROR(__xludf.DUMMYFUNCTION("IF(REGEXMATCH(E34, ""M4""), ""mM"","""")"),"mM")</f>
        <v>mM</v>
      </c>
      <c r="V34" s="59" t="s">
        <v>11</v>
      </c>
      <c r="W34" s="84" t="str">
        <f>IFERROR(__xludf.DUMMYFUNCTION("IF(REGEXMATCH(E34, ""P1""), ""x"","""")"),"")</f>
        <v/>
      </c>
      <c r="X34" s="56" t="str">
        <f>IFERROR(__xludf.DUMMYFUNCTION("IF(REGEXMATCH(E34, ""P2""), ""P"","""")"),"")</f>
        <v/>
      </c>
      <c r="Y34" s="70" t="s">
        <v>11</v>
      </c>
      <c r="Z34" s="72" t="str">
        <f>IFERROR(__xludf.DUMMYFUNCTION("IF(REGEXMATCH(E34, ""D1""), ""x"","""")"),"")</f>
        <v/>
      </c>
      <c r="AA34" s="65" t="str">
        <f>IFERROR(__xludf.DUMMYFUNCTION("IF(REGEXMATCH(E34, ""D2""), ""d"","""")"),"")</f>
        <v/>
      </c>
      <c r="AB34" s="65" t="str">
        <f>IFERROR(__xludf.DUMMYFUNCTION("IF(REGEXMATCH(E34, ""D3""), ""D"","""")"),"")</f>
        <v/>
      </c>
      <c r="AC34" s="79" t="str">
        <f>IFERROR(__xludf.DUMMYFUNCTION("IF(REGEXMATCH(E34, ""D4""), ""dD"","""")"),"")</f>
        <v/>
      </c>
      <c r="AD34" s="70" t="s">
        <v>11</v>
      </c>
      <c r="AE34" s="72" t="str">
        <f>IFERROR(__xludf.DUMMYFUNCTION("IF(REGEXMATCH(E34, ""N1""), ""x"","""")"),"")</f>
        <v/>
      </c>
      <c r="AF34" s="65" t="str">
        <f>IFERROR(__xludf.DUMMYFUNCTION("IF(REGEXMATCH(E34, ""N2""), ""n"","""")"),"")</f>
        <v/>
      </c>
      <c r="AG34" s="65" t="str">
        <f>IFERROR(__xludf.DUMMYFUNCTION("IF(REGEXMATCH(E34, ""N3""), ""N"","""")"),"")</f>
        <v/>
      </c>
      <c r="AH34" s="79" t="str">
        <f>IFERROR(__xludf.DUMMYFUNCTION("IF(REGEXMATCH(E34, ""N4""), ""nN"","""")"),"")</f>
        <v/>
      </c>
      <c r="AI34" s="70" t="s">
        <v>11</v>
      </c>
      <c r="AJ34" s="92" t="str">
        <f t="shared" si="5"/>
        <v/>
      </c>
    </row>
    <row r="35">
      <c r="A35" s="33" t="str">
        <f t="shared" si="1"/>
        <v>S-R-g-m</v>
      </c>
      <c r="B35" s="33">
        <f t="shared" si="2"/>
        <v>4</v>
      </c>
      <c r="C35" s="33" t="str">
        <f t="shared" si="3"/>
        <v>S-R-g-m</v>
      </c>
      <c r="D35" s="49" t="s">
        <v>79</v>
      </c>
      <c r="E35" s="49" t="s">
        <v>235</v>
      </c>
      <c r="F35" s="56" t="str">
        <f t="shared" si="4"/>
        <v>S</v>
      </c>
      <c r="G35" s="59" t="s">
        <v>11</v>
      </c>
      <c r="H35" s="63" t="str">
        <f>IFERROR(__xludf.DUMMYFUNCTION("IF(REGEXMATCH(E35, ""R1""), ""x"","""")"),"")</f>
        <v/>
      </c>
      <c r="I35" s="65" t="str">
        <f>IFERROR(__xludf.DUMMYFUNCTION("IF(REGEXMATCH(E35, ""R2""), ""r"","""")"),"")</f>
        <v/>
      </c>
      <c r="J35" s="63" t="str">
        <f>IFERROR(__xludf.DUMMYFUNCTION("IF(REGEXMATCH(E35, ""R3""), ""R"","""")"),"R")</f>
        <v>R</v>
      </c>
      <c r="K35" s="65" t="str">
        <f>IFERROR(__xludf.DUMMYFUNCTION("IF(REGEXMATCH(E35, ""R4""), ""rR"","""")"),"")</f>
        <v/>
      </c>
      <c r="L35" s="70" t="s">
        <v>11</v>
      </c>
      <c r="M35" s="72" t="str">
        <f>IFERROR(__xludf.DUMMYFUNCTION("IF(REGEXMATCH(E35, ""G1""), ""x"","""")"),"")</f>
        <v/>
      </c>
      <c r="N35" s="65" t="str">
        <f>IFERROR(__xludf.DUMMYFUNCTION("IF(REGEXMATCH(E35, ""G2""), ""g"","""")"),"g")</f>
        <v>g</v>
      </c>
      <c r="O35" s="65" t="str">
        <f>IFERROR(__xludf.DUMMYFUNCTION("IF(REGEXMATCH(E35, ""G3""), ""G"","""")"),"")</f>
        <v/>
      </c>
      <c r="P35" s="79" t="str">
        <f>IFERROR(__xludf.DUMMYFUNCTION("IF(REGEXMATCH(E35, ""G4""), ""gG"","""")"),"")</f>
        <v/>
      </c>
      <c r="Q35" s="70" t="s">
        <v>11</v>
      </c>
      <c r="R35" s="72" t="str">
        <f>IFERROR(__xludf.DUMMYFUNCTION("IF(REGEXMATCH(E35, ""M1""), ""x"","""")"),"")</f>
        <v/>
      </c>
      <c r="S35" s="65" t="str">
        <f>IFERROR(__xludf.DUMMYFUNCTION("IF(REGEXMATCH(E35, ""M2""), ""m"","""")"),"m")</f>
        <v>m</v>
      </c>
      <c r="T35" s="65" t="str">
        <f>IFERROR(__xludf.DUMMYFUNCTION("IF(REGEXMATCH(E35, ""M3""), ""M"","""")"),"")</f>
        <v/>
      </c>
      <c r="U35" s="79" t="str">
        <f>IFERROR(__xludf.DUMMYFUNCTION("IF(REGEXMATCH(E35, ""M4""), ""mM"","""")"),"")</f>
        <v/>
      </c>
      <c r="V35" s="59" t="s">
        <v>11</v>
      </c>
      <c r="W35" s="84" t="str">
        <f>IFERROR(__xludf.DUMMYFUNCTION("IF(REGEXMATCH(E35, ""P1""), ""x"","""")"),"")</f>
        <v/>
      </c>
      <c r="X35" s="56" t="str">
        <f>IFERROR(__xludf.DUMMYFUNCTION("IF(REGEXMATCH(E35, ""P2""), ""P"","""")"),"")</f>
        <v/>
      </c>
      <c r="Y35" s="70" t="s">
        <v>11</v>
      </c>
      <c r="Z35" s="72" t="str">
        <f>IFERROR(__xludf.DUMMYFUNCTION("IF(REGEXMATCH(E35, ""D1""), ""x"","""")"),"")</f>
        <v/>
      </c>
      <c r="AA35" s="65" t="str">
        <f>IFERROR(__xludf.DUMMYFUNCTION("IF(REGEXMATCH(E35, ""D2""), ""d"","""")"),"")</f>
        <v/>
      </c>
      <c r="AB35" s="65" t="str">
        <f>IFERROR(__xludf.DUMMYFUNCTION("IF(REGEXMATCH(E35, ""D3""), ""D"","""")"),"")</f>
        <v/>
      </c>
      <c r="AC35" s="79" t="str">
        <f>IFERROR(__xludf.DUMMYFUNCTION("IF(REGEXMATCH(E35, ""D4""), ""dD"","""")"),"")</f>
        <v/>
      </c>
      <c r="AD35" s="70" t="s">
        <v>11</v>
      </c>
      <c r="AE35" s="72" t="str">
        <f>IFERROR(__xludf.DUMMYFUNCTION("IF(REGEXMATCH(E35, ""N1""), ""x"","""")"),"")</f>
        <v/>
      </c>
      <c r="AF35" s="65" t="str">
        <f>IFERROR(__xludf.DUMMYFUNCTION("IF(REGEXMATCH(E35, ""N2""), ""n"","""")"),"")</f>
        <v/>
      </c>
      <c r="AG35" s="65" t="str">
        <f>IFERROR(__xludf.DUMMYFUNCTION("IF(REGEXMATCH(E35, ""N3""), ""N"","""")"),"")</f>
        <v/>
      </c>
      <c r="AH35" s="79" t="str">
        <f>IFERROR(__xludf.DUMMYFUNCTION("IF(REGEXMATCH(E35, ""N4""), ""nN"","""")"),"")</f>
        <v/>
      </c>
      <c r="AI35" s="70" t="s">
        <v>11</v>
      </c>
      <c r="AJ35" s="92" t="str">
        <f t="shared" si="5"/>
        <v/>
      </c>
    </row>
    <row r="36">
      <c r="A36" s="33" t="str">
        <f t="shared" si="1"/>
        <v>S-R-g-M</v>
      </c>
      <c r="B36" s="33">
        <f t="shared" si="2"/>
        <v>4</v>
      </c>
      <c r="C36" s="33" t="str">
        <f t="shared" si="3"/>
        <v>S-R-g-M</v>
      </c>
      <c r="D36" s="49" t="s">
        <v>79</v>
      </c>
      <c r="E36" s="49" t="s">
        <v>236</v>
      </c>
      <c r="F36" s="56" t="str">
        <f t="shared" si="4"/>
        <v>S</v>
      </c>
      <c r="G36" s="59" t="s">
        <v>11</v>
      </c>
      <c r="H36" s="63" t="str">
        <f>IFERROR(__xludf.DUMMYFUNCTION("IF(REGEXMATCH(E36, ""R1""), ""x"","""")"),"")</f>
        <v/>
      </c>
      <c r="I36" s="65" t="str">
        <f>IFERROR(__xludf.DUMMYFUNCTION("IF(REGEXMATCH(E36, ""R2""), ""r"","""")"),"")</f>
        <v/>
      </c>
      <c r="J36" s="63" t="str">
        <f>IFERROR(__xludf.DUMMYFUNCTION("IF(REGEXMATCH(E36, ""R3""), ""R"","""")"),"R")</f>
        <v>R</v>
      </c>
      <c r="K36" s="65" t="str">
        <f>IFERROR(__xludf.DUMMYFUNCTION("IF(REGEXMATCH(E36, ""R4""), ""rR"","""")"),"")</f>
        <v/>
      </c>
      <c r="L36" s="70" t="s">
        <v>11</v>
      </c>
      <c r="M36" s="72" t="str">
        <f>IFERROR(__xludf.DUMMYFUNCTION("IF(REGEXMATCH(E36, ""G1""), ""x"","""")"),"")</f>
        <v/>
      </c>
      <c r="N36" s="65" t="str">
        <f>IFERROR(__xludf.DUMMYFUNCTION("IF(REGEXMATCH(E36, ""G2""), ""g"","""")"),"g")</f>
        <v>g</v>
      </c>
      <c r="O36" s="65" t="str">
        <f>IFERROR(__xludf.DUMMYFUNCTION("IF(REGEXMATCH(E36, ""G3""), ""G"","""")"),"")</f>
        <v/>
      </c>
      <c r="P36" s="79" t="str">
        <f>IFERROR(__xludf.DUMMYFUNCTION("IF(REGEXMATCH(E36, ""G4""), ""gG"","""")"),"")</f>
        <v/>
      </c>
      <c r="Q36" s="70" t="s">
        <v>11</v>
      </c>
      <c r="R36" s="72" t="str">
        <f>IFERROR(__xludf.DUMMYFUNCTION("IF(REGEXMATCH(E36, ""M1""), ""x"","""")"),"")</f>
        <v/>
      </c>
      <c r="S36" s="65" t="str">
        <f>IFERROR(__xludf.DUMMYFUNCTION("IF(REGEXMATCH(E36, ""M2""), ""m"","""")"),"")</f>
        <v/>
      </c>
      <c r="T36" s="65" t="str">
        <f>IFERROR(__xludf.DUMMYFUNCTION("IF(REGEXMATCH(E36, ""M3""), ""M"","""")"),"M")</f>
        <v>M</v>
      </c>
      <c r="U36" s="79" t="str">
        <f>IFERROR(__xludf.DUMMYFUNCTION("IF(REGEXMATCH(E36, ""M4""), ""mM"","""")"),"")</f>
        <v/>
      </c>
      <c r="V36" s="59" t="s">
        <v>11</v>
      </c>
      <c r="W36" s="84" t="str">
        <f>IFERROR(__xludf.DUMMYFUNCTION("IF(REGEXMATCH(E36, ""P1""), ""x"","""")"),"")</f>
        <v/>
      </c>
      <c r="X36" s="56" t="str">
        <f>IFERROR(__xludf.DUMMYFUNCTION("IF(REGEXMATCH(E36, ""P2""), ""P"","""")"),"")</f>
        <v/>
      </c>
      <c r="Y36" s="70" t="s">
        <v>11</v>
      </c>
      <c r="Z36" s="72" t="str">
        <f>IFERROR(__xludf.DUMMYFUNCTION("IF(REGEXMATCH(E36, ""D1""), ""x"","""")"),"")</f>
        <v/>
      </c>
      <c r="AA36" s="65" t="str">
        <f>IFERROR(__xludf.DUMMYFUNCTION("IF(REGEXMATCH(E36, ""D2""), ""d"","""")"),"")</f>
        <v/>
      </c>
      <c r="AB36" s="65" t="str">
        <f>IFERROR(__xludf.DUMMYFUNCTION("IF(REGEXMATCH(E36, ""D3""), ""D"","""")"),"")</f>
        <v/>
      </c>
      <c r="AC36" s="79" t="str">
        <f>IFERROR(__xludf.DUMMYFUNCTION("IF(REGEXMATCH(E36, ""D4""), ""dD"","""")"),"")</f>
        <v/>
      </c>
      <c r="AD36" s="70" t="s">
        <v>11</v>
      </c>
      <c r="AE36" s="72" t="str">
        <f>IFERROR(__xludf.DUMMYFUNCTION("IF(REGEXMATCH(E36, ""N1""), ""x"","""")"),"")</f>
        <v/>
      </c>
      <c r="AF36" s="65" t="str">
        <f>IFERROR(__xludf.DUMMYFUNCTION("IF(REGEXMATCH(E36, ""N2""), ""n"","""")"),"")</f>
        <v/>
      </c>
      <c r="AG36" s="65" t="str">
        <f>IFERROR(__xludf.DUMMYFUNCTION("IF(REGEXMATCH(E36, ""N3""), ""N"","""")"),"")</f>
        <v/>
      </c>
      <c r="AH36" s="79" t="str">
        <f>IFERROR(__xludf.DUMMYFUNCTION("IF(REGEXMATCH(E36, ""N4""), ""nN"","""")"),"")</f>
        <v/>
      </c>
      <c r="AI36" s="70" t="s">
        <v>11</v>
      </c>
      <c r="AJ36" s="92" t="str">
        <f t="shared" si="5"/>
        <v/>
      </c>
    </row>
    <row r="37">
      <c r="A37" s="33" t="str">
        <f t="shared" si="1"/>
        <v>S-R-G-m</v>
      </c>
      <c r="B37" s="33">
        <f t="shared" si="2"/>
        <v>4</v>
      </c>
      <c r="C37" s="33" t="str">
        <f t="shared" si="3"/>
        <v>S-R-G-m</v>
      </c>
      <c r="D37" s="49" t="s">
        <v>79</v>
      </c>
      <c r="E37" s="49" t="s">
        <v>238</v>
      </c>
      <c r="F37" s="56" t="str">
        <f t="shared" si="4"/>
        <v>S</v>
      </c>
      <c r="G37" s="59" t="s">
        <v>11</v>
      </c>
      <c r="H37" s="63" t="str">
        <f>IFERROR(__xludf.DUMMYFUNCTION("IF(REGEXMATCH(E37, ""R1""), ""x"","""")"),"")</f>
        <v/>
      </c>
      <c r="I37" s="65" t="str">
        <f>IFERROR(__xludf.DUMMYFUNCTION("IF(REGEXMATCH(E37, ""R2""), ""r"","""")"),"")</f>
        <v/>
      </c>
      <c r="J37" s="63" t="str">
        <f>IFERROR(__xludf.DUMMYFUNCTION("IF(REGEXMATCH(E37, ""R3""), ""R"","""")"),"R")</f>
        <v>R</v>
      </c>
      <c r="K37" s="65" t="str">
        <f>IFERROR(__xludf.DUMMYFUNCTION("IF(REGEXMATCH(E37, ""R4""), ""rR"","""")"),"")</f>
        <v/>
      </c>
      <c r="L37" s="70" t="s">
        <v>11</v>
      </c>
      <c r="M37" s="72" t="str">
        <f>IFERROR(__xludf.DUMMYFUNCTION("IF(REGEXMATCH(E37, ""G1""), ""x"","""")"),"")</f>
        <v/>
      </c>
      <c r="N37" s="65" t="str">
        <f>IFERROR(__xludf.DUMMYFUNCTION("IF(REGEXMATCH(E37, ""G2""), ""g"","""")"),"")</f>
        <v/>
      </c>
      <c r="O37" s="65" t="str">
        <f>IFERROR(__xludf.DUMMYFUNCTION("IF(REGEXMATCH(E37, ""G3""), ""G"","""")"),"G")</f>
        <v>G</v>
      </c>
      <c r="P37" s="79" t="str">
        <f>IFERROR(__xludf.DUMMYFUNCTION("IF(REGEXMATCH(E37, ""G4""), ""gG"","""")"),"")</f>
        <v/>
      </c>
      <c r="Q37" s="70" t="s">
        <v>11</v>
      </c>
      <c r="R37" s="72" t="str">
        <f>IFERROR(__xludf.DUMMYFUNCTION("IF(REGEXMATCH(E37, ""M1""), ""x"","""")"),"")</f>
        <v/>
      </c>
      <c r="S37" s="65" t="str">
        <f>IFERROR(__xludf.DUMMYFUNCTION("IF(REGEXMATCH(E37, ""M2""), ""m"","""")"),"m")</f>
        <v>m</v>
      </c>
      <c r="T37" s="65" t="str">
        <f>IFERROR(__xludf.DUMMYFUNCTION("IF(REGEXMATCH(E37, ""M3""), ""M"","""")"),"")</f>
        <v/>
      </c>
      <c r="U37" s="79" t="str">
        <f>IFERROR(__xludf.DUMMYFUNCTION("IF(REGEXMATCH(E37, ""M4""), ""mM"","""")"),"")</f>
        <v/>
      </c>
      <c r="V37" s="59" t="s">
        <v>11</v>
      </c>
      <c r="W37" s="84" t="str">
        <f>IFERROR(__xludf.DUMMYFUNCTION("IF(REGEXMATCH(E37, ""P1""), ""x"","""")"),"")</f>
        <v/>
      </c>
      <c r="X37" s="56" t="str">
        <f>IFERROR(__xludf.DUMMYFUNCTION("IF(REGEXMATCH(E37, ""P2""), ""P"","""")"),"")</f>
        <v/>
      </c>
      <c r="Y37" s="70" t="s">
        <v>11</v>
      </c>
      <c r="Z37" s="72" t="str">
        <f>IFERROR(__xludf.DUMMYFUNCTION("IF(REGEXMATCH(E37, ""D1""), ""x"","""")"),"")</f>
        <v/>
      </c>
      <c r="AA37" s="65" t="str">
        <f>IFERROR(__xludf.DUMMYFUNCTION("IF(REGEXMATCH(E37, ""D2""), ""d"","""")"),"")</f>
        <v/>
      </c>
      <c r="AB37" s="65" t="str">
        <f>IFERROR(__xludf.DUMMYFUNCTION("IF(REGEXMATCH(E37, ""D3""), ""D"","""")"),"")</f>
        <v/>
      </c>
      <c r="AC37" s="79" t="str">
        <f>IFERROR(__xludf.DUMMYFUNCTION("IF(REGEXMATCH(E37, ""D4""), ""dD"","""")"),"")</f>
        <v/>
      </c>
      <c r="AD37" s="70" t="s">
        <v>11</v>
      </c>
      <c r="AE37" s="72" t="str">
        <f>IFERROR(__xludf.DUMMYFUNCTION("IF(REGEXMATCH(E37, ""N1""), ""x"","""")"),"")</f>
        <v/>
      </c>
      <c r="AF37" s="65" t="str">
        <f>IFERROR(__xludf.DUMMYFUNCTION("IF(REGEXMATCH(E37, ""N2""), ""n"","""")"),"")</f>
        <v/>
      </c>
      <c r="AG37" s="65" t="str">
        <f>IFERROR(__xludf.DUMMYFUNCTION("IF(REGEXMATCH(E37, ""N3""), ""N"","""")"),"")</f>
        <v/>
      </c>
      <c r="AH37" s="79" t="str">
        <f>IFERROR(__xludf.DUMMYFUNCTION("IF(REGEXMATCH(E37, ""N4""), ""nN"","""")"),"")</f>
        <v/>
      </c>
      <c r="AI37" s="70" t="s">
        <v>11</v>
      </c>
      <c r="AJ37" s="92" t="str">
        <f t="shared" si="5"/>
        <v/>
      </c>
    </row>
    <row r="38">
      <c r="A38" s="33" t="str">
        <f t="shared" si="1"/>
        <v>S-R-G-M</v>
      </c>
      <c r="B38" s="33">
        <f t="shared" si="2"/>
        <v>4</v>
      </c>
      <c r="C38" s="33" t="str">
        <f t="shared" si="3"/>
        <v>S-R-G-M</v>
      </c>
      <c r="D38" s="49" t="s">
        <v>79</v>
      </c>
      <c r="E38" s="49" t="s">
        <v>240</v>
      </c>
      <c r="F38" s="56" t="str">
        <f t="shared" si="4"/>
        <v>S</v>
      </c>
      <c r="G38" s="59" t="s">
        <v>11</v>
      </c>
      <c r="H38" s="63" t="str">
        <f>IFERROR(__xludf.DUMMYFUNCTION("IF(REGEXMATCH(E38, ""R1""), ""x"","""")"),"")</f>
        <v/>
      </c>
      <c r="I38" s="65" t="str">
        <f>IFERROR(__xludf.DUMMYFUNCTION("IF(REGEXMATCH(E38, ""R2""), ""r"","""")"),"")</f>
        <v/>
      </c>
      <c r="J38" s="63" t="str">
        <f>IFERROR(__xludf.DUMMYFUNCTION("IF(REGEXMATCH(E38, ""R3""), ""R"","""")"),"R")</f>
        <v>R</v>
      </c>
      <c r="K38" s="65" t="str">
        <f>IFERROR(__xludf.DUMMYFUNCTION("IF(REGEXMATCH(E38, ""R4""), ""rR"","""")"),"")</f>
        <v/>
      </c>
      <c r="L38" s="70" t="s">
        <v>11</v>
      </c>
      <c r="M38" s="72" t="str">
        <f>IFERROR(__xludf.DUMMYFUNCTION("IF(REGEXMATCH(E38, ""G1""), ""x"","""")"),"")</f>
        <v/>
      </c>
      <c r="N38" s="65" t="str">
        <f>IFERROR(__xludf.DUMMYFUNCTION("IF(REGEXMATCH(E38, ""G2""), ""g"","""")"),"")</f>
        <v/>
      </c>
      <c r="O38" s="65" t="str">
        <f>IFERROR(__xludf.DUMMYFUNCTION("IF(REGEXMATCH(E38, ""G3""), ""G"","""")"),"G")</f>
        <v>G</v>
      </c>
      <c r="P38" s="79" t="str">
        <f>IFERROR(__xludf.DUMMYFUNCTION("IF(REGEXMATCH(E38, ""G4""), ""gG"","""")"),"")</f>
        <v/>
      </c>
      <c r="Q38" s="70" t="s">
        <v>11</v>
      </c>
      <c r="R38" s="72" t="str">
        <f>IFERROR(__xludf.DUMMYFUNCTION("IF(REGEXMATCH(E38, ""M1""), ""x"","""")"),"")</f>
        <v/>
      </c>
      <c r="S38" s="65" t="str">
        <f>IFERROR(__xludf.DUMMYFUNCTION("IF(REGEXMATCH(E38, ""M2""), ""m"","""")"),"")</f>
        <v/>
      </c>
      <c r="T38" s="65" t="str">
        <f>IFERROR(__xludf.DUMMYFUNCTION("IF(REGEXMATCH(E38, ""M3""), ""M"","""")"),"M")</f>
        <v>M</v>
      </c>
      <c r="U38" s="79" t="str">
        <f>IFERROR(__xludf.DUMMYFUNCTION("IF(REGEXMATCH(E38, ""M4""), ""mM"","""")"),"")</f>
        <v/>
      </c>
      <c r="V38" s="59" t="s">
        <v>11</v>
      </c>
      <c r="W38" s="84" t="str">
        <f>IFERROR(__xludf.DUMMYFUNCTION("IF(REGEXMATCH(E38, ""P1""), ""x"","""")"),"")</f>
        <v/>
      </c>
      <c r="X38" s="56" t="str">
        <f>IFERROR(__xludf.DUMMYFUNCTION("IF(REGEXMATCH(E38, ""P2""), ""P"","""")"),"")</f>
        <v/>
      </c>
      <c r="Y38" s="70" t="s">
        <v>11</v>
      </c>
      <c r="Z38" s="72" t="str">
        <f>IFERROR(__xludf.DUMMYFUNCTION("IF(REGEXMATCH(E38, ""D1""), ""x"","""")"),"")</f>
        <v/>
      </c>
      <c r="AA38" s="65" t="str">
        <f>IFERROR(__xludf.DUMMYFUNCTION("IF(REGEXMATCH(E38, ""D2""), ""d"","""")"),"")</f>
        <v/>
      </c>
      <c r="AB38" s="65" t="str">
        <f>IFERROR(__xludf.DUMMYFUNCTION("IF(REGEXMATCH(E38, ""D3""), ""D"","""")"),"")</f>
        <v/>
      </c>
      <c r="AC38" s="79" t="str">
        <f>IFERROR(__xludf.DUMMYFUNCTION("IF(REGEXMATCH(E38, ""D4""), ""dD"","""")"),"")</f>
        <v/>
      </c>
      <c r="AD38" s="70" t="s">
        <v>11</v>
      </c>
      <c r="AE38" s="72" t="str">
        <f>IFERROR(__xludf.DUMMYFUNCTION("IF(REGEXMATCH(E38, ""N1""), ""x"","""")"),"")</f>
        <v/>
      </c>
      <c r="AF38" s="65" t="str">
        <f>IFERROR(__xludf.DUMMYFUNCTION("IF(REGEXMATCH(E38, ""N2""), ""n"","""")"),"")</f>
        <v/>
      </c>
      <c r="AG38" s="65" t="str">
        <f>IFERROR(__xludf.DUMMYFUNCTION("IF(REGEXMATCH(E38, ""N3""), ""N"","""")"),"")</f>
        <v/>
      </c>
      <c r="AH38" s="79" t="str">
        <f>IFERROR(__xludf.DUMMYFUNCTION("IF(REGEXMATCH(E38, ""N4""), ""nN"","""")"),"")</f>
        <v/>
      </c>
      <c r="AI38" s="70" t="s">
        <v>11</v>
      </c>
      <c r="AJ38" s="92" t="str">
        <f t="shared" si="5"/>
        <v/>
      </c>
    </row>
    <row r="39">
      <c r="A39" s="33" t="str">
        <f t="shared" si="1"/>
        <v>S-R-gG</v>
      </c>
      <c r="B39" s="33">
        <f t="shared" si="2"/>
        <v>4</v>
      </c>
      <c r="C39" s="33" t="str">
        <f t="shared" si="3"/>
        <v>S-R-gG-x</v>
      </c>
      <c r="D39" s="49" t="s">
        <v>79</v>
      </c>
      <c r="E39" s="49" t="s">
        <v>243</v>
      </c>
      <c r="F39" s="56" t="str">
        <f t="shared" si="4"/>
        <v>S</v>
      </c>
      <c r="G39" s="59" t="s">
        <v>11</v>
      </c>
      <c r="H39" s="63" t="str">
        <f>IFERROR(__xludf.DUMMYFUNCTION("IF(REGEXMATCH(E39, ""R1""), ""x"","""")"),"")</f>
        <v/>
      </c>
      <c r="I39" s="65" t="str">
        <f>IFERROR(__xludf.DUMMYFUNCTION("IF(REGEXMATCH(E39, ""R2""), ""r"","""")"),"")</f>
        <v/>
      </c>
      <c r="J39" s="63" t="str">
        <f>IFERROR(__xludf.DUMMYFUNCTION("IF(REGEXMATCH(E39, ""R3""), ""R"","""")"),"R")</f>
        <v>R</v>
      </c>
      <c r="K39" s="65" t="str">
        <f>IFERROR(__xludf.DUMMYFUNCTION("IF(REGEXMATCH(E39, ""R4""), ""rR"","""")"),"")</f>
        <v/>
      </c>
      <c r="L39" s="70" t="s">
        <v>11</v>
      </c>
      <c r="M39" s="72" t="str">
        <f>IFERROR(__xludf.DUMMYFUNCTION("IF(REGEXMATCH(E39, ""G1""), ""x"","""")"),"")</f>
        <v/>
      </c>
      <c r="N39" s="65" t="str">
        <f>IFERROR(__xludf.DUMMYFUNCTION("IF(REGEXMATCH(E39, ""G2""), ""g"","""")"),"")</f>
        <v/>
      </c>
      <c r="O39" s="65" t="str">
        <f>IFERROR(__xludf.DUMMYFUNCTION("IF(REGEXMATCH(E39, ""G3""), ""G"","""")"),"")</f>
        <v/>
      </c>
      <c r="P39" s="79" t="str">
        <f>IFERROR(__xludf.DUMMYFUNCTION("IF(REGEXMATCH(E39, ""G4""), ""gG"","""")"),"gG")</f>
        <v>gG</v>
      </c>
      <c r="Q39" s="70" t="s">
        <v>11</v>
      </c>
      <c r="R39" s="72" t="str">
        <f>IFERROR(__xludf.DUMMYFUNCTION("IF(REGEXMATCH(E39, ""M1""), ""x"","""")"),"x")</f>
        <v>x</v>
      </c>
      <c r="S39" s="65" t="str">
        <f>IFERROR(__xludf.DUMMYFUNCTION("IF(REGEXMATCH(E39, ""M2""), ""m"","""")"),"")</f>
        <v/>
      </c>
      <c r="T39" s="65" t="str">
        <f>IFERROR(__xludf.DUMMYFUNCTION("IF(REGEXMATCH(E39, ""M3""), ""M"","""")"),"")</f>
        <v/>
      </c>
      <c r="U39" s="79" t="str">
        <f>IFERROR(__xludf.DUMMYFUNCTION("IF(REGEXMATCH(E39, ""M4""), ""mM"","""")"),"")</f>
        <v/>
      </c>
      <c r="V39" s="59" t="s">
        <v>11</v>
      </c>
      <c r="W39" s="84" t="str">
        <f>IFERROR(__xludf.DUMMYFUNCTION("IF(REGEXMATCH(E39, ""P1""), ""x"","""")"),"")</f>
        <v/>
      </c>
      <c r="X39" s="56" t="str">
        <f>IFERROR(__xludf.DUMMYFUNCTION("IF(REGEXMATCH(E39, ""P2""), ""P"","""")"),"")</f>
        <v/>
      </c>
      <c r="Y39" s="70" t="s">
        <v>11</v>
      </c>
      <c r="Z39" s="72" t="str">
        <f>IFERROR(__xludf.DUMMYFUNCTION("IF(REGEXMATCH(E39, ""D1""), ""x"","""")"),"")</f>
        <v/>
      </c>
      <c r="AA39" s="65" t="str">
        <f>IFERROR(__xludf.DUMMYFUNCTION("IF(REGEXMATCH(E39, ""D2""), ""d"","""")"),"")</f>
        <v/>
      </c>
      <c r="AB39" s="65" t="str">
        <f>IFERROR(__xludf.DUMMYFUNCTION("IF(REGEXMATCH(E39, ""D3""), ""D"","""")"),"")</f>
        <v/>
      </c>
      <c r="AC39" s="79" t="str">
        <f>IFERROR(__xludf.DUMMYFUNCTION("IF(REGEXMATCH(E39, ""D4""), ""dD"","""")"),"")</f>
        <v/>
      </c>
      <c r="AD39" s="70" t="s">
        <v>11</v>
      </c>
      <c r="AE39" s="72" t="str">
        <f>IFERROR(__xludf.DUMMYFUNCTION("IF(REGEXMATCH(E39, ""N1""), ""x"","""")"),"")</f>
        <v/>
      </c>
      <c r="AF39" s="65" t="str">
        <f>IFERROR(__xludf.DUMMYFUNCTION("IF(REGEXMATCH(E39, ""N2""), ""n"","""")"),"")</f>
        <v/>
      </c>
      <c r="AG39" s="65" t="str">
        <f>IFERROR(__xludf.DUMMYFUNCTION("IF(REGEXMATCH(E39, ""N3""), ""N"","""")"),"")</f>
        <v/>
      </c>
      <c r="AH39" s="79" t="str">
        <f>IFERROR(__xludf.DUMMYFUNCTION("IF(REGEXMATCH(E39, ""N4""), ""nN"","""")"),"")</f>
        <v/>
      </c>
      <c r="AI39" s="70" t="s">
        <v>11</v>
      </c>
      <c r="AJ39" s="92" t="str">
        <f t="shared" si="5"/>
        <v/>
      </c>
    </row>
    <row r="40">
      <c r="A40" s="33" t="str">
        <f t="shared" si="1"/>
        <v>S-rR-m</v>
      </c>
      <c r="B40" s="33">
        <f t="shared" si="2"/>
        <v>4</v>
      </c>
      <c r="C40" s="33" t="str">
        <f t="shared" si="3"/>
        <v>S-rR-x-m</v>
      </c>
      <c r="D40" s="49" t="s">
        <v>79</v>
      </c>
      <c r="E40" s="49" t="s">
        <v>246</v>
      </c>
      <c r="F40" s="56" t="str">
        <f t="shared" si="4"/>
        <v>S</v>
      </c>
      <c r="G40" s="59" t="s">
        <v>11</v>
      </c>
      <c r="H40" s="63" t="str">
        <f>IFERROR(__xludf.DUMMYFUNCTION("IF(REGEXMATCH(E40, ""R1""), ""x"","""")"),"")</f>
        <v/>
      </c>
      <c r="I40" s="65" t="str">
        <f>IFERROR(__xludf.DUMMYFUNCTION("IF(REGEXMATCH(E40, ""R2""), ""r"","""")"),"")</f>
        <v/>
      </c>
      <c r="J40" s="63" t="str">
        <f>IFERROR(__xludf.DUMMYFUNCTION("IF(REGEXMATCH(E40, ""R3""), ""R"","""")"),"")</f>
        <v/>
      </c>
      <c r="K40" s="65" t="str">
        <f>IFERROR(__xludf.DUMMYFUNCTION("IF(REGEXMATCH(E40, ""R4""), ""rR"","""")"),"rR")</f>
        <v>rR</v>
      </c>
      <c r="L40" s="70" t="s">
        <v>11</v>
      </c>
      <c r="M40" s="72" t="str">
        <f>IFERROR(__xludf.DUMMYFUNCTION("IF(REGEXMATCH(E40, ""G1""), ""x"","""")"),"x")</f>
        <v>x</v>
      </c>
      <c r="N40" s="65" t="str">
        <f>IFERROR(__xludf.DUMMYFUNCTION("IF(REGEXMATCH(E40, ""G2""), ""g"","""")"),"")</f>
        <v/>
      </c>
      <c r="O40" s="65" t="str">
        <f>IFERROR(__xludf.DUMMYFUNCTION("IF(REGEXMATCH(E40, ""G3""), ""G"","""")"),"")</f>
        <v/>
      </c>
      <c r="P40" s="79" t="str">
        <f>IFERROR(__xludf.DUMMYFUNCTION("IF(REGEXMATCH(E40, ""G4""), ""gG"","""")"),"")</f>
        <v/>
      </c>
      <c r="Q40" s="70" t="s">
        <v>11</v>
      </c>
      <c r="R40" s="72" t="str">
        <f>IFERROR(__xludf.DUMMYFUNCTION("IF(REGEXMATCH(E40, ""M1""), ""x"","""")"),"")</f>
        <v/>
      </c>
      <c r="S40" s="65" t="str">
        <f>IFERROR(__xludf.DUMMYFUNCTION("IF(REGEXMATCH(E40, ""M2""), ""m"","""")"),"m")</f>
        <v>m</v>
      </c>
      <c r="T40" s="65" t="str">
        <f>IFERROR(__xludf.DUMMYFUNCTION("IF(REGEXMATCH(E40, ""M3""), ""M"","""")"),"")</f>
        <v/>
      </c>
      <c r="U40" s="79" t="str">
        <f>IFERROR(__xludf.DUMMYFUNCTION("IF(REGEXMATCH(E40, ""M4""), ""mM"","""")"),"")</f>
        <v/>
      </c>
      <c r="V40" s="59" t="s">
        <v>11</v>
      </c>
      <c r="W40" s="84" t="str">
        <f>IFERROR(__xludf.DUMMYFUNCTION("IF(REGEXMATCH(E40, ""P1""), ""x"","""")"),"")</f>
        <v/>
      </c>
      <c r="X40" s="56" t="str">
        <f>IFERROR(__xludf.DUMMYFUNCTION("IF(REGEXMATCH(E40, ""P2""), ""P"","""")"),"")</f>
        <v/>
      </c>
      <c r="Y40" s="70" t="s">
        <v>11</v>
      </c>
      <c r="Z40" s="72" t="str">
        <f>IFERROR(__xludf.DUMMYFUNCTION("IF(REGEXMATCH(E40, ""D1""), ""x"","""")"),"")</f>
        <v/>
      </c>
      <c r="AA40" s="65" t="str">
        <f>IFERROR(__xludf.DUMMYFUNCTION("IF(REGEXMATCH(E40, ""D2""), ""d"","""")"),"")</f>
        <v/>
      </c>
      <c r="AB40" s="65" t="str">
        <f>IFERROR(__xludf.DUMMYFUNCTION("IF(REGEXMATCH(E40, ""D3""), ""D"","""")"),"")</f>
        <v/>
      </c>
      <c r="AC40" s="79" t="str">
        <f>IFERROR(__xludf.DUMMYFUNCTION("IF(REGEXMATCH(E40, ""D4""), ""dD"","""")"),"")</f>
        <v/>
      </c>
      <c r="AD40" s="70" t="s">
        <v>11</v>
      </c>
      <c r="AE40" s="72" t="str">
        <f>IFERROR(__xludf.DUMMYFUNCTION("IF(REGEXMATCH(E40, ""N1""), ""x"","""")"),"")</f>
        <v/>
      </c>
      <c r="AF40" s="65" t="str">
        <f>IFERROR(__xludf.DUMMYFUNCTION("IF(REGEXMATCH(E40, ""N2""), ""n"","""")"),"")</f>
        <v/>
      </c>
      <c r="AG40" s="65" t="str">
        <f>IFERROR(__xludf.DUMMYFUNCTION("IF(REGEXMATCH(E40, ""N3""), ""N"","""")"),"")</f>
        <v/>
      </c>
      <c r="AH40" s="79" t="str">
        <f>IFERROR(__xludf.DUMMYFUNCTION("IF(REGEXMATCH(E40, ""N4""), ""nN"","""")"),"")</f>
        <v/>
      </c>
      <c r="AI40" s="70" t="s">
        <v>11</v>
      </c>
      <c r="AJ40" s="92" t="str">
        <f t="shared" si="5"/>
        <v/>
      </c>
    </row>
    <row r="41">
      <c r="A41" s="33" t="str">
        <f t="shared" si="1"/>
        <v>S-rR-M</v>
      </c>
      <c r="B41" s="33">
        <f t="shared" si="2"/>
        <v>4</v>
      </c>
      <c r="C41" s="33" t="str">
        <f t="shared" si="3"/>
        <v>S-rR-x-M</v>
      </c>
      <c r="D41" s="49" t="s">
        <v>79</v>
      </c>
      <c r="E41" s="49" t="s">
        <v>248</v>
      </c>
      <c r="F41" s="56" t="str">
        <f t="shared" si="4"/>
        <v>S</v>
      </c>
      <c r="G41" s="59" t="s">
        <v>11</v>
      </c>
      <c r="H41" s="63" t="str">
        <f>IFERROR(__xludf.DUMMYFUNCTION("IF(REGEXMATCH(E41, ""R1""), ""x"","""")"),"")</f>
        <v/>
      </c>
      <c r="I41" s="65" t="str">
        <f>IFERROR(__xludf.DUMMYFUNCTION("IF(REGEXMATCH(E41, ""R2""), ""r"","""")"),"")</f>
        <v/>
      </c>
      <c r="J41" s="63" t="str">
        <f>IFERROR(__xludf.DUMMYFUNCTION("IF(REGEXMATCH(E41, ""R3""), ""R"","""")"),"")</f>
        <v/>
      </c>
      <c r="K41" s="65" t="str">
        <f>IFERROR(__xludf.DUMMYFUNCTION("IF(REGEXMATCH(E41, ""R4""), ""rR"","""")"),"rR")</f>
        <v>rR</v>
      </c>
      <c r="L41" s="70" t="s">
        <v>11</v>
      </c>
      <c r="M41" s="72" t="str">
        <f>IFERROR(__xludf.DUMMYFUNCTION("IF(REGEXMATCH(E41, ""G1""), ""x"","""")"),"x")</f>
        <v>x</v>
      </c>
      <c r="N41" s="65" t="str">
        <f>IFERROR(__xludf.DUMMYFUNCTION("IF(REGEXMATCH(E41, ""G2""), ""g"","""")"),"")</f>
        <v/>
      </c>
      <c r="O41" s="65" t="str">
        <f>IFERROR(__xludf.DUMMYFUNCTION("IF(REGEXMATCH(E41, ""G3""), ""G"","""")"),"")</f>
        <v/>
      </c>
      <c r="P41" s="79" t="str">
        <f>IFERROR(__xludf.DUMMYFUNCTION("IF(REGEXMATCH(E41, ""G4""), ""gG"","""")"),"")</f>
        <v/>
      </c>
      <c r="Q41" s="70" t="s">
        <v>11</v>
      </c>
      <c r="R41" s="72" t="str">
        <f>IFERROR(__xludf.DUMMYFUNCTION("IF(REGEXMATCH(E41, ""M1""), ""x"","""")"),"")</f>
        <v/>
      </c>
      <c r="S41" s="65" t="str">
        <f>IFERROR(__xludf.DUMMYFUNCTION("IF(REGEXMATCH(E41, ""M2""), ""m"","""")"),"")</f>
        <v/>
      </c>
      <c r="T41" s="65" t="str">
        <f>IFERROR(__xludf.DUMMYFUNCTION("IF(REGEXMATCH(E41, ""M3""), ""M"","""")"),"M")</f>
        <v>M</v>
      </c>
      <c r="U41" s="79" t="str">
        <f>IFERROR(__xludf.DUMMYFUNCTION("IF(REGEXMATCH(E41, ""M4""), ""mM"","""")"),"")</f>
        <v/>
      </c>
      <c r="V41" s="59" t="s">
        <v>11</v>
      </c>
      <c r="W41" s="84" t="str">
        <f>IFERROR(__xludf.DUMMYFUNCTION("IF(REGEXMATCH(E41, ""P1""), ""x"","""")"),"")</f>
        <v/>
      </c>
      <c r="X41" s="56" t="str">
        <f>IFERROR(__xludf.DUMMYFUNCTION("IF(REGEXMATCH(E41, ""P2""), ""P"","""")"),"")</f>
        <v/>
      </c>
      <c r="Y41" s="70" t="s">
        <v>11</v>
      </c>
      <c r="Z41" s="72" t="str">
        <f>IFERROR(__xludf.DUMMYFUNCTION("IF(REGEXMATCH(E41, ""D1""), ""x"","""")"),"")</f>
        <v/>
      </c>
      <c r="AA41" s="65" t="str">
        <f>IFERROR(__xludf.DUMMYFUNCTION("IF(REGEXMATCH(E41, ""D2""), ""d"","""")"),"")</f>
        <v/>
      </c>
      <c r="AB41" s="65" t="str">
        <f>IFERROR(__xludf.DUMMYFUNCTION("IF(REGEXMATCH(E41, ""D3""), ""D"","""")"),"")</f>
        <v/>
      </c>
      <c r="AC41" s="79" t="str">
        <f>IFERROR(__xludf.DUMMYFUNCTION("IF(REGEXMATCH(E41, ""D4""), ""dD"","""")"),"")</f>
        <v/>
      </c>
      <c r="AD41" s="70" t="s">
        <v>11</v>
      </c>
      <c r="AE41" s="72" t="str">
        <f>IFERROR(__xludf.DUMMYFUNCTION("IF(REGEXMATCH(E41, ""N1""), ""x"","""")"),"")</f>
        <v/>
      </c>
      <c r="AF41" s="65" t="str">
        <f>IFERROR(__xludf.DUMMYFUNCTION("IF(REGEXMATCH(E41, ""N2""), ""n"","""")"),"")</f>
        <v/>
      </c>
      <c r="AG41" s="65" t="str">
        <f>IFERROR(__xludf.DUMMYFUNCTION("IF(REGEXMATCH(E41, ""N3""), ""N"","""")"),"")</f>
        <v/>
      </c>
      <c r="AH41" s="79" t="str">
        <f>IFERROR(__xludf.DUMMYFUNCTION("IF(REGEXMATCH(E41, ""N4""), ""nN"","""")"),"")</f>
        <v/>
      </c>
      <c r="AI41" s="70" t="s">
        <v>11</v>
      </c>
      <c r="AJ41" s="92" t="str">
        <f t="shared" si="5"/>
        <v/>
      </c>
    </row>
    <row r="42">
      <c r="A42" s="33" t="str">
        <f t="shared" si="1"/>
        <v>S-rR-g</v>
      </c>
      <c r="B42" s="33">
        <f t="shared" si="2"/>
        <v>4</v>
      </c>
      <c r="C42" s="33" t="str">
        <f t="shared" si="3"/>
        <v>S-rR-g-x</v>
      </c>
      <c r="D42" s="49" t="s">
        <v>79</v>
      </c>
      <c r="E42" s="49" t="s">
        <v>250</v>
      </c>
      <c r="F42" s="56" t="str">
        <f t="shared" si="4"/>
        <v>S</v>
      </c>
      <c r="G42" s="59" t="s">
        <v>11</v>
      </c>
      <c r="H42" s="63" t="str">
        <f>IFERROR(__xludf.DUMMYFUNCTION("IF(REGEXMATCH(E42, ""R1""), ""x"","""")"),"")</f>
        <v/>
      </c>
      <c r="I42" s="65" t="str">
        <f>IFERROR(__xludf.DUMMYFUNCTION("IF(REGEXMATCH(E42, ""R2""), ""r"","""")"),"")</f>
        <v/>
      </c>
      <c r="J42" s="63" t="str">
        <f>IFERROR(__xludf.DUMMYFUNCTION("IF(REGEXMATCH(E42, ""R3""), ""R"","""")"),"")</f>
        <v/>
      </c>
      <c r="K42" s="65" t="str">
        <f>IFERROR(__xludf.DUMMYFUNCTION("IF(REGEXMATCH(E42, ""R4""), ""rR"","""")"),"rR")</f>
        <v>rR</v>
      </c>
      <c r="L42" s="70" t="s">
        <v>11</v>
      </c>
      <c r="M42" s="72" t="str">
        <f>IFERROR(__xludf.DUMMYFUNCTION("IF(REGEXMATCH(E42, ""G1""), ""x"","""")"),"")</f>
        <v/>
      </c>
      <c r="N42" s="65" t="str">
        <f>IFERROR(__xludf.DUMMYFUNCTION("IF(REGEXMATCH(E42, ""G2""), ""g"","""")"),"g")</f>
        <v>g</v>
      </c>
      <c r="O42" s="65" t="str">
        <f>IFERROR(__xludf.DUMMYFUNCTION("IF(REGEXMATCH(E42, ""G3""), ""G"","""")"),"")</f>
        <v/>
      </c>
      <c r="P42" s="79" t="str">
        <f>IFERROR(__xludf.DUMMYFUNCTION("IF(REGEXMATCH(E42, ""G4""), ""gG"","""")"),"")</f>
        <v/>
      </c>
      <c r="Q42" s="70" t="s">
        <v>11</v>
      </c>
      <c r="R42" s="72" t="str">
        <f>IFERROR(__xludf.DUMMYFUNCTION("IF(REGEXMATCH(E42, ""M1""), ""x"","""")"),"x")</f>
        <v>x</v>
      </c>
      <c r="S42" s="65" t="str">
        <f>IFERROR(__xludf.DUMMYFUNCTION("IF(REGEXMATCH(E42, ""M2""), ""m"","""")"),"")</f>
        <v/>
      </c>
      <c r="T42" s="65" t="str">
        <f>IFERROR(__xludf.DUMMYFUNCTION("IF(REGEXMATCH(E42, ""M3""), ""M"","""")"),"")</f>
        <v/>
      </c>
      <c r="U42" s="79" t="str">
        <f>IFERROR(__xludf.DUMMYFUNCTION("IF(REGEXMATCH(E42, ""M4""), ""mM"","""")"),"")</f>
        <v/>
      </c>
      <c r="V42" s="59" t="s">
        <v>11</v>
      </c>
      <c r="W42" s="84" t="str">
        <f>IFERROR(__xludf.DUMMYFUNCTION("IF(REGEXMATCH(E42, ""P1""), ""x"","""")"),"")</f>
        <v/>
      </c>
      <c r="X42" s="56" t="str">
        <f>IFERROR(__xludf.DUMMYFUNCTION("IF(REGEXMATCH(E42, ""P2""), ""P"","""")"),"")</f>
        <v/>
      </c>
      <c r="Y42" s="70" t="s">
        <v>11</v>
      </c>
      <c r="Z42" s="72" t="str">
        <f>IFERROR(__xludf.DUMMYFUNCTION("IF(REGEXMATCH(E42, ""D1""), ""x"","""")"),"")</f>
        <v/>
      </c>
      <c r="AA42" s="65" t="str">
        <f>IFERROR(__xludf.DUMMYFUNCTION("IF(REGEXMATCH(E42, ""D2""), ""d"","""")"),"")</f>
        <v/>
      </c>
      <c r="AB42" s="65" t="str">
        <f>IFERROR(__xludf.DUMMYFUNCTION("IF(REGEXMATCH(E42, ""D3""), ""D"","""")"),"")</f>
        <v/>
      </c>
      <c r="AC42" s="79" t="str">
        <f>IFERROR(__xludf.DUMMYFUNCTION("IF(REGEXMATCH(E42, ""D4""), ""dD"","""")"),"")</f>
        <v/>
      </c>
      <c r="AD42" s="70" t="s">
        <v>11</v>
      </c>
      <c r="AE42" s="72" t="str">
        <f>IFERROR(__xludf.DUMMYFUNCTION("IF(REGEXMATCH(E42, ""N1""), ""x"","""")"),"")</f>
        <v/>
      </c>
      <c r="AF42" s="65" t="str">
        <f>IFERROR(__xludf.DUMMYFUNCTION("IF(REGEXMATCH(E42, ""N2""), ""n"","""")"),"")</f>
        <v/>
      </c>
      <c r="AG42" s="65" t="str">
        <f>IFERROR(__xludf.DUMMYFUNCTION("IF(REGEXMATCH(E42, ""N3""), ""N"","""")"),"")</f>
        <v/>
      </c>
      <c r="AH42" s="79" t="str">
        <f>IFERROR(__xludf.DUMMYFUNCTION("IF(REGEXMATCH(E42, ""N4""), ""nN"","""")"),"")</f>
        <v/>
      </c>
      <c r="AI42" s="70" t="s">
        <v>11</v>
      </c>
      <c r="AJ42" s="92" t="str">
        <f t="shared" si="5"/>
        <v/>
      </c>
    </row>
    <row r="43">
      <c r="A43" s="33" t="str">
        <f t="shared" si="1"/>
        <v>S-rR-G</v>
      </c>
      <c r="B43" s="33">
        <f t="shared" si="2"/>
        <v>4</v>
      </c>
      <c r="C43" s="33" t="str">
        <f t="shared" si="3"/>
        <v>S-rR-G-x</v>
      </c>
      <c r="D43" s="49" t="s">
        <v>79</v>
      </c>
      <c r="E43" s="49" t="s">
        <v>252</v>
      </c>
      <c r="F43" s="56" t="str">
        <f t="shared" si="4"/>
        <v>S</v>
      </c>
      <c r="G43" s="59" t="s">
        <v>11</v>
      </c>
      <c r="H43" s="63" t="str">
        <f>IFERROR(__xludf.DUMMYFUNCTION("IF(REGEXMATCH(E43, ""R1""), ""x"","""")"),"")</f>
        <v/>
      </c>
      <c r="I43" s="65" t="str">
        <f>IFERROR(__xludf.DUMMYFUNCTION("IF(REGEXMATCH(E43, ""R2""), ""r"","""")"),"")</f>
        <v/>
      </c>
      <c r="J43" s="63" t="str">
        <f>IFERROR(__xludf.DUMMYFUNCTION("IF(REGEXMATCH(E43, ""R3""), ""R"","""")"),"")</f>
        <v/>
      </c>
      <c r="K43" s="65" t="str">
        <f>IFERROR(__xludf.DUMMYFUNCTION("IF(REGEXMATCH(E43, ""R4""), ""rR"","""")"),"rR")</f>
        <v>rR</v>
      </c>
      <c r="L43" s="70" t="s">
        <v>11</v>
      </c>
      <c r="M43" s="72" t="str">
        <f>IFERROR(__xludf.DUMMYFUNCTION("IF(REGEXMATCH(E43, ""G1""), ""x"","""")"),"")</f>
        <v/>
      </c>
      <c r="N43" s="65" t="str">
        <f>IFERROR(__xludf.DUMMYFUNCTION("IF(REGEXMATCH(E43, ""G2""), ""g"","""")"),"")</f>
        <v/>
      </c>
      <c r="O43" s="65" t="str">
        <f>IFERROR(__xludf.DUMMYFUNCTION("IF(REGEXMATCH(E43, ""G3""), ""G"","""")"),"G")</f>
        <v>G</v>
      </c>
      <c r="P43" s="79" t="str">
        <f>IFERROR(__xludf.DUMMYFUNCTION("IF(REGEXMATCH(E43, ""G4""), ""gG"","""")"),"")</f>
        <v/>
      </c>
      <c r="Q43" s="70" t="s">
        <v>11</v>
      </c>
      <c r="R43" s="72" t="str">
        <f>IFERROR(__xludf.DUMMYFUNCTION("IF(REGEXMATCH(E43, ""M1""), ""x"","""")"),"x")</f>
        <v>x</v>
      </c>
      <c r="S43" s="65" t="str">
        <f>IFERROR(__xludf.DUMMYFUNCTION("IF(REGEXMATCH(E43, ""M2""), ""m"","""")"),"")</f>
        <v/>
      </c>
      <c r="T43" s="65" t="str">
        <f>IFERROR(__xludf.DUMMYFUNCTION("IF(REGEXMATCH(E43, ""M3""), ""M"","""")"),"")</f>
        <v/>
      </c>
      <c r="U43" s="79" t="str">
        <f>IFERROR(__xludf.DUMMYFUNCTION("IF(REGEXMATCH(E43, ""M4""), ""mM"","""")"),"")</f>
        <v/>
      </c>
      <c r="V43" s="59" t="s">
        <v>11</v>
      </c>
      <c r="W43" s="84" t="str">
        <f>IFERROR(__xludf.DUMMYFUNCTION("IF(REGEXMATCH(E43, ""P1""), ""x"","""")"),"")</f>
        <v/>
      </c>
      <c r="X43" s="56" t="str">
        <f>IFERROR(__xludf.DUMMYFUNCTION("IF(REGEXMATCH(E43, ""P2""), ""P"","""")"),"")</f>
        <v/>
      </c>
      <c r="Y43" s="70" t="s">
        <v>11</v>
      </c>
      <c r="Z43" s="72" t="str">
        <f>IFERROR(__xludf.DUMMYFUNCTION("IF(REGEXMATCH(E43, ""D1""), ""x"","""")"),"")</f>
        <v/>
      </c>
      <c r="AA43" s="65" t="str">
        <f>IFERROR(__xludf.DUMMYFUNCTION("IF(REGEXMATCH(E43, ""D2""), ""d"","""")"),"")</f>
        <v/>
      </c>
      <c r="AB43" s="65" t="str">
        <f>IFERROR(__xludf.DUMMYFUNCTION("IF(REGEXMATCH(E43, ""D3""), ""D"","""")"),"")</f>
        <v/>
      </c>
      <c r="AC43" s="79" t="str">
        <f>IFERROR(__xludf.DUMMYFUNCTION("IF(REGEXMATCH(E43, ""D4""), ""dD"","""")"),"")</f>
        <v/>
      </c>
      <c r="AD43" s="70" t="s">
        <v>11</v>
      </c>
      <c r="AE43" s="72" t="str">
        <f>IFERROR(__xludf.DUMMYFUNCTION("IF(REGEXMATCH(E43, ""N1""), ""x"","""")"),"")</f>
        <v/>
      </c>
      <c r="AF43" s="65" t="str">
        <f>IFERROR(__xludf.DUMMYFUNCTION("IF(REGEXMATCH(E43, ""N2""), ""n"","""")"),"")</f>
        <v/>
      </c>
      <c r="AG43" s="65" t="str">
        <f>IFERROR(__xludf.DUMMYFUNCTION("IF(REGEXMATCH(E43, ""N3""), ""N"","""")"),"")</f>
        <v/>
      </c>
      <c r="AH43" s="79" t="str">
        <f>IFERROR(__xludf.DUMMYFUNCTION("IF(REGEXMATCH(E43, ""N4""), ""nN"","""")"),"")</f>
        <v/>
      </c>
      <c r="AI43" s="70" t="s">
        <v>11</v>
      </c>
      <c r="AJ43" s="92" t="str">
        <f t="shared" si="5"/>
        <v/>
      </c>
    </row>
    <row r="44">
      <c r="A44" s="33" t="str">
        <f t="shared" si="1"/>
        <v>S-gG-mM</v>
      </c>
      <c r="B44" s="33">
        <f t="shared" si="2"/>
        <v>5</v>
      </c>
      <c r="C44" s="33" t="str">
        <f t="shared" si="3"/>
        <v>S-x-gG-mM</v>
      </c>
      <c r="D44" s="49" t="s">
        <v>79</v>
      </c>
      <c r="E44" s="49" t="s">
        <v>254</v>
      </c>
      <c r="F44" s="56" t="str">
        <f t="shared" si="4"/>
        <v>S</v>
      </c>
      <c r="G44" s="59" t="s">
        <v>11</v>
      </c>
      <c r="H44" s="63" t="str">
        <f>IFERROR(__xludf.DUMMYFUNCTION("IF(REGEXMATCH(E44, ""R1""), ""x"","""")"),"x")</f>
        <v>x</v>
      </c>
      <c r="I44" s="65" t="str">
        <f>IFERROR(__xludf.DUMMYFUNCTION("IF(REGEXMATCH(E44, ""R2""), ""r"","""")"),"")</f>
        <v/>
      </c>
      <c r="J44" s="63" t="str">
        <f>IFERROR(__xludf.DUMMYFUNCTION("IF(REGEXMATCH(E44, ""R3""), ""R"","""")"),"")</f>
        <v/>
      </c>
      <c r="K44" s="65" t="str">
        <f>IFERROR(__xludf.DUMMYFUNCTION("IF(REGEXMATCH(E44, ""R4""), ""rR"","""")"),"")</f>
        <v/>
      </c>
      <c r="L44" s="70" t="s">
        <v>11</v>
      </c>
      <c r="M44" s="72" t="str">
        <f>IFERROR(__xludf.DUMMYFUNCTION("IF(REGEXMATCH(E44, ""G1""), ""x"","""")"),"")</f>
        <v/>
      </c>
      <c r="N44" s="65" t="str">
        <f>IFERROR(__xludf.DUMMYFUNCTION("IF(REGEXMATCH(E44, ""G2""), ""g"","""")"),"")</f>
        <v/>
      </c>
      <c r="O44" s="65" t="str">
        <f>IFERROR(__xludf.DUMMYFUNCTION("IF(REGEXMATCH(E44, ""G3""), ""G"","""")"),"")</f>
        <v/>
      </c>
      <c r="P44" s="79" t="str">
        <f>IFERROR(__xludf.DUMMYFUNCTION("IF(REGEXMATCH(E44, ""G4""), ""gG"","""")"),"gG")</f>
        <v>gG</v>
      </c>
      <c r="Q44" s="70" t="s">
        <v>11</v>
      </c>
      <c r="R44" s="72" t="str">
        <f>IFERROR(__xludf.DUMMYFUNCTION("IF(REGEXMATCH(E44, ""M1""), ""x"","""")"),"")</f>
        <v/>
      </c>
      <c r="S44" s="65" t="str">
        <f>IFERROR(__xludf.DUMMYFUNCTION("IF(REGEXMATCH(E44, ""M2""), ""m"","""")"),"")</f>
        <v/>
      </c>
      <c r="T44" s="65" t="str">
        <f>IFERROR(__xludf.DUMMYFUNCTION("IF(REGEXMATCH(E44, ""M3""), ""M"","""")"),"")</f>
        <v/>
      </c>
      <c r="U44" s="79" t="str">
        <f>IFERROR(__xludf.DUMMYFUNCTION("IF(REGEXMATCH(E44, ""M4""), ""mM"","""")"),"mM")</f>
        <v>mM</v>
      </c>
      <c r="V44" s="59" t="s">
        <v>11</v>
      </c>
      <c r="W44" s="84" t="str">
        <f>IFERROR(__xludf.DUMMYFUNCTION("IF(REGEXMATCH(E44, ""P1""), ""x"","""")"),"")</f>
        <v/>
      </c>
      <c r="X44" s="56" t="str">
        <f>IFERROR(__xludf.DUMMYFUNCTION("IF(REGEXMATCH(E44, ""P2""), ""P"","""")"),"")</f>
        <v/>
      </c>
      <c r="Y44" s="70" t="s">
        <v>11</v>
      </c>
      <c r="Z44" s="72" t="str">
        <f>IFERROR(__xludf.DUMMYFUNCTION("IF(REGEXMATCH(E44, ""D1""), ""x"","""")"),"")</f>
        <v/>
      </c>
      <c r="AA44" s="65" t="str">
        <f>IFERROR(__xludf.DUMMYFUNCTION("IF(REGEXMATCH(E44, ""D2""), ""d"","""")"),"")</f>
        <v/>
      </c>
      <c r="AB44" s="65" t="str">
        <f>IFERROR(__xludf.DUMMYFUNCTION("IF(REGEXMATCH(E44, ""D3""), ""D"","""")"),"")</f>
        <v/>
      </c>
      <c r="AC44" s="79" t="str">
        <f>IFERROR(__xludf.DUMMYFUNCTION("IF(REGEXMATCH(E44, ""D4""), ""dD"","""")"),"")</f>
        <v/>
      </c>
      <c r="AD44" s="70" t="s">
        <v>11</v>
      </c>
      <c r="AE44" s="72" t="str">
        <f>IFERROR(__xludf.DUMMYFUNCTION("IF(REGEXMATCH(E44, ""N1""), ""x"","""")"),"")</f>
        <v/>
      </c>
      <c r="AF44" s="65" t="str">
        <f>IFERROR(__xludf.DUMMYFUNCTION("IF(REGEXMATCH(E44, ""N2""), ""n"","""")"),"")</f>
        <v/>
      </c>
      <c r="AG44" s="65" t="str">
        <f>IFERROR(__xludf.DUMMYFUNCTION("IF(REGEXMATCH(E44, ""N3""), ""N"","""")"),"")</f>
        <v/>
      </c>
      <c r="AH44" s="79" t="str">
        <f>IFERROR(__xludf.DUMMYFUNCTION("IF(REGEXMATCH(E44, ""N4""), ""nN"","""")"),"")</f>
        <v/>
      </c>
      <c r="AI44" s="70" t="s">
        <v>11</v>
      </c>
      <c r="AJ44" s="92" t="str">
        <f t="shared" si="5"/>
        <v/>
      </c>
    </row>
    <row r="45">
      <c r="A45" s="33" t="str">
        <f t="shared" si="1"/>
        <v>S-r-g-mM</v>
      </c>
      <c r="B45" s="33">
        <f t="shared" si="2"/>
        <v>5</v>
      </c>
      <c r="C45" s="33" t="str">
        <f t="shared" si="3"/>
        <v>S-r-g-mM</v>
      </c>
      <c r="D45" s="49" t="s">
        <v>79</v>
      </c>
      <c r="E45" s="49" t="s">
        <v>256</v>
      </c>
      <c r="F45" s="56" t="str">
        <f t="shared" si="4"/>
        <v>S</v>
      </c>
      <c r="G45" s="59" t="s">
        <v>11</v>
      </c>
      <c r="H45" s="63" t="str">
        <f>IFERROR(__xludf.DUMMYFUNCTION("IF(REGEXMATCH(E45, ""R1""), ""x"","""")"),"")</f>
        <v/>
      </c>
      <c r="I45" s="65" t="str">
        <f>IFERROR(__xludf.DUMMYFUNCTION("IF(REGEXMATCH(E45, ""R2""), ""r"","""")"),"r")</f>
        <v>r</v>
      </c>
      <c r="J45" s="63" t="str">
        <f>IFERROR(__xludf.DUMMYFUNCTION("IF(REGEXMATCH(E45, ""R3""), ""R"","""")"),"")</f>
        <v/>
      </c>
      <c r="K45" s="65" t="str">
        <f>IFERROR(__xludf.DUMMYFUNCTION("IF(REGEXMATCH(E45, ""R4""), ""rR"","""")"),"")</f>
        <v/>
      </c>
      <c r="L45" s="70" t="s">
        <v>11</v>
      </c>
      <c r="M45" s="72" t="str">
        <f>IFERROR(__xludf.DUMMYFUNCTION("IF(REGEXMATCH(E45, ""G1""), ""x"","""")"),"")</f>
        <v/>
      </c>
      <c r="N45" s="65" t="str">
        <f>IFERROR(__xludf.DUMMYFUNCTION("IF(REGEXMATCH(E45, ""G2""), ""g"","""")"),"g")</f>
        <v>g</v>
      </c>
      <c r="O45" s="65" t="str">
        <f>IFERROR(__xludf.DUMMYFUNCTION("IF(REGEXMATCH(E45, ""G3""), ""G"","""")"),"")</f>
        <v/>
      </c>
      <c r="P45" s="79" t="str">
        <f>IFERROR(__xludf.DUMMYFUNCTION("IF(REGEXMATCH(E45, ""G4""), ""gG"","""")"),"")</f>
        <v/>
      </c>
      <c r="Q45" s="70" t="s">
        <v>11</v>
      </c>
      <c r="R45" s="72" t="str">
        <f>IFERROR(__xludf.DUMMYFUNCTION("IF(REGEXMATCH(E45, ""M1""), ""x"","""")"),"")</f>
        <v/>
      </c>
      <c r="S45" s="65" t="str">
        <f>IFERROR(__xludf.DUMMYFUNCTION("IF(REGEXMATCH(E45, ""M2""), ""m"","""")"),"")</f>
        <v/>
      </c>
      <c r="T45" s="65" t="str">
        <f>IFERROR(__xludf.DUMMYFUNCTION("IF(REGEXMATCH(E45, ""M3""), ""M"","""")"),"")</f>
        <v/>
      </c>
      <c r="U45" s="79" t="str">
        <f>IFERROR(__xludf.DUMMYFUNCTION("IF(REGEXMATCH(E45, ""M4""), ""mM"","""")"),"mM")</f>
        <v>mM</v>
      </c>
      <c r="V45" s="59" t="s">
        <v>11</v>
      </c>
      <c r="W45" s="84" t="str">
        <f>IFERROR(__xludf.DUMMYFUNCTION("IF(REGEXMATCH(E45, ""P1""), ""x"","""")"),"")</f>
        <v/>
      </c>
      <c r="X45" s="56" t="str">
        <f>IFERROR(__xludf.DUMMYFUNCTION("IF(REGEXMATCH(E45, ""P2""), ""P"","""")"),"")</f>
        <v/>
      </c>
      <c r="Y45" s="70" t="s">
        <v>11</v>
      </c>
      <c r="Z45" s="72" t="str">
        <f>IFERROR(__xludf.DUMMYFUNCTION("IF(REGEXMATCH(E45, ""D1""), ""x"","""")"),"")</f>
        <v/>
      </c>
      <c r="AA45" s="65" t="str">
        <f>IFERROR(__xludf.DUMMYFUNCTION("IF(REGEXMATCH(E45, ""D2""), ""d"","""")"),"")</f>
        <v/>
      </c>
      <c r="AB45" s="65" t="str">
        <f>IFERROR(__xludf.DUMMYFUNCTION("IF(REGEXMATCH(E45, ""D3""), ""D"","""")"),"")</f>
        <v/>
      </c>
      <c r="AC45" s="79" t="str">
        <f>IFERROR(__xludf.DUMMYFUNCTION("IF(REGEXMATCH(E45, ""D4""), ""dD"","""")"),"")</f>
        <v/>
      </c>
      <c r="AD45" s="70" t="s">
        <v>11</v>
      </c>
      <c r="AE45" s="72" t="str">
        <f>IFERROR(__xludf.DUMMYFUNCTION("IF(REGEXMATCH(E45, ""N1""), ""x"","""")"),"")</f>
        <v/>
      </c>
      <c r="AF45" s="65" t="str">
        <f>IFERROR(__xludf.DUMMYFUNCTION("IF(REGEXMATCH(E45, ""N2""), ""n"","""")"),"")</f>
        <v/>
      </c>
      <c r="AG45" s="65" t="str">
        <f>IFERROR(__xludf.DUMMYFUNCTION("IF(REGEXMATCH(E45, ""N3""), ""N"","""")"),"")</f>
        <v/>
      </c>
      <c r="AH45" s="79" t="str">
        <f>IFERROR(__xludf.DUMMYFUNCTION("IF(REGEXMATCH(E45, ""N4""), ""nN"","""")"),"")</f>
        <v/>
      </c>
      <c r="AI45" s="70" t="s">
        <v>11</v>
      </c>
      <c r="AJ45" s="92" t="str">
        <f t="shared" si="5"/>
        <v/>
      </c>
    </row>
    <row r="46">
      <c r="A46" s="33" t="str">
        <f t="shared" si="1"/>
        <v>S-r-G-mM</v>
      </c>
      <c r="B46" s="33">
        <f t="shared" si="2"/>
        <v>5</v>
      </c>
      <c r="C46" s="33" t="str">
        <f t="shared" si="3"/>
        <v>S-r-G-mM</v>
      </c>
      <c r="D46" s="49" t="s">
        <v>79</v>
      </c>
      <c r="E46" s="49" t="s">
        <v>258</v>
      </c>
      <c r="F46" s="56" t="str">
        <f t="shared" si="4"/>
        <v>S</v>
      </c>
      <c r="G46" s="59" t="s">
        <v>11</v>
      </c>
      <c r="H46" s="63" t="str">
        <f>IFERROR(__xludf.DUMMYFUNCTION("IF(REGEXMATCH(E46, ""R1""), ""x"","""")"),"")</f>
        <v/>
      </c>
      <c r="I46" s="65" t="str">
        <f>IFERROR(__xludf.DUMMYFUNCTION("IF(REGEXMATCH(E46, ""R2""), ""r"","""")"),"r")</f>
        <v>r</v>
      </c>
      <c r="J46" s="63" t="str">
        <f>IFERROR(__xludf.DUMMYFUNCTION("IF(REGEXMATCH(E46, ""R3""), ""R"","""")"),"")</f>
        <v/>
      </c>
      <c r="K46" s="65" t="str">
        <f>IFERROR(__xludf.DUMMYFUNCTION("IF(REGEXMATCH(E46, ""R4""), ""rR"","""")"),"")</f>
        <v/>
      </c>
      <c r="L46" s="70" t="s">
        <v>11</v>
      </c>
      <c r="M46" s="72" t="str">
        <f>IFERROR(__xludf.DUMMYFUNCTION("IF(REGEXMATCH(E46, ""G1""), ""x"","""")"),"")</f>
        <v/>
      </c>
      <c r="N46" s="65" t="str">
        <f>IFERROR(__xludf.DUMMYFUNCTION("IF(REGEXMATCH(E46, ""G2""), ""g"","""")"),"")</f>
        <v/>
      </c>
      <c r="O46" s="65" t="str">
        <f>IFERROR(__xludf.DUMMYFUNCTION("IF(REGEXMATCH(E46, ""G3""), ""G"","""")"),"G")</f>
        <v>G</v>
      </c>
      <c r="P46" s="79" t="str">
        <f>IFERROR(__xludf.DUMMYFUNCTION("IF(REGEXMATCH(E46, ""G4""), ""gG"","""")"),"")</f>
        <v/>
      </c>
      <c r="Q46" s="70" t="s">
        <v>11</v>
      </c>
      <c r="R46" s="72" t="str">
        <f>IFERROR(__xludf.DUMMYFUNCTION("IF(REGEXMATCH(E46, ""M1""), ""x"","""")"),"")</f>
        <v/>
      </c>
      <c r="S46" s="65" t="str">
        <f>IFERROR(__xludf.DUMMYFUNCTION("IF(REGEXMATCH(E46, ""M2""), ""m"","""")"),"")</f>
        <v/>
      </c>
      <c r="T46" s="65" t="str">
        <f>IFERROR(__xludf.DUMMYFUNCTION("IF(REGEXMATCH(E46, ""M3""), ""M"","""")"),"")</f>
        <v/>
      </c>
      <c r="U46" s="79" t="str">
        <f>IFERROR(__xludf.DUMMYFUNCTION("IF(REGEXMATCH(E46, ""M4""), ""mM"","""")"),"mM")</f>
        <v>mM</v>
      </c>
      <c r="V46" s="59" t="s">
        <v>11</v>
      </c>
      <c r="W46" s="84" t="str">
        <f>IFERROR(__xludf.DUMMYFUNCTION("IF(REGEXMATCH(E46, ""P1""), ""x"","""")"),"")</f>
        <v/>
      </c>
      <c r="X46" s="56" t="str">
        <f>IFERROR(__xludf.DUMMYFUNCTION("IF(REGEXMATCH(E46, ""P2""), ""P"","""")"),"")</f>
        <v/>
      </c>
      <c r="Y46" s="70" t="s">
        <v>11</v>
      </c>
      <c r="Z46" s="72" t="str">
        <f>IFERROR(__xludf.DUMMYFUNCTION("IF(REGEXMATCH(E46, ""D1""), ""x"","""")"),"")</f>
        <v/>
      </c>
      <c r="AA46" s="65" t="str">
        <f>IFERROR(__xludf.DUMMYFUNCTION("IF(REGEXMATCH(E46, ""D2""), ""d"","""")"),"")</f>
        <v/>
      </c>
      <c r="AB46" s="65" t="str">
        <f>IFERROR(__xludf.DUMMYFUNCTION("IF(REGEXMATCH(E46, ""D3""), ""D"","""")"),"")</f>
        <v/>
      </c>
      <c r="AC46" s="79" t="str">
        <f>IFERROR(__xludf.DUMMYFUNCTION("IF(REGEXMATCH(E46, ""D4""), ""dD"","""")"),"")</f>
        <v/>
      </c>
      <c r="AD46" s="70" t="s">
        <v>11</v>
      </c>
      <c r="AE46" s="72" t="str">
        <f>IFERROR(__xludf.DUMMYFUNCTION("IF(REGEXMATCH(E46, ""N1""), ""x"","""")"),"")</f>
        <v/>
      </c>
      <c r="AF46" s="65" t="str">
        <f>IFERROR(__xludf.DUMMYFUNCTION("IF(REGEXMATCH(E46, ""N2""), ""n"","""")"),"")</f>
        <v/>
      </c>
      <c r="AG46" s="65" t="str">
        <f>IFERROR(__xludf.DUMMYFUNCTION("IF(REGEXMATCH(E46, ""N3""), ""N"","""")"),"")</f>
        <v/>
      </c>
      <c r="AH46" s="79" t="str">
        <f>IFERROR(__xludf.DUMMYFUNCTION("IF(REGEXMATCH(E46, ""N4""), ""nN"","""")"),"")</f>
        <v/>
      </c>
      <c r="AI46" s="70" t="s">
        <v>11</v>
      </c>
      <c r="AJ46" s="92" t="str">
        <f t="shared" si="5"/>
        <v/>
      </c>
    </row>
    <row r="47">
      <c r="A47" s="33" t="str">
        <f t="shared" si="1"/>
        <v>S-r-gG-m</v>
      </c>
      <c r="B47" s="33">
        <f t="shared" si="2"/>
        <v>5</v>
      </c>
      <c r="C47" s="33" t="str">
        <f t="shared" si="3"/>
        <v>S-r-gG-m</v>
      </c>
      <c r="D47" s="49" t="s">
        <v>79</v>
      </c>
      <c r="E47" s="49" t="s">
        <v>260</v>
      </c>
      <c r="F47" s="56" t="str">
        <f t="shared" si="4"/>
        <v>S</v>
      </c>
      <c r="G47" s="59" t="s">
        <v>11</v>
      </c>
      <c r="H47" s="63" t="str">
        <f>IFERROR(__xludf.DUMMYFUNCTION("IF(REGEXMATCH(E47, ""R1""), ""x"","""")"),"")</f>
        <v/>
      </c>
      <c r="I47" s="65" t="str">
        <f>IFERROR(__xludf.DUMMYFUNCTION("IF(REGEXMATCH(E47, ""R2""), ""r"","""")"),"r")</f>
        <v>r</v>
      </c>
      <c r="J47" s="63" t="str">
        <f>IFERROR(__xludf.DUMMYFUNCTION("IF(REGEXMATCH(E47, ""R3""), ""R"","""")"),"")</f>
        <v/>
      </c>
      <c r="K47" s="65" t="str">
        <f>IFERROR(__xludf.DUMMYFUNCTION("IF(REGEXMATCH(E47, ""R4""), ""rR"","""")"),"")</f>
        <v/>
      </c>
      <c r="L47" s="70" t="s">
        <v>11</v>
      </c>
      <c r="M47" s="72" t="str">
        <f>IFERROR(__xludf.DUMMYFUNCTION("IF(REGEXMATCH(E47, ""G1""), ""x"","""")"),"")</f>
        <v/>
      </c>
      <c r="N47" s="65" t="str">
        <f>IFERROR(__xludf.DUMMYFUNCTION("IF(REGEXMATCH(E47, ""G2""), ""g"","""")"),"")</f>
        <v/>
      </c>
      <c r="O47" s="65" t="str">
        <f>IFERROR(__xludf.DUMMYFUNCTION("IF(REGEXMATCH(E47, ""G3""), ""G"","""")"),"")</f>
        <v/>
      </c>
      <c r="P47" s="79" t="str">
        <f>IFERROR(__xludf.DUMMYFUNCTION("IF(REGEXMATCH(E47, ""G4""), ""gG"","""")"),"gG")</f>
        <v>gG</v>
      </c>
      <c r="Q47" s="70" t="s">
        <v>11</v>
      </c>
      <c r="R47" s="72" t="str">
        <f>IFERROR(__xludf.DUMMYFUNCTION("IF(REGEXMATCH(E47, ""M1""), ""x"","""")"),"")</f>
        <v/>
      </c>
      <c r="S47" s="65" t="str">
        <f>IFERROR(__xludf.DUMMYFUNCTION("IF(REGEXMATCH(E47, ""M2""), ""m"","""")"),"m")</f>
        <v>m</v>
      </c>
      <c r="T47" s="65" t="str">
        <f>IFERROR(__xludf.DUMMYFUNCTION("IF(REGEXMATCH(E47, ""M3""), ""M"","""")"),"")</f>
        <v/>
      </c>
      <c r="U47" s="79" t="str">
        <f>IFERROR(__xludf.DUMMYFUNCTION("IF(REGEXMATCH(E47, ""M4""), ""mM"","""")"),"")</f>
        <v/>
      </c>
      <c r="V47" s="59" t="s">
        <v>11</v>
      </c>
      <c r="W47" s="84" t="str">
        <f>IFERROR(__xludf.DUMMYFUNCTION("IF(REGEXMATCH(E47, ""P1""), ""x"","""")"),"")</f>
        <v/>
      </c>
      <c r="X47" s="56" t="str">
        <f>IFERROR(__xludf.DUMMYFUNCTION("IF(REGEXMATCH(E47, ""P2""), ""P"","""")"),"")</f>
        <v/>
      </c>
      <c r="Y47" s="70" t="s">
        <v>11</v>
      </c>
      <c r="Z47" s="72" t="str">
        <f>IFERROR(__xludf.DUMMYFUNCTION("IF(REGEXMATCH(E47, ""D1""), ""x"","""")"),"")</f>
        <v/>
      </c>
      <c r="AA47" s="65" t="str">
        <f>IFERROR(__xludf.DUMMYFUNCTION("IF(REGEXMATCH(E47, ""D2""), ""d"","""")"),"")</f>
        <v/>
      </c>
      <c r="AB47" s="65" t="str">
        <f>IFERROR(__xludf.DUMMYFUNCTION("IF(REGEXMATCH(E47, ""D3""), ""D"","""")"),"")</f>
        <v/>
      </c>
      <c r="AC47" s="79" t="str">
        <f>IFERROR(__xludf.DUMMYFUNCTION("IF(REGEXMATCH(E47, ""D4""), ""dD"","""")"),"")</f>
        <v/>
      </c>
      <c r="AD47" s="70" t="s">
        <v>11</v>
      </c>
      <c r="AE47" s="72" t="str">
        <f>IFERROR(__xludf.DUMMYFUNCTION("IF(REGEXMATCH(E47, ""N1""), ""x"","""")"),"")</f>
        <v/>
      </c>
      <c r="AF47" s="65" t="str">
        <f>IFERROR(__xludf.DUMMYFUNCTION("IF(REGEXMATCH(E47, ""N2""), ""n"","""")"),"")</f>
        <v/>
      </c>
      <c r="AG47" s="65" t="str">
        <f>IFERROR(__xludf.DUMMYFUNCTION("IF(REGEXMATCH(E47, ""N3""), ""N"","""")"),"")</f>
        <v/>
      </c>
      <c r="AH47" s="79" t="str">
        <f>IFERROR(__xludf.DUMMYFUNCTION("IF(REGEXMATCH(E47, ""N4""), ""nN"","""")"),"")</f>
        <v/>
      </c>
      <c r="AI47" s="70" t="s">
        <v>11</v>
      </c>
      <c r="AJ47" s="92" t="str">
        <f t="shared" si="5"/>
        <v/>
      </c>
    </row>
    <row r="48">
      <c r="A48" s="33" t="str">
        <f t="shared" si="1"/>
        <v>S-r-gG-M</v>
      </c>
      <c r="B48" s="33">
        <f t="shared" si="2"/>
        <v>5</v>
      </c>
      <c r="C48" s="33" t="str">
        <f t="shared" si="3"/>
        <v>S-r-gG-M</v>
      </c>
      <c r="D48" s="49" t="s">
        <v>79</v>
      </c>
      <c r="E48" s="49" t="s">
        <v>262</v>
      </c>
      <c r="F48" s="56" t="str">
        <f t="shared" si="4"/>
        <v>S</v>
      </c>
      <c r="G48" s="59" t="s">
        <v>11</v>
      </c>
      <c r="H48" s="63" t="str">
        <f>IFERROR(__xludf.DUMMYFUNCTION("IF(REGEXMATCH(E48, ""R1""), ""x"","""")"),"")</f>
        <v/>
      </c>
      <c r="I48" s="65" t="str">
        <f>IFERROR(__xludf.DUMMYFUNCTION("IF(REGEXMATCH(E48, ""R2""), ""r"","""")"),"r")</f>
        <v>r</v>
      </c>
      <c r="J48" s="63" t="str">
        <f>IFERROR(__xludf.DUMMYFUNCTION("IF(REGEXMATCH(E48, ""R3""), ""R"","""")"),"")</f>
        <v/>
      </c>
      <c r="K48" s="65" t="str">
        <f>IFERROR(__xludf.DUMMYFUNCTION("IF(REGEXMATCH(E48, ""R4""), ""rR"","""")"),"")</f>
        <v/>
      </c>
      <c r="L48" s="70" t="s">
        <v>11</v>
      </c>
      <c r="M48" s="72" t="str">
        <f>IFERROR(__xludf.DUMMYFUNCTION("IF(REGEXMATCH(E48, ""G1""), ""x"","""")"),"")</f>
        <v/>
      </c>
      <c r="N48" s="65" t="str">
        <f>IFERROR(__xludf.DUMMYFUNCTION("IF(REGEXMATCH(E48, ""G2""), ""g"","""")"),"")</f>
        <v/>
      </c>
      <c r="O48" s="65" t="str">
        <f>IFERROR(__xludf.DUMMYFUNCTION("IF(REGEXMATCH(E48, ""G3""), ""G"","""")"),"")</f>
        <v/>
      </c>
      <c r="P48" s="79" t="str">
        <f>IFERROR(__xludf.DUMMYFUNCTION("IF(REGEXMATCH(E48, ""G4""), ""gG"","""")"),"gG")</f>
        <v>gG</v>
      </c>
      <c r="Q48" s="70" t="s">
        <v>11</v>
      </c>
      <c r="R48" s="72" t="str">
        <f>IFERROR(__xludf.DUMMYFUNCTION("IF(REGEXMATCH(E48, ""M1""), ""x"","""")"),"")</f>
        <v/>
      </c>
      <c r="S48" s="65" t="str">
        <f>IFERROR(__xludf.DUMMYFUNCTION("IF(REGEXMATCH(E48, ""M2""), ""m"","""")"),"")</f>
        <v/>
      </c>
      <c r="T48" s="65" t="str">
        <f>IFERROR(__xludf.DUMMYFUNCTION("IF(REGEXMATCH(E48, ""M3""), ""M"","""")"),"M")</f>
        <v>M</v>
      </c>
      <c r="U48" s="79" t="str">
        <f>IFERROR(__xludf.DUMMYFUNCTION("IF(REGEXMATCH(E48, ""M4""), ""mM"","""")"),"")</f>
        <v/>
      </c>
      <c r="V48" s="59" t="s">
        <v>11</v>
      </c>
      <c r="W48" s="84" t="str">
        <f>IFERROR(__xludf.DUMMYFUNCTION("IF(REGEXMATCH(E48, ""P1""), ""x"","""")"),"")</f>
        <v/>
      </c>
      <c r="X48" s="56" t="str">
        <f>IFERROR(__xludf.DUMMYFUNCTION("IF(REGEXMATCH(E48, ""P2""), ""P"","""")"),"")</f>
        <v/>
      </c>
      <c r="Y48" s="70" t="s">
        <v>11</v>
      </c>
      <c r="Z48" s="72" t="str">
        <f>IFERROR(__xludf.DUMMYFUNCTION("IF(REGEXMATCH(E48, ""D1""), ""x"","""")"),"")</f>
        <v/>
      </c>
      <c r="AA48" s="65" t="str">
        <f>IFERROR(__xludf.DUMMYFUNCTION("IF(REGEXMATCH(E48, ""D2""), ""d"","""")"),"")</f>
        <v/>
      </c>
      <c r="AB48" s="65" t="str">
        <f>IFERROR(__xludf.DUMMYFUNCTION("IF(REGEXMATCH(E48, ""D3""), ""D"","""")"),"")</f>
        <v/>
      </c>
      <c r="AC48" s="79" t="str">
        <f>IFERROR(__xludf.DUMMYFUNCTION("IF(REGEXMATCH(E48, ""D4""), ""dD"","""")"),"")</f>
        <v/>
      </c>
      <c r="AD48" s="70" t="s">
        <v>11</v>
      </c>
      <c r="AE48" s="72" t="str">
        <f>IFERROR(__xludf.DUMMYFUNCTION("IF(REGEXMATCH(E48, ""N1""), ""x"","""")"),"")</f>
        <v/>
      </c>
      <c r="AF48" s="65" t="str">
        <f>IFERROR(__xludf.DUMMYFUNCTION("IF(REGEXMATCH(E48, ""N2""), ""n"","""")"),"")</f>
        <v/>
      </c>
      <c r="AG48" s="65" t="str">
        <f>IFERROR(__xludf.DUMMYFUNCTION("IF(REGEXMATCH(E48, ""N3""), ""N"","""")"),"")</f>
        <v/>
      </c>
      <c r="AH48" s="79" t="str">
        <f>IFERROR(__xludf.DUMMYFUNCTION("IF(REGEXMATCH(E48, ""N4""), ""nN"","""")"),"")</f>
        <v/>
      </c>
      <c r="AI48" s="70" t="s">
        <v>11</v>
      </c>
      <c r="AJ48" s="92" t="str">
        <f t="shared" si="5"/>
        <v/>
      </c>
    </row>
    <row r="49">
      <c r="A49" s="33" t="str">
        <f t="shared" si="1"/>
        <v>S-R-g-mM</v>
      </c>
      <c r="B49" s="33">
        <f t="shared" si="2"/>
        <v>5</v>
      </c>
      <c r="C49" s="33" t="str">
        <f t="shared" si="3"/>
        <v>S-R-g-mM</v>
      </c>
      <c r="D49" s="49" t="s">
        <v>79</v>
      </c>
      <c r="E49" s="49" t="s">
        <v>264</v>
      </c>
      <c r="F49" s="56" t="str">
        <f t="shared" si="4"/>
        <v>S</v>
      </c>
      <c r="G49" s="59" t="s">
        <v>11</v>
      </c>
      <c r="H49" s="63" t="str">
        <f>IFERROR(__xludf.DUMMYFUNCTION("IF(REGEXMATCH(E49, ""R1""), ""x"","""")"),"")</f>
        <v/>
      </c>
      <c r="I49" s="65" t="str">
        <f>IFERROR(__xludf.DUMMYFUNCTION("IF(REGEXMATCH(E49, ""R2""), ""r"","""")"),"")</f>
        <v/>
      </c>
      <c r="J49" s="63" t="str">
        <f>IFERROR(__xludf.DUMMYFUNCTION("IF(REGEXMATCH(E49, ""R3""), ""R"","""")"),"R")</f>
        <v>R</v>
      </c>
      <c r="K49" s="65" t="str">
        <f>IFERROR(__xludf.DUMMYFUNCTION("IF(REGEXMATCH(E49, ""R4""), ""rR"","""")"),"")</f>
        <v/>
      </c>
      <c r="L49" s="70" t="s">
        <v>11</v>
      </c>
      <c r="M49" s="72" t="str">
        <f>IFERROR(__xludf.DUMMYFUNCTION("IF(REGEXMATCH(E49, ""G1""), ""x"","""")"),"")</f>
        <v/>
      </c>
      <c r="N49" s="65" t="str">
        <f>IFERROR(__xludf.DUMMYFUNCTION("IF(REGEXMATCH(E49, ""G2""), ""g"","""")"),"g")</f>
        <v>g</v>
      </c>
      <c r="O49" s="65" t="str">
        <f>IFERROR(__xludf.DUMMYFUNCTION("IF(REGEXMATCH(E49, ""G3""), ""G"","""")"),"")</f>
        <v/>
      </c>
      <c r="P49" s="79" t="str">
        <f>IFERROR(__xludf.DUMMYFUNCTION("IF(REGEXMATCH(E49, ""G4""), ""gG"","""")"),"")</f>
        <v/>
      </c>
      <c r="Q49" s="70" t="s">
        <v>11</v>
      </c>
      <c r="R49" s="72" t="str">
        <f>IFERROR(__xludf.DUMMYFUNCTION("IF(REGEXMATCH(E49, ""M1""), ""x"","""")"),"")</f>
        <v/>
      </c>
      <c r="S49" s="65" t="str">
        <f>IFERROR(__xludf.DUMMYFUNCTION("IF(REGEXMATCH(E49, ""M2""), ""m"","""")"),"")</f>
        <v/>
      </c>
      <c r="T49" s="65" t="str">
        <f>IFERROR(__xludf.DUMMYFUNCTION("IF(REGEXMATCH(E49, ""M3""), ""M"","""")"),"")</f>
        <v/>
      </c>
      <c r="U49" s="79" t="str">
        <f>IFERROR(__xludf.DUMMYFUNCTION("IF(REGEXMATCH(E49, ""M4""), ""mM"","""")"),"mM")</f>
        <v>mM</v>
      </c>
      <c r="V49" s="59" t="s">
        <v>11</v>
      </c>
      <c r="W49" s="84" t="str">
        <f>IFERROR(__xludf.DUMMYFUNCTION("IF(REGEXMATCH(E49, ""P1""), ""x"","""")"),"")</f>
        <v/>
      </c>
      <c r="X49" s="56" t="str">
        <f>IFERROR(__xludf.DUMMYFUNCTION("IF(REGEXMATCH(E49, ""P2""), ""P"","""")"),"")</f>
        <v/>
      </c>
      <c r="Y49" s="70" t="s">
        <v>11</v>
      </c>
      <c r="Z49" s="72" t="str">
        <f>IFERROR(__xludf.DUMMYFUNCTION("IF(REGEXMATCH(E49, ""D1""), ""x"","""")"),"")</f>
        <v/>
      </c>
      <c r="AA49" s="65" t="str">
        <f>IFERROR(__xludf.DUMMYFUNCTION("IF(REGEXMATCH(E49, ""D2""), ""d"","""")"),"")</f>
        <v/>
      </c>
      <c r="AB49" s="65" t="str">
        <f>IFERROR(__xludf.DUMMYFUNCTION("IF(REGEXMATCH(E49, ""D3""), ""D"","""")"),"")</f>
        <v/>
      </c>
      <c r="AC49" s="79" t="str">
        <f>IFERROR(__xludf.DUMMYFUNCTION("IF(REGEXMATCH(E49, ""D4""), ""dD"","""")"),"")</f>
        <v/>
      </c>
      <c r="AD49" s="70" t="s">
        <v>11</v>
      </c>
      <c r="AE49" s="72" t="str">
        <f>IFERROR(__xludf.DUMMYFUNCTION("IF(REGEXMATCH(E49, ""N1""), ""x"","""")"),"")</f>
        <v/>
      </c>
      <c r="AF49" s="65" t="str">
        <f>IFERROR(__xludf.DUMMYFUNCTION("IF(REGEXMATCH(E49, ""N2""), ""n"","""")"),"")</f>
        <v/>
      </c>
      <c r="AG49" s="65" t="str">
        <f>IFERROR(__xludf.DUMMYFUNCTION("IF(REGEXMATCH(E49, ""N3""), ""N"","""")"),"")</f>
        <v/>
      </c>
      <c r="AH49" s="79" t="str">
        <f>IFERROR(__xludf.DUMMYFUNCTION("IF(REGEXMATCH(E49, ""N4""), ""nN"","""")"),"")</f>
        <v/>
      </c>
      <c r="AI49" s="70" t="s">
        <v>11</v>
      </c>
      <c r="AJ49" s="92" t="str">
        <f t="shared" si="5"/>
        <v/>
      </c>
    </row>
    <row r="50">
      <c r="A50" s="33" t="str">
        <f t="shared" si="1"/>
        <v>S-R-G-mM</v>
      </c>
      <c r="B50" s="33">
        <f t="shared" si="2"/>
        <v>5</v>
      </c>
      <c r="C50" s="33" t="str">
        <f t="shared" si="3"/>
        <v>S-R-G-mM</v>
      </c>
      <c r="D50" s="49" t="s">
        <v>79</v>
      </c>
      <c r="E50" s="49" t="s">
        <v>266</v>
      </c>
      <c r="F50" s="56" t="str">
        <f t="shared" si="4"/>
        <v>S</v>
      </c>
      <c r="G50" s="59" t="s">
        <v>11</v>
      </c>
      <c r="H50" s="63" t="str">
        <f>IFERROR(__xludf.DUMMYFUNCTION("IF(REGEXMATCH(E50, ""R1""), ""x"","""")"),"")</f>
        <v/>
      </c>
      <c r="I50" s="65" t="str">
        <f>IFERROR(__xludf.DUMMYFUNCTION("IF(REGEXMATCH(E50, ""R2""), ""r"","""")"),"")</f>
        <v/>
      </c>
      <c r="J50" s="63" t="str">
        <f>IFERROR(__xludf.DUMMYFUNCTION("IF(REGEXMATCH(E50, ""R3""), ""R"","""")"),"R")</f>
        <v>R</v>
      </c>
      <c r="K50" s="65" t="str">
        <f>IFERROR(__xludf.DUMMYFUNCTION("IF(REGEXMATCH(E50, ""R4""), ""rR"","""")"),"")</f>
        <v/>
      </c>
      <c r="L50" s="70" t="s">
        <v>11</v>
      </c>
      <c r="M50" s="72" t="str">
        <f>IFERROR(__xludf.DUMMYFUNCTION("IF(REGEXMATCH(E50, ""G1""), ""x"","""")"),"")</f>
        <v/>
      </c>
      <c r="N50" s="65" t="str">
        <f>IFERROR(__xludf.DUMMYFUNCTION("IF(REGEXMATCH(E50, ""G2""), ""g"","""")"),"")</f>
        <v/>
      </c>
      <c r="O50" s="65" t="str">
        <f>IFERROR(__xludf.DUMMYFUNCTION("IF(REGEXMATCH(E50, ""G3""), ""G"","""")"),"G")</f>
        <v>G</v>
      </c>
      <c r="P50" s="79" t="str">
        <f>IFERROR(__xludf.DUMMYFUNCTION("IF(REGEXMATCH(E50, ""G4""), ""gG"","""")"),"")</f>
        <v/>
      </c>
      <c r="Q50" s="70" t="s">
        <v>11</v>
      </c>
      <c r="R50" s="72" t="str">
        <f>IFERROR(__xludf.DUMMYFUNCTION("IF(REGEXMATCH(E50, ""M1""), ""x"","""")"),"")</f>
        <v/>
      </c>
      <c r="S50" s="65" t="str">
        <f>IFERROR(__xludf.DUMMYFUNCTION("IF(REGEXMATCH(E50, ""M2""), ""m"","""")"),"")</f>
        <v/>
      </c>
      <c r="T50" s="65" t="str">
        <f>IFERROR(__xludf.DUMMYFUNCTION("IF(REGEXMATCH(E50, ""M3""), ""M"","""")"),"")</f>
        <v/>
      </c>
      <c r="U50" s="79" t="str">
        <f>IFERROR(__xludf.DUMMYFUNCTION("IF(REGEXMATCH(E50, ""M4""), ""mM"","""")"),"mM")</f>
        <v>mM</v>
      </c>
      <c r="V50" s="59" t="s">
        <v>11</v>
      </c>
      <c r="W50" s="84" t="str">
        <f>IFERROR(__xludf.DUMMYFUNCTION("IF(REGEXMATCH(E50, ""P1""), ""x"","""")"),"")</f>
        <v/>
      </c>
      <c r="X50" s="56" t="str">
        <f>IFERROR(__xludf.DUMMYFUNCTION("IF(REGEXMATCH(E50, ""P2""), ""P"","""")"),"")</f>
        <v/>
      </c>
      <c r="Y50" s="70" t="s">
        <v>11</v>
      </c>
      <c r="Z50" s="72" t="str">
        <f>IFERROR(__xludf.DUMMYFUNCTION("IF(REGEXMATCH(E50, ""D1""), ""x"","""")"),"")</f>
        <v/>
      </c>
      <c r="AA50" s="65" t="str">
        <f>IFERROR(__xludf.DUMMYFUNCTION("IF(REGEXMATCH(E50, ""D2""), ""d"","""")"),"")</f>
        <v/>
      </c>
      <c r="AB50" s="65" t="str">
        <f>IFERROR(__xludf.DUMMYFUNCTION("IF(REGEXMATCH(E50, ""D3""), ""D"","""")"),"")</f>
        <v/>
      </c>
      <c r="AC50" s="79" t="str">
        <f>IFERROR(__xludf.DUMMYFUNCTION("IF(REGEXMATCH(E50, ""D4""), ""dD"","""")"),"")</f>
        <v/>
      </c>
      <c r="AD50" s="70" t="s">
        <v>11</v>
      </c>
      <c r="AE50" s="72" t="str">
        <f>IFERROR(__xludf.DUMMYFUNCTION("IF(REGEXMATCH(E50, ""N1""), ""x"","""")"),"")</f>
        <v/>
      </c>
      <c r="AF50" s="65" t="str">
        <f>IFERROR(__xludf.DUMMYFUNCTION("IF(REGEXMATCH(E50, ""N2""), ""n"","""")"),"")</f>
        <v/>
      </c>
      <c r="AG50" s="65" t="str">
        <f>IFERROR(__xludf.DUMMYFUNCTION("IF(REGEXMATCH(E50, ""N3""), ""N"","""")"),"")</f>
        <v/>
      </c>
      <c r="AH50" s="79" t="str">
        <f>IFERROR(__xludf.DUMMYFUNCTION("IF(REGEXMATCH(E50, ""N4""), ""nN"","""")"),"")</f>
        <v/>
      </c>
      <c r="AI50" s="70" t="s">
        <v>11</v>
      </c>
      <c r="AJ50" s="92" t="str">
        <f t="shared" si="5"/>
        <v/>
      </c>
    </row>
    <row r="51">
      <c r="A51" s="33" t="str">
        <f t="shared" si="1"/>
        <v>S-R-gG-m</v>
      </c>
      <c r="B51" s="33">
        <f t="shared" si="2"/>
        <v>5</v>
      </c>
      <c r="C51" s="33" t="str">
        <f t="shared" si="3"/>
        <v>S-R-gG-m</v>
      </c>
      <c r="D51" s="49" t="s">
        <v>79</v>
      </c>
      <c r="E51" s="49" t="s">
        <v>268</v>
      </c>
      <c r="F51" s="56" t="str">
        <f t="shared" si="4"/>
        <v>S</v>
      </c>
      <c r="G51" s="59" t="s">
        <v>11</v>
      </c>
      <c r="H51" s="63" t="str">
        <f>IFERROR(__xludf.DUMMYFUNCTION("IF(REGEXMATCH(E51, ""R1""), ""x"","""")"),"")</f>
        <v/>
      </c>
      <c r="I51" s="65" t="str">
        <f>IFERROR(__xludf.DUMMYFUNCTION("IF(REGEXMATCH(E51, ""R2""), ""r"","""")"),"")</f>
        <v/>
      </c>
      <c r="J51" s="63" t="str">
        <f>IFERROR(__xludf.DUMMYFUNCTION("IF(REGEXMATCH(E51, ""R3""), ""R"","""")"),"R")</f>
        <v>R</v>
      </c>
      <c r="K51" s="65" t="str">
        <f>IFERROR(__xludf.DUMMYFUNCTION("IF(REGEXMATCH(E51, ""R4""), ""rR"","""")"),"")</f>
        <v/>
      </c>
      <c r="L51" s="70" t="s">
        <v>11</v>
      </c>
      <c r="M51" s="72" t="str">
        <f>IFERROR(__xludf.DUMMYFUNCTION("IF(REGEXMATCH(E51, ""G1""), ""x"","""")"),"")</f>
        <v/>
      </c>
      <c r="N51" s="65" t="str">
        <f>IFERROR(__xludf.DUMMYFUNCTION("IF(REGEXMATCH(E51, ""G2""), ""g"","""")"),"")</f>
        <v/>
      </c>
      <c r="O51" s="65" t="str">
        <f>IFERROR(__xludf.DUMMYFUNCTION("IF(REGEXMATCH(E51, ""G3""), ""G"","""")"),"")</f>
        <v/>
      </c>
      <c r="P51" s="79" t="str">
        <f>IFERROR(__xludf.DUMMYFUNCTION("IF(REGEXMATCH(E51, ""G4""), ""gG"","""")"),"gG")</f>
        <v>gG</v>
      </c>
      <c r="Q51" s="70" t="s">
        <v>11</v>
      </c>
      <c r="R51" s="72" t="str">
        <f>IFERROR(__xludf.DUMMYFUNCTION("IF(REGEXMATCH(E51, ""M1""), ""x"","""")"),"")</f>
        <v/>
      </c>
      <c r="S51" s="65" t="str">
        <f>IFERROR(__xludf.DUMMYFUNCTION("IF(REGEXMATCH(E51, ""M2""), ""m"","""")"),"m")</f>
        <v>m</v>
      </c>
      <c r="T51" s="65" t="str">
        <f>IFERROR(__xludf.DUMMYFUNCTION("IF(REGEXMATCH(E51, ""M3""), ""M"","""")"),"")</f>
        <v/>
      </c>
      <c r="U51" s="79" t="str">
        <f>IFERROR(__xludf.DUMMYFUNCTION("IF(REGEXMATCH(E51, ""M4""), ""mM"","""")"),"")</f>
        <v/>
      </c>
      <c r="V51" s="59" t="s">
        <v>11</v>
      </c>
      <c r="W51" s="84" t="str">
        <f>IFERROR(__xludf.DUMMYFUNCTION("IF(REGEXMATCH(E51, ""P1""), ""x"","""")"),"")</f>
        <v/>
      </c>
      <c r="X51" s="56" t="str">
        <f>IFERROR(__xludf.DUMMYFUNCTION("IF(REGEXMATCH(E51, ""P2""), ""P"","""")"),"")</f>
        <v/>
      </c>
      <c r="Y51" s="70" t="s">
        <v>11</v>
      </c>
      <c r="Z51" s="72" t="str">
        <f>IFERROR(__xludf.DUMMYFUNCTION("IF(REGEXMATCH(E51, ""D1""), ""x"","""")"),"")</f>
        <v/>
      </c>
      <c r="AA51" s="65" t="str">
        <f>IFERROR(__xludf.DUMMYFUNCTION("IF(REGEXMATCH(E51, ""D2""), ""d"","""")"),"")</f>
        <v/>
      </c>
      <c r="AB51" s="65" t="str">
        <f>IFERROR(__xludf.DUMMYFUNCTION("IF(REGEXMATCH(E51, ""D3""), ""D"","""")"),"")</f>
        <v/>
      </c>
      <c r="AC51" s="79" t="str">
        <f>IFERROR(__xludf.DUMMYFUNCTION("IF(REGEXMATCH(E51, ""D4""), ""dD"","""")"),"")</f>
        <v/>
      </c>
      <c r="AD51" s="70" t="s">
        <v>11</v>
      </c>
      <c r="AE51" s="72" t="str">
        <f>IFERROR(__xludf.DUMMYFUNCTION("IF(REGEXMATCH(E51, ""N1""), ""x"","""")"),"")</f>
        <v/>
      </c>
      <c r="AF51" s="65" t="str">
        <f>IFERROR(__xludf.DUMMYFUNCTION("IF(REGEXMATCH(E51, ""N2""), ""n"","""")"),"")</f>
        <v/>
      </c>
      <c r="AG51" s="65" t="str">
        <f>IFERROR(__xludf.DUMMYFUNCTION("IF(REGEXMATCH(E51, ""N3""), ""N"","""")"),"")</f>
        <v/>
      </c>
      <c r="AH51" s="79" t="str">
        <f>IFERROR(__xludf.DUMMYFUNCTION("IF(REGEXMATCH(E51, ""N4""), ""nN"","""")"),"")</f>
        <v/>
      </c>
      <c r="AI51" s="70" t="s">
        <v>11</v>
      </c>
      <c r="AJ51" s="92" t="str">
        <f t="shared" si="5"/>
        <v/>
      </c>
    </row>
    <row r="52">
      <c r="A52" s="33" t="str">
        <f t="shared" si="1"/>
        <v>S-R-gG-M</v>
      </c>
      <c r="B52" s="33">
        <f t="shared" si="2"/>
        <v>5</v>
      </c>
      <c r="C52" s="33" t="str">
        <f t="shared" si="3"/>
        <v>S-R-gG-M</v>
      </c>
      <c r="D52" s="49" t="s">
        <v>79</v>
      </c>
      <c r="E52" s="49" t="s">
        <v>270</v>
      </c>
      <c r="F52" s="56" t="str">
        <f t="shared" si="4"/>
        <v>S</v>
      </c>
      <c r="G52" s="59" t="s">
        <v>11</v>
      </c>
      <c r="H52" s="63" t="str">
        <f>IFERROR(__xludf.DUMMYFUNCTION("IF(REGEXMATCH(E52, ""R1""), ""x"","""")"),"")</f>
        <v/>
      </c>
      <c r="I52" s="65" t="str">
        <f>IFERROR(__xludf.DUMMYFUNCTION("IF(REGEXMATCH(E52, ""R2""), ""r"","""")"),"")</f>
        <v/>
      </c>
      <c r="J52" s="63" t="str">
        <f>IFERROR(__xludf.DUMMYFUNCTION("IF(REGEXMATCH(E52, ""R3""), ""R"","""")"),"R")</f>
        <v>R</v>
      </c>
      <c r="K52" s="65" t="str">
        <f>IFERROR(__xludf.DUMMYFUNCTION("IF(REGEXMATCH(E52, ""R4""), ""rR"","""")"),"")</f>
        <v/>
      </c>
      <c r="L52" s="70" t="s">
        <v>11</v>
      </c>
      <c r="M52" s="72" t="str">
        <f>IFERROR(__xludf.DUMMYFUNCTION("IF(REGEXMATCH(E52, ""G1""), ""x"","""")"),"")</f>
        <v/>
      </c>
      <c r="N52" s="65" t="str">
        <f>IFERROR(__xludf.DUMMYFUNCTION("IF(REGEXMATCH(E52, ""G2""), ""g"","""")"),"")</f>
        <v/>
      </c>
      <c r="O52" s="65" t="str">
        <f>IFERROR(__xludf.DUMMYFUNCTION("IF(REGEXMATCH(E52, ""G3""), ""G"","""")"),"")</f>
        <v/>
      </c>
      <c r="P52" s="79" t="str">
        <f>IFERROR(__xludf.DUMMYFUNCTION("IF(REGEXMATCH(E52, ""G4""), ""gG"","""")"),"gG")</f>
        <v>gG</v>
      </c>
      <c r="Q52" s="70" t="s">
        <v>11</v>
      </c>
      <c r="R52" s="72" t="str">
        <f>IFERROR(__xludf.DUMMYFUNCTION("IF(REGEXMATCH(E52, ""M1""), ""x"","""")"),"")</f>
        <v/>
      </c>
      <c r="S52" s="65" t="str">
        <f>IFERROR(__xludf.DUMMYFUNCTION("IF(REGEXMATCH(E52, ""M2""), ""m"","""")"),"")</f>
        <v/>
      </c>
      <c r="T52" s="65" t="str">
        <f>IFERROR(__xludf.DUMMYFUNCTION("IF(REGEXMATCH(E52, ""M3""), ""M"","""")"),"M")</f>
        <v>M</v>
      </c>
      <c r="U52" s="79" t="str">
        <f>IFERROR(__xludf.DUMMYFUNCTION("IF(REGEXMATCH(E52, ""M4""), ""mM"","""")"),"")</f>
        <v/>
      </c>
      <c r="V52" s="59" t="s">
        <v>11</v>
      </c>
      <c r="W52" s="84" t="str">
        <f>IFERROR(__xludf.DUMMYFUNCTION("IF(REGEXMATCH(E52, ""P1""), ""x"","""")"),"")</f>
        <v/>
      </c>
      <c r="X52" s="56" t="str">
        <f>IFERROR(__xludf.DUMMYFUNCTION("IF(REGEXMATCH(E52, ""P2""), ""P"","""")"),"")</f>
        <v/>
      </c>
      <c r="Y52" s="70" t="s">
        <v>11</v>
      </c>
      <c r="Z52" s="72" t="str">
        <f>IFERROR(__xludf.DUMMYFUNCTION("IF(REGEXMATCH(E52, ""D1""), ""x"","""")"),"")</f>
        <v/>
      </c>
      <c r="AA52" s="65" t="str">
        <f>IFERROR(__xludf.DUMMYFUNCTION("IF(REGEXMATCH(E52, ""D2""), ""d"","""")"),"")</f>
        <v/>
      </c>
      <c r="AB52" s="65" t="str">
        <f>IFERROR(__xludf.DUMMYFUNCTION("IF(REGEXMATCH(E52, ""D3""), ""D"","""")"),"")</f>
        <v/>
      </c>
      <c r="AC52" s="79" t="str">
        <f>IFERROR(__xludf.DUMMYFUNCTION("IF(REGEXMATCH(E52, ""D4""), ""dD"","""")"),"")</f>
        <v/>
      </c>
      <c r="AD52" s="70" t="s">
        <v>11</v>
      </c>
      <c r="AE52" s="72" t="str">
        <f>IFERROR(__xludf.DUMMYFUNCTION("IF(REGEXMATCH(E52, ""N1""), ""x"","""")"),"")</f>
        <v/>
      </c>
      <c r="AF52" s="65" t="str">
        <f>IFERROR(__xludf.DUMMYFUNCTION("IF(REGEXMATCH(E52, ""N2""), ""n"","""")"),"")</f>
        <v/>
      </c>
      <c r="AG52" s="65" t="str">
        <f>IFERROR(__xludf.DUMMYFUNCTION("IF(REGEXMATCH(E52, ""N3""), ""N"","""")"),"")</f>
        <v/>
      </c>
      <c r="AH52" s="79" t="str">
        <f>IFERROR(__xludf.DUMMYFUNCTION("IF(REGEXMATCH(E52, ""N4""), ""nN"","""")"),"")</f>
        <v/>
      </c>
      <c r="AI52" s="70" t="s">
        <v>11</v>
      </c>
      <c r="AJ52" s="92" t="str">
        <f t="shared" si="5"/>
        <v/>
      </c>
    </row>
    <row r="53">
      <c r="A53" s="33" t="str">
        <f t="shared" si="1"/>
        <v>S-rR-mM</v>
      </c>
      <c r="B53" s="33">
        <f t="shared" si="2"/>
        <v>5</v>
      </c>
      <c r="C53" s="33" t="str">
        <f t="shared" si="3"/>
        <v>S-rR-x-mM</v>
      </c>
      <c r="D53" s="49" t="s">
        <v>79</v>
      </c>
      <c r="E53" s="49" t="s">
        <v>272</v>
      </c>
      <c r="F53" s="56" t="str">
        <f t="shared" si="4"/>
        <v>S</v>
      </c>
      <c r="G53" s="59" t="s">
        <v>11</v>
      </c>
      <c r="H53" s="63" t="str">
        <f>IFERROR(__xludf.DUMMYFUNCTION("IF(REGEXMATCH(E53, ""R1""), ""x"","""")"),"")</f>
        <v/>
      </c>
      <c r="I53" s="65" t="str">
        <f>IFERROR(__xludf.DUMMYFUNCTION("IF(REGEXMATCH(E53, ""R2""), ""r"","""")"),"")</f>
        <v/>
      </c>
      <c r="J53" s="63" t="str">
        <f>IFERROR(__xludf.DUMMYFUNCTION("IF(REGEXMATCH(E53, ""R3""), ""R"","""")"),"")</f>
        <v/>
      </c>
      <c r="K53" s="65" t="str">
        <f>IFERROR(__xludf.DUMMYFUNCTION("IF(REGEXMATCH(E53, ""R4""), ""rR"","""")"),"rR")</f>
        <v>rR</v>
      </c>
      <c r="L53" s="70" t="s">
        <v>11</v>
      </c>
      <c r="M53" s="72" t="str">
        <f>IFERROR(__xludf.DUMMYFUNCTION("IF(REGEXMATCH(E53, ""G1""), ""x"","""")"),"x")</f>
        <v>x</v>
      </c>
      <c r="N53" s="65" t="str">
        <f>IFERROR(__xludf.DUMMYFUNCTION("IF(REGEXMATCH(E53, ""G2""), ""g"","""")"),"")</f>
        <v/>
      </c>
      <c r="O53" s="65" t="str">
        <f>IFERROR(__xludf.DUMMYFUNCTION("IF(REGEXMATCH(E53, ""G3""), ""G"","""")"),"")</f>
        <v/>
      </c>
      <c r="P53" s="79" t="str">
        <f>IFERROR(__xludf.DUMMYFUNCTION("IF(REGEXMATCH(E53, ""G4""), ""gG"","""")"),"")</f>
        <v/>
      </c>
      <c r="Q53" s="70" t="s">
        <v>11</v>
      </c>
      <c r="R53" s="72" t="str">
        <f>IFERROR(__xludf.DUMMYFUNCTION("IF(REGEXMATCH(E53, ""M1""), ""x"","""")"),"")</f>
        <v/>
      </c>
      <c r="S53" s="65" t="str">
        <f>IFERROR(__xludf.DUMMYFUNCTION("IF(REGEXMATCH(E53, ""M2""), ""m"","""")"),"")</f>
        <v/>
      </c>
      <c r="T53" s="65" t="str">
        <f>IFERROR(__xludf.DUMMYFUNCTION("IF(REGEXMATCH(E53, ""M3""), ""M"","""")"),"")</f>
        <v/>
      </c>
      <c r="U53" s="79" t="str">
        <f>IFERROR(__xludf.DUMMYFUNCTION("IF(REGEXMATCH(E53, ""M4""), ""mM"","""")"),"mM")</f>
        <v>mM</v>
      </c>
      <c r="V53" s="59" t="s">
        <v>11</v>
      </c>
      <c r="W53" s="84" t="str">
        <f>IFERROR(__xludf.DUMMYFUNCTION("IF(REGEXMATCH(E53, ""P1""), ""x"","""")"),"")</f>
        <v/>
      </c>
      <c r="X53" s="56" t="str">
        <f>IFERROR(__xludf.DUMMYFUNCTION("IF(REGEXMATCH(E53, ""P2""), ""P"","""")"),"")</f>
        <v/>
      </c>
      <c r="Y53" s="70" t="s">
        <v>11</v>
      </c>
      <c r="Z53" s="72" t="str">
        <f>IFERROR(__xludf.DUMMYFUNCTION("IF(REGEXMATCH(E53, ""D1""), ""x"","""")"),"")</f>
        <v/>
      </c>
      <c r="AA53" s="65" t="str">
        <f>IFERROR(__xludf.DUMMYFUNCTION("IF(REGEXMATCH(E53, ""D2""), ""d"","""")"),"")</f>
        <v/>
      </c>
      <c r="AB53" s="65" t="str">
        <f>IFERROR(__xludf.DUMMYFUNCTION("IF(REGEXMATCH(E53, ""D3""), ""D"","""")"),"")</f>
        <v/>
      </c>
      <c r="AC53" s="79" t="str">
        <f>IFERROR(__xludf.DUMMYFUNCTION("IF(REGEXMATCH(E53, ""D4""), ""dD"","""")"),"")</f>
        <v/>
      </c>
      <c r="AD53" s="70" t="s">
        <v>11</v>
      </c>
      <c r="AE53" s="72" t="str">
        <f>IFERROR(__xludf.DUMMYFUNCTION("IF(REGEXMATCH(E53, ""N1""), ""x"","""")"),"")</f>
        <v/>
      </c>
      <c r="AF53" s="65" t="str">
        <f>IFERROR(__xludf.DUMMYFUNCTION("IF(REGEXMATCH(E53, ""N2""), ""n"","""")"),"")</f>
        <v/>
      </c>
      <c r="AG53" s="65" t="str">
        <f>IFERROR(__xludf.DUMMYFUNCTION("IF(REGEXMATCH(E53, ""N3""), ""N"","""")"),"")</f>
        <v/>
      </c>
      <c r="AH53" s="79" t="str">
        <f>IFERROR(__xludf.DUMMYFUNCTION("IF(REGEXMATCH(E53, ""N4""), ""nN"","""")"),"")</f>
        <v/>
      </c>
      <c r="AI53" s="70" t="s">
        <v>11</v>
      </c>
      <c r="AJ53" s="92" t="str">
        <f t="shared" si="5"/>
        <v/>
      </c>
    </row>
    <row r="54">
      <c r="A54" s="33" t="str">
        <f t="shared" si="1"/>
        <v>S-rR-g-m</v>
      </c>
      <c r="B54" s="33">
        <f t="shared" si="2"/>
        <v>5</v>
      </c>
      <c r="C54" s="33" t="str">
        <f t="shared" si="3"/>
        <v>S-rR-g-m</v>
      </c>
      <c r="D54" s="49" t="s">
        <v>79</v>
      </c>
      <c r="E54" s="49" t="s">
        <v>274</v>
      </c>
      <c r="F54" s="56" t="str">
        <f t="shared" si="4"/>
        <v>S</v>
      </c>
      <c r="G54" s="59" t="s">
        <v>11</v>
      </c>
      <c r="H54" s="63" t="str">
        <f>IFERROR(__xludf.DUMMYFUNCTION("IF(REGEXMATCH(E54, ""R1""), ""x"","""")"),"")</f>
        <v/>
      </c>
      <c r="I54" s="65" t="str">
        <f>IFERROR(__xludf.DUMMYFUNCTION("IF(REGEXMATCH(E54, ""R2""), ""r"","""")"),"")</f>
        <v/>
      </c>
      <c r="J54" s="63" t="str">
        <f>IFERROR(__xludf.DUMMYFUNCTION("IF(REGEXMATCH(E54, ""R3""), ""R"","""")"),"")</f>
        <v/>
      </c>
      <c r="K54" s="65" t="str">
        <f>IFERROR(__xludf.DUMMYFUNCTION("IF(REGEXMATCH(E54, ""R4""), ""rR"","""")"),"rR")</f>
        <v>rR</v>
      </c>
      <c r="L54" s="70" t="s">
        <v>11</v>
      </c>
      <c r="M54" s="72" t="str">
        <f>IFERROR(__xludf.DUMMYFUNCTION("IF(REGEXMATCH(E54, ""G1""), ""x"","""")"),"")</f>
        <v/>
      </c>
      <c r="N54" s="65" t="str">
        <f>IFERROR(__xludf.DUMMYFUNCTION("IF(REGEXMATCH(E54, ""G2""), ""g"","""")"),"g")</f>
        <v>g</v>
      </c>
      <c r="O54" s="65" t="str">
        <f>IFERROR(__xludf.DUMMYFUNCTION("IF(REGEXMATCH(E54, ""G3""), ""G"","""")"),"")</f>
        <v/>
      </c>
      <c r="P54" s="79" t="str">
        <f>IFERROR(__xludf.DUMMYFUNCTION("IF(REGEXMATCH(E54, ""G4""), ""gG"","""")"),"")</f>
        <v/>
      </c>
      <c r="Q54" s="70" t="s">
        <v>11</v>
      </c>
      <c r="R54" s="72" t="str">
        <f>IFERROR(__xludf.DUMMYFUNCTION("IF(REGEXMATCH(E54, ""M1""), ""x"","""")"),"")</f>
        <v/>
      </c>
      <c r="S54" s="65" t="str">
        <f>IFERROR(__xludf.DUMMYFUNCTION("IF(REGEXMATCH(E54, ""M2""), ""m"","""")"),"m")</f>
        <v>m</v>
      </c>
      <c r="T54" s="65" t="str">
        <f>IFERROR(__xludf.DUMMYFUNCTION("IF(REGEXMATCH(E54, ""M3""), ""M"","""")"),"")</f>
        <v/>
      </c>
      <c r="U54" s="79" t="str">
        <f>IFERROR(__xludf.DUMMYFUNCTION("IF(REGEXMATCH(E54, ""M4""), ""mM"","""")"),"")</f>
        <v/>
      </c>
      <c r="V54" s="59" t="s">
        <v>11</v>
      </c>
      <c r="W54" s="84" t="str">
        <f>IFERROR(__xludf.DUMMYFUNCTION("IF(REGEXMATCH(E54, ""P1""), ""x"","""")"),"")</f>
        <v/>
      </c>
      <c r="X54" s="56" t="str">
        <f>IFERROR(__xludf.DUMMYFUNCTION("IF(REGEXMATCH(E54, ""P2""), ""P"","""")"),"")</f>
        <v/>
      </c>
      <c r="Y54" s="70" t="s">
        <v>11</v>
      </c>
      <c r="Z54" s="72" t="str">
        <f>IFERROR(__xludf.DUMMYFUNCTION("IF(REGEXMATCH(E54, ""D1""), ""x"","""")"),"")</f>
        <v/>
      </c>
      <c r="AA54" s="65" t="str">
        <f>IFERROR(__xludf.DUMMYFUNCTION("IF(REGEXMATCH(E54, ""D2""), ""d"","""")"),"")</f>
        <v/>
      </c>
      <c r="AB54" s="65" t="str">
        <f>IFERROR(__xludf.DUMMYFUNCTION("IF(REGEXMATCH(E54, ""D3""), ""D"","""")"),"")</f>
        <v/>
      </c>
      <c r="AC54" s="79" t="str">
        <f>IFERROR(__xludf.DUMMYFUNCTION("IF(REGEXMATCH(E54, ""D4""), ""dD"","""")"),"")</f>
        <v/>
      </c>
      <c r="AD54" s="70" t="s">
        <v>11</v>
      </c>
      <c r="AE54" s="72" t="str">
        <f>IFERROR(__xludf.DUMMYFUNCTION("IF(REGEXMATCH(E54, ""N1""), ""x"","""")"),"")</f>
        <v/>
      </c>
      <c r="AF54" s="65" t="str">
        <f>IFERROR(__xludf.DUMMYFUNCTION("IF(REGEXMATCH(E54, ""N2""), ""n"","""")"),"")</f>
        <v/>
      </c>
      <c r="AG54" s="65" t="str">
        <f>IFERROR(__xludf.DUMMYFUNCTION("IF(REGEXMATCH(E54, ""N3""), ""N"","""")"),"")</f>
        <v/>
      </c>
      <c r="AH54" s="79" t="str">
        <f>IFERROR(__xludf.DUMMYFUNCTION("IF(REGEXMATCH(E54, ""N4""), ""nN"","""")"),"")</f>
        <v/>
      </c>
      <c r="AI54" s="70" t="s">
        <v>11</v>
      </c>
      <c r="AJ54" s="92" t="str">
        <f t="shared" si="5"/>
        <v/>
      </c>
    </row>
    <row r="55">
      <c r="A55" s="33" t="str">
        <f t="shared" si="1"/>
        <v>S-rR-g-M</v>
      </c>
      <c r="B55" s="33">
        <f t="shared" si="2"/>
        <v>5</v>
      </c>
      <c r="C55" s="33" t="str">
        <f t="shared" si="3"/>
        <v>S-rR-g-M</v>
      </c>
      <c r="D55" s="49" t="s">
        <v>79</v>
      </c>
      <c r="E55" s="49" t="s">
        <v>277</v>
      </c>
      <c r="F55" s="56" t="str">
        <f t="shared" si="4"/>
        <v>S</v>
      </c>
      <c r="G55" s="59" t="s">
        <v>11</v>
      </c>
      <c r="H55" s="63" t="str">
        <f>IFERROR(__xludf.DUMMYFUNCTION("IF(REGEXMATCH(E55, ""R1""), ""x"","""")"),"")</f>
        <v/>
      </c>
      <c r="I55" s="65" t="str">
        <f>IFERROR(__xludf.DUMMYFUNCTION("IF(REGEXMATCH(E55, ""R2""), ""r"","""")"),"")</f>
        <v/>
      </c>
      <c r="J55" s="63" t="str">
        <f>IFERROR(__xludf.DUMMYFUNCTION("IF(REGEXMATCH(E55, ""R3""), ""R"","""")"),"")</f>
        <v/>
      </c>
      <c r="K55" s="65" t="str">
        <f>IFERROR(__xludf.DUMMYFUNCTION("IF(REGEXMATCH(E55, ""R4""), ""rR"","""")"),"rR")</f>
        <v>rR</v>
      </c>
      <c r="L55" s="70" t="s">
        <v>11</v>
      </c>
      <c r="M55" s="72" t="str">
        <f>IFERROR(__xludf.DUMMYFUNCTION("IF(REGEXMATCH(E55, ""G1""), ""x"","""")"),"")</f>
        <v/>
      </c>
      <c r="N55" s="65" t="str">
        <f>IFERROR(__xludf.DUMMYFUNCTION("IF(REGEXMATCH(E55, ""G2""), ""g"","""")"),"g")</f>
        <v>g</v>
      </c>
      <c r="O55" s="65" t="str">
        <f>IFERROR(__xludf.DUMMYFUNCTION("IF(REGEXMATCH(E55, ""G3""), ""G"","""")"),"")</f>
        <v/>
      </c>
      <c r="P55" s="79" t="str">
        <f>IFERROR(__xludf.DUMMYFUNCTION("IF(REGEXMATCH(E55, ""G4""), ""gG"","""")"),"")</f>
        <v/>
      </c>
      <c r="Q55" s="70" t="s">
        <v>11</v>
      </c>
      <c r="R55" s="72" t="str">
        <f>IFERROR(__xludf.DUMMYFUNCTION("IF(REGEXMATCH(E55, ""M1""), ""x"","""")"),"")</f>
        <v/>
      </c>
      <c r="S55" s="65" t="str">
        <f>IFERROR(__xludf.DUMMYFUNCTION("IF(REGEXMATCH(E55, ""M2""), ""m"","""")"),"")</f>
        <v/>
      </c>
      <c r="T55" s="65" t="str">
        <f>IFERROR(__xludf.DUMMYFUNCTION("IF(REGEXMATCH(E55, ""M3""), ""M"","""")"),"M")</f>
        <v>M</v>
      </c>
      <c r="U55" s="79" t="str">
        <f>IFERROR(__xludf.DUMMYFUNCTION("IF(REGEXMATCH(E55, ""M4""), ""mM"","""")"),"")</f>
        <v/>
      </c>
      <c r="V55" s="59" t="s">
        <v>11</v>
      </c>
      <c r="W55" s="84" t="str">
        <f>IFERROR(__xludf.DUMMYFUNCTION("IF(REGEXMATCH(E55, ""P1""), ""x"","""")"),"")</f>
        <v/>
      </c>
      <c r="X55" s="56" t="str">
        <f>IFERROR(__xludf.DUMMYFUNCTION("IF(REGEXMATCH(E55, ""P2""), ""P"","""")"),"")</f>
        <v/>
      </c>
      <c r="Y55" s="70" t="s">
        <v>11</v>
      </c>
      <c r="Z55" s="72" t="str">
        <f>IFERROR(__xludf.DUMMYFUNCTION("IF(REGEXMATCH(E55, ""D1""), ""x"","""")"),"")</f>
        <v/>
      </c>
      <c r="AA55" s="65" t="str">
        <f>IFERROR(__xludf.DUMMYFUNCTION("IF(REGEXMATCH(E55, ""D2""), ""d"","""")"),"")</f>
        <v/>
      </c>
      <c r="AB55" s="65" t="str">
        <f>IFERROR(__xludf.DUMMYFUNCTION("IF(REGEXMATCH(E55, ""D3""), ""D"","""")"),"")</f>
        <v/>
      </c>
      <c r="AC55" s="79" t="str">
        <f>IFERROR(__xludf.DUMMYFUNCTION("IF(REGEXMATCH(E55, ""D4""), ""dD"","""")"),"")</f>
        <v/>
      </c>
      <c r="AD55" s="70" t="s">
        <v>11</v>
      </c>
      <c r="AE55" s="72" t="str">
        <f>IFERROR(__xludf.DUMMYFUNCTION("IF(REGEXMATCH(E55, ""N1""), ""x"","""")"),"")</f>
        <v/>
      </c>
      <c r="AF55" s="65" t="str">
        <f>IFERROR(__xludf.DUMMYFUNCTION("IF(REGEXMATCH(E55, ""N2""), ""n"","""")"),"")</f>
        <v/>
      </c>
      <c r="AG55" s="65" t="str">
        <f>IFERROR(__xludf.DUMMYFUNCTION("IF(REGEXMATCH(E55, ""N3""), ""N"","""")"),"")</f>
        <v/>
      </c>
      <c r="AH55" s="79" t="str">
        <f>IFERROR(__xludf.DUMMYFUNCTION("IF(REGEXMATCH(E55, ""N4""), ""nN"","""")"),"")</f>
        <v/>
      </c>
      <c r="AI55" s="70" t="s">
        <v>11</v>
      </c>
      <c r="AJ55" s="92" t="str">
        <f t="shared" si="5"/>
        <v/>
      </c>
    </row>
    <row r="56">
      <c r="A56" s="33" t="str">
        <f t="shared" si="1"/>
        <v>S-rR-G-m</v>
      </c>
      <c r="B56" s="33">
        <f t="shared" si="2"/>
        <v>5</v>
      </c>
      <c r="C56" s="33" t="str">
        <f t="shared" si="3"/>
        <v>S-rR-G-m</v>
      </c>
      <c r="D56" s="49" t="s">
        <v>79</v>
      </c>
      <c r="E56" s="49" t="s">
        <v>279</v>
      </c>
      <c r="F56" s="56" t="str">
        <f t="shared" si="4"/>
        <v>S</v>
      </c>
      <c r="G56" s="59" t="s">
        <v>11</v>
      </c>
      <c r="H56" s="63" t="str">
        <f>IFERROR(__xludf.DUMMYFUNCTION("IF(REGEXMATCH(E56, ""R1""), ""x"","""")"),"")</f>
        <v/>
      </c>
      <c r="I56" s="65" t="str">
        <f>IFERROR(__xludf.DUMMYFUNCTION("IF(REGEXMATCH(E56, ""R2""), ""r"","""")"),"")</f>
        <v/>
      </c>
      <c r="J56" s="63" t="str">
        <f>IFERROR(__xludf.DUMMYFUNCTION("IF(REGEXMATCH(E56, ""R3""), ""R"","""")"),"")</f>
        <v/>
      </c>
      <c r="K56" s="65" t="str">
        <f>IFERROR(__xludf.DUMMYFUNCTION("IF(REGEXMATCH(E56, ""R4""), ""rR"","""")"),"rR")</f>
        <v>rR</v>
      </c>
      <c r="L56" s="70" t="s">
        <v>11</v>
      </c>
      <c r="M56" s="72" t="str">
        <f>IFERROR(__xludf.DUMMYFUNCTION("IF(REGEXMATCH(E56, ""G1""), ""x"","""")"),"")</f>
        <v/>
      </c>
      <c r="N56" s="65" t="str">
        <f>IFERROR(__xludf.DUMMYFUNCTION("IF(REGEXMATCH(E56, ""G2""), ""g"","""")"),"")</f>
        <v/>
      </c>
      <c r="O56" s="65" t="str">
        <f>IFERROR(__xludf.DUMMYFUNCTION("IF(REGEXMATCH(E56, ""G3""), ""G"","""")"),"G")</f>
        <v>G</v>
      </c>
      <c r="P56" s="79" t="str">
        <f>IFERROR(__xludf.DUMMYFUNCTION("IF(REGEXMATCH(E56, ""G4""), ""gG"","""")"),"")</f>
        <v/>
      </c>
      <c r="Q56" s="70" t="s">
        <v>11</v>
      </c>
      <c r="R56" s="72" t="str">
        <f>IFERROR(__xludf.DUMMYFUNCTION("IF(REGEXMATCH(E56, ""M1""), ""x"","""")"),"")</f>
        <v/>
      </c>
      <c r="S56" s="65" t="str">
        <f>IFERROR(__xludf.DUMMYFUNCTION("IF(REGEXMATCH(E56, ""M2""), ""m"","""")"),"m")</f>
        <v>m</v>
      </c>
      <c r="T56" s="65" t="str">
        <f>IFERROR(__xludf.DUMMYFUNCTION("IF(REGEXMATCH(E56, ""M3""), ""M"","""")"),"")</f>
        <v/>
      </c>
      <c r="U56" s="79" t="str">
        <f>IFERROR(__xludf.DUMMYFUNCTION("IF(REGEXMATCH(E56, ""M4""), ""mM"","""")"),"")</f>
        <v/>
      </c>
      <c r="V56" s="59" t="s">
        <v>11</v>
      </c>
      <c r="W56" s="84" t="str">
        <f>IFERROR(__xludf.DUMMYFUNCTION("IF(REGEXMATCH(E56, ""P1""), ""x"","""")"),"")</f>
        <v/>
      </c>
      <c r="X56" s="56" t="str">
        <f>IFERROR(__xludf.DUMMYFUNCTION("IF(REGEXMATCH(E56, ""P2""), ""P"","""")"),"")</f>
        <v/>
      </c>
      <c r="Y56" s="70" t="s">
        <v>11</v>
      </c>
      <c r="Z56" s="72" t="str">
        <f>IFERROR(__xludf.DUMMYFUNCTION("IF(REGEXMATCH(E56, ""D1""), ""x"","""")"),"")</f>
        <v/>
      </c>
      <c r="AA56" s="65" t="str">
        <f>IFERROR(__xludf.DUMMYFUNCTION("IF(REGEXMATCH(E56, ""D2""), ""d"","""")"),"")</f>
        <v/>
      </c>
      <c r="AB56" s="65" t="str">
        <f>IFERROR(__xludf.DUMMYFUNCTION("IF(REGEXMATCH(E56, ""D3""), ""D"","""")"),"")</f>
        <v/>
      </c>
      <c r="AC56" s="79" t="str">
        <f>IFERROR(__xludf.DUMMYFUNCTION("IF(REGEXMATCH(E56, ""D4""), ""dD"","""")"),"")</f>
        <v/>
      </c>
      <c r="AD56" s="70" t="s">
        <v>11</v>
      </c>
      <c r="AE56" s="72" t="str">
        <f>IFERROR(__xludf.DUMMYFUNCTION("IF(REGEXMATCH(E56, ""N1""), ""x"","""")"),"")</f>
        <v/>
      </c>
      <c r="AF56" s="65" t="str">
        <f>IFERROR(__xludf.DUMMYFUNCTION("IF(REGEXMATCH(E56, ""N2""), ""n"","""")"),"")</f>
        <v/>
      </c>
      <c r="AG56" s="65" t="str">
        <f>IFERROR(__xludf.DUMMYFUNCTION("IF(REGEXMATCH(E56, ""N3""), ""N"","""")"),"")</f>
        <v/>
      </c>
      <c r="AH56" s="79" t="str">
        <f>IFERROR(__xludf.DUMMYFUNCTION("IF(REGEXMATCH(E56, ""N4""), ""nN"","""")"),"")</f>
        <v/>
      </c>
      <c r="AI56" s="70" t="s">
        <v>11</v>
      </c>
      <c r="AJ56" s="92" t="str">
        <f t="shared" si="5"/>
        <v/>
      </c>
    </row>
    <row r="57">
      <c r="A57" s="33" t="str">
        <f t="shared" si="1"/>
        <v>S-rR-G-M</v>
      </c>
      <c r="B57" s="33">
        <f t="shared" si="2"/>
        <v>5</v>
      </c>
      <c r="C57" s="33" t="str">
        <f t="shared" si="3"/>
        <v>S-rR-G-M</v>
      </c>
      <c r="D57" s="49" t="s">
        <v>79</v>
      </c>
      <c r="E57" s="49" t="s">
        <v>281</v>
      </c>
      <c r="F57" s="56" t="str">
        <f t="shared" si="4"/>
        <v>S</v>
      </c>
      <c r="G57" s="59" t="s">
        <v>11</v>
      </c>
      <c r="H57" s="63" t="str">
        <f>IFERROR(__xludf.DUMMYFUNCTION("IF(REGEXMATCH(E57, ""R1""), ""x"","""")"),"")</f>
        <v/>
      </c>
      <c r="I57" s="65" t="str">
        <f>IFERROR(__xludf.DUMMYFUNCTION("IF(REGEXMATCH(E57, ""R2""), ""r"","""")"),"")</f>
        <v/>
      </c>
      <c r="J57" s="63" t="str">
        <f>IFERROR(__xludf.DUMMYFUNCTION("IF(REGEXMATCH(E57, ""R3""), ""R"","""")"),"")</f>
        <v/>
      </c>
      <c r="K57" s="65" t="str">
        <f>IFERROR(__xludf.DUMMYFUNCTION("IF(REGEXMATCH(E57, ""R4""), ""rR"","""")"),"rR")</f>
        <v>rR</v>
      </c>
      <c r="L57" s="70" t="s">
        <v>11</v>
      </c>
      <c r="M57" s="72" t="str">
        <f>IFERROR(__xludf.DUMMYFUNCTION("IF(REGEXMATCH(E57, ""G1""), ""x"","""")"),"")</f>
        <v/>
      </c>
      <c r="N57" s="65" t="str">
        <f>IFERROR(__xludf.DUMMYFUNCTION("IF(REGEXMATCH(E57, ""G2""), ""g"","""")"),"")</f>
        <v/>
      </c>
      <c r="O57" s="65" t="str">
        <f>IFERROR(__xludf.DUMMYFUNCTION("IF(REGEXMATCH(E57, ""G3""), ""G"","""")"),"G")</f>
        <v>G</v>
      </c>
      <c r="P57" s="79" t="str">
        <f>IFERROR(__xludf.DUMMYFUNCTION("IF(REGEXMATCH(E57, ""G4""), ""gG"","""")"),"")</f>
        <v/>
      </c>
      <c r="Q57" s="70" t="s">
        <v>11</v>
      </c>
      <c r="R57" s="72" t="str">
        <f>IFERROR(__xludf.DUMMYFUNCTION("IF(REGEXMATCH(E57, ""M1""), ""x"","""")"),"")</f>
        <v/>
      </c>
      <c r="S57" s="65" t="str">
        <f>IFERROR(__xludf.DUMMYFUNCTION("IF(REGEXMATCH(E57, ""M2""), ""m"","""")"),"")</f>
        <v/>
      </c>
      <c r="T57" s="65" t="str">
        <f>IFERROR(__xludf.DUMMYFUNCTION("IF(REGEXMATCH(E57, ""M3""), ""M"","""")"),"M")</f>
        <v>M</v>
      </c>
      <c r="U57" s="79" t="str">
        <f>IFERROR(__xludf.DUMMYFUNCTION("IF(REGEXMATCH(E57, ""M4""), ""mM"","""")"),"")</f>
        <v/>
      </c>
      <c r="V57" s="59" t="s">
        <v>11</v>
      </c>
      <c r="W57" s="84" t="str">
        <f>IFERROR(__xludf.DUMMYFUNCTION("IF(REGEXMATCH(E57, ""P1""), ""x"","""")"),"")</f>
        <v/>
      </c>
      <c r="X57" s="56" t="str">
        <f>IFERROR(__xludf.DUMMYFUNCTION("IF(REGEXMATCH(E57, ""P2""), ""P"","""")"),"")</f>
        <v/>
      </c>
      <c r="Y57" s="70" t="s">
        <v>11</v>
      </c>
      <c r="Z57" s="72" t="str">
        <f>IFERROR(__xludf.DUMMYFUNCTION("IF(REGEXMATCH(E57, ""D1""), ""x"","""")"),"")</f>
        <v/>
      </c>
      <c r="AA57" s="65" t="str">
        <f>IFERROR(__xludf.DUMMYFUNCTION("IF(REGEXMATCH(E57, ""D2""), ""d"","""")"),"")</f>
        <v/>
      </c>
      <c r="AB57" s="65" t="str">
        <f>IFERROR(__xludf.DUMMYFUNCTION("IF(REGEXMATCH(E57, ""D3""), ""D"","""")"),"")</f>
        <v/>
      </c>
      <c r="AC57" s="79" t="str">
        <f>IFERROR(__xludf.DUMMYFUNCTION("IF(REGEXMATCH(E57, ""D4""), ""dD"","""")"),"")</f>
        <v/>
      </c>
      <c r="AD57" s="70" t="s">
        <v>11</v>
      </c>
      <c r="AE57" s="72" t="str">
        <f>IFERROR(__xludf.DUMMYFUNCTION("IF(REGEXMATCH(E57, ""N1""), ""x"","""")"),"")</f>
        <v/>
      </c>
      <c r="AF57" s="65" t="str">
        <f>IFERROR(__xludf.DUMMYFUNCTION("IF(REGEXMATCH(E57, ""N2""), ""n"","""")"),"")</f>
        <v/>
      </c>
      <c r="AG57" s="65" t="str">
        <f>IFERROR(__xludf.DUMMYFUNCTION("IF(REGEXMATCH(E57, ""N3""), ""N"","""")"),"")</f>
        <v/>
      </c>
      <c r="AH57" s="79" t="str">
        <f>IFERROR(__xludf.DUMMYFUNCTION("IF(REGEXMATCH(E57, ""N4""), ""nN"","""")"),"")</f>
        <v/>
      </c>
      <c r="AI57" s="70" t="s">
        <v>11</v>
      </c>
      <c r="AJ57" s="92" t="str">
        <f t="shared" si="5"/>
        <v/>
      </c>
    </row>
    <row r="58">
      <c r="A58" s="33" t="str">
        <f t="shared" si="1"/>
        <v>S-rR-gG</v>
      </c>
      <c r="B58" s="33">
        <f t="shared" si="2"/>
        <v>5</v>
      </c>
      <c r="C58" s="33" t="str">
        <f t="shared" si="3"/>
        <v>S-rR-gG-x</v>
      </c>
      <c r="D58" s="49" t="s">
        <v>79</v>
      </c>
      <c r="E58" s="49" t="s">
        <v>282</v>
      </c>
      <c r="F58" s="56" t="str">
        <f t="shared" si="4"/>
        <v>S</v>
      </c>
      <c r="G58" s="59" t="s">
        <v>11</v>
      </c>
      <c r="H58" s="63" t="str">
        <f>IFERROR(__xludf.DUMMYFUNCTION("IF(REGEXMATCH(E58, ""R1""), ""x"","""")"),"")</f>
        <v/>
      </c>
      <c r="I58" s="65" t="str">
        <f>IFERROR(__xludf.DUMMYFUNCTION("IF(REGEXMATCH(E58, ""R2""), ""r"","""")"),"")</f>
        <v/>
      </c>
      <c r="J58" s="63" t="str">
        <f>IFERROR(__xludf.DUMMYFUNCTION("IF(REGEXMATCH(E58, ""R3""), ""R"","""")"),"")</f>
        <v/>
      </c>
      <c r="K58" s="65" t="str">
        <f>IFERROR(__xludf.DUMMYFUNCTION("IF(REGEXMATCH(E58, ""R4""), ""rR"","""")"),"rR")</f>
        <v>rR</v>
      </c>
      <c r="L58" s="70" t="s">
        <v>11</v>
      </c>
      <c r="M58" s="72" t="str">
        <f>IFERROR(__xludf.DUMMYFUNCTION("IF(REGEXMATCH(E58, ""G1""), ""x"","""")"),"")</f>
        <v/>
      </c>
      <c r="N58" s="65" t="str">
        <f>IFERROR(__xludf.DUMMYFUNCTION("IF(REGEXMATCH(E58, ""G2""), ""g"","""")"),"")</f>
        <v/>
      </c>
      <c r="O58" s="65" t="str">
        <f>IFERROR(__xludf.DUMMYFUNCTION("IF(REGEXMATCH(E58, ""G3""), ""G"","""")"),"")</f>
        <v/>
      </c>
      <c r="P58" s="79" t="str">
        <f>IFERROR(__xludf.DUMMYFUNCTION("IF(REGEXMATCH(E58, ""G4""), ""gG"","""")"),"gG")</f>
        <v>gG</v>
      </c>
      <c r="Q58" s="70" t="s">
        <v>11</v>
      </c>
      <c r="R58" s="72" t="str">
        <f>IFERROR(__xludf.DUMMYFUNCTION("IF(REGEXMATCH(E58, ""M1""), ""x"","""")"),"x")</f>
        <v>x</v>
      </c>
      <c r="S58" s="65" t="str">
        <f>IFERROR(__xludf.DUMMYFUNCTION("IF(REGEXMATCH(E58, ""M2""), ""m"","""")"),"")</f>
        <v/>
      </c>
      <c r="T58" s="65" t="str">
        <f>IFERROR(__xludf.DUMMYFUNCTION("IF(REGEXMATCH(E58, ""M3""), ""M"","""")"),"")</f>
        <v/>
      </c>
      <c r="U58" s="79" t="str">
        <f>IFERROR(__xludf.DUMMYFUNCTION("IF(REGEXMATCH(E58, ""M4""), ""mM"","""")"),"")</f>
        <v/>
      </c>
      <c r="V58" s="59" t="s">
        <v>11</v>
      </c>
      <c r="W58" s="84" t="str">
        <f>IFERROR(__xludf.DUMMYFUNCTION("IF(REGEXMATCH(E58, ""P1""), ""x"","""")"),"")</f>
        <v/>
      </c>
      <c r="X58" s="56" t="str">
        <f>IFERROR(__xludf.DUMMYFUNCTION("IF(REGEXMATCH(E58, ""P2""), ""P"","""")"),"")</f>
        <v/>
      </c>
      <c r="Y58" s="70" t="s">
        <v>11</v>
      </c>
      <c r="Z58" s="72" t="str">
        <f>IFERROR(__xludf.DUMMYFUNCTION("IF(REGEXMATCH(E58, ""D1""), ""x"","""")"),"")</f>
        <v/>
      </c>
      <c r="AA58" s="65" t="str">
        <f>IFERROR(__xludf.DUMMYFUNCTION("IF(REGEXMATCH(E58, ""D2""), ""d"","""")"),"")</f>
        <v/>
      </c>
      <c r="AB58" s="65" t="str">
        <f>IFERROR(__xludf.DUMMYFUNCTION("IF(REGEXMATCH(E58, ""D3""), ""D"","""")"),"")</f>
        <v/>
      </c>
      <c r="AC58" s="79" t="str">
        <f>IFERROR(__xludf.DUMMYFUNCTION("IF(REGEXMATCH(E58, ""D4""), ""dD"","""")"),"")</f>
        <v/>
      </c>
      <c r="AD58" s="70" t="s">
        <v>11</v>
      </c>
      <c r="AE58" s="72" t="str">
        <f>IFERROR(__xludf.DUMMYFUNCTION("IF(REGEXMATCH(E58, ""N1""), ""x"","""")"),"")</f>
        <v/>
      </c>
      <c r="AF58" s="65" t="str">
        <f>IFERROR(__xludf.DUMMYFUNCTION("IF(REGEXMATCH(E58, ""N2""), ""n"","""")"),"")</f>
        <v/>
      </c>
      <c r="AG58" s="65" t="str">
        <f>IFERROR(__xludf.DUMMYFUNCTION("IF(REGEXMATCH(E58, ""N3""), ""N"","""")"),"")</f>
        <v/>
      </c>
      <c r="AH58" s="79" t="str">
        <f>IFERROR(__xludf.DUMMYFUNCTION("IF(REGEXMATCH(E58, ""N4""), ""nN"","""")"),"")</f>
        <v/>
      </c>
      <c r="AI58" s="70" t="s">
        <v>11</v>
      </c>
      <c r="AJ58" s="92" t="str">
        <f t="shared" si="5"/>
        <v/>
      </c>
    </row>
    <row r="59">
      <c r="A59" s="33" t="str">
        <f t="shared" si="1"/>
        <v>S-r-gG-mM</v>
      </c>
      <c r="B59" s="33">
        <f t="shared" si="2"/>
        <v>6</v>
      </c>
      <c r="C59" s="33" t="str">
        <f t="shared" si="3"/>
        <v>S-r-gG-mM</v>
      </c>
      <c r="D59" s="49" t="s">
        <v>79</v>
      </c>
      <c r="E59" s="49" t="s">
        <v>284</v>
      </c>
      <c r="F59" s="56" t="str">
        <f t="shared" si="4"/>
        <v>S</v>
      </c>
      <c r="G59" s="59" t="s">
        <v>11</v>
      </c>
      <c r="H59" s="63" t="str">
        <f>IFERROR(__xludf.DUMMYFUNCTION("IF(REGEXMATCH(E59, ""R1""), ""x"","""")"),"")</f>
        <v/>
      </c>
      <c r="I59" s="65" t="str">
        <f>IFERROR(__xludf.DUMMYFUNCTION("IF(REGEXMATCH(E59, ""R2""), ""r"","""")"),"r")</f>
        <v>r</v>
      </c>
      <c r="J59" s="63" t="str">
        <f>IFERROR(__xludf.DUMMYFUNCTION("IF(REGEXMATCH(E59, ""R3""), ""R"","""")"),"")</f>
        <v/>
      </c>
      <c r="K59" s="65" t="str">
        <f>IFERROR(__xludf.DUMMYFUNCTION("IF(REGEXMATCH(E59, ""R4""), ""rR"","""")"),"")</f>
        <v/>
      </c>
      <c r="L59" s="70" t="s">
        <v>11</v>
      </c>
      <c r="M59" s="72" t="str">
        <f>IFERROR(__xludf.DUMMYFUNCTION("IF(REGEXMATCH(E59, ""G1""), ""x"","""")"),"")</f>
        <v/>
      </c>
      <c r="N59" s="65" t="str">
        <f>IFERROR(__xludf.DUMMYFUNCTION("IF(REGEXMATCH(E59, ""G2""), ""g"","""")"),"")</f>
        <v/>
      </c>
      <c r="O59" s="65" t="str">
        <f>IFERROR(__xludf.DUMMYFUNCTION("IF(REGEXMATCH(E59, ""G3""), ""G"","""")"),"")</f>
        <v/>
      </c>
      <c r="P59" s="79" t="str">
        <f>IFERROR(__xludf.DUMMYFUNCTION("IF(REGEXMATCH(E59, ""G4""), ""gG"","""")"),"gG")</f>
        <v>gG</v>
      </c>
      <c r="Q59" s="70" t="s">
        <v>11</v>
      </c>
      <c r="R59" s="72" t="str">
        <f>IFERROR(__xludf.DUMMYFUNCTION("IF(REGEXMATCH(E59, ""M1""), ""x"","""")"),"")</f>
        <v/>
      </c>
      <c r="S59" s="65" t="str">
        <f>IFERROR(__xludf.DUMMYFUNCTION("IF(REGEXMATCH(E59, ""M2""), ""m"","""")"),"")</f>
        <v/>
      </c>
      <c r="T59" s="65" t="str">
        <f>IFERROR(__xludf.DUMMYFUNCTION("IF(REGEXMATCH(E59, ""M3""), ""M"","""")"),"")</f>
        <v/>
      </c>
      <c r="U59" s="79" t="str">
        <f>IFERROR(__xludf.DUMMYFUNCTION("IF(REGEXMATCH(E59, ""M4""), ""mM"","""")"),"mM")</f>
        <v>mM</v>
      </c>
      <c r="V59" s="59" t="s">
        <v>11</v>
      </c>
      <c r="W59" s="84" t="str">
        <f>IFERROR(__xludf.DUMMYFUNCTION("IF(REGEXMATCH(E59, ""P1""), ""x"","""")"),"")</f>
        <v/>
      </c>
      <c r="X59" s="56" t="str">
        <f>IFERROR(__xludf.DUMMYFUNCTION("IF(REGEXMATCH(E59, ""P2""), ""P"","""")"),"")</f>
        <v/>
      </c>
      <c r="Y59" s="70" t="s">
        <v>11</v>
      </c>
      <c r="Z59" s="72" t="str">
        <f>IFERROR(__xludf.DUMMYFUNCTION("IF(REGEXMATCH(E59, ""D1""), ""x"","""")"),"")</f>
        <v/>
      </c>
      <c r="AA59" s="65" t="str">
        <f>IFERROR(__xludf.DUMMYFUNCTION("IF(REGEXMATCH(E59, ""D2""), ""d"","""")"),"")</f>
        <v/>
      </c>
      <c r="AB59" s="65" t="str">
        <f>IFERROR(__xludf.DUMMYFUNCTION("IF(REGEXMATCH(E59, ""D3""), ""D"","""")"),"")</f>
        <v/>
      </c>
      <c r="AC59" s="79" t="str">
        <f>IFERROR(__xludf.DUMMYFUNCTION("IF(REGEXMATCH(E59, ""D4""), ""dD"","""")"),"")</f>
        <v/>
      </c>
      <c r="AD59" s="70" t="s">
        <v>11</v>
      </c>
      <c r="AE59" s="72" t="str">
        <f>IFERROR(__xludf.DUMMYFUNCTION("IF(REGEXMATCH(E59, ""N1""), ""x"","""")"),"")</f>
        <v/>
      </c>
      <c r="AF59" s="65" t="str">
        <f>IFERROR(__xludf.DUMMYFUNCTION("IF(REGEXMATCH(E59, ""N2""), ""n"","""")"),"")</f>
        <v/>
      </c>
      <c r="AG59" s="65" t="str">
        <f>IFERROR(__xludf.DUMMYFUNCTION("IF(REGEXMATCH(E59, ""N3""), ""N"","""")"),"")</f>
        <v/>
      </c>
      <c r="AH59" s="79" t="str">
        <f>IFERROR(__xludf.DUMMYFUNCTION("IF(REGEXMATCH(E59, ""N4""), ""nN"","""")"),"")</f>
        <v/>
      </c>
      <c r="AI59" s="70" t="s">
        <v>11</v>
      </c>
      <c r="AJ59" s="92" t="str">
        <f t="shared" si="5"/>
        <v/>
      </c>
    </row>
    <row r="60">
      <c r="A60" s="33" t="str">
        <f t="shared" si="1"/>
        <v>S-R-gG-mM</v>
      </c>
      <c r="B60" s="33">
        <f t="shared" si="2"/>
        <v>6</v>
      </c>
      <c r="C60" s="33" t="str">
        <f t="shared" si="3"/>
        <v>S-R-gG-mM</v>
      </c>
      <c r="D60" s="49" t="s">
        <v>79</v>
      </c>
      <c r="E60" s="49" t="s">
        <v>286</v>
      </c>
      <c r="F60" s="56" t="str">
        <f t="shared" si="4"/>
        <v>S</v>
      </c>
      <c r="G60" s="59" t="s">
        <v>11</v>
      </c>
      <c r="H60" s="63" t="str">
        <f>IFERROR(__xludf.DUMMYFUNCTION("IF(REGEXMATCH(E60, ""R1""), ""x"","""")"),"")</f>
        <v/>
      </c>
      <c r="I60" s="65" t="str">
        <f>IFERROR(__xludf.DUMMYFUNCTION("IF(REGEXMATCH(E60, ""R2""), ""r"","""")"),"")</f>
        <v/>
      </c>
      <c r="J60" s="63" t="str">
        <f>IFERROR(__xludf.DUMMYFUNCTION("IF(REGEXMATCH(E60, ""R3""), ""R"","""")"),"R")</f>
        <v>R</v>
      </c>
      <c r="K60" s="65" t="str">
        <f>IFERROR(__xludf.DUMMYFUNCTION("IF(REGEXMATCH(E60, ""R4""), ""rR"","""")"),"")</f>
        <v/>
      </c>
      <c r="L60" s="70" t="s">
        <v>11</v>
      </c>
      <c r="M60" s="72" t="str">
        <f>IFERROR(__xludf.DUMMYFUNCTION("IF(REGEXMATCH(E60, ""G1""), ""x"","""")"),"")</f>
        <v/>
      </c>
      <c r="N60" s="65" t="str">
        <f>IFERROR(__xludf.DUMMYFUNCTION("IF(REGEXMATCH(E60, ""G2""), ""g"","""")"),"")</f>
        <v/>
      </c>
      <c r="O60" s="65" t="str">
        <f>IFERROR(__xludf.DUMMYFUNCTION("IF(REGEXMATCH(E60, ""G3""), ""G"","""")"),"")</f>
        <v/>
      </c>
      <c r="P60" s="79" t="str">
        <f>IFERROR(__xludf.DUMMYFUNCTION("IF(REGEXMATCH(E60, ""G4""), ""gG"","""")"),"gG")</f>
        <v>gG</v>
      </c>
      <c r="Q60" s="70" t="s">
        <v>11</v>
      </c>
      <c r="R60" s="72" t="str">
        <f>IFERROR(__xludf.DUMMYFUNCTION("IF(REGEXMATCH(E60, ""M1""), ""x"","""")"),"")</f>
        <v/>
      </c>
      <c r="S60" s="65" t="str">
        <f>IFERROR(__xludf.DUMMYFUNCTION("IF(REGEXMATCH(E60, ""M2""), ""m"","""")"),"")</f>
        <v/>
      </c>
      <c r="T60" s="65" t="str">
        <f>IFERROR(__xludf.DUMMYFUNCTION("IF(REGEXMATCH(E60, ""M3""), ""M"","""")"),"")</f>
        <v/>
      </c>
      <c r="U60" s="79" t="str">
        <f>IFERROR(__xludf.DUMMYFUNCTION("IF(REGEXMATCH(E60, ""M4""), ""mM"","""")"),"mM")</f>
        <v>mM</v>
      </c>
      <c r="V60" s="59" t="s">
        <v>11</v>
      </c>
      <c r="W60" s="84" t="str">
        <f>IFERROR(__xludf.DUMMYFUNCTION("IF(REGEXMATCH(E60, ""P1""), ""x"","""")"),"")</f>
        <v/>
      </c>
      <c r="X60" s="56" t="str">
        <f>IFERROR(__xludf.DUMMYFUNCTION("IF(REGEXMATCH(E60, ""P2""), ""P"","""")"),"")</f>
        <v/>
      </c>
      <c r="Y60" s="70" t="s">
        <v>11</v>
      </c>
      <c r="Z60" s="72" t="str">
        <f>IFERROR(__xludf.DUMMYFUNCTION("IF(REGEXMATCH(E60, ""D1""), ""x"","""")"),"")</f>
        <v/>
      </c>
      <c r="AA60" s="65" t="str">
        <f>IFERROR(__xludf.DUMMYFUNCTION("IF(REGEXMATCH(E60, ""D2""), ""d"","""")"),"")</f>
        <v/>
      </c>
      <c r="AB60" s="65" t="str">
        <f>IFERROR(__xludf.DUMMYFUNCTION("IF(REGEXMATCH(E60, ""D3""), ""D"","""")"),"")</f>
        <v/>
      </c>
      <c r="AC60" s="79" t="str">
        <f>IFERROR(__xludf.DUMMYFUNCTION("IF(REGEXMATCH(E60, ""D4""), ""dD"","""")"),"")</f>
        <v/>
      </c>
      <c r="AD60" s="70" t="s">
        <v>11</v>
      </c>
      <c r="AE60" s="72" t="str">
        <f>IFERROR(__xludf.DUMMYFUNCTION("IF(REGEXMATCH(E60, ""N1""), ""x"","""")"),"")</f>
        <v/>
      </c>
      <c r="AF60" s="65" t="str">
        <f>IFERROR(__xludf.DUMMYFUNCTION("IF(REGEXMATCH(E60, ""N2""), ""n"","""")"),"")</f>
        <v/>
      </c>
      <c r="AG60" s="65" t="str">
        <f>IFERROR(__xludf.DUMMYFUNCTION("IF(REGEXMATCH(E60, ""N3""), ""N"","""")"),"")</f>
        <v/>
      </c>
      <c r="AH60" s="79" t="str">
        <f>IFERROR(__xludf.DUMMYFUNCTION("IF(REGEXMATCH(E60, ""N4""), ""nN"","""")"),"")</f>
        <v/>
      </c>
      <c r="AI60" s="70" t="s">
        <v>11</v>
      </c>
      <c r="AJ60" s="92" t="str">
        <f t="shared" si="5"/>
        <v/>
      </c>
    </row>
    <row r="61">
      <c r="A61" s="33" t="str">
        <f t="shared" si="1"/>
        <v>S-rR-g-mM</v>
      </c>
      <c r="B61" s="33">
        <f t="shared" si="2"/>
        <v>6</v>
      </c>
      <c r="C61" s="33" t="str">
        <f t="shared" si="3"/>
        <v>S-rR-g-mM</v>
      </c>
      <c r="D61" s="49" t="s">
        <v>79</v>
      </c>
      <c r="E61" s="49" t="s">
        <v>289</v>
      </c>
      <c r="F61" s="56" t="str">
        <f t="shared" si="4"/>
        <v>S</v>
      </c>
      <c r="G61" s="59" t="s">
        <v>11</v>
      </c>
      <c r="H61" s="63" t="str">
        <f>IFERROR(__xludf.DUMMYFUNCTION("IF(REGEXMATCH(E61, ""R1""), ""x"","""")"),"")</f>
        <v/>
      </c>
      <c r="I61" s="65" t="str">
        <f>IFERROR(__xludf.DUMMYFUNCTION("IF(REGEXMATCH(E61, ""R2""), ""r"","""")"),"")</f>
        <v/>
      </c>
      <c r="J61" s="63" t="str">
        <f>IFERROR(__xludf.DUMMYFUNCTION("IF(REGEXMATCH(E61, ""R3""), ""R"","""")"),"")</f>
        <v/>
      </c>
      <c r="K61" s="65" t="str">
        <f>IFERROR(__xludf.DUMMYFUNCTION("IF(REGEXMATCH(E61, ""R4""), ""rR"","""")"),"rR")</f>
        <v>rR</v>
      </c>
      <c r="L61" s="70" t="s">
        <v>11</v>
      </c>
      <c r="M61" s="72" t="str">
        <f>IFERROR(__xludf.DUMMYFUNCTION("IF(REGEXMATCH(E61, ""G1""), ""x"","""")"),"")</f>
        <v/>
      </c>
      <c r="N61" s="65" t="str">
        <f>IFERROR(__xludf.DUMMYFUNCTION("IF(REGEXMATCH(E61, ""G2""), ""g"","""")"),"g")</f>
        <v>g</v>
      </c>
      <c r="O61" s="65" t="str">
        <f>IFERROR(__xludf.DUMMYFUNCTION("IF(REGEXMATCH(E61, ""G3""), ""G"","""")"),"")</f>
        <v/>
      </c>
      <c r="P61" s="79" t="str">
        <f>IFERROR(__xludf.DUMMYFUNCTION("IF(REGEXMATCH(E61, ""G4""), ""gG"","""")"),"")</f>
        <v/>
      </c>
      <c r="Q61" s="70" t="s">
        <v>11</v>
      </c>
      <c r="R61" s="72" t="str">
        <f>IFERROR(__xludf.DUMMYFUNCTION("IF(REGEXMATCH(E61, ""M1""), ""x"","""")"),"")</f>
        <v/>
      </c>
      <c r="S61" s="65" t="str">
        <f>IFERROR(__xludf.DUMMYFUNCTION("IF(REGEXMATCH(E61, ""M2""), ""m"","""")"),"")</f>
        <v/>
      </c>
      <c r="T61" s="65" t="str">
        <f>IFERROR(__xludf.DUMMYFUNCTION("IF(REGEXMATCH(E61, ""M3""), ""M"","""")"),"")</f>
        <v/>
      </c>
      <c r="U61" s="79" t="str">
        <f>IFERROR(__xludf.DUMMYFUNCTION("IF(REGEXMATCH(E61, ""M4""), ""mM"","""")"),"mM")</f>
        <v>mM</v>
      </c>
      <c r="V61" s="59" t="s">
        <v>11</v>
      </c>
      <c r="W61" s="84" t="str">
        <f>IFERROR(__xludf.DUMMYFUNCTION("IF(REGEXMATCH(E61, ""P1""), ""x"","""")"),"")</f>
        <v/>
      </c>
      <c r="X61" s="56" t="str">
        <f>IFERROR(__xludf.DUMMYFUNCTION("IF(REGEXMATCH(E61, ""P2""), ""P"","""")"),"")</f>
        <v/>
      </c>
      <c r="Y61" s="70" t="s">
        <v>11</v>
      </c>
      <c r="Z61" s="72" t="str">
        <f>IFERROR(__xludf.DUMMYFUNCTION("IF(REGEXMATCH(E61, ""D1""), ""x"","""")"),"")</f>
        <v/>
      </c>
      <c r="AA61" s="65" t="str">
        <f>IFERROR(__xludf.DUMMYFUNCTION("IF(REGEXMATCH(E61, ""D2""), ""d"","""")"),"")</f>
        <v/>
      </c>
      <c r="AB61" s="65" t="str">
        <f>IFERROR(__xludf.DUMMYFUNCTION("IF(REGEXMATCH(E61, ""D3""), ""D"","""")"),"")</f>
        <v/>
      </c>
      <c r="AC61" s="79" t="str">
        <f>IFERROR(__xludf.DUMMYFUNCTION("IF(REGEXMATCH(E61, ""D4""), ""dD"","""")"),"")</f>
        <v/>
      </c>
      <c r="AD61" s="70" t="s">
        <v>11</v>
      </c>
      <c r="AE61" s="72" t="str">
        <f>IFERROR(__xludf.DUMMYFUNCTION("IF(REGEXMATCH(E61, ""N1""), ""x"","""")"),"")</f>
        <v/>
      </c>
      <c r="AF61" s="65" t="str">
        <f>IFERROR(__xludf.DUMMYFUNCTION("IF(REGEXMATCH(E61, ""N2""), ""n"","""")"),"")</f>
        <v/>
      </c>
      <c r="AG61" s="65" t="str">
        <f>IFERROR(__xludf.DUMMYFUNCTION("IF(REGEXMATCH(E61, ""N3""), ""N"","""")"),"")</f>
        <v/>
      </c>
      <c r="AH61" s="79" t="str">
        <f>IFERROR(__xludf.DUMMYFUNCTION("IF(REGEXMATCH(E61, ""N4""), ""nN"","""")"),"")</f>
        <v/>
      </c>
      <c r="AI61" s="70" t="s">
        <v>11</v>
      </c>
      <c r="AJ61" s="92" t="str">
        <f t="shared" si="5"/>
        <v/>
      </c>
    </row>
    <row r="62">
      <c r="A62" s="33" t="str">
        <f t="shared" si="1"/>
        <v>S-rR-G-mM</v>
      </c>
      <c r="B62" s="33">
        <f t="shared" si="2"/>
        <v>6</v>
      </c>
      <c r="C62" s="33" t="str">
        <f t="shared" si="3"/>
        <v>S-rR-G-mM</v>
      </c>
      <c r="D62" s="49" t="s">
        <v>79</v>
      </c>
      <c r="E62" s="49" t="s">
        <v>291</v>
      </c>
      <c r="F62" s="56" t="str">
        <f t="shared" si="4"/>
        <v>S</v>
      </c>
      <c r="G62" s="59" t="s">
        <v>11</v>
      </c>
      <c r="H62" s="63" t="str">
        <f>IFERROR(__xludf.DUMMYFUNCTION("IF(REGEXMATCH(E62, ""R1""), ""x"","""")"),"")</f>
        <v/>
      </c>
      <c r="I62" s="65" t="str">
        <f>IFERROR(__xludf.DUMMYFUNCTION("IF(REGEXMATCH(E62, ""R2""), ""r"","""")"),"")</f>
        <v/>
      </c>
      <c r="J62" s="63" t="str">
        <f>IFERROR(__xludf.DUMMYFUNCTION("IF(REGEXMATCH(E62, ""R3""), ""R"","""")"),"")</f>
        <v/>
      </c>
      <c r="K62" s="65" t="str">
        <f>IFERROR(__xludf.DUMMYFUNCTION("IF(REGEXMATCH(E62, ""R4""), ""rR"","""")"),"rR")</f>
        <v>rR</v>
      </c>
      <c r="L62" s="70" t="s">
        <v>11</v>
      </c>
      <c r="M62" s="72" t="str">
        <f>IFERROR(__xludf.DUMMYFUNCTION("IF(REGEXMATCH(E62, ""G1""), ""x"","""")"),"")</f>
        <v/>
      </c>
      <c r="N62" s="65" t="str">
        <f>IFERROR(__xludf.DUMMYFUNCTION("IF(REGEXMATCH(E62, ""G2""), ""g"","""")"),"")</f>
        <v/>
      </c>
      <c r="O62" s="65" t="str">
        <f>IFERROR(__xludf.DUMMYFUNCTION("IF(REGEXMATCH(E62, ""G3""), ""G"","""")"),"G")</f>
        <v>G</v>
      </c>
      <c r="P62" s="79" t="str">
        <f>IFERROR(__xludf.DUMMYFUNCTION("IF(REGEXMATCH(E62, ""G4""), ""gG"","""")"),"")</f>
        <v/>
      </c>
      <c r="Q62" s="70" t="s">
        <v>11</v>
      </c>
      <c r="R62" s="72" t="str">
        <f>IFERROR(__xludf.DUMMYFUNCTION("IF(REGEXMATCH(E62, ""M1""), ""x"","""")"),"")</f>
        <v/>
      </c>
      <c r="S62" s="65" t="str">
        <f>IFERROR(__xludf.DUMMYFUNCTION("IF(REGEXMATCH(E62, ""M2""), ""m"","""")"),"")</f>
        <v/>
      </c>
      <c r="T62" s="65" t="str">
        <f>IFERROR(__xludf.DUMMYFUNCTION("IF(REGEXMATCH(E62, ""M3""), ""M"","""")"),"")</f>
        <v/>
      </c>
      <c r="U62" s="79" t="str">
        <f>IFERROR(__xludf.DUMMYFUNCTION("IF(REGEXMATCH(E62, ""M4""), ""mM"","""")"),"mM")</f>
        <v>mM</v>
      </c>
      <c r="V62" s="59" t="s">
        <v>11</v>
      </c>
      <c r="W62" s="84" t="str">
        <f>IFERROR(__xludf.DUMMYFUNCTION("IF(REGEXMATCH(E62, ""P1""), ""x"","""")"),"")</f>
        <v/>
      </c>
      <c r="X62" s="56" t="str">
        <f>IFERROR(__xludf.DUMMYFUNCTION("IF(REGEXMATCH(E62, ""P2""), ""P"","""")"),"")</f>
        <v/>
      </c>
      <c r="Y62" s="70" t="s">
        <v>11</v>
      </c>
      <c r="Z62" s="72" t="str">
        <f>IFERROR(__xludf.DUMMYFUNCTION("IF(REGEXMATCH(E62, ""D1""), ""x"","""")"),"")</f>
        <v/>
      </c>
      <c r="AA62" s="65" t="str">
        <f>IFERROR(__xludf.DUMMYFUNCTION("IF(REGEXMATCH(E62, ""D2""), ""d"","""")"),"")</f>
        <v/>
      </c>
      <c r="AB62" s="65" t="str">
        <f>IFERROR(__xludf.DUMMYFUNCTION("IF(REGEXMATCH(E62, ""D3""), ""D"","""")"),"")</f>
        <v/>
      </c>
      <c r="AC62" s="79" t="str">
        <f>IFERROR(__xludf.DUMMYFUNCTION("IF(REGEXMATCH(E62, ""D4""), ""dD"","""")"),"")</f>
        <v/>
      </c>
      <c r="AD62" s="70" t="s">
        <v>11</v>
      </c>
      <c r="AE62" s="72" t="str">
        <f>IFERROR(__xludf.DUMMYFUNCTION("IF(REGEXMATCH(E62, ""N1""), ""x"","""")"),"")</f>
        <v/>
      </c>
      <c r="AF62" s="65" t="str">
        <f>IFERROR(__xludf.DUMMYFUNCTION("IF(REGEXMATCH(E62, ""N2""), ""n"","""")"),"")</f>
        <v/>
      </c>
      <c r="AG62" s="65" t="str">
        <f>IFERROR(__xludf.DUMMYFUNCTION("IF(REGEXMATCH(E62, ""N3""), ""N"","""")"),"")</f>
        <v/>
      </c>
      <c r="AH62" s="79" t="str">
        <f>IFERROR(__xludf.DUMMYFUNCTION("IF(REGEXMATCH(E62, ""N4""), ""nN"","""")"),"")</f>
        <v/>
      </c>
      <c r="AI62" s="70" t="s">
        <v>11</v>
      </c>
      <c r="AJ62" s="92" t="str">
        <f t="shared" si="5"/>
        <v/>
      </c>
    </row>
    <row r="63">
      <c r="A63" s="33" t="str">
        <f t="shared" si="1"/>
        <v>S-rR-gG-m</v>
      </c>
      <c r="B63" s="33">
        <f t="shared" si="2"/>
        <v>6</v>
      </c>
      <c r="C63" s="33" t="str">
        <f t="shared" si="3"/>
        <v>S-rR-gG-m</v>
      </c>
      <c r="D63" s="49" t="s">
        <v>79</v>
      </c>
      <c r="E63" s="49" t="s">
        <v>293</v>
      </c>
      <c r="F63" s="56" t="str">
        <f t="shared" si="4"/>
        <v>S</v>
      </c>
      <c r="G63" s="59" t="s">
        <v>11</v>
      </c>
      <c r="H63" s="63" t="str">
        <f>IFERROR(__xludf.DUMMYFUNCTION("IF(REGEXMATCH(E63, ""R1""), ""x"","""")"),"")</f>
        <v/>
      </c>
      <c r="I63" s="65" t="str">
        <f>IFERROR(__xludf.DUMMYFUNCTION("IF(REGEXMATCH(E63, ""R2""), ""r"","""")"),"")</f>
        <v/>
      </c>
      <c r="J63" s="63" t="str">
        <f>IFERROR(__xludf.DUMMYFUNCTION("IF(REGEXMATCH(E63, ""R3""), ""R"","""")"),"")</f>
        <v/>
      </c>
      <c r="K63" s="65" t="str">
        <f>IFERROR(__xludf.DUMMYFUNCTION("IF(REGEXMATCH(E63, ""R4""), ""rR"","""")"),"rR")</f>
        <v>rR</v>
      </c>
      <c r="L63" s="70" t="s">
        <v>11</v>
      </c>
      <c r="M63" s="72" t="str">
        <f>IFERROR(__xludf.DUMMYFUNCTION("IF(REGEXMATCH(E63, ""G1""), ""x"","""")"),"")</f>
        <v/>
      </c>
      <c r="N63" s="65" t="str">
        <f>IFERROR(__xludf.DUMMYFUNCTION("IF(REGEXMATCH(E63, ""G2""), ""g"","""")"),"")</f>
        <v/>
      </c>
      <c r="O63" s="65" t="str">
        <f>IFERROR(__xludf.DUMMYFUNCTION("IF(REGEXMATCH(E63, ""G3""), ""G"","""")"),"")</f>
        <v/>
      </c>
      <c r="P63" s="79" t="str">
        <f>IFERROR(__xludf.DUMMYFUNCTION("IF(REGEXMATCH(E63, ""G4""), ""gG"","""")"),"gG")</f>
        <v>gG</v>
      </c>
      <c r="Q63" s="70" t="s">
        <v>11</v>
      </c>
      <c r="R63" s="72" t="str">
        <f>IFERROR(__xludf.DUMMYFUNCTION("IF(REGEXMATCH(E63, ""M1""), ""x"","""")"),"")</f>
        <v/>
      </c>
      <c r="S63" s="65" t="str">
        <f>IFERROR(__xludf.DUMMYFUNCTION("IF(REGEXMATCH(E63, ""M2""), ""m"","""")"),"m")</f>
        <v>m</v>
      </c>
      <c r="T63" s="65" t="str">
        <f>IFERROR(__xludf.DUMMYFUNCTION("IF(REGEXMATCH(E63, ""M3""), ""M"","""")"),"")</f>
        <v/>
      </c>
      <c r="U63" s="79" t="str">
        <f>IFERROR(__xludf.DUMMYFUNCTION("IF(REGEXMATCH(E63, ""M4""), ""mM"","""")"),"")</f>
        <v/>
      </c>
      <c r="V63" s="59" t="s">
        <v>11</v>
      </c>
      <c r="W63" s="84" t="str">
        <f>IFERROR(__xludf.DUMMYFUNCTION("IF(REGEXMATCH(E63, ""P1""), ""x"","""")"),"")</f>
        <v/>
      </c>
      <c r="X63" s="56" t="str">
        <f>IFERROR(__xludf.DUMMYFUNCTION("IF(REGEXMATCH(E63, ""P2""), ""P"","""")"),"")</f>
        <v/>
      </c>
      <c r="Y63" s="70" t="s">
        <v>11</v>
      </c>
      <c r="Z63" s="72" t="str">
        <f>IFERROR(__xludf.DUMMYFUNCTION("IF(REGEXMATCH(E63, ""D1""), ""x"","""")"),"")</f>
        <v/>
      </c>
      <c r="AA63" s="65" t="str">
        <f>IFERROR(__xludf.DUMMYFUNCTION("IF(REGEXMATCH(E63, ""D2""), ""d"","""")"),"")</f>
        <v/>
      </c>
      <c r="AB63" s="65" t="str">
        <f>IFERROR(__xludf.DUMMYFUNCTION("IF(REGEXMATCH(E63, ""D3""), ""D"","""")"),"")</f>
        <v/>
      </c>
      <c r="AC63" s="79" t="str">
        <f>IFERROR(__xludf.DUMMYFUNCTION("IF(REGEXMATCH(E63, ""D4""), ""dD"","""")"),"")</f>
        <v/>
      </c>
      <c r="AD63" s="70" t="s">
        <v>11</v>
      </c>
      <c r="AE63" s="72" t="str">
        <f>IFERROR(__xludf.DUMMYFUNCTION("IF(REGEXMATCH(E63, ""N1""), ""x"","""")"),"")</f>
        <v/>
      </c>
      <c r="AF63" s="65" t="str">
        <f>IFERROR(__xludf.DUMMYFUNCTION("IF(REGEXMATCH(E63, ""N2""), ""n"","""")"),"")</f>
        <v/>
      </c>
      <c r="AG63" s="65" t="str">
        <f>IFERROR(__xludf.DUMMYFUNCTION("IF(REGEXMATCH(E63, ""N3""), ""N"","""")"),"")</f>
        <v/>
      </c>
      <c r="AH63" s="79" t="str">
        <f>IFERROR(__xludf.DUMMYFUNCTION("IF(REGEXMATCH(E63, ""N4""), ""nN"","""")"),"")</f>
        <v/>
      </c>
      <c r="AI63" s="70" t="s">
        <v>11</v>
      </c>
      <c r="AJ63" s="92" t="str">
        <f t="shared" si="5"/>
        <v/>
      </c>
    </row>
    <row r="64">
      <c r="A64" s="33" t="str">
        <f t="shared" si="1"/>
        <v>S-rR-gG-M</v>
      </c>
      <c r="B64" s="33">
        <f t="shared" si="2"/>
        <v>6</v>
      </c>
      <c r="C64" s="33" t="str">
        <f t="shared" si="3"/>
        <v>S-rR-gG-M</v>
      </c>
      <c r="D64" s="49" t="s">
        <v>79</v>
      </c>
      <c r="E64" s="49" t="s">
        <v>295</v>
      </c>
      <c r="F64" s="56" t="str">
        <f t="shared" si="4"/>
        <v>S</v>
      </c>
      <c r="G64" s="59" t="s">
        <v>11</v>
      </c>
      <c r="H64" s="63" t="str">
        <f>IFERROR(__xludf.DUMMYFUNCTION("IF(REGEXMATCH(E64, ""R1""), ""x"","""")"),"")</f>
        <v/>
      </c>
      <c r="I64" s="65" t="str">
        <f>IFERROR(__xludf.DUMMYFUNCTION("IF(REGEXMATCH(E64, ""R2""), ""r"","""")"),"")</f>
        <v/>
      </c>
      <c r="J64" s="63" t="str">
        <f>IFERROR(__xludf.DUMMYFUNCTION("IF(REGEXMATCH(E64, ""R3""), ""R"","""")"),"")</f>
        <v/>
      </c>
      <c r="K64" s="65" t="str">
        <f>IFERROR(__xludf.DUMMYFUNCTION("IF(REGEXMATCH(E64, ""R4""), ""rR"","""")"),"rR")</f>
        <v>rR</v>
      </c>
      <c r="L64" s="70" t="s">
        <v>11</v>
      </c>
      <c r="M64" s="72" t="str">
        <f>IFERROR(__xludf.DUMMYFUNCTION("IF(REGEXMATCH(E64, ""G1""), ""x"","""")"),"")</f>
        <v/>
      </c>
      <c r="N64" s="65" t="str">
        <f>IFERROR(__xludf.DUMMYFUNCTION("IF(REGEXMATCH(E64, ""G2""), ""g"","""")"),"")</f>
        <v/>
      </c>
      <c r="O64" s="65" t="str">
        <f>IFERROR(__xludf.DUMMYFUNCTION("IF(REGEXMATCH(E64, ""G3""), ""G"","""")"),"")</f>
        <v/>
      </c>
      <c r="P64" s="79" t="str">
        <f>IFERROR(__xludf.DUMMYFUNCTION("IF(REGEXMATCH(E64, ""G4""), ""gG"","""")"),"gG")</f>
        <v>gG</v>
      </c>
      <c r="Q64" s="70" t="s">
        <v>11</v>
      </c>
      <c r="R64" s="72" t="str">
        <f>IFERROR(__xludf.DUMMYFUNCTION("IF(REGEXMATCH(E64, ""M1""), ""x"","""")"),"")</f>
        <v/>
      </c>
      <c r="S64" s="65" t="str">
        <f>IFERROR(__xludf.DUMMYFUNCTION("IF(REGEXMATCH(E64, ""M2""), ""m"","""")"),"")</f>
        <v/>
      </c>
      <c r="T64" s="65" t="str">
        <f>IFERROR(__xludf.DUMMYFUNCTION("IF(REGEXMATCH(E64, ""M3""), ""M"","""")"),"M")</f>
        <v>M</v>
      </c>
      <c r="U64" s="79" t="str">
        <f>IFERROR(__xludf.DUMMYFUNCTION("IF(REGEXMATCH(E64, ""M4""), ""mM"","""")"),"")</f>
        <v/>
      </c>
      <c r="V64" s="59" t="s">
        <v>11</v>
      </c>
      <c r="W64" s="84" t="str">
        <f>IFERROR(__xludf.DUMMYFUNCTION("IF(REGEXMATCH(E64, ""P1""), ""x"","""")"),"")</f>
        <v/>
      </c>
      <c r="X64" s="56" t="str">
        <f>IFERROR(__xludf.DUMMYFUNCTION("IF(REGEXMATCH(E64, ""P2""), ""P"","""")"),"")</f>
        <v/>
      </c>
      <c r="Y64" s="70" t="s">
        <v>11</v>
      </c>
      <c r="Z64" s="72" t="str">
        <f>IFERROR(__xludf.DUMMYFUNCTION("IF(REGEXMATCH(E64, ""D1""), ""x"","""")"),"")</f>
        <v/>
      </c>
      <c r="AA64" s="65" t="str">
        <f>IFERROR(__xludf.DUMMYFUNCTION("IF(REGEXMATCH(E64, ""D2""), ""d"","""")"),"")</f>
        <v/>
      </c>
      <c r="AB64" s="65" t="str">
        <f>IFERROR(__xludf.DUMMYFUNCTION("IF(REGEXMATCH(E64, ""D3""), ""D"","""")"),"")</f>
        <v/>
      </c>
      <c r="AC64" s="79" t="str">
        <f>IFERROR(__xludf.DUMMYFUNCTION("IF(REGEXMATCH(E64, ""D4""), ""dD"","""")"),"")</f>
        <v/>
      </c>
      <c r="AD64" s="70" t="s">
        <v>11</v>
      </c>
      <c r="AE64" s="72" t="str">
        <f>IFERROR(__xludf.DUMMYFUNCTION("IF(REGEXMATCH(E64, ""N1""), ""x"","""")"),"")</f>
        <v/>
      </c>
      <c r="AF64" s="65" t="str">
        <f>IFERROR(__xludf.DUMMYFUNCTION("IF(REGEXMATCH(E64, ""N2""), ""n"","""")"),"")</f>
        <v/>
      </c>
      <c r="AG64" s="65" t="str">
        <f>IFERROR(__xludf.DUMMYFUNCTION("IF(REGEXMATCH(E64, ""N3""), ""N"","""")"),"")</f>
        <v/>
      </c>
      <c r="AH64" s="79" t="str">
        <f>IFERROR(__xludf.DUMMYFUNCTION("IF(REGEXMATCH(E64, ""N4""), ""nN"","""")"),"")</f>
        <v/>
      </c>
      <c r="AI64" s="70" t="s">
        <v>11</v>
      </c>
      <c r="AJ64" s="92" t="str">
        <f t="shared" si="5"/>
        <v/>
      </c>
    </row>
    <row r="65">
      <c r="A65" s="33" t="str">
        <f t="shared" si="1"/>
        <v>S-rR-gG-mM</v>
      </c>
      <c r="B65" s="33">
        <f t="shared" si="2"/>
        <v>7</v>
      </c>
      <c r="C65" s="33" t="str">
        <f t="shared" si="3"/>
        <v>S-rR-gG-mM</v>
      </c>
      <c r="D65" s="49" t="s">
        <v>79</v>
      </c>
      <c r="E65" s="49" t="s">
        <v>297</v>
      </c>
      <c r="F65" s="56" t="str">
        <f t="shared" si="4"/>
        <v>S</v>
      </c>
      <c r="G65" s="59" t="s">
        <v>11</v>
      </c>
      <c r="H65" s="63" t="str">
        <f>IFERROR(__xludf.DUMMYFUNCTION("IF(REGEXMATCH(E65, ""R1""), ""x"","""")"),"")</f>
        <v/>
      </c>
      <c r="I65" s="65" t="str">
        <f>IFERROR(__xludf.DUMMYFUNCTION("IF(REGEXMATCH(E65, ""R2""), ""r"","""")"),"")</f>
        <v/>
      </c>
      <c r="J65" s="63" t="str">
        <f>IFERROR(__xludf.DUMMYFUNCTION("IF(REGEXMATCH(E65, ""R3""), ""R"","""")"),"")</f>
        <v/>
      </c>
      <c r="K65" s="65" t="str">
        <f>IFERROR(__xludf.DUMMYFUNCTION("IF(REGEXMATCH(E65, ""R4""), ""rR"","""")"),"rR")</f>
        <v>rR</v>
      </c>
      <c r="L65" s="70" t="s">
        <v>11</v>
      </c>
      <c r="M65" s="72" t="str">
        <f>IFERROR(__xludf.DUMMYFUNCTION("IF(REGEXMATCH(E65, ""G1""), ""x"","""")"),"")</f>
        <v/>
      </c>
      <c r="N65" s="65" t="str">
        <f>IFERROR(__xludf.DUMMYFUNCTION("IF(REGEXMATCH(E65, ""G2""), ""g"","""")"),"")</f>
        <v/>
      </c>
      <c r="O65" s="65" t="str">
        <f>IFERROR(__xludf.DUMMYFUNCTION("IF(REGEXMATCH(E65, ""G3""), ""G"","""")"),"")</f>
        <v/>
      </c>
      <c r="P65" s="79" t="str">
        <f>IFERROR(__xludf.DUMMYFUNCTION("IF(REGEXMATCH(E65, ""G4""), ""gG"","""")"),"gG")</f>
        <v>gG</v>
      </c>
      <c r="Q65" s="70" t="s">
        <v>11</v>
      </c>
      <c r="R65" s="72" t="str">
        <f>IFERROR(__xludf.DUMMYFUNCTION("IF(REGEXMATCH(E65, ""M1""), ""x"","""")"),"")</f>
        <v/>
      </c>
      <c r="S65" s="65" t="str">
        <f>IFERROR(__xludf.DUMMYFUNCTION("IF(REGEXMATCH(E65, ""M2""), ""m"","""")"),"")</f>
        <v/>
      </c>
      <c r="T65" s="65" t="str">
        <f>IFERROR(__xludf.DUMMYFUNCTION("IF(REGEXMATCH(E65, ""M3""), ""M"","""")"),"")</f>
        <v/>
      </c>
      <c r="U65" s="79" t="str">
        <f>IFERROR(__xludf.DUMMYFUNCTION("IF(REGEXMATCH(E65, ""M4""), ""mM"","""")"),"mM")</f>
        <v>mM</v>
      </c>
      <c r="V65" s="59" t="s">
        <v>11</v>
      </c>
      <c r="W65" s="84" t="str">
        <f>IFERROR(__xludf.DUMMYFUNCTION("IF(REGEXMATCH(E65, ""P1""), ""x"","""")"),"")</f>
        <v/>
      </c>
      <c r="X65" s="56" t="str">
        <f>IFERROR(__xludf.DUMMYFUNCTION("IF(REGEXMATCH(E65, ""P2""), ""P"","""")"),"")</f>
        <v/>
      </c>
      <c r="Y65" s="70" t="s">
        <v>11</v>
      </c>
      <c r="Z65" s="72" t="str">
        <f>IFERROR(__xludf.DUMMYFUNCTION("IF(REGEXMATCH(E65, ""D1""), ""x"","""")"),"")</f>
        <v/>
      </c>
      <c r="AA65" s="65" t="str">
        <f>IFERROR(__xludf.DUMMYFUNCTION("IF(REGEXMATCH(E65, ""D2""), ""d"","""")"),"")</f>
        <v/>
      </c>
      <c r="AB65" s="65" t="str">
        <f>IFERROR(__xludf.DUMMYFUNCTION("IF(REGEXMATCH(E65, ""D3""), ""D"","""")"),"")</f>
        <v/>
      </c>
      <c r="AC65" s="79" t="str">
        <f>IFERROR(__xludf.DUMMYFUNCTION("IF(REGEXMATCH(E65, ""D4""), ""dD"","""")"),"")</f>
        <v/>
      </c>
      <c r="AD65" s="70" t="s">
        <v>11</v>
      </c>
      <c r="AE65" s="72" t="str">
        <f>IFERROR(__xludf.DUMMYFUNCTION("IF(REGEXMATCH(E65, ""N1""), ""x"","""")"),"")</f>
        <v/>
      </c>
      <c r="AF65" s="65" t="str">
        <f>IFERROR(__xludf.DUMMYFUNCTION("IF(REGEXMATCH(E65, ""N2""), ""n"","""")"),"")</f>
        <v/>
      </c>
      <c r="AG65" s="65" t="str">
        <f>IFERROR(__xludf.DUMMYFUNCTION("IF(REGEXMATCH(E65, ""N3""), ""N"","""")"),"")</f>
        <v/>
      </c>
      <c r="AH65" s="79" t="str">
        <f>IFERROR(__xludf.DUMMYFUNCTION("IF(REGEXMATCH(E65, ""N4""), ""nN"","""")"),"")</f>
        <v/>
      </c>
      <c r="AI65" s="70" t="s">
        <v>11</v>
      </c>
      <c r="AJ65" s="92" t="str">
        <f t="shared" si="5"/>
        <v/>
      </c>
    </row>
    <row r="66">
      <c r="A66" s="33" t="str">
        <f t="shared" si="1"/>
        <v>-S</v>
      </c>
      <c r="B66" s="33">
        <f t="shared" si="2"/>
        <v>1</v>
      </c>
      <c r="C66" s="33" t="str">
        <f t="shared" si="3"/>
        <v>-x-x-x-S</v>
      </c>
      <c r="D66" s="375" t="s">
        <v>103</v>
      </c>
      <c r="E66" s="49" t="s">
        <v>298</v>
      </c>
      <c r="F66" s="56" t="str">
        <f t="shared" si="4"/>
        <v/>
      </c>
      <c r="G66" s="59" t="s">
        <v>11</v>
      </c>
      <c r="H66" s="63" t="str">
        <f>IFERROR(__xludf.DUMMYFUNCTION("IF(REGEXMATCH(E66, ""R1""), ""x"","""")"),"")</f>
        <v/>
      </c>
      <c r="I66" s="65" t="str">
        <f>IFERROR(__xludf.DUMMYFUNCTION("IF(REGEXMATCH(E66, ""R2""), ""r"","""")"),"")</f>
        <v/>
      </c>
      <c r="J66" s="63" t="str">
        <f>IFERROR(__xludf.DUMMYFUNCTION("IF(REGEXMATCH(E66, ""R3""), ""R"","""")"),"")</f>
        <v/>
      </c>
      <c r="K66" s="65" t="str">
        <f>IFERROR(__xludf.DUMMYFUNCTION("IF(REGEXMATCH(E66, ""R4""), ""rR"","""")"),"")</f>
        <v/>
      </c>
      <c r="L66" s="70" t="s">
        <v>11</v>
      </c>
      <c r="M66" s="72" t="str">
        <f>IFERROR(__xludf.DUMMYFUNCTION("IF(REGEXMATCH(E66, ""G1""), ""x"","""")"),"")</f>
        <v/>
      </c>
      <c r="N66" s="65" t="str">
        <f>IFERROR(__xludf.DUMMYFUNCTION("IF(REGEXMATCH(E66, ""G2""), ""g"","""")"),"")</f>
        <v/>
      </c>
      <c r="O66" s="65" t="str">
        <f>IFERROR(__xludf.DUMMYFUNCTION("IF(REGEXMATCH(E66, ""G3""), ""G"","""")"),"")</f>
        <v/>
      </c>
      <c r="P66" s="79" t="str">
        <f>IFERROR(__xludf.DUMMYFUNCTION("IF(REGEXMATCH(E66, ""G4""), ""gG"","""")"),"")</f>
        <v/>
      </c>
      <c r="Q66" s="70" t="s">
        <v>11</v>
      </c>
      <c r="R66" s="72" t="str">
        <f>IFERROR(__xludf.DUMMYFUNCTION("IF(REGEXMATCH(E66, ""M1""), ""x"","""")"),"")</f>
        <v/>
      </c>
      <c r="S66" s="65" t="str">
        <f>IFERROR(__xludf.DUMMYFUNCTION("IF(REGEXMATCH(E66, ""M2""), ""m"","""")"),"")</f>
        <v/>
      </c>
      <c r="T66" s="65" t="str">
        <f>IFERROR(__xludf.DUMMYFUNCTION("IF(REGEXMATCH(E66, ""M3""), ""M"","""")"),"")</f>
        <v/>
      </c>
      <c r="U66" s="79" t="str">
        <f>IFERROR(__xludf.DUMMYFUNCTION("IF(REGEXMATCH(E66, ""M4""), ""mM"","""")"),"")</f>
        <v/>
      </c>
      <c r="V66" s="59" t="s">
        <v>11</v>
      </c>
      <c r="W66" s="84" t="str">
        <f>IFERROR(__xludf.DUMMYFUNCTION("IF(REGEXMATCH(E66, ""P1""), ""x"","""")"),"x")</f>
        <v>x</v>
      </c>
      <c r="X66" s="56" t="str">
        <f>IFERROR(__xludf.DUMMYFUNCTION("IF(REGEXMATCH(E66, ""P2""), ""P"","""")"),"")</f>
        <v/>
      </c>
      <c r="Y66" s="70" t="s">
        <v>11</v>
      </c>
      <c r="Z66" s="72" t="str">
        <f>IFERROR(__xludf.DUMMYFUNCTION("IF(REGEXMATCH(E66, ""D1""), ""x"","""")"),"x")</f>
        <v>x</v>
      </c>
      <c r="AA66" s="65" t="str">
        <f>IFERROR(__xludf.DUMMYFUNCTION("IF(REGEXMATCH(E66, ""D2""), ""d"","""")"),"")</f>
        <v/>
      </c>
      <c r="AB66" s="65" t="str">
        <f>IFERROR(__xludf.DUMMYFUNCTION("IF(REGEXMATCH(E66, ""D3""), ""D"","""")"),"")</f>
        <v/>
      </c>
      <c r="AC66" s="79" t="str">
        <f>IFERROR(__xludf.DUMMYFUNCTION("IF(REGEXMATCH(E66, ""D4""), ""dD"","""")"),"")</f>
        <v/>
      </c>
      <c r="AD66" s="70" t="s">
        <v>11</v>
      </c>
      <c r="AE66" s="72" t="str">
        <f>IFERROR(__xludf.DUMMYFUNCTION("IF(REGEXMATCH(E66, ""N1""), ""x"","""")"),"x")</f>
        <v>x</v>
      </c>
      <c r="AF66" s="65" t="str">
        <f>IFERROR(__xludf.DUMMYFUNCTION("IF(REGEXMATCH(E66, ""N2""), ""n"","""")"),"")</f>
        <v/>
      </c>
      <c r="AG66" s="65" t="str">
        <f>IFERROR(__xludf.DUMMYFUNCTION("IF(REGEXMATCH(E66, ""N3""), ""N"","""")"),"")</f>
        <v/>
      </c>
      <c r="AH66" s="79" t="str">
        <f>IFERROR(__xludf.DUMMYFUNCTION("IF(REGEXMATCH(E66, ""N4""), ""nN"","""")"),"")</f>
        <v/>
      </c>
      <c r="AI66" s="70" t="s">
        <v>11</v>
      </c>
      <c r="AJ66" s="92" t="str">
        <f t="shared" si="5"/>
        <v>S</v>
      </c>
    </row>
    <row r="67">
      <c r="A67" s="33" t="str">
        <f t="shared" si="1"/>
        <v>-n-S</v>
      </c>
      <c r="B67" s="33">
        <f t="shared" si="2"/>
        <v>2</v>
      </c>
      <c r="C67" s="33" t="str">
        <f t="shared" si="3"/>
        <v>-x-x-n-S</v>
      </c>
      <c r="D67" s="375" t="s">
        <v>103</v>
      </c>
      <c r="E67" s="49" t="s">
        <v>300</v>
      </c>
      <c r="F67" s="56" t="str">
        <f t="shared" si="4"/>
        <v/>
      </c>
      <c r="G67" s="59" t="s">
        <v>11</v>
      </c>
      <c r="H67" s="63" t="str">
        <f>IFERROR(__xludf.DUMMYFUNCTION("IF(REGEXMATCH(E67, ""R1""), ""x"","""")"),"")</f>
        <v/>
      </c>
      <c r="I67" s="65" t="str">
        <f>IFERROR(__xludf.DUMMYFUNCTION("IF(REGEXMATCH(E67, ""R2""), ""r"","""")"),"")</f>
        <v/>
      </c>
      <c r="J67" s="63" t="str">
        <f>IFERROR(__xludf.DUMMYFUNCTION("IF(REGEXMATCH(E67, ""R3""), ""R"","""")"),"")</f>
        <v/>
      </c>
      <c r="K67" s="65" t="str">
        <f>IFERROR(__xludf.DUMMYFUNCTION("IF(REGEXMATCH(E67, ""R4""), ""rR"","""")"),"")</f>
        <v/>
      </c>
      <c r="L67" s="70" t="s">
        <v>11</v>
      </c>
      <c r="M67" s="72" t="str">
        <f>IFERROR(__xludf.DUMMYFUNCTION("IF(REGEXMATCH(E67, ""G1""), ""x"","""")"),"")</f>
        <v/>
      </c>
      <c r="N67" s="65" t="str">
        <f>IFERROR(__xludf.DUMMYFUNCTION("IF(REGEXMATCH(E67, ""G2""), ""g"","""")"),"")</f>
        <v/>
      </c>
      <c r="O67" s="65" t="str">
        <f>IFERROR(__xludf.DUMMYFUNCTION("IF(REGEXMATCH(E67, ""G3""), ""G"","""")"),"")</f>
        <v/>
      </c>
      <c r="P67" s="79" t="str">
        <f>IFERROR(__xludf.DUMMYFUNCTION("IF(REGEXMATCH(E67, ""G4""), ""gG"","""")"),"")</f>
        <v/>
      </c>
      <c r="Q67" s="70" t="s">
        <v>11</v>
      </c>
      <c r="R67" s="72" t="str">
        <f>IFERROR(__xludf.DUMMYFUNCTION("IF(REGEXMATCH(E67, ""M1""), ""x"","""")"),"")</f>
        <v/>
      </c>
      <c r="S67" s="65" t="str">
        <f>IFERROR(__xludf.DUMMYFUNCTION("IF(REGEXMATCH(E67, ""M2""), ""m"","""")"),"")</f>
        <v/>
      </c>
      <c r="T67" s="65" t="str">
        <f>IFERROR(__xludf.DUMMYFUNCTION("IF(REGEXMATCH(E67, ""M3""), ""M"","""")"),"")</f>
        <v/>
      </c>
      <c r="U67" s="79" t="str">
        <f>IFERROR(__xludf.DUMMYFUNCTION("IF(REGEXMATCH(E67, ""M4""), ""mM"","""")"),"")</f>
        <v/>
      </c>
      <c r="V67" s="59" t="s">
        <v>11</v>
      </c>
      <c r="W67" s="84" t="str">
        <f>IFERROR(__xludf.DUMMYFUNCTION("IF(REGEXMATCH(E67, ""P1""), ""x"","""")"),"x")</f>
        <v>x</v>
      </c>
      <c r="X67" s="56" t="str">
        <f>IFERROR(__xludf.DUMMYFUNCTION("IF(REGEXMATCH(E67, ""P2""), ""P"","""")"),"")</f>
        <v/>
      </c>
      <c r="Y67" s="70" t="s">
        <v>11</v>
      </c>
      <c r="Z67" s="72" t="str">
        <f>IFERROR(__xludf.DUMMYFUNCTION("IF(REGEXMATCH(E67, ""D1""), ""x"","""")"),"x")</f>
        <v>x</v>
      </c>
      <c r="AA67" s="65" t="str">
        <f>IFERROR(__xludf.DUMMYFUNCTION("IF(REGEXMATCH(E67, ""D2""), ""d"","""")"),"")</f>
        <v/>
      </c>
      <c r="AB67" s="65" t="str">
        <f>IFERROR(__xludf.DUMMYFUNCTION("IF(REGEXMATCH(E67, ""D3""), ""D"","""")"),"")</f>
        <v/>
      </c>
      <c r="AC67" s="79" t="str">
        <f>IFERROR(__xludf.DUMMYFUNCTION("IF(REGEXMATCH(E67, ""D4""), ""dD"","""")"),"")</f>
        <v/>
      </c>
      <c r="AD67" s="70" t="s">
        <v>11</v>
      </c>
      <c r="AE67" s="72" t="str">
        <f>IFERROR(__xludf.DUMMYFUNCTION("IF(REGEXMATCH(E67, ""N1""), ""x"","""")"),"")</f>
        <v/>
      </c>
      <c r="AF67" s="65" t="str">
        <f>IFERROR(__xludf.DUMMYFUNCTION("IF(REGEXMATCH(E67, ""N2""), ""n"","""")"),"n")</f>
        <v>n</v>
      </c>
      <c r="AG67" s="65" t="str">
        <f>IFERROR(__xludf.DUMMYFUNCTION("IF(REGEXMATCH(E67, ""N3""), ""N"","""")"),"")</f>
        <v/>
      </c>
      <c r="AH67" s="79" t="str">
        <f>IFERROR(__xludf.DUMMYFUNCTION("IF(REGEXMATCH(E67, ""N4""), ""nN"","""")"),"")</f>
        <v/>
      </c>
      <c r="AI67" s="70" t="s">
        <v>11</v>
      </c>
      <c r="AJ67" s="92" t="str">
        <f t="shared" si="5"/>
        <v>S</v>
      </c>
    </row>
    <row r="68">
      <c r="A68" s="33" t="str">
        <f t="shared" si="1"/>
        <v>-N-S</v>
      </c>
      <c r="B68" s="33">
        <f t="shared" si="2"/>
        <v>2</v>
      </c>
      <c r="C68" s="33" t="str">
        <f t="shared" si="3"/>
        <v>-x-x-N-S</v>
      </c>
      <c r="D68" s="375" t="s">
        <v>103</v>
      </c>
      <c r="E68" s="49" t="s">
        <v>302</v>
      </c>
      <c r="F68" s="56" t="str">
        <f t="shared" si="4"/>
        <v/>
      </c>
      <c r="G68" s="59" t="s">
        <v>11</v>
      </c>
      <c r="H68" s="63" t="str">
        <f>IFERROR(__xludf.DUMMYFUNCTION("IF(REGEXMATCH(E68, ""R1""), ""x"","""")"),"")</f>
        <v/>
      </c>
      <c r="I68" s="65" t="str">
        <f>IFERROR(__xludf.DUMMYFUNCTION("IF(REGEXMATCH(E68, ""R2""), ""r"","""")"),"")</f>
        <v/>
      </c>
      <c r="J68" s="63" t="str">
        <f>IFERROR(__xludf.DUMMYFUNCTION("IF(REGEXMATCH(E68, ""R3""), ""R"","""")"),"")</f>
        <v/>
      </c>
      <c r="K68" s="65" t="str">
        <f>IFERROR(__xludf.DUMMYFUNCTION("IF(REGEXMATCH(E68, ""R4""), ""rR"","""")"),"")</f>
        <v/>
      </c>
      <c r="L68" s="70" t="s">
        <v>11</v>
      </c>
      <c r="M68" s="72" t="str">
        <f>IFERROR(__xludf.DUMMYFUNCTION("IF(REGEXMATCH(E68, ""G1""), ""x"","""")"),"")</f>
        <v/>
      </c>
      <c r="N68" s="65" t="str">
        <f>IFERROR(__xludf.DUMMYFUNCTION("IF(REGEXMATCH(E68, ""G2""), ""g"","""")"),"")</f>
        <v/>
      </c>
      <c r="O68" s="65" t="str">
        <f>IFERROR(__xludf.DUMMYFUNCTION("IF(REGEXMATCH(E68, ""G3""), ""G"","""")"),"")</f>
        <v/>
      </c>
      <c r="P68" s="79" t="str">
        <f>IFERROR(__xludf.DUMMYFUNCTION("IF(REGEXMATCH(E68, ""G4""), ""gG"","""")"),"")</f>
        <v/>
      </c>
      <c r="Q68" s="70" t="s">
        <v>11</v>
      </c>
      <c r="R68" s="72" t="str">
        <f>IFERROR(__xludf.DUMMYFUNCTION("IF(REGEXMATCH(E68, ""M1""), ""x"","""")"),"")</f>
        <v/>
      </c>
      <c r="S68" s="65" t="str">
        <f>IFERROR(__xludf.DUMMYFUNCTION("IF(REGEXMATCH(E68, ""M2""), ""m"","""")"),"")</f>
        <v/>
      </c>
      <c r="T68" s="65" t="str">
        <f>IFERROR(__xludf.DUMMYFUNCTION("IF(REGEXMATCH(E68, ""M3""), ""M"","""")"),"")</f>
        <v/>
      </c>
      <c r="U68" s="79" t="str">
        <f>IFERROR(__xludf.DUMMYFUNCTION("IF(REGEXMATCH(E68, ""M4""), ""mM"","""")"),"")</f>
        <v/>
      </c>
      <c r="V68" s="59" t="s">
        <v>11</v>
      </c>
      <c r="W68" s="84" t="str">
        <f>IFERROR(__xludf.DUMMYFUNCTION("IF(REGEXMATCH(E68, ""P1""), ""x"","""")"),"x")</f>
        <v>x</v>
      </c>
      <c r="X68" s="56" t="str">
        <f>IFERROR(__xludf.DUMMYFUNCTION("IF(REGEXMATCH(E68, ""P2""), ""P"","""")"),"")</f>
        <v/>
      </c>
      <c r="Y68" s="70" t="s">
        <v>11</v>
      </c>
      <c r="Z68" s="72" t="str">
        <f>IFERROR(__xludf.DUMMYFUNCTION("IF(REGEXMATCH(E68, ""D1""), ""x"","""")"),"x")</f>
        <v>x</v>
      </c>
      <c r="AA68" s="65" t="str">
        <f>IFERROR(__xludf.DUMMYFUNCTION("IF(REGEXMATCH(E68, ""D2""), ""d"","""")"),"")</f>
        <v/>
      </c>
      <c r="AB68" s="65" t="str">
        <f>IFERROR(__xludf.DUMMYFUNCTION("IF(REGEXMATCH(E68, ""D3""), ""D"","""")"),"")</f>
        <v/>
      </c>
      <c r="AC68" s="79" t="str">
        <f>IFERROR(__xludf.DUMMYFUNCTION("IF(REGEXMATCH(E68, ""D4""), ""dD"","""")"),"")</f>
        <v/>
      </c>
      <c r="AD68" s="70" t="s">
        <v>11</v>
      </c>
      <c r="AE68" s="72" t="str">
        <f>IFERROR(__xludf.DUMMYFUNCTION("IF(REGEXMATCH(E68, ""N1""), ""x"","""")"),"")</f>
        <v/>
      </c>
      <c r="AF68" s="65" t="str">
        <f>IFERROR(__xludf.DUMMYFUNCTION("IF(REGEXMATCH(E68, ""N2""), ""n"","""")"),"")</f>
        <v/>
      </c>
      <c r="AG68" s="65" t="str">
        <f>IFERROR(__xludf.DUMMYFUNCTION("IF(REGEXMATCH(E68, ""N3""), ""N"","""")"),"N")</f>
        <v>N</v>
      </c>
      <c r="AH68" s="79" t="str">
        <f>IFERROR(__xludf.DUMMYFUNCTION("IF(REGEXMATCH(E68, ""N4""), ""nN"","""")"),"")</f>
        <v/>
      </c>
      <c r="AI68" s="70" t="s">
        <v>11</v>
      </c>
      <c r="AJ68" s="92" t="str">
        <f t="shared" si="5"/>
        <v>S</v>
      </c>
    </row>
    <row r="69">
      <c r="A69" s="33" t="str">
        <f t="shared" si="1"/>
        <v>-d-S</v>
      </c>
      <c r="B69" s="33">
        <f t="shared" si="2"/>
        <v>2</v>
      </c>
      <c r="C69" s="33" t="str">
        <f t="shared" si="3"/>
        <v>-x-d-x-S</v>
      </c>
      <c r="D69" s="375" t="s">
        <v>103</v>
      </c>
      <c r="E69" s="49" t="s">
        <v>304</v>
      </c>
      <c r="F69" s="56" t="str">
        <f t="shared" si="4"/>
        <v/>
      </c>
      <c r="G69" s="59" t="s">
        <v>11</v>
      </c>
      <c r="H69" s="63" t="str">
        <f>IFERROR(__xludf.DUMMYFUNCTION("IF(REGEXMATCH(E69, ""R1""), ""x"","""")"),"")</f>
        <v/>
      </c>
      <c r="I69" s="65" t="str">
        <f>IFERROR(__xludf.DUMMYFUNCTION("IF(REGEXMATCH(E69, ""R2""), ""r"","""")"),"")</f>
        <v/>
      </c>
      <c r="J69" s="63" t="str">
        <f>IFERROR(__xludf.DUMMYFUNCTION("IF(REGEXMATCH(E69, ""R3""), ""R"","""")"),"")</f>
        <v/>
      </c>
      <c r="K69" s="65" t="str">
        <f>IFERROR(__xludf.DUMMYFUNCTION("IF(REGEXMATCH(E69, ""R4""), ""rR"","""")"),"")</f>
        <v/>
      </c>
      <c r="L69" s="70" t="s">
        <v>11</v>
      </c>
      <c r="M69" s="72" t="str">
        <f>IFERROR(__xludf.DUMMYFUNCTION("IF(REGEXMATCH(E69, ""G1""), ""x"","""")"),"")</f>
        <v/>
      </c>
      <c r="N69" s="65" t="str">
        <f>IFERROR(__xludf.DUMMYFUNCTION("IF(REGEXMATCH(E69, ""G2""), ""g"","""")"),"")</f>
        <v/>
      </c>
      <c r="O69" s="65" t="str">
        <f>IFERROR(__xludf.DUMMYFUNCTION("IF(REGEXMATCH(E69, ""G3""), ""G"","""")"),"")</f>
        <v/>
      </c>
      <c r="P69" s="79" t="str">
        <f>IFERROR(__xludf.DUMMYFUNCTION("IF(REGEXMATCH(E69, ""G4""), ""gG"","""")"),"")</f>
        <v/>
      </c>
      <c r="Q69" s="70" t="s">
        <v>11</v>
      </c>
      <c r="R69" s="72" t="str">
        <f>IFERROR(__xludf.DUMMYFUNCTION("IF(REGEXMATCH(E69, ""M1""), ""x"","""")"),"")</f>
        <v/>
      </c>
      <c r="S69" s="65" t="str">
        <f>IFERROR(__xludf.DUMMYFUNCTION("IF(REGEXMATCH(E69, ""M2""), ""m"","""")"),"")</f>
        <v/>
      </c>
      <c r="T69" s="65" t="str">
        <f>IFERROR(__xludf.DUMMYFUNCTION("IF(REGEXMATCH(E69, ""M3""), ""M"","""")"),"")</f>
        <v/>
      </c>
      <c r="U69" s="79" t="str">
        <f>IFERROR(__xludf.DUMMYFUNCTION("IF(REGEXMATCH(E69, ""M4""), ""mM"","""")"),"")</f>
        <v/>
      </c>
      <c r="V69" s="59" t="s">
        <v>11</v>
      </c>
      <c r="W69" s="84" t="str">
        <f>IFERROR(__xludf.DUMMYFUNCTION("IF(REGEXMATCH(E69, ""P1""), ""x"","""")"),"x")</f>
        <v>x</v>
      </c>
      <c r="X69" s="56" t="str">
        <f>IFERROR(__xludf.DUMMYFUNCTION("IF(REGEXMATCH(E69, ""P2""), ""P"","""")"),"")</f>
        <v/>
      </c>
      <c r="Y69" s="70" t="s">
        <v>11</v>
      </c>
      <c r="Z69" s="72" t="str">
        <f>IFERROR(__xludf.DUMMYFUNCTION("IF(REGEXMATCH(E69, ""D1""), ""x"","""")"),"")</f>
        <v/>
      </c>
      <c r="AA69" s="65" t="str">
        <f>IFERROR(__xludf.DUMMYFUNCTION("IF(REGEXMATCH(E69, ""D2""), ""d"","""")"),"d")</f>
        <v>d</v>
      </c>
      <c r="AB69" s="65" t="str">
        <f>IFERROR(__xludf.DUMMYFUNCTION("IF(REGEXMATCH(E69, ""D3""), ""D"","""")"),"")</f>
        <v/>
      </c>
      <c r="AC69" s="79" t="str">
        <f>IFERROR(__xludf.DUMMYFUNCTION("IF(REGEXMATCH(E69, ""D4""), ""dD"","""")"),"")</f>
        <v/>
      </c>
      <c r="AD69" s="70" t="s">
        <v>11</v>
      </c>
      <c r="AE69" s="72" t="str">
        <f>IFERROR(__xludf.DUMMYFUNCTION("IF(REGEXMATCH(E69, ""N1""), ""x"","""")"),"x")</f>
        <v>x</v>
      </c>
      <c r="AF69" s="65" t="str">
        <f>IFERROR(__xludf.DUMMYFUNCTION("IF(REGEXMATCH(E69, ""N2""), ""n"","""")"),"")</f>
        <v/>
      </c>
      <c r="AG69" s="65" t="str">
        <f>IFERROR(__xludf.DUMMYFUNCTION("IF(REGEXMATCH(E69, ""N3""), ""N"","""")"),"")</f>
        <v/>
      </c>
      <c r="AH69" s="79" t="str">
        <f>IFERROR(__xludf.DUMMYFUNCTION("IF(REGEXMATCH(E69, ""N4""), ""nN"","""")"),"")</f>
        <v/>
      </c>
      <c r="AI69" s="70" t="s">
        <v>11</v>
      </c>
      <c r="AJ69" s="92" t="str">
        <f t="shared" si="5"/>
        <v>S</v>
      </c>
    </row>
    <row r="70">
      <c r="A70" s="33" t="str">
        <f t="shared" si="1"/>
        <v>-D-S</v>
      </c>
      <c r="B70" s="33">
        <f t="shared" si="2"/>
        <v>2</v>
      </c>
      <c r="C70" s="33" t="str">
        <f t="shared" si="3"/>
        <v>-x-D-x-S</v>
      </c>
      <c r="D70" s="375" t="s">
        <v>103</v>
      </c>
      <c r="E70" s="49" t="s">
        <v>306</v>
      </c>
      <c r="F70" s="56" t="str">
        <f t="shared" si="4"/>
        <v/>
      </c>
      <c r="G70" s="59" t="s">
        <v>11</v>
      </c>
      <c r="H70" s="63" t="str">
        <f>IFERROR(__xludf.DUMMYFUNCTION("IF(REGEXMATCH(E70, ""R1""), ""x"","""")"),"")</f>
        <v/>
      </c>
      <c r="I70" s="65" t="str">
        <f>IFERROR(__xludf.DUMMYFUNCTION("IF(REGEXMATCH(E70, ""R2""), ""r"","""")"),"")</f>
        <v/>
      </c>
      <c r="J70" s="63" t="str">
        <f>IFERROR(__xludf.DUMMYFUNCTION("IF(REGEXMATCH(E70, ""R3""), ""R"","""")"),"")</f>
        <v/>
      </c>
      <c r="K70" s="65" t="str">
        <f>IFERROR(__xludf.DUMMYFUNCTION("IF(REGEXMATCH(E70, ""R4""), ""rR"","""")"),"")</f>
        <v/>
      </c>
      <c r="L70" s="70" t="s">
        <v>11</v>
      </c>
      <c r="M70" s="72" t="str">
        <f>IFERROR(__xludf.DUMMYFUNCTION("IF(REGEXMATCH(E70, ""G1""), ""x"","""")"),"")</f>
        <v/>
      </c>
      <c r="N70" s="65" t="str">
        <f>IFERROR(__xludf.DUMMYFUNCTION("IF(REGEXMATCH(E70, ""G2""), ""g"","""")"),"")</f>
        <v/>
      </c>
      <c r="O70" s="65" t="str">
        <f>IFERROR(__xludf.DUMMYFUNCTION("IF(REGEXMATCH(E70, ""G3""), ""G"","""")"),"")</f>
        <v/>
      </c>
      <c r="P70" s="79" t="str">
        <f>IFERROR(__xludf.DUMMYFUNCTION("IF(REGEXMATCH(E70, ""G4""), ""gG"","""")"),"")</f>
        <v/>
      </c>
      <c r="Q70" s="70" t="s">
        <v>11</v>
      </c>
      <c r="R70" s="72" t="str">
        <f>IFERROR(__xludf.DUMMYFUNCTION("IF(REGEXMATCH(E70, ""M1""), ""x"","""")"),"")</f>
        <v/>
      </c>
      <c r="S70" s="65" t="str">
        <f>IFERROR(__xludf.DUMMYFUNCTION("IF(REGEXMATCH(E70, ""M2""), ""m"","""")"),"")</f>
        <v/>
      </c>
      <c r="T70" s="65" t="str">
        <f>IFERROR(__xludf.DUMMYFUNCTION("IF(REGEXMATCH(E70, ""M3""), ""M"","""")"),"")</f>
        <v/>
      </c>
      <c r="U70" s="79" t="str">
        <f>IFERROR(__xludf.DUMMYFUNCTION("IF(REGEXMATCH(E70, ""M4""), ""mM"","""")"),"")</f>
        <v/>
      </c>
      <c r="V70" s="59" t="s">
        <v>11</v>
      </c>
      <c r="W70" s="84" t="str">
        <f>IFERROR(__xludf.DUMMYFUNCTION("IF(REGEXMATCH(E70, ""P1""), ""x"","""")"),"x")</f>
        <v>x</v>
      </c>
      <c r="X70" s="56" t="str">
        <f>IFERROR(__xludf.DUMMYFUNCTION("IF(REGEXMATCH(E70, ""P2""), ""P"","""")"),"")</f>
        <v/>
      </c>
      <c r="Y70" s="70" t="s">
        <v>11</v>
      </c>
      <c r="Z70" s="72" t="str">
        <f>IFERROR(__xludf.DUMMYFUNCTION("IF(REGEXMATCH(E70, ""D1""), ""x"","""")"),"")</f>
        <v/>
      </c>
      <c r="AA70" s="65" t="str">
        <f>IFERROR(__xludf.DUMMYFUNCTION("IF(REGEXMATCH(E70, ""D2""), ""d"","""")"),"")</f>
        <v/>
      </c>
      <c r="AB70" s="65" t="str">
        <f>IFERROR(__xludf.DUMMYFUNCTION("IF(REGEXMATCH(E70, ""D3""), ""D"","""")"),"D")</f>
        <v>D</v>
      </c>
      <c r="AC70" s="79" t="str">
        <f>IFERROR(__xludf.DUMMYFUNCTION("IF(REGEXMATCH(E70, ""D4""), ""dD"","""")"),"")</f>
        <v/>
      </c>
      <c r="AD70" s="70" t="s">
        <v>11</v>
      </c>
      <c r="AE70" s="72" t="str">
        <f>IFERROR(__xludf.DUMMYFUNCTION("IF(REGEXMATCH(E70, ""N1""), ""x"","""")"),"x")</f>
        <v>x</v>
      </c>
      <c r="AF70" s="65" t="str">
        <f>IFERROR(__xludf.DUMMYFUNCTION("IF(REGEXMATCH(E70, ""N2""), ""n"","""")"),"")</f>
        <v/>
      </c>
      <c r="AG70" s="65" t="str">
        <f>IFERROR(__xludf.DUMMYFUNCTION("IF(REGEXMATCH(E70, ""N3""), ""N"","""")"),"")</f>
        <v/>
      </c>
      <c r="AH70" s="79" t="str">
        <f>IFERROR(__xludf.DUMMYFUNCTION("IF(REGEXMATCH(E70, ""N4""), ""nN"","""")"),"")</f>
        <v/>
      </c>
      <c r="AI70" s="70" t="s">
        <v>11</v>
      </c>
      <c r="AJ70" s="92" t="str">
        <f t="shared" si="5"/>
        <v>S</v>
      </c>
    </row>
    <row r="71">
      <c r="A71" s="33" t="str">
        <f t="shared" si="1"/>
        <v>-P-S</v>
      </c>
      <c r="B71" s="33">
        <f t="shared" si="2"/>
        <v>2</v>
      </c>
      <c r="C71" s="33" t="str">
        <f t="shared" si="3"/>
        <v>-P-x-x-S</v>
      </c>
      <c r="D71" s="375" t="s">
        <v>103</v>
      </c>
      <c r="E71" s="49" t="s">
        <v>308</v>
      </c>
      <c r="F71" s="56" t="str">
        <f t="shared" si="4"/>
        <v/>
      </c>
      <c r="G71" s="59" t="s">
        <v>11</v>
      </c>
      <c r="H71" s="63" t="str">
        <f>IFERROR(__xludf.DUMMYFUNCTION("IF(REGEXMATCH(E71, ""R1""), ""x"","""")"),"")</f>
        <v/>
      </c>
      <c r="I71" s="65" t="str">
        <f>IFERROR(__xludf.DUMMYFUNCTION("IF(REGEXMATCH(E71, ""R2""), ""r"","""")"),"")</f>
        <v/>
      </c>
      <c r="J71" s="63" t="str">
        <f>IFERROR(__xludf.DUMMYFUNCTION("IF(REGEXMATCH(E71, ""R3""), ""R"","""")"),"")</f>
        <v/>
      </c>
      <c r="K71" s="65" t="str">
        <f>IFERROR(__xludf.DUMMYFUNCTION("IF(REGEXMATCH(E71, ""R4""), ""rR"","""")"),"")</f>
        <v/>
      </c>
      <c r="L71" s="70" t="s">
        <v>11</v>
      </c>
      <c r="M71" s="72" t="str">
        <f>IFERROR(__xludf.DUMMYFUNCTION("IF(REGEXMATCH(E71, ""G1""), ""x"","""")"),"")</f>
        <v/>
      </c>
      <c r="N71" s="65" t="str">
        <f>IFERROR(__xludf.DUMMYFUNCTION("IF(REGEXMATCH(E71, ""G2""), ""g"","""")"),"")</f>
        <v/>
      </c>
      <c r="O71" s="65" t="str">
        <f>IFERROR(__xludf.DUMMYFUNCTION("IF(REGEXMATCH(E71, ""G3""), ""G"","""")"),"")</f>
        <v/>
      </c>
      <c r="P71" s="79" t="str">
        <f>IFERROR(__xludf.DUMMYFUNCTION("IF(REGEXMATCH(E71, ""G4""), ""gG"","""")"),"")</f>
        <v/>
      </c>
      <c r="Q71" s="70" t="s">
        <v>11</v>
      </c>
      <c r="R71" s="72" t="str">
        <f>IFERROR(__xludf.DUMMYFUNCTION("IF(REGEXMATCH(E71, ""M1""), ""x"","""")"),"")</f>
        <v/>
      </c>
      <c r="S71" s="65" t="str">
        <f>IFERROR(__xludf.DUMMYFUNCTION("IF(REGEXMATCH(E71, ""M2""), ""m"","""")"),"")</f>
        <v/>
      </c>
      <c r="T71" s="65" t="str">
        <f>IFERROR(__xludf.DUMMYFUNCTION("IF(REGEXMATCH(E71, ""M3""), ""M"","""")"),"")</f>
        <v/>
      </c>
      <c r="U71" s="79" t="str">
        <f>IFERROR(__xludf.DUMMYFUNCTION("IF(REGEXMATCH(E71, ""M4""), ""mM"","""")"),"")</f>
        <v/>
      </c>
      <c r="V71" s="59" t="s">
        <v>11</v>
      </c>
      <c r="W71" s="84" t="str">
        <f>IFERROR(__xludf.DUMMYFUNCTION("IF(REGEXMATCH(E71, ""P1""), ""x"","""")"),"")</f>
        <v/>
      </c>
      <c r="X71" s="56" t="str">
        <f>IFERROR(__xludf.DUMMYFUNCTION("IF(REGEXMATCH(E71, ""P2""), ""P"","""")"),"P")</f>
        <v>P</v>
      </c>
      <c r="Y71" s="70" t="s">
        <v>11</v>
      </c>
      <c r="Z71" s="72" t="str">
        <f>IFERROR(__xludf.DUMMYFUNCTION("IF(REGEXMATCH(E71, ""D1""), ""x"","""")"),"x")</f>
        <v>x</v>
      </c>
      <c r="AA71" s="65" t="str">
        <f>IFERROR(__xludf.DUMMYFUNCTION("IF(REGEXMATCH(E71, ""D2""), ""d"","""")"),"")</f>
        <v/>
      </c>
      <c r="AB71" s="65" t="str">
        <f>IFERROR(__xludf.DUMMYFUNCTION("IF(REGEXMATCH(E71, ""D3""), ""D"","""")"),"")</f>
        <v/>
      </c>
      <c r="AC71" s="79" t="str">
        <f>IFERROR(__xludf.DUMMYFUNCTION("IF(REGEXMATCH(E71, ""D4""), ""dD"","""")"),"")</f>
        <v/>
      </c>
      <c r="AD71" s="70" t="s">
        <v>11</v>
      </c>
      <c r="AE71" s="72" t="str">
        <f>IFERROR(__xludf.DUMMYFUNCTION("IF(REGEXMATCH(E71, ""N1""), ""x"","""")"),"x")</f>
        <v>x</v>
      </c>
      <c r="AF71" s="65" t="str">
        <f>IFERROR(__xludf.DUMMYFUNCTION("IF(REGEXMATCH(E71, ""N2""), ""n"","""")"),"")</f>
        <v/>
      </c>
      <c r="AG71" s="65" t="str">
        <f>IFERROR(__xludf.DUMMYFUNCTION("IF(REGEXMATCH(E71, ""N3""), ""N"","""")"),"")</f>
        <v/>
      </c>
      <c r="AH71" s="79" t="str">
        <f>IFERROR(__xludf.DUMMYFUNCTION("IF(REGEXMATCH(E71, ""N4""), ""nN"","""")"),"")</f>
        <v/>
      </c>
      <c r="AI71" s="70" t="s">
        <v>11</v>
      </c>
      <c r="AJ71" s="92" t="str">
        <f t="shared" si="5"/>
        <v>S</v>
      </c>
    </row>
    <row r="72">
      <c r="A72" s="33" t="str">
        <f t="shared" si="1"/>
        <v>-nN-S</v>
      </c>
      <c r="B72" s="33">
        <f t="shared" si="2"/>
        <v>3</v>
      </c>
      <c r="C72" s="33" t="str">
        <f t="shared" si="3"/>
        <v>-x-x-nN-S</v>
      </c>
      <c r="D72" s="375" t="s">
        <v>103</v>
      </c>
      <c r="E72" s="49" t="s">
        <v>310</v>
      </c>
      <c r="F72" s="56" t="str">
        <f t="shared" si="4"/>
        <v/>
      </c>
      <c r="G72" s="59" t="s">
        <v>11</v>
      </c>
      <c r="H72" s="63" t="str">
        <f>IFERROR(__xludf.DUMMYFUNCTION("IF(REGEXMATCH(E72, ""R1""), ""x"","""")"),"")</f>
        <v/>
      </c>
      <c r="I72" s="65" t="str">
        <f>IFERROR(__xludf.DUMMYFUNCTION("IF(REGEXMATCH(E72, ""R2""), ""r"","""")"),"")</f>
        <v/>
      </c>
      <c r="J72" s="63" t="str">
        <f>IFERROR(__xludf.DUMMYFUNCTION("IF(REGEXMATCH(E72, ""R3""), ""R"","""")"),"")</f>
        <v/>
      </c>
      <c r="K72" s="65" t="str">
        <f>IFERROR(__xludf.DUMMYFUNCTION("IF(REGEXMATCH(E72, ""R4""), ""rR"","""")"),"")</f>
        <v/>
      </c>
      <c r="L72" s="70" t="s">
        <v>11</v>
      </c>
      <c r="M72" s="72" t="str">
        <f>IFERROR(__xludf.DUMMYFUNCTION("IF(REGEXMATCH(E72, ""G1""), ""x"","""")"),"")</f>
        <v/>
      </c>
      <c r="N72" s="65" t="str">
        <f>IFERROR(__xludf.DUMMYFUNCTION("IF(REGEXMATCH(E72, ""G2""), ""g"","""")"),"")</f>
        <v/>
      </c>
      <c r="O72" s="65" t="str">
        <f>IFERROR(__xludf.DUMMYFUNCTION("IF(REGEXMATCH(E72, ""G3""), ""G"","""")"),"")</f>
        <v/>
      </c>
      <c r="P72" s="79" t="str">
        <f>IFERROR(__xludf.DUMMYFUNCTION("IF(REGEXMATCH(E72, ""G4""), ""gG"","""")"),"")</f>
        <v/>
      </c>
      <c r="Q72" s="70" t="s">
        <v>11</v>
      </c>
      <c r="R72" s="72" t="str">
        <f>IFERROR(__xludf.DUMMYFUNCTION("IF(REGEXMATCH(E72, ""M1""), ""x"","""")"),"")</f>
        <v/>
      </c>
      <c r="S72" s="65" t="str">
        <f>IFERROR(__xludf.DUMMYFUNCTION("IF(REGEXMATCH(E72, ""M2""), ""m"","""")"),"")</f>
        <v/>
      </c>
      <c r="T72" s="65" t="str">
        <f>IFERROR(__xludf.DUMMYFUNCTION("IF(REGEXMATCH(E72, ""M3""), ""M"","""")"),"")</f>
        <v/>
      </c>
      <c r="U72" s="79" t="str">
        <f>IFERROR(__xludf.DUMMYFUNCTION("IF(REGEXMATCH(E72, ""M4""), ""mM"","""")"),"")</f>
        <v/>
      </c>
      <c r="V72" s="59" t="s">
        <v>11</v>
      </c>
      <c r="W72" s="84" t="str">
        <f>IFERROR(__xludf.DUMMYFUNCTION("IF(REGEXMATCH(E72, ""P1""), ""x"","""")"),"x")</f>
        <v>x</v>
      </c>
      <c r="X72" s="56" t="str">
        <f>IFERROR(__xludf.DUMMYFUNCTION("IF(REGEXMATCH(E72, ""P2""), ""P"","""")"),"")</f>
        <v/>
      </c>
      <c r="Y72" s="70" t="s">
        <v>11</v>
      </c>
      <c r="Z72" s="72" t="str">
        <f>IFERROR(__xludf.DUMMYFUNCTION("IF(REGEXMATCH(E72, ""D1""), ""x"","""")"),"x")</f>
        <v>x</v>
      </c>
      <c r="AA72" s="65" t="str">
        <f>IFERROR(__xludf.DUMMYFUNCTION("IF(REGEXMATCH(E72, ""D2""), ""d"","""")"),"")</f>
        <v/>
      </c>
      <c r="AB72" s="65" t="str">
        <f>IFERROR(__xludf.DUMMYFUNCTION("IF(REGEXMATCH(E72, ""D3""), ""D"","""")"),"")</f>
        <v/>
      </c>
      <c r="AC72" s="79" t="str">
        <f>IFERROR(__xludf.DUMMYFUNCTION("IF(REGEXMATCH(E72, ""D4""), ""dD"","""")"),"")</f>
        <v/>
      </c>
      <c r="AD72" s="70" t="s">
        <v>11</v>
      </c>
      <c r="AE72" s="72" t="str">
        <f>IFERROR(__xludf.DUMMYFUNCTION("IF(REGEXMATCH(E72, ""N1""), ""x"","""")"),"")</f>
        <v/>
      </c>
      <c r="AF72" s="65" t="str">
        <f>IFERROR(__xludf.DUMMYFUNCTION("IF(REGEXMATCH(E72, ""N2""), ""n"","""")"),"")</f>
        <v/>
      </c>
      <c r="AG72" s="65" t="str">
        <f>IFERROR(__xludf.DUMMYFUNCTION("IF(REGEXMATCH(E72, ""N3""), ""N"","""")"),"")</f>
        <v/>
      </c>
      <c r="AH72" s="79" t="str">
        <f>IFERROR(__xludf.DUMMYFUNCTION("IF(REGEXMATCH(E72, ""N4""), ""nN"","""")"),"nN")</f>
        <v>nN</v>
      </c>
      <c r="AI72" s="70" t="s">
        <v>11</v>
      </c>
      <c r="AJ72" s="92" t="str">
        <f t="shared" si="5"/>
        <v>S</v>
      </c>
    </row>
    <row r="73">
      <c r="A73" s="33" t="str">
        <f t="shared" si="1"/>
        <v>-d-n-S</v>
      </c>
      <c r="B73" s="33">
        <f t="shared" si="2"/>
        <v>3</v>
      </c>
      <c r="C73" s="33" t="str">
        <f t="shared" si="3"/>
        <v>-x-d-n-S</v>
      </c>
      <c r="D73" s="375" t="s">
        <v>103</v>
      </c>
      <c r="E73" s="49" t="s">
        <v>312</v>
      </c>
      <c r="F73" s="56" t="str">
        <f t="shared" si="4"/>
        <v/>
      </c>
      <c r="G73" s="59" t="s">
        <v>11</v>
      </c>
      <c r="H73" s="63" t="str">
        <f>IFERROR(__xludf.DUMMYFUNCTION("IF(REGEXMATCH(E73, ""R1""), ""x"","""")"),"")</f>
        <v/>
      </c>
      <c r="I73" s="65" t="str">
        <f>IFERROR(__xludf.DUMMYFUNCTION("IF(REGEXMATCH(E73, ""R2""), ""r"","""")"),"")</f>
        <v/>
      </c>
      <c r="J73" s="63" t="str">
        <f>IFERROR(__xludf.DUMMYFUNCTION("IF(REGEXMATCH(E73, ""R3""), ""R"","""")"),"")</f>
        <v/>
      </c>
      <c r="K73" s="65" t="str">
        <f>IFERROR(__xludf.DUMMYFUNCTION("IF(REGEXMATCH(E73, ""R4""), ""rR"","""")"),"")</f>
        <v/>
      </c>
      <c r="L73" s="70" t="s">
        <v>11</v>
      </c>
      <c r="M73" s="72" t="str">
        <f>IFERROR(__xludf.DUMMYFUNCTION("IF(REGEXMATCH(E73, ""G1""), ""x"","""")"),"")</f>
        <v/>
      </c>
      <c r="N73" s="65" t="str">
        <f>IFERROR(__xludf.DUMMYFUNCTION("IF(REGEXMATCH(E73, ""G2""), ""g"","""")"),"")</f>
        <v/>
      </c>
      <c r="O73" s="65" t="str">
        <f>IFERROR(__xludf.DUMMYFUNCTION("IF(REGEXMATCH(E73, ""G3""), ""G"","""")"),"")</f>
        <v/>
      </c>
      <c r="P73" s="79" t="str">
        <f>IFERROR(__xludf.DUMMYFUNCTION("IF(REGEXMATCH(E73, ""G4""), ""gG"","""")"),"")</f>
        <v/>
      </c>
      <c r="Q73" s="70" t="s">
        <v>11</v>
      </c>
      <c r="R73" s="72" t="str">
        <f>IFERROR(__xludf.DUMMYFUNCTION("IF(REGEXMATCH(E73, ""M1""), ""x"","""")"),"")</f>
        <v/>
      </c>
      <c r="S73" s="65" t="str">
        <f>IFERROR(__xludf.DUMMYFUNCTION("IF(REGEXMATCH(E73, ""M2""), ""m"","""")"),"")</f>
        <v/>
      </c>
      <c r="T73" s="65" t="str">
        <f>IFERROR(__xludf.DUMMYFUNCTION("IF(REGEXMATCH(E73, ""M3""), ""M"","""")"),"")</f>
        <v/>
      </c>
      <c r="U73" s="79" t="str">
        <f>IFERROR(__xludf.DUMMYFUNCTION("IF(REGEXMATCH(E73, ""M4""), ""mM"","""")"),"")</f>
        <v/>
      </c>
      <c r="V73" s="59" t="s">
        <v>11</v>
      </c>
      <c r="W73" s="84" t="str">
        <f>IFERROR(__xludf.DUMMYFUNCTION("IF(REGEXMATCH(E73, ""P1""), ""x"","""")"),"x")</f>
        <v>x</v>
      </c>
      <c r="X73" s="56" t="str">
        <f>IFERROR(__xludf.DUMMYFUNCTION("IF(REGEXMATCH(E73, ""P2""), ""P"","""")"),"")</f>
        <v/>
      </c>
      <c r="Y73" s="70" t="s">
        <v>11</v>
      </c>
      <c r="Z73" s="72" t="str">
        <f>IFERROR(__xludf.DUMMYFUNCTION("IF(REGEXMATCH(E73, ""D1""), ""x"","""")"),"")</f>
        <v/>
      </c>
      <c r="AA73" s="65" t="str">
        <f>IFERROR(__xludf.DUMMYFUNCTION("IF(REGEXMATCH(E73, ""D2""), ""d"","""")"),"d")</f>
        <v>d</v>
      </c>
      <c r="AB73" s="65" t="str">
        <f>IFERROR(__xludf.DUMMYFUNCTION("IF(REGEXMATCH(E73, ""D3""), ""D"","""")"),"")</f>
        <v/>
      </c>
      <c r="AC73" s="79" t="str">
        <f>IFERROR(__xludf.DUMMYFUNCTION("IF(REGEXMATCH(E73, ""D4""), ""dD"","""")"),"")</f>
        <v/>
      </c>
      <c r="AD73" s="70" t="s">
        <v>11</v>
      </c>
      <c r="AE73" s="72" t="str">
        <f>IFERROR(__xludf.DUMMYFUNCTION("IF(REGEXMATCH(E73, ""N1""), ""x"","""")"),"")</f>
        <v/>
      </c>
      <c r="AF73" s="65" t="str">
        <f>IFERROR(__xludf.DUMMYFUNCTION("IF(REGEXMATCH(E73, ""N2""), ""n"","""")"),"n")</f>
        <v>n</v>
      </c>
      <c r="AG73" s="65" t="str">
        <f>IFERROR(__xludf.DUMMYFUNCTION("IF(REGEXMATCH(E73, ""N3""), ""N"","""")"),"")</f>
        <v/>
      </c>
      <c r="AH73" s="79" t="str">
        <f>IFERROR(__xludf.DUMMYFUNCTION("IF(REGEXMATCH(E73, ""N4""), ""nN"","""")"),"")</f>
        <v/>
      </c>
      <c r="AI73" s="70" t="s">
        <v>11</v>
      </c>
      <c r="AJ73" s="92" t="str">
        <f t="shared" si="5"/>
        <v>S</v>
      </c>
    </row>
    <row r="74">
      <c r="A74" s="33" t="str">
        <f t="shared" si="1"/>
        <v>-d-N-S</v>
      </c>
      <c r="B74" s="33">
        <f t="shared" si="2"/>
        <v>3</v>
      </c>
      <c r="C74" s="33" t="str">
        <f t="shared" si="3"/>
        <v>-x-d-N-S</v>
      </c>
      <c r="D74" s="375" t="s">
        <v>103</v>
      </c>
      <c r="E74" s="49" t="s">
        <v>314</v>
      </c>
      <c r="F74" s="56" t="str">
        <f t="shared" si="4"/>
        <v/>
      </c>
      <c r="G74" s="59" t="s">
        <v>11</v>
      </c>
      <c r="H74" s="63" t="str">
        <f>IFERROR(__xludf.DUMMYFUNCTION("IF(REGEXMATCH(E74, ""R1""), ""x"","""")"),"")</f>
        <v/>
      </c>
      <c r="I74" s="65" t="str">
        <f>IFERROR(__xludf.DUMMYFUNCTION("IF(REGEXMATCH(E74, ""R2""), ""r"","""")"),"")</f>
        <v/>
      </c>
      <c r="J74" s="63" t="str">
        <f>IFERROR(__xludf.DUMMYFUNCTION("IF(REGEXMATCH(E74, ""R3""), ""R"","""")"),"")</f>
        <v/>
      </c>
      <c r="K74" s="65" t="str">
        <f>IFERROR(__xludf.DUMMYFUNCTION("IF(REGEXMATCH(E74, ""R4""), ""rR"","""")"),"")</f>
        <v/>
      </c>
      <c r="L74" s="70" t="s">
        <v>11</v>
      </c>
      <c r="M74" s="72" t="str">
        <f>IFERROR(__xludf.DUMMYFUNCTION("IF(REGEXMATCH(E74, ""G1""), ""x"","""")"),"")</f>
        <v/>
      </c>
      <c r="N74" s="65" t="str">
        <f>IFERROR(__xludf.DUMMYFUNCTION("IF(REGEXMATCH(E74, ""G2""), ""g"","""")"),"")</f>
        <v/>
      </c>
      <c r="O74" s="65" t="str">
        <f>IFERROR(__xludf.DUMMYFUNCTION("IF(REGEXMATCH(E74, ""G3""), ""G"","""")"),"")</f>
        <v/>
      </c>
      <c r="P74" s="79" t="str">
        <f>IFERROR(__xludf.DUMMYFUNCTION("IF(REGEXMATCH(E74, ""G4""), ""gG"","""")"),"")</f>
        <v/>
      </c>
      <c r="Q74" s="70" t="s">
        <v>11</v>
      </c>
      <c r="R74" s="72" t="str">
        <f>IFERROR(__xludf.DUMMYFUNCTION("IF(REGEXMATCH(E74, ""M1""), ""x"","""")"),"")</f>
        <v/>
      </c>
      <c r="S74" s="65" t="str">
        <f>IFERROR(__xludf.DUMMYFUNCTION("IF(REGEXMATCH(E74, ""M2""), ""m"","""")"),"")</f>
        <v/>
      </c>
      <c r="T74" s="65" t="str">
        <f>IFERROR(__xludf.DUMMYFUNCTION("IF(REGEXMATCH(E74, ""M3""), ""M"","""")"),"")</f>
        <v/>
      </c>
      <c r="U74" s="79" t="str">
        <f>IFERROR(__xludf.DUMMYFUNCTION("IF(REGEXMATCH(E74, ""M4""), ""mM"","""")"),"")</f>
        <v/>
      </c>
      <c r="V74" s="59" t="s">
        <v>11</v>
      </c>
      <c r="W74" s="84" t="str">
        <f>IFERROR(__xludf.DUMMYFUNCTION("IF(REGEXMATCH(E74, ""P1""), ""x"","""")"),"x")</f>
        <v>x</v>
      </c>
      <c r="X74" s="56" t="str">
        <f>IFERROR(__xludf.DUMMYFUNCTION("IF(REGEXMATCH(E74, ""P2""), ""P"","""")"),"")</f>
        <v/>
      </c>
      <c r="Y74" s="70" t="s">
        <v>11</v>
      </c>
      <c r="Z74" s="72" t="str">
        <f>IFERROR(__xludf.DUMMYFUNCTION("IF(REGEXMATCH(E74, ""D1""), ""x"","""")"),"")</f>
        <v/>
      </c>
      <c r="AA74" s="65" t="str">
        <f>IFERROR(__xludf.DUMMYFUNCTION("IF(REGEXMATCH(E74, ""D2""), ""d"","""")"),"d")</f>
        <v>d</v>
      </c>
      <c r="AB74" s="65" t="str">
        <f>IFERROR(__xludf.DUMMYFUNCTION("IF(REGEXMATCH(E74, ""D3""), ""D"","""")"),"")</f>
        <v/>
      </c>
      <c r="AC74" s="79" t="str">
        <f>IFERROR(__xludf.DUMMYFUNCTION("IF(REGEXMATCH(E74, ""D4""), ""dD"","""")"),"")</f>
        <v/>
      </c>
      <c r="AD74" s="70" t="s">
        <v>11</v>
      </c>
      <c r="AE74" s="72" t="str">
        <f>IFERROR(__xludf.DUMMYFUNCTION("IF(REGEXMATCH(E74, ""N1""), ""x"","""")"),"")</f>
        <v/>
      </c>
      <c r="AF74" s="65" t="str">
        <f>IFERROR(__xludf.DUMMYFUNCTION("IF(REGEXMATCH(E74, ""N2""), ""n"","""")"),"")</f>
        <v/>
      </c>
      <c r="AG74" s="65" t="str">
        <f>IFERROR(__xludf.DUMMYFUNCTION("IF(REGEXMATCH(E74, ""N3""), ""N"","""")"),"N")</f>
        <v>N</v>
      </c>
      <c r="AH74" s="79" t="str">
        <f>IFERROR(__xludf.DUMMYFUNCTION("IF(REGEXMATCH(E74, ""N4""), ""nN"","""")"),"")</f>
        <v/>
      </c>
      <c r="AI74" s="70" t="s">
        <v>11</v>
      </c>
      <c r="AJ74" s="92" t="str">
        <f t="shared" si="5"/>
        <v>S</v>
      </c>
    </row>
    <row r="75">
      <c r="A75" s="33" t="str">
        <f t="shared" si="1"/>
        <v>-D-n-S</v>
      </c>
      <c r="B75" s="33">
        <f t="shared" si="2"/>
        <v>3</v>
      </c>
      <c r="C75" s="33" t="str">
        <f t="shared" si="3"/>
        <v>-x-D-n-S</v>
      </c>
      <c r="D75" s="375" t="s">
        <v>103</v>
      </c>
      <c r="E75" s="49" t="s">
        <v>316</v>
      </c>
      <c r="F75" s="56" t="str">
        <f t="shared" si="4"/>
        <v/>
      </c>
      <c r="G75" s="59" t="s">
        <v>11</v>
      </c>
      <c r="H75" s="63" t="str">
        <f>IFERROR(__xludf.DUMMYFUNCTION("IF(REGEXMATCH(E75, ""R1""), ""x"","""")"),"")</f>
        <v/>
      </c>
      <c r="I75" s="65" t="str">
        <f>IFERROR(__xludf.DUMMYFUNCTION("IF(REGEXMATCH(E75, ""R2""), ""r"","""")"),"")</f>
        <v/>
      </c>
      <c r="J75" s="63" t="str">
        <f>IFERROR(__xludf.DUMMYFUNCTION("IF(REGEXMATCH(E75, ""R3""), ""R"","""")"),"")</f>
        <v/>
      </c>
      <c r="K75" s="65" t="str">
        <f>IFERROR(__xludf.DUMMYFUNCTION("IF(REGEXMATCH(E75, ""R4""), ""rR"","""")"),"")</f>
        <v/>
      </c>
      <c r="L75" s="70" t="s">
        <v>11</v>
      </c>
      <c r="M75" s="72" t="str">
        <f>IFERROR(__xludf.DUMMYFUNCTION("IF(REGEXMATCH(E75, ""G1""), ""x"","""")"),"")</f>
        <v/>
      </c>
      <c r="N75" s="65" t="str">
        <f>IFERROR(__xludf.DUMMYFUNCTION("IF(REGEXMATCH(E75, ""G2""), ""g"","""")"),"")</f>
        <v/>
      </c>
      <c r="O75" s="65" t="str">
        <f>IFERROR(__xludf.DUMMYFUNCTION("IF(REGEXMATCH(E75, ""G3""), ""G"","""")"),"")</f>
        <v/>
      </c>
      <c r="P75" s="79" t="str">
        <f>IFERROR(__xludf.DUMMYFUNCTION("IF(REGEXMATCH(E75, ""G4""), ""gG"","""")"),"")</f>
        <v/>
      </c>
      <c r="Q75" s="70" t="s">
        <v>11</v>
      </c>
      <c r="R75" s="72" t="str">
        <f>IFERROR(__xludf.DUMMYFUNCTION("IF(REGEXMATCH(E75, ""M1""), ""x"","""")"),"")</f>
        <v/>
      </c>
      <c r="S75" s="65" t="str">
        <f>IFERROR(__xludf.DUMMYFUNCTION("IF(REGEXMATCH(E75, ""M2""), ""m"","""")"),"")</f>
        <v/>
      </c>
      <c r="T75" s="65" t="str">
        <f>IFERROR(__xludf.DUMMYFUNCTION("IF(REGEXMATCH(E75, ""M3""), ""M"","""")"),"")</f>
        <v/>
      </c>
      <c r="U75" s="79" t="str">
        <f>IFERROR(__xludf.DUMMYFUNCTION("IF(REGEXMATCH(E75, ""M4""), ""mM"","""")"),"")</f>
        <v/>
      </c>
      <c r="V75" s="59" t="s">
        <v>11</v>
      </c>
      <c r="W75" s="84" t="str">
        <f>IFERROR(__xludf.DUMMYFUNCTION("IF(REGEXMATCH(E75, ""P1""), ""x"","""")"),"x")</f>
        <v>x</v>
      </c>
      <c r="X75" s="56" t="str">
        <f>IFERROR(__xludf.DUMMYFUNCTION("IF(REGEXMATCH(E75, ""P2""), ""P"","""")"),"")</f>
        <v/>
      </c>
      <c r="Y75" s="70" t="s">
        <v>11</v>
      </c>
      <c r="Z75" s="72" t="str">
        <f>IFERROR(__xludf.DUMMYFUNCTION("IF(REGEXMATCH(E75, ""D1""), ""x"","""")"),"")</f>
        <v/>
      </c>
      <c r="AA75" s="65" t="str">
        <f>IFERROR(__xludf.DUMMYFUNCTION("IF(REGEXMATCH(E75, ""D2""), ""d"","""")"),"")</f>
        <v/>
      </c>
      <c r="AB75" s="65" t="str">
        <f>IFERROR(__xludf.DUMMYFUNCTION("IF(REGEXMATCH(E75, ""D3""), ""D"","""")"),"D")</f>
        <v>D</v>
      </c>
      <c r="AC75" s="79" t="str">
        <f>IFERROR(__xludf.DUMMYFUNCTION("IF(REGEXMATCH(E75, ""D4""), ""dD"","""")"),"")</f>
        <v/>
      </c>
      <c r="AD75" s="70" t="s">
        <v>11</v>
      </c>
      <c r="AE75" s="72" t="str">
        <f>IFERROR(__xludf.DUMMYFUNCTION("IF(REGEXMATCH(E75, ""N1""), ""x"","""")"),"")</f>
        <v/>
      </c>
      <c r="AF75" s="65" t="str">
        <f>IFERROR(__xludf.DUMMYFUNCTION("IF(REGEXMATCH(E75, ""N2""), ""n"","""")"),"n")</f>
        <v>n</v>
      </c>
      <c r="AG75" s="65" t="str">
        <f>IFERROR(__xludf.DUMMYFUNCTION("IF(REGEXMATCH(E75, ""N3""), ""N"","""")"),"")</f>
        <v/>
      </c>
      <c r="AH75" s="79" t="str">
        <f>IFERROR(__xludf.DUMMYFUNCTION("IF(REGEXMATCH(E75, ""N4""), ""nN"","""")"),"")</f>
        <v/>
      </c>
      <c r="AI75" s="70" t="s">
        <v>11</v>
      </c>
      <c r="AJ75" s="92" t="str">
        <f t="shared" si="5"/>
        <v>S</v>
      </c>
    </row>
    <row r="76">
      <c r="A76" s="33" t="str">
        <f t="shared" si="1"/>
        <v>-D-N-S</v>
      </c>
      <c r="B76" s="33">
        <f t="shared" si="2"/>
        <v>3</v>
      </c>
      <c r="C76" s="33" t="str">
        <f t="shared" si="3"/>
        <v>-x-D-N-S</v>
      </c>
      <c r="D76" s="375" t="s">
        <v>103</v>
      </c>
      <c r="E76" s="49" t="s">
        <v>320</v>
      </c>
      <c r="F76" s="56" t="str">
        <f t="shared" si="4"/>
        <v/>
      </c>
      <c r="G76" s="59" t="s">
        <v>11</v>
      </c>
      <c r="H76" s="63" t="str">
        <f>IFERROR(__xludf.DUMMYFUNCTION("IF(REGEXMATCH(E76, ""R1""), ""x"","""")"),"")</f>
        <v/>
      </c>
      <c r="I76" s="65" t="str">
        <f>IFERROR(__xludf.DUMMYFUNCTION("IF(REGEXMATCH(E76, ""R2""), ""r"","""")"),"")</f>
        <v/>
      </c>
      <c r="J76" s="63" t="str">
        <f>IFERROR(__xludf.DUMMYFUNCTION("IF(REGEXMATCH(E76, ""R3""), ""R"","""")"),"")</f>
        <v/>
      </c>
      <c r="K76" s="65" t="str">
        <f>IFERROR(__xludf.DUMMYFUNCTION("IF(REGEXMATCH(E76, ""R4""), ""rR"","""")"),"")</f>
        <v/>
      </c>
      <c r="L76" s="70" t="s">
        <v>11</v>
      </c>
      <c r="M76" s="72" t="str">
        <f>IFERROR(__xludf.DUMMYFUNCTION("IF(REGEXMATCH(E76, ""G1""), ""x"","""")"),"")</f>
        <v/>
      </c>
      <c r="N76" s="65" t="str">
        <f>IFERROR(__xludf.DUMMYFUNCTION("IF(REGEXMATCH(E76, ""G2""), ""g"","""")"),"")</f>
        <v/>
      </c>
      <c r="O76" s="65" t="str">
        <f>IFERROR(__xludf.DUMMYFUNCTION("IF(REGEXMATCH(E76, ""G3""), ""G"","""")"),"")</f>
        <v/>
      </c>
      <c r="P76" s="79" t="str">
        <f>IFERROR(__xludf.DUMMYFUNCTION("IF(REGEXMATCH(E76, ""G4""), ""gG"","""")"),"")</f>
        <v/>
      </c>
      <c r="Q76" s="70" t="s">
        <v>11</v>
      </c>
      <c r="R76" s="72" t="str">
        <f>IFERROR(__xludf.DUMMYFUNCTION("IF(REGEXMATCH(E76, ""M1""), ""x"","""")"),"")</f>
        <v/>
      </c>
      <c r="S76" s="65" t="str">
        <f>IFERROR(__xludf.DUMMYFUNCTION("IF(REGEXMATCH(E76, ""M2""), ""m"","""")"),"")</f>
        <v/>
      </c>
      <c r="T76" s="65" t="str">
        <f>IFERROR(__xludf.DUMMYFUNCTION("IF(REGEXMATCH(E76, ""M3""), ""M"","""")"),"")</f>
        <v/>
      </c>
      <c r="U76" s="79" t="str">
        <f>IFERROR(__xludf.DUMMYFUNCTION("IF(REGEXMATCH(E76, ""M4""), ""mM"","""")"),"")</f>
        <v/>
      </c>
      <c r="V76" s="59" t="s">
        <v>11</v>
      </c>
      <c r="W76" s="84" t="str">
        <f>IFERROR(__xludf.DUMMYFUNCTION("IF(REGEXMATCH(E76, ""P1""), ""x"","""")"),"x")</f>
        <v>x</v>
      </c>
      <c r="X76" s="56" t="str">
        <f>IFERROR(__xludf.DUMMYFUNCTION("IF(REGEXMATCH(E76, ""P2""), ""P"","""")"),"")</f>
        <v/>
      </c>
      <c r="Y76" s="70" t="s">
        <v>11</v>
      </c>
      <c r="Z76" s="72" t="str">
        <f>IFERROR(__xludf.DUMMYFUNCTION("IF(REGEXMATCH(E76, ""D1""), ""x"","""")"),"")</f>
        <v/>
      </c>
      <c r="AA76" s="65" t="str">
        <f>IFERROR(__xludf.DUMMYFUNCTION("IF(REGEXMATCH(E76, ""D2""), ""d"","""")"),"")</f>
        <v/>
      </c>
      <c r="AB76" s="65" t="str">
        <f>IFERROR(__xludf.DUMMYFUNCTION("IF(REGEXMATCH(E76, ""D3""), ""D"","""")"),"D")</f>
        <v>D</v>
      </c>
      <c r="AC76" s="79" t="str">
        <f>IFERROR(__xludf.DUMMYFUNCTION("IF(REGEXMATCH(E76, ""D4""), ""dD"","""")"),"")</f>
        <v/>
      </c>
      <c r="AD76" s="70" t="s">
        <v>11</v>
      </c>
      <c r="AE76" s="72" t="str">
        <f>IFERROR(__xludf.DUMMYFUNCTION("IF(REGEXMATCH(E76, ""N1""), ""x"","""")"),"")</f>
        <v/>
      </c>
      <c r="AF76" s="65" t="str">
        <f>IFERROR(__xludf.DUMMYFUNCTION("IF(REGEXMATCH(E76, ""N2""), ""n"","""")"),"")</f>
        <v/>
      </c>
      <c r="AG76" s="65" t="str">
        <f>IFERROR(__xludf.DUMMYFUNCTION("IF(REGEXMATCH(E76, ""N3""), ""N"","""")"),"N")</f>
        <v>N</v>
      </c>
      <c r="AH76" s="79" t="str">
        <f>IFERROR(__xludf.DUMMYFUNCTION("IF(REGEXMATCH(E76, ""N4""), ""nN"","""")"),"")</f>
        <v/>
      </c>
      <c r="AI76" s="70" t="s">
        <v>11</v>
      </c>
      <c r="AJ76" s="92" t="str">
        <f t="shared" si="5"/>
        <v>S</v>
      </c>
    </row>
    <row r="77">
      <c r="A77" s="33" t="str">
        <f t="shared" si="1"/>
        <v>-dD-S</v>
      </c>
      <c r="B77" s="33">
        <f t="shared" si="2"/>
        <v>3</v>
      </c>
      <c r="C77" s="33" t="str">
        <f t="shared" si="3"/>
        <v>-x-dD-x-S</v>
      </c>
      <c r="D77" s="375" t="s">
        <v>103</v>
      </c>
      <c r="E77" s="49" t="s">
        <v>322</v>
      </c>
      <c r="F77" s="56" t="str">
        <f t="shared" si="4"/>
        <v/>
      </c>
      <c r="G77" s="59" t="s">
        <v>11</v>
      </c>
      <c r="H77" s="63" t="str">
        <f>IFERROR(__xludf.DUMMYFUNCTION("IF(REGEXMATCH(E77, ""R1""), ""x"","""")"),"")</f>
        <v/>
      </c>
      <c r="I77" s="65" t="str">
        <f>IFERROR(__xludf.DUMMYFUNCTION("IF(REGEXMATCH(E77, ""R2""), ""r"","""")"),"")</f>
        <v/>
      </c>
      <c r="J77" s="63" t="str">
        <f>IFERROR(__xludf.DUMMYFUNCTION("IF(REGEXMATCH(E77, ""R3""), ""R"","""")"),"")</f>
        <v/>
      </c>
      <c r="K77" s="65" t="str">
        <f>IFERROR(__xludf.DUMMYFUNCTION("IF(REGEXMATCH(E77, ""R4""), ""rR"","""")"),"")</f>
        <v/>
      </c>
      <c r="L77" s="70" t="s">
        <v>11</v>
      </c>
      <c r="M77" s="72" t="str">
        <f>IFERROR(__xludf.DUMMYFUNCTION("IF(REGEXMATCH(E77, ""G1""), ""x"","""")"),"")</f>
        <v/>
      </c>
      <c r="N77" s="65" t="str">
        <f>IFERROR(__xludf.DUMMYFUNCTION("IF(REGEXMATCH(E77, ""G2""), ""g"","""")"),"")</f>
        <v/>
      </c>
      <c r="O77" s="65" t="str">
        <f>IFERROR(__xludf.DUMMYFUNCTION("IF(REGEXMATCH(E77, ""G3""), ""G"","""")"),"")</f>
        <v/>
      </c>
      <c r="P77" s="79" t="str">
        <f>IFERROR(__xludf.DUMMYFUNCTION("IF(REGEXMATCH(E77, ""G4""), ""gG"","""")"),"")</f>
        <v/>
      </c>
      <c r="Q77" s="70" t="s">
        <v>11</v>
      </c>
      <c r="R77" s="72" t="str">
        <f>IFERROR(__xludf.DUMMYFUNCTION("IF(REGEXMATCH(E77, ""M1""), ""x"","""")"),"")</f>
        <v/>
      </c>
      <c r="S77" s="65" t="str">
        <f>IFERROR(__xludf.DUMMYFUNCTION("IF(REGEXMATCH(E77, ""M2""), ""m"","""")"),"")</f>
        <v/>
      </c>
      <c r="T77" s="65" t="str">
        <f>IFERROR(__xludf.DUMMYFUNCTION("IF(REGEXMATCH(E77, ""M3""), ""M"","""")"),"")</f>
        <v/>
      </c>
      <c r="U77" s="79" t="str">
        <f>IFERROR(__xludf.DUMMYFUNCTION("IF(REGEXMATCH(E77, ""M4""), ""mM"","""")"),"")</f>
        <v/>
      </c>
      <c r="V77" s="59" t="s">
        <v>11</v>
      </c>
      <c r="W77" s="84" t="str">
        <f>IFERROR(__xludf.DUMMYFUNCTION("IF(REGEXMATCH(E77, ""P1""), ""x"","""")"),"x")</f>
        <v>x</v>
      </c>
      <c r="X77" s="56" t="str">
        <f>IFERROR(__xludf.DUMMYFUNCTION("IF(REGEXMATCH(E77, ""P2""), ""P"","""")"),"")</f>
        <v/>
      </c>
      <c r="Y77" s="70" t="s">
        <v>11</v>
      </c>
      <c r="Z77" s="72" t="str">
        <f>IFERROR(__xludf.DUMMYFUNCTION("IF(REGEXMATCH(E77, ""D1""), ""x"","""")"),"")</f>
        <v/>
      </c>
      <c r="AA77" s="65" t="str">
        <f>IFERROR(__xludf.DUMMYFUNCTION("IF(REGEXMATCH(E77, ""D2""), ""d"","""")"),"")</f>
        <v/>
      </c>
      <c r="AB77" s="65" t="str">
        <f>IFERROR(__xludf.DUMMYFUNCTION("IF(REGEXMATCH(E77, ""D3""), ""D"","""")"),"")</f>
        <v/>
      </c>
      <c r="AC77" s="79" t="str">
        <f>IFERROR(__xludf.DUMMYFUNCTION("IF(REGEXMATCH(E77, ""D4""), ""dD"","""")"),"dD")</f>
        <v>dD</v>
      </c>
      <c r="AD77" s="70" t="s">
        <v>11</v>
      </c>
      <c r="AE77" s="72" t="str">
        <f>IFERROR(__xludf.DUMMYFUNCTION("IF(REGEXMATCH(E77, ""N1""), ""x"","""")"),"x")</f>
        <v>x</v>
      </c>
      <c r="AF77" s="65" t="str">
        <f>IFERROR(__xludf.DUMMYFUNCTION("IF(REGEXMATCH(E77, ""N2""), ""n"","""")"),"")</f>
        <v/>
      </c>
      <c r="AG77" s="65" t="str">
        <f>IFERROR(__xludf.DUMMYFUNCTION("IF(REGEXMATCH(E77, ""N3""), ""N"","""")"),"")</f>
        <v/>
      </c>
      <c r="AH77" s="79" t="str">
        <f>IFERROR(__xludf.DUMMYFUNCTION("IF(REGEXMATCH(E77, ""N4""), ""nN"","""")"),"")</f>
        <v/>
      </c>
      <c r="AI77" s="70" t="s">
        <v>11</v>
      </c>
      <c r="AJ77" s="92" t="str">
        <f t="shared" si="5"/>
        <v>S</v>
      </c>
    </row>
    <row r="78">
      <c r="A78" s="33" t="str">
        <f t="shared" si="1"/>
        <v>-P-n-S</v>
      </c>
      <c r="B78" s="33">
        <f t="shared" si="2"/>
        <v>3</v>
      </c>
      <c r="C78" s="33" t="str">
        <f t="shared" si="3"/>
        <v>-P-x-n-S</v>
      </c>
      <c r="D78" s="375" t="s">
        <v>103</v>
      </c>
      <c r="E78" s="49" t="s">
        <v>324</v>
      </c>
      <c r="F78" s="56" t="str">
        <f t="shared" si="4"/>
        <v/>
      </c>
      <c r="G78" s="59" t="s">
        <v>11</v>
      </c>
      <c r="H78" s="63" t="str">
        <f>IFERROR(__xludf.DUMMYFUNCTION("IF(REGEXMATCH(E78, ""R1""), ""x"","""")"),"")</f>
        <v/>
      </c>
      <c r="I78" s="65" t="str">
        <f>IFERROR(__xludf.DUMMYFUNCTION("IF(REGEXMATCH(E78, ""R2""), ""r"","""")"),"")</f>
        <v/>
      </c>
      <c r="J78" s="63" t="str">
        <f>IFERROR(__xludf.DUMMYFUNCTION("IF(REGEXMATCH(E78, ""R3""), ""R"","""")"),"")</f>
        <v/>
      </c>
      <c r="K78" s="65" t="str">
        <f>IFERROR(__xludf.DUMMYFUNCTION("IF(REGEXMATCH(E78, ""R4""), ""rR"","""")"),"")</f>
        <v/>
      </c>
      <c r="L78" s="70" t="s">
        <v>11</v>
      </c>
      <c r="M78" s="72" t="str">
        <f>IFERROR(__xludf.DUMMYFUNCTION("IF(REGEXMATCH(E78, ""G1""), ""x"","""")"),"")</f>
        <v/>
      </c>
      <c r="N78" s="65" t="str">
        <f>IFERROR(__xludf.DUMMYFUNCTION("IF(REGEXMATCH(E78, ""G2""), ""g"","""")"),"")</f>
        <v/>
      </c>
      <c r="O78" s="65" t="str">
        <f>IFERROR(__xludf.DUMMYFUNCTION("IF(REGEXMATCH(E78, ""G3""), ""G"","""")"),"")</f>
        <v/>
      </c>
      <c r="P78" s="79" t="str">
        <f>IFERROR(__xludf.DUMMYFUNCTION("IF(REGEXMATCH(E78, ""G4""), ""gG"","""")"),"")</f>
        <v/>
      </c>
      <c r="Q78" s="70" t="s">
        <v>11</v>
      </c>
      <c r="R78" s="72" t="str">
        <f>IFERROR(__xludf.DUMMYFUNCTION("IF(REGEXMATCH(E78, ""M1""), ""x"","""")"),"")</f>
        <v/>
      </c>
      <c r="S78" s="65" t="str">
        <f>IFERROR(__xludf.DUMMYFUNCTION("IF(REGEXMATCH(E78, ""M2""), ""m"","""")"),"")</f>
        <v/>
      </c>
      <c r="T78" s="65" t="str">
        <f>IFERROR(__xludf.DUMMYFUNCTION("IF(REGEXMATCH(E78, ""M3""), ""M"","""")"),"")</f>
        <v/>
      </c>
      <c r="U78" s="79" t="str">
        <f>IFERROR(__xludf.DUMMYFUNCTION("IF(REGEXMATCH(E78, ""M4""), ""mM"","""")"),"")</f>
        <v/>
      </c>
      <c r="V78" s="59" t="s">
        <v>11</v>
      </c>
      <c r="W78" s="84" t="str">
        <f>IFERROR(__xludf.DUMMYFUNCTION("IF(REGEXMATCH(E78, ""P1""), ""x"","""")"),"")</f>
        <v/>
      </c>
      <c r="X78" s="56" t="str">
        <f>IFERROR(__xludf.DUMMYFUNCTION("IF(REGEXMATCH(E78, ""P2""), ""P"","""")"),"P")</f>
        <v>P</v>
      </c>
      <c r="Y78" s="70" t="s">
        <v>11</v>
      </c>
      <c r="Z78" s="72" t="str">
        <f>IFERROR(__xludf.DUMMYFUNCTION("IF(REGEXMATCH(E78, ""D1""), ""x"","""")"),"x")</f>
        <v>x</v>
      </c>
      <c r="AA78" s="65" t="str">
        <f>IFERROR(__xludf.DUMMYFUNCTION("IF(REGEXMATCH(E78, ""D2""), ""d"","""")"),"")</f>
        <v/>
      </c>
      <c r="AB78" s="65" t="str">
        <f>IFERROR(__xludf.DUMMYFUNCTION("IF(REGEXMATCH(E78, ""D3""), ""D"","""")"),"")</f>
        <v/>
      </c>
      <c r="AC78" s="79" t="str">
        <f>IFERROR(__xludf.DUMMYFUNCTION("IF(REGEXMATCH(E78, ""D4""), ""dD"","""")"),"")</f>
        <v/>
      </c>
      <c r="AD78" s="70" t="s">
        <v>11</v>
      </c>
      <c r="AE78" s="72" t="str">
        <f>IFERROR(__xludf.DUMMYFUNCTION("IF(REGEXMATCH(E78, ""N1""), ""x"","""")"),"")</f>
        <v/>
      </c>
      <c r="AF78" s="65" t="str">
        <f>IFERROR(__xludf.DUMMYFUNCTION("IF(REGEXMATCH(E78, ""N2""), ""n"","""")"),"n")</f>
        <v>n</v>
      </c>
      <c r="AG78" s="65" t="str">
        <f>IFERROR(__xludf.DUMMYFUNCTION("IF(REGEXMATCH(E78, ""N3""), ""N"","""")"),"")</f>
        <v/>
      </c>
      <c r="AH78" s="79" t="str">
        <f>IFERROR(__xludf.DUMMYFUNCTION("IF(REGEXMATCH(E78, ""N4""), ""nN"","""")"),"")</f>
        <v/>
      </c>
      <c r="AI78" s="70" t="s">
        <v>11</v>
      </c>
      <c r="AJ78" s="92" t="str">
        <f t="shared" si="5"/>
        <v>S</v>
      </c>
    </row>
    <row r="79">
      <c r="A79" s="33" t="str">
        <f t="shared" si="1"/>
        <v>-P-N-S</v>
      </c>
      <c r="B79" s="33">
        <f t="shared" si="2"/>
        <v>3</v>
      </c>
      <c r="C79" s="33" t="str">
        <f t="shared" si="3"/>
        <v>-P-x-N-S</v>
      </c>
      <c r="D79" s="375" t="s">
        <v>103</v>
      </c>
      <c r="E79" s="49" t="s">
        <v>326</v>
      </c>
      <c r="F79" s="56" t="str">
        <f t="shared" si="4"/>
        <v/>
      </c>
      <c r="G79" s="59" t="s">
        <v>11</v>
      </c>
      <c r="H79" s="63" t="str">
        <f>IFERROR(__xludf.DUMMYFUNCTION("IF(REGEXMATCH(E79, ""R1""), ""x"","""")"),"")</f>
        <v/>
      </c>
      <c r="I79" s="65" t="str">
        <f>IFERROR(__xludf.DUMMYFUNCTION("IF(REGEXMATCH(E79, ""R2""), ""r"","""")"),"")</f>
        <v/>
      </c>
      <c r="J79" s="63" t="str">
        <f>IFERROR(__xludf.DUMMYFUNCTION("IF(REGEXMATCH(E79, ""R3""), ""R"","""")"),"")</f>
        <v/>
      </c>
      <c r="K79" s="65" t="str">
        <f>IFERROR(__xludf.DUMMYFUNCTION("IF(REGEXMATCH(E79, ""R4""), ""rR"","""")"),"")</f>
        <v/>
      </c>
      <c r="L79" s="70" t="s">
        <v>11</v>
      </c>
      <c r="M79" s="72" t="str">
        <f>IFERROR(__xludf.DUMMYFUNCTION("IF(REGEXMATCH(E79, ""G1""), ""x"","""")"),"")</f>
        <v/>
      </c>
      <c r="N79" s="65" t="str">
        <f>IFERROR(__xludf.DUMMYFUNCTION("IF(REGEXMATCH(E79, ""G2""), ""g"","""")"),"")</f>
        <v/>
      </c>
      <c r="O79" s="65" t="str">
        <f>IFERROR(__xludf.DUMMYFUNCTION("IF(REGEXMATCH(E79, ""G3""), ""G"","""")"),"")</f>
        <v/>
      </c>
      <c r="P79" s="79" t="str">
        <f>IFERROR(__xludf.DUMMYFUNCTION("IF(REGEXMATCH(E79, ""G4""), ""gG"","""")"),"")</f>
        <v/>
      </c>
      <c r="Q79" s="70" t="s">
        <v>11</v>
      </c>
      <c r="R79" s="72" t="str">
        <f>IFERROR(__xludf.DUMMYFUNCTION("IF(REGEXMATCH(E79, ""M1""), ""x"","""")"),"")</f>
        <v/>
      </c>
      <c r="S79" s="65" t="str">
        <f>IFERROR(__xludf.DUMMYFUNCTION("IF(REGEXMATCH(E79, ""M2""), ""m"","""")"),"")</f>
        <v/>
      </c>
      <c r="T79" s="65" t="str">
        <f>IFERROR(__xludf.DUMMYFUNCTION("IF(REGEXMATCH(E79, ""M3""), ""M"","""")"),"")</f>
        <v/>
      </c>
      <c r="U79" s="79" t="str">
        <f>IFERROR(__xludf.DUMMYFUNCTION("IF(REGEXMATCH(E79, ""M4""), ""mM"","""")"),"")</f>
        <v/>
      </c>
      <c r="V79" s="59" t="s">
        <v>11</v>
      </c>
      <c r="W79" s="84" t="str">
        <f>IFERROR(__xludf.DUMMYFUNCTION("IF(REGEXMATCH(E79, ""P1""), ""x"","""")"),"")</f>
        <v/>
      </c>
      <c r="X79" s="56" t="str">
        <f>IFERROR(__xludf.DUMMYFUNCTION("IF(REGEXMATCH(E79, ""P2""), ""P"","""")"),"P")</f>
        <v>P</v>
      </c>
      <c r="Y79" s="70" t="s">
        <v>11</v>
      </c>
      <c r="Z79" s="72" t="str">
        <f>IFERROR(__xludf.DUMMYFUNCTION("IF(REGEXMATCH(E79, ""D1""), ""x"","""")"),"x")</f>
        <v>x</v>
      </c>
      <c r="AA79" s="65" t="str">
        <f>IFERROR(__xludf.DUMMYFUNCTION("IF(REGEXMATCH(E79, ""D2""), ""d"","""")"),"")</f>
        <v/>
      </c>
      <c r="AB79" s="65" t="str">
        <f>IFERROR(__xludf.DUMMYFUNCTION("IF(REGEXMATCH(E79, ""D3""), ""D"","""")"),"")</f>
        <v/>
      </c>
      <c r="AC79" s="79" t="str">
        <f>IFERROR(__xludf.DUMMYFUNCTION("IF(REGEXMATCH(E79, ""D4""), ""dD"","""")"),"")</f>
        <v/>
      </c>
      <c r="AD79" s="70" t="s">
        <v>11</v>
      </c>
      <c r="AE79" s="72" t="str">
        <f>IFERROR(__xludf.DUMMYFUNCTION("IF(REGEXMATCH(E79, ""N1""), ""x"","""")"),"")</f>
        <v/>
      </c>
      <c r="AF79" s="65" t="str">
        <f>IFERROR(__xludf.DUMMYFUNCTION("IF(REGEXMATCH(E79, ""N2""), ""n"","""")"),"")</f>
        <v/>
      </c>
      <c r="AG79" s="65" t="str">
        <f>IFERROR(__xludf.DUMMYFUNCTION("IF(REGEXMATCH(E79, ""N3""), ""N"","""")"),"N")</f>
        <v>N</v>
      </c>
      <c r="AH79" s="79" t="str">
        <f>IFERROR(__xludf.DUMMYFUNCTION("IF(REGEXMATCH(E79, ""N4""), ""nN"","""")"),"")</f>
        <v/>
      </c>
      <c r="AI79" s="70" t="s">
        <v>11</v>
      </c>
      <c r="AJ79" s="92" t="str">
        <f t="shared" si="5"/>
        <v>S</v>
      </c>
    </row>
    <row r="80">
      <c r="A80" s="33" t="str">
        <f t="shared" si="1"/>
        <v>-P-d-S</v>
      </c>
      <c r="B80" s="33">
        <f t="shared" si="2"/>
        <v>3</v>
      </c>
      <c r="C80" s="33" t="str">
        <f t="shared" si="3"/>
        <v>-P-d-x-S</v>
      </c>
      <c r="D80" s="375" t="s">
        <v>103</v>
      </c>
      <c r="E80" s="49" t="s">
        <v>327</v>
      </c>
      <c r="F80" s="56" t="str">
        <f t="shared" si="4"/>
        <v/>
      </c>
      <c r="G80" s="59" t="s">
        <v>11</v>
      </c>
      <c r="H80" s="63" t="str">
        <f>IFERROR(__xludf.DUMMYFUNCTION("IF(REGEXMATCH(E80, ""R1""), ""x"","""")"),"")</f>
        <v/>
      </c>
      <c r="I80" s="65" t="str">
        <f>IFERROR(__xludf.DUMMYFUNCTION("IF(REGEXMATCH(E80, ""R2""), ""r"","""")"),"")</f>
        <v/>
      </c>
      <c r="J80" s="63" t="str">
        <f>IFERROR(__xludf.DUMMYFUNCTION("IF(REGEXMATCH(E80, ""R3""), ""R"","""")"),"")</f>
        <v/>
      </c>
      <c r="K80" s="65" t="str">
        <f>IFERROR(__xludf.DUMMYFUNCTION("IF(REGEXMATCH(E80, ""R4""), ""rR"","""")"),"")</f>
        <v/>
      </c>
      <c r="L80" s="70" t="s">
        <v>11</v>
      </c>
      <c r="M80" s="72" t="str">
        <f>IFERROR(__xludf.DUMMYFUNCTION("IF(REGEXMATCH(E80, ""G1""), ""x"","""")"),"")</f>
        <v/>
      </c>
      <c r="N80" s="65" t="str">
        <f>IFERROR(__xludf.DUMMYFUNCTION("IF(REGEXMATCH(E80, ""G2""), ""g"","""")"),"")</f>
        <v/>
      </c>
      <c r="O80" s="65" t="str">
        <f>IFERROR(__xludf.DUMMYFUNCTION("IF(REGEXMATCH(E80, ""G3""), ""G"","""")"),"")</f>
        <v/>
      </c>
      <c r="P80" s="79" t="str">
        <f>IFERROR(__xludf.DUMMYFUNCTION("IF(REGEXMATCH(E80, ""G4""), ""gG"","""")"),"")</f>
        <v/>
      </c>
      <c r="Q80" s="70" t="s">
        <v>11</v>
      </c>
      <c r="R80" s="72" t="str">
        <f>IFERROR(__xludf.DUMMYFUNCTION("IF(REGEXMATCH(E80, ""M1""), ""x"","""")"),"")</f>
        <v/>
      </c>
      <c r="S80" s="65" t="str">
        <f>IFERROR(__xludf.DUMMYFUNCTION("IF(REGEXMATCH(E80, ""M2""), ""m"","""")"),"")</f>
        <v/>
      </c>
      <c r="T80" s="65" t="str">
        <f>IFERROR(__xludf.DUMMYFUNCTION("IF(REGEXMATCH(E80, ""M3""), ""M"","""")"),"")</f>
        <v/>
      </c>
      <c r="U80" s="79" t="str">
        <f>IFERROR(__xludf.DUMMYFUNCTION("IF(REGEXMATCH(E80, ""M4""), ""mM"","""")"),"")</f>
        <v/>
      </c>
      <c r="V80" s="59" t="s">
        <v>11</v>
      </c>
      <c r="W80" s="84" t="str">
        <f>IFERROR(__xludf.DUMMYFUNCTION("IF(REGEXMATCH(E80, ""P1""), ""x"","""")"),"")</f>
        <v/>
      </c>
      <c r="X80" s="56" t="str">
        <f>IFERROR(__xludf.DUMMYFUNCTION("IF(REGEXMATCH(E80, ""P2""), ""P"","""")"),"P")</f>
        <v>P</v>
      </c>
      <c r="Y80" s="70" t="s">
        <v>11</v>
      </c>
      <c r="Z80" s="72" t="str">
        <f>IFERROR(__xludf.DUMMYFUNCTION("IF(REGEXMATCH(E80, ""D1""), ""x"","""")"),"")</f>
        <v/>
      </c>
      <c r="AA80" s="65" t="str">
        <f>IFERROR(__xludf.DUMMYFUNCTION("IF(REGEXMATCH(E80, ""D2""), ""d"","""")"),"d")</f>
        <v>d</v>
      </c>
      <c r="AB80" s="65" t="str">
        <f>IFERROR(__xludf.DUMMYFUNCTION("IF(REGEXMATCH(E80, ""D3""), ""D"","""")"),"")</f>
        <v/>
      </c>
      <c r="AC80" s="79" t="str">
        <f>IFERROR(__xludf.DUMMYFUNCTION("IF(REGEXMATCH(E80, ""D4""), ""dD"","""")"),"")</f>
        <v/>
      </c>
      <c r="AD80" s="70" t="s">
        <v>11</v>
      </c>
      <c r="AE80" s="72" t="str">
        <f>IFERROR(__xludf.DUMMYFUNCTION("IF(REGEXMATCH(E80, ""N1""), ""x"","""")"),"x")</f>
        <v>x</v>
      </c>
      <c r="AF80" s="65" t="str">
        <f>IFERROR(__xludf.DUMMYFUNCTION("IF(REGEXMATCH(E80, ""N2""), ""n"","""")"),"")</f>
        <v/>
      </c>
      <c r="AG80" s="65" t="str">
        <f>IFERROR(__xludf.DUMMYFUNCTION("IF(REGEXMATCH(E80, ""N3""), ""N"","""")"),"")</f>
        <v/>
      </c>
      <c r="AH80" s="79" t="str">
        <f>IFERROR(__xludf.DUMMYFUNCTION("IF(REGEXMATCH(E80, ""N4""), ""nN"","""")"),"")</f>
        <v/>
      </c>
      <c r="AI80" s="70" t="s">
        <v>11</v>
      </c>
      <c r="AJ80" s="92" t="str">
        <f t="shared" si="5"/>
        <v>S</v>
      </c>
    </row>
    <row r="81">
      <c r="A81" s="33" t="str">
        <f t="shared" si="1"/>
        <v>-P-D-S</v>
      </c>
      <c r="B81" s="33">
        <f t="shared" si="2"/>
        <v>3</v>
      </c>
      <c r="C81" s="33" t="str">
        <f t="shared" si="3"/>
        <v>-P-D-x-S</v>
      </c>
      <c r="D81" s="375" t="s">
        <v>103</v>
      </c>
      <c r="E81" s="49" t="s">
        <v>329</v>
      </c>
      <c r="F81" s="56" t="str">
        <f t="shared" si="4"/>
        <v/>
      </c>
      <c r="G81" s="59" t="s">
        <v>11</v>
      </c>
      <c r="H81" s="63" t="str">
        <f>IFERROR(__xludf.DUMMYFUNCTION("IF(REGEXMATCH(E81, ""R1""), ""x"","""")"),"")</f>
        <v/>
      </c>
      <c r="I81" s="65" t="str">
        <f>IFERROR(__xludf.DUMMYFUNCTION("IF(REGEXMATCH(E81, ""R2""), ""r"","""")"),"")</f>
        <v/>
      </c>
      <c r="J81" s="63" t="str">
        <f>IFERROR(__xludf.DUMMYFUNCTION("IF(REGEXMATCH(E81, ""R3""), ""R"","""")"),"")</f>
        <v/>
      </c>
      <c r="K81" s="65" t="str">
        <f>IFERROR(__xludf.DUMMYFUNCTION("IF(REGEXMATCH(E81, ""R4""), ""rR"","""")"),"")</f>
        <v/>
      </c>
      <c r="L81" s="70" t="s">
        <v>11</v>
      </c>
      <c r="M81" s="72" t="str">
        <f>IFERROR(__xludf.DUMMYFUNCTION("IF(REGEXMATCH(E81, ""G1""), ""x"","""")"),"")</f>
        <v/>
      </c>
      <c r="N81" s="65" t="str">
        <f>IFERROR(__xludf.DUMMYFUNCTION("IF(REGEXMATCH(E81, ""G2""), ""g"","""")"),"")</f>
        <v/>
      </c>
      <c r="O81" s="65" t="str">
        <f>IFERROR(__xludf.DUMMYFUNCTION("IF(REGEXMATCH(E81, ""G3""), ""G"","""")"),"")</f>
        <v/>
      </c>
      <c r="P81" s="79" t="str">
        <f>IFERROR(__xludf.DUMMYFUNCTION("IF(REGEXMATCH(E81, ""G4""), ""gG"","""")"),"")</f>
        <v/>
      </c>
      <c r="Q81" s="70" t="s">
        <v>11</v>
      </c>
      <c r="R81" s="72" t="str">
        <f>IFERROR(__xludf.DUMMYFUNCTION("IF(REGEXMATCH(E81, ""M1""), ""x"","""")"),"")</f>
        <v/>
      </c>
      <c r="S81" s="65" t="str">
        <f>IFERROR(__xludf.DUMMYFUNCTION("IF(REGEXMATCH(E81, ""M2""), ""m"","""")"),"")</f>
        <v/>
      </c>
      <c r="T81" s="65" t="str">
        <f>IFERROR(__xludf.DUMMYFUNCTION("IF(REGEXMATCH(E81, ""M3""), ""M"","""")"),"")</f>
        <v/>
      </c>
      <c r="U81" s="79" t="str">
        <f>IFERROR(__xludf.DUMMYFUNCTION("IF(REGEXMATCH(E81, ""M4""), ""mM"","""")"),"")</f>
        <v/>
      </c>
      <c r="V81" s="59" t="s">
        <v>11</v>
      </c>
      <c r="W81" s="84" t="str">
        <f>IFERROR(__xludf.DUMMYFUNCTION("IF(REGEXMATCH(E81, ""P1""), ""x"","""")"),"")</f>
        <v/>
      </c>
      <c r="X81" s="56" t="str">
        <f>IFERROR(__xludf.DUMMYFUNCTION("IF(REGEXMATCH(E81, ""P2""), ""P"","""")"),"P")</f>
        <v>P</v>
      </c>
      <c r="Y81" s="70" t="s">
        <v>11</v>
      </c>
      <c r="Z81" s="72" t="str">
        <f>IFERROR(__xludf.DUMMYFUNCTION("IF(REGEXMATCH(E81, ""D1""), ""x"","""")"),"")</f>
        <v/>
      </c>
      <c r="AA81" s="65" t="str">
        <f>IFERROR(__xludf.DUMMYFUNCTION("IF(REGEXMATCH(E81, ""D2""), ""d"","""")"),"")</f>
        <v/>
      </c>
      <c r="AB81" s="65" t="str">
        <f>IFERROR(__xludf.DUMMYFUNCTION("IF(REGEXMATCH(E81, ""D3""), ""D"","""")"),"D")</f>
        <v>D</v>
      </c>
      <c r="AC81" s="79" t="str">
        <f>IFERROR(__xludf.DUMMYFUNCTION("IF(REGEXMATCH(E81, ""D4""), ""dD"","""")"),"")</f>
        <v/>
      </c>
      <c r="AD81" s="70" t="s">
        <v>11</v>
      </c>
      <c r="AE81" s="72" t="str">
        <f>IFERROR(__xludf.DUMMYFUNCTION("IF(REGEXMATCH(E81, ""N1""), ""x"","""")"),"x")</f>
        <v>x</v>
      </c>
      <c r="AF81" s="65" t="str">
        <f>IFERROR(__xludf.DUMMYFUNCTION("IF(REGEXMATCH(E81, ""N2""), ""n"","""")"),"")</f>
        <v/>
      </c>
      <c r="AG81" s="65" t="str">
        <f>IFERROR(__xludf.DUMMYFUNCTION("IF(REGEXMATCH(E81, ""N3""), ""N"","""")"),"")</f>
        <v/>
      </c>
      <c r="AH81" s="79" t="str">
        <f>IFERROR(__xludf.DUMMYFUNCTION("IF(REGEXMATCH(E81, ""N4""), ""nN"","""")"),"")</f>
        <v/>
      </c>
      <c r="AI81" s="70" t="s">
        <v>11</v>
      </c>
      <c r="AJ81" s="92" t="str">
        <f t="shared" si="5"/>
        <v>S</v>
      </c>
    </row>
    <row r="82">
      <c r="A82" s="33" t="str">
        <f t="shared" si="1"/>
        <v>-d-nN-S</v>
      </c>
      <c r="B82" s="33">
        <f t="shared" si="2"/>
        <v>4</v>
      </c>
      <c r="C82" s="33" t="str">
        <f t="shared" si="3"/>
        <v>-x-d-nN-S</v>
      </c>
      <c r="D82" s="375" t="s">
        <v>103</v>
      </c>
      <c r="E82" s="49" t="s">
        <v>331</v>
      </c>
      <c r="F82" s="56" t="str">
        <f t="shared" si="4"/>
        <v/>
      </c>
      <c r="G82" s="59" t="s">
        <v>11</v>
      </c>
      <c r="H82" s="63" t="str">
        <f>IFERROR(__xludf.DUMMYFUNCTION("IF(REGEXMATCH(E82, ""R1""), ""x"","""")"),"")</f>
        <v/>
      </c>
      <c r="I82" s="65" t="str">
        <f>IFERROR(__xludf.DUMMYFUNCTION("IF(REGEXMATCH(E82, ""R2""), ""r"","""")"),"")</f>
        <v/>
      </c>
      <c r="J82" s="63" t="str">
        <f>IFERROR(__xludf.DUMMYFUNCTION("IF(REGEXMATCH(E82, ""R3""), ""R"","""")"),"")</f>
        <v/>
      </c>
      <c r="K82" s="65" t="str">
        <f>IFERROR(__xludf.DUMMYFUNCTION("IF(REGEXMATCH(E82, ""R4""), ""rR"","""")"),"")</f>
        <v/>
      </c>
      <c r="L82" s="70" t="s">
        <v>11</v>
      </c>
      <c r="M82" s="72" t="str">
        <f>IFERROR(__xludf.DUMMYFUNCTION("IF(REGEXMATCH(E82, ""G1""), ""x"","""")"),"")</f>
        <v/>
      </c>
      <c r="N82" s="65" t="str">
        <f>IFERROR(__xludf.DUMMYFUNCTION("IF(REGEXMATCH(E82, ""G2""), ""g"","""")"),"")</f>
        <v/>
      </c>
      <c r="O82" s="65" t="str">
        <f>IFERROR(__xludf.DUMMYFUNCTION("IF(REGEXMATCH(E82, ""G3""), ""G"","""")"),"")</f>
        <v/>
      </c>
      <c r="P82" s="79" t="str">
        <f>IFERROR(__xludf.DUMMYFUNCTION("IF(REGEXMATCH(E82, ""G4""), ""gG"","""")"),"")</f>
        <v/>
      </c>
      <c r="Q82" s="70" t="s">
        <v>11</v>
      </c>
      <c r="R82" s="72" t="str">
        <f>IFERROR(__xludf.DUMMYFUNCTION("IF(REGEXMATCH(E82, ""M1""), ""x"","""")"),"")</f>
        <v/>
      </c>
      <c r="S82" s="65" t="str">
        <f>IFERROR(__xludf.DUMMYFUNCTION("IF(REGEXMATCH(E82, ""M2""), ""m"","""")"),"")</f>
        <v/>
      </c>
      <c r="T82" s="65" t="str">
        <f>IFERROR(__xludf.DUMMYFUNCTION("IF(REGEXMATCH(E82, ""M3""), ""M"","""")"),"")</f>
        <v/>
      </c>
      <c r="U82" s="79" t="str">
        <f>IFERROR(__xludf.DUMMYFUNCTION("IF(REGEXMATCH(E82, ""M4""), ""mM"","""")"),"")</f>
        <v/>
      </c>
      <c r="V82" s="59" t="s">
        <v>11</v>
      </c>
      <c r="W82" s="84" t="str">
        <f>IFERROR(__xludf.DUMMYFUNCTION("IF(REGEXMATCH(E82, ""P1""), ""x"","""")"),"x")</f>
        <v>x</v>
      </c>
      <c r="X82" s="56" t="str">
        <f>IFERROR(__xludf.DUMMYFUNCTION("IF(REGEXMATCH(E82, ""P2""), ""P"","""")"),"")</f>
        <v/>
      </c>
      <c r="Y82" s="70" t="s">
        <v>11</v>
      </c>
      <c r="Z82" s="72" t="str">
        <f>IFERROR(__xludf.DUMMYFUNCTION("IF(REGEXMATCH(E82, ""D1""), ""x"","""")"),"")</f>
        <v/>
      </c>
      <c r="AA82" s="65" t="str">
        <f>IFERROR(__xludf.DUMMYFUNCTION("IF(REGEXMATCH(E82, ""D2""), ""d"","""")"),"d")</f>
        <v>d</v>
      </c>
      <c r="AB82" s="65" t="str">
        <f>IFERROR(__xludf.DUMMYFUNCTION("IF(REGEXMATCH(E82, ""D3""), ""D"","""")"),"")</f>
        <v/>
      </c>
      <c r="AC82" s="79" t="str">
        <f>IFERROR(__xludf.DUMMYFUNCTION("IF(REGEXMATCH(E82, ""D4""), ""dD"","""")"),"")</f>
        <v/>
      </c>
      <c r="AD82" s="70" t="s">
        <v>11</v>
      </c>
      <c r="AE82" s="72" t="str">
        <f>IFERROR(__xludf.DUMMYFUNCTION("IF(REGEXMATCH(E82, ""N1""), ""x"","""")"),"")</f>
        <v/>
      </c>
      <c r="AF82" s="65" t="str">
        <f>IFERROR(__xludf.DUMMYFUNCTION("IF(REGEXMATCH(E82, ""N2""), ""n"","""")"),"")</f>
        <v/>
      </c>
      <c r="AG82" s="65" t="str">
        <f>IFERROR(__xludf.DUMMYFUNCTION("IF(REGEXMATCH(E82, ""N3""), ""N"","""")"),"")</f>
        <v/>
      </c>
      <c r="AH82" s="79" t="str">
        <f>IFERROR(__xludf.DUMMYFUNCTION("IF(REGEXMATCH(E82, ""N4""), ""nN"","""")"),"nN")</f>
        <v>nN</v>
      </c>
      <c r="AI82" s="70" t="s">
        <v>11</v>
      </c>
      <c r="AJ82" s="92" t="str">
        <f t="shared" si="5"/>
        <v>S</v>
      </c>
    </row>
    <row r="83">
      <c r="A83" s="33" t="str">
        <f t="shared" si="1"/>
        <v>-D-nN-S</v>
      </c>
      <c r="B83" s="33">
        <f t="shared" si="2"/>
        <v>4</v>
      </c>
      <c r="C83" s="33" t="str">
        <f t="shared" si="3"/>
        <v>-x-D-nN-S</v>
      </c>
      <c r="D83" s="375" t="s">
        <v>103</v>
      </c>
      <c r="E83" s="49" t="s">
        <v>333</v>
      </c>
      <c r="F83" s="56" t="str">
        <f t="shared" si="4"/>
        <v/>
      </c>
      <c r="G83" s="59" t="s">
        <v>11</v>
      </c>
      <c r="H83" s="63" t="str">
        <f>IFERROR(__xludf.DUMMYFUNCTION("IF(REGEXMATCH(E83, ""R1""), ""x"","""")"),"")</f>
        <v/>
      </c>
      <c r="I83" s="65" t="str">
        <f>IFERROR(__xludf.DUMMYFUNCTION("IF(REGEXMATCH(E83, ""R2""), ""r"","""")"),"")</f>
        <v/>
      </c>
      <c r="J83" s="63" t="str">
        <f>IFERROR(__xludf.DUMMYFUNCTION("IF(REGEXMATCH(E83, ""R3""), ""R"","""")"),"")</f>
        <v/>
      </c>
      <c r="K83" s="65" t="str">
        <f>IFERROR(__xludf.DUMMYFUNCTION("IF(REGEXMATCH(E83, ""R4""), ""rR"","""")"),"")</f>
        <v/>
      </c>
      <c r="L83" s="70" t="s">
        <v>11</v>
      </c>
      <c r="M83" s="72" t="str">
        <f>IFERROR(__xludf.DUMMYFUNCTION("IF(REGEXMATCH(E83, ""G1""), ""x"","""")"),"")</f>
        <v/>
      </c>
      <c r="N83" s="65" t="str">
        <f>IFERROR(__xludf.DUMMYFUNCTION("IF(REGEXMATCH(E83, ""G2""), ""g"","""")"),"")</f>
        <v/>
      </c>
      <c r="O83" s="65" t="str">
        <f>IFERROR(__xludf.DUMMYFUNCTION("IF(REGEXMATCH(E83, ""G3""), ""G"","""")"),"")</f>
        <v/>
      </c>
      <c r="P83" s="79" t="str">
        <f>IFERROR(__xludf.DUMMYFUNCTION("IF(REGEXMATCH(E83, ""G4""), ""gG"","""")"),"")</f>
        <v/>
      </c>
      <c r="Q83" s="70" t="s">
        <v>11</v>
      </c>
      <c r="R83" s="72" t="str">
        <f>IFERROR(__xludf.DUMMYFUNCTION("IF(REGEXMATCH(E83, ""M1""), ""x"","""")"),"")</f>
        <v/>
      </c>
      <c r="S83" s="65" t="str">
        <f>IFERROR(__xludf.DUMMYFUNCTION("IF(REGEXMATCH(E83, ""M2""), ""m"","""")"),"")</f>
        <v/>
      </c>
      <c r="T83" s="65" t="str">
        <f>IFERROR(__xludf.DUMMYFUNCTION("IF(REGEXMATCH(E83, ""M3""), ""M"","""")"),"")</f>
        <v/>
      </c>
      <c r="U83" s="79" t="str">
        <f>IFERROR(__xludf.DUMMYFUNCTION("IF(REGEXMATCH(E83, ""M4""), ""mM"","""")"),"")</f>
        <v/>
      </c>
      <c r="V83" s="59" t="s">
        <v>11</v>
      </c>
      <c r="W83" s="84" t="str">
        <f>IFERROR(__xludf.DUMMYFUNCTION("IF(REGEXMATCH(E83, ""P1""), ""x"","""")"),"x")</f>
        <v>x</v>
      </c>
      <c r="X83" s="56" t="str">
        <f>IFERROR(__xludf.DUMMYFUNCTION("IF(REGEXMATCH(E83, ""P2""), ""P"","""")"),"")</f>
        <v/>
      </c>
      <c r="Y83" s="70" t="s">
        <v>11</v>
      </c>
      <c r="Z83" s="72" t="str">
        <f>IFERROR(__xludf.DUMMYFUNCTION("IF(REGEXMATCH(E83, ""D1""), ""x"","""")"),"")</f>
        <v/>
      </c>
      <c r="AA83" s="65" t="str">
        <f>IFERROR(__xludf.DUMMYFUNCTION("IF(REGEXMATCH(E83, ""D2""), ""d"","""")"),"")</f>
        <v/>
      </c>
      <c r="AB83" s="65" t="str">
        <f>IFERROR(__xludf.DUMMYFUNCTION("IF(REGEXMATCH(E83, ""D3""), ""D"","""")"),"D")</f>
        <v>D</v>
      </c>
      <c r="AC83" s="79" t="str">
        <f>IFERROR(__xludf.DUMMYFUNCTION("IF(REGEXMATCH(E83, ""D4""), ""dD"","""")"),"")</f>
        <v/>
      </c>
      <c r="AD83" s="70" t="s">
        <v>11</v>
      </c>
      <c r="AE83" s="72" t="str">
        <f>IFERROR(__xludf.DUMMYFUNCTION("IF(REGEXMATCH(E83, ""N1""), ""x"","""")"),"")</f>
        <v/>
      </c>
      <c r="AF83" s="65" t="str">
        <f>IFERROR(__xludf.DUMMYFUNCTION("IF(REGEXMATCH(E83, ""N2""), ""n"","""")"),"")</f>
        <v/>
      </c>
      <c r="AG83" s="65" t="str">
        <f>IFERROR(__xludf.DUMMYFUNCTION("IF(REGEXMATCH(E83, ""N3""), ""N"","""")"),"")</f>
        <v/>
      </c>
      <c r="AH83" s="79" t="str">
        <f>IFERROR(__xludf.DUMMYFUNCTION("IF(REGEXMATCH(E83, ""N4""), ""nN"","""")"),"nN")</f>
        <v>nN</v>
      </c>
      <c r="AI83" s="70" t="s">
        <v>11</v>
      </c>
      <c r="AJ83" s="92" t="str">
        <f t="shared" si="5"/>
        <v>S</v>
      </c>
    </row>
    <row r="84">
      <c r="A84" s="33" t="str">
        <f t="shared" si="1"/>
        <v>-dD-n-S</v>
      </c>
      <c r="B84" s="33">
        <f t="shared" si="2"/>
        <v>4</v>
      </c>
      <c r="C84" s="33" t="str">
        <f t="shared" si="3"/>
        <v>-x-dD-n-S</v>
      </c>
      <c r="D84" s="375" t="s">
        <v>103</v>
      </c>
      <c r="E84" s="49" t="s">
        <v>335</v>
      </c>
      <c r="F84" s="56" t="str">
        <f t="shared" si="4"/>
        <v/>
      </c>
      <c r="G84" s="59" t="s">
        <v>11</v>
      </c>
      <c r="H84" s="63" t="str">
        <f>IFERROR(__xludf.DUMMYFUNCTION("IF(REGEXMATCH(E84, ""R1""), ""x"","""")"),"")</f>
        <v/>
      </c>
      <c r="I84" s="65" t="str">
        <f>IFERROR(__xludf.DUMMYFUNCTION("IF(REGEXMATCH(E84, ""R2""), ""r"","""")"),"")</f>
        <v/>
      </c>
      <c r="J84" s="63" t="str">
        <f>IFERROR(__xludf.DUMMYFUNCTION("IF(REGEXMATCH(E84, ""R3""), ""R"","""")"),"")</f>
        <v/>
      </c>
      <c r="K84" s="65" t="str">
        <f>IFERROR(__xludf.DUMMYFUNCTION("IF(REGEXMATCH(E84, ""R4""), ""rR"","""")"),"")</f>
        <v/>
      </c>
      <c r="L84" s="70" t="s">
        <v>11</v>
      </c>
      <c r="M84" s="72" t="str">
        <f>IFERROR(__xludf.DUMMYFUNCTION("IF(REGEXMATCH(E84, ""G1""), ""x"","""")"),"")</f>
        <v/>
      </c>
      <c r="N84" s="65" t="str">
        <f>IFERROR(__xludf.DUMMYFUNCTION("IF(REGEXMATCH(E84, ""G2""), ""g"","""")"),"")</f>
        <v/>
      </c>
      <c r="O84" s="65" t="str">
        <f>IFERROR(__xludf.DUMMYFUNCTION("IF(REGEXMATCH(E84, ""G3""), ""G"","""")"),"")</f>
        <v/>
      </c>
      <c r="P84" s="79" t="str">
        <f>IFERROR(__xludf.DUMMYFUNCTION("IF(REGEXMATCH(E84, ""G4""), ""gG"","""")"),"")</f>
        <v/>
      </c>
      <c r="Q84" s="70" t="s">
        <v>11</v>
      </c>
      <c r="R84" s="72" t="str">
        <f>IFERROR(__xludf.DUMMYFUNCTION("IF(REGEXMATCH(E84, ""M1""), ""x"","""")"),"")</f>
        <v/>
      </c>
      <c r="S84" s="65" t="str">
        <f>IFERROR(__xludf.DUMMYFUNCTION("IF(REGEXMATCH(E84, ""M2""), ""m"","""")"),"")</f>
        <v/>
      </c>
      <c r="T84" s="65" t="str">
        <f>IFERROR(__xludf.DUMMYFUNCTION("IF(REGEXMATCH(E84, ""M3""), ""M"","""")"),"")</f>
        <v/>
      </c>
      <c r="U84" s="79" t="str">
        <f>IFERROR(__xludf.DUMMYFUNCTION("IF(REGEXMATCH(E84, ""M4""), ""mM"","""")"),"")</f>
        <v/>
      </c>
      <c r="V84" s="59" t="s">
        <v>11</v>
      </c>
      <c r="W84" s="84" t="str">
        <f>IFERROR(__xludf.DUMMYFUNCTION("IF(REGEXMATCH(E84, ""P1""), ""x"","""")"),"x")</f>
        <v>x</v>
      </c>
      <c r="X84" s="56" t="str">
        <f>IFERROR(__xludf.DUMMYFUNCTION("IF(REGEXMATCH(E84, ""P2""), ""P"","""")"),"")</f>
        <v/>
      </c>
      <c r="Y84" s="70" t="s">
        <v>11</v>
      </c>
      <c r="Z84" s="72" t="str">
        <f>IFERROR(__xludf.DUMMYFUNCTION("IF(REGEXMATCH(E84, ""D1""), ""x"","""")"),"")</f>
        <v/>
      </c>
      <c r="AA84" s="65" t="str">
        <f>IFERROR(__xludf.DUMMYFUNCTION("IF(REGEXMATCH(E84, ""D2""), ""d"","""")"),"")</f>
        <v/>
      </c>
      <c r="AB84" s="65" t="str">
        <f>IFERROR(__xludf.DUMMYFUNCTION("IF(REGEXMATCH(E84, ""D3""), ""D"","""")"),"")</f>
        <v/>
      </c>
      <c r="AC84" s="79" t="str">
        <f>IFERROR(__xludf.DUMMYFUNCTION("IF(REGEXMATCH(E84, ""D4""), ""dD"","""")"),"dD")</f>
        <v>dD</v>
      </c>
      <c r="AD84" s="70" t="s">
        <v>11</v>
      </c>
      <c r="AE84" s="72" t="str">
        <f>IFERROR(__xludf.DUMMYFUNCTION("IF(REGEXMATCH(E84, ""N1""), ""x"","""")"),"")</f>
        <v/>
      </c>
      <c r="AF84" s="65" t="str">
        <f>IFERROR(__xludf.DUMMYFUNCTION("IF(REGEXMATCH(E84, ""N2""), ""n"","""")"),"n")</f>
        <v>n</v>
      </c>
      <c r="AG84" s="65" t="str">
        <f>IFERROR(__xludf.DUMMYFUNCTION("IF(REGEXMATCH(E84, ""N3""), ""N"","""")"),"")</f>
        <v/>
      </c>
      <c r="AH84" s="79" t="str">
        <f>IFERROR(__xludf.DUMMYFUNCTION("IF(REGEXMATCH(E84, ""N4""), ""nN"","""")"),"")</f>
        <v/>
      </c>
      <c r="AI84" s="70" t="s">
        <v>11</v>
      </c>
      <c r="AJ84" s="92" t="str">
        <f t="shared" si="5"/>
        <v>S</v>
      </c>
    </row>
    <row r="85">
      <c r="A85" s="33" t="str">
        <f t="shared" si="1"/>
        <v>-dD-N-S</v>
      </c>
      <c r="B85" s="33">
        <f t="shared" si="2"/>
        <v>4</v>
      </c>
      <c r="C85" s="33" t="str">
        <f t="shared" si="3"/>
        <v>-x-dD-N-S</v>
      </c>
      <c r="D85" s="375" t="s">
        <v>103</v>
      </c>
      <c r="E85" s="49" t="s">
        <v>336</v>
      </c>
      <c r="F85" s="56" t="str">
        <f t="shared" si="4"/>
        <v/>
      </c>
      <c r="G85" s="59" t="s">
        <v>11</v>
      </c>
      <c r="H85" s="63" t="str">
        <f>IFERROR(__xludf.DUMMYFUNCTION("IF(REGEXMATCH(E85, ""R1""), ""x"","""")"),"")</f>
        <v/>
      </c>
      <c r="I85" s="65" t="str">
        <f>IFERROR(__xludf.DUMMYFUNCTION("IF(REGEXMATCH(E85, ""R2""), ""r"","""")"),"")</f>
        <v/>
      </c>
      <c r="J85" s="63" t="str">
        <f>IFERROR(__xludf.DUMMYFUNCTION("IF(REGEXMATCH(E85, ""R3""), ""R"","""")"),"")</f>
        <v/>
      </c>
      <c r="K85" s="65" t="str">
        <f>IFERROR(__xludf.DUMMYFUNCTION("IF(REGEXMATCH(E85, ""R4""), ""rR"","""")"),"")</f>
        <v/>
      </c>
      <c r="L85" s="70" t="s">
        <v>11</v>
      </c>
      <c r="M85" s="72" t="str">
        <f>IFERROR(__xludf.DUMMYFUNCTION("IF(REGEXMATCH(E85, ""G1""), ""x"","""")"),"")</f>
        <v/>
      </c>
      <c r="N85" s="65" t="str">
        <f>IFERROR(__xludf.DUMMYFUNCTION("IF(REGEXMATCH(E85, ""G2""), ""g"","""")"),"")</f>
        <v/>
      </c>
      <c r="O85" s="65" t="str">
        <f>IFERROR(__xludf.DUMMYFUNCTION("IF(REGEXMATCH(E85, ""G3""), ""G"","""")"),"")</f>
        <v/>
      </c>
      <c r="P85" s="79" t="str">
        <f>IFERROR(__xludf.DUMMYFUNCTION("IF(REGEXMATCH(E85, ""G4""), ""gG"","""")"),"")</f>
        <v/>
      </c>
      <c r="Q85" s="70" t="s">
        <v>11</v>
      </c>
      <c r="R85" s="72" t="str">
        <f>IFERROR(__xludf.DUMMYFUNCTION("IF(REGEXMATCH(E85, ""M1""), ""x"","""")"),"")</f>
        <v/>
      </c>
      <c r="S85" s="65" t="str">
        <f>IFERROR(__xludf.DUMMYFUNCTION("IF(REGEXMATCH(E85, ""M2""), ""m"","""")"),"")</f>
        <v/>
      </c>
      <c r="T85" s="65" t="str">
        <f>IFERROR(__xludf.DUMMYFUNCTION("IF(REGEXMATCH(E85, ""M3""), ""M"","""")"),"")</f>
        <v/>
      </c>
      <c r="U85" s="79" t="str">
        <f>IFERROR(__xludf.DUMMYFUNCTION("IF(REGEXMATCH(E85, ""M4""), ""mM"","""")"),"")</f>
        <v/>
      </c>
      <c r="V85" s="59" t="s">
        <v>11</v>
      </c>
      <c r="W85" s="84" t="str">
        <f>IFERROR(__xludf.DUMMYFUNCTION("IF(REGEXMATCH(E85, ""P1""), ""x"","""")"),"x")</f>
        <v>x</v>
      </c>
      <c r="X85" s="56" t="str">
        <f>IFERROR(__xludf.DUMMYFUNCTION("IF(REGEXMATCH(E85, ""P2""), ""P"","""")"),"")</f>
        <v/>
      </c>
      <c r="Y85" s="70" t="s">
        <v>11</v>
      </c>
      <c r="Z85" s="72" t="str">
        <f>IFERROR(__xludf.DUMMYFUNCTION("IF(REGEXMATCH(E85, ""D1""), ""x"","""")"),"")</f>
        <v/>
      </c>
      <c r="AA85" s="65" t="str">
        <f>IFERROR(__xludf.DUMMYFUNCTION("IF(REGEXMATCH(E85, ""D2""), ""d"","""")"),"")</f>
        <v/>
      </c>
      <c r="AB85" s="65" t="str">
        <f>IFERROR(__xludf.DUMMYFUNCTION("IF(REGEXMATCH(E85, ""D3""), ""D"","""")"),"")</f>
        <v/>
      </c>
      <c r="AC85" s="79" t="str">
        <f>IFERROR(__xludf.DUMMYFUNCTION("IF(REGEXMATCH(E85, ""D4""), ""dD"","""")"),"dD")</f>
        <v>dD</v>
      </c>
      <c r="AD85" s="70" t="s">
        <v>11</v>
      </c>
      <c r="AE85" s="72" t="str">
        <f>IFERROR(__xludf.DUMMYFUNCTION("IF(REGEXMATCH(E85, ""N1""), ""x"","""")"),"")</f>
        <v/>
      </c>
      <c r="AF85" s="65" t="str">
        <f>IFERROR(__xludf.DUMMYFUNCTION("IF(REGEXMATCH(E85, ""N2""), ""n"","""")"),"")</f>
        <v/>
      </c>
      <c r="AG85" s="65" t="str">
        <f>IFERROR(__xludf.DUMMYFUNCTION("IF(REGEXMATCH(E85, ""N3""), ""N"","""")"),"N")</f>
        <v>N</v>
      </c>
      <c r="AH85" s="79" t="str">
        <f>IFERROR(__xludf.DUMMYFUNCTION("IF(REGEXMATCH(E85, ""N4""), ""nN"","""")"),"")</f>
        <v/>
      </c>
      <c r="AI85" s="70" t="s">
        <v>11</v>
      </c>
      <c r="AJ85" s="92" t="str">
        <f t="shared" si="5"/>
        <v>S</v>
      </c>
    </row>
    <row r="86">
      <c r="A86" s="33" t="str">
        <f t="shared" si="1"/>
        <v>-P-nN-S</v>
      </c>
      <c r="B86" s="33">
        <f t="shared" si="2"/>
        <v>4</v>
      </c>
      <c r="C86" s="33" t="str">
        <f t="shared" si="3"/>
        <v>-P-x-nN-S</v>
      </c>
      <c r="D86" s="375" t="s">
        <v>103</v>
      </c>
      <c r="E86" s="49" t="s">
        <v>338</v>
      </c>
      <c r="F86" s="56" t="str">
        <f t="shared" si="4"/>
        <v/>
      </c>
      <c r="G86" s="59" t="s">
        <v>11</v>
      </c>
      <c r="H86" s="63" t="str">
        <f>IFERROR(__xludf.DUMMYFUNCTION("IF(REGEXMATCH(E86, ""R1""), ""x"","""")"),"")</f>
        <v/>
      </c>
      <c r="I86" s="65" t="str">
        <f>IFERROR(__xludf.DUMMYFUNCTION("IF(REGEXMATCH(E86, ""R2""), ""r"","""")"),"")</f>
        <v/>
      </c>
      <c r="J86" s="63" t="str">
        <f>IFERROR(__xludf.DUMMYFUNCTION("IF(REGEXMATCH(E86, ""R3""), ""R"","""")"),"")</f>
        <v/>
      </c>
      <c r="K86" s="65" t="str">
        <f>IFERROR(__xludf.DUMMYFUNCTION("IF(REGEXMATCH(E86, ""R4""), ""rR"","""")"),"")</f>
        <v/>
      </c>
      <c r="L86" s="70" t="s">
        <v>11</v>
      </c>
      <c r="M86" s="72" t="str">
        <f>IFERROR(__xludf.DUMMYFUNCTION("IF(REGEXMATCH(E86, ""G1""), ""x"","""")"),"")</f>
        <v/>
      </c>
      <c r="N86" s="65" t="str">
        <f>IFERROR(__xludf.DUMMYFUNCTION("IF(REGEXMATCH(E86, ""G2""), ""g"","""")"),"")</f>
        <v/>
      </c>
      <c r="O86" s="65" t="str">
        <f>IFERROR(__xludf.DUMMYFUNCTION("IF(REGEXMATCH(E86, ""G3""), ""G"","""")"),"")</f>
        <v/>
      </c>
      <c r="P86" s="79" t="str">
        <f>IFERROR(__xludf.DUMMYFUNCTION("IF(REGEXMATCH(E86, ""G4""), ""gG"","""")"),"")</f>
        <v/>
      </c>
      <c r="Q86" s="70" t="s">
        <v>11</v>
      </c>
      <c r="R86" s="72" t="str">
        <f>IFERROR(__xludf.DUMMYFUNCTION("IF(REGEXMATCH(E86, ""M1""), ""x"","""")"),"")</f>
        <v/>
      </c>
      <c r="S86" s="65" t="str">
        <f>IFERROR(__xludf.DUMMYFUNCTION("IF(REGEXMATCH(E86, ""M2""), ""m"","""")"),"")</f>
        <v/>
      </c>
      <c r="T86" s="65" t="str">
        <f>IFERROR(__xludf.DUMMYFUNCTION("IF(REGEXMATCH(E86, ""M3""), ""M"","""")"),"")</f>
        <v/>
      </c>
      <c r="U86" s="79" t="str">
        <f>IFERROR(__xludf.DUMMYFUNCTION("IF(REGEXMATCH(E86, ""M4""), ""mM"","""")"),"")</f>
        <v/>
      </c>
      <c r="V86" s="59" t="s">
        <v>11</v>
      </c>
      <c r="W86" s="84" t="str">
        <f>IFERROR(__xludf.DUMMYFUNCTION("IF(REGEXMATCH(E86, ""P1""), ""x"","""")"),"")</f>
        <v/>
      </c>
      <c r="X86" s="56" t="str">
        <f>IFERROR(__xludf.DUMMYFUNCTION("IF(REGEXMATCH(E86, ""P2""), ""P"","""")"),"P")</f>
        <v>P</v>
      </c>
      <c r="Y86" s="70" t="s">
        <v>11</v>
      </c>
      <c r="Z86" s="72" t="str">
        <f>IFERROR(__xludf.DUMMYFUNCTION("IF(REGEXMATCH(E86, ""D1""), ""x"","""")"),"x")</f>
        <v>x</v>
      </c>
      <c r="AA86" s="65" t="str">
        <f>IFERROR(__xludf.DUMMYFUNCTION("IF(REGEXMATCH(E86, ""D2""), ""d"","""")"),"")</f>
        <v/>
      </c>
      <c r="AB86" s="65" t="str">
        <f>IFERROR(__xludf.DUMMYFUNCTION("IF(REGEXMATCH(E86, ""D3""), ""D"","""")"),"")</f>
        <v/>
      </c>
      <c r="AC86" s="79" t="str">
        <f>IFERROR(__xludf.DUMMYFUNCTION("IF(REGEXMATCH(E86, ""D4""), ""dD"","""")"),"")</f>
        <v/>
      </c>
      <c r="AD86" s="70" t="s">
        <v>11</v>
      </c>
      <c r="AE86" s="72" t="str">
        <f>IFERROR(__xludf.DUMMYFUNCTION("IF(REGEXMATCH(E86, ""N1""), ""x"","""")"),"")</f>
        <v/>
      </c>
      <c r="AF86" s="65" t="str">
        <f>IFERROR(__xludf.DUMMYFUNCTION("IF(REGEXMATCH(E86, ""N2""), ""n"","""")"),"")</f>
        <v/>
      </c>
      <c r="AG86" s="65" t="str">
        <f>IFERROR(__xludf.DUMMYFUNCTION("IF(REGEXMATCH(E86, ""N3""), ""N"","""")"),"")</f>
        <v/>
      </c>
      <c r="AH86" s="79" t="str">
        <f>IFERROR(__xludf.DUMMYFUNCTION("IF(REGEXMATCH(E86, ""N4""), ""nN"","""")"),"nN")</f>
        <v>nN</v>
      </c>
      <c r="AI86" s="70" t="s">
        <v>11</v>
      </c>
      <c r="AJ86" s="92" t="str">
        <f t="shared" si="5"/>
        <v>S</v>
      </c>
    </row>
    <row r="87">
      <c r="A87" s="33" t="str">
        <f t="shared" si="1"/>
        <v>-P-d-n-S</v>
      </c>
      <c r="B87" s="33">
        <f t="shared" si="2"/>
        <v>4</v>
      </c>
      <c r="C87" s="33" t="str">
        <f t="shared" si="3"/>
        <v>-P-d-n-S</v>
      </c>
      <c r="D87" s="375" t="s">
        <v>103</v>
      </c>
      <c r="E87" s="49" t="s">
        <v>341</v>
      </c>
      <c r="F87" s="56" t="str">
        <f t="shared" si="4"/>
        <v/>
      </c>
      <c r="G87" s="59" t="s">
        <v>11</v>
      </c>
      <c r="H87" s="63" t="str">
        <f>IFERROR(__xludf.DUMMYFUNCTION("IF(REGEXMATCH(E87, ""R1""), ""x"","""")"),"")</f>
        <v/>
      </c>
      <c r="I87" s="65" t="str">
        <f>IFERROR(__xludf.DUMMYFUNCTION("IF(REGEXMATCH(E87, ""R2""), ""r"","""")"),"")</f>
        <v/>
      </c>
      <c r="J87" s="63" t="str">
        <f>IFERROR(__xludf.DUMMYFUNCTION("IF(REGEXMATCH(E87, ""R3""), ""R"","""")"),"")</f>
        <v/>
      </c>
      <c r="K87" s="65" t="str">
        <f>IFERROR(__xludf.DUMMYFUNCTION("IF(REGEXMATCH(E87, ""R4""), ""rR"","""")"),"")</f>
        <v/>
      </c>
      <c r="L87" s="70" t="s">
        <v>11</v>
      </c>
      <c r="M87" s="72" t="str">
        <f>IFERROR(__xludf.DUMMYFUNCTION("IF(REGEXMATCH(E87, ""G1""), ""x"","""")"),"")</f>
        <v/>
      </c>
      <c r="N87" s="65" t="str">
        <f>IFERROR(__xludf.DUMMYFUNCTION("IF(REGEXMATCH(E87, ""G2""), ""g"","""")"),"")</f>
        <v/>
      </c>
      <c r="O87" s="65" t="str">
        <f>IFERROR(__xludf.DUMMYFUNCTION("IF(REGEXMATCH(E87, ""G3""), ""G"","""")"),"")</f>
        <v/>
      </c>
      <c r="P87" s="79" t="str">
        <f>IFERROR(__xludf.DUMMYFUNCTION("IF(REGEXMATCH(E87, ""G4""), ""gG"","""")"),"")</f>
        <v/>
      </c>
      <c r="Q87" s="70" t="s">
        <v>11</v>
      </c>
      <c r="R87" s="72" t="str">
        <f>IFERROR(__xludf.DUMMYFUNCTION("IF(REGEXMATCH(E87, ""M1""), ""x"","""")"),"")</f>
        <v/>
      </c>
      <c r="S87" s="65" t="str">
        <f>IFERROR(__xludf.DUMMYFUNCTION("IF(REGEXMATCH(E87, ""M2""), ""m"","""")"),"")</f>
        <v/>
      </c>
      <c r="T87" s="65" t="str">
        <f>IFERROR(__xludf.DUMMYFUNCTION("IF(REGEXMATCH(E87, ""M3""), ""M"","""")"),"")</f>
        <v/>
      </c>
      <c r="U87" s="79" t="str">
        <f>IFERROR(__xludf.DUMMYFUNCTION("IF(REGEXMATCH(E87, ""M4""), ""mM"","""")"),"")</f>
        <v/>
      </c>
      <c r="V87" s="59" t="s">
        <v>11</v>
      </c>
      <c r="W87" s="84" t="str">
        <f>IFERROR(__xludf.DUMMYFUNCTION("IF(REGEXMATCH(E87, ""P1""), ""x"","""")"),"")</f>
        <v/>
      </c>
      <c r="X87" s="56" t="str">
        <f>IFERROR(__xludf.DUMMYFUNCTION("IF(REGEXMATCH(E87, ""P2""), ""P"","""")"),"P")</f>
        <v>P</v>
      </c>
      <c r="Y87" s="70" t="s">
        <v>11</v>
      </c>
      <c r="Z87" s="72" t="str">
        <f>IFERROR(__xludf.DUMMYFUNCTION("IF(REGEXMATCH(E87, ""D1""), ""x"","""")"),"")</f>
        <v/>
      </c>
      <c r="AA87" s="65" t="str">
        <f>IFERROR(__xludf.DUMMYFUNCTION("IF(REGEXMATCH(E87, ""D2""), ""d"","""")"),"d")</f>
        <v>d</v>
      </c>
      <c r="AB87" s="65" t="str">
        <f>IFERROR(__xludf.DUMMYFUNCTION("IF(REGEXMATCH(E87, ""D3""), ""D"","""")"),"")</f>
        <v/>
      </c>
      <c r="AC87" s="79" t="str">
        <f>IFERROR(__xludf.DUMMYFUNCTION("IF(REGEXMATCH(E87, ""D4""), ""dD"","""")"),"")</f>
        <v/>
      </c>
      <c r="AD87" s="70" t="s">
        <v>11</v>
      </c>
      <c r="AE87" s="72" t="str">
        <f>IFERROR(__xludf.DUMMYFUNCTION("IF(REGEXMATCH(E87, ""N1""), ""x"","""")"),"")</f>
        <v/>
      </c>
      <c r="AF87" s="65" t="str">
        <f>IFERROR(__xludf.DUMMYFUNCTION("IF(REGEXMATCH(E87, ""N2""), ""n"","""")"),"n")</f>
        <v>n</v>
      </c>
      <c r="AG87" s="65" t="str">
        <f>IFERROR(__xludf.DUMMYFUNCTION("IF(REGEXMATCH(E87, ""N3""), ""N"","""")"),"")</f>
        <v/>
      </c>
      <c r="AH87" s="79" t="str">
        <f>IFERROR(__xludf.DUMMYFUNCTION("IF(REGEXMATCH(E87, ""N4""), ""nN"","""")"),"")</f>
        <v/>
      </c>
      <c r="AI87" s="70" t="s">
        <v>11</v>
      </c>
      <c r="AJ87" s="92" t="str">
        <f t="shared" si="5"/>
        <v>S</v>
      </c>
    </row>
    <row r="88">
      <c r="A88" s="33" t="str">
        <f t="shared" si="1"/>
        <v>-P-d-N-S</v>
      </c>
      <c r="B88" s="33">
        <f t="shared" si="2"/>
        <v>4</v>
      </c>
      <c r="C88" s="33" t="str">
        <f t="shared" si="3"/>
        <v>-P-d-N-S</v>
      </c>
      <c r="D88" s="375" t="s">
        <v>103</v>
      </c>
      <c r="E88" s="49" t="s">
        <v>343</v>
      </c>
      <c r="F88" s="56" t="str">
        <f t="shared" si="4"/>
        <v/>
      </c>
      <c r="G88" s="59" t="s">
        <v>11</v>
      </c>
      <c r="H88" s="63" t="str">
        <f>IFERROR(__xludf.DUMMYFUNCTION("IF(REGEXMATCH(E88, ""R1""), ""x"","""")"),"")</f>
        <v/>
      </c>
      <c r="I88" s="65" t="str">
        <f>IFERROR(__xludf.DUMMYFUNCTION("IF(REGEXMATCH(E88, ""R2""), ""r"","""")"),"")</f>
        <v/>
      </c>
      <c r="J88" s="63" t="str">
        <f>IFERROR(__xludf.DUMMYFUNCTION("IF(REGEXMATCH(E88, ""R3""), ""R"","""")"),"")</f>
        <v/>
      </c>
      <c r="K88" s="65" t="str">
        <f>IFERROR(__xludf.DUMMYFUNCTION("IF(REGEXMATCH(E88, ""R4""), ""rR"","""")"),"")</f>
        <v/>
      </c>
      <c r="L88" s="70" t="s">
        <v>11</v>
      </c>
      <c r="M88" s="72" t="str">
        <f>IFERROR(__xludf.DUMMYFUNCTION("IF(REGEXMATCH(E88, ""G1""), ""x"","""")"),"")</f>
        <v/>
      </c>
      <c r="N88" s="65" t="str">
        <f>IFERROR(__xludf.DUMMYFUNCTION("IF(REGEXMATCH(E88, ""G2""), ""g"","""")"),"")</f>
        <v/>
      </c>
      <c r="O88" s="65" t="str">
        <f>IFERROR(__xludf.DUMMYFUNCTION("IF(REGEXMATCH(E88, ""G3""), ""G"","""")"),"")</f>
        <v/>
      </c>
      <c r="P88" s="79" t="str">
        <f>IFERROR(__xludf.DUMMYFUNCTION("IF(REGEXMATCH(E88, ""G4""), ""gG"","""")"),"")</f>
        <v/>
      </c>
      <c r="Q88" s="70" t="s">
        <v>11</v>
      </c>
      <c r="R88" s="72" t="str">
        <f>IFERROR(__xludf.DUMMYFUNCTION("IF(REGEXMATCH(E88, ""M1""), ""x"","""")"),"")</f>
        <v/>
      </c>
      <c r="S88" s="65" t="str">
        <f>IFERROR(__xludf.DUMMYFUNCTION("IF(REGEXMATCH(E88, ""M2""), ""m"","""")"),"")</f>
        <v/>
      </c>
      <c r="T88" s="65" t="str">
        <f>IFERROR(__xludf.DUMMYFUNCTION("IF(REGEXMATCH(E88, ""M3""), ""M"","""")"),"")</f>
        <v/>
      </c>
      <c r="U88" s="79" t="str">
        <f>IFERROR(__xludf.DUMMYFUNCTION("IF(REGEXMATCH(E88, ""M4""), ""mM"","""")"),"")</f>
        <v/>
      </c>
      <c r="V88" s="59" t="s">
        <v>11</v>
      </c>
      <c r="W88" s="84" t="str">
        <f>IFERROR(__xludf.DUMMYFUNCTION("IF(REGEXMATCH(E88, ""P1""), ""x"","""")"),"")</f>
        <v/>
      </c>
      <c r="X88" s="56" t="str">
        <f>IFERROR(__xludf.DUMMYFUNCTION("IF(REGEXMATCH(E88, ""P2""), ""P"","""")"),"P")</f>
        <v>P</v>
      </c>
      <c r="Y88" s="70" t="s">
        <v>11</v>
      </c>
      <c r="Z88" s="72" t="str">
        <f>IFERROR(__xludf.DUMMYFUNCTION("IF(REGEXMATCH(E88, ""D1""), ""x"","""")"),"")</f>
        <v/>
      </c>
      <c r="AA88" s="65" t="str">
        <f>IFERROR(__xludf.DUMMYFUNCTION("IF(REGEXMATCH(E88, ""D2""), ""d"","""")"),"d")</f>
        <v>d</v>
      </c>
      <c r="AB88" s="65" t="str">
        <f>IFERROR(__xludf.DUMMYFUNCTION("IF(REGEXMATCH(E88, ""D3""), ""D"","""")"),"")</f>
        <v/>
      </c>
      <c r="AC88" s="79" t="str">
        <f>IFERROR(__xludf.DUMMYFUNCTION("IF(REGEXMATCH(E88, ""D4""), ""dD"","""")"),"")</f>
        <v/>
      </c>
      <c r="AD88" s="70" t="s">
        <v>11</v>
      </c>
      <c r="AE88" s="72" t="str">
        <f>IFERROR(__xludf.DUMMYFUNCTION("IF(REGEXMATCH(E88, ""N1""), ""x"","""")"),"")</f>
        <v/>
      </c>
      <c r="AF88" s="65" t="str">
        <f>IFERROR(__xludf.DUMMYFUNCTION("IF(REGEXMATCH(E88, ""N2""), ""n"","""")"),"")</f>
        <v/>
      </c>
      <c r="AG88" s="65" t="str">
        <f>IFERROR(__xludf.DUMMYFUNCTION("IF(REGEXMATCH(E88, ""N3""), ""N"","""")"),"N")</f>
        <v>N</v>
      </c>
      <c r="AH88" s="79" t="str">
        <f>IFERROR(__xludf.DUMMYFUNCTION("IF(REGEXMATCH(E88, ""N4""), ""nN"","""")"),"")</f>
        <v/>
      </c>
      <c r="AI88" s="70" t="s">
        <v>11</v>
      </c>
      <c r="AJ88" s="92" t="str">
        <f t="shared" si="5"/>
        <v>S</v>
      </c>
    </row>
    <row r="89">
      <c r="A89" s="33" t="str">
        <f t="shared" si="1"/>
        <v>-P-D-n-S</v>
      </c>
      <c r="B89" s="33">
        <f t="shared" si="2"/>
        <v>4</v>
      </c>
      <c r="C89" s="33" t="str">
        <f t="shared" si="3"/>
        <v>-P-D-n-S</v>
      </c>
      <c r="D89" s="375" t="s">
        <v>103</v>
      </c>
      <c r="E89" s="49" t="s">
        <v>345</v>
      </c>
      <c r="F89" s="56" t="str">
        <f t="shared" si="4"/>
        <v/>
      </c>
      <c r="G89" s="59" t="s">
        <v>11</v>
      </c>
      <c r="H89" s="63" t="str">
        <f>IFERROR(__xludf.DUMMYFUNCTION("IF(REGEXMATCH(E89, ""R1""), ""x"","""")"),"")</f>
        <v/>
      </c>
      <c r="I89" s="65" t="str">
        <f>IFERROR(__xludf.DUMMYFUNCTION("IF(REGEXMATCH(E89, ""R2""), ""r"","""")"),"")</f>
        <v/>
      </c>
      <c r="J89" s="63" t="str">
        <f>IFERROR(__xludf.DUMMYFUNCTION("IF(REGEXMATCH(E89, ""R3""), ""R"","""")"),"")</f>
        <v/>
      </c>
      <c r="K89" s="65" t="str">
        <f>IFERROR(__xludf.DUMMYFUNCTION("IF(REGEXMATCH(E89, ""R4""), ""rR"","""")"),"")</f>
        <v/>
      </c>
      <c r="L89" s="70" t="s">
        <v>11</v>
      </c>
      <c r="M89" s="72" t="str">
        <f>IFERROR(__xludf.DUMMYFUNCTION("IF(REGEXMATCH(E89, ""G1""), ""x"","""")"),"")</f>
        <v/>
      </c>
      <c r="N89" s="65" t="str">
        <f>IFERROR(__xludf.DUMMYFUNCTION("IF(REGEXMATCH(E89, ""G2""), ""g"","""")"),"")</f>
        <v/>
      </c>
      <c r="O89" s="65" t="str">
        <f>IFERROR(__xludf.DUMMYFUNCTION("IF(REGEXMATCH(E89, ""G3""), ""G"","""")"),"")</f>
        <v/>
      </c>
      <c r="P89" s="79" t="str">
        <f>IFERROR(__xludf.DUMMYFUNCTION("IF(REGEXMATCH(E89, ""G4""), ""gG"","""")"),"")</f>
        <v/>
      </c>
      <c r="Q89" s="70" t="s">
        <v>11</v>
      </c>
      <c r="R89" s="72" t="str">
        <f>IFERROR(__xludf.DUMMYFUNCTION("IF(REGEXMATCH(E89, ""M1""), ""x"","""")"),"")</f>
        <v/>
      </c>
      <c r="S89" s="65" t="str">
        <f>IFERROR(__xludf.DUMMYFUNCTION("IF(REGEXMATCH(E89, ""M2""), ""m"","""")"),"")</f>
        <v/>
      </c>
      <c r="T89" s="65" t="str">
        <f>IFERROR(__xludf.DUMMYFUNCTION("IF(REGEXMATCH(E89, ""M3""), ""M"","""")"),"")</f>
        <v/>
      </c>
      <c r="U89" s="79" t="str">
        <f>IFERROR(__xludf.DUMMYFUNCTION("IF(REGEXMATCH(E89, ""M4""), ""mM"","""")"),"")</f>
        <v/>
      </c>
      <c r="V89" s="59" t="s">
        <v>11</v>
      </c>
      <c r="W89" s="84" t="str">
        <f>IFERROR(__xludf.DUMMYFUNCTION("IF(REGEXMATCH(E89, ""P1""), ""x"","""")"),"")</f>
        <v/>
      </c>
      <c r="X89" s="56" t="str">
        <f>IFERROR(__xludf.DUMMYFUNCTION("IF(REGEXMATCH(E89, ""P2""), ""P"","""")"),"P")</f>
        <v>P</v>
      </c>
      <c r="Y89" s="70" t="s">
        <v>11</v>
      </c>
      <c r="Z89" s="72" t="str">
        <f>IFERROR(__xludf.DUMMYFUNCTION("IF(REGEXMATCH(E89, ""D1""), ""x"","""")"),"")</f>
        <v/>
      </c>
      <c r="AA89" s="65" t="str">
        <f>IFERROR(__xludf.DUMMYFUNCTION("IF(REGEXMATCH(E89, ""D2""), ""d"","""")"),"")</f>
        <v/>
      </c>
      <c r="AB89" s="65" t="str">
        <f>IFERROR(__xludf.DUMMYFUNCTION("IF(REGEXMATCH(E89, ""D3""), ""D"","""")"),"D")</f>
        <v>D</v>
      </c>
      <c r="AC89" s="79" t="str">
        <f>IFERROR(__xludf.DUMMYFUNCTION("IF(REGEXMATCH(E89, ""D4""), ""dD"","""")"),"")</f>
        <v/>
      </c>
      <c r="AD89" s="70" t="s">
        <v>11</v>
      </c>
      <c r="AE89" s="72" t="str">
        <f>IFERROR(__xludf.DUMMYFUNCTION("IF(REGEXMATCH(E89, ""N1""), ""x"","""")"),"")</f>
        <v/>
      </c>
      <c r="AF89" s="65" t="str">
        <f>IFERROR(__xludf.DUMMYFUNCTION("IF(REGEXMATCH(E89, ""N2""), ""n"","""")"),"n")</f>
        <v>n</v>
      </c>
      <c r="AG89" s="65" t="str">
        <f>IFERROR(__xludf.DUMMYFUNCTION("IF(REGEXMATCH(E89, ""N3""), ""N"","""")"),"")</f>
        <v/>
      </c>
      <c r="AH89" s="79" t="str">
        <f>IFERROR(__xludf.DUMMYFUNCTION("IF(REGEXMATCH(E89, ""N4""), ""nN"","""")"),"")</f>
        <v/>
      </c>
      <c r="AI89" s="70" t="s">
        <v>11</v>
      </c>
      <c r="AJ89" s="92" t="str">
        <f t="shared" si="5"/>
        <v>S</v>
      </c>
    </row>
    <row r="90">
      <c r="A90" s="33" t="str">
        <f t="shared" si="1"/>
        <v>-P-D-N-S</v>
      </c>
      <c r="B90" s="33">
        <f t="shared" si="2"/>
        <v>4</v>
      </c>
      <c r="C90" s="33" t="str">
        <f t="shared" si="3"/>
        <v>-P-D-N-S</v>
      </c>
      <c r="D90" s="375" t="s">
        <v>103</v>
      </c>
      <c r="E90" s="49" t="s">
        <v>348</v>
      </c>
      <c r="F90" s="56" t="str">
        <f t="shared" si="4"/>
        <v/>
      </c>
      <c r="G90" s="59" t="s">
        <v>11</v>
      </c>
      <c r="H90" s="63" t="str">
        <f>IFERROR(__xludf.DUMMYFUNCTION("IF(REGEXMATCH(E90, ""R1""), ""x"","""")"),"")</f>
        <v/>
      </c>
      <c r="I90" s="65" t="str">
        <f>IFERROR(__xludf.DUMMYFUNCTION("IF(REGEXMATCH(E90, ""R2""), ""r"","""")"),"")</f>
        <v/>
      </c>
      <c r="J90" s="63" t="str">
        <f>IFERROR(__xludf.DUMMYFUNCTION("IF(REGEXMATCH(E90, ""R3""), ""R"","""")"),"")</f>
        <v/>
      </c>
      <c r="K90" s="65" t="str">
        <f>IFERROR(__xludf.DUMMYFUNCTION("IF(REGEXMATCH(E90, ""R4""), ""rR"","""")"),"")</f>
        <v/>
      </c>
      <c r="L90" s="70" t="s">
        <v>11</v>
      </c>
      <c r="M90" s="72" t="str">
        <f>IFERROR(__xludf.DUMMYFUNCTION("IF(REGEXMATCH(E90, ""G1""), ""x"","""")"),"")</f>
        <v/>
      </c>
      <c r="N90" s="65" t="str">
        <f>IFERROR(__xludf.DUMMYFUNCTION("IF(REGEXMATCH(E90, ""G2""), ""g"","""")"),"")</f>
        <v/>
      </c>
      <c r="O90" s="65" t="str">
        <f>IFERROR(__xludf.DUMMYFUNCTION("IF(REGEXMATCH(E90, ""G3""), ""G"","""")"),"")</f>
        <v/>
      </c>
      <c r="P90" s="79" t="str">
        <f>IFERROR(__xludf.DUMMYFUNCTION("IF(REGEXMATCH(E90, ""G4""), ""gG"","""")"),"")</f>
        <v/>
      </c>
      <c r="Q90" s="70" t="s">
        <v>11</v>
      </c>
      <c r="R90" s="72" t="str">
        <f>IFERROR(__xludf.DUMMYFUNCTION("IF(REGEXMATCH(E90, ""M1""), ""x"","""")"),"")</f>
        <v/>
      </c>
      <c r="S90" s="65" t="str">
        <f>IFERROR(__xludf.DUMMYFUNCTION("IF(REGEXMATCH(E90, ""M2""), ""m"","""")"),"")</f>
        <v/>
      </c>
      <c r="T90" s="65" t="str">
        <f>IFERROR(__xludf.DUMMYFUNCTION("IF(REGEXMATCH(E90, ""M3""), ""M"","""")"),"")</f>
        <v/>
      </c>
      <c r="U90" s="79" t="str">
        <f>IFERROR(__xludf.DUMMYFUNCTION("IF(REGEXMATCH(E90, ""M4""), ""mM"","""")"),"")</f>
        <v/>
      </c>
      <c r="V90" s="59" t="s">
        <v>11</v>
      </c>
      <c r="W90" s="84" t="str">
        <f>IFERROR(__xludf.DUMMYFUNCTION("IF(REGEXMATCH(E90, ""P1""), ""x"","""")"),"")</f>
        <v/>
      </c>
      <c r="X90" s="56" t="str">
        <f>IFERROR(__xludf.DUMMYFUNCTION("IF(REGEXMATCH(E90, ""P2""), ""P"","""")"),"P")</f>
        <v>P</v>
      </c>
      <c r="Y90" s="70" t="s">
        <v>11</v>
      </c>
      <c r="Z90" s="72" t="str">
        <f>IFERROR(__xludf.DUMMYFUNCTION("IF(REGEXMATCH(E90, ""D1""), ""x"","""")"),"")</f>
        <v/>
      </c>
      <c r="AA90" s="65" t="str">
        <f>IFERROR(__xludf.DUMMYFUNCTION("IF(REGEXMATCH(E90, ""D2""), ""d"","""")"),"")</f>
        <v/>
      </c>
      <c r="AB90" s="65" t="str">
        <f>IFERROR(__xludf.DUMMYFUNCTION("IF(REGEXMATCH(E90, ""D3""), ""D"","""")"),"D")</f>
        <v>D</v>
      </c>
      <c r="AC90" s="79" t="str">
        <f>IFERROR(__xludf.DUMMYFUNCTION("IF(REGEXMATCH(E90, ""D4""), ""dD"","""")"),"")</f>
        <v/>
      </c>
      <c r="AD90" s="70" t="s">
        <v>11</v>
      </c>
      <c r="AE90" s="72" t="str">
        <f>IFERROR(__xludf.DUMMYFUNCTION("IF(REGEXMATCH(E90, ""N1""), ""x"","""")"),"")</f>
        <v/>
      </c>
      <c r="AF90" s="65" t="str">
        <f>IFERROR(__xludf.DUMMYFUNCTION("IF(REGEXMATCH(E90, ""N2""), ""n"","""")"),"")</f>
        <v/>
      </c>
      <c r="AG90" s="65" t="str">
        <f>IFERROR(__xludf.DUMMYFUNCTION("IF(REGEXMATCH(E90, ""N3""), ""N"","""")"),"N")</f>
        <v>N</v>
      </c>
      <c r="AH90" s="79" t="str">
        <f>IFERROR(__xludf.DUMMYFUNCTION("IF(REGEXMATCH(E90, ""N4""), ""nN"","""")"),"")</f>
        <v/>
      </c>
      <c r="AI90" s="70" t="s">
        <v>11</v>
      </c>
      <c r="AJ90" s="92" t="str">
        <f t="shared" si="5"/>
        <v>S</v>
      </c>
    </row>
    <row r="91">
      <c r="A91" s="33" t="str">
        <f t="shared" si="1"/>
        <v>-P-dD-S</v>
      </c>
      <c r="B91" s="33">
        <f t="shared" si="2"/>
        <v>4</v>
      </c>
      <c r="C91" s="33" t="str">
        <f t="shared" si="3"/>
        <v>-P-dD-x-S</v>
      </c>
      <c r="D91" s="375" t="s">
        <v>103</v>
      </c>
      <c r="E91" s="49" t="s">
        <v>350</v>
      </c>
      <c r="F91" s="56" t="str">
        <f t="shared" si="4"/>
        <v/>
      </c>
      <c r="G91" s="59" t="s">
        <v>11</v>
      </c>
      <c r="H91" s="63" t="str">
        <f>IFERROR(__xludf.DUMMYFUNCTION("IF(REGEXMATCH(E91, ""R1""), ""x"","""")"),"")</f>
        <v/>
      </c>
      <c r="I91" s="65" t="str">
        <f>IFERROR(__xludf.DUMMYFUNCTION("IF(REGEXMATCH(E91, ""R2""), ""r"","""")"),"")</f>
        <v/>
      </c>
      <c r="J91" s="63" t="str">
        <f>IFERROR(__xludf.DUMMYFUNCTION("IF(REGEXMATCH(E91, ""R3""), ""R"","""")"),"")</f>
        <v/>
      </c>
      <c r="K91" s="65" t="str">
        <f>IFERROR(__xludf.DUMMYFUNCTION("IF(REGEXMATCH(E91, ""R4""), ""rR"","""")"),"")</f>
        <v/>
      </c>
      <c r="L91" s="70" t="s">
        <v>11</v>
      </c>
      <c r="M91" s="72" t="str">
        <f>IFERROR(__xludf.DUMMYFUNCTION("IF(REGEXMATCH(E91, ""G1""), ""x"","""")"),"")</f>
        <v/>
      </c>
      <c r="N91" s="65" t="str">
        <f>IFERROR(__xludf.DUMMYFUNCTION("IF(REGEXMATCH(E91, ""G2""), ""g"","""")"),"")</f>
        <v/>
      </c>
      <c r="O91" s="65" t="str">
        <f>IFERROR(__xludf.DUMMYFUNCTION("IF(REGEXMATCH(E91, ""G3""), ""G"","""")"),"")</f>
        <v/>
      </c>
      <c r="P91" s="79" t="str">
        <f>IFERROR(__xludf.DUMMYFUNCTION("IF(REGEXMATCH(E91, ""G4""), ""gG"","""")"),"")</f>
        <v/>
      </c>
      <c r="Q91" s="70" t="s">
        <v>11</v>
      </c>
      <c r="R91" s="72" t="str">
        <f>IFERROR(__xludf.DUMMYFUNCTION("IF(REGEXMATCH(E91, ""M1""), ""x"","""")"),"")</f>
        <v/>
      </c>
      <c r="S91" s="65" t="str">
        <f>IFERROR(__xludf.DUMMYFUNCTION("IF(REGEXMATCH(E91, ""M2""), ""m"","""")"),"")</f>
        <v/>
      </c>
      <c r="T91" s="65" t="str">
        <f>IFERROR(__xludf.DUMMYFUNCTION("IF(REGEXMATCH(E91, ""M3""), ""M"","""")"),"")</f>
        <v/>
      </c>
      <c r="U91" s="79" t="str">
        <f>IFERROR(__xludf.DUMMYFUNCTION("IF(REGEXMATCH(E91, ""M4""), ""mM"","""")"),"")</f>
        <v/>
      </c>
      <c r="V91" s="59" t="s">
        <v>11</v>
      </c>
      <c r="W91" s="84" t="str">
        <f>IFERROR(__xludf.DUMMYFUNCTION("IF(REGEXMATCH(E91, ""P1""), ""x"","""")"),"")</f>
        <v/>
      </c>
      <c r="X91" s="56" t="str">
        <f>IFERROR(__xludf.DUMMYFUNCTION("IF(REGEXMATCH(E91, ""P2""), ""P"","""")"),"P")</f>
        <v>P</v>
      </c>
      <c r="Y91" s="70" t="s">
        <v>11</v>
      </c>
      <c r="Z91" s="72" t="str">
        <f>IFERROR(__xludf.DUMMYFUNCTION("IF(REGEXMATCH(E91, ""D1""), ""x"","""")"),"")</f>
        <v/>
      </c>
      <c r="AA91" s="65" t="str">
        <f>IFERROR(__xludf.DUMMYFUNCTION("IF(REGEXMATCH(E91, ""D2""), ""d"","""")"),"")</f>
        <v/>
      </c>
      <c r="AB91" s="65" t="str">
        <f>IFERROR(__xludf.DUMMYFUNCTION("IF(REGEXMATCH(E91, ""D3""), ""D"","""")"),"")</f>
        <v/>
      </c>
      <c r="AC91" s="79" t="str">
        <f>IFERROR(__xludf.DUMMYFUNCTION("IF(REGEXMATCH(E91, ""D4""), ""dD"","""")"),"dD")</f>
        <v>dD</v>
      </c>
      <c r="AD91" s="70" t="s">
        <v>11</v>
      </c>
      <c r="AE91" s="72" t="str">
        <f>IFERROR(__xludf.DUMMYFUNCTION("IF(REGEXMATCH(E91, ""N1""), ""x"","""")"),"x")</f>
        <v>x</v>
      </c>
      <c r="AF91" s="65" t="str">
        <f>IFERROR(__xludf.DUMMYFUNCTION("IF(REGEXMATCH(E91, ""N2""), ""n"","""")"),"")</f>
        <v/>
      </c>
      <c r="AG91" s="65" t="str">
        <f>IFERROR(__xludf.DUMMYFUNCTION("IF(REGEXMATCH(E91, ""N3""), ""N"","""")"),"")</f>
        <v/>
      </c>
      <c r="AH91" s="79" t="str">
        <f>IFERROR(__xludf.DUMMYFUNCTION("IF(REGEXMATCH(E91, ""N4""), ""nN"","""")"),"")</f>
        <v/>
      </c>
      <c r="AI91" s="70" t="s">
        <v>11</v>
      </c>
      <c r="AJ91" s="92" t="str">
        <f t="shared" si="5"/>
        <v>S</v>
      </c>
    </row>
    <row r="92">
      <c r="A92" s="33" t="str">
        <f t="shared" si="1"/>
        <v>-dD-nN-S</v>
      </c>
      <c r="B92" s="33">
        <f t="shared" si="2"/>
        <v>5</v>
      </c>
      <c r="C92" s="33" t="str">
        <f t="shared" si="3"/>
        <v>-x-dD-nN-S</v>
      </c>
      <c r="D92" s="375" t="s">
        <v>103</v>
      </c>
      <c r="E92" s="49" t="s">
        <v>352</v>
      </c>
      <c r="F92" s="56" t="str">
        <f t="shared" si="4"/>
        <v/>
      </c>
      <c r="G92" s="59" t="s">
        <v>11</v>
      </c>
      <c r="H92" s="63" t="str">
        <f>IFERROR(__xludf.DUMMYFUNCTION("IF(REGEXMATCH(E92, ""R1""), ""x"","""")"),"")</f>
        <v/>
      </c>
      <c r="I92" s="65" t="str">
        <f>IFERROR(__xludf.DUMMYFUNCTION("IF(REGEXMATCH(E92, ""R2""), ""r"","""")"),"")</f>
        <v/>
      </c>
      <c r="J92" s="63" t="str">
        <f>IFERROR(__xludf.DUMMYFUNCTION("IF(REGEXMATCH(E92, ""R3""), ""R"","""")"),"")</f>
        <v/>
      </c>
      <c r="K92" s="65" t="str">
        <f>IFERROR(__xludf.DUMMYFUNCTION("IF(REGEXMATCH(E92, ""R4""), ""rR"","""")"),"")</f>
        <v/>
      </c>
      <c r="L92" s="70" t="s">
        <v>11</v>
      </c>
      <c r="M92" s="72" t="str">
        <f>IFERROR(__xludf.DUMMYFUNCTION("IF(REGEXMATCH(E92, ""G1""), ""x"","""")"),"")</f>
        <v/>
      </c>
      <c r="N92" s="65" t="str">
        <f>IFERROR(__xludf.DUMMYFUNCTION("IF(REGEXMATCH(E92, ""G2""), ""g"","""")"),"")</f>
        <v/>
      </c>
      <c r="O92" s="65" t="str">
        <f>IFERROR(__xludf.DUMMYFUNCTION("IF(REGEXMATCH(E92, ""G3""), ""G"","""")"),"")</f>
        <v/>
      </c>
      <c r="P92" s="79" t="str">
        <f>IFERROR(__xludf.DUMMYFUNCTION("IF(REGEXMATCH(E92, ""G4""), ""gG"","""")"),"")</f>
        <v/>
      </c>
      <c r="Q92" s="70" t="s">
        <v>11</v>
      </c>
      <c r="R92" s="72" t="str">
        <f>IFERROR(__xludf.DUMMYFUNCTION("IF(REGEXMATCH(E92, ""M1""), ""x"","""")"),"")</f>
        <v/>
      </c>
      <c r="S92" s="65" t="str">
        <f>IFERROR(__xludf.DUMMYFUNCTION("IF(REGEXMATCH(E92, ""M2""), ""m"","""")"),"")</f>
        <v/>
      </c>
      <c r="T92" s="65" t="str">
        <f>IFERROR(__xludf.DUMMYFUNCTION("IF(REGEXMATCH(E92, ""M3""), ""M"","""")"),"")</f>
        <v/>
      </c>
      <c r="U92" s="79" t="str">
        <f>IFERROR(__xludf.DUMMYFUNCTION("IF(REGEXMATCH(E92, ""M4""), ""mM"","""")"),"")</f>
        <v/>
      </c>
      <c r="V92" s="59" t="s">
        <v>11</v>
      </c>
      <c r="W92" s="84" t="str">
        <f>IFERROR(__xludf.DUMMYFUNCTION("IF(REGEXMATCH(E92, ""P1""), ""x"","""")"),"x")</f>
        <v>x</v>
      </c>
      <c r="X92" s="56" t="str">
        <f>IFERROR(__xludf.DUMMYFUNCTION("IF(REGEXMATCH(E92, ""P2""), ""P"","""")"),"")</f>
        <v/>
      </c>
      <c r="Y92" s="70" t="s">
        <v>11</v>
      </c>
      <c r="Z92" s="72" t="str">
        <f>IFERROR(__xludf.DUMMYFUNCTION("IF(REGEXMATCH(E92, ""D1""), ""x"","""")"),"")</f>
        <v/>
      </c>
      <c r="AA92" s="65" t="str">
        <f>IFERROR(__xludf.DUMMYFUNCTION("IF(REGEXMATCH(E92, ""D2""), ""d"","""")"),"")</f>
        <v/>
      </c>
      <c r="AB92" s="65" t="str">
        <f>IFERROR(__xludf.DUMMYFUNCTION("IF(REGEXMATCH(E92, ""D3""), ""D"","""")"),"")</f>
        <v/>
      </c>
      <c r="AC92" s="79" t="str">
        <f>IFERROR(__xludf.DUMMYFUNCTION("IF(REGEXMATCH(E92, ""D4""), ""dD"","""")"),"dD")</f>
        <v>dD</v>
      </c>
      <c r="AD92" s="70" t="s">
        <v>11</v>
      </c>
      <c r="AE92" s="72" t="str">
        <f>IFERROR(__xludf.DUMMYFUNCTION("IF(REGEXMATCH(E92, ""N1""), ""x"","""")"),"")</f>
        <v/>
      </c>
      <c r="AF92" s="65" t="str">
        <f>IFERROR(__xludf.DUMMYFUNCTION("IF(REGEXMATCH(E92, ""N2""), ""n"","""")"),"")</f>
        <v/>
      </c>
      <c r="AG92" s="65" t="str">
        <f>IFERROR(__xludf.DUMMYFUNCTION("IF(REGEXMATCH(E92, ""N3""), ""N"","""")"),"")</f>
        <v/>
      </c>
      <c r="AH92" s="79" t="str">
        <f>IFERROR(__xludf.DUMMYFUNCTION("IF(REGEXMATCH(E92, ""N4""), ""nN"","""")"),"nN")</f>
        <v>nN</v>
      </c>
      <c r="AI92" s="70" t="s">
        <v>11</v>
      </c>
      <c r="AJ92" s="92" t="str">
        <f t="shared" si="5"/>
        <v>S</v>
      </c>
    </row>
    <row r="93">
      <c r="A93" s="33" t="str">
        <f t="shared" si="1"/>
        <v>-P-d-nN-S</v>
      </c>
      <c r="B93" s="33">
        <f t="shared" si="2"/>
        <v>5</v>
      </c>
      <c r="C93" s="33" t="str">
        <f t="shared" si="3"/>
        <v>-P-d-nN-S</v>
      </c>
      <c r="D93" s="375" t="s">
        <v>103</v>
      </c>
      <c r="E93" s="49" t="s">
        <v>356</v>
      </c>
      <c r="F93" s="56" t="str">
        <f t="shared" si="4"/>
        <v/>
      </c>
      <c r="G93" s="59" t="s">
        <v>11</v>
      </c>
      <c r="H93" s="63" t="str">
        <f>IFERROR(__xludf.DUMMYFUNCTION("IF(REGEXMATCH(E93, ""R1""), ""x"","""")"),"")</f>
        <v/>
      </c>
      <c r="I93" s="65" t="str">
        <f>IFERROR(__xludf.DUMMYFUNCTION("IF(REGEXMATCH(E93, ""R2""), ""r"","""")"),"")</f>
        <v/>
      </c>
      <c r="J93" s="63" t="str">
        <f>IFERROR(__xludf.DUMMYFUNCTION("IF(REGEXMATCH(E93, ""R3""), ""R"","""")"),"")</f>
        <v/>
      </c>
      <c r="K93" s="65" t="str">
        <f>IFERROR(__xludf.DUMMYFUNCTION("IF(REGEXMATCH(E93, ""R4""), ""rR"","""")"),"")</f>
        <v/>
      </c>
      <c r="L93" s="70" t="s">
        <v>11</v>
      </c>
      <c r="M93" s="72" t="str">
        <f>IFERROR(__xludf.DUMMYFUNCTION("IF(REGEXMATCH(E93, ""G1""), ""x"","""")"),"")</f>
        <v/>
      </c>
      <c r="N93" s="65" t="str">
        <f>IFERROR(__xludf.DUMMYFUNCTION("IF(REGEXMATCH(E93, ""G2""), ""g"","""")"),"")</f>
        <v/>
      </c>
      <c r="O93" s="65" t="str">
        <f>IFERROR(__xludf.DUMMYFUNCTION("IF(REGEXMATCH(E93, ""G3""), ""G"","""")"),"")</f>
        <v/>
      </c>
      <c r="P93" s="79" t="str">
        <f>IFERROR(__xludf.DUMMYFUNCTION("IF(REGEXMATCH(E93, ""G4""), ""gG"","""")"),"")</f>
        <v/>
      </c>
      <c r="Q93" s="70" t="s">
        <v>11</v>
      </c>
      <c r="R93" s="72" t="str">
        <f>IFERROR(__xludf.DUMMYFUNCTION("IF(REGEXMATCH(E93, ""M1""), ""x"","""")"),"")</f>
        <v/>
      </c>
      <c r="S93" s="65" t="str">
        <f>IFERROR(__xludf.DUMMYFUNCTION("IF(REGEXMATCH(E93, ""M2""), ""m"","""")"),"")</f>
        <v/>
      </c>
      <c r="T93" s="65" t="str">
        <f>IFERROR(__xludf.DUMMYFUNCTION("IF(REGEXMATCH(E93, ""M3""), ""M"","""")"),"")</f>
        <v/>
      </c>
      <c r="U93" s="79" t="str">
        <f>IFERROR(__xludf.DUMMYFUNCTION("IF(REGEXMATCH(E93, ""M4""), ""mM"","""")"),"")</f>
        <v/>
      </c>
      <c r="V93" s="59" t="s">
        <v>11</v>
      </c>
      <c r="W93" s="84" t="str">
        <f>IFERROR(__xludf.DUMMYFUNCTION("IF(REGEXMATCH(E93, ""P1""), ""x"","""")"),"")</f>
        <v/>
      </c>
      <c r="X93" s="56" t="str">
        <f>IFERROR(__xludf.DUMMYFUNCTION("IF(REGEXMATCH(E93, ""P2""), ""P"","""")"),"P")</f>
        <v>P</v>
      </c>
      <c r="Y93" s="70" t="s">
        <v>11</v>
      </c>
      <c r="Z93" s="72" t="str">
        <f>IFERROR(__xludf.DUMMYFUNCTION("IF(REGEXMATCH(E93, ""D1""), ""x"","""")"),"")</f>
        <v/>
      </c>
      <c r="AA93" s="65" t="str">
        <f>IFERROR(__xludf.DUMMYFUNCTION("IF(REGEXMATCH(E93, ""D2""), ""d"","""")"),"d")</f>
        <v>d</v>
      </c>
      <c r="AB93" s="65" t="str">
        <f>IFERROR(__xludf.DUMMYFUNCTION("IF(REGEXMATCH(E93, ""D3""), ""D"","""")"),"")</f>
        <v/>
      </c>
      <c r="AC93" s="79" t="str">
        <f>IFERROR(__xludf.DUMMYFUNCTION("IF(REGEXMATCH(E93, ""D4""), ""dD"","""")"),"")</f>
        <v/>
      </c>
      <c r="AD93" s="70" t="s">
        <v>11</v>
      </c>
      <c r="AE93" s="72" t="str">
        <f>IFERROR(__xludf.DUMMYFUNCTION("IF(REGEXMATCH(E93, ""N1""), ""x"","""")"),"")</f>
        <v/>
      </c>
      <c r="AF93" s="65" t="str">
        <f>IFERROR(__xludf.DUMMYFUNCTION("IF(REGEXMATCH(E93, ""N2""), ""n"","""")"),"")</f>
        <v/>
      </c>
      <c r="AG93" s="65" t="str">
        <f>IFERROR(__xludf.DUMMYFUNCTION("IF(REGEXMATCH(E93, ""N3""), ""N"","""")"),"")</f>
        <v/>
      </c>
      <c r="AH93" s="79" t="str">
        <f>IFERROR(__xludf.DUMMYFUNCTION("IF(REGEXMATCH(E93, ""N4""), ""nN"","""")"),"nN")</f>
        <v>nN</v>
      </c>
      <c r="AI93" s="70" t="s">
        <v>11</v>
      </c>
      <c r="AJ93" s="92" t="str">
        <f t="shared" si="5"/>
        <v>S</v>
      </c>
    </row>
    <row r="94">
      <c r="A94" s="33" t="str">
        <f t="shared" si="1"/>
        <v>-P-D-nN-S</v>
      </c>
      <c r="B94" s="33">
        <f t="shared" si="2"/>
        <v>5</v>
      </c>
      <c r="C94" s="33" t="str">
        <f t="shared" si="3"/>
        <v>-P-D-nN-S</v>
      </c>
      <c r="D94" s="375" t="s">
        <v>103</v>
      </c>
      <c r="E94" s="49" t="s">
        <v>357</v>
      </c>
      <c r="F94" s="56" t="str">
        <f t="shared" si="4"/>
        <v/>
      </c>
      <c r="G94" s="59" t="s">
        <v>11</v>
      </c>
      <c r="H94" s="63" t="str">
        <f>IFERROR(__xludf.DUMMYFUNCTION("IF(REGEXMATCH(E94, ""R1""), ""x"","""")"),"")</f>
        <v/>
      </c>
      <c r="I94" s="65" t="str">
        <f>IFERROR(__xludf.DUMMYFUNCTION("IF(REGEXMATCH(E94, ""R2""), ""r"","""")"),"")</f>
        <v/>
      </c>
      <c r="J94" s="63" t="str">
        <f>IFERROR(__xludf.DUMMYFUNCTION("IF(REGEXMATCH(E94, ""R3""), ""R"","""")"),"")</f>
        <v/>
      </c>
      <c r="K94" s="65" t="str">
        <f>IFERROR(__xludf.DUMMYFUNCTION("IF(REGEXMATCH(E94, ""R4""), ""rR"","""")"),"")</f>
        <v/>
      </c>
      <c r="L94" s="70" t="s">
        <v>11</v>
      </c>
      <c r="M94" s="72" t="str">
        <f>IFERROR(__xludf.DUMMYFUNCTION("IF(REGEXMATCH(E94, ""G1""), ""x"","""")"),"")</f>
        <v/>
      </c>
      <c r="N94" s="65" t="str">
        <f>IFERROR(__xludf.DUMMYFUNCTION("IF(REGEXMATCH(E94, ""G2""), ""g"","""")"),"")</f>
        <v/>
      </c>
      <c r="O94" s="65" t="str">
        <f>IFERROR(__xludf.DUMMYFUNCTION("IF(REGEXMATCH(E94, ""G3""), ""G"","""")"),"")</f>
        <v/>
      </c>
      <c r="P94" s="79" t="str">
        <f>IFERROR(__xludf.DUMMYFUNCTION("IF(REGEXMATCH(E94, ""G4""), ""gG"","""")"),"")</f>
        <v/>
      </c>
      <c r="Q94" s="70" t="s">
        <v>11</v>
      </c>
      <c r="R94" s="72" t="str">
        <f>IFERROR(__xludf.DUMMYFUNCTION("IF(REGEXMATCH(E94, ""M1""), ""x"","""")"),"")</f>
        <v/>
      </c>
      <c r="S94" s="65" t="str">
        <f>IFERROR(__xludf.DUMMYFUNCTION("IF(REGEXMATCH(E94, ""M2""), ""m"","""")"),"")</f>
        <v/>
      </c>
      <c r="T94" s="65" t="str">
        <f>IFERROR(__xludf.DUMMYFUNCTION("IF(REGEXMATCH(E94, ""M3""), ""M"","""")"),"")</f>
        <v/>
      </c>
      <c r="U94" s="79" t="str">
        <f>IFERROR(__xludf.DUMMYFUNCTION("IF(REGEXMATCH(E94, ""M4""), ""mM"","""")"),"")</f>
        <v/>
      </c>
      <c r="V94" s="59" t="s">
        <v>11</v>
      </c>
      <c r="W94" s="84" t="str">
        <f>IFERROR(__xludf.DUMMYFUNCTION("IF(REGEXMATCH(E94, ""P1""), ""x"","""")"),"")</f>
        <v/>
      </c>
      <c r="X94" s="56" t="str">
        <f>IFERROR(__xludf.DUMMYFUNCTION("IF(REGEXMATCH(E94, ""P2""), ""P"","""")"),"P")</f>
        <v>P</v>
      </c>
      <c r="Y94" s="70" t="s">
        <v>11</v>
      </c>
      <c r="Z94" s="72" t="str">
        <f>IFERROR(__xludf.DUMMYFUNCTION("IF(REGEXMATCH(E94, ""D1""), ""x"","""")"),"")</f>
        <v/>
      </c>
      <c r="AA94" s="65" t="str">
        <f>IFERROR(__xludf.DUMMYFUNCTION("IF(REGEXMATCH(E94, ""D2""), ""d"","""")"),"")</f>
        <v/>
      </c>
      <c r="AB94" s="65" t="str">
        <f>IFERROR(__xludf.DUMMYFUNCTION("IF(REGEXMATCH(E94, ""D3""), ""D"","""")"),"D")</f>
        <v>D</v>
      </c>
      <c r="AC94" s="79" t="str">
        <f>IFERROR(__xludf.DUMMYFUNCTION("IF(REGEXMATCH(E94, ""D4""), ""dD"","""")"),"")</f>
        <v/>
      </c>
      <c r="AD94" s="70" t="s">
        <v>11</v>
      </c>
      <c r="AE94" s="72" t="str">
        <f>IFERROR(__xludf.DUMMYFUNCTION("IF(REGEXMATCH(E94, ""N1""), ""x"","""")"),"")</f>
        <v/>
      </c>
      <c r="AF94" s="65" t="str">
        <f>IFERROR(__xludf.DUMMYFUNCTION("IF(REGEXMATCH(E94, ""N2""), ""n"","""")"),"")</f>
        <v/>
      </c>
      <c r="AG94" s="65" t="str">
        <f>IFERROR(__xludf.DUMMYFUNCTION("IF(REGEXMATCH(E94, ""N3""), ""N"","""")"),"")</f>
        <v/>
      </c>
      <c r="AH94" s="79" t="str">
        <f>IFERROR(__xludf.DUMMYFUNCTION("IF(REGEXMATCH(E94, ""N4""), ""nN"","""")"),"nN")</f>
        <v>nN</v>
      </c>
      <c r="AI94" s="70" t="s">
        <v>11</v>
      </c>
      <c r="AJ94" s="92" t="str">
        <f t="shared" si="5"/>
        <v>S</v>
      </c>
    </row>
    <row r="95">
      <c r="A95" s="33" t="str">
        <f t="shared" si="1"/>
        <v>-P-dD-n-S</v>
      </c>
      <c r="B95" s="33">
        <f t="shared" si="2"/>
        <v>5</v>
      </c>
      <c r="C95" s="33" t="str">
        <f t="shared" si="3"/>
        <v>-P-dD-n-S</v>
      </c>
      <c r="D95" s="375" t="s">
        <v>103</v>
      </c>
      <c r="E95" s="49" t="s">
        <v>359</v>
      </c>
      <c r="F95" s="56" t="str">
        <f t="shared" si="4"/>
        <v/>
      </c>
      <c r="G95" s="59" t="s">
        <v>11</v>
      </c>
      <c r="H95" s="63" t="str">
        <f>IFERROR(__xludf.DUMMYFUNCTION("IF(REGEXMATCH(E95, ""R1""), ""x"","""")"),"")</f>
        <v/>
      </c>
      <c r="I95" s="65" t="str">
        <f>IFERROR(__xludf.DUMMYFUNCTION("IF(REGEXMATCH(E95, ""R2""), ""r"","""")"),"")</f>
        <v/>
      </c>
      <c r="J95" s="63" t="str">
        <f>IFERROR(__xludf.DUMMYFUNCTION("IF(REGEXMATCH(E95, ""R3""), ""R"","""")"),"")</f>
        <v/>
      </c>
      <c r="K95" s="65" t="str">
        <f>IFERROR(__xludf.DUMMYFUNCTION("IF(REGEXMATCH(E95, ""R4""), ""rR"","""")"),"")</f>
        <v/>
      </c>
      <c r="L95" s="70" t="s">
        <v>11</v>
      </c>
      <c r="M95" s="72" t="str">
        <f>IFERROR(__xludf.DUMMYFUNCTION("IF(REGEXMATCH(E95, ""G1""), ""x"","""")"),"")</f>
        <v/>
      </c>
      <c r="N95" s="65" t="str">
        <f>IFERROR(__xludf.DUMMYFUNCTION("IF(REGEXMATCH(E95, ""G2""), ""g"","""")"),"")</f>
        <v/>
      </c>
      <c r="O95" s="65" t="str">
        <f>IFERROR(__xludf.DUMMYFUNCTION("IF(REGEXMATCH(E95, ""G3""), ""G"","""")"),"")</f>
        <v/>
      </c>
      <c r="P95" s="79" t="str">
        <f>IFERROR(__xludf.DUMMYFUNCTION("IF(REGEXMATCH(E95, ""G4""), ""gG"","""")"),"")</f>
        <v/>
      </c>
      <c r="Q95" s="70" t="s">
        <v>11</v>
      </c>
      <c r="R95" s="72" t="str">
        <f>IFERROR(__xludf.DUMMYFUNCTION("IF(REGEXMATCH(E95, ""M1""), ""x"","""")"),"")</f>
        <v/>
      </c>
      <c r="S95" s="65" t="str">
        <f>IFERROR(__xludf.DUMMYFUNCTION("IF(REGEXMATCH(E95, ""M2""), ""m"","""")"),"")</f>
        <v/>
      </c>
      <c r="T95" s="65" t="str">
        <f>IFERROR(__xludf.DUMMYFUNCTION("IF(REGEXMATCH(E95, ""M3""), ""M"","""")"),"")</f>
        <v/>
      </c>
      <c r="U95" s="79" t="str">
        <f>IFERROR(__xludf.DUMMYFUNCTION("IF(REGEXMATCH(E95, ""M4""), ""mM"","""")"),"")</f>
        <v/>
      </c>
      <c r="V95" s="59" t="s">
        <v>11</v>
      </c>
      <c r="W95" s="84" t="str">
        <f>IFERROR(__xludf.DUMMYFUNCTION("IF(REGEXMATCH(E95, ""P1""), ""x"","""")"),"")</f>
        <v/>
      </c>
      <c r="X95" s="56" t="str">
        <f>IFERROR(__xludf.DUMMYFUNCTION("IF(REGEXMATCH(E95, ""P2""), ""P"","""")"),"P")</f>
        <v>P</v>
      </c>
      <c r="Y95" s="70" t="s">
        <v>11</v>
      </c>
      <c r="Z95" s="72" t="str">
        <f>IFERROR(__xludf.DUMMYFUNCTION("IF(REGEXMATCH(E95, ""D1""), ""x"","""")"),"")</f>
        <v/>
      </c>
      <c r="AA95" s="65" t="str">
        <f>IFERROR(__xludf.DUMMYFUNCTION("IF(REGEXMATCH(E95, ""D2""), ""d"","""")"),"")</f>
        <v/>
      </c>
      <c r="AB95" s="65" t="str">
        <f>IFERROR(__xludf.DUMMYFUNCTION("IF(REGEXMATCH(E95, ""D3""), ""D"","""")"),"")</f>
        <v/>
      </c>
      <c r="AC95" s="79" t="str">
        <f>IFERROR(__xludf.DUMMYFUNCTION("IF(REGEXMATCH(E95, ""D4""), ""dD"","""")"),"dD")</f>
        <v>dD</v>
      </c>
      <c r="AD95" s="70" t="s">
        <v>11</v>
      </c>
      <c r="AE95" s="72" t="str">
        <f>IFERROR(__xludf.DUMMYFUNCTION("IF(REGEXMATCH(E95, ""N1""), ""x"","""")"),"")</f>
        <v/>
      </c>
      <c r="AF95" s="65" t="str">
        <f>IFERROR(__xludf.DUMMYFUNCTION("IF(REGEXMATCH(E95, ""N2""), ""n"","""")"),"n")</f>
        <v>n</v>
      </c>
      <c r="AG95" s="65" t="str">
        <f>IFERROR(__xludf.DUMMYFUNCTION("IF(REGEXMATCH(E95, ""N3""), ""N"","""")"),"")</f>
        <v/>
      </c>
      <c r="AH95" s="79" t="str">
        <f>IFERROR(__xludf.DUMMYFUNCTION("IF(REGEXMATCH(E95, ""N4""), ""nN"","""")"),"")</f>
        <v/>
      </c>
      <c r="AI95" s="70" t="s">
        <v>11</v>
      </c>
      <c r="AJ95" s="92" t="str">
        <f t="shared" si="5"/>
        <v>S</v>
      </c>
    </row>
    <row r="96">
      <c r="A96" s="33" t="str">
        <f t="shared" si="1"/>
        <v>-P-dD-N-S</v>
      </c>
      <c r="B96" s="33">
        <f t="shared" si="2"/>
        <v>5</v>
      </c>
      <c r="C96" s="33" t="str">
        <f t="shared" si="3"/>
        <v>-P-dD-N-S</v>
      </c>
      <c r="D96" s="375" t="s">
        <v>103</v>
      </c>
      <c r="E96" s="49" t="s">
        <v>363</v>
      </c>
      <c r="F96" s="56" t="str">
        <f t="shared" si="4"/>
        <v/>
      </c>
      <c r="G96" s="59" t="s">
        <v>11</v>
      </c>
      <c r="H96" s="63" t="str">
        <f>IFERROR(__xludf.DUMMYFUNCTION("IF(REGEXMATCH(E96, ""R1""), ""x"","""")"),"")</f>
        <v/>
      </c>
      <c r="I96" s="65" t="str">
        <f>IFERROR(__xludf.DUMMYFUNCTION("IF(REGEXMATCH(E96, ""R2""), ""r"","""")"),"")</f>
        <v/>
      </c>
      <c r="J96" s="63" t="str">
        <f>IFERROR(__xludf.DUMMYFUNCTION("IF(REGEXMATCH(E96, ""R3""), ""R"","""")"),"")</f>
        <v/>
      </c>
      <c r="K96" s="65" t="str">
        <f>IFERROR(__xludf.DUMMYFUNCTION("IF(REGEXMATCH(E96, ""R4""), ""rR"","""")"),"")</f>
        <v/>
      </c>
      <c r="L96" s="70" t="s">
        <v>11</v>
      </c>
      <c r="M96" s="72" t="str">
        <f>IFERROR(__xludf.DUMMYFUNCTION("IF(REGEXMATCH(E96, ""G1""), ""x"","""")"),"")</f>
        <v/>
      </c>
      <c r="N96" s="65" t="str">
        <f>IFERROR(__xludf.DUMMYFUNCTION("IF(REGEXMATCH(E96, ""G2""), ""g"","""")"),"")</f>
        <v/>
      </c>
      <c r="O96" s="65" t="str">
        <f>IFERROR(__xludf.DUMMYFUNCTION("IF(REGEXMATCH(E96, ""G3""), ""G"","""")"),"")</f>
        <v/>
      </c>
      <c r="P96" s="79" t="str">
        <f>IFERROR(__xludf.DUMMYFUNCTION("IF(REGEXMATCH(E96, ""G4""), ""gG"","""")"),"")</f>
        <v/>
      </c>
      <c r="Q96" s="70" t="s">
        <v>11</v>
      </c>
      <c r="R96" s="72" t="str">
        <f>IFERROR(__xludf.DUMMYFUNCTION("IF(REGEXMATCH(E96, ""M1""), ""x"","""")"),"")</f>
        <v/>
      </c>
      <c r="S96" s="65" t="str">
        <f>IFERROR(__xludf.DUMMYFUNCTION("IF(REGEXMATCH(E96, ""M2""), ""m"","""")"),"")</f>
        <v/>
      </c>
      <c r="T96" s="65" t="str">
        <f>IFERROR(__xludf.DUMMYFUNCTION("IF(REGEXMATCH(E96, ""M3""), ""M"","""")"),"")</f>
        <v/>
      </c>
      <c r="U96" s="79" t="str">
        <f>IFERROR(__xludf.DUMMYFUNCTION("IF(REGEXMATCH(E96, ""M4""), ""mM"","""")"),"")</f>
        <v/>
      </c>
      <c r="V96" s="59" t="s">
        <v>11</v>
      </c>
      <c r="W96" s="84" t="str">
        <f>IFERROR(__xludf.DUMMYFUNCTION("IF(REGEXMATCH(E96, ""P1""), ""x"","""")"),"")</f>
        <v/>
      </c>
      <c r="X96" s="56" t="str">
        <f>IFERROR(__xludf.DUMMYFUNCTION("IF(REGEXMATCH(E96, ""P2""), ""P"","""")"),"P")</f>
        <v>P</v>
      </c>
      <c r="Y96" s="70" t="s">
        <v>11</v>
      </c>
      <c r="Z96" s="72" t="str">
        <f>IFERROR(__xludf.DUMMYFUNCTION("IF(REGEXMATCH(E96, ""D1""), ""x"","""")"),"")</f>
        <v/>
      </c>
      <c r="AA96" s="65" t="str">
        <f>IFERROR(__xludf.DUMMYFUNCTION("IF(REGEXMATCH(E96, ""D2""), ""d"","""")"),"")</f>
        <v/>
      </c>
      <c r="AB96" s="65" t="str">
        <f>IFERROR(__xludf.DUMMYFUNCTION("IF(REGEXMATCH(E96, ""D3""), ""D"","""")"),"")</f>
        <v/>
      </c>
      <c r="AC96" s="79" t="str">
        <f>IFERROR(__xludf.DUMMYFUNCTION("IF(REGEXMATCH(E96, ""D4""), ""dD"","""")"),"dD")</f>
        <v>dD</v>
      </c>
      <c r="AD96" s="70" t="s">
        <v>11</v>
      </c>
      <c r="AE96" s="72" t="str">
        <f>IFERROR(__xludf.DUMMYFUNCTION("IF(REGEXMATCH(E96, ""N1""), ""x"","""")"),"")</f>
        <v/>
      </c>
      <c r="AF96" s="65" t="str">
        <f>IFERROR(__xludf.DUMMYFUNCTION("IF(REGEXMATCH(E96, ""N2""), ""n"","""")"),"")</f>
        <v/>
      </c>
      <c r="AG96" s="65" t="str">
        <f>IFERROR(__xludf.DUMMYFUNCTION("IF(REGEXMATCH(E96, ""N3""), ""N"","""")"),"N")</f>
        <v>N</v>
      </c>
      <c r="AH96" s="79" t="str">
        <f>IFERROR(__xludf.DUMMYFUNCTION("IF(REGEXMATCH(E96, ""N4""), ""nN"","""")"),"")</f>
        <v/>
      </c>
      <c r="AI96" s="70" t="s">
        <v>11</v>
      </c>
      <c r="AJ96" s="92" t="str">
        <f t="shared" si="5"/>
        <v>S</v>
      </c>
    </row>
    <row r="97">
      <c r="A97" s="33" t="str">
        <f t="shared" si="1"/>
        <v>-P-dD-nN-S</v>
      </c>
      <c r="B97" s="33">
        <f t="shared" si="2"/>
        <v>6</v>
      </c>
      <c r="C97" s="33" t="str">
        <f t="shared" si="3"/>
        <v>-P-dD-nN-S</v>
      </c>
      <c r="D97" s="375" t="s">
        <v>103</v>
      </c>
      <c r="E97" s="49" t="s">
        <v>365</v>
      </c>
      <c r="F97" s="56" t="str">
        <f t="shared" si="4"/>
        <v/>
      </c>
      <c r="G97" s="59" t="s">
        <v>11</v>
      </c>
      <c r="H97" s="63" t="str">
        <f>IFERROR(__xludf.DUMMYFUNCTION("IF(REGEXMATCH(E97, ""R1""), ""x"","""")"),"")</f>
        <v/>
      </c>
      <c r="I97" s="65" t="str">
        <f>IFERROR(__xludf.DUMMYFUNCTION("IF(REGEXMATCH(E97, ""R2""), ""r"","""")"),"")</f>
        <v/>
      </c>
      <c r="J97" s="63" t="str">
        <f>IFERROR(__xludf.DUMMYFUNCTION("IF(REGEXMATCH(E97, ""R3""), ""R"","""")"),"")</f>
        <v/>
      </c>
      <c r="K97" s="65" t="str">
        <f>IFERROR(__xludf.DUMMYFUNCTION("IF(REGEXMATCH(E97, ""R4""), ""rR"","""")"),"")</f>
        <v/>
      </c>
      <c r="L97" s="70" t="s">
        <v>11</v>
      </c>
      <c r="M97" s="72" t="str">
        <f>IFERROR(__xludf.DUMMYFUNCTION("IF(REGEXMATCH(E97, ""G1""), ""x"","""")"),"")</f>
        <v/>
      </c>
      <c r="N97" s="65" t="str">
        <f>IFERROR(__xludf.DUMMYFUNCTION("IF(REGEXMATCH(E97, ""G2""), ""g"","""")"),"")</f>
        <v/>
      </c>
      <c r="O97" s="65" t="str">
        <f>IFERROR(__xludf.DUMMYFUNCTION("IF(REGEXMATCH(E97, ""G3""), ""G"","""")"),"")</f>
        <v/>
      </c>
      <c r="P97" s="79" t="str">
        <f>IFERROR(__xludf.DUMMYFUNCTION("IF(REGEXMATCH(E97, ""G4""), ""gG"","""")"),"")</f>
        <v/>
      </c>
      <c r="Q97" s="70" t="s">
        <v>11</v>
      </c>
      <c r="R97" s="72" t="str">
        <f>IFERROR(__xludf.DUMMYFUNCTION("IF(REGEXMATCH(E97, ""M1""), ""x"","""")"),"")</f>
        <v/>
      </c>
      <c r="S97" s="65" t="str">
        <f>IFERROR(__xludf.DUMMYFUNCTION("IF(REGEXMATCH(E97, ""M2""), ""m"","""")"),"")</f>
        <v/>
      </c>
      <c r="T97" s="65" t="str">
        <f>IFERROR(__xludf.DUMMYFUNCTION("IF(REGEXMATCH(E97, ""M3""), ""M"","""")"),"")</f>
        <v/>
      </c>
      <c r="U97" s="79" t="str">
        <f>IFERROR(__xludf.DUMMYFUNCTION("IF(REGEXMATCH(E97, ""M4""), ""mM"","""")"),"")</f>
        <v/>
      </c>
      <c r="V97" s="59" t="s">
        <v>11</v>
      </c>
      <c r="W97" s="84" t="str">
        <f>IFERROR(__xludf.DUMMYFUNCTION("IF(REGEXMATCH(E97, ""P1""), ""x"","""")"),"")</f>
        <v/>
      </c>
      <c r="X97" s="56" t="str">
        <f>IFERROR(__xludf.DUMMYFUNCTION("IF(REGEXMATCH(E97, ""P2""), ""P"","""")"),"P")</f>
        <v>P</v>
      </c>
      <c r="Y97" s="70" t="s">
        <v>11</v>
      </c>
      <c r="Z97" s="72" t="str">
        <f>IFERROR(__xludf.DUMMYFUNCTION("IF(REGEXMATCH(E97, ""D1""), ""x"","""")"),"")</f>
        <v/>
      </c>
      <c r="AA97" s="65" t="str">
        <f>IFERROR(__xludf.DUMMYFUNCTION("IF(REGEXMATCH(E97, ""D2""), ""d"","""")"),"")</f>
        <v/>
      </c>
      <c r="AB97" s="65" t="str">
        <f>IFERROR(__xludf.DUMMYFUNCTION("IF(REGEXMATCH(E97, ""D3""), ""D"","""")"),"")</f>
        <v/>
      </c>
      <c r="AC97" s="79" t="str">
        <f>IFERROR(__xludf.DUMMYFUNCTION("IF(REGEXMATCH(E97, ""D4""), ""dD"","""")"),"dD")</f>
        <v>dD</v>
      </c>
      <c r="AD97" s="70" t="s">
        <v>11</v>
      </c>
      <c r="AE97" s="72" t="str">
        <f>IFERROR(__xludf.DUMMYFUNCTION("IF(REGEXMATCH(E97, ""N1""), ""x"","""")"),"")</f>
        <v/>
      </c>
      <c r="AF97" s="65" t="str">
        <f>IFERROR(__xludf.DUMMYFUNCTION("IF(REGEXMATCH(E97, ""N2""), ""n"","""")"),"")</f>
        <v/>
      </c>
      <c r="AG97" s="65" t="str">
        <f>IFERROR(__xludf.DUMMYFUNCTION("IF(REGEXMATCH(E97, ""N3""), ""N"","""")"),"")</f>
        <v/>
      </c>
      <c r="AH97" s="79" t="str">
        <f>IFERROR(__xludf.DUMMYFUNCTION("IF(REGEXMATCH(E97, ""N4""), ""nN"","""")"),"nN")</f>
        <v>nN</v>
      </c>
      <c r="AI97" s="70" t="s">
        <v>11</v>
      </c>
      <c r="AJ97" s="92" t="str">
        <f t="shared" si="5"/>
        <v>S</v>
      </c>
    </row>
  </sheetData>
  <autoFilter ref="$A$1:$AJ$97">
    <sortState ref="A1:AJ97">
      <sortCondition ref="B1:B97"/>
      <sortCondition ref="E1:E97"/>
      <sortCondition ref="A1:A97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 outlineLevelCol="1" outlineLevelRow="1"/>
  <cols>
    <col customWidth="1" min="1" max="1" width="19.75"/>
    <col customWidth="1" min="2" max="2" width="5.0"/>
    <col customWidth="1" min="3" max="3" width="16.88"/>
    <col customWidth="1" min="4" max="4" width="5.38"/>
    <col customWidth="1" min="5" max="5" width="5.5"/>
    <col customWidth="1" min="6" max="8" width="4.5"/>
    <col customWidth="1" min="9" max="9" width="12.75"/>
    <col customWidth="1" min="10" max="22" width="3.0"/>
    <col customWidth="1" min="23" max="23" width="9.38"/>
    <col customWidth="1" min="24" max="26" width="8.75"/>
    <col customWidth="1" min="27" max="27" width="10.38"/>
    <col customWidth="1" min="28" max="40" width="1.88"/>
    <col customWidth="1" min="41" max="41" width="17.63"/>
    <col customWidth="1" min="42" max="42" width="6.13"/>
    <col customWidth="1" min="43" max="55" width="1.5"/>
    <col customWidth="1" min="56" max="56" width="12.0"/>
    <col customWidth="1" min="57" max="57" width="23.0"/>
    <col customWidth="1" min="58" max="59" width="11.75"/>
    <col customWidth="1" min="60" max="60" width="19.75"/>
    <col customWidth="1" min="61" max="63" width="5.38"/>
    <col customWidth="1" min="64" max="64" width="11.5"/>
    <col customWidth="1" min="65" max="69" width="5.38"/>
    <col customWidth="1" min="70" max="79" width="2.63"/>
    <col customWidth="1" min="80" max="80" width="3.63"/>
    <col customWidth="1" min="81" max="85" width="6.75"/>
    <col customWidth="1" min="86" max="87" width="5.88"/>
    <col customWidth="1" min="88" max="97" width="3.38"/>
    <col customWidth="1" min="98" max="123" width="2.25"/>
    <col customWidth="1" min="124" max="124" width="17.63"/>
    <col customWidth="1" min="125" max="125" width="19.13"/>
    <col customWidth="1" min="126" max="126" width="19.38"/>
    <col customWidth="1" min="127" max="127" width="5.88"/>
    <col customWidth="1" min="128" max="128" width="8.5"/>
    <col customWidth="1" min="129" max="130" width="7.25"/>
    <col customWidth="1" min="131" max="131" width="8.13"/>
    <col customWidth="1" min="132" max="133" width="7.25"/>
    <col customWidth="1" min="134" max="134" width="5.88"/>
    <col customWidth="1" min="135" max="153" width="4.0"/>
    <col customWidth="1" min="154" max="154" width="5.88"/>
    <col customWidth="1" min="155" max="155" width="14.25"/>
    <col customWidth="1" min="156" max="156" width="13.0"/>
    <col customWidth="1" min="157" max="158" width="1.5"/>
    <col customWidth="1" min="159" max="159" width="4.75"/>
    <col customWidth="1" min="160" max="160" width="11.13"/>
    <col customWidth="1" min="161" max="161" width="4.75"/>
    <col customWidth="1" min="162" max="162" width="10.13"/>
    <col customWidth="1" min="163" max="163" width="13.5"/>
    <col customWidth="1" min="164" max="164" width="11.38"/>
    <col customWidth="1" min="165" max="165" width="10.63"/>
    <col customWidth="1" min="166" max="166" width="1.75"/>
    <col customWidth="1" min="167" max="167" width="15.38"/>
    <col customWidth="1" min="168" max="168" width="11.63"/>
    <col customWidth="1" min="169" max="169" width="5.25"/>
    <col customWidth="1" min="170" max="182" width="2.5"/>
    <col customWidth="1" min="183" max="186" width="9.5"/>
    <col customWidth="1" min="187" max="265" width="2.88"/>
    <col customWidth="1" min="266" max="266" width="10.0"/>
    <col customWidth="1" min="267" max="276" width="3.38"/>
  </cols>
  <sheetData>
    <row r="1" ht="24.75" customHeight="1">
      <c r="A1" s="1" t="s">
        <v>1</v>
      </c>
      <c r="B1" s="3"/>
      <c r="C1" s="3" t="s">
        <v>3</v>
      </c>
      <c r="D1" s="5" t="s">
        <v>7</v>
      </c>
      <c r="E1" s="7" t="s">
        <v>10</v>
      </c>
      <c r="F1" s="9" t="s">
        <v>12</v>
      </c>
      <c r="G1" s="19" t="s">
        <v>15</v>
      </c>
      <c r="H1" s="21" t="s">
        <v>26</v>
      </c>
      <c r="I1" s="11" t="s">
        <v>13</v>
      </c>
      <c r="J1" s="14" t="s">
        <v>9</v>
      </c>
      <c r="K1" s="17" t="s">
        <v>16</v>
      </c>
      <c r="L1" s="17" t="s">
        <v>17</v>
      </c>
      <c r="M1" s="17" t="s">
        <v>20</v>
      </c>
      <c r="N1" s="17" t="s">
        <v>21</v>
      </c>
      <c r="O1" s="17" t="s">
        <v>25</v>
      </c>
      <c r="P1" s="17" t="s">
        <v>27</v>
      </c>
      <c r="Q1" s="17" t="s">
        <v>29</v>
      </c>
      <c r="R1" s="17" t="s">
        <v>31</v>
      </c>
      <c r="S1" s="17" t="s">
        <v>32</v>
      </c>
      <c r="T1" s="17" t="s">
        <v>34</v>
      </c>
      <c r="U1" s="17" t="s">
        <v>36</v>
      </c>
      <c r="V1" s="25" t="s">
        <v>9</v>
      </c>
      <c r="W1" s="27" t="s">
        <v>43</v>
      </c>
      <c r="X1" s="28" t="s">
        <v>44</v>
      </c>
      <c r="Y1" s="27" t="s">
        <v>45</v>
      </c>
      <c r="Z1" s="27" t="s">
        <v>46</v>
      </c>
      <c r="AA1" s="29" t="s">
        <v>48</v>
      </c>
      <c r="AB1" s="30" t="s">
        <v>9</v>
      </c>
      <c r="AC1" s="31" t="s">
        <v>16</v>
      </c>
      <c r="AD1" s="31" t="s">
        <v>17</v>
      </c>
      <c r="AE1" s="31" t="s">
        <v>20</v>
      </c>
      <c r="AF1" s="31" t="s">
        <v>21</v>
      </c>
      <c r="AG1" s="31" t="s">
        <v>25</v>
      </c>
      <c r="AH1" s="31" t="s">
        <v>27</v>
      </c>
      <c r="AI1" s="31" t="s">
        <v>29</v>
      </c>
      <c r="AJ1" s="31" t="s">
        <v>31</v>
      </c>
      <c r="AK1" s="31" t="s">
        <v>32</v>
      </c>
      <c r="AL1" s="31" t="s">
        <v>34</v>
      </c>
      <c r="AM1" s="31" t="s">
        <v>36</v>
      </c>
      <c r="AN1" s="35" t="s">
        <v>9</v>
      </c>
      <c r="AO1" s="37" t="s">
        <v>52</v>
      </c>
      <c r="AP1" s="39" t="s">
        <v>10</v>
      </c>
      <c r="AQ1" s="14" t="s">
        <v>9</v>
      </c>
      <c r="AR1" s="17" t="s">
        <v>16</v>
      </c>
      <c r="AS1" s="17" t="s">
        <v>17</v>
      </c>
      <c r="AT1" s="17" t="s">
        <v>20</v>
      </c>
      <c r="AU1" s="17" t="s">
        <v>21</v>
      </c>
      <c r="AV1" s="17" t="s">
        <v>25</v>
      </c>
      <c r="AW1" s="17" t="s">
        <v>27</v>
      </c>
      <c r="AX1" s="17" t="s">
        <v>29</v>
      </c>
      <c r="AY1" s="17" t="s">
        <v>31</v>
      </c>
      <c r="AZ1" s="17" t="s">
        <v>32</v>
      </c>
      <c r="BA1" s="17" t="s">
        <v>34</v>
      </c>
      <c r="BB1" s="17" t="s">
        <v>36</v>
      </c>
      <c r="BC1" s="25" t="s">
        <v>9</v>
      </c>
      <c r="BD1" s="37" t="s">
        <v>65</v>
      </c>
      <c r="BE1" s="45" t="s">
        <v>67</v>
      </c>
      <c r="BF1" s="47" t="s">
        <v>71</v>
      </c>
      <c r="BG1" s="47" t="s">
        <v>77</v>
      </c>
      <c r="BH1" s="50" t="s">
        <v>80</v>
      </c>
      <c r="BI1" s="52" t="s">
        <v>86</v>
      </c>
      <c r="BJ1" s="54" t="s">
        <v>88</v>
      </c>
      <c r="BK1" s="57" t="s">
        <v>89</v>
      </c>
      <c r="BL1" s="60" t="s">
        <v>90</v>
      </c>
      <c r="BM1" s="62" t="s">
        <v>91</v>
      </c>
      <c r="BN1" s="62" t="s">
        <v>92</v>
      </c>
      <c r="BO1" s="62" t="s">
        <v>93</v>
      </c>
      <c r="BP1" s="62" t="s">
        <v>94</v>
      </c>
      <c r="BQ1" s="64" t="s">
        <v>95</v>
      </c>
      <c r="BR1" s="66" t="s">
        <v>87</v>
      </c>
      <c r="BS1" s="66" t="s">
        <v>96</v>
      </c>
      <c r="BT1" s="67" t="s">
        <v>97</v>
      </c>
      <c r="BU1" s="66" t="s">
        <v>98</v>
      </c>
      <c r="BV1" s="67" t="s">
        <v>99</v>
      </c>
      <c r="BW1" s="67" t="s">
        <v>100</v>
      </c>
      <c r="BX1" s="67" t="s">
        <v>101</v>
      </c>
      <c r="BY1" s="67" t="s">
        <v>102</v>
      </c>
      <c r="BZ1" s="67" t="s">
        <v>104</v>
      </c>
      <c r="CA1" s="67" t="s">
        <v>105</v>
      </c>
      <c r="CB1" s="73" t="s">
        <v>106</v>
      </c>
      <c r="CC1" s="76" t="s">
        <v>108</v>
      </c>
      <c r="CD1" s="27" t="s">
        <v>109</v>
      </c>
      <c r="CE1" s="27" t="s">
        <v>111</v>
      </c>
      <c r="CF1" s="78" t="s">
        <v>112</v>
      </c>
      <c r="CG1" s="81" t="s">
        <v>114</v>
      </c>
      <c r="CH1" s="27" t="s">
        <v>115</v>
      </c>
      <c r="CI1" s="78" t="s">
        <v>117</v>
      </c>
      <c r="CJ1" s="82" t="s">
        <v>118</v>
      </c>
      <c r="CK1" s="83" t="s">
        <v>119</v>
      </c>
      <c r="CL1" s="83" t="s">
        <v>120</v>
      </c>
      <c r="CM1" s="83" t="s">
        <v>121</v>
      </c>
      <c r="CN1" s="83" t="s">
        <v>122</v>
      </c>
      <c r="CO1" s="83" t="s">
        <v>123</v>
      </c>
      <c r="CP1" s="83" t="s">
        <v>124</v>
      </c>
      <c r="CQ1" s="83" t="s">
        <v>125</v>
      </c>
      <c r="CR1" s="83" t="s">
        <v>126</v>
      </c>
      <c r="CS1" s="85" t="s">
        <v>127</v>
      </c>
      <c r="CT1" s="30" t="s">
        <v>9</v>
      </c>
      <c r="CU1" s="31" t="s">
        <v>16</v>
      </c>
      <c r="CV1" s="31" t="s">
        <v>17</v>
      </c>
      <c r="CW1" s="31" t="s">
        <v>20</v>
      </c>
      <c r="CX1" s="31" t="s">
        <v>21</v>
      </c>
      <c r="CY1" s="31" t="s">
        <v>25</v>
      </c>
      <c r="CZ1" s="31" t="s">
        <v>27</v>
      </c>
      <c r="DA1" s="31" t="s">
        <v>29</v>
      </c>
      <c r="DB1" s="31" t="s">
        <v>31</v>
      </c>
      <c r="DC1" s="31" t="s">
        <v>32</v>
      </c>
      <c r="DD1" s="31" t="s">
        <v>34</v>
      </c>
      <c r="DE1" s="31" t="s">
        <v>36</v>
      </c>
      <c r="DF1" s="35" t="s">
        <v>9</v>
      </c>
      <c r="DG1" s="30" t="s">
        <v>9</v>
      </c>
      <c r="DH1" s="31" t="s">
        <v>16</v>
      </c>
      <c r="DI1" s="31" t="s">
        <v>17</v>
      </c>
      <c r="DJ1" s="31" t="s">
        <v>20</v>
      </c>
      <c r="DK1" s="31" t="s">
        <v>21</v>
      </c>
      <c r="DL1" s="31" t="s">
        <v>25</v>
      </c>
      <c r="DM1" s="31" t="s">
        <v>27</v>
      </c>
      <c r="DN1" s="31" t="s">
        <v>29</v>
      </c>
      <c r="DO1" s="31" t="s">
        <v>31</v>
      </c>
      <c r="DP1" s="31" t="s">
        <v>32</v>
      </c>
      <c r="DQ1" s="31" t="s">
        <v>34</v>
      </c>
      <c r="DR1" s="31" t="s">
        <v>36</v>
      </c>
      <c r="DS1" s="35" t="s">
        <v>9</v>
      </c>
      <c r="DT1" s="37" t="s">
        <v>128</v>
      </c>
      <c r="DU1" s="37" t="s">
        <v>129</v>
      </c>
      <c r="DV1" s="87" t="s">
        <v>130</v>
      </c>
      <c r="DW1" s="89" t="s">
        <v>132</v>
      </c>
      <c r="DX1" s="89" t="s">
        <v>133</v>
      </c>
      <c r="DY1" s="89" t="s">
        <v>134</v>
      </c>
      <c r="DZ1" s="89" t="s">
        <v>135</v>
      </c>
      <c r="EA1" s="89" t="s">
        <v>136</v>
      </c>
      <c r="EB1" s="89" t="s">
        <v>137</v>
      </c>
      <c r="EC1" s="93" t="s">
        <v>138</v>
      </c>
      <c r="ED1" s="95" t="s">
        <v>139</v>
      </c>
      <c r="EE1" s="97" t="s">
        <v>140</v>
      </c>
      <c r="EF1" s="98" t="s">
        <v>142</v>
      </c>
      <c r="EG1" s="95" t="s">
        <v>143</v>
      </c>
      <c r="EH1" s="95" t="s">
        <v>144</v>
      </c>
      <c r="EI1" s="99" t="s">
        <v>145</v>
      </c>
      <c r="EJ1" s="89" t="s">
        <v>18</v>
      </c>
      <c r="EK1" s="89" t="s">
        <v>22</v>
      </c>
      <c r="EL1" s="89" t="s">
        <v>28</v>
      </c>
      <c r="EM1" s="89" t="s">
        <v>37</v>
      </c>
      <c r="EN1" s="93" t="s">
        <v>40</v>
      </c>
      <c r="EO1" s="95" t="s">
        <v>146</v>
      </c>
      <c r="EP1" s="95" t="s">
        <v>147</v>
      </c>
      <c r="EQ1" s="95" t="s">
        <v>148</v>
      </c>
      <c r="ER1" s="95" t="s">
        <v>149</v>
      </c>
      <c r="ES1" s="95" t="s">
        <v>150</v>
      </c>
      <c r="ET1" s="99" t="s">
        <v>151</v>
      </c>
      <c r="EU1" s="89" t="s">
        <v>86</v>
      </c>
      <c r="EV1" s="89" t="s">
        <v>89</v>
      </c>
      <c r="EW1" s="93" t="s">
        <v>88</v>
      </c>
      <c r="EX1" s="102" t="s">
        <v>152</v>
      </c>
      <c r="EY1" s="103" t="s">
        <v>153</v>
      </c>
      <c r="EZ1" s="104" t="s">
        <v>154</v>
      </c>
      <c r="FA1" s="104"/>
      <c r="FB1" s="104" t="s">
        <v>155</v>
      </c>
      <c r="FC1" s="106" t="s">
        <v>156</v>
      </c>
      <c r="FD1" s="107" t="s">
        <v>157</v>
      </c>
      <c r="FE1" s="108" t="s">
        <v>158</v>
      </c>
      <c r="FF1" s="109" t="s">
        <v>159</v>
      </c>
      <c r="FG1" s="110" t="s">
        <v>129</v>
      </c>
      <c r="FH1" s="104" t="s">
        <v>128</v>
      </c>
      <c r="FI1" s="104" t="s">
        <v>161</v>
      </c>
      <c r="FJ1" s="104" t="s">
        <v>162</v>
      </c>
      <c r="FK1" s="111" t="s">
        <v>163</v>
      </c>
      <c r="FL1" s="111" t="s">
        <v>164</v>
      </c>
      <c r="FM1" s="110" t="s">
        <v>165</v>
      </c>
      <c r="FN1" s="112" t="s">
        <v>9</v>
      </c>
      <c r="FO1" s="113" t="s">
        <v>16</v>
      </c>
      <c r="FP1" s="113" t="s">
        <v>17</v>
      </c>
      <c r="FQ1" s="113" t="s">
        <v>20</v>
      </c>
      <c r="FR1" s="113" t="s">
        <v>21</v>
      </c>
      <c r="FS1" s="113" t="s">
        <v>25</v>
      </c>
      <c r="FT1" s="113" t="s">
        <v>27</v>
      </c>
      <c r="FU1" s="113" t="s">
        <v>29</v>
      </c>
      <c r="FV1" s="113" t="s">
        <v>31</v>
      </c>
      <c r="FW1" s="113" t="s">
        <v>32</v>
      </c>
      <c r="FX1" s="113" t="s">
        <v>34</v>
      </c>
      <c r="FY1" s="113" t="s">
        <v>36</v>
      </c>
      <c r="FZ1" s="114" t="s">
        <v>9</v>
      </c>
      <c r="GA1" s="115" t="s">
        <v>166</v>
      </c>
      <c r="GB1" s="115" t="s">
        <v>167</v>
      </c>
      <c r="GC1" s="115" t="s">
        <v>168</v>
      </c>
      <c r="GD1" s="116" t="s">
        <v>169</v>
      </c>
      <c r="GE1" s="112" t="s">
        <v>9</v>
      </c>
      <c r="GF1" s="118" t="s">
        <v>36</v>
      </c>
      <c r="GG1" s="118" t="s">
        <v>34</v>
      </c>
      <c r="GH1" s="118" t="s">
        <v>32</v>
      </c>
      <c r="GI1" s="118" t="s">
        <v>31</v>
      </c>
      <c r="GJ1" s="118" t="s">
        <v>29</v>
      </c>
      <c r="GK1" s="113" t="s">
        <v>27</v>
      </c>
      <c r="GL1" s="118" t="s">
        <v>25</v>
      </c>
      <c r="GM1" s="118" t="s">
        <v>21</v>
      </c>
      <c r="GN1" s="118" t="s">
        <v>20</v>
      </c>
      <c r="GO1" s="118" t="s">
        <v>17</v>
      </c>
      <c r="GP1" s="118" t="s">
        <v>16</v>
      </c>
      <c r="GQ1" s="113" t="s">
        <v>9</v>
      </c>
      <c r="GR1" s="112" t="s">
        <v>9</v>
      </c>
      <c r="GS1" s="113" t="s">
        <v>16</v>
      </c>
      <c r="GT1" s="113" t="s">
        <v>17</v>
      </c>
      <c r="GU1" s="113" t="s">
        <v>20</v>
      </c>
      <c r="GV1" s="113" t="s">
        <v>21</v>
      </c>
      <c r="GW1" s="113" t="s">
        <v>25</v>
      </c>
      <c r="GX1" s="113" t="s">
        <v>27</v>
      </c>
      <c r="GY1" s="113" t="s">
        <v>29</v>
      </c>
      <c r="GZ1" s="113" t="s">
        <v>31</v>
      </c>
      <c r="HA1" s="113" t="s">
        <v>32</v>
      </c>
      <c r="HB1" s="113" t="s">
        <v>34</v>
      </c>
      <c r="HC1" s="113" t="s">
        <v>36</v>
      </c>
      <c r="HD1" s="114" t="s">
        <v>9</v>
      </c>
      <c r="HE1" s="122" t="s">
        <v>9</v>
      </c>
      <c r="HF1" s="123" t="s">
        <v>16</v>
      </c>
      <c r="HG1" s="123" t="s">
        <v>17</v>
      </c>
      <c r="HH1" s="123" t="s">
        <v>20</v>
      </c>
      <c r="HI1" s="123" t="s">
        <v>21</v>
      </c>
      <c r="HJ1" s="123" t="s">
        <v>25</v>
      </c>
      <c r="HK1" s="123" t="s">
        <v>27</v>
      </c>
      <c r="HL1" s="123" t="s">
        <v>29</v>
      </c>
      <c r="HM1" s="123" t="s">
        <v>31</v>
      </c>
      <c r="HN1" s="123" t="s">
        <v>32</v>
      </c>
      <c r="HO1" s="123" t="s">
        <v>34</v>
      </c>
      <c r="HP1" s="123" t="s">
        <v>36</v>
      </c>
      <c r="HQ1" s="124" t="s">
        <v>9</v>
      </c>
      <c r="HR1" s="122" t="s">
        <v>9</v>
      </c>
      <c r="HS1" s="123" t="s">
        <v>16</v>
      </c>
      <c r="HT1" s="123" t="s">
        <v>17</v>
      </c>
      <c r="HU1" s="123" t="s">
        <v>20</v>
      </c>
      <c r="HV1" s="123" t="s">
        <v>21</v>
      </c>
      <c r="HW1" s="123" t="s">
        <v>25</v>
      </c>
      <c r="HX1" s="123" t="s">
        <v>27</v>
      </c>
      <c r="HY1" s="123" t="s">
        <v>29</v>
      </c>
      <c r="HZ1" s="123" t="s">
        <v>31</v>
      </c>
      <c r="IA1" s="123" t="s">
        <v>32</v>
      </c>
      <c r="IB1" s="123" t="s">
        <v>34</v>
      </c>
      <c r="IC1" s="123" t="s">
        <v>36</v>
      </c>
      <c r="ID1" s="124" t="s">
        <v>9</v>
      </c>
      <c r="IE1" s="126" t="s">
        <v>9</v>
      </c>
      <c r="IF1" s="127" t="s">
        <v>16</v>
      </c>
      <c r="IG1" s="127" t="s">
        <v>17</v>
      </c>
      <c r="IH1" s="127" t="s">
        <v>20</v>
      </c>
      <c r="II1" s="127" t="s">
        <v>21</v>
      </c>
      <c r="IJ1" s="127" t="s">
        <v>25</v>
      </c>
      <c r="IK1" s="127" t="s">
        <v>27</v>
      </c>
      <c r="IL1" s="127" t="s">
        <v>29</v>
      </c>
      <c r="IM1" s="127" t="s">
        <v>31</v>
      </c>
      <c r="IN1" s="127" t="s">
        <v>32</v>
      </c>
      <c r="IO1" s="127" t="s">
        <v>34</v>
      </c>
      <c r="IP1" s="127" t="s">
        <v>36</v>
      </c>
      <c r="IQ1" s="128" t="s">
        <v>9</v>
      </c>
      <c r="IR1" s="122" t="s">
        <v>9</v>
      </c>
      <c r="IS1" s="123" t="s">
        <v>16</v>
      </c>
      <c r="IT1" s="123" t="s">
        <v>17</v>
      </c>
      <c r="IU1" s="123" t="s">
        <v>20</v>
      </c>
      <c r="IV1" s="123" t="s">
        <v>21</v>
      </c>
      <c r="IW1" s="123" t="s">
        <v>25</v>
      </c>
      <c r="IX1" s="123" t="s">
        <v>27</v>
      </c>
      <c r="IY1" s="123" t="s">
        <v>29</v>
      </c>
      <c r="IZ1" s="123" t="s">
        <v>31</v>
      </c>
      <c r="JA1" s="123" t="s">
        <v>32</v>
      </c>
      <c r="JB1" s="123" t="s">
        <v>34</v>
      </c>
      <c r="JC1" s="123" t="s">
        <v>36</v>
      </c>
      <c r="JD1" s="124" t="s">
        <v>9</v>
      </c>
      <c r="JE1" s="110"/>
      <c r="JF1" s="121"/>
      <c r="JG1" s="129"/>
      <c r="JH1" s="129"/>
      <c r="JI1" s="129"/>
      <c r="JJ1" s="129"/>
      <c r="JK1" s="129"/>
      <c r="JL1" s="129"/>
      <c r="JM1" s="129"/>
      <c r="JN1" s="129"/>
      <c r="JO1" s="129"/>
      <c r="JP1" s="129"/>
    </row>
    <row r="2" ht="18.0" customHeight="1">
      <c r="A2" s="130" t="s">
        <v>173</v>
      </c>
      <c r="B2" s="131"/>
      <c r="C2" s="131">
        <f>IFERROR(__xludf.DUMMYFUNCTION("COUNTUNIQUE(C3:C35)"),32.0)</f>
        <v>32</v>
      </c>
      <c r="D2" s="132" t="s">
        <v>11</v>
      </c>
      <c r="E2" s="133">
        <f>COUNTIF(E3:E35, "[UQ]")</f>
        <v>32</v>
      </c>
      <c r="F2" s="134" t="s">
        <v>4</v>
      </c>
      <c r="G2" s="135" t="s">
        <v>4</v>
      </c>
      <c r="H2" s="136" t="s">
        <v>4</v>
      </c>
      <c r="I2" s="137" t="s">
        <v>11</v>
      </c>
      <c r="J2" s="138">
        <f>COUNTIF(J3:J35, "S")</f>
        <v>32</v>
      </c>
      <c r="K2" s="139">
        <f>COUNTIF(K3:K35, "r")</f>
        <v>16</v>
      </c>
      <c r="L2" s="139">
        <f>COUNTIF(L3:L35, "R")</f>
        <v>16</v>
      </c>
      <c r="M2" s="139">
        <f>COUNTIF(M3:M35, "g")</f>
        <v>16</v>
      </c>
      <c r="N2" s="139">
        <f>COUNTIF(N3:N35, "G")</f>
        <v>16</v>
      </c>
      <c r="O2" s="139">
        <f>COUNTIF(O3:O35, "m")</f>
        <v>16</v>
      </c>
      <c r="P2" s="139">
        <f>COUNTIF(P3:P35, "M")</f>
        <v>16</v>
      </c>
      <c r="Q2" s="139">
        <f>COUNTIF(Q3:Q35, "P")</f>
        <v>32</v>
      </c>
      <c r="R2" s="139">
        <f>COUNTIF(R3:R35, "d")</f>
        <v>16</v>
      </c>
      <c r="S2" s="139">
        <f>COUNTIF(S3:S35, "D")</f>
        <v>16</v>
      </c>
      <c r="T2" s="139">
        <f>COUNTIF(T3:T35, "n")</f>
        <v>16</v>
      </c>
      <c r="U2" s="139">
        <f>COUNTIF(U3:U35, "N")</f>
        <v>16</v>
      </c>
      <c r="V2" s="147">
        <f>COUNTIF(V3:V35, "S")</f>
        <v>32</v>
      </c>
      <c r="W2" s="149">
        <f>IFERROR(__xludf.DUMMYFUNCTION("COUNTUNIQUE(W3:W35)"),8.0)</f>
        <v>8</v>
      </c>
      <c r="X2" s="151">
        <f>IFERROR(__xludf.DUMMYFUNCTION("COUNTUNIQUE(X3:X35)"),4.0)</f>
        <v>4</v>
      </c>
      <c r="Y2" s="149">
        <f>IFERROR(__xludf.DUMMYFUNCTION("COUNTUNIQUE(Y3:Y35)"),1.0)</f>
        <v>1</v>
      </c>
      <c r="Z2" s="149">
        <f>IFERROR(__xludf.DUMMYFUNCTION("COUNTUNIQUE(Z3:Z35)"),1.0)</f>
        <v>1</v>
      </c>
      <c r="AA2" s="155">
        <f>IFERROR(__xludf.DUMMYFUNCTION("COUNTUNIQUE(AA3:AA35)"),32.0)</f>
        <v>32</v>
      </c>
      <c r="AB2" s="138">
        <f>COUNTIF(AB3:AB35, "0")</f>
        <v>32</v>
      </c>
      <c r="AC2" s="139">
        <f>COUNTIF(AC3:AC35, "1")</f>
        <v>16</v>
      </c>
      <c r="AD2" s="139">
        <f>COUNTIF(AD3:AD35, "2")</f>
        <v>16</v>
      </c>
      <c r="AE2" s="139">
        <f>COUNTIF(AE3:AE35, "3")</f>
        <v>16</v>
      </c>
      <c r="AF2" s="139">
        <f>COUNTIF(AF3:AF35, "4")</f>
        <v>16</v>
      </c>
      <c r="AG2" s="139">
        <f>COUNTIF(AG3:AG35, "5")</f>
        <v>16</v>
      </c>
      <c r="AH2" s="139">
        <f>COUNTIF(AH3:AH35, "6")</f>
        <v>16</v>
      </c>
      <c r="AI2" s="139">
        <f>COUNTIF(AI3:AI35, "7")</f>
        <v>32</v>
      </c>
      <c r="AJ2" s="139">
        <f>COUNTIF(AJ3:AJ35, "8")</f>
        <v>16</v>
      </c>
      <c r="AK2" s="139">
        <f>COUNTIF(AK3:AK35, "9")</f>
        <v>16</v>
      </c>
      <c r="AL2" s="139">
        <f>COUNTIF(AL3:AL35, "10")</f>
        <v>16</v>
      </c>
      <c r="AM2" s="139">
        <f>COUNTIF(AM3:AM35, "11")</f>
        <v>16</v>
      </c>
      <c r="AN2" s="147">
        <f>COUNTIF(AN3:AN35, "12")</f>
        <v>0</v>
      </c>
      <c r="AO2" s="161" t="s">
        <v>11</v>
      </c>
      <c r="AP2" s="136" t="s">
        <v>11</v>
      </c>
      <c r="AQ2" s="162" t="s">
        <v>11</v>
      </c>
      <c r="AR2" s="163" t="s">
        <v>11</v>
      </c>
      <c r="AS2" s="163" t="s">
        <v>11</v>
      </c>
      <c r="AT2" s="163" t="s">
        <v>11</v>
      </c>
      <c r="AU2" s="163" t="s">
        <v>11</v>
      </c>
      <c r="AV2" s="163" t="s">
        <v>11</v>
      </c>
      <c r="AW2" s="163" t="s">
        <v>11</v>
      </c>
      <c r="AX2" s="163" t="s">
        <v>11</v>
      </c>
      <c r="AY2" s="163" t="s">
        <v>11</v>
      </c>
      <c r="AZ2" s="163" t="s">
        <v>11</v>
      </c>
      <c r="BA2" s="163" t="s">
        <v>11</v>
      </c>
      <c r="BB2" s="163" t="s">
        <v>11</v>
      </c>
      <c r="BC2" s="164" t="s">
        <v>11</v>
      </c>
      <c r="BD2" s="161">
        <f>IFERROR(__xludf.DUMMYFUNCTION("COUNTUNIQUE(BD3:BD35)"),32.0)</f>
        <v>32</v>
      </c>
      <c r="BE2" s="165" t="s">
        <v>11</v>
      </c>
      <c r="BF2" s="166" t="s">
        <v>11</v>
      </c>
      <c r="BG2" s="166" t="s">
        <v>11</v>
      </c>
      <c r="BH2" s="167" t="s">
        <v>11</v>
      </c>
      <c r="BI2" s="168">
        <f t="shared" ref="BI2:BK2" si="1">COUNTIF(BI3:BI35, "✔")</f>
        <v>14</v>
      </c>
      <c r="BJ2" s="169">
        <f t="shared" si="1"/>
        <v>4</v>
      </c>
      <c r="BK2" s="170">
        <f t="shared" si="1"/>
        <v>0</v>
      </c>
      <c r="BL2" s="171">
        <f>IFERROR(__xludf.DUMMYFUNCTION("COUNTUNIQUE(BL3:BL35)"),6.0)</f>
        <v>6</v>
      </c>
      <c r="BM2" s="172">
        <f>IFERROR(__xludf.DUMMYFUNCTION("COUNTUNIQUE(BM3:BM35)"),1.0)</f>
        <v>1</v>
      </c>
      <c r="BN2" s="172">
        <f>IFERROR(__xludf.DUMMYFUNCTION("COUNTUNIQUE(BN3:BN35)"),1.0)</f>
        <v>1</v>
      </c>
      <c r="BO2" s="172">
        <f>IFERROR(__xludf.DUMMYFUNCTION("COUNTUNIQUE(BO3:BO35)"),5.0)</f>
        <v>5</v>
      </c>
      <c r="BP2" s="172">
        <f>IFERROR(__xludf.DUMMYFUNCTION("COUNTUNIQUE(BP3:BP35)"),5.0)</f>
        <v>5</v>
      </c>
      <c r="BQ2" s="173">
        <f>IFERROR(__xludf.DUMMYFUNCTION("COUNTUNIQUE(BQ3:BQ35)"),5.0)</f>
        <v>5</v>
      </c>
      <c r="BR2" s="174">
        <f>IFERROR(__xludf.DUMMYFUNCTION("COUNTUNIQUE(BR3:BR35)"),17.0)</f>
        <v>17</v>
      </c>
      <c r="BS2" s="174">
        <f>IFERROR(__xludf.DUMMYFUNCTION("COUNTUNIQUE(BS3:BS35)"),17.0)</f>
        <v>17</v>
      </c>
      <c r="BT2" s="175">
        <f>IFERROR(__xludf.DUMMYFUNCTION("COUNTUNIQUE(BT3:BT35)"),17.0)</f>
        <v>17</v>
      </c>
      <c r="BU2" s="174">
        <f>IFERROR(__xludf.DUMMYFUNCTION("COUNTUNIQUE(BU3:BU35)"),17.0)</f>
        <v>17</v>
      </c>
      <c r="BV2" s="175">
        <f>IFERROR(__xludf.DUMMYFUNCTION("COUNTUNIQUE(BV3:BV35)"),17.0)</f>
        <v>17</v>
      </c>
      <c r="BW2" s="175">
        <f>IFERROR(__xludf.DUMMYFUNCTION("COUNTUNIQUE(BW3:BW35)"),17.0)</f>
        <v>17</v>
      </c>
      <c r="BX2" s="175">
        <f>IFERROR(__xludf.DUMMYFUNCTION("COUNTUNIQUE(BX3:BX35)"),32.0)</f>
        <v>32</v>
      </c>
      <c r="BY2" s="175">
        <f>IFERROR(__xludf.DUMMYFUNCTION("COUNTUNIQUE(BY3:BY35)"),17.0)</f>
        <v>17</v>
      </c>
      <c r="BZ2" s="175">
        <f>IFERROR(__xludf.DUMMYFUNCTION("COUNTUNIQUE(BZ3:BZ35)"),17.0)</f>
        <v>17</v>
      </c>
      <c r="CA2" s="175">
        <f>IFERROR(__xludf.DUMMYFUNCTION("COUNTUNIQUE(CA3:CA35)"),17.0)</f>
        <v>17</v>
      </c>
      <c r="CB2" s="176">
        <f>IFERROR(__xludf.DUMMYFUNCTION("COUNTUNIQUE(CB3:CB35)"),17.0)</f>
        <v>17</v>
      </c>
      <c r="CC2" s="177" t="s">
        <v>11</v>
      </c>
      <c r="CD2" s="149">
        <f>COUNTIF(CD3:CD35, "Cohem.")</f>
        <v>14</v>
      </c>
      <c r="CE2" s="149">
        <f>COUNTIF(CE3:CE35, "Co-Co.")</f>
        <v>0</v>
      </c>
      <c r="CF2" s="133">
        <f>COUNTIF(CF3:CF35, "CCC.")</f>
        <v>0</v>
      </c>
      <c r="CG2" s="178">
        <f>COUNTIF(CG3:CG35,"-")</f>
        <v>22</v>
      </c>
      <c r="CH2" s="168">
        <f>COUNTIF(CH3:CH35, "✔")</f>
        <v>10</v>
      </c>
      <c r="CI2" s="179" t="s">
        <v>11</v>
      </c>
      <c r="CJ2" s="180">
        <f t="shared" ref="CJ2:CS2" si="2">COUNTIF(CJ3:CJ35, "TRUE")</f>
        <v>1</v>
      </c>
      <c r="CK2" s="181">
        <f t="shared" si="2"/>
        <v>1</v>
      </c>
      <c r="CL2" s="181">
        <f t="shared" si="2"/>
        <v>1</v>
      </c>
      <c r="CM2" s="181">
        <f t="shared" si="2"/>
        <v>1</v>
      </c>
      <c r="CN2" s="181">
        <f t="shared" si="2"/>
        <v>1</v>
      </c>
      <c r="CO2" s="181">
        <f t="shared" si="2"/>
        <v>1</v>
      </c>
      <c r="CP2" s="181">
        <f t="shared" si="2"/>
        <v>1</v>
      </c>
      <c r="CQ2" s="181">
        <f t="shared" si="2"/>
        <v>1</v>
      </c>
      <c r="CR2" s="181">
        <f t="shared" si="2"/>
        <v>1</v>
      </c>
      <c r="CS2" s="182">
        <f t="shared" si="2"/>
        <v>1</v>
      </c>
      <c r="CT2" s="183" t="s">
        <v>11</v>
      </c>
      <c r="CU2" s="184" t="s">
        <v>11</v>
      </c>
      <c r="CV2" s="184" t="s">
        <v>11</v>
      </c>
      <c r="CW2" s="184" t="s">
        <v>11</v>
      </c>
      <c r="CX2" s="184" t="s">
        <v>11</v>
      </c>
      <c r="CY2" s="184" t="s">
        <v>11</v>
      </c>
      <c r="CZ2" s="184" t="s">
        <v>11</v>
      </c>
      <c r="DA2" s="184" t="s">
        <v>11</v>
      </c>
      <c r="DB2" s="184" t="s">
        <v>11</v>
      </c>
      <c r="DC2" s="184" t="s">
        <v>11</v>
      </c>
      <c r="DD2" s="184" t="s">
        <v>11</v>
      </c>
      <c r="DE2" s="184" t="s">
        <v>11</v>
      </c>
      <c r="DF2" s="185" t="s">
        <v>11</v>
      </c>
      <c r="DG2" s="183" t="s">
        <v>11</v>
      </c>
      <c r="DH2" s="184" t="s">
        <v>11</v>
      </c>
      <c r="DI2" s="184" t="s">
        <v>11</v>
      </c>
      <c r="DJ2" s="184" t="s">
        <v>11</v>
      </c>
      <c r="DK2" s="184" t="s">
        <v>11</v>
      </c>
      <c r="DL2" s="184" t="s">
        <v>11</v>
      </c>
      <c r="DM2" s="184" t="s">
        <v>11</v>
      </c>
      <c r="DN2" s="184" t="s">
        <v>11</v>
      </c>
      <c r="DO2" s="184" t="s">
        <v>11</v>
      </c>
      <c r="DP2" s="184" t="s">
        <v>11</v>
      </c>
      <c r="DQ2" s="184" t="s">
        <v>11</v>
      </c>
      <c r="DR2" s="184" t="s">
        <v>11</v>
      </c>
      <c r="DS2" s="185" t="s">
        <v>11</v>
      </c>
      <c r="DT2" s="161" t="s">
        <v>11</v>
      </c>
      <c r="DU2" s="161"/>
      <c r="DV2" s="186" t="s">
        <v>11</v>
      </c>
      <c r="DW2" s="187" t="s">
        <v>11</v>
      </c>
      <c r="DX2" s="187"/>
      <c r="DY2" s="187" t="s">
        <v>11</v>
      </c>
      <c r="DZ2" s="187" t="s">
        <v>11</v>
      </c>
      <c r="EA2" s="187" t="s">
        <v>11</v>
      </c>
      <c r="EB2" s="187" t="s">
        <v>11</v>
      </c>
      <c r="EC2" s="188" t="s">
        <v>11</v>
      </c>
      <c r="ED2" s="189">
        <f>COUNTIF(ED3:ED35,"-")</f>
        <v>22</v>
      </c>
      <c r="EE2" s="190">
        <f t="shared" ref="EE2:EW2" si="3">COUNTIF(EE3:EE35, "✔")</f>
        <v>0</v>
      </c>
      <c r="EF2" s="191">
        <f t="shared" si="3"/>
        <v>22</v>
      </c>
      <c r="EG2" s="189">
        <f t="shared" si="3"/>
        <v>1</v>
      </c>
      <c r="EH2" s="189">
        <f t="shared" si="3"/>
        <v>2</v>
      </c>
      <c r="EI2" s="192">
        <f t="shared" si="3"/>
        <v>16</v>
      </c>
      <c r="EJ2" s="187">
        <f t="shared" si="3"/>
        <v>0</v>
      </c>
      <c r="EK2" s="187">
        <f t="shared" si="3"/>
        <v>0</v>
      </c>
      <c r="EL2" s="187">
        <f t="shared" si="3"/>
        <v>0</v>
      </c>
      <c r="EM2" s="187">
        <f t="shared" si="3"/>
        <v>0</v>
      </c>
      <c r="EN2" s="188">
        <f t="shared" si="3"/>
        <v>0</v>
      </c>
      <c r="EO2" s="189">
        <f t="shared" si="3"/>
        <v>0</v>
      </c>
      <c r="EP2" s="189">
        <f t="shared" si="3"/>
        <v>0</v>
      </c>
      <c r="EQ2" s="189">
        <f t="shared" si="3"/>
        <v>0</v>
      </c>
      <c r="ER2" s="189">
        <f t="shared" si="3"/>
        <v>0</v>
      </c>
      <c r="ES2" s="189">
        <f t="shared" si="3"/>
        <v>0</v>
      </c>
      <c r="ET2" s="192">
        <f t="shared" si="3"/>
        <v>0</v>
      </c>
      <c r="EU2" s="187">
        <f t="shared" si="3"/>
        <v>14</v>
      </c>
      <c r="EV2" s="187">
        <f t="shared" si="3"/>
        <v>0</v>
      </c>
      <c r="EW2" s="188">
        <f t="shared" si="3"/>
        <v>4</v>
      </c>
      <c r="EX2" s="193"/>
      <c r="EY2" s="194"/>
      <c r="EZ2" s="195"/>
      <c r="FA2" s="195"/>
      <c r="FB2" s="195"/>
      <c r="FC2" s="196"/>
      <c r="FD2" s="197"/>
      <c r="FE2" s="198"/>
      <c r="FF2" s="199"/>
      <c r="FG2" s="196"/>
      <c r="FH2" s="195"/>
      <c r="FI2" s="195"/>
      <c r="FJ2" s="195"/>
      <c r="FK2" s="200"/>
      <c r="FL2" s="200"/>
      <c r="FM2" s="201"/>
      <c r="FN2" s="202" t="s">
        <v>11</v>
      </c>
      <c r="FO2" s="203" t="s">
        <v>11</v>
      </c>
      <c r="FP2" s="203" t="s">
        <v>11</v>
      </c>
      <c r="FQ2" s="203" t="s">
        <v>11</v>
      </c>
      <c r="FR2" s="203" t="s">
        <v>11</v>
      </c>
      <c r="FS2" s="203" t="s">
        <v>11</v>
      </c>
      <c r="FT2" s="203" t="s">
        <v>11</v>
      </c>
      <c r="FU2" s="203" t="s">
        <v>11</v>
      </c>
      <c r="FV2" s="203" t="s">
        <v>11</v>
      </c>
      <c r="FW2" s="203" t="s">
        <v>11</v>
      </c>
      <c r="FX2" s="203" t="s">
        <v>11</v>
      </c>
      <c r="FY2" s="203" t="s">
        <v>11</v>
      </c>
      <c r="FZ2" s="204" t="s">
        <v>11</v>
      </c>
      <c r="GA2" s="205"/>
      <c r="GB2" s="205"/>
      <c r="GC2" s="205"/>
      <c r="GD2" s="206"/>
      <c r="GE2" s="202" t="s">
        <v>11</v>
      </c>
      <c r="GF2" s="203" t="s">
        <v>11</v>
      </c>
      <c r="GG2" s="203" t="s">
        <v>11</v>
      </c>
      <c r="GH2" s="203" t="s">
        <v>11</v>
      </c>
      <c r="GI2" s="203" t="s">
        <v>11</v>
      </c>
      <c r="GJ2" s="203" t="s">
        <v>11</v>
      </c>
      <c r="GK2" s="203" t="s">
        <v>11</v>
      </c>
      <c r="GL2" s="203" t="s">
        <v>11</v>
      </c>
      <c r="GM2" s="203" t="s">
        <v>11</v>
      </c>
      <c r="GN2" s="203" t="s">
        <v>11</v>
      </c>
      <c r="GO2" s="203" t="s">
        <v>11</v>
      </c>
      <c r="GP2" s="203" t="s">
        <v>11</v>
      </c>
      <c r="GQ2" s="203" t="s">
        <v>11</v>
      </c>
      <c r="GR2" s="202" t="s">
        <v>11</v>
      </c>
      <c r="GS2" s="203" t="s">
        <v>11</v>
      </c>
      <c r="GT2" s="203" t="s">
        <v>11</v>
      </c>
      <c r="GU2" s="203" t="s">
        <v>11</v>
      </c>
      <c r="GV2" s="203" t="s">
        <v>11</v>
      </c>
      <c r="GW2" s="203" t="s">
        <v>11</v>
      </c>
      <c r="GX2" s="203" t="s">
        <v>11</v>
      </c>
      <c r="GY2" s="203" t="s">
        <v>11</v>
      </c>
      <c r="GZ2" s="203" t="s">
        <v>11</v>
      </c>
      <c r="HA2" s="203" t="s">
        <v>11</v>
      </c>
      <c r="HB2" s="203" t="s">
        <v>11</v>
      </c>
      <c r="HC2" s="203" t="s">
        <v>11</v>
      </c>
      <c r="HD2" s="204" t="s">
        <v>11</v>
      </c>
      <c r="HE2" s="207" t="s">
        <v>11</v>
      </c>
      <c r="HF2" s="208" t="s">
        <v>11</v>
      </c>
      <c r="HG2" s="208" t="s">
        <v>11</v>
      </c>
      <c r="HH2" s="208" t="s">
        <v>11</v>
      </c>
      <c r="HI2" s="208" t="s">
        <v>11</v>
      </c>
      <c r="HJ2" s="208" t="s">
        <v>11</v>
      </c>
      <c r="HK2" s="208" t="s">
        <v>11</v>
      </c>
      <c r="HL2" s="208" t="s">
        <v>11</v>
      </c>
      <c r="HM2" s="208" t="s">
        <v>11</v>
      </c>
      <c r="HN2" s="208" t="s">
        <v>11</v>
      </c>
      <c r="HO2" s="208" t="s">
        <v>11</v>
      </c>
      <c r="HP2" s="208" t="s">
        <v>11</v>
      </c>
      <c r="HQ2" s="210" t="s">
        <v>11</v>
      </c>
      <c r="HR2" s="211" t="s">
        <v>11</v>
      </c>
      <c r="HS2" s="212" t="s">
        <v>11</v>
      </c>
      <c r="HT2" s="212" t="s">
        <v>11</v>
      </c>
      <c r="HU2" s="212" t="s">
        <v>11</v>
      </c>
      <c r="HV2" s="212" t="s">
        <v>11</v>
      </c>
      <c r="HW2" s="212" t="s">
        <v>11</v>
      </c>
      <c r="HX2" s="212" t="s">
        <v>11</v>
      </c>
      <c r="HY2" s="212" t="s">
        <v>11</v>
      </c>
      <c r="HZ2" s="212" t="s">
        <v>11</v>
      </c>
      <c r="IA2" s="212" t="s">
        <v>11</v>
      </c>
      <c r="IB2" s="212" t="s">
        <v>11</v>
      </c>
      <c r="IC2" s="212" t="s">
        <v>11</v>
      </c>
      <c r="ID2" s="215" t="s">
        <v>11</v>
      </c>
      <c r="IE2" s="216" t="s">
        <v>11</v>
      </c>
      <c r="IF2" s="218" t="s">
        <v>11</v>
      </c>
      <c r="IG2" s="218" t="s">
        <v>11</v>
      </c>
      <c r="IH2" s="218" t="s">
        <v>11</v>
      </c>
      <c r="II2" s="218" t="s">
        <v>11</v>
      </c>
      <c r="IJ2" s="218" t="s">
        <v>11</v>
      </c>
      <c r="IK2" s="218" t="s">
        <v>11</v>
      </c>
      <c r="IL2" s="218" t="s">
        <v>11</v>
      </c>
      <c r="IM2" s="218" t="s">
        <v>11</v>
      </c>
      <c r="IN2" s="218" t="s">
        <v>11</v>
      </c>
      <c r="IO2" s="218" t="s">
        <v>11</v>
      </c>
      <c r="IP2" s="218" t="s">
        <v>11</v>
      </c>
      <c r="IQ2" s="219" t="s">
        <v>11</v>
      </c>
      <c r="IR2" s="211" t="s">
        <v>11</v>
      </c>
      <c r="IS2" s="212" t="s">
        <v>11</v>
      </c>
      <c r="IT2" s="212" t="s">
        <v>11</v>
      </c>
      <c r="IU2" s="212" t="s">
        <v>11</v>
      </c>
      <c r="IV2" s="212" t="s">
        <v>11</v>
      </c>
      <c r="IW2" s="212" t="s">
        <v>11</v>
      </c>
      <c r="IX2" s="212" t="s">
        <v>11</v>
      </c>
      <c r="IY2" s="212" t="s">
        <v>11</v>
      </c>
      <c r="IZ2" s="212" t="s">
        <v>11</v>
      </c>
      <c r="JA2" s="212" t="s">
        <v>11</v>
      </c>
      <c r="JB2" s="212" t="s">
        <v>11</v>
      </c>
      <c r="JC2" s="212" t="s">
        <v>11</v>
      </c>
      <c r="JD2" s="215" t="s">
        <v>11</v>
      </c>
      <c r="JE2" s="201"/>
      <c r="JF2" s="220"/>
      <c r="JG2" s="206"/>
      <c r="JH2" s="206"/>
      <c r="JI2" s="206"/>
      <c r="JJ2" s="206"/>
      <c r="JK2" s="206"/>
      <c r="JL2" s="206"/>
      <c r="JM2" s="206"/>
      <c r="JN2" s="206"/>
      <c r="JO2" s="206"/>
      <c r="JP2" s="206"/>
    </row>
    <row r="3" ht="19.5" customHeight="1">
      <c r="A3" s="221" t="s">
        <v>118</v>
      </c>
      <c r="B3" s="222">
        <v>1.0</v>
      </c>
      <c r="C3" s="223" t="s">
        <v>208</v>
      </c>
      <c r="D3" s="224">
        <v>10.0</v>
      </c>
      <c r="E3" s="225" t="str">
        <f t="shared" ref="E3:E34" si="5">IF(AP3=0,"[UQ]",AP3)</f>
        <v>[UQ]</v>
      </c>
      <c r="F3" s="227">
        <f t="shared" ref="F3:F34" si="6">(LEN(I3))-1</f>
        <v>7</v>
      </c>
      <c r="G3" s="229">
        <f t="shared" ref="G3:G34" si="7">len(C3)-len(SUBSTITUTE(C3,"-",""))</f>
        <v>7</v>
      </c>
      <c r="H3" s="230">
        <f t="shared" ref="H3:H34" si="8">F3-G3</f>
        <v>0</v>
      </c>
      <c r="I3" s="233" t="str">
        <f t="shared" ref="I3:I34" si="9">SUBSTITUTE(C3,"-","")</f>
        <v>SRGMPDNS</v>
      </c>
      <c r="J3" s="234" t="str">
        <f>IFERROR(__xludf.DUMMYFUNCTION("IF(REGEXMATCH(I3, ""S""), ""S"","""")"),"S")</f>
        <v>S</v>
      </c>
      <c r="K3" s="236" t="str">
        <f>IFERROR(__xludf.DUMMYFUNCTION("IF(REGEXMATCH(I3, ""r""), ""r"","""")"),"")</f>
        <v/>
      </c>
      <c r="L3" s="237" t="str">
        <f>IFERROR(__xludf.DUMMYFUNCTION("IF(REGEXMATCH(I3, ""R""), ""R"","""")"),"R")</f>
        <v>R</v>
      </c>
      <c r="M3" s="237" t="str">
        <f>IFERROR(__xludf.DUMMYFUNCTION("IF(REGEXMATCH(I3, ""g""), ""g"","""")"),"")</f>
        <v/>
      </c>
      <c r="N3" s="236" t="str">
        <f>IFERROR(__xludf.DUMMYFUNCTION("IF(REGEXMATCH(I3, ""G""), ""G"","""")"),"G")</f>
        <v>G</v>
      </c>
      <c r="O3" s="236" t="str">
        <f>IFERROR(__xludf.DUMMYFUNCTION("IF(REGEXMATCH(I3, ""m""), ""m"","""")"),"")</f>
        <v/>
      </c>
      <c r="P3" s="237" t="str">
        <f>IFERROR(__xludf.DUMMYFUNCTION("IF(REGEXMATCH(I3, ""M""), ""M"","""")"),"M")</f>
        <v>M</v>
      </c>
      <c r="Q3" s="236" t="str">
        <f>IFERROR(__xludf.DUMMYFUNCTION("IF(REGEXMATCH(I3, ""P""), ""P"","""")"),"P")</f>
        <v>P</v>
      </c>
      <c r="R3" s="237" t="str">
        <f>IFERROR(__xludf.DUMMYFUNCTION("IF(REGEXMATCH(I3, ""d""), ""d"","""")"),"")</f>
        <v/>
      </c>
      <c r="S3" s="236" t="str">
        <f>IFERROR(__xludf.DUMMYFUNCTION("IF(REGEXMATCH(I3, ""D""), ""D"","""")"),"D")</f>
        <v>D</v>
      </c>
      <c r="T3" s="236" t="str">
        <f>IFERROR(__xludf.DUMMYFUNCTION("IF(REGEXMATCH(I3, ""n""), ""n"","""")"),"")</f>
        <v/>
      </c>
      <c r="U3" s="237" t="str">
        <f>IFERROR(__xludf.DUMMYFUNCTION("IF(REGEXMATCH(I3, ""N""), ""N"","""")"),"N")</f>
        <v>N</v>
      </c>
      <c r="V3" s="238" t="str">
        <f>IFERROR(__xludf.DUMMYFUNCTION("IF(REGEXMATCH(I3, ""S""), ""S"","""")"),"S")</f>
        <v>S</v>
      </c>
      <c r="W3" s="239" t="str">
        <f>IFERROR(__xludf.DUMMYFUNCTION("SUBSTITUTE(CONCATENATE(JOIN(""-"",J3:P3)),""-"","""")"),"SRGM")</f>
        <v>SRGM</v>
      </c>
      <c r="X3" s="229" t="str">
        <f>IFERROR(__xludf.DUMMYFUNCTION("SUBSTITUTE(CONCATENATE(JOIN(""-"",Q3:V3)),""-"","""")"),"PDNS")</f>
        <v>PDNS</v>
      </c>
      <c r="Y3" s="237" t="str">
        <f t="shared" ref="Y3:Y34" si="10">SUBSTITUTE(SUBSTITUTE(SUBSTITUTE(SUBSTITUTE(UPPER(SUBSTITUTE(SUBSTITUTE(SUBSTITUTE(W3,"rR","R"),"gG","G"),"mM","M")),"S","S-"),"R","R-"),"G","G-"),"M","M")</f>
        <v>S-R-G-M</v>
      </c>
      <c r="Z3" s="237" t="str">
        <f t="shared" ref="Z3:Z34" si="11">SUBSTITUTE(SUBSTITUTE(SUBSTITUTE(SUBSTITUTE(UPPER(SUBSTITUTE(SUBSTITUTE(X3,"dD","D"),"nN","N")),"P","P-"),"D","D-"),"N","N-"),"S","S")</f>
        <v>P-D-N-S</v>
      </c>
      <c r="AA3" s="242" t="str">
        <f t="shared" ref="AA3:AA34" si="12">SUBSTITUTE(SUBSTITUTE(I3,"S",""),"P","")</f>
        <v>RGMDN</v>
      </c>
      <c r="AB3" s="244" t="str">
        <f>IFERROR(__xludf.DUMMYFUNCTION("IF(REGEXMATCH(I3, ""S""), ""0"","""")"),"0")</f>
        <v>0</v>
      </c>
      <c r="AC3" s="245" t="str">
        <f>IFERROR(__xludf.DUMMYFUNCTION("IF(REGEXMATCH(I3, ""r""), ""1"","""")"),"")</f>
        <v/>
      </c>
      <c r="AD3" s="246" t="str">
        <f>IFERROR(__xludf.DUMMYFUNCTION("IF(REGEXMATCH(I3, ""R""), ""2"","""")"),"2")</f>
        <v>2</v>
      </c>
      <c r="AE3" s="246" t="str">
        <f>IFERROR(__xludf.DUMMYFUNCTION("IF(REGEXMATCH(I3, ""g""), ""3"","""")"),"")</f>
        <v/>
      </c>
      <c r="AF3" s="245" t="str">
        <f>IFERROR(__xludf.DUMMYFUNCTION("IF(REGEXMATCH(I3, ""G""), ""4"","""")"),"4")</f>
        <v>4</v>
      </c>
      <c r="AG3" s="245" t="str">
        <f>IFERROR(__xludf.DUMMYFUNCTION("IF(REGEXMATCH(I3, ""m""), ""5"","""")"),"")</f>
        <v/>
      </c>
      <c r="AH3" s="246" t="str">
        <f>IFERROR(__xludf.DUMMYFUNCTION("IF(REGEXMATCH(I3, ""M""), ""6"","""")"),"6")</f>
        <v>6</v>
      </c>
      <c r="AI3" s="245" t="str">
        <f>IFERROR(__xludf.DUMMYFUNCTION("IF(REGEXMATCH(I3, ""P""), ""7"","""")"),"7")</f>
        <v>7</v>
      </c>
      <c r="AJ3" s="246" t="str">
        <f>IFERROR(__xludf.DUMMYFUNCTION("IF(REGEXMATCH(I3, ""d""), ""8"","""")"),"")</f>
        <v/>
      </c>
      <c r="AK3" s="245" t="str">
        <f>IFERROR(__xludf.DUMMYFUNCTION("IF(REGEXMATCH(I3, ""D""), ""9"","""")"),"9")</f>
        <v>9</v>
      </c>
      <c r="AL3" s="245" t="str">
        <f>IFERROR(__xludf.DUMMYFUNCTION("IF(REGEXMATCH(I3, ""n""), ""10"","""")"),"")</f>
        <v/>
      </c>
      <c r="AM3" s="246" t="str">
        <f>IFERROR(__xludf.DUMMYFUNCTION("IF(REGEXMATCH(I3, ""N""), ""11"","""")"),"11")</f>
        <v>11</v>
      </c>
      <c r="AN3" s="249" t="str">
        <f>IFERROR(__xludf.DUMMYFUNCTION("IF(REGEXMATCH(I3, ""S""), ""0"","""")"),"0")</f>
        <v>0</v>
      </c>
      <c r="AO3" s="250" t="str">
        <f>IFERROR(__xludf.DUMMYFUNCTION("SUBSTITUTE(SUBSTITUTE(SUBSTITUTE(SUBSTITUTE(CONCATENATE(JOIN(""-"",AB3:AN3)),""--"",""-""),""--"",""-""),""--"",""-""),""--"",""-"")"),"0-2-4-6-7-9-11-0")</f>
        <v>0-2-4-6-7-9-11-0</v>
      </c>
      <c r="AP3" s="251">
        <f t="shared" ref="AP3:AP34" si="13">countif(AO:AO,AO3)-1</f>
        <v>0</v>
      </c>
      <c r="AQ3" s="234" t="str">
        <f t="shared" ref="AQ3:AQ34" si="14">IF(AB3="0","|","-")</f>
        <v>|</v>
      </c>
      <c r="AR3" s="236" t="str">
        <f t="shared" ref="AR3:AR34" si="15">IF(AC3="1","|","-")</f>
        <v>-</v>
      </c>
      <c r="AS3" s="237" t="str">
        <f t="shared" ref="AS3:AS34" si="16">IF(AD3="2","|","-")</f>
        <v>|</v>
      </c>
      <c r="AT3" s="236" t="str">
        <f t="shared" ref="AT3:AT34" si="17">IF(AE3="3","|","-")</f>
        <v>-</v>
      </c>
      <c r="AU3" s="237" t="str">
        <f t="shared" ref="AU3:AU34" si="18">IF(AF3="4","|","-")</f>
        <v>|</v>
      </c>
      <c r="AV3" s="236" t="str">
        <f t="shared" ref="AV3:AV34" si="19">IF(AG3="5","|","-")</f>
        <v>-</v>
      </c>
      <c r="AW3" s="237" t="str">
        <f t="shared" ref="AW3:AW34" si="20">IF(AH3="6","|","-")</f>
        <v>|</v>
      </c>
      <c r="AX3" s="236" t="str">
        <f t="shared" ref="AX3:AX34" si="21">IF(AI3="7","|","-")</f>
        <v>|</v>
      </c>
      <c r="AY3" s="237" t="str">
        <f t="shared" ref="AY3:AY34" si="22">IF(AJ3="8","|","-")</f>
        <v>-</v>
      </c>
      <c r="AZ3" s="236" t="str">
        <f t="shared" ref="AZ3:AZ34" si="23">IF(AK3="9","|","-")</f>
        <v>|</v>
      </c>
      <c r="BA3" s="237" t="str">
        <f t="shared" ref="BA3:BA34" si="24">IF(AL3="10","|","-")</f>
        <v>-</v>
      </c>
      <c r="BB3" s="236" t="str">
        <f t="shared" ref="BB3:BB34" si="25">IF(AM3="11","|","-")</f>
        <v>|</v>
      </c>
      <c r="BC3" s="238" t="str">
        <f t="shared" ref="BC3:BC34" si="26">IF(AN3="0","|","-")</f>
        <v>|</v>
      </c>
      <c r="BD3" s="250" t="str">
        <f>IFERROR(__xludf.DUMMYFUNCTION("SUBSTITUTE(SUBSTITUTE(CONCATENATE(JOIN("""",AQ3:BB3)),""|"",""x""),""-"",""o"")"),"xoxoxoxxoxox")</f>
        <v>xoxoxoxxoxox</v>
      </c>
      <c r="BE3" s="255" t="str">
        <f>IFERROR(__xludf.DUMMYFUNCTION("JOIN("""",BD3,BD3)"),"xoxoxoxxoxoxxoxoxoxxoxox")</f>
        <v>xoxoxoxxoxoxxoxoxoxxoxox</v>
      </c>
      <c r="BF3" s="256" t="str">
        <f>IFERROR(__xludf.DUMMYFUNCTION("JOIN("""",ArrayFormula(MID(BD3,LEN(BD3)-SEQUENCE(1,LEN(BD3))+1,1)))"),"xoxoxxoxoxox")</f>
        <v>xoxoxxoxoxox</v>
      </c>
      <c r="BG3" s="257" t="str">
        <f>IFERROR(__xludf.DUMMYFUNCTION("LEFT(CONCATENATE(""x"",JOIN("""",ArrayFormula(MID(BD3,LEN(BD3)-SEQUENCE(1,LEN(BD3))+1,1)))),12)"),"xxoxoxxoxoxo")</f>
        <v>xxoxoxxoxoxo</v>
      </c>
      <c r="BH3" s="258" t="str">
        <f>IFERROR(__xludf.DUMMYFUNCTION("JOIN("""",BF3,BF3)"),"xoxoxxoxoxoxxoxoxxoxoxox")</f>
        <v>xoxoxxoxoxoxxoxoxxoxoxox</v>
      </c>
      <c r="BI3" s="239" t="str">
        <f>IFERROR(__xludf.DUMMYFUNCTION("IF(REGEXMATCH(BH3,BD3),""✔"",""-"")"),"✔")</f>
        <v>✔</v>
      </c>
      <c r="BJ3" s="229" t="str">
        <f t="shared" ref="BJ3:BJ34" si="27">IF(BD3=BG3,"✔","-")</f>
        <v>-</v>
      </c>
      <c r="BK3" s="260" t="str">
        <f t="shared" ref="BK3:BK34" si="28">IF(BM3=BN3,"-","✔")</f>
        <v>-</v>
      </c>
      <c r="BL3" s="261" t="str">
        <f>IFERROR(__xludf.DUMMYFUNCTION("IF(BO3=0,""(n/a)"",IF(BP3=2,""(PAIR)"",IF(REGEXMATCH(BE3,""xoxoxxoxoxox""),""Bilawal"",IF(REGEXMATCH(BE3,""xoxoxooxoxoo""),""Bhupali"",IF(REGEXMATCH(BE3,""xoxoxxoxxoxo""),""Charukeshi"",IF(REGEXMATCH(BE3,""xoxoooxxoxxo""),""Kameshwari"",IF(REGEXMATCH(BE3,"&amp;"""xoxoxooxoxox""),""Shankara"",IF(REGEXMATCH(BE3,""xxooxoxxxoox""),""Basant"",IF(REGEXMATCH(BE3,""xoxoxxxxoxox""),""Bihag"",IF(REGEXMATCH(BE3,""xoxxxxoxoxxx""),""Pilu"",IF(REGEXMATCH(BE3,""xoxxoxoxxoox""),""Kirwani"",IF(REGEXMATCH(BE3,""xoxxoxoxoxxx""),"""&amp;"Mk.Malhar"",IF(REGEXMATCH(BE3,""xxooxxoxxoox""),""Bhairav"",IF(REGEXMATCH(BE3,""xxoxooxxxoox""),""Todi"",IF(REGEXMATCH(BE3,""xxooxoxooxox""),""Marwa"",IF(REGEXMATCH(BE3,""xxoooxoxxooo""),""Gunkali"",IF(REGEXMATCH(BE3,""xoxoxxoxxoox""),""Nat Bhairav"",IF(R"&amp;"EGEXMATCH(BE3,""xoxxoooxoxoo""),""Shivranjani"",IF(REGEXMATCH(BE3,""xooxxxoxooxo""),""Jog"",IF(REGEXMATCH(BE3,""xxooxoxoxoox""),""Hemshri"",IF(REGEXMATCH(BE3,""xoooxooxoxxo""),""Kalavati"",IF(REGEXMATCH(BE3,""xxoxoxxoxoox""),""Kedar"",IF(REGEXMATCH(BE3,"""&amp;"xoxxxxoxooxx""),""Gara"",IF(REGEXMATCH(BE3,""xooxoxooxoox""),""Chandrakauns"",IF(REGEXMATCH(BE3,""xoxxxxoxxxox""),""Mand"",IF(REGEXMATCH(BE3,""xoxxxxoxoxox""),""Hanskinkini"",IF(REGEXMATCH(BE3,""xxooxxoxooxo""),""Lilavati"",IF(REGEXMATCH(BE3,""xooxoxoooxo"&amp;"x""),""Rajeshwari"",IF(REGEXMATCH(BE3,""xoooxxoxoxxx""),""Khokar"",IF(REGEXMATCH(BE3,""xxooxoxxxxox""),""Maligoura"",""-""))))))))))))))))))))))))))))))"),"Bilawal")</f>
        <v>Bilawal</v>
      </c>
      <c r="BM3" s="239">
        <f t="shared" ref="BM3:BM34" si="29">F3-1</f>
        <v>6</v>
      </c>
      <c r="BN3" s="229">
        <f>IFERROR(__xludf.DUMMYFUNCTION("COUNTUNIQUE(BR3:CB3)-1"),6.0)</f>
        <v>6</v>
      </c>
      <c r="BO3" s="229">
        <f>IFERROR(__xludf.DUMMYFUNCTION("COUNTUNIQUE(FILTER(BE:BE,REGEXMATCH(BE:BE,BD3)))-1"),5.0)</f>
        <v>5</v>
      </c>
      <c r="BP3" s="229">
        <f>IFERROR(__xludf.DUMMYFUNCTION("COUNTA(FILTER(BE:BE,REGEXMATCH(BE:BE,BD3)))"),6.0)</f>
        <v>6</v>
      </c>
      <c r="BQ3" s="267">
        <f>IFERROR(__xludf.DUMMYFUNCTION("COUNTA(FILTER(BE:BE,REGEXMATCH(BE:BE,BD3)))-AP3"),6.0)</f>
        <v>6</v>
      </c>
      <c r="BR3" s="269" t="str">
        <f t="shared" ref="BR3:BR34" si="30">IF(LEFT(MID(BE3,2,11))&lt;&gt;"o",MID(BE3,2,11),"-")</f>
        <v>-</v>
      </c>
      <c r="BS3" s="270" t="str">
        <f t="shared" ref="BS3:BS34" si="31">IF(LEFT(MID(BE3,3,11))&lt;&gt;"o",MID(BE3,3,11),"-")</f>
        <v>xoxoxxoxoxx</v>
      </c>
      <c r="BT3" s="271" t="str">
        <f t="shared" ref="BT3:BT34" si="32">IF(LEFT(MID(BE3,4,11))&lt;&gt;"o",MID(BE3,4,11),"-")</f>
        <v>-</v>
      </c>
      <c r="BU3" s="270" t="str">
        <f t="shared" ref="BU3:BU34" si="33">IF(LEFT(MID(BE3,5,11))&lt;&gt;"o",MID(BE3,5,11),"-")</f>
        <v>xoxxoxoxxox</v>
      </c>
      <c r="BV3" s="271" t="str">
        <f t="shared" ref="BV3:BV34" si="34">IF(LEFT(MID(BE3,6,11))&lt;&gt;"o",MID(BE3,6,11),"-")</f>
        <v>-</v>
      </c>
      <c r="BW3" s="271" t="str">
        <f t="shared" ref="BW3:BW34" si="35">IF(LEFT(MID(BE3,7,11))&lt;&gt;"o",MID(BE3,7,11),"-")</f>
        <v>xxoxoxxoxox</v>
      </c>
      <c r="BX3" s="271" t="str">
        <f t="shared" ref="BX3:BX34" si="36">IF(LEFT(MID(BE3,8,11))&lt;&gt;"o",MID(BE3,8,11),"-")</f>
        <v>xoxoxxoxoxo</v>
      </c>
      <c r="BY3" s="271" t="str">
        <f t="shared" ref="BY3:BY34" si="37">IF(LEFT(MID(BE3,9,11))&lt;&gt;"o",MID(BE3,9,11),"-")</f>
        <v>-</v>
      </c>
      <c r="BZ3" s="271" t="str">
        <f t="shared" ref="BZ3:BZ34" si="38">IF(LEFT(MID(BE3,10,11))&lt;&gt;"o",MID(BE3,10,11),"-")</f>
        <v>xoxxoxoxoxx</v>
      </c>
      <c r="CA3" s="271" t="str">
        <f t="shared" ref="CA3:CA34" si="39">IF(LEFT(MID(BE3,11,11))&lt;&gt;"o",MID(BE3,11,11),"-")</f>
        <v>-</v>
      </c>
      <c r="CB3" s="274" t="str">
        <f t="shared" ref="CB3:CB34" si="40">IF(LEFT(MID(BE3,12,11))&lt;&gt;"o",MID(BE3,12,11),"-")</f>
        <v>xxoxoxoxxox</v>
      </c>
      <c r="CC3" s="276" t="str">
        <f>IFERROR(__xludf.DUMMYFUNCTION("IF(BD3=""oooooooooooo"",""-"",IF(REGEXMATCH(BE3,""xx""), ""Hemi."", ""Anhemi.""))"),"Hemi.")</f>
        <v>Hemi.</v>
      </c>
      <c r="CD3" s="237" t="str">
        <f>IFERROR(__xludf.DUMMYFUNCTION("IF(BD3=""oooooooooooo"",""-"",IF(REGEXMATCH(BE3,""xxx""), ""Cohem."", ""-""))"),"-")</f>
        <v>-</v>
      </c>
      <c r="CE3" s="237" t="str">
        <f>IFERROR(__xludf.DUMMYFUNCTION("IF(BD3=""oooooooooooo"",""-"",IF(REGEXMATCH(BE3,""xxxx""), ""Co-Co."", ""-""))"),"-")</f>
        <v>-</v>
      </c>
      <c r="CF3" s="279" t="str">
        <f>IFERROR(__xludf.DUMMYFUNCTION("IF(BD3=""oooooooooooo"",""-"",IF(REGEXMATCH(BE3,""xxxxx""), ""CCC."", ""-""))"),"-")</f>
        <v>-</v>
      </c>
      <c r="CG3" s="282" t="str">
        <f t="shared" ref="CG3:CG34" si="41">IF(BD3="xoxoxoxxoxox","Kalyan",
IF(BD3="xoxoxxoxoxox","Bilawal",
IF(BD3="xoxoxxoxoxxo","Khamaj",
IF(BD3="xoxxoxoxoxxo","Kafi",
IF(BD3="xoxxoxoxxoxo","Asavari",
IF(BD3="xxoxoxoxxoxo","Bhairavi",
IF(BD3="xxooxxoxxoox","Bhairav",
IF(BD3="xxooxoxxoxox","Marwa",
IF(BD3="xxooxoxxxoox","Poorvi",
IF(BD3="xxoxooxxxoox","Todi","-"))))))))))
</f>
        <v>Kalyan</v>
      </c>
      <c r="CH3" s="237" t="str">
        <f>IFERROR(__xludf.DUMMYFUNCTION("IF(REGEXMATCH(JOIN(""-"",CJ3:CS3),""TRUE""),""✔"",""-"")"),"✔")</f>
        <v>✔</v>
      </c>
      <c r="CI3" s="287">
        <f t="shared" ref="CI3:CI34" si="42">countif(CJ3:CS3,TRUE)</f>
        <v>1</v>
      </c>
      <c r="CJ3" s="289" t="b">
        <f>IFERROR(__xludf.DUMMYFUNCTION("arrayformula(sum(--REGEXMATCH(""SRGMPDNS"",split(REGEXREPLACE(I3,""(.)"",""$1~""),""~""))))=len(I3)
"),TRUE)</f>
        <v>1</v>
      </c>
      <c r="CK3" s="290" t="b">
        <f>IFERROR(__xludf.DUMMYFUNCTION("arrayformula(sum(--REGEXMATCH(""SRGmPDNS"",split(REGEXREPLACE(I3,""(.)"",""$1~""),""~""))))=len(I3)"),FALSE)</f>
        <v>0</v>
      </c>
      <c r="CL3" s="290" t="b">
        <f>IFERROR(__xludf.DUMMYFUNCTION("arrayformula(sum(--REGEXMATCH(""SRGmPDnS"",split(REGEXREPLACE(I3,""(.)"",""$1~""),""~""))))=len(I3)"),FALSE)</f>
        <v>0</v>
      </c>
      <c r="CM3" s="290" t="b">
        <f>IFERROR(__xludf.DUMMYFUNCTION("arrayformula(sum(--REGEXMATCH(""SRgmPDnS"",split(REGEXREPLACE(I3,""(.)"",""$1~""),""~""))))=len(I3)"),FALSE)</f>
        <v>0</v>
      </c>
      <c r="CN3" s="290" t="b">
        <f>IFERROR(__xludf.DUMMYFUNCTION("arrayformula(sum(--REGEXMATCH(""SRgmPdnS"",split(REGEXREPLACE(I3,""(.)"",""$1~""),""~""))))=len(I3)"),FALSE)</f>
        <v>0</v>
      </c>
      <c r="CO3" s="290" t="b">
        <f>IFERROR(__xludf.DUMMYFUNCTION("arrayformula(sum(--REGEXMATCH(""SrgmPdnS"",split(REGEXREPLACE(I3,""(.)"",""$1~""),""~""))))=len(I3)"),FALSE)</f>
        <v>0</v>
      </c>
      <c r="CP3" s="290" t="b">
        <f>IFERROR(__xludf.DUMMYFUNCTION("arrayformula(sum(--REGEXMATCH(""SrGmPdNS"",split(REGEXREPLACE(I3,""(.)"",""$1~""),""~""))))=len(I3)"),FALSE)</f>
        <v>0</v>
      </c>
      <c r="CQ3" s="290" t="b">
        <f>IFERROR(__xludf.DUMMYFUNCTION("arrayformula(sum(--REGEXMATCH(""SrGMPDNS"",split(REGEXREPLACE(I3,""(.)"",""$1~""),""~""))))=len(I3)"),FALSE)</f>
        <v>0</v>
      </c>
      <c r="CR3" s="290" t="b">
        <f>IFERROR(__xludf.DUMMYFUNCTION("arrayformula(sum(--REGEXMATCH(""SrGMPdNS"",split(REGEXREPLACE(I3,""(.)"",""$1~""),""~""))))=len(I3)"),FALSE)</f>
        <v>0</v>
      </c>
      <c r="CS3" s="293" t="b">
        <f>IFERROR(__xludf.DUMMYFUNCTION("arrayformula(sum(--REGEXMATCH(""SrgMPdNS"",split(REGEXREPLACE(I3,""(.)"",""$1~""),""~""))))=len(I3)"),FALSE)</f>
        <v>0</v>
      </c>
      <c r="CT3" s="244" t="str">
        <f>IFERROR(__xludf.DUMMYFUNCTION("IF(REGEXMATCH(I3, ""S""), ""1"","""")"),"1")</f>
        <v>1</v>
      </c>
      <c r="CU3" s="245" t="str">
        <f>IFERROR(__xludf.DUMMYFUNCTION("IF(REGEXMATCH(I3, ""r""), ""b2"","""")"),"")</f>
        <v/>
      </c>
      <c r="CV3" s="246" t="str">
        <f>IFERROR(__xludf.DUMMYFUNCTION("IF(REGEXMATCH(I3, ""R""), ""2"","""")"),"2")</f>
        <v>2</v>
      </c>
      <c r="CW3" s="246" t="str">
        <f>IFERROR(__xludf.DUMMYFUNCTION("IF(REGEXMATCH(I3, ""g""), ""b3"","""")"),"")</f>
        <v/>
      </c>
      <c r="CX3" s="245" t="str">
        <f>IFERROR(__xludf.DUMMYFUNCTION("IF(REGEXMATCH(I3, ""G""), ""3"","""")"),"3")</f>
        <v>3</v>
      </c>
      <c r="CY3" s="245" t="str">
        <f>IFERROR(__xludf.DUMMYFUNCTION("IF(REGEXMATCH(I3, ""m""), ""4"","""")"),"")</f>
        <v/>
      </c>
      <c r="CZ3" s="246" t="str">
        <f>IFERROR(__xludf.DUMMYFUNCTION("IF(REGEXMATCH(I3, ""M""), ""#4"","""")"),"#4")</f>
        <v>#4</v>
      </c>
      <c r="DA3" s="245" t="str">
        <f>IFERROR(__xludf.DUMMYFUNCTION("IF(REGEXMATCH(I3, ""P""), ""5"","""")"),"5")</f>
        <v>5</v>
      </c>
      <c r="DB3" s="246" t="str">
        <f>IFERROR(__xludf.DUMMYFUNCTION("IF(REGEXMATCH(I3, ""d""), ""b6"","""")"),"")</f>
        <v/>
      </c>
      <c r="DC3" s="245" t="str">
        <f>IFERROR(__xludf.DUMMYFUNCTION("IF(REGEXMATCH(I3, ""D""), ""6"","""")"),"6")</f>
        <v>6</v>
      </c>
      <c r="DD3" s="245" t="str">
        <f>IFERROR(__xludf.DUMMYFUNCTION("IF(REGEXMATCH(I3, ""n""), ""b7"","""")"),"")</f>
        <v/>
      </c>
      <c r="DE3" s="246" t="str">
        <f>IFERROR(__xludf.DUMMYFUNCTION("IF(REGEXMATCH(I3, ""N""), ""7"","""")"),"7")</f>
        <v>7</v>
      </c>
      <c r="DF3" s="249" t="str">
        <f>IFERROR(__xludf.DUMMYFUNCTION("IF(REGEXMATCH(I3, ""S""), ""8"","""")"),"8")</f>
        <v>8</v>
      </c>
      <c r="DG3" s="244" t="str">
        <f>IFERROR(__xludf.DUMMYFUNCTION("IF(REGEXMATCH(I3, ""S""), ""S"","""")"),"S")</f>
        <v>S</v>
      </c>
      <c r="DH3" s="294" t="str">
        <f>IFERROR(__xludf.DUMMYFUNCTION("IF(REGEXMATCH(I3, ""r""), ""R1"","""")"),"")</f>
        <v/>
      </c>
      <c r="DI3" s="295" t="str">
        <f>IFERROR(__xludf.DUMMYFUNCTION("IF(REGEXMATCH(I3, ""R""), ""R2"","""")"),"R2")</f>
        <v>R2</v>
      </c>
      <c r="DJ3" s="295" t="str">
        <f>IFERROR(__xludf.DUMMYFUNCTION("IF(REGEXMATCH(I3, ""g""), ""G2"","""")"),"")</f>
        <v/>
      </c>
      <c r="DK3" s="294" t="str">
        <f>IFERROR(__xludf.DUMMYFUNCTION("IF(REGEXMATCH(I3, ""G""), ""G3"","""")"),"G3")</f>
        <v>G3</v>
      </c>
      <c r="DL3" s="294" t="str">
        <f>IFERROR(__xludf.DUMMYFUNCTION("IF(REGEXMATCH(I3, ""m""), ""M1"","""")"),"")</f>
        <v/>
      </c>
      <c r="DM3" s="295" t="str">
        <f>IFERROR(__xludf.DUMMYFUNCTION("IF(REGEXMATCH(I3, ""M""), ""M2"","""")"),"M2")</f>
        <v>M2</v>
      </c>
      <c r="DN3" s="294" t="str">
        <f>IFERROR(__xludf.DUMMYFUNCTION("IF(REGEXMATCH(I3, ""P""), ""P"","""")"),"P")</f>
        <v>P</v>
      </c>
      <c r="DO3" s="295" t="str">
        <f>IFERROR(__xludf.DUMMYFUNCTION("IF(REGEXMATCH(I3, ""d""), ""D1"","""")"),"")</f>
        <v/>
      </c>
      <c r="DP3" s="294" t="str">
        <f>IFERROR(__xludf.DUMMYFUNCTION("IF(REGEXMATCH(I3, ""D""), ""D2"","""")"),"D2")</f>
        <v>D2</v>
      </c>
      <c r="DQ3" s="294" t="str">
        <f>IFERROR(__xludf.DUMMYFUNCTION("IF(REGEXMATCH(I3, ""n""), ""N2"","""")"),"")</f>
        <v/>
      </c>
      <c r="DR3" s="295" t="str">
        <f>IFERROR(__xludf.DUMMYFUNCTION("IF(REGEXMATCH(I3, ""N""), ""N3"","""")"),"N3")</f>
        <v>N3</v>
      </c>
      <c r="DS3" s="249" t="str">
        <f>IFERROR(__xludf.DUMMYFUNCTION("IF(REGEXMATCH(I3, ""S""), ""S"","""")"),"S")</f>
        <v>S</v>
      </c>
      <c r="DT3" s="299" t="str">
        <f>IFERROR(__xludf.DUMMYFUNCTION("SUBSTITUTE(SUBSTITUTE(SUBSTITUTE(SUBSTITUTE(CONCATENATE(JOIN(""-"",CT3:DF3)),""--"",""-""),""--"",""-""),""--"",""-""),""--"",""-"")"),"1-2-3-#4-5-6-7-8")</f>
        <v>1-2-3-#4-5-6-7-8</v>
      </c>
      <c r="DU3" s="299" t="str">
        <f>IFERROR(__xludf.DUMMYFUNCTION("SUBSTITUTE(SUBSTITUTE(SUBSTITUTE(SUBSTITUTE(CONCATENATE(JOIN(""-"",DG3:DS3)),""--"",""-""),""--"",""-""),""--"",""-""),""--"",""-"")"),"S-R2-G3-M2-P-D2-N3-S")</f>
        <v>S-R2-G3-M2-P-D2-N3-S</v>
      </c>
      <c r="DV3" s="300" t="str">
        <f t="shared" ref="DV3:DV34" si="43">SUBSTITUTE(SUBSTITUTE(SUBSTITUTE(SUBSTITUTE(SUBSTITUTE(SUBSTITUTE(SUBSTITUTE(SUBSTITUTE(SUBSTITUTE(SUBSTITUTE(SUBSTITUTE(SUBSTITUTE(SUBSTITUTE(SUBSTITUTE(DT3,"1","C"),"b2","Db"),"2","D"),"b3","Eb"),"3","E"),"4","F"),"#4","F#"),"5","G"),"b6","Ab"),"6","A"),"b7","Bb"),"7","B"),"8","C"),"#F","F#")</f>
        <v>C-D-E-F#-G-A-B-C</v>
      </c>
      <c r="DW3" s="301">
        <f t="shared" ref="DW3:DW34" si="44">F3</f>
        <v>7</v>
      </c>
      <c r="DX3" s="302" t="str">
        <f t="shared" ref="DX3:DX34" si="45">IF(G3=5,"Audav",IF(G3=6,"Shadav",IF(G3=7,"Sampurna","-")))</f>
        <v>Sampurna</v>
      </c>
      <c r="DY3" s="303" t="str">
        <f t="shared" ref="DY3:DZ3" si="4">SUBSTITUTE(Y3,"-","")</f>
        <v>SRGM</v>
      </c>
      <c r="DZ3" s="303" t="str">
        <f t="shared" si="4"/>
        <v>PDNS</v>
      </c>
      <c r="EA3" s="304" t="str">
        <f t="shared" ref="EA3:EA34" si="47">BL3</f>
        <v>Bilawal</v>
      </c>
      <c r="EB3" s="303" t="str">
        <f t="shared" ref="EB3:EB34" si="48">CC3</f>
        <v>Hemi.</v>
      </c>
      <c r="EC3" s="305" t="str">
        <f t="shared" ref="EC3:EC34" si="49">IF(CF3="CCC.",CF3,IF(CE3="Co-Co.",CE3,IF(CD3="Cohem.",CD3,"-")))</f>
        <v>-</v>
      </c>
      <c r="ED3" s="306" t="str">
        <f t="shared" ref="ED3:ED34" si="50">CG3</f>
        <v>Kalyan</v>
      </c>
      <c r="EE3" s="307" t="str">
        <f t="shared" ref="EE3:EE34" si="51">IF(CONCATENATE(ED3,CH3)="-✔","✔","-")</f>
        <v>-</v>
      </c>
      <c r="EF3" s="308" t="str">
        <f t="shared" ref="EF3:EF34" si="52">IF(CI3=0,"✔","-")</f>
        <v>-</v>
      </c>
      <c r="EG3" s="306" t="str">
        <f t="shared" ref="EG3:EG34" si="53">IF(CONCATENATE(K3,M3,P3,R3,T3)="","✔","-")</f>
        <v>-</v>
      </c>
      <c r="EH3" s="307" t="str">
        <f t="shared" ref="EH3:EH34" si="54">IF(CONCATENATE(L3,N3,S3,U3)="","✔","-")</f>
        <v>-</v>
      </c>
      <c r="EI3" s="308" t="str">
        <f t="shared" ref="EI3:EI34" si="55">IF(CONCATENATE(O3,"-",P3)="-M","✔","-")</f>
        <v>✔</v>
      </c>
      <c r="EJ3" s="310" t="str">
        <f t="shared" ref="EJ3:EJ34" si="56">IF(CONCATENATE(K3,"-",L3)="r-R","✔","-")</f>
        <v>-</v>
      </c>
      <c r="EK3" s="311" t="str">
        <f t="shared" ref="EK3:EK34" si="57">IF(CONCATENATE(M3,"-",N3)="g-G","✔","-")</f>
        <v>-</v>
      </c>
      <c r="EL3" s="311" t="str">
        <f t="shared" ref="EL3:EL34" si="58">IF(CONCATENATE(O3,"-",P3)="m-M","✔","-")</f>
        <v>-</v>
      </c>
      <c r="EM3" s="311" t="str">
        <f t="shared" ref="EM3:EM34" si="59">IF(CONCATENATE(R3,"-",S3)="d-D","✔","-")</f>
        <v>-</v>
      </c>
      <c r="EN3" s="312" t="str">
        <f t="shared" ref="EN3:EN34" si="60">IF(CONCATENATE(T3,"-",U3)="n-N","✔","-")</f>
        <v>-</v>
      </c>
      <c r="EO3" s="306" t="str">
        <f t="shared" ref="EO3:EO34" si="61">IF(CONCATENATE(K3,"-",L3)="-","✔","-")</f>
        <v>-</v>
      </c>
      <c r="EP3" s="307" t="str">
        <f t="shared" ref="EP3:EP34" si="62">IF(CONCATENATE(M3,"-",N3)="-","✔","-")</f>
        <v>-</v>
      </c>
      <c r="EQ3" s="307" t="str">
        <f t="shared" ref="EQ3:EQ34" si="63">IF(CONCATENATE(O3,"-",P3)="-","✔","-")</f>
        <v>-</v>
      </c>
      <c r="ER3" s="307" t="str">
        <f t="shared" ref="ER3:ER34" si="64">IF(CONCATENATE(Q3,"-",Q3)="-","✔","-")</f>
        <v>-</v>
      </c>
      <c r="ES3" s="307" t="str">
        <f t="shared" ref="ES3:ES34" si="65">IF(CONCATENATE(R3,"-",S3)="-","✔","-")</f>
        <v>-</v>
      </c>
      <c r="ET3" s="308" t="str">
        <f t="shared" ref="ET3:ET34" si="66">IF(CONCATENATE(T3,"-",U3)="-","✔","-")</f>
        <v>-</v>
      </c>
      <c r="EU3" s="310" t="str">
        <f>IFERROR(__xludf.DUMMYFUNCTION("IF(REGEXMATCH(BH3,BD3),""✔"",""-"")"),"✔")</f>
        <v>✔</v>
      </c>
      <c r="EV3" s="311" t="str">
        <f t="shared" ref="EV3:EV34" si="67">IF(BM3=BN3,"-","✔")</f>
        <v>-</v>
      </c>
      <c r="EW3" s="312" t="str">
        <f t="shared" ref="EW3:EW34" si="68">IF(BD3=BG3,"✔","-")</f>
        <v>-</v>
      </c>
      <c r="EX3" s="315" t="str">
        <f t="shared" ref="EX3:EX34" si="69">E3</f>
        <v>[UQ]</v>
      </c>
      <c r="EY3" s="317" t="str">
        <f t="shared" ref="EY3:EY34" si="70">C3</f>
        <v>S-R-G-M-P-D-N-S</v>
      </c>
      <c r="EZ3" s="318" t="str">
        <f>IFERROR(__xludf.DUMMYFUNCTION("CONCATENATE(JOIN("""",GE3:GQ3))"),"SrgmMdnS")</f>
        <v>SrgmMdnS</v>
      </c>
      <c r="FA3" s="318"/>
      <c r="FB3" s="318"/>
      <c r="FC3" s="321">
        <f t="shared" ref="FC3:FC34" si="71">13-(COUNTIF(HR3:ID3, ""))</f>
        <v>1</v>
      </c>
      <c r="FD3" s="318" t="str">
        <f>IFERROR(__xludf.DUMMYFUNCTION("CONCATENATE(JOIN("""",HR3:ID3))"),"Ma, ")</f>
        <v>Ma, </v>
      </c>
      <c r="FE3" s="322">
        <f t="shared" ref="FE3:FE34" si="72">13-(COUNTIF(IR3:JD3, ""))</f>
        <v>0</v>
      </c>
      <c r="FF3" s="324" t="str">
        <f>IFERROR(__xludf.DUMMYFUNCTION("CONCATENATE(JOIN("""",IR3:JD3))"),"")</f>
        <v/>
      </c>
      <c r="FG3" s="325" t="str">
        <f t="shared" ref="FG3:FG34" si="73">DU3</f>
        <v>S-R2-G3-M2-P-D2-N3-S</v>
      </c>
      <c r="FH3" s="326" t="str">
        <f t="shared" ref="FH3:FH34" si="74">DT3</f>
        <v>1-2-3-#4-5-6-7-8</v>
      </c>
      <c r="FI3" s="326" t="str">
        <f t="shared" ref="FI3:FI34" si="75">AO3</f>
        <v>0-2-4-6-7-9-11-0</v>
      </c>
      <c r="FJ3" s="318"/>
      <c r="FK3" s="328" t="str">
        <f>IFERROR(__xludf.DUMMYFUNCTION("SUBSTITUTE(SUBSTITUTE(SUBSTITUTE(SUBSTITUTE(CONCATENATE(JOIN("" "",FN3:FZ3)),""  "","" ""),""  "","" ""),""  "","" ""),""  "","" "")"),"o • o • o • o o • o • o o")</f>
        <v>o • o • o • o o • o • o o</v>
      </c>
      <c r="FL3" s="328" t="str">
        <f t="shared" ref="FL3:FL34" si="76">IF(GA3="Sa-Pa",GA3,IF(GC3="Sa-Pa",GC3,IF(GD3="Sa-ma",GD3,"-")))</f>
        <v>Sa-Pa</v>
      </c>
      <c r="FM3" s="329"/>
      <c r="FN3" s="331" t="str">
        <f t="shared" ref="FN3:FN34" si="77">IF(AB3="0","o","•")</f>
        <v>o</v>
      </c>
      <c r="FO3" s="332" t="str">
        <f t="shared" ref="FO3:FO34" si="78">IF(AC3="1","o","•")</f>
        <v>•</v>
      </c>
      <c r="FP3" s="332" t="str">
        <f t="shared" ref="FP3:FP34" si="79">IF(AD3="2","o","•")</f>
        <v>o</v>
      </c>
      <c r="FQ3" s="332" t="str">
        <f t="shared" ref="FQ3:FQ34" si="80">IF(AE3="3","o","•")</f>
        <v>•</v>
      </c>
      <c r="FR3" s="332" t="str">
        <f t="shared" ref="FR3:FR34" si="81">IF(AF3="4","o","•")</f>
        <v>o</v>
      </c>
      <c r="FS3" s="332" t="str">
        <f t="shared" ref="FS3:FS34" si="82">IF(AG3="5","o","•")</f>
        <v>•</v>
      </c>
      <c r="FT3" s="332" t="str">
        <f t="shared" ref="FT3:FT34" si="83">IF(AH3="6","o","•")</f>
        <v>o</v>
      </c>
      <c r="FU3" s="332" t="str">
        <f t="shared" ref="FU3:FU34" si="84">IF(AI3="7","o","•")</f>
        <v>o</v>
      </c>
      <c r="FV3" s="332" t="str">
        <f t="shared" ref="FV3:FV34" si="85">IF(AJ3="8","o","•")</f>
        <v>•</v>
      </c>
      <c r="FW3" s="332" t="str">
        <f t="shared" ref="FW3:FW34" si="86">IF(AK3="9","o","•")</f>
        <v>o</v>
      </c>
      <c r="FX3" s="332" t="str">
        <f t="shared" ref="FX3:FX34" si="87">IF(AL3="10","o","•")</f>
        <v>•</v>
      </c>
      <c r="FY3" s="332" t="str">
        <f t="shared" ref="FY3:FY34" si="88">IF(AM3="11","o","•")</f>
        <v>o</v>
      </c>
      <c r="FZ3" s="338" t="str">
        <f t="shared" ref="FZ3:FZ34" si="89">IF(AN3="0","o","•")</f>
        <v>o</v>
      </c>
      <c r="GA3" s="339" t="str">
        <f t="shared" ref="GA3:GA34" si="90">IF(EI3="✔","Sa-Pa","-")</f>
        <v>Sa-Pa</v>
      </c>
      <c r="GB3" s="339" t="str">
        <f t="shared" ref="GB3:GB34" si="91">IF(Q3="P","Sa-Pa","-")</f>
        <v>Sa-Pa</v>
      </c>
      <c r="GC3" s="339" t="str">
        <f t="shared" ref="GC3:GC34" si="92">IF(CONCATENATE(O3,"-",P3,"-",Q3)="--P","Sa-Pa","-")</f>
        <v>-</v>
      </c>
      <c r="GD3" s="340" t="str">
        <f t="shared" ref="GD3:GD34" si="93">IF(CONCATENATE(O3,"-",P3,"-",Q3)="m--","Sa-ma","-")</f>
        <v>-</v>
      </c>
      <c r="GE3" s="331" t="str">
        <f t="shared" ref="GE3:GE34" si="94">IF(AN3="0","S","")</f>
        <v>S</v>
      </c>
      <c r="GF3" s="332" t="str">
        <f t="shared" ref="GF3:GF34" si="95">IF(AM3="11","r","")</f>
        <v>r</v>
      </c>
      <c r="GG3" s="332" t="str">
        <f t="shared" ref="GG3:GG34" si="96">IF(AL3="10","R","")</f>
        <v/>
      </c>
      <c r="GH3" s="332" t="str">
        <f t="shared" ref="GH3:GH34" si="97">IF(AK3="9","g","")</f>
        <v>g</v>
      </c>
      <c r="GI3" s="332" t="str">
        <f t="shared" ref="GI3:GI34" si="98">IF(AJ3="8","G","")</f>
        <v/>
      </c>
      <c r="GJ3" s="332" t="str">
        <f t="shared" ref="GJ3:GJ34" si="99">IF(AI3="7","m","")</f>
        <v>m</v>
      </c>
      <c r="GK3" s="332" t="str">
        <f t="shared" ref="GK3:GK34" si="100">IF(AH3="6","M","")</f>
        <v>M</v>
      </c>
      <c r="GL3" s="332" t="str">
        <f t="shared" ref="GL3:GL34" si="101">IF(AG3="5","P","")</f>
        <v/>
      </c>
      <c r="GM3" s="332" t="str">
        <f t="shared" ref="GM3:GM34" si="102">IF(AF3="4","d","")</f>
        <v>d</v>
      </c>
      <c r="GN3" s="332" t="str">
        <f t="shared" ref="GN3:GN34" si="103">IF(AE3="3","D","")</f>
        <v/>
      </c>
      <c r="GO3" s="332" t="str">
        <f t="shared" ref="GO3:GO34" si="104">IF(AD3="2","n","")</f>
        <v>n</v>
      </c>
      <c r="GP3" s="332" t="str">
        <f t="shared" ref="GP3:GP34" si="105">IF(AC3="1","N","")</f>
        <v/>
      </c>
      <c r="GQ3" s="343" t="str">
        <f t="shared" ref="GQ3:GQ34" si="106">IF(AB3="0","S","")</f>
        <v>S</v>
      </c>
      <c r="GR3" s="331" t="str">
        <f t="shared" ref="GR3:GR34" si="107">IF(AB3="0","•","o")</f>
        <v>•</v>
      </c>
      <c r="GS3" s="332" t="str">
        <f t="shared" ref="GS3:GS34" si="108">IF(AC3="1","•","o")</f>
        <v>o</v>
      </c>
      <c r="GT3" s="332" t="str">
        <f t="shared" ref="GT3:GT34" si="109">IF(AD3="2","•","o")</f>
        <v>•</v>
      </c>
      <c r="GU3" s="332" t="str">
        <f t="shared" ref="GU3:GU34" si="110">IF(AE3="3","•","o")</f>
        <v>o</v>
      </c>
      <c r="GV3" s="332" t="str">
        <f t="shared" ref="GV3:GV34" si="111">IF(AF3="4","•","o")</f>
        <v>•</v>
      </c>
      <c r="GW3" s="332" t="str">
        <f t="shared" ref="GW3:GW34" si="112">IF(AG3="5","•","o")</f>
        <v>o</v>
      </c>
      <c r="GX3" s="332" t="str">
        <f t="shared" ref="GX3:GX34" si="113">IF(AH3="6","•","o")</f>
        <v>•</v>
      </c>
      <c r="GY3" s="332" t="str">
        <f t="shared" ref="GY3:GY34" si="114">IF(AI3="7","•","o")</f>
        <v>•</v>
      </c>
      <c r="GZ3" s="332" t="str">
        <f t="shared" ref="GZ3:GZ34" si="115">IF(AJ3="8","•","o")</f>
        <v>o</v>
      </c>
      <c r="HA3" s="332" t="str">
        <f t="shared" ref="HA3:HA34" si="116">IF(AK3="9","•","o")</f>
        <v>•</v>
      </c>
      <c r="HB3" s="332" t="str">
        <f t="shared" ref="HB3:HB34" si="117">IF(AL3="10","•","o")</f>
        <v>o</v>
      </c>
      <c r="HC3" s="332" t="str">
        <f t="shared" ref="HC3:HC34" si="118">IF(AM3="11","•","o")</f>
        <v>•</v>
      </c>
      <c r="HD3" s="338" t="str">
        <f t="shared" ref="HD3:HD34" si="119">IF(AN3="0","•","o")</f>
        <v>•</v>
      </c>
      <c r="HE3" s="346" t="b">
        <f t="shared" ref="HE3:HE34" si="120">AND(AB3="0",AI3="")</f>
        <v>0</v>
      </c>
      <c r="HF3" s="347" t="b">
        <f t="shared" ref="HF3:HF34" si="121">AND(AC3="1",AJ3="")</f>
        <v>0</v>
      </c>
      <c r="HG3" s="347" t="b">
        <f t="shared" ref="HG3:HG34" si="122">AND(AD3="2",AK3="")</f>
        <v>0</v>
      </c>
      <c r="HH3" s="347" t="b">
        <f t="shared" ref="HH3:HH34" si="123">AND(AE3="3",AL3="")</f>
        <v>0</v>
      </c>
      <c r="HI3" s="347" t="b">
        <f t="shared" ref="HI3:HI34" si="124">AND(AF3="4",AM3="")</f>
        <v>0</v>
      </c>
      <c r="HJ3" s="347" t="b">
        <f t="shared" ref="HJ3:HJ34" si="125">AND(AG3="5",AB3="")</f>
        <v>0</v>
      </c>
      <c r="HK3" s="347" t="b">
        <f t="shared" ref="HK3:HK34" si="126">AND(AH3="6",AC3="")</f>
        <v>1</v>
      </c>
      <c r="HL3" s="347" t="b">
        <f t="shared" ref="HL3:HL34" si="127">AND(AI3="7",AD3="")</f>
        <v>0</v>
      </c>
      <c r="HM3" s="347" t="b">
        <f t="shared" ref="HM3:HM34" si="128">AND(AJ3="8",AE3="")</f>
        <v>0</v>
      </c>
      <c r="HN3" s="347" t="b">
        <f t="shared" ref="HN3:HN34" si="129">AND(AK3="9",AF3="")</f>
        <v>0</v>
      </c>
      <c r="HO3" s="347" t="b">
        <f t="shared" ref="HO3:HO34" si="130">AND(AL3="10",AG3="")</f>
        <v>0</v>
      </c>
      <c r="HP3" s="347" t="b">
        <f t="shared" ref="HP3:HP34" si="131">AND(AM3="11",AH3="")</f>
        <v>0</v>
      </c>
      <c r="HQ3" s="353" t="b">
        <f t="shared" ref="HQ3:HQ34" si="132">AND(AN3="0",AI3="")</f>
        <v>0</v>
      </c>
      <c r="HR3" s="354" t="str">
        <f t="shared" ref="HR3:HR34" si="133">IF(HE3=TRUE,"Sa, ","")</f>
        <v/>
      </c>
      <c r="HS3" s="355" t="str">
        <f t="shared" ref="HS3:HS34" si="134">IF(HF3=TRUE,"re, ","")</f>
        <v/>
      </c>
      <c r="HT3" s="355" t="str">
        <f t="shared" ref="HT3:HT34" si="135">IF(HG3=TRUE,"Re, ","")</f>
        <v/>
      </c>
      <c r="HU3" s="355" t="str">
        <f t="shared" ref="HU3:HU34" si="136">IF(HH3=TRUE,"ga, ","")</f>
        <v/>
      </c>
      <c r="HV3" s="355" t="str">
        <f t="shared" ref="HV3:HV34" si="137">IF(HI3=TRUE,"Ga, ","")</f>
        <v/>
      </c>
      <c r="HW3" s="355" t="str">
        <f t="shared" ref="HW3:HW34" si="138">IF(HJ3=TRUE,"ma, ","")</f>
        <v/>
      </c>
      <c r="HX3" s="355" t="str">
        <f t="shared" ref="HX3:HX34" si="139">IF(HK3=TRUE,"Ma, ","")</f>
        <v>Ma, </v>
      </c>
      <c r="HY3" s="355" t="str">
        <f t="shared" ref="HY3:HY34" si="140">IF(HL3=TRUE,"Pa, ","")</f>
        <v/>
      </c>
      <c r="HZ3" s="355" t="str">
        <f t="shared" ref="HZ3:HZ34" si="141">IF(HM3=TRUE,"dha, ","")</f>
        <v/>
      </c>
      <c r="IA3" s="355" t="str">
        <f t="shared" ref="IA3:IA34" si="142">IF(HN3=TRUE,"Dha, ","")</f>
        <v/>
      </c>
      <c r="IB3" s="355" t="str">
        <f t="shared" ref="IB3:IB34" si="143">IF(HO3=TRUE,"ni, ","")</f>
        <v/>
      </c>
      <c r="IC3" s="355" t="str">
        <f t="shared" ref="IC3:IC34" si="144">IF(HP3=TRUE,"Ni, ","")</f>
        <v/>
      </c>
      <c r="ID3" s="359" t="str">
        <f t="shared" ref="ID3:ID34" si="145">IF(HQ3=TRUE,"", "")</f>
        <v/>
      </c>
      <c r="IE3" s="346" t="b">
        <f t="shared" ref="IE3:IE34" si="146">AND(AB3="0",AI3="",AG3="")</f>
        <v>0</v>
      </c>
      <c r="IF3" s="347" t="b">
        <f t="shared" ref="IF3:IF34" si="147">AND(AC3="1",AJ3="",AH3="")</f>
        <v>0</v>
      </c>
      <c r="IG3" s="347" t="b">
        <f t="shared" ref="IG3:IG34" si="148">AND(AD3="2",AK3="",AI3="")</f>
        <v>0</v>
      </c>
      <c r="IH3" s="347" t="b">
        <f t="shared" ref="IH3:IH34" si="149">AND(AE3="3",AL3="",AJ3="")</f>
        <v>0</v>
      </c>
      <c r="II3" s="347" t="b">
        <f t="shared" ref="II3:II34" si="150">AND(AF3="4",AM3="",AK3="")</f>
        <v>0</v>
      </c>
      <c r="IJ3" s="347" t="b">
        <f t="shared" ref="IJ3:IJ34" si="151">AND(AG3="5",AN3="",AL3="")</f>
        <v>0</v>
      </c>
      <c r="IK3" s="347" t="b">
        <f t="shared" ref="IK3:IK34" si="152">AND(AH3="6",AC3="",AM3="")</f>
        <v>0</v>
      </c>
      <c r="IL3" s="347" t="b">
        <f t="shared" ref="IL3:IL34" si="153">AND(AI3="7",AB3="",AD3="")</f>
        <v>0</v>
      </c>
      <c r="IM3" s="347" t="b">
        <f t="shared" ref="IM3:IM34" si="154">AND(AJ3="8",AC3="",AE3="")</f>
        <v>0</v>
      </c>
      <c r="IN3" s="347" t="b">
        <f t="shared" ref="IN3:IN34" si="155">AND(AK3="9",AD3="",AF3="")</f>
        <v>0</v>
      </c>
      <c r="IO3" s="347" t="b">
        <f t="shared" ref="IO3:IO34" si="156">AND(AL3="10",AE3="",AG3="")</f>
        <v>0</v>
      </c>
      <c r="IP3" s="347" t="b">
        <f t="shared" ref="IP3:IP34" si="157">AND(AM3="11",AF3="",AH3="")</f>
        <v>0</v>
      </c>
      <c r="IQ3" s="365" t="b">
        <f t="shared" ref="IQ3:IQ34" si="158">AND(AB3="0",AI3="",AG3="")</f>
        <v>0</v>
      </c>
      <c r="IR3" s="354" t="str">
        <f t="shared" ref="IR3:IR34" si="159">IF(IE3=TRUE,"Sa, ","")</f>
        <v/>
      </c>
      <c r="IS3" s="355" t="str">
        <f t="shared" ref="IS3:IS34" si="160">IF(IF3=TRUE,"re, ","")</f>
        <v/>
      </c>
      <c r="IT3" s="355" t="str">
        <f t="shared" ref="IT3:IT34" si="161">IF(IG3=TRUE,"Re, ","")</f>
        <v/>
      </c>
      <c r="IU3" s="355" t="str">
        <f t="shared" ref="IU3:IU34" si="162">IF(IH3=TRUE,"ga, ","")</f>
        <v/>
      </c>
      <c r="IV3" s="355" t="str">
        <f t="shared" ref="IV3:IV34" si="163">IF(II3=TRUE,"Ga, ","")</f>
        <v/>
      </c>
      <c r="IW3" s="355" t="str">
        <f t="shared" ref="IW3:IW34" si="164">IF(IJ3=TRUE,"ma, ","")</f>
        <v/>
      </c>
      <c r="IX3" s="355" t="str">
        <f t="shared" ref="IX3:IX34" si="165">IF(IK3=TRUE,"Ma, ","")</f>
        <v/>
      </c>
      <c r="IY3" s="355" t="str">
        <f t="shared" ref="IY3:IY34" si="166">IF(IL3=TRUE,"Pa, ","")</f>
        <v/>
      </c>
      <c r="IZ3" s="355" t="str">
        <f t="shared" ref="IZ3:IZ34" si="167">IF(IM3=TRUE,"dha, ","")</f>
        <v/>
      </c>
      <c r="JA3" s="355" t="str">
        <f t="shared" ref="JA3:JA34" si="168">IF(IN3=TRUE,"Dha, ","")</f>
        <v/>
      </c>
      <c r="JB3" s="355" t="str">
        <f t="shared" ref="JB3:JB34" si="169">IF(IO3=TRUE,"ni, ","")</f>
        <v/>
      </c>
      <c r="JC3" s="355" t="str">
        <f t="shared" ref="JC3:JC34" si="170">IF(IP3=TRUE,"Ni, ","")</f>
        <v/>
      </c>
      <c r="JD3" s="359"/>
      <c r="JE3" s="321"/>
      <c r="JF3" s="368"/>
      <c r="JG3" s="369"/>
      <c r="JH3" s="369"/>
      <c r="JI3" s="369"/>
      <c r="JJ3" s="369"/>
      <c r="JK3" s="369"/>
      <c r="JL3" s="369"/>
      <c r="JM3" s="369"/>
      <c r="JN3" s="369"/>
      <c r="JO3" s="369"/>
      <c r="JP3" s="369"/>
    </row>
    <row r="4" ht="20.25" customHeight="1">
      <c r="A4" s="221" t="s">
        <v>125</v>
      </c>
      <c r="B4" s="222">
        <v>2.0</v>
      </c>
      <c r="C4" s="223" t="s">
        <v>288</v>
      </c>
      <c r="D4" s="224">
        <v>10.0</v>
      </c>
      <c r="E4" s="225" t="str">
        <f t="shared" si="5"/>
        <v>[UQ]</v>
      </c>
      <c r="F4" s="227">
        <f t="shared" si="6"/>
        <v>7</v>
      </c>
      <c r="G4" s="229">
        <f t="shared" si="7"/>
        <v>7</v>
      </c>
      <c r="H4" s="230">
        <f t="shared" si="8"/>
        <v>0</v>
      </c>
      <c r="I4" s="233" t="str">
        <f t="shared" si="9"/>
        <v>SrGMPDNS</v>
      </c>
      <c r="J4" s="234" t="str">
        <f>IFERROR(__xludf.DUMMYFUNCTION("IF(REGEXMATCH(I4, ""S""), ""S"","""")"),"S")</f>
        <v>S</v>
      </c>
      <c r="K4" s="236" t="str">
        <f>IFERROR(__xludf.DUMMYFUNCTION("IF(REGEXMATCH(I4, ""r""), ""r"","""")"),"r")</f>
        <v>r</v>
      </c>
      <c r="L4" s="237" t="str">
        <f>IFERROR(__xludf.DUMMYFUNCTION("IF(REGEXMATCH(I4, ""R""), ""R"","""")"),"")</f>
        <v/>
      </c>
      <c r="M4" s="237" t="str">
        <f>IFERROR(__xludf.DUMMYFUNCTION("IF(REGEXMATCH(I4, ""g""), ""g"","""")"),"")</f>
        <v/>
      </c>
      <c r="N4" s="236" t="str">
        <f>IFERROR(__xludf.DUMMYFUNCTION("IF(REGEXMATCH(I4, ""G""), ""G"","""")"),"G")</f>
        <v>G</v>
      </c>
      <c r="O4" s="236" t="str">
        <f>IFERROR(__xludf.DUMMYFUNCTION("IF(REGEXMATCH(I4, ""m""), ""m"","""")"),"")</f>
        <v/>
      </c>
      <c r="P4" s="237" t="str">
        <f>IFERROR(__xludf.DUMMYFUNCTION("IF(REGEXMATCH(I4, ""M""), ""M"","""")"),"M")</f>
        <v>M</v>
      </c>
      <c r="Q4" s="236" t="str">
        <f>IFERROR(__xludf.DUMMYFUNCTION("IF(REGEXMATCH(I4, ""P""), ""P"","""")"),"P")</f>
        <v>P</v>
      </c>
      <c r="R4" s="237" t="str">
        <f>IFERROR(__xludf.DUMMYFUNCTION("IF(REGEXMATCH(I4, ""d""), ""d"","""")"),"")</f>
        <v/>
      </c>
      <c r="S4" s="236" t="str">
        <f>IFERROR(__xludf.DUMMYFUNCTION("IF(REGEXMATCH(I4, ""D""), ""D"","""")"),"D")</f>
        <v>D</v>
      </c>
      <c r="T4" s="236" t="str">
        <f>IFERROR(__xludf.DUMMYFUNCTION("IF(REGEXMATCH(I4, ""n""), ""n"","""")"),"")</f>
        <v/>
      </c>
      <c r="U4" s="237" t="str">
        <f>IFERROR(__xludf.DUMMYFUNCTION("IF(REGEXMATCH(I4, ""N""), ""N"","""")"),"N")</f>
        <v>N</v>
      </c>
      <c r="V4" s="238" t="str">
        <f>IFERROR(__xludf.DUMMYFUNCTION("IF(REGEXMATCH(I4, ""S""), ""S"","""")"),"S")</f>
        <v>S</v>
      </c>
      <c r="W4" s="239" t="str">
        <f>IFERROR(__xludf.DUMMYFUNCTION("SUBSTITUTE(CONCATENATE(JOIN(""-"",J4:P4)),""-"","""")"),"SrGM")</f>
        <v>SrGM</v>
      </c>
      <c r="X4" s="229" t="str">
        <f>IFERROR(__xludf.DUMMYFUNCTION("SUBSTITUTE(CONCATENATE(JOIN(""-"",Q4:V4)),""-"","""")"),"PDNS")</f>
        <v>PDNS</v>
      </c>
      <c r="Y4" s="282" t="str">
        <f t="shared" si="10"/>
        <v>S-R-G-M</v>
      </c>
      <c r="Z4" s="282" t="str">
        <f t="shared" si="11"/>
        <v>P-D-N-S</v>
      </c>
      <c r="AA4" s="309" t="str">
        <f t="shared" si="12"/>
        <v>rGMDN</v>
      </c>
      <c r="AB4" s="244" t="str">
        <f>IFERROR(__xludf.DUMMYFUNCTION("IF(REGEXMATCH(I4, ""S""), ""0"","""")"),"0")</f>
        <v>0</v>
      </c>
      <c r="AC4" s="245" t="str">
        <f>IFERROR(__xludf.DUMMYFUNCTION("IF(REGEXMATCH(I4, ""r""), ""1"","""")"),"1")</f>
        <v>1</v>
      </c>
      <c r="AD4" s="246" t="str">
        <f>IFERROR(__xludf.DUMMYFUNCTION("IF(REGEXMATCH(I4, ""R""), ""2"","""")"),"")</f>
        <v/>
      </c>
      <c r="AE4" s="246" t="str">
        <f>IFERROR(__xludf.DUMMYFUNCTION("IF(REGEXMATCH(I4, ""g""), ""3"","""")"),"")</f>
        <v/>
      </c>
      <c r="AF4" s="245" t="str">
        <f>IFERROR(__xludf.DUMMYFUNCTION("IF(REGEXMATCH(I4, ""G""), ""4"","""")"),"4")</f>
        <v>4</v>
      </c>
      <c r="AG4" s="245" t="str">
        <f>IFERROR(__xludf.DUMMYFUNCTION("IF(REGEXMATCH(I4, ""m""), ""5"","""")"),"")</f>
        <v/>
      </c>
      <c r="AH4" s="246" t="str">
        <f>IFERROR(__xludf.DUMMYFUNCTION("IF(REGEXMATCH(I4, ""M""), ""6"","""")"),"6")</f>
        <v>6</v>
      </c>
      <c r="AI4" s="245" t="str">
        <f>IFERROR(__xludf.DUMMYFUNCTION("IF(REGEXMATCH(I4, ""P""), ""7"","""")"),"7")</f>
        <v>7</v>
      </c>
      <c r="AJ4" s="246" t="str">
        <f>IFERROR(__xludf.DUMMYFUNCTION("IF(REGEXMATCH(I4, ""d""), ""8"","""")"),"")</f>
        <v/>
      </c>
      <c r="AK4" s="245" t="str">
        <f>IFERROR(__xludf.DUMMYFUNCTION("IF(REGEXMATCH(I4, ""D""), ""9"","""")"),"9")</f>
        <v>9</v>
      </c>
      <c r="AL4" s="245" t="str">
        <f>IFERROR(__xludf.DUMMYFUNCTION("IF(REGEXMATCH(I4, ""n""), ""10"","""")"),"")</f>
        <v/>
      </c>
      <c r="AM4" s="246" t="str">
        <f>IFERROR(__xludf.DUMMYFUNCTION("IF(REGEXMATCH(I4, ""N""), ""11"","""")"),"11")</f>
        <v>11</v>
      </c>
      <c r="AN4" s="249" t="str">
        <f>IFERROR(__xludf.DUMMYFUNCTION("IF(REGEXMATCH(I4, ""S""), ""0"","""")"),"0")</f>
        <v>0</v>
      </c>
      <c r="AO4" s="250" t="str">
        <f>IFERROR(__xludf.DUMMYFUNCTION("SUBSTITUTE(SUBSTITUTE(SUBSTITUTE(SUBSTITUTE(CONCATENATE(JOIN(""-"",AB4:AN4)),""--"",""-""),""--"",""-""),""--"",""-""),""--"",""-"")"),"0-1-4-6-7-9-11-0")</f>
        <v>0-1-4-6-7-9-11-0</v>
      </c>
      <c r="AP4" s="251">
        <f t="shared" si="13"/>
        <v>0</v>
      </c>
      <c r="AQ4" s="234" t="str">
        <f t="shared" si="14"/>
        <v>|</v>
      </c>
      <c r="AR4" s="236" t="str">
        <f t="shared" si="15"/>
        <v>|</v>
      </c>
      <c r="AS4" s="237" t="str">
        <f t="shared" si="16"/>
        <v>-</v>
      </c>
      <c r="AT4" s="236" t="str">
        <f t="shared" si="17"/>
        <v>-</v>
      </c>
      <c r="AU4" s="237" t="str">
        <f t="shared" si="18"/>
        <v>|</v>
      </c>
      <c r="AV4" s="236" t="str">
        <f t="shared" si="19"/>
        <v>-</v>
      </c>
      <c r="AW4" s="237" t="str">
        <f t="shared" si="20"/>
        <v>|</v>
      </c>
      <c r="AX4" s="236" t="str">
        <f t="shared" si="21"/>
        <v>|</v>
      </c>
      <c r="AY4" s="237" t="str">
        <f t="shared" si="22"/>
        <v>-</v>
      </c>
      <c r="AZ4" s="236" t="str">
        <f t="shared" si="23"/>
        <v>|</v>
      </c>
      <c r="BA4" s="237" t="str">
        <f t="shared" si="24"/>
        <v>-</v>
      </c>
      <c r="BB4" s="236" t="str">
        <f t="shared" si="25"/>
        <v>|</v>
      </c>
      <c r="BC4" s="238" t="str">
        <f t="shared" si="26"/>
        <v>|</v>
      </c>
      <c r="BD4" s="250" t="str">
        <f>IFERROR(__xludf.DUMMYFUNCTION("SUBSTITUTE(SUBSTITUTE(CONCATENATE(JOIN("""",AQ4:BB4)),""|"",""x""),""-"",""o"")"),"xxooxoxxoxox")</f>
        <v>xxooxoxxoxox</v>
      </c>
      <c r="BE4" s="323" t="str">
        <f>IFERROR(__xludf.DUMMYFUNCTION("JOIN("""",BD4,BD4)"),"xxooxoxxoxoxxxooxoxxoxox")</f>
        <v>xxooxoxxoxoxxxooxoxxoxox</v>
      </c>
      <c r="BF4" s="256" t="str">
        <f>IFERROR(__xludf.DUMMYFUNCTION("JOIN("""",ArrayFormula(MID(BD4,LEN(BD4)-SEQUENCE(1,LEN(BD4))+1,1)))"),"xoxoxxoxooxx")</f>
        <v>xoxoxxoxooxx</v>
      </c>
      <c r="BG4" s="256" t="str">
        <f>IFERROR(__xludf.DUMMYFUNCTION("LEFT(CONCATENATE(""x"",JOIN("""",ArrayFormula(MID(BD4,LEN(BD4)-SEQUENCE(1,LEN(BD4))+1,1)))),12)"),"xxoxoxxoxoox")</f>
        <v>xxoxoxxoxoox</v>
      </c>
      <c r="BH4" s="327" t="str">
        <f>IFERROR(__xludf.DUMMYFUNCTION("JOIN("""",BF4,BF4)"),"xoxoxxoxooxxxoxoxxoxooxx")</f>
        <v>xoxoxxoxooxxxoxoxxoxooxx</v>
      </c>
      <c r="BI4" s="239" t="str">
        <f>IFERROR(__xludf.DUMMYFUNCTION("IF(REGEXMATCH(BH4,BD4),""✔"",""-"")"),"-")</f>
        <v>-</v>
      </c>
      <c r="BJ4" s="330" t="str">
        <f t="shared" si="27"/>
        <v>-</v>
      </c>
      <c r="BK4" s="260" t="str">
        <f t="shared" si="28"/>
        <v>-</v>
      </c>
      <c r="BL4" s="261" t="str">
        <f>IFERROR(__xludf.DUMMYFUNCTION("IF(BO4=0,""(n/a)"",IF(BP4=2,""(PAIR)"",IF(REGEXMATCH(BE4,""xoxoxxoxoxox""),""Bilawal"",IF(REGEXMATCH(BE4,""xoxoxooxoxoo""),""Bhupali"",IF(REGEXMATCH(BE4,""xoxoxxoxxoxo""),""Charukeshi"",IF(REGEXMATCH(BE4,""xoxoooxxoxxo""),""Kameshwari"",IF(REGEXMATCH(BE4,"&amp;"""xoxoxooxoxox""),""Shankara"",IF(REGEXMATCH(BE4,""xxooxoxxxoox""),""Basant"",IF(REGEXMATCH(BE4,""xoxoxxxxoxox""),""Bihag"",IF(REGEXMATCH(BE4,""xoxxxxoxoxxx""),""Pilu"",IF(REGEXMATCH(BE4,""xoxxoxoxxoox""),""Kirwani"",IF(REGEXMATCH(BE4,""xoxxoxoxoxxx""),"""&amp;"Mk.Malhar"",IF(REGEXMATCH(BE4,""xxooxxoxxoox""),""Bhairav"",IF(REGEXMATCH(BE4,""xxoxooxxxoox""),""Todi"",IF(REGEXMATCH(BE4,""xxooxoxooxox""),""Marwa"",IF(REGEXMATCH(BE4,""xxoooxoxxooo""),""Gunkali"",IF(REGEXMATCH(BE4,""xoxoxxoxxoox""),""Nat Bhairav"",IF(R"&amp;"EGEXMATCH(BE4,""xoxxoooxoxoo""),""Shivranjani"",IF(REGEXMATCH(BE4,""xooxxxoxooxo""),""Jog"",IF(REGEXMATCH(BE4,""xxooxoxoxoox""),""Hemshri"",IF(REGEXMATCH(BE4,""xoooxooxoxxo""),""Kalavati"",IF(REGEXMATCH(BE4,""xxoxoxxoxoox""),""Kedar"",IF(REGEXMATCH(BE4,"""&amp;"xoxxxxoxooxx""),""Gara"",IF(REGEXMATCH(BE4,""xooxoxooxoox""),""Chandrakauns"",IF(REGEXMATCH(BE4,""xoxxxxoxxxox""),""Mand"",IF(REGEXMATCH(BE4,""xoxxxxoxoxox""),""Hanskinkini"",IF(REGEXMATCH(BE4,""xxooxxoxooxo""),""Lilavati"",IF(REGEXMATCH(BE4,""xooxoxoooxo"&amp;"x""),""Rajeshwari"",IF(REGEXMATCH(BE4,""xoooxxoxoxxx""),""Khokar"",IF(REGEXMATCH(BE4,""xxooxoxxxxox""),""Maligoura"",""-""))))))))))))))))))))))))))))))"),"(n/a)")</f>
        <v>(n/a)</v>
      </c>
      <c r="BM4" s="239">
        <f t="shared" si="29"/>
        <v>6</v>
      </c>
      <c r="BN4" s="239">
        <f>IFERROR(__xludf.DUMMYFUNCTION("COUNTUNIQUE(BR4:CB4)-1"),6.0)</f>
        <v>6</v>
      </c>
      <c r="BO4" s="239">
        <f>IFERROR(__xludf.DUMMYFUNCTION("COUNTUNIQUE(FILTER(BE:BE,REGEXMATCH(BE:BE,BD4)))-1"),0.0)</f>
        <v>0</v>
      </c>
      <c r="BP4" s="239">
        <f>IFERROR(__xludf.DUMMYFUNCTION("COUNTA(FILTER(BE:BE,REGEXMATCH(BE:BE,BD4)))"),1.0)</f>
        <v>1</v>
      </c>
      <c r="BQ4" s="341">
        <f>IFERROR(__xludf.DUMMYFUNCTION("COUNTA(FILTER(BE:BE,REGEXMATCH(BE:BE,BD4)))-AP4"),1.0)</f>
        <v>1</v>
      </c>
      <c r="BR4" s="269" t="str">
        <f t="shared" si="30"/>
        <v>xooxoxxoxox</v>
      </c>
      <c r="BS4" s="269" t="str">
        <f t="shared" si="31"/>
        <v>-</v>
      </c>
      <c r="BT4" s="271" t="str">
        <f t="shared" si="32"/>
        <v>-</v>
      </c>
      <c r="BU4" s="269" t="str">
        <f t="shared" si="33"/>
        <v>xoxxoxoxxxo</v>
      </c>
      <c r="BV4" s="271" t="str">
        <f t="shared" si="34"/>
        <v>-</v>
      </c>
      <c r="BW4" s="271" t="str">
        <f t="shared" si="35"/>
        <v>xxoxoxxxoox</v>
      </c>
      <c r="BX4" s="271" t="str">
        <f t="shared" si="36"/>
        <v>xoxoxxxooxo</v>
      </c>
      <c r="BY4" s="271" t="str">
        <f t="shared" si="37"/>
        <v>-</v>
      </c>
      <c r="BZ4" s="271" t="str">
        <f t="shared" si="38"/>
        <v>xoxxxooxoxx</v>
      </c>
      <c r="CA4" s="271" t="str">
        <f t="shared" si="39"/>
        <v>-</v>
      </c>
      <c r="CB4" s="274" t="str">
        <f t="shared" si="40"/>
        <v>xxxooxoxxox</v>
      </c>
      <c r="CC4" s="276" t="str">
        <f>IFERROR(__xludf.DUMMYFUNCTION("IF(BD4=""oooooooooooo"",""-"",IF(REGEXMATCH(BE4,""xx""), ""Hemi."", ""Anhemi.""))"),"Hemi.")</f>
        <v>Hemi.</v>
      </c>
      <c r="CD4" s="282" t="str">
        <f>IFERROR(__xludf.DUMMYFUNCTION("IF(BD4=""oooooooooooo"",""-"",IF(REGEXMATCH(BE4,""xxx""), ""Cohem."", ""-""))"),"Cohem.")</f>
        <v>Cohem.</v>
      </c>
      <c r="CE4" s="282" t="str">
        <f>IFERROR(__xludf.DUMMYFUNCTION("IF(BD4=""oooooooooooo"",""-"",IF(REGEXMATCH(BE4,""xxxx""), ""Co-Co."", ""-""))"),"-")</f>
        <v>-</v>
      </c>
      <c r="CF4" s="342" t="str">
        <f>IFERROR(__xludf.DUMMYFUNCTION("IF(BD4=""oooooooooooo"",""-"",IF(REGEXMATCH(BE4,""xxxxx""), ""CCC."", ""-""))"),"-")</f>
        <v>-</v>
      </c>
      <c r="CG4" s="344" t="str">
        <f t="shared" si="41"/>
        <v>Marwa</v>
      </c>
      <c r="CH4" s="282" t="str">
        <f>IFERROR(__xludf.DUMMYFUNCTION("IF(REGEXMATCH(JOIN(""-"",CJ4:CS4),""TRUE""),""✔"",""-"")"),"✔")</f>
        <v>✔</v>
      </c>
      <c r="CI4" s="225">
        <f t="shared" si="42"/>
        <v>1</v>
      </c>
      <c r="CJ4" s="376" t="b">
        <f>IFERROR(__xludf.DUMMYFUNCTION("arrayformula(sum(--REGEXMATCH(""SRGMPDNS"",split(REGEXREPLACE(I4,""(.)"",""$1~""),""~""))))=len(I4)
"),FALSE)</f>
        <v>0</v>
      </c>
      <c r="CK4" s="290" t="b">
        <f>IFERROR(__xludf.DUMMYFUNCTION("arrayformula(sum(--REGEXMATCH(""SRGmPDNS"",split(REGEXREPLACE(I4,""(.)"",""$1~""),""~""))))=len(I4)"),FALSE)</f>
        <v>0</v>
      </c>
      <c r="CL4" s="290" t="b">
        <f>IFERROR(__xludf.DUMMYFUNCTION("arrayformula(sum(--REGEXMATCH(""SRGmPDnS"",split(REGEXREPLACE(I4,""(.)"",""$1~""),""~""))))=len(I4)"),FALSE)</f>
        <v>0</v>
      </c>
      <c r="CM4" s="290" t="b">
        <f>IFERROR(__xludf.DUMMYFUNCTION("arrayformula(sum(--REGEXMATCH(""SRgmPDnS"",split(REGEXREPLACE(I4,""(.)"",""$1~""),""~""))))=len(I4)"),FALSE)</f>
        <v>0</v>
      </c>
      <c r="CN4" s="290" t="b">
        <f>IFERROR(__xludf.DUMMYFUNCTION("arrayformula(sum(--REGEXMATCH(""SRgmPdnS"",split(REGEXREPLACE(I4,""(.)"",""$1~""),""~""))))=len(I4)"),FALSE)</f>
        <v>0</v>
      </c>
      <c r="CO4" s="290" t="b">
        <f>IFERROR(__xludf.DUMMYFUNCTION("arrayformula(sum(--REGEXMATCH(""SrgmPdnS"",split(REGEXREPLACE(I4,""(.)"",""$1~""),""~""))))=len(I4)"),FALSE)</f>
        <v>0</v>
      </c>
      <c r="CP4" s="290" t="b">
        <f>IFERROR(__xludf.DUMMYFUNCTION("arrayformula(sum(--REGEXMATCH(""SrGmPdNS"",split(REGEXREPLACE(I4,""(.)"",""$1~""),""~""))))=len(I4)"),FALSE)</f>
        <v>0</v>
      </c>
      <c r="CQ4" s="290" t="b">
        <f>IFERROR(__xludf.DUMMYFUNCTION("arrayformula(sum(--REGEXMATCH(""SrGMPDNS"",split(REGEXREPLACE(I4,""(.)"",""$1~""),""~""))))=len(I4)"),TRUE)</f>
        <v>1</v>
      </c>
      <c r="CR4" s="290" t="b">
        <f>IFERROR(__xludf.DUMMYFUNCTION("arrayformula(sum(--REGEXMATCH(""SrGMPdNS"",split(REGEXREPLACE(I4,""(.)"",""$1~""),""~""))))=len(I4)"),FALSE)</f>
        <v>0</v>
      </c>
      <c r="CS4" s="293" t="b">
        <f>IFERROR(__xludf.DUMMYFUNCTION("arrayformula(sum(--REGEXMATCH(""SrgMPdNS"",split(REGEXREPLACE(I4,""(.)"",""$1~""),""~""))))=len(I4)"),FALSE)</f>
        <v>0</v>
      </c>
      <c r="CT4" s="244" t="str">
        <f>IFERROR(__xludf.DUMMYFUNCTION("IF(REGEXMATCH(I4, ""S""), ""1"","""")"),"1")</f>
        <v>1</v>
      </c>
      <c r="CU4" s="245" t="str">
        <f>IFERROR(__xludf.DUMMYFUNCTION("IF(REGEXMATCH(I4, ""r""), ""b2"","""")"),"b2")</f>
        <v>b2</v>
      </c>
      <c r="CV4" s="246" t="str">
        <f>IFERROR(__xludf.DUMMYFUNCTION("IF(REGEXMATCH(I4, ""R""), ""2"","""")"),"")</f>
        <v/>
      </c>
      <c r="CW4" s="246" t="str">
        <f>IFERROR(__xludf.DUMMYFUNCTION("IF(REGEXMATCH(I4, ""g""), ""b3"","""")"),"")</f>
        <v/>
      </c>
      <c r="CX4" s="245" t="str">
        <f>IFERROR(__xludf.DUMMYFUNCTION("IF(REGEXMATCH(I4, ""G""), ""3"","""")"),"3")</f>
        <v>3</v>
      </c>
      <c r="CY4" s="245" t="str">
        <f>IFERROR(__xludf.DUMMYFUNCTION("IF(REGEXMATCH(I4, ""m""), ""4"","""")"),"")</f>
        <v/>
      </c>
      <c r="CZ4" s="246" t="str">
        <f>IFERROR(__xludf.DUMMYFUNCTION("IF(REGEXMATCH(I4, ""M""), ""#4"","""")"),"#4")</f>
        <v>#4</v>
      </c>
      <c r="DA4" s="245" t="str">
        <f>IFERROR(__xludf.DUMMYFUNCTION("IF(REGEXMATCH(I4, ""P""), ""5"","""")"),"5")</f>
        <v>5</v>
      </c>
      <c r="DB4" s="246" t="str">
        <f>IFERROR(__xludf.DUMMYFUNCTION("IF(REGEXMATCH(I4, ""d""), ""b6"","""")"),"")</f>
        <v/>
      </c>
      <c r="DC4" s="245" t="str">
        <f>IFERROR(__xludf.DUMMYFUNCTION("IF(REGEXMATCH(I4, ""D""), ""6"","""")"),"6")</f>
        <v>6</v>
      </c>
      <c r="DD4" s="245" t="str">
        <f>IFERROR(__xludf.DUMMYFUNCTION("IF(REGEXMATCH(I4, ""n""), ""b7"","""")"),"")</f>
        <v/>
      </c>
      <c r="DE4" s="246" t="str">
        <f>IFERROR(__xludf.DUMMYFUNCTION("IF(REGEXMATCH(I4, ""N""), ""7"","""")"),"7")</f>
        <v>7</v>
      </c>
      <c r="DF4" s="249" t="str">
        <f>IFERROR(__xludf.DUMMYFUNCTION("IF(REGEXMATCH(I4, ""S""), ""8"","""")"),"8")</f>
        <v>8</v>
      </c>
      <c r="DG4" s="244" t="str">
        <f>IFERROR(__xludf.DUMMYFUNCTION("IF(REGEXMATCH(I4, ""S""), ""S"","""")"),"S")</f>
        <v>S</v>
      </c>
      <c r="DH4" s="294" t="str">
        <f>IFERROR(__xludf.DUMMYFUNCTION("IF(REGEXMATCH(I4, ""r""), ""R1"","""")"),"R1")</f>
        <v>R1</v>
      </c>
      <c r="DI4" s="295" t="str">
        <f>IFERROR(__xludf.DUMMYFUNCTION("IF(REGEXMATCH(I4, ""R""), ""R2"","""")"),"")</f>
        <v/>
      </c>
      <c r="DJ4" s="295" t="str">
        <f>IFERROR(__xludf.DUMMYFUNCTION("IF(REGEXMATCH(I4, ""g""), ""G2"","""")"),"")</f>
        <v/>
      </c>
      <c r="DK4" s="294" t="str">
        <f>IFERROR(__xludf.DUMMYFUNCTION("IF(REGEXMATCH(I4, ""G""), ""G3"","""")"),"G3")</f>
        <v>G3</v>
      </c>
      <c r="DL4" s="294" t="str">
        <f>IFERROR(__xludf.DUMMYFUNCTION("IF(REGEXMATCH(I4, ""m""), ""M1"","""")"),"")</f>
        <v/>
      </c>
      <c r="DM4" s="295" t="str">
        <f>IFERROR(__xludf.DUMMYFUNCTION("IF(REGEXMATCH(I4, ""M""), ""M2"","""")"),"M2")</f>
        <v>M2</v>
      </c>
      <c r="DN4" s="294" t="str">
        <f>IFERROR(__xludf.DUMMYFUNCTION("IF(REGEXMATCH(I4, ""P""), ""P"","""")"),"P")</f>
        <v>P</v>
      </c>
      <c r="DO4" s="295" t="str">
        <f>IFERROR(__xludf.DUMMYFUNCTION("IF(REGEXMATCH(I4, ""d""), ""D1"","""")"),"")</f>
        <v/>
      </c>
      <c r="DP4" s="294" t="str">
        <f>IFERROR(__xludf.DUMMYFUNCTION("IF(REGEXMATCH(I4, ""D""), ""D2"","""")"),"D2")</f>
        <v>D2</v>
      </c>
      <c r="DQ4" s="294" t="str">
        <f>IFERROR(__xludf.DUMMYFUNCTION("IF(REGEXMATCH(I4, ""n""), ""N2"","""")"),"")</f>
        <v/>
      </c>
      <c r="DR4" s="295" t="str">
        <f>IFERROR(__xludf.DUMMYFUNCTION("IF(REGEXMATCH(I4, ""N""), ""N3"","""")"),"N3")</f>
        <v>N3</v>
      </c>
      <c r="DS4" s="249" t="str">
        <f>IFERROR(__xludf.DUMMYFUNCTION("IF(REGEXMATCH(I4, ""S""), ""S"","""")"),"S")</f>
        <v>S</v>
      </c>
      <c r="DT4" s="299" t="str">
        <f>IFERROR(__xludf.DUMMYFUNCTION("SUBSTITUTE(SUBSTITUTE(SUBSTITUTE(SUBSTITUTE(CONCATENATE(JOIN(""-"",CT4:DF4)),""--"",""-""),""--"",""-""),""--"",""-""),""--"",""-"")"),"1-b2-3-#4-5-6-7-8")</f>
        <v>1-b2-3-#4-5-6-7-8</v>
      </c>
      <c r="DU4" s="299" t="str">
        <f>IFERROR(__xludf.DUMMYFUNCTION("SUBSTITUTE(SUBSTITUTE(SUBSTITUTE(SUBSTITUTE(CONCATENATE(JOIN(""-"",DG4:DS4)),""--"",""-""),""--"",""-""),""--"",""-""),""--"",""-"")"),"S-R1-G3-M2-P-D2-N3-S")</f>
        <v>S-R1-G3-M2-P-D2-N3-S</v>
      </c>
      <c r="DV4" s="348" t="str">
        <f t="shared" si="43"/>
        <v>C-Db-E-F#-G-A-B-C</v>
      </c>
      <c r="DW4" s="301">
        <f t="shared" si="44"/>
        <v>7</v>
      </c>
      <c r="DX4" s="302" t="str">
        <f t="shared" si="45"/>
        <v>Sampurna</v>
      </c>
      <c r="DY4" s="301" t="str">
        <f t="shared" ref="DY4:DZ4" si="46">SUBSTITUTE(Y4,"-","")</f>
        <v>SRGM</v>
      </c>
      <c r="DZ4" s="301" t="str">
        <f t="shared" si="46"/>
        <v>PDNS</v>
      </c>
      <c r="EA4" s="302" t="str">
        <f t="shared" si="47"/>
        <v>(n/a)</v>
      </c>
      <c r="EB4" s="301" t="str">
        <f t="shared" si="48"/>
        <v>Hemi.</v>
      </c>
      <c r="EC4" s="364" t="str">
        <f t="shared" si="49"/>
        <v>Cohem.</v>
      </c>
      <c r="ED4" s="306" t="str">
        <f t="shared" si="50"/>
        <v>Marwa</v>
      </c>
      <c r="EE4" s="366" t="str">
        <f t="shared" si="51"/>
        <v>-</v>
      </c>
      <c r="EF4" s="308" t="str">
        <f t="shared" si="52"/>
        <v>-</v>
      </c>
      <c r="EG4" s="306" t="str">
        <f t="shared" si="53"/>
        <v>-</v>
      </c>
      <c r="EH4" s="306" t="str">
        <f t="shared" si="54"/>
        <v>-</v>
      </c>
      <c r="EI4" s="367" t="str">
        <f t="shared" si="55"/>
        <v>✔</v>
      </c>
      <c r="EJ4" s="310" t="str">
        <f t="shared" si="56"/>
        <v>-</v>
      </c>
      <c r="EK4" s="310" t="str">
        <f t="shared" si="57"/>
        <v>-</v>
      </c>
      <c r="EL4" s="310" t="str">
        <f t="shared" si="58"/>
        <v>-</v>
      </c>
      <c r="EM4" s="310" t="str">
        <f t="shared" si="59"/>
        <v>-</v>
      </c>
      <c r="EN4" s="370" t="str">
        <f t="shared" si="60"/>
        <v>-</v>
      </c>
      <c r="EO4" s="306" t="str">
        <f t="shared" si="61"/>
        <v>-</v>
      </c>
      <c r="EP4" s="306" t="str">
        <f t="shared" si="62"/>
        <v>-</v>
      </c>
      <c r="EQ4" s="306" t="str">
        <f t="shared" si="63"/>
        <v>-</v>
      </c>
      <c r="ER4" s="306" t="str">
        <f t="shared" si="64"/>
        <v>-</v>
      </c>
      <c r="ES4" s="306" t="str">
        <f t="shared" si="65"/>
        <v>-</v>
      </c>
      <c r="ET4" s="367" t="str">
        <f t="shared" si="66"/>
        <v>-</v>
      </c>
      <c r="EU4" s="310" t="str">
        <f>IFERROR(__xludf.DUMMYFUNCTION("IF(REGEXMATCH(BH4,BD4),""✔"",""-"")"),"-")</f>
        <v>-</v>
      </c>
      <c r="EV4" s="310" t="str">
        <f t="shared" si="67"/>
        <v>-</v>
      </c>
      <c r="EW4" s="370" t="str">
        <f t="shared" si="68"/>
        <v>-</v>
      </c>
      <c r="EX4" s="315" t="str">
        <f t="shared" si="69"/>
        <v>[UQ]</v>
      </c>
      <c r="EY4" s="317" t="str">
        <f t="shared" si="70"/>
        <v>S-r-G-M-P-D-N-S</v>
      </c>
      <c r="EZ4" s="318" t="str">
        <f>IFERROR(__xludf.DUMMYFUNCTION("CONCATENATE(JOIN("""",GE4:GQ4))"),"SrgmMdNS")</f>
        <v>SrgmMdNS</v>
      </c>
      <c r="FA4" s="318"/>
      <c r="FB4" s="318"/>
      <c r="FC4" s="321">
        <f t="shared" si="71"/>
        <v>2</v>
      </c>
      <c r="FD4" s="318" t="str">
        <f>IFERROR(__xludf.DUMMYFUNCTION("CONCATENATE(JOIN("""",HR4:ID4))"),"re, Pa, ")</f>
        <v>re, Pa, </v>
      </c>
      <c r="FE4" s="322">
        <f t="shared" si="72"/>
        <v>0</v>
      </c>
      <c r="FF4" s="324" t="str">
        <f>IFERROR(__xludf.DUMMYFUNCTION("CONCATENATE(JOIN("""",IR4:JD4))"),"")</f>
        <v/>
      </c>
      <c r="FG4" s="325" t="str">
        <f t="shared" si="73"/>
        <v>S-R1-G3-M2-P-D2-N3-S</v>
      </c>
      <c r="FH4" s="326" t="str">
        <f t="shared" si="74"/>
        <v>1-b2-3-#4-5-6-7-8</v>
      </c>
      <c r="FI4" s="326" t="str">
        <f t="shared" si="75"/>
        <v>0-1-4-6-7-9-11-0</v>
      </c>
      <c r="FJ4" s="318"/>
      <c r="FK4" s="328" t="str">
        <f>IFERROR(__xludf.DUMMYFUNCTION("SUBSTITUTE(SUBSTITUTE(SUBSTITUTE(SUBSTITUTE(CONCATENATE(JOIN("" "",FN4:FZ4)),""  "","" ""),""  "","" ""),""  "","" ""),""  "","" "")"),"o o • • o • o o • o • o o")</f>
        <v>o o • • o • o o • o • o o</v>
      </c>
      <c r="FL4" s="328" t="str">
        <f t="shared" si="76"/>
        <v>Sa-Pa</v>
      </c>
      <c r="FM4" s="329"/>
      <c r="FN4" s="331" t="str">
        <f t="shared" si="77"/>
        <v>o</v>
      </c>
      <c r="FO4" s="332" t="str">
        <f t="shared" si="78"/>
        <v>o</v>
      </c>
      <c r="FP4" s="332" t="str">
        <f t="shared" si="79"/>
        <v>•</v>
      </c>
      <c r="FQ4" s="332" t="str">
        <f t="shared" si="80"/>
        <v>•</v>
      </c>
      <c r="FR4" s="332" t="str">
        <f t="shared" si="81"/>
        <v>o</v>
      </c>
      <c r="FS4" s="332" t="str">
        <f t="shared" si="82"/>
        <v>•</v>
      </c>
      <c r="FT4" s="332" t="str">
        <f t="shared" si="83"/>
        <v>o</v>
      </c>
      <c r="FU4" s="332" t="str">
        <f t="shared" si="84"/>
        <v>o</v>
      </c>
      <c r="FV4" s="332" t="str">
        <f t="shared" si="85"/>
        <v>•</v>
      </c>
      <c r="FW4" s="332" t="str">
        <f t="shared" si="86"/>
        <v>o</v>
      </c>
      <c r="FX4" s="332" t="str">
        <f t="shared" si="87"/>
        <v>•</v>
      </c>
      <c r="FY4" s="332" t="str">
        <f t="shared" si="88"/>
        <v>o</v>
      </c>
      <c r="FZ4" s="338" t="str">
        <f t="shared" si="89"/>
        <v>o</v>
      </c>
      <c r="GA4" s="339" t="str">
        <f t="shared" si="90"/>
        <v>Sa-Pa</v>
      </c>
      <c r="GB4" s="339" t="str">
        <f t="shared" si="91"/>
        <v>Sa-Pa</v>
      </c>
      <c r="GC4" s="339" t="str">
        <f t="shared" si="92"/>
        <v>-</v>
      </c>
      <c r="GD4" s="340" t="str">
        <f t="shared" si="93"/>
        <v>-</v>
      </c>
      <c r="GE4" s="331" t="str">
        <f t="shared" si="94"/>
        <v>S</v>
      </c>
      <c r="GF4" s="332" t="str">
        <f t="shared" si="95"/>
        <v>r</v>
      </c>
      <c r="GG4" s="332" t="str">
        <f t="shared" si="96"/>
        <v/>
      </c>
      <c r="GH4" s="332" t="str">
        <f t="shared" si="97"/>
        <v>g</v>
      </c>
      <c r="GI4" s="332" t="str">
        <f t="shared" si="98"/>
        <v/>
      </c>
      <c r="GJ4" s="332" t="str">
        <f t="shared" si="99"/>
        <v>m</v>
      </c>
      <c r="GK4" s="332" t="str">
        <f t="shared" si="100"/>
        <v>M</v>
      </c>
      <c r="GL4" s="332" t="str">
        <f t="shared" si="101"/>
        <v/>
      </c>
      <c r="GM4" s="332" t="str">
        <f t="shared" si="102"/>
        <v>d</v>
      </c>
      <c r="GN4" s="332" t="str">
        <f t="shared" si="103"/>
        <v/>
      </c>
      <c r="GO4" s="332" t="str">
        <f t="shared" si="104"/>
        <v/>
      </c>
      <c r="GP4" s="332" t="str">
        <f t="shared" si="105"/>
        <v>N</v>
      </c>
      <c r="GQ4" s="343" t="str">
        <f t="shared" si="106"/>
        <v>S</v>
      </c>
      <c r="GR4" s="331" t="str">
        <f t="shared" si="107"/>
        <v>•</v>
      </c>
      <c r="GS4" s="332" t="str">
        <f t="shared" si="108"/>
        <v>•</v>
      </c>
      <c r="GT4" s="332" t="str">
        <f t="shared" si="109"/>
        <v>o</v>
      </c>
      <c r="GU4" s="332" t="str">
        <f t="shared" si="110"/>
        <v>o</v>
      </c>
      <c r="GV4" s="332" t="str">
        <f t="shared" si="111"/>
        <v>•</v>
      </c>
      <c r="GW4" s="332" t="str">
        <f t="shared" si="112"/>
        <v>o</v>
      </c>
      <c r="GX4" s="332" t="str">
        <f t="shared" si="113"/>
        <v>•</v>
      </c>
      <c r="GY4" s="332" t="str">
        <f t="shared" si="114"/>
        <v>•</v>
      </c>
      <c r="GZ4" s="332" t="str">
        <f t="shared" si="115"/>
        <v>o</v>
      </c>
      <c r="HA4" s="332" t="str">
        <f t="shared" si="116"/>
        <v>•</v>
      </c>
      <c r="HB4" s="332" t="str">
        <f t="shared" si="117"/>
        <v>o</v>
      </c>
      <c r="HC4" s="332" t="str">
        <f t="shared" si="118"/>
        <v>•</v>
      </c>
      <c r="HD4" s="338" t="str">
        <f t="shared" si="119"/>
        <v>•</v>
      </c>
      <c r="HE4" s="346" t="b">
        <f t="shared" si="120"/>
        <v>0</v>
      </c>
      <c r="HF4" s="347" t="b">
        <f t="shared" si="121"/>
        <v>1</v>
      </c>
      <c r="HG4" s="347" t="b">
        <f t="shared" si="122"/>
        <v>0</v>
      </c>
      <c r="HH4" s="347" t="b">
        <f t="shared" si="123"/>
        <v>0</v>
      </c>
      <c r="HI4" s="347" t="b">
        <f t="shared" si="124"/>
        <v>0</v>
      </c>
      <c r="HJ4" s="347" t="b">
        <f t="shared" si="125"/>
        <v>0</v>
      </c>
      <c r="HK4" s="347" t="b">
        <f t="shared" si="126"/>
        <v>0</v>
      </c>
      <c r="HL4" s="347" t="b">
        <f t="shared" si="127"/>
        <v>1</v>
      </c>
      <c r="HM4" s="347" t="b">
        <f t="shared" si="128"/>
        <v>0</v>
      </c>
      <c r="HN4" s="347" t="b">
        <f t="shared" si="129"/>
        <v>0</v>
      </c>
      <c r="HO4" s="347" t="b">
        <f t="shared" si="130"/>
        <v>0</v>
      </c>
      <c r="HP4" s="347" t="b">
        <f t="shared" si="131"/>
        <v>0</v>
      </c>
      <c r="HQ4" s="353" t="b">
        <f t="shared" si="132"/>
        <v>0</v>
      </c>
      <c r="HR4" s="354" t="str">
        <f t="shared" si="133"/>
        <v/>
      </c>
      <c r="HS4" s="355" t="str">
        <f t="shared" si="134"/>
        <v>re, </v>
      </c>
      <c r="HT4" s="355" t="str">
        <f t="shared" si="135"/>
        <v/>
      </c>
      <c r="HU4" s="355" t="str">
        <f t="shared" si="136"/>
        <v/>
      </c>
      <c r="HV4" s="355" t="str">
        <f t="shared" si="137"/>
        <v/>
      </c>
      <c r="HW4" s="355" t="str">
        <f t="shared" si="138"/>
        <v/>
      </c>
      <c r="HX4" s="355" t="str">
        <f t="shared" si="139"/>
        <v/>
      </c>
      <c r="HY4" s="355" t="str">
        <f t="shared" si="140"/>
        <v>Pa, </v>
      </c>
      <c r="HZ4" s="355" t="str">
        <f t="shared" si="141"/>
        <v/>
      </c>
      <c r="IA4" s="355" t="str">
        <f t="shared" si="142"/>
        <v/>
      </c>
      <c r="IB4" s="355" t="str">
        <f t="shared" si="143"/>
        <v/>
      </c>
      <c r="IC4" s="355" t="str">
        <f t="shared" si="144"/>
        <v/>
      </c>
      <c r="ID4" s="359" t="str">
        <f t="shared" si="145"/>
        <v/>
      </c>
      <c r="IE4" s="346" t="b">
        <f t="shared" si="146"/>
        <v>0</v>
      </c>
      <c r="IF4" s="347" t="b">
        <f t="shared" si="147"/>
        <v>0</v>
      </c>
      <c r="IG4" s="347" t="b">
        <f t="shared" si="148"/>
        <v>0</v>
      </c>
      <c r="IH4" s="347" t="b">
        <f t="shared" si="149"/>
        <v>0</v>
      </c>
      <c r="II4" s="347" t="b">
        <f t="shared" si="150"/>
        <v>0</v>
      </c>
      <c r="IJ4" s="347" t="b">
        <f t="shared" si="151"/>
        <v>0</v>
      </c>
      <c r="IK4" s="347" t="b">
        <f t="shared" si="152"/>
        <v>0</v>
      </c>
      <c r="IL4" s="347" t="b">
        <f t="shared" si="153"/>
        <v>0</v>
      </c>
      <c r="IM4" s="347" t="b">
        <f t="shared" si="154"/>
        <v>0</v>
      </c>
      <c r="IN4" s="347" t="b">
        <f t="shared" si="155"/>
        <v>0</v>
      </c>
      <c r="IO4" s="347" t="b">
        <f t="shared" si="156"/>
        <v>0</v>
      </c>
      <c r="IP4" s="347" t="b">
        <f t="shared" si="157"/>
        <v>0</v>
      </c>
      <c r="IQ4" s="365" t="b">
        <f t="shared" si="158"/>
        <v>0</v>
      </c>
      <c r="IR4" s="354" t="str">
        <f t="shared" si="159"/>
        <v/>
      </c>
      <c r="IS4" s="355" t="str">
        <f t="shared" si="160"/>
        <v/>
      </c>
      <c r="IT4" s="355" t="str">
        <f t="shared" si="161"/>
        <v/>
      </c>
      <c r="IU4" s="355" t="str">
        <f t="shared" si="162"/>
        <v/>
      </c>
      <c r="IV4" s="355" t="str">
        <f t="shared" si="163"/>
        <v/>
      </c>
      <c r="IW4" s="355" t="str">
        <f t="shared" si="164"/>
        <v/>
      </c>
      <c r="IX4" s="355" t="str">
        <f t="shared" si="165"/>
        <v/>
      </c>
      <c r="IY4" s="355" t="str">
        <f t="shared" si="166"/>
        <v/>
      </c>
      <c r="IZ4" s="355" t="str">
        <f t="shared" si="167"/>
        <v/>
      </c>
      <c r="JA4" s="355" t="str">
        <f t="shared" si="168"/>
        <v/>
      </c>
      <c r="JB4" s="355" t="str">
        <f t="shared" si="169"/>
        <v/>
      </c>
      <c r="JC4" s="355" t="str">
        <f t="shared" si="170"/>
        <v/>
      </c>
      <c r="JD4" s="359"/>
      <c r="JE4" s="321"/>
      <c r="JF4" s="368"/>
      <c r="JG4" s="369"/>
      <c r="JH4" s="369"/>
      <c r="JI4" s="369"/>
      <c r="JJ4" s="369"/>
      <c r="JK4" s="369"/>
      <c r="JL4" s="369"/>
      <c r="JM4" s="369"/>
      <c r="JN4" s="369"/>
      <c r="JO4" s="369"/>
      <c r="JP4" s="369"/>
    </row>
    <row r="5" ht="20.25" customHeight="1">
      <c r="A5" s="221" t="s">
        <v>317</v>
      </c>
      <c r="B5" s="222">
        <v>3.0</v>
      </c>
      <c r="C5" s="223" t="s">
        <v>318</v>
      </c>
      <c r="D5" s="224" t="s">
        <v>17</v>
      </c>
      <c r="E5" s="225" t="str">
        <f t="shared" si="5"/>
        <v>[UQ]</v>
      </c>
      <c r="F5" s="227">
        <f t="shared" si="6"/>
        <v>7</v>
      </c>
      <c r="G5" s="229">
        <f t="shared" si="7"/>
        <v>7</v>
      </c>
      <c r="H5" s="230">
        <f t="shared" si="8"/>
        <v>0</v>
      </c>
      <c r="I5" s="233" t="str">
        <f t="shared" si="9"/>
        <v>SRGMPdNS</v>
      </c>
      <c r="J5" s="234" t="str">
        <f>IFERROR(__xludf.DUMMYFUNCTION("IF(REGEXMATCH(I5, ""S""), ""S"","""")"),"S")</f>
        <v>S</v>
      </c>
      <c r="K5" s="236" t="str">
        <f>IFERROR(__xludf.DUMMYFUNCTION("IF(REGEXMATCH(I5, ""r""), ""r"","""")"),"")</f>
        <v/>
      </c>
      <c r="L5" s="237" t="str">
        <f>IFERROR(__xludf.DUMMYFUNCTION("IF(REGEXMATCH(I5, ""R""), ""R"","""")"),"R")</f>
        <v>R</v>
      </c>
      <c r="M5" s="237" t="str">
        <f>IFERROR(__xludf.DUMMYFUNCTION("IF(REGEXMATCH(I5, ""g""), ""g"","""")"),"")</f>
        <v/>
      </c>
      <c r="N5" s="236" t="str">
        <f>IFERROR(__xludf.DUMMYFUNCTION("IF(REGEXMATCH(I5, ""G""), ""G"","""")"),"G")</f>
        <v>G</v>
      </c>
      <c r="O5" s="236" t="str">
        <f>IFERROR(__xludf.DUMMYFUNCTION("IF(REGEXMATCH(I5, ""m""), ""m"","""")"),"")</f>
        <v/>
      </c>
      <c r="P5" s="237" t="str">
        <f>IFERROR(__xludf.DUMMYFUNCTION("IF(REGEXMATCH(I5, ""M""), ""M"","""")"),"M")</f>
        <v>M</v>
      </c>
      <c r="Q5" s="236" t="str">
        <f>IFERROR(__xludf.DUMMYFUNCTION("IF(REGEXMATCH(I5, ""P""), ""P"","""")"),"P")</f>
        <v>P</v>
      </c>
      <c r="R5" s="237" t="str">
        <f>IFERROR(__xludf.DUMMYFUNCTION("IF(REGEXMATCH(I5, ""d""), ""d"","""")"),"d")</f>
        <v>d</v>
      </c>
      <c r="S5" s="236" t="str">
        <f>IFERROR(__xludf.DUMMYFUNCTION("IF(REGEXMATCH(I5, ""D""), ""D"","""")"),"")</f>
        <v/>
      </c>
      <c r="T5" s="236" t="str">
        <f>IFERROR(__xludf.DUMMYFUNCTION("IF(REGEXMATCH(I5, ""n""), ""n"","""")"),"")</f>
        <v/>
      </c>
      <c r="U5" s="237" t="str">
        <f>IFERROR(__xludf.DUMMYFUNCTION("IF(REGEXMATCH(I5, ""N""), ""N"","""")"),"N")</f>
        <v>N</v>
      </c>
      <c r="V5" s="238" t="str">
        <f>IFERROR(__xludf.DUMMYFUNCTION("IF(REGEXMATCH(I5, ""S""), ""S"","""")"),"S")</f>
        <v>S</v>
      </c>
      <c r="W5" s="239" t="str">
        <f>IFERROR(__xludf.DUMMYFUNCTION("SUBSTITUTE(CONCATENATE(JOIN(""-"",J5:P5)),""-"","""")"),"SRGM")</f>
        <v>SRGM</v>
      </c>
      <c r="X5" s="229" t="str">
        <f>IFERROR(__xludf.DUMMYFUNCTION("SUBSTITUTE(CONCATENATE(JOIN(""-"",Q5:V5)),""-"","""")"),"PdNS")</f>
        <v>PdNS</v>
      </c>
      <c r="Y5" s="282" t="str">
        <f t="shared" si="10"/>
        <v>S-R-G-M</v>
      </c>
      <c r="Z5" s="282" t="str">
        <f t="shared" si="11"/>
        <v>P-D-N-S</v>
      </c>
      <c r="AA5" s="309" t="str">
        <f t="shared" si="12"/>
        <v>RGMdN</v>
      </c>
      <c r="AB5" s="244" t="str">
        <f>IFERROR(__xludf.DUMMYFUNCTION("IF(REGEXMATCH(I5, ""S""), ""0"","""")"),"0")</f>
        <v>0</v>
      </c>
      <c r="AC5" s="245" t="str">
        <f>IFERROR(__xludf.DUMMYFUNCTION("IF(REGEXMATCH(I5, ""r""), ""1"","""")"),"")</f>
        <v/>
      </c>
      <c r="AD5" s="246" t="str">
        <f>IFERROR(__xludf.DUMMYFUNCTION("IF(REGEXMATCH(I5, ""R""), ""2"","""")"),"2")</f>
        <v>2</v>
      </c>
      <c r="AE5" s="246" t="str">
        <f>IFERROR(__xludf.DUMMYFUNCTION("IF(REGEXMATCH(I5, ""g""), ""3"","""")"),"")</f>
        <v/>
      </c>
      <c r="AF5" s="245" t="str">
        <f>IFERROR(__xludf.DUMMYFUNCTION("IF(REGEXMATCH(I5, ""G""), ""4"","""")"),"4")</f>
        <v>4</v>
      </c>
      <c r="AG5" s="245" t="str">
        <f>IFERROR(__xludf.DUMMYFUNCTION("IF(REGEXMATCH(I5, ""m""), ""5"","""")"),"")</f>
        <v/>
      </c>
      <c r="AH5" s="246" t="str">
        <f>IFERROR(__xludf.DUMMYFUNCTION("IF(REGEXMATCH(I5, ""M""), ""6"","""")"),"6")</f>
        <v>6</v>
      </c>
      <c r="AI5" s="245" t="str">
        <f>IFERROR(__xludf.DUMMYFUNCTION("IF(REGEXMATCH(I5, ""P""), ""7"","""")"),"7")</f>
        <v>7</v>
      </c>
      <c r="AJ5" s="246" t="str">
        <f>IFERROR(__xludf.DUMMYFUNCTION("IF(REGEXMATCH(I5, ""d""), ""8"","""")"),"8")</f>
        <v>8</v>
      </c>
      <c r="AK5" s="245" t="str">
        <f>IFERROR(__xludf.DUMMYFUNCTION("IF(REGEXMATCH(I5, ""D""), ""9"","""")"),"")</f>
        <v/>
      </c>
      <c r="AL5" s="245" t="str">
        <f>IFERROR(__xludf.DUMMYFUNCTION("IF(REGEXMATCH(I5, ""n""), ""10"","""")"),"")</f>
        <v/>
      </c>
      <c r="AM5" s="246" t="str">
        <f>IFERROR(__xludf.DUMMYFUNCTION("IF(REGEXMATCH(I5, ""N""), ""11"","""")"),"11")</f>
        <v>11</v>
      </c>
      <c r="AN5" s="249" t="str">
        <f>IFERROR(__xludf.DUMMYFUNCTION("IF(REGEXMATCH(I5, ""S""), ""0"","""")"),"0")</f>
        <v>0</v>
      </c>
      <c r="AO5" s="250" t="str">
        <f>IFERROR(__xludf.DUMMYFUNCTION("SUBSTITUTE(SUBSTITUTE(SUBSTITUTE(SUBSTITUTE(CONCATENATE(JOIN(""-"",AB5:AN5)),""--"",""-""),""--"",""-""),""--"",""-""),""--"",""-"")"),"0-2-4-6-7-8-11-0")</f>
        <v>0-2-4-6-7-8-11-0</v>
      </c>
      <c r="AP5" s="251">
        <f t="shared" si="13"/>
        <v>0</v>
      </c>
      <c r="AQ5" s="234" t="str">
        <f t="shared" si="14"/>
        <v>|</v>
      </c>
      <c r="AR5" s="236" t="str">
        <f t="shared" si="15"/>
        <v>-</v>
      </c>
      <c r="AS5" s="237" t="str">
        <f t="shared" si="16"/>
        <v>|</v>
      </c>
      <c r="AT5" s="236" t="str">
        <f t="shared" si="17"/>
        <v>-</v>
      </c>
      <c r="AU5" s="237" t="str">
        <f t="shared" si="18"/>
        <v>|</v>
      </c>
      <c r="AV5" s="236" t="str">
        <f t="shared" si="19"/>
        <v>-</v>
      </c>
      <c r="AW5" s="237" t="str">
        <f t="shared" si="20"/>
        <v>|</v>
      </c>
      <c r="AX5" s="236" t="str">
        <f t="shared" si="21"/>
        <v>|</v>
      </c>
      <c r="AY5" s="237" t="str">
        <f t="shared" si="22"/>
        <v>|</v>
      </c>
      <c r="AZ5" s="236" t="str">
        <f t="shared" si="23"/>
        <v>-</v>
      </c>
      <c r="BA5" s="237" t="str">
        <f t="shared" si="24"/>
        <v>-</v>
      </c>
      <c r="BB5" s="236" t="str">
        <f t="shared" si="25"/>
        <v>|</v>
      </c>
      <c r="BC5" s="238" t="str">
        <f t="shared" si="26"/>
        <v>|</v>
      </c>
      <c r="BD5" s="250" t="str">
        <f>IFERROR(__xludf.DUMMYFUNCTION("SUBSTITUTE(SUBSTITUTE(CONCATENATE(JOIN("""",AQ5:BB5)),""|"",""x""),""-"",""o"")"),"xoxoxoxxxoox")</f>
        <v>xoxoxoxxxoox</v>
      </c>
      <c r="BE5" s="323" t="str">
        <f>IFERROR(__xludf.DUMMYFUNCTION("JOIN("""",BD5,BD5)"),"xoxoxoxxxooxxoxoxoxxxoox")</f>
        <v>xoxoxoxxxooxxoxoxoxxxoox</v>
      </c>
      <c r="BF5" s="256" t="str">
        <f>IFERROR(__xludf.DUMMYFUNCTION("JOIN("""",ArrayFormula(MID(BD5,LEN(BD5)-SEQUENCE(1,LEN(BD5))+1,1)))"),"xooxxxoxoxox")</f>
        <v>xooxxxoxoxox</v>
      </c>
      <c r="BG5" s="256" t="str">
        <f>IFERROR(__xludf.DUMMYFUNCTION("LEFT(CONCATENATE(""x"",JOIN("""",ArrayFormula(MID(BD5,LEN(BD5)-SEQUENCE(1,LEN(BD5))+1,1)))),12)"),"xxooxxxoxoxo")</f>
        <v>xxooxxxoxoxo</v>
      </c>
      <c r="BH5" s="327" t="str">
        <f>IFERROR(__xludf.DUMMYFUNCTION("JOIN("""",BF5,BF5)"),"xooxxxoxoxoxxooxxxoxoxox")</f>
        <v>xooxxxoxoxoxxooxxxoxoxox</v>
      </c>
      <c r="BI5" s="239" t="str">
        <f>IFERROR(__xludf.DUMMYFUNCTION("IF(REGEXMATCH(BH5,BD5),""✔"",""-"")"),"-")</f>
        <v>-</v>
      </c>
      <c r="BJ5" s="330" t="str">
        <f t="shared" si="27"/>
        <v>-</v>
      </c>
      <c r="BK5" s="260" t="str">
        <f t="shared" si="28"/>
        <v>-</v>
      </c>
      <c r="BL5" s="261" t="str">
        <f>IFERROR(__xludf.DUMMYFUNCTION("IF(BO5=0,""(n/a)"",IF(BP5=2,""(PAIR)"",IF(REGEXMATCH(BE5,""xoxoxxoxoxox""),""Bilawal"",IF(REGEXMATCH(BE5,""xoxoxooxoxoo""),""Bhupali"",IF(REGEXMATCH(BE5,""xoxoxxoxxoxo""),""Charukeshi"",IF(REGEXMATCH(BE5,""xoxoooxxoxxo""),""Kameshwari"",IF(REGEXMATCH(BE5,"&amp;"""xoxoxooxoxox""),""Shankara"",IF(REGEXMATCH(BE5,""xxooxoxxxoox""),""Basant"",IF(REGEXMATCH(BE5,""xoxoxxxxoxox""),""Bihag"",IF(REGEXMATCH(BE5,""xoxxxxoxoxxx""),""Pilu"",IF(REGEXMATCH(BE5,""xoxxoxoxxoox""),""Kirwani"",IF(REGEXMATCH(BE5,""xoxxoxoxoxxx""),"""&amp;"Mk.Malhar"",IF(REGEXMATCH(BE5,""xxooxxoxxoox""),""Bhairav"",IF(REGEXMATCH(BE5,""xxoxooxxxoox""),""Todi"",IF(REGEXMATCH(BE5,""xxooxoxooxox""),""Marwa"",IF(REGEXMATCH(BE5,""xxoooxoxxooo""),""Gunkali"",IF(REGEXMATCH(BE5,""xoxoxxoxxoox""),""Nat Bhairav"",IF(R"&amp;"EGEXMATCH(BE5,""xoxxoooxoxoo""),""Shivranjani"",IF(REGEXMATCH(BE5,""xooxxxoxooxo""),""Jog"",IF(REGEXMATCH(BE5,""xxooxoxoxoox""),""Hemshri"",IF(REGEXMATCH(BE5,""xoooxooxoxxo""),""Kalavati"",IF(REGEXMATCH(BE5,""xxoxoxxoxoox""),""Kedar"",IF(REGEXMATCH(BE5,"""&amp;"xoxxxxoxooxx""),""Gara"",IF(REGEXMATCH(BE5,""xooxoxooxoox""),""Chandrakauns"",IF(REGEXMATCH(BE5,""xoxxxxoxxxox""),""Mand"",IF(REGEXMATCH(BE5,""xoxxxxoxoxox""),""Hanskinkini"",IF(REGEXMATCH(BE5,""xxooxxoxooxo""),""Lilavati"",IF(REGEXMATCH(BE5,""xooxoxoooxo"&amp;"x""),""Rajeshwari"",IF(REGEXMATCH(BE5,""xoooxxoxoxxx""),""Khokar"",IF(REGEXMATCH(BE5,""xxooxoxxxxox""),""Maligoura"",""-""))))))))))))))))))))))))))))))"),"(PAIR)")</f>
        <v>(PAIR)</v>
      </c>
      <c r="BM5" s="239">
        <f t="shared" si="29"/>
        <v>6</v>
      </c>
      <c r="BN5" s="239">
        <f>IFERROR(__xludf.DUMMYFUNCTION("COUNTUNIQUE(BR5:CB5)-1"),6.0)</f>
        <v>6</v>
      </c>
      <c r="BO5" s="239">
        <f>IFERROR(__xludf.DUMMYFUNCTION("COUNTUNIQUE(FILTER(BE:BE,REGEXMATCH(BE:BE,BD5)))-1"),1.0)</f>
        <v>1</v>
      </c>
      <c r="BP5" s="239">
        <f>IFERROR(__xludf.DUMMYFUNCTION("COUNTA(FILTER(BE:BE,REGEXMATCH(BE:BE,BD5)))"),2.0)</f>
        <v>2</v>
      </c>
      <c r="BQ5" s="341">
        <f>IFERROR(__xludf.DUMMYFUNCTION("COUNTA(FILTER(BE:BE,REGEXMATCH(BE:BE,BD5)))-AP5"),2.0)</f>
        <v>2</v>
      </c>
      <c r="BR5" s="269" t="str">
        <f t="shared" si="30"/>
        <v>-</v>
      </c>
      <c r="BS5" s="269" t="str">
        <f t="shared" si="31"/>
        <v>xoxoxxxooxx</v>
      </c>
      <c r="BT5" s="271" t="str">
        <f t="shared" si="32"/>
        <v>-</v>
      </c>
      <c r="BU5" s="269" t="str">
        <f t="shared" si="33"/>
        <v>xoxxxooxxox</v>
      </c>
      <c r="BV5" s="271" t="str">
        <f t="shared" si="34"/>
        <v>-</v>
      </c>
      <c r="BW5" s="271" t="str">
        <f t="shared" si="35"/>
        <v>xxxooxxoxox</v>
      </c>
      <c r="BX5" s="271" t="str">
        <f t="shared" si="36"/>
        <v>xxooxxoxoxo</v>
      </c>
      <c r="BY5" s="271" t="str">
        <f t="shared" si="37"/>
        <v>xooxxoxoxox</v>
      </c>
      <c r="BZ5" s="271" t="str">
        <f t="shared" si="38"/>
        <v>-</v>
      </c>
      <c r="CA5" s="271" t="str">
        <f t="shared" si="39"/>
        <v>-</v>
      </c>
      <c r="CB5" s="274" t="str">
        <f t="shared" si="40"/>
        <v>xxoxoxoxxxo</v>
      </c>
      <c r="CC5" s="276" t="str">
        <f>IFERROR(__xludf.DUMMYFUNCTION("IF(BD5=""oooooooooooo"",""-"",IF(REGEXMATCH(BE5,""xx""), ""Hemi."", ""Anhemi.""))"),"Hemi.")</f>
        <v>Hemi.</v>
      </c>
      <c r="CD5" s="282" t="str">
        <f>IFERROR(__xludf.DUMMYFUNCTION("IF(BD5=""oooooooooooo"",""-"",IF(REGEXMATCH(BE5,""xxx""), ""Cohem."", ""-""))"),"Cohem.")</f>
        <v>Cohem.</v>
      </c>
      <c r="CE5" s="282" t="str">
        <f>IFERROR(__xludf.DUMMYFUNCTION("IF(BD5=""oooooooooooo"",""-"",IF(REGEXMATCH(BE5,""xxxx""), ""Co-Co."", ""-""))"),"-")</f>
        <v>-</v>
      </c>
      <c r="CF5" s="342" t="str">
        <f>IFERROR(__xludf.DUMMYFUNCTION("IF(BD5=""oooooooooooo"",""-"",IF(REGEXMATCH(BE5,""xxxxx""), ""CCC."", ""-""))"),"-")</f>
        <v>-</v>
      </c>
      <c r="CG5" s="344" t="str">
        <f t="shared" si="41"/>
        <v>-</v>
      </c>
      <c r="CH5" s="282" t="str">
        <f>IFERROR(__xludf.DUMMYFUNCTION("IF(REGEXMATCH(JOIN(""-"",CJ5:CS5),""TRUE""),""✔"",""-"")"),"-")</f>
        <v>-</v>
      </c>
      <c r="CI5" s="225">
        <f t="shared" si="42"/>
        <v>0</v>
      </c>
      <c r="CJ5" s="376" t="b">
        <f>IFERROR(__xludf.DUMMYFUNCTION("arrayformula(sum(--REGEXMATCH(""SRGMPDNS"",split(REGEXREPLACE(I5,""(.)"",""$1~""),""~""))))=len(I5)
"),FALSE)</f>
        <v>0</v>
      </c>
      <c r="CK5" s="290" t="b">
        <f>IFERROR(__xludf.DUMMYFUNCTION("arrayformula(sum(--REGEXMATCH(""SRGmPDNS"",split(REGEXREPLACE(I5,""(.)"",""$1~""),""~""))))=len(I5)"),FALSE)</f>
        <v>0</v>
      </c>
      <c r="CL5" s="290" t="b">
        <f>IFERROR(__xludf.DUMMYFUNCTION("arrayformula(sum(--REGEXMATCH(""SRGmPDnS"",split(REGEXREPLACE(I5,""(.)"",""$1~""),""~""))))=len(I5)"),FALSE)</f>
        <v>0</v>
      </c>
      <c r="CM5" s="290" t="b">
        <f>IFERROR(__xludf.DUMMYFUNCTION("arrayformula(sum(--REGEXMATCH(""SRgmPDnS"",split(REGEXREPLACE(I5,""(.)"",""$1~""),""~""))))=len(I5)"),FALSE)</f>
        <v>0</v>
      </c>
      <c r="CN5" s="290" t="b">
        <f>IFERROR(__xludf.DUMMYFUNCTION("arrayformula(sum(--REGEXMATCH(""SRgmPdnS"",split(REGEXREPLACE(I5,""(.)"",""$1~""),""~""))))=len(I5)"),FALSE)</f>
        <v>0</v>
      </c>
      <c r="CO5" s="290" t="b">
        <f>IFERROR(__xludf.DUMMYFUNCTION("arrayformula(sum(--REGEXMATCH(""SrgmPdnS"",split(REGEXREPLACE(I5,""(.)"",""$1~""),""~""))))=len(I5)"),FALSE)</f>
        <v>0</v>
      </c>
      <c r="CP5" s="290" t="b">
        <f>IFERROR(__xludf.DUMMYFUNCTION("arrayformula(sum(--REGEXMATCH(""SrGmPdNS"",split(REGEXREPLACE(I5,""(.)"",""$1~""),""~""))))=len(I5)"),FALSE)</f>
        <v>0</v>
      </c>
      <c r="CQ5" s="290" t="b">
        <f>IFERROR(__xludf.DUMMYFUNCTION("arrayformula(sum(--REGEXMATCH(""SrGMPDNS"",split(REGEXREPLACE(I5,""(.)"",""$1~""),""~""))))=len(I5)"),FALSE)</f>
        <v>0</v>
      </c>
      <c r="CR5" s="290" t="b">
        <f>IFERROR(__xludf.DUMMYFUNCTION("arrayformula(sum(--REGEXMATCH(""SrGMPdNS"",split(REGEXREPLACE(I5,""(.)"",""$1~""),""~""))))=len(I5)"),FALSE)</f>
        <v>0</v>
      </c>
      <c r="CS5" s="293" t="b">
        <f>IFERROR(__xludf.DUMMYFUNCTION("arrayformula(sum(--REGEXMATCH(""SrgMPdNS"",split(REGEXREPLACE(I5,""(.)"",""$1~""),""~""))))=len(I5)"),FALSE)</f>
        <v>0</v>
      </c>
      <c r="CT5" s="244" t="str">
        <f>IFERROR(__xludf.DUMMYFUNCTION("IF(REGEXMATCH(I5, ""S""), ""1"","""")"),"1")</f>
        <v>1</v>
      </c>
      <c r="CU5" s="245" t="str">
        <f>IFERROR(__xludf.DUMMYFUNCTION("IF(REGEXMATCH(I5, ""r""), ""b2"","""")"),"")</f>
        <v/>
      </c>
      <c r="CV5" s="246" t="str">
        <f>IFERROR(__xludf.DUMMYFUNCTION("IF(REGEXMATCH(I5, ""R""), ""2"","""")"),"2")</f>
        <v>2</v>
      </c>
      <c r="CW5" s="246" t="str">
        <f>IFERROR(__xludf.DUMMYFUNCTION("IF(REGEXMATCH(I5, ""g""), ""b3"","""")"),"")</f>
        <v/>
      </c>
      <c r="CX5" s="245" t="str">
        <f>IFERROR(__xludf.DUMMYFUNCTION("IF(REGEXMATCH(I5, ""G""), ""3"","""")"),"3")</f>
        <v>3</v>
      </c>
      <c r="CY5" s="245" t="str">
        <f>IFERROR(__xludf.DUMMYFUNCTION("IF(REGEXMATCH(I5, ""m""), ""4"","""")"),"")</f>
        <v/>
      </c>
      <c r="CZ5" s="246" t="str">
        <f>IFERROR(__xludf.DUMMYFUNCTION("IF(REGEXMATCH(I5, ""M""), ""#4"","""")"),"#4")</f>
        <v>#4</v>
      </c>
      <c r="DA5" s="245" t="str">
        <f>IFERROR(__xludf.DUMMYFUNCTION("IF(REGEXMATCH(I5, ""P""), ""5"","""")"),"5")</f>
        <v>5</v>
      </c>
      <c r="DB5" s="246" t="str">
        <f>IFERROR(__xludf.DUMMYFUNCTION("IF(REGEXMATCH(I5, ""d""), ""b6"","""")"),"b6")</f>
        <v>b6</v>
      </c>
      <c r="DC5" s="245" t="str">
        <f>IFERROR(__xludf.DUMMYFUNCTION("IF(REGEXMATCH(I5, ""D""), ""6"","""")"),"")</f>
        <v/>
      </c>
      <c r="DD5" s="245" t="str">
        <f>IFERROR(__xludf.DUMMYFUNCTION("IF(REGEXMATCH(I5, ""n""), ""b7"","""")"),"")</f>
        <v/>
      </c>
      <c r="DE5" s="246" t="str">
        <f>IFERROR(__xludf.DUMMYFUNCTION("IF(REGEXMATCH(I5, ""N""), ""7"","""")"),"7")</f>
        <v>7</v>
      </c>
      <c r="DF5" s="249" t="str">
        <f>IFERROR(__xludf.DUMMYFUNCTION("IF(REGEXMATCH(I5, ""S""), ""8"","""")"),"8")</f>
        <v>8</v>
      </c>
      <c r="DG5" s="244" t="str">
        <f>IFERROR(__xludf.DUMMYFUNCTION("IF(REGEXMATCH(I5, ""S""), ""S"","""")"),"S")</f>
        <v>S</v>
      </c>
      <c r="DH5" s="294" t="str">
        <f>IFERROR(__xludf.DUMMYFUNCTION("IF(REGEXMATCH(I5, ""r""), ""R1"","""")"),"")</f>
        <v/>
      </c>
      <c r="DI5" s="295" t="str">
        <f>IFERROR(__xludf.DUMMYFUNCTION("IF(REGEXMATCH(I5, ""R""), ""R2"","""")"),"R2")</f>
        <v>R2</v>
      </c>
      <c r="DJ5" s="295" t="str">
        <f>IFERROR(__xludf.DUMMYFUNCTION("IF(REGEXMATCH(I5, ""g""), ""G2"","""")"),"")</f>
        <v/>
      </c>
      <c r="DK5" s="294" t="str">
        <f>IFERROR(__xludf.DUMMYFUNCTION("IF(REGEXMATCH(I5, ""G""), ""G3"","""")"),"G3")</f>
        <v>G3</v>
      </c>
      <c r="DL5" s="294" t="str">
        <f>IFERROR(__xludf.DUMMYFUNCTION("IF(REGEXMATCH(I5, ""m""), ""M1"","""")"),"")</f>
        <v/>
      </c>
      <c r="DM5" s="295" t="str">
        <f>IFERROR(__xludf.DUMMYFUNCTION("IF(REGEXMATCH(I5, ""M""), ""M2"","""")"),"M2")</f>
        <v>M2</v>
      </c>
      <c r="DN5" s="294" t="str">
        <f>IFERROR(__xludf.DUMMYFUNCTION("IF(REGEXMATCH(I5, ""P""), ""P"","""")"),"P")</f>
        <v>P</v>
      </c>
      <c r="DO5" s="295" t="str">
        <f>IFERROR(__xludf.DUMMYFUNCTION("IF(REGEXMATCH(I5, ""d""), ""D1"","""")"),"D1")</f>
        <v>D1</v>
      </c>
      <c r="DP5" s="294" t="str">
        <f>IFERROR(__xludf.DUMMYFUNCTION("IF(REGEXMATCH(I5, ""D""), ""D2"","""")"),"")</f>
        <v/>
      </c>
      <c r="DQ5" s="294" t="str">
        <f>IFERROR(__xludf.DUMMYFUNCTION("IF(REGEXMATCH(I5, ""n""), ""N2"","""")"),"")</f>
        <v/>
      </c>
      <c r="DR5" s="295" t="str">
        <f>IFERROR(__xludf.DUMMYFUNCTION("IF(REGEXMATCH(I5, ""N""), ""N3"","""")"),"N3")</f>
        <v>N3</v>
      </c>
      <c r="DS5" s="249" t="str">
        <f>IFERROR(__xludf.DUMMYFUNCTION("IF(REGEXMATCH(I5, ""S""), ""S"","""")"),"S")</f>
        <v>S</v>
      </c>
      <c r="DT5" s="299" t="str">
        <f>IFERROR(__xludf.DUMMYFUNCTION("SUBSTITUTE(SUBSTITUTE(SUBSTITUTE(SUBSTITUTE(CONCATENATE(JOIN(""-"",CT5:DF5)),""--"",""-""),""--"",""-""),""--"",""-""),""--"",""-"")"),"1-2-3-#4-5-b6-7-8")</f>
        <v>1-2-3-#4-5-b6-7-8</v>
      </c>
      <c r="DU5" s="299" t="str">
        <f>IFERROR(__xludf.DUMMYFUNCTION("SUBSTITUTE(SUBSTITUTE(SUBSTITUTE(SUBSTITUTE(CONCATENATE(JOIN(""-"",DG5:DS5)),""--"",""-""),""--"",""-""),""--"",""-""),""--"",""-"")"),"S-R2-G3-M2-P-D1-N3-S")</f>
        <v>S-R2-G3-M2-P-D1-N3-S</v>
      </c>
      <c r="DV5" s="348" t="str">
        <f t="shared" si="43"/>
        <v>C-D-E-F#-G-Ab-B-C</v>
      </c>
      <c r="DW5" s="301">
        <f t="shared" si="44"/>
        <v>7</v>
      </c>
      <c r="DX5" s="302" t="str">
        <f t="shared" si="45"/>
        <v>Sampurna</v>
      </c>
      <c r="DY5" s="301" t="str">
        <f t="shared" ref="DY5:DZ5" si="171">SUBSTITUTE(Y5,"-","")</f>
        <v>SRGM</v>
      </c>
      <c r="DZ5" s="301" t="str">
        <f t="shared" si="171"/>
        <v>PDNS</v>
      </c>
      <c r="EA5" s="302" t="str">
        <f t="shared" si="47"/>
        <v>(PAIR)</v>
      </c>
      <c r="EB5" s="301" t="str">
        <f t="shared" si="48"/>
        <v>Hemi.</v>
      </c>
      <c r="EC5" s="364" t="str">
        <f t="shared" si="49"/>
        <v>Cohem.</v>
      </c>
      <c r="ED5" s="306" t="str">
        <f t="shared" si="50"/>
        <v>-</v>
      </c>
      <c r="EE5" s="366" t="str">
        <f t="shared" si="51"/>
        <v>-</v>
      </c>
      <c r="EF5" s="308" t="str">
        <f t="shared" si="52"/>
        <v>✔</v>
      </c>
      <c r="EG5" s="306" t="str">
        <f t="shared" si="53"/>
        <v>-</v>
      </c>
      <c r="EH5" s="306" t="str">
        <f t="shared" si="54"/>
        <v>-</v>
      </c>
      <c r="EI5" s="367" t="str">
        <f t="shared" si="55"/>
        <v>✔</v>
      </c>
      <c r="EJ5" s="310" t="str">
        <f t="shared" si="56"/>
        <v>-</v>
      </c>
      <c r="EK5" s="310" t="str">
        <f t="shared" si="57"/>
        <v>-</v>
      </c>
      <c r="EL5" s="310" t="str">
        <f t="shared" si="58"/>
        <v>-</v>
      </c>
      <c r="EM5" s="310" t="str">
        <f t="shared" si="59"/>
        <v>-</v>
      </c>
      <c r="EN5" s="370" t="str">
        <f t="shared" si="60"/>
        <v>-</v>
      </c>
      <c r="EO5" s="306" t="str">
        <f t="shared" si="61"/>
        <v>-</v>
      </c>
      <c r="EP5" s="306" t="str">
        <f t="shared" si="62"/>
        <v>-</v>
      </c>
      <c r="EQ5" s="306" t="str">
        <f t="shared" si="63"/>
        <v>-</v>
      </c>
      <c r="ER5" s="306" t="str">
        <f t="shared" si="64"/>
        <v>-</v>
      </c>
      <c r="ES5" s="306" t="str">
        <f t="shared" si="65"/>
        <v>-</v>
      </c>
      <c r="ET5" s="367" t="str">
        <f t="shared" si="66"/>
        <v>-</v>
      </c>
      <c r="EU5" s="310" t="str">
        <f>IFERROR(__xludf.DUMMYFUNCTION("IF(REGEXMATCH(BH5,BD5),""✔"",""-"")"),"-")</f>
        <v>-</v>
      </c>
      <c r="EV5" s="310" t="str">
        <f t="shared" si="67"/>
        <v>-</v>
      </c>
      <c r="EW5" s="370" t="str">
        <f t="shared" si="68"/>
        <v>-</v>
      </c>
      <c r="EX5" s="315" t="str">
        <f t="shared" si="69"/>
        <v>[UQ]</v>
      </c>
      <c r="EY5" s="317" t="str">
        <f t="shared" si="70"/>
        <v>S-R-G-M-P-d-N-S</v>
      </c>
      <c r="EZ5" s="318" t="str">
        <f>IFERROR(__xludf.DUMMYFUNCTION("CONCATENATE(JOIN("""",GE5:GQ5))"),"SrGmMdnS")</f>
        <v>SrGmMdnS</v>
      </c>
      <c r="FA5" s="318"/>
      <c r="FB5" s="318"/>
      <c r="FC5" s="321">
        <f t="shared" si="71"/>
        <v>3</v>
      </c>
      <c r="FD5" s="318" t="str">
        <f>IFERROR(__xludf.DUMMYFUNCTION("CONCATENATE(JOIN("""",HR5:ID5))"),"Re, Ma, dha, ")</f>
        <v>Re, Ma, dha, </v>
      </c>
      <c r="FE5" s="322">
        <f t="shared" si="72"/>
        <v>1</v>
      </c>
      <c r="FF5" s="324" t="str">
        <f>IFERROR(__xludf.DUMMYFUNCTION("CONCATENATE(JOIN("""",IR5:JD5))"),"dha, ")</f>
        <v>dha, </v>
      </c>
      <c r="FG5" s="325" t="str">
        <f t="shared" si="73"/>
        <v>S-R2-G3-M2-P-D1-N3-S</v>
      </c>
      <c r="FH5" s="326" t="str">
        <f t="shared" si="74"/>
        <v>1-2-3-#4-5-b6-7-8</v>
      </c>
      <c r="FI5" s="326" t="str">
        <f t="shared" si="75"/>
        <v>0-2-4-6-7-8-11-0</v>
      </c>
      <c r="FJ5" s="318"/>
      <c r="FK5" s="328" t="str">
        <f>IFERROR(__xludf.DUMMYFUNCTION("SUBSTITUTE(SUBSTITUTE(SUBSTITUTE(SUBSTITUTE(CONCATENATE(JOIN("" "",FN5:FZ5)),""  "","" ""),""  "","" ""),""  "","" ""),""  "","" "")"),"o • o • o • o o o • • o o")</f>
        <v>o • o • o • o o o • • o o</v>
      </c>
      <c r="FL5" s="328" t="str">
        <f t="shared" si="76"/>
        <v>Sa-Pa</v>
      </c>
      <c r="FM5" s="329"/>
      <c r="FN5" s="331" t="str">
        <f t="shared" si="77"/>
        <v>o</v>
      </c>
      <c r="FO5" s="332" t="str">
        <f t="shared" si="78"/>
        <v>•</v>
      </c>
      <c r="FP5" s="332" t="str">
        <f t="shared" si="79"/>
        <v>o</v>
      </c>
      <c r="FQ5" s="332" t="str">
        <f t="shared" si="80"/>
        <v>•</v>
      </c>
      <c r="FR5" s="332" t="str">
        <f t="shared" si="81"/>
        <v>o</v>
      </c>
      <c r="FS5" s="332" t="str">
        <f t="shared" si="82"/>
        <v>•</v>
      </c>
      <c r="FT5" s="332" t="str">
        <f t="shared" si="83"/>
        <v>o</v>
      </c>
      <c r="FU5" s="332" t="str">
        <f t="shared" si="84"/>
        <v>o</v>
      </c>
      <c r="FV5" s="332" t="str">
        <f t="shared" si="85"/>
        <v>o</v>
      </c>
      <c r="FW5" s="332" t="str">
        <f t="shared" si="86"/>
        <v>•</v>
      </c>
      <c r="FX5" s="332" t="str">
        <f t="shared" si="87"/>
        <v>•</v>
      </c>
      <c r="FY5" s="332" t="str">
        <f t="shared" si="88"/>
        <v>o</v>
      </c>
      <c r="FZ5" s="338" t="str">
        <f t="shared" si="89"/>
        <v>o</v>
      </c>
      <c r="GA5" s="339" t="str">
        <f t="shared" si="90"/>
        <v>Sa-Pa</v>
      </c>
      <c r="GB5" s="339" t="str">
        <f t="shared" si="91"/>
        <v>Sa-Pa</v>
      </c>
      <c r="GC5" s="339" t="str">
        <f t="shared" si="92"/>
        <v>-</v>
      </c>
      <c r="GD5" s="340" t="str">
        <f t="shared" si="93"/>
        <v>-</v>
      </c>
      <c r="GE5" s="331" t="str">
        <f t="shared" si="94"/>
        <v>S</v>
      </c>
      <c r="GF5" s="332" t="str">
        <f t="shared" si="95"/>
        <v>r</v>
      </c>
      <c r="GG5" s="332" t="str">
        <f t="shared" si="96"/>
        <v/>
      </c>
      <c r="GH5" s="332" t="str">
        <f t="shared" si="97"/>
        <v/>
      </c>
      <c r="GI5" s="332" t="str">
        <f t="shared" si="98"/>
        <v>G</v>
      </c>
      <c r="GJ5" s="332" t="str">
        <f t="shared" si="99"/>
        <v>m</v>
      </c>
      <c r="GK5" s="332" t="str">
        <f t="shared" si="100"/>
        <v>M</v>
      </c>
      <c r="GL5" s="332" t="str">
        <f t="shared" si="101"/>
        <v/>
      </c>
      <c r="GM5" s="332" t="str">
        <f t="shared" si="102"/>
        <v>d</v>
      </c>
      <c r="GN5" s="332" t="str">
        <f t="shared" si="103"/>
        <v/>
      </c>
      <c r="GO5" s="332" t="str">
        <f t="shared" si="104"/>
        <v>n</v>
      </c>
      <c r="GP5" s="332" t="str">
        <f t="shared" si="105"/>
        <v/>
      </c>
      <c r="GQ5" s="343" t="str">
        <f t="shared" si="106"/>
        <v>S</v>
      </c>
      <c r="GR5" s="331" t="str">
        <f t="shared" si="107"/>
        <v>•</v>
      </c>
      <c r="GS5" s="332" t="str">
        <f t="shared" si="108"/>
        <v>o</v>
      </c>
      <c r="GT5" s="332" t="str">
        <f t="shared" si="109"/>
        <v>•</v>
      </c>
      <c r="GU5" s="332" t="str">
        <f t="shared" si="110"/>
        <v>o</v>
      </c>
      <c r="GV5" s="332" t="str">
        <f t="shared" si="111"/>
        <v>•</v>
      </c>
      <c r="GW5" s="332" t="str">
        <f t="shared" si="112"/>
        <v>o</v>
      </c>
      <c r="GX5" s="332" t="str">
        <f t="shared" si="113"/>
        <v>•</v>
      </c>
      <c r="GY5" s="332" t="str">
        <f t="shared" si="114"/>
        <v>•</v>
      </c>
      <c r="GZ5" s="332" t="str">
        <f t="shared" si="115"/>
        <v>•</v>
      </c>
      <c r="HA5" s="332" t="str">
        <f t="shared" si="116"/>
        <v>o</v>
      </c>
      <c r="HB5" s="332" t="str">
        <f t="shared" si="117"/>
        <v>o</v>
      </c>
      <c r="HC5" s="332" t="str">
        <f t="shared" si="118"/>
        <v>•</v>
      </c>
      <c r="HD5" s="338" t="str">
        <f t="shared" si="119"/>
        <v>•</v>
      </c>
      <c r="HE5" s="346" t="b">
        <f t="shared" si="120"/>
        <v>0</v>
      </c>
      <c r="HF5" s="347" t="b">
        <f t="shared" si="121"/>
        <v>0</v>
      </c>
      <c r="HG5" s="347" t="b">
        <f t="shared" si="122"/>
        <v>1</v>
      </c>
      <c r="HH5" s="347" t="b">
        <f t="shared" si="123"/>
        <v>0</v>
      </c>
      <c r="HI5" s="347" t="b">
        <f t="shared" si="124"/>
        <v>0</v>
      </c>
      <c r="HJ5" s="347" t="b">
        <f t="shared" si="125"/>
        <v>0</v>
      </c>
      <c r="HK5" s="347" t="b">
        <f t="shared" si="126"/>
        <v>1</v>
      </c>
      <c r="HL5" s="347" t="b">
        <f t="shared" si="127"/>
        <v>0</v>
      </c>
      <c r="HM5" s="347" t="b">
        <f t="shared" si="128"/>
        <v>1</v>
      </c>
      <c r="HN5" s="347" t="b">
        <f t="shared" si="129"/>
        <v>0</v>
      </c>
      <c r="HO5" s="347" t="b">
        <f t="shared" si="130"/>
        <v>0</v>
      </c>
      <c r="HP5" s="347" t="b">
        <f t="shared" si="131"/>
        <v>0</v>
      </c>
      <c r="HQ5" s="353" t="b">
        <f t="shared" si="132"/>
        <v>0</v>
      </c>
      <c r="HR5" s="354" t="str">
        <f t="shared" si="133"/>
        <v/>
      </c>
      <c r="HS5" s="355" t="str">
        <f t="shared" si="134"/>
        <v/>
      </c>
      <c r="HT5" s="355" t="str">
        <f t="shared" si="135"/>
        <v>Re, </v>
      </c>
      <c r="HU5" s="355" t="str">
        <f t="shared" si="136"/>
        <v/>
      </c>
      <c r="HV5" s="355" t="str">
        <f t="shared" si="137"/>
        <v/>
      </c>
      <c r="HW5" s="355" t="str">
        <f t="shared" si="138"/>
        <v/>
      </c>
      <c r="HX5" s="355" t="str">
        <f t="shared" si="139"/>
        <v>Ma, </v>
      </c>
      <c r="HY5" s="355" t="str">
        <f t="shared" si="140"/>
        <v/>
      </c>
      <c r="HZ5" s="355" t="str">
        <f t="shared" si="141"/>
        <v>dha, </v>
      </c>
      <c r="IA5" s="355" t="str">
        <f t="shared" si="142"/>
        <v/>
      </c>
      <c r="IB5" s="355" t="str">
        <f t="shared" si="143"/>
        <v/>
      </c>
      <c r="IC5" s="355" t="str">
        <f t="shared" si="144"/>
        <v/>
      </c>
      <c r="ID5" s="359" t="str">
        <f t="shared" si="145"/>
        <v/>
      </c>
      <c r="IE5" s="346" t="b">
        <f t="shared" si="146"/>
        <v>0</v>
      </c>
      <c r="IF5" s="347" t="b">
        <f t="shared" si="147"/>
        <v>0</v>
      </c>
      <c r="IG5" s="347" t="b">
        <f t="shared" si="148"/>
        <v>0</v>
      </c>
      <c r="IH5" s="347" t="b">
        <f t="shared" si="149"/>
        <v>0</v>
      </c>
      <c r="II5" s="347" t="b">
        <f t="shared" si="150"/>
        <v>0</v>
      </c>
      <c r="IJ5" s="347" t="b">
        <f t="shared" si="151"/>
        <v>0</v>
      </c>
      <c r="IK5" s="347" t="b">
        <f t="shared" si="152"/>
        <v>0</v>
      </c>
      <c r="IL5" s="347" t="b">
        <f t="shared" si="153"/>
        <v>0</v>
      </c>
      <c r="IM5" s="347" t="b">
        <f t="shared" si="154"/>
        <v>1</v>
      </c>
      <c r="IN5" s="347" t="b">
        <f t="shared" si="155"/>
        <v>0</v>
      </c>
      <c r="IO5" s="347" t="b">
        <f t="shared" si="156"/>
        <v>0</v>
      </c>
      <c r="IP5" s="347" t="b">
        <f t="shared" si="157"/>
        <v>0</v>
      </c>
      <c r="IQ5" s="365" t="b">
        <f t="shared" si="158"/>
        <v>0</v>
      </c>
      <c r="IR5" s="354" t="str">
        <f t="shared" si="159"/>
        <v/>
      </c>
      <c r="IS5" s="355" t="str">
        <f t="shared" si="160"/>
        <v/>
      </c>
      <c r="IT5" s="355" t="str">
        <f t="shared" si="161"/>
        <v/>
      </c>
      <c r="IU5" s="355" t="str">
        <f t="shared" si="162"/>
        <v/>
      </c>
      <c r="IV5" s="355" t="str">
        <f t="shared" si="163"/>
        <v/>
      </c>
      <c r="IW5" s="355" t="str">
        <f t="shared" si="164"/>
        <v/>
      </c>
      <c r="IX5" s="355" t="str">
        <f t="shared" si="165"/>
        <v/>
      </c>
      <c r="IY5" s="355" t="str">
        <f t="shared" si="166"/>
        <v/>
      </c>
      <c r="IZ5" s="355" t="str">
        <f t="shared" si="167"/>
        <v>dha, </v>
      </c>
      <c r="JA5" s="355" t="str">
        <f t="shared" si="168"/>
        <v/>
      </c>
      <c r="JB5" s="355" t="str">
        <f t="shared" si="169"/>
        <v/>
      </c>
      <c r="JC5" s="355" t="str">
        <f t="shared" si="170"/>
        <v/>
      </c>
      <c r="JD5" s="359"/>
      <c r="JE5" s="321"/>
      <c r="JF5" s="368"/>
      <c r="JG5" s="369"/>
      <c r="JH5" s="369"/>
      <c r="JI5" s="369"/>
      <c r="JJ5" s="369"/>
      <c r="JK5" s="369"/>
      <c r="JL5" s="369"/>
      <c r="JM5" s="369"/>
      <c r="JN5" s="369"/>
      <c r="JO5" s="369"/>
      <c r="JP5" s="369"/>
    </row>
    <row r="6" ht="20.25" customHeight="1">
      <c r="A6" s="221" t="s">
        <v>126</v>
      </c>
      <c r="B6" s="222">
        <v>4.0</v>
      </c>
      <c r="C6" s="223" t="s">
        <v>339</v>
      </c>
      <c r="D6" s="224">
        <v>10.0</v>
      </c>
      <c r="E6" s="225" t="str">
        <f t="shared" si="5"/>
        <v>[UQ]</v>
      </c>
      <c r="F6" s="227">
        <f t="shared" si="6"/>
        <v>7</v>
      </c>
      <c r="G6" s="229">
        <f t="shared" si="7"/>
        <v>7</v>
      </c>
      <c r="H6" s="230">
        <f t="shared" si="8"/>
        <v>0</v>
      </c>
      <c r="I6" s="233" t="str">
        <f t="shared" si="9"/>
        <v>SrGMPdNS</v>
      </c>
      <c r="J6" s="234" t="str">
        <f>IFERROR(__xludf.DUMMYFUNCTION("IF(REGEXMATCH(I6, ""S""), ""S"","""")"),"S")</f>
        <v>S</v>
      </c>
      <c r="K6" s="236" t="str">
        <f>IFERROR(__xludf.DUMMYFUNCTION("IF(REGEXMATCH(I6, ""r""), ""r"","""")"),"r")</f>
        <v>r</v>
      </c>
      <c r="L6" s="237" t="str">
        <f>IFERROR(__xludf.DUMMYFUNCTION("IF(REGEXMATCH(I6, ""R""), ""R"","""")"),"")</f>
        <v/>
      </c>
      <c r="M6" s="237" t="str">
        <f>IFERROR(__xludf.DUMMYFUNCTION("IF(REGEXMATCH(I6, ""g""), ""g"","""")"),"")</f>
        <v/>
      </c>
      <c r="N6" s="236" t="str">
        <f>IFERROR(__xludf.DUMMYFUNCTION("IF(REGEXMATCH(I6, ""G""), ""G"","""")"),"G")</f>
        <v>G</v>
      </c>
      <c r="O6" s="236" t="str">
        <f>IFERROR(__xludf.DUMMYFUNCTION("IF(REGEXMATCH(I6, ""m""), ""m"","""")"),"")</f>
        <v/>
      </c>
      <c r="P6" s="237" t="str">
        <f>IFERROR(__xludf.DUMMYFUNCTION("IF(REGEXMATCH(I6, ""M""), ""M"","""")"),"M")</f>
        <v>M</v>
      </c>
      <c r="Q6" s="236" t="str">
        <f>IFERROR(__xludf.DUMMYFUNCTION("IF(REGEXMATCH(I6, ""P""), ""P"","""")"),"P")</f>
        <v>P</v>
      </c>
      <c r="R6" s="237" t="str">
        <f>IFERROR(__xludf.DUMMYFUNCTION("IF(REGEXMATCH(I6, ""d""), ""d"","""")"),"d")</f>
        <v>d</v>
      </c>
      <c r="S6" s="236" t="str">
        <f>IFERROR(__xludf.DUMMYFUNCTION("IF(REGEXMATCH(I6, ""D""), ""D"","""")"),"")</f>
        <v/>
      </c>
      <c r="T6" s="236" t="str">
        <f>IFERROR(__xludf.DUMMYFUNCTION("IF(REGEXMATCH(I6, ""n""), ""n"","""")"),"")</f>
        <v/>
      </c>
      <c r="U6" s="237" t="str">
        <f>IFERROR(__xludf.DUMMYFUNCTION("IF(REGEXMATCH(I6, ""N""), ""N"","""")"),"N")</f>
        <v>N</v>
      </c>
      <c r="V6" s="238" t="str">
        <f>IFERROR(__xludf.DUMMYFUNCTION("IF(REGEXMATCH(I6, ""S""), ""S"","""")"),"S")</f>
        <v>S</v>
      </c>
      <c r="W6" s="239" t="str">
        <f>IFERROR(__xludf.DUMMYFUNCTION("SUBSTITUTE(CONCATENATE(JOIN(""-"",J6:P6)),""-"","""")"),"SrGM")</f>
        <v>SrGM</v>
      </c>
      <c r="X6" s="229" t="str">
        <f>IFERROR(__xludf.DUMMYFUNCTION("SUBSTITUTE(CONCATENATE(JOIN(""-"",Q6:V6)),""-"","""")"),"PdNS")</f>
        <v>PdNS</v>
      </c>
      <c r="Y6" s="282" t="str">
        <f t="shared" si="10"/>
        <v>S-R-G-M</v>
      </c>
      <c r="Z6" s="282" t="str">
        <f t="shared" si="11"/>
        <v>P-D-N-S</v>
      </c>
      <c r="AA6" s="309" t="str">
        <f t="shared" si="12"/>
        <v>rGMdN</v>
      </c>
      <c r="AB6" s="244" t="str">
        <f>IFERROR(__xludf.DUMMYFUNCTION("IF(REGEXMATCH(I6, ""S""), ""0"","""")"),"0")</f>
        <v>0</v>
      </c>
      <c r="AC6" s="245" t="str">
        <f>IFERROR(__xludf.DUMMYFUNCTION("IF(REGEXMATCH(I6, ""r""), ""1"","""")"),"1")</f>
        <v>1</v>
      </c>
      <c r="AD6" s="246" t="str">
        <f>IFERROR(__xludf.DUMMYFUNCTION("IF(REGEXMATCH(I6, ""R""), ""2"","""")"),"")</f>
        <v/>
      </c>
      <c r="AE6" s="246" t="str">
        <f>IFERROR(__xludf.DUMMYFUNCTION("IF(REGEXMATCH(I6, ""g""), ""3"","""")"),"")</f>
        <v/>
      </c>
      <c r="AF6" s="245" t="str">
        <f>IFERROR(__xludf.DUMMYFUNCTION("IF(REGEXMATCH(I6, ""G""), ""4"","""")"),"4")</f>
        <v>4</v>
      </c>
      <c r="AG6" s="245" t="str">
        <f>IFERROR(__xludf.DUMMYFUNCTION("IF(REGEXMATCH(I6, ""m""), ""5"","""")"),"")</f>
        <v/>
      </c>
      <c r="AH6" s="246" t="str">
        <f>IFERROR(__xludf.DUMMYFUNCTION("IF(REGEXMATCH(I6, ""M""), ""6"","""")"),"6")</f>
        <v>6</v>
      </c>
      <c r="AI6" s="245" t="str">
        <f>IFERROR(__xludf.DUMMYFUNCTION("IF(REGEXMATCH(I6, ""P""), ""7"","""")"),"7")</f>
        <v>7</v>
      </c>
      <c r="AJ6" s="246" t="str">
        <f>IFERROR(__xludf.DUMMYFUNCTION("IF(REGEXMATCH(I6, ""d""), ""8"","""")"),"8")</f>
        <v>8</v>
      </c>
      <c r="AK6" s="245" t="str">
        <f>IFERROR(__xludf.DUMMYFUNCTION("IF(REGEXMATCH(I6, ""D""), ""9"","""")"),"")</f>
        <v/>
      </c>
      <c r="AL6" s="245" t="str">
        <f>IFERROR(__xludf.DUMMYFUNCTION("IF(REGEXMATCH(I6, ""n""), ""10"","""")"),"")</f>
        <v/>
      </c>
      <c r="AM6" s="246" t="str">
        <f>IFERROR(__xludf.DUMMYFUNCTION("IF(REGEXMATCH(I6, ""N""), ""11"","""")"),"11")</f>
        <v>11</v>
      </c>
      <c r="AN6" s="249" t="str">
        <f>IFERROR(__xludf.DUMMYFUNCTION("IF(REGEXMATCH(I6, ""S""), ""0"","""")"),"0")</f>
        <v>0</v>
      </c>
      <c r="AO6" s="250" t="str">
        <f>IFERROR(__xludf.DUMMYFUNCTION("SUBSTITUTE(SUBSTITUTE(SUBSTITUTE(SUBSTITUTE(CONCATENATE(JOIN(""-"",AB6:AN6)),""--"",""-""),""--"",""-""),""--"",""-""),""--"",""-"")"),"0-1-4-6-7-8-11-0")</f>
        <v>0-1-4-6-7-8-11-0</v>
      </c>
      <c r="AP6" s="251">
        <f t="shared" si="13"/>
        <v>0</v>
      </c>
      <c r="AQ6" s="234" t="str">
        <f t="shared" si="14"/>
        <v>|</v>
      </c>
      <c r="AR6" s="236" t="str">
        <f t="shared" si="15"/>
        <v>|</v>
      </c>
      <c r="AS6" s="237" t="str">
        <f t="shared" si="16"/>
        <v>-</v>
      </c>
      <c r="AT6" s="236" t="str">
        <f t="shared" si="17"/>
        <v>-</v>
      </c>
      <c r="AU6" s="237" t="str">
        <f t="shared" si="18"/>
        <v>|</v>
      </c>
      <c r="AV6" s="236" t="str">
        <f t="shared" si="19"/>
        <v>-</v>
      </c>
      <c r="AW6" s="237" t="str">
        <f t="shared" si="20"/>
        <v>|</v>
      </c>
      <c r="AX6" s="236" t="str">
        <f t="shared" si="21"/>
        <v>|</v>
      </c>
      <c r="AY6" s="237" t="str">
        <f t="shared" si="22"/>
        <v>|</v>
      </c>
      <c r="AZ6" s="236" t="str">
        <f t="shared" si="23"/>
        <v>-</v>
      </c>
      <c r="BA6" s="237" t="str">
        <f t="shared" si="24"/>
        <v>-</v>
      </c>
      <c r="BB6" s="236" t="str">
        <f t="shared" si="25"/>
        <v>|</v>
      </c>
      <c r="BC6" s="238" t="str">
        <f t="shared" si="26"/>
        <v>|</v>
      </c>
      <c r="BD6" s="250" t="str">
        <f>IFERROR(__xludf.DUMMYFUNCTION("SUBSTITUTE(SUBSTITUTE(CONCATENATE(JOIN("""",AQ6:BB6)),""|"",""x""),""-"",""o"")"),"xxooxoxxxoox")</f>
        <v>xxooxoxxxoox</v>
      </c>
      <c r="BE6" s="323" t="str">
        <f>IFERROR(__xludf.DUMMYFUNCTION("JOIN("""",BD6,BD6)"),"xxooxoxxxooxxxooxoxxxoox")</f>
        <v>xxooxoxxxooxxxooxoxxxoox</v>
      </c>
      <c r="BF6" s="256" t="str">
        <f>IFERROR(__xludf.DUMMYFUNCTION("JOIN("""",ArrayFormula(MID(BD6,LEN(BD6)-SEQUENCE(1,LEN(BD6))+1,1)))"),"xooxxxoxooxx")</f>
        <v>xooxxxoxooxx</v>
      </c>
      <c r="BG6" s="256" t="str">
        <f>IFERROR(__xludf.DUMMYFUNCTION("LEFT(CONCATENATE(""x"",JOIN("""",ArrayFormula(MID(BD6,LEN(BD6)-SEQUENCE(1,LEN(BD6))+1,1)))),12)"),"xxooxxxoxoox")</f>
        <v>xxooxxxoxoox</v>
      </c>
      <c r="BH6" s="327" t="str">
        <f>IFERROR(__xludf.DUMMYFUNCTION("JOIN("""",BF6,BF6)"),"xooxxxoxooxxxooxxxoxooxx")</f>
        <v>xooxxxoxooxxxooxxxoxooxx</v>
      </c>
      <c r="BI6" s="239" t="str">
        <f>IFERROR(__xludf.DUMMYFUNCTION("IF(REGEXMATCH(BH6,BD6),""✔"",""-"")"),"-")</f>
        <v>-</v>
      </c>
      <c r="BJ6" s="330" t="str">
        <f t="shared" si="27"/>
        <v>-</v>
      </c>
      <c r="BK6" s="260" t="str">
        <f t="shared" si="28"/>
        <v>-</v>
      </c>
      <c r="BL6" s="261" t="str">
        <f>IFERROR(__xludf.DUMMYFUNCTION("IF(BO6=0,""(n/a)"",IF(BP6=2,""(PAIR)"",IF(REGEXMATCH(BE6,""xoxoxxoxoxox""),""Bilawal"",IF(REGEXMATCH(BE6,""xoxoxooxoxoo""),""Bhupali"",IF(REGEXMATCH(BE6,""xoxoxxoxxoxo""),""Charukeshi"",IF(REGEXMATCH(BE6,""xoxoooxxoxxo""),""Kameshwari"",IF(REGEXMATCH(BE6,"&amp;"""xoxoxooxoxox""),""Shankara"",IF(REGEXMATCH(BE6,""xxooxoxxxoox""),""Basant"",IF(REGEXMATCH(BE6,""xoxoxxxxoxox""),""Bihag"",IF(REGEXMATCH(BE6,""xoxxxxoxoxxx""),""Pilu"",IF(REGEXMATCH(BE6,""xoxxoxoxxoox""),""Kirwani"",IF(REGEXMATCH(BE6,""xoxxoxoxoxxx""),"""&amp;"Mk.Malhar"",IF(REGEXMATCH(BE6,""xxooxxoxxoox""),""Bhairav"",IF(REGEXMATCH(BE6,""xxoxooxxxoox""),""Todi"",IF(REGEXMATCH(BE6,""xxooxoxooxox""),""Marwa"",IF(REGEXMATCH(BE6,""xxoooxoxxooo""),""Gunkali"",IF(REGEXMATCH(BE6,""xoxoxxoxxoox""),""Nat Bhairav"",IF(R"&amp;"EGEXMATCH(BE6,""xoxxoooxoxoo""),""Shivranjani"",IF(REGEXMATCH(BE6,""xooxxxoxooxo""),""Jog"",IF(REGEXMATCH(BE6,""xxooxoxoxoox""),""Hemshri"",IF(REGEXMATCH(BE6,""xoooxooxoxxo""),""Kalavati"",IF(REGEXMATCH(BE6,""xxoxoxxoxoox""),""Kedar"",IF(REGEXMATCH(BE6,"""&amp;"xoxxxxoxooxx""),""Gara"",IF(REGEXMATCH(BE6,""xooxoxooxoox""),""Chandrakauns"",IF(REGEXMATCH(BE6,""xoxxxxoxxxox""),""Mand"",IF(REGEXMATCH(BE6,""xoxxxxoxoxox""),""Hanskinkini"",IF(REGEXMATCH(BE6,""xxooxxoxooxo""),""Lilavati"",IF(REGEXMATCH(BE6,""xooxoxoooxo"&amp;"x""),""Rajeshwari"",IF(REGEXMATCH(BE6,""xoooxxoxoxxx""),""Khokar"",IF(REGEXMATCH(BE6,""xxooxoxxxxox""),""Maligoura"",""-""))))))))))))))))))))))))))))))"),"(n/a)")</f>
        <v>(n/a)</v>
      </c>
      <c r="BM6" s="239">
        <f t="shared" si="29"/>
        <v>6</v>
      </c>
      <c r="BN6" s="239">
        <f>IFERROR(__xludf.DUMMYFUNCTION("COUNTUNIQUE(BR6:CB6)-1"),6.0)</f>
        <v>6</v>
      </c>
      <c r="BO6" s="239">
        <f>IFERROR(__xludf.DUMMYFUNCTION("COUNTUNIQUE(FILTER(BE:BE,REGEXMATCH(BE:BE,BD6)))-1"),0.0)</f>
        <v>0</v>
      </c>
      <c r="BP6" s="239">
        <f>IFERROR(__xludf.DUMMYFUNCTION("COUNTA(FILTER(BE:BE,REGEXMATCH(BE:BE,BD6)))"),1.0)</f>
        <v>1</v>
      </c>
      <c r="BQ6" s="341">
        <f>IFERROR(__xludf.DUMMYFUNCTION("COUNTA(FILTER(BE:BE,REGEXMATCH(BE:BE,BD6)))-AP6"),1.0)</f>
        <v>1</v>
      </c>
      <c r="BR6" s="269" t="str">
        <f t="shared" si="30"/>
        <v>xooxoxxxoox</v>
      </c>
      <c r="BS6" s="269" t="str">
        <f t="shared" si="31"/>
        <v>-</v>
      </c>
      <c r="BT6" s="271" t="str">
        <f t="shared" si="32"/>
        <v>-</v>
      </c>
      <c r="BU6" s="269" t="str">
        <f t="shared" si="33"/>
        <v>xoxxxooxxxo</v>
      </c>
      <c r="BV6" s="271" t="str">
        <f t="shared" si="34"/>
        <v>-</v>
      </c>
      <c r="BW6" s="271" t="str">
        <f t="shared" si="35"/>
        <v>xxxooxxxoox</v>
      </c>
      <c r="BX6" s="271" t="str">
        <f t="shared" si="36"/>
        <v>xxooxxxooxo</v>
      </c>
      <c r="BY6" s="271" t="str">
        <f t="shared" si="37"/>
        <v>xooxxxooxox</v>
      </c>
      <c r="BZ6" s="271" t="str">
        <f t="shared" si="38"/>
        <v>-</v>
      </c>
      <c r="CA6" s="271" t="str">
        <f t="shared" si="39"/>
        <v>-</v>
      </c>
      <c r="CB6" s="274" t="str">
        <f t="shared" si="40"/>
        <v>xxxooxoxxxo</v>
      </c>
      <c r="CC6" s="276" t="str">
        <f>IFERROR(__xludf.DUMMYFUNCTION("IF(BD6=""oooooooooooo"",""-"",IF(REGEXMATCH(BE6,""xx""), ""Hemi."", ""Anhemi.""))"),"Hemi.")</f>
        <v>Hemi.</v>
      </c>
      <c r="CD6" s="282" t="str">
        <f>IFERROR(__xludf.DUMMYFUNCTION("IF(BD6=""oooooooooooo"",""-"",IF(REGEXMATCH(BE6,""xxx""), ""Cohem."", ""-""))"),"Cohem.")</f>
        <v>Cohem.</v>
      </c>
      <c r="CE6" s="282" t="str">
        <f>IFERROR(__xludf.DUMMYFUNCTION("IF(BD6=""oooooooooooo"",""-"",IF(REGEXMATCH(BE6,""xxxx""), ""Co-Co."", ""-""))"),"-")</f>
        <v>-</v>
      </c>
      <c r="CF6" s="342" t="str">
        <f>IFERROR(__xludf.DUMMYFUNCTION("IF(BD6=""oooooooooooo"",""-"",IF(REGEXMATCH(BE6,""xxxxx""), ""CCC."", ""-""))"),"-")</f>
        <v>-</v>
      </c>
      <c r="CG6" s="344" t="str">
        <f t="shared" si="41"/>
        <v>Poorvi</v>
      </c>
      <c r="CH6" s="282" t="str">
        <f>IFERROR(__xludf.DUMMYFUNCTION("IF(REGEXMATCH(JOIN(""-"",CJ6:CS6),""TRUE""),""✔"",""-"")"),"✔")</f>
        <v>✔</v>
      </c>
      <c r="CI6" s="225">
        <f t="shared" si="42"/>
        <v>1</v>
      </c>
      <c r="CJ6" s="376" t="b">
        <f>IFERROR(__xludf.DUMMYFUNCTION("arrayformula(sum(--REGEXMATCH(""SRGMPDNS"",split(REGEXREPLACE(I6,""(.)"",""$1~""),""~""))))=len(I6)
"),FALSE)</f>
        <v>0</v>
      </c>
      <c r="CK6" s="290" t="b">
        <f>IFERROR(__xludf.DUMMYFUNCTION("arrayformula(sum(--REGEXMATCH(""SRGmPDNS"",split(REGEXREPLACE(I6,""(.)"",""$1~""),""~""))))=len(I6)"),FALSE)</f>
        <v>0</v>
      </c>
      <c r="CL6" s="290" t="b">
        <f>IFERROR(__xludf.DUMMYFUNCTION("arrayformula(sum(--REGEXMATCH(""SRGmPDnS"",split(REGEXREPLACE(I6,""(.)"",""$1~""),""~""))))=len(I6)"),FALSE)</f>
        <v>0</v>
      </c>
      <c r="CM6" s="290" t="b">
        <f>IFERROR(__xludf.DUMMYFUNCTION("arrayformula(sum(--REGEXMATCH(""SRgmPDnS"",split(REGEXREPLACE(I6,""(.)"",""$1~""),""~""))))=len(I6)"),FALSE)</f>
        <v>0</v>
      </c>
      <c r="CN6" s="290" t="b">
        <f>IFERROR(__xludf.DUMMYFUNCTION("arrayformula(sum(--REGEXMATCH(""SRgmPdnS"",split(REGEXREPLACE(I6,""(.)"",""$1~""),""~""))))=len(I6)"),FALSE)</f>
        <v>0</v>
      </c>
      <c r="CO6" s="290" t="b">
        <f>IFERROR(__xludf.DUMMYFUNCTION("arrayformula(sum(--REGEXMATCH(""SrgmPdnS"",split(REGEXREPLACE(I6,""(.)"",""$1~""),""~""))))=len(I6)"),FALSE)</f>
        <v>0</v>
      </c>
      <c r="CP6" s="290" t="b">
        <f>IFERROR(__xludf.DUMMYFUNCTION("arrayformula(sum(--REGEXMATCH(""SrGmPdNS"",split(REGEXREPLACE(I6,""(.)"",""$1~""),""~""))))=len(I6)"),FALSE)</f>
        <v>0</v>
      </c>
      <c r="CQ6" s="290" t="b">
        <f>IFERROR(__xludf.DUMMYFUNCTION("arrayformula(sum(--REGEXMATCH(""SrGMPDNS"",split(REGEXREPLACE(I6,""(.)"",""$1~""),""~""))))=len(I6)"),FALSE)</f>
        <v>0</v>
      </c>
      <c r="CR6" s="290" t="b">
        <f>IFERROR(__xludf.DUMMYFUNCTION("arrayformula(sum(--REGEXMATCH(""SrGMPdNS"",split(REGEXREPLACE(I6,""(.)"",""$1~""),""~""))))=len(I6)"),TRUE)</f>
        <v>1</v>
      </c>
      <c r="CS6" s="293" t="b">
        <f>IFERROR(__xludf.DUMMYFUNCTION("arrayformula(sum(--REGEXMATCH(""SrgMPdNS"",split(REGEXREPLACE(I6,""(.)"",""$1~""),""~""))))=len(I6)"),FALSE)</f>
        <v>0</v>
      </c>
      <c r="CT6" s="244" t="str">
        <f>IFERROR(__xludf.DUMMYFUNCTION("IF(REGEXMATCH(I6, ""S""), ""1"","""")"),"1")</f>
        <v>1</v>
      </c>
      <c r="CU6" s="245" t="str">
        <f>IFERROR(__xludf.DUMMYFUNCTION("IF(REGEXMATCH(I6, ""r""), ""b2"","""")"),"b2")</f>
        <v>b2</v>
      </c>
      <c r="CV6" s="246" t="str">
        <f>IFERROR(__xludf.DUMMYFUNCTION("IF(REGEXMATCH(I6, ""R""), ""2"","""")"),"")</f>
        <v/>
      </c>
      <c r="CW6" s="246" t="str">
        <f>IFERROR(__xludf.DUMMYFUNCTION("IF(REGEXMATCH(I6, ""g""), ""b3"","""")"),"")</f>
        <v/>
      </c>
      <c r="CX6" s="245" t="str">
        <f>IFERROR(__xludf.DUMMYFUNCTION("IF(REGEXMATCH(I6, ""G""), ""3"","""")"),"3")</f>
        <v>3</v>
      </c>
      <c r="CY6" s="245" t="str">
        <f>IFERROR(__xludf.DUMMYFUNCTION("IF(REGEXMATCH(I6, ""m""), ""4"","""")"),"")</f>
        <v/>
      </c>
      <c r="CZ6" s="246" t="str">
        <f>IFERROR(__xludf.DUMMYFUNCTION("IF(REGEXMATCH(I6, ""M""), ""#4"","""")"),"#4")</f>
        <v>#4</v>
      </c>
      <c r="DA6" s="245" t="str">
        <f>IFERROR(__xludf.DUMMYFUNCTION("IF(REGEXMATCH(I6, ""P""), ""5"","""")"),"5")</f>
        <v>5</v>
      </c>
      <c r="DB6" s="246" t="str">
        <f>IFERROR(__xludf.DUMMYFUNCTION("IF(REGEXMATCH(I6, ""d""), ""b6"","""")"),"b6")</f>
        <v>b6</v>
      </c>
      <c r="DC6" s="245" t="str">
        <f>IFERROR(__xludf.DUMMYFUNCTION("IF(REGEXMATCH(I6, ""D""), ""6"","""")"),"")</f>
        <v/>
      </c>
      <c r="DD6" s="245" t="str">
        <f>IFERROR(__xludf.DUMMYFUNCTION("IF(REGEXMATCH(I6, ""n""), ""b7"","""")"),"")</f>
        <v/>
      </c>
      <c r="DE6" s="246" t="str">
        <f>IFERROR(__xludf.DUMMYFUNCTION("IF(REGEXMATCH(I6, ""N""), ""7"","""")"),"7")</f>
        <v>7</v>
      </c>
      <c r="DF6" s="249" t="str">
        <f>IFERROR(__xludf.DUMMYFUNCTION("IF(REGEXMATCH(I6, ""S""), ""8"","""")"),"8")</f>
        <v>8</v>
      </c>
      <c r="DG6" s="244" t="str">
        <f>IFERROR(__xludf.DUMMYFUNCTION("IF(REGEXMATCH(I6, ""S""), ""S"","""")"),"S")</f>
        <v>S</v>
      </c>
      <c r="DH6" s="294" t="str">
        <f>IFERROR(__xludf.DUMMYFUNCTION("IF(REGEXMATCH(I6, ""r""), ""R1"","""")"),"R1")</f>
        <v>R1</v>
      </c>
      <c r="DI6" s="295" t="str">
        <f>IFERROR(__xludf.DUMMYFUNCTION("IF(REGEXMATCH(I6, ""R""), ""R2"","""")"),"")</f>
        <v/>
      </c>
      <c r="DJ6" s="295" t="str">
        <f>IFERROR(__xludf.DUMMYFUNCTION("IF(REGEXMATCH(I6, ""g""), ""G2"","""")"),"")</f>
        <v/>
      </c>
      <c r="DK6" s="294" t="str">
        <f>IFERROR(__xludf.DUMMYFUNCTION("IF(REGEXMATCH(I6, ""G""), ""G3"","""")"),"G3")</f>
        <v>G3</v>
      </c>
      <c r="DL6" s="294" t="str">
        <f>IFERROR(__xludf.DUMMYFUNCTION("IF(REGEXMATCH(I6, ""m""), ""M1"","""")"),"")</f>
        <v/>
      </c>
      <c r="DM6" s="295" t="str">
        <f>IFERROR(__xludf.DUMMYFUNCTION("IF(REGEXMATCH(I6, ""M""), ""M2"","""")"),"M2")</f>
        <v>M2</v>
      </c>
      <c r="DN6" s="294" t="str">
        <f>IFERROR(__xludf.DUMMYFUNCTION("IF(REGEXMATCH(I6, ""P""), ""P"","""")"),"P")</f>
        <v>P</v>
      </c>
      <c r="DO6" s="295" t="str">
        <f>IFERROR(__xludf.DUMMYFUNCTION("IF(REGEXMATCH(I6, ""d""), ""D1"","""")"),"D1")</f>
        <v>D1</v>
      </c>
      <c r="DP6" s="294" t="str">
        <f>IFERROR(__xludf.DUMMYFUNCTION("IF(REGEXMATCH(I6, ""D""), ""D2"","""")"),"")</f>
        <v/>
      </c>
      <c r="DQ6" s="294" t="str">
        <f>IFERROR(__xludf.DUMMYFUNCTION("IF(REGEXMATCH(I6, ""n""), ""N2"","""")"),"")</f>
        <v/>
      </c>
      <c r="DR6" s="295" t="str">
        <f>IFERROR(__xludf.DUMMYFUNCTION("IF(REGEXMATCH(I6, ""N""), ""N3"","""")"),"N3")</f>
        <v>N3</v>
      </c>
      <c r="DS6" s="249" t="str">
        <f>IFERROR(__xludf.DUMMYFUNCTION("IF(REGEXMATCH(I6, ""S""), ""S"","""")"),"S")</f>
        <v>S</v>
      </c>
      <c r="DT6" s="299" t="str">
        <f>IFERROR(__xludf.DUMMYFUNCTION("SUBSTITUTE(SUBSTITUTE(SUBSTITUTE(SUBSTITUTE(CONCATENATE(JOIN(""-"",CT6:DF6)),""--"",""-""),""--"",""-""),""--"",""-""),""--"",""-"")"),"1-b2-3-#4-5-b6-7-8")</f>
        <v>1-b2-3-#4-5-b6-7-8</v>
      </c>
      <c r="DU6" s="299" t="str">
        <f>IFERROR(__xludf.DUMMYFUNCTION("SUBSTITUTE(SUBSTITUTE(SUBSTITUTE(SUBSTITUTE(CONCATENATE(JOIN(""-"",DG6:DS6)),""--"",""-""),""--"",""-""),""--"",""-""),""--"",""-"")"),"S-R1-G3-M2-P-D1-N3-S")</f>
        <v>S-R1-G3-M2-P-D1-N3-S</v>
      </c>
      <c r="DV6" s="348" t="str">
        <f t="shared" si="43"/>
        <v>C-Db-E-F#-G-Ab-B-C</v>
      </c>
      <c r="DW6" s="301">
        <f t="shared" si="44"/>
        <v>7</v>
      </c>
      <c r="DX6" s="302" t="str">
        <f t="shared" si="45"/>
        <v>Sampurna</v>
      </c>
      <c r="DY6" s="301" t="str">
        <f t="shared" ref="DY6:DZ6" si="172">SUBSTITUTE(Y6,"-","")</f>
        <v>SRGM</v>
      </c>
      <c r="DZ6" s="301" t="str">
        <f t="shared" si="172"/>
        <v>PDNS</v>
      </c>
      <c r="EA6" s="302" t="str">
        <f t="shared" si="47"/>
        <v>(n/a)</v>
      </c>
      <c r="EB6" s="301" t="str">
        <f t="shared" si="48"/>
        <v>Hemi.</v>
      </c>
      <c r="EC6" s="364" t="str">
        <f t="shared" si="49"/>
        <v>Cohem.</v>
      </c>
      <c r="ED6" s="306" t="str">
        <f t="shared" si="50"/>
        <v>Poorvi</v>
      </c>
      <c r="EE6" s="366" t="str">
        <f t="shared" si="51"/>
        <v>-</v>
      </c>
      <c r="EF6" s="308" t="str">
        <f t="shared" si="52"/>
        <v>-</v>
      </c>
      <c r="EG6" s="306" t="str">
        <f t="shared" si="53"/>
        <v>-</v>
      </c>
      <c r="EH6" s="306" t="str">
        <f t="shared" si="54"/>
        <v>-</v>
      </c>
      <c r="EI6" s="367" t="str">
        <f t="shared" si="55"/>
        <v>✔</v>
      </c>
      <c r="EJ6" s="310" t="str">
        <f t="shared" si="56"/>
        <v>-</v>
      </c>
      <c r="EK6" s="310" t="str">
        <f t="shared" si="57"/>
        <v>-</v>
      </c>
      <c r="EL6" s="310" t="str">
        <f t="shared" si="58"/>
        <v>-</v>
      </c>
      <c r="EM6" s="310" t="str">
        <f t="shared" si="59"/>
        <v>-</v>
      </c>
      <c r="EN6" s="370" t="str">
        <f t="shared" si="60"/>
        <v>-</v>
      </c>
      <c r="EO6" s="306" t="str">
        <f t="shared" si="61"/>
        <v>-</v>
      </c>
      <c r="EP6" s="306" t="str">
        <f t="shared" si="62"/>
        <v>-</v>
      </c>
      <c r="EQ6" s="306" t="str">
        <f t="shared" si="63"/>
        <v>-</v>
      </c>
      <c r="ER6" s="306" t="str">
        <f t="shared" si="64"/>
        <v>-</v>
      </c>
      <c r="ES6" s="306" t="str">
        <f t="shared" si="65"/>
        <v>-</v>
      </c>
      <c r="ET6" s="367" t="str">
        <f t="shared" si="66"/>
        <v>-</v>
      </c>
      <c r="EU6" s="310" t="str">
        <f>IFERROR(__xludf.DUMMYFUNCTION("IF(REGEXMATCH(BH6,BD6),""✔"",""-"")"),"-")</f>
        <v>-</v>
      </c>
      <c r="EV6" s="310" t="str">
        <f t="shared" si="67"/>
        <v>-</v>
      </c>
      <c r="EW6" s="370" t="str">
        <f t="shared" si="68"/>
        <v>-</v>
      </c>
      <c r="EX6" s="315" t="str">
        <f t="shared" si="69"/>
        <v>[UQ]</v>
      </c>
      <c r="EY6" s="317" t="str">
        <f t="shared" si="70"/>
        <v>S-r-G-M-P-d-N-S</v>
      </c>
      <c r="EZ6" s="318" t="str">
        <f>IFERROR(__xludf.DUMMYFUNCTION("CONCATENATE(JOIN("""",GE6:GQ6))"),"SrGmMdNS")</f>
        <v>SrGmMdNS</v>
      </c>
      <c r="FA6" s="318"/>
      <c r="FB6" s="318"/>
      <c r="FC6" s="321">
        <f t="shared" si="71"/>
        <v>2</v>
      </c>
      <c r="FD6" s="318" t="str">
        <f>IFERROR(__xludf.DUMMYFUNCTION("CONCATENATE(JOIN("""",HR6:ID6))"),"Pa, dha, ")</f>
        <v>Pa, dha, </v>
      </c>
      <c r="FE6" s="322">
        <f t="shared" si="72"/>
        <v>0</v>
      </c>
      <c r="FF6" s="324" t="str">
        <f>IFERROR(__xludf.DUMMYFUNCTION("CONCATENATE(JOIN("""",IR6:JD6))"),"")</f>
        <v/>
      </c>
      <c r="FG6" s="325" t="str">
        <f t="shared" si="73"/>
        <v>S-R1-G3-M2-P-D1-N3-S</v>
      </c>
      <c r="FH6" s="326" t="str">
        <f t="shared" si="74"/>
        <v>1-b2-3-#4-5-b6-7-8</v>
      </c>
      <c r="FI6" s="326" t="str">
        <f t="shared" si="75"/>
        <v>0-1-4-6-7-8-11-0</v>
      </c>
      <c r="FJ6" s="318"/>
      <c r="FK6" s="328" t="str">
        <f>IFERROR(__xludf.DUMMYFUNCTION("SUBSTITUTE(SUBSTITUTE(SUBSTITUTE(SUBSTITUTE(CONCATENATE(JOIN("" "",FN6:FZ6)),""  "","" ""),""  "","" ""),""  "","" ""),""  "","" "")"),"o o • • o • o o o • • o o")</f>
        <v>o o • • o • o o o • • o o</v>
      </c>
      <c r="FL6" s="328" t="str">
        <f t="shared" si="76"/>
        <v>Sa-Pa</v>
      </c>
      <c r="FM6" s="329"/>
      <c r="FN6" s="331" t="str">
        <f t="shared" si="77"/>
        <v>o</v>
      </c>
      <c r="FO6" s="332" t="str">
        <f t="shared" si="78"/>
        <v>o</v>
      </c>
      <c r="FP6" s="332" t="str">
        <f t="shared" si="79"/>
        <v>•</v>
      </c>
      <c r="FQ6" s="332" t="str">
        <f t="shared" si="80"/>
        <v>•</v>
      </c>
      <c r="FR6" s="332" t="str">
        <f t="shared" si="81"/>
        <v>o</v>
      </c>
      <c r="FS6" s="332" t="str">
        <f t="shared" si="82"/>
        <v>•</v>
      </c>
      <c r="FT6" s="332" t="str">
        <f t="shared" si="83"/>
        <v>o</v>
      </c>
      <c r="FU6" s="332" t="str">
        <f t="shared" si="84"/>
        <v>o</v>
      </c>
      <c r="FV6" s="332" t="str">
        <f t="shared" si="85"/>
        <v>o</v>
      </c>
      <c r="FW6" s="332" t="str">
        <f t="shared" si="86"/>
        <v>•</v>
      </c>
      <c r="FX6" s="332" t="str">
        <f t="shared" si="87"/>
        <v>•</v>
      </c>
      <c r="FY6" s="332" t="str">
        <f t="shared" si="88"/>
        <v>o</v>
      </c>
      <c r="FZ6" s="338" t="str">
        <f t="shared" si="89"/>
        <v>o</v>
      </c>
      <c r="GA6" s="339" t="str">
        <f t="shared" si="90"/>
        <v>Sa-Pa</v>
      </c>
      <c r="GB6" s="339" t="str">
        <f t="shared" si="91"/>
        <v>Sa-Pa</v>
      </c>
      <c r="GC6" s="339" t="str">
        <f t="shared" si="92"/>
        <v>-</v>
      </c>
      <c r="GD6" s="340" t="str">
        <f t="shared" si="93"/>
        <v>-</v>
      </c>
      <c r="GE6" s="331" t="str">
        <f t="shared" si="94"/>
        <v>S</v>
      </c>
      <c r="GF6" s="332" t="str">
        <f t="shared" si="95"/>
        <v>r</v>
      </c>
      <c r="GG6" s="332" t="str">
        <f t="shared" si="96"/>
        <v/>
      </c>
      <c r="GH6" s="332" t="str">
        <f t="shared" si="97"/>
        <v/>
      </c>
      <c r="GI6" s="332" t="str">
        <f t="shared" si="98"/>
        <v>G</v>
      </c>
      <c r="GJ6" s="332" t="str">
        <f t="shared" si="99"/>
        <v>m</v>
      </c>
      <c r="GK6" s="332" t="str">
        <f t="shared" si="100"/>
        <v>M</v>
      </c>
      <c r="GL6" s="332" t="str">
        <f t="shared" si="101"/>
        <v/>
      </c>
      <c r="GM6" s="332" t="str">
        <f t="shared" si="102"/>
        <v>d</v>
      </c>
      <c r="GN6" s="332" t="str">
        <f t="shared" si="103"/>
        <v/>
      </c>
      <c r="GO6" s="332" t="str">
        <f t="shared" si="104"/>
        <v/>
      </c>
      <c r="GP6" s="332" t="str">
        <f t="shared" si="105"/>
        <v>N</v>
      </c>
      <c r="GQ6" s="343" t="str">
        <f t="shared" si="106"/>
        <v>S</v>
      </c>
      <c r="GR6" s="331" t="str">
        <f t="shared" si="107"/>
        <v>•</v>
      </c>
      <c r="GS6" s="332" t="str">
        <f t="shared" si="108"/>
        <v>•</v>
      </c>
      <c r="GT6" s="332" t="str">
        <f t="shared" si="109"/>
        <v>o</v>
      </c>
      <c r="GU6" s="332" t="str">
        <f t="shared" si="110"/>
        <v>o</v>
      </c>
      <c r="GV6" s="332" t="str">
        <f t="shared" si="111"/>
        <v>•</v>
      </c>
      <c r="GW6" s="332" t="str">
        <f t="shared" si="112"/>
        <v>o</v>
      </c>
      <c r="GX6" s="332" t="str">
        <f t="shared" si="113"/>
        <v>•</v>
      </c>
      <c r="GY6" s="332" t="str">
        <f t="shared" si="114"/>
        <v>•</v>
      </c>
      <c r="GZ6" s="332" t="str">
        <f t="shared" si="115"/>
        <v>•</v>
      </c>
      <c r="HA6" s="332" t="str">
        <f t="shared" si="116"/>
        <v>o</v>
      </c>
      <c r="HB6" s="332" t="str">
        <f t="shared" si="117"/>
        <v>o</v>
      </c>
      <c r="HC6" s="332" t="str">
        <f t="shared" si="118"/>
        <v>•</v>
      </c>
      <c r="HD6" s="338" t="str">
        <f t="shared" si="119"/>
        <v>•</v>
      </c>
      <c r="HE6" s="346" t="b">
        <f t="shared" si="120"/>
        <v>0</v>
      </c>
      <c r="HF6" s="347" t="b">
        <f t="shared" si="121"/>
        <v>0</v>
      </c>
      <c r="HG6" s="347" t="b">
        <f t="shared" si="122"/>
        <v>0</v>
      </c>
      <c r="HH6" s="347" t="b">
        <f t="shared" si="123"/>
        <v>0</v>
      </c>
      <c r="HI6" s="347" t="b">
        <f t="shared" si="124"/>
        <v>0</v>
      </c>
      <c r="HJ6" s="347" t="b">
        <f t="shared" si="125"/>
        <v>0</v>
      </c>
      <c r="HK6" s="347" t="b">
        <f t="shared" si="126"/>
        <v>0</v>
      </c>
      <c r="HL6" s="347" t="b">
        <f t="shared" si="127"/>
        <v>1</v>
      </c>
      <c r="HM6" s="347" t="b">
        <f t="shared" si="128"/>
        <v>1</v>
      </c>
      <c r="HN6" s="347" t="b">
        <f t="shared" si="129"/>
        <v>0</v>
      </c>
      <c r="HO6" s="347" t="b">
        <f t="shared" si="130"/>
        <v>0</v>
      </c>
      <c r="HP6" s="347" t="b">
        <f t="shared" si="131"/>
        <v>0</v>
      </c>
      <c r="HQ6" s="353" t="b">
        <f t="shared" si="132"/>
        <v>0</v>
      </c>
      <c r="HR6" s="354" t="str">
        <f t="shared" si="133"/>
        <v/>
      </c>
      <c r="HS6" s="355" t="str">
        <f t="shared" si="134"/>
        <v/>
      </c>
      <c r="HT6" s="355" t="str">
        <f t="shared" si="135"/>
        <v/>
      </c>
      <c r="HU6" s="355" t="str">
        <f t="shared" si="136"/>
        <v/>
      </c>
      <c r="HV6" s="355" t="str">
        <f t="shared" si="137"/>
        <v/>
      </c>
      <c r="HW6" s="355" t="str">
        <f t="shared" si="138"/>
        <v/>
      </c>
      <c r="HX6" s="355" t="str">
        <f t="shared" si="139"/>
        <v/>
      </c>
      <c r="HY6" s="355" t="str">
        <f t="shared" si="140"/>
        <v>Pa, </v>
      </c>
      <c r="HZ6" s="355" t="str">
        <f t="shared" si="141"/>
        <v>dha, </v>
      </c>
      <c r="IA6" s="355" t="str">
        <f t="shared" si="142"/>
        <v/>
      </c>
      <c r="IB6" s="355" t="str">
        <f t="shared" si="143"/>
        <v/>
      </c>
      <c r="IC6" s="355" t="str">
        <f t="shared" si="144"/>
        <v/>
      </c>
      <c r="ID6" s="359" t="str">
        <f t="shared" si="145"/>
        <v/>
      </c>
      <c r="IE6" s="346" t="b">
        <f t="shared" si="146"/>
        <v>0</v>
      </c>
      <c r="IF6" s="347" t="b">
        <f t="shared" si="147"/>
        <v>0</v>
      </c>
      <c r="IG6" s="347" t="b">
        <f t="shared" si="148"/>
        <v>0</v>
      </c>
      <c r="IH6" s="347" t="b">
        <f t="shared" si="149"/>
        <v>0</v>
      </c>
      <c r="II6" s="347" t="b">
        <f t="shared" si="150"/>
        <v>0</v>
      </c>
      <c r="IJ6" s="347" t="b">
        <f t="shared" si="151"/>
        <v>0</v>
      </c>
      <c r="IK6" s="347" t="b">
        <f t="shared" si="152"/>
        <v>0</v>
      </c>
      <c r="IL6" s="347" t="b">
        <f t="shared" si="153"/>
        <v>0</v>
      </c>
      <c r="IM6" s="347" t="b">
        <f t="shared" si="154"/>
        <v>0</v>
      </c>
      <c r="IN6" s="347" t="b">
        <f t="shared" si="155"/>
        <v>0</v>
      </c>
      <c r="IO6" s="347" t="b">
        <f t="shared" si="156"/>
        <v>0</v>
      </c>
      <c r="IP6" s="347" t="b">
        <f t="shared" si="157"/>
        <v>0</v>
      </c>
      <c r="IQ6" s="365" t="b">
        <f t="shared" si="158"/>
        <v>0</v>
      </c>
      <c r="IR6" s="354" t="str">
        <f t="shared" si="159"/>
        <v/>
      </c>
      <c r="IS6" s="355" t="str">
        <f t="shared" si="160"/>
        <v/>
      </c>
      <c r="IT6" s="355" t="str">
        <f t="shared" si="161"/>
        <v/>
      </c>
      <c r="IU6" s="355" t="str">
        <f t="shared" si="162"/>
        <v/>
      </c>
      <c r="IV6" s="355" t="str">
        <f t="shared" si="163"/>
        <v/>
      </c>
      <c r="IW6" s="355" t="str">
        <f t="shared" si="164"/>
        <v/>
      </c>
      <c r="IX6" s="355" t="str">
        <f t="shared" si="165"/>
        <v/>
      </c>
      <c r="IY6" s="355" t="str">
        <f t="shared" si="166"/>
        <v/>
      </c>
      <c r="IZ6" s="355" t="str">
        <f t="shared" si="167"/>
        <v/>
      </c>
      <c r="JA6" s="355" t="str">
        <f t="shared" si="168"/>
        <v/>
      </c>
      <c r="JB6" s="355" t="str">
        <f t="shared" si="169"/>
        <v/>
      </c>
      <c r="JC6" s="355" t="str">
        <f t="shared" si="170"/>
        <v/>
      </c>
      <c r="JD6" s="359"/>
      <c r="JE6" s="321"/>
      <c r="JF6" s="368"/>
      <c r="JG6" s="369"/>
      <c r="JH6" s="369"/>
      <c r="JI6" s="369"/>
      <c r="JJ6" s="369"/>
      <c r="JK6" s="369"/>
      <c r="JL6" s="369"/>
      <c r="JM6" s="369"/>
      <c r="JN6" s="369"/>
      <c r="JO6" s="369"/>
      <c r="JP6" s="369"/>
    </row>
    <row r="7" ht="20.25" customHeight="1">
      <c r="A7" s="221" t="s">
        <v>361</v>
      </c>
      <c r="B7" s="222">
        <v>5.0</v>
      </c>
      <c r="C7" s="223" t="s">
        <v>362</v>
      </c>
      <c r="D7" s="224" t="s">
        <v>17</v>
      </c>
      <c r="E7" s="225" t="str">
        <f t="shared" si="5"/>
        <v>[UQ]</v>
      </c>
      <c r="F7" s="227">
        <f t="shared" si="6"/>
        <v>7</v>
      </c>
      <c r="G7" s="229">
        <f t="shared" si="7"/>
        <v>7</v>
      </c>
      <c r="H7" s="230">
        <f t="shared" si="8"/>
        <v>0</v>
      </c>
      <c r="I7" s="233" t="str">
        <f t="shared" si="9"/>
        <v>SRgMPDNS</v>
      </c>
      <c r="J7" s="234" t="str">
        <f>IFERROR(__xludf.DUMMYFUNCTION("IF(REGEXMATCH(I7, ""S""), ""S"","""")"),"S")</f>
        <v>S</v>
      </c>
      <c r="K7" s="236" t="str">
        <f>IFERROR(__xludf.DUMMYFUNCTION("IF(REGEXMATCH(I7, ""r""), ""r"","""")"),"")</f>
        <v/>
      </c>
      <c r="L7" s="237" t="str">
        <f>IFERROR(__xludf.DUMMYFUNCTION("IF(REGEXMATCH(I7, ""R""), ""R"","""")"),"R")</f>
        <v>R</v>
      </c>
      <c r="M7" s="237" t="str">
        <f>IFERROR(__xludf.DUMMYFUNCTION("IF(REGEXMATCH(I7, ""g""), ""g"","""")"),"g")</f>
        <v>g</v>
      </c>
      <c r="N7" s="236" t="str">
        <f>IFERROR(__xludf.DUMMYFUNCTION("IF(REGEXMATCH(I7, ""G""), ""G"","""")"),"")</f>
        <v/>
      </c>
      <c r="O7" s="236" t="str">
        <f>IFERROR(__xludf.DUMMYFUNCTION("IF(REGEXMATCH(I7, ""m""), ""m"","""")"),"")</f>
        <v/>
      </c>
      <c r="P7" s="237" t="str">
        <f>IFERROR(__xludf.DUMMYFUNCTION("IF(REGEXMATCH(I7, ""M""), ""M"","""")"),"M")</f>
        <v>M</v>
      </c>
      <c r="Q7" s="236" t="str">
        <f>IFERROR(__xludf.DUMMYFUNCTION("IF(REGEXMATCH(I7, ""P""), ""P"","""")"),"P")</f>
        <v>P</v>
      </c>
      <c r="R7" s="237" t="str">
        <f>IFERROR(__xludf.DUMMYFUNCTION("IF(REGEXMATCH(I7, ""d""), ""d"","""")"),"")</f>
        <v/>
      </c>
      <c r="S7" s="236" t="str">
        <f>IFERROR(__xludf.DUMMYFUNCTION("IF(REGEXMATCH(I7, ""D""), ""D"","""")"),"D")</f>
        <v>D</v>
      </c>
      <c r="T7" s="236" t="str">
        <f>IFERROR(__xludf.DUMMYFUNCTION("IF(REGEXMATCH(I7, ""n""), ""n"","""")"),"")</f>
        <v/>
      </c>
      <c r="U7" s="237" t="str">
        <f>IFERROR(__xludf.DUMMYFUNCTION("IF(REGEXMATCH(I7, ""N""), ""N"","""")"),"N")</f>
        <v>N</v>
      </c>
      <c r="V7" s="238" t="str">
        <f>IFERROR(__xludf.DUMMYFUNCTION("IF(REGEXMATCH(I7, ""S""), ""S"","""")"),"S")</f>
        <v>S</v>
      </c>
      <c r="W7" s="239" t="str">
        <f>IFERROR(__xludf.DUMMYFUNCTION("SUBSTITUTE(CONCATENATE(JOIN(""-"",J7:P7)),""-"","""")"),"SRgM")</f>
        <v>SRgM</v>
      </c>
      <c r="X7" s="229" t="str">
        <f>IFERROR(__xludf.DUMMYFUNCTION("SUBSTITUTE(CONCATENATE(JOIN(""-"",Q7:V7)),""-"","""")"),"PDNS")</f>
        <v>PDNS</v>
      </c>
      <c r="Y7" s="282" t="str">
        <f t="shared" si="10"/>
        <v>S-R-G-M</v>
      </c>
      <c r="Z7" s="282" t="str">
        <f t="shared" si="11"/>
        <v>P-D-N-S</v>
      </c>
      <c r="AA7" s="309" t="str">
        <f t="shared" si="12"/>
        <v>RgMDN</v>
      </c>
      <c r="AB7" s="244" t="str">
        <f>IFERROR(__xludf.DUMMYFUNCTION("IF(REGEXMATCH(I7, ""S""), ""0"","""")"),"0")</f>
        <v>0</v>
      </c>
      <c r="AC7" s="245" t="str">
        <f>IFERROR(__xludf.DUMMYFUNCTION("IF(REGEXMATCH(I7, ""r""), ""1"","""")"),"")</f>
        <v/>
      </c>
      <c r="AD7" s="246" t="str">
        <f>IFERROR(__xludf.DUMMYFUNCTION("IF(REGEXMATCH(I7, ""R""), ""2"","""")"),"2")</f>
        <v>2</v>
      </c>
      <c r="AE7" s="246" t="str">
        <f>IFERROR(__xludf.DUMMYFUNCTION("IF(REGEXMATCH(I7, ""g""), ""3"","""")"),"3")</f>
        <v>3</v>
      </c>
      <c r="AF7" s="245" t="str">
        <f>IFERROR(__xludf.DUMMYFUNCTION("IF(REGEXMATCH(I7, ""G""), ""4"","""")"),"")</f>
        <v/>
      </c>
      <c r="AG7" s="245" t="str">
        <f>IFERROR(__xludf.DUMMYFUNCTION("IF(REGEXMATCH(I7, ""m""), ""5"","""")"),"")</f>
        <v/>
      </c>
      <c r="AH7" s="246" t="str">
        <f>IFERROR(__xludf.DUMMYFUNCTION("IF(REGEXMATCH(I7, ""M""), ""6"","""")"),"6")</f>
        <v>6</v>
      </c>
      <c r="AI7" s="245" t="str">
        <f>IFERROR(__xludf.DUMMYFUNCTION("IF(REGEXMATCH(I7, ""P""), ""7"","""")"),"7")</f>
        <v>7</v>
      </c>
      <c r="AJ7" s="246" t="str">
        <f>IFERROR(__xludf.DUMMYFUNCTION("IF(REGEXMATCH(I7, ""d""), ""8"","""")"),"")</f>
        <v/>
      </c>
      <c r="AK7" s="245" t="str">
        <f>IFERROR(__xludf.DUMMYFUNCTION("IF(REGEXMATCH(I7, ""D""), ""9"","""")"),"9")</f>
        <v>9</v>
      </c>
      <c r="AL7" s="245" t="str">
        <f>IFERROR(__xludf.DUMMYFUNCTION("IF(REGEXMATCH(I7, ""n""), ""10"","""")"),"")</f>
        <v/>
      </c>
      <c r="AM7" s="246" t="str">
        <f>IFERROR(__xludf.DUMMYFUNCTION("IF(REGEXMATCH(I7, ""N""), ""11"","""")"),"11")</f>
        <v>11</v>
      </c>
      <c r="AN7" s="249" t="str">
        <f>IFERROR(__xludf.DUMMYFUNCTION("IF(REGEXMATCH(I7, ""S""), ""0"","""")"),"0")</f>
        <v>0</v>
      </c>
      <c r="AO7" s="250" t="str">
        <f>IFERROR(__xludf.DUMMYFUNCTION("SUBSTITUTE(SUBSTITUTE(SUBSTITUTE(SUBSTITUTE(CONCATENATE(JOIN(""-"",AB7:AN7)),""--"",""-""),""--"",""-""),""--"",""-""),""--"",""-"")"),"0-2-3-6-7-9-11-0")</f>
        <v>0-2-3-6-7-9-11-0</v>
      </c>
      <c r="AP7" s="251">
        <f t="shared" si="13"/>
        <v>0</v>
      </c>
      <c r="AQ7" s="234" t="str">
        <f t="shared" si="14"/>
        <v>|</v>
      </c>
      <c r="AR7" s="236" t="str">
        <f t="shared" si="15"/>
        <v>-</v>
      </c>
      <c r="AS7" s="237" t="str">
        <f t="shared" si="16"/>
        <v>|</v>
      </c>
      <c r="AT7" s="236" t="str">
        <f t="shared" si="17"/>
        <v>|</v>
      </c>
      <c r="AU7" s="237" t="str">
        <f t="shared" si="18"/>
        <v>-</v>
      </c>
      <c r="AV7" s="236" t="str">
        <f t="shared" si="19"/>
        <v>-</v>
      </c>
      <c r="AW7" s="237" t="str">
        <f t="shared" si="20"/>
        <v>|</v>
      </c>
      <c r="AX7" s="236" t="str">
        <f t="shared" si="21"/>
        <v>|</v>
      </c>
      <c r="AY7" s="237" t="str">
        <f t="shared" si="22"/>
        <v>-</v>
      </c>
      <c r="AZ7" s="236" t="str">
        <f t="shared" si="23"/>
        <v>|</v>
      </c>
      <c r="BA7" s="237" t="str">
        <f t="shared" si="24"/>
        <v>-</v>
      </c>
      <c r="BB7" s="236" t="str">
        <f t="shared" si="25"/>
        <v>|</v>
      </c>
      <c r="BC7" s="238" t="str">
        <f t="shared" si="26"/>
        <v>|</v>
      </c>
      <c r="BD7" s="250" t="str">
        <f>IFERROR(__xludf.DUMMYFUNCTION("SUBSTITUTE(SUBSTITUTE(CONCATENATE(JOIN("""",AQ7:BB7)),""|"",""x""),""-"",""o"")"),"xoxxooxxoxox")</f>
        <v>xoxxooxxoxox</v>
      </c>
      <c r="BE7" s="323" t="str">
        <f>IFERROR(__xludf.DUMMYFUNCTION("JOIN("""",BD7,BD7)"),"xoxxooxxoxoxxoxxooxxoxox")</f>
        <v>xoxxooxxoxoxxoxxooxxoxox</v>
      </c>
      <c r="BF7" s="256" t="str">
        <f>IFERROR(__xludf.DUMMYFUNCTION("JOIN("""",ArrayFormula(MID(BD7,LEN(BD7)-SEQUENCE(1,LEN(BD7))+1,1)))"),"xoxoxxooxxox")</f>
        <v>xoxoxxooxxox</v>
      </c>
      <c r="BG7" s="256" t="str">
        <f>IFERROR(__xludf.DUMMYFUNCTION("LEFT(CONCATENATE(""x"",JOIN("""",ArrayFormula(MID(BD7,LEN(BD7)-SEQUENCE(1,LEN(BD7))+1,1)))),12)"),"xxoxoxxooxxo")</f>
        <v>xxoxoxxooxxo</v>
      </c>
      <c r="BH7" s="327" t="str">
        <f>IFERROR(__xludf.DUMMYFUNCTION("JOIN("""",BF7,BF7)"),"xoxoxxooxxoxxoxoxxooxxox")</f>
        <v>xoxoxxooxxoxxoxoxxooxxox</v>
      </c>
      <c r="BI7" s="239" t="str">
        <f>IFERROR(__xludf.DUMMYFUNCTION("IF(REGEXMATCH(BH7,BD7),""✔"",""-"")"),"-")</f>
        <v>-</v>
      </c>
      <c r="BJ7" s="330" t="str">
        <f t="shared" si="27"/>
        <v>-</v>
      </c>
      <c r="BK7" s="260" t="str">
        <f t="shared" si="28"/>
        <v>-</v>
      </c>
      <c r="BL7" s="261" t="str">
        <f>IFERROR(__xludf.DUMMYFUNCTION("IF(BO7=0,""(n/a)"",IF(BP7=2,""(PAIR)"",IF(REGEXMATCH(BE7,""xoxoxxoxoxox""),""Bilawal"",IF(REGEXMATCH(BE7,""xoxoxooxoxoo""),""Bhupali"",IF(REGEXMATCH(BE7,""xoxoxxoxxoxo""),""Charukeshi"",IF(REGEXMATCH(BE7,""xoxoooxxoxxo""),""Kameshwari"",IF(REGEXMATCH(BE7,"&amp;"""xoxoxooxoxox""),""Shankara"",IF(REGEXMATCH(BE7,""xxooxoxxxoox""),""Basant"",IF(REGEXMATCH(BE7,""xoxoxxxxoxox""),""Bihag"",IF(REGEXMATCH(BE7,""xoxxxxoxoxxx""),""Pilu"",IF(REGEXMATCH(BE7,""xoxxoxoxxoox""),""Kirwani"",IF(REGEXMATCH(BE7,""xoxxoxoxoxxx""),"""&amp;"Mk.Malhar"",IF(REGEXMATCH(BE7,""xxooxxoxxoox""),""Bhairav"",IF(REGEXMATCH(BE7,""xxoxooxxxoox""),""Todi"",IF(REGEXMATCH(BE7,""xxooxoxooxox""),""Marwa"",IF(REGEXMATCH(BE7,""xxoooxoxxooo""),""Gunkali"",IF(REGEXMATCH(BE7,""xoxoxxoxxoox""),""Nat Bhairav"",IF(R"&amp;"EGEXMATCH(BE7,""xoxxoooxoxoo""),""Shivranjani"",IF(REGEXMATCH(BE7,""xooxxxoxooxo""),""Jog"",IF(REGEXMATCH(BE7,""xxooxoxoxoox""),""Hemshri"",IF(REGEXMATCH(BE7,""xoooxooxoxxo""),""Kalavati"",IF(REGEXMATCH(BE7,""xxoxoxxoxoox""),""Kedar"",IF(REGEXMATCH(BE7,"""&amp;"xoxxxxoxooxx""),""Gara"",IF(REGEXMATCH(BE7,""xooxoxooxoox""),""Chandrakauns"",IF(REGEXMATCH(BE7,""xoxxxxoxxxox""),""Mand"",IF(REGEXMATCH(BE7,""xoxxxxoxoxox""),""Hanskinkini"",IF(REGEXMATCH(BE7,""xxooxxoxooxo""),""Lilavati"",IF(REGEXMATCH(BE7,""xooxoxoooxo"&amp;"x""),""Rajeshwari"",IF(REGEXMATCH(BE7,""xoooxxoxoxxx""),""Khokar"",IF(REGEXMATCH(BE7,""xxooxoxxxxox""),""Maligoura"",""-""))))))))))))))))))))))))))))))"),"Nat Bhairav")</f>
        <v>Nat Bhairav</v>
      </c>
      <c r="BM7" s="239">
        <f t="shared" si="29"/>
        <v>6</v>
      </c>
      <c r="BN7" s="239">
        <f>IFERROR(__xludf.DUMMYFUNCTION("COUNTUNIQUE(BR7:CB7)-1"),6.0)</f>
        <v>6</v>
      </c>
      <c r="BO7" s="239">
        <f>IFERROR(__xludf.DUMMYFUNCTION("COUNTUNIQUE(FILTER(BE:BE,REGEXMATCH(BE:BE,BD7)))-1"),2.0)</f>
        <v>2</v>
      </c>
      <c r="BP7" s="239">
        <f>IFERROR(__xludf.DUMMYFUNCTION("COUNTA(FILTER(BE:BE,REGEXMATCH(BE:BE,BD7)))"),3.0)</f>
        <v>3</v>
      </c>
      <c r="BQ7" s="341">
        <f>IFERROR(__xludf.DUMMYFUNCTION("COUNTA(FILTER(BE:BE,REGEXMATCH(BE:BE,BD7)))-AP7"),3.0)</f>
        <v>3</v>
      </c>
      <c r="BR7" s="269" t="str">
        <f t="shared" si="30"/>
        <v>-</v>
      </c>
      <c r="BS7" s="269" t="str">
        <f t="shared" si="31"/>
        <v>xxooxxoxoxx</v>
      </c>
      <c r="BT7" s="271" t="str">
        <f t="shared" si="32"/>
        <v>xooxxoxoxxo</v>
      </c>
      <c r="BU7" s="269" t="str">
        <f t="shared" si="33"/>
        <v>-</v>
      </c>
      <c r="BV7" s="271" t="str">
        <f t="shared" si="34"/>
        <v>-</v>
      </c>
      <c r="BW7" s="271" t="str">
        <f t="shared" si="35"/>
        <v>xxoxoxxoxxo</v>
      </c>
      <c r="BX7" s="271" t="str">
        <f t="shared" si="36"/>
        <v>xoxoxxoxxoo</v>
      </c>
      <c r="BY7" s="271" t="str">
        <f t="shared" si="37"/>
        <v>-</v>
      </c>
      <c r="BZ7" s="271" t="str">
        <f t="shared" si="38"/>
        <v>xoxxoxxooxx</v>
      </c>
      <c r="CA7" s="271" t="str">
        <f t="shared" si="39"/>
        <v>-</v>
      </c>
      <c r="CB7" s="274" t="str">
        <f t="shared" si="40"/>
        <v>xxoxxooxxox</v>
      </c>
      <c r="CC7" s="276" t="str">
        <f>IFERROR(__xludf.DUMMYFUNCTION("IF(BD7=""oooooooooooo"",""-"",IF(REGEXMATCH(BE7,""xx""), ""Hemi."", ""Anhemi.""))"),"Hemi.")</f>
        <v>Hemi.</v>
      </c>
      <c r="CD7" s="282" t="str">
        <f>IFERROR(__xludf.DUMMYFUNCTION("IF(BD7=""oooooooooooo"",""-"",IF(REGEXMATCH(BE7,""xxx""), ""Cohem."", ""-""))"),"-")</f>
        <v>-</v>
      </c>
      <c r="CE7" s="282" t="str">
        <f>IFERROR(__xludf.DUMMYFUNCTION("IF(BD7=""oooooooooooo"",""-"",IF(REGEXMATCH(BE7,""xxxx""), ""Co-Co."", ""-""))"),"-")</f>
        <v>-</v>
      </c>
      <c r="CF7" s="342" t="str">
        <f>IFERROR(__xludf.DUMMYFUNCTION("IF(BD7=""oooooooooooo"",""-"",IF(REGEXMATCH(BE7,""xxxxx""), ""CCC."", ""-""))"),"-")</f>
        <v>-</v>
      </c>
      <c r="CG7" s="344" t="str">
        <f t="shared" si="41"/>
        <v>-</v>
      </c>
      <c r="CH7" s="282" t="str">
        <f>IFERROR(__xludf.DUMMYFUNCTION("IF(REGEXMATCH(JOIN(""-"",CJ7:CS7),""TRUE""),""✔"",""-"")"),"-")</f>
        <v>-</v>
      </c>
      <c r="CI7" s="225">
        <f t="shared" si="42"/>
        <v>0</v>
      </c>
      <c r="CJ7" s="376" t="b">
        <f>IFERROR(__xludf.DUMMYFUNCTION("arrayformula(sum(--REGEXMATCH(""SRGMPDNS"",split(REGEXREPLACE(I7,""(.)"",""$1~""),""~""))))=len(I7)
"),FALSE)</f>
        <v>0</v>
      </c>
      <c r="CK7" s="290" t="b">
        <f>IFERROR(__xludf.DUMMYFUNCTION("arrayformula(sum(--REGEXMATCH(""SRGmPDNS"",split(REGEXREPLACE(I7,""(.)"",""$1~""),""~""))))=len(I7)"),FALSE)</f>
        <v>0</v>
      </c>
      <c r="CL7" s="290" t="b">
        <f>IFERROR(__xludf.DUMMYFUNCTION("arrayformula(sum(--REGEXMATCH(""SRGmPDnS"",split(REGEXREPLACE(I7,""(.)"",""$1~""),""~""))))=len(I7)"),FALSE)</f>
        <v>0</v>
      </c>
      <c r="CM7" s="290" t="b">
        <f>IFERROR(__xludf.DUMMYFUNCTION("arrayformula(sum(--REGEXMATCH(""SRgmPDnS"",split(REGEXREPLACE(I7,""(.)"",""$1~""),""~""))))=len(I7)"),FALSE)</f>
        <v>0</v>
      </c>
      <c r="CN7" s="290" t="b">
        <f>IFERROR(__xludf.DUMMYFUNCTION("arrayformula(sum(--REGEXMATCH(""SRgmPdnS"",split(REGEXREPLACE(I7,""(.)"",""$1~""),""~""))))=len(I7)"),FALSE)</f>
        <v>0</v>
      </c>
      <c r="CO7" s="290" t="b">
        <f>IFERROR(__xludf.DUMMYFUNCTION("arrayformula(sum(--REGEXMATCH(""SrgmPdnS"",split(REGEXREPLACE(I7,""(.)"",""$1~""),""~""))))=len(I7)"),FALSE)</f>
        <v>0</v>
      </c>
      <c r="CP7" s="290" t="b">
        <f>IFERROR(__xludf.DUMMYFUNCTION("arrayformula(sum(--REGEXMATCH(""SrGmPdNS"",split(REGEXREPLACE(I7,""(.)"",""$1~""),""~""))))=len(I7)"),FALSE)</f>
        <v>0</v>
      </c>
      <c r="CQ7" s="290" t="b">
        <f>IFERROR(__xludf.DUMMYFUNCTION("arrayformula(sum(--REGEXMATCH(""SrGMPDNS"",split(REGEXREPLACE(I7,""(.)"",""$1~""),""~""))))=len(I7)"),FALSE)</f>
        <v>0</v>
      </c>
      <c r="CR7" s="290" t="b">
        <f>IFERROR(__xludf.DUMMYFUNCTION("arrayformula(sum(--REGEXMATCH(""SrGMPdNS"",split(REGEXREPLACE(I7,""(.)"",""$1~""),""~""))))=len(I7)"),FALSE)</f>
        <v>0</v>
      </c>
      <c r="CS7" s="293" t="b">
        <f>IFERROR(__xludf.DUMMYFUNCTION("arrayformula(sum(--REGEXMATCH(""SrgMPdNS"",split(REGEXREPLACE(I7,""(.)"",""$1~""),""~""))))=len(I7)"),FALSE)</f>
        <v>0</v>
      </c>
      <c r="CT7" s="244" t="str">
        <f>IFERROR(__xludf.DUMMYFUNCTION("IF(REGEXMATCH(I7, ""S""), ""1"","""")"),"1")</f>
        <v>1</v>
      </c>
      <c r="CU7" s="245" t="str">
        <f>IFERROR(__xludf.DUMMYFUNCTION("IF(REGEXMATCH(I7, ""r""), ""b2"","""")"),"")</f>
        <v/>
      </c>
      <c r="CV7" s="246" t="str">
        <f>IFERROR(__xludf.DUMMYFUNCTION("IF(REGEXMATCH(I7, ""R""), ""2"","""")"),"2")</f>
        <v>2</v>
      </c>
      <c r="CW7" s="246" t="str">
        <f>IFERROR(__xludf.DUMMYFUNCTION("IF(REGEXMATCH(I7, ""g""), ""b3"","""")"),"b3")</f>
        <v>b3</v>
      </c>
      <c r="CX7" s="245" t="str">
        <f>IFERROR(__xludf.DUMMYFUNCTION("IF(REGEXMATCH(I7, ""G""), ""3"","""")"),"")</f>
        <v/>
      </c>
      <c r="CY7" s="245" t="str">
        <f>IFERROR(__xludf.DUMMYFUNCTION("IF(REGEXMATCH(I7, ""m""), ""4"","""")"),"")</f>
        <v/>
      </c>
      <c r="CZ7" s="246" t="str">
        <f>IFERROR(__xludf.DUMMYFUNCTION("IF(REGEXMATCH(I7, ""M""), ""#4"","""")"),"#4")</f>
        <v>#4</v>
      </c>
      <c r="DA7" s="245" t="str">
        <f>IFERROR(__xludf.DUMMYFUNCTION("IF(REGEXMATCH(I7, ""P""), ""5"","""")"),"5")</f>
        <v>5</v>
      </c>
      <c r="DB7" s="246" t="str">
        <f>IFERROR(__xludf.DUMMYFUNCTION("IF(REGEXMATCH(I7, ""d""), ""b6"","""")"),"")</f>
        <v/>
      </c>
      <c r="DC7" s="245" t="str">
        <f>IFERROR(__xludf.DUMMYFUNCTION("IF(REGEXMATCH(I7, ""D""), ""6"","""")"),"6")</f>
        <v>6</v>
      </c>
      <c r="DD7" s="245" t="str">
        <f>IFERROR(__xludf.DUMMYFUNCTION("IF(REGEXMATCH(I7, ""n""), ""b7"","""")"),"")</f>
        <v/>
      </c>
      <c r="DE7" s="246" t="str">
        <f>IFERROR(__xludf.DUMMYFUNCTION("IF(REGEXMATCH(I7, ""N""), ""7"","""")"),"7")</f>
        <v>7</v>
      </c>
      <c r="DF7" s="249" t="str">
        <f>IFERROR(__xludf.DUMMYFUNCTION("IF(REGEXMATCH(I7, ""S""), ""8"","""")"),"8")</f>
        <v>8</v>
      </c>
      <c r="DG7" s="244" t="str">
        <f>IFERROR(__xludf.DUMMYFUNCTION("IF(REGEXMATCH(I7, ""S""), ""S"","""")"),"S")</f>
        <v>S</v>
      </c>
      <c r="DH7" s="294" t="str">
        <f>IFERROR(__xludf.DUMMYFUNCTION("IF(REGEXMATCH(I7, ""r""), ""R1"","""")"),"")</f>
        <v/>
      </c>
      <c r="DI7" s="295" t="str">
        <f>IFERROR(__xludf.DUMMYFUNCTION("IF(REGEXMATCH(I7, ""R""), ""R2"","""")"),"R2")</f>
        <v>R2</v>
      </c>
      <c r="DJ7" s="295" t="str">
        <f>IFERROR(__xludf.DUMMYFUNCTION("IF(REGEXMATCH(I7, ""g""), ""G2"","""")"),"G2")</f>
        <v>G2</v>
      </c>
      <c r="DK7" s="294" t="str">
        <f>IFERROR(__xludf.DUMMYFUNCTION("IF(REGEXMATCH(I7, ""G""), ""G3"","""")"),"")</f>
        <v/>
      </c>
      <c r="DL7" s="294" t="str">
        <f>IFERROR(__xludf.DUMMYFUNCTION("IF(REGEXMATCH(I7, ""m""), ""M1"","""")"),"")</f>
        <v/>
      </c>
      <c r="DM7" s="295" t="str">
        <f>IFERROR(__xludf.DUMMYFUNCTION("IF(REGEXMATCH(I7, ""M""), ""M2"","""")"),"M2")</f>
        <v>M2</v>
      </c>
      <c r="DN7" s="294" t="str">
        <f>IFERROR(__xludf.DUMMYFUNCTION("IF(REGEXMATCH(I7, ""P""), ""P"","""")"),"P")</f>
        <v>P</v>
      </c>
      <c r="DO7" s="295" t="str">
        <f>IFERROR(__xludf.DUMMYFUNCTION("IF(REGEXMATCH(I7, ""d""), ""D1"","""")"),"")</f>
        <v/>
      </c>
      <c r="DP7" s="294" t="str">
        <f>IFERROR(__xludf.DUMMYFUNCTION("IF(REGEXMATCH(I7, ""D""), ""D2"","""")"),"D2")</f>
        <v>D2</v>
      </c>
      <c r="DQ7" s="294" t="str">
        <f>IFERROR(__xludf.DUMMYFUNCTION("IF(REGEXMATCH(I7, ""n""), ""N2"","""")"),"")</f>
        <v/>
      </c>
      <c r="DR7" s="295" t="str">
        <f>IFERROR(__xludf.DUMMYFUNCTION("IF(REGEXMATCH(I7, ""N""), ""N3"","""")"),"N3")</f>
        <v>N3</v>
      </c>
      <c r="DS7" s="249" t="str">
        <f>IFERROR(__xludf.DUMMYFUNCTION("IF(REGEXMATCH(I7, ""S""), ""S"","""")"),"S")</f>
        <v>S</v>
      </c>
      <c r="DT7" s="299" t="str">
        <f>IFERROR(__xludf.DUMMYFUNCTION("SUBSTITUTE(SUBSTITUTE(SUBSTITUTE(SUBSTITUTE(CONCATENATE(JOIN(""-"",CT7:DF7)),""--"",""-""),""--"",""-""),""--"",""-""),""--"",""-"")"),"1-2-b3-#4-5-6-7-8")</f>
        <v>1-2-b3-#4-5-6-7-8</v>
      </c>
      <c r="DU7" s="299" t="str">
        <f>IFERROR(__xludf.DUMMYFUNCTION("SUBSTITUTE(SUBSTITUTE(SUBSTITUTE(SUBSTITUTE(CONCATENATE(JOIN(""-"",DG7:DS7)),""--"",""-""),""--"",""-""),""--"",""-""),""--"",""-"")"),"S-R2-G2-M2-P-D2-N3-S")</f>
        <v>S-R2-G2-M2-P-D2-N3-S</v>
      </c>
      <c r="DV7" s="348" t="str">
        <f t="shared" si="43"/>
        <v>C-D-Eb-F#-G-A-B-C</v>
      </c>
      <c r="DW7" s="301">
        <f t="shared" si="44"/>
        <v>7</v>
      </c>
      <c r="DX7" s="302" t="str">
        <f t="shared" si="45"/>
        <v>Sampurna</v>
      </c>
      <c r="DY7" s="301" t="str">
        <f t="shared" ref="DY7:DZ7" si="173">SUBSTITUTE(Y7,"-","")</f>
        <v>SRGM</v>
      </c>
      <c r="DZ7" s="301" t="str">
        <f t="shared" si="173"/>
        <v>PDNS</v>
      </c>
      <c r="EA7" s="302" t="str">
        <f t="shared" si="47"/>
        <v>Nat Bhairav</v>
      </c>
      <c r="EB7" s="301" t="str">
        <f t="shared" si="48"/>
        <v>Hemi.</v>
      </c>
      <c r="EC7" s="364" t="str">
        <f t="shared" si="49"/>
        <v>-</v>
      </c>
      <c r="ED7" s="306" t="str">
        <f t="shared" si="50"/>
        <v>-</v>
      </c>
      <c r="EE7" s="366" t="str">
        <f t="shared" si="51"/>
        <v>-</v>
      </c>
      <c r="EF7" s="308" t="str">
        <f t="shared" si="52"/>
        <v>✔</v>
      </c>
      <c r="EG7" s="306" t="str">
        <f t="shared" si="53"/>
        <v>-</v>
      </c>
      <c r="EH7" s="306" t="str">
        <f t="shared" si="54"/>
        <v>-</v>
      </c>
      <c r="EI7" s="367" t="str">
        <f t="shared" si="55"/>
        <v>✔</v>
      </c>
      <c r="EJ7" s="310" t="str">
        <f t="shared" si="56"/>
        <v>-</v>
      </c>
      <c r="EK7" s="310" t="str">
        <f t="shared" si="57"/>
        <v>-</v>
      </c>
      <c r="EL7" s="310" t="str">
        <f t="shared" si="58"/>
        <v>-</v>
      </c>
      <c r="EM7" s="310" t="str">
        <f t="shared" si="59"/>
        <v>-</v>
      </c>
      <c r="EN7" s="370" t="str">
        <f t="shared" si="60"/>
        <v>-</v>
      </c>
      <c r="EO7" s="306" t="str">
        <f t="shared" si="61"/>
        <v>-</v>
      </c>
      <c r="EP7" s="306" t="str">
        <f t="shared" si="62"/>
        <v>-</v>
      </c>
      <c r="EQ7" s="306" t="str">
        <f t="shared" si="63"/>
        <v>-</v>
      </c>
      <c r="ER7" s="306" t="str">
        <f t="shared" si="64"/>
        <v>-</v>
      </c>
      <c r="ES7" s="306" t="str">
        <f t="shared" si="65"/>
        <v>-</v>
      </c>
      <c r="ET7" s="367" t="str">
        <f t="shared" si="66"/>
        <v>-</v>
      </c>
      <c r="EU7" s="310" t="str">
        <f>IFERROR(__xludf.DUMMYFUNCTION("IF(REGEXMATCH(BH7,BD7),""✔"",""-"")"),"-")</f>
        <v>-</v>
      </c>
      <c r="EV7" s="310" t="str">
        <f t="shared" si="67"/>
        <v>-</v>
      </c>
      <c r="EW7" s="370" t="str">
        <f t="shared" si="68"/>
        <v>-</v>
      </c>
      <c r="EX7" s="315" t="str">
        <f t="shared" si="69"/>
        <v>[UQ]</v>
      </c>
      <c r="EY7" s="317" t="str">
        <f t="shared" si="70"/>
        <v>S-R-g-M-P-D-N-S</v>
      </c>
      <c r="EZ7" s="318" t="str">
        <f>IFERROR(__xludf.DUMMYFUNCTION("CONCATENATE(JOIN("""",GE7:GQ7))"),"SrgmMDnS")</f>
        <v>SrgmMDnS</v>
      </c>
      <c r="FA7" s="318"/>
      <c r="FB7" s="318"/>
      <c r="FC7" s="321">
        <f t="shared" si="71"/>
        <v>3</v>
      </c>
      <c r="FD7" s="318" t="str">
        <f>IFERROR(__xludf.DUMMYFUNCTION("CONCATENATE(JOIN("""",HR7:ID7))"),"ga, Ma, Dha, ")</f>
        <v>ga, Ma, Dha, </v>
      </c>
      <c r="FE7" s="322">
        <f t="shared" si="72"/>
        <v>1</v>
      </c>
      <c r="FF7" s="324" t="str">
        <f>IFERROR(__xludf.DUMMYFUNCTION("CONCATENATE(JOIN("""",IR7:JD7))"),"ga, ")</f>
        <v>ga, </v>
      </c>
      <c r="FG7" s="325" t="str">
        <f t="shared" si="73"/>
        <v>S-R2-G2-M2-P-D2-N3-S</v>
      </c>
      <c r="FH7" s="326" t="str">
        <f t="shared" si="74"/>
        <v>1-2-b3-#4-5-6-7-8</v>
      </c>
      <c r="FI7" s="326" t="str">
        <f t="shared" si="75"/>
        <v>0-2-3-6-7-9-11-0</v>
      </c>
      <c r="FJ7" s="318"/>
      <c r="FK7" s="328" t="str">
        <f>IFERROR(__xludf.DUMMYFUNCTION("SUBSTITUTE(SUBSTITUTE(SUBSTITUTE(SUBSTITUTE(CONCATENATE(JOIN("" "",FN7:FZ7)),""  "","" ""),""  "","" ""),""  "","" ""),""  "","" "")"),"o • o o • • o o • o • o o")</f>
        <v>o • o o • • o o • o • o o</v>
      </c>
      <c r="FL7" s="328" t="str">
        <f t="shared" si="76"/>
        <v>Sa-Pa</v>
      </c>
      <c r="FM7" s="329"/>
      <c r="FN7" s="331" t="str">
        <f t="shared" si="77"/>
        <v>o</v>
      </c>
      <c r="FO7" s="332" t="str">
        <f t="shared" si="78"/>
        <v>•</v>
      </c>
      <c r="FP7" s="332" t="str">
        <f t="shared" si="79"/>
        <v>o</v>
      </c>
      <c r="FQ7" s="332" t="str">
        <f t="shared" si="80"/>
        <v>o</v>
      </c>
      <c r="FR7" s="332" t="str">
        <f t="shared" si="81"/>
        <v>•</v>
      </c>
      <c r="FS7" s="332" t="str">
        <f t="shared" si="82"/>
        <v>•</v>
      </c>
      <c r="FT7" s="332" t="str">
        <f t="shared" si="83"/>
        <v>o</v>
      </c>
      <c r="FU7" s="332" t="str">
        <f t="shared" si="84"/>
        <v>o</v>
      </c>
      <c r="FV7" s="332" t="str">
        <f t="shared" si="85"/>
        <v>•</v>
      </c>
      <c r="FW7" s="332" t="str">
        <f t="shared" si="86"/>
        <v>o</v>
      </c>
      <c r="FX7" s="332" t="str">
        <f t="shared" si="87"/>
        <v>•</v>
      </c>
      <c r="FY7" s="332" t="str">
        <f t="shared" si="88"/>
        <v>o</v>
      </c>
      <c r="FZ7" s="338" t="str">
        <f t="shared" si="89"/>
        <v>o</v>
      </c>
      <c r="GA7" s="339" t="str">
        <f t="shared" si="90"/>
        <v>Sa-Pa</v>
      </c>
      <c r="GB7" s="339" t="str">
        <f t="shared" si="91"/>
        <v>Sa-Pa</v>
      </c>
      <c r="GC7" s="339" t="str">
        <f t="shared" si="92"/>
        <v>-</v>
      </c>
      <c r="GD7" s="340" t="str">
        <f t="shared" si="93"/>
        <v>-</v>
      </c>
      <c r="GE7" s="331" t="str">
        <f t="shared" si="94"/>
        <v>S</v>
      </c>
      <c r="GF7" s="332" t="str">
        <f t="shared" si="95"/>
        <v>r</v>
      </c>
      <c r="GG7" s="332" t="str">
        <f t="shared" si="96"/>
        <v/>
      </c>
      <c r="GH7" s="332" t="str">
        <f t="shared" si="97"/>
        <v>g</v>
      </c>
      <c r="GI7" s="332" t="str">
        <f t="shared" si="98"/>
        <v/>
      </c>
      <c r="GJ7" s="332" t="str">
        <f t="shared" si="99"/>
        <v>m</v>
      </c>
      <c r="GK7" s="332" t="str">
        <f t="shared" si="100"/>
        <v>M</v>
      </c>
      <c r="GL7" s="332" t="str">
        <f t="shared" si="101"/>
        <v/>
      </c>
      <c r="GM7" s="332" t="str">
        <f t="shared" si="102"/>
        <v/>
      </c>
      <c r="GN7" s="332" t="str">
        <f t="shared" si="103"/>
        <v>D</v>
      </c>
      <c r="GO7" s="332" t="str">
        <f t="shared" si="104"/>
        <v>n</v>
      </c>
      <c r="GP7" s="332" t="str">
        <f t="shared" si="105"/>
        <v/>
      </c>
      <c r="GQ7" s="343" t="str">
        <f t="shared" si="106"/>
        <v>S</v>
      </c>
      <c r="GR7" s="331" t="str">
        <f t="shared" si="107"/>
        <v>•</v>
      </c>
      <c r="GS7" s="332" t="str">
        <f t="shared" si="108"/>
        <v>o</v>
      </c>
      <c r="GT7" s="332" t="str">
        <f t="shared" si="109"/>
        <v>•</v>
      </c>
      <c r="GU7" s="332" t="str">
        <f t="shared" si="110"/>
        <v>•</v>
      </c>
      <c r="GV7" s="332" t="str">
        <f t="shared" si="111"/>
        <v>o</v>
      </c>
      <c r="GW7" s="332" t="str">
        <f t="shared" si="112"/>
        <v>o</v>
      </c>
      <c r="GX7" s="332" t="str">
        <f t="shared" si="113"/>
        <v>•</v>
      </c>
      <c r="GY7" s="332" t="str">
        <f t="shared" si="114"/>
        <v>•</v>
      </c>
      <c r="GZ7" s="332" t="str">
        <f t="shared" si="115"/>
        <v>o</v>
      </c>
      <c r="HA7" s="332" t="str">
        <f t="shared" si="116"/>
        <v>•</v>
      </c>
      <c r="HB7" s="332" t="str">
        <f t="shared" si="117"/>
        <v>o</v>
      </c>
      <c r="HC7" s="332" t="str">
        <f t="shared" si="118"/>
        <v>•</v>
      </c>
      <c r="HD7" s="338" t="str">
        <f t="shared" si="119"/>
        <v>•</v>
      </c>
      <c r="HE7" s="346" t="b">
        <f t="shared" si="120"/>
        <v>0</v>
      </c>
      <c r="HF7" s="347" t="b">
        <f t="shared" si="121"/>
        <v>0</v>
      </c>
      <c r="HG7" s="347" t="b">
        <f t="shared" si="122"/>
        <v>0</v>
      </c>
      <c r="HH7" s="347" t="b">
        <f t="shared" si="123"/>
        <v>1</v>
      </c>
      <c r="HI7" s="347" t="b">
        <f t="shared" si="124"/>
        <v>0</v>
      </c>
      <c r="HJ7" s="347" t="b">
        <f t="shared" si="125"/>
        <v>0</v>
      </c>
      <c r="HK7" s="347" t="b">
        <f t="shared" si="126"/>
        <v>1</v>
      </c>
      <c r="HL7" s="347" t="b">
        <f t="shared" si="127"/>
        <v>0</v>
      </c>
      <c r="HM7" s="347" t="b">
        <f t="shared" si="128"/>
        <v>0</v>
      </c>
      <c r="HN7" s="347" t="b">
        <f t="shared" si="129"/>
        <v>1</v>
      </c>
      <c r="HO7" s="347" t="b">
        <f t="shared" si="130"/>
        <v>0</v>
      </c>
      <c r="HP7" s="347" t="b">
        <f t="shared" si="131"/>
        <v>0</v>
      </c>
      <c r="HQ7" s="353" t="b">
        <f t="shared" si="132"/>
        <v>0</v>
      </c>
      <c r="HR7" s="354" t="str">
        <f t="shared" si="133"/>
        <v/>
      </c>
      <c r="HS7" s="355" t="str">
        <f t="shared" si="134"/>
        <v/>
      </c>
      <c r="HT7" s="355" t="str">
        <f t="shared" si="135"/>
        <v/>
      </c>
      <c r="HU7" s="355" t="str">
        <f t="shared" si="136"/>
        <v>ga, </v>
      </c>
      <c r="HV7" s="355" t="str">
        <f t="shared" si="137"/>
        <v/>
      </c>
      <c r="HW7" s="355" t="str">
        <f t="shared" si="138"/>
        <v/>
      </c>
      <c r="HX7" s="355" t="str">
        <f t="shared" si="139"/>
        <v>Ma, </v>
      </c>
      <c r="HY7" s="355" t="str">
        <f t="shared" si="140"/>
        <v/>
      </c>
      <c r="HZ7" s="355" t="str">
        <f t="shared" si="141"/>
        <v/>
      </c>
      <c r="IA7" s="355" t="str">
        <f t="shared" si="142"/>
        <v>Dha, </v>
      </c>
      <c r="IB7" s="355" t="str">
        <f t="shared" si="143"/>
        <v/>
      </c>
      <c r="IC7" s="355" t="str">
        <f t="shared" si="144"/>
        <v/>
      </c>
      <c r="ID7" s="359" t="str">
        <f t="shared" si="145"/>
        <v/>
      </c>
      <c r="IE7" s="346" t="b">
        <f t="shared" si="146"/>
        <v>0</v>
      </c>
      <c r="IF7" s="347" t="b">
        <f t="shared" si="147"/>
        <v>0</v>
      </c>
      <c r="IG7" s="347" t="b">
        <f t="shared" si="148"/>
        <v>0</v>
      </c>
      <c r="IH7" s="347" t="b">
        <f t="shared" si="149"/>
        <v>1</v>
      </c>
      <c r="II7" s="347" t="b">
        <f t="shared" si="150"/>
        <v>0</v>
      </c>
      <c r="IJ7" s="347" t="b">
        <f t="shared" si="151"/>
        <v>0</v>
      </c>
      <c r="IK7" s="347" t="b">
        <f t="shared" si="152"/>
        <v>0</v>
      </c>
      <c r="IL7" s="347" t="b">
        <f t="shared" si="153"/>
        <v>0</v>
      </c>
      <c r="IM7" s="347" t="b">
        <f t="shared" si="154"/>
        <v>0</v>
      </c>
      <c r="IN7" s="347" t="b">
        <f t="shared" si="155"/>
        <v>0</v>
      </c>
      <c r="IO7" s="347" t="b">
        <f t="shared" si="156"/>
        <v>0</v>
      </c>
      <c r="IP7" s="347" t="b">
        <f t="shared" si="157"/>
        <v>0</v>
      </c>
      <c r="IQ7" s="365" t="b">
        <f t="shared" si="158"/>
        <v>0</v>
      </c>
      <c r="IR7" s="354" t="str">
        <f t="shared" si="159"/>
        <v/>
      </c>
      <c r="IS7" s="355" t="str">
        <f t="shared" si="160"/>
        <v/>
      </c>
      <c r="IT7" s="355" t="str">
        <f t="shared" si="161"/>
        <v/>
      </c>
      <c r="IU7" s="355" t="str">
        <f t="shared" si="162"/>
        <v>ga, </v>
      </c>
      <c r="IV7" s="355" t="str">
        <f t="shared" si="163"/>
        <v/>
      </c>
      <c r="IW7" s="355" t="str">
        <f t="shared" si="164"/>
        <v/>
      </c>
      <c r="IX7" s="355" t="str">
        <f t="shared" si="165"/>
        <v/>
      </c>
      <c r="IY7" s="355" t="str">
        <f t="shared" si="166"/>
        <v/>
      </c>
      <c r="IZ7" s="355" t="str">
        <f t="shared" si="167"/>
        <v/>
      </c>
      <c r="JA7" s="355" t="str">
        <f t="shared" si="168"/>
        <v/>
      </c>
      <c r="JB7" s="355" t="str">
        <f t="shared" si="169"/>
        <v/>
      </c>
      <c r="JC7" s="355" t="str">
        <f t="shared" si="170"/>
        <v/>
      </c>
      <c r="JD7" s="359"/>
      <c r="JE7" s="321"/>
      <c r="JF7" s="368"/>
      <c r="JG7" s="369"/>
      <c r="JH7" s="369"/>
      <c r="JI7" s="369"/>
      <c r="JJ7" s="369"/>
      <c r="JK7" s="369"/>
      <c r="JL7" s="369"/>
      <c r="JM7" s="369"/>
      <c r="JN7" s="369"/>
      <c r="JO7" s="369"/>
      <c r="JP7" s="369"/>
    </row>
    <row r="8" ht="20.25" customHeight="1">
      <c r="A8" s="221" t="s">
        <v>376</v>
      </c>
      <c r="B8" s="222">
        <v>6.0</v>
      </c>
      <c r="C8" s="223" t="s">
        <v>377</v>
      </c>
      <c r="D8" s="224" t="s">
        <v>17</v>
      </c>
      <c r="E8" s="225" t="str">
        <f t="shared" si="5"/>
        <v>[UQ]</v>
      </c>
      <c r="F8" s="227">
        <f t="shared" si="6"/>
        <v>7</v>
      </c>
      <c r="G8" s="229">
        <f t="shared" si="7"/>
        <v>7</v>
      </c>
      <c r="H8" s="230">
        <f t="shared" si="8"/>
        <v>0</v>
      </c>
      <c r="I8" s="233" t="str">
        <f t="shared" si="9"/>
        <v>SrgMPDNS</v>
      </c>
      <c r="J8" s="234" t="str">
        <f>IFERROR(__xludf.DUMMYFUNCTION("IF(REGEXMATCH(I8, ""S""), ""S"","""")"),"S")</f>
        <v>S</v>
      </c>
      <c r="K8" s="236" t="str">
        <f>IFERROR(__xludf.DUMMYFUNCTION("IF(REGEXMATCH(I8, ""r""), ""r"","""")"),"r")</f>
        <v>r</v>
      </c>
      <c r="L8" s="237" t="str">
        <f>IFERROR(__xludf.DUMMYFUNCTION("IF(REGEXMATCH(I8, ""R""), ""R"","""")"),"")</f>
        <v/>
      </c>
      <c r="M8" s="237" t="str">
        <f>IFERROR(__xludf.DUMMYFUNCTION("IF(REGEXMATCH(I8, ""g""), ""g"","""")"),"g")</f>
        <v>g</v>
      </c>
      <c r="N8" s="236" t="str">
        <f>IFERROR(__xludf.DUMMYFUNCTION("IF(REGEXMATCH(I8, ""G""), ""G"","""")"),"")</f>
        <v/>
      </c>
      <c r="O8" s="236" t="str">
        <f>IFERROR(__xludf.DUMMYFUNCTION("IF(REGEXMATCH(I8, ""m""), ""m"","""")"),"")</f>
        <v/>
      </c>
      <c r="P8" s="237" t="str">
        <f>IFERROR(__xludf.DUMMYFUNCTION("IF(REGEXMATCH(I8, ""M""), ""M"","""")"),"M")</f>
        <v>M</v>
      </c>
      <c r="Q8" s="236" t="str">
        <f>IFERROR(__xludf.DUMMYFUNCTION("IF(REGEXMATCH(I8, ""P""), ""P"","""")"),"P")</f>
        <v>P</v>
      </c>
      <c r="R8" s="237" t="str">
        <f>IFERROR(__xludf.DUMMYFUNCTION("IF(REGEXMATCH(I8, ""d""), ""d"","""")"),"")</f>
        <v/>
      </c>
      <c r="S8" s="236" t="str">
        <f>IFERROR(__xludf.DUMMYFUNCTION("IF(REGEXMATCH(I8, ""D""), ""D"","""")"),"D")</f>
        <v>D</v>
      </c>
      <c r="T8" s="236" t="str">
        <f>IFERROR(__xludf.DUMMYFUNCTION("IF(REGEXMATCH(I8, ""n""), ""n"","""")"),"")</f>
        <v/>
      </c>
      <c r="U8" s="237" t="str">
        <f>IFERROR(__xludf.DUMMYFUNCTION("IF(REGEXMATCH(I8, ""N""), ""N"","""")"),"N")</f>
        <v>N</v>
      </c>
      <c r="V8" s="238" t="str">
        <f>IFERROR(__xludf.DUMMYFUNCTION("IF(REGEXMATCH(I8, ""S""), ""S"","""")"),"S")</f>
        <v>S</v>
      </c>
      <c r="W8" s="239" t="str">
        <f>IFERROR(__xludf.DUMMYFUNCTION("SUBSTITUTE(CONCATENATE(JOIN(""-"",J8:P8)),""-"","""")"),"SrgM")</f>
        <v>SrgM</v>
      </c>
      <c r="X8" s="229" t="str">
        <f>IFERROR(__xludf.DUMMYFUNCTION("SUBSTITUTE(CONCATENATE(JOIN(""-"",Q8:V8)),""-"","""")"),"PDNS")</f>
        <v>PDNS</v>
      </c>
      <c r="Y8" s="282" t="str">
        <f t="shared" si="10"/>
        <v>S-R-G-M</v>
      </c>
      <c r="Z8" s="282" t="str">
        <f t="shared" si="11"/>
        <v>P-D-N-S</v>
      </c>
      <c r="AA8" s="309" t="str">
        <f t="shared" si="12"/>
        <v>rgMDN</v>
      </c>
      <c r="AB8" s="244" t="str">
        <f>IFERROR(__xludf.DUMMYFUNCTION("IF(REGEXMATCH(I8, ""S""), ""0"","""")"),"0")</f>
        <v>0</v>
      </c>
      <c r="AC8" s="245" t="str">
        <f>IFERROR(__xludf.DUMMYFUNCTION("IF(REGEXMATCH(I8, ""r""), ""1"","""")"),"1")</f>
        <v>1</v>
      </c>
      <c r="AD8" s="246" t="str">
        <f>IFERROR(__xludf.DUMMYFUNCTION("IF(REGEXMATCH(I8, ""R""), ""2"","""")"),"")</f>
        <v/>
      </c>
      <c r="AE8" s="246" t="str">
        <f>IFERROR(__xludf.DUMMYFUNCTION("IF(REGEXMATCH(I8, ""g""), ""3"","""")"),"3")</f>
        <v>3</v>
      </c>
      <c r="AF8" s="245" t="str">
        <f>IFERROR(__xludf.DUMMYFUNCTION("IF(REGEXMATCH(I8, ""G""), ""4"","""")"),"")</f>
        <v/>
      </c>
      <c r="AG8" s="245" t="str">
        <f>IFERROR(__xludf.DUMMYFUNCTION("IF(REGEXMATCH(I8, ""m""), ""5"","""")"),"")</f>
        <v/>
      </c>
      <c r="AH8" s="246" t="str">
        <f>IFERROR(__xludf.DUMMYFUNCTION("IF(REGEXMATCH(I8, ""M""), ""6"","""")"),"6")</f>
        <v>6</v>
      </c>
      <c r="AI8" s="245" t="str">
        <f>IFERROR(__xludf.DUMMYFUNCTION("IF(REGEXMATCH(I8, ""P""), ""7"","""")"),"7")</f>
        <v>7</v>
      </c>
      <c r="AJ8" s="246" t="str">
        <f>IFERROR(__xludf.DUMMYFUNCTION("IF(REGEXMATCH(I8, ""d""), ""8"","""")"),"")</f>
        <v/>
      </c>
      <c r="AK8" s="245" t="str">
        <f>IFERROR(__xludf.DUMMYFUNCTION("IF(REGEXMATCH(I8, ""D""), ""9"","""")"),"9")</f>
        <v>9</v>
      </c>
      <c r="AL8" s="245" t="str">
        <f>IFERROR(__xludf.DUMMYFUNCTION("IF(REGEXMATCH(I8, ""n""), ""10"","""")"),"")</f>
        <v/>
      </c>
      <c r="AM8" s="246" t="str">
        <f>IFERROR(__xludf.DUMMYFUNCTION("IF(REGEXMATCH(I8, ""N""), ""11"","""")"),"11")</f>
        <v>11</v>
      </c>
      <c r="AN8" s="249" t="str">
        <f>IFERROR(__xludf.DUMMYFUNCTION("IF(REGEXMATCH(I8, ""S""), ""0"","""")"),"0")</f>
        <v>0</v>
      </c>
      <c r="AO8" s="250" t="str">
        <f>IFERROR(__xludf.DUMMYFUNCTION("SUBSTITUTE(SUBSTITUTE(SUBSTITUTE(SUBSTITUTE(CONCATENATE(JOIN(""-"",AB8:AN8)),""--"",""-""),""--"",""-""),""--"",""-""),""--"",""-"")"),"0-1-3-6-7-9-11-0")</f>
        <v>0-1-3-6-7-9-11-0</v>
      </c>
      <c r="AP8" s="251">
        <f t="shared" si="13"/>
        <v>0</v>
      </c>
      <c r="AQ8" s="234" t="str">
        <f t="shared" si="14"/>
        <v>|</v>
      </c>
      <c r="AR8" s="236" t="str">
        <f t="shared" si="15"/>
        <v>|</v>
      </c>
      <c r="AS8" s="237" t="str">
        <f t="shared" si="16"/>
        <v>-</v>
      </c>
      <c r="AT8" s="236" t="str">
        <f t="shared" si="17"/>
        <v>|</v>
      </c>
      <c r="AU8" s="237" t="str">
        <f t="shared" si="18"/>
        <v>-</v>
      </c>
      <c r="AV8" s="236" t="str">
        <f t="shared" si="19"/>
        <v>-</v>
      </c>
      <c r="AW8" s="237" t="str">
        <f t="shared" si="20"/>
        <v>|</v>
      </c>
      <c r="AX8" s="236" t="str">
        <f t="shared" si="21"/>
        <v>|</v>
      </c>
      <c r="AY8" s="237" t="str">
        <f t="shared" si="22"/>
        <v>-</v>
      </c>
      <c r="AZ8" s="236" t="str">
        <f t="shared" si="23"/>
        <v>|</v>
      </c>
      <c r="BA8" s="237" t="str">
        <f t="shared" si="24"/>
        <v>-</v>
      </c>
      <c r="BB8" s="236" t="str">
        <f t="shared" si="25"/>
        <v>|</v>
      </c>
      <c r="BC8" s="238" t="str">
        <f t="shared" si="26"/>
        <v>|</v>
      </c>
      <c r="BD8" s="250" t="str">
        <f>IFERROR(__xludf.DUMMYFUNCTION("SUBSTITUTE(SUBSTITUTE(CONCATENATE(JOIN("""",AQ8:BB8)),""|"",""x""),""-"",""o"")"),"xxoxooxxoxox")</f>
        <v>xxoxooxxoxox</v>
      </c>
      <c r="BE8" s="323" t="str">
        <f>IFERROR(__xludf.DUMMYFUNCTION("JOIN("""",BD8,BD8)"),"xxoxooxxoxoxxxoxooxxoxox")</f>
        <v>xxoxooxxoxoxxxoxooxxoxox</v>
      </c>
      <c r="BF8" s="256" t="str">
        <f>IFERROR(__xludf.DUMMYFUNCTION("JOIN("""",ArrayFormula(MID(BD8,LEN(BD8)-SEQUENCE(1,LEN(BD8))+1,1)))"),"xoxoxxooxoxx")</f>
        <v>xoxoxxooxoxx</v>
      </c>
      <c r="BG8" s="256" t="str">
        <f>IFERROR(__xludf.DUMMYFUNCTION("LEFT(CONCATENATE(""x"",JOIN("""",ArrayFormula(MID(BD8,LEN(BD8)-SEQUENCE(1,LEN(BD8))+1,1)))),12)"),"xxoxoxxooxox")</f>
        <v>xxoxoxxooxox</v>
      </c>
      <c r="BH8" s="327" t="str">
        <f>IFERROR(__xludf.DUMMYFUNCTION("JOIN("""",BF8,BF8)"),"xoxoxxooxoxxxoxoxxooxoxx")</f>
        <v>xoxoxxooxoxxxoxoxxooxoxx</v>
      </c>
      <c r="BI8" s="239" t="str">
        <f>IFERROR(__xludf.DUMMYFUNCTION("IF(REGEXMATCH(BH8,BD8),""✔"",""-"")"),"-")</f>
        <v>-</v>
      </c>
      <c r="BJ8" s="330" t="str">
        <f t="shared" si="27"/>
        <v>-</v>
      </c>
      <c r="BK8" s="260" t="str">
        <f t="shared" si="28"/>
        <v>-</v>
      </c>
      <c r="BL8" s="261" t="str">
        <f>IFERROR(__xludf.DUMMYFUNCTION("IF(BO8=0,""(n/a)"",IF(BP8=2,""(PAIR)"",IF(REGEXMATCH(BE8,""xoxoxxoxoxox""),""Bilawal"",IF(REGEXMATCH(BE8,""xoxoxooxoxoo""),""Bhupali"",IF(REGEXMATCH(BE8,""xoxoxxoxxoxo""),""Charukeshi"",IF(REGEXMATCH(BE8,""xoxoooxxoxxo""),""Kameshwari"",IF(REGEXMATCH(BE8,"&amp;"""xoxoxooxoxox""),""Shankara"",IF(REGEXMATCH(BE8,""xxooxoxxxoox""),""Basant"",IF(REGEXMATCH(BE8,""xoxoxxxxoxox""),""Bihag"",IF(REGEXMATCH(BE8,""xoxxxxoxoxxx""),""Pilu"",IF(REGEXMATCH(BE8,""xoxxoxoxxoox""),""Kirwani"",IF(REGEXMATCH(BE8,""xoxxoxoxoxxx""),"""&amp;"Mk.Malhar"",IF(REGEXMATCH(BE8,""xxooxxoxxoox""),""Bhairav"",IF(REGEXMATCH(BE8,""xxoxooxxxoox""),""Todi"",IF(REGEXMATCH(BE8,""xxooxoxooxox""),""Marwa"",IF(REGEXMATCH(BE8,""xxoooxoxxooo""),""Gunkali"",IF(REGEXMATCH(BE8,""xoxoxxoxxoox""),""Nat Bhairav"",IF(R"&amp;"EGEXMATCH(BE8,""xoxxoooxoxoo""),""Shivranjani"",IF(REGEXMATCH(BE8,""xooxxxoxooxo""),""Jog"",IF(REGEXMATCH(BE8,""xxooxoxoxoox""),""Hemshri"",IF(REGEXMATCH(BE8,""xoooxooxoxxo""),""Kalavati"",IF(REGEXMATCH(BE8,""xxoxoxxoxoox""),""Kedar"",IF(REGEXMATCH(BE8,"""&amp;"xoxxxxoxooxx""),""Gara"",IF(REGEXMATCH(BE8,""xooxoxooxoox""),""Chandrakauns"",IF(REGEXMATCH(BE8,""xoxxxxoxxxox""),""Mand"",IF(REGEXMATCH(BE8,""xoxxxxoxoxox""),""Hanskinkini"",IF(REGEXMATCH(BE8,""xxooxxoxooxo""),""Lilavati"",IF(REGEXMATCH(BE8,""xooxoxoooxo"&amp;"x""),""Rajeshwari"",IF(REGEXMATCH(BE8,""xoooxxoxoxxx""),""Khokar"",IF(REGEXMATCH(BE8,""xxooxoxxxxox""),""Maligoura"",""-""))))))))))))))))))))))))))))))"),"(n/a)")</f>
        <v>(n/a)</v>
      </c>
      <c r="BM8" s="239">
        <f t="shared" si="29"/>
        <v>6</v>
      </c>
      <c r="BN8" s="239">
        <f>IFERROR(__xludf.DUMMYFUNCTION("COUNTUNIQUE(BR8:CB8)-1"),6.0)</f>
        <v>6</v>
      </c>
      <c r="BO8" s="239">
        <f>IFERROR(__xludf.DUMMYFUNCTION("COUNTUNIQUE(FILTER(BE:BE,REGEXMATCH(BE:BE,BD8)))-1"),0.0)</f>
        <v>0</v>
      </c>
      <c r="BP8" s="239">
        <f>IFERROR(__xludf.DUMMYFUNCTION("COUNTA(FILTER(BE:BE,REGEXMATCH(BE:BE,BD8)))"),1.0)</f>
        <v>1</v>
      </c>
      <c r="BQ8" s="341">
        <f>IFERROR(__xludf.DUMMYFUNCTION("COUNTA(FILTER(BE:BE,REGEXMATCH(BE:BE,BD8)))-AP8"),1.0)</f>
        <v>1</v>
      </c>
      <c r="BR8" s="269" t="str">
        <f t="shared" si="30"/>
        <v>xoxooxxoxox</v>
      </c>
      <c r="BS8" s="269" t="str">
        <f t="shared" si="31"/>
        <v>-</v>
      </c>
      <c r="BT8" s="271" t="str">
        <f t="shared" si="32"/>
        <v>xooxxoxoxxx</v>
      </c>
      <c r="BU8" s="269" t="str">
        <f t="shared" si="33"/>
        <v>-</v>
      </c>
      <c r="BV8" s="271" t="str">
        <f t="shared" si="34"/>
        <v>-</v>
      </c>
      <c r="BW8" s="271" t="str">
        <f t="shared" si="35"/>
        <v>xxoxoxxxoxo</v>
      </c>
      <c r="BX8" s="271" t="str">
        <f t="shared" si="36"/>
        <v>xoxoxxxoxoo</v>
      </c>
      <c r="BY8" s="271" t="str">
        <f t="shared" si="37"/>
        <v>-</v>
      </c>
      <c r="BZ8" s="271" t="str">
        <f t="shared" si="38"/>
        <v>xoxxxoxooxx</v>
      </c>
      <c r="CA8" s="271" t="str">
        <f t="shared" si="39"/>
        <v>-</v>
      </c>
      <c r="CB8" s="274" t="str">
        <f t="shared" si="40"/>
        <v>xxxoxooxxox</v>
      </c>
      <c r="CC8" s="276" t="str">
        <f>IFERROR(__xludf.DUMMYFUNCTION("IF(BD8=""oooooooooooo"",""-"",IF(REGEXMATCH(BE8,""xx""), ""Hemi."", ""Anhemi.""))"),"Hemi.")</f>
        <v>Hemi.</v>
      </c>
      <c r="CD8" s="282" t="str">
        <f>IFERROR(__xludf.DUMMYFUNCTION("IF(BD8=""oooooooooooo"",""-"",IF(REGEXMATCH(BE8,""xxx""), ""Cohem."", ""-""))"),"Cohem.")</f>
        <v>Cohem.</v>
      </c>
      <c r="CE8" s="282" t="str">
        <f>IFERROR(__xludf.DUMMYFUNCTION("IF(BD8=""oooooooooooo"",""-"",IF(REGEXMATCH(BE8,""xxxx""), ""Co-Co."", ""-""))"),"-")</f>
        <v>-</v>
      </c>
      <c r="CF8" s="342" t="str">
        <f>IFERROR(__xludf.DUMMYFUNCTION("IF(BD8=""oooooooooooo"",""-"",IF(REGEXMATCH(BE8,""xxxxx""), ""CCC."", ""-""))"),"-")</f>
        <v>-</v>
      </c>
      <c r="CG8" s="344" t="str">
        <f t="shared" si="41"/>
        <v>-</v>
      </c>
      <c r="CH8" s="282" t="str">
        <f>IFERROR(__xludf.DUMMYFUNCTION("IF(REGEXMATCH(JOIN(""-"",CJ8:CS8),""TRUE""),""✔"",""-"")"),"-")</f>
        <v>-</v>
      </c>
      <c r="CI8" s="225">
        <f t="shared" si="42"/>
        <v>0</v>
      </c>
      <c r="CJ8" s="376" t="b">
        <f>IFERROR(__xludf.DUMMYFUNCTION("arrayformula(sum(--REGEXMATCH(""SRGMPDNS"",split(REGEXREPLACE(I8,""(.)"",""$1~""),""~""))))=len(I8)
"),FALSE)</f>
        <v>0</v>
      </c>
      <c r="CK8" s="290" t="b">
        <f>IFERROR(__xludf.DUMMYFUNCTION("arrayformula(sum(--REGEXMATCH(""SRGmPDNS"",split(REGEXREPLACE(I8,""(.)"",""$1~""),""~""))))=len(I8)"),FALSE)</f>
        <v>0</v>
      </c>
      <c r="CL8" s="290" t="b">
        <f>IFERROR(__xludf.DUMMYFUNCTION("arrayformula(sum(--REGEXMATCH(""SRGmPDnS"",split(REGEXREPLACE(I8,""(.)"",""$1~""),""~""))))=len(I8)"),FALSE)</f>
        <v>0</v>
      </c>
      <c r="CM8" s="290" t="b">
        <f>IFERROR(__xludf.DUMMYFUNCTION("arrayformula(sum(--REGEXMATCH(""SRgmPDnS"",split(REGEXREPLACE(I8,""(.)"",""$1~""),""~""))))=len(I8)"),FALSE)</f>
        <v>0</v>
      </c>
      <c r="CN8" s="290" t="b">
        <f>IFERROR(__xludf.DUMMYFUNCTION("arrayformula(sum(--REGEXMATCH(""SRgmPdnS"",split(REGEXREPLACE(I8,""(.)"",""$1~""),""~""))))=len(I8)"),FALSE)</f>
        <v>0</v>
      </c>
      <c r="CO8" s="290" t="b">
        <f>IFERROR(__xludf.DUMMYFUNCTION("arrayformula(sum(--REGEXMATCH(""SrgmPdnS"",split(REGEXREPLACE(I8,""(.)"",""$1~""),""~""))))=len(I8)"),FALSE)</f>
        <v>0</v>
      </c>
      <c r="CP8" s="290" t="b">
        <f>IFERROR(__xludf.DUMMYFUNCTION("arrayformula(sum(--REGEXMATCH(""SrGmPdNS"",split(REGEXREPLACE(I8,""(.)"",""$1~""),""~""))))=len(I8)"),FALSE)</f>
        <v>0</v>
      </c>
      <c r="CQ8" s="290" t="b">
        <f>IFERROR(__xludf.DUMMYFUNCTION("arrayformula(sum(--REGEXMATCH(""SrGMPDNS"",split(REGEXREPLACE(I8,""(.)"",""$1~""),""~""))))=len(I8)"),FALSE)</f>
        <v>0</v>
      </c>
      <c r="CR8" s="290" t="b">
        <f>IFERROR(__xludf.DUMMYFUNCTION("arrayformula(sum(--REGEXMATCH(""SrGMPdNS"",split(REGEXREPLACE(I8,""(.)"",""$1~""),""~""))))=len(I8)"),FALSE)</f>
        <v>0</v>
      </c>
      <c r="CS8" s="293" t="b">
        <f>IFERROR(__xludf.DUMMYFUNCTION("arrayformula(sum(--REGEXMATCH(""SrgMPdNS"",split(REGEXREPLACE(I8,""(.)"",""$1~""),""~""))))=len(I8)"),FALSE)</f>
        <v>0</v>
      </c>
      <c r="CT8" s="244" t="str">
        <f>IFERROR(__xludf.DUMMYFUNCTION("IF(REGEXMATCH(I8, ""S""), ""1"","""")"),"1")</f>
        <v>1</v>
      </c>
      <c r="CU8" s="245" t="str">
        <f>IFERROR(__xludf.DUMMYFUNCTION("IF(REGEXMATCH(I8, ""r""), ""b2"","""")"),"b2")</f>
        <v>b2</v>
      </c>
      <c r="CV8" s="246" t="str">
        <f>IFERROR(__xludf.DUMMYFUNCTION("IF(REGEXMATCH(I8, ""R""), ""2"","""")"),"")</f>
        <v/>
      </c>
      <c r="CW8" s="246" t="str">
        <f>IFERROR(__xludf.DUMMYFUNCTION("IF(REGEXMATCH(I8, ""g""), ""b3"","""")"),"b3")</f>
        <v>b3</v>
      </c>
      <c r="CX8" s="245" t="str">
        <f>IFERROR(__xludf.DUMMYFUNCTION("IF(REGEXMATCH(I8, ""G""), ""3"","""")"),"")</f>
        <v/>
      </c>
      <c r="CY8" s="245" t="str">
        <f>IFERROR(__xludf.DUMMYFUNCTION("IF(REGEXMATCH(I8, ""m""), ""4"","""")"),"")</f>
        <v/>
      </c>
      <c r="CZ8" s="246" t="str">
        <f>IFERROR(__xludf.DUMMYFUNCTION("IF(REGEXMATCH(I8, ""M""), ""#4"","""")"),"#4")</f>
        <v>#4</v>
      </c>
      <c r="DA8" s="245" t="str">
        <f>IFERROR(__xludf.DUMMYFUNCTION("IF(REGEXMATCH(I8, ""P""), ""5"","""")"),"5")</f>
        <v>5</v>
      </c>
      <c r="DB8" s="246" t="str">
        <f>IFERROR(__xludf.DUMMYFUNCTION("IF(REGEXMATCH(I8, ""d""), ""b6"","""")"),"")</f>
        <v/>
      </c>
      <c r="DC8" s="245" t="str">
        <f>IFERROR(__xludf.DUMMYFUNCTION("IF(REGEXMATCH(I8, ""D""), ""6"","""")"),"6")</f>
        <v>6</v>
      </c>
      <c r="DD8" s="245" t="str">
        <f>IFERROR(__xludf.DUMMYFUNCTION("IF(REGEXMATCH(I8, ""n""), ""b7"","""")"),"")</f>
        <v/>
      </c>
      <c r="DE8" s="246" t="str">
        <f>IFERROR(__xludf.DUMMYFUNCTION("IF(REGEXMATCH(I8, ""N""), ""7"","""")"),"7")</f>
        <v>7</v>
      </c>
      <c r="DF8" s="249" t="str">
        <f>IFERROR(__xludf.DUMMYFUNCTION("IF(REGEXMATCH(I8, ""S""), ""8"","""")"),"8")</f>
        <v>8</v>
      </c>
      <c r="DG8" s="244" t="str">
        <f>IFERROR(__xludf.DUMMYFUNCTION("IF(REGEXMATCH(I8, ""S""), ""S"","""")"),"S")</f>
        <v>S</v>
      </c>
      <c r="DH8" s="294" t="str">
        <f>IFERROR(__xludf.DUMMYFUNCTION("IF(REGEXMATCH(I8, ""r""), ""R1"","""")"),"R1")</f>
        <v>R1</v>
      </c>
      <c r="DI8" s="295" t="str">
        <f>IFERROR(__xludf.DUMMYFUNCTION("IF(REGEXMATCH(I8, ""R""), ""R2"","""")"),"")</f>
        <v/>
      </c>
      <c r="DJ8" s="295" t="str">
        <f>IFERROR(__xludf.DUMMYFUNCTION("IF(REGEXMATCH(I8, ""g""), ""G2"","""")"),"G2")</f>
        <v>G2</v>
      </c>
      <c r="DK8" s="294" t="str">
        <f>IFERROR(__xludf.DUMMYFUNCTION("IF(REGEXMATCH(I8, ""G""), ""G3"","""")"),"")</f>
        <v/>
      </c>
      <c r="DL8" s="294" t="str">
        <f>IFERROR(__xludf.DUMMYFUNCTION("IF(REGEXMATCH(I8, ""m""), ""M1"","""")"),"")</f>
        <v/>
      </c>
      <c r="DM8" s="295" t="str">
        <f>IFERROR(__xludf.DUMMYFUNCTION("IF(REGEXMATCH(I8, ""M""), ""M2"","""")"),"M2")</f>
        <v>M2</v>
      </c>
      <c r="DN8" s="294" t="str">
        <f>IFERROR(__xludf.DUMMYFUNCTION("IF(REGEXMATCH(I8, ""P""), ""P"","""")"),"P")</f>
        <v>P</v>
      </c>
      <c r="DO8" s="295" t="str">
        <f>IFERROR(__xludf.DUMMYFUNCTION("IF(REGEXMATCH(I8, ""d""), ""D1"","""")"),"")</f>
        <v/>
      </c>
      <c r="DP8" s="294" t="str">
        <f>IFERROR(__xludf.DUMMYFUNCTION("IF(REGEXMATCH(I8, ""D""), ""D2"","""")"),"D2")</f>
        <v>D2</v>
      </c>
      <c r="DQ8" s="294" t="str">
        <f>IFERROR(__xludf.DUMMYFUNCTION("IF(REGEXMATCH(I8, ""n""), ""N2"","""")"),"")</f>
        <v/>
      </c>
      <c r="DR8" s="295" t="str">
        <f>IFERROR(__xludf.DUMMYFUNCTION("IF(REGEXMATCH(I8, ""N""), ""N3"","""")"),"N3")</f>
        <v>N3</v>
      </c>
      <c r="DS8" s="249" t="str">
        <f>IFERROR(__xludf.DUMMYFUNCTION("IF(REGEXMATCH(I8, ""S""), ""S"","""")"),"S")</f>
        <v>S</v>
      </c>
      <c r="DT8" s="299" t="str">
        <f>IFERROR(__xludf.DUMMYFUNCTION("SUBSTITUTE(SUBSTITUTE(SUBSTITUTE(SUBSTITUTE(CONCATENATE(JOIN(""-"",CT8:DF8)),""--"",""-""),""--"",""-""),""--"",""-""),""--"",""-"")"),"1-b2-b3-#4-5-6-7-8")</f>
        <v>1-b2-b3-#4-5-6-7-8</v>
      </c>
      <c r="DU8" s="299" t="str">
        <f>IFERROR(__xludf.DUMMYFUNCTION("SUBSTITUTE(SUBSTITUTE(SUBSTITUTE(SUBSTITUTE(CONCATENATE(JOIN(""-"",DG8:DS8)),""--"",""-""),""--"",""-""),""--"",""-""),""--"",""-"")"),"S-R1-G2-M2-P-D2-N3-S")</f>
        <v>S-R1-G2-M2-P-D2-N3-S</v>
      </c>
      <c r="DV8" s="348" t="str">
        <f t="shared" si="43"/>
        <v>C-Db-Eb-F#-G-A-B-C</v>
      </c>
      <c r="DW8" s="301">
        <f t="shared" si="44"/>
        <v>7</v>
      </c>
      <c r="DX8" s="302" t="str">
        <f t="shared" si="45"/>
        <v>Sampurna</v>
      </c>
      <c r="DY8" s="301" t="str">
        <f t="shared" ref="DY8:DZ8" si="174">SUBSTITUTE(Y8,"-","")</f>
        <v>SRGM</v>
      </c>
      <c r="DZ8" s="301" t="str">
        <f t="shared" si="174"/>
        <v>PDNS</v>
      </c>
      <c r="EA8" s="302" t="str">
        <f t="shared" si="47"/>
        <v>(n/a)</v>
      </c>
      <c r="EB8" s="301" t="str">
        <f t="shared" si="48"/>
        <v>Hemi.</v>
      </c>
      <c r="EC8" s="364" t="str">
        <f t="shared" si="49"/>
        <v>Cohem.</v>
      </c>
      <c r="ED8" s="306" t="str">
        <f t="shared" si="50"/>
        <v>-</v>
      </c>
      <c r="EE8" s="366" t="str">
        <f t="shared" si="51"/>
        <v>-</v>
      </c>
      <c r="EF8" s="308" t="str">
        <f t="shared" si="52"/>
        <v>✔</v>
      </c>
      <c r="EG8" s="306" t="str">
        <f t="shared" si="53"/>
        <v>-</v>
      </c>
      <c r="EH8" s="306" t="str">
        <f t="shared" si="54"/>
        <v>-</v>
      </c>
      <c r="EI8" s="367" t="str">
        <f t="shared" si="55"/>
        <v>✔</v>
      </c>
      <c r="EJ8" s="310" t="str">
        <f t="shared" si="56"/>
        <v>-</v>
      </c>
      <c r="EK8" s="310" t="str">
        <f t="shared" si="57"/>
        <v>-</v>
      </c>
      <c r="EL8" s="310" t="str">
        <f t="shared" si="58"/>
        <v>-</v>
      </c>
      <c r="EM8" s="310" t="str">
        <f t="shared" si="59"/>
        <v>-</v>
      </c>
      <c r="EN8" s="370" t="str">
        <f t="shared" si="60"/>
        <v>-</v>
      </c>
      <c r="EO8" s="306" t="str">
        <f t="shared" si="61"/>
        <v>-</v>
      </c>
      <c r="EP8" s="306" t="str">
        <f t="shared" si="62"/>
        <v>-</v>
      </c>
      <c r="EQ8" s="306" t="str">
        <f t="shared" si="63"/>
        <v>-</v>
      </c>
      <c r="ER8" s="306" t="str">
        <f t="shared" si="64"/>
        <v>-</v>
      </c>
      <c r="ES8" s="306" t="str">
        <f t="shared" si="65"/>
        <v>-</v>
      </c>
      <c r="ET8" s="367" t="str">
        <f t="shared" si="66"/>
        <v>-</v>
      </c>
      <c r="EU8" s="310" t="str">
        <f>IFERROR(__xludf.DUMMYFUNCTION("IF(REGEXMATCH(BH8,BD8),""✔"",""-"")"),"-")</f>
        <v>-</v>
      </c>
      <c r="EV8" s="310" t="str">
        <f t="shared" si="67"/>
        <v>-</v>
      </c>
      <c r="EW8" s="370" t="str">
        <f t="shared" si="68"/>
        <v>-</v>
      </c>
      <c r="EX8" s="315" t="str">
        <f t="shared" si="69"/>
        <v>[UQ]</v>
      </c>
      <c r="EY8" s="317" t="str">
        <f t="shared" si="70"/>
        <v>S-r-g-M-P-D-N-S</v>
      </c>
      <c r="EZ8" s="318" t="str">
        <f>IFERROR(__xludf.DUMMYFUNCTION("CONCATENATE(JOIN("""",GE8:GQ8))"),"SrgmMDNS")</f>
        <v>SrgmMDNS</v>
      </c>
      <c r="FA8" s="318"/>
      <c r="FB8" s="318"/>
      <c r="FC8" s="321">
        <f t="shared" si="71"/>
        <v>4</v>
      </c>
      <c r="FD8" s="318" t="str">
        <f>IFERROR(__xludf.DUMMYFUNCTION("CONCATENATE(JOIN("""",HR8:ID8))"),"re, ga, Pa, Dha, ")</f>
        <v>re, ga, Pa, Dha, </v>
      </c>
      <c r="FE8" s="322">
        <f t="shared" si="72"/>
        <v>2</v>
      </c>
      <c r="FF8" s="324" t="str">
        <f>IFERROR(__xludf.DUMMYFUNCTION("CONCATENATE(JOIN("""",IR8:JD8))"),"ga, Dha, ")</f>
        <v>ga, Dha, </v>
      </c>
      <c r="FG8" s="325" t="str">
        <f t="shared" si="73"/>
        <v>S-R1-G2-M2-P-D2-N3-S</v>
      </c>
      <c r="FH8" s="326" t="str">
        <f t="shared" si="74"/>
        <v>1-b2-b3-#4-5-6-7-8</v>
      </c>
      <c r="FI8" s="326" t="str">
        <f t="shared" si="75"/>
        <v>0-1-3-6-7-9-11-0</v>
      </c>
      <c r="FJ8" s="318"/>
      <c r="FK8" s="328" t="str">
        <f>IFERROR(__xludf.DUMMYFUNCTION("SUBSTITUTE(SUBSTITUTE(SUBSTITUTE(SUBSTITUTE(CONCATENATE(JOIN("" "",FN8:FZ8)),""  "","" ""),""  "","" ""),""  "","" ""),""  "","" "")"),"o o • o • • o o • o • o o")</f>
        <v>o o • o • • o o • o • o o</v>
      </c>
      <c r="FL8" s="328" t="str">
        <f t="shared" si="76"/>
        <v>Sa-Pa</v>
      </c>
      <c r="FM8" s="329"/>
      <c r="FN8" s="331" t="str">
        <f t="shared" si="77"/>
        <v>o</v>
      </c>
      <c r="FO8" s="332" t="str">
        <f t="shared" si="78"/>
        <v>o</v>
      </c>
      <c r="FP8" s="332" t="str">
        <f t="shared" si="79"/>
        <v>•</v>
      </c>
      <c r="FQ8" s="332" t="str">
        <f t="shared" si="80"/>
        <v>o</v>
      </c>
      <c r="FR8" s="332" t="str">
        <f t="shared" si="81"/>
        <v>•</v>
      </c>
      <c r="FS8" s="332" t="str">
        <f t="shared" si="82"/>
        <v>•</v>
      </c>
      <c r="FT8" s="332" t="str">
        <f t="shared" si="83"/>
        <v>o</v>
      </c>
      <c r="FU8" s="332" t="str">
        <f t="shared" si="84"/>
        <v>o</v>
      </c>
      <c r="FV8" s="332" t="str">
        <f t="shared" si="85"/>
        <v>•</v>
      </c>
      <c r="FW8" s="332" t="str">
        <f t="shared" si="86"/>
        <v>o</v>
      </c>
      <c r="FX8" s="332" t="str">
        <f t="shared" si="87"/>
        <v>•</v>
      </c>
      <c r="FY8" s="332" t="str">
        <f t="shared" si="88"/>
        <v>o</v>
      </c>
      <c r="FZ8" s="338" t="str">
        <f t="shared" si="89"/>
        <v>o</v>
      </c>
      <c r="GA8" s="339" t="str">
        <f t="shared" si="90"/>
        <v>Sa-Pa</v>
      </c>
      <c r="GB8" s="339" t="str">
        <f t="shared" si="91"/>
        <v>Sa-Pa</v>
      </c>
      <c r="GC8" s="339" t="str">
        <f t="shared" si="92"/>
        <v>-</v>
      </c>
      <c r="GD8" s="340" t="str">
        <f t="shared" si="93"/>
        <v>-</v>
      </c>
      <c r="GE8" s="331" t="str">
        <f t="shared" si="94"/>
        <v>S</v>
      </c>
      <c r="GF8" s="332" t="str">
        <f t="shared" si="95"/>
        <v>r</v>
      </c>
      <c r="GG8" s="332" t="str">
        <f t="shared" si="96"/>
        <v/>
      </c>
      <c r="GH8" s="332" t="str">
        <f t="shared" si="97"/>
        <v>g</v>
      </c>
      <c r="GI8" s="332" t="str">
        <f t="shared" si="98"/>
        <v/>
      </c>
      <c r="GJ8" s="332" t="str">
        <f t="shared" si="99"/>
        <v>m</v>
      </c>
      <c r="GK8" s="332" t="str">
        <f t="shared" si="100"/>
        <v>M</v>
      </c>
      <c r="GL8" s="332" t="str">
        <f t="shared" si="101"/>
        <v/>
      </c>
      <c r="GM8" s="332" t="str">
        <f t="shared" si="102"/>
        <v/>
      </c>
      <c r="GN8" s="332" t="str">
        <f t="shared" si="103"/>
        <v>D</v>
      </c>
      <c r="GO8" s="332" t="str">
        <f t="shared" si="104"/>
        <v/>
      </c>
      <c r="GP8" s="332" t="str">
        <f t="shared" si="105"/>
        <v>N</v>
      </c>
      <c r="GQ8" s="343" t="str">
        <f t="shared" si="106"/>
        <v>S</v>
      </c>
      <c r="GR8" s="331" t="str">
        <f t="shared" si="107"/>
        <v>•</v>
      </c>
      <c r="GS8" s="332" t="str">
        <f t="shared" si="108"/>
        <v>•</v>
      </c>
      <c r="GT8" s="332" t="str">
        <f t="shared" si="109"/>
        <v>o</v>
      </c>
      <c r="GU8" s="332" t="str">
        <f t="shared" si="110"/>
        <v>•</v>
      </c>
      <c r="GV8" s="332" t="str">
        <f t="shared" si="111"/>
        <v>o</v>
      </c>
      <c r="GW8" s="332" t="str">
        <f t="shared" si="112"/>
        <v>o</v>
      </c>
      <c r="GX8" s="332" t="str">
        <f t="shared" si="113"/>
        <v>•</v>
      </c>
      <c r="GY8" s="332" t="str">
        <f t="shared" si="114"/>
        <v>•</v>
      </c>
      <c r="GZ8" s="332" t="str">
        <f t="shared" si="115"/>
        <v>o</v>
      </c>
      <c r="HA8" s="332" t="str">
        <f t="shared" si="116"/>
        <v>•</v>
      </c>
      <c r="HB8" s="332" t="str">
        <f t="shared" si="117"/>
        <v>o</v>
      </c>
      <c r="HC8" s="332" t="str">
        <f t="shared" si="118"/>
        <v>•</v>
      </c>
      <c r="HD8" s="338" t="str">
        <f t="shared" si="119"/>
        <v>•</v>
      </c>
      <c r="HE8" s="346" t="b">
        <f t="shared" si="120"/>
        <v>0</v>
      </c>
      <c r="HF8" s="347" t="b">
        <f t="shared" si="121"/>
        <v>1</v>
      </c>
      <c r="HG8" s="347" t="b">
        <f t="shared" si="122"/>
        <v>0</v>
      </c>
      <c r="HH8" s="347" t="b">
        <f t="shared" si="123"/>
        <v>1</v>
      </c>
      <c r="HI8" s="347" t="b">
        <f t="shared" si="124"/>
        <v>0</v>
      </c>
      <c r="HJ8" s="347" t="b">
        <f t="shared" si="125"/>
        <v>0</v>
      </c>
      <c r="HK8" s="347" t="b">
        <f t="shared" si="126"/>
        <v>0</v>
      </c>
      <c r="HL8" s="347" t="b">
        <f t="shared" si="127"/>
        <v>1</v>
      </c>
      <c r="HM8" s="347" t="b">
        <f t="shared" si="128"/>
        <v>0</v>
      </c>
      <c r="HN8" s="347" t="b">
        <f t="shared" si="129"/>
        <v>1</v>
      </c>
      <c r="HO8" s="347" t="b">
        <f t="shared" si="130"/>
        <v>0</v>
      </c>
      <c r="HP8" s="347" t="b">
        <f t="shared" si="131"/>
        <v>0</v>
      </c>
      <c r="HQ8" s="353" t="b">
        <f t="shared" si="132"/>
        <v>0</v>
      </c>
      <c r="HR8" s="354" t="str">
        <f t="shared" si="133"/>
        <v/>
      </c>
      <c r="HS8" s="355" t="str">
        <f t="shared" si="134"/>
        <v>re, </v>
      </c>
      <c r="HT8" s="355" t="str">
        <f t="shared" si="135"/>
        <v/>
      </c>
      <c r="HU8" s="355" t="str">
        <f t="shared" si="136"/>
        <v>ga, </v>
      </c>
      <c r="HV8" s="355" t="str">
        <f t="shared" si="137"/>
        <v/>
      </c>
      <c r="HW8" s="355" t="str">
        <f t="shared" si="138"/>
        <v/>
      </c>
      <c r="HX8" s="355" t="str">
        <f t="shared" si="139"/>
        <v/>
      </c>
      <c r="HY8" s="355" t="str">
        <f t="shared" si="140"/>
        <v>Pa, </v>
      </c>
      <c r="HZ8" s="355" t="str">
        <f t="shared" si="141"/>
        <v/>
      </c>
      <c r="IA8" s="355" t="str">
        <f t="shared" si="142"/>
        <v>Dha, </v>
      </c>
      <c r="IB8" s="355" t="str">
        <f t="shared" si="143"/>
        <v/>
      </c>
      <c r="IC8" s="355" t="str">
        <f t="shared" si="144"/>
        <v/>
      </c>
      <c r="ID8" s="359" t="str">
        <f t="shared" si="145"/>
        <v/>
      </c>
      <c r="IE8" s="346" t="b">
        <f t="shared" si="146"/>
        <v>0</v>
      </c>
      <c r="IF8" s="347" t="b">
        <f t="shared" si="147"/>
        <v>0</v>
      </c>
      <c r="IG8" s="347" t="b">
        <f t="shared" si="148"/>
        <v>0</v>
      </c>
      <c r="IH8" s="347" t="b">
        <f t="shared" si="149"/>
        <v>1</v>
      </c>
      <c r="II8" s="347" t="b">
        <f t="shared" si="150"/>
        <v>0</v>
      </c>
      <c r="IJ8" s="347" t="b">
        <f t="shared" si="151"/>
        <v>0</v>
      </c>
      <c r="IK8" s="347" t="b">
        <f t="shared" si="152"/>
        <v>0</v>
      </c>
      <c r="IL8" s="347" t="b">
        <f t="shared" si="153"/>
        <v>0</v>
      </c>
      <c r="IM8" s="347" t="b">
        <f t="shared" si="154"/>
        <v>0</v>
      </c>
      <c r="IN8" s="347" t="b">
        <f t="shared" si="155"/>
        <v>1</v>
      </c>
      <c r="IO8" s="347" t="b">
        <f t="shared" si="156"/>
        <v>0</v>
      </c>
      <c r="IP8" s="347" t="b">
        <f t="shared" si="157"/>
        <v>0</v>
      </c>
      <c r="IQ8" s="365" t="b">
        <f t="shared" si="158"/>
        <v>0</v>
      </c>
      <c r="IR8" s="354" t="str">
        <f t="shared" si="159"/>
        <v/>
      </c>
      <c r="IS8" s="355" t="str">
        <f t="shared" si="160"/>
        <v/>
      </c>
      <c r="IT8" s="355" t="str">
        <f t="shared" si="161"/>
        <v/>
      </c>
      <c r="IU8" s="355" t="str">
        <f t="shared" si="162"/>
        <v>ga, </v>
      </c>
      <c r="IV8" s="355" t="str">
        <f t="shared" si="163"/>
        <v/>
      </c>
      <c r="IW8" s="355" t="str">
        <f t="shared" si="164"/>
        <v/>
      </c>
      <c r="IX8" s="355" t="str">
        <f t="shared" si="165"/>
        <v/>
      </c>
      <c r="IY8" s="355" t="str">
        <f t="shared" si="166"/>
        <v/>
      </c>
      <c r="IZ8" s="355" t="str">
        <f t="shared" si="167"/>
        <v/>
      </c>
      <c r="JA8" s="355" t="str">
        <f t="shared" si="168"/>
        <v>Dha, </v>
      </c>
      <c r="JB8" s="355" t="str">
        <f t="shared" si="169"/>
        <v/>
      </c>
      <c r="JC8" s="355" t="str">
        <f t="shared" si="170"/>
        <v/>
      </c>
      <c r="JD8" s="359"/>
      <c r="JE8" s="321"/>
      <c r="JF8" s="368"/>
      <c r="JG8" s="369"/>
      <c r="JH8" s="369"/>
      <c r="JI8" s="369"/>
      <c r="JJ8" s="369"/>
      <c r="JK8" s="369"/>
      <c r="JL8" s="369"/>
      <c r="JM8" s="369"/>
      <c r="JN8" s="369"/>
      <c r="JO8" s="369"/>
      <c r="JP8" s="369"/>
    </row>
    <row r="9" ht="20.25" customHeight="1">
      <c r="A9" s="221" t="s">
        <v>388</v>
      </c>
      <c r="B9" s="222">
        <v>7.0</v>
      </c>
      <c r="C9" s="223" t="s">
        <v>389</v>
      </c>
      <c r="D9" s="224" t="s">
        <v>17</v>
      </c>
      <c r="E9" s="225" t="str">
        <f t="shared" si="5"/>
        <v>[UQ]</v>
      </c>
      <c r="F9" s="227">
        <f t="shared" si="6"/>
        <v>7</v>
      </c>
      <c r="G9" s="229">
        <f t="shared" si="7"/>
        <v>7</v>
      </c>
      <c r="H9" s="230">
        <f t="shared" si="8"/>
        <v>0</v>
      </c>
      <c r="I9" s="233" t="str">
        <f t="shared" si="9"/>
        <v>SRgMPdNS</v>
      </c>
      <c r="J9" s="234" t="str">
        <f>IFERROR(__xludf.DUMMYFUNCTION("IF(REGEXMATCH(I9, ""S""), ""S"","""")"),"S")</f>
        <v>S</v>
      </c>
      <c r="K9" s="236" t="str">
        <f>IFERROR(__xludf.DUMMYFUNCTION("IF(REGEXMATCH(I9, ""r""), ""r"","""")"),"")</f>
        <v/>
      </c>
      <c r="L9" s="237" t="str">
        <f>IFERROR(__xludf.DUMMYFUNCTION("IF(REGEXMATCH(I9, ""R""), ""R"","""")"),"R")</f>
        <v>R</v>
      </c>
      <c r="M9" s="237" t="str">
        <f>IFERROR(__xludf.DUMMYFUNCTION("IF(REGEXMATCH(I9, ""g""), ""g"","""")"),"g")</f>
        <v>g</v>
      </c>
      <c r="N9" s="236" t="str">
        <f>IFERROR(__xludf.DUMMYFUNCTION("IF(REGEXMATCH(I9, ""G""), ""G"","""")"),"")</f>
        <v/>
      </c>
      <c r="O9" s="236" t="str">
        <f>IFERROR(__xludf.DUMMYFUNCTION("IF(REGEXMATCH(I9, ""m""), ""m"","""")"),"")</f>
        <v/>
      </c>
      <c r="P9" s="237" t="str">
        <f>IFERROR(__xludf.DUMMYFUNCTION("IF(REGEXMATCH(I9, ""M""), ""M"","""")"),"M")</f>
        <v>M</v>
      </c>
      <c r="Q9" s="236" t="str">
        <f>IFERROR(__xludf.DUMMYFUNCTION("IF(REGEXMATCH(I9, ""P""), ""P"","""")"),"P")</f>
        <v>P</v>
      </c>
      <c r="R9" s="237" t="str">
        <f>IFERROR(__xludf.DUMMYFUNCTION("IF(REGEXMATCH(I9, ""d""), ""d"","""")"),"d")</f>
        <v>d</v>
      </c>
      <c r="S9" s="236" t="str">
        <f>IFERROR(__xludf.DUMMYFUNCTION("IF(REGEXMATCH(I9, ""D""), ""D"","""")"),"")</f>
        <v/>
      </c>
      <c r="T9" s="236" t="str">
        <f>IFERROR(__xludf.DUMMYFUNCTION("IF(REGEXMATCH(I9, ""n""), ""n"","""")"),"")</f>
        <v/>
      </c>
      <c r="U9" s="237" t="str">
        <f>IFERROR(__xludf.DUMMYFUNCTION("IF(REGEXMATCH(I9, ""N""), ""N"","""")"),"N")</f>
        <v>N</v>
      </c>
      <c r="V9" s="238" t="str">
        <f>IFERROR(__xludf.DUMMYFUNCTION("IF(REGEXMATCH(I9, ""S""), ""S"","""")"),"S")</f>
        <v>S</v>
      </c>
      <c r="W9" s="239" t="str">
        <f>IFERROR(__xludf.DUMMYFUNCTION("SUBSTITUTE(CONCATENATE(JOIN(""-"",J9:P9)),""-"","""")"),"SRgM")</f>
        <v>SRgM</v>
      </c>
      <c r="X9" s="229" t="str">
        <f>IFERROR(__xludf.DUMMYFUNCTION("SUBSTITUTE(CONCATENATE(JOIN(""-"",Q9:V9)),""-"","""")"),"PdNS")</f>
        <v>PdNS</v>
      </c>
      <c r="Y9" s="282" t="str">
        <f t="shared" si="10"/>
        <v>S-R-G-M</v>
      </c>
      <c r="Z9" s="282" t="str">
        <f t="shared" si="11"/>
        <v>P-D-N-S</v>
      </c>
      <c r="AA9" s="309" t="str">
        <f t="shared" si="12"/>
        <v>RgMdN</v>
      </c>
      <c r="AB9" s="244" t="str">
        <f>IFERROR(__xludf.DUMMYFUNCTION("IF(REGEXMATCH(I9, ""S""), ""0"","""")"),"0")</f>
        <v>0</v>
      </c>
      <c r="AC9" s="245" t="str">
        <f>IFERROR(__xludf.DUMMYFUNCTION("IF(REGEXMATCH(I9, ""r""), ""1"","""")"),"")</f>
        <v/>
      </c>
      <c r="AD9" s="246" t="str">
        <f>IFERROR(__xludf.DUMMYFUNCTION("IF(REGEXMATCH(I9, ""R""), ""2"","""")"),"2")</f>
        <v>2</v>
      </c>
      <c r="AE9" s="246" t="str">
        <f>IFERROR(__xludf.DUMMYFUNCTION("IF(REGEXMATCH(I9, ""g""), ""3"","""")"),"3")</f>
        <v>3</v>
      </c>
      <c r="AF9" s="245" t="str">
        <f>IFERROR(__xludf.DUMMYFUNCTION("IF(REGEXMATCH(I9, ""G""), ""4"","""")"),"")</f>
        <v/>
      </c>
      <c r="AG9" s="245" t="str">
        <f>IFERROR(__xludf.DUMMYFUNCTION("IF(REGEXMATCH(I9, ""m""), ""5"","""")"),"")</f>
        <v/>
      </c>
      <c r="AH9" s="246" t="str">
        <f>IFERROR(__xludf.DUMMYFUNCTION("IF(REGEXMATCH(I9, ""M""), ""6"","""")"),"6")</f>
        <v>6</v>
      </c>
      <c r="AI9" s="245" t="str">
        <f>IFERROR(__xludf.DUMMYFUNCTION("IF(REGEXMATCH(I9, ""P""), ""7"","""")"),"7")</f>
        <v>7</v>
      </c>
      <c r="AJ9" s="246" t="str">
        <f>IFERROR(__xludf.DUMMYFUNCTION("IF(REGEXMATCH(I9, ""d""), ""8"","""")"),"8")</f>
        <v>8</v>
      </c>
      <c r="AK9" s="245" t="str">
        <f>IFERROR(__xludf.DUMMYFUNCTION("IF(REGEXMATCH(I9, ""D""), ""9"","""")"),"")</f>
        <v/>
      </c>
      <c r="AL9" s="245" t="str">
        <f>IFERROR(__xludf.DUMMYFUNCTION("IF(REGEXMATCH(I9, ""n""), ""10"","""")"),"")</f>
        <v/>
      </c>
      <c r="AM9" s="246" t="str">
        <f>IFERROR(__xludf.DUMMYFUNCTION("IF(REGEXMATCH(I9, ""N""), ""11"","""")"),"11")</f>
        <v>11</v>
      </c>
      <c r="AN9" s="249" t="str">
        <f>IFERROR(__xludf.DUMMYFUNCTION("IF(REGEXMATCH(I9, ""S""), ""0"","""")"),"0")</f>
        <v>0</v>
      </c>
      <c r="AO9" s="250" t="str">
        <f>IFERROR(__xludf.DUMMYFUNCTION("SUBSTITUTE(SUBSTITUTE(SUBSTITUTE(SUBSTITUTE(CONCATENATE(JOIN(""-"",AB9:AN9)),""--"",""-""),""--"",""-""),""--"",""-""),""--"",""-"")"),"0-2-3-6-7-8-11-0")</f>
        <v>0-2-3-6-7-8-11-0</v>
      </c>
      <c r="AP9" s="251">
        <f t="shared" si="13"/>
        <v>0</v>
      </c>
      <c r="AQ9" s="234" t="str">
        <f t="shared" si="14"/>
        <v>|</v>
      </c>
      <c r="AR9" s="236" t="str">
        <f t="shared" si="15"/>
        <v>-</v>
      </c>
      <c r="AS9" s="237" t="str">
        <f t="shared" si="16"/>
        <v>|</v>
      </c>
      <c r="AT9" s="236" t="str">
        <f t="shared" si="17"/>
        <v>|</v>
      </c>
      <c r="AU9" s="237" t="str">
        <f t="shared" si="18"/>
        <v>-</v>
      </c>
      <c r="AV9" s="236" t="str">
        <f t="shared" si="19"/>
        <v>-</v>
      </c>
      <c r="AW9" s="237" t="str">
        <f t="shared" si="20"/>
        <v>|</v>
      </c>
      <c r="AX9" s="236" t="str">
        <f t="shared" si="21"/>
        <v>|</v>
      </c>
      <c r="AY9" s="237" t="str">
        <f t="shared" si="22"/>
        <v>|</v>
      </c>
      <c r="AZ9" s="236" t="str">
        <f t="shared" si="23"/>
        <v>-</v>
      </c>
      <c r="BA9" s="237" t="str">
        <f t="shared" si="24"/>
        <v>-</v>
      </c>
      <c r="BB9" s="236" t="str">
        <f t="shared" si="25"/>
        <v>|</v>
      </c>
      <c r="BC9" s="238" t="str">
        <f t="shared" si="26"/>
        <v>|</v>
      </c>
      <c r="BD9" s="250" t="str">
        <f>IFERROR(__xludf.DUMMYFUNCTION("SUBSTITUTE(SUBSTITUTE(CONCATENATE(JOIN("""",AQ9:BB9)),""|"",""x""),""-"",""o"")"),"xoxxooxxxoox")</f>
        <v>xoxxooxxxoox</v>
      </c>
      <c r="BE9" s="323" t="str">
        <f>IFERROR(__xludf.DUMMYFUNCTION("JOIN("""",BD9,BD9)"),"xoxxooxxxooxxoxxooxxxoox")</f>
        <v>xoxxooxxxooxxoxxooxxxoox</v>
      </c>
      <c r="BF9" s="256" t="str">
        <f>IFERROR(__xludf.DUMMYFUNCTION("JOIN("""",ArrayFormula(MID(BD9,LEN(BD9)-SEQUENCE(1,LEN(BD9))+1,1)))"),"xooxxxooxxox")</f>
        <v>xooxxxooxxox</v>
      </c>
      <c r="BG9" s="256" t="str">
        <f>IFERROR(__xludf.DUMMYFUNCTION("LEFT(CONCATENATE(""x"",JOIN("""",ArrayFormula(MID(BD9,LEN(BD9)-SEQUENCE(1,LEN(BD9))+1,1)))),12)"),"xxooxxxooxxo")</f>
        <v>xxooxxxooxxo</v>
      </c>
      <c r="BH9" s="327" t="str">
        <f>IFERROR(__xludf.DUMMYFUNCTION("JOIN("""",BF9,BF9)"),"xooxxxooxxoxxooxxxooxxox")</f>
        <v>xooxxxooxxoxxooxxxooxxox</v>
      </c>
      <c r="BI9" s="239" t="str">
        <f>IFERROR(__xludf.DUMMYFUNCTION("IF(REGEXMATCH(BH9,BD9),""✔"",""-"")"),"✔")</f>
        <v>✔</v>
      </c>
      <c r="BJ9" s="330" t="str">
        <f t="shared" si="27"/>
        <v>-</v>
      </c>
      <c r="BK9" s="260" t="str">
        <f t="shared" si="28"/>
        <v>-</v>
      </c>
      <c r="BL9" s="261" t="str">
        <f>IFERROR(__xludf.DUMMYFUNCTION("IF(BO9=0,""(n/a)"",IF(BP9=2,""(PAIR)"",IF(REGEXMATCH(BE9,""xoxoxxoxoxox""),""Bilawal"",IF(REGEXMATCH(BE9,""xoxoxooxoxoo""),""Bhupali"",IF(REGEXMATCH(BE9,""xoxoxxoxxoxo""),""Charukeshi"",IF(REGEXMATCH(BE9,""xoxoooxxoxxo""),""Kameshwari"",IF(REGEXMATCH(BE9,"&amp;"""xoxoxooxoxox""),""Shankara"",IF(REGEXMATCH(BE9,""xxooxoxxxoox""),""Basant"",IF(REGEXMATCH(BE9,""xoxoxxxxoxox""),""Bihag"",IF(REGEXMATCH(BE9,""xoxxxxoxoxxx""),""Pilu"",IF(REGEXMATCH(BE9,""xoxxoxoxxoox""),""Kirwani"",IF(REGEXMATCH(BE9,""xoxxoxoxoxxx""),"""&amp;"Mk.Malhar"",IF(REGEXMATCH(BE9,""xxooxxoxxoox""),""Bhairav"",IF(REGEXMATCH(BE9,""xxoxooxxxoox""),""Todi"",IF(REGEXMATCH(BE9,""xxooxoxooxox""),""Marwa"",IF(REGEXMATCH(BE9,""xxoooxoxxooo""),""Gunkali"",IF(REGEXMATCH(BE9,""xoxoxxoxxoox""),""Nat Bhairav"",IF(R"&amp;"EGEXMATCH(BE9,""xoxxoooxoxoo""),""Shivranjani"",IF(REGEXMATCH(BE9,""xooxxxoxooxo""),""Jog"",IF(REGEXMATCH(BE9,""xxooxoxoxoox""),""Hemshri"",IF(REGEXMATCH(BE9,""xoooxooxoxxo""),""Kalavati"",IF(REGEXMATCH(BE9,""xxoxoxxoxoox""),""Kedar"",IF(REGEXMATCH(BE9,"""&amp;"xoxxxxoxooxx""),""Gara"",IF(REGEXMATCH(BE9,""xooxoxooxoox""),""Chandrakauns"",IF(REGEXMATCH(BE9,""xoxxxxoxxxox""),""Mand"",IF(REGEXMATCH(BE9,""xoxxxxoxoxox""),""Hanskinkini"",IF(REGEXMATCH(BE9,""xxooxxoxooxo""),""Lilavati"",IF(REGEXMATCH(BE9,""xooxoxoooxo"&amp;"x""),""Rajeshwari"",IF(REGEXMATCH(BE9,""xoooxxoxoxxx""),""Khokar"",IF(REGEXMATCH(BE9,""xxooxoxxxxox""),""Maligoura"",""-""))))))))))))))))))))))))))))))"),"(PAIR)")</f>
        <v>(PAIR)</v>
      </c>
      <c r="BM9" s="239">
        <f t="shared" si="29"/>
        <v>6</v>
      </c>
      <c r="BN9" s="239">
        <f>IFERROR(__xludf.DUMMYFUNCTION("COUNTUNIQUE(BR9:CB9)-1"),6.0)</f>
        <v>6</v>
      </c>
      <c r="BO9" s="239">
        <f>IFERROR(__xludf.DUMMYFUNCTION("COUNTUNIQUE(FILTER(BE:BE,REGEXMATCH(BE:BE,BD9)))-1"),1.0)</f>
        <v>1</v>
      </c>
      <c r="BP9" s="239">
        <f>IFERROR(__xludf.DUMMYFUNCTION("COUNTA(FILTER(BE:BE,REGEXMATCH(BE:BE,BD9)))"),2.0)</f>
        <v>2</v>
      </c>
      <c r="BQ9" s="341">
        <f>IFERROR(__xludf.DUMMYFUNCTION("COUNTA(FILTER(BE:BE,REGEXMATCH(BE:BE,BD9)))-AP9"),2.0)</f>
        <v>2</v>
      </c>
      <c r="BR9" s="269" t="str">
        <f t="shared" si="30"/>
        <v>-</v>
      </c>
      <c r="BS9" s="269" t="str">
        <f t="shared" si="31"/>
        <v>xxooxxxooxx</v>
      </c>
      <c r="BT9" s="271" t="str">
        <f t="shared" si="32"/>
        <v>xooxxxooxxo</v>
      </c>
      <c r="BU9" s="269" t="str">
        <f t="shared" si="33"/>
        <v>-</v>
      </c>
      <c r="BV9" s="271" t="str">
        <f t="shared" si="34"/>
        <v>-</v>
      </c>
      <c r="BW9" s="271" t="str">
        <f t="shared" si="35"/>
        <v>xxxooxxoxxo</v>
      </c>
      <c r="BX9" s="271" t="str">
        <f t="shared" si="36"/>
        <v>xxooxxoxxoo</v>
      </c>
      <c r="BY9" s="271" t="str">
        <f t="shared" si="37"/>
        <v>xooxxoxxoox</v>
      </c>
      <c r="BZ9" s="271" t="str">
        <f t="shared" si="38"/>
        <v>-</v>
      </c>
      <c r="CA9" s="271" t="str">
        <f t="shared" si="39"/>
        <v>-</v>
      </c>
      <c r="CB9" s="274" t="str">
        <f t="shared" si="40"/>
        <v>xxoxxooxxxo</v>
      </c>
      <c r="CC9" s="276" t="str">
        <f>IFERROR(__xludf.DUMMYFUNCTION("IF(BD9=""oooooooooooo"",""-"",IF(REGEXMATCH(BE9,""xx""), ""Hemi."", ""Anhemi.""))"),"Hemi.")</f>
        <v>Hemi.</v>
      </c>
      <c r="CD9" s="282" t="str">
        <f>IFERROR(__xludf.DUMMYFUNCTION("IF(BD9=""oooooooooooo"",""-"",IF(REGEXMATCH(BE9,""xxx""), ""Cohem."", ""-""))"),"Cohem.")</f>
        <v>Cohem.</v>
      </c>
      <c r="CE9" s="282" t="str">
        <f>IFERROR(__xludf.DUMMYFUNCTION("IF(BD9=""oooooooooooo"",""-"",IF(REGEXMATCH(BE9,""xxxx""), ""Co-Co."", ""-""))"),"-")</f>
        <v>-</v>
      </c>
      <c r="CF9" s="342" t="str">
        <f>IFERROR(__xludf.DUMMYFUNCTION("IF(BD9=""oooooooooooo"",""-"",IF(REGEXMATCH(BE9,""xxxxx""), ""CCC."", ""-""))"),"-")</f>
        <v>-</v>
      </c>
      <c r="CG9" s="344" t="str">
        <f t="shared" si="41"/>
        <v>-</v>
      </c>
      <c r="CH9" s="282" t="str">
        <f>IFERROR(__xludf.DUMMYFUNCTION("IF(REGEXMATCH(JOIN(""-"",CJ9:CS9),""TRUE""),""✔"",""-"")"),"-")</f>
        <v>-</v>
      </c>
      <c r="CI9" s="225">
        <f t="shared" si="42"/>
        <v>0</v>
      </c>
      <c r="CJ9" s="376" t="b">
        <f>IFERROR(__xludf.DUMMYFUNCTION("arrayformula(sum(--REGEXMATCH(""SRGMPDNS"",split(REGEXREPLACE(I9,""(.)"",""$1~""),""~""))))=len(I9)
"),FALSE)</f>
        <v>0</v>
      </c>
      <c r="CK9" s="290" t="b">
        <f>IFERROR(__xludf.DUMMYFUNCTION("arrayformula(sum(--REGEXMATCH(""SRGmPDNS"",split(REGEXREPLACE(I9,""(.)"",""$1~""),""~""))))=len(I9)"),FALSE)</f>
        <v>0</v>
      </c>
      <c r="CL9" s="290" t="b">
        <f>IFERROR(__xludf.DUMMYFUNCTION("arrayformula(sum(--REGEXMATCH(""SRGmPDnS"",split(REGEXREPLACE(I9,""(.)"",""$1~""),""~""))))=len(I9)"),FALSE)</f>
        <v>0</v>
      </c>
      <c r="CM9" s="290" t="b">
        <f>IFERROR(__xludf.DUMMYFUNCTION("arrayformula(sum(--REGEXMATCH(""SRgmPDnS"",split(REGEXREPLACE(I9,""(.)"",""$1~""),""~""))))=len(I9)"),FALSE)</f>
        <v>0</v>
      </c>
      <c r="CN9" s="290" t="b">
        <f>IFERROR(__xludf.DUMMYFUNCTION("arrayformula(sum(--REGEXMATCH(""SRgmPdnS"",split(REGEXREPLACE(I9,""(.)"",""$1~""),""~""))))=len(I9)"),FALSE)</f>
        <v>0</v>
      </c>
      <c r="CO9" s="290" t="b">
        <f>IFERROR(__xludf.DUMMYFUNCTION("arrayformula(sum(--REGEXMATCH(""SrgmPdnS"",split(REGEXREPLACE(I9,""(.)"",""$1~""),""~""))))=len(I9)"),FALSE)</f>
        <v>0</v>
      </c>
      <c r="CP9" s="290" t="b">
        <f>IFERROR(__xludf.DUMMYFUNCTION("arrayformula(sum(--REGEXMATCH(""SrGmPdNS"",split(REGEXREPLACE(I9,""(.)"",""$1~""),""~""))))=len(I9)"),FALSE)</f>
        <v>0</v>
      </c>
      <c r="CQ9" s="290" t="b">
        <f>IFERROR(__xludf.DUMMYFUNCTION("arrayformula(sum(--REGEXMATCH(""SrGMPDNS"",split(REGEXREPLACE(I9,""(.)"",""$1~""),""~""))))=len(I9)"),FALSE)</f>
        <v>0</v>
      </c>
      <c r="CR9" s="290" t="b">
        <f>IFERROR(__xludf.DUMMYFUNCTION("arrayformula(sum(--REGEXMATCH(""SrGMPdNS"",split(REGEXREPLACE(I9,""(.)"",""$1~""),""~""))))=len(I9)"),FALSE)</f>
        <v>0</v>
      </c>
      <c r="CS9" s="293" t="b">
        <f>IFERROR(__xludf.DUMMYFUNCTION("arrayformula(sum(--REGEXMATCH(""SrgMPdNS"",split(REGEXREPLACE(I9,""(.)"",""$1~""),""~""))))=len(I9)"),FALSE)</f>
        <v>0</v>
      </c>
      <c r="CT9" s="244" t="str">
        <f>IFERROR(__xludf.DUMMYFUNCTION("IF(REGEXMATCH(I9, ""S""), ""1"","""")"),"1")</f>
        <v>1</v>
      </c>
      <c r="CU9" s="245" t="str">
        <f>IFERROR(__xludf.DUMMYFUNCTION("IF(REGEXMATCH(I9, ""r""), ""b2"","""")"),"")</f>
        <v/>
      </c>
      <c r="CV9" s="246" t="str">
        <f>IFERROR(__xludf.DUMMYFUNCTION("IF(REGEXMATCH(I9, ""R""), ""2"","""")"),"2")</f>
        <v>2</v>
      </c>
      <c r="CW9" s="246" t="str">
        <f>IFERROR(__xludf.DUMMYFUNCTION("IF(REGEXMATCH(I9, ""g""), ""b3"","""")"),"b3")</f>
        <v>b3</v>
      </c>
      <c r="CX9" s="245" t="str">
        <f>IFERROR(__xludf.DUMMYFUNCTION("IF(REGEXMATCH(I9, ""G""), ""3"","""")"),"")</f>
        <v/>
      </c>
      <c r="CY9" s="245" t="str">
        <f>IFERROR(__xludf.DUMMYFUNCTION("IF(REGEXMATCH(I9, ""m""), ""4"","""")"),"")</f>
        <v/>
      </c>
      <c r="CZ9" s="246" t="str">
        <f>IFERROR(__xludf.DUMMYFUNCTION("IF(REGEXMATCH(I9, ""M""), ""#4"","""")"),"#4")</f>
        <v>#4</v>
      </c>
      <c r="DA9" s="245" t="str">
        <f>IFERROR(__xludf.DUMMYFUNCTION("IF(REGEXMATCH(I9, ""P""), ""5"","""")"),"5")</f>
        <v>5</v>
      </c>
      <c r="DB9" s="246" t="str">
        <f>IFERROR(__xludf.DUMMYFUNCTION("IF(REGEXMATCH(I9, ""d""), ""b6"","""")"),"b6")</f>
        <v>b6</v>
      </c>
      <c r="DC9" s="245" t="str">
        <f>IFERROR(__xludf.DUMMYFUNCTION("IF(REGEXMATCH(I9, ""D""), ""6"","""")"),"")</f>
        <v/>
      </c>
      <c r="DD9" s="245" t="str">
        <f>IFERROR(__xludf.DUMMYFUNCTION("IF(REGEXMATCH(I9, ""n""), ""b7"","""")"),"")</f>
        <v/>
      </c>
      <c r="DE9" s="246" t="str">
        <f>IFERROR(__xludf.DUMMYFUNCTION("IF(REGEXMATCH(I9, ""N""), ""7"","""")"),"7")</f>
        <v>7</v>
      </c>
      <c r="DF9" s="249" t="str">
        <f>IFERROR(__xludf.DUMMYFUNCTION("IF(REGEXMATCH(I9, ""S""), ""8"","""")"),"8")</f>
        <v>8</v>
      </c>
      <c r="DG9" s="244" t="str">
        <f>IFERROR(__xludf.DUMMYFUNCTION("IF(REGEXMATCH(I9, ""S""), ""S"","""")"),"S")</f>
        <v>S</v>
      </c>
      <c r="DH9" s="294" t="str">
        <f>IFERROR(__xludf.DUMMYFUNCTION("IF(REGEXMATCH(I9, ""r""), ""R1"","""")"),"")</f>
        <v/>
      </c>
      <c r="DI9" s="295" t="str">
        <f>IFERROR(__xludf.DUMMYFUNCTION("IF(REGEXMATCH(I9, ""R""), ""R2"","""")"),"R2")</f>
        <v>R2</v>
      </c>
      <c r="DJ9" s="295" t="str">
        <f>IFERROR(__xludf.DUMMYFUNCTION("IF(REGEXMATCH(I9, ""g""), ""G2"","""")"),"G2")</f>
        <v>G2</v>
      </c>
      <c r="DK9" s="294" t="str">
        <f>IFERROR(__xludf.DUMMYFUNCTION("IF(REGEXMATCH(I9, ""G""), ""G3"","""")"),"")</f>
        <v/>
      </c>
      <c r="DL9" s="294" t="str">
        <f>IFERROR(__xludf.DUMMYFUNCTION("IF(REGEXMATCH(I9, ""m""), ""M1"","""")"),"")</f>
        <v/>
      </c>
      <c r="DM9" s="295" t="str">
        <f>IFERROR(__xludf.DUMMYFUNCTION("IF(REGEXMATCH(I9, ""M""), ""M2"","""")"),"M2")</f>
        <v>M2</v>
      </c>
      <c r="DN9" s="294" t="str">
        <f>IFERROR(__xludf.DUMMYFUNCTION("IF(REGEXMATCH(I9, ""P""), ""P"","""")"),"P")</f>
        <v>P</v>
      </c>
      <c r="DO9" s="295" t="str">
        <f>IFERROR(__xludf.DUMMYFUNCTION("IF(REGEXMATCH(I9, ""d""), ""D1"","""")"),"D1")</f>
        <v>D1</v>
      </c>
      <c r="DP9" s="294" t="str">
        <f>IFERROR(__xludf.DUMMYFUNCTION("IF(REGEXMATCH(I9, ""D""), ""D2"","""")"),"")</f>
        <v/>
      </c>
      <c r="DQ9" s="294" t="str">
        <f>IFERROR(__xludf.DUMMYFUNCTION("IF(REGEXMATCH(I9, ""n""), ""N2"","""")"),"")</f>
        <v/>
      </c>
      <c r="DR9" s="295" t="str">
        <f>IFERROR(__xludf.DUMMYFUNCTION("IF(REGEXMATCH(I9, ""N""), ""N3"","""")"),"N3")</f>
        <v>N3</v>
      </c>
      <c r="DS9" s="249" t="str">
        <f>IFERROR(__xludf.DUMMYFUNCTION("IF(REGEXMATCH(I9, ""S""), ""S"","""")"),"S")</f>
        <v>S</v>
      </c>
      <c r="DT9" s="299" t="str">
        <f>IFERROR(__xludf.DUMMYFUNCTION("SUBSTITUTE(SUBSTITUTE(SUBSTITUTE(SUBSTITUTE(CONCATENATE(JOIN(""-"",CT9:DF9)),""--"",""-""),""--"",""-""),""--"",""-""),""--"",""-"")"),"1-2-b3-#4-5-b6-7-8")</f>
        <v>1-2-b3-#4-5-b6-7-8</v>
      </c>
      <c r="DU9" s="299" t="str">
        <f>IFERROR(__xludf.DUMMYFUNCTION("SUBSTITUTE(SUBSTITUTE(SUBSTITUTE(SUBSTITUTE(CONCATENATE(JOIN(""-"",DG9:DS9)),""--"",""-""),""--"",""-""),""--"",""-""),""--"",""-"")"),"S-R2-G2-M2-P-D1-N3-S")</f>
        <v>S-R2-G2-M2-P-D1-N3-S</v>
      </c>
      <c r="DV9" s="348" t="str">
        <f t="shared" si="43"/>
        <v>C-D-Eb-F#-G-Ab-B-C</v>
      </c>
      <c r="DW9" s="301">
        <f t="shared" si="44"/>
        <v>7</v>
      </c>
      <c r="DX9" s="302" t="str">
        <f t="shared" si="45"/>
        <v>Sampurna</v>
      </c>
      <c r="DY9" s="301" t="str">
        <f t="shared" ref="DY9:DZ9" si="175">SUBSTITUTE(Y9,"-","")</f>
        <v>SRGM</v>
      </c>
      <c r="DZ9" s="301" t="str">
        <f t="shared" si="175"/>
        <v>PDNS</v>
      </c>
      <c r="EA9" s="302" t="str">
        <f t="shared" si="47"/>
        <v>(PAIR)</v>
      </c>
      <c r="EB9" s="301" t="str">
        <f t="shared" si="48"/>
        <v>Hemi.</v>
      </c>
      <c r="EC9" s="364" t="str">
        <f t="shared" si="49"/>
        <v>Cohem.</v>
      </c>
      <c r="ED9" s="306" t="str">
        <f t="shared" si="50"/>
        <v>-</v>
      </c>
      <c r="EE9" s="366" t="str">
        <f t="shared" si="51"/>
        <v>-</v>
      </c>
      <c r="EF9" s="308" t="str">
        <f t="shared" si="52"/>
        <v>✔</v>
      </c>
      <c r="EG9" s="306" t="str">
        <f t="shared" si="53"/>
        <v>-</v>
      </c>
      <c r="EH9" s="306" t="str">
        <f t="shared" si="54"/>
        <v>-</v>
      </c>
      <c r="EI9" s="367" t="str">
        <f t="shared" si="55"/>
        <v>✔</v>
      </c>
      <c r="EJ9" s="310" t="str">
        <f t="shared" si="56"/>
        <v>-</v>
      </c>
      <c r="EK9" s="310" t="str">
        <f t="shared" si="57"/>
        <v>-</v>
      </c>
      <c r="EL9" s="310" t="str">
        <f t="shared" si="58"/>
        <v>-</v>
      </c>
      <c r="EM9" s="310" t="str">
        <f t="shared" si="59"/>
        <v>-</v>
      </c>
      <c r="EN9" s="370" t="str">
        <f t="shared" si="60"/>
        <v>-</v>
      </c>
      <c r="EO9" s="306" t="str">
        <f t="shared" si="61"/>
        <v>-</v>
      </c>
      <c r="EP9" s="306" t="str">
        <f t="shared" si="62"/>
        <v>-</v>
      </c>
      <c r="EQ9" s="306" t="str">
        <f t="shared" si="63"/>
        <v>-</v>
      </c>
      <c r="ER9" s="306" t="str">
        <f t="shared" si="64"/>
        <v>-</v>
      </c>
      <c r="ES9" s="306" t="str">
        <f t="shared" si="65"/>
        <v>-</v>
      </c>
      <c r="ET9" s="367" t="str">
        <f t="shared" si="66"/>
        <v>-</v>
      </c>
      <c r="EU9" s="310" t="str">
        <f>IFERROR(__xludf.DUMMYFUNCTION("IF(REGEXMATCH(BH9,BD9),""✔"",""-"")"),"✔")</f>
        <v>✔</v>
      </c>
      <c r="EV9" s="310" t="str">
        <f t="shared" si="67"/>
        <v>-</v>
      </c>
      <c r="EW9" s="370" t="str">
        <f t="shared" si="68"/>
        <v>-</v>
      </c>
      <c r="EX9" s="315" t="str">
        <f t="shared" si="69"/>
        <v>[UQ]</v>
      </c>
      <c r="EY9" s="317" t="str">
        <f t="shared" si="70"/>
        <v>S-R-g-M-P-d-N-S</v>
      </c>
      <c r="EZ9" s="318" t="str">
        <f>IFERROR(__xludf.DUMMYFUNCTION("CONCATENATE(JOIN("""",GE9:GQ9))"),"SrGmMDnS")</f>
        <v>SrGmMDnS</v>
      </c>
      <c r="FA9" s="318"/>
      <c r="FB9" s="318"/>
      <c r="FC9" s="321">
        <f t="shared" si="71"/>
        <v>3</v>
      </c>
      <c r="FD9" s="318" t="str">
        <f>IFERROR(__xludf.DUMMYFUNCTION("CONCATENATE(JOIN("""",HR9:ID9))"),"Re, ga, Ma, ")</f>
        <v>Re, ga, Ma, </v>
      </c>
      <c r="FE9" s="322">
        <f t="shared" si="72"/>
        <v>0</v>
      </c>
      <c r="FF9" s="324" t="str">
        <f>IFERROR(__xludf.DUMMYFUNCTION("CONCATENATE(JOIN("""",IR9:JD9))"),"")</f>
        <v/>
      </c>
      <c r="FG9" s="325" t="str">
        <f t="shared" si="73"/>
        <v>S-R2-G2-M2-P-D1-N3-S</v>
      </c>
      <c r="FH9" s="326" t="str">
        <f t="shared" si="74"/>
        <v>1-2-b3-#4-5-b6-7-8</v>
      </c>
      <c r="FI9" s="326" t="str">
        <f t="shared" si="75"/>
        <v>0-2-3-6-7-8-11-0</v>
      </c>
      <c r="FJ9" s="318"/>
      <c r="FK9" s="328" t="str">
        <f>IFERROR(__xludf.DUMMYFUNCTION("SUBSTITUTE(SUBSTITUTE(SUBSTITUTE(SUBSTITUTE(CONCATENATE(JOIN("" "",FN9:FZ9)),""  "","" ""),""  "","" ""),""  "","" ""),""  "","" "")"),"o • o o • • o o o • • o o")</f>
        <v>o • o o • • o o o • • o o</v>
      </c>
      <c r="FL9" s="328" t="str">
        <f t="shared" si="76"/>
        <v>Sa-Pa</v>
      </c>
      <c r="FM9" s="329"/>
      <c r="FN9" s="331" t="str">
        <f t="shared" si="77"/>
        <v>o</v>
      </c>
      <c r="FO9" s="332" t="str">
        <f t="shared" si="78"/>
        <v>•</v>
      </c>
      <c r="FP9" s="332" t="str">
        <f t="shared" si="79"/>
        <v>o</v>
      </c>
      <c r="FQ9" s="332" t="str">
        <f t="shared" si="80"/>
        <v>o</v>
      </c>
      <c r="FR9" s="332" t="str">
        <f t="shared" si="81"/>
        <v>•</v>
      </c>
      <c r="FS9" s="332" t="str">
        <f t="shared" si="82"/>
        <v>•</v>
      </c>
      <c r="FT9" s="332" t="str">
        <f t="shared" si="83"/>
        <v>o</v>
      </c>
      <c r="FU9" s="332" t="str">
        <f t="shared" si="84"/>
        <v>o</v>
      </c>
      <c r="FV9" s="332" t="str">
        <f t="shared" si="85"/>
        <v>o</v>
      </c>
      <c r="FW9" s="332" t="str">
        <f t="shared" si="86"/>
        <v>•</v>
      </c>
      <c r="FX9" s="332" t="str">
        <f t="shared" si="87"/>
        <v>•</v>
      </c>
      <c r="FY9" s="332" t="str">
        <f t="shared" si="88"/>
        <v>o</v>
      </c>
      <c r="FZ9" s="338" t="str">
        <f t="shared" si="89"/>
        <v>o</v>
      </c>
      <c r="GA9" s="339" t="str">
        <f t="shared" si="90"/>
        <v>Sa-Pa</v>
      </c>
      <c r="GB9" s="339" t="str">
        <f t="shared" si="91"/>
        <v>Sa-Pa</v>
      </c>
      <c r="GC9" s="339" t="str">
        <f t="shared" si="92"/>
        <v>-</v>
      </c>
      <c r="GD9" s="340" t="str">
        <f t="shared" si="93"/>
        <v>-</v>
      </c>
      <c r="GE9" s="331" t="str">
        <f t="shared" si="94"/>
        <v>S</v>
      </c>
      <c r="GF9" s="332" t="str">
        <f t="shared" si="95"/>
        <v>r</v>
      </c>
      <c r="GG9" s="332" t="str">
        <f t="shared" si="96"/>
        <v/>
      </c>
      <c r="GH9" s="332" t="str">
        <f t="shared" si="97"/>
        <v/>
      </c>
      <c r="GI9" s="332" t="str">
        <f t="shared" si="98"/>
        <v>G</v>
      </c>
      <c r="GJ9" s="332" t="str">
        <f t="shared" si="99"/>
        <v>m</v>
      </c>
      <c r="GK9" s="332" t="str">
        <f t="shared" si="100"/>
        <v>M</v>
      </c>
      <c r="GL9" s="332" t="str">
        <f t="shared" si="101"/>
        <v/>
      </c>
      <c r="GM9" s="332" t="str">
        <f t="shared" si="102"/>
        <v/>
      </c>
      <c r="GN9" s="332" t="str">
        <f t="shared" si="103"/>
        <v>D</v>
      </c>
      <c r="GO9" s="332" t="str">
        <f t="shared" si="104"/>
        <v>n</v>
      </c>
      <c r="GP9" s="332" t="str">
        <f t="shared" si="105"/>
        <v/>
      </c>
      <c r="GQ9" s="343" t="str">
        <f t="shared" si="106"/>
        <v>S</v>
      </c>
      <c r="GR9" s="331" t="str">
        <f t="shared" si="107"/>
        <v>•</v>
      </c>
      <c r="GS9" s="332" t="str">
        <f t="shared" si="108"/>
        <v>o</v>
      </c>
      <c r="GT9" s="332" t="str">
        <f t="shared" si="109"/>
        <v>•</v>
      </c>
      <c r="GU9" s="332" t="str">
        <f t="shared" si="110"/>
        <v>•</v>
      </c>
      <c r="GV9" s="332" t="str">
        <f t="shared" si="111"/>
        <v>o</v>
      </c>
      <c r="GW9" s="332" t="str">
        <f t="shared" si="112"/>
        <v>o</v>
      </c>
      <c r="GX9" s="332" t="str">
        <f t="shared" si="113"/>
        <v>•</v>
      </c>
      <c r="GY9" s="332" t="str">
        <f t="shared" si="114"/>
        <v>•</v>
      </c>
      <c r="GZ9" s="332" t="str">
        <f t="shared" si="115"/>
        <v>•</v>
      </c>
      <c r="HA9" s="332" t="str">
        <f t="shared" si="116"/>
        <v>o</v>
      </c>
      <c r="HB9" s="332" t="str">
        <f t="shared" si="117"/>
        <v>o</v>
      </c>
      <c r="HC9" s="332" t="str">
        <f t="shared" si="118"/>
        <v>•</v>
      </c>
      <c r="HD9" s="338" t="str">
        <f t="shared" si="119"/>
        <v>•</v>
      </c>
      <c r="HE9" s="346" t="b">
        <f t="shared" si="120"/>
        <v>0</v>
      </c>
      <c r="HF9" s="347" t="b">
        <f t="shared" si="121"/>
        <v>0</v>
      </c>
      <c r="HG9" s="347" t="b">
        <f t="shared" si="122"/>
        <v>1</v>
      </c>
      <c r="HH9" s="347" t="b">
        <f t="shared" si="123"/>
        <v>1</v>
      </c>
      <c r="HI9" s="347" t="b">
        <f t="shared" si="124"/>
        <v>0</v>
      </c>
      <c r="HJ9" s="347" t="b">
        <f t="shared" si="125"/>
        <v>0</v>
      </c>
      <c r="HK9" s="347" t="b">
        <f t="shared" si="126"/>
        <v>1</v>
      </c>
      <c r="HL9" s="347" t="b">
        <f t="shared" si="127"/>
        <v>0</v>
      </c>
      <c r="HM9" s="347" t="b">
        <f t="shared" si="128"/>
        <v>0</v>
      </c>
      <c r="HN9" s="347" t="b">
        <f t="shared" si="129"/>
        <v>0</v>
      </c>
      <c r="HO9" s="347" t="b">
        <f t="shared" si="130"/>
        <v>0</v>
      </c>
      <c r="HP9" s="347" t="b">
        <f t="shared" si="131"/>
        <v>0</v>
      </c>
      <c r="HQ9" s="353" t="b">
        <f t="shared" si="132"/>
        <v>0</v>
      </c>
      <c r="HR9" s="354" t="str">
        <f t="shared" si="133"/>
        <v/>
      </c>
      <c r="HS9" s="355" t="str">
        <f t="shared" si="134"/>
        <v/>
      </c>
      <c r="HT9" s="355" t="str">
        <f t="shared" si="135"/>
        <v>Re, </v>
      </c>
      <c r="HU9" s="355" t="str">
        <f t="shared" si="136"/>
        <v>ga, </v>
      </c>
      <c r="HV9" s="355" t="str">
        <f t="shared" si="137"/>
        <v/>
      </c>
      <c r="HW9" s="355" t="str">
        <f t="shared" si="138"/>
        <v/>
      </c>
      <c r="HX9" s="355" t="str">
        <f t="shared" si="139"/>
        <v>Ma, </v>
      </c>
      <c r="HY9" s="355" t="str">
        <f t="shared" si="140"/>
        <v/>
      </c>
      <c r="HZ9" s="355" t="str">
        <f t="shared" si="141"/>
        <v/>
      </c>
      <c r="IA9" s="355" t="str">
        <f t="shared" si="142"/>
        <v/>
      </c>
      <c r="IB9" s="355" t="str">
        <f t="shared" si="143"/>
        <v/>
      </c>
      <c r="IC9" s="355" t="str">
        <f t="shared" si="144"/>
        <v/>
      </c>
      <c r="ID9" s="359" t="str">
        <f t="shared" si="145"/>
        <v/>
      </c>
      <c r="IE9" s="346" t="b">
        <f t="shared" si="146"/>
        <v>0</v>
      </c>
      <c r="IF9" s="347" t="b">
        <f t="shared" si="147"/>
        <v>0</v>
      </c>
      <c r="IG9" s="347" t="b">
        <f t="shared" si="148"/>
        <v>0</v>
      </c>
      <c r="IH9" s="347" t="b">
        <f t="shared" si="149"/>
        <v>0</v>
      </c>
      <c r="II9" s="347" t="b">
        <f t="shared" si="150"/>
        <v>0</v>
      </c>
      <c r="IJ9" s="347" t="b">
        <f t="shared" si="151"/>
        <v>0</v>
      </c>
      <c r="IK9" s="347" t="b">
        <f t="shared" si="152"/>
        <v>0</v>
      </c>
      <c r="IL9" s="347" t="b">
        <f t="shared" si="153"/>
        <v>0</v>
      </c>
      <c r="IM9" s="347" t="b">
        <f t="shared" si="154"/>
        <v>0</v>
      </c>
      <c r="IN9" s="347" t="b">
        <f t="shared" si="155"/>
        <v>0</v>
      </c>
      <c r="IO9" s="347" t="b">
        <f t="shared" si="156"/>
        <v>0</v>
      </c>
      <c r="IP9" s="347" t="b">
        <f t="shared" si="157"/>
        <v>0</v>
      </c>
      <c r="IQ9" s="365" t="b">
        <f t="shared" si="158"/>
        <v>0</v>
      </c>
      <c r="IR9" s="354" t="str">
        <f t="shared" si="159"/>
        <v/>
      </c>
      <c r="IS9" s="355" t="str">
        <f t="shared" si="160"/>
        <v/>
      </c>
      <c r="IT9" s="355" t="str">
        <f t="shared" si="161"/>
        <v/>
      </c>
      <c r="IU9" s="355" t="str">
        <f t="shared" si="162"/>
        <v/>
      </c>
      <c r="IV9" s="355" t="str">
        <f t="shared" si="163"/>
        <v/>
      </c>
      <c r="IW9" s="355" t="str">
        <f t="shared" si="164"/>
        <v/>
      </c>
      <c r="IX9" s="355" t="str">
        <f t="shared" si="165"/>
        <v/>
      </c>
      <c r="IY9" s="355" t="str">
        <f t="shared" si="166"/>
        <v/>
      </c>
      <c r="IZ9" s="355" t="str">
        <f t="shared" si="167"/>
        <v/>
      </c>
      <c r="JA9" s="355" t="str">
        <f t="shared" si="168"/>
        <v/>
      </c>
      <c r="JB9" s="355" t="str">
        <f t="shared" si="169"/>
        <v/>
      </c>
      <c r="JC9" s="355" t="str">
        <f t="shared" si="170"/>
        <v/>
      </c>
      <c r="JD9" s="359"/>
      <c r="JE9" s="321"/>
      <c r="JF9" s="368"/>
      <c r="JG9" s="369"/>
      <c r="JH9" s="369"/>
      <c r="JI9" s="369"/>
      <c r="JJ9" s="369"/>
      <c r="JK9" s="369"/>
      <c r="JL9" s="369"/>
      <c r="JM9" s="369"/>
      <c r="JN9" s="369"/>
      <c r="JO9" s="369"/>
      <c r="JP9" s="369"/>
    </row>
    <row r="10" ht="20.25" customHeight="1">
      <c r="A10" s="221" t="s">
        <v>127</v>
      </c>
      <c r="B10" s="222">
        <v>8.0</v>
      </c>
      <c r="C10" s="223" t="s">
        <v>401</v>
      </c>
      <c r="D10" s="224">
        <v>10.0</v>
      </c>
      <c r="E10" s="225" t="str">
        <f t="shared" si="5"/>
        <v>[UQ]</v>
      </c>
      <c r="F10" s="227">
        <f t="shared" si="6"/>
        <v>7</v>
      </c>
      <c r="G10" s="229">
        <f t="shared" si="7"/>
        <v>7</v>
      </c>
      <c r="H10" s="230">
        <f t="shared" si="8"/>
        <v>0</v>
      </c>
      <c r="I10" s="233" t="str">
        <f t="shared" si="9"/>
        <v>SrgMPdNS</v>
      </c>
      <c r="J10" s="234" t="str">
        <f>IFERROR(__xludf.DUMMYFUNCTION("IF(REGEXMATCH(I10, ""S""), ""S"","""")"),"S")</f>
        <v>S</v>
      </c>
      <c r="K10" s="236" t="str">
        <f>IFERROR(__xludf.DUMMYFUNCTION("IF(REGEXMATCH(I10, ""r""), ""r"","""")"),"r")</f>
        <v>r</v>
      </c>
      <c r="L10" s="237" t="str">
        <f>IFERROR(__xludf.DUMMYFUNCTION("IF(REGEXMATCH(I10, ""R""), ""R"","""")"),"")</f>
        <v/>
      </c>
      <c r="M10" s="237" t="str">
        <f>IFERROR(__xludf.DUMMYFUNCTION("IF(REGEXMATCH(I10, ""g""), ""g"","""")"),"g")</f>
        <v>g</v>
      </c>
      <c r="N10" s="236" t="str">
        <f>IFERROR(__xludf.DUMMYFUNCTION("IF(REGEXMATCH(I10, ""G""), ""G"","""")"),"")</f>
        <v/>
      </c>
      <c r="O10" s="236" t="str">
        <f>IFERROR(__xludf.DUMMYFUNCTION("IF(REGEXMATCH(I10, ""m""), ""m"","""")"),"")</f>
        <v/>
      </c>
      <c r="P10" s="237" t="str">
        <f>IFERROR(__xludf.DUMMYFUNCTION("IF(REGEXMATCH(I10, ""M""), ""M"","""")"),"M")</f>
        <v>M</v>
      </c>
      <c r="Q10" s="236" t="str">
        <f>IFERROR(__xludf.DUMMYFUNCTION("IF(REGEXMATCH(I10, ""P""), ""P"","""")"),"P")</f>
        <v>P</v>
      </c>
      <c r="R10" s="237" t="str">
        <f>IFERROR(__xludf.DUMMYFUNCTION("IF(REGEXMATCH(I10, ""d""), ""d"","""")"),"d")</f>
        <v>d</v>
      </c>
      <c r="S10" s="236" t="str">
        <f>IFERROR(__xludf.DUMMYFUNCTION("IF(REGEXMATCH(I10, ""D""), ""D"","""")"),"")</f>
        <v/>
      </c>
      <c r="T10" s="236" t="str">
        <f>IFERROR(__xludf.DUMMYFUNCTION("IF(REGEXMATCH(I10, ""n""), ""n"","""")"),"")</f>
        <v/>
      </c>
      <c r="U10" s="237" t="str">
        <f>IFERROR(__xludf.DUMMYFUNCTION("IF(REGEXMATCH(I10, ""N""), ""N"","""")"),"N")</f>
        <v>N</v>
      </c>
      <c r="V10" s="238" t="str">
        <f>IFERROR(__xludf.DUMMYFUNCTION("IF(REGEXMATCH(I10, ""S""), ""S"","""")"),"S")</f>
        <v>S</v>
      </c>
      <c r="W10" s="239" t="str">
        <f>IFERROR(__xludf.DUMMYFUNCTION("SUBSTITUTE(CONCATENATE(JOIN(""-"",J10:P10)),""-"","""")"),"SrgM")</f>
        <v>SrgM</v>
      </c>
      <c r="X10" s="229" t="str">
        <f>IFERROR(__xludf.DUMMYFUNCTION("SUBSTITUTE(CONCATENATE(JOIN(""-"",Q10:V10)),""-"","""")"),"PdNS")</f>
        <v>PdNS</v>
      </c>
      <c r="Y10" s="282" t="str">
        <f t="shared" si="10"/>
        <v>S-R-G-M</v>
      </c>
      <c r="Z10" s="282" t="str">
        <f t="shared" si="11"/>
        <v>P-D-N-S</v>
      </c>
      <c r="AA10" s="309" t="str">
        <f t="shared" si="12"/>
        <v>rgMdN</v>
      </c>
      <c r="AB10" s="244" t="str">
        <f>IFERROR(__xludf.DUMMYFUNCTION("IF(REGEXMATCH(I10, ""S""), ""0"","""")"),"0")</f>
        <v>0</v>
      </c>
      <c r="AC10" s="245" t="str">
        <f>IFERROR(__xludf.DUMMYFUNCTION("IF(REGEXMATCH(I10, ""r""), ""1"","""")"),"1")</f>
        <v>1</v>
      </c>
      <c r="AD10" s="246" t="str">
        <f>IFERROR(__xludf.DUMMYFUNCTION("IF(REGEXMATCH(I10, ""R""), ""2"","""")"),"")</f>
        <v/>
      </c>
      <c r="AE10" s="246" t="str">
        <f>IFERROR(__xludf.DUMMYFUNCTION("IF(REGEXMATCH(I10, ""g""), ""3"","""")"),"3")</f>
        <v>3</v>
      </c>
      <c r="AF10" s="245" t="str">
        <f>IFERROR(__xludf.DUMMYFUNCTION("IF(REGEXMATCH(I10, ""G""), ""4"","""")"),"")</f>
        <v/>
      </c>
      <c r="AG10" s="245" t="str">
        <f>IFERROR(__xludf.DUMMYFUNCTION("IF(REGEXMATCH(I10, ""m""), ""5"","""")"),"")</f>
        <v/>
      </c>
      <c r="AH10" s="246" t="str">
        <f>IFERROR(__xludf.DUMMYFUNCTION("IF(REGEXMATCH(I10, ""M""), ""6"","""")"),"6")</f>
        <v>6</v>
      </c>
      <c r="AI10" s="245" t="str">
        <f>IFERROR(__xludf.DUMMYFUNCTION("IF(REGEXMATCH(I10, ""P""), ""7"","""")"),"7")</f>
        <v>7</v>
      </c>
      <c r="AJ10" s="246" t="str">
        <f>IFERROR(__xludf.DUMMYFUNCTION("IF(REGEXMATCH(I10, ""d""), ""8"","""")"),"8")</f>
        <v>8</v>
      </c>
      <c r="AK10" s="245" t="str">
        <f>IFERROR(__xludf.DUMMYFUNCTION("IF(REGEXMATCH(I10, ""D""), ""9"","""")"),"")</f>
        <v/>
      </c>
      <c r="AL10" s="245" t="str">
        <f>IFERROR(__xludf.DUMMYFUNCTION("IF(REGEXMATCH(I10, ""n""), ""10"","""")"),"")</f>
        <v/>
      </c>
      <c r="AM10" s="246" t="str">
        <f>IFERROR(__xludf.DUMMYFUNCTION("IF(REGEXMATCH(I10, ""N""), ""11"","""")"),"11")</f>
        <v>11</v>
      </c>
      <c r="AN10" s="249" t="str">
        <f>IFERROR(__xludf.DUMMYFUNCTION("IF(REGEXMATCH(I10, ""S""), ""0"","""")"),"0")</f>
        <v>0</v>
      </c>
      <c r="AO10" s="250" t="str">
        <f>IFERROR(__xludf.DUMMYFUNCTION("SUBSTITUTE(SUBSTITUTE(SUBSTITUTE(SUBSTITUTE(CONCATENATE(JOIN(""-"",AB10:AN10)),""--"",""-""),""--"",""-""),""--"",""-""),""--"",""-"")"),"0-1-3-6-7-8-11-0")</f>
        <v>0-1-3-6-7-8-11-0</v>
      </c>
      <c r="AP10" s="251">
        <f t="shared" si="13"/>
        <v>0</v>
      </c>
      <c r="AQ10" s="234" t="str">
        <f t="shared" si="14"/>
        <v>|</v>
      </c>
      <c r="AR10" s="236" t="str">
        <f t="shared" si="15"/>
        <v>|</v>
      </c>
      <c r="AS10" s="237" t="str">
        <f t="shared" si="16"/>
        <v>-</v>
      </c>
      <c r="AT10" s="236" t="str">
        <f t="shared" si="17"/>
        <v>|</v>
      </c>
      <c r="AU10" s="237" t="str">
        <f t="shared" si="18"/>
        <v>-</v>
      </c>
      <c r="AV10" s="236" t="str">
        <f t="shared" si="19"/>
        <v>-</v>
      </c>
      <c r="AW10" s="237" t="str">
        <f t="shared" si="20"/>
        <v>|</v>
      </c>
      <c r="AX10" s="236" t="str">
        <f t="shared" si="21"/>
        <v>|</v>
      </c>
      <c r="AY10" s="237" t="str">
        <f t="shared" si="22"/>
        <v>|</v>
      </c>
      <c r="AZ10" s="236" t="str">
        <f t="shared" si="23"/>
        <v>-</v>
      </c>
      <c r="BA10" s="237" t="str">
        <f t="shared" si="24"/>
        <v>-</v>
      </c>
      <c r="BB10" s="236" t="str">
        <f t="shared" si="25"/>
        <v>|</v>
      </c>
      <c r="BC10" s="238" t="str">
        <f t="shared" si="26"/>
        <v>|</v>
      </c>
      <c r="BD10" s="250" t="str">
        <f>IFERROR(__xludf.DUMMYFUNCTION("SUBSTITUTE(SUBSTITUTE(CONCATENATE(JOIN("""",AQ10:BB10)),""|"",""x""),""-"",""o"")"),"xxoxooxxxoox")</f>
        <v>xxoxooxxxoox</v>
      </c>
      <c r="BE10" s="323" t="str">
        <f>IFERROR(__xludf.DUMMYFUNCTION("JOIN("""",BD10,BD10)"),"xxoxooxxxooxxxoxooxxxoox")</f>
        <v>xxoxooxxxooxxxoxooxxxoox</v>
      </c>
      <c r="BF10" s="256" t="str">
        <f>IFERROR(__xludf.DUMMYFUNCTION("JOIN("""",ArrayFormula(MID(BD10,LEN(BD10)-SEQUENCE(1,LEN(BD10))+1,1)))"),"xooxxxooxoxx")</f>
        <v>xooxxxooxoxx</v>
      </c>
      <c r="BG10" s="256" t="str">
        <f>IFERROR(__xludf.DUMMYFUNCTION("LEFT(CONCATENATE(""x"",JOIN("""",ArrayFormula(MID(BD10,LEN(BD10)-SEQUENCE(1,LEN(BD10))+1,1)))),12)"),"xxooxxxooxox")</f>
        <v>xxooxxxooxox</v>
      </c>
      <c r="BH10" s="327" t="str">
        <f>IFERROR(__xludf.DUMMYFUNCTION("JOIN("""",BF10,BF10)"),"xooxxxooxoxxxooxxxooxoxx")</f>
        <v>xooxxxooxoxxxooxxxooxoxx</v>
      </c>
      <c r="BI10" s="239" t="str">
        <f>IFERROR(__xludf.DUMMYFUNCTION("IF(REGEXMATCH(BH10,BD10),""✔"",""-"")"),"-")</f>
        <v>-</v>
      </c>
      <c r="BJ10" s="330" t="str">
        <f t="shared" si="27"/>
        <v>-</v>
      </c>
      <c r="BK10" s="260" t="str">
        <f t="shared" si="28"/>
        <v>-</v>
      </c>
      <c r="BL10" s="261" t="str">
        <f>IFERROR(__xludf.DUMMYFUNCTION("IF(BO10=0,""(n/a)"",IF(BP10=2,""(PAIR)"",IF(REGEXMATCH(BE10,""xoxoxxoxoxox""),""Bilawal"",IF(REGEXMATCH(BE10,""xoxoxooxoxoo""),""Bhupali"",IF(REGEXMATCH(BE10,""xoxoxxoxxoxo""),""Charukeshi"",IF(REGEXMATCH(BE10,""xoxoooxxoxxo""),""Kameshwari"",IF(REGEXMATC"&amp;"H(BE10,""xoxoxooxoxox""),""Shankara"",IF(REGEXMATCH(BE10,""xxooxoxxxoox""),""Basant"",IF(REGEXMATCH(BE10,""xoxoxxxxoxox""),""Bihag"",IF(REGEXMATCH(BE10,""xoxxxxoxoxxx""),""Pilu"",IF(REGEXMATCH(BE10,""xoxxoxoxxoox""),""Kirwani"",IF(REGEXMATCH(BE10,""xoxxox"&amp;"oxoxxx""),""Mk.Malhar"",IF(REGEXMATCH(BE10,""xxooxxoxxoox""),""Bhairav"",IF(REGEXMATCH(BE10,""xxoxooxxxoox""),""Todi"",IF(REGEXMATCH(BE10,""xxooxoxooxox""),""Marwa"",IF(REGEXMATCH(BE10,""xxoooxoxxooo""),""Gunkali"",IF(REGEXMATCH(BE10,""xoxoxxoxxoox""),""N"&amp;"at Bhairav"",IF(REGEXMATCH(BE10,""xoxxoooxoxoo""),""Shivranjani"",IF(REGEXMATCH(BE10,""xooxxxoxooxo""),""Jog"",IF(REGEXMATCH(BE10,""xxooxoxoxoox""),""Hemshri"",IF(REGEXMATCH(BE10,""xoooxooxoxxo""),""Kalavati"",IF(REGEXMATCH(BE10,""xxoxoxxoxoox""),""Kedar"&amp;""",IF(REGEXMATCH(BE10,""xoxxxxoxooxx""),""Gara"",IF(REGEXMATCH(BE10,""xooxoxooxoox""),""Chandrakauns"",IF(REGEXMATCH(BE10,""xoxxxxoxxxox""),""Mand"",IF(REGEXMATCH(BE10,""xoxxxxoxoxox""),""Hanskinkini"",IF(REGEXMATCH(BE10,""xxooxxoxooxo""),""Lilavati"",IF("&amp;"REGEXMATCH(BE10,""xooxoxoooxox""),""Rajeshwari"",IF(REGEXMATCH(BE10,""xoooxxoxoxxx""),""Khokar"",IF(REGEXMATCH(BE10,""xxooxoxxxxox""),""Maligoura"",""-""))))))))))))))))))))))))))))))"),"(n/a)")</f>
        <v>(n/a)</v>
      </c>
      <c r="BM10" s="239">
        <f t="shared" si="29"/>
        <v>6</v>
      </c>
      <c r="BN10" s="239">
        <f>IFERROR(__xludf.DUMMYFUNCTION("COUNTUNIQUE(BR10:CB10)-1"),6.0)</f>
        <v>6</v>
      </c>
      <c r="BO10" s="239">
        <f>IFERROR(__xludf.DUMMYFUNCTION("COUNTUNIQUE(FILTER(BE:BE,REGEXMATCH(BE:BE,BD10)))-1"),0.0)</f>
        <v>0</v>
      </c>
      <c r="BP10" s="239">
        <f>IFERROR(__xludf.DUMMYFUNCTION("COUNTA(FILTER(BE:BE,REGEXMATCH(BE:BE,BD10)))"),1.0)</f>
        <v>1</v>
      </c>
      <c r="BQ10" s="341">
        <f>IFERROR(__xludf.DUMMYFUNCTION("COUNTA(FILTER(BE:BE,REGEXMATCH(BE:BE,BD10)))-AP10"),1.0)</f>
        <v>1</v>
      </c>
      <c r="BR10" s="269" t="str">
        <f t="shared" si="30"/>
        <v>xoxooxxxoox</v>
      </c>
      <c r="BS10" s="269" t="str">
        <f t="shared" si="31"/>
        <v>-</v>
      </c>
      <c r="BT10" s="271" t="str">
        <f t="shared" si="32"/>
        <v>xooxxxooxxx</v>
      </c>
      <c r="BU10" s="269" t="str">
        <f t="shared" si="33"/>
        <v>-</v>
      </c>
      <c r="BV10" s="271" t="str">
        <f t="shared" si="34"/>
        <v>-</v>
      </c>
      <c r="BW10" s="271" t="str">
        <f t="shared" si="35"/>
        <v>xxxooxxxoxo</v>
      </c>
      <c r="BX10" s="271" t="str">
        <f t="shared" si="36"/>
        <v>xxooxxxoxoo</v>
      </c>
      <c r="BY10" s="271" t="str">
        <f t="shared" si="37"/>
        <v>xooxxxoxoox</v>
      </c>
      <c r="BZ10" s="271" t="str">
        <f t="shared" si="38"/>
        <v>-</v>
      </c>
      <c r="CA10" s="271" t="str">
        <f t="shared" si="39"/>
        <v>-</v>
      </c>
      <c r="CB10" s="274" t="str">
        <f t="shared" si="40"/>
        <v>xxxoxooxxxo</v>
      </c>
      <c r="CC10" s="276" t="str">
        <f>IFERROR(__xludf.DUMMYFUNCTION("IF(BD10=""oooooooooooo"",""-"",IF(REGEXMATCH(BE10,""xx""), ""Hemi."", ""Anhemi.""))"),"Hemi.")</f>
        <v>Hemi.</v>
      </c>
      <c r="CD10" s="282" t="str">
        <f>IFERROR(__xludf.DUMMYFUNCTION("IF(BD10=""oooooooooooo"",""-"",IF(REGEXMATCH(BE10,""xxx""), ""Cohem."", ""-""))"),"Cohem.")</f>
        <v>Cohem.</v>
      </c>
      <c r="CE10" s="282" t="str">
        <f>IFERROR(__xludf.DUMMYFUNCTION("IF(BD10=""oooooooooooo"",""-"",IF(REGEXMATCH(BE10,""xxxx""), ""Co-Co."", ""-""))"),"-")</f>
        <v>-</v>
      </c>
      <c r="CF10" s="342" t="str">
        <f>IFERROR(__xludf.DUMMYFUNCTION("IF(BD10=""oooooooooooo"",""-"",IF(REGEXMATCH(BE10,""xxxxx""), ""CCC."", ""-""))"),"-")</f>
        <v>-</v>
      </c>
      <c r="CG10" s="344" t="str">
        <f t="shared" si="41"/>
        <v>Todi</v>
      </c>
      <c r="CH10" s="282" t="str">
        <f>IFERROR(__xludf.DUMMYFUNCTION("IF(REGEXMATCH(JOIN(""-"",CJ10:CS10),""TRUE""),""✔"",""-"")"),"✔")</f>
        <v>✔</v>
      </c>
      <c r="CI10" s="225">
        <f t="shared" si="42"/>
        <v>1</v>
      </c>
      <c r="CJ10" s="376" t="b">
        <f>IFERROR(__xludf.DUMMYFUNCTION("arrayformula(sum(--REGEXMATCH(""SRGMPDNS"",split(REGEXREPLACE(I10,""(.)"",""$1~""),""~""))))=len(I10)
"),FALSE)</f>
        <v>0</v>
      </c>
      <c r="CK10" s="290" t="b">
        <f>IFERROR(__xludf.DUMMYFUNCTION("arrayformula(sum(--REGEXMATCH(""SRGmPDNS"",split(REGEXREPLACE(I10,""(.)"",""$1~""),""~""))))=len(I10)"),FALSE)</f>
        <v>0</v>
      </c>
      <c r="CL10" s="290" t="b">
        <f>IFERROR(__xludf.DUMMYFUNCTION("arrayformula(sum(--REGEXMATCH(""SRGmPDnS"",split(REGEXREPLACE(I10,""(.)"",""$1~""),""~""))))=len(I10)"),FALSE)</f>
        <v>0</v>
      </c>
      <c r="CM10" s="290" t="b">
        <f>IFERROR(__xludf.DUMMYFUNCTION("arrayformula(sum(--REGEXMATCH(""SRgmPDnS"",split(REGEXREPLACE(I10,""(.)"",""$1~""),""~""))))=len(I10)"),FALSE)</f>
        <v>0</v>
      </c>
      <c r="CN10" s="290" t="b">
        <f>IFERROR(__xludf.DUMMYFUNCTION("arrayformula(sum(--REGEXMATCH(""SRgmPdnS"",split(REGEXREPLACE(I10,""(.)"",""$1~""),""~""))))=len(I10)"),FALSE)</f>
        <v>0</v>
      </c>
      <c r="CO10" s="290" t="b">
        <f>IFERROR(__xludf.DUMMYFUNCTION("arrayformula(sum(--REGEXMATCH(""SrgmPdnS"",split(REGEXREPLACE(I10,""(.)"",""$1~""),""~""))))=len(I10)"),FALSE)</f>
        <v>0</v>
      </c>
      <c r="CP10" s="290" t="b">
        <f>IFERROR(__xludf.DUMMYFUNCTION("arrayformula(sum(--REGEXMATCH(""SrGmPdNS"",split(REGEXREPLACE(I10,""(.)"",""$1~""),""~""))))=len(I10)"),FALSE)</f>
        <v>0</v>
      </c>
      <c r="CQ10" s="290" t="b">
        <f>IFERROR(__xludf.DUMMYFUNCTION("arrayformula(sum(--REGEXMATCH(""SrGMPDNS"",split(REGEXREPLACE(I10,""(.)"",""$1~""),""~""))))=len(I10)"),FALSE)</f>
        <v>0</v>
      </c>
      <c r="CR10" s="290" t="b">
        <f>IFERROR(__xludf.DUMMYFUNCTION("arrayformula(sum(--REGEXMATCH(""SrGMPdNS"",split(REGEXREPLACE(I10,""(.)"",""$1~""),""~""))))=len(I10)"),FALSE)</f>
        <v>0</v>
      </c>
      <c r="CS10" s="293" t="b">
        <f>IFERROR(__xludf.DUMMYFUNCTION("arrayformula(sum(--REGEXMATCH(""SrgMPdNS"",split(REGEXREPLACE(I10,""(.)"",""$1~""),""~""))))=len(I10)"),TRUE)</f>
        <v>1</v>
      </c>
      <c r="CT10" s="244" t="str">
        <f>IFERROR(__xludf.DUMMYFUNCTION("IF(REGEXMATCH(I10, ""S""), ""1"","""")"),"1")</f>
        <v>1</v>
      </c>
      <c r="CU10" s="245" t="str">
        <f>IFERROR(__xludf.DUMMYFUNCTION("IF(REGEXMATCH(I10, ""r""), ""b2"","""")"),"b2")</f>
        <v>b2</v>
      </c>
      <c r="CV10" s="246" t="str">
        <f>IFERROR(__xludf.DUMMYFUNCTION("IF(REGEXMATCH(I10, ""R""), ""2"","""")"),"")</f>
        <v/>
      </c>
      <c r="CW10" s="246" t="str">
        <f>IFERROR(__xludf.DUMMYFUNCTION("IF(REGEXMATCH(I10, ""g""), ""b3"","""")"),"b3")</f>
        <v>b3</v>
      </c>
      <c r="CX10" s="245" t="str">
        <f>IFERROR(__xludf.DUMMYFUNCTION("IF(REGEXMATCH(I10, ""G""), ""3"","""")"),"")</f>
        <v/>
      </c>
      <c r="CY10" s="245" t="str">
        <f>IFERROR(__xludf.DUMMYFUNCTION("IF(REGEXMATCH(I10, ""m""), ""4"","""")"),"")</f>
        <v/>
      </c>
      <c r="CZ10" s="246" t="str">
        <f>IFERROR(__xludf.DUMMYFUNCTION("IF(REGEXMATCH(I10, ""M""), ""#4"","""")"),"#4")</f>
        <v>#4</v>
      </c>
      <c r="DA10" s="245" t="str">
        <f>IFERROR(__xludf.DUMMYFUNCTION("IF(REGEXMATCH(I10, ""P""), ""5"","""")"),"5")</f>
        <v>5</v>
      </c>
      <c r="DB10" s="246" t="str">
        <f>IFERROR(__xludf.DUMMYFUNCTION("IF(REGEXMATCH(I10, ""d""), ""b6"","""")"),"b6")</f>
        <v>b6</v>
      </c>
      <c r="DC10" s="245" t="str">
        <f>IFERROR(__xludf.DUMMYFUNCTION("IF(REGEXMATCH(I10, ""D""), ""6"","""")"),"")</f>
        <v/>
      </c>
      <c r="DD10" s="245" t="str">
        <f>IFERROR(__xludf.DUMMYFUNCTION("IF(REGEXMATCH(I10, ""n""), ""b7"","""")"),"")</f>
        <v/>
      </c>
      <c r="DE10" s="246" t="str">
        <f>IFERROR(__xludf.DUMMYFUNCTION("IF(REGEXMATCH(I10, ""N""), ""7"","""")"),"7")</f>
        <v>7</v>
      </c>
      <c r="DF10" s="249" t="str">
        <f>IFERROR(__xludf.DUMMYFUNCTION("IF(REGEXMATCH(I10, ""S""), ""8"","""")"),"8")</f>
        <v>8</v>
      </c>
      <c r="DG10" s="244" t="str">
        <f>IFERROR(__xludf.DUMMYFUNCTION("IF(REGEXMATCH(I10, ""S""), ""S"","""")"),"S")</f>
        <v>S</v>
      </c>
      <c r="DH10" s="294" t="str">
        <f>IFERROR(__xludf.DUMMYFUNCTION("IF(REGEXMATCH(I10, ""r""), ""R1"","""")"),"R1")</f>
        <v>R1</v>
      </c>
      <c r="DI10" s="295" t="str">
        <f>IFERROR(__xludf.DUMMYFUNCTION("IF(REGEXMATCH(I10, ""R""), ""R2"","""")"),"")</f>
        <v/>
      </c>
      <c r="DJ10" s="295" t="str">
        <f>IFERROR(__xludf.DUMMYFUNCTION("IF(REGEXMATCH(I10, ""g""), ""G2"","""")"),"G2")</f>
        <v>G2</v>
      </c>
      <c r="DK10" s="294" t="str">
        <f>IFERROR(__xludf.DUMMYFUNCTION("IF(REGEXMATCH(I10, ""G""), ""G3"","""")"),"")</f>
        <v/>
      </c>
      <c r="DL10" s="294" t="str">
        <f>IFERROR(__xludf.DUMMYFUNCTION("IF(REGEXMATCH(I10, ""m""), ""M1"","""")"),"")</f>
        <v/>
      </c>
      <c r="DM10" s="295" t="str">
        <f>IFERROR(__xludf.DUMMYFUNCTION("IF(REGEXMATCH(I10, ""M""), ""M2"","""")"),"M2")</f>
        <v>M2</v>
      </c>
      <c r="DN10" s="294" t="str">
        <f>IFERROR(__xludf.DUMMYFUNCTION("IF(REGEXMATCH(I10, ""P""), ""P"","""")"),"P")</f>
        <v>P</v>
      </c>
      <c r="DO10" s="295" t="str">
        <f>IFERROR(__xludf.DUMMYFUNCTION("IF(REGEXMATCH(I10, ""d""), ""D1"","""")"),"D1")</f>
        <v>D1</v>
      </c>
      <c r="DP10" s="294" t="str">
        <f>IFERROR(__xludf.DUMMYFUNCTION("IF(REGEXMATCH(I10, ""D""), ""D2"","""")"),"")</f>
        <v/>
      </c>
      <c r="DQ10" s="294" t="str">
        <f>IFERROR(__xludf.DUMMYFUNCTION("IF(REGEXMATCH(I10, ""n""), ""N2"","""")"),"")</f>
        <v/>
      </c>
      <c r="DR10" s="295" t="str">
        <f>IFERROR(__xludf.DUMMYFUNCTION("IF(REGEXMATCH(I10, ""N""), ""N3"","""")"),"N3")</f>
        <v>N3</v>
      </c>
      <c r="DS10" s="249" t="str">
        <f>IFERROR(__xludf.DUMMYFUNCTION("IF(REGEXMATCH(I10, ""S""), ""S"","""")"),"S")</f>
        <v>S</v>
      </c>
      <c r="DT10" s="299" t="str">
        <f>IFERROR(__xludf.DUMMYFUNCTION("SUBSTITUTE(SUBSTITUTE(SUBSTITUTE(SUBSTITUTE(CONCATENATE(JOIN(""-"",CT10:DF10)),""--"",""-""),""--"",""-""),""--"",""-""),""--"",""-"")"),"1-b2-b3-#4-5-b6-7-8")</f>
        <v>1-b2-b3-#4-5-b6-7-8</v>
      </c>
      <c r="DU10" s="299" t="str">
        <f>IFERROR(__xludf.DUMMYFUNCTION("SUBSTITUTE(SUBSTITUTE(SUBSTITUTE(SUBSTITUTE(CONCATENATE(JOIN(""-"",DG10:DS10)),""--"",""-""),""--"",""-""),""--"",""-""),""--"",""-"")"),"S-R1-G2-M2-P-D1-N3-S")</f>
        <v>S-R1-G2-M2-P-D1-N3-S</v>
      </c>
      <c r="DV10" s="348" t="str">
        <f t="shared" si="43"/>
        <v>C-Db-Eb-F#-G-Ab-B-C</v>
      </c>
      <c r="DW10" s="301">
        <f t="shared" si="44"/>
        <v>7</v>
      </c>
      <c r="DX10" s="302" t="str">
        <f t="shared" si="45"/>
        <v>Sampurna</v>
      </c>
      <c r="DY10" s="301" t="str">
        <f t="shared" ref="DY10:DZ10" si="176">SUBSTITUTE(Y10,"-","")</f>
        <v>SRGM</v>
      </c>
      <c r="DZ10" s="301" t="str">
        <f t="shared" si="176"/>
        <v>PDNS</v>
      </c>
      <c r="EA10" s="302" t="str">
        <f t="shared" si="47"/>
        <v>(n/a)</v>
      </c>
      <c r="EB10" s="301" t="str">
        <f t="shared" si="48"/>
        <v>Hemi.</v>
      </c>
      <c r="EC10" s="364" t="str">
        <f t="shared" si="49"/>
        <v>Cohem.</v>
      </c>
      <c r="ED10" s="306" t="str">
        <f t="shared" si="50"/>
        <v>Todi</v>
      </c>
      <c r="EE10" s="366" t="str">
        <f t="shared" si="51"/>
        <v>-</v>
      </c>
      <c r="EF10" s="308" t="str">
        <f t="shared" si="52"/>
        <v>-</v>
      </c>
      <c r="EG10" s="306" t="str">
        <f t="shared" si="53"/>
        <v>-</v>
      </c>
      <c r="EH10" s="306" t="str">
        <f t="shared" si="54"/>
        <v>-</v>
      </c>
      <c r="EI10" s="367" t="str">
        <f t="shared" si="55"/>
        <v>✔</v>
      </c>
      <c r="EJ10" s="310" t="str">
        <f t="shared" si="56"/>
        <v>-</v>
      </c>
      <c r="EK10" s="310" t="str">
        <f t="shared" si="57"/>
        <v>-</v>
      </c>
      <c r="EL10" s="310" t="str">
        <f t="shared" si="58"/>
        <v>-</v>
      </c>
      <c r="EM10" s="310" t="str">
        <f t="shared" si="59"/>
        <v>-</v>
      </c>
      <c r="EN10" s="370" t="str">
        <f t="shared" si="60"/>
        <v>-</v>
      </c>
      <c r="EO10" s="306" t="str">
        <f t="shared" si="61"/>
        <v>-</v>
      </c>
      <c r="EP10" s="306" t="str">
        <f t="shared" si="62"/>
        <v>-</v>
      </c>
      <c r="EQ10" s="306" t="str">
        <f t="shared" si="63"/>
        <v>-</v>
      </c>
      <c r="ER10" s="306" t="str">
        <f t="shared" si="64"/>
        <v>-</v>
      </c>
      <c r="ES10" s="306" t="str">
        <f t="shared" si="65"/>
        <v>-</v>
      </c>
      <c r="ET10" s="367" t="str">
        <f t="shared" si="66"/>
        <v>-</v>
      </c>
      <c r="EU10" s="310" t="str">
        <f>IFERROR(__xludf.DUMMYFUNCTION("IF(REGEXMATCH(BH10,BD10),""✔"",""-"")"),"-")</f>
        <v>-</v>
      </c>
      <c r="EV10" s="310" t="str">
        <f t="shared" si="67"/>
        <v>-</v>
      </c>
      <c r="EW10" s="370" t="str">
        <f t="shared" si="68"/>
        <v>-</v>
      </c>
      <c r="EX10" s="315" t="str">
        <f t="shared" si="69"/>
        <v>[UQ]</v>
      </c>
      <c r="EY10" s="317" t="str">
        <f t="shared" si="70"/>
        <v>S-r-g-M-P-d-N-S</v>
      </c>
      <c r="EZ10" s="318" t="str">
        <f>IFERROR(__xludf.DUMMYFUNCTION("CONCATENATE(JOIN("""",GE10:GQ10))"),"SrGmMDNS")</f>
        <v>SrGmMDNS</v>
      </c>
      <c r="FA10" s="318"/>
      <c r="FB10" s="318"/>
      <c r="FC10" s="321">
        <f t="shared" si="71"/>
        <v>2</v>
      </c>
      <c r="FD10" s="318" t="str">
        <f>IFERROR(__xludf.DUMMYFUNCTION("CONCATENATE(JOIN("""",HR10:ID10))"),"ga, Pa, ")</f>
        <v>ga, Pa, </v>
      </c>
      <c r="FE10" s="322">
        <f t="shared" si="72"/>
        <v>0</v>
      </c>
      <c r="FF10" s="324" t="str">
        <f>IFERROR(__xludf.DUMMYFUNCTION("CONCATENATE(JOIN("""",IR10:JD10))"),"")</f>
        <v/>
      </c>
      <c r="FG10" s="325" t="str">
        <f t="shared" si="73"/>
        <v>S-R1-G2-M2-P-D1-N3-S</v>
      </c>
      <c r="FH10" s="326" t="str">
        <f t="shared" si="74"/>
        <v>1-b2-b3-#4-5-b6-7-8</v>
      </c>
      <c r="FI10" s="326" t="str">
        <f t="shared" si="75"/>
        <v>0-1-3-6-7-8-11-0</v>
      </c>
      <c r="FJ10" s="318"/>
      <c r="FK10" s="328" t="str">
        <f>IFERROR(__xludf.DUMMYFUNCTION("SUBSTITUTE(SUBSTITUTE(SUBSTITUTE(SUBSTITUTE(CONCATENATE(JOIN("" "",FN10:FZ10)),""  "","" ""),""  "","" ""),""  "","" ""),""  "","" "")"),"o o • o • • o o o • • o o")</f>
        <v>o o • o • • o o o • • o o</v>
      </c>
      <c r="FL10" s="328" t="str">
        <f t="shared" si="76"/>
        <v>Sa-Pa</v>
      </c>
      <c r="FM10" s="329"/>
      <c r="FN10" s="331" t="str">
        <f t="shared" si="77"/>
        <v>o</v>
      </c>
      <c r="FO10" s="332" t="str">
        <f t="shared" si="78"/>
        <v>o</v>
      </c>
      <c r="FP10" s="332" t="str">
        <f t="shared" si="79"/>
        <v>•</v>
      </c>
      <c r="FQ10" s="332" t="str">
        <f t="shared" si="80"/>
        <v>o</v>
      </c>
      <c r="FR10" s="332" t="str">
        <f t="shared" si="81"/>
        <v>•</v>
      </c>
      <c r="FS10" s="332" t="str">
        <f t="shared" si="82"/>
        <v>•</v>
      </c>
      <c r="FT10" s="332" t="str">
        <f t="shared" si="83"/>
        <v>o</v>
      </c>
      <c r="FU10" s="332" t="str">
        <f t="shared" si="84"/>
        <v>o</v>
      </c>
      <c r="FV10" s="332" t="str">
        <f t="shared" si="85"/>
        <v>o</v>
      </c>
      <c r="FW10" s="332" t="str">
        <f t="shared" si="86"/>
        <v>•</v>
      </c>
      <c r="FX10" s="332" t="str">
        <f t="shared" si="87"/>
        <v>•</v>
      </c>
      <c r="FY10" s="332" t="str">
        <f t="shared" si="88"/>
        <v>o</v>
      </c>
      <c r="FZ10" s="338" t="str">
        <f t="shared" si="89"/>
        <v>o</v>
      </c>
      <c r="GA10" s="339" t="str">
        <f t="shared" si="90"/>
        <v>Sa-Pa</v>
      </c>
      <c r="GB10" s="339" t="str">
        <f t="shared" si="91"/>
        <v>Sa-Pa</v>
      </c>
      <c r="GC10" s="339" t="str">
        <f t="shared" si="92"/>
        <v>-</v>
      </c>
      <c r="GD10" s="340" t="str">
        <f t="shared" si="93"/>
        <v>-</v>
      </c>
      <c r="GE10" s="331" t="str">
        <f t="shared" si="94"/>
        <v>S</v>
      </c>
      <c r="GF10" s="332" t="str">
        <f t="shared" si="95"/>
        <v>r</v>
      </c>
      <c r="GG10" s="332" t="str">
        <f t="shared" si="96"/>
        <v/>
      </c>
      <c r="GH10" s="332" t="str">
        <f t="shared" si="97"/>
        <v/>
      </c>
      <c r="GI10" s="332" t="str">
        <f t="shared" si="98"/>
        <v>G</v>
      </c>
      <c r="GJ10" s="332" t="str">
        <f t="shared" si="99"/>
        <v>m</v>
      </c>
      <c r="GK10" s="332" t="str">
        <f t="shared" si="100"/>
        <v>M</v>
      </c>
      <c r="GL10" s="332" t="str">
        <f t="shared" si="101"/>
        <v/>
      </c>
      <c r="GM10" s="332" t="str">
        <f t="shared" si="102"/>
        <v/>
      </c>
      <c r="GN10" s="332" t="str">
        <f t="shared" si="103"/>
        <v>D</v>
      </c>
      <c r="GO10" s="332" t="str">
        <f t="shared" si="104"/>
        <v/>
      </c>
      <c r="GP10" s="332" t="str">
        <f t="shared" si="105"/>
        <v>N</v>
      </c>
      <c r="GQ10" s="343" t="str">
        <f t="shared" si="106"/>
        <v>S</v>
      </c>
      <c r="GR10" s="331" t="str">
        <f t="shared" si="107"/>
        <v>•</v>
      </c>
      <c r="GS10" s="332" t="str">
        <f t="shared" si="108"/>
        <v>•</v>
      </c>
      <c r="GT10" s="332" t="str">
        <f t="shared" si="109"/>
        <v>o</v>
      </c>
      <c r="GU10" s="332" t="str">
        <f t="shared" si="110"/>
        <v>•</v>
      </c>
      <c r="GV10" s="332" t="str">
        <f t="shared" si="111"/>
        <v>o</v>
      </c>
      <c r="GW10" s="332" t="str">
        <f t="shared" si="112"/>
        <v>o</v>
      </c>
      <c r="GX10" s="332" t="str">
        <f t="shared" si="113"/>
        <v>•</v>
      </c>
      <c r="GY10" s="332" t="str">
        <f t="shared" si="114"/>
        <v>•</v>
      </c>
      <c r="GZ10" s="332" t="str">
        <f t="shared" si="115"/>
        <v>•</v>
      </c>
      <c r="HA10" s="332" t="str">
        <f t="shared" si="116"/>
        <v>o</v>
      </c>
      <c r="HB10" s="332" t="str">
        <f t="shared" si="117"/>
        <v>o</v>
      </c>
      <c r="HC10" s="332" t="str">
        <f t="shared" si="118"/>
        <v>•</v>
      </c>
      <c r="HD10" s="338" t="str">
        <f t="shared" si="119"/>
        <v>•</v>
      </c>
      <c r="HE10" s="346" t="b">
        <f t="shared" si="120"/>
        <v>0</v>
      </c>
      <c r="HF10" s="347" t="b">
        <f t="shared" si="121"/>
        <v>0</v>
      </c>
      <c r="HG10" s="347" t="b">
        <f t="shared" si="122"/>
        <v>0</v>
      </c>
      <c r="HH10" s="347" t="b">
        <f t="shared" si="123"/>
        <v>1</v>
      </c>
      <c r="HI10" s="347" t="b">
        <f t="shared" si="124"/>
        <v>0</v>
      </c>
      <c r="HJ10" s="347" t="b">
        <f t="shared" si="125"/>
        <v>0</v>
      </c>
      <c r="HK10" s="347" t="b">
        <f t="shared" si="126"/>
        <v>0</v>
      </c>
      <c r="HL10" s="347" t="b">
        <f t="shared" si="127"/>
        <v>1</v>
      </c>
      <c r="HM10" s="347" t="b">
        <f t="shared" si="128"/>
        <v>0</v>
      </c>
      <c r="HN10" s="347" t="b">
        <f t="shared" si="129"/>
        <v>0</v>
      </c>
      <c r="HO10" s="347" t="b">
        <f t="shared" si="130"/>
        <v>0</v>
      </c>
      <c r="HP10" s="347" t="b">
        <f t="shared" si="131"/>
        <v>0</v>
      </c>
      <c r="HQ10" s="353" t="b">
        <f t="shared" si="132"/>
        <v>0</v>
      </c>
      <c r="HR10" s="354" t="str">
        <f t="shared" si="133"/>
        <v/>
      </c>
      <c r="HS10" s="355" t="str">
        <f t="shared" si="134"/>
        <v/>
      </c>
      <c r="HT10" s="355" t="str">
        <f t="shared" si="135"/>
        <v/>
      </c>
      <c r="HU10" s="355" t="str">
        <f t="shared" si="136"/>
        <v>ga, </v>
      </c>
      <c r="HV10" s="355" t="str">
        <f t="shared" si="137"/>
        <v/>
      </c>
      <c r="HW10" s="355" t="str">
        <f t="shared" si="138"/>
        <v/>
      </c>
      <c r="HX10" s="355" t="str">
        <f t="shared" si="139"/>
        <v/>
      </c>
      <c r="HY10" s="355" t="str">
        <f t="shared" si="140"/>
        <v>Pa, </v>
      </c>
      <c r="HZ10" s="355" t="str">
        <f t="shared" si="141"/>
        <v/>
      </c>
      <c r="IA10" s="355" t="str">
        <f t="shared" si="142"/>
        <v/>
      </c>
      <c r="IB10" s="355" t="str">
        <f t="shared" si="143"/>
        <v/>
      </c>
      <c r="IC10" s="355" t="str">
        <f t="shared" si="144"/>
        <v/>
      </c>
      <c r="ID10" s="359" t="str">
        <f t="shared" si="145"/>
        <v/>
      </c>
      <c r="IE10" s="346" t="b">
        <f t="shared" si="146"/>
        <v>0</v>
      </c>
      <c r="IF10" s="347" t="b">
        <f t="shared" si="147"/>
        <v>0</v>
      </c>
      <c r="IG10" s="347" t="b">
        <f t="shared" si="148"/>
        <v>0</v>
      </c>
      <c r="IH10" s="347" t="b">
        <f t="shared" si="149"/>
        <v>0</v>
      </c>
      <c r="II10" s="347" t="b">
        <f t="shared" si="150"/>
        <v>0</v>
      </c>
      <c r="IJ10" s="347" t="b">
        <f t="shared" si="151"/>
        <v>0</v>
      </c>
      <c r="IK10" s="347" t="b">
        <f t="shared" si="152"/>
        <v>0</v>
      </c>
      <c r="IL10" s="347" t="b">
        <f t="shared" si="153"/>
        <v>0</v>
      </c>
      <c r="IM10" s="347" t="b">
        <f t="shared" si="154"/>
        <v>0</v>
      </c>
      <c r="IN10" s="347" t="b">
        <f t="shared" si="155"/>
        <v>0</v>
      </c>
      <c r="IO10" s="347" t="b">
        <f t="shared" si="156"/>
        <v>0</v>
      </c>
      <c r="IP10" s="347" t="b">
        <f t="shared" si="157"/>
        <v>0</v>
      </c>
      <c r="IQ10" s="365" t="b">
        <f t="shared" si="158"/>
        <v>0</v>
      </c>
      <c r="IR10" s="354" t="str">
        <f t="shared" si="159"/>
        <v/>
      </c>
      <c r="IS10" s="355" t="str">
        <f t="shared" si="160"/>
        <v/>
      </c>
      <c r="IT10" s="355" t="str">
        <f t="shared" si="161"/>
        <v/>
      </c>
      <c r="IU10" s="355" t="str">
        <f t="shared" si="162"/>
        <v/>
      </c>
      <c r="IV10" s="355" t="str">
        <f t="shared" si="163"/>
        <v/>
      </c>
      <c r="IW10" s="355" t="str">
        <f t="shared" si="164"/>
        <v/>
      </c>
      <c r="IX10" s="355" t="str">
        <f t="shared" si="165"/>
        <v/>
      </c>
      <c r="IY10" s="355" t="str">
        <f t="shared" si="166"/>
        <v/>
      </c>
      <c r="IZ10" s="355" t="str">
        <f t="shared" si="167"/>
        <v/>
      </c>
      <c r="JA10" s="355" t="str">
        <f t="shared" si="168"/>
        <v/>
      </c>
      <c r="JB10" s="355" t="str">
        <f t="shared" si="169"/>
        <v/>
      </c>
      <c r="JC10" s="355" t="str">
        <f t="shared" si="170"/>
        <v/>
      </c>
      <c r="JD10" s="359"/>
      <c r="JE10" s="321"/>
      <c r="JF10" s="368"/>
      <c r="JG10" s="369"/>
      <c r="JH10" s="369"/>
      <c r="JI10" s="369"/>
      <c r="JJ10" s="369"/>
      <c r="JK10" s="369"/>
      <c r="JL10" s="369"/>
      <c r="JM10" s="369"/>
      <c r="JN10" s="369"/>
      <c r="JO10" s="369"/>
      <c r="JP10" s="369"/>
    </row>
    <row r="11" ht="20.25" customHeight="1">
      <c r="A11" s="221" t="s">
        <v>412</v>
      </c>
      <c r="B11" s="222">
        <v>9.0</v>
      </c>
      <c r="C11" s="223" t="s">
        <v>413</v>
      </c>
      <c r="D11" s="224" t="s">
        <v>17</v>
      </c>
      <c r="E11" s="225" t="str">
        <f t="shared" si="5"/>
        <v>[UQ]</v>
      </c>
      <c r="F11" s="227">
        <f t="shared" si="6"/>
        <v>7</v>
      </c>
      <c r="G11" s="229">
        <f t="shared" si="7"/>
        <v>7</v>
      </c>
      <c r="H11" s="230">
        <f t="shared" si="8"/>
        <v>0</v>
      </c>
      <c r="I11" s="233" t="str">
        <f t="shared" si="9"/>
        <v>SRGMPDnS</v>
      </c>
      <c r="J11" s="234" t="str">
        <f>IFERROR(__xludf.DUMMYFUNCTION("IF(REGEXMATCH(I11, ""S""), ""S"","""")"),"S")</f>
        <v>S</v>
      </c>
      <c r="K11" s="236" t="str">
        <f>IFERROR(__xludf.DUMMYFUNCTION("IF(REGEXMATCH(I11, ""r""), ""r"","""")"),"")</f>
        <v/>
      </c>
      <c r="L11" s="237" t="str">
        <f>IFERROR(__xludf.DUMMYFUNCTION("IF(REGEXMATCH(I11, ""R""), ""R"","""")"),"R")</f>
        <v>R</v>
      </c>
      <c r="M11" s="237" t="str">
        <f>IFERROR(__xludf.DUMMYFUNCTION("IF(REGEXMATCH(I11, ""g""), ""g"","""")"),"")</f>
        <v/>
      </c>
      <c r="N11" s="236" t="str">
        <f>IFERROR(__xludf.DUMMYFUNCTION("IF(REGEXMATCH(I11, ""G""), ""G"","""")"),"G")</f>
        <v>G</v>
      </c>
      <c r="O11" s="236" t="str">
        <f>IFERROR(__xludf.DUMMYFUNCTION("IF(REGEXMATCH(I11, ""m""), ""m"","""")"),"")</f>
        <v/>
      </c>
      <c r="P11" s="237" t="str">
        <f>IFERROR(__xludf.DUMMYFUNCTION("IF(REGEXMATCH(I11, ""M""), ""M"","""")"),"M")</f>
        <v>M</v>
      </c>
      <c r="Q11" s="236" t="str">
        <f>IFERROR(__xludf.DUMMYFUNCTION("IF(REGEXMATCH(I11, ""P""), ""P"","""")"),"P")</f>
        <v>P</v>
      </c>
      <c r="R11" s="237" t="str">
        <f>IFERROR(__xludf.DUMMYFUNCTION("IF(REGEXMATCH(I11, ""d""), ""d"","""")"),"")</f>
        <v/>
      </c>
      <c r="S11" s="236" t="str">
        <f>IFERROR(__xludf.DUMMYFUNCTION("IF(REGEXMATCH(I11, ""D""), ""D"","""")"),"D")</f>
        <v>D</v>
      </c>
      <c r="T11" s="236" t="str">
        <f>IFERROR(__xludf.DUMMYFUNCTION("IF(REGEXMATCH(I11, ""n""), ""n"","""")"),"n")</f>
        <v>n</v>
      </c>
      <c r="U11" s="237" t="str">
        <f>IFERROR(__xludf.DUMMYFUNCTION("IF(REGEXMATCH(I11, ""N""), ""N"","""")"),"")</f>
        <v/>
      </c>
      <c r="V11" s="238" t="str">
        <f>IFERROR(__xludf.DUMMYFUNCTION("IF(REGEXMATCH(I11, ""S""), ""S"","""")"),"S")</f>
        <v>S</v>
      </c>
      <c r="W11" s="239" t="str">
        <f>IFERROR(__xludf.DUMMYFUNCTION("SUBSTITUTE(CONCATENATE(JOIN(""-"",J11:P11)),""-"","""")"),"SRGM")</f>
        <v>SRGM</v>
      </c>
      <c r="X11" s="229" t="str">
        <f>IFERROR(__xludf.DUMMYFUNCTION("SUBSTITUTE(CONCATENATE(JOIN(""-"",Q11:V11)),""-"","""")"),"PDnS")</f>
        <v>PDnS</v>
      </c>
      <c r="Y11" s="282" t="str">
        <f t="shared" si="10"/>
        <v>S-R-G-M</v>
      </c>
      <c r="Z11" s="282" t="str">
        <f t="shared" si="11"/>
        <v>P-D-N-S</v>
      </c>
      <c r="AA11" s="309" t="str">
        <f t="shared" si="12"/>
        <v>RGMDn</v>
      </c>
      <c r="AB11" s="244" t="str">
        <f>IFERROR(__xludf.DUMMYFUNCTION("IF(REGEXMATCH(I11, ""S""), ""0"","""")"),"0")</f>
        <v>0</v>
      </c>
      <c r="AC11" s="245" t="str">
        <f>IFERROR(__xludf.DUMMYFUNCTION("IF(REGEXMATCH(I11, ""r""), ""1"","""")"),"")</f>
        <v/>
      </c>
      <c r="AD11" s="246" t="str">
        <f>IFERROR(__xludf.DUMMYFUNCTION("IF(REGEXMATCH(I11, ""R""), ""2"","""")"),"2")</f>
        <v>2</v>
      </c>
      <c r="AE11" s="246" t="str">
        <f>IFERROR(__xludf.DUMMYFUNCTION("IF(REGEXMATCH(I11, ""g""), ""3"","""")"),"")</f>
        <v/>
      </c>
      <c r="AF11" s="245" t="str">
        <f>IFERROR(__xludf.DUMMYFUNCTION("IF(REGEXMATCH(I11, ""G""), ""4"","""")"),"4")</f>
        <v>4</v>
      </c>
      <c r="AG11" s="245" t="str">
        <f>IFERROR(__xludf.DUMMYFUNCTION("IF(REGEXMATCH(I11, ""m""), ""5"","""")"),"")</f>
        <v/>
      </c>
      <c r="AH11" s="246" t="str">
        <f>IFERROR(__xludf.DUMMYFUNCTION("IF(REGEXMATCH(I11, ""M""), ""6"","""")"),"6")</f>
        <v>6</v>
      </c>
      <c r="AI11" s="245" t="str">
        <f>IFERROR(__xludf.DUMMYFUNCTION("IF(REGEXMATCH(I11, ""P""), ""7"","""")"),"7")</f>
        <v>7</v>
      </c>
      <c r="AJ11" s="246" t="str">
        <f>IFERROR(__xludf.DUMMYFUNCTION("IF(REGEXMATCH(I11, ""d""), ""8"","""")"),"")</f>
        <v/>
      </c>
      <c r="AK11" s="245" t="str">
        <f>IFERROR(__xludf.DUMMYFUNCTION("IF(REGEXMATCH(I11, ""D""), ""9"","""")"),"9")</f>
        <v>9</v>
      </c>
      <c r="AL11" s="245" t="str">
        <f>IFERROR(__xludf.DUMMYFUNCTION("IF(REGEXMATCH(I11, ""n""), ""10"","""")"),"10")</f>
        <v>10</v>
      </c>
      <c r="AM11" s="246" t="str">
        <f>IFERROR(__xludf.DUMMYFUNCTION("IF(REGEXMATCH(I11, ""N""), ""11"","""")"),"")</f>
        <v/>
      </c>
      <c r="AN11" s="249" t="str">
        <f>IFERROR(__xludf.DUMMYFUNCTION("IF(REGEXMATCH(I11, ""S""), ""0"","""")"),"0")</f>
        <v>0</v>
      </c>
      <c r="AO11" s="250" t="str">
        <f>IFERROR(__xludf.DUMMYFUNCTION("SUBSTITUTE(SUBSTITUTE(SUBSTITUTE(SUBSTITUTE(CONCATENATE(JOIN(""-"",AB11:AN11)),""--"",""-""),""--"",""-""),""--"",""-""),""--"",""-"")"),"0-2-4-6-7-9-10-0")</f>
        <v>0-2-4-6-7-9-10-0</v>
      </c>
      <c r="AP11" s="251">
        <f t="shared" si="13"/>
        <v>0</v>
      </c>
      <c r="AQ11" s="234" t="str">
        <f t="shared" si="14"/>
        <v>|</v>
      </c>
      <c r="AR11" s="236" t="str">
        <f t="shared" si="15"/>
        <v>-</v>
      </c>
      <c r="AS11" s="237" t="str">
        <f t="shared" si="16"/>
        <v>|</v>
      </c>
      <c r="AT11" s="236" t="str">
        <f t="shared" si="17"/>
        <v>-</v>
      </c>
      <c r="AU11" s="237" t="str">
        <f t="shared" si="18"/>
        <v>|</v>
      </c>
      <c r="AV11" s="236" t="str">
        <f t="shared" si="19"/>
        <v>-</v>
      </c>
      <c r="AW11" s="237" t="str">
        <f t="shared" si="20"/>
        <v>|</v>
      </c>
      <c r="AX11" s="236" t="str">
        <f t="shared" si="21"/>
        <v>|</v>
      </c>
      <c r="AY11" s="237" t="str">
        <f t="shared" si="22"/>
        <v>-</v>
      </c>
      <c r="AZ11" s="236" t="str">
        <f t="shared" si="23"/>
        <v>|</v>
      </c>
      <c r="BA11" s="237" t="str">
        <f t="shared" si="24"/>
        <v>|</v>
      </c>
      <c r="BB11" s="236" t="str">
        <f t="shared" si="25"/>
        <v>-</v>
      </c>
      <c r="BC11" s="238" t="str">
        <f t="shared" si="26"/>
        <v>|</v>
      </c>
      <c r="BD11" s="250" t="str">
        <f>IFERROR(__xludf.DUMMYFUNCTION("SUBSTITUTE(SUBSTITUTE(CONCATENATE(JOIN("""",AQ11:BB11)),""|"",""x""),""-"",""o"")"),"xoxoxoxxoxxo")</f>
        <v>xoxoxoxxoxxo</v>
      </c>
      <c r="BE11" s="323" t="str">
        <f>IFERROR(__xludf.DUMMYFUNCTION("JOIN("""",BD11,BD11)"),"xoxoxoxxoxxoxoxoxoxxoxxo")</f>
        <v>xoxoxoxxoxxoxoxoxoxxoxxo</v>
      </c>
      <c r="BF11" s="256" t="str">
        <f>IFERROR(__xludf.DUMMYFUNCTION("JOIN("""",ArrayFormula(MID(BD11,LEN(BD11)-SEQUENCE(1,LEN(BD11))+1,1)))"),"oxxoxxoxoxox")</f>
        <v>oxxoxxoxoxox</v>
      </c>
      <c r="BG11" s="256" t="str">
        <f>IFERROR(__xludf.DUMMYFUNCTION("LEFT(CONCATENATE(""x"",JOIN("""",ArrayFormula(MID(BD11,LEN(BD11)-SEQUENCE(1,LEN(BD11))+1,1)))),12)"),"xoxxoxxoxoxo")</f>
        <v>xoxxoxxoxoxo</v>
      </c>
      <c r="BH11" s="327" t="str">
        <f>IFERROR(__xludf.DUMMYFUNCTION("JOIN("""",BF11,BF11)"),"oxxoxxoxoxoxoxxoxxoxoxox")</f>
        <v>oxxoxxoxoxoxoxxoxxoxoxox</v>
      </c>
      <c r="BI11" s="239" t="str">
        <f>IFERROR(__xludf.DUMMYFUNCTION("IF(REGEXMATCH(BH11,BD11),""✔"",""-"")"),"✔")</f>
        <v>✔</v>
      </c>
      <c r="BJ11" s="330" t="str">
        <f t="shared" si="27"/>
        <v>-</v>
      </c>
      <c r="BK11" s="260" t="str">
        <f t="shared" si="28"/>
        <v>-</v>
      </c>
      <c r="BL11" s="261" t="str">
        <f>IFERROR(__xludf.DUMMYFUNCTION("IF(BO11=0,""(n/a)"",IF(BP11=2,""(PAIR)"",IF(REGEXMATCH(BE11,""xoxoxxoxoxox""),""Bilawal"",IF(REGEXMATCH(BE11,""xoxoxooxoxoo""),""Bhupali"",IF(REGEXMATCH(BE11,""xoxoxxoxxoxo""),""Charukeshi"",IF(REGEXMATCH(BE11,""xoxoooxxoxxo""),""Kameshwari"",IF(REGEXMATC"&amp;"H(BE11,""xoxoxooxoxox""),""Shankara"",IF(REGEXMATCH(BE11,""xxooxoxxxoox""),""Basant"",IF(REGEXMATCH(BE11,""xoxoxxxxoxox""),""Bihag"",IF(REGEXMATCH(BE11,""xoxxxxoxoxxx""),""Pilu"",IF(REGEXMATCH(BE11,""xoxxoxoxxoox""),""Kirwani"",IF(REGEXMATCH(BE11,""xoxxox"&amp;"oxoxxx""),""Mk.Malhar"",IF(REGEXMATCH(BE11,""xxooxxoxxoox""),""Bhairav"",IF(REGEXMATCH(BE11,""xxoxooxxxoox""),""Todi"",IF(REGEXMATCH(BE11,""xxooxoxooxox""),""Marwa"",IF(REGEXMATCH(BE11,""xxoooxoxxooo""),""Gunkali"",IF(REGEXMATCH(BE11,""xoxoxxoxxoox""),""N"&amp;"at Bhairav"",IF(REGEXMATCH(BE11,""xoxxoooxoxoo""),""Shivranjani"",IF(REGEXMATCH(BE11,""xooxxxoxooxo""),""Jog"",IF(REGEXMATCH(BE11,""xxooxoxoxoox""),""Hemshri"",IF(REGEXMATCH(BE11,""xoooxooxoxxo""),""Kalavati"",IF(REGEXMATCH(BE11,""xxoxoxxoxoox""),""Kedar"&amp;""",IF(REGEXMATCH(BE11,""xoxxxxoxooxx""),""Gara"",IF(REGEXMATCH(BE11,""xooxoxooxoox""),""Chandrakauns"",IF(REGEXMATCH(BE11,""xoxxxxoxxxox""),""Mand"",IF(REGEXMATCH(BE11,""xoxxxxoxoxox""),""Hanskinkini"",IF(REGEXMATCH(BE11,""xxooxxoxooxo""),""Lilavati"",IF("&amp;"REGEXMATCH(BE11,""xooxoxoooxox""),""Rajeshwari"",IF(REGEXMATCH(BE11,""xoooxxoxoxxx""),""Khokar"",IF(REGEXMATCH(BE11,""xxooxoxxxxox""),""Maligoura"",""-""))))))))))))))))))))))))))))))"),"Charukeshi")</f>
        <v>Charukeshi</v>
      </c>
      <c r="BM11" s="239">
        <f t="shared" si="29"/>
        <v>6</v>
      </c>
      <c r="BN11" s="239">
        <f>IFERROR(__xludf.DUMMYFUNCTION("COUNTUNIQUE(BR11:CB11)-1"),6.0)</f>
        <v>6</v>
      </c>
      <c r="BO11" s="239">
        <f>IFERROR(__xludf.DUMMYFUNCTION("COUNTUNIQUE(FILTER(BE:BE,REGEXMATCH(BE:BE,BD11)))-1"),3.0)</f>
        <v>3</v>
      </c>
      <c r="BP11" s="239">
        <f>IFERROR(__xludf.DUMMYFUNCTION("COUNTA(FILTER(BE:BE,REGEXMATCH(BE:BE,BD11)))"),4.0)</f>
        <v>4</v>
      </c>
      <c r="BQ11" s="341">
        <f>IFERROR(__xludf.DUMMYFUNCTION("COUNTA(FILTER(BE:BE,REGEXMATCH(BE:BE,BD11)))-AP11"),4.0)</f>
        <v>4</v>
      </c>
      <c r="BR11" s="269" t="str">
        <f t="shared" si="30"/>
        <v>-</v>
      </c>
      <c r="BS11" s="269" t="str">
        <f t="shared" si="31"/>
        <v>xoxoxxoxxox</v>
      </c>
      <c r="BT11" s="271" t="str">
        <f t="shared" si="32"/>
        <v>-</v>
      </c>
      <c r="BU11" s="269" t="str">
        <f t="shared" si="33"/>
        <v>xoxxoxxoxox</v>
      </c>
      <c r="BV11" s="271" t="str">
        <f t="shared" si="34"/>
        <v>-</v>
      </c>
      <c r="BW11" s="271" t="str">
        <f t="shared" si="35"/>
        <v>xxoxxoxoxox</v>
      </c>
      <c r="BX11" s="271" t="str">
        <f t="shared" si="36"/>
        <v>xoxxoxoxoxo</v>
      </c>
      <c r="BY11" s="271" t="str">
        <f t="shared" si="37"/>
        <v>-</v>
      </c>
      <c r="BZ11" s="271" t="str">
        <f t="shared" si="38"/>
        <v>xxoxoxoxoxx</v>
      </c>
      <c r="CA11" s="271" t="str">
        <f t="shared" si="39"/>
        <v>xoxoxoxoxxo</v>
      </c>
      <c r="CB11" s="274" t="str">
        <f t="shared" si="40"/>
        <v>-</v>
      </c>
      <c r="CC11" s="276" t="str">
        <f>IFERROR(__xludf.DUMMYFUNCTION("IF(BD11=""oooooooooooo"",""-"",IF(REGEXMATCH(BE11,""xx""), ""Hemi."", ""Anhemi.""))"),"Hemi.")</f>
        <v>Hemi.</v>
      </c>
      <c r="CD11" s="282" t="str">
        <f>IFERROR(__xludf.DUMMYFUNCTION("IF(BD11=""oooooooooooo"",""-"",IF(REGEXMATCH(BE11,""xxx""), ""Cohem."", ""-""))"),"-")</f>
        <v>-</v>
      </c>
      <c r="CE11" s="282" t="str">
        <f>IFERROR(__xludf.DUMMYFUNCTION("IF(BD11=""oooooooooooo"",""-"",IF(REGEXMATCH(BE11,""xxxx""), ""Co-Co."", ""-""))"),"-")</f>
        <v>-</v>
      </c>
      <c r="CF11" s="342" t="str">
        <f>IFERROR(__xludf.DUMMYFUNCTION("IF(BD11=""oooooooooooo"",""-"",IF(REGEXMATCH(BE11,""xxxxx""), ""CCC."", ""-""))"),"-")</f>
        <v>-</v>
      </c>
      <c r="CG11" s="344" t="str">
        <f t="shared" si="41"/>
        <v>-</v>
      </c>
      <c r="CH11" s="282" t="str">
        <f>IFERROR(__xludf.DUMMYFUNCTION("IF(REGEXMATCH(JOIN(""-"",CJ11:CS11),""TRUE""),""✔"",""-"")"),"-")</f>
        <v>-</v>
      </c>
      <c r="CI11" s="225">
        <f t="shared" si="42"/>
        <v>0</v>
      </c>
      <c r="CJ11" s="376" t="b">
        <f>IFERROR(__xludf.DUMMYFUNCTION("arrayformula(sum(--REGEXMATCH(""SRGMPDNS"",split(REGEXREPLACE(I11,""(.)"",""$1~""),""~""))))=len(I11)
"),FALSE)</f>
        <v>0</v>
      </c>
      <c r="CK11" s="290" t="b">
        <f>IFERROR(__xludf.DUMMYFUNCTION("arrayformula(sum(--REGEXMATCH(""SRGmPDNS"",split(REGEXREPLACE(I11,""(.)"",""$1~""),""~""))))=len(I11)"),FALSE)</f>
        <v>0</v>
      </c>
      <c r="CL11" s="290" t="b">
        <f>IFERROR(__xludf.DUMMYFUNCTION("arrayformula(sum(--REGEXMATCH(""SRGmPDnS"",split(REGEXREPLACE(I11,""(.)"",""$1~""),""~""))))=len(I11)"),FALSE)</f>
        <v>0</v>
      </c>
      <c r="CM11" s="290" t="b">
        <f>IFERROR(__xludf.DUMMYFUNCTION("arrayformula(sum(--REGEXMATCH(""SRgmPDnS"",split(REGEXREPLACE(I11,""(.)"",""$1~""),""~""))))=len(I11)"),FALSE)</f>
        <v>0</v>
      </c>
      <c r="CN11" s="290" t="b">
        <f>IFERROR(__xludf.DUMMYFUNCTION("arrayformula(sum(--REGEXMATCH(""SRgmPdnS"",split(REGEXREPLACE(I11,""(.)"",""$1~""),""~""))))=len(I11)"),FALSE)</f>
        <v>0</v>
      </c>
      <c r="CO11" s="290" t="b">
        <f>IFERROR(__xludf.DUMMYFUNCTION("arrayformula(sum(--REGEXMATCH(""SrgmPdnS"",split(REGEXREPLACE(I11,""(.)"",""$1~""),""~""))))=len(I11)"),FALSE)</f>
        <v>0</v>
      </c>
      <c r="CP11" s="290" t="b">
        <f>IFERROR(__xludf.DUMMYFUNCTION("arrayformula(sum(--REGEXMATCH(""SrGmPdNS"",split(REGEXREPLACE(I11,""(.)"",""$1~""),""~""))))=len(I11)"),FALSE)</f>
        <v>0</v>
      </c>
      <c r="CQ11" s="290" t="b">
        <f>IFERROR(__xludf.DUMMYFUNCTION("arrayformula(sum(--REGEXMATCH(""SrGMPDNS"",split(REGEXREPLACE(I11,""(.)"",""$1~""),""~""))))=len(I11)"),FALSE)</f>
        <v>0</v>
      </c>
      <c r="CR11" s="290" t="b">
        <f>IFERROR(__xludf.DUMMYFUNCTION("arrayformula(sum(--REGEXMATCH(""SrGMPdNS"",split(REGEXREPLACE(I11,""(.)"",""$1~""),""~""))))=len(I11)"),FALSE)</f>
        <v>0</v>
      </c>
      <c r="CS11" s="293" t="b">
        <f>IFERROR(__xludf.DUMMYFUNCTION("arrayformula(sum(--REGEXMATCH(""SrgMPdNS"",split(REGEXREPLACE(I11,""(.)"",""$1~""),""~""))))=len(I11)"),FALSE)</f>
        <v>0</v>
      </c>
      <c r="CT11" s="244" t="str">
        <f>IFERROR(__xludf.DUMMYFUNCTION("IF(REGEXMATCH(I11, ""S""), ""1"","""")"),"1")</f>
        <v>1</v>
      </c>
      <c r="CU11" s="245" t="str">
        <f>IFERROR(__xludf.DUMMYFUNCTION("IF(REGEXMATCH(I11, ""r""), ""b2"","""")"),"")</f>
        <v/>
      </c>
      <c r="CV11" s="246" t="str">
        <f>IFERROR(__xludf.DUMMYFUNCTION("IF(REGEXMATCH(I11, ""R""), ""2"","""")"),"2")</f>
        <v>2</v>
      </c>
      <c r="CW11" s="246" t="str">
        <f>IFERROR(__xludf.DUMMYFUNCTION("IF(REGEXMATCH(I11, ""g""), ""b3"","""")"),"")</f>
        <v/>
      </c>
      <c r="CX11" s="245" t="str">
        <f>IFERROR(__xludf.DUMMYFUNCTION("IF(REGEXMATCH(I11, ""G""), ""3"","""")"),"3")</f>
        <v>3</v>
      </c>
      <c r="CY11" s="245" t="str">
        <f>IFERROR(__xludf.DUMMYFUNCTION("IF(REGEXMATCH(I11, ""m""), ""4"","""")"),"")</f>
        <v/>
      </c>
      <c r="CZ11" s="246" t="str">
        <f>IFERROR(__xludf.DUMMYFUNCTION("IF(REGEXMATCH(I11, ""M""), ""#4"","""")"),"#4")</f>
        <v>#4</v>
      </c>
      <c r="DA11" s="245" t="str">
        <f>IFERROR(__xludf.DUMMYFUNCTION("IF(REGEXMATCH(I11, ""P""), ""5"","""")"),"5")</f>
        <v>5</v>
      </c>
      <c r="DB11" s="246" t="str">
        <f>IFERROR(__xludf.DUMMYFUNCTION("IF(REGEXMATCH(I11, ""d""), ""b6"","""")"),"")</f>
        <v/>
      </c>
      <c r="DC11" s="245" t="str">
        <f>IFERROR(__xludf.DUMMYFUNCTION("IF(REGEXMATCH(I11, ""D""), ""6"","""")"),"6")</f>
        <v>6</v>
      </c>
      <c r="DD11" s="245" t="str">
        <f>IFERROR(__xludf.DUMMYFUNCTION("IF(REGEXMATCH(I11, ""n""), ""b7"","""")"),"b7")</f>
        <v>b7</v>
      </c>
      <c r="DE11" s="246" t="str">
        <f>IFERROR(__xludf.DUMMYFUNCTION("IF(REGEXMATCH(I11, ""N""), ""7"","""")"),"")</f>
        <v/>
      </c>
      <c r="DF11" s="249" t="str">
        <f>IFERROR(__xludf.DUMMYFUNCTION("IF(REGEXMATCH(I11, ""S""), ""8"","""")"),"8")</f>
        <v>8</v>
      </c>
      <c r="DG11" s="244" t="str">
        <f>IFERROR(__xludf.DUMMYFUNCTION("IF(REGEXMATCH(I11, ""S""), ""S"","""")"),"S")</f>
        <v>S</v>
      </c>
      <c r="DH11" s="294" t="str">
        <f>IFERROR(__xludf.DUMMYFUNCTION("IF(REGEXMATCH(I11, ""r""), ""R1"","""")"),"")</f>
        <v/>
      </c>
      <c r="DI11" s="295" t="str">
        <f>IFERROR(__xludf.DUMMYFUNCTION("IF(REGEXMATCH(I11, ""R""), ""R2"","""")"),"R2")</f>
        <v>R2</v>
      </c>
      <c r="DJ11" s="295" t="str">
        <f>IFERROR(__xludf.DUMMYFUNCTION("IF(REGEXMATCH(I11, ""g""), ""G2"","""")"),"")</f>
        <v/>
      </c>
      <c r="DK11" s="294" t="str">
        <f>IFERROR(__xludf.DUMMYFUNCTION("IF(REGEXMATCH(I11, ""G""), ""G3"","""")"),"G3")</f>
        <v>G3</v>
      </c>
      <c r="DL11" s="294" t="str">
        <f>IFERROR(__xludf.DUMMYFUNCTION("IF(REGEXMATCH(I11, ""m""), ""M1"","""")"),"")</f>
        <v/>
      </c>
      <c r="DM11" s="295" t="str">
        <f>IFERROR(__xludf.DUMMYFUNCTION("IF(REGEXMATCH(I11, ""M""), ""M2"","""")"),"M2")</f>
        <v>M2</v>
      </c>
      <c r="DN11" s="294" t="str">
        <f>IFERROR(__xludf.DUMMYFUNCTION("IF(REGEXMATCH(I11, ""P""), ""P"","""")"),"P")</f>
        <v>P</v>
      </c>
      <c r="DO11" s="295" t="str">
        <f>IFERROR(__xludf.DUMMYFUNCTION("IF(REGEXMATCH(I11, ""d""), ""D1"","""")"),"")</f>
        <v/>
      </c>
      <c r="DP11" s="294" t="str">
        <f>IFERROR(__xludf.DUMMYFUNCTION("IF(REGEXMATCH(I11, ""D""), ""D2"","""")"),"D2")</f>
        <v>D2</v>
      </c>
      <c r="DQ11" s="294" t="str">
        <f>IFERROR(__xludf.DUMMYFUNCTION("IF(REGEXMATCH(I11, ""n""), ""N2"","""")"),"N2")</f>
        <v>N2</v>
      </c>
      <c r="DR11" s="295" t="str">
        <f>IFERROR(__xludf.DUMMYFUNCTION("IF(REGEXMATCH(I11, ""N""), ""N3"","""")"),"")</f>
        <v/>
      </c>
      <c r="DS11" s="249" t="str">
        <f>IFERROR(__xludf.DUMMYFUNCTION("IF(REGEXMATCH(I11, ""S""), ""S"","""")"),"S")</f>
        <v>S</v>
      </c>
      <c r="DT11" s="299" t="str">
        <f>IFERROR(__xludf.DUMMYFUNCTION("SUBSTITUTE(SUBSTITUTE(SUBSTITUTE(SUBSTITUTE(CONCATENATE(JOIN(""-"",CT11:DF11)),""--"",""-""),""--"",""-""),""--"",""-""),""--"",""-"")"),"1-2-3-#4-5-6-b7-8")</f>
        <v>1-2-3-#4-5-6-b7-8</v>
      </c>
      <c r="DU11" s="299" t="str">
        <f>IFERROR(__xludf.DUMMYFUNCTION("SUBSTITUTE(SUBSTITUTE(SUBSTITUTE(SUBSTITUTE(CONCATENATE(JOIN(""-"",DG11:DS11)),""--"",""-""),""--"",""-""),""--"",""-""),""--"",""-"")"),"S-R2-G3-M2-P-D2-N2-S")</f>
        <v>S-R2-G3-M2-P-D2-N2-S</v>
      </c>
      <c r="DV11" s="348" t="str">
        <f t="shared" si="43"/>
        <v>C-D-E-F#-G-A-Bb-C</v>
      </c>
      <c r="DW11" s="301">
        <f t="shared" si="44"/>
        <v>7</v>
      </c>
      <c r="DX11" s="302" t="str">
        <f t="shared" si="45"/>
        <v>Sampurna</v>
      </c>
      <c r="DY11" s="301" t="str">
        <f t="shared" ref="DY11:DZ11" si="177">SUBSTITUTE(Y11,"-","")</f>
        <v>SRGM</v>
      </c>
      <c r="DZ11" s="301" t="str">
        <f t="shared" si="177"/>
        <v>PDNS</v>
      </c>
      <c r="EA11" s="302" t="str">
        <f t="shared" si="47"/>
        <v>Charukeshi</v>
      </c>
      <c r="EB11" s="301" t="str">
        <f t="shared" si="48"/>
        <v>Hemi.</v>
      </c>
      <c r="EC11" s="364" t="str">
        <f t="shared" si="49"/>
        <v>-</v>
      </c>
      <c r="ED11" s="306" t="str">
        <f t="shared" si="50"/>
        <v>-</v>
      </c>
      <c r="EE11" s="366" t="str">
        <f t="shared" si="51"/>
        <v>-</v>
      </c>
      <c r="EF11" s="308" t="str">
        <f t="shared" si="52"/>
        <v>✔</v>
      </c>
      <c r="EG11" s="306" t="str">
        <f t="shared" si="53"/>
        <v>-</v>
      </c>
      <c r="EH11" s="306" t="str">
        <f t="shared" si="54"/>
        <v>-</v>
      </c>
      <c r="EI11" s="367" t="str">
        <f t="shared" si="55"/>
        <v>✔</v>
      </c>
      <c r="EJ11" s="310" t="str">
        <f t="shared" si="56"/>
        <v>-</v>
      </c>
      <c r="EK11" s="310" t="str">
        <f t="shared" si="57"/>
        <v>-</v>
      </c>
      <c r="EL11" s="310" t="str">
        <f t="shared" si="58"/>
        <v>-</v>
      </c>
      <c r="EM11" s="310" t="str">
        <f t="shared" si="59"/>
        <v>-</v>
      </c>
      <c r="EN11" s="370" t="str">
        <f t="shared" si="60"/>
        <v>-</v>
      </c>
      <c r="EO11" s="306" t="str">
        <f t="shared" si="61"/>
        <v>-</v>
      </c>
      <c r="EP11" s="306" t="str">
        <f t="shared" si="62"/>
        <v>-</v>
      </c>
      <c r="EQ11" s="306" t="str">
        <f t="shared" si="63"/>
        <v>-</v>
      </c>
      <c r="ER11" s="306" t="str">
        <f t="shared" si="64"/>
        <v>-</v>
      </c>
      <c r="ES11" s="306" t="str">
        <f t="shared" si="65"/>
        <v>-</v>
      </c>
      <c r="ET11" s="367" t="str">
        <f t="shared" si="66"/>
        <v>-</v>
      </c>
      <c r="EU11" s="310" t="str">
        <f>IFERROR(__xludf.DUMMYFUNCTION("IF(REGEXMATCH(BH11,BD11),""✔"",""-"")"),"✔")</f>
        <v>✔</v>
      </c>
      <c r="EV11" s="310" t="str">
        <f t="shared" si="67"/>
        <v>-</v>
      </c>
      <c r="EW11" s="370" t="str">
        <f t="shared" si="68"/>
        <v>-</v>
      </c>
      <c r="EX11" s="315" t="str">
        <f t="shared" si="69"/>
        <v>[UQ]</v>
      </c>
      <c r="EY11" s="317" t="str">
        <f t="shared" si="70"/>
        <v>S-R-G-M-P-D-n-S</v>
      </c>
      <c r="EZ11" s="318" t="str">
        <f>IFERROR(__xludf.DUMMYFUNCTION("CONCATENATE(JOIN("""",GE11:GQ11))"),"SRgmMdnS")</f>
        <v>SRgmMdnS</v>
      </c>
      <c r="FA11" s="318"/>
      <c r="FB11" s="318"/>
      <c r="FC11" s="321">
        <f t="shared" si="71"/>
        <v>3</v>
      </c>
      <c r="FD11" s="318" t="str">
        <f>IFERROR(__xludf.DUMMYFUNCTION("CONCATENATE(JOIN("""",HR11:ID11))"),"Ga, Ma, ni, ")</f>
        <v>Ga, Ma, ni, </v>
      </c>
      <c r="FE11" s="322">
        <f t="shared" si="72"/>
        <v>2</v>
      </c>
      <c r="FF11" s="324" t="str">
        <f>IFERROR(__xludf.DUMMYFUNCTION("CONCATENATE(JOIN("""",IR11:JD11))"),"Ma, ni, ")</f>
        <v>Ma, ni, </v>
      </c>
      <c r="FG11" s="325" t="str">
        <f t="shared" si="73"/>
        <v>S-R2-G3-M2-P-D2-N2-S</v>
      </c>
      <c r="FH11" s="326" t="str">
        <f t="shared" si="74"/>
        <v>1-2-3-#4-5-6-b7-8</v>
      </c>
      <c r="FI11" s="326" t="str">
        <f t="shared" si="75"/>
        <v>0-2-4-6-7-9-10-0</v>
      </c>
      <c r="FJ11" s="318"/>
      <c r="FK11" s="328" t="str">
        <f>IFERROR(__xludf.DUMMYFUNCTION("SUBSTITUTE(SUBSTITUTE(SUBSTITUTE(SUBSTITUTE(CONCATENATE(JOIN("" "",FN11:FZ11)),""  "","" ""),""  "","" ""),""  "","" ""),""  "","" "")"),"o • o • o • o o • o o • o")</f>
        <v>o • o • o • o o • o o • o</v>
      </c>
      <c r="FL11" s="328" t="str">
        <f t="shared" si="76"/>
        <v>Sa-Pa</v>
      </c>
      <c r="FM11" s="329"/>
      <c r="FN11" s="331" t="str">
        <f t="shared" si="77"/>
        <v>o</v>
      </c>
      <c r="FO11" s="332" t="str">
        <f t="shared" si="78"/>
        <v>•</v>
      </c>
      <c r="FP11" s="332" t="str">
        <f t="shared" si="79"/>
        <v>o</v>
      </c>
      <c r="FQ11" s="332" t="str">
        <f t="shared" si="80"/>
        <v>•</v>
      </c>
      <c r="FR11" s="332" t="str">
        <f t="shared" si="81"/>
        <v>o</v>
      </c>
      <c r="FS11" s="332" t="str">
        <f t="shared" si="82"/>
        <v>•</v>
      </c>
      <c r="FT11" s="332" t="str">
        <f t="shared" si="83"/>
        <v>o</v>
      </c>
      <c r="FU11" s="332" t="str">
        <f t="shared" si="84"/>
        <v>o</v>
      </c>
      <c r="FV11" s="332" t="str">
        <f t="shared" si="85"/>
        <v>•</v>
      </c>
      <c r="FW11" s="332" t="str">
        <f t="shared" si="86"/>
        <v>o</v>
      </c>
      <c r="FX11" s="332" t="str">
        <f t="shared" si="87"/>
        <v>o</v>
      </c>
      <c r="FY11" s="332" t="str">
        <f t="shared" si="88"/>
        <v>•</v>
      </c>
      <c r="FZ11" s="338" t="str">
        <f t="shared" si="89"/>
        <v>o</v>
      </c>
      <c r="GA11" s="339" t="str">
        <f t="shared" si="90"/>
        <v>Sa-Pa</v>
      </c>
      <c r="GB11" s="339" t="str">
        <f t="shared" si="91"/>
        <v>Sa-Pa</v>
      </c>
      <c r="GC11" s="339" t="str">
        <f t="shared" si="92"/>
        <v>-</v>
      </c>
      <c r="GD11" s="340" t="str">
        <f t="shared" si="93"/>
        <v>-</v>
      </c>
      <c r="GE11" s="331" t="str">
        <f t="shared" si="94"/>
        <v>S</v>
      </c>
      <c r="GF11" s="332" t="str">
        <f t="shared" si="95"/>
        <v/>
      </c>
      <c r="GG11" s="332" t="str">
        <f t="shared" si="96"/>
        <v>R</v>
      </c>
      <c r="GH11" s="332" t="str">
        <f t="shared" si="97"/>
        <v>g</v>
      </c>
      <c r="GI11" s="332" t="str">
        <f t="shared" si="98"/>
        <v/>
      </c>
      <c r="GJ11" s="332" t="str">
        <f t="shared" si="99"/>
        <v>m</v>
      </c>
      <c r="GK11" s="332" t="str">
        <f t="shared" si="100"/>
        <v>M</v>
      </c>
      <c r="GL11" s="332" t="str">
        <f t="shared" si="101"/>
        <v/>
      </c>
      <c r="GM11" s="332" t="str">
        <f t="shared" si="102"/>
        <v>d</v>
      </c>
      <c r="GN11" s="332" t="str">
        <f t="shared" si="103"/>
        <v/>
      </c>
      <c r="GO11" s="332" t="str">
        <f t="shared" si="104"/>
        <v>n</v>
      </c>
      <c r="GP11" s="332" t="str">
        <f t="shared" si="105"/>
        <v/>
      </c>
      <c r="GQ11" s="343" t="str">
        <f t="shared" si="106"/>
        <v>S</v>
      </c>
      <c r="GR11" s="331" t="str">
        <f t="shared" si="107"/>
        <v>•</v>
      </c>
      <c r="GS11" s="332" t="str">
        <f t="shared" si="108"/>
        <v>o</v>
      </c>
      <c r="GT11" s="332" t="str">
        <f t="shared" si="109"/>
        <v>•</v>
      </c>
      <c r="GU11" s="332" t="str">
        <f t="shared" si="110"/>
        <v>o</v>
      </c>
      <c r="GV11" s="332" t="str">
        <f t="shared" si="111"/>
        <v>•</v>
      </c>
      <c r="GW11" s="332" t="str">
        <f t="shared" si="112"/>
        <v>o</v>
      </c>
      <c r="GX11" s="332" t="str">
        <f t="shared" si="113"/>
        <v>•</v>
      </c>
      <c r="GY11" s="332" t="str">
        <f t="shared" si="114"/>
        <v>•</v>
      </c>
      <c r="GZ11" s="332" t="str">
        <f t="shared" si="115"/>
        <v>o</v>
      </c>
      <c r="HA11" s="332" t="str">
        <f t="shared" si="116"/>
        <v>•</v>
      </c>
      <c r="HB11" s="332" t="str">
        <f t="shared" si="117"/>
        <v>•</v>
      </c>
      <c r="HC11" s="332" t="str">
        <f t="shared" si="118"/>
        <v>o</v>
      </c>
      <c r="HD11" s="338" t="str">
        <f t="shared" si="119"/>
        <v>•</v>
      </c>
      <c r="HE11" s="346" t="b">
        <f t="shared" si="120"/>
        <v>0</v>
      </c>
      <c r="HF11" s="347" t="b">
        <f t="shared" si="121"/>
        <v>0</v>
      </c>
      <c r="HG11" s="347" t="b">
        <f t="shared" si="122"/>
        <v>0</v>
      </c>
      <c r="HH11" s="347" t="b">
        <f t="shared" si="123"/>
        <v>0</v>
      </c>
      <c r="HI11" s="347" t="b">
        <f t="shared" si="124"/>
        <v>1</v>
      </c>
      <c r="HJ11" s="347" t="b">
        <f t="shared" si="125"/>
        <v>0</v>
      </c>
      <c r="HK11" s="347" t="b">
        <f t="shared" si="126"/>
        <v>1</v>
      </c>
      <c r="HL11" s="347" t="b">
        <f t="shared" si="127"/>
        <v>0</v>
      </c>
      <c r="HM11" s="347" t="b">
        <f t="shared" si="128"/>
        <v>0</v>
      </c>
      <c r="HN11" s="347" t="b">
        <f t="shared" si="129"/>
        <v>0</v>
      </c>
      <c r="HO11" s="347" t="b">
        <f t="shared" si="130"/>
        <v>1</v>
      </c>
      <c r="HP11" s="347" t="b">
        <f t="shared" si="131"/>
        <v>0</v>
      </c>
      <c r="HQ11" s="353" t="b">
        <f t="shared" si="132"/>
        <v>0</v>
      </c>
      <c r="HR11" s="354" t="str">
        <f t="shared" si="133"/>
        <v/>
      </c>
      <c r="HS11" s="355" t="str">
        <f t="shared" si="134"/>
        <v/>
      </c>
      <c r="HT11" s="355" t="str">
        <f t="shared" si="135"/>
        <v/>
      </c>
      <c r="HU11" s="355" t="str">
        <f t="shared" si="136"/>
        <v/>
      </c>
      <c r="HV11" s="355" t="str">
        <f t="shared" si="137"/>
        <v>Ga, </v>
      </c>
      <c r="HW11" s="355" t="str">
        <f t="shared" si="138"/>
        <v/>
      </c>
      <c r="HX11" s="355" t="str">
        <f t="shared" si="139"/>
        <v>Ma, </v>
      </c>
      <c r="HY11" s="355" t="str">
        <f t="shared" si="140"/>
        <v/>
      </c>
      <c r="HZ11" s="355" t="str">
        <f t="shared" si="141"/>
        <v/>
      </c>
      <c r="IA11" s="355" t="str">
        <f t="shared" si="142"/>
        <v/>
      </c>
      <c r="IB11" s="355" t="str">
        <f t="shared" si="143"/>
        <v>ni, </v>
      </c>
      <c r="IC11" s="355" t="str">
        <f t="shared" si="144"/>
        <v/>
      </c>
      <c r="ID11" s="359" t="str">
        <f t="shared" si="145"/>
        <v/>
      </c>
      <c r="IE11" s="346" t="b">
        <f t="shared" si="146"/>
        <v>0</v>
      </c>
      <c r="IF11" s="347" t="b">
        <f t="shared" si="147"/>
        <v>0</v>
      </c>
      <c r="IG11" s="347" t="b">
        <f t="shared" si="148"/>
        <v>0</v>
      </c>
      <c r="IH11" s="347" t="b">
        <f t="shared" si="149"/>
        <v>0</v>
      </c>
      <c r="II11" s="347" t="b">
        <f t="shared" si="150"/>
        <v>0</v>
      </c>
      <c r="IJ11" s="347" t="b">
        <f t="shared" si="151"/>
        <v>0</v>
      </c>
      <c r="IK11" s="347" t="b">
        <f t="shared" si="152"/>
        <v>1</v>
      </c>
      <c r="IL11" s="347" t="b">
        <f t="shared" si="153"/>
        <v>0</v>
      </c>
      <c r="IM11" s="347" t="b">
        <f t="shared" si="154"/>
        <v>0</v>
      </c>
      <c r="IN11" s="347" t="b">
        <f t="shared" si="155"/>
        <v>0</v>
      </c>
      <c r="IO11" s="347" t="b">
        <f t="shared" si="156"/>
        <v>1</v>
      </c>
      <c r="IP11" s="347" t="b">
        <f t="shared" si="157"/>
        <v>0</v>
      </c>
      <c r="IQ11" s="365" t="b">
        <f t="shared" si="158"/>
        <v>0</v>
      </c>
      <c r="IR11" s="354" t="str">
        <f t="shared" si="159"/>
        <v/>
      </c>
      <c r="IS11" s="355" t="str">
        <f t="shared" si="160"/>
        <v/>
      </c>
      <c r="IT11" s="355" t="str">
        <f t="shared" si="161"/>
        <v/>
      </c>
      <c r="IU11" s="355" t="str">
        <f t="shared" si="162"/>
        <v/>
      </c>
      <c r="IV11" s="355" t="str">
        <f t="shared" si="163"/>
        <v/>
      </c>
      <c r="IW11" s="355" t="str">
        <f t="shared" si="164"/>
        <v/>
      </c>
      <c r="IX11" s="355" t="str">
        <f t="shared" si="165"/>
        <v>Ma, </v>
      </c>
      <c r="IY11" s="355" t="str">
        <f t="shared" si="166"/>
        <v/>
      </c>
      <c r="IZ11" s="355" t="str">
        <f t="shared" si="167"/>
        <v/>
      </c>
      <c r="JA11" s="355" t="str">
        <f t="shared" si="168"/>
        <v/>
      </c>
      <c r="JB11" s="355" t="str">
        <f t="shared" si="169"/>
        <v>ni, </v>
      </c>
      <c r="JC11" s="355" t="str">
        <f t="shared" si="170"/>
        <v/>
      </c>
      <c r="JD11" s="359"/>
      <c r="JE11" s="321"/>
      <c r="JF11" s="368"/>
      <c r="JG11" s="369"/>
      <c r="JH11" s="369"/>
      <c r="JI11" s="369"/>
      <c r="JJ11" s="369"/>
      <c r="JK11" s="369"/>
      <c r="JL11" s="369"/>
      <c r="JM11" s="369"/>
      <c r="JN11" s="369"/>
      <c r="JO11" s="369"/>
      <c r="JP11" s="369"/>
    </row>
    <row r="12" ht="20.25" customHeight="1">
      <c r="A12" s="221" t="s">
        <v>425</v>
      </c>
      <c r="B12" s="222">
        <v>10.0</v>
      </c>
      <c r="C12" s="223" t="s">
        <v>426</v>
      </c>
      <c r="D12" s="224" t="s">
        <v>17</v>
      </c>
      <c r="E12" s="225" t="str">
        <f t="shared" si="5"/>
        <v>[UQ]</v>
      </c>
      <c r="F12" s="227">
        <f t="shared" si="6"/>
        <v>7</v>
      </c>
      <c r="G12" s="229">
        <f t="shared" si="7"/>
        <v>7</v>
      </c>
      <c r="H12" s="230">
        <f t="shared" si="8"/>
        <v>0</v>
      </c>
      <c r="I12" s="233" t="str">
        <f t="shared" si="9"/>
        <v>SrGMPDnS</v>
      </c>
      <c r="J12" s="234" t="str">
        <f>IFERROR(__xludf.DUMMYFUNCTION("IF(REGEXMATCH(I12, ""S""), ""S"","""")"),"S")</f>
        <v>S</v>
      </c>
      <c r="K12" s="236" t="str">
        <f>IFERROR(__xludf.DUMMYFUNCTION("IF(REGEXMATCH(I12, ""r""), ""r"","""")"),"r")</f>
        <v>r</v>
      </c>
      <c r="L12" s="237" t="str">
        <f>IFERROR(__xludf.DUMMYFUNCTION("IF(REGEXMATCH(I12, ""R""), ""R"","""")"),"")</f>
        <v/>
      </c>
      <c r="M12" s="237" t="str">
        <f>IFERROR(__xludf.DUMMYFUNCTION("IF(REGEXMATCH(I12, ""g""), ""g"","""")"),"")</f>
        <v/>
      </c>
      <c r="N12" s="236" t="str">
        <f>IFERROR(__xludf.DUMMYFUNCTION("IF(REGEXMATCH(I12, ""G""), ""G"","""")"),"G")</f>
        <v>G</v>
      </c>
      <c r="O12" s="236" t="str">
        <f>IFERROR(__xludf.DUMMYFUNCTION("IF(REGEXMATCH(I12, ""m""), ""m"","""")"),"")</f>
        <v/>
      </c>
      <c r="P12" s="237" t="str">
        <f>IFERROR(__xludf.DUMMYFUNCTION("IF(REGEXMATCH(I12, ""M""), ""M"","""")"),"M")</f>
        <v>M</v>
      </c>
      <c r="Q12" s="236" t="str">
        <f>IFERROR(__xludf.DUMMYFUNCTION("IF(REGEXMATCH(I12, ""P""), ""P"","""")"),"P")</f>
        <v>P</v>
      </c>
      <c r="R12" s="237" t="str">
        <f>IFERROR(__xludf.DUMMYFUNCTION("IF(REGEXMATCH(I12, ""d""), ""d"","""")"),"")</f>
        <v/>
      </c>
      <c r="S12" s="236" t="str">
        <f>IFERROR(__xludf.DUMMYFUNCTION("IF(REGEXMATCH(I12, ""D""), ""D"","""")"),"D")</f>
        <v>D</v>
      </c>
      <c r="T12" s="236" t="str">
        <f>IFERROR(__xludf.DUMMYFUNCTION("IF(REGEXMATCH(I12, ""n""), ""n"","""")"),"n")</f>
        <v>n</v>
      </c>
      <c r="U12" s="237" t="str">
        <f>IFERROR(__xludf.DUMMYFUNCTION("IF(REGEXMATCH(I12, ""N""), ""N"","""")"),"")</f>
        <v/>
      </c>
      <c r="V12" s="238" t="str">
        <f>IFERROR(__xludf.DUMMYFUNCTION("IF(REGEXMATCH(I12, ""S""), ""S"","""")"),"S")</f>
        <v>S</v>
      </c>
      <c r="W12" s="239" t="str">
        <f>IFERROR(__xludf.DUMMYFUNCTION("SUBSTITUTE(CONCATENATE(JOIN(""-"",J12:P12)),""-"","""")"),"SrGM")</f>
        <v>SrGM</v>
      </c>
      <c r="X12" s="229" t="str">
        <f>IFERROR(__xludf.DUMMYFUNCTION("SUBSTITUTE(CONCATENATE(JOIN(""-"",Q12:V12)),""-"","""")"),"PDnS")</f>
        <v>PDnS</v>
      </c>
      <c r="Y12" s="282" t="str">
        <f t="shared" si="10"/>
        <v>S-R-G-M</v>
      </c>
      <c r="Z12" s="282" t="str">
        <f t="shared" si="11"/>
        <v>P-D-N-S</v>
      </c>
      <c r="AA12" s="309" t="str">
        <f t="shared" si="12"/>
        <v>rGMDn</v>
      </c>
      <c r="AB12" s="244" t="str">
        <f>IFERROR(__xludf.DUMMYFUNCTION("IF(REGEXMATCH(I12, ""S""), ""0"","""")"),"0")</f>
        <v>0</v>
      </c>
      <c r="AC12" s="245" t="str">
        <f>IFERROR(__xludf.DUMMYFUNCTION("IF(REGEXMATCH(I12, ""r""), ""1"","""")"),"1")</f>
        <v>1</v>
      </c>
      <c r="AD12" s="246" t="str">
        <f>IFERROR(__xludf.DUMMYFUNCTION("IF(REGEXMATCH(I12, ""R""), ""2"","""")"),"")</f>
        <v/>
      </c>
      <c r="AE12" s="246" t="str">
        <f>IFERROR(__xludf.DUMMYFUNCTION("IF(REGEXMATCH(I12, ""g""), ""3"","""")"),"")</f>
        <v/>
      </c>
      <c r="AF12" s="245" t="str">
        <f>IFERROR(__xludf.DUMMYFUNCTION("IF(REGEXMATCH(I12, ""G""), ""4"","""")"),"4")</f>
        <v>4</v>
      </c>
      <c r="AG12" s="245" t="str">
        <f>IFERROR(__xludf.DUMMYFUNCTION("IF(REGEXMATCH(I12, ""m""), ""5"","""")"),"")</f>
        <v/>
      </c>
      <c r="AH12" s="246" t="str">
        <f>IFERROR(__xludf.DUMMYFUNCTION("IF(REGEXMATCH(I12, ""M""), ""6"","""")"),"6")</f>
        <v>6</v>
      </c>
      <c r="AI12" s="245" t="str">
        <f>IFERROR(__xludf.DUMMYFUNCTION("IF(REGEXMATCH(I12, ""P""), ""7"","""")"),"7")</f>
        <v>7</v>
      </c>
      <c r="AJ12" s="246" t="str">
        <f>IFERROR(__xludf.DUMMYFUNCTION("IF(REGEXMATCH(I12, ""d""), ""8"","""")"),"")</f>
        <v/>
      </c>
      <c r="AK12" s="245" t="str">
        <f>IFERROR(__xludf.DUMMYFUNCTION("IF(REGEXMATCH(I12, ""D""), ""9"","""")"),"9")</f>
        <v>9</v>
      </c>
      <c r="AL12" s="245" t="str">
        <f>IFERROR(__xludf.DUMMYFUNCTION("IF(REGEXMATCH(I12, ""n""), ""10"","""")"),"10")</f>
        <v>10</v>
      </c>
      <c r="AM12" s="246" t="str">
        <f>IFERROR(__xludf.DUMMYFUNCTION("IF(REGEXMATCH(I12, ""N""), ""11"","""")"),"")</f>
        <v/>
      </c>
      <c r="AN12" s="249" t="str">
        <f>IFERROR(__xludf.DUMMYFUNCTION("IF(REGEXMATCH(I12, ""S""), ""0"","""")"),"0")</f>
        <v>0</v>
      </c>
      <c r="AO12" s="250" t="str">
        <f>IFERROR(__xludf.DUMMYFUNCTION("SUBSTITUTE(SUBSTITUTE(SUBSTITUTE(SUBSTITUTE(CONCATENATE(JOIN(""-"",AB12:AN12)),""--"",""-""),""--"",""-""),""--"",""-""),""--"",""-"")"),"0-1-4-6-7-9-10-0")</f>
        <v>0-1-4-6-7-9-10-0</v>
      </c>
      <c r="AP12" s="251">
        <f t="shared" si="13"/>
        <v>0</v>
      </c>
      <c r="AQ12" s="234" t="str">
        <f t="shared" si="14"/>
        <v>|</v>
      </c>
      <c r="AR12" s="236" t="str">
        <f t="shared" si="15"/>
        <v>|</v>
      </c>
      <c r="AS12" s="237" t="str">
        <f t="shared" si="16"/>
        <v>-</v>
      </c>
      <c r="AT12" s="236" t="str">
        <f t="shared" si="17"/>
        <v>-</v>
      </c>
      <c r="AU12" s="237" t="str">
        <f t="shared" si="18"/>
        <v>|</v>
      </c>
      <c r="AV12" s="236" t="str">
        <f t="shared" si="19"/>
        <v>-</v>
      </c>
      <c r="AW12" s="237" t="str">
        <f t="shared" si="20"/>
        <v>|</v>
      </c>
      <c r="AX12" s="236" t="str">
        <f t="shared" si="21"/>
        <v>|</v>
      </c>
      <c r="AY12" s="237" t="str">
        <f t="shared" si="22"/>
        <v>-</v>
      </c>
      <c r="AZ12" s="236" t="str">
        <f t="shared" si="23"/>
        <v>|</v>
      </c>
      <c r="BA12" s="237" t="str">
        <f t="shared" si="24"/>
        <v>|</v>
      </c>
      <c r="BB12" s="236" t="str">
        <f t="shared" si="25"/>
        <v>-</v>
      </c>
      <c r="BC12" s="238" t="str">
        <f t="shared" si="26"/>
        <v>|</v>
      </c>
      <c r="BD12" s="250" t="str">
        <f>IFERROR(__xludf.DUMMYFUNCTION("SUBSTITUTE(SUBSTITUTE(CONCATENATE(JOIN("""",AQ12:BB12)),""|"",""x""),""-"",""o"")"),"xxooxoxxoxxo")</f>
        <v>xxooxoxxoxxo</v>
      </c>
      <c r="BE12" s="323" t="str">
        <f>IFERROR(__xludf.DUMMYFUNCTION("JOIN("""",BD12,BD12)"),"xxooxoxxoxxoxxooxoxxoxxo")</f>
        <v>xxooxoxxoxxoxxooxoxxoxxo</v>
      </c>
      <c r="BF12" s="256" t="str">
        <f>IFERROR(__xludf.DUMMYFUNCTION("JOIN("""",ArrayFormula(MID(BD12,LEN(BD12)-SEQUENCE(1,LEN(BD12))+1,1)))"),"oxxoxxoxooxx")</f>
        <v>oxxoxxoxooxx</v>
      </c>
      <c r="BG12" s="256" t="str">
        <f>IFERROR(__xludf.DUMMYFUNCTION("LEFT(CONCATENATE(""x"",JOIN("""",ArrayFormula(MID(BD12,LEN(BD12)-SEQUENCE(1,LEN(BD12))+1,1)))),12)"),"xoxxoxxoxoox")</f>
        <v>xoxxoxxoxoox</v>
      </c>
      <c r="BH12" s="327" t="str">
        <f>IFERROR(__xludf.DUMMYFUNCTION("JOIN("""",BF12,BF12)"),"oxxoxxoxooxxoxxoxxoxooxx")</f>
        <v>oxxoxxoxooxxoxxoxxoxooxx</v>
      </c>
      <c r="BI12" s="239" t="str">
        <f>IFERROR(__xludf.DUMMYFUNCTION("IF(REGEXMATCH(BH12,BD12),""✔"",""-"")"),"-")</f>
        <v>-</v>
      </c>
      <c r="BJ12" s="330" t="str">
        <f t="shared" si="27"/>
        <v>-</v>
      </c>
      <c r="BK12" s="260" t="str">
        <f t="shared" si="28"/>
        <v>-</v>
      </c>
      <c r="BL12" s="261" t="str">
        <f>IFERROR(__xludf.DUMMYFUNCTION("IF(BO12=0,""(n/a)"",IF(BP12=2,""(PAIR)"",IF(REGEXMATCH(BE12,""xoxoxxoxoxox""),""Bilawal"",IF(REGEXMATCH(BE12,""xoxoxooxoxoo""),""Bhupali"",IF(REGEXMATCH(BE12,""xoxoxxoxxoxo""),""Charukeshi"",IF(REGEXMATCH(BE12,""xoxoooxxoxxo""),""Kameshwari"",IF(REGEXMATC"&amp;"H(BE12,""xoxoxooxoxox""),""Shankara"",IF(REGEXMATCH(BE12,""xxooxoxxxoox""),""Basant"",IF(REGEXMATCH(BE12,""xoxoxxxxoxox""),""Bihag"",IF(REGEXMATCH(BE12,""xoxxxxoxoxxx""),""Pilu"",IF(REGEXMATCH(BE12,""xoxxoxoxxoox""),""Kirwani"",IF(REGEXMATCH(BE12,""xoxxox"&amp;"oxoxxx""),""Mk.Malhar"",IF(REGEXMATCH(BE12,""xxooxxoxxoox""),""Bhairav"",IF(REGEXMATCH(BE12,""xxoxooxxxoox""),""Todi"",IF(REGEXMATCH(BE12,""xxooxoxooxox""),""Marwa"",IF(REGEXMATCH(BE12,""xxoooxoxxooo""),""Gunkali"",IF(REGEXMATCH(BE12,""xoxoxxoxxoox""),""N"&amp;"at Bhairav"",IF(REGEXMATCH(BE12,""xoxxoooxoxoo""),""Shivranjani"",IF(REGEXMATCH(BE12,""xooxxxoxooxo""),""Jog"",IF(REGEXMATCH(BE12,""xxooxoxoxoox""),""Hemshri"",IF(REGEXMATCH(BE12,""xoooxooxoxxo""),""Kalavati"",IF(REGEXMATCH(BE12,""xxoxoxxoxoox""),""Kedar"&amp;""",IF(REGEXMATCH(BE12,""xoxxxxoxooxx""),""Gara"",IF(REGEXMATCH(BE12,""xooxoxooxoox""),""Chandrakauns"",IF(REGEXMATCH(BE12,""xoxxxxoxxxox""),""Mand"",IF(REGEXMATCH(BE12,""xoxxxxoxoxox""),""Hanskinkini"",IF(REGEXMATCH(BE12,""xxooxxoxooxo""),""Lilavati"",IF("&amp;"REGEXMATCH(BE12,""xooxoxoooxox""),""Rajeshwari"",IF(REGEXMATCH(BE12,""xoooxxoxoxxx""),""Khokar"",IF(REGEXMATCH(BE12,""xxooxoxxxxox""),""Maligoura"",""-""))))))))))))))))))))))))))))))"),"(n/a)")</f>
        <v>(n/a)</v>
      </c>
      <c r="BM12" s="239">
        <f t="shared" si="29"/>
        <v>6</v>
      </c>
      <c r="BN12" s="239">
        <f>IFERROR(__xludf.DUMMYFUNCTION("COUNTUNIQUE(BR12:CB12)-1"),6.0)</f>
        <v>6</v>
      </c>
      <c r="BO12" s="239">
        <f>IFERROR(__xludf.DUMMYFUNCTION("COUNTUNIQUE(FILTER(BE:BE,REGEXMATCH(BE:BE,BD12)))-1"),0.0)</f>
        <v>0</v>
      </c>
      <c r="BP12" s="239">
        <f>IFERROR(__xludf.DUMMYFUNCTION("COUNTA(FILTER(BE:BE,REGEXMATCH(BE:BE,BD12)))"),1.0)</f>
        <v>1</v>
      </c>
      <c r="BQ12" s="341">
        <f>IFERROR(__xludf.DUMMYFUNCTION("COUNTA(FILTER(BE:BE,REGEXMATCH(BE:BE,BD12)))-AP12"),1.0)</f>
        <v>1</v>
      </c>
      <c r="BR12" s="269" t="str">
        <f t="shared" si="30"/>
        <v>xooxoxxoxxo</v>
      </c>
      <c r="BS12" s="269" t="str">
        <f t="shared" si="31"/>
        <v>-</v>
      </c>
      <c r="BT12" s="271" t="str">
        <f t="shared" si="32"/>
        <v>-</v>
      </c>
      <c r="BU12" s="269" t="str">
        <f t="shared" si="33"/>
        <v>xoxxoxxoxxo</v>
      </c>
      <c r="BV12" s="271" t="str">
        <f t="shared" si="34"/>
        <v>-</v>
      </c>
      <c r="BW12" s="271" t="str">
        <f t="shared" si="35"/>
        <v>xxoxxoxxoox</v>
      </c>
      <c r="BX12" s="271" t="str">
        <f t="shared" si="36"/>
        <v>xoxxoxxooxo</v>
      </c>
      <c r="BY12" s="271" t="str">
        <f t="shared" si="37"/>
        <v>-</v>
      </c>
      <c r="BZ12" s="271" t="str">
        <f t="shared" si="38"/>
        <v>xxoxxooxoxx</v>
      </c>
      <c r="CA12" s="271" t="str">
        <f t="shared" si="39"/>
        <v>xoxxooxoxxo</v>
      </c>
      <c r="CB12" s="274" t="str">
        <f t="shared" si="40"/>
        <v>-</v>
      </c>
      <c r="CC12" s="276" t="str">
        <f>IFERROR(__xludf.DUMMYFUNCTION("IF(BD12=""oooooooooooo"",""-"",IF(REGEXMATCH(BE12,""xx""), ""Hemi."", ""Anhemi.""))"),"Hemi.")</f>
        <v>Hemi.</v>
      </c>
      <c r="CD12" s="282" t="str">
        <f>IFERROR(__xludf.DUMMYFUNCTION("IF(BD12=""oooooooooooo"",""-"",IF(REGEXMATCH(BE12,""xxx""), ""Cohem."", ""-""))"),"-")</f>
        <v>-</v>
      </c>
      <c r="CE12" s="282" t="str">
        <f>IFERROR(__xludf.DUMMYFUNCTION("IF(BD12=""oooooooooooo"",""-"",IF(REGEXMATCH(BE12,""xxxx""), ""Co-Co."", ""-""))"),"-")</f>
        <v>-</v>
      </c>
      <c r="CF12" s="342" t="str">
        <f>IFERROR(__xludf.DUMMYFUNCTION("IF(BD12=""oooooooooooo"",""-"",IF(REGEXMATCH(BE12,""xxxxx""), ""CCC."", ""-""))"),"-")</f>
        <v>-</v>
      </c>
      <c r="CG12" s="344" t="str">
        <f t="shared" si="41"/>
        <v>-</v>
      </c>
      <c r="CH12" s="282" t="str">
        <f>IFERROR(__xludf.DUMMYFUNCTION("IF(REGEXMATCH(JOIN(""-"",CJ12:CS12),""TRUE""),""✔"",""-"")"),"-")</f>
        <v>-</v>
      </c>
      <c r="CI12" s="225">
        <f t="shared" si="42"/>
        <v>0</v>
      </c>
      <c r="CJ12" s="376" t="b">
        <f>IFERROR(__xludf.DUMMYFUNCTION("arrayformula(sum(--REGEXMATCH(""SRGMPDNS"",split(REGEXREPLACE(I12,""(.)"",""$1~""),""~""))))=len(I12)
"),FALSE)</f>
        <v>0</v>
      </c>
      <c r="CK12" s="290" t="b">
        <f>IFERROR(__xludf.DUMMYFUNCTION("arrayformula(sum(--REGEXMATCH(""SRGmPDNS"",split(REGEXREPLACE(I12,""(.)"",""$1~""),""~""))))=len(I12)"),FALSE)</f>
        <v>0</v>
      </c>
      <c r="CL12" s="290" t="b">
        <f>IFERROR(__xludf.DUMMYFUNCTION("arrayformula(sum(--REGEXMATCH(""SRGmPDnS"",split(REGEXREPLACE(I12,""(.)"",""$1~""),""~""))))=len(I12)"),FALSE)</f>
        <v>0</v>
      </c>
      <c r="CM12" s="290" t="b">
        <f>IFERROR(__xludf.DUMMYFUNCTION("arrayformula(sum(--REGEXMATCH(""SRgmPDnS"",split(REGEXREPLACE(I12,""(.)"",""$1~""),""~""))))=len(I12)"),FALSE)</f>
        <v>0</v>
      </c>
      <c r="CN12" s="290" t="b">
        <f>IFERROR(__xludf.DUMMYFUNCTION("arrayformula(sum(--REGEXMATCH(""SRgmPdnS"",split(REGEXREPLACE(I12,""(.)"",""$1~""),""~""))))=len(I12)"),FALSE)</f>
        <v>0</v>
      </c>
      <c r="CO12" s="290" t="b">
        <f>IFERROR(__xludf.DUMMYFUNCTION("arrayformula(sum(--REGEXMATCH(""SrgmPdnS"",split(REGEXREPLACE(I12,""(.)"",""$1~""),""~""))))=len(I12)"),FALSE)</f>
        <v>0</v>
      </c>
      <c r="CP12" s="290" t="b">
        <f>IFERROR(__xludf.DUMMYFUNCTION("arrayformula(sum(--REGEXMATCH(""SrGmPdNS"",split(REGEXREPLACE(I12,""(.)"",""$1~""),""~""))))=len(I12)"),FALSE)</f>
        <v>0</v>
      </c>
      <c r="CQ12" s="290" t="b">
        <f>IFERROR(__xludf.DUMMYFUNCTION("arrayformula(sum(--REGEXMATCH(""SrGMPDNS"",split(REGEXREPLACE(I12,""(.)"",""$1~""),""~""))))=len(I12)"),FALSE)</f>
        <v>0</v>
      </c>
      <c r="CR12" s="290" t="b">
        <f>IFERROR(__xludf.DUMMYFUNCTION("arrayformula(sum(--REGEXMATCH(""SrGMPdNS"",split(REGEXREPLACE(I12,""(.)"",""$1~""),""~""))))=len(I12)"),FALSE)</f>
        <v>0</v>
      </c>
      <c r="CS12" s="293" t="b">
        <f>IFERROR(__xludf.DUMMYFUNCTION("arrayformula(sum(--REGEXMATCH(""SrgMPdNS"",split(REGEXREPLACE(I12,""(.)"",""$1~""),""~""))))=len(I12)"),FALSE)</f>
        <v>0</v>
      </c>
      <c r="CT12" s="244" t="str">
        <f>IFERROR(__xludf.DUMMYFUNCTION("IF(REGEXMATCH(I12, ""S""), ""1"","""")"),"1")</f>
        <v>1</v>
      </c>
      <c r="CU12" s="245" t="str">
        <f>IFERROR(__xludf.DUMMYFUNCTION("IF(REGEXMATCH(I12, ""r""), ""b2"","""")"),"b2")</f>
        <v>b2</v>
      </c>
      <c r="CV12" s="246" t="str">
        <f>IFERROR(__xludf.DUMMYFUNCTION("IF(REGEXMATCH(I12, ""R""), ""2"","""")"),"")</f>
        <v/>
      </c>
      <c r="CW12" s="246" t="str">
        <f>IFERROR(__xludf.DUMMYFUNCTION("IF(REGEXMATCH(I12, ""g""), ""b3"","""")"),"")</f>
        <v/>
      </c>
      <c r="CX12" s="245" t="str">
        <f>IFERROR(__xludf.DUMMYFUNCTION("IF(REGEXMATCH(I12, ""G""), ""3"","""")"),"3")</f>
        <v>3</v>
      </c>
      <c r="CY12" s="245" t="str">
        <f>IFERROR(__xludf.DUMMYFUNCTION("IF(REGEXMATCH(I12, ""m""), ""4"","""")"),"")</f>
        <v/>
      </c>
      <c r="CZ12" s="246" t="str">
        <f>IFERROR(__xludf.DUMMYFUNCTION("IF(REGEXMATCH(I12, ""M""), ""#4"","""")"),"#4")</f>
        <v>#4</v>
      </c>
      <c r="DA12" s="245" t="str">
        <f>IFERROR(__xludf.DUMMYFUNCTION("IF(REGEXMATCH(I12, ""P""), ""5"","""")"),"5")</f>
        <v>5</v>
      </c>
      <c r="DB12" s="246" t="str">
        <f>IFERROR(__xludf.DUMMYFUNCTION("IF(REGEXMATCH(I12, ""d""), ""b6"","""")"),"")</f>
        <v/>
      </c>
      <c r="DC12" s="245" t="str">
        <f>IFERROR(__xludf.DUMMYFUNCTION("IF(REGEXMATCH(I12, ""D""), ""6"","""")"),"6")</f>
        <v>6</v>
      </c>
      <c r="DD12" s="245" t="str">
        <f>IFERROR(__xludf.DUMMYFUNCTION("IF(REGEXMATCH(I12, ""n""), ""b7"","""")"),"b7")</f>
        <v>b7</v>
      </c>
      <c r="DE12" s="246" t="str">
        <f>IFERROR(__xludf.DUMMYFUNCTION("IF(REGEXMATCH(I12, ""N""), ""7"","""")"),"")</f>
        <v/>
      </c>
      <c r="DF12" s="249" t="str">
        <f>IFERROR(__xludf.DUMMYFUNCTION("IF(REGEXMATCH(I12, ""S""), ""8"","""")"),"8")</f>
        <v>8</v>
      </c>
      <c r="DG12" s="244" t="str">
        <f>IFERROR(__xludf.DUMMYFUNCTION("IF(REGEXMATCH(I12, ""S""), ""S"","""")"),"S")</f>
        <v>S</v>
      </c>
      <c r="DH12" s="294" t="str">
        <f>IFERROR(__xludf.DUMMYFUNCTION("IF(REGEXMATCH(I12, ""r""), ""R1"","""")"),"R1")</f>
        <v>R1</v>
      </c>
      <c r="DI12" s="295" t="str">
        <f>IFERROR(__xludf.DUMMYFUNCTION("IF(REGEXMATCH(I12, ""R""), ""R2"","""")"),"")</f>
        <v/>
      </c>
      <c r="DJ12" s="295" t="str">
        <f>IFERROR(__xludf.DUMMYFUNCTION("IF(REGEXMATCH(I12, ""g""), ""G2"","""")"),"")</f>
        <v/>
      </c>
      <c r="DK12" s="294" t="str">
        <f>IFERROR(__xludf.DUMMYFUNCTION("IF(REGEXMATCH(I12, ""G""), ""G3"","""")"),"G3")</f>
        <v>G3</v>
      </c>
      <c r="DL12" s="294" t="str">
        <f>IFERROR(__xludf.DUMMYFUNCTION("IF(REGEXMATCH(I12, ""m""), ""M1"","""")"),"")</f>
        <v/>
      </c>
      <c r="DM12" s="295" t="str">
        <f>IFERROR(__xludf.DUMMYFUNCTION("IF(REGEXMATCH(I12, ""M""), ""M2"","""")"),"M2")</f>
        <v>M2</v>
      </c>
      <c r="DN12" s="294" t="str">
        <f>IFERROR(__xludf.DUMMYFUNCTION("IF(REGEXMATCH(I12, ""P""), ""P"","""")"),"P")</f>
        <v>P</v>
      </c>
      <c r="DO12" s="295" t="str">
        <f>IFERROR(__xludf.DUMMYFUNCTION("IF(REGEXMATCH(I12, ""d""), ""D1"","""")"),"")</f>
        <v/>
      </c>
      <c r="DP12" s="294" t="str">
        <f>IFERROR(__xludf.DUMMYFUNCTION("IF(REGEXMATCH(I12, ""D""), ""D2"","""")"),"D2")</f>
        <v>D2</v>
      </c>
      <c r="DQ12" s="294" t="str">
        <f>IFERROR(__xludf.DUMMYFUNCTION("IF(REGEXMATCH(I12, ""n""), ""N2"","""")"),"N2")</f>
        <v>N2</v>
      </c>
      <c r="DR12" s="295" t="str">
        <f>IFERROR(__xludf.DUMMYFUNCTION("IF(REGEXMATCH(I12, ""N""), ""N3"","""")"),"")</f>
        <v/>
      </c>
      <c r="DS12" s="249" t="str">
        <f>IFERROR(__xludf.DUMMYFUNCTION("IF(REGEXMATCH(I12, ""S""), ""S"","""")"),"S")</f>
        <v>S</v>
      </c>
      <c r="DT12" s="299" t="str">
        <f>IFERROR(__xludf.DUMMYFUNCTION("SUBSTITUTE(SUBSTITUTE(SUBSTITUTE(SUBSTITUTE(CONCATENATE(JOIN(""-"",CT12:DF12)),""--"",""-""),""--"",""-""),""--"",""-""),""--"",""-"")"),"1-b2-3-#4-5-6-b7-8")</f>
        <v>1-b2-3-#4-5-6-b7-8</v>
      </c>
      <c r="DU12" s="299" t="str">
        <f>IFERROR(__xludf.DUMMYFUNCTION("SUBSTITUTE(SUBSTITUTE(SUBSTITUTE(SUBSTITUTE(CONCATENATE(JOIN(""-"",DG12:DS12)),""--"",""-""),""--"",""-""),""--"",""-""),""--"",""-"")"),"S-R1-G3-M2-P-D2-N2-S")</f>
        <v>S-R1-G3-M2-P-D2-N2-S</v>
      </c>
      <c r="DV12" s="348" t="str">
        <f t="shared" si="43"/>
        <v>C-Db-E-F#-G-A-Bb-C</v>
      </c>
      <c r="DW12" s="301">
        <f t="shared" si="44"/>
        <v>7</v>
      </c>
      <c r="DX12" s="302" t="str">
        <f t="shared" si="45"/>
        <v>Sampurna</v>
      </c>
      <c r="DY12" s="301" t="str">
        <f t="shared" ref="DY12:DZ12" si="178">SUBSTITUTE(Y12,"-","")</f>
        <v>SRGM</v>
      </c>
      <c r="DZ12" s="301" t="str">
        <f t="shared" si="178"/>
        <v>PDNS</v>
      </c>
      <c r="EA12" s="302" t="str">
        <f t="shared" si="47"/>
        <v>(n/a)</v>
      </c>
      <c r="EB12" s="301" t="str">
        <f t="shared" si="48"/>
        <v>Hemi.</v>
      </c>
      <c r="EC12" s="364" t="str">
        <f t="shared" si="49"/>
        <v>-</v>
      </c>
      <c r="ED12" s="306" t="str">
        <f t="shared" si="50"/>
        <v>-</v>
      </c>
      <c r="EE12" s="366" t="str">
        <f t="shared" si="51"/>
        <v>-</v>
      </c>
      <c r="EF12" s="308" t="str">
        <f t="shared" si="52"/>
        <v>✔</v>
      </c>
      <c r="EG12" s="306" t="str">
        <f t="shared" si="53"/>
        <v>-</v>
      </c>
      <c r="EH12" s="306" t="str">
        <f t="shared" si="54"/>
        <v>-</v>
      </c>
      <c r="EI12" s="367" t="str">
        <f t="shared" si="55"/>
        <v>✔</v>
      </c>
      <c r="EJ12" s="310" t="str">
        <f t="shared" si="56"/>
        <v>-</v>
      </c>
      <c r="EK12" s="310" t="str">
        <f t="shared" si="57"/>
        <v>-</v>
      </c>
      <c r="EL12" s="310" t="str">
        <f t="shared" si="58"/>
        <v>-</v>
      </c>
      <c r="EM12" s="310" t="str">
        <f t="shared" si="59"/>
        <v>-</v>
      </c>
      <c r="EN12" s="370" t="str">
        <f t="shared" si="60"/>
        <v>-</v>
      </c>
      <c r="EO12" s="306" t="str">
        <f t="shared" si="61"/>
        <v>-</v>
      </c>
      <c r="EP12" s="306" t="str">
        <f t="shared" si="62"/>
        <v>-</v>
      </c>
      <c r="EQ12" s="306" t="str">
        <f t="shared" si="63"/>
        <v>-</v>
      </c>
      <c r="ER12" s="306" t="str">
        <f t="shared" si="64"/>
        <v>-</v>
      </c>
      <c r="ES12" s="306" t="str">
        <f t="shared" si="65"/>
        <v>-</v>
      </c>
      <c r="ET12" s="367" t="str">
        <f t="shared" si="66"/>
        <v>-</v>
      </c>
      <c r="EU12" s="310" t="str">
        <f>IFERROR(__xludf.DUMMYFUNCTION("IF(REGEXMATCH(BH12,BD12),""✔"",""-"")"),"-")</f>
        <v>-</v>
      </c>
      <c r="EV12" s="310" t="str">
        <f t="shared" si="67"/>
        <v>-</v>
      </c>
      <c r="EW12" s="370" t="str">
        <f t="shared" si="68"/>
        <v>-</v>
      </c>
      <c r="EX12" s="315" t="str">
        <f t="shared" si="69"/>
        <v>[UQ]</v>
      </c>
      <c r="EY12" s="317" t="str">
        <f t="shared" si="70"/>
        <v>S-r-G-M-P-D-n-S</v>
      </c>
      <c r="EZ12" s="318" t="str">
        <f>IFERROR(__xludf.DUMMYFUNCTION("CONCATENATE(JOIN("""",GE12:GQ12))"),"SRgmMdNS")</f>
        <v>SRgmMdNS</v>
      </c>
      <c r="FA12" s="318"/>
      <c r="FB12" s="318"/>
      <c r="FC12" s="321">
        <f t="shared" si="71"/>
        <v>4</v>
      </c>
      <c r="FD12" s="318" t="str">
        <f>IFERROR(__xludf.DUMMYFUNCTION("CONCATENATE(JOIN("""",HR12:ID12))"),"re, Ga, Pa, ni, ")</f>
        <v>re, Ga, Pa, ni, </v>
      </c>
      <c r="FE12" s="322">
        <f t="shared" si="72"/>
        <v>1</v>
      </c>
      <c r="FF12" s="324" t="str">
        <f>IFERROR(__xludf.DUMMYFUNCTION("CONCATENATE(JOIN("""",IR12:JD12))"),"ni, ")</f>
        <v>ni, </v>
      </c>
      <c r="FG12" s="325" t="str">
        <f t="shared" si="73"/>
        <v>S-R1-G3-M2-P-D2-N2-S</v>
      </c>
      <c r="FH12" s="326" t="str">
        <f t="shared" si="74"/>
        <v>1-b2-3-#4-5-6-b7-8</v>
      </c>
      <c r="FI12" s="326" t="str">
        <f t="shared" si="75"/>
        <v>0-1-4-6-7-9-10-0</v>
      </c>
      <c r="FJ12" s="318"/>
      <c r="FK12" s="328" t="str">
        <f>IFERROR(__xludf.DUMMYFUNCTION("SUBSTITUTE(SUBSTITUTE(SUBSTITUTE(SUBSTITUTE(CONCATENATE(JOIN("" "",FN12:FZ12)),""  "","" ""),""  "","" ""),""  "","" ""),""  "","" "")"),"o o • • o • o o • o o • o")</f>
        <v>o o • • o • o o • o o • o</v>
      </c>
      <c r="FL12" s="328" t="str">
        <f t="shared" si="76"/>
        <v>Sa-Pa</v>
      </c>
      <c r="FM12" s="329"/>
      <c r="FN12" s="331" t="str">
        <f t="shared" si="77"/>
        <v>o</v>
      </c>
      <c r="FO12" s="332" t="str">
        <f t="shared" si="78"/>
        <v>o</v>
      </c>
      <c r="FP12" s="332" t="str">
        <f t="shared" si="79"/>
        <v>•</v>
      </c>
      <c r="FQ12" s="332" t="str">
        <f t="shared" si="80"/>
        <v>•</v>
      </c>
      <c r="FR12" s="332" t="str">
        <f t="shared" si="81"/>
        <v>o</v>
      </c>
      <c r="FS12" s="332" t="str">
        <f t="shared" si="82"/>
        <v>•</v>
      </c>
      <c r="FT12" s="332" t="str">
        <f t="shared" si="83"/>
        <v>o</v>
      </c>
      <c r="FU12" s="332" t="str">
        <f t="shared" si="84"/>
        <v>o</v>
      </c>
      <c r="FV12" s="332" t="str">
        <f t="shared" si="85"/>
        <v>•</v>
      </c>
      <c r="FW12" s="332" t="str">
        <f t="shared" si="86"/>
        <v>o</v>
      </c>
      <c r="FX12" s="332" t="str">
        <f t="shared" si="87"/>
        <v>o</v>
      </c>
      <c r="FY12" s="332" t="str">
        <f t="shared" si="88"/>
        <v>•</v>
      </c>
      <c r="FZ12" s="338" t="str">
        <f t="shared" si="89"/>
        <v>o</v>
      </c>
      <c r="GA12" s="339" t="str">
        <f t="shared" si="90"/>
        <v>Sa-Pa</v>
      </c>
      <c r="GB12" s="339" t="str">
        <f t="shared" si="91"/>
        <v>Sa-Pa</v>
      </c>
      <c r="GC12" s="339" t="str">
        <f t="shared" si="92"/>
        <v>-</v>
      </c>
      <c r="GD12" s="340" t="str">
        <f t="shared" si="93"/>
        <v>-</v>
      </c>
      <c r="GE12" s="331" t="str">
        <f t="shared" si="94"/>
        <v>S</v>
      </c>
      <c r="GF12" s="332" t="str">
        <f t="shared" si="95"/>
        <v/>
      </c>
      <c r="GG12" s="332" t="str">
        <f t="shared" si="96"/>
        <v>R</v>
      </c>
      <c r="GH12" s="332" t="str">
        <f t="shared" si="97"/>
        <v>g</v>
      </c>
      <c r="GI12" s="332" t="str">
        <f t="shared" si="98"/>
        <v/>
      </c>
      <c r="GJ12" s="332" t="str">
        <f t="shared" si="99"/>
        <v>m</v>
      </c>
      <c r="GK12" s="332" t="str">
        <f t="shared" si="100"/>
        <v>M</v>
      </c>
      <c r="GL12" s="332" t="str">
        <f t="shared" si="101"/>
        <v/>
      </c>
      <c r="GM12" s="332" t="str">
        <f t="shared" si="102"/>
        <v>d</v>
      </c>
      <c r="GN12" s="332" t="str">
        <f t="shared" si="103"/>
        <v/>
      </c>
      <c r="GO12" s="332" t="str">
        <f t="shared" si="104"/>
        <v/>
      </c>
      <c r="GP12" s="332" t="str">
        <f t="shared" si="105"/>
        <v>N</v>
      </c>
      <c r="GQ12" s="343" t="str">
        <f t="shared" si="106"/>
        <v>S</v>
      </c>
      <c r="GR12" s="331" t="str">
        <f t="shared" si="107"/>
        <v>•</v>
      </c>
      <c r="GS12" s="332" t="str">
        <f t="shared" si="108"/>
        <v>•</v>
      </c>
      <c r="GT12" s="332" t="str">
        <f t="shared" si="109"/>
        <v>o</v>
      </c>
      <c r="GU12" s="332" t="str">
        <f t="shared" si="110"/>
        <v>o</v>
      </c>
      <c r="GV12" s="332" t="str">
        <f t="shared" si="111"/>
        <v>•</v>
      </c>
      <c r="GW12" s="332" t="str">
        <f t="shared" si="112"/>
        <v>o</v>
      </c>
      <c r="GX12" s="332" t="str">
        <f t="shared" si="113"/>
        <v>•</v>
      </c>
      <c r="GY12" s="332" t="str">
        <f t="shared" si="114"/>
        <v>•</v>
      </c>
      <c r="GZ12" s="332" t="str">
        <f t="shared" si="115"/>
        <v>o</v>
      </c>
      <c r="HA12" s="332" t="str">
        <f t="shared" si="116"/>
        <v>•</v>
      </c>
      <c r="HB12" s="332" t="str">
        <f t="shared" si="117"/>
        <v>•</v>
      </c>
      <c r="HC12" s="332" t="str">
        <f t="shared" si="118"/>
        <v>o</v>
      </c>
      <c r="HD12" s="338" t="str">
        <f t="shared" si="119"/>
        <v>•</v>
      </c>
      <c r="HE12" s="346" t="b">
        <f t="shared" si="120"/>
        <v>0</v>
      </c>
      <c r="HF12" s="347" t="b">
        <f t="shared" si="121"/>
        <v>1</v>
      </c>
      <c r="HG12" s="347" t="b">
        <f t="shared" si="122"/>
        <v>0</v>
      </c>
      <c r="HH12" s="347" t="b">
        <f t="shared" si="123"/>
        <v>0</v>
      </c>
      <c r="HI12" s="347" t="b">
        <f t="shared" si="124"/>
        <v>1</v>
      </c>
      <c r="HJ12" s="347" t="b">
        <f t="shared" si="125"/>
        <v>0</v>
      </c>
      <c r="HK12" s="347" t="b">
        <f t="shared" si="126"/>
        <v>0</v>
      </c>
      <c r="HL12" s="347" t="b">
        <f t="shared" si="127"/>
        <v>1</v>
      </c>
      <c r="HM12" s="347" t="b">
        <f t="shared" si="128"/>
        <v>0</v>
      </c>
      <c r="HN12" s="347" t="b">
        <f t="shared" si="129"/>
        <v>0</v>
      </c>
      <c r="HO12" s="347" t="b">
        <f t="shared" si="130"/>
        <v>1</v>
      </c>
      <c r="HP12" s="347" t="b">
        <f t="shared" si="131"/>
        <v>0</v>
      </c>
      <c r="HQ12" s="353" t="b">
        <f t="shared" si="132"/>
        <v>0</v>
      </c>
      <c r="HR12" s="354" t="str">
        <f t="shared" si="133"/>
        <v/>
      </c>
      <c r="HS12" s="355" t="str">
        <f t="shared" si="134"/>
        <v>re, </v>
      </c>
      <c r="HT12" s="355" t="str">
        <f t="shared" si="135"/>
        <v/>
      </c>
      <c r="HU12" s="355" t="str">
        <f t="shared" si="136"/>
        <v/>
      </c>
      <c r="HV12" s="355" t="str">
        <f t="shared" si="137"/>
        <v>Ga, </v>
      </c>
      <c r="HW12" s="355" t="str">
        <f t="shared" si="138"/>
        <v/>
      </c>
      <c r="HX12" s="355" t="str">
        <f t="shared" si="139"/>
        <v/>
      </c>
      <c r="HY12" s="355" t="str">
        <f t="shared" si="140"/>
        <v>Pa, </v>
      </c>
      <c r="HZ12" s="355" t="str">
        <f t="shared" si="141"/>
        <v/>
      </c>
      <c r="IA12" s="355" t="str">
        <f t="shared" si="142"/>
        <v/>
      </c>
      <c r="IB12" s="355" t="str">
        <f t="shared" si="143"/>
        <v>ni, </v>
      </c>
      <c r="IC12" s="355" t="str">
        <f t="shared" si="144"/>
        <v/>
      </c>
      <c r="ID12" s="359" t="str">
        <f t="shared" si="145"/>
        <v/>
      </c>
      <c r="IE12" s="346" t="b">
        <f t="shared" si="146"/>
        <v>0</v>
      </c>
      <c r="IF12" s="347" t="b">
        <f t="shared" si="147"/>
        <v>0</v>
      </c>
      <c r="IG12" s="347" t="b">
        <f t="shared" si="148"/>
        <v>0</v>
      </c>
      <c r="IH12" s="347" t="b">
        <f t="shared" si="149"/>
        <v>0</v>
      </c>
      <c r="II12" s="347" t="b">
        <f t="shared" si="150"/>
        <v>0</v>
      </c>
      <c r="IJ12" s="347" t="b">
        <f t="shared" si="151"/>
        <v>0</v>
      </c>
      <c r="IK12" s="347" t="b">
        <f t="shared" si="152"/>
        <v>0</v>
      </c>
      <c r="IL12" s="347" t="b">
        <f t="shared" si="153"/>
        <v>0</v>
      </c>
      <c r="IM12" s="347" t="b">
        <f t="shared" si="154"/>
        <v>0</v>
      </c>
      <c r="IN12" s="347" t="b">
        <f t="shared" si="155"/>
        <v>0</v>
      </c>
      <c r="IO12" s="347" t="b">
        <f t="shared" si="156"/>
        <v>1</v>
      </c>
      <c r="IP12" s="347" t="b">
        <f t="shared" si="157"/>
        <v>0</v>
      </c>
      <c r="IQ12" s="365" t="b">
        <f t="shared" si="158"/>
        <v>0</v>
      </c>
      <c r="IR12" s="354" t="str">
        <f t="shared" si="159"/>
        <v/>
      </c>
      <c r="IS12" s="355" t="str">
        <f t="shared" si="160"/>
        <v/>
      </c>
      <c r="IT12" s="355" t="str">
        <f t="shared" si="161"/>
        <v/>
      </c>
      <c r="IU12" s="355" t="str">
        <f t="shared" si="162"/>
        <v/>
      </c>
      <c r="IV12" s="355" t="str">
        <f t="shared" si="163"/>
        <v/>
      </c>
      <c r="IW12" s="355" t="str">
        <f t="shared" si="164"/>
        <v/>
      </c>
      <c r="IX12" s="355" t="str">
        <f t="shared" si="165"/>
        <v/>
      </c>
      <c r="IY12" s="355" t="str">
        <f t="shared" si="166"/>
        <v/>
      </c>
      <c r="IZ12" s="355" t="str">
        <f t="shared" si="167"/>
        <v/>
      </c>
      <c r="JA12" s="355" t="str">
        <f t="shared" si="168"/>
        <v/>
      </c>
      <c r="JB12" s="355" t="str">
        <f t="shared" si="169"/>
        <v>ni, </v>
      </c>
      <c r="JC12" s="355" t="str">
        <f t="shared" si="170"/>
        <v/>
      </c>
      <c r="JD12" s="359"/>
      <c r="JE12" s="321"/>
      <c r="JF12" s="368"/>
      <c r="JG12" s="369"/>
      <c r="JH12" s="369"/>
      <c r="JI12" s="369"/>
      <c r="JJ12" s="369"/>
      <c r="JK12" s="369"/>
      <c r="JL12" s="369"/>
      <c r="JM12" s="369"/>
      <c r="JN12" s="369"/>
      <c r="JO12" s="369"/>
      <c r="JP12" s="369"/>
    </row>
    <row r="13" ht="20.25" customHeight="1">
      <c r="A13" s="221" t="s">
        <v>437</v>
      </c>
      <c r="B13" s="222">
        <v>11.0</v>
      </c>
      <c r="C13" s="223" t="s">
        <v>438</v>
      </c>
      <c r="D13" s="224" t="s">
        <v>17</v>
      </c>
      <c r="E13" s="225" t="str">
        <f t="shared" si="5"/>
        <v>[UQ]</v>
      </c>
      <c r="F13" s="227">
        <f t="shared" si="6"/>
        <v>7</v>
      </c>
      <c r="G13" s="229">
        <f t="shared" si="7"/>
        <v>7</v>
      </c>
      <c r="H13" s="230">
        <f t="shared" si="8"/>
        <v>0</v>
      </c>
      <c r="I13" s="233" t="str">
        <f t="shared" si="9"/>
        <v>SRGMPdnS</v>
      </c>
      <c r="J13" s="234" t="str">
        <f>IFERROR(__xludf.DUMMYFUNCTION("IF(REGEXMATCH(I13, ""S""), ""S"","""")"),"S")</f>
        <v>S</v>
      </c>
      <c r="K13" s="236" t="str">
        <f>IFERROR(__xludf.DUMMYFUNCTION("IF(REGEXMATCH(I13, ""r""), ""r"","""")"),"")</f>
        <v/>
      </c>
      <c r="L13" s="237" t="str">
        <f>IFERROR(__xludf.DUMMYFUNCTION("IF(REGEXMATCH(I13, ""R""), ""R"","""")"),"R")</f>
        <v>R</v>
      </c>
      <c r="M13" s="237" t="str">
        <f>IFERROR(__xludf.DUMMYFUNCTION("IF(REGEXMATCH(I13, ""g""), ""g"","""")"),"")</f>
        <v/>
      </c>
      <c r="N13" s="236" t="str">
        <f>IFERROR(__xludf.DUMMYFUNCTION("IF(REGEXMATCH(I13, ""G""), ""G"","""")"),"G")</f>
        <v>G</v>
      </c>
      <c r="O13" s="236" t="str">
        <f>IFERROR(__xludf.DUMMYFUNCTION("IF(REGEXMATCH(I13, ""m""), ""m"","""")"),"")</f>
        <v/>
      </c>
      <c r="P13" s="237" t="str">
        <f>IFERROR(__xludf.DUMMYFUNCTION("IF(REGEXMATCH(I13, ""M""), ""M"","""")"),"M")</f>
        <v>M</v>
      </c>
      <c r="Q13" s="236" t="str">
        <f>IFERROR(__xludf.DUMMYFUNCTION("IF(REGEXMATCH(I13, ""P""), ""P"","""")"),"P")</f>
        <v>P</v>
      </c>
      <c r="R13" s="237" t="str">
        <f>IFERROR(__xludf.DUMMYFUNCTION("IF(REGEXMATCH(I13, ""d""), ""d"","""")"),"d")</f>
        <v>d</v>
      </c>
      <c r="S13" s="236" t="str">
        <f>IFERROR(__xludf.DUMMYFUNCTION("IF(REGEXMATCH(I13, ""D""), ""D"","""")"),"")</f>
        <v/>
      </c>
      <c r="T13" s="236" t="str">
        <f>IFERROR(__xludf.DUMMYFUNCTION("IF(REGEXMATCH(I13, ""n""), ""n"","""")"),"n")</f>
        <v>n</v>
      </c>
      <c r="U13" s="237" t="str">
        <f>IFERROR(__xludf.DUMMYFUNCTION("IF(REGEXMATCH(I13, ""N""), ""N"","""")"),"")</f>
        <v/>
      </c>
      <c r="V13" s="238" t="str">
        <f>IFERROR(__xludf.DUMMYFUNCTION("IF(REGEXMATCH(I13, ""S""), ""S"","""")"),"S")</f>
        <v>S</v>
      </c>
      <c r="W13" s="239" t="str">
        <f>IFERROR(__xludf.DUMMYFUNCTION("SUBSTITUTE(CONCATENATE(JOIN(""-"",J13:P13)),""-"","""")"),"SRGM")</f>
        <v>SRGM</v>
      </c>
      <c r="X13" s="229" t="str">
        <f>IFERROR(__xludf.DUMMYFUNCTION("SUBSTITUTE(CONCATENATE(JOIN(""-"",Q13:V13)),""-"","""")"),"PdnS")</f>
        <v>PdnS</v>
      </c>
      <c r="Y13" s="282" t="str">
        <f t="shared" si="10"/>
        <v>S-R-G-M</v>
      </c>
      <c r="Z13" s="282" t="str">
        <f t="shared" si="11"/>
        <v>P-D-N-S</v>
      </c>
      <c r="AA13" s="309" t="str">
        <f t="shared" si="12"/>
        <v>RGMdn</v>
      </c>
      <c r="AB13" s="244" t="str">
        <f>IFERROR(__xludf.DUMMYFUNCTION("IF(REGEXMATCH(I13, ""S""), ""0"","""")"),"0")</f>
        <v>0</v>
      </c>
      <c r="AC13" s="245" t="str">
        <f>IFERROR(__xludf.DUMMYFUNCTION("IF(REGEXMATCH(I13, ""r""), ""1"","""")"),"")</f>
        <v/>
      </c>
      <c r="AD13" s="246" t="str">
        <f>IFERROR(__xludf.DUMMYFUNCTION("IF(REGEXMATCH(I13, ""R""), ""2"","""")"),"2")</f>
        <v>2</v>
      </c>
      <c r="AE13" s="246" t="str">
        <f>IFERROR(__xludf.DUMMYFUNCTION("IF(REGEXMATCH(I13, ""g""), ""3"","""")"),"")</f>
        <v/>
      </c>
      <c r="AF13" s="245" t="str">
        <f>IFERROR(__xludf.DUMMYFUNCTION("IF(REGEXMATCH(I13, ""G""), ""4"","""")"),"4")</f>
        <v>4</v>
      </c>
      <c r="AG13" s="245" t="str">
        <f>IFERROR(__xludf.DUMMYFUNCTION("IF(REGEXMATCH(I13, ""m""), ""5"","""")"),"")</f>
        <v/>
      </c>
      <c r="AH13" s="246" t="str">
        <f>IFERROR(__xludf.DUMMYFUNCTION("IF(REGEXMATCH(I13, ""M""), ""6"","""")"),"6")</f>
        <v>6</v>
      </c>
      <c r="AI13" s="245" t="str">
        <f>IFERROR(__xludf.DUMMYFUNCTION("IF(REGEXMATCH(I13, ""P""), ""7"","""")"),"7")</f>
        <v>7</v>
      </c>
      <c r="AJ13" s="246" t="str">
        <f>IFERROR(__xludf.DUMMYFUNCTION("IF(REGEXMATCH(I13, ""d""), ""8"","""")"),"8")</f>
        <v>8</v>
      </c>
      <c r="AK13" s="245" t="str">
        <f>IFERROR(__xludf.DUMMYFUNCTION("IF(REGEXMATCH(I13, ""D""), ""9"","""")"),"")</f>
        <v/>
      </c>
      <c r="AL13" s="245" t="str">
        <f>IFERROR(__xludf.DUMMYFUNCTION("IF(REGEXMATCH(I13, ""n""), ""10"","""")"),"10")</f>
        <v>10</v>
      </c>
      <c r="AM13" s="246" t="str">
        <f>IFERROR(__xludf.DUMMYFUNCTION("IF(REGEXMATCH(I13, ""N""), ""11"","""")"),"")</f>
        <v/>
      </c>
      <c r="AN13" s="249" t="str">
        <f>IFERROR(__xludf.DUMMYFUNCTION("IF(REGEXMATCH(I13, ""S""), ""0"","""")"),"0")</f>
        <v>0</v>
      </c>
      <c r="AO13" s="250" t="str">
        <f>IFERROR(__xludf.DUMMYFUNCTION("SUBSTITUTE(SUBSTITUTE(SUBSTITUTE(SUBSTITUTE(CONCATENATE(JOIN(""-"",AB13:AN13)),""--"",""-""),""--"",""-""),""--"",""-""),""--"",""-"")"),"0-2-4-6-7-8-10-0")</f>
        <v>0-2-4-6-7-8-10-0</v>
      </c>
      <c r="AP13" s="251">
        <f t="shared" si="13"/>
        <v>0</v>
      </c>
      <c r="AQ13" s="234" t="str">
        <f t="shared" si="14"/>
        <v>|</v>
      </c>
      <c r="AR13" s="236" t="str">
        <f t="shared" si="15"/>
        <v>-</v>
      </c>
      <c r="AS13" s="237" t="str">
        <f t="shared" si="16"/>
        <v>|</v>
      </c>
      <c r="AT13" s="236" t="str">
        <f t="shared" si="17"/>
        <v>-</v>
      </c>
      <c r="AU13" s="237" t="str">
        <f t="shared" si="18"/>
        <v>|</v>
      </c>
      <c r="AV13" s="236" t="str">
        <f t="shared" si="19"/>
        <v>-</v>
      </c>
      <c r="AW13" s="237" t="str">
        <f t="shared" si="20"/>
        <v>|</v>
      </c>
      <c r="AX13" s="236" t="str">
        <f t="shared" si="21"/>
        <v>|</v>
      </c>
      <c r="AY13" s="237" t="str">
        <f t="shared" si="22"/>
        <v>|</v>
      </c>
      <c r="AZ13" s="236" t="str">
        <f t="shared" si="23"/>
        <v>-</v>
      </c>
      <c r="BA13" s="237" t="str">
        <f t="shared" si="24"/>
        <v>|</v>
      </c>
      <c r="BB13" s="236" t="str">
        <f t="shared" si="25"/>
        <v>-</v>
      </c>
      <c r="BC13" s="238" t="str">
        <f t="shared" si="26"/>
        <v>|</v>
      </c>
      <c r="BD13" s="250" t="str">
        <f>IFERROR(__xludf.DUMMYFUNCTION("SUBSTITUTE(SUBSTITUTE(CONCATENATE(JOIN("""",AQ13:BB13)),""|"",""x""),""-"",""o"")"),"xoxoxoxxxoxo")</f>
        <v>xoxoxoxxxoxo</v>
      </c>
      <c r="BE13" s="323" t="str">
        <f>IFERROR(__xludf.DUMMYFUNCTION("JOIN("""",BD13,BD13)"),"xoxoxoxxxoxoxoxoxoxxxoxo")</f>
        <v>xoxoxoxxxoxoxoxoxoxxxoxo</v>
      </c>
      <c r="BF13" s="256" t="str">
        <f>IFERROR(__xludf.DUMMYFUNCTION("JOIN("""",ArrayFormula(MID(BD13,LEN(BD13)-SEQUENCE(1,LEN(BD13))+1,1)))"),"oxoxxxoxoxox")</f>
        <v>oxoxxxoxoxox</v>
      </c>
      <c r="BG13" s="256" t="str">
        <f>IFERROR(__xludf.DUMMYFUNCTION("LEFT(CONCATENATE(""x"",JOIN("""",ArrayFormula(MID(BD13,LEN(BD13)-SEQUENCE(1,LEN(BD13))+1,1)))),12)"),"xoxoxxxoxoxo")</f>
        <v>xoxoxxxoxoxo</v>
      </c>
      <c r="BH13" s="327" t="str">
        <f>IFERROR(__xludf.DUMMYFUNCTION("JOIN("""",BF13,BF13)"),"oxoxxxoxoxoxoxoxxxoxoxox")</f>
        <v>oxoxxxoxoxoxoxoxxxoxoxox</v>
      </c>
      <c r="BI13" s="239" t="str">
        <f>IFERROR(__xludf.DUMMYFUNCTION("IF(REGEXMATCH(BH13,BD13),""✔"",""-"")"),"✔")</f>
        <v>✔</v>
      </c>
      <c r="BJ13" s="330" t="str">
        <f t="shared" si="27"/>
        <v>-</v>
      </c>
      <c r="BK13" s="260" t="str">
        <f t="shared" si="28"/>
        <v>-</v>
      </c>
      <c r="BL13" s="261" t="str">
        <f>IFERROR(__xludf.DUMMYFUNCTION("IF(BO13=0,""(n/a)"",IF(BP13=2,""(PAIR)"",IF(REGEXMATCH(BE13,""xoxoxxoxoxox""),""Bilawal"",IF(REGEXMATCH(BE13,""xoxoxooxoxoo""),""Bhupali"",IF(REGEXMATCH(BE13,""xoxoxxoxxoxo""),""Charukeshi"",IF(REGEXMATCH(BE13,""xoxoooxxoxxo""),""Kameshwari"",IF(REGEXMATC"&amp;"H(BE13,""xoxoxooxoxox""),""Shankara"",IF(REGEXMATCH(BE13,""xxooxoxxxoox""),""Basant"",IF(REGEXMATCH(BE13,""xoxoxxxxoxox""),""Bihag"",IF(REGEXMATCH(BE13,""xoxxxxoxoxxx""),""Pilu"",IF(REGEXMATCH(BE13,""xoxxoxoxxoox""),""Kirwani"",IF(REGEXMATCH(BE13,""xoxxox"&amp;"oxoxxx""),""Mk.Malhar"",IF(REGEXMATCH(BE13,""xxooxxoxxoox""),""Bhairav"",IF(REGEXMATCH(BE13,""xxoxooxxxoox""),""Todi"",IF(REGEXMATCH(BE13,""xxooxoxooxox""),""Marwa"",IF(REGEXMATCH(BE13,""xxoooxoxxooo""),""Gunkali"",IF(REGEXMATCH(BE13,""xoxoxxoxxoox""),""N"&amp;"at Bhairav"",IF(REGEXMATCH(BE13,""xoxxoooxoxoo""),""Shivranjani"",IF(REGEXMATCH(BE13,""xooxxxoxooxo""),""Jog"",IF(REGEXMATCH(BE13,""xxooxoxoxoox""),""Hemshri"",IF(REGEXMATCH(BE13,""xoooxooxoxxo""),""Kalavati"",IF(REGEXMATCH(BE13,""xxoxoxxoxoox""),""Kedar"&amp;""",IF(REGEXMATCH(BE13,""xoxxxxoxooxx""),""Gara"",IF(REGEXMATCH(BE13,""xooxoxooxoox""),""Chandrakauns"",IF(REGEXMATCH(BE13,""xoxxxxoxxxox""),""Mand"",IF(REGEXMATCH(BE13,""xoxxxxoxoxox""),""Hanskinkini"",IF(REGEXMATCH(BE13,""xxooxxoxooxo""),""Lilavati"",IF("&amp;"REGEXMATCH(BE13,""xooxoxoooxox""),""Rajeshwari"",IF(REGEXMATCH(BE13,""xoooxxoxoxxx""),""Khokar"",IF(REGEXMATCH(BE13,""xxooxoxxxxox""),""Maligoura"",""-""))))))))))))))))))))))))))))))"),"(PAIR)")</f>
        <v>(PAIR)</v>
      </c>
      <c r="BM13" s="239">
        <f t="shared" si="29"/>
        <v>6</v>
      </c>
      <c r="BN13" s="239">
        <f>IFERROR(__xludf.DUMMYFUNCTION("COUNTUNIQUE(BR13:CB13)-1"),6.0)</f>
        <v>6</v>
      </c>
      <c r="BO13" s="239">
        <f>IFERROR(__xludf.DUMMYFUNCTION("COUNTUNIQUE(FILTER(BE:BE,REGEXMATCH(BE:BE,BD13)))-1"),1.0)</f>
        <v>1</v>
      </c>
      <c r="BP13" s="239">
        <f>IFERROR(__xludf.DUMMYFUNCTION("COUNTA(FILTER(BE:BE,REGEXMATCH(BE:BE,BD13)))"),2.0)</f>
        <v>2</v>
      </c>
      <c r="BQ13" s="341">
        <f>IFERROR(__xludf.DUMMYFUNCTION("COUNTA(FILTER(BE:BE,REGEXMATCH(BE:BE,BD13)))-AP13"),2.0)</f>
        <v>2</v>
      </c>
      <c r="BR13" s="269" t="str">
        <f t="shared" si="30"/>
        <v>-</v>
      </c>
      <c r="BS13" s="269" t="str">
        <f t="shared" si="31"/>
        <v>xoxoxxxoxox</v>
      </c>
      <c r="BT13" s="271" t="str">
        <f t="shared" si="32"/>
        <v>-</v>
      </c>
      <c r="BU13" s="269" t="str">
        <f t="shared" si="33"/>
        <v>xoxxxoxoxox</v>
      </c>
      <c r="BV13" s="271" t="str">
        <f t="shared" si="34"/>
        <v>-</v>
      </c>
      <c r="BW13" s="271" t="str">
        <f t="shared" si="35"/>
        <v>xxxoxoxoxox</v>
      </c>
      <c r="BX13" s="271" t="str">
        <f t="shared" si="36"/>
        <v>xxoxoxoxoxo</v>
      </c>
      <c r="BY13" s="271" t="str">
        <f t="shared" si="37"/>
        <v>xoxoxoxoxox</v>
      </c>
      <c r="BZ13" s="271" t="str">
        <f t="shared" si="38"/>
        <v>-</v>
      </c>
      <c r="CA13" s="271" t="str">
        <f t="shared" si="39"/>
        <v>xoxoxoxoxxx</v>
      </c>
      <c r="CB13" s="274" t="str">
        <f t="shared" si="40"/>
        <v>-</v>
      </c>
      <c r="CC13" s="276" t="str">
        <f>IFERROR(__xludf.DUMMYFUNCTION("IF(BD13=""oooooooooooo"",""-"",IF(REGEXMATCH(BE13,""xx""), ""Hemi."", ""Anhemi.""))"),"Hemi.")</f>
        <v>Hemi.</v>
      </c>
      <c r="CD13" s="282" t="str">
        <f>IFERROR(__xludf.DUMMYFUNCTION("IF(BD13=""oooooooooooo"",""-"",IF(REGEXMATCH(BE13,""xxx""), ""Cohem."", ""-""))"),"Cohem.")</f>
        <v>Cohem.</v>
      </c>
      <c r="CE13" s="282" t="str">
        <f>IFERROR(__xludf.DUMMYFUNCTION("IF(BD13=""oooooooooooo"",""-"",IF(REGEXMATCH(BE13,""xxxx""), ""Co-Co."", ""-""))"),"-")</f>
        <v>-</v>
      </c>
      <c r="CF13" s="342" t="str">
        <f>IFERROR(__xludf.DUMMYFUNCTION("IF(BD13=""oooooooooooo"",""-"",IF(REGEXMATCH(BE13,""xxxxx""), ""CCC."", ""-""))"),"-")</f>
        <v>-</v>
      </c>
      <c r="CG13" s="344" t="str">
        <f t="shared" si="41"/>
        <v>-</v>
      </c>
      <c r="CH13" s="282" t="str">
        <f>IFERROR(__xludf.DUMMYFUNCTION("IF(REGEXMATCH(JOIN(""-"",CJ13:CS13),""TRUE""),""✔"",""-"")"),"-")</f>
        <v>-</v>
      </c>
      <c r="CI13" s="225">
        <f t="shared" si="42"/>
        <v>0</v>
      </c>
      <c r="CJ13" s="376" t="b">
        <f>IFERROR(__xludf.DUMMYFUNCTION("arrayformula(sum(--REGEXMATCH(""SRGMPDNS"",split(REGEXREPLACE(I13,""(.)"",""$1~""),""~""))))=len(I13)
"),FALSE)</f>
        <v>0</v>
      </c>
      <c r="CK13" s="290" t="b">
        <f>IFERROR(__xludf.DUMMYFUNCTION("arrayformula(sum(--REGEXMATCH(""SRGmPDNS"",split(REGEXREPLACE(I13,""(.)"",""$1~""),""~""))))=len(I13)"),FALSE)</f>
        <v>0</v>
      </c>
      <c r="CL13" s="290" t="b">
        <f>IFERROR(__xludf.DUMMYFUNCTION("arrayformula(sum(--REGEXMATCH(""SRGmPDnS"",split(REGEXREPLACE(I13,""(.)"",""$1~""),""~""))))=len(I13)"),FALSE)</f>
        <v>0</v>
      </c>
      <c r="CM13" s="290" t="b">
        <f>IFERROR(__xludf.DUMMYFUNCTION("arrayformula(sum(--REGEXMATCH(""SRgmPDnS"",split(REGEXREPLACE(I13,""(.)"",""$1~""),""~""))))=len(I13)"),FALSE)</f>
        <v>0</v>
      </c>
      <c r="CN13" s="290" t="b">
        <f>IFERROR(__xludf.DUMMYFUNCTION("arrayformula(sum(--REGEXMATCH(""SRgmPdnS"",split(REGEXREPLACE(I13,""(.)"",""$1~""),""~""))))=len(I13)"),FALSE)</f>
        <v>0</v>
      </c>
      <c r="CO13" s="290" t="b">
        <f>IFERROR(__xludf.DUMMYFUNCTION("arrayformula(sum(--REGEXMATCH(""SrgmPdnS"",split(REGEXREPLACE(I13,""(.)"",""$1~""),""~""))))=len(I13)"),FALSE)</f>
        <v>0</v>
      </c>
      <c r="CP13" s="290" t="b">
        <f>IFERROR(__xludf.DUMMYFUNCTION("arrayformula(sum(--REGEXMATCH(""SrGmPdNS"",split(REGEXREPLACE(I13,""(.)"",""$1~""),""~""))))=len(I13)"),FALSE)</f>
        <v>0</v>
      </c>
      <c r="CQ13" s="290" t="b">
        <f>IFERROR(__xludf.DUMMYFUNCTION("arrayformula(sum(--REGEXMATCH(""SrGMPDNS"",split(REGEXREPLACE(I13,""(.)"",""$1~""),""~""))))=len(I13)"),FALSE)</f>
        <v>0</v>
      </c>
      <c r="CR13" s="290" t="b">
        <f>IFERROR(__xludf.DUMMYFUNCTION("arrayformula(sum(--REGEXMATCH(""SrGMPdNS"",split(REGEXREPLACE(I13,""(.)"",""$1~""),""~""))))=len(I13)"),FALSE)</f>
        <v>0</v>
      </c>
      <c r="CS13" s="293" t="b">
        <f>IFERROR(__xludf.DUMMYFUNCTION("arrayformula(sum(--REGEXMATCH(""SrgMPdNS"",split(REGEXREPLACE(I13,""(.)"",""$1~""),""~""))))=len(I13)"),FALSE)</f>
        <v>0</v>
      </c>
      <c r="CT13" s="244" t="str">
        <f>IFERROR(__xludf.DUMMYFUNCTION("IF(REGEXMATCH(I13, ""S""), ""1"","""")"),"1")</f>
        <v>1</v>
      </c>
      <c r="CU13" s="245" t="str">
        <f>IFERROR(__xludf.DUMMYFUNCTION("IF(REGEXMATCH(I13, ""r""), ""b2"","""")"),"")</f>
        <v/>
      </c>
      <c r="CV13" s="246" t="str">
        <f>IFERROR(__xludf.DUMMYFUNCTION("IF(REGEXMATCH(I13, ""R""), ""2"","""")"),"2")</f>
        <v>2</v>
      </c>
      <c r="CW13" s="246" t="str">
        <f>IFERROR(__xludf.DUMMYFUNCTION("IF(REGEXMATCH(I13, ""g""), ""b3"","""")"),"")</f>
        <v/>
      </c>
      <c r="CX13" s="245" t="str">
        <f>IFERROR(__xludf.DUMMYFUNCTION("IF(REGEXMATCH(I13, ""G""), ""3"","""")"),"3")</f>
        <v>3</v>
      </c>
      <c r="CY13" s="245" t="str">
        <f>IFERROR(__xludf.DUMMYFUNCTION("IF(REGEXMATCH(I13, ""m""), ""4"","""")"),"")</f>
        <v/>
      </c>
      <c r="CZ13" s="246" t="str">
        <f>IFERROR(__xludf.DUMMYFUNCTION("IF(REGEXMATCH(I13, ""M""), ""#4"","""")"),"#4")</f>
        <v>#4</v>
      </c>
      <c r="DA13" s="245" t="str">
        <f>IFERROR(__xludf.DUMMYFUNCTION("IF(REGEXMATCH(I13, ""P""), ""5"","""")"),"5")</f>
        <v>5</v>
      </c>
      <c r="DB13" s="246" t="str">
        <f>IFERROR(__xludf.DUMMYFUNCTION("IF(REGEXMATCH(I13, ""d""), ""b6"","""")"),"b6")</f>
        <v>b6</v>
      </c>
      <c r="DC13" s="245" t="str">
        <f>IFERROR(__xludf.DUMMYFUNCTION("IF(REGEXMATCH(I13, ""D""), ""6"","""")"),"")</f>
        <v/>
      </c>
      <c r="DD13" s="245" t="str">
        <f>IFERROR(__xludf.DUMMYFUNCTION("IF(REGEXMATCH(I13, ""n""), ""b7"","""")"),"b7")</f>
        <v>b7</v>
      </c>
      <c r="DE13" s="246" t="str">
        <f>IFERROR(__xludf.DUMMYFUNCTION("IF(REGEXMATCH(I13, ""N""), ""7"","""")"),"")</f>
        <v/>
      </c>
      <c r="DF13" s="249" t="str">
        <f>IFERROR(__xludf.DUMMYFUNCTION("IF(REGEXMATCH(I13, ""S""), ""8"","""")"),"8")</f>
        <v>8</v>
      </c>
      <c r="DG13" s="244" t="str">
        <f>IFERROR(__xludf.DUMMYFUNCTION("IF(REGEXMATCH(I13, ""S""), ""S"","""")"),"S")</f>
        <v>S</v>
      </c>
      <c r="DH13" s="294" t="str">
        <f>IFERROR(__xludf.DUMMYFUNCTION("IF(REGEXMATCH(I13, ""r""), ""R1"","""")"),"")</f>
        <v/>
      </c>
      <c r="DI13" s="295" t="str">
        <f>IFERROR(__xludf.DUMMYFUNCTION("IF(REGEXMATCH(I13, ""R""), ""R2"","""")"),"R2")</f>
        <v>R2</v>
      </c>
      <c r="DJ13" s="295" t="str">
        <f>IFERROR(__xludf.DUMMYFUNCTION("IF(REGEXMATCH(I13, ""g""), ""G2"","""")"),"")</f>
        <v/>
      </c>
      <c r="DK13" s="294" t="str">
        <f>IFERROR(__xludf.DUMMYFUNCTION("IF(REGEXMATCH(I13, ""G""), ""G3"","""")"),"G3")</f>
        <v>G3</v>
      </c>
      <c r="DL13" s="294" t="str">
        <f>IFERROR(__xludf.DUMMYFUNCTION("IF(REGEXMATCH(I13, ""m""), ""M1"","""")"),"")</f>
        <v/>
      </c>
      <c r="DM13" s="295" t="str">
        <f>IFERROR(__xludf.DUMMYFUNCTION("IF(REGEXMATCH(I13, ""M""), ""M2"","""")"),"M2")</f>
        <v>M2</v>
      </c>
      <c r="DN13" s="294" t="str">
        <f>IFERROR(__xludf.DUMMYFUNCTION("IF(REGEXMATCH(I13, ""P""), ""P"","""")"),"P")</f>
        <v>P</v>
      </c>
      <c r="DO13" s="295" t="str">
        <f>IFERROR(__xludf.DUMMYFUNCTION("IF(REGEXMATCH(I13, ""d""), ""D1"","""")"),"D1")</f>
        <v>D1</v>
      </c>
      <c r="DP13" s="294" t="str">
        <f>IFERROR(__xludf.DUMMYFUNCTION("IF(REGEXMATCH(I13, ""D""), ""D2"","""")"),"")</f>
        <v/>
      </c>
      <c r="DQ13" s="294" t="str">
        <f>IFERROR(__xludf.DUMMYFUNCTION("IF(REGEXMATCH(I13, ""n""), ""N2"","""")"),"N2")</f>
        <v>N2</v>
      </c>
      <c r="DR13" s="295" t="str">
        <f>IFERROR(__xludf.DUMMYFUNCTION("IF(REGEXMATCH(I13, ""N""), ""N3"","""")"),"")</f>
        <v/>
      </c>
      <c r="DS13" s="249" t="str">
        <f>IFERROR(__xludf.DUMMYFUNCTION("IF(REGEXMATCH(I13, ""S""), ""S"","""")"),"S")</f>
        <v>S</v>
      </c>
      <c r="DT13" s="299" t="str">
        <f>IFERROR(__xludf.DUMMYFUNCTION("SUBSTITUTE(SUBSTITUTE(SUBSTITUTE(SUBSTITUTE(CONCATENATE(JOIN(""-"",CT13:DF13)),""--"",""-""),""--"",""-""),""--"",""-""),""--"",""-"")"),"1-2-3-#4-5-b6-b7-8")</f>
        <v>1-2-3-#4-5-b6-b7-8</v>
      </c>
      <c r="DU13" s="299" t="str">
        <f>IFERROR(__xludf.DUMMYFUNCTION("SUBSTITUTE(SUBSTITUTE(SUBSTITUTE(SUBSTITUTE(CONCATENATE(JOIN(""-"",DG13:DS13)),""--"",""-""),""--"",""-""),""--"",""-""),""--"",""-"")"),"S-R2-G3-M2-P-D1-N2-S")</f>
        <v>S-R2-G3-M2-P-D1-N2-S</v>
      </c>
      <c r="DV13" s="348" t="str">
        <f t="shared" si="43"/>
        <v>C-D-E-F#-G-Ab-Bb-C</v>
      </c>
      <c r="DW13" s="301">
        <f t="shared" si="44"/>
        <v>7</v>
      </c>
      <c r="DX13" s="302" t="str">
        <f t="shared" si="45"/>
        <v>Sampurna</v>
      </c>
      <c r="DY13" s="301" t="str">
        <f t="shared" ref="DY13:DZ13" si="179">SUBSTITUTE(Y13,"-","")</f>
        <v>SRGM</v>
      </c>
      <c r="DZ13" s="301" t="str">
        <f t="shared" si="179"/>
        <v>PDNS</v>
      </c>
      <c r="EA13" s="302" t="str">
        <f t="shared" si="47"/>
        <v>(PAIR)</v>
      </c>
      <c r="EB13" s="301" t="str">
        <f t="shared" si="48"/>
        <v>Hemi.</v>
      </c>
      <c r="EC13" s="364" t="str">
        <f t="shared" si="49"/>
        <v>Cohem.</v>
      </c>
      <c r="ED13" s="306" t="str">
        <f t="shared" si="50"/>
        <v>-</v>
      </c>
      <c r="EE13" s="366" t="str">
        <f t="shared" si="51"/>
        <v>-</v>
      </c>
      <c r="EF13" s="308" t="str">
        <f t="shared" si="52"/>
        <v>✔</v>
      </c>
      <c r="EG13" s="306" t="str">
        <f t="shared" si="53"/>
        <v>-</v>
      </c>
      <c r="EH13" s="306" t="str">
        <f t="shared" si="54"/>
        <v>-</v>
      </c>
      <c r="EI13" s="367" t="str">
        <f t="shared" si="55"/>
        <v>✔</v>
      </c>
      <c r="EJ13" s="310" t="str">
        <f t="shared" si="56"/>
        <v>-</v>
      </c>
      <c r="EK13" s="310" t="str">
        <f t="shared" si="57"/>
        <v>-</v>
      </c>
      <c r="EL13" s="310" t="str">
        <f t="shared" si="58"/>
        <v>-</v>
      </c>
      <c r="EM13" s="310" t="str">
        <f t="shared" si="59"/>
        <v>-</v>
      </c>
      <c r="EN13" s="370" t="str">
        <f t="shared" si="60"/>
        <v>-</v>
      </c>
      <c r="EO13" s="306" t="str">
        <f t="shared" si="61"/>
        <v>-</v>
      </c>
      <c r="EP13" s="306" t="str">
        <f t="shared" si="62"/>
        <v>-</v>
      </c>
      <c r="EQ13" s="306" t="str">
        <f t="shared" si="63"/>
        <v>-</v>
      </c>
      <c r="ER13" s="306" t="str">
        <f t="shared" si="64"/>
        <v>-</v>
      </c>
      <c r="ES13" s="306" t="str">
        <f t="shared" si="65"/>
        <v>-</v>
      </c>
      <c r="ET13" s="367" t="str">
        <f t="shared" si="66"/>
        <v>-</v>
      </c>
      <c r="EU13" s="310" t="str">
        <f>IFERROR(__xludf.DUMMYFUNCTION("IF(REGEXMATCH(BH13,BD13),""✔"",""-"")"),"✔")</f>
        <v>✔</v>
      </c>
      <c r="EV13" s="310" t="str">
        <f t="shared" si="67"/>
        <v>-</v>
      </c>
      <c r="EW13" s="370" t="str">
        <f t="shared" si="68"/>
        <v>-</v>
      </c>
      <c r="EX13" s="315" t="str">
        <f t="shared" si="69"/>
        <v>[UQ]</v>
      </c>
      <c r="EY13" s="317" t="str">
        <f t="shared" si="70"/>
        <v>S-R-G-M-P-d-n-S</v>
      </c>
      <c r="EZ13" s="318" t="str">
        <f>IFERROR(__xludf.DUMMYFUNCTION("CONCATENATE(JOIN("""",GE13:GQ13))"),"SRGmMdnS")</f>
        <v>SRGmMdnS</v>
      </c>
      <c r="FA13" s="318"/>
      <c r="FB13" s="318"/>
      <c r="FC13" s="321">
        <f t="shared" si="71"/>
        <v>5</v>
      </c>
      <c r="FD13" s="318" t="str">
        <f>IFERROR(__xludf.DUMMYFUNCTION("CONCATENATE(JOIN("""",HR13:ID13))"),"Re, Ga, Ma, dha, ni, ")</f>
        <v>Re, Ga, Ma, dha, ni, </v>
      </c>
      <c r="FE13" s="322">
        <f t="shared" si="72"/>
        <v>4</v>
      </c>
      <c r="FF13" s="324" t="str">
        <f>IFERROR(__xludf.DUMMYFUNCTION("CONCATENATE(JOIN("""",IR13:JD13))"),"Ga, Ma, dha, ni, ")</f>
        <v>Ga, Ma, dha, ni, </v>
      </c>
      <c r="FG13" s="325" t="str">
        <f t="shared" si="73"/>
        <v>S-R2-G3-M2-P-D1-N2-S</v>
      </c>
      <c r="FH13" s="326" t="str">
        <f t="shared" si="74"/>
        <v>1-2-3-#4-5-b6-b7-8</v>
      </c>
      <c r="FI13" s="326" t="str">
        <f t="shared" si="75"/>
        <v>0-2-4-6-7-8-10-0</v>
      </c>
      <c r="FJ13" s="318"/>
      <c r="FK13" s="328" t="str">
        <f>IFERROR(__xludf.DUMMYFUNCTION("SUBSTITUTE(SUBSTITUTE(SUBSTITUTE(SUBSTITUTE(CONCATENATE(JOIN("" "",FN13:FZ13)),""  "","" ""),""  "","" ""),""  "","" ""),""  "","" "")"),"o • o • o • o o o • o • o")</f>
        <v>o • o • o • o o o • o • o</v>
      </c>
      <c r="FL13" s="328" t="str">
        <f t="shared" si="76"/>
        <v>Sa-Pa</v>
      </c>
      <c r="FM13" s="329"/>
      <c r="FN13" s="331" t="str">
        <f t="shared" si="77"/>
        <v>o</v>
      </c>
      <c r="FO13" s="332" t="str">
        <f t="shared" si="78"/>
        <v>•</v>
      </c>
      <c r="FP13" s="332" t="str">
        <f t="shared" si="79"/>
        <v>o</v>
      </c>
      <c r="FQ13" s="332" t="str">
        <f t="shared" si="80"/>
        <v>•</v>
      </c>
      <c r="FR13" s="332" t="str">
        <f t="shared" si="81"/>
        <v>o</v>
      </c>
      <c r="FS13" s="332" t="str">
        <f t="shared" si="82"/>
        <v>•</v>
      </c>
      <c r="FT13" s="332" t="str">
        <f t="shared" si="83"/>
        <v>o</v>
      </c>
      <c r="FU13" s="332" t="str">
        <f t="shared" si="84"/>
        <v>o</v>
      </c>
      <c r="FV13" s="332" t="str">
        <f t="shared" si="85"/>
        <v>o</v>
      </c>
      <c r="FW13" s="332" t="str">
        <f t="shared" si="86"/>
        <v>•</v>
      </c>
      <c r="FX13" s="332" t="str">
        <f t="shared" si="87"/>
        <v>o</v>
      </c>
      <c r="FY13" s="332" t="str">
        <f t="shared" si="88"/>
        <v>•</v>
      </c>
      <c r="FZ13" s="338" t="str">
        <f t="shared" si="89"/>
        <v>o</v>
      </c>
      <c r="GA13" s="339" t="str">
        <f t="shared" si="90"/>
        <v>Sa-Pa</v>
      </c>
      <c r="GB13" s="339" t="str">
        <f t="shared" si="91"/>
        <v>Sa-Pa</v>
      </c>
      <c r="GC13" s="339" t="str">
        <f t="shared" si="92"/>
        <v>-</v>
      </c>
      <c r="GD13" s="340" t="str">
        <f t="shared" si="93"/>
        <v>-</v>
      </c>
      <c r="GE13" s="331" t="str">
        <f t="shared" si="94"/>
        <v>S</v>
      </c>
      <c r="GF13" s="332" t="str">
        <f t="shared" si="95"/>
        <v/>
      </c>
      <c r="GG13" s="332" t="str">
        <f t="shared" si="96"/>
        <v>R</v>
      </c>
      <c r="GH13" s="332" t="str">
        <f t="shared" si="97"/>
        <v/>
      </c>
      <c r="GI13" s="332" t="str">
        <f t="shared" si="98"/>
        <v>G</v>
      </c>
      <c r="GJ13" s="332" t="str">
        <f t="shared" si="99"/>
        <v>m</v>
      </c>
      <c r="GK13" s="332" t="str">
        <f t="shared" si="100"/>
        <v>M</v>
      </c>
      <c r="GL13" s="332" t="str">
        <f t="shared" si="101"/>
        <v/>
      </c>
      <c r="GM13" s="332" t="str">
        <f t="shared" si="102"/>
        <v>d</v>
      </c>
      <c r="GN13" s="332" t="str">
        <f t="shared" si="103"/>
        <v/>
      </c>
      <c r="GO13" s="332" t="str">
        <f t="shared" si="104"/>
        <v>n</v>
      </c>
      <c r="GP13" s="332" t="str">
        <f t="shared" si="105"/>
        <v/>
      </c>
      <c r="GQ13" s="343" t="str">
        <f t="shared" si="106"/>
        <v>S</v>
      </c>
      <c r="GR13" s="331" t="str">
        <f t="shared" si="107"/>
        <v>•</v>
      </c>
      <c r="GS13" s="332" t="str">
        <f t="shared" si="108"/>
        <v>o</v>
      </c>
      <c r="GT13" s="332" t="str">
        <f t="shared" si="109"/>
        <v>•</v>
      </c>
      <c r="GU13" s="332" t="str">
        <f t="shared" si="110"/>
        <v>o</v>
      </c>
      <c r="GV13" s="332" t="str">
        <f t="shared" si="111"/>
        <v>•</v>
      </c>
      <c r="GW13" s="332" t="str">
        <f t="shared" si="112"/>
        <v>o</v>
      </c>
      <c r="GX13" s="332" t="str">
        <f t="shared" si="113"/>
        <v>•</v>
      </c>
      <c r="GY13" s="332" t="str">
        <f t="shared" si="114"/>
        <v>•</v>
      </c>
      <c r="GZ13" s="332" t="str">
        <f t="shared" si="115"/>
        <v>•</v>
      </c>
      <c r="HA13" s="332" t="str">
        <f t="shared" si="116"/>
        <v>o</v>
      </c>
      <c r="HB13" s="332" t="str">
        <f t="shared" si="117"/>
        <v>•</v>
      </c>
      <c r="HC13" s="332" t="str">
        <f t="shared" si="118"/>
        <v>o</v>
      </c>
      <c r="HD13" s="338" t="str">
        <f t="shared" si="119"/>
        <v>•</v>
      </c>
      <c r="HE13" s="346" t="b">
        <f t="shared" si="120"/>
        <v>0</v>
      </c>
      <c r="HF13" s="347" t="b">
        <f t="shared" si="121"/>
        <v>0</v>
      </c>
      <c r="HG13" s="347" t="b">
        <f t="shared" si="122"/>
        <v>1</v>
      </c>
      <c r="HH13" s="347" t="b">
        <f t="shared" si="123"/>
        <v>0</v>
      </c>
      <c r="HI13" s="347" t="b">
        <f t="shared" si="124"/>
        <v>1</v>
      </c>
      <c r="HJ13" s="347" t="b">
        <f t="shared" si="125"/>
        <v>0</v>
      </c>
      <c r="HK13" s="347" t="b">
        <f t="shared" si="126"/>
        <v>1</v>
      </c>
      <c r="HL13" s="347" t="b">
        <f t="shared" si="127"/>
        <v>0</v>
      </c>
      <c r="HM13" s="347" t="b">
        <f t="shared" si="128"/>
        <v>1</v>
      </c>
      <c r="HN13" s="347" t="b">
        <f t="shared" si="129"/>
        <v>0</v>
      </c>
      <c r="HO13" s="347" t="b">
        <f t="shared" si="130"/>
        <v>1</v>
      </c>
      <c r="HP13" s="347" t="b">
        <f t="shared" si="131"/>
        <v>0</v>
      </c>
      <c r="HQ13" s="353" t="b">
        <f t="shared" si="132"/>
        <v>0</v>
      </c>
      <c r="HR13" s="354" t="str">
        <f t="shared" si="133"/>
        <v/>
      </c>
      <c r="HS13" s="355" t="str">
        <f t="shared" si="134"/>
        <v/>
      </c>
      <c r="HT13" s="355" t="str">
        <f t="shared" si="135"/>
        <v>Re, </v>
      </c>
      <c r="HU13" s="355" t="str">
        <f t="shared" si="136"/>
        <v/>
      </c>
      <c r="HV13" s="355" t="str">
        <f t="shared" si="137"/>
        <v>Ga, </v>
      </c>
      <c r="HW13" s="355" t="str">
        <f t="shared" si="138"/>
        <v/>
      </c>
      <c r="HX13" s="355" t="str">
        <f t="shared" si="139"/>
        <v>Ma, </v>
      </c>
      <c r="HY13" s="355" t="str">
        <f t="shared" si="140"/>
        <v/>
      </c>
      <c r="HZ13" s="355" t="str">
        <f t="shared" si="141"/>
        <v>dha, </v>
      </c>
      <c r="IA13" s="355" t="str">
        <f t="shared" si="142"/>
        <v/>
      </c>
      <c r="IB13" s="355" t="str">
        <f t="shared" si="143"/>
        <v>ni, </v>
      </c>
      <c r="IC13" s="355" t="str">
        <f t="shared" si="144"/>
        <v/>
      </c>
      <c r="ID13" s="359" t="str">
        <f t="shared" si="145"/>
        <v/>
      </c>
      <c r="IE13" s="346" t="b">
        <f t="shared" si="146"/>
        <v>0</v>
      </c>
      <c r="IF13" s="347" t="b">
        <f t="shared" si="147"/>
        <v>0</v>
      </c>
      <c r="IG13" s="347" t="b">
        <f t="shared" si="148"/>
        <v>0</v>
      </c>
      <c r="IH13" s="347" t="b">
        <f t="shared" si="149"/>
        <v>0</v>
      </c>
      <c r="II13" s="347" t="b">
        <f t="shared" si="150"/>
        <v>1</v>
      </c>
      <c r="IJ13" s="347" t="b">
        <f t="shared" si="151"/>
        <v>0</v>
      </c>
      <c r="IK13" s="347" t="b">
        <f t="shared" si="152"/>
        <v>1</v>
      </c>
      <c r="IL13" s="347" t="b">
        <f t="shared" si="153"/>
        <v>0</v>
      </c>
      <c r="IM13" s="347" t="b">
        <f t="shared" si="154"/>
        <v>1</v>
      </c>
      <c r="IN13" s="347" t="b">
        <f t="shared" si="155"/>
        <v>0</v>
      </c>
      <c r="IO13" s="347" t="b">
        <f t="shared" si="156"/>
        <v>1</v>
      </c>
      <c r="IP13" s="347" t="b">
        <f t="shared" si="157"/>
        <v>0</v>
      </c>
      <c r="IQ13" s="365" t="b">
        <f t="shared" si="158"/>
        <v>0</v>
      </c>
      <c r="IR13" s="354" t="str">
        <f t="shared" si="159"/>
        <v/>
      </c>
      <c r="IS13" s="355" t="str">
        <f t="shared" si="160"/>
        <v/>
      </c>
      <c r="IT13" s="355" t="str">
        <f t="shared" si="161"/>
        <v/>
      </c>
      <c r="IU13" s="355" t="str">
        <f t="shared" si="162"/>
        <v/>
      </c>
      <c r="IV13" s="355" t="str">
        <f t="shared" si="163"/>
        <v>Ga, </v>
      </c>
      <c r="IW13" s="355" t="str">
        <f t="shared" si="164"/>
        <v/>
      </c>
      <c r="IX13" s="355" t="str">
        <f t="shared" si="165"/>
        <v>Ma, </v>
      </c>
      <c r="IY13" s="355" t="str">
        <f t="shared" si="166"/>
        <v/>
      </c>
      <c r="IZ13" s="355" t="str">
        <f t="shared" si="167"/>
        <v>dha, </v>
      </c>
      <c r="JA13" s="355" t="str">
        <f t="shared" si="168"/>
        <v/>
      </c>
      <c r="JB13" s="355" t="str">
        <f t="shared" si="169"/>
        <v>ni, </v>
      </c>
      <c r="JC13" s="355" t="str">
        <f t="shared" si="170"/>
        <v/>
      </c>
      <c r="JD13" s="359"/>
      <c r="JE13" s="321"/>
      <c r="JF13" s="368"/>
      <c r="JG13" s="369"/>
      <c r="JH13" s="369"/>
      <c r="JI13" s="369"/>
      <c r="JJ13" s="369"/>
      <c r="JK13" s="369"/>
      <c r="JL13" s="369"/>
      <c r="JM13" s="369"/>
      <c r="JN13" s="369"/>
      <c r="JO13" s="369"/>
      <c r="JP13" s="369"/>
    </row>
    <row r="14" ht="20.25" customHeight="1">
      <c r="A14" s="221" t="s">
        <v>450</v>
      </c>
      <c r="B14" s="222">
        <v>12.0</v>
      </c>
      <c r="C14" s="223" t="s">
        <v>451</v>
      </c>
      <c r="D14" s="224" t="s">
        <v>452</v>
      </c>
      <c r="E14" s="225" t="str">
        <f t="shared" si="5"/>
        <v>[UQ]</v>
      </c>
      <c r="F14" s="227">
        <f t="shared" si="6"/>
        <v>7</v>
      </c>
      <c r="G14" s="229">
        <f t="shared" si="7"/>
        <v>7</v>
      </c>
      <c r="H14" s="230">
        <f t="shared" si="8"/>
        <v>0</v>
      </c>
      <c r="I14" s="233" t="str">
        <f t="shared" si="9"/>
        <v>SrGMPdnS</v>
      </c>
      <c r="J14" s="234" t="str">
        <f>IFERROR(__xludf.DUMMYFUNCTION("IF(REGEXMATCH(I14, ""S""), ""S"","""")"),"S")</f>
        <v>S</v>
      </c>
      <c r="K14" s="236" t="str">
        <f>IFERROR(__xludf.DUMMYFUNCTION("IF(REGEXMATCH(I14, ""r""), ""r"","""")"),"r")</f>
        <v>r</v>
      </c>
      <c r="L14" s="237" t="str">
        <f>IFERROR(__xludf.DUMMYFUNCTION("IF(REGEXMATCH(I14, ""R""), ""R"","""")"),"")</f>
        <v/>
      </c>
      <c r="M14" s="237" t="str">
        <f>IFERROR(__xludf.DUMMYFUNCTION("IF(REGEXMATCH(I14, ""g""), ""g"","""")"),"")</f>
        <v/>
      </c>
      <c r="N14" s="236" t="str">
        <f>IFERROR(__xludf.DUMMYFUNCTION("IF(REGEXMATCH(I14, ""G""), ""G"","""")"),"G")</f>
        <v>G</v>
      </c>
      <c r="O14" s="236" t="str">
        <f>IFERROR(__xludf.DUMMYFUNCTION("IF(REGEXMATCH(I14, ""m""), ""m"","""")"),"")</f>
        <v/>
      </c>
      <c r="P14" s="237" t="str">
        <f>IFERROR(__xludf.DUMMYFUNCTION("IF(REGEXMATCH(I14, ""M""), ""M"","""")"),"M")</f>
        <v>M</v>
      </c>
      <c r="Q14" s="236" t="str">
        <f>IFERROR(__xludf.DUMMYFUNCTION("IF(REGEXMATCH(I14, ""P""), ""P"","""")"),"P")</f>
        <v>P</v>
      </c>
      <c r="R14" s="237" t="str">
        <f>IFERROR(__xludf.DUMMYFUNCTION("IF(REGEXMATCH(I14, ""d""), ""d"","""")"),"d")</f>
        <v>d</v>
      </c>
      <c r="S14" s="236" t="str">
        <f>IFERROR(__xludf.DUMMYFUNCTION("IF(REGEXMATCH(I14, ""D""), ""D"","""")"),"")</f>
        <v/>
      </c>
      <c r="T14" s="236" t="str">
        <f>IFERROR(__xludf.DUMMYFUNCTION("IF(REGEXMATCH(I14, ""n""), ""n"","""")"),"n")</f>
        <v>n</v>
      </c>
      <c r="U14" s="237" t="str">
        <f>IFERROR(__xludf.DUMMYFUNCTION("IF(REGEXMATCH(I14, ""N""), ""N"","""")"),"")</f>
        <v/>
      </c>
      <c r="V14" s="238" t="str">
        <f>IFERROR(__xludf.DUMMYFUNCTION("IF(REGEXMATCH(I14, ""S""), ""S"","""")"),"S")</f>
        <v>S</v>
      </c>
      <c r="W14" s="239" t="str">
        <f>IFERROR(__xludf.DUMMYFUNCTION("SUBSTITUTE(CONCATENATE(JOIN(""-"",J14:P14)),""-"","""")"),"SrGM")</f>
        <v>SrGM</v>
      </c>
      <c r="X14" s="229" t="str">
        <f>IFERROR(__xludf.DUMMYFUNCTION("SUBSTITUTE(CONCATENATE(JOIN(""-"",Q14:V14)),""-"","""")"),"PdnS")</f>
        <v>PdnS</v>
      </c>
      <c r="Y14" s="282" t="str">
        <f t="shared" si="10"/>
        <v>S-R-G-M</v>
      </c>
      <c r="Z14" s="282" t="str">
        <f t="shared" si="11"/>
        <v>P-D-N-S</v>
      </c>
      <c r="AA14" s="309" t="str">
        <f t="shared" si="12"/>
        <v>rGMdn</v>
      </c>
      <c r="AB14" s="244" t="str">
        <f>IFERROR(__xludf.DUMMYFUNCTION("IF(REGEXMATCH(I14, ""S""), ""0"","""")"),"0")</f>
        <v>0</v>
      </c>
      <c r="AC14" s="245" t="str">
        <f>IFERROR(__xludf.DUMMYFUNCTION("IF(REGEXMATCH(I14, ""r""), ""1"","""")"),"1")</f>
        <v>1</v>
      </c>
      <c r="AD14" s="246" t="str">
        <f>IFERROR(__xludf.DUMMYFUNCTION("IF(REGEXMATCH(I14, ""R""), ""2"","""")"),"")</f>
        <v/>
      </c>
      <c r="AE14" s="246" t="str">
        <f>IFERROR(__xludf.DUMMYFUNCTION("IF(REGEXMATCH(I14, ""g""), ""3"","""")"),"")</f>
        <v/>
      </c>
      <c r="AF14" s="245" t="str">
        <f>IFERROR(__xludf.DUMMYFUNCTION("IF(REGEXMATCH(I14, ""G""), ""4"","""")"),"4")</f>
        <v>4</v>
      </c>
      <c r="AG14" s="245" t="str">
        <f>IFERROR(__xludf.DUMMYFUNCTION("IF(REGEXMATCH(I14, ""m""), ""5"","""")"),"")</f>
        <v/>
      </c>
      <c r="AH14" s="246" t="str">
        <f>IFERROR(__xludf.DUMMYFUNCTION("IF(REGEXMATCH(I14, ""M""), ""6"","""")"),"6")</f>
        <v>6</v>
      </c>
      <c r="AI14" s="245" t="str">
        <f>IFERROR(__xludf.DUMMYFUNCTION("IF(REGEXMATCH(I14, ""P""), ""7"","""")"),"7")</f>
        <v>7</v>
      </c>
      <c r="AJ14" s="246" t="str">
        <f>IFERROR(__xludf.DUMMYFUNCTION("IF(REGEXMATCH(I14, ""d""), ""8"","""")"),"8")</f>
        <v>8</v>
      </c>
      <c r="AK14" s="245" t="str">
        <f>IFERROR(__xludf.DUMMYFUNCTION("IF(REGEXMATCH(I14, ""D""), ""9"","""")"),"")</f>
        <v/>
      </c>
      <c r="AL14" s="245" t="str">
        <f>IFERROR(__xludf.DUMMYFUNCTION("IF(REGEXMATCH(I14, ""n""), ""10"","""")"),"10")</f>
        <v>10</v>
      </c>
      <c r="AM14" s="246" t="str">
        <f>IFERROR(__xludf.DUMMYFUNCTION("IF(REGEXMATCH(I14, ""N""), ""11"","""")"),"")</f>
        <v/>
      </c>
      <c r="AN14" s="249" t="str">
        <f>IFERROR(__xludf.DUMMYFUNCTION("IF(REGEXMATCH(I14, ""S""), ""0"","""")"),"0")</f>
        <v>0</v>
      </c>
      <c r="AO14" s="250" t="str">
        <f>IFERROR(__xludf.DUMMYFUNCTION("SUBSTITUTE(SUBSTITUTE(SUBSTITUTE(SUBSTITUTE(CONCATENATE(JOIN(""-"",AB14:AN14)),""--"",""-""),""--"",""-""),""--"",""-""),""--"",""-"")"),"0-1-4-6-7-8-10-0")</f>
        <v>0-1-4-6-7-8-10-0</v>
      </c>
      <c r="AP14" s="251">
        <f t="shared" si="13"/>
        <v>0</v>
      </c>
      <c r="AQ14" s="234" t="str">
        <f t="shared" si="14"/>
        <v>|</v>
      </c>
      <c r="AR14" s="236" t="str">
        <f t="shared" si="15"/>
        <v>|</v>
      </c>
      <c r="AS14" s="237" t="str">
        <f t="shared" si="16"/>
        <v>-</v>
      </c>
      <c r="AT14" s="236" t="str">
        <f t="shared" si="17"/>
        <v>-</v>
      </c>
      <c r="AU14" s="237" t="str">
        <f t="shared" si="18"/>
        <v>|</v>
      </c>
      <c r="AV14" s="236" t="str">
        <f t="shared" si="19"/>
        <v>-</v>
      </c>
      <c r="AW14" s="237" t="str">
        <f t="shared" si="20"/>
        <v>|</v>
      </c>
      <c r="AX14" s="236" t="str">
        <f t="shared" si="21"/>
        <v>|</v>
      </c>
      <c r="AY14" s="237" t="str">
        <f t="shared" si="22"/>
        <v>|</v>
      </c>
      <c r="AZ14" s="236" t="str">
        <f t="shared" si="23"/>
        <v>-</v>
      </c>
      <c r="BA14" s="237" t="str">
        <f t="shared" si="24"/>
        <v>|</v>
      </c>
      <c r="BB14" s="236" t="str">
        <f t="shared" si="25"/>
        <v>-</v>
      </c>
      <c r="BC14" s="238" t="str">
        <f t="shared" si="26"/>
        <v>|</v>
      </c>
      <c r="BD14" s="250" t="str">
        <f>IFERROR(__xludf.DUMMYFUNCTION("SUBSTITUTE(SUBSTITUTE(CONCATENATE(JOIN("""",AQ14:BB14)),""|"",""x""),""-"",""o"")"),"xxooxoxxxoxo")</f>
        <v>xxooxoxxxoxo</v>
      </c>
      <c r="BE14" s="323" t="str">
        <f>IFERROR(__xludf.DUMMYFUNCTION("JOIN("""",BD14,BD14)"),"xxooxoxxxoxoxxooxoxxxoxo")</f>
        <v>xxooxoxxxoxoxxooxoxxxoxo</v>
      </c>
      <c r="BF14" s="256" t="str">
        <f>IFERROR(__xludf.DUMMYFUNCTION("JOIN("""",ArrayFormula(MID(BD14,LEN(BD14)-SEQUENCE(1,LEN(BD14))+1,1)))"),"oxoxxxoxooxx")</f>
        <v>oxoxxxoxooxx</v>
      </c>
      <c r="BG14" s="256" t="str">
        <f>IFERROR(__xludf.DUMMYFUNCTION("LEFT(CONCATENATE(""x"",JOIN("""",ArrayFormula(MID(BD14,LEN(BD14)-SEQUENCE(1,LEN(BD14))+1,1)))),12)"),"xoxoxxxoxoox")</f>
        <v>xoxoxxxoxoox</v>
      </c>
      <c r="BH14" s="327" t="str">
        <f>IFERROR(__xludf.DUMMYFUNCTION("JOIN("""",BF14,BF14)"),"oxoxxxoxooxxoxoxxxoxooxx")</f>
        <v>oxoxxxoxooxxoxoxxxoxooxx</v>
      </c>
      <c r="BI14" s="239" t="str">
        <f>IFERROR(__xludf.DUMMYFUNCTION("IF(REGEXMATCH(BH14,BD14),""✔"",""-"")"),"-")</f>
        <v>-</v>
      </c>
      <c r="BJ14" s="330" t="str">
        <f t="shared" si="27"/>
        <v>-</v>
      </c>
      <c r="BK14" s="260" t="str">
        <f t="shared" si="28"/>
        <v>-</v>
      </c>
      <c r="BL14" s="261" t="str">
        <f>IFERROR(__xludf.DUMMYFUNCTION("IF(BO14=0,""(n/a)"",IF(BP14=2,""(PAIR)"",IF(REGEXMATCH(BE14,""xoxoxxoxoxox""),""Bilawal"",IF(REGEXMATCH(BE14,""xoxoxooxoxoo""),""Bhupali"",IF(REGEXMATCH(BE14,""xoxoxxoxxoxo""),""Charukeshi"",IF(REGEXMATCH(BE14,""xoxoooxxoxxo""),""Kameshwari"",IF(REGEXMATC"&amp;"H(BE14,""xoxoxooxoxox""),""Shankara"",IF(REGEXMATCH(BE14,""xxooxoxxxoox""),""Basant"",IF(REGEXMATCH(BE14,""xoxoxxxxoxox""),""Bihag"",IF(REGEXMATCH(BE14,""xoxxxxoxoxxx""),""Pilu"",IF(REGEXMATCH(BE14,""xoxxoxoxxoox""),""Kirwani"",IF(REGEXMATCH(BE14,""xoxxox"&amp;"oxoxxx""),""Mk.Malhar"",IF(REGEXMATCH(BE14,""xxooxxoxxoox""),""Bhairav"",IF(REGEXMATCH(BE14,""xxoxooxxxoox""),""Todi"",IF(REGEXMATCH(BE14,""xxooxoxooxox""),""Marwa"",IF(REGEXMATCH(BE14,""xxoooxoxxooo""),""Gunkali"",IF(REGEXMATCH(BE14,""xoxoxxoxxoox""),""N"&amp;"at Bhairav"",IF(REGEXMATCH(BE14,""xoxxoooxoxoo""),""Shivranjani"",IF(REGEXMATCH(BE14,""xooxxxoxooxo""),""Jog"",IF(REGEXMATCH(BE14,""xxooxoxoxoox""),""Hemshri"",IF(REGEXMATCH(BE14,""xoooxooxoxxo""),""Kalavati"",IF(REGEXMATCH(BE14,""xxoxoxxoxoox""),""Kedar"&amp;""",IF(REGEXMATCH(BE14,""xoxxxxoxooxx""),""Gara"",IF(REGEXMATCH(BE14,""xooxoxooxoox""),""Chandrakauns"",IF(REGEXMATCH(BE14,""xoxxxxoxxxox""),""Mand"",IF(REGEXMATCH(BE14,""xoxxxxoxoxox""),""Hanskinkini"",IF(REGEXMATCH(BE14,""xxooxxoxooxo""),""Lilavati"",IF("&amp;"REGEXMATCH(BE14,""xooxoxoooxox""),""Rajeshwari"",IF(REGEXMATCH(BE14,""xoooxxoxoxxx""),""Khokar"",IF(REGEXMATCH(BE14,""xxooxoxxxxox""),""Maligoura"",""-""))))))))))))))))))))))))))))))"),"(n/a)")</f>
        <v>(n/a)</v>
      </c>
      <c r="BM14" s="239">
        <f t="shared" si="29"/>
        <v>6</v>
      </c>
      <c r="BN14" s="239">
        <f>IFERROR(__xludf.DUMMYFUNCTION("COUNTUNIQUE(BR14:CB14)-1"),6.0)</f>
        <v>6</v>
      </c>
      <c r="BO14" s="239">
        <f>IFERROR(__xludf.DUMMYFUNCTION("COUNTUNIQUE(FILTER(BE:BE,REGEXMATCH(BE:BE,BD14)))-1"),0.0)</f>
        <v>0</v>
      </c>
      <c r="BP14" s="239">
        <f>IFERROR(__xludf.DUMMYFUNCTION("COUNTA(FILTER(BE:BE,REGEXMATCH(BE:BE,BD14)))"),1.0)</f>
        <v>1</v>
      </c>
      <c r="BQ14" s="341">
        <f>IFERROR(__xludf.DUMMYFUNCTION("COUNTA(FILTER(BE:BE,REGEXMATCH(BE:BE,BD14)))-AP14"),1.0)</f>
        <v>1</v>
      </c>
      <c r="BR14" s="269" t="str">
        <f t="shared" si="30"/>
        <v>xooxoxxxoxo</v>
      </c>
      <c r="BS14" s="269" t="str">
        <f t="shared" si="31"/>
        <v>-</v>
      </c>
      <c r="BT14" s="271" t="str">
        <f t="shared" si="32"/>
        <v>-</v>
      </c>
      <c r="BU14" s="269" t="str">
        <f t="shared" si="33"/>
        <v>xoxxxoxoxxo</v>
      </c>
      <c r="BV14" s="271" t="str">
        <f t="shared" si="34"/>
        <v>-</v>
      </c>
      <c r="BW14" s="271" t="str">
        <f t="shared" si="35"/>
        <v>xxxoxoxxoox</v>
      </c>
      <c r="BX14" s="271" t="str">
        <f t="shared" si="36"/>
        <v>xxoxoxxooxo</v>
      </c>
      <c r="BY14" s="271" t="str">
        <f t="shared" si="37"/>
        <v>xoxoxxooxox</v>
      </c>
      <c r="BZ14" s="271" t="str">
        <f t="shared" si="38"/>
        <v>-</v>
      </c>
      <c r="CA14" s="271" t="str">
        <f t="shared" si="39"/>
        <v>xoxxooxoxxx</v>
      </c>
      <c r="CB14" s="274" t="str">
        <f t="shared" si="40"/>
        <v>-</v>
      </c>
      <c r="CC14" s="276" t="str">
        <f>IFERROR(__xludf.DUMMYFUNCTION("IF(BD14=""oooooooooooo"",""-"",IF(REGEXMATCH(BE14,""xx""), ""Hemi."", ""Anhemi.""))"),"Hemi.")</f>
        <v>Hemi.</v>
      </c>
      <c r="CD14" s="282" t="str">
        <f>IFERROR(__xludf.DUMMYFUNCTION("IF(BD14=""oooooooooooo"",""-"",IF(REGEXMATCH(BE14,""xxx""), ""Cohem."", ""-""))"),"Cohem.")</f>
        <v>Cohem.</v>
      </c>
      <c r="CE14" s="282" t="str">
        <f>IFERROR(__xludf.DUMMYFUNCTION("IF(BD14=""oooooooooooo"",""-"",IF(REGEXMATCH(BE14,""xxxx""), ""Co-Co."", ""-""))"),"-")</f>
        <v>-</v>
      </c>
      <c r="CF14" s="342" t="str">
        <f>IFERROR(__xludf.DUMMYFUNCTION("IF(BD14=""oooooooooooo"",""-"",IF(REGEXMATCH(BE14,""xxxxx""), ""CCC."", ""-""))"),"-")</f>
        <v>-</v>
      </c>
      <c r="CG14" s="344" t="str">
        <f t="shared" si="41"/>
        <v>-</v>
      </c>
      <c r="CH14" s="282" t="str">
        <f>IFERROR(__xludf.DUMMYFUNCTION("IF(REGEXMATCH(JOIN(""-"",CJ14:CS14),""TRUE""),""✔"",""-"")"),"-")</f>
        <v>-</v>
      </c>
      <c r="CI14" s="225">
        <f t="shared" si="42"/>
        <v>0</v>
      </c>
      <c r="CJ14" s="376" t="b">
        <f>IFERROR(__xludf.DUMMYFUNCTION("arrayformula(sum(--REGEXMATCH(""SRGMPDNS"",split(REGEXREPLACE(I14,""(.)"",""$1~""),""~""))))=len(I14)
"),FALSE)</f>
        <v>0</v>
      </c>
      <c r="CK14" s="290" t="b">
        <f>IFERROR(__xludf.DUMMYFUNCTION("arrayformula(sum(--REGEXMATCH(""SRGmPDNS"",split(REGEXREPLACE(I14,""(.)"",""$1~""),""~""))))=len(I14)"),FALSE)</f>
        <v>0</v>
      </c>
      <c r="CL14" s="290" t="b">
        <f>IFERROR(__xludf.DUMMYFUNCTION("arrayformula(sum(--REGEXMATCH(""SRGmPDnS"",split(REGEXREPLACE(I14,""(.)"",""$1~""),""~""))))=len(I14)"),FALSE)</f>
        <v>0</v>
      </c>
      <c r="CM14" s="290" t="b">
        <f>IFERROR(__xludf.DUMMYFUNCTION("arrayformula(sum(--REGEXMATCH(""SRgmPDnS"",split(REGEXREPLACE(I14,""(.)"",""$1~""),""~""))))=len(I14)"),FALSE)</f>
        <v>0</v>
      </c>
      <c r="CN14" s="290" t="b">
        <f>IFERROR(__xludf.DUMMYFUNCTION("arrayformula(sum(--REGEXMATCH(""SRgmPdnS"",split(REGEXREPLACE(I14,""(.)"",""$1~""),""~""))))=len(I14)"),FALSE)</f>
        <v>0</v>
      </c>
      <c r="CO14" s="290" t="b">
        <f>IFERROR(__xludf.DUMMYFUNCTION("arrayformula(sum(--REGEXMATCH(""SrgmPdnS"",split(REGEXREPLACE(I14,""(.)"",""$1~""),""~""))))=len(I14)"),FALSE)</f>
        <v>0</v>
      </c>
      <c r="CP14" s="290" t="b">
        <f>IFERROR(__xludf.DUMMYFUNCTION("arrayformula(sum(--REGEXMATCH(""SrGmPdNS"",split(REGEXREPLACE(I14,""(.)"",""$1~""),""~""))))=len(I14)"),FALSE)</f>
        <v>0</v>
      </c>
      <c r="CQ14" s="290" t="b">
        <f>IFERROR(__xludf.DUMMYFUNCTION("arrayformula(sum(--REGEXMATCH(""SrGMPDNS"",split(REGEXREPLACE(I14,""(.)"",""$1~""),""~""))))=len(I14)"),FALSE)</f>
        <v>0</v>
      </c>
      <c r="CR14" s="290" t="b">
        <f>IFERROR(__xludf.DUMMYFUNCTION("arrayformula(sum(--REGEXMATCH(""SrGMPdNS"",split(REGEXREPLACE(I14,""(.)"",""$1~""),""~""))))=len(I14)"),FALSE)</f>
        <v>0</v>
      </c>
      <c r="CS14" s="293" t="b">
        <f>IFERROR(__xludf.DUMMYFUNCTION("arrayformula(sum(--REGEXMATCH(""SrgMPdNS"",split(REGEXREPLACE(I14,""(.)"",""$1~""),""~""))))=len(I14)"),FALSE)</f>
        <v>0</v>
      </c>
      <c r="CT14" s="244" t="str">
        <f>IFERROR(__xludf.DUMMYFUNCTION("IF(REGEXMATCH(I14, ""S""), ""1"","""")"),"1")</f>
        <v>1</v>
      </c>
      <c r="CU14" s="245" t="str">
        <f>IFERROR(__xludf.DUMMYFUNCTION("IF(REGEXMATCH(I14, ""r""), ""b2"","""")"),"b2")</f>
        <v>b2</v>
      </c>
      <c r="CV14" s="246" t="str">
        <f>IFERROR(__xludf.DUMMYFUNCTION("IF(REGEXMATCH(I14, ""R""), ""2"","""")"),"")</f>
        <v/>
      </c>
      <c r="CW14" s="246" t="str">
        <f>IFERROR(__xludf.DUMMYFUNCTION("IF(REGEXMATCH(I14, ""g""), ""b3"","""")"),"")</f>
        <v/>
      </c>
      <c r="CX14" s="245" t="str">
        <f>IFERROR(__xludf.DUMMYFUNCTION("IF(REGEXMATCH(I14, ""G""), ""3"","""")"),"3")</f>
        <v>3</v>
      </c>
      <c r="CY14" s="245" t="str">
        <f>IFERROR(__xludf.DUMMYFUNCTION("IF(REGEXMATCH(I14, ""m""), ""4"","""")"),"")</f>
        <v/>
      </c>
      <c r="CZ14" s="246" t="str">
        <f>IFERROR(__xludf.DUMMYFUNCTION("IF(REGEXMATCH(I14, ""M""), ""#4"","""")"),"#4")</f>
        <v>#4</v>
      </c>
      <c r="DA14" s="245" t="str">
        <f>IFERROR(__xludf.DUMMYFUNCTION("IF(REGEXMATCH(I14, ""P""), ""5"","""")"),"5")</f>
        <v>5</v>
      </c>
      <c r="DB14" s="246" t="str">
        <f>IFERROR(__xludf.DUMMYFUNCTION("IF(REGEXMATCH(I14, ""d""), ""b6"","""")"),"b6")</f>
        <v>b6</v>
      </c>
      <c r="DC14" s="245" t="str">
        <f>IFERROR(__xludf.DUMMYFUNCTION("IF(REGEXMATCH(I14, ""D""), ""6"","""")"),"")</f>
        <v/>
      </c>
      <c r="DD14" s="245" t="str">
        <f>IFERROR(__xludf.DUMMYFUNCTION("IF(REGEXMATCH(I14, ""n""), ""b7"","""")"),"b7")</f>
        <v>b7</v>
      </c>
      <c r="DE14" s="246" t="str">
        <f>IFERROR(__xludf.DUMMYFUNCTION("IF(REGEXMATCH(I14, ""N""), ""7"","""")"),"")</f>
        <v/>
      </c>
      <c r="DF14" s="249" t="str">
        <f>IFERROR(__xludf.DUMMYFUNCTION("IF(REGEXMATCH(I14, ""S""), ""8"","""")"),"8")</f>
        <v>8</v>
      </c>
      <c r="DG14" s="244" t="str">
        <f>IFERROR(__xludf.DUMMYFUNCTION("IF(REGEXMATCH(I14, ""S""), ""S"","""")"),"S")</f>
        <v>S</v>
      </c>
      <c r="DH14" s="294" t="str">
        <f>IFERROR(__xludf.DUMMYFUNCTION("IF(REGEXMATCH(I14, ""r""), ""R1"","""")"),"R1")</f>
        <v>R1</v>
      </c>
      <c r="DI14" s="295" t="str">
        <f>IFERROR(__xludf.DUMMYFUNCTION("IF(REGEXMATCH(I14, ""R""), ""R2"","""")"),"")</f>
        <v/>
      </c>
      <c r="DJ14" s="295" t="str">
        <f>IFERROR(__xludf.DUMMYFUNCTION("IF(REGEXMATCH(I14, ""g""), ""G2"","""")"),"")</f>
        <v/>
      </c>
      <c r="DK14" s="294" t="str">
        <f>IFERROR(__xludf.DUMMYFUNCTION("IF(REGEXMATCH(I14, ""G""), ""G3"","""")"),"G3")</f>
        <v>G3</v>
      </c>
      <c r="DL14" s="294" t="str">
        <f>IFERROR(__xludf.DUMMYFUNCTION("IF(REGEXMATCH(I14, ""m""), ""M1"","""")"),"")</f>
        <v/>
      </c>
      <c r="DM14" s="295" t="str">
        <f>IFERROR(__xludf.DUMMYFUNCTION("IF(REGEXMATCH(I14, ""M""), ""M2"","""")"),"M2")</f>
        <v>M2</v>
      </c>
      <c r="DN14" s="294" t="str">
        <f>IFERROR(__xludf.DUMMYFUNCTION("IF(REGEXMATCH(I14, ""P""), ""P"","""")"),"P")</f>
        <v>P</v>
      </c>
      <c r="DO14" s="295" t="str">
        <f>IFERROR(__xludf.DUMMYFUNCTION("IF(REGEXMATCH(I14, ""d""), ""D1"","""")"),"D1")</f>
        <v>D1</v>
      </c>
      <c r="DP14" s="294" t="str">
        <f>IFERROR(__xludf.DUMMYFUNCTION("IF(REGEXMATCH(I14, ""D""), ""D2"","""")"),"")</f>
        <v/>
      </c>
      <c r="DQ14" s="294" t="str">
        <f>IFERROR(__xludf.DUMMYFUNCTION("IF(REGEXMATCH(I14, ""n""), ""N2"","""")"),"N2")</f>
        <v>N2</v>
      </c>
      <c r="DR14" s="295" t="str">
        <f>IFERROR(__xludf.DUMMYFUNCTION("IF(REGEXMATCH(I14, ""N""), ""N3"","""")"),"")</f>
        <v/>
      </c>
      <c r="DS14" s="249" t="str">
        <f>IFERROR(__xludf.DUMMYFUNCTION("IF(REGEXMATCH(I14, ""S""), ""S"","""")"),"S")</f>
        <v>S</v>
      </c>
      <c r="DT14" s="299" t="str">
        <f>IFERROR(__xludf.DUMMYFUNCTION("SUBSTITUTE(SUBSTITUTE(SUBSTITUTE(SUBSTITUTE(CONCATENATE(JOIN(""-"",CT14:DF14)),""--"",""-""),""--"",""-""),""--"",""-""),""--"",""-"")"),"1-b2-3-#4-5-b6-b7-8")</f>
        <v>1-b2-3-#4-5-b6-b7-8</v>
      </c>
      <c r="DU14" s="299" t="str">
        <f>IFERROR(__xludf.DUMMYFUNCTION("SUBSTITUTE(SUBSTITUTE(SUBSTITUTE(SUBSTITUTE(CONCATENATE(JOIN(""-"",DG14:DS14)),""--"",""-""),""--"",""-""),""--"",""-""),""--"",""-"")"),"S-R1-G3-M2-P-D1-N2-S")</f>
        <v>S-R1-G3-M2-P-D1-N2-S</v>
      </c>
      <c r="DV14" s="348" t="str">
        <f t="shared" si="43"/>
        <v>C-Db-E-F#-G-Ab-Bb-C</v>
      </c>
      <c r="DW14" s="301">
        <f t="shared" si="44"/>
        <v>7</v>
      </c>
      <c r="DX14" s="302" t="str">
        <f t="shared" si="45"/>
        <v>Sampurna</v>
      </c>
      <c r="DY14" s="301" t="str">
        <f t="shared" ref="DY14:DZ14" si="180">SUBSTITUTE(Y14,"-","")</f>
        <v>SRGM</v>
      </c>
      <c r="DZ14" s="301" t="str">
        <f t="shared" si="180"/>
        <v>PDNS</v>
      </c>
      <c r="EA14" s="302" t="str">
        <f t="shared" si="47"/>
        <v>(n/a)</v>
      </c>
      <c r="EB14" s="301" t="str">
        <f t="shared" si="48"/>
        <v>Hemi.</v>
      </c>
      <c r="EC14" s="364" t="str">
        <f t="shared" si="49"/>
        <v>Cohem.</v>
      </c>
      <c r="ED14" s="306" t="str">
        <f t="shared" si="50"/>
        <v>-</v>
      </c>
      <c r="EE14" s="366" t="str">
        <f t="shared" si="51"/>
        <v>-</v>
      </c>
      <c r="EF14" s="308" t="str">
        <f t="shared" si="52"/>
        <v>✔</v>
      </c>
      <c r="EG14" s="306" t="str">
        <f t="shared" si="53"/>
        <v>-</v>
      </c>
      <c r="EH14" s="306" t="str">
        <f t="shared" si="54"/>
        <v>-</v>
      </c>
      <c r="EI14" s="367" t="str">
        <f t="shared" si="55"/>
        <v>✔</v>
      </c>
      <c r="EJ14" s="310" t="str">
        <f t="shared" si="56"/>
        <v>-</v>
      </c>
      <c r="EK14" s="310" t="str">
        <f t="shared" si="57"/>
        <v>-</v>
      </c>
      <c r="EL14" s="310" t="str">
        <f t="shared" si="58"/>
        <v>-</v>
      </c>
      <c r="EM14" s="310" t="str">
        <f t="shared" si="59"/>
        <v>-</v>
      </c>
      <c r="EN14" s="370" t="str">
        <f t="shared" si="60"/>
        <v>-</v>
      </c>
      <c r="EO14" s="306" t="str">
        <f t="shared" si="61"/>
        <v>-</v>
      </c>
      <c r="EP14" s="306" t="str">
        <f t="shared" si="62"/>
        <v>-</v>
      </c>
      <c r="EQ14" s="306" t="str">
        <f t="shared" si="63"/>
        <v>-</v>
      </c>
      <c r="ER14" s="306" t="str">
        <f t="shared" si="64"/>
        <v>-</v>
      </c>
      <c r="ES14" s="306" t="str">
        <f t="shared" si="65"/>
        <v>-</v>
      </c>
      <c r="ET14" s="367" t="str">
        <f t="shared" si="66"/>
        <v>-</v>
      </c>
      <c r="EU14" s="310" t="str">
        <f>IFERROR(__xludf.DUMMYFUNCTION("IF(REGEXMATCH(BH14,BD14),""✔"",""-"")"),"-")</f>
        <v>-</v>
      </c>
      <c r="EV14" s="310" t="str">
        <f t="shared" si="67"/>
        <v>-</v>
      </c>
      <c r="EW14" s="370" t="str">
        <f t="shared" si="68"/>
        <v>-</v>
      </c>
      <c r="EX14" s="315" t="str">
        <f t="shared" si="69"/>
        <v>[UQ]</v>
      </c>
      <c r="EY14" s="317" t="str">
        <f t="shared" si="70"/>
        <v>S-r-G-M-P-d-n-S</v>
      </c>
      <c r="EZ14" s="318" t="str">
        <f>IFERROR(__xludf.DUMMYFUNCTION("CONCATENATE(JOIN("""",GE14:GQ14))"),"SRGmMdNS")</f>
        <v>SRGmMdNS</v>
      </c>
      <c r="FA14" s="318"/>
      <c r="FB14" s="318"/>
      <c r="FC14" s="321">
        <f t="shared" si="71"/>
        <v>4</v>
      </c>
      <c r="FD14" s="318" t="str">
        <f>IFERROR(__xludf.DUMMYFUNCTION("CONCATENATE(JOIN("""",HR14:ID14))"),"Ga, Pa, dha, ni, ")</f>
        <v>Ga, Pa, dha, ni, </v>
      </c>
      <c r="FE14" s="322">
        <f t="shared" si="72"/>
        <v>2</v>
      </c>
      <c r="FF14" s="324" t="str">
        <f>IFERROR(__xludf.DUMMYFUNCTION("CONCATENATE(JOIN("""",IR14:JD14))"),"Ga, ni, ")</f>
        <v>Ga, ni, </v>
      </c>
      <c r="FG14" s="325" t="str">
        <f t="shared" si="73"/>
        <v>S-R1-G3-M2-P-D1-N2-S</v>
      </c>
      <c r="FH14" s="326" t="str">
        <f t="shared" si="74"/>
        <v>1-b2-3-#4-5-b6-b7-8</v>
      </c>
      <c r="FI14" s="326" t="str">
        <f t="shared" si="75"/>
        <v>0-1-4-6-7-8-10-0</v>
      </c>
      <c r="FJ14" s="318"/>
      <c r="FK14" s="328" t="str">
        <f>IFERROR(__xludf.DUMMYFUNCTION("SUBSTITUTE(SUBSTITUTE(SUBSTITUTE(SUBSTITUTE(CONCATENATE(JOIN("" "",FN14:FZ14)),""  "","" ""),""  "","" ""),""  "","" ""),""  "","" "")"),"o o • • o • o o o • o • o")</f>
        <v>o o • • o • o o o • o • o</v>
      </c>
      <c r="FL14" s="328" t="str">
        <f t="shared" si="76"/>
        <v>Sa-Pa</v>
      </c>
      <c r="FM14" s="329"/>
      <c r="FN14" s="331" t="str">
        <f t="shared" si="77"/>
        <v>o</v>
      </c>
      <c r="FO14" s="332" t="str">
        <f t="shared" si="78"/>
        <v>o</v>
      </c>
      <c r="FP14" s="332" t="str">
        <f t="shared" si="79"/>
        <v>•</v>
      </c>
      <c r="FQ14" s="332" t="str">
        <f t="shared" si="80"/>
        <v>•</v>
      </c>
      <c r="FR14" s="332" t="str">
        <f t="shared" si="81"/>
        <v>o</v>
      </c>
      <c r="FS14" s="332" t="str">
        <f t="shared" si="82"/>
        <v>•</v>
      </c>
      <c r="FT14" s="332" t="str">
        <f t="shared" si="83"/>
        <v>o</v>
      </c>
      <c r="FU14" s="332" t="str">
        <f t="shared" si="84"/>
        <v>o</v>
      </c>
      <c r="FV14" s="332" t="str">
        <f t="shared" si="85"/>
        <v>o</v>
      </c>
      <c r="FW14" s="332" t="str">
        <f t="shared" si="86"/>
        <v>•</v>
      </c>
      <c r="FX14" s="332" t="str">
        <f t="shared" si="87"/>
        <v>o</v>
      </c>
      <c r="FY14" s="332" t="str">
        <f t="shared" si="88"/>
        <v>•</v>
      </c>
      <c r="FZ14" s="338" t="str">
        <f t="shared" si="89"/>
        <v>o</v>
      </c>
      <c r="GA14" s="339" t="str">
        <f t="shared" si="90"/>
        <v>Sa-Pa</v>
      </c>
      <c r="GB14" s="339" t="str">
        <f t="shared" si="91"/>
        <v>Sa-Pa</v>
      </c>
      <c r="GC14" s="339" t="str">
        <f t="shared" si="92"/>
        <v>-</v>
      </c>
      <c r="GD14" s="340" t="str">
        <f t="shared" si="93"/>
        <v>-</v>
      </c>
      <c r="GE14" s="331" t="str">
        <f t="shared" si="94"/>
        <v>S</v>
      </c>
      <c r="GF14" s="332" t="str">
        <f t="shared" si="95"/>
        <v/>
      </c>
      <c r="GG14" s="332" t="str">
        <f t="shared" si="96"/>
        <v>R</v>
      </c>
      <c r="GH14" s="332" t="str">
        <f t="shared" si="97"/>
        <v/>
      </c>
      <c r="GI14" s="332" t="str">
        <f t="shared" si="98"/>
        <v>G</v>
      </c>
      <c r="GJ14" s="332" t="str">
        <f t="shared" si="99"/>
        <v>m</v>
      </c>
      <c r="GK14" s="332" t="str">
        <f t="shared" si="100"/>
        <v>M</v>
      </c>
      <c r="GL14" s="332" t="str">
        <f t="shared" si="101"/>
        <v/>
      </c>
      <c r="GM14" s="332" t="str">
        <f t="shared" si="102"/>
        <v>d</v>
      </c>
      <c r="GN14" s="332" t="str">
        <f t="shared" si="103"/>
        <v/>
      </c>
      <c r="GO14" s="332" t="str">
        <f t="shared" si="104"/>
        <v/>
      </c>
      <c r="GP14" s="332" t="str">
        <f t="shared" si="105"/>
        <v>N</v>
      </c>
      <c r="GQ14" s="343" t="str">
        <f t="shared" si="106"/>
        <v>S</v>
      </c>
      <c r="GR14" s="331" t="str">
        <f t="shared" si="107"/>
        <v>•</v>
      </c>
      <c r="GS14" s="332" t="str">
        <f t="shared" si="108"/>
        <v>•</v>
      </c>
      <c r="GT14" s="332" t="str">
        <f t="shared" si="109"/>
        <v>o</v>
      </c>
      <c r="GU14" s="332" t="str">
        <f t="shared" si="110"/>
        <v>o</v>
      </c>
      <c r="GV14" s="332" t="str">
        <f t="shared" si="111"/>
        <v>•</v>
      </c>
      <c r="GW14" s="332" t="str">
        <f t="shared" si="112"/>
        <v>o</v>
      </c>
      <c r="GX14" s="332" t="str">
        <f t="shared" si="113"/>
        <v>•</v>
      </c>
      <c r="GY14" s="332" t="str">
        <f t="shared" si="114"/>
        <v>•</v>
      </c>
      <c r="GZ14" s="332" t="str">
        <f t="shared" si="115"/>
        <v>•</v>
      </c>
      <c r="HA14" s="332" t="str">
        <f t="shared" si="116"/>
        <v>o</v>
      </c>
      <c r="HB14" s="332" t="str">
        <f t="shared" si="117"/>
        <v>•</v>
      </c>
      <c r="HC14" s="332" t="str">
        <f t="shared" si="118"/>
        <v>o</v>
      </c>
      <c r="HD14" s="338" t="str">
        <f t="shared" si="119"/>
        <v>•</v>
      </c>
      <c r="HE14" s="346" t="b">
        <f t="shared" si="120"/>
        <v>0</v>
      </c>
      <c r="HF14" s="347" t="b">
        <f t="shared" si="121"/>
        <v>0</v>
      </c>
      <c r="HG14" s="347" t="b">
        <f t="shared" si="122"/>
        <v>0</v>
      </c>
      <c r="HH14" s="347" t="b">
        <f t="shared" si="123"/>
        <v>0</v>
      </c>
      <c r="HI14" s="347" t="b">
        <f t="shared" si="124"/>
        <v>1</v>
      </c>
      <c r="HJ14" s="347" t="b">
        <f t="shared" si="125"/>
        <v>0</v>
      </c>
      <c r="HK14" s="347" t="b">
        <f t="shared" si="126"/>
        <v>0</v>
      </c>
      <c r="HL14" s="347" t="b">
        <f t="shared" si="127"/>
        <v>1</v>
      </c>
      <c r="HM14" s="347" t="b">
        <f t="shared" si="128"/>
        <v>1</v>
      </c>
      <c r="HN14" s="347" t="b">
        <f t="shared" si="129"/>
        <v>0</v>
      </c>
      <c r="HO14" s="347" t="b">
        <f t="shared" si="130"/>
        <v>1</v>
      </c>
      <c r="HP14" s="347" t="b">
        <f t="shared" si="131"/>
        <v>0</v>
      </c>
      <c r="HQ14" s="353" t="b">
        <f t="shared" si="132"/>
        <v>0</v>
      </c>
      <c r="HR14" s="354" t="str">
        <f t="shared" si="133"/>
        <v/>
      </c>
      <c r="HS14" s="355" t="str">
        <f t="shared" si="134"/>
        <v/>
      </c>
      <c r="HT14" s="355" t="str">
        <f t="shared" si="135"/>
        <v/>
      </c>
      <c r="HU14" s="355" t="str">
        <f t="shared" si="136"/>
        <v/>
      </c>
      <c r="HV14" s="355" t="str">
        <f t="shared" si="137"/>
        <v>Ga, </v>
      </c>
      <c r="HW14" s="355" t="str">
        <f t="shared" si="138"/>
        <v/>
      </c>
      <c r="HX14" s="355" t="str">
        <f t="shared" si="139"/>
        <v/>
      </c>
      <c r="HY14" s="355" t="str">
        <f t="shared" si="140"/>
        <v>Pa, </v>
      </c>
      <c r="HZ14" s="355" t="str">
        <f t="shared" si="141"/>
        <v>dha, </v>
      </c>
      <c r="IA14" s="355" t="str">
        <f t="shared" si="142"/>
        <v/>
      </c>
      <c r="IB14" s="355" t="str">
        <f t="shared" si="143"/>
        <v>ni, </v>
      </c>
      <c r="IC14" s="355" t="str">
        <f t="shared" si="144"/>
        <v/>
      </c>
      <c r="ID14" s="359" t="str">
        <f t="shared" si="145"/>
        <v/>
      </c>
      <c r="IE14" s="346" t="b">
        <f t="shared" si="146"/>
        <v>0</v>
      </c>
      <c r="IF14" s="347" t="b">
        <f t="shared" si="147"/>
        <v>0</v>
      </c>
      <c r="IG14" s="347" t="b">
        <f t="shared" si="148"/>
        <v>0</v>
      </c>
      <c r="IH14" s="347" t="b">
        <f t="shared" si="149"/>
        <v>0</v>
      </c>
      <c r="II14" s="347" t="b">
        <f t="shared" si="150"/>
        <v>1</v>
      </c>
      <c r="IJ14" s="347" t="b">
        <f t="shared" si="151"/>
        <v>0</v>
      </c>
      <c r="IK14" s="347" t="b">
        <f t="shared" si="152"/>
        <v>0</v>
      </c>
      <c r="IL14" s="347" t="b">
        <f t="shared" si="153"/>
        <v>0</v>
      </c>
      <c r="IM14" s="347" t="b">
        <f t="shared" si="154"/>
        <v>0</v>
      </c>
      <c r="IN14" s="347" t="b">
        <f t="shared" si="155"/>
        <v>0</v>
      </c>
      <c r="IO14" s="347" t="b">
        <f t="shared" si="156"/>
        <v>1</v>
      </c>
      <c r="IP14" s="347" t="b">
        <f t="shared" si="157"/>
        <v>0</v>
      </c>
      <c r="IQ14" s="365" t="b">
        <f t="shared" si="158"/>
        <v>0</v>
      </c>
      <c r="IR14" s="354" t="str">
        <f t="shared" si="159"/>
        <v/>
      </c>
      <c r="IS14" s="355" t="str">
        <f t="shared" si="160"/>
        <v/>
      </c>
      <c r="IT14" s="355" t="str">
        <f t="shared" si="161"/>
        <v/>
      </c>
      <c r="IU14" s="355" t="str">
        <f t="shared" si="162"/>
        <v/>
      </c>
      <c r="IV14" s="355" t="str">
        <f t="shared" si="163"/>
        <v>Ga, </v>
      </c>
      <c r="IW14" s="355" t="str">
        <f t="shared" si="164"/>
        <v/>
      </c>
      <c r="IX14" s="355" t="str">
        <f t="shared" si="165"/>
        <v/>
      </c>
      <c r="IY14" s="355" t="str">
        <f t="shared" si="166"/>
        <v/>
      </c>
      <c r="IZ14" s="355" t="str">
        <f t="shared" si="167"/>
        <v/>
      </c>
      <c r="JA14" s="355" t="str">
        <f t="shared" si="168"/>
        <v/>
      </c>
      <c r="JB14" s="355" t="str">
        <f t="shared" si="169"/>
        <v>ni, </v>
      </c>
      <c r="JC14" s="355" t="str">
        <f t="shared" si="170"/>
        <v/>
      </c>
      <c r="JD14" s="359"/>
      <c r="JE14" s="321"/>
      <c r="JF14" s="368"/>
      <c r="JG14" s="369"/>
      <c r="JH14" s="369"/>
      <c r="JI14" s="369"/>
      <c r="JJ14" s="369"/>
      <c r="JK14" s="369"/>
      <c r="JL14" s="369"/>
      <c r="JM14" s="369"/>
      <c r="JN14" s="369"/>
      <c r="JO14" s="369"/>
      <c r="JP14" s="369"/>
    </row>
    <row r="15" ht="20.25" customHeight="1">
      <c r="A15" s="221" t="s">
        <v>461</v>
      </c>
      <c r="B15" s="222">
        <v>13.0</v>
      </c>
      <c r="C15" s="223" t="s">
        <v>462</v>
      </c>
      <c r="D15" s="224">
        <v>10.0</v>
      </c>
      <c r="E15" s="225" t="str">
        <f t="shared" si="5"/>
        <v>[UQ]</v>
      </c>
      <c r="F15" s="227">
        <f t="shared" si="6"/>
        <v>7</v>
      </c>
      <c r="G15" s="229">
        <f t="shared" si="7"/>
        <v>7</v>
      </c>
      <c r="H15" s="230">
        <f t="shared" si="8"/>
        <v>0</v>
      </c>
      <c r="I15" s="233" t="str">
        <f t="shared" si="9"/>
        <v>SRgMPDnS</v>
      </c>
      <c r="J15" s="234" t="str">
        <f>IFERROR(__xludf.DUMMYFUNCTION("IF(REGEXMATCH(I15, ""S""), ""S"","""")"),"S")</f>
        <v>S</v>
      </c>
      <c r="K15" s="236" t="str">
        <f>IFERROR(__xludf.DUMMYFUNCTION("IF(REGEXMATCH(I15, ""r""), ""r"","""")"),"")</f>
        <v/>
      </c>
      <c r="L15" s="237" t="str">
        <f>IFERROR(__xludf.DUMMYFUNCTION("IF(REGEXMATCH(I15, ""R""), ""R"","""")"),"R")</f>
        <v>R</v>
      </c>
      <c r="M15" s="237" t="str">
        <f>IFERROR(__xludf.DUMMYFUNCTION("IF(REGEXMATCH(I15, ""g""), ""g"","""")"),"g")</f>
        <v>g</v>
      </c>
      <c r="N15" s="236" t="str">
        <f>IFERROR(__xludf.DUMMYFUNCTION("IF(REGEXMATCH(I15, ""G""), ""G"","""")"),"")</f>
        <v/>
      </c>
      <c r="O15" s="236" t="str">
        <f>IFERROR(__xludf.DUMMYFUNCTION("IF(REGEXMATCH(I15, ""m""), ""m"","""")"),"")</f>
        <v/>
      </c>
      <c r="P15" s="237" t="str">
        <f>IFERROR(__xludf.DUMMYFUNCTION("IF(REGEXMATCH(I15, ""M""), ""M"","""")"),"M")</f>
        <v>M</v>
      </c>
      <c r="Q15" s="236" t="str">
        <f>IFERROR(__xludf.DUMMYFUNCTION("IF(REGEXMATCH(I15, ""P""), ""P"","""")"),"P")</f>
        <v>P</v>
      </c>
      <c r="R15" s="237" t="str">
        <f>IFERROR(__xludf.DUMMYFUNCTION("IF(REGEXMATCH(I15, ""d""), ""d"","""")"),"")</f>
        <v/>
      </c>
      <c r="S15" s="236" t="str">
        <f>IFERROR(__xludf.DUMMYFUNCTION("IF(REGEXMATCH(I15, ""D""), ""D"","""")"),"D")</f>
        <v>D</v>
      </c>
      <c r="T15" s="236" t="str">
        <f>IFERROR(__xludf.DUMMYFUNCTION("IF(REGEXMATCH(I15, ""n""), ""n"","""")"),"n")</f>
        <v>n</v>
      </c>
      <c r="U15" s="237" t="str">
        <f>IFERROR(__xludf.DUMMYFUNCTION("IF(REGEXMATCH(I15, ""N""), ""N"","""")"),"")</f>
        <v/>
      </c>
      <c r="V15" s="238" t="str">
        <f>IFERROR(__xludf.DUMMYFUNCTION("IF(REGEXMATCH(I15, ""S""), ""S"","""")"),"S")</f>
        <v>S</v>
      </c>
      <c r="W15" s="239" t="str">
        <f>IFERROR(__xludf.DUMMYFUNCTION("SUBSTITUTE(CONCATENATE(JOIN(""-"",J15:P15)),""-"","""")"),"SRgM")</f>
        <v>SRgM</v>
      </c>
      <c r="X15" s="229" t="str">
        <f>IFERROR(__xludf.DUMMYFUNCTION("SUBSTITUTE(CONCATENATE(JOIN(""-"",Q15:V15)),""-"","""")"),"PDnS")</f>
        <v>PDnS</v>
      </c>
      <c r="Y15" s="282" t="str">
        <f t="shared" si="10"/>
        <v>S-R-G-M</v>
      </c>
      <c r="Z15" s="282" t="str">
        <f t="shared" si="11"/>
        <v>P-D-N-S</v>
      </c>
      <c r="AA15" s="309" t="str">
        <f t="shared" si="12"/>
        <v>RgMDn</v>
      </c>
      <c r="AB15" s="244" t="str">
        <f>IFERROR(__xludf.DUMMYFUNCTION("IF(REGEXMATCH(I15, ""S""), ""0"","""")"),"0")</f>
        <v>0</v>
      </c>
      <c r="AC15" s="245" t="str">
        <f>IFERROR(__xludf.DUMMYFUNCTION("IF(REGEXMATCH(I15, ""r""), ""1"","""")"),"")</f>
        <v/>
      </c>
      <c r="AD15" s="246" t="str">
        <f>IFERROR(__xludf.DUMMYFUNCTION("IF(REGEXMATCH(I15, ""R""), ""2"","""")"),"2")</f>
        <v>2</v>
      </c>
      <c r="AE15" s="246" t="str">
        <f>IFERROR(__xludf.DUMMYFUNCTION("IF(REGEXMATCH(I15, ""g""), ""3"","""")"),"3")</f>
        <v>3</v>
      </c>
      <c r="AF15" s="245" t="str">
        <f>IFERROR(__xludf.DUMMYFUNCTION("IF(REGEXMATCH(I15, ""G""), ""4"","""")"),"")</f>
        <v/>
      </c>
      <c r="AG15" s="245" t="str">
        <f>IFERROR(__xludf.DUMMYFUNCTION("IF(REGEXMATCH(I15, ""m""), ""5"","""")"),"")</f>
        <v/>
      </c>
      <c r="AH15" s="246" t="str">
        <f>IFERROR(__xludf.DUMMYFUNCTION("IF(REGEXMATCH(I15, ""M""), ""6"","""")"),"6")</f>
        <v>6</v>
      </c>
      <c r="AI15" s="245" t="str">
        <f>IFERROR(__xludf.DUMMYFUNCTION("IF(REGEXMATCH(I15, ""P""), ""7"","""")"),"7")</f>
        <v>7</v>
      </c>
      <c r="AJ15" s="246" t="str">
        <f>IFERROR(__xludf.DUMMYFUNCTION("IF(REGEXMATCH(I15, ""d""), ""8"","""")"),"")</f>
        <v/>
      </c>
      <c r="AK15" s="245" t="str">
        <f>IFERROR(__xludf.DUMMYFUNCTION("IF(REGEXMATCH(I15, ""D""), ""9"","""")"),"9")</f>
        <v>9</v>
      </c>
      <c r="AL15" s="245" t="str">
        <f>IFERROR(__xludf.DUMMYFUNCTION("IF(REGEXMATCH(I15, ""n""), ""10"","""")"),"10")</f>
        <v>10</v>
      </c>
      <c r="AM15" s="246" t="str">
        <f>IFERROR(__xludf.DUMMYFUNCTION("IF(REGEXMATCH(I15, ""N""), ""11"","""")"),"")</f>
        <v/>
      </c>
      <c r="AN15" s="249" t="str">
        <f>IFERROR(__xludf.DUMMYFUNCTION("IF(REGEXMATCH(I15, ""S""), ""0"","""")"),"0")</f>
        <v>0</v>
      </c>
      <c r="AO15" s="250" t="str">
        <f>IFERROR(__xludf.DUMMYFUNCTION("SUBSTITUTE(SUBSTITUTE(SUBSTITUTE(SUBSTITUTE(CONCATENATE(JOIN(""-"",AB15:AN15)),""--"",""-""),""--"",""-""),""--"",""-""),""--"",""-"")"),"0-2-3-6-7-9-10-0")</f>
        <v>0-2-3-6-7-9-10-0</v>
      </c>
      <c r="AP15" s="251">
        <f t="shared" si="13"/>
        <v>0</v>
      </c>
      <c r="AQ15" s="234" t="str">
        <f t="shared" si="14"/>
        <v>|</v>
      </c>
      <c r="AR15" s="236" t="str">
        <f t="shared" si="15"/>
        <v>-</v>
      </c>
      <c r="AS15" s="237" t="str">
        <f t="shared" si="16"/>
        <v>|</v>
      </c>
      <c r="AT15" s="236" t="str">
        <f t="shared" si="17"/>
        <v>|</v>
      </c>
      <c r="AU15" s="237" t="str">
        <f t="shared" si="18"/>
        <v>-</v>
      </c>
      <c r="AV15" s="236" t="str">
        <f t="shared" si="19"/>
        <v>-</v>
      </c>
      <c r="AW15" s="237" t="str">
        <f t="shared" si="20"/>
        <v>|</v>
      </c>
      <c r="AX15" s="236" t="str">
        <f t="shared" si="21"/>
        <v>|</v>
      </c>
      <c r="AY15" s="237" t="str">
        <f t="shared" si="22"/>
        <v>-</v>
      </c>
      <c r="AZ15" s="236" t="str">
        <f t="shared" si="23"/>
        <v>|</v>
      </c>
      <c r="BA15" s="237" t="str">
        <f t="shared" si="24"/>
        <v>|</v>
      </c>
      <c r="BB15" s="236" t="str">
        <f t="shared" si="25"/>
        <v>-</v>
      </c>
      <c r="BC15" s="238" t="str">
        <f t="shared" si="26"/>
        <v>|</v>
      </c>
      <c r="BD15" s="250" t="str">
        <f>IFERROR(__xludf.DUMMYFUNCTION("SUBSTITUTE(SUBSTITUTE(CONCATENATE(JOIN("""",AQ15:BB15)),""|"",""x""),""-"",""o"")"),"xoxxooxxoxxo")</f>
        <v>xoxxooxxoxxo</v>
      </c>
      <c r="BE15" s="323" t="str">
        <f>IFERROR(__xludf.DUMMYFUNCTION("JOIN("""",BD15,BD15)"),"xoxxooxxoxxoxoxxooxxoxxo")</f>
        <v>xoxxooxxoxxoxoxxooxxoxxo</v>
      </c>
      <c r="BF15" s="256" t="str">
        <f>IFERROR(__xludf.DUMMYFUNCTION("JOIN("""",ArrayFormula(MID(BD15,LEN(BD15)-SEQUENCE(1,LEN(BD15))+1,1)))"),"oxxoxxooxxox")</f>
        <v>oxxoxxooxxox</v>
      </c>
      <c r="BG15" s="256" t="str">
        <f>IFERROR(__xludf.DUMMYFUNCTION("LEFT(CONCATENATE(""x"",JOIN("""",ArrayFormula(MID(BD15,LEN(BD15)-SEQUENCE(1,LEN(BD15))+1,1)))),12)"),"xoxxoxxooxxo")</f>
        <v>xoxxoxxooxxo</v>
      </c>
      <c r="BH15" s="327" t="str">
        <f>IFERROR(__xludf.DUMMYFUNCTION("JOIN("""",BF15,BF15)"),"oxxoxxooxxoxoxxoxxooxxox")</f>
        <v>oxxoxxooxxoxoxxoxxooxxox</v>
      </c>
      <c r="BI15" s="239" t="str">
        <f>IFERROR(__xludf.DUMMYFUNCTION("IF(REGEXMATCH(BH15,BD15),""✔"",""-"")"),"-")</f>
        <v>-</v>
      </c>
      <c r="BJ15" s="330" t="str">
        <f t="shared" si="27"/>
        <v>-</v>
      </c>
      <c r="BK15" s="260" t="str">
        <f t="shared" si="28"/>
        <v>-</v>
      </c>
      <c r="BL15" s="261" t="str">
        <f>IFERROR(__xludf.DUMMYFUNCTION("IF(BO15=0,""(n/a)"",IF(BP15=2,""(PAIR)"",IF(REGEXMATCH(BE15,""xoxoxxoxoxox""),""Bilawal"",IF(REGEXMATCH(BE15,""xoxoxooxoxoo""),""Bhupali"",IF(REGEXMATCH(BE15,""xoxoxxoxxoxo""),""Charukeshi"",IF(REGEXMATCH(BE15,""xoxoooxxoxxo""),""Kameshwari"",IF(REGEXMATC"&amp;"H(BE15,""xoxoxooxoxox""),""Shankara"",IF(REGEXMATCH(BE15,""xxooxoxxxoox""),""Basant"",IF(REGEXMATCH(BE15,""xoxoxxxxoxox""),""Bihag"",IF(REGEXMATCH(BE15,""xoxxxxoxoxxx""),""Pilu"",IF(REGEXMATCH(BE15,""xoxxoxoxxoox""),""Kirwani"",IF(REGEXMATCH(BE15,""xoxxox"&amp;"oxoxxx""),""Mk.Malhar"",IF(REGEXMATCH(BE15,""xxooxxoxxoox""),""Bhairav"",IF(REGEXMATCH(BE15,""xxoxooxxxoox""),""Todi"",IF(REGEXMATCH(BE15,""xxooxoxooxox""),""Marwa"",IF(REGEXMATCH(BE15,""xxoooxoxxooo""),""Gunkali"",IF(REGEXMATCH(BE15,""xoxoxxoxxoox""),""N"&amp;"at Bhairav"",IF(REGEXMATCH(BE15,""xoxxoooxoxoo""),""Shivranjani"",IF(REGEXMATCH(BE15,""xooxxxoxooxo""),""Jog"",IF(REGEXMATCH(BE15,""xxooxoxoxoox""),""Hemshri"",IF(REGEXMATCH(BE15,""xoooxooxoxxo""),""Kalavati"",IF(REGEXMATCH(BE15,""xxoxoxxoxoox""),""Kedar"&amp;""",IF(REGEXMATCH(BE15,""xoxxxxoxooxx""),""Gara"",IF(REGEXMATCH(BE15,""xooxoxooxoox""),""Chandrakauns"",IF(REGEXMATCH(BE15,""xoxxxxoxxxox""),""Mand"",IF(REGEXMATCH(BE15,""xoxxxxoxoxox""),""Hanskinkini"",IF(REGEXMATCH(BE15,""xxooxxoxooxo""),""Lilavati"",IF("&amp;"REGEXMATCH(BE15,""xooxoxoooxox""),""Rajeshwari"",IF(REGEXMATCH(BE15,""xoooxxoxoxxx""),""Khokar"",IF(REGEXMATCH(BE15,""xxooxoxxxxox""),""Maligoura"",""-""))))))))))))))))))))))))))))))"),"Kirwani")</f>
        <v>Kirwani</v>
      </c>
      <c r="BM15" s="239">
        <f t="shared" si="29"/>
        <v>6</v>
      </c>
      <c r="BN15" s="239">
        <f>IFERROR(__xludf.DUMMYFUNCTION("COUNTUNIQUE(BR15:CB15)-1"),6.0)</f>
        <v>6</v>
      </c>
      <c r="BO15" s="239">
        <f>IFERROR(__xludf.DUMMYFUNCTION("COUNTUNIQUE(FILTER(BE:BE,REGEXMATCH(BE:BE,BD15)))-1"),2.0)</f>
        <v>2</v>
      </c>
      <c r="BP15" s="239">
        <f>IFERROR(__xludf.DUMMYFUNCTION("COUNTA(FILTER(BE:BE,REGEXMATCH(BE:BE,BD15)))"),3.0)</f>
        <v>3</v>
      </c>
      <c r="BQ15" s="341">
        <f>IFERROR(__xludf.DUMMYFUNCTION("COUNTA(FILTER(BE:BE,REGEXMATCH(BE:BE,BD15)))-AP15"),3.0)</f>
        <v>3</v>
      </c>
      <c r="BR15" s="269" t="str">
        <f t="shared" si="30"/>
        <v>-</v>
      </c>
      <c r="BS15" s="269" t="str">
        <f t="shared" si="31"/>
        <v>xxooxxoxxox</v>
      </c>
      <c r="BT15" s="271" t="str">
        <f t="shared" si="32"/>
        <v>xooxxoxxoxo</v>
      </c>
      <c r="BU15" s="269" t="str">
        <f t="shared" si="33"/>
        <v>-</v>
      </c>
      <c r="BV15" s="271" t="str">
        <f t="shared" si="34"/>
        <v>-</v>
      </c>
      <c r="BW15" s="271" t="str">
        <f t="shared" si="35"/>
        <v>xxoxxoxoxxo</v>
      </c>
      <c r="BX15" s="271" t="str">
        <f t="shared" si="36"/>
        <v>xoxxoxoxxoo</v>
      </c>
      <c r="BY15" s="271" t="str">
        <f t="shared" si="37"/>
        <v>-</v>
      </c>
      <c r="BZ15" s="271" t="str">
        <f t="shared" si="38"/>
        <v>xxoxoxxooxx</v>
      </c>
      <c r="CA15" s="271" t="str">
        <f t="shared" si="39"/>
        <v>xoxoxxooxxo</v>
      </c>
      <c r="CB15" s="274" t="str">
        <f t="shared" si="40"/>
        <v>-</v>
      </c>
      <c r="CC15" s="276" t="str">
        <f>IFERROR(__xludf.DUMMYFUNCTION("IF(BD15=""oooooooooooo"",""-"",IF(REGEXMATCH(BE15,""xx""), ""Hemi."", ""Anhemi.""))"),"Hemi.")</f>
        <v>Hemi.</v>
      </c>
      <c r="CD15" s="282" t="str">
        <f>IFERROR(__xludf.DUMMYFUNCTION("IF(BD15=""oooooooooooo"",""-"",IF(REGEXMATCH(BE15,""xxx""), ""Cohem."", ""-""))"),"-")</f>
        <v>-</v>
      </c>
      <c r="CE15" s="282" t="str">
        <f>IFERROR(__xludf.DUMMYFUNCTION("IF(BD15=""oooooooooooo"",""-"",IF(REGEXMATCH(BE15,""xxxx""), ""Co-Co."", ""-""))"),"-")</f>
        <v>-</v>
      </c>
      <c r="CF15" s="342" t="str">
        <f>IFERROR(__xludf.DUMMYFUNCTION("IF(BD15=""oooooooooooo"",""-"",IF(REGEXMATCH(BE15,""xxxxx""), ""CCC."", ""-""))"),"-")</f>
        <v>-</v>
      </c>
      <c r="CG15" s="344" t="str">
        <f t="shared" si="41"/>
        <v>-</v>
      </c>
      <c r="CH15" s="282" t="str">
        <f>IFERROR(__xludf.DUMMYFUNCTION("IF(REGEXMATCH(JOIN(""-"",CJ15:CS15),""TRUE""),""✔"",""-"")"),"-")</f>
        <v>-</v>
      </c>
      <c r="CI15" s="225">
        <f t="shared" si="42"/>
        <v>0</v>
      </c>
      <c r="CJ15" s="376" t="b">
        <f>IFERROR(__xludf.DUMMYFUNCTION("arrayformula(sum(--REGEXMATCH(""SRGMPDNS"",split(REGEXREPLACE(I15,""(.)"",""$1~""),""~""))))=len(I15)
"),FALSE)</f>
        <v>0</v>
      </c>
      <c r="CK15" s="290" t="b">
        <f>IFERROR(__xludf.DUMMYFUNCTION("arrayformula(sum(--REGEXMATCH(""SRGmPDNS"",split(REGEXREPLACE(I15,""(.)"",""$1~""),""~""))))=len(I15)"),FALSE)</f>
        <v>0</v>
      </c>
      <c r="CL15" s="290" t="b">
        <f>IFERROR(__xludf.DUMMYFUNCTION("arrayformula(sum(--REGEXMATCH(""SRGmPDnS"",split(REGEXREPLACE(I15,""(.)"",""$1~""),""~""))))=len(I15)"),FALSE)</f>
        <v>0</v>
      </c>
      <c r="CM15" s="290" t="b">
        <f>IFERROR(__xludf.DUMMYFUNCTION("arrayformula(sum(--REGEXMATCH(""SRgmPDnS"",split(REGEXREPLACE(I15,""(.)"",""$1~""),""~""))))=len(I15)"),FALSE)</f>
        <v>0</v>
      </c>
      <c r="CN15" s="290" t="b">
        <f>IFERROR(__xludf.DUMMYFUNCTION("arrayformula(sum(--REGEXMATCH(""SRgmPdnS"",split(REGEXREPLACE(I15,""(.)"",""$1~""),""~""))))=len(I15)"),FALSE)</f>
        <v>0</v>
      </c>
      <c r="CO15" s="290" t="b">
        <f>IFERROR(__xludf.DUMMYFUNCTION("arrayformula(sum(--REGEXMATCH(""SrgmPdnS"",split(REGEXREPLACE(I15,""(.)"",""$1~""),""~""))))=len(I15)"),FALSE)</f>
        <v>0</v>
      </c>
      <c r="CP15" s="290" t="b">
        <f>IFERROR(__xludf.DUMMYFUNCTION("arrayformula(sum(--REGEXMATCH(""SrGmPdNS"",split(REGEXREPLACE(I15,""(.)"",""$1~""),""~""))))=len(I15)"),FALSE)</f>
        <v>0</v>
      </c>
      <c r="CQ15" s="290" t="b">
        <f>IFERROR(__xludf.DUMMYFUNCTION("arrayformula(sum(--REGEXMATCH(""SrGMPDNS"",split(REGEXREPLACE(I15,""(.)"",""$1~""),""~""))))=len(I15)"),FALSE)</f>
        <v>0</v>
      </c>
      <c r="CR15" s="290" t="b">
        <f>IFERROR(__xludf.DUMMYFUNCTION("arrayformula(sum(--REGEXMATCH(""SrGMPdNS"",split(REGEXREPLACE(I15,""(.)"",""$1~""),""~""))))=len(I15)"),FALSE)</f>
        <v>0</v>
      </c>
      <c r="CS15" s="293" t="b">
        <f>IFERROR(__xludf.DUMMYFUNCTION("arrayformula(sum(--REGEXMATCH(""SrgMPdNS"",split(REGEXREPLACE(I15,""(.)"",""$1~""),""~""))))=len(I15)"),FALSE)</f>
        <v>0</v>
      </c>
      <c r="CT15" s="244" t="str">
        <f>IFERROR(__xludf.DUMMYFUNCTION("IF(REGEXMATCH(I15, ""S""), ""1"","""")"),"1")</f>
        <v>1</v>
      </c>
      <c r="CU15" s="245" t="str">
        <f>IFERROR(__xludf.DUMMYFUNCTION("IF(REGEXMATCH(I15, ""r""), ""b2"","""")"),"")</f>
        <v/>
      </c>
      <c r="CV15" s="246" t="str">
        <f>IFERROR(__xludf.DUMMYFUNCTION("IF(REGEXMATCH(I15, ""R""), ""2"","""")"),"2")</f>
        <v>2</v>
      </c>
      <c r="CW15" s="246" t="str">
        <f>IFERROR(__xludf.DUMMYFUNCTION("IF(REGEXMATCH(I15, ""g""), ""b3"","""")"),"b3")</f>
        <v>b3</v>
      </c>
      <c r="CX15" s="245" t="str">
        <f>IFERROR(__xludf.DUMMYFUNCTION("IF(REGEXMATCH(I15, ""G""), ""3"","""")"),"")</f>
        <v/>
      </c>
      <c r="CY15" s="245" t="str">
        <f>IFERROR(__xludf.DUMMYFUNCTION("IF(REGEXMATCH(I15, ""m""), ""4"","""")"),"")</f>
        <v/>
      </c>
      <c r="CZ15" s="246" t="str">
        <f>IFERROR(__xludf.DUMMYFUNCTION("IF(REGEXMATCH(I15, ""M""), ""#4"","""")"),"#4")</f>
        <v>#4</v>
      </c>
      <c r="DA15" s="245" t="str">
        <f>IFERROR(__xludf.DUMMYFUNCTION("IF(REGEXMATCH(I15, ""P""), ""5"","""")"),"5")</f>
        <v>5</v>
      </c>
      <c r="DB15" s="246" t="str">
        <f>IFERROR(__xludf.DUMMYFUNCTION("IF(REGEXMATCH(I15, ""d""), ""b6"","""")"),"")</f>
        <v/>
      </c>
      <c r="DC15" s="245" t="str">
        <f>IFERROR(__xludf.DUMMYFUNCTION("IF(REGEXMATCH(I15, ""D""), ""6"","""")"),"6")</f>
        <v>6</v>
      </c>
      <c r="DD15" s="245" t="str">
        <f>IFERROR(__xludf.DUMMYFUNCTION("IF(REGEXMATCH(I15, ""n""), ""b7"","""")"),"b7")</f>
        <v>b7</v>
      </c>
      <c r="DE15" s="246" t="str">
        <f>IFERROR(__xludf.DUMMYFUNCTION("IF(REGEXMATCH(I15, ""N""), ""7"","""")"),"")</f>
        <v/>
      </c>
      <c r="DF15" s="249" t="str">
        <f>IFERROR(__xludf.DUMMYFUNCTION("IF(REGEXMATCH(I15, ""S""), ""8"","""")"),"8")</f>
        <v>8</v>
      </c>
      <c r="DG15" s="244" t="str">
        <f>IFERROR(__xludf.DUMMYFUNCTION("IF(REGEXMATCH(I15, ""S""), ""S"","""")"),"S")</f>
        <v>S</v>
      </c>
      <c r="DH15" s="294" t="str">
        <f>IFERROR(__xludf.DUMMYFUNCTION("IF(REGEXMATCH(I15, ""r""), ""R1"","""")"),"")</f>
        <v/>
      </c>
      <c r="DI15" s="295" t="str">
        <f>IFERROR(__xludf.DUMMYFUNCTION("IF(REGEXMATCH(I15, ""R""), ""R2"","""")"),"R2")</f>
        <v>R2</v>
      </c>
      <c r="DJ15" s="295" t="str">
        <f>IFERROR(__xludf.DUMMYFUNCTION("IF(REGEXMATCH(I15, ""g""), ""G2"","""")"),"G2")</f>
        <v>G2</v>
      </c>
      <c r="DK15" s="294" t="str">
        <f>IFERROR(__xludf.DUMMYFUNCTION("IF(REGEXMATCH(I15, ""G""), ""G3"","""")"),"")</f>
        <v/>
      </c>
      <c r="DL15" s="294" t="str">
        <f>IFERROR(__xludf.DUMMYFUNCTION("IF(REGEXMATCH(I15, ""m""), ""M1"","""")"),"")</f>
        <v/>
      </c>
      <c r="DM15" s="295" t="str">
        <f>IFERROR(__xludf.DUMMYFUNCTION("IF(REGEXMATCH(I15, ""M""), ""M2"","""")"),"M2")</f>
        <v>M2</v>
      </c>
      <c r="DN15" s="294" t="str">
        <f>IFERROR(__xludf.DUMMYFUNCTION("IF(REGEXMATCH(I15, ""P""), ""P"","""")"),"P")</f>
        <v>P</v>
      </c>
      <c r="DO15" s="295" t="str">
        <f>IFERROR(__xludf.DUMMYFUNCTION("IF(REGEXMATCH(I15, ""d""), ""D1"","""")"),"")</f>
        <v/>
      </c>
      <c r="DP15" s="294" t="str">
        <f>IFERROR(__xludf.DUMMYFUNCTION("IF(REGEXMATCH(I15, ""D""), ""D2"","""")"),"D2")</f>
        <v>D2</v>
      </c>
      <c r="DQ15" s="294" t="str">
        <f>IFERROR(__xludf.DUMMYFUNCTION("IF(REGEXMATCH(I15, ""n""), ""N2"","""")"),"N2")</f>
        <v>N2</v>
      </c>
      <c r="DR15" s="295" t="str">
        <f>IFERROR(__xludf.DUMMYFUNCTION("IF(REGEXMATCH(I15, ""N""), ""N3"","""")"),"")</f>
        <v/>
      </c>
      <c r="DS15" s="249" t="str">
        <f>IFERROR(__xludf.DUMMYFUNCTION("IF(REGEXMATCH(I15, ""S""), ""S"","""")"),"S")</f>
        <v>S</v>
      </c>
      <c r="DT15" s="299" t="str">
        <f>IFERROR(__xludf.DUMMYFUNCTION("SUBSTITUTE(SUBSTITUTE(SUBSTITUTE(SUBSTITUTE(CONCATENATE(JOIN(""-"",CT15:DF15)),""--"",""-""),""--"",""-""),""--"",""-""),""--"",""-"")"),"1-2-b3-#4-5-6-b7-8")</f>
        <v>1-2-b3-#4-5-6-b7-8</v>
      </c>
      <c r="DU15" s="299" t="str">
        <f>IFERROR(__xludf.DUMMYFUNCTION("SUBSTITUTE(SUBSTITUTE(SUBSTITUTE(SUBSTITUTE(CONCATENATE(JOIN(""-"",DG15:DS15)),""--"",""-""),""--"",""-""),""--"",""-""),""--"",""-"")"),"S-R2-G2-M2-P-D2-N2-S")</f>
        <v>S-R2-G2-M2-P-D2-N2-S</v>
      </c>
      <c r="DV15" s="348" t="str">
        <f t="shared" si="43"/>
        <v>C-D-Eb-F#-G-A-Bb-C</v>
      </c>
      <c r="DW15" s="301">
        <f t="shared" si="44"/>
        <v>7</v>
      </c>
      <c r="DX15" s="302" t="str">
        <f t="shared" si="45"/>
        <v>Sampurna</v>
      </c>
      <c r="DY15" s="301" t="str">
        <f t="shared" ref="DY15:DZ15" si="181">SUBSTITUTE(Y15,"-","")</f>
        <v>SRGM</v>
      </c>
      <c r="DZ15" s="301" t="str">
        <f t="shared" si="181"/>
        <v>PDNS</v>
      </c>
      <c r="EA15" s="302" t="str">
        <f t="shared" si="47"/>
        <v>Kirwani</v>
      </c>
      <c r="EB15" s="301" t="str">
        <f t="shared" si="48"/>
        <v>Hemi.</v>
      </c>
      <c r="EC15" s="364" t="str">
        <f t="shared" si="49"/>
        <v>-</v>
      </c>
      <c r="ED15" s="306" t="str">
        <f t="shared" si="50"/>
        <v>-</v>
      </c>
      <c r="EE15" s="366" t="str">
        <f t="shared" si="51"/>
        <v>-</v>
      </c>
      <c r="EF15" s="308" t="str">
        <f t="shared" si="52"/>
        <v>✔</v>
      </c>
      <c r="EG15" s="306" t="str">
        <f t="shared" si="53"/>
        <v>-</v>
      </c>
      <c r="EH15" s="306" t="str">
        <f t="shared" si="54"/>
        <v>-</v>
      </c>
      <c r="EI15" s="367" t="str">
        <f t="shared" si="55"/>
        <v>✔</v>
      </c>
      <c r="EJ15" s="310" t="str">
        <f t="shared" si="56"/>
        <v>-</v>
      </c>
      <c r="EK15" s="310" t="str">
        <f t="shared" si="57"/>
        <v>-</v>
      </c>
      <c r="EL15" s="310" t="str">
        <f t="shared" si="58"/>
        <v>-</v>
      </c>
      <c r="EM15" s="310" t="str">
        <f t="shared" si="59"/>
        <v>-</v>
      </c>
      <c r="EN15" s="370" t="str">
        <f t="shared" si="60"/>
        <v>-</v>
      </c>
      <c r="EO15" s="306" t="str">
        <f t="shared" si="61"/>
        <v>-</v>
      </c>
      <c r="EP15" s="306" t="str">
        <f t="shared" si="62"/>
        <v>-</v>
      </c>
      <c r="EQ15" s="306" t="str">
        <f t="shared" si="63"/>
        <v>-</v>
      </c>
      <c r="ER15" s="306" t="str">
        <f t="shared" si="64"/>
        <v>-</v>
      </c>
      <c r="ES15" s="306" t="str">
        <f t="shared" si="65"/>
        <v>-</v>
      </c>
      <c r="ET15" s="367" t="str">
        <f t="shared" si="66"/>
        <v>-</v>
      </c>
      <c r="EU15" s="310" t="str">
        <f>IFERROR(__xludf.DUMMYFUNCTION("IF(REGEXMATCH(BH15,BD15),""✔"",""-"")"),"-")</f>
        <v>-</v>
      </c>
      <c r="EV15" s="310" t="str">
        <f t="shared" si="67"/>
        <v>-</v>
      </c>
      <c r="EW15" s="370" t="str">
        <f t="shared" si="68"/>
        <v>-</v>
      </c>
      <c r="EX15" s="315" t="str">
        <f t="shared" si="69"/>
        <v>[UQ]</v>
      </c>
      <c r="EY15" s="317" t="str">
        <f t="shared" si="70"/>
        <v>S-R-g-M-P-D-n-S</v>
      </c>
      <c r="EZ15" s="318" t="str">
        <f>IFERROR(__xludf.DUMMYFUNCTION("CONCATENATE(JOIN("""",GE15:GQ15))"),"SRgmMDnS")</f>
        <v>SRgmMDnS</v>
      </c>
      <c r="FA15" s="318"/>
      <c r="FB15" s="318"/>
      <c r="FC15" s="321">
        <f t="shared" si="71"/>
        <v>3</v>
      </c>
      <c r="FD15" s="318" t="str">
        <f>IFERROR(__xludf.DUMMYFUNCTION("CONCATENATE(JOIN("""",HR15:ID15))"),"Ma, Dha, ni, ")</f>
        <v>Ma, Dha, ni, </v>
      </c>
      <c r="FE15" s="322">
        <f t="shared" si="72"/>
        <v>1</v>
      </c>
      <c r="FF15" s="324" t="str">
        <f>IFERROR(__xludf.DUMMYFUNCTION("CONCATENATE(JOIN("""",IR15:JD15))"),"Ma, ")</f>
        <v>Ma, </v>
      </c>
      <c r="FG15" s="325" t="str">
        <f t="shared" si="73"/>
        <v>S-R2-G2-M2-P-D2-N2-S</v>
      </c>
      <c r="FH15" s="326" t="str">
        <f t="shared" si="74"/>
        <v>1-2-b3-#4-5-6-b7-8</v>
      </c>
      <c r="FI15" s="326" t="str">
        <f t="shared" si="75"/>
        <v>0-2-3-6-7-9-10-0</v>
      </c>
      <c r="FJ15" s="318"/>
      <c r="FK15" s="328" t="str">
        <f>IFERROR(__xludf.DUMMYFUNCTION("SUBSTITUTE(SUBSTITUTE(SUBSTITUTE(SUBSTITUTE(CONCATENATE(JOIN("" "",FN15:FZ15)),""  "","" ""),""  "","" ""),""  "","" ""),""  "","" "")"),"o • o o • • o o • o o • o")</f>
        <v>o • o o • • o o • o o • o</v>
      </c>
      <c r="FL15" s="328" t="str">
        <f t="shared" si="76"/>
        <v>Sa-Pa</v>
      </c>
      <c r="FM15" s="329"/>
      <c r="FN15" s="331" t="str">
        <f t="shared" si="77"/>
        <v>o</v>
      </c>
      <c r="FO15" s="332" t="str">
        <f t="shared" si="78"/>
        <v>•</v>
      </c>
      <c r="FP15" s="332" t="str">
        <f t="shared" si="79"/>
        <v>o</v>
      </c>
      <c r="FQ15" s="332" t="str">
        <f t="shared" si="80"/>
        <v>o</v>
      </c>
      <c r="FR15" s="332" t="str">
        <f t="shared" si="81"/>
        <v>•</v>
      </c>
      <c r="FS15" s="332" t="str">
        <f t="shared" si="82"/>
        <v>•</v>
      </c>
      <c r="FT15" s="332" t="str">
        <f t="shared" si="83"/>
        <v>o</v>
      </c>
      <c r="FU15" s="332" t="str">
        <f t="shared" si="84"/>
        <v>o</v>
      </c>
      <c r="FV15" s="332" t="str">
        <f t="shared" si="85"/>
        <v>•</v>
      </c>
      <c r="FW15" s="332" t="str">
        <f t="shared" si="86"/>
        <v>o</v>
      </c>
      <c r="FX15" s="332" t="str">
        <f t="shared" si="87"/>
        <v>o</v>
      </c>
      <c r="FY15" s="332" t="str">
        <f t="shared" si="88"/>
        <v>•</v>
      </c>
      <c r="FZ15" s="338" t="str">
        <f t="shared" si="89"/>
        <v>o</v>
      </c>
      <c r="GA15" s="339" t="str">
        <f t="shared" si="90"/>
        <v>Sa-Pa</v>
      </c>
      <c r="GB15" s="339" t="str">
        <f t="shared" si="91"/>
        <v>Sa-Pa</v>
      </c>
      <c r="GC15" s="339" t="str">
        <f t="shared" si="92"/>
        <v>-</v>
      </c>
      <c r="GD15" s="340" t="str">
        <f t="shared" si="93"/>
        <v>-</v>
      </c>
      <c r="GE15" s="331" t="str">
        <f t="shared" si="94"/>
        <v>S</v>
      </c>
      <c r="GF15" s="332" t="str">
        <f t="shared" si="95"/>
        <v/>
      </c>
      <c r="GG15" s="332" t="str">
        <f t="shared" si="96"/>
        <v>R</v>
      </c>
      <c r="GH15" s="332" t="str">
        <f t="shared" si="97"/>
        <v>g</v>
      </c>
      <c r="GI15" s="332" t="str">
        <f t="shared" si="98"/>
        <v/>
      </c>
      <c r="GJ15" s="332" t="str">
        <f t="shared" si="99"/>
        <v>m</v>
      </c>
      <c r="GK15" s="332" t="str">
        <f t="shared" si="100"/>
        <v>M</v>
      </c>
      <c r="GL15" s="332" t="str">
        <f t="shared" si="101"/>
        <v/>
      </c>
      <c r="GM15" s="332" t="str">
        <f t="shared" si="102"/>
        <v/>
      </c>
      <c r="GN15" s="332" t="str">
        <f t="shared" si="103"/>
        <v>D</v>
      </c>
      <c r="GO15" s="332" t="str">
        <f t="shared" si="104"/>
        <v>n</v>
      </c>
      <c r="GP15" s="332" t="str">
        <f t="shared" si="105"/>
        <v/>
      </c>
      <c r="GQ15" s="343" t="str">
        <f t="shared" si="106"/>
        <v>S</v>
      </c>
      <c r="GR15" s="331" t="str">
        <f t="shared" si="107"/>
        <v>•</v>
      </c>
      <c r="GS15" s="332" t="str">
        <f t="shared" si="108"/>
        <v>o</v>
      </c>
      <c r="GT15" s="332" t="str">
        <f t="shared" si="109"/>
        <v>•</v>
      </c>
      <c r="GU15" s="332" t="str">
        <f t="shared" si="110"/>
        <v>•</v>
      </c>
      <c r="GV15" s="332" t="str">
        <f t="shared" si="111"/>
        <v>o</v>
      </c>
      <c r="GW15" s="332" t="str">
        <f t="shared" si="112"/>
        <v>o</v>
      </c>
      <c r="GX15" s="332" t="str">
        <f t="shared" si="113"/>
        <v>•</v>
      </c>
      <c r="GY15" s="332" t="str">
        <f t="shared" si="114"/>
        <v>•</v>
      </c>
      <c r="GZ15" s="332" t="str">
        <f t="shared" si="115"/>
        <v>o</v>
      </c>
      <c r="HA15" s="332" t="str">
        <f t="shared" si="116"/>
        <v>•</v>
      </c>
      <c r="HB15" s="332" t="str">
        <f t="shared" si="117"/>
        <v>•</v>
      </c>
      <c r="HC15" s="332" t="str">
        <f t="shared" si="118"/>
        <v>o</v>
      </c>
      <c r="HD15" s="338" t="str">
        <f t="shared" si="119"/>
        <v>•</v>
      </c>
      <c r="HE15" s="346" t="b">
        <f t="shared" si="120"/>
        <v>0</v>
      </c>
      <c r="HF15" s="347" t="b">
        <f t="shared" si="121"/>
        <v>0</v>
      </c>
      <c r="HG15" s="347" t="b">
        <f t="shared" si="122"/>
        <v>0</v>
      </c>
      <c r="HH15" s="347" t="b">
        <f t="shared" si="123"/>
        <v>0</v>
      </c>
      <c r="HI15" s="347" t="b">
        <f t="shared" si="124"/>
        <v>0</v>
      </c>
      <c r="HJ15" s="347" t="b">
        <f t="shared" si="125"/>
        <v>0</v>
      </c>
      <c r="HK15" s="347" t="b">
        <f t="shared" si="126"/>
        <v>1</v>
      </c>
      <c r="HL15" s="347" t="b">
        <f t="shared" si="127"/>
        <v>0</v>
      </c>
      <c r="HM15" s="347" t="b">
        <f t="shared" si="128"/>
        <v>0</v>
      </c>
      <c r="HN15" s="347" t="b">
        <f t="shared" si="129"/>
        <v>1</v>
      </c>
      <c r="HO15" s="347" t="b">
        <f t="shared" si="130"/>
        <v>1</v>
      </c>
      <c r="HP15" s="347" t="b">
        <f t="shared" si="131"/>
        <v>0</v>
      </c>
      <c r="HQ15" s="353" t="b">
        <f t="shared" si="132"/>
        <v>0</v>
      </c>
      <c r="HR15" s="354" t="str">
        <f t="shared" si="133"/>
        <v/>
      </c>
      <c r="HS15" s="355" t="str">
        <f t="shared" si="134"/>
        <v/>
      </c>
      <c r="HT15" s="355" t="str">
        <f t="shared" si="135"/>
        <v/>
      </c>
      <c r="HU15" s="355" t="str">
        <f t="shared" si="136"/>
        <v/>
      </c>
      <c r="HV15" s="355" t="str">
        <f t="shared" si="137"/>
        <v/>
      </c>
      <c r="HW15" s="355" t="str">
        <f t="shared" si="138"/>
        <v/>
      </c>
      <c r="HX15" s="355" t="str">
        <f t="shared" si="139"/>
        <v>Ma, </v>
      </c>
      <c r="HY15" s="355" t="str">
        <f t="shared" si="140"/>
        <v/>
      </c>
      <c r="HZ15" s="355" t="str">
        <f t="shared" si="141"/>
        <v/>
      </c>
      <c r="IA15" s="355" t="str">
        <f t="shared" si="142"/>
        <v>Dha, </v>
      </c>
      <c r="IB15" s="355" t="str">
        <f t="shared" si="143"/>
        <v>ni, </v>
      </c>
      <c r="IC15" s="355" t="str">
        <f t="shared" si="144"/>
        <v/>
      </c>
      <c r="ID15" s="359" t="str">
        <f t="shared" si="145"/>
        <v/>
      </c>
      <c r="IE15" s="346" t="b">
        <f t="shared" si="146"/>
        <v>0</v>
      </c>
      <c r="IF15" s="347" t="b">
        <f t="shared" si="147"/>
        <v>0</v>
      </c>
      <c r="IG15" s="347" t="b">
        <f t="shared" si="148"/>
        <v>0</v>
      </c>
      <c r="IH15" s="347" t="b">
        <f t="shared" si="149"/>
        <v>0</v>
      </c>
      <c r="II15" s="347" t="b">
        <f t="shared" si="150"/>
        <v>0</v>
      </c>
      <c r="IJ15" s="347" t="b">
        <f t="shared" si="151"/>
        <v>0</v>
      </c>
      <c r="IK15" s="347" t="b">
        <f t="shared" si="152"/>
        <v>1</v>
      </c>
      <c r="IL15" s="347" t="b">
        <f t="shared" si="153"/>
        <v>0</v>
      </c>
      <c r="IM15" s="347" t="b">
        <f t="shared" si="154"/>
        <v>0</v>
      </c>
      <c r="IN15" s="347" t="b">
        <f t="shared" si="155"/>
        <v>0</v>
      </c>
      <c r="IO15" s="347" t="b">
        <f t="shared" si="156"/>
        <v>0</v>
      </c>
      <c r="IP15" s="347" t="b">
        <f t="shared" si="157"/>
        <v>0</v>
      </c>
      <c r="IQ15" s="365" t="b">
        <f t="shared" si="158"/>
        <v>0</v>
      </c>
      <c r="IR15" s="354" t="str">
        <f t="shared" si="159"/>
        <v/>
      </c>
      <c r="IS15" s="355" t="str">
        <f t="shared" si="160"/>
        <v/>
      </c>
      <c r="IT15" s="355" t="str">
        <f t="shared" si="161"/>
        <v/>
      </c>
      <c r="IU15" s="355" t="str">
        <f t="shared" si="162"/>
        <v/>
      </c>
      <c r="IV15" s="355" t="str">
        <f t="shared" si="163"/>
        <v/>
      </c>
      <c r="IW15" s="355" t="str">
        <f t="shared" si="164"/>
        <v/>
      </c>
      <c r="IX15" s="355" t="str">
        <f t="shared" si="165"/>
        <v>Ma, </v>
      </c>
      <c r="IY15" s="355" t="str">
        <f t="shared" si="166"/>
        <v/>
      </c>
      <c r="IZ15" s="355" t="str">
        <f t="shared" si="167"/>
        <v/>
      </c>
      <c r="JA15" s="355" t="str">
        <f t="shared" si="168"/>
        <v/>
      </c>
      <c r="JB15" s="355" t="str">
        <f t="shared" si="169"/>
        <v/>
      </c>
      <c r="JC15" s="355" t="str">
        <f t="shared" si="170"/>
        <v/>
      </c>
      <c r="JD15" s="359"/>
      <c r="JE15" s="321"/>
      <c r="JF15" s="368"/>
      <c r="JG15" s="369"/>
      <c r="JH15" s="369"/>
      <c r="JI15" s="369"/>
      <c r="JJ15" s="369"/>
      <c r="JK15" s="369"/>
      <c r="JL15" s="369"/>
      <c r="JM15" s="369"/>
      <c r="JN15" s="369"/>
      <c r="JO15" s="369"/>
      <c r="JP15" s="369"/>
    </row>
    <row r="16" ht="20.25" customHeight="1">
      <c r="A16" s="221" t="s">
        <v>475</v>
      </c>
      <c r="B16" s="222">
        <v>14.0</v>
      </c>
      <c r="C16" s="223" t="s">
        <v>476</v>
      </c>
      <c r="D16" s="224" t="s">
        <v>452</v>
      </c>
      <c r="E16" s="225" t="str">
        <f t="shared" si="5"/>
        <v>[UQ]</v>
      </c>
      <c r="F16" s="227">
        <f t="shared" si="6"/>
        <v>7</v>
      </c>
      <c r="G16" s="229">
        <f t="shared" si="7"/>
        <v>7</v>
      </c>
      <c r="H16" s="230">
        <f t="shared" si="8"/>
        <v>0</v>
      </c>
      <c r="I16" s="233" t="str">
        <f t="shared" si="9"/>
        <v>SrgMPDnS</v>
      </c>
      <c r="J16" s="234" t="str">
        <f>IFERROR(__xludf.DUMMYFUNCTION("IF(REGEXMATCH(I16, ""S""), ""S"","""")"),"S")</f>
        <v>S</v>
      </c>
      <c r="K16" s="236" t="str">
        <f>IFERROR(__xludf.DUMMYFUNCTION("IF(REGEXMATCH(I16, ""r""), ""r"","""")"),"r")</f>
        <v>r</v>
      </c>
      <c r="L16" s="237" t="str">
        <f>IFERROR(__xludf.DUMMYFUNCTION("IF(REGEXMATCH(I16, ""R""), ""R"","""")"),"")</f>
        <v/>
      </c>
      <c r="M16" s="237" t="str">
        <f>IFERROR(__xludf.DUMMYFUNCTION("IF(REGEXMATCH(I16, ""g""), ""g"","""")"),"g")</f>
        <v>g</v>
      </c>
      <c r="N16" s="236" t="str">
        <f>IFERROR(__xludf.DUMMYFUNCTION("IF(REGEXMATCH(I16, ""G""), ""G"","""")"),"")</f>
        <v/>
      </c>
      <c r="O16" s="236" t="str">
        <f>IFERROR(__xludf.DUMMYFUNCTION("IF(REGEXMATCH(I16, ""m""), ""m"","""")"),"")</f>
        <v/>
      </c>
      <c r="P16" s="237" t="str">
        <f>IFERROR(__xludf.DUMMYFUNCTION("IF(REGEXMATCH(I16, ""M""), ""M"","""")"),"M")</f>
        <v>M</v>
      </c>
      <c r="Q16" s="236" t="str">
        <f>IFERROR(__xludf.DUMMYFUNCTION("IF(REGEXMATCH(I16, ""P""), ""P"","""")"),"P")</f>
        <v>P</v>
      </c>
      <c r="R16" s="237" t="str">
        <f>IFERROR(__xludf.DUMMYFUNCTION("IF(REGEXMATCH(I16, ""d""), ""d"","""")"),"")</f>
        <v/>
      </c>
      <c r="S16" s="236" t="str">
        <f>IFERROR(__xludf.DUMMYFUNCTION("IF(REGEXMATCH(I16, ""D""), ""D"","""")"),"D")</f>
        <v>D</v>
      </c>
      <c r="T16" s="236" t="str">
        <f>IFERROR(__xludf.DUMMYFUNCTION("IF(REGEXMATCH(I16, ""n""), ""n"","""")"),"n")</f>
        <v>n</v>
      </c>
      <c r="U16" s="237" t="str">
        <f>IFERROR(__xludf.DUMMYFUNCTION("IF(REGEXMATCH(I16, ""N""), ""N"","""")"),"")</f>
        <v/>
      </c>
      <c r="V16" s="238" t="str">
        <f>IFERROR(__xludf.DUMMYFUNCTION("IF(REGEXMATCH(I16, ""S""), ""S"","""")"),"S")</f>
        <v>S</v>
      </c>
      <c r="W16" s="239" t="str">
        <f>IFERROR(__xludf.DUMMYFUNCTION("SUBSTITUTE(CONCATENATE(JOIN(""-"",J16:P16)),""-"","""")"),"SrgM")</f>
        <v>SrgM</v>
      </c>
      <c r="X16" s="229" t="str">
        <f>IFERROR(__xludf.DUMMYFUNCTION("SUBSTITUTE(CONCATENATE(JOIN(""-"",Q16:V16)),""-"","""")"),"PDnS")</f>
        <v>PDnS</v>
      </c>
      <c r="Y16" s="282" t="str">
        <f t="shared" si="10"/>
        <v>S-R-G-M</v>
      </c>
      <c r="Z16" s="282" t="str">
        <f t="shared" si="11"/>
        <v>P-D-N-S</v>
      </c>
      <c r="AA16" s="309" t="str">
        <f t="shared" si="12"/>
        <v>rgMDn</v>
      </c>
      <c r="AB16" s="244" t="str">
        <f>IFERROR(__xludf.DUMMYFUNCTION("IF(REGEXMATCH(I16, ""S""), ""0"","""")"),"0")</f>
        <v>0</v>
      </c>
      <c r="AC16" s="245" t="str">
        <f>IFERROR(__xludf.DUMMYFUNCTION("IF(REGEXMATCH(I16, ""r""), ""1"","""")"),"1")</f>
        <v>1</v>
      </c>
      <c r="AD16" s="246" t="str">
        <f>IFERROR(__xludf.DUMMYFUNCTION("IF(REGEXMATCH(I16, ""R""), ""2"","""")"),"")</f>
        <v/>
      </c>
      <c r="AE16" s="246" t="str">
        <f>IFERROR(__xludf.DUMMYFUNCTION("IF(REGEXMATCH(I16, ""g""), ""3"","""")"),"3")</f>
        <v>3</v>
      </c>
      <c r="AF16" s="245" t="str">
        <f>IFERROR(__xludf.DUMMYFUNCTION("IF(REGEXMATCH(I16, ""G""), ""4"","""")"),"")</f>
        <v/>
      </c>
      <c r="AG16" s="245" t="str">
        <f>IFERROR(__xludf.DUMMYFUNCTION("IF(REGEXMATCH(I16, ""m""), ""5"","""")"),"")</f>
        <v/>
      </c>
      <c r="AH16" s="246" t="str">
        <f>IFERROR(__xludf.DUMMYFUNCTION("IF(REGEXMATCH(I16, ""M""), ""6"","""")"),"6")</f>
        <v>6</v>
      </c>
      <c r="AI16" s="245" t="str">
        <f>IFERROR(__xludf.DUMMYFUNCTION("IF(REGEXMATCH(I16, ""P""), ""7"","""")"),"7")</f>
        <v>7</v>
      </c>
      <c r="AJ16" s="246" t="str">
        <f>IFERROR(__xludf.DUMMYFUNCTION("IF(REGEXMATCH(I16, ""d""), ""8"","""")"),"")</f>
        <v/>
      </c>
      <c r="AK16" s="245" t="str">
        <f>IFERROR(__xludf.DUMMYFUNCTION("IF(REGEXMATCH(I16, ""D""), ""9"","""")"),"9")</f>
        <v>9</v>
      </c>
      <c r="AL16" s="245" t="str">
        <f>IFERROR(__xludf.DUMMYFUNCTION("IF(REGEXMATCH(I16, ""n""), ""10"","""")"),"10")</f>
        <v>10</v>
      </c>
      <c r="AM16" s="246" t="str">
        <f>IFERROR(__xludf.DUMMYFUNCTION("IF(REGEXMATCH(I16, ""N""), ""11"","""")"),"")</f>
        <v/>
      </c>
      <c r="AN16" s="249" t="str">
        <f>IFERROR(__xludf.DUMMYFUNCTION("IF(REGEXMATCH(I16, ""S""), ""0"","""")"),"0")</f>
        <v>0</v>
      </c>
      <c r="AO16" s="250" t="str">
        <f>IFERROR(__xludf.DUMMYFUNCTION("SUBSTITUTE(SUBSTITUTE(SUBSTITUTE(SUBSTITUTE(CONCATENATE(JOIN(""-"",AB16:AN16)),""--"",""-""),""--"",""-""),""--"",""-""),""--"",""-"")"),"0-1-3-6-7-9-10-0")</f>
        <v>0-1-3-6-7-9-10-0</v>
      </c>
      <c r="AP16" s="251">
        <f t="shared" si="13"/>
        <v>0</v>
      </c>
      <c r="AQ16" s="234" t="str">
        <f t="shared" si="14"/>
        <v>|</v>
      </c>
      <c r="AR16" s="236" t="str">
        <f t="shared" si="15"/>
        <v>|</v>
      </c>
      <c r="AS16" s="237" t="str">
        <f t="shared" si="16"/>
        <v>-</v>
      </c>
      <c r="AT16" s="236" t="str">
        <f t="shared" si="17"/>
        <v>|</v>
      </c>
      <c r="AU16" s="237" t="str">
        <f t="shared" si="18"/>
        <v>-</v>
      </c>
      <c r="AV16" s="236" t="str">
        <f t="shared" si="19"/>
        <v>-</v>
      </c>
      <c r="AW16" s="237" t="str">
        <f t="shared" si="20"/>
        <v>|</v>
      </c>
      <c r="AX16" s="236" t="str">
        <f t="shared" si="21"/>
        <v>|</v>
      </c>
      <c r="AY16" s="237" t="str">
        <f t="shared" si="22"/>
        <v>-</v>
      </c>
      <c r="AZ16" s="236" t="str">
        <f t="shared" si="23"/>
        <v>|</v>
      </c>
      <c r="BA16" s="237" t="str">
        <f t="shared" si="24"/>
        <v>|</v>
      </c>
      <c r="BB16" s="236" t="str">
        <f t="shared" si="25"/>
        <v>-</v>
      </c>
      <c r="BC16" s="238" t="str">
        <f t="shared" si="26"/>
        <v>|</v>
      </c>
      <c r="BD16" s="250" t="str">
        <f>IFERROR(__xludf.DUMMYFUNCTION("SUBSTITUTE(SUBSTITUTE(CONCATENATE(JOIN("""",AQ16:BB16)),""|"",""x""),""-"",""o"")"),"xxoxooxxoxxo")</f>
        <v>xxoxooxxoxxo</v>
      </c>
      <c r="BE16" s="323" t="str">
        <f>IFERROR(__xludf.DUMMYFUNCTION("JOIN("""",BD16,BD16)"),"xxoxooxxoxxoxxoxooxxoxxo")</f>
        <v>xxoxooxxoxxoxxoxooxxoxxo</v>
      </c>
      <c r="BF16" s="256" t="str">
        <f>IFERROR(__xludf.DUMMYFUNCTION("JOIN("""",ArrayFormula(MID(BD16,LEN(BD16)-SEQUENCE(1,LEN(BD16))+1,1)))"),"oxxoxxooxoxx")</f>
        <v>oxxoxxooxoxx</v>
      </c>
      <c r="BG16" s="256" t="str">
        <f>IFERROR(__xludf.DUMMYFUNCTION("LEFT(CONCATENATE(""x"",JOIN("""",ArrayFormula(MID(BD16,LEN(BD16)-SEQUENCE(1,LEN(BD16))+1,1)))),12)"),"xoxxoxxooxox")</f>
        <v>xoxxoxxooxox</v>
      </c>
      <c r="BH16" s="327" t="str">
        <f>IFERROR(__xludf.DUMMYFUNCTION("JOIN("""",BF16,BF16)"),"oxxoxxooxoxxoxxoxxooxoxx")</f>
        <v>oxxoxxooxoxxoxxoxxooxoxx</v>
      </c>
      <c r="BI16" s="239" t="str">
        <f>IFERROR(__xludf.DUMMYFUNCTION("IF(REGEXMATCH(BH16,BD16),""✔"",""-"")"),"-")</f>
        <v>-</v>
      </c>
      <c r="BJ16" s="330" t="str">
        <f t="shared" si="27"/>
        <v>-</v>
      </c>
      <c r="BK16" s="260" t="str">
        <f t="shared" si="28"/>
        <v>-</v>
      </c>
      <c r="BL16" s="261" t="str">
        <f>IFERROR(__xludf.DUMMYFUNCTION("IF(BO16=0,""(n/a)"",IF(BP16=2,""(PAIR)"",IF(REGEXMATCH(BE16,""xoxoxxoxoxox""),""Bilawal"",IF(REGEXMATCH(BE16,""xoxoxooxoxoo""),""Bhupali"",IF(REGEXMATCH(BE16,""xoxoxxoxxoxo""),""Charukeshi"",IF(REGEXMATCH(BE16,""xoxoooxxoxxo""),""Kameshwari"",IF(REGEXMATC"&amp;"H(BE16,""xoxoxooxoxox""),""Shankara"",IF(REGEXMATCH(BE16,""xxooxoxxxoox""),""Basant"",IF(REGEXMATCH(BE16,""xoxoxxxxoxox""),""Bihag"",IF(REGEXMATCH(BE16,""xoxxxxoxoxxx""),""Pilu"",IF(REGEXMATCH(BE16,""xoxxoxoxxoox""),""Kirwani"",IF(REGEXMATCH(BE16,""xoxxox"&amp;"oxoxxx""),""Mk.Malhar"",IF(REGEXMATCH(BE16,""xxooxxoxxoox""),""Bhairav"",IF(REGEXMATCH(BE16,""xxoxooxxxoox""),""Todi"",IF(REGEXMATCH(BE16,""xxooxoxooxox""),""Marwa"",IF(REGEXMATCH(BE16,""xxoooxoxxooo""),""Gunkali"",IF(REGEXMATCH(BE16,""xoxoxxoxxoox""),""N"&amp;"at Bhairav"",IF(REGEXMATCH(BE16,""xoxxoooxoxoo""),""Shivranjani"",IF(REGEXMATCH(BE16,""xooxxxoxooxo""),""Jog"",IF(REGEXMATCH(BE16,""xxooxoxoxoox""),""Hemshri"",IF(REGEXMATCH(BE16,""xoooxooxoxxo""),""Kalavati"",IF(REGEXMATCH(BE16,""xxoxoxxoxoox""),""Kedar"&amp;""",IF(REGEXMATCH(BE16,""xoxxxxoxooxx""),""Gara"",IF(REGEXMATCH(BE16,""xooxoxooxoox""),""Chandrakauns"",IF(REGEXMATCH(BE16,""xoxxxxoxxxox""),""Mand"",IF(REGEXMATCH(BE16,""xoxxxxoxoxox""),""Hanskinkini"",IF(REGEXMATCH(BE16,""xxooxxoxooxo""),""Lilavati"",IF("&amp;"REGEXMATCH(BE16,""xooxoxoooxox""),""Rajeshwari"",IF(REGEXMATCH(BE16,""xoooxxoxoxxx""),""Khokar"",IF(REGEXMATCH(BE16,""xxooxoxxxxox""),""Maligoura"",""-""))))))))))))))))))))))))))))))"),"(n/a)")</f>
        <v>(n/a)</v>
      </c>
      <c r="BM16" s="239">
        <f t="shared" si="29"/>
        <v>6</v>
      </c>
      <c r="BN16" s="239">
        <f>IFERROR(__xludf.DUMMYFUNCTION("COUNTUNIQUE(BR16:CB16)-1"),6.0)</f>
        <v>6</v>
      </c>
      <c r="BO16" s="239">
        <f>IFERROR(__xludf.DUMMYFUNCTION("COUNTUNIQUE(FILTER(BE:BE,REGEXMATCH(BE:BE,BD16)))-1"),0.0)</f>
        <v>0</v>
      </c>
      <c r="BP16" s="239">
        <f>IFERROR(__xludf.DUMMYFUNCTION("COUNTA(FILTER(BE:BE,REGEXMATCH(BE:BE,BD16)))"),1.0)</f>
        <v>1</v>
      </c>
      <c r="BQ16" s="341">
        <f>IFERROR(__xludf.DUMMYFUNCTION("COUNTA(FILTER(BE:BE,REGEXMATCH(BE:BE,BD16)))-AP16"),1.0)</f>
        <v>1</v>
      </c>
      <c r="BR16" s="269" t="str">
        <f t="shared" si="30"/>
        <v>xoxooxxoxxo</v>
      </c>
      <c r="BS16" s="269" t="str">
        <f t="shared" si="31"/>
        <v>-</v>
      </c>
      <c r="BT16" s="271" t="str">
        <f t="shared" si="32"/>
        <v>xooxxoxxoxx</v>
      </c>
      <c r="BU16" s="269" t="str">
        <f t="shared" si="33"/>
        <v>-</v>
      </c>
      <c r="BV16" s="271" t="str">
        <f t="shared" si="34"/>
        <v>-</v>
      </c>
      <c r="BW16" s="271" t="str">
        <f t="shared" si="35"/>
        <v>xxoxxoxxoxo</v>
      </c>
      <c r="BX16" s="271" t="str">
        <f t="shared" si="36"/>
        <v>xoxxoxxoxoo</v>
      </c>
      <c r="BY16" s="271" t="str">
        <f t="shared" si="37"/>
        <v>-</v>
      </c>
      <c r="BZ16" s="271" t="str">
        <f t="shared" si="38"/>
        <v>xxoxxoxooxx</v>
      </c>
      <c r="CA16" s="271" t="str">
        <f t="shared" si="39"/>
        <v>xoxxoxooxxo</v>
      </c>
      <c r="CB16" s="274" t="str">
        <f t="shared" si="40"/>
        <v>-</v>
      </c>
      <c r="CC16" s="276" t="str">
        <f>IFERROR(__xludf.DUMMYFUNCTION("IF(BD16=""oooooooooooo"",""-"",IF(REGEXMATCH(BE16,""xx""), ""Hemi."", ""Anhemi.""))"),"Hemi.")</f>
        <v>Hemi.</v>
      </c>
      <c r="CD16" s="282" t="str">
        <f>IFERROR(__xludf.DUMMYFUNCTION("IF(BD16=""oooooooooooo"",""-"",IF(REGEXMATCH(BE16,""xxx""), ""Cohem."", ""-""))"),"-")</f>
        <v>-</v>
      </c>
      <c r="CE16" s="282" t="str">
        <f>IFERROR(__xludf.DUMMYFUNCTION("IF(BD16=""oooooooooooo"",""-"",IF(REGEXMATCH(BE16,""xxxx""), ""Co-Co."", ""-""))"),"-")</f>
        <v>-</v>
      </c>
      <c r="CF16" s="342" t="str">
        <f>IFERROR(__xludf.DUMMYFUNCTION("IF(BD16=""oooooooooooo"",""-"",IF(REGEXMATCH(BE16,""xxxxx""), ""CCC."", ""-""))"),"-")</f>
        <v>-</v>
      </c>
      <c r="CG16" s="344" t="str">
        <f t="shared" si="41"/>
        <v>-</v>
      </c>
      <c r="CH16" s="282" t="str">
        <f>IFERROR(__xludf.DUMMYFUNCTION("IF(REGEXMATCH(JOIN(""-"",CJ16:CS16),""TRUE""),""✔"",""-"")"),"-")</f>
        <v>-</v>
      </c>
      <c r="CI16" s="225">
        <f t="shared" si="42"/>
        <v>0</v>
      </c>
      <c r="CJ16" s="376" t="b">
        <f>IFERROR(__xludf.DUMMYFUNCTION("arrayformula(sum(--REGEXMATCH(""SRGMPDNS"",split(REGEXREPLACE(I16,""(.)"",""$1~""),""~""))))=len(I16)
"),FALSE)</f>
        <v>0</v>
      </c>
      <c r="CK16" s="290" t="b">
        <f>IFERROR(__xludf.DUMMYFUNCTION("arrayformula(sum(--REGEXMATCH(""SRGmPDNS"",split(REGEXREPLACE(I16,""(.)"",""$1~""),""~""))))=len(I16)"),FALSE)</f>
        <v>0</v>
      </c>
      <c r="CL16" s="290" t="b">
        <f>IFERROR(__xludf.DUMMYFUNCTION("arrayformula(sum(--REGEXMATCH(""SRGmPDnS"",split(REGEXREPLACE(I16,""(.)"",""$1~""),""~""))))=len(I16)"),FALSE)</f>
        <v>0</v>
      </c>
      <c r="CM16" s="290" t="b">
        <f>IFERROR(__xludf.DUMMYFUNCTION("arrayformula(sum(--REGEXMATCH(""SRgmPDnS"",split(REGEXREPLACE(I16,""(.)"",""$1~""),""~""))))=len(I16)"),FALSE)</f>
        <v>0</v>
      </c>
      <c r="CN16" s="290" t="b">
        <f>IFERROR(__xludf.DUMMYFUNCTION("arrayformula(sum(--REGEXMATCH(""SRgmPdnS"",split(REGEXREPLACE(I16,""(.)"",""$1~""),""~""))))=len(I16)"),FALSE)</f>
        <v>0</v>
      </c>
      <c r="CO16" s="290" t="b">
        <f>IFERROR(__xludf.DUMMYFUNCTION("arrayformula(sum(--REGEXMATCH(""SrgmPdnS"",split(REGEXREPLACE(I16,""(.)"",""$1~""),""~""))))=len(I16)"),FALSE)</f>
        <v>0</v>
      </c>
      <c r="CP16" s="290" t="b">
        <f>IFERROR(__xludf.DUMMYFUNCTION("arrayformula(sum(--REGEXMATCH(""SrGmPdNS"",split(REGEXREPLACE(I16,""(.)"",""$1~""),""~""))))=len(I16)"),FALSE)</f>
        <v>0</v>
      </c>
      <c r="CQ16" s="290" t="b">
        <f>IFERROR(__xludf.DUMMYFUNCTION("arrayformula(sum(--REGEXMATCH(""SrGMPDNS"",split(REGEXREPLACE(I16,""(.)"",""$1~""),""~""))))=len(I16)"),FALSE)</f>
        <v>0</v>
      </c>
      <c r="CR16" s="290" t="b">
        <f>IFERROR(__xludf.DUMMYFUNCTION("arrayformula(sum(--REGEXMATCH(""SrGMPdNS"",split(REGEXREPLACE(I16,""(.)"",""$1~""),""~""))))=len(I16)"),FALSE)</f>
        <v>0</v>
      </c>
      <c r="CS16" s="293" t="b">
        <f>IFERROR(__xludf.DUMMYFUNCTION("arrayformula(sum(--REGEXMATCH(""SrgMPdNS"",split(REGEXREPLACE(I16,""(.)"",""$1~""),""~""))))=len(I16)"),FALSE)</f>
        <v>0</v>
      </c>
      <c r="CT16" s="244" t="str">
        <f>IFERROR(__xludf.DUMMYFUNCTION("IF(REGEXMATCH(I16, ""S""), ""1"","""")"),"1")</f>
        <v>1</v>
      </c>
      <c r="CU16" s="245" t="str">
        <f>IFERROR(__xludf.DUMMYFUNCTION("IF(REGEXMATCH(I16, ""r""), ""b2"","""")"),"b2")</f>
        <v>b2</v>
      </c>
      <c r="CV16" s="246" t="str">
        <f>IFERROR(__xludf.DUMMYFUNCTION("IF(REGEXMATCH(I16, ""R""), ""2"","""")"),"")</f>
        <v/>
      </c>
      <c r="CW16" s="246" t="str">
        <f>IFERROR(__xludf.DUMMYFUNCTION("IF(REGEXMATCH(I16, ""g""), ""b3"","""")"),"b3")</f>
        <v>b3</v>
      </c>
      <c r="CX16" s="245" t="str">
        <f>IFERROR(__xludf.DUMMYFUNCTION("IF(REGEXMATCH(I16, ""G""), ""3"","""")"),"")</f>
        <v/>
      </c>
      <c r="CY16" s="245" t="str">
        <f>IFERROR(__xludf.DUMMYFUNCTION("IF(REGEXMATCH(I16, ""m""), ""4"","""")"),"")</f>
        <v/>
      </c>
      <c r="CZ16" s="246" t="str">
        <f>IFERROR(__xludf.DUMMYFUNCTION("IF(REGEXMATCH(I16, ""M""), ""#4"","""")"),"#4")</f>
        <v>#4</v>
      </c>
      <c r="DA16" s="245" t="str">
        <f>IFERROR(__xludf.DUMMYFUNCTION("IF(REGEXMATCH(I16, ""P""), ""5"","""")"),"5")</f>
        <v>5</v>
      </c>
      <c r="DB16" s="246" t="str">
        <f>IFERROR(__xludf.DUMMYFUNCTION("IF(REGEXMATCH(I16, ""d""), ""b6"","""")"),"")</f>
        <v/>
      </c>
      <c r="DC16" s="245" t="str">
        <f>IFERROR(__xludf.DUMMYFUNCTION("IF(REGEXMATCH(I16, ""D""), ""6"","""")"),"6")</f>
        <v>6</v>
      </c>
      <c r="DD16" s="245" t="str">
        <f>IFERROR(__xludf.DUMMYFUNCTION("IF(REGEXMATCH(I16, ""n""), ""b7"","""")"),"b7")</f>
        <v>b7</v>
      </c>
      <c r="DE16" s="246" t="str">
        <f>IFERROR(__xludf.DUMMYFUNCTION("IF(REGEXMATCH(I16, ""N""), ""7"","""")"),"")</f>
        <v/>
      </c>
      <c r="DF16" s="249" t="str">
        <f>IFERROR(__xludf.DUMMYFUNCTION("IF(REGEXMATCH(I16, ""S""), ""8"","""")"),"8")</f>
        <v>8</v>
      </c>
      <c r="DG16" s="244" t="str">
        <f>IFERROR(__xludf.DUMMYFUNCTION("IF(REGEXMATCH(I16, ""S""), ""S"","""")"),"S")</f>
        <v>S</v>
      </c>
      <c r="DH16" s="294" t="str">
        <f>IFERROR(__xludf.DUMMYFUNCTION("IF(REGEXMATCH(I16, ""r""), ""R1"","""")"),"R1")</f>
        <v>R1</v>
      </c>
      <c r="DI16" s="295" t="str">
        <f>IFERROR(__xludf.DUMMYFUNCTION("IF(REGEXMATCH(I16, ""R""), ""R2"","""")"),"")</f>
        <v/>
      </c>
      <c r="DJ16" s="295" t="str">
        <f>IFERROR(__xludf.DUMMYFUNCTION("IF(REGEXMATCH(I16, ""g""), ""G2"","""")"),"G2")</f>
        <v>G2</v>
      </c>
      <c r="DK16" s="294" t="str">
        <f>IFERROR(__xludf.DUMMYFUNCTION("IF(REGEXMATCH(I16, ""G""), ""G3"","""")"),"")</f>
        <v/>
      </c>
      <c r="DL16" s="294" t="str">
        <f>IFERROR(__xludf.DUMMYFUNCTION("IF(REGEXMATCH(I16, ""m""), ""M1"","""")"),"")</f>
        <v/>
      </c>
      <c r="DM16" s="295" t="str">
        <f>IFERROR(__xludf.DUMMYFUNCTION("IF(REGEXMATCH(I16, ""M""), ""M2"","""")"),"M2")</f>
        <v>M2</v>
      </c>
      <c r="DN16" s="294" t="str">
        <f>IFERROR(__xludf.DUMMYFUNCTION("IF(REGEXMATCH(I16, ""P""), ""P"","""")"),"P")</f>
        <v>P</v>
      </c>
      <c r="DO16" s="295" t="str">
        <f>IFERROR(__xludf.DUMMYFUNCTION("IF(REGEXMATCH(I16, ""d""), ""D1"","""")"),"")</f>
        <v/>
      </c>
      <c r="DP16" s="294" t="str">
        <f>IFERROR(__xludf.DUMMYFUNCTION("IF(REGEXMATCH(I16, ""D""), ""D2"","""")"),"D2")</f>
        <v>D2</v>
      </c>
      <c r="DQ16" s="294" t="str">
        <f>IFERROR(__xludf.DUMMYFUNCTION("IF(REGEXMATCH(I16, ""n""), ""N2"","""")"),"N2")</f>
        <v>N2</v>
      </c>
      <c r="DR16" s="295" t="str">
        <f>IFERROR(__xludf.DUMMYFUNCTION("IF(REGEXMATCH(I16, ""N""), ""N3"","""")"),"")</f>
        <v/>
      </c>
      <c r="DS16" s="249" t="str">
        <f>IFERROR(__xludf.DUMMYFUNCTION("IF(REGEXMATCH(I16, ""S""), ""S"","""")"),"S")</f>
        <v>S</v>
      </c>
      <c r="DT16" s="299" t="str">
        <f>IFERROR(__xludf.DUMMYFUNCTION("SUBSTITUTE(SUBSTITUTE(SUBSTITUTE(SUBSTITUTE(CONCATENATE(JOIN(""-"",CT16:DF16)),""--"",""-""),""--"",""-""),""--"",""-""),""--"",""-"")"),"1-b2-b3-#4-5-6-b7-8")</f>
        <v>1-b2-b3-#4-5-6-b7-8</v>
      </c>
      <c r="DU16" s="299" t="str">
        <f>IFERROR(__xludf.DUMMYFUNCTION("SUBSTITUTE(SUBSTITUTE(SUBSTITUTE(SUBSTITUTE(CONCATENATE(JOIN(""-"",DG16:DS16)),""--"",""-""),""--"",""-""),""--"",""-""),""--"",""-"")"),"S-R1-G2-M2-P-D2-N2-S")</f>
        <v>S-R1-G2-M2-P-D2-N2-S</v>
      </c>
      <c r="DV16" s="348" t="str">
        <f t="shared" si="43"/>
        <v>C-Db-Eb-F#-G-A-Bb-C</v>
      </c>
      <c r="DW16" s="301">
        <f t="shared" si="44"/>
        <v>7</v>
      </c>
      <c r="DX16" s="302" t="str">
        <f t="shared" si="45"/>
        <v>Sampurna</v>
      </c>
      <c r="DY16" s="301" t="str">
        <f t="shared" ref="DY16:DZ16" si="182">SUBSTITUTE(Y16,"-","")</f>
        <v>SRGM</v>
      </c>
      <c r="DZ16" s="301" t="str">
        <f t="shared" si="182"/>
        <v>PDNS</v>
      </c>
      <c r="EA16" s="302" t="str">
        <f t="shared" si="47"/>
        <v>(n/a)</v>
      </c>
      <c r="EB16" s="301" t="str">
        <f t="shared" si="48"/>
        <v>Hemi.</v>
      </c>
      <c r="EC16" s="364" t="str">
        <f t="shared" si="49"/>
        <v>-</v>
      </c>
      <c r="ED16" s="306" t="str">
        <f t="shared" si="50"/>
        <v>-</v>
      </c>
      <c r="EE16" s="366" t="str">
        <f t="shared" si="51"/>
        <v>-</v>
      </c>
      <c r="EF16" s="308" t="str">
        <f t="shared" si="52"/>
        <v>✔</v>
      </c>
      <c r="EG16" s="306" t="str">
        <f t="shared" si="53"/>
        <v>-</v>
      </c>
      <c r="EH16" s="306" t="str">
        <f t="shared" si="54"/>
        <v>-</v>
      </c>
      <c r="EI16" s="367" t="str">
        <f t="shared" si="55"/>
        <v>✔</v>
      </c>
      <c r="EJ16" s="310" t="str">
        <f t="shared" si="56"/>
        <v>-</v>
      </c>
      <c r="EK16" s="310" t="str">
        <f t="shared" si="57"/>
        <v>-</v>
      </c>
      <c r="EL16" s="310" t="str">
        <f t="shared" si="58"/>
        <v>-</v>
      </c>
      <c r="EM16" s="310" t="str">
        <f t="shared" si="59"/>
        <v>-</v>
      </c>
      <c r="EN16" s="370" t="str">
        <f t="shared" si="60"/>
        <v>-</v>
      </c>
      <c r="EO16" s="306" t="str">
        <f t="shared" si="61"/>
        <v>-</v>
      </c>
      <c r="EP16" s="306" t="str">
        <f t="shared" si="62"/>
        <v>-</v>
      </c>
      <c r="EQ16" s="306" t="str">
        <f t="shared" si="63"/>
        <v>-</v>
      </c>
      <c r="ER16" s="306" t="str">
        <f t="shared" si="64"/>
        <v>-</v>
      </c>
      <c r="ES16" s="306" t="str">
        <f t="shared" si="65"/>
        <v>-</v>
      </c>
      <c r="ET16" s="367" t="str">
        <f t="shared" si="66"/>
        <v>-</v>
      </c>
      <c r="EU16" s="310" t="str">
        <f>IFERROR(__xludf.DUMMYFUNCTION("IF(REGEXMATCH(BH16,BD16),""✔"",""-"")"),"-")</f>
        <v>-</v>
      </c>
      <c r="EV16" s="310" t="str">
        <f t="shared" si="67"/>
        <v>-</v>
      </c>
      <c r="EW16" s="370" t="str">
        <f t="shared" si="68"/>
        <v>-</v>
      </c>
      <c r="EX16" s="315" t="str">
        <f t="shared" si="69"/>
        <v>[UQ]</v>
      </c>
      <c r="EY16" s="317" t="str">
        <f t="shared" si="70"/>
        <v>S-r-g-M-P-D-n-S</v>
      </c>
      <c r="EZ16" s="318" t="str">
        <f>IFERROR(__xludf.DUMMYFUNCTION("CONCATENATE(JOIN("""",GE16:GQ16))"),"SRgmMDNS")</f>
        <v>SRgmMDNS</v>
      </c>
      <c r="FA16" s="318"/>
      <c r="FB16" s="318"/>
      <c r="FC16" s="321">
        <f t="shared" si="71"/>
        <v>4</v>
      </c>
      <c r="FD16" s="318" t="str">
        <f>IFERROR(__xludf.DUMMYFUNCTION("CONCATENATE(JOIN("""",HR16:ID16))"),"re, Pa, Dha, ni, ")</f>
        <v>re, Pa, Dha, ni, </v>
      </c>
      <c r="FE16" s="322">
        <f t="shared" si="72"/>
        <v>1</v>
      </c>
      <c r="FF16" s="324" t="str">
        <f>IFERROR(__xludf.DUMMYFUNCTION("CONCATENATE(JOIN("""",IR16:JD16))"),"Dha, ")</f>
        <v>Dha, </v>
      </c>
      <c r="FG16" s="325" t="str">
        <f t="shared" si="73"/>
        <v>S-R1-G2-M2-P-D2-N2-S</v>
      </c>
      <c r="FH16" s="326" t="str">
        <f t="shared" si="74"/>
        <v>1-b2-b3-#4-5-6-b7-8</v>
      </c>
      <c r="FI16" s="326" t="str">
        <f t="shared" si="75"/>
        <v>0-1-3-6-7-9-10-0</v>
      </c>
      <c r="FJ16" s="318"/>
      <c r="FK16" s="328" t="str">
        <f>IFERROR(__xludf.DUMMYFUNCTION("SUBSTITUTE(SUBSTITUTE(SUBSTITUTE(SUBSTITUTE(CONCATENATE(JOIN("" "",FN16:FZ16)),""  "","" ""),""  "","" ""),""  "","" ""),""  "","" "")"),"o o • o • • o o • o o • o")</f>
        <v>o o • o • • o o • o o • o</v>
      </c>
      <c r="FL16" s="328" t="str">
        <f t="shared" si="76"/>
        <v>Sa-Pa</v>
      </c>
      <c r="FM16" s="329"/>
      <c r="FN16" s="331" t="str">
        <f t="shared" si="77"/>
        <v>o</v>
      </c>
      <c r="FO16" s="332" t="str">
        <f t="shared" si="78"/>
        <v>o</v>
      </c>
      <c r="FP16" s="332" t="str">
        <f t="shared" si="79"/>
        <v>•</v>
      </c>
      <c r="FQ16" s="332" t="str">
        <f t="shared" si="80"/>
        <v>o</v>
      </c>
      <c r="FR16" s="332" t="str">
        <f t="shared" si="81"/>
        <v>•</v>
      </c>
      <c r="FS16" s="332" t="str">
        <f t="shared" si="82"/>
        <v>•</v>
      </c>
      <c r="FT16" s="332" t="str">
        <f t="shared" si="83"/>
        <v>o</v>
      </c>
      <c r="FU16" s="332" t="str">
        <f t="shared" si="84"/>
        <v>o</v>
      </c>
      <c r="FV16" s="332" t="str">
        <f t="shared" si="85"/>
        <v>•</v>
      </c>
      <c r="FW16" s="332" t="str">
        <f t="shared" si="86"/>
        <v>o</v>
      </c>
      <c r="FX16" s="332" t="str">
        <f t="shared" si="87"/>
        <v>o</v>
      </c>
      <c r="FY16" s="332" t="str">
        <f t="shared" si="88"/>
        <v>•</v>
      </c>
      <c r="FZ16" s="338" t="str">
        <f t="shared" si="89"/>
        <v>o</v>
      </c>
      <c r="GA16" s="339" t="str">
        <f t="shared" si="90"/>
        <v>Sa-Pa</v>
      </c>
      <c r="GB16" s="339" t="str">
        <f t="shared" si="91"/>
        <v>Sa-Pa</v>
      </c>
      <c r="GC16" s="339" t="str">
        <f t="shared" si="92"/>
        <v>-</v>
      </c>
      <c r="GD16" s="340" t="str">
        <f t="shared" si="93"/>
        <v>-</v>
      </c>
      <c r="GE16" s="331" t="str">
        <f t="shared" si="94"/>
        <v>S</v>
      </c>
      <c r="GF16" s="332" t="str">
        <f t="shared" si="95"/>
        <v/>
      </c>
      <c r="GG16" s="332" t="str">
        <f t="shared" si="96"/>
        <v>R</v>
      </c>
      <c r="GH16" s="332" t="str">
        <f t="shared" si="97"/>
        <v>g</v>
      </c>
      <c r="GI16" s="332" t="str">
        <f t="shared" si="98"/>
        <v/>
      </c>
      <c r="GJ16" s="332" t="str">
        <f t="shared" si="99"/>
        <v>m</v>
      </c>
      <c r="GK16" s="332" t="str">
        <f t="shared" si="100"/>
        <v>M</v>
      </c>
      <c r="GL16" s="332" t="str">
        <f t="shared" si="101"/>
        <v/>
      </c>
      <c r="GM16" s="332" t="str">
        <f t="shared" si="102"/>
        <v/>
      </c>
      <c r="GN16" s="332" t="str">
        <f t="shared" si="103"/>
        <v>D</v>
      </c>
      <c r="GO16" s="332" t="str">
        <f t="shared" si="104"/>
        <v/>
      </c>
      <c r="GP16" s="332" t="str">
        <f t="shared" si="105"/>
        <v>N</v>
      </c>
      <c r="GQ16" s="343" t="str">
        <f t="shared" si="106"/>
        <v>S</v>
      </c>
      <c r="GR16" s="331" t="str">
        <f t="shared" si="107"/>
        <v>•</v>
      </c>
      <c r="GS16" s="332" t="str">
        <f t="shared" si="108"/>
        <v>•</v>
      </c>
      <c r="GT16" s="332" t="str">
        <f t="shared" si="109"/>
        <v>o</v>
      </c>
      <c r="GU16" s="332" t="str">
        <f t="shared" si="110"/>
        <v>•</v>
      </c>
      <c r="GV16" s="332" t="str">
        <f t="shared" si="111"/>
        <v>o</v>
      </c>
      <c r="GW16" s="332" t="str">
        <f t="shared" si="112"/>
        <v>o</v>
      </c>
      <c r="GX16" s="332" t="str">
        <f t="shared" si="113"/>
        <v>•</v>
      </c>
      <c r="GY16" s="332" t="str">
        <f t="shared" si="114"/>
        <v>•</v>
      </c>
      <c r="GZ16" s="332" t="str">
        <f t="shared" si="115"/>
        <v>o</v>
      </c>
      <c r="HA16" s="332" t="str">
        <f t="shared" si="116"/>
        <v>•</v>
      </c>
      <c r="HB16" s="332" t="str">
        <f t="shared" si="117"/>
        <v>•</v>
      </c>
      <c r="HC16" s="332" t="str">
        <f t="shared" si="118"/>
        <v>o</v>
      </c>
      <c r="HD16" s="338" t="str">
        <f t="shared" si="119"/>
        <v>•</v>
      </c>
      <c r="HE16" s="346" t="b">
        <f t="shared" si="120"/>
        <v>0</v>
      </c>
      <c r="HF16" s="347" t="b">
        <f t="shared" si="121"/>
        <v>1</v>
      </c>
      <c r="HG16" s="347" t="b">
        <f t="shared" si="122"/>
        <v>0</v>
      </c>
      <c r="HH16" s="347" t="b">
        <f t="shared" si="123"/>
        <v>0</v>
      </c>
      <c r="HI16" s="347" t="b">
        <f t="shared" si="124"/>
        <v>0</v>
      </c>
      <c r="HJ16" s="347" t="b">
        <f t="shared" si="125"/>
        <v>0</v>
      </c>
      <c r="HK16" s="347" t="b">
        <f t="shared" si="126"/>
        <v>0</v>
      </c>
      <c r="HL16" s="347" t="b">
        <f t="shared" si="127"/>
        <v>1</v>
      </c>
      <c r="HM16" s="347" t="b">
        <f t="shared" si="128"/>
        <v>0</v>
      </c>
      <c r="HN16" s="347" t="b">
        <f t="shared" si="129"/>
        <v>1</v>
      </c>
      <c r="HO16" s="347" t="b">
        <f t="shared" si="130"/>
        <v>1</v>
      </c>
      <c r="HP16" s="347" t="b">
        <f t="shared" si="131"/>
        <v>0</v>
      </c>
      <c r="HQ16" s="353" t="b">
        <f t="shared" si="132"/>
        <v>0</v>
      </c>
      <c r="HR16" s="354" t="str">
        <f t="shared" si="133"/>
        <v/>
      </c>
      <c r="HS16" s="355" t="str">
        <f t="shared" si="134"/>
        <v>re, </v>
      </c>
      <c r="HT16" s="355" t="str">
        <f t="shared" si="135"/>
        <v/>
      </c>
      <c r="HU16" s="355" t="str">
        <f t="shared" si="136"/>
        <v/>
      </c>
      <c r="HV16" s="355" t="str">
        <f t="shared" si="137"/>
        <v/>
      </c>
      <c r="HW16" s="355" t="str">
        <f t="shared" si="138"/>
        <v/>
      </c>
      <c r="HX16" s="355" t="str">
        <f t="shared" si="139"/>
        <v/>
      </c>
      <c r="HY16" s="355" t="str">
        <f t="shared" si="140"/>
        <v>Pa, </v>
      </c>
      <c r="HZ16" s="355" t="str">
        <f t="shared" si="141"/>
        <v/>
      </c>
      <c r="IA16" s="355" t="str">
        <f t="shared" si="142"/>
        <v>Dha, </v>
      </c>
      <c r="IB16" s="355" t="str">
        <f t="shared" si="143"/>
        <v>ni, </v>
      </c>
      <c r="IC16" s="355" t="str">
        <f t="shared" si="144"/>
        <v/>
      </c>
      <c r="ID16" s="359" t="str">
        <f t="shared" si="145"/>
        <v/>
      </c>
      <c r="IE16" s="346" t="b">
        <f t="shared" si="146"/>
        <v>0</v>
      </c>
      <c r="IF16" s="347" t="b">
        <f t="shared" si="147"/>
        <v>0</v>
      </c>
      <c r="IG16" s="347" t="b">
        <f t="shared" si="148"/>
        <v>0</v>
      </c>
      <c r="IH16" s="347" t="b">
        <f t="shared" si="149"/>
        <v>0</v>
      </c>
      <c r="II16" s="347" t="b">
        <f t="shared" si="150"/>
        <v>0</v>
      </c>
      <c r="IJ16" s="347" t="b">
        <f t="shared" si="151"/>
        <v>0</v>
      </c>
      <c r="IK16" s="347" t="b">
        <f t="shared" si="152"/>
        <v>0</v>
      </c>
      <c r="IL16" s="347" t="b">
        <f t="shared" si="153"/>
        <v>0</v>
      </c>
      <c r="IM16" s="347" t="b">
        <f t="shared" si="154"/>
        <v>0</v>
      </c>
      <c r="IN16" s="347" t="b">
        <f t="shared" si="155"/>
        <v>1</v>
      </c>
      <c r="IO16" s="347" t="b">
        <f t="shared" si="156"/>
        <v>0</v>
      </c>
      <c r="IP16" s="347" t="b">
        <f t="shared" si="157"/>
        <v>0</v>
      </c>
      <c r="IQ16" s="365" t="b">
        <f t="shared" si="158"/>
        <v>0</v>
      </c>
      <c r="IR16" s="354" t="str">
        <f t="shared" si="159"/>
        <v/>
      </c>
      <c r="IS16" s="355" t="str">
        <f t="shared" si="160"/>
        <v/>
      </c>
      <c r="IT16" s="355" t="str">
        <f t="shared" si="161"/>
        <v/>
      </c>
      <c r="IU16" s="355" t="str">
        <f t="shared" si="162"/>
        <v/>
      </c>
      <c r="IV16" s="355" t="str">
        <f t="shared" si="163"/>
        <v/>
      </c>
      <c r="IW16" s="355" t="str">
        <f t="shared" si="164"/>
        <v/>
      </c>
      <c r="IX16" s="355" t="str">
        <f t="shared" si="165"/>
        <v/>
      </c>
      <c r="IY16" s="355" t="str">
        <f t="shared" si="166"/>
        <v/>
      </c>
      <c r="IZ16" s="355" t="str">
        <f t="shared" si="167"/>
        <v/>
      </c>
      <c r="JA16" s="355" t="str">
        <f t="shared" si="168"/>
        <v>Dha, </v>
      </c>
      <c r="JB16" s="355" t="str">
        <f t="shared" si="169"/>
        <v/>
      </c>
      <c r="JC16" s="355" t="str">
        <f t="shared" si="170"/>
        <v/>
      </c>
      <c r="JD16" s="359"/>
      <c r="JE16" s="321"/>
      <c r="JF16" s="368"/>
      <c r="JG16" s="369"/>
      <c r="JH16" s="369"/>
      <c r="JI16" s="369"/>
      <c r="JJ16" s="369"/>
      <c r="JK16" s="369"/>
      <c r="JL16" s="369"/>
      <c r="JM16" s="369"/>
      <c r="JN16" s="369"/>
      <c r="JO16" s="369"/>
      <c r="JP16" s="369"/>
    </row>
    <row r="17" ht="20.25" customHeight="1">
      <c r="A17" s="221" t="s">
        <v>485</v>
      </c>
      <c r="B17" s="222">
        <v>15.0</v>
      </c>
      <c r="C17" s="223" t="s">
        <v>486</v>
      </c>
      <c r="D17" s="224" t="s">
        <v>17</v>
      </c>
      <c r="E17" s="225" t="str">
        <f t="shared" si="5"/>
        <v>[UQ]</v>
      </c>
      <c r="F17" s="227">
        <f t="shared" si="6"/>
        <v>7</v>
      </c>
      <c r="G17" s="229">
        <f t="shared" si="7"/>
        <v>7</v>
      </c>
      <c r="H17" s="230">
        <f t="shared" si="8"/>
        <v>0</v>
      </c>
      <c r="I17" s="233" t="str">
        <f t="shared" si="9"/>
        <v>SRgMPdnS</v>
      </c>
      <c r="J17" s="234" t="str">
        <f>IFERROR(__xludf.DUMMYFUNCTION("IF(REGEXMATCH(I17, ""S""), ""S"","""")"),"S")</f>
        <v>S</v>
      </c>
      <c r="K17" s="236" t="str">
        <f>IFERROR(__xludf.DUMMYFUNCTION("IF(REGEXMATCH(I17, ""r""), ""r"","""")"),"")</f>
        <v/>
      </c>
      <c r="L17" s="237" t="str">
        <f>IFERROR(__xludf.DUMMYFUNCTION("IF(REGEXMATCH(I17, ""R""), ""R"","""")"),"R")</f>
        <v>R</v>
      </c>
      <c r="M17" s="237" t="str">
        <f>IFERROR(__xludf.DUMMYFUNCTION("IF(REGEXMATCH(I17, ""g""), ""g"","""")"),"g")</f>
        <v>g</v>
      </c>
      <c r="N17" s="236" t="str">
        <f>IFERROR(__xludf.DUMMYFUNCTION("IF(REGEXMATCH(I17, ""G""), ""G"","""")"),"")</f>
        <v/>
      </c>
      <c r="O17" s="236" t="str">
        <f>IFERROR(__xludf.DUMMYFUNCTION("IF(REGEXMATCH(I17, ""m""), ""m"","""")"),"")</f>
        <v/>
      </c>
      <c r="P17" s="237" t="str">
        <f>IFERROR(__xludf.DUMMYFUNCTION("IF(REGEXMATCH(I17, ""M""), ""M"","""")"),"M")</f>
        <v>M</v>
      </c>
      <c r="Q17" s="236" t="str">
        <f>IFERROR(__xludf.DUMMYFUNCTION("IF(REGEXMATCH(I17, ""P""), ""P"","""")"),"P")</f>
        <v>P</v>
      </c>
      <c r="R17" s="237" t="str">
        <f>IFERROR(__xludf.DUMMYFUNCTION("IF(REGEXMATCH(I17, ""d""), ""d"","""")"),"d")</f>
        <v>d</v>
      </c>
      <c r="S17" s="236" t="str">
        <f>IFERROR(__xludf.DUMMYFUNCTION("IF(REGEXMATCH(I17, ""D""), ""D"","""")"),"")</f>
        <v/>
      </c>
      <c r="T17" s="236" t="str">
        <f>IFERROR(__xludf.DUMMYFUNCTION("IF(REGEXMATCH(I17, ""n""), ""n"","""")"),"n")</f>
        <v>n</v>
      </c>
      <c r="U17" s="237" t="str">
        <f>IFERROR(__xludf.DUMMYFUNCTION("IF(REGEXMATCH(I17, ""N""), ""N"","""")"),"")</f>
        <v/>
      </c>
      <c r="V17" s="238" t="str">
        <f>IFERROR(__xludf.DUMMYFUNCTION("IF(REGEXMATCH(I17, ""S""), ""S"","""")"),"S")</f>
        <v>S</v>
      </c>
      <c r="W17" s="239" t="str">
        <f>IFERROR(__xludf.DUMMYFUNCTION("SUBSTITUTE(CONCATENATE(JOIN(""-"",J17:P17)),""-"","""")"),"SRgM")</f>
        <v>SRgM</v>
      </c>
      <c r="X17" s="229" t="str">
        <f>IFERROR(__xludf.DUMMYFUNCTION("SUBSTITUTE(CONCATENATE(JOIN(""-"",Q17:V17)),""-"","""")"),"PdnS")</f>
        <v>PdnS</v>
      </c>
      <c r="Y17" s="282" t="str">
        <f t="shared" si="10"/>
        <v>S-R-G-M</v>
      </c>
      <c r="Z17" s="282" t="str">
        <f t="shared" si="11"/>
        <v>P-D-N-S</v>
      </c>
      <c r="AA17" s="309" t="str">
        <f t="shared" si="12"/>
        <v>RgMdn</v>
      </c>
      <c r="AB17" s="244" t="str">
        <f>IFERROR(__xludf.DUMMYFUNCTION("IF(REGEXMATCH(I17, ""S""), ""0"","""")"),"0")</f>
        <v>0</v>
      </c>
      <c r="AC17" s="245" t="str">
        <f>IFERROR(__xludf.DUMMYFUNCTION("IF(REGEXMATCH(I17, ""r""), ""1"","""")"),"")</f>
        <v/>
      </c>
      <c r="AD17" s="246" t="str">
        <f>IFERROR(__xludf.DUMMYFUNCTION("IF(REGEXMATCH(I17, ""R""), ""2"","""")"),"2")</f>
        <v>2</v>
      </c>
      <c r="AE17" s="246" t="str">
        <f>IFERROR(__xludf.DUMMYFUNCTION("IF(REGEXMATCH(I17, ""g""), ""3"","""")"),"3")</f>
        <v>3</v>
      </c>
      <c r="AF17" s="245" t="str">
        <f>IFERROR(__xludf.DUMMYFUNCTION("IF(REGEXMATCH(I17, ""G""), ""4"","""")"),"")</f>
        <v/>
      </c>
      <c r="AG17" s="245" t="str">
        <f>IFERROR(__xludf.DUMMYFUNCTION("IF(REGEXMATCH(I17, ""m""), ""5"","""")"),"")</f>
        <v/>
      </c>
      <c r="AH17" s="246" t="str">
        <f>IFERROR(__xludf.DUMMYFUNCTION("IF(REGEXMATCH(I17, ""M""), ""6"","""")"),"6")</f>
        <v>6</v>
      </c>
      <c r="AI17" s="245" t="str">
        <f>IFERROR(__xludf.DUMMYFUNCTION("IF(REGEXMATCH(I17, ""P""), ""7"","""")"),"7")</f>
        <v>7</v>
      </c>
      <c r="AJ17" s="246" t="str">
        <f>IFERROR(__xludf.DUMMYFUNCTION("IF(REGEXMATCH(I17, ""d""), ""8"","""")"),"8")</f>
        <v>8</v>
      </c>
      <c r="AK17" s="245" t="str">
        <f>IFERROR(__xludf.DUMMYFUNCTION("IF(REGEXMATCH(I17, ""D""), ""9"","""")"),"")</f>
        <v/>
      </c>
      <c r="AL17" s="245" t="str">
        <f>IFERROR(__xludf.DUMMYFUNCTION("IF(REGEXMATCH(I17, ""n""), ""10"","""")"),"10")</f>
        <v>10</v>
      </c>
      <c r="AM17" s="246" t="str">
        <f>IFERROR(__xludf.DUMMYFUNCTION("IF(REGEXMATCH(I17, ""N""), ""11"","""")"),"")</f>
        <v/>
      </c>
      <c r="AN17" s="249" t="str">
        <f>IFERROR(__xludf.DUMMYFUNCTION("IF(REGEXMATCH(I17, ""S""), ""0"","""")"),"0")</f>
        <v>0</v>
      </c>
      <c r="AO17" s="250" t="str">
        <f>IFERROR(__xludf.DUMMYFUNCTION("SUBSTITUTE(SUBSTITUTE(SUBSTITUTE(SUBSTITUTE(CONCATENATE(JOIN(""-"",AB17:AN17)),""--"",""-""),""--"",""-""),""--"",""-""),""--"",""-"")"),"0-2-3-6-7-8-10-0")</f>
        <v>0-2-3-6-7-8-10-0</v>
      </c>
      <c r="AP17" s="251">
        <f t="shared" si="13"/>
        <v>0</v>
      </c>
      <c r="AQ17" s="234" t="str">
        <f t="shared" si="14"/>
        <v>|</v>
      </c>
      <c r="AR17" s="236" t="str">
        <f t="shared" si="15"/>
        <v>-</v>
      </c>
      <c r="AS17" s="237" t="str">
        <f t="shared" si="16"/>
        <v>|</v>
      </c>
      <c r="AT17" s="236" t="str">
        <f t="shared" si="17"/>
        <v>|</v>
      </c>
      <c r="AU17" s="237" t="str">
        <f t="shared" si="18"/>
        <v>-</v>
      </c>
      <c r="AV17" s="236" t="str">
        <f t="shared" si="19"/>
        <v>-</v>
      </c>
      <c r="AW17" s="237" t="str">
        <f t="shared" si="20"/>
        <v>|</v>
      </c>
      <c r="AX17" s="236" t="str">
        <f t="shared" si="21"/>
        <v>|</v>
      </c>
      <c r="AY17" s="237" t="str">
        <f t="shared" si="22"/>
        <v>|</v>
      </c>
      <c r="AZ17" s="236" t="str">
        <f t="shared" si="23"/>
        <v>-</v>
      </c>
      <c r="BA17" s="237" t="str">
        <f t="shared" si="24"/>
        <v>|</v>
      </c>
      <c r="BB17" s="236" t="str">
        <f t="shared" si="25"/>
        <v>-</v>
      </c>
      <c r="BC17" s="238" t="str">
        <f t="shared" si="26"/>
        <v>|</v>
      </c>
      <c r="BD17" s="250" t="str">
        <f>IFERROR(__xludf.DUMMYFUNCTION("SUBSTITUTE(SUBSTITUTE(CONCATENATE(JOIN("""",AQ17:BB17)),""|"",""x""),""-"",""o"")"),"xoxxooxxxoxo")</f>
        <v>xoxxooxxxoxo</v>
      </c>
      <c r="BE17" s="323" t="str">
        <f>IFERROR(__xludf.DUMMYFUNCTION("JOIN("""",BD17,BD17)"),"xoxxooxxxoxoxoxxooxxxoxo")</f>
        <v>xoxxooxxxoxoxoxxooxxxoxo</v>
      </c>
      <c r="BF17" s="256" t="str">
        <f>IFERROR(__xludf.DUMMYFUNCTION("JOIN("""",ArrayFormula(MID(BD17,LEN(BD17)-SEQUENCE(1,LEN(BD17))+1,1)))"),"oxoxxxooxxox")</f>
        <v>oxoxxxooxxox</v>
      </c>
      <c r="BG17" s="256" t="str">
        <f>IFERROR(__xludf.DUMMYFUNCTION("LEFT(CONCATENATE(""x"",JOIN("""",ArrayFormula(MID(BD17,LEN(BD17)-SEQUENCE(1,LEN(BD17))+1,1)))),12)"),"xoxoxxxooxxo")</f>
        <v>xoxoxxxooxxo</v>
      </c>
      <c r="BH17" s="327" t="str">
        <f>IFERROR(__xludf.DUMMYFUNCTION("JOIN("""",BF17,BF17)"),"oxoxxxooxxoxoxoxxxooxxox")</f>
        <v>oxoxxxooxxoxoxoxxxooxxox</v>
      </c>
      <c r="BI17" s="239" t="str">
        <f>IFERROR(__xludf.DUMMYFUNCTION("IF(REGEXMATCH(BH17,BD17),""✔"",""-"")"),"-")</f>
        <v>-</v>
      </c>
      <c r="BJ17" s="330" t="str">
        <f t="shared" si="27"/>
        <v>-</v>
      </c>
      <c r="BK17" s="260" t="str">
        <f t="shared" si="28"/>
        <v>-</v>
      </c>
      <c r="BL17" s="261" t="str">
        <f>IFERROR(__xludf.DUMMYFUNCTION("IF(BO17=0,""(n/a)"",IF(BP17=2,""(PAIR)"",IF(REGEXMATCH(BE17,""xoxoxxoxoxox""),""Bilawal"",IF(REGEXMATCH(BE17,""xoxoxooxoxoo""),""Bhupali"",IF(REGEXMATCH(BE17,""xoxoxxoxxoxo""),""Charukeshi"",IF(REGEXMATCH(BE17,""xoxoooxxoxxo""),""Kameshwari"",IF(REGEXMATC"&amp;"H(BE17,""xoxoxooxoxox""),""Shankara"",IF(REGEXMATCH(BE17,""xxooxoxxxoox""),""Basant"",IF(REGEXMATCH(BE17,""xoxoxxxxoxox""),""Bihag"",IF(REGEXMATCH(BE17,""xoxxxxoxoxxx""),""Pilu"",IF(REGEXMATCH(BE17,""xoxxoxoxxoox""),""Kirwani"",IF(REGEXMATCH(BE17,""xoxxox"&amp;"oxoxxx""),""Mk.Malhar"",IF(REGEXMATCH(BE17,""xxooxxoxxoox""),""Bhairav"",IF(REGEXMATCH(BE17,""xxoxooxxxoox""),""Todi"",IF(REGEXMATCH(BE17,""xxooxoxooxox""),""Marwa"",IF(REGEXMATCH(BE17,""xxoooxoxxooo""),""Gunkali"",IF(REGEXMATCH(BE17,""xoxoxxoxxoox""),""N"&amp;"at Bhairav"",IF(REGEXMATCH(BE17,""xoxxoooxoxoo""),""Shivranjani"",IF(REGEXMATCH(BE17,""xooxxxoxooxo""),""Jog"",IF(REGEXMATCH(BE17,""xxooxoxoxoox""),""Hemshri"",IF(REGEXMATCH(BE17,""xoooxooxoxxo""),""Kalavati"",IF(REGEXMATCH(BE17,""xxoxoxxoxoox""),""Kedar"&amp;""",IF(REGEXMATCH(BE17,""xoxxxxoxooxx""),""Gara"",IF(REGEXMATCH(BE17,""xooxoxooxoox""),""Chandrakauns"",IF(REGEXMATCH(BE17,""xoxxxxoxxxox""),""Mand"",IF(REGEXMATCH(BE17,""xoxxxxoxoxox""),""Hanskinkini"",IF(REGEXMATCH(BE17,""xxooxxoxooxo""),""Lilavati"",IF("&amp;"REGEXMATCH(BE17,""xooxoxoooxox""),""Rajeshwari"",IF(REGEXMATCH(BE17,""xoooxxoxoxxx""),""Khokar"",IF(REGEXMATCH(BE17,""xxooxoxxxxox""),""Maligoura"",""-""))))))))))))))))))))))))))))))"),"(PAIR)")</f>
        <v>(PAIR)</v>
      </c>
      <c r="BM17" s="239">
        <f t="shared" si="29"/>
        <v>6</v>
      </c>
      <c r="BN17" s="239">
        <f>IFERROR(__xludf.DUMMYFUNCTION("COUNTUNIQUE(BR17:CB17)-1"),6.0)</f>
        <v>6</v>
      </c>
      <c r="BO17" s="239">
        <f>IFERROR(__xludf.DUMMYFUNCTION("COUNTUNIQUE(FILTER(BE:BE,REGEXMATCH(BE:BE,BD17)))-1"),1.0)</f>
        <v>1</v>
      </c>
      <c r="BP17" s="239">
        <f>IFERROR(__xludf.DUMMYFUNCTION("COUNTA(FILTER(BE:BE,REGEXMATCH(BE:BE,BD17)))"),2.0)</f>
        <v>2</v>
      </c>
      <c r="BQ17" s="341">
        <f>IFERROR(__xludf.DUMMYFUNCTION("COUNTA(FILTER(BE:BE,REGEXMATCH(BE:BE,BD17)))-AP17"),2.0)</f>
        <v>2</v>
      </c>
      <c r="BR17" s="269" t="str">
        <f t="shared" si="30"/>
        <v>-</v>
      </c>
      <c r="BS17" s="269" t="str">
        <f t="shared" si="31"/>
        <v>xxooxxxoxox</v>
      </c>
      <c r="BT17" s="271" t="str">
        <f t="shared" si="32"/>
        <v>xooxxxoxoxo</v>
      </c>
      <c r="BU17" s="269" t="str">
        <f t="shared" si="33"/>
        <v>-</v>
      </c>
      <c r="BV17" s="271" t="str">
        <f t="shared" si="34"/>
        <v>-</v>
      </c>
      <c r="BW17" s="271" t="str">
        <f t="shared" si="35"/>
        <v>xxxoxoxoxxo</v>
      </c>
      <c r="BX17" s="271" t="str">
        <f t="shared" si="36"/>
        <v>xxoxoxoxxoo</v>
      </c>
      <c r="BY17" s="271" t="str">
        <f t="shared" si="37"/>
        <v>xoxoxoxxoox</v>
      </c>
      <c r="BZ17" s="271" t="str">
        <f t="shared" si="38"/>
        <v>-</v>
      </c>
      <c r="CA17" s="271" t="str">
        <f t="shared" si="39"/>
        <v>xoxoxxooxxx</v>
      </c>
      <c r="CB17" s="274" t="str">
        <f t="shared" si="40"/>
        <v>-</v>
      </c>
      <c r="CC17" s="276" t="str">
        <f>IFERROR(__xludf.DUMMYFUNCTION("IF(BD17=""oooooooooooo"",""-"",IF(REGEXMATCH(BE17,""xx""), ""Hemi."", ""Anhemi.""))"),"Hemi.")</f>
        <v>Hemi.</v>
      </c>
      <c r="CD17" s="282" t="str">
        <f>IFERROR(__xludf.DUMMYFUNCTION("IF(BD17=""oooooooooooo"",""-"",IF(REGEXMATCH(BE17,""xxx""), ""Cohem."", ""-""))"),"Cohem.")</f>
        <v>Cohem.</v>
      </c>
      <c r="CE17" s="282" t="str">
        <f>IFERROR(__xludf.DUMMYFUNCTION("IF(BD17=""oooooooooooo"",""-"",IF(REGEXMATCH(BE17,""xxxx""), ""Co-Co."", ""-""))"),"-")</f>
        <v>-</v>
      </c>
      <c r="CF17" s="342" t="str">
        <f>IFERROR(__xludf.DUMMYFUNCTION("IF(BD17=""oooooooooooo"",""-"",IF(REGEXMATCH(BE17,""xxxxx""), ""CCC."", ""-""))"),"-")</f>
        <v>-</v>
      </c>
      <c r="CG17" s="344" t="str">
        <f t="shared" si="41"/>
        <v>-</v>
      </c>
      <c r="CH17" s="282" t="str">
        <f>IFERROR(__xludf.DUMMYFUNCTION("IF(REGEXMATCH(JOIN(""-"",CJ17:CS17),""TRUE""),""✔"",""-"")"),"-")</f>
        <v>-</v>
      </c>
      <c r="CI17" s="225">
        <f t="shared" si="42"/>
        <v>0</v>
      </c>
      <c r="CJ17" s="376" t="b">
        <f>IFERROR(__xludf.DUMMYFUNCTION("arrayformula(sum(--REGEXMATCH(""SRGMPDNS"",split(REGEXREPLACE(I17,""(.)"",""$1~""),""~""))))=len(I17)
"),FALSE)</f>
        <v>0</v>
      </c>
      <c r="CK17" s="290" t="b">
        <f>IFERROR(__xludf.DUMMYFUNCTION("arrayformula(sum(--REGEXMATCH(""SRGmPDNS"",split(REGEXREPLACE(I17,""(.)"",""$1~""),""~""))))=len(I17)"),FALSE)</f>
        <v>0</v>
      </c>
      <c r="CL17" s="290" t="b">
        <f>IFERROR(__xludf.DUMMYFUNCTION("arrayformula(sum(--REGEXMATCH(""SRGmPDnS"",split(REGEXREPLACE(I17,""(.)"",""$1~""),""~""))))=len(I17)"),FALSE)</f>
        <v>0</v>
      </c>
      <c r="CM17" s="290" t="b">
        <f>IFERROR(__xludf.DUMMYFUNCTION("arrayformula(sum(--REGEXMATCH(""SRgmPDnS"",split(REGEXREPLACE(I17,""(.)"",""$1~""),""~""))))=len(I17)"),FALSE)</f>
        <v>0</v>
      </c>
      <c r="CN17" s="290" t="b">
        <f>IFERROR(__xludf.DUMMYFUNCTION("arrayformula(sum(--REGEXMATCH(""SRgmPdnS"",split(REGEXREPLACE(I17,""(.)"",""$1~""),""~""))))=len(I17)"),FALSE)</f>
        <v>0</v>
      </c>
      <c r="CO17" s="290" t="b">
        <f>IFERROR(__xludf.DUMMYFUNCTION("arrayformula(sum(--REGEXMATCH(""SrgmPdnS"",split(REGEXREPLACE(I17,""(.)"",""$1~""),""~""))))=len(I17)"),FALSE)</f>
        <v>0</v>
      </c>
      <c r="CP17" s="290" t="b">
        <f>IFERROR(__xludf.DUMMYFUNCTION("arrayformula(sum(--REGEXMATCH(""SrGmPdNS"",split(REGEXREPLACE(I17,""(.)"",""$1~""),""~""))))=len(I17)"),FALSE)</f>
        <v>0</v>
      </c>
      <c r="CQ17" s="290" t="b">
        <f>IFERROR(__xludf.DUMMYFUNCTION("arrayformula(sum(--REGEXMATCH(""SrGMPDNS"",split(REGEXREPLACE(I17,""(.)"",""$1~""),""~""))))=len(I17)"),FALSE)</f>
        <v>0</v>
      </c>
      <c r="CR17" s="290" t="b">
        <f>IFERROR(__xludf.DUMMYFUNCTION("arrayformula(sum(--REGEXMATCH(""SrGMPdNS"",split(REGEXREPLACE(I17,""(.)"",""$1~""),""~""))))=len(I17)"),FALSE)</f>
        <v>0</v>
      </c>
      <c r="CS17" s="293" t="b">
        <f>IFERROR(__xludf.DUMMYFUNCTION("arrayformula(sum(--REGEXMATCH(""SrgMPdNS"",split(REGEXREPLACE(I17,""(.)"",""$1~""),""~""))))=len(I17)"),FALSE)</f>
        <v>0</v>
      </c>
      <c r="CT17" s="244" t="str">
        <f>IFERROR(__xludf.DUMMYFUNCTION("IF(REGEXMATCH(I17, ""S""), ""1"","""")"),"1")</f>
        <v>1</v>
      </c>
      <c r="CU17" s="245" t="str">
        <f>IFERROR(__xludf.DUMMYFUNCTION("IF(REGEXMATCH(I17, ""r""), ""b2"","""")"),"")</f>
        <v/>
      </c>
      <c r="CV17" s="246" t="str">
        <f>IFERROR(__xludf.DUMMYFUNCTION("IF(REGEXMATCH(I17, ""R""), ""2"","""")"),"2")</f>
        <v>2</v>
      </c>
      <c r="CW17" s="246" t="str">
        <f>IFERROR(__xludf.DUMMYFUNCTION("IF(REGEXMATCH(I17, ""g""), ""b3"","""")"),"b3")</f>
        <v>b3</v>
      </c>
      <c r="CX17" s="245" t="str">
        <f>IFERROR(__xludf.DUMMYFUNCTION("IF(REGEXMATCH(I17, ""G""), ""3"","""")"),"")</f>
        <v/>
      </c>
      <c r="CY17" s="245" t="str">
        <f>IFERROR(__xludf.DUMMYFUNCTION("IF(REGEXMATCH(I17, ""m""), ""4"","""")"),"")</f>
        <v/>
      </c>
      <c r="CZ17" s="246" t="str">
        <f>IFERROR(__xludf.DUMMYFUNCTION("IF(REGEXMATCH(I17, ""M""), ""#4"","""")"),"#4")</f>
        <v>#4</v>
      </c>
      <c r="DA17" s="245" t="str">
        <f>IFERROR(__xludf.DUMMYFUNCTION("IF(REGEXMATCH(I17, ""P""), ""5"","""")"),"5")</f>
        <v>5</v>
      </c>
      <c r="DB17" s="246" t="str">
        <f>IFERROR(__xludf.DUMMYFUNCTION("IF(REGEXMATCH(I17, ""d""), ""b6"","""")"),"b6")</f>
        <v>b6</v>
      </c>
      <c r="DC17" s="245" t="str">
        <f>IFERROR(__xludf.DUMMYFUNCTION("IF(REGEXMATCH(I17, ""D""), ""6"","""")"),"")</f>
        <v/>
      </c>
      <c r="DD17" s="245" t="str">
        <f>IFERROR(__xludf.DUMMYFUNCTION("IF(REGEXMATCH(I17, ""n""), ""b7"","""")"),"b7")</f>
        <v>b7</v>
      </c>
      <c r="DE17" s="246" t="str">
        <f>IFERROR(__xludf.DUMMYFUNCTION("IF(REGEXMATCH(I17, ""N""), ""7"","""")"),"")</f>
        <v/>
      </c>
      <c r="DF17" s="249" t="str">
        <f>IFERROR(__xludf.DUMMYFUNCTION("IF(REGEXMATCH(I17, ""S""), ""8"","""")"),"8")</f>
        <v>8</v>
      </c>
      <c r="DG17" s="244" t="str">
        <f>IFERROR(__xludf.DUMMYFUNCTION("IF(REGEXMATCH(I17, ""S""), ""S"","""")"),"S")</f>
        <v>S</v>
      </c>
      <c r="DH17" s="294" t="str">
        <f>IFERROR(__xludf.DUMMYFUNCTION("IF(REGEXMATCH(I17, ""r""), ""R1"","""")"),"")</f>
        <v/>
      </c>
      <c r="DI17" s="295" t="str">
        <f>IFERROR(__xludf.DUMMYFUNCTION("IF(REGEXMATCH(I17, ""R""), ""R2"","""")"),"R2")</f>
        <v>R2</v>
      </c>
      <c r="DJ17" s="295" t="str">
        <f>IFERROR(__xludf.DUMMYFUNCTION("IF(REGEXMATCH(I17, ""g""), ""G2"","""")"),"G2")</f>
        <v>G2</v>
      </c>
      <c r="DK17" s="294" t="str">
        <f>IFERROR(__xludf.DUMMYFUNCTION("IF(REGEXMATCH(I17, ""G""), ""G3"","""")"),"")</f>
        <v/>
      </c>
      <c r="DL17" s="294" t="str">
        <f>IFERROR(__xludf.DUMMYFUNCTION("IF(REGEXMATCH(I17, ""m""), ""M1"","""")"),"")</f>
        <v/>
      </c>
      <c r="DM17" s="295" t="str">
        <f>IFERROR(__xludf.DUMMYFUNCTION("IF(REGEXMATCH(I17, ""M""), ""M2"","""")"),"M2")</f>
        <v>M2</v>
      </c>
      <c r="DN17" s="294" t="str">
        <f>IFERROR(__xludf.DUMMYFUNCTION("IF(REGEXMATCH(I17, ""P""), ""P"","""")"),"P")</f>
        <v>P</v>
      </c>
      <c r="DO17" s="295" t="str">
        <f>IFERROR(__xludf.DUMMYFUNCTION("IF(REGEXMATCH(I17, ""d""), ""D1"","""")"),"D1")</f>
        <v>D1</v>
      </c>
      <c r="DP17" s="294" t="str">
        <f>IFERROR(__xludf.DUMMYFUNCTION("IF(REGEXMATCH(I17, ""D""), ""D2"","""")"),"")</f>
        <v/>
      </c>
      <c r="DQ17" s="294" t="str">
        <f>IFERROR(__xludf.DUMMYFUNCTION("IF(REGEXMATCH(I17, ""n""), ""N2"","""")"),"N2")</f>
        <v>N2</v>
      </c>
      <c r="DR17" s="295" t="str">
        <f>IFERROR(__xludf.DUMMYFUNCTION("IF(REGEXMATCH(I17, ""N""), ""N3"","""")"),"")</f>
        <v/>
      </c>
      <c r="DS17" s="249" t="str">
        <f>IFERROR(__xludf.DUMMYFUNCTION("IF(REGEXMATCH(I17, ""S""), ""S"","""")"),"S")</f>
        <v>S</v>
      </c>
      <c r="DT17" s="299" t="str">
        <f>IFERROR(__xludf.DUMMYFUNCTION("SUBSTITUTE(SUBSTITUTE(SUBSTITUTE(SUBSTITUTE(CONCATENATE(JOIN(""-"",CT17:DF17)),""--"",""-""),""--"",""-""),""--"",""-""),""--"",""-"")"),"1-2-b3-#4-5-b6-b7-8")</f>
        <v>1-2-b3-#4-5-b6-b7-8</v>
      </c>
      <c r="DU17" s="299" t="str">
        <f>IFERROR(__xludf.DUMMYFUNCTION("SUBSTITUTE(SUBSTITUTE(SUBSTITUTE(SUBSTITUTE(CONCATENATE(JOIN(""-"",DG17:DS17)),""--"",""-""),""--"",""-""),""--"",""-""),""--"",""-"")"),"S-R2-G2-M2-P-D1-N2-S")</f>
        <v>S-R2-G2-M2-P-D1-N2-S</v>
      </c>
      <c r="DV17" s="348" t="str">
        <f t="shared" si="43"/>
        <v>C-D-Eb-F#-G-Ab-Bb-C</v>
      </c>
      <c r="DW17" s="301">
        <f t="shared" si="44"/>
        <v>7</v>
      </c>
      <c r="DX17" s="302" t="str">
        <f t="shared" si="45"/>
        <v>Sampurna</v>
      </c>
      <c r="DY17" s="301" t="str">
        <f t="shared" ref="DY17:DZ17" si="183">SUBSTITUTE(Y17,"-","")</f>
        <v>SRGM</v>
      </c>
      <c r="DZ17" s="301" t="str">
        <f t="shared" si="183"/>
        <v>PDNS</v>
      </c>
      <c r="EA17" s="302" t="str">
        <f t="shared" si="47"/>
        <v>(PAIR)</v>
      </c>
      <c r="EB17" s="301" t="str">
        <f t="shared" si="48"/>
        <v>Hemi.</v>
      </c>
      <c r="EC17" s="364" t="str">
        <f t="shared" si="49"/>
        <v>Cohem.</v>
      </c>
      <c r="ED17" s="306" t="str">
        <f t="shared" si="50"/>
        <v>-</v>
      </c>
      <c r="EE17" s="366" t="str">
        <f t="shared" si="51"/>
        <v>-</v>
      </c>
      <c r="EF17" s="308" t="str">
        <f t="shared" si="52"/>
        <v>✔</v>
      </c>
      <c r="EG17" s="306" t="str">
        <f t="shared" si="53"/>
        <v>-</v>
      </c>
      <c r="EH17" s="306" t="str">
        <f t="shared" si="54"/>
        <v>-</v>
      </c>
      <c r="EI17" s="367" t="str">
        <f t="shared" si="55"/>
        <v>✔</v>
      </c>
      <c r="EJ17" s="310" t="str">
        <f t="shared" si="56"/>
        <v>-</v>
      </c>
      <c r="EK17" s="310" t="str">
        <f t="shared" si="57"/>
        <v>-</v>
      </c>
      <c r="EL17" s="310" t="str">
        <f t="shared" si="58"/>
        <v>-</v>
      </c>
      <c r="EM17" s="310" t="str">
        <f t="shared" si="59"/>
        <v>-</v>
      </c>
      <c r="EN17" s="370" t="str">
        <f t="shared" si="60"/>
        <v>-</v>
      </c>
      <c r="EO17" s="306" t="str">
        <f t="shared" si="61"/>
        <v>-</v>
      </c>
      <c r="EP17" s="306" t="str">
        <f t="shared" si="62"/>
        <v>-</v>
      </c>
      <c r="EQ17" s="306" t="str">
        <f t="shared" si="63"/>
        <v>-</v>
      </c>
      <c r="ER17" s="306" t="str">
        <f t="shared" si="64"/>
        <v>-</v>
      </c>
      <c r="ES17" s="306" t="str">
        <f t="shared" si="65"/>
        <v>-</v>
      </c>
      <c r="ET17" s="367" t="str">
        <f t="shared" si="66"/>
        <v>-</v>
      </c>
      <c r="EU17" s="310" t="str">
        <f>IFERROR(__xludf.DUMMYFUNCTION("IF(REGEXMATCH(BH17,BD17),""✔"",""-"")"),"-")</f>
        <v>-</v>
      </c>
      <c r="EV17" s="310" t="str">
        <f t="shared" si="67"/>
        <v>-</v>
      </c>
      <c r="EW17" s="370" t="str">
        <f t="shared" si="68"/>
        <v>-</v>
      </c>
      <c r="EX17" s="315" t="str">
        <f t="shared" si="69"/>
        <v>[UQ]</v>
      </c>
      <c r="EY17" s="317" t="str">
        <f t="shared" si="70"/>
        <v>S-R-g-M-P-d-n-S</v>
      </c>
      <c r="EZ17" s="318" t="str">
        <f>IFERROR(__xludf.DUMMYFUNCTION("CONCATENATE(JOIN("""",GE17:GQ17))"),"SRGmMDnS")</f>
        <v>SRGmMDnS</v>
      </c>
      <c r="FA17" s="318"/>
      <c r="FB17" s="318"/>
      <c r="FC17" s="321">
        <f t="shared" si="71"/>
        <v>3</v>
      </c>
      <c r="FD17" s="318" t="str">
        <f>IFERROR(__xludf.DUMMYFUNCTION("CONCATENATE(JOIN("""",HR17:ID17))"),"Re, Ma, ni, ")</f>
        <v>Re, Ma, ni, </v>
      </c>
      <c r="FE17" s="322">
        <f t="shared" si="72"/>
        <v>1</v>
      </c>
      <c r="FF17" s="324" t="str">
        <f>IFERROR(__xludf.DUMMYFUNCTION("CONCATENATE(JOIN("""",IR17:JD17))"),"Ma, ")</f>
        <v>Ma, </v>
      </c>
      <c r="FG17" s="325" t="str">
        <f t="shared" si="73"/>
        <v>S-R2-G2-M2-P-D1-N2-S</v>
      </c>
      <c r="FH17" s="326" t="str">
        <f t="shared" si="74"/>
        <v>1-2-b3-#4-5-b6-b7-8</v>
      </c>
      <c r="FI17" s="326" t="str">
        <f t="shared" si="75"/>
        <v>0-2-3-6-7-8-10-0</v>
      </c>
      <c r="FJ17" s="318"/>
      <c r="FK17" s="328" t="str">
        <f>IFERROR(__xludf.DUMMYFUNCTION("SUBSTITUTE(SUBSTITUTE(SUBSTITUTE(SUBSTITUTE(CONCATENATE(JOIN("" "",FN17:FZ17)),""  "","" ""),""  "","" ""),""  "","" ""),""  "","" "")"),"o • o o • • o o o • o • o")</f>
        <v>o • o o • • o o o • o • o</v>
      </c>
      <c r="FL17" s="328" t="str">
        <f t="shared" si="76"/>
        <v>Sa-Pa</v>
      </c>
      <c r="FM17" s="329"/>
      <c r="FN17" s="331" t="str">
        <f t="shared" si="77"/>
        <v>o</v>
      </c>
      <c r="FO17" s="332" t="str">
        <f t="shared" si="78"/>
        <v>•</v>
      </c>
      <c r="FP17" s="332" t="str">
        <f t="shared" si="79"/>
        <v>o</v>
      </c>
      <c r="FQ17" s="332" t="str">
        <f t="shared" si="80"/>
        <v>o</v>
      </c>
      <c r="FR17" s="332" t="str">
        <f t="shared" si="81"/>
        <v>•</v>
      </c>
      <c r="FS17" s="332" t="str">
        <f t="shared" si="82"/>
        <v>•</v>
      </c>
      <c r="FT17" s="332" t="str">
        <f t="shared" si="83"/>
        <v>o</v>
      </c>
      <c r="FU17" s="332" t="str">
        <f t="shared" si="84"/>
        <v>o</v>
      </c>
      <c r="FV17" s="332" t="str">
        <f t="shared" si="85"/>
        <v>o</v>
      </c>
      <c r="FW17" s="332" t="str">
        <f t="shared" si="86"/>
        <v>•</v>
      </c>
      <c r="FX17" s="332" t="str">
        <f t="shared" si="87"/>
        <v>o</v>
      </c>
      <c r="FY17" s="332" t="str">
        <f t="shared" si="88"/>
        <v>•</v>
      </c>
      <c r="FZ17" s="338" t="str">
        <f t="shared" si="89"/>
        <v>o</v>
      </c>
      <c r="GA17" s="339" t="str">
        <f t="shared" si="90"/>
        <v>Sa-Pa</v>
      </c>
      <c r="GB17" s="339" t="str">
        <f t="shared" si="91"/>
        <v>Sa-Pa</v>
      </c>
      <c r="GC17" s="339" t="str">
        <f t="shared" si="92"/>
        <v>-</v>
      </c>
      <c r="GD17" s="340" t="str">
        <f t="shared" si="93"/>
        <v>-</v>
      </c>
      <c r="GE17" s="331" t="str">
        <f t="shared" si="94"/>
        <v>S</v>
      </c>
      <c r="GF17" s="332" t="str">
        <f t="shared" si="95"/>
        <v/>
      </c>
      <c r="GG17" s="332" t="str">
        <f t="shared" si="96"/>
        <v>R</v>
      </c>
      <c r="GH17" s="332" t="str">
        <f t="shared" si="97"/>
        <v/>
      </c>
      <c r="GI17" s="332" t="str">
        <f t="shared" si="98"/>
        <v>G</v>
      </c>
      <c r="GJ17" s="332" t="str">
        <f t="shared" si="99"/>
        <v>m</v>
      </c>
      <c r="GK17" s="332" t="str">
        <f t="shared" si="100"/>
        <v>M</v>
      </c>
      <c r="GL17" s="332" t="str">
        <f t="shared" si="101"/>
        <v/>
      </c>
      <c r="GM17" s="332" t="str">
        <f t="shared" si="102"/>
        <v/>
      </c>
      <c r="GN17" s="332" t="str">
        <f t="shared" si="103"/>
        <v>D</v>
      </c>
      <c r="GO17" s="332" t="str">
        <f t="shared" si="104"/>
        <v>n</v>
      </c>
      <c r="GP17" s="332" t="str">
        <f t="shared" si="105"/>
        <v/>
      </c>
      <c r="GQ17" s="343" t="str">
        <f t="shared" si="106"/>
        <v>S</v>
      </c>
      <c r="GR17" s="331" t="str">
        <f t="shared" si="107"/>
        <v>•</v>
      </c>
      <c r="GS17" s="332" t="str">
        <f t="shared" si="108"/>
        <v>o</v>
      </c>
      <c r="GT17" s="332" t="str">
        <f t="shared" si="109"/>
        <v>•</v>
      </c>
      <c r="GU17" s="332" t="str">
        <f t="shared" si="110"/>
        <v>•</v>
      </c>
      <c r="GV17" s="332" t="str">
        <f t="shared" si="111"/>
        <v>o</v>
      </c>
      <c r="GW17" s="332" t="str">
        <f t="shared" si="112"/>
        <v>o</v>
      </c>
      <c r="GX17" s="332" t="str">
        <f t="shared" si="113"/>
        <v>•</v>
      </c>
      <c r="GY17" s="332" t="str">
        <f t="shared" si="114"/>
        <v>•</v>
      </c>
      <c r="GZ17" s="332" t="str">
        <f t="shared" si="115"/>
        <v>•</v>
      </c>
      <c r="HA17" s="332" t="str">
        <f t="shared" si="116"/>
        <v>o</v>
      </c>
      <c r="HB17" s="332" t="str">
        <f t="shared" si="117"/>
        <v>•</v>
      </c>
      <c r="HC17" s="332" t="str">
        <f t="shared" si="118"/>
        <v>o</v>
      </c>
      <c r="HD17" s="338" t="str">
        <f t="shared" si="119"/>
        <v>•</v>
      </c>
      <c r="HE17" s="346" t="b">
        <f t="shared" si="120"/>
        <v>0</v>
      </c>
      <c r="HF17" s="347" t="b">
        <f t="shared" si="121"/>
        <v>0</v>
      </c>
      <c r="HG17" s="347" t="b">
        <f t="shared" si="122"/>
        <v>1</v>
      </c>
      <c r="HH17" s="347" t="b">
        <f t="shared" si="123"/>
        <v>0</v>
      </c>
      <c r="HI17" s="347" t="b">
        <f t="shared" si="124"/>
        <v>0</v>
      </c>
      <c r="HJ17" s="347" t="b">
        <f t="shared" si="125"/>
        <v>0</v>
      </c>
      <c r="HK17" s="347" t="b">
        <f t="shared" si="126"/>
        <v>1</v>
      </c>
      <c r="HL17" s="347" t="b">
        <f t="shared" si="127"/>
        <v>0</v>
      </c>
      <c r="HM17" s="347" t="b">
        <f t="shared" si="128"/>
        <v>0</v>
      </c>
      <c r="HN17" s="347" t="b">
        <f t="shared" si="129"/>
        <v>0</v>
      </c>
      <c r="HO17" s="347" t="b">
        <f t="shared" si="130"/>
        <v>1</v>
      </c>
      <c r="HP17" s="347" t="b">
        <f t="shared" si="131"/>
        <v>0</v>
      </c>
      <c r="HQ17" s="353" t="b">
        <f t="shared" si="132"/>
        <v>0</v>
      </c>
      <c r="HR17" s="354" t="str">
        <f t="shared" si="133"/>
        <v/>
      </c>
      <c r="HS17" s="355" t="str">
        <f t="shared" si="134"/>
        <v/>
      </c>
      <c r="HT17" s="355" t="str">
        <f t="shared" si="135"/>
        <v>Re, </v>
      </c>
      <c r="HU17" s="355" t="str">
        <f t="shared" si="136"/>
        <v/>
      </c>
      <c r="HV17" s="355" t="str">
        <f t="shared" si="137"/>
        <v/>
      </c>
      <c r="HW17" s="355" t="str">
        <f t="shared" si="138"/>
        <v/>
      </c>
      <c r="HX17" s="355" t="str">
        <f t="shared" si="139"/>
        <v>Ma, </v>
      </c>
      <c r="HY17" s="355" t="str">
        <f t="shared" si="140"/>
        <v/>
      </c>
      <c r="HZ17" s="355" t="str">
        <f t="shared" si="141"/>
        <v/>
      </c>
      <c r="IA17" s="355" t="str">
        <f t="shared" si="142"/>
        <v/>
      </c>
      <c r="IB17" s="355" t="str">
        <f t="shared" si="143"/>
        <v>ni, </v>
      </c>
      <c r="IC17" s="355" t="str">
        <f t="shared" si="144"/>
        <v/>
      </c>
      <c r="ID17" s="359" t="str">
        <f t="shared" si="145"/>
        <v/>
      </c>
      <c r="IE17" s="346" t="b">
        <f t="shared" si="146"/>
        <v>0</v>
      </c>
      <c r="IF17" s="347" t="b">
        <f t="shared" si="147"/>
        <v>0</v>
      </c>
      <c r="IG17" s="347" t="b">
        <f t="shared" si="148"/>
        <v>0</v>
      </c>
      <c r="IH17" s="347" t="b">
        <f t="shared" si="149"/>
        <v>0</v>
      </c>
      <c r="II17" s="347" t="b">
        <f t="shared" si="150"/>
        <v>0</v>
      </c>
      <c r="IJ17" s="347" t="b">
        <f t="shared" si="151"/>
        <v>0</v>
      </c>
      <c r="IK17" s="347" t="b">
        <f t="shared" si="152"/>
        <v>1</v>
      </c>
      <c r="IL17" s="347" t="b">
        <f t="shared" si="153"/>
        <v>0</v>
      </c>
      <c r="IM17" s="347" t="b">
        <f t="shared" si="154"/>
        <v>0</v>
      </c>
      <c r="IN17" s="347" t="b">
        <f t="shared" si="155"/>
        <v>0</v>
      </c>
      <c r="IO17" s="347" t="b">
        <f t="shared" si="156"/>
        <v>0</v>
      </c>
      <c r="IP17" s="347" t="b">
        <f t="shared" si="157"/>
        <v>0</v>
      </c>
      <c r="IQ17" s="365" t="b">
        <f t="shared" si="158"/>
        <v>0</v>
      </c>
      <c r="IR17" s="354" t="str">
        <f t="shared" si="159"/>
        <v/>
      </c>
      <c r="IS17" s="355" t="str">
        <f t="shared" si="160"/>
        <v/>
      </c>
      <c r="IT17" s="355" t="str">
        <f t="shared" si="161"/>
        <v/>
      </c>
      <c r="IU17" s="355" t="str">
        <f t="shared" si="162"/>
        <v/>
      </c>
      <c r="IV17" s="355" t="str">
        <f t="shared" si="163"/>
        <v/>
      </c>
      <c r="IW17" s="355" t="str">
        <f t="shared" si="164"/>
        <v/>
      </c>
      <c r="IX17" s="355" t="str">
        <f t="shared" si="165"/>
        <v>Ma, </v>
      </c>
      <c r="IY17" s="355" t="str">
        <f t="shared" si="166"/>
        <v/>
      </c>
      <c r="IZ17" s="355" t="str">
        <f t="shared" si="167"/>
        <v/>
      </c>
      <c r="JA17" s="355" t="str">
        <f t="shared" si="168"/>
        <v/>
      </c>
      <c r="JB17" s="355" t="str">
        <f t="shared" si="169"/>
        <v/>
      </c>
      <c r="JC17" s="355" t="str">
        <f t="shared" si="170"/>
        <v/>
      </c>
      <c r="JD17" s="359"/>
      <c r="JE17" s="321"/>
      <c r="JF17" s="368"/>
      <c r="JG17" s="369"/>
      <c r="JH17" s="369"/>
      <c r="JI17" s="369"/>
      <c r="JJ17" s="369"/>
      <c r="JK17" s="369"/>
      <c r="JL17" s="369"/>
      <c r="JM17" s="369"/>
      <c r="JN17" s="369"/>
      <c r="JO17" s="369"/>
      <c r="JP17" s="369"/>
    </row>
    <row r="18" ht="20.25" customHeight="1">
      <c r="A18" s="221" t="s">
        <v>498</v>
      </c>
      <c r="B18" s="222">
        <v>16.0</v>
      </c>
      <c r="C18" s="223" t="s">
        <v>499</v>
      </c>
      <c r="D18" s="224" t="s">
        <v>17</v>
      </c>
      <c r="E18" s="225" t="str">
        <f t="shared" si="5"/>
        <v>[UQ]</v>
      </c>
      <c r="F18" s="227">
        <f t="shared" si="6"/>
        <v>7</v>
      </c>
      <c r="G18" s="229">
        <f t="shared" si="7"/>
        <v>7</v>
      </c>
      <c r="H18" s="230">
        <f t="shared" si="8"/>
        <v>0</v>
      </c>
      <c r="I18" s="233" t="str">
        <f t="shared" si="9"/>
        <v>SrgMPdnS</v>
      </c>
      <c r="J18" s="234" t="str">
        <f>IFERROR(__xludf.DUMMYFUNCTION("IF(REGEXMATCH(I18, ""S""), ""S"","""")"),"S")</f>
        <v>S</v>
      </c>
      <c r="K18" s="236" t="str">
        <f>IFERROR(__xludf.DUMMYFUNCTION("IF(REGEXMATCH(I18, ""r""), ""r"","""")"),"r")</f>
        <v>r</v>
      </c>
      <c r="L18" s="237" t="str">
        <f>IFERROR(__xludf.DUMMYFUNCTION("IF(REGEXMATCH(I18, ""R""), ""R"","""")"),"")</f>
        <v/>
      </c>
      <c r="M18" s="237" t="str">
        <f>IFERROR(__xludf.DUMMYFUNCTION("IF(REGEXMATCH(I18, ""g""), ""g"","""")"),"g")</f>
        <v>g</v>
      </c>
      <c r="N18" s="236" t="str">
        <f>IFERROR(__xludf.DUMMYFUNCTION("IF(REGEXMATCH(I18, ""G""), ""G"","""")"),"")</f>
        <v/>
      </c>
      <c r="O18" s="236" t="str">
        <f>IFERROR(__xludf.DUMMYFUNCTION("IF(REGEXMATCH(I18, ""m""), ""m"","""")"),"")</f>
        <v/>
      </c>
      <c r="P18" s="237" t="str">
        <f>IFERROR(__xludf.DUMMYFUNCTION("IF(REGEXMATCH(I18, ""M""), ""M"","""")"),"M")</f>
        <v>M</v>
      </c>
      <c r="Q18" s="236" t="str">
        <f>IFERROR(__xludf.DUMMYFUNCTION("IF(REGEXMATCH(I18, ""P""), ""P"","""")"),"P")</f>
        <v>P</v>
      </c>
      <c r="R18" s="237" t="str">
        <f>IFERROR(__xludf.DUMMYFUNCTION("IF(REGEXMATCH(I18, ""d""), ""d"","""")"),"d")</f>
        <v>d</v>
      </c>
      <c r="S18" s="236" t="str">
        <f>IFERROR(__xludf.DUMMYFUNCTION("IF(REGEXMATCH(I18, ""D""), ""D"","""")"),"")</f>
        <v/>
      </c>
      <c r="T18" s="236" t="str">
        <f>IFERROR(__xludf.DUMMYFUNCTION("IF(REGEXMATCH(I18, ""n""), ""n"","""")"),"n")</f>
        <v>n</v>
      </c>
      <c r="U18" s="237" t="str">
        <f>IFERROR(__xludf.DUMMYFUNCTION("IF(REGEXMATCH(I18, ""N""), ""N"","""")"),"")</f>
        <v/>
      </c>
      <c r="V18" s="238" t="str">
        <f>IFERROR(__xludf.DUMMYFUNCTION("IF(REGEXMATCH(I18, ""S""), ""S"","""")"),"S")</f>
        <v>S</v>
      </c>
      <c r="W18" s="239" t="str">
        <f>IFERROR(__xludf.DUMMYFUNCTION("SUBSTITUTE(CONCATENATE(JOIN(""-"",J18:P18)),""-"","""")"),"SrgM")</f>
        <v>SrgM</v>
      </c>
      <c r="X18" s="229" t="str">
        <f>IFERROR(__xludf.DUMMYFUNCTION("SUBSTITUTE(CONCATENATE(JOIN(""-"",Q18:V18)),""-"","""")"),"PdnS")</f>
        <v>PdnS</v>
      </c>
      <c r="Y18" s="282" t="str">
        <f t="shared" si="10"/>
        <v>S-R-G-M</v>
      </c>
      <c r="Z18" s="282" t="str">
        <f t="shared" si="11"/>
        <v>P-D-N-S</v>
      </c>
      <c r="AA18" s="309" t="str">
        <f t="shared" si="12"/>
        <v>rgMdn</v>
      </c>
      <c r="AB18" s="244" t="str">
        <f>IFERROR(__xludf.DUMMYFUNCTION("IF(REGEXMATCH(I18, ""S""), ""0"","""")"),"0")</f>
        <v>0</v>
      </c>
      <c r="AC18" s="245" t="str">
        <f>IFERROR(__xludf.DUMMYFUNCTION("IF(REGEXMATCH(I18, ""r""), ""1"","""")"),"1")</f>
        <v>1</v>
      </c>
      <c r="AD18" s="246" t="str">
        <f>IFERROR(__xludf.DUMMYFUNCTION("IF(REGEXMATCH(I18, ""R""), ""2"","""")"),"")</f>
        <v/>
      </c>
      <c r="AE18" s="246" t="str">
        <f>IFERROR(__xludf.DUMMYFUNCTION("IF(REGEXMATCH(I18, ""g""), ""3"","""")"),"3")</f>
        <v>3</v>
      </c>
      <c r="AF18" s="245" t="str">
        <f>IFERROR(__xludf.DUMMYFUNCTION("IF(REGEXMATCH(I18, ""G""), ""4"","""")"),"")</f>
        <v/>
      </c>
      <c r="AG18" s="245" t="str">
        <f>IFERROR(__xludf.DUMMYFUNCTION("IF(REGEXMATCH(I18, ""m""), ""5"","""")"),"")</f>
        <v/>
      </c>
      <c r="AH18" s="246" t="str">
        <f>IFERROR(__xludf.DUMMYFUNCTION("IF(REGEXMATCH(I18, ""M""), ""6"","""")"),"6")</f>
        <v>6</v>
      </c>
      <c r="AI18" s="245" t="str">
        <f>IFERROR(__xludf.DUMMYFUNCTION("IF(REGEXMATCH(I18, ""P""), ""7"","""")"),"7")</f>
        <v>7</v>
      </c>
      <c r="AJ18" s="246" t="str">
        <f>IFERROR(__xludf.DUMMYFUNCTION("IF(REGEXMATCH(I18, ""d""), ""8"","""")"),"8")</f>
        <v>8</v>
      </c>
      <c r="AK18" s="245" t="str">
        <f>IFERROR(__xludf.DUMMYFUNCTION("IF(REGEXMATCH(I18, ""D""), ""9"","""")"),"")</f>
        <v/>
      </c>
      <c r="AL18" s="245" t="str">
        <f>IFERROR(__xludf.DUMMYFUNCTION("IF(REGEXMATCH(I18, ""n""), ""10"","""")"),"10")</f>
        <v>10</v>
      </c>
      <c r="AM18" s="246" t="str">
        <f>IFERROR(__xludf.DUMMYFUNCTION("IF(REGEXMATCH(I18, ""N""), ""11"","""")"),"")</f>
        <v/>
      </c>
      <c r="AN18" s="249" t="str">
        <f>IFERROR(__xludf.DUMMYFUNCTION("IF(REGEXMATCH(I18, ""S""), ""0"","""")"),"0")</f>
        <v>0</v>
      </c>
      <c r="AO18" s="250" t="str">
        <f>IFERROR(__xludf.DUMMYFUNCTION("SUBSTITUTE(SUBSTITUTE(SUBSTITUTE(SUBSTITUTE(CONCATENATE(JOIN(""-"",AB18:AN18)),""--"",""-""),""--"",""-""),""--"",""-""),""--"",""-"")"),"0-1-3-6-7-8-10-0")</f>
        <v>0-1-3-6-7-8-10-0</v>
      </c>
      <c r="AP18" s="251">
        <f t="shared" si="13"/>
        <v>0</v>
      </c>
      <c r="AQ18" s="234" t="str">
        <f t="shared" si="14"/>
        <v>|</v>
      </c>
      <c r="AR18" s="236" t="str">
        <f t="shared" si="15"/>
        <v>|</v>
      </c>
      <c r="AS18" s="237" t="str">
        <f t="shared" si="16"/>
        <v>-</v>
      </c>
      <c r="AT18" s="236" t="str">
        <f t="shared" si="17"/>
        <v>|</v>
      </c>
      <c r="AU18" s="237" t="str">
        <f t="shared" si="18"/>
        <v>-</v>
      </c>
      <c r="AV18" s="236" t="str">
        <f t="shared" si="19"/>
        <v>-</v>
      </c>
      <c r="AW18" s="237" t="str">
        <f t="shared" si="20"/>
        <v>|</v>
      </c>
      <c r="AX18" s="236" t="str">
        <f t="shared" si="21"/>
        <v>|</v>
      </c>
      <c r="AY18" s="237" t="str">
        <f t="shared" si="22"/>
        <v>|</v>
      </c>
      <c r="AZ18" s="236" t="str">
        <f t="shared" si="23"/>
        <v>-</v>
      </c>
      <c r="BA18" s="237" t="str">
        <f t="shared" si="24"/>
        <v>|</v>
      </c>
      <c r="BB18" s="236" t="str">
        <f t="shared" si="25"/>
        <v>-</v>
      </c>
      <c r="BC18" s="238" t="str">
        <f t="shared" si="26"/>
        <v>|</v>
      </c>
      <c r="BD18" s="250" t="str">
        <f>IFERROR(__xludf.DUMMYFUNCTION("SUBSTITUTE(SUBSTITUTE(CONCATENATE(JOIN("""",AQ18:BB18)),""|"",""x""),""-"",""o"")"),"xxoxooxxxoxo")</f>
        <v>xxoxooxxxoxo</v>
      </c>
      <c r="BE18" s="323" t="str">
        <f>IFERROR(__xludf.DUMMYFUNCTION("JOIN("""",BD18,BD18)"),"xxoxooxxxoxoxxoxooxxxoxo")</f>
        <v>xxoxooxxxoxoxxoxooxxxoxo</v>
      </c>
      <c r="BF18" s="256" t="str">
        <f>IFERROR(__xludf.DUMMYFUNCTION("JOIN("""",ArrayFormula(MID(BD18,LEN(BD18)-SEQUENCE(1,LEN(BD18))+1,1)))"),"oxoxxxooxoxx")</f>
        <v>oxoxxxooxoxx</v>
      </c>
      <c r="BG18" s="256" t="str">
        <f>IFERROR(__xludf.DUMMYFUNCTION("LEFT(CONCATENATE(""x"",JOIN("""",ArrayFormula(MID(BD18,LEN(BD18)-SEQUENCE(1,LEN(BD18))+1,1)))),12)"),"xoxoxxxooxox")</f>
        <v>xoxoxxxooxox</v>
      </c>
      <c r="BH18" s="327" t="str">
        <f>IFERROR(__xludf.DUMMYFUNCTION("JOIN("""",BF18,BF18)"),"oxoxxxooxoxxoxoxxxooxoxx")</f>
        <v>oxoxxxooxoxxoxoxxxooxoxx</v>
      </c>
      <c r="BI18" s="239" t="str">
        <f>IFERROR(__xludf.DUMMYFUNCTION("IF(REGEXMATCH(BH18,BD18),""✔"",""-"")"),"-")</f>
        <v>-</v>
      </c>
      <c r="BJ18" s="330" t="str">
        <f t="shared" si="27"/>
        <v>-</v>
      </c>
      <c r="BK18" s="260" t="str">
        <f t="shared" si="28"/>
        <v>-</v>
      </c>
      <c r="BL18" s="261" t="str">
        <f>IFERROR(__xludf.DUMMYFUNCTION("IF(BO18=0,""(n/a)"",IF(BP18=2,""(PAIR)"",IF(REGEXMATCH(BE18,""xoxoxxoxoxox""),""Bilawal"",IF(REGEXMATCH(BE18,""xoxoxooxoxoo""),""Bhupali"",IF(REGEXMATCH(BE18,""xoxoxxoxxoxo""),""Charukeshi"",IF(REGEXMATCH(BE18,""xoxoooxxoxxo""),""Kameshwari"",IF(REGEXMATC"&amp;"H(BE18,""xoxoxooxoxox""),""Shankara"",IF(REGEXMATCH(BE18,""xxooxoxxxoox""),""Basant"",IF(REGEXMATCH(BE18,""xoxoxxxxoxox""),""Bihag"",IF(REGEXMATCH(BE18,""xoxxxxoxoxxx""),""Pilu"",IF(REGEXMATCH(BE18,""xoxxoxoxxoox""),""Kirwani"",IF(REGEXMATCH(BE18,""xoxxox"&amp;"oxoxxx""),""Mk.Malhar"",IF(REGEXMATCH(BE18,""xxooxxoxxoox""),""Bhairav"",IF(REGEXMATCH(BE18,""xxoxooxxxoox""),""Todi"",IF(REGEXMATCH(BE18,""xxooxoxooxox""),""Marwa"",IF(REGEXMATCH(BE18,""xxoooxoxxooo""),""Gunkali"",IF(REGEXMATCH(BE18,""xoxoxxoxxoox""),""N"&amp;"at Bhairav"",IF(REGEXMATCH(BE18,""xoxxoooxoxoo""),""Shivranjani"",IF(REGEXMATCH(BE18,""xooxxxoxooxo""),""Jog"",IF(REGEXMATCH(BE18,""xxooxoxoxoox""),""Hemshri"",IF(REGEXMATCH(BE18,""xoooxooxoxxo""),""Kalavati"",IF(REGEXMATCH(BE18,""xxoxoxxoxoox""),""Kedar"&amp;""",IF(REGEXMATCH(BE18,""xoxxxxoxooxx""),""Gara"",IF(REGEXMATCH(BE18,""xooxoxooxoox""),""Chandrakauns"",IF(REGEXMATCH(BE18,""xoxxxxoxxxox""),""Mand"",IF(REGEXMATCH(BE18,""xoxxxxoxoxox""),""Hanskinkini"",IF(REGEXMATCH(BE18,""xxooxxoxooxo""),""Lilavati"",IF("&amp;"REGEXMATCH(BE18,""xooxoxoooxox""),""Rajeshwari"",IF(REGEXMATCH(BE18,""xoooxxoxoxxx""),""Khokar"",IF(REGEXMATCH(BE18,""xxooxoxxxxox""),""Maligoura"",""-""))))))))))))))))))))))))))))))"),"(n/a)")</f>
        <v>(n/a)</v>
      </c>
      <c r="BM18" s="239">
        <f t="shared" si="29"/>
        <v>6</v>
      </c>
      <c r="BN18" s="239">
        <f>IFERROR(__xludf.DUMMYFUNCTION("COUNTUNIQUE(BR18:CB18)-1"),6.0)</f>
        <v>6</v>
      </c>
      <c r="BO18" s="239">
        <f>IFERROR(__xludf.DUMMYFUNCTION("COUNTUNIQUE(FILTER(BE:BE,REGEXMATCH(BE:BE,BD18)))-1"),0.0)</f>
        <v>0</v>
      </c>
      <c r="BP18" s="239">
        <f>IFERROR(__xludf.DUMMYFUNCTION("COUNTA(FILTER(BE:BE,REGEXMATCH(BE:BE,BD18)))"),1.0)</f>
        <v>1</v>
      </c>
      <c r="BQ18" s="341">
        <f>IFERROR(__xludf.DUMMYFUNCTION("COUNTA(FILTER(BE:BE,REGEXMATCH(BE:BE,BD18)))-AP18"),1.0)</f>
        <v>1</v>
      </c>
      <c r="BR18" s="269" t="str">
        <f t="shared" si="30"/>
        <v>xoxooxxxoxo</v>
      </c>
      <c r="BS18" s="269" t="str">
        <f t="shared" si="31"/>
        <v>-</v>
      </c>
      <c r="BT18" s="271" t="str">
        <f t="shared" si="32"/>
        <v>xooxxxoxoxx</v>
      </c>
      <c r="BU18" s="269" t="str">
        <f t="shared" si="33"/>
        <v>-</v>
      </c>
      <c r="BV18" s="271" t="str">
        <f t="shared" si="34"/>
        <v>-</v>
      </c>
      <c r="BW18" s="271" t="str">
        <f t="shared" si="35"/>
        <v>xxxoxoxxoxo</v>
      </c>
      <c r="BX18" s="271" t="str">
        <f t="shared" si="36"/>
        <v>xxoxoxxoxoo</v>
      </c>
      <c r="BY18" s="271" t="str">
        <f t="shared" si="37"/>
        <v>xoxoxxoxoox</v>
      </c>
      <c r="BZ18" s="271" t="str">
        <f t="shared" si="38"/>
        <v>-</v>
      </c>
      <c r="CA18" s="271" t="str">
        <f t="shared" si="39"/>
        <v>xoxxoxooxxx</v>
      </c>
      <c r="CB18" s="274" t="str">
        <f t="shared" si="40"/>
        <v>-</v>
      </c>
      <c r="CC18" s="276" t="str">
        <f>IFERROR(__xludf.DUMMYFUNCTION("IF(BD18=""oooooooooooo"",""-"",IF(REGEXMATCH(BE18,""xx""), ""Hemi."", ""Anhemi.""))"),"Hemi.")</f>
        <v>Hemi.</v>
      </c>
      <c r="CD18" s="282" t="str">
        <f>IFERROR(__xludf.DUMMYFUNCTION("IF(BD18=""oooooooooooo"",""-"",IF(REGEXMATCH(BE18,""xxx""), ""Cohem."", ""-""))"),"Cohem.")</f>
        <v>Cohem.</v>
      </c>
      <c r="CE18" s="282" t="str">
        <f>IFERROR(__xludf.DUMMYFUNCTION("IF(BD18=""oooooooooooo"",""-"",IF(REGEXMATCH(BE18,""xxxx""), ""Co-Co."", ""-""))"),"-")</f>
        <v>-</v>
      </c>
      <c r="CF18" s="342" t="str">
        <f>IFERROR(__xludf.DUMMYFUNCTION("IF(BD18=""oooooooooooo"",""-"",IF(REGEXMATCH(BE18,""xxxxx""), ""CCC."", ""-""))"),"-")</f>
        <v>-</v>
      </c>
      <c r="CG18" s="344" t="str">
        <f t="shared" si="41"/>
        <v>-</v>
      </c>
      <c r="CH18" s="282" t="str">
        <f>IFERROR(__xludf.DUMMYFUNCTION("IF(REGEXMATCH(JOIN(""-"",CJ18:CS18),""TRUE""),""✔"",""-"")"),"-")</f>
        <v>-</v>
      </c>
      <c r="CI18" s="225">
        <f t="shared" si="42"/>
        <v>0</v>
      </c>
      <c r="CJ18" s="376" t="b">
        <f>IFERROR(__xludf.DUMMYFUNCTION("arrayformula(sum(--REGEXMATCH(""SRGMPDNS"",split(REGEXREPLACE(I18,""(.)"",""$1~""),""~""))))=len(I18)
"),FALSE)</f>
        <v>0</v>
      </c>
      <c r="CK18" s="290" t="b">
        <f>IFERROR(__xludf.DUMMYFUNCTION("arrayformula(sum(--REGEXMATCH(""SRGmPDNS"",split(REGEXREPLACE(I18,""(.)"",""$1~""),""~""))))=len(I18)"),FALSE)</f>
        <v>0</v>
      </c>
      <c r="CL18" s="290" t="b">
        <f>IFERROR(__xludf.DUMMYFUNCTION("arrayformula(sum(--REGEXMATCH(""SRGmPDnS"",split(REGEXREPLACE(I18,""(.)"",""$1~""),""~""))))=len(I18)"),FALSE)</f>
        <v>0</v>
      </c>
      <c r="CM18" s="290" t="b">
        <f>IFERROR(__xludf.DUMMYFUNCTION("arrayformula(sum(--REGEXMATCH(""SRgmPDnS"",split(REGEXREPLACE(I18,""(.)"",""$1~""),""~""))))=len(I18)"),FALSE)</f>
        <v>0</v>
      </c>
      <c r="CN18" s="290" t="b">
        <f>IFERROR(__xludf.DUMMYFUNCTION("arrayformula(sum(--REGEXMATCH(""SRgmPdnS"",split(REGEXREPLACE(I18,""(.)"",""$1~""),""~""))))=len(I18)"),FALSE)</f>
        <v>0</v>
      </c>
      <c r="CO18" s="290" t="b">
        <f>IFERROR(__xludf.DUMMYFUNCTION("arrayformula(sum(--REGEXMATCH(""SrgmPdnS"",split(REGEXREPLACE(I18,""(.)"",""$1~""),""~""))))=len(I18)"),FALSE)</f>
        <v>0</v>
      </c>
      <c r="CP18" s="290" t="b">
        <f>IFERROR(__xludf.DUMMYFUNCTION("arrayformula(sum(--REGEXMATCH(""SrGmPdNS"",split(REGEXREPLACE(I18,""(.)"",""$1~""),""~""))))=len(I18)"),FALSE)</f>
        <v>0</v>
      </c>
      <c r="CQ18" s="290" t="b">
        <f>IFERROR(__xludf.DUMMYFUNCTION("arrayformula(sum(--REGEXMATCH(""SrGMPDNS"",split(REGEXREPLACE(I18,""(.)"",""$1~""),""~""))))=len(I18)"),FALSE)</f>
        <v>0</v>
      </c>
      <c r="CR18" s="290" t="b">
        <f>IFERROR(__xludf.DUMMYFUNCTION("arrayformula(sum(--REGEXMATCH(""SrGMPdNS"",split(REGEXREPLACE(I18,""(.)"",""$1~""),""~""))))=len(I18)"),FALSE)</f>
        <v>0</v>
      </c>
      <c r="CS18" s="293" t="b">
        <f>IFERROR(__xludf.DUMMYFUNCTION("arrayformula(sum(--REGEXMATCH(""SrgMPdNS"",split(REGEXREPLACE(I18,""(.)"",""$1~""),""~""))))=len(I18)"),FALSE)</f>
        <v>0</v>
      </c>
      <c r="CT18" s="244" t="str">
        <f>IFERROR(__xludf.DUMMYFUNCTION("IF(REGEXMATCH(I18, ""S""), ""1"","""")"),"1")</f>
        <v>1</v>
      </c>
      <c r="CU18" s="245" t="str">
        <f>IFERROR(__xludf.DUMMYFUNCTION("IF(REGEXMATCH(I18, ""r""), ""b2"","""")"),"b2")</f>
        <v>b2</v>
      </c>
      <c r="CV18" s="246" t="str">
        <f>IFERROR(__xludf.DUMMYFUNCTION("IF(REGEXMATCH(I18, ""R""), ""2"","""")"),"")</f>
        <v/>
      </c>
      <c r="CW18" s="246" t="str">
        <f>IFERROR(__xludf.DUMMYFUNCTION("IF(REGEXMATCH(I18, ""g""), ""b3"","""")"),"b3")</f>
        <v>b3</v>
      </c>
      <c r="CX18" s="245" t="str">
        <f>IFERROR(__xludf.DUMMYFUNCTION("IF(REGEXMATCH(I18, ""G""), ""3"","""")"),"")</f>
        <v/>
      </c>
      <c r="CY18" s="245" t="str">
        <f>IFERROR(__xludf.DUMMYFUNCTION("IF(REGEXMATCH(I18, ""m""), ""4"","""")"),"")</f>
        <v/>
      </c>
      <c r="CZ18" s="246" t="str">
        <f>IFERROR(__xludf.DUMMYFUNCTION("IF(REGEXMATCH(I18, ""M""), ""#4"","""")"),"#4")</f>
        <v>#4</v>
      </c>
      <c r="DA18" s="245" t="str">
        <f>IFERROR(__xludf.DUMMYFUNCTION("IF(REGEXMATCH(I18, ""P""), ""5"","""")"),"5")</f>
        <v>5</v>
      </c>
      <c r="DB18" s="246" t="str">
        <f>IFERROR(__xludf.DUMMYFUNCTION("IF(REGEXMATCH(I18, ""d""), ""b6"","""")"),"b6")</f>
        <v>b6</v>
      </c>
      <c r="DC18" s="245" t="str">
        <f>IFERROR(__xludf.DUMMYFUNCTION("IF(REGEXMATCH(I18, ""D""), ""6"","""")"),"")</f>
        <v/>
      </c>
      <c r="DD18" s="245" t="str">
        <f>IFERROR(__xludf.DUMMYFUNCTION("IF(REGEXMATCH(I18, ""n""), ""b7"","""")"),"b7")</f>
        <v>b7</v>
      </c>
      <c r="DE18" s="246" t="str">
        <f>IFERROR(__xludf.DUMMYFUNCTION("IF(REGEXMATCH(I18, ""N""), ""7"","""")"),"")</f>
        <v/>
      </c>
      <c r="DF18" s="249" t="str">
        <f>IFERROR(__xludf.DUMMYFUNCTION("IF(REGEXMATCH(I18, ""S""), ""8"","""")"),"8")</f>
        <v>8</v>
      </c>
      <c r="DG18" s="244" t="str">
        <f>IFERROR(__xludf.DUMMYFUNCTION("IF(REGEXMATCH(I18, ""S""), ""S"","""")"),"S")</f>
        <v>S</v>
      </c>
      <c r="DH18" s="294" t="str">
        <f>IFERROR(__xludf.DUMMYFUNCTION("IF(REGEXMATCH(I18, ""r""), ""R1"","""")"),"R1")</f>
        <v>R1</v>
      </c>
      <c r="DI18" s="295" t="str">
        <f>IFERROR(__xludf.DUMMYFUNCTION("IF(REGEXMATCH(I18, ""R""), ""R2"","""")"),"")</f>
        <v/>
      </c>
      <c r="DJ18" s="295" t="str">
        <f>IFERROR(__xludf.DUMMYFUNCTION("IF(REGEXMATCH(I18, ""g""), ""G2"","""")"),"G2")</f>
        <v>G2</v>
      </c>
      <c r="DK18" s="294" t="str">
        <f>IFERROR(__xludf.DUMMYFUNCTION("IF(REGEXMATCH(I18, ""G""), ""G3"","""")"),"")</f>
        <v/>
      </c>
      <c r="DL18" s="294" t="str">
        <f>IFERROR(__xludf.DUMMYFUNCTION("IF(REGEXMATCH(I18, ""m""), ""M1"","""")"),"")</f>
        <v/>
      </c>
      <c r="DM18" s="295" t="str">
        <f>IFERROR(__xludf.DUMMYFUNCTION("IF(REGEXMATCH(I18, ""M""), ""M2"","""")"),"M2")</f>
        <v>M2</v>
      </c>
      <c r="DN18" s="294" t="str">
        <f>IFERROR(__xludf.DUMMYFUNCTION("IF(REGEXMATCH(I18, ""P""), ""P"","""")"),"P")</f>
        <v>P</v>
      </c>
      <c r="DO18" s="295" t="str">
        <f>IFERROR(__xludf.DUMMYFUNCTION("IF(REGEXMATCH(I18, ""d""), ""D1"","""")"),"D1")</f>
        <v>D1</v>
      </c>
      <c r="DP18" s="294" t="str">
        <f>IFERROR(__xludf.DUMMYFUNCTION("IF(REGEXMATCH(I18, ""D""), ""D2"","""")"),"")</f>
        <v/>
      </c>
      <c r="DQ18" s="294" t="str">
        <f>IFERROR(__xludf.DUMMYFUNCTION("IF(REGEXMATCH(I18, ""n""), ""N2"","""")"),"N2")</f>
        <v>N2</v>
      </c>
      <c r="DR18" s="295" t="str">
        <f>IFERROR(__xludf.DUMMYFUNCTION("IF(REGEXMATCH(I18, ""N""), ""N3"","""")"),"")</f>
        <v/>
      </c>
      <c r="DS18" s="249" t="str">
        <f>IFERROR(__xludf.DUMMYFUNCTION("IF(REGEXMATCH(I18, ""S""), ""S"","""")"),"S")</f>
        <v>S</v>
      </c>
      <c r="DT18" s="299" t="str">
        <f>IFERROR(__xludf.DUMMYFUNCTION("SUBSTITUTE(SUBSTITUTE(SUBSTITUTE(SUBSTITUTE(CONCATENATE(JOIN(""-"",CT18:DF18)),""--"",""-""),""--"",""-""),""--"",""-""),""--"",""-"")"),"1-b2-b3-#4-5-b6-b7-8")</f>
        <v>1-b2-b3-#4-5-b6-b7-8</v>
      </c>
      <c r="DU18" s="299" t="str">
        <f>IFERROR(__xludf.DUMMYFUNCTION("SUBSTITUTE(SUBSTITUTE(SUBSTITUTE(SUBSTITUTE(CONCATENATE(JOIN(""-"",DG18:DS18)),""--"",""-""),""--"",""-""),""--"",""-""),""--"",""-"")"),"S-R1-G2-M2-P-D1-N2-S")</f>
        <v>S-R1-G2-M2-P-D1-N2-S</v>
      </c>
      <c r="DV18" s="348" t="str">
        <f t="shared" si="43"/>
        <v>C-Db-Eb-F#-G-Ab-Bb-C</v>
      </c>
      <c r="DW18" s="301">
        <f t="shared" si="44"/>
        <v>7</v>
      </c>
      <c r="DX18" s="302" t="str">
        <f t="shared" si="45"/>
        <v>Sampurna</v>
      </c>
      <c r="DY18" s="301" t="str">
        <f t="shared" ref="DY18:DZ18" si="184">SUBSTITUTE(Y18,"-","")</f>
        <v>SRGM</v>
      </c>
      <c r="DZ18" s="301" t="str">
        <f t="shared" si="184"/>
        <v>PDNS</v>
      </c>
      <c r="EA18" s="302" t="str">
        <f t="shared" si="47"/>
        <v>(n/a)</v>
      </c>
      <c r="EB18" s="301" t="str">
        <f t="shared" si="48"/>
        <v>Hemi.</v>
      </c>
      <c r="EC18" s="364" t="str">
        <f t="shared" si="49"/>
        <v>Cohem.</v>
      </c>
      <c r="ED18" s="306" t="str">
        <f t="shared" si="50"/>
        <v>-</v>
      </c>
      <c r="EE18" s="366" t="str">
        <f t="shared" si="51"/>
        <v>-</v>
      </c>
      <c r="EF18" s="308" t="str">
        <f t="shared" si="52"/>
        <v>✔</v>
      </c>
      <c r="EG18" s="306" t="str">
        <f t="shared" si="53"/>
        <v>-</v>
      </c>
      <c r="EH18" s="306" t="str">
        <f t="shared" si="54"/>
        <v>✔</v>
      </c>
      <c r="EI18" s="367" t="str">
        <f t="shared" si="55"/>
        <v>✔</v>
      </c>
      <c r="EJ18" s="310" t="str">
        <f t="shared" si="56"/>
        <v>-</v>
      </c>
      <c r="EK18" s="310" t="str">
        <f t="shared" si="57"/>
        <v>-</v>
      </c>
      <c r="EL18" s="310" t="str">
        <f t="shared" si="58"/>
        <v>-</v>
      </c>
      <c r="EM18" s="310" t="str">
        <f t="shared" si="59"/>
        <v>-</v>
      </c>
      <c r="EN18" s="370" t="str">
        <f t="shared" si="60"/>
        <v>-</v>
      </c>
      <c r="EO18" s="306" t="str">
        <f t="shared" si="61"/>
        <v>-</v>
      </c>
      <c r="EP18" s="306" t="str">
        <f t="shared" si="62"/>
        <v>-</v>
      </c>
      <c r="EQ18" s="306" t="str">
        <f t="shared" si="63"/>
        <v>-</v>
      </c>
      <c r="ER18" s="306" t="str">
        <f t="shared" si="64"/>
        <v>-</v>
      </c>
      <c r="ES18" s="306" t="str">
        <f t="shared" si="65"/>
        <v>-</v>
      </c>
      <c r="ET18" s="367" t="str">
        <f t="shared" si="66"/>
        <v>-</v>
      </c>
      <c r="EU18" s="310" t="str">
        <f>IFERROR(__xludf.DUMMYFUNCTION("IF(REGEXMATCH(BH18,BD18),""✔"",""-"")"),"-")</f>
        <v>-</v>
      </c>
      <c r="EV18" s="310" t="str">
        <f t="shared" si="67"/>
        <v>-</v>
      </c>
      <c r="EW18" s="370" t="str">
        <f t="shared" si="68"/>
        <v>-</v>
      </c>
      <c r="EX18" s="315" t="str">
        <f t="shared" si="69"/>
        <v>[UQ]</v>
      </c>
      <c r="EY18" s="317" t="str">
        <f t="shared" si="70"/>
        <v>S-r-g-M-P-d-n-S</v>
      </c>
      <c r="EZ18" s="318" t="str">
        <f>IFERROR(__xludf.DUMMYFUNCTION("CONCATENATE(JOIN("""",GE18:GQ18))"),"SRGmMDNS")</f>
        <v>SRGmMDNS</v>
      </c>
      <c r="FA18" s="318"/>
      <c r="FB18" s="318"/>
      <c r="FC18" s="321">
        <f t="shared" si="71"/>
        <v>2</v>
      </c>
      <c r="FD18" s="318" t="str">
        <f>IFERROR(__xludf.DUMMYFUNCTION("CONCATENATE(JOIN("""",HR18:ID18))"),"Pa, ni, ")</f>
        <v>Pa, ni, </v>
      </c>
      <c r="FE18" s="322">
        <f t="shared" si="72"/>
        <v>0</v>
      </c>
      <c r="FF18" s="324" t="str">
        <f>IFERROR(__xludf.DUMMYFUNCTION("CONCATENATE(JOIN("""",IR18:JD18))"),"")</f>
        <v/>
      </c>
      <c r="FG18" s="325" t="str">
        <f t="shared" si="73"/>
        <v>S-R1-G2-M2-P-D1-N2-S</v>
      </c>
      <c r="FH18" s="326" t="str">
        <f t="shared" si="74"/>
        <v>1-b2-b3-#4-5-b6-b7-8</v>
      </c>
      <c r="FI18" s="326" t="str">
        <f t="shared" si="75"/>
        <v>0-1-3-6-7-8-10-0</v>
      </c>
      <c r="FJ18" s="318"/>
      <c r="FK18" s="328" t="str">
        <f>IFERROR(__xludf.DUMMYFUNCTION("SUBSTITUTE(SUBSTITUTE(SUBSTITUTE(SUBSTITUTE(CONCATENATE(JOIN("" "",FN18:FZ18)),""  "","" ""),""  "","" ""),""  "","" ""),""  "","" "")"),"o o • o • • o o o • o • o")</f>
        <v>o o • o • • o o o • o • o</v>
      </c>
      <c r="FL18" s="328" t="str">
        <f t="shared" si="76"/>
        <v>Sa-Pa</v>
      </c>
      <c r="FM18" s="329"/>
      <c r="FN18" s="331" t="str">
        <f t="shared" si="77"/>
        <v>o</v>
      </c>
      <c r="FO18" s="332" t="str">
        <f t="shared" si="78"/>
        <v>o</v>
      </c>
      <c r="FP18" s="332" t="str">
        <f t="shared" si="79"/>
        <v>•</v>
      </c>
      <c r="FQ18" s="332" t="str">
        <f t="shared" si="80"/>
        <v>o</v>
      </c>
      <c r="FR18" s="332" t="str">
        <f t="shared" si="81"/>
        <v>•</v>
      </c>
      <c r="FS18" s="332" t="str">
        <f t="shared" si="82"/>
        <v>•</v>
      </c>
      <c r="FT18" s="332" t="str">
        <f t="shared" si="83"/>
        <v>o</v>
      </c>
      <c r="FU18" s="332" t="str">
        <f t="shared" si="84"/>
        <v>o</v>
      </c>
      <c r="FV18" s="332" t="str">
        <f t="shared" si="85"/>
        <v>o</v>
      </c>
      <c r="FW18" s="332" t="str">
        <f t="shared" si="86"/>
        <v>•</v>
      </c>
      <c r="FX18" s="332" t="str">
        <f t="shared" si="87"/>
        <v>o</v>
      </c>
      <c r="FY18" s="332" t="str">
        <f t="shared" si="88"/>
        <v>•</v>
      </c>
      <c r="FZ18" s="338" t="str">
        <f t="shared" si="89"/>
        <v>o</v>
      </c>
      <c r="GA18" s="339" t="str">
        <f t="shared" si="90"/>
        <v>Sa-Pa</v>
      </c>
      <c r="GB18" s="339" t="str">
        <f t="shared" si="91"/>
        <v>Sa-Pa</v>
      </c>
      <c r="GC18" s="339" t="str">
        <f t="shared" si="92"/>
        <v>-</v>
      </c>
      <c r="GD18" s="340" t="str">
        <f t="shared" si="93"/>
        <v>-</v>
      </c>
      <c r="GE18" s="331" t="str">
        <f t="shared" si="94"/>
        <v>S</v>
      </c>
      <c r="GF18" s="332" t="str">
        <f t="shared" si="95"/>
        <v/>
      </c>
      <c r="GG18" s="332" t="str">
        <f t="shared" si="96"/>
        <v>R</v>
      </c>
      <c r="GH18" s="332" t="str">
        <f t="shared" si="97"/>
        <v/>
      </c>
      <c r="GI18" s="332" t="str">
        <f t="shared" si="98"/>
        <v>G</v>
      </c>
      <c r="GJ18" s="332" t="str">
        <f t="shared" si="99"/>
        <v>m</v>
      </c>
      <c r="GK18" s="332" t="str">
        <f t="shared" si="100"/>
        <v>M</v>
      </c>
      <c r="GL18" s="332" t="str">
        <f t="shared" si="101"/>
        <v/>
      </c>
      <c r="GM18" s="332" t="str">
        <f t="shared" si="102"/>
        <v/>
      </c>
      <c r="GN18" s="332" t="str">
        <f t="shared" si="103"/>
        <v>D</v>
      </c>
      <c r="GO18" s="332" t="str">
        <f t="shared" si="104"/>
        <v/>
      </c>
      <c r="GP18" s="332" t="str">
        <f t="shared" si="105"/>
        <v>N</v>
      </c>
      <c r="GQ18" s="343" t="str">
        <f t="shared" si="106"/>
        <v>S</v>
      </c>
      <c r="GR18" s="331" t="str">
        <f t="shared" si="107"/>
        <v>•</v>
      </c>
      <c r="GS18" s="332" t="str">
        <f t="shared" si="108"/>
        <v>•</v>
      </c>
      <c r="GT18" s="332" t="str">
        <f t="shared" si="109"/>
        <v>o</v>
      </c>
      <c r="GU18" s="332" t="str">
        <f t="shared" si="110"/>
        <v>•</v>
      </c>
      <c r="GV18" s="332" t="str">
        <f t="shared" si="111"/>
        <v>o</v>
      </c>
      <c r="GW18" s="332" t="str">
        <f t="shared" si="112"/>
        <v>o</v>
      </c>
      <c r="GX18" s="332" t="str">
        <f t="shared" si="113"/>
        <v>•</v>
      </c>
      <c r="GY18" s="332" t="str">
        <f t="shared" si="114"/>
        <v>•</v>
      </c>
      <c r="GZ18" s="332" t="str">
        <f t="shared" si="115"/>
        <v>•</v>
      </c>
      <c r="HA18" s="332" t="str">
        <f t="shared" si="116"/>
        <v>o</v>
      </c>
      <c r="HB18" s="332" t="str">
        <f t="shared" si="117"/>
        <v>•</v>
      </c>
      <c r="HC18" s="332" t="str">
        <f t="shared" si="118"/>
        <v>o</v>
      </c>
      <c r="HD18" s="338" t="str">
        <f t="shared" si="119"/>
        <v>•</v>
      </c>
      <c r="HE18" s="346" t="b">
        <f t="shared" si="120"/>
        <v>0</v>
      </c>
      <c r="HF18" s="347" t="b">
        <f t="shared" si="121"/>
        <v>0</v>
      </c>
      <c r="HG18" s="347" t="b">
        <f t="shared" si="122"/>
        <v>0</v>
      </c>
      <c r="HH18" s="347" t="b">
        <f t="shared" si="123"/>
        <v>0</v>
      </c>
      <c r="HI18" s="347" t="b">
        <f t="shared" si="124"/>
        <v>0</v>
      </c>
      <c r="HJ18" s="347" t="b">
        <f t="shared" si="125"/>
        <v>0</v>
      </c>
      <c r="HK18" s="347" t="b">
        <f t="shared" si="126"/>
        <v>0</v>
      </c>
      <c r="HL18" s="347" t="b">
        <f t="shared" si="127"/>
        <v>1</v>
      </c>
      <c r="HM18" s="347" t="b">
        <f t="shared" si="128"/>
        <v>0</v>
      </c>
      <c r="HN18" s="347" t="b">
        <f t="shared" si="129"/>
        <v>0</v>
      </c>
      <c r="HO18" s="347" t="b">
        <f t="shared" si="130"/>
        <v>1</v>
      </c>
      <c r="HP18" s="347" t="b">
        <f t="shared" si="131"/>
        <v>0</v>
      </c>
      <c r="HQ18" s="353" t="b">
        <f t="shared" si="132"/>
        <v>0</v>
      </c>
      <c r="HR18" s="354" t="str">
        <f t="shared" si="133"/>
        <v/>
      </c>
      <c r="HS18" s="355" t="str">
        <f t="shared" si="134"/>
        <v/>
      </c>
      <c r="HT18" s="355" t="str">
        <f t="shared" si="135"/>
        <v/>
      </c>
      <c r="HU18" s="355" t="str">
        <f t="shared" si="136"/>
        <v/>
      </c>
      <c r="HV18" s="355" t="str">
        <f t="shared" si="137"/>
        <v/>
      </c>
      <c r="HW18" s="355" t="str">
        <f t="shared" si="138"/>
        <v/>
      </c>
      <c r="HX18" s="355" t="str">
        <f t="shared" si="139"/>
        <v/>
      </c>
      <c r="HY18" s="355" t="str">
        <f t="shared" si="140"/>
        <v>Pa, </v>
      </c>
      <c r="HZ18" s="355" t="str">
        <f t="shared" si="141"/>
        <v/>
      </c>
      <c r="IA18" s="355" t="str">
        <f t="shared" si="142"/>
        <v/>
      </c>
      <c r="IB18" s="355" t="str">
        <f t="shared" si="143"/>
        <v>ni, </v>
      </c>
      <c r="IC18" s="355" t="str">
        <f t="shared" si="144"/>
        <v/>
      </c>
      <c r="ID18" s="359" t="str">
        <f t="shared" si="145"/>
        <v/>
      </c>
      <c r="IE18" s="346" t="b">
        <f t="shared" si="146"/>
        <v>0</v>
      </c>
      <c r="IF18" s="347" t="b">
        <f t="shared" si="147"/>
        <v>0</v>
      </c>
      <c r="IG18" s="347" t="b">
        <f t="shared" si="148"/>
        <v>0</v>
      </c>
      <c r="IH18" s="347" t="b">
        <f t="shared" si="149"/>
        <v>0</v>
      </c>
      <c r="II18" s="347" t="b">
        <f t="shared" si="150"/>
        <v>0</v>
      </c>
      <c r="IJ18" s="347" t="b">
        <f t="shared" si="151"/>
        <v>0</v>
      </c>
      <c r="IK18" s="347" t="b">
        <f t="shared" si="152"/>
        <v>0</v>
      </c>
      <c r="IL18" s="347" t="b">
        <f t="shared" si="153"/>
        <v>0</v>
      </c>
      <c r="IM18" s="347" t="b">
        <f t="shared" si="154"/>
        <v>0</v>
      </c>
      <c r="IN18" s="347" t="b">
        <f t="shared" si="155"/>
        <v>0</v>
      </c>
      <c r="IO18" s="347" t="b">
        <f t="shared" si="156"/>
        <v>0</v>
      </c>
      <c r="IP18" s="347" t="b">
        <f t="shared" si="157"/>
        <v>0</v>
      </c>
      <c r="IQ18" s="365" t="b">
        <f t="shared" si="158"/>
        <v>0</v>
      </c>
      <c r="IR18" s="354" t="str">
        <f t="shared" si="159"/>
        <v/>
      </c>
      <c r="IS18" s="355" t="str">
        <f t="shared" si="160"/>
        <v/>
      </c>
      <c r="IT18" s="355" t="str">
        <f t="shared" si="161"/>
        <v/>
      </c>
      <c r="IU18" s="355" t="str">
        <f t="shared" si="162"/>
        <v/>
      </c>
      <c r="IV18" s="355" t="str">
        <f t="shared" si="163"/>
        <v/>
      </c>
      <c r="IW18" s="355" t="str">
        <f t="shared" si="164"/>
        <v/>
      </c>
      <c r="IX18" s="355" t="str">
        <f t="shared" si="165"/>
        <v/>
      </c>
      <c r="IY18" s="355" t="str">
        <f t="shared" si="166"/>
        <v/>
      </c>
      <c r="IZ18" s="355" t="str">
        <f t="shared" si="167"/>
        <v/>
      </c>
      <c r="JA18" s="355" t="str">
        <f t="shared" si="168"/>
        <v/>
      </c>
      <c r="JB18" s="355" t="str">
        <f t="shared" si="169"/>
        <v/>
      </c>
      <c r="JC18" s="355" t="str">
        <f t="shared" si="170"/>
        <v/>
      </c>
      <c r="JD18" s="359"/>
      <c r="JE18" s="321"/>
      <c r="JF18" s="368"/>
      <c r="JG18" s="369"/>
      <c r="JH18" s="369"/>
      <c r="JI18" s="369"/>
      <c r="JJ18" s="369"/>
      <c r="JK18" s="369"/>
      <c r="JL18" s="369"/>
      <c r="JM18" s="369"/>
      <c r="JN18" s="369"/>
      <c r="JO18" s="369"/>
      <c r="JP18" s="369"/>
    </row>
    <row r="19" ht="20.25" customHeight="1">
      <c r="A19" s="221" t="s">
        <v>119</v>
      </c>
      <c r="B19" s="222">
        <v>17.0</v>
      </c>
      <c r="C19" s="223" t="s">
        <v>554</v>
      </c>
      <c r="D19" s="224">
        <v>10.0</v>
      </c>
      <c r="E19" s="225" t="str">
        <f t="shared" si="5"/>
        <v>[UQ]</v>
      </c>
      <c r="F19" s="227">
        <f t="shared" si="6"/>
        <v>7</v>
      </c>
      <c r="G19" s="229">
        <f t="shared" si="7"/>
        <v>7</v>
      </c>
      <c r="H19" s="230">
        <f t="shared" si="8"/>
        <v>0</v>
      </c>
      <c r="I19" s="233" t="str">
        <f t="shared" si="9"/>
        <v>SRGmPDNS</v>
      </c>
      <c r="J19" s="234" t="str">
        <f>IFERROR(__xludf.DUMMYFUNCTION("IF(REGEXMATCH(I19, ""S""), ""S"","""")"),"S")</f>
        <v>S</v>
      </c>
      <c r="K19" s="236" t="str">
        <f>IFERROR(__xludf.DUMMYFUNCTION("IF(REGEXMATCH(I19, ""r""), ""r"","""")"),"")</f>
        <v/>
      </c>
      <c r="L19" s="237" t="str">
        <f>IFERROR(__xludf.DUMMYFUNCTION("IF(REGEXMATCH(I19, ""R""), ""R"","""")"),"R")</f>
        <v>R</v>
      </c>
      <c r="M19" s="237" t="str">
        <f>IFERROR(__xludf.DUMMYFUNCTION("IF(REGEXMATCH(I19, ""g""), ""g"","""")"),"")</f>
        <v/>
      </c>
      <c r="N19" s="236" t="str">
        <f>IFERROR(__xludf.DUMMYFUNCTION("IF(REGEXMATCH(I19, ""G""), ""G"","""")"),"G")</f>
        <v>G</v>
      </c>
      <c r="O19" s="236" t="str">
        <f>IFERROR(__xludf.DUMMYFUNCTION("IF(REGEXMATCH(I19, ""m""), ""m"","""")"),"m")</f>
        <v>m</v>
      </c>
      <c r="P19" s="237" t="str">
        <f>IFERROR(__xludf.DUMMYFUNCTION("IF(REGEXMATCH(I19, ""M""), ""M"","""")"),"")</f>
        <v/>
      </c>
      <c r="Q19" s="236" t="str">
        <f>IFERROR(__xludf.DUMMYFUNCTION("IF(REGEXMATCH(I19, ""P""), ""P"","""")"),"P")</f>
        <v>P</v>
      </c>
      <c r="R19" s="237" t="str">
        <f>IFERROR(__xludf.DUMMYFUNCTION("IF(REGEXMATCH(I19, ""d""), ""d"","""")"),"")</f>
        <v/>
      </c>
      <c r="S19" s="236" t="str">
        <f>IFERROR(__xludf.DUMMYFUNCTION("IF(REGEXMATCH(I19, ""D""), ""D"","""")"),"D")</f>
        <v>D</v>
      </c>
      <c r="T19" s="236" t="str">
        <f>IFERROR(__xludf.DUMMYFUNCTION("IF(REGEXMATCH(I19, ""n""), ""n"","""")"),"")</f>
        <v/>
      </c>
      <c r="U19" s="237" t="str">
        <f>IFERROR(__xludf.DUMMYFUNCTION("IF(REGEXMATCH(I19, ""N""), ""N"","""")"),"N")</f>
        <v>N</v>
      </c>
      <c r="V19" s="238" t="str">
        <f>IFERROR(__xludf.DUMMYFUNCTION("IF(REGEXMATCH(I19, ""S""), ""S"","""")"),"S")</f>
        <v>S</v>
      </c>
      <c r="W19" s="239" t="str">
        <f>IFERROR(__xludf.DUMMYFUNCTION("SUBSTITUTE(CONCATENATE(JOIN(""-"",J19:P19)),""-"","""")"),"SRGm")</f>
        <v>SRGm</v>
      </c>
      <c r="X19" s="229" t="str">
        <f>IFERROR(__xludf.DUMMYFUNCTION("SUBSTITUTE(CONCATENATE(JOIN(""-"",Q19:V19)),""-"","""")"),"PDNS")</f>
        <v>PDNS</v>
      </c>
      <c r="Y19" s="282" t="str">
        <f t="shared" si="10"/>
        <v>S-R-G-M</v>
      </c>
      <c r="Z19" s="282" t="str">
        <f t="shared" si="11"/>
        <v>P-D-N-S</v>
      </c>
      <c r="AA19" s="309" t="str">
        <f t="shared" si="12"/>
        <v>RGmDN</v>
      </c>
      <c r="AB19" s="244" t="str">
        <f>IFERROR(__xludf.DUMMYFUNCTION("IF(REGEXMATCH(I19, ""S""), ""0"","""")"),"0")</f>
        <v>0</v>
      </c>
      <c r="AC19" s="245" t="str">
        <f>IFERROR(__xludf.DUMMYFUNCTION("IF(REGEXMATCH(I19, ""r""), ""1"","""")"),"")</f>
        <v/>
      </c>
      <c r="AD19" s="246" t="str">
        <f>IFERROR(__xludf.DUMMYFUNCTION("IF(REGEXMATCH(I19, ""R""), ""2"","""")"),"2")</f>
        <v>2</v>
      </c>
      <c r="AE19" s="246" t="str">
        <f>IFERROR(__xludf.DUMMYFUNCTION("IF(REGEXMATCH(I19, ""g""), ""3"","""")"),"")</f>
        <v/>
      </c>
      <c r="AF19" s="245" t="str">
        <f>IFERROR(__xludf.DUMMYFUNCTION("IF(REGEXMATCH(I19, ""G""), ""4"","""")"),"4")</f>
        <v>4</v>
      </c>
      <c r="AG19" s="245" t="str">
        <f>IFERROR(__xludf.DUMMYFUNCTION("IF(REGEXMATCH(I19, ""m""), ""5"","""")"),"5")</f>
        <v>5</v>
      </c>
      <c r="AH19" s="246" t="str">
        <f>IFERROR(__xludf.DUMMYFUNCTION("IF(REGEXMATCH(I19, ""M""), ""6"","""")"),"")</f>
        <v/>
      </c>
      <c r="AI19" s="245" t="str">
        <f>IFERROR(__xludf.DUMMYFUNCTION("IF(REGEXMATCH(I19, ""P""), ""7"","""")"),"7")</f>
        <v>7</v>
      </c>
      <c r="AJ19" s="246" t="str">
        <f>IFERROR(__xludf.DUMMYFUNCTION("IF(REGEXMATCH(I19, ""d""), ""8"","""")"),"")</f>
        <v/>
      </c>
      <c r="AK19" s="245" t="str">
        <f>IFERROR(__xludf.DUMMYFUNCTION("IF(REGEXMATCH(I19, ""D""), ""9"","""")"),"9")</f>
        <v>9</v>
      </c>
      <c r="AL19" s="245" t="str">
        <f>IFERROR(__xludf.DUMMYFUNCTION("IF(REGEXMATCH(I19, ""n""), ""10"","""")"),"")</f>
        <v/>
      </c>
      <c r="AM19" s="246" t="str">
        <f>IFERROR(__xludf.DUMMYFUNCTION("IF(REGEXMATCH(I19, ""N""), ""11"","""")"),"11")</f>
        <v>11</v>
      </c>
      <c r="AN19" s="249" t="str">
        <f>IFERROR(__xludf.DUMMYFUNCTION("IF(REGEXMATCH(I19, ""S""), ""0"","""")"),"0")</f>
        <v>0</v>
      </c>
      <c r="AO19" s="250" t="str">
        <f>IFERROR(__xludf.DUMMYFUNCTION("SUBSTITUTE(SUBSTITUTE(SUBSTITUTE(SUBSTITUTE(CONCATENATE(JOIN(""-"",AB19:AN19)),""--"",""-""),""--"",""-""),""--"",""-""),""--"",""-"")"),"0-2-4-5-7-9-11-0")</f>
        <v>0-2-4-5-7-9-11-0</v>
      </c>
      <c r="AP19" s="251">
        <f t="shared" si="13"/>
        <v>0</v>
      </c>
      <c r="AQ19" s="234" t="str">
        <f t="shared" si="14"/>
        <v>|</v>
      </c>
      <c r="AR19" s="236" t="str">
        <f t="shared" si="15"/>
        <v>-</v>
      </c>
      <c r="AS19" s="237" t="str">
        <f t="shared" si="16"/>
        <v>|</v>
      </c>
      <c r="AT19" s="236" t="str">
        <f t="shared" si="17"/>
        <v>-</v>
      </c>
      <c r="AU19" s="237" t="str">
        <f t="shared" si="18"/>
        <v>|</v>
      </c>
      <c r="AV19" s="236" t="str">
        <f t="shared" si="19"/>
        <v>|</v>
      </c>
      <c r="AW19" s="237" t="str">
        <f t="shared" si="20"/>
        <v>-</v>
      </c>
      <c r="AX19" s="236" t="str">
        <f t="shared" si="21"/>
        <v>|</v>
      </c>
      <c r="AY19" s="237" t="str">
        <f t="shared" si="22"/>
        <v>-</v>
      </c>
      <c r="AZ19" s="236" t="str">
        <f t="shared" si="23"/>
        <v>|</v>
      </c>
      <c r="BA19" s="237" t="str">
        <f t="shared" si="24"/>
        <v>-</v>
      </c>
      <c r="BB19" s="236" t="str">
        <f t="shared" si="25"/>
        <v>|</v>
      </c>
      <c r="BC19" s="238" t="str">
        <f t="shared" si="26"/>
        <v>|</v>
      </c>
      <c r="BD19" s="250" t="str">
        <f>IFERROR(__xludf.DUMMYFUNCTION("SUBSTITUTE(SUBSTITUTE(CONCATENATE(JOIN("""",AQ19:BB19)),""|"",""x""),""-"",""o"")"),"xoxoxxoxoxox")</f>
        <v>xoxoxxoxoxox</v>
      </c>
      <c r="BE19" s="323" t="str">
        <f>IFERROR(__xludf.DUMMYFUNCTION("JOIN("""",BD19,BD19)"),"xoxoxxoxoxoxxoxoxxoxoxox")</f>
        <v>xoxoxxoxoxoxxoxoxxoxoxox</v>
      </c>
      <c r="BF19" s="256" t="str">
        <f>IFERROR(__xludf.DUMMYFUNCTION("JOIN("""",ArrayFormula(MID(BD19,LEN(BD19)-SEQUENCE(1,LEN(BD19))+1,1)))"),"xoxoxoxxoxox")</f>
        <v>xoxoxoxxoxox</v>
      </c>
      <c r="BG19" s="256" t="str">
        <f>IFERROR(__xludf.DUMMYFUNCTION("LEFT(CONCATENATE(""x"",JOIN("""",ArrayFormula(MID(BD19,LEN(BD19)-SEQUENCE(1,LEN(BD19))+1,1)))),12)"),"xxoxoxoxxoxo")</f>
        <v>xxoxoxoxxoxo</v>
      </c>
      <c r="BH19" s="327" t="str">
        <f>IFERROR(__xludf.DUMMYFUNCTION("JOIN("""",BF19,BF19)"),"xoxoxoxxoxoxxoxoxoxxoxox")</f>
        <v>xoxoxoxxoxoxxoxoxoxxoxox</v>
      </c>
      <c r="BI19" s="239" t="str">
        <f>IFERROR(__xludf.DUMMYFUNCTION("IF(REGEXMATCH(BH19,BD19),""✔"",""-"")"),"✔")</f>
        <v>✔</v>
      </c>
      <c r="BJ19" s="330" t="str">
        <f t="shared" si="27"/>
        <v>-</v>
      </c>
      <c r="BK19" s="260" t="str">
        <f t="shared" si="28"/>
        <v>-</v>
      </c>
      <c r="BL19" s="261" t="str">
        <f>IFERROR(__xludf.DUMMYFUNCTION("IF(BO19=0,""(n/a)"",IF(BP19=2,""(PAIR)"",IF(REGEXMATCH(BE19,""xoxoxxoxoxox""),""Bilawal"",IF(REGEXMATCH(BE19,""xoxoxooxoxoo""),""Bhupali"",IF(REGEXMATCH(BE19,""xoxoxxoxxoxo""),""Charukeshi"",IF(REGEXMATCH(BE19,""xoxoooxxoxxo""),""Kameshwari"",IF(REGEXMATC"&amp;"H(BE19,""xoxoxooxoxox""),""Shankara"",IF(REGEXMATCH(BE19,""xxooxoxxxoox""),""Basant"",IF(REGEXMATCH(BE19,""xoxoxxxxoxox""),""Bihag"",IF(REGEXMATCH(BE19,""xoxxxxoxoxxx""),""Pilu"",IF(REGEXMATCH(BE19,""xoxxoxoxxoox""),""Kirwani"",IF(REGEXMATCH(BE19,""xoxxox"&amp;"oxoxxx""),""Mk.Malhar"",IF(REGEXMATCH(BE19,""xxooxxoxxoox""),""Bhairav"",IF(REGEXMATCH(BE19,""xxoxooxxxoox""),""Todi"",IF(REGEXMATCH(BE19,""xxooxoxooxox""),""Marwa"",IF(REGEXMATCH(BE19,""xxoooxoxxooo""),""Gunkali"",IF(REGEXMATCH(BE19,""xoxoxxoxxoox""),""N"&amp;"at Bhairav"",IF(REGEXMATCH(BE19,""xoxxoooxoxoo""),""Shivranjani"",IF(REGEXMATCH(BE19,""xooxxxoxooxo""),""Jog"",IF(REGEXMATCH(BE19,""xxooxoxoxoox""),""Hemshri"",IF(REGEXMATCH(BE19,""xoooxooxoxxo""),""Kalavati"",IF(REGEXMATCH(BE19,""xxoxoxxoxoox""),""Kedar"&amp;""",IF(REGEXMATCH(BE19,""xoxxxxoxooxx""),""Gara"",IF(REGEXMATCH(BE19,""xooxoxooxoox""),""Chandrakauns"",IF(REGEXMATCH(BE19,""xoxxxxoxxxox""),""Mand"",IF(REGEXMATCH(BE19,""xoxxxxoxoxox""),""Hanskinkini"",IF(REGEXMATCH(BE19,""xxooxxoxooxo""),""Lilavati"",IF("&amp;"REGEXMATCH(BE19,""xooxoxoooxox""),""Rajeshwari"",IF(REGEXMATCH(BE19,""xoooxxoxoxxx""),""Khokar"",IF(REGEXMATCH(BE19,""xxooxoxxxxox""),""Maligoura"",""-""))))))))))))))))))))))))))))))"),"Bilawal")</f>
        <v>Bilawal</v>
      </c>
      <c r="BM19" s="239">
        <f t="shared" si="29"/>
        <v>6</v>
      </c>
      <c r="BN19" s="239">
        <f>IFERROR(__xludf.DUMMYFUNCTION("COUNTUNIQUE(BR19:CB19)-1"),6.0)</f>
        <v>6</v>
      </c>
      <c r="BO19" s="239">
        <f>IFERROR(__xludf.DUMMYFUNCTION("COUNTUNIQUE(FILTER(BE:BE,REGEXMATCH(BE:BE,BD19)))-1"),5.0)</f>
        <v>5</v>
      </c>
      <c r="BP19" s="239">
        <f>IFERROR(__xludf.DUMMYFUNCTION("COUNTA(FILTER(BE:BE,REGEXMATCH(BE:BE,BD19)))"),6.0)</f>
        <v>6</v>
      </c>
      <c r="BQ19" s="341">
        <f>IFERROR(__xludf.DUMMYFUNCTION("COUNTA(FILTER(BE:BE,REGEXMATCH(BE:BE,BD19)))-AP19"),6.0)</f>
        <v>6</v>
      </c>
      <c r="BR19" s="269" t="str">
        <f t="shared" si="30"/>
        <v>-</v>
      </c>
      <c r="BS19" s="269" t="str">
        <f t="shared" si="31"/>
        <v>xoxxoxoxoxx</v>
      </c>
      <c r="BT19" s="271" t="str">
        <f t="shared" si="32"/>
        <v>-</v>
      </c>
      <c r="BU19" s="269" t="str">
        <f t="shared" si="33"/>
        <v>xxoxoxoxxox</v>
      </c>
      <c r="BV19" s="271" t="str">
        <f t="shared" si="34"/>
        <v>xoxoxoxxoxo</v>
      </c>
      <c r="BW19" s="271" t="str">
        <f t="shared" si="35"/>
        <v>-</v>
      </c>
      <c r="BX19" s="271" t="str">
        <f t="shared" si="36"/>
        <v>xoxoxxoxoxx</v>
      </c>
      <c r="BY19" s="271" t="str">
        <f t="shared" si="37"/>
        <v>-</v>
      </c>
      <c r="BZ19" s="271" t="str">
        <f t="shared" si="38"/>
        <v>xoxxoxoxxox</v>
      </c>
      <c r="CA19" s="271" t="str">
        <f t="shared" si="39"/>
        <v>-</v>
      </c>
      <c r="CB19" s="274" t="str">
        <f t="shared" si="40"/>
        <v>xxoxoxxoxox</v>
      </c>
      <c r="CC19" s="276" t="str">
        <f>IFERROR(__xludf.DUMMYFUNCTION("IF(BD19=""oooooooooooo"",""-"",IF(REGEXMATCH(BE19,""xx""), ""Hemi."", ""Anhemi.""))"),"Hemi.")</f>
        <v>Hemi.</v>
      </c>
      <c r="CD19" s="282" t="str">
        <f>IFERROR(__xludf.DUMMYFUNCTION("IF(BD19=""oooooooooooo"",""-"",IF(REGEXMATCH(BE19,""xxx""), ""Cohem."", ""-""))"),"-")</f>
        <v>-</v>
      </c>
      <c r="CE19" s="282" t="str">
        <f>IFERROR(__xludf.DUMMYFUNCTION("IF(BD19=""oooooooooooo"",""-"",IF(REGEXMATCH(BE19,""xxxx""), ""Co-Co."", ""-""))"),"-")</f>
        <v>-</v>
      </c>
      <c r="CF19" s="342" t="str">
        <f>IFERROR(__xludf.DUMMYFUNCTION("IF(BD19=""oooooooooooo"",""-"",IF(REGEXMATCH(BE19,""xxxxx""), ""CCC."", ""-""))"),"-")</f>
        <v>-</v>
      </c>
      <c r="CG19" s="344" t="str">
        <f t="shared" si="41"/>
        <v>Bilawal</v>
      </c>
      <c r="CH19" s="282" t="str">
        <f>IFERROR(__xludf.DUMMYFUNCTION("IF(REGEXMATCH(JOIN(""-"",CJ19:CS19),""TRUE""),""✔"",""-"")"),"✔")</f>
        <v>✔</v>
      </c>
      <c r="CI19" s="225">
        <f t="shared" si="42"/>
        <v>1</v>
      </c>
      <c r="CJ19" s="376" t="b">
        <f>IFERROR(__xludf.DUMMYFUNCTION("arrayformula(sum(--REGEXMATCH(""SRGMPDNS"",split(REGEXREPLACE(I19,""(.)"",""$1~""),""~""))))=len(I19)
"),FALSE)</f>
        <v>0</v>
      </c>
      <c r="CK19" s="290" t="b">
        <f>IFERROR(__xludf.DUMMYFUNCTION("arrayformula(sum(--REGEXMATCH(""SRGmPDNS"",split(REGEXREPLACE(I19,""(.)"",""$1~""),""~""))))=len(I19)"),TRUE)</f>
        <v>1</v>
      </c>
      <c r="CL19" s="290" t="b">
        <f>IFERROR(__xludf.DUMMYFUNCTION("arrayformula(sum(--REGEXMATCH(""SRGmPDnS"",split(REGEXREPLACE(I19,""(.)"",""$1~""),""~""))))=len(I19)"),FALSE)</f>
        <v>0</v>
      </c>
      <c r="CM19" s="290" t="b">
        <f>IFERROR(__xludf.DUMMYFUNCTION("arrayformula(sum(--REGEXMATCH(""SRgmPDnS"",split(REGEXREPLACE(I19,""(.)"",""$1~""),""~""))))=len(I19)"),FALSE)</f>
        <v>0</v>
      </c>
      <c r="CN19" s="290" t="b">
        <f>IFERROR(__xludf.DUMMYFUNCTION("arrayformula(sum(--REGEXMATCH(""SRgmPdnS"",split(REGEXREPLACE(I19,""(.)"",""$1~""),""~""))))=len(I19)"),FALSE)</f>
        <v>0</v>
      </c>
      <c r="CO19" s="290" t="b">
        <f>IFERROR(__xludf.DUMMYFUNCTION("arrayformula(sum(--REGEXMATCH(""SrgmPdnS"",split(REGEXREPLACE(I19,""(.)"",""$1~""),""~""))))=len(I19)"),FALSE)</f>
        <v>0</v>
      </c>
      <c r="CP19" s="290" t="b">
        <f>IFERROR(__xludf.DUMMYFUNCTION("arrayformula(sum(--REGEXMATCH(""SrGmPdNS"",split(REGEXREPLACE(I19,""(.)"",""$1~""),""~""))))=len(I19)"),FALSE)</f>
        <v>0</v>
      </c>
      <c r="CQ19" s="290" t="b">
        <f>IFERROR(__xludf.DUMMYFUNCTION("arrayformula(sum(--REGEXMATCH(""SrGMPDNS"",split(REGEXREPLACE(I19,""(.)"",""$1~""),""~""))))=len(I19)"),FALSE)</f>
        <v>0</v>
      </c>
      <c r="CR19" s="290" t="b">
        <f>IFERROR(__xludf.DUMMYFUNCTION("arrayformula(sum(--REGEXMATCH(""SrGMPdNS"",split(REGEXREPLACE(I19,""(.)"",""$1~""),""~""))))=len(I19)"),FALSE)</f>
        <v>0</v>
      </c>
      <c r="CS19" s="293" t="b">
        <f>IFERROR(__xludf.DUMMYFUNCTION("arrayformula(sum(--REGEXMATCH(""SrgMPdNS"",split(REGEXREPLACE(I19,""(.)"",""$1~""),""~""))))=len(I19)"),FALSE)</f>
        <v>0</v>
      </c>
      <c r="CT19" s="244" t="str">
        <f>IFERROR(__xludf.DUMMYFUNCTION("IF(REGEXMATCH(I19, ""S""), ""1"","""")"),"1")</f>
        <v>1</v>
      </c>
      <c r="CU19" s="245" t="str">
        <f>IFERROR(__xludf.DUMMYFUNCTION("IF(REGEXMATCH(I19, ""r""), ""b2"","""")"),"")</f>
        <v/>
      </c>
      <c r="CV19" s="246" t="str">
        <f>IFERROR(__xludf.DUMMYFUNCTION("IF(REGEXMATCH(I19, ""R""), ""2"","""")"),"2")</f>
        <v>2</v>
      </c>
      <c r="CW19" s="246" t="str">
        <f>IFERROR(__xludf.DUMMYFUNCTION("IF(REGEXMATCH(I19, ""g""), ""b3"","""")"),"")</f>
        <v/>
      </c>
      <c r="CX19" s="245" t="str">
        <f>IFERROR(__xludf.DUMMYFUNCTION("IF(REGEXMATCH(I19, ""G""), ""3"","""")"),"3")</f>
        <v>3</v>
      </c>
      <c r="CY19" s="245" t="str">
        <f>IFERROR(__xludf.DUMMYFUNCTION("IF(REGEXMATCH(I19, ""m""), ""4"","""")"),"4")</f>
        <v>4</v>
      </c>
      <c r="CZ19" s="246" t="str">
        <f>IFERROR(__xludf.DUMMYFUNCTION("IF(REGEXMATCH(I19, ""M""), ""#4"","""")"),"")</f>
        <v/>
      </c>
      <c r="DA19" s="245" t="str">
        <f>IFERROR(__xludf.DUMMYFUNCTION("IF(REGEXMATCH(I19, ""P""), ""5"","""")"),"5")</f>
        <v>5</v>
      </c>
      <c r="DB19" s="246" t="str">
        <f>IFERROR(__xludf.DUMMYFUNCTION("IF(REGEXMATCH(I19, ""d""), ""b6"","""")"),"")</f>
        <v/>
      </c>
      <c r="DC19" s="245" t="str">
        <f>IFERROR(__xludf.DUMMYFUNCTION("IF(REGEXMATCH(I19, ""D""), ""6"","""")"),"6")</f>
        <v>6</v>
      </c>
      <c r="DD19" s="245" t="str">
        <f>IFERROR(__xludf.DUMMYFUNCTION("IF(REGEXMATCH(I19, ""n""), ""b7"","""")"),"")</f>
        <v/>
      </c>
      <c r="DE19" s="246" t="str">
        <f>IFERROR(__xludf.DUMMYFUNCTION("IF(REGEXMATCH(I19, ""N""), ""7"","""")"),"7")</f>
        <v>7</v>
      </c>
      <c r="DF19" s="249" t="str">
        <f>IFERROR(__xludf.DUMMYFUNCTION("IF(REGEXMATCH(I19, ""S""), ""8"","""")"),"8")</f>
        <v>8</v>
      </c>
      <c r="DG19" s="244" t="str">
        <f>IFERROR(__xludf.DUMMYFUNCTION("IF(REGEXMATCH(I19, ""S""), ""S"","""")"),"S")</f>
        <v>S</v>
      </c>
      <c r="DH19" s="294" t="str">
        <f>IFERROR(__xludf.DUMMYFUNCTION("IF(REGEXMATCH(I19, ""r""), ""R1"","""")"),"")</f>
        <v/>
      </c>
      <c r="DI19" s="295" t="str">
        <f>IFERROR(__xludf.DUMMYFUNCTION("IF(REGEXMATCH(I19, ""R""), ""R2"","""")"),"R2")</f>
        <v>R2</v>
      </c>
      <c r="DJ19" s="295" t="str">
        <f>IFERROR(__xludf.DUMMYFUNCTION("IF(REGEXMATCH(I19, ""g""), ""G2"","""")"),"")</f>
        <v/>
      </c>
      <c r="DK19" s="294" t="str">
        <f>IFERROR(__xludf.DUMMYFUNCTION("IF(REGEXMATCH(I19, ""G""), ""G3"","""")"),"G3")</f>
        <v>G3</v>
      </c>
      <c r="DL19" s="294" t="str">
        <f>IFERROR(__xludf.DUMMYFUNCTION("IF(REGEXMATCH(I19, ""m""), ""M1"","""")"),"M1")</f>
        <v>M1</v>
      </c>
      <c r="DM19" s="295" t="str">
        <f>IFERROR(__xludf.DUMMYFUNCTION("IF(REGEXMATCH(I19, ""M""), ""M2"","""")"),"")</f>
        <v/>
      </c>
      <c r="DN19" s="294" t="str">
        <f>IFERROR(__xludf.DUMMYFUNCTION("IF(REGEXMATCH(I19, ""P""), ""P"","""")"),"P")</f>
        <v>P</v>
      </c>
      <c r="DO19" s="295" t="str">
        <f>IFERROR(__xludf.DUMMYFUNCTION("IF(REGEXMATCH(I19, ""d""), ""D1"","""")"),"")</f>
        <v/>
      </c>
      <c r="DP19" s="294" t="str">
        <f>IFERROR(__xludf.DUMMYFUNCTION("IF(REGEXMATCH(I19, ""D""), ""D2"","""")"),"D2")</f>
        <v>D2</v>
      </c>
      <c r="DQ19" s="294" t="str">
        <f>IFERROR(__xludf.DUMMYFUNCTION("IF(REGEXMATCH(I19, ""n""), ""N2"","""")"),"")</f>
        <v/>
      </c>
      <c r="DR19" s="295" t="str">
        <f>IFERROR(__xludf.DUMMYFUNCTION("IF(REGEXMATCH(I19, ""N""), ""N3"","""")"),"N3")</f>
        <v>N3</v>
      </c>
      <c r="DS19" s="249" t="str">
        <f>IFERROR(__xludf.DUMMYFUNCTION("IF(REGEXMATCH(I19, ""S""), ""S"","""")"),"S")</f>
        <v>S</v>
      </c>
      <c r="DT19" s="299" t="str">
        <f>IFERROR(__xludf.DUMMYFUNCTION("SUBSTITUTE(SUBSTITUTE(SUBSTITUTE(SUBSTITUTE(CONCATENATE(JOIN(""-"",CT19:DF19)),""--"",""-""),""--"",""-""),""--"",""-""),""--"",""-"")"),"1-2-3-4-5-6-7-8")</f>
        <v>1-2-3-4-5-6-7-8</v>
      </c>
      <c r="DU19" s="299" t="str">
        <f>IFERROR(__xludf.DUMMYFUNCTION("SUBSTITUTE(SUBSTITUTE(SUBSTITUTE(SUBSTITUTE(CONCATENATE(JOIN(""-"",DG19:DS19)),""--"",""-""),""--"",""-""),""--"",""-""),""--"",""-"")"),"S-R2-G3-M1-P-D2-N3-S")</f>
        <v>S-R2-G3-M1-P-D2-N3-S</v>
      </c>
      <c r="DV19" s="348" t="str">
        <f t="shared" si="43"/>
        <v>C-D-E-F-G-A-B-C</v>
      </c>
      <c r="DW19" s="301">
        <f t="shared" si="44"/>
        <v>7</v>
      </c>
      <c r="DX19" s="302" t="str">
        <f t="shared" si="45"/>
        <v>Sampurna</v>
      </c>
      <c r="DY19" s="301" t="str">
        <f t="shared" ref="DY19:DZ19" si="185">SUBSTITUTE(Y19,"-","")</f>
        <v>SRGM</v>
      </c>
      <c r="DZ19" s="301" t="str">
        <f t="shared" si="185"/>
        <v>PDNS</v>
      </c>
      <c r="EA19" s="302" t="str">
        <f t="shared" si="47"/>
        <v>Bilawal</v>
      </c>
      <c r="EB19" s="301" t="str">
        <f t="shared" si="48"/>
        <v>Hemi.</v>
      </c>
      <c r="EC19" s="364" t="str">
        <f t="shared" si="49"/>
        <v>-</v>
      </c>
      <c r="ED19" s="306" t="str">
        <f t="shared" si="50"/>
        <v>Bilawal</v>
      </c>
      <c r="EE19" s="366" t="str">
        <f t="shared" si="51"/>
        <v>-</v>
      </c>
      <c r="EF19" s="308" t="str">
        <f t="shared" si="52"/>
        <v>-</v>
      </c>
      <c r="EG19" s="306" t="str">
        <f t="shared" si="53"/>
        <v>✔</v>
      </c>
      <c r="EH19" s="306" t="str">
        <f t="shared" si="54"/>
        <v>-</v>
      </c>
      <c r="EI19" s="367" t="str">
        <f t="shared" si="55"/>
        <v>-</v>
      </c>
      <c r="EJ19" s="310" t="str">
        <f t="shared" si="56"/>
        <v>-</v>
      </c>
      <c r="EK19" s="310" t="str">
        <f t="shared" si="57"/>
        <v>-</v>
      </c>
      <c r="EL19" s="310" t="str">
        <f t="shared" si="58"/>
        <v>-</v>
      </c>
      <c r="EM19" s="310" t="str">
        <f t="shared" si="59"/>
        <v>-</v>
      </c>
      <c r="EN19" s="370" t="str">
        <f t="shared" si="60"/>
        <v>-</v>
      </c>
      <c r="EO19" s="306" t="str">
        <f t="shared" si="61"/>
        <v>-</v>
      </c>
      <c r="EP19" s="306" t="str">
        <f t="shared" si="62"/>
        <v>-</v>
      </c>
      <c r="EQ19" s="306" t="str">
        <f t="shared" si="63"/>
        <v>-</v>
      </c>
      <c r="ER19" s="306" t="str">
        <f t="shared" si="64"/>
        <v>-</v>
      </c>
      <c r="ES19" s="306" t="str">
        <f t="shared" si="65"/>
        <v>-</v>
      </c>
      <c r="ET19" s="367" t="str">
        <f t="shared" si="66"/>
        <v>-</v>
      </c>
      <c r="EU19" s="310" t="str">
        <f>IFERROR(__xludf.DUMMYFUNCTION("IF(REGEXMATCH(BH19,BD19),""✔"",""-"")"),"✔")</f>
        <v>✔</v>
      </c>
      <c r="EV19" s="310" t="str">
        <f t="shared" si="67"/>
        <v>-</v>
      </c>
      <c r="EW19" s="370" t="str">
        <f t="shared" si="68"/>
        <v>-</v>
      </c>
      <c r="EX19" s="315" t="str">
        <f t="shared" si="69"/>
        <v>[UQ]</v>
      </c>
      <c r="EY19" s="317" t="str">
        <f t="shared" si="70"/>
        <v>S-R-G-m-P-D-N-S</v>
      </c>
      <c r="EZ19" s="318" t="str">
        <f>IFERROR(__xludf.DUMMYFUNCTION("CONCATENATE(JOIN("""",GE19:GQ19))"),"SrgmPdnS")</f>
        <v>SrgmPdnS</v>
      </c>
      <c r="FA19" s="318"/>
      <c r="FB19" s="318"/>
      <c r="FC19" s="321">
        <f t="shared" si="71"/>
        <v>1</v>
      </c>
      <c r="FD19" s="318" t="str">
        <f>IFERROR(__xludf.DUMMYFUNCTION("CONCATENATE(JOIN("""",HR19:ID19))"),"Ni, ")</f>
        <v>Ni, </v>
      </c>
      <c r="FE19" s="322">
        <f t="shared" si="72"/>
        <v>0</v>
      </c>
      <c r="FF19" s="324" t="str">
        <f>IFERROR(__xludf.DUMMYFUNCTION("CONCATENATE(JOIN("""",IR19:JD19))"),"")</f>
        <v/>
      </c>
      <c r="FG19" s="325" t="str">
        <f t="shared" si="73"/>
        <v>S-R2-G3-M1-P-D2-N3-S</v>
      </c>
      <c r="FH19" s="326" t="str">
        <f t="shared" si="74"/>
        <v>1-2-3-4-5-6-7-8</v>
      </c>
      <c r="FI19" s="326" t="str">
        <f t="shared" si="75"/>
        <v>0-2-4-5-7-9-11-0</v>
      </c>
      <c r="FJ19" s="318"/>
      <c r="FK19" s="328" t="str">
        <f>IFERROR(__xludf.DUMMYFUNCTION("SUBSTITUTE(SUBSTITUTE(SUBSTITUTE(SUBSTITUTE(CONCATENATE(JOIN("" "",FN19:FZ19)),""  "","" ""),""  "","" ""),""  "","" ""),""  "","" "")"),"o • o • o o • o • o • o o")</f>
        <v>o • o • o o • o • o • o o</v>
      </c>
      <c r="FL19" s="328" t="str">
        <f t="shared" si="76"/>
        <v>-</v>
      </c>
      <c r="FM19" s="329"/>
      <c r="FN19" s="331" t="str">
        <f t="shared" si="77"/>
        <v>o</v>
      </c>
      <c r="FO19" s="332" t="str">
        <f t="shared" si="78"/>
        <v>•</v>
      </c>
      <c r="FP19" s="332" t="str">
        <f t="shared" si="79"/>
        <v>o</v>
      </c>
      <c r="FQ19" s="332" t="str">
        <f t="shared" si="80"/>
        <v>•</v>
      </c>
      <c r="FR19" s="332" t="str">
        <f t="shared" si="81"/>
        <v>o</v>
      </c>
      <c r="FS19" s="332" t="str">
        <f t="shared" si="82"/>
        <v>o</v>
      </c>
      <c r="FT19" s="332" t="str">
        <f t="shared" si="83"/>
        <v>•</v>
      </c>
      <c r="FU19" s="332" t="str">
        <f t="shared" si="84"/>
        <v>o</v>
      </c>
      <c r="FV19" s="332" t="str">
        <f t="shared" si="85"/>
        <v>•</v>
      </c>
      <c r="FW19" s="332" t="str">
        <f t="shared" si="86"/>
        <v>o</v>
      </c>
      <c r="FX19" s="332" t="str">
        <f t="shared" si="87"/>
        <v>•</v>
      </c>
      <c r="FY19" s="332" t="str">
        <f t="shared" si="88"/>
        <v>o</v>
      </c>
      <c r="FZ19" s="338" t="str">
        <f t="shared" si="89"/>
        <v>o</v>
      </c>
      <c r="GA19" s="339" t="str">
        <f t="shared" si="90"/>
        <v>-</v>
      </c>
      <c r="GB19" s="339" t="str">
        <f t="shared" si="91"/>
        <v>Sa-Pa</v>
      </c>
      <c r="GC19" s="339" t="str">
        <f t="shared" si="92"/>
        <v>-</v>
      </c>
      <c r="GD19" s="340" t="str">
        <f t="shared" si="93"/>
        <v>-</v>
      </c>
      <c r="GE19" s="331" t="str">
        <f t="shared" si="94"/>
        <v>S</v>
      </c>
      <c r="GF19" s="332" t="str">
        <f t="shared" si="95"/>
        <v>r</v>
      </c>
      <c r="GG19" s="332" t="str">
        <f t="shared" si="96"/>
        <v/>
      </c>
      <c r="GH19" s="332" t="str">
        <f t="shared" si="97"/>
        <v>g</v>
      </c>
      <c r="GI19" s="332" t="str">
        <f t="shared" si="98"/>
        <v/>
      </c>
      <c r="GJ19" s="332" t="str">
        <f t="shared" si="99"/>
        <v>m</v>
      </c>
      <c r="GK19" s="332" t="str">
        <f t="shared" si="100"/>
        <v/>
      </c>
      <c r="GL19" s="332" t="str">
        <f t="shared" si="101"/>
        <v>P</v>
      </c>
      <c r="GM19" s="332" t="str">
        <f t="shared" si="102"/>
        <v>d</v>
      </c>
      <c r="GN19" s="332" t="str">
        <f t="shared" si="103"/>
        <v/>
      </c>
      <c r="GO19" s="332" t="str">
        <f t="shared" si="104"/>
        <v>n</v>
      </c>
      <c r="GP19" s="332" t="str">
        <f t="shared" si="105"/>
        <v/>
      </c>
      <c r="GQ19" s="343" t="str">
        <f t="shared" si="106"/>
        <v>S</v>
      </c>
      <c r="GR19" s="331" t="str">
        <f t="shared" si="107"/>
        <v>•</v>
      </c>
      <c r="GS19" s="332" t="str">
        <f t="shared" si="108"/>
        <v>o</v>
      </c>
      <c r="GT19" s="332" t="str">
        <f t="shared" si="109"/>
        <v>•</v>
      </c>
      <c r="GU19" s="332" t="str">
        <f t="shared" si="110"/>
        <v>o</v>
      </c>
      <c r="GV19" s="332" t="str">
        <f t="shared" si="111"/>
        <v>•</v>
      </c>
      <c r="GW19" s="332" t="str">
        <f t="shared" si="112"/>
        <v>•</v>
      </c>
      <c r="GX19" s="332" t="str">
        <f t="shared" si="113"/>
        <v>o</v>
      </c>
      <c r="GY19" s="332" t="str">
        <f t="shared" si="114"/>
        <v>•</v>
      </c>
      <c r="GZ19" s="332" t="str">
        <f t="shared" si="115"/>
        <v>o</v>
      </c>
      <c r="HA19" s="332" t="str">
        <f t="shared" si="116"/>
        <v>•</v>
      </c>
      <c r="HB19" s="332" t="str">
        <f t="shared" si="117"/>
        <v>o</v>
      </c>
      <c r="HC19" s="332" t="str">
        <f t="shared" si="118"/>
        <v>•</v>
      </c>
      <c r="HD19" s="338" t="str">
        <f t="shared" si="119"/>
        <v>•</v>
      </c>
      <c r="HE19" s="346" t="b">
        <f t="shared" si="120"/>
        <v>0</v>
      </c>
      <c r="HF19" s="347" t="b">
        <f t="shared" si="121"/>
        <v>0</v>
      </c>
      <c r="HG19" s="347" t="b">
        <f t="shared" si="122"/>
        <v>0</v>
      </c>
      <c r="HH19" s="347" t="b">
        <f t="shared" si="123"/>
        <v>0</v>
      </c>
      <c r="HI19" s="347" t="b">
        <f t="shared" si="124"/>
        <v>0</v>
      </c>
      <c r="HJ19" s="347" t="b">
        <f t="shared" si="125"/>
        <v>0</v>
      </c>
      <c r="HK19" s="347" t="b">
        <f t="shared" si="126"/>
        <v>0</v>
      </c>
      <c r="HL19" s="347" t="b">
        <f t="shared" si="127"/>
        <v>0</v>
      </c>
      <c r="HM19" s="347" t="b">
        <f t="shared" si="128"/>
        <v>0</v>
      </c>
      <c r="HN19" s="347" t="b">
        <f t="shared" si="129"/>
        <v>0</v>
      </c>
      <c r="HO19" s="347" t="b">
        <f t="shared" si="130"/>
        <v>0</v>
      </c>
      <c r="HP19" s="347" t="b">
        <f t="shared" si="131"/>
        <v>1</v>
      </c>
      <c r="HQ19" s="353" t="b">
        <f t="shared" si="132"/>
        <v>0</v>
      </c>
      <c r="HR19" s="354" t="str">
        <f t="shared" si="133"/>
        <v/>
      </c>
      <c r="HS19" s="355" t="str">
        <f t="shared" si="134"/>
        <v/>
      </c>
      <c r="HT19" s="355" t="str">
        <f t="shared" si="135"/>
        <v/>
      </c>
      <c r="HU19" s="355" t="str">
        <f t="shared" si="136"/>
        <v/>
      </c>
      <c r="HV19" s="355" t="str">
        <f t="shared" si="137"/>
        <v/>
      </c>
      <c r="HW19" s="355" t="str">
        <f t="shared" si="138"/>
        <v/>
      </c>
      <c r="HX19" s="355" t="str">
        <f t="shared" si="139"/>
        <v/>
      </c>
      <c r="HY19" s="355" t="str">
        <f t="shared" si="140"/>
        <v/>
      </c>
      <c r="HZ19" s="355" t="str">
        <f t="shared" si="141"/>
        <v/>
      </c>
      <c r="IA19" s="355" t="str">
        <f t="shared" si="142"/>
        <v/>
      </c>
      <c r="IB19" s="355" t="str">
        <f t="shared" si="143"/>
        <v/>
      </c>
      <c r="IC19" s="355" t="str">
        <f t="shared" si="144"/>
        <v>Ni, </v>
      </c>
      <c r="ID19" s="359" t="str">
        <f t="shared" si="145"/>
        <v/>
      </c>
      <c r="IE19" s="346" t="b">
        <f t="shared" si="146"/>
        <v>0</v>
      </c>
      <c r="IF19" s="347" t="b">
        <f t="shared" si="147"/>
        <v>0</v>
      </c>
      <c r="IG19" s="347" t="b">
        <f t="shared" si="148"/>
        <v>0</v>
      </c>
      <c r="IH19" s="347" t="b">
        <f t="shared" si="149"/>
        <v>0</v>
      </c>
      <c r="II19" s="347" t="b">
        <f t="shared" si="150"/>
        <v>0</v>
      </c>
      <c r="IJ19" s="347" t="b">
        <f t="shared" si="151"/>
        <v>0</v>
      </c>
      <c r="IK19" s="347" t="b">
        <f t="shared" si="152"/>
        <v>0</v>
      </c>
      <c r="IL19" s="347" t="b">
        <f t="shared" si="153"/>
        <v>0</v>
      </c>
      <c r="IM19" s="347" t="b">
        <f t="shared" si="154"/>
        <v>0</v>
      </c>
      <c r="IN19" s="347" t="b">
        <f t="shared" si="155"/>
        <v>0</v>
      </c>
      <c r="IO19" s="347" t="b">
        <f t="shared" si="156"/>
        <v>0</v>
      </c>
      <c r="IP19" s="347" t="b">
        <f t="shared" si="157"/>
        <v>0</v>
      </c>
      <c r="IQ19" s="365" t="b">
        <f t="shared" si="158"/>
        <v>0</v>
      </c>
      <c r="IR19" s="354" t="str">
        <f t="shared" si="159"/>
        <v/>
      </c>
      <c r="IS19" s="355" t="str">
        <f t="shared" si="160"/>
        <v/>
      </c>
      <c r="IT19" s="355" t="str">
        <f t="shared" si="161"/>
        <v/>
      </c>
      <c r="IU19" s="355" t="str">
        <f t="shared" si="162"/>
        <v/>
      </c>
      <c r="IV19" s="355" t="str">
        <f t="shared" si="163"/>
        <v/>
      </c>
      <c r="IW19" s="355" t="str">
        <f t="shared" si="164"/>
        <v/>
      </c>
      <c r="IX19" s="355" t="str">
        <f t="shared" si="165"/>
        <v/>
      </c>
      <c r="IY19" s="355" t="str">
        <f t="shared" si="166"/>
        <v/>
      </c>
      <c r="IZ19" s="355" t="str">
        <f t="shared" si="167"/>
        <v/>
      </c>
      <c r="JA19" s="355" t="str">
        <f t="shared" si="168"/>
        <v/>
      </c>
      <c r="JB19" s="355" t="str">
        <f t="shared" si="169"/>
        <v/>
      </c>
      <c r="JC19" s="355" t="str">
        <f t="shared" si="170"/>
        <v/>
      </c>
      <c r="JD19" s="359"/>
      <c r="JE19" s="321"/>
      <c r="JF19" s="368"/>
      <c r="JG19" s="369"/>
      <c r="JH19" s="369"/>
      <c r="JI19" s="369"/>
      <c r="JJ19" s="369"/>
      <c r="JK19" s="369"/>
      <c r="JL19" s="369"/>
      <c r="JM19" s="369"/>
      <c r="JN19" s="369"/>
      <c r="JO19" s="369"/>
      <c r="JP19" s="369"/>
    </row>
    <row r="20" ht="20.25" customHeight="1">
      <c r="A20" s="221" t="s">
        <v>602</v>
      </c>
      <c r="B20" s="222">
        <v>18.0</v>
      </c>
      <c r="C20" s="223" t="s">
        <v>603</v>
      </c>
      <c r="D20" s="224" t="s">
        <v>17</v>
      </c>
      <c r="E20" s="225" t="str">
        <f t="shared" si="5"/>
        <v>[UQ]</v>
      </c>
      <c r="F20" s="227">
        <f t="shared" si="6"/>
        <v>7</v>
      </c>
      <c r="G20" s="229">
        <f t="shared" si="7"/>
        <v>7</v>
      </c>
      <c r="H20" s="230">
        <f t="shared" si="8"/>
        <v>0</v>
      </c>
      <c r="I20" s="233" t="str">
        <f t="shared" si="9"/>
        <v>SrGmPDNS</v>
      </c>
      <c r="J20" s="234" t="str">
        <f>IFERROR(__xludf.DUMMYFUNCTION("IF(REGEXMATCH(I20, ""S""), ""S"","""")"),"S")</f>
        <v>S</v>
      </c>
      <c r="K20" s="236" t="str">
        <f>IFERROR(__xludf.DUMMYFUNCTION("IF(REGEXMATCH(I20, ""r""), ""r"","""")"),"r")</f>
        <v>r</v>
      </c>
      <c r="L20" s="237" t="str">
        <f>IFERROR(__xludf.DUMMYFUNCTION("IF(REGEXMATCH(I20, ""R""), ""R"","""")"),"")</f>
        <v/>
      </c>
      <c r="M20" s="237" t="str">
        <f>IFERROR(__xludf.DUMMYFUNCTION("IF(REGEXMATCH(I20, ""g""), ""g"","""")"),"")</f>
        <v/>
      </c>
      <c r="N20" s="236" t="str">
        <f>IFERROR(__xludf.DUMMYFUNCTION("IF(REGEXMATCH(I20, ""G""), ""G"","""")"),"G")</f>
        <v>G</v>
      </c>
      <c r="O20" s="236" t="str">
        <f>IFERROR(__xludf.DUMMYFUNCTION("IF(REGEXMATCH(I20, ""m""), ""m"","""")"),"m")</f>
        <v>m</v>
      </c>
      <c r="P20" s="237" t="str">
        <f>IFERROR(__xludf.DUMMYFUNCTION("IF(REGEXMATCH(I20, ""M""), ""M"","""")"),"")</f>
        <v/>
      </c>
      <c r="Q20" s="236" t="str">
        <f>IFERROR(__xludf.DUMMYFUNCTION("IF(REGEXMATCH(I20, ""P""), ""P"","""")"),"P")</f>
        <v>P</v>
      </c>
      <c r="R20" s="237" t="str">
        <f>IFERROR(__xludf.DUMMYFUNCTION("IF(REGEXMATCH(I20, ""d""), ""d"","""")"),"")</f>
        <v/>
      </c>
      <c r="S20" s="236" t="str">
        <f>IFERROR(__xludf.DUMMYFUNCTION("IF(REGEXMATCH(I20, ""D""), ""D"","""")"),"D")</f>
        <v>D</v>
      </c>
      <c r="T20" s="236" t="str">
        <f>IFERROR(__xludf.DUMMYFUNCTION("IF(REGEXMATCH(I20, ""n""), ""n"","""")"),"")</f>
        <v/>
      </c>
      <c r="U20" s="237" t="str">
        <f>IFERROR(__xludf.DUMMYFUNCTION("IF(REGEXMATCH(I20, ""N""), ""N"","""")"),"N")</f>
        <v>N</v>
      </c>
      <c r="V20" s="238" t="str">
        <f>IFERROR(__xludf.DUMMYFUNCTION("IF(REGEXMATCH(I20, ""S""), ""S"","""")"),"S")</f>
        <v>S</v>
      </c>
      <c r="W20" s="239" t="str">
        <f>IFERROR(__xludf.DUMMYFUNCTION("SUBSTITUTE(CONCATENATE(JOIN(""-"",J20:P20)),""-"","""")"),"SrGm")</f>
        <v>SrGm</v>
      </c>
      <c r="X20" s="229" t="str">
        <f>IFERROR(__xludf.DUMMYFUNCTION("SUBSTITUTE(CONCATENATE(JOIN(""-"",Q20:V20)),""-"","""")"),"PDNS")</f>
        <v>PDNS</v>
      </c>
      <c r="Y20" s="282" t="str">
        <f t="shared" si="10"/>
        <v>S-R-G-M</v>
      </c>
      <c r="Z20" s="282" t="str">
        <f t="shared" si="11"/>
        <v>P-D-N-S</v>
      </c>
      <c r="AA20" s="309" t="str">
        <f t="shared" si="12"/>
        <v>rGmDN</v>
      </c>
      <c r="AB20" s="244" t="str">
        <f>IFERROR(__xludf.DUMMYFUNCTION("IF(REGEXMATCH(I20, ""S""), ""0"","""")"),"0")</f>
        <v>0</v>
      </c>
      <c r="AC20" s="245" t="str">
        <f>IFERROR(__xludf.DUMMYFUNCTION("IF(REGEXMATCH(I20, ""r""), ""1"","""")"),"1")</f>
        <v>1</v>
      </c>
      <c r="AD20" s="246" t="str">
        <f>IFERROR(__xludf.DUMMYFUNCTION("IF(REGEXMATCH(I20, ""R""), ""2"","""")"),"")</f>
        <v/>
      </c>
      <c r="AE20" s="246" t="str">
        <f>IFERROR(__xludf.DUMMYFUNCTION("IF(REGEXMATCH(I20, ""g""), ""3"","""")"),"")</f>
        <v/>
      </c>
      <c r="AF20" s="245" t="str">
        <f>IFERROR(__xludf.DUMMYFUNCTION("IF(REGEXMATCH(I20, ""G""), ""4"","""")"),"4")</f>
        <v>4</v>
      </c>
      <c r="AG20" s="245" t="str">
        <f>IFERROR(__xludf.DUMMYFUNCTION("IF(REGEXMATCH(I20, ""m""), ""5"","""")"),"5")</f>
        <v>5</v>
      </c>
      <c r="AH20" s="246" t="str">
        <f>IFERROR(__xludf.DUMMYFUNCTION("IF(REGEXMATCH(I20, ""M""), ""6"","""")"),"")</f>
        <v/>
      </c>
      <c r="AI20" s="245" t="str">
        <f>IFERROR(__xludf.DUMMYFUNCTION("IF(REGEXMATCH(I20, ""P""), ""7"","""")"),"7")</f>
        <v>7</v>
      </c>
      <c r="AJ20" s="246" t="str">
        <f>IFERROR(__xludf.DUMMYFUNCTION("IF(REGEXMATCH(I20, ""d""), ""8"","""")"),"")</f>
        <v/>
      </c>
      <c r="AK20" s="245" t="str">
        <f>IFERROR(__xludf.DUMMYFUNCTION("IF(REGEXMATCH(I20, ""D""), ""9"","""")"),"9")</f>
        <v>9</v>
      </c>
      <c r="AL20" s="245" t="str">
        <f>IFERROR(__xludf.DUMMYFUNCTION("IF(REGEXMATCH(I20, ""n""), ""10"","""")"),"")</f>
        <v/>
      </c>
      <c r="AM20" s="246" t="str">
        <f>IFERROR(__xludf.DUMMYFUNCTION("IF(REGEXMATCH(I20, ""N""), ""11"","""")"),"11")</f>
        <v>11</v>
      </c>
      <c r="AN20" s="249" t="str">
        <f>IFERROR(__xludf.DUMMYFUNCTION("IF(REGEXMATCH(I20, ""S""), ""0"","""")"),"0")</f>
        <v>0</v>
      </c>
      <c r="AO20" s="250" t="str">
        <f>IFERROR(__xludf.DUMMYFUNCTION("SUBSTITUTE(SUBSTITUTE(SUBSTITUTE(SUBSTITUTE(CONCATENATE(JOIN(""-"",AB20:AN20)),""--"",""-""),""--"",""-""),""--"",""-""),""--"",""-"")"),"0-1-4-5-7-9-11-0")</f>
        <v>0-1-4-5-7-9-11-0</v>
      </c>
      <c r="AP20" s="251">
        <f t="shared" si="13"/>
        <v>0</v>
      </c>
      <c r="AQ20" s="234" t="str">
        <f t="shared" si="14"/>
        <v>|</v>
      </c>
      <c r="AR20" s="236" t="str">
        <f t="shared" si="15"/>
        <v>|</v>
      </c>
      <c r="AS20" s="237" t="str">
        <f t="shared" si="16"/>
        <v>-</v>
      </c>
      <c r="AT20" s="236" t="str">
        <f t="shared" si="17"/>
        <v>-</v>
      </c>
      <c r="AU20" s="237" t="str">
        <f t="shared" si="18"/>
        <v>|</v>
      </c>
      <c r="AV20" s="236" t="str">
        <f t="shared" si="19"/>
        <v>|</v>
      </c>
      <c r="AW20" s="237" t="str">
        <f t="shared" si="20"/>
        <v>-</v>
      </c>
      <c r="AX20" s="236" t="str">
        <f t="shared" si="21"/>
        <v>|</v>
      </c>
      <c r="AY20" s="237" t="str">
        <f t="shared" si="22"/>
        <v>-</v>
      </c>
      <c r="AZ20" s="236" t="str">
        <f t="shared" si="23"/>
        <v>|</v>
      </c>
      <c r="BA20" s="237" t="str">
        <f t="shared" si="24"/>
        <v>-</v>
      </c>
      <c r="BB20" s="236" t="str">
        <f t="shared" si="25"/>
        <v>|</v>
      </c>
      <c r="BC20" s="238" t="str">
        <f t="shared" si="26"/>
        <v>|</v>
      </c>
      <c r="BD20" s="250" t="str">
        <f>IFERROR(__xludf.DUMMYFUNCTION("SUBSTITUTE(SUBSTITUTE(CONCATENATE(JOIN("""",AQ20:BB20)),""|"",""x""),""-"",""o"")"),"xxooxxoxoxox")</f>
        <v>xxooxxoxoxox</v>
      </c>
      <c r="BE20" s="323" t="str">
        <f>IFERROR(__xludf.DUMMYFUNCTION("JOIN("""",BD20,BD20)"),"xxooxxoxoxoxxxooxxoxoxox")</f>
        <v>xxooxxoxoxoxxxooxxoxoxox</v>
      </c>
      <c r="BF20" s="256" t="str">
        <f>IFERROR(__xludf.DUMMYFUNCTION("JOIN("""",ArrayFormula(MID(BD20,LEN(BD20)-SEQUENCE(1,LEN(BD20))+1,1)))"),"xoxoxoxxooxx")</f>
        <v>xoxoxoxxooxx</v>
      </c>
      <c r="BG20" s="256" t="str">
        <f>IFERROR(__xludf.DUMMYFUNCTION("LEFT(CONCATENATE(""x"",JOIN("""",ArrayFormula(MID(BD20,LEN(BD20)-SEQUENCE(1,LEN(BD20))+1,1)))),12)"),"xxoxoxoxxoox")</f>
        <v>xxoxoxoxxoox</v>
      </c>
      <c r="BH20" s="327" t="str">
        <f>IFERROR(__xludf.DUMMYFUNCTION("JOIN("""",BF20,BF20)"),"xoxoxoxxooxxxoxoxoxxooxx")</f>
        <v>xoxoxoxxooxxxoxoxoxxooxx</v>
      </c>
      <c r="BI20" s="239" t="str">
        <f>IFERROR(__xludf.DUMMYFUNCTION("IF(REGEXMATCH(BH20,BD20),""✔"",""-"")"),"-")</f>
        <v>-</v>
      </c>
      <c r="BJ20" s="330" t="str">
        <f t="shared" si="27"/>
        <v>-</v>
      </c>
      <c r="BK20" s="260" t="str">
        <f t="shared" si="28"/>
        <v>-</v>
      </c>
      <c r="BL20" s="261" t="str">
        <f>IFERROR(__xludf.DUMMYFUNCTION("IF(BO20=0,""(n/a)"",IF(BP20=2,""(PAIR)"",IF(REGEXMATCH(BE20,""xoxoxxoxoxox""),""Bilawal"",IF(REGEXMATCH(BE20,""xoxoxooxoxoo""),""Bhupali"",IF(REGEXMATCH(BE20,""xoxoxxoxxoxo""),""Charukeshi"",IF(REGEXMATCH(BE20,""xoxoooxxoxxo""),""Kameshwari"",IF(REGEXMATC"&amp;"H(BE20,""xoxoxooxoxox""),""Shankara"",IF(REGEXMATCH(BE20,""xxooxoxxxoox""),""Basant"",IF(REGEXMATCH(BE20,""xoxoxxxxoxox""),""Bihag"",IF(REGEXMATCH(BE20,""xoxxxxoxoxxx""),""Pilu"",IF(REGEXMATCH(BE20,""xoxxoxoxxoox""),""Kirwani"",IF(REGEXMATCH(BE20,""xoxxox"&amp;"oxoxxx""),""Mk.Malhar"",IF(REGEXMATCH(BE20,""xxooxxoxxoox""),""Bhairav"",IF(REGEXMATCH(BE20,""xxoxooxxxoox""),""Todi"",IF(REGEXMATCH(BE20,""xxooxoxooxox""),""Marwa"",IF(REGEXMATCH(BE20,""xxoooxoxxooo""),""Gunkali"",IF(REGEXMATCH(BE20,""xoxoxxoxxoox""),""N"&amp;"at Bhairav"",IF(REGEXMATCH(BE20,""xoxxoooxoxoo""),""Shivranjani"",IF(REGEXMATCH(BE20,""xooxxxoxooxo""),""Jog"",IF(REGEXMATCH(BE20,""xxooxoxoxoox""),""Hemshri"",IF(REGEXMATCH(BE20,""xoooxooxoxxo""),""Kalavati"",IF(REGEXMATCH(BE20,""xxoxoxxoxoox""),""Kedar"&amp;""",IF(REGEXMATCH(BE20,""xoxxxxoxooxx""),""Gara"",IF(REGEXMATCH(BE20,""xooxoxooxoox""),""Chandrakauns"",IF(REGEXMATCH(BE20,""xoxxxxoxxxox""),""Mand"",IF(REGEXMATCH(BE20,""xoxxxxoxoxox""),""Hanskinkini"",IF(REGEXMATCH(BE20,""xxooxxoxooxo""),""Lilavati"",IF("&amp;"REGEXMATCH(BE20,""xooxoxoooxox""),""Rajeshwari"",IF(REGEXMATCH(BE20,""xoooxxoxoxxx""),""Khokar"",IF(REGEXMATCH(BE20,""xxooxoxxxxox""),""Maligoura"",""-""))))))))))))))))))))))))))))))"),"(PAIR)")</f>
        <v>(PAIR)</v>
      </c>
      <c r="BM20" s="239">
        <f t="shared" si="29"/>
        <v>6</v>
      </c>
      <c r="BN20" s="239">
        <f>IFERROR(__xludf.DUMMYFUNCTION("COUNTUNIQUE(BR20:CB20)-1"),6.0)</f>
        <v>6</v>
      </c>
      <c r="BO20" s="239">
        <f>IFERROR(__xludf.DUMMYFUNCTION("COUNTUNIQUE(FILTER(BE:BE,REGEXMATCH(BE:BE,BD20)))-1"),1.0)</f>
        <v>1</v>
      </c>
      <c r="BP20" s="239">
        <f>IFERROR(__xludf.DUMMYFUNCTION("COUNTA(FILTER(BE:BE,REGEXMATCH(BE:BE,BD20)))"),2.0)</f>
        <v>2</v>
      </c>
      <c r="BQ20" s="341">
        <f>IFERROR(__xludf.DUMMYFUNCTION("COUNTA(FILTER(BE:BE,REGEXMATCH(BE:BE,BD20)))-AP20"),2.0)</f>
        <v>2</v>
      </c>
      <c r="BR20" s="269" t="str">
        <f t="shared" si="30"/>
        <v>xooxxoxoxox</v>
      </c>
      <c r="BS20" s="269" t="str">
        <f t="shared" si="31"/>
        <v>-</v>
      </c>
      <c r="BT20" s="271" t="str">
        <f t="shared" si="32"/>
        <v>-</v>
      </c>
      <c r="BU20" s="269" t="str">
        <f t="shared" si="33"/>
        <v>xxoxoxoxxxo</v>
      </c>
      <c r="BV20" s="271" t="str">
        <f t="shared" si="34"/>
        <v>xoxoxoxxxoo</v>
      </c>
      <c r="BW20" s="271" t="str">
        <f t="shared" si="35"/>
        <v>-</v>
      </c>
      <c r="BX20" s="271" t="str">
        <f t="shared" si="36"/>
        <v>xoxoxxxooxx</v>
      </c>
      <c r="BY20" s="271" t="str">
        <f t="shared" si="37"/>
        <v>-</v>
      </c>
      <c r="BZ20" s="271" t="str">
        <f t="shared" si="38"/>
        <v>xoxxxooxxox</v>
      </c>
      <c r="CA20" s="271" t="str">
        <f t="shared" si="39"/>
        <v>-</v>
      </c>
      <c r="CB20" s="274" t="str">
        <f t="shared" si="40"/>
        <v>xxxooxxoxox</v>
      </c>
      <c r="CC20" s="276" t="str">
        <f>IFERROR(__xludf.DUMMYFUNCTION("IF(BD20=""oooooooooooo"",""-"",IF(REGEXMATCH(BE20,""xx""), ""Hemi."", ""Anhemi.""))"),"Hemi.")</f>
        <v>Hemi.</v>
      </c>
      <c r="CD20" s="282" t="str">
        <f>IFERROR(__xludf.DUMMYFUNCTION("IF(BD20=""oooooooooooo"",""-"",IF(REGEXMATCH(BE20,""xxx""), ""Cohem."", ""-""))"),"Cohem.")</f>
        <v>Cohem.</v>
      </c>
      <c r="CE20" s="282" t="str">
        <f>IFERROR(__xludf.DUMMYFUNCTION("IF(BD20=""oooooooooooo"",""-"",IF(REGEXMATCH(BE20,""xxxx""), ""Co-Co."", ""-""))"),"-")</f>
        <v>-</v>
      </c>
      <c r="CF20" s="342" t="str">
        <f>IFERROR(__xludf.DUMMYFUNCTION("IF(BD20=""oooooooooooo"",""-"",IF(REGEXMATCH(BE20,""xxxxx""), ""CCC."", ""-""))"),"-")</f>
        <v>-</v>
      </c>
      <c r="CG20" s="344" t="str">
        <f t="shared" si="41"/>
        <v>-</v>
      </c>
      <c r="CH20" s="282" t="str">
        <f>IFERROR(__xludf.DUMMYFUNCTION("IF(REGEXMATCH(JOIN(""-"",CJ20:CS20),""TRUE""),""✔"",""-"")"),"-")</f>
        <v>-</v>
      </c>
      <c r="CI20" s="225">
        <f t="shared" si="42"/>
        <v>0</v>
      </c>
      <c r="CJ20" s="376" t="b">
        <f>IFERROR(__xludf.DUMMYFUNCTION("arrayformula(sum(--REGEXMATCH(""SRGMPDNS"",split(REGEXREPLACE(I20,""(.)"",""$1~""),""~""))))=len(I20)
"),FALSE)</f>
        <v>0</v>
      </c>
      <c r="CK20" s="290" t="b">
        <f>IFERROR(__xludf.DUMMYFUNCTION("arrayformula(sum(--REGEXMATCH(""SRGmPDNS"",split(REGEXREPLACE(I20,""(.)"",""$1~""),""~""))))=len(I20)"),FALSE)</f>
        <v>0</v>
      </c>
      <c r="CL20" s="290" t="b">
        <f>IFERROR(__xludf.DUMMYFUNCTION("arrayformula(sum(--REGEXMATCH(""SRGmPDnS"",split(REGEXREPLACE(I20,""(.)"",""$1~""),""~""))))=len(I20)"),FALSE)</f>
        <v>0</v>
      </c>
      <c r="CM20" s="290" t="b">
        <f>IFERROR(__xludf.DUMMYFUNCTION("arrayformula(sum(--REGEXMATCH(""SRgmPDnS"",split(REGEXREPLACE(I20,""(.)"",""$1~""),""~""))))=len(I20)"),FALSE)</f>
        <v>0</v>
      </c>
      <c r="CN20" s="290" t="b">
        <f>IFERROR(__xludf.DUMMYFUNCTION("arrayformula(sum(--REGEXMATCH(""SRgmPdnS"",split(REGEXREPLACE(I20,""(.)"",""$1~""),""~""))))=len(I20)"),FALSE)</f>
        <v>0</v>
      </c>
      <c r="CO20" s="290" t="b">
        <f>IFERROR(__xludf.DUMMYFUNCTION("arrayformula(sum(--REGEXMATCH(""SrgmPdnS"",split(REGEXREPLACE(I20,""(.)"",""$1~""),""~""))))=len(I20)"),FALSE)</f>
        <v>0</v>
      </c>
      <c r="CP20" s="290" t="b">
        <f>IFERROR(__xludf.DUMMYFUNCTION("arrayformula(sum(--REGEXMATCH(""SrGmPdNS"",split(REGEXREPLACE(I20,""(.)"",""$1~""),""~""))))=len(I20)"),FALSE)</f>
        <v>0</v>
      </c>
      <c r="CQ20" s="290" t="b">
        <f>IFERROR(__xludf.DUMMYFUNCTION("arrayformula(sum(--REGEXMATCH(""SrGMPDNS"",split(REGEXREPLACE(I20,""(.)"",""$1~""),""~""))))=len(I20)"),FALSE)</f>
        <v>0</v>
      </c>
      <c r="CR20" s="290" t="b">
        <f>IFERROR(__xludf.DUMMYFUNCTION("arrayformula(sum(--REGEXMATCH(""SrGMPdNS"",split(REGEXREPLACE(I20,""(.)"",""$1~""),""~""))))=len(I20)"),FALSE)</f>
        <v>0</v>
      </c>
      <c r="CS20" s="293" t="b">
        <f>IFERROR(__xludf.DUMMYFUNCTION("arrayformula(sum(--REGEXMATCH(""SrgMPdNS"",split(REGEXREPLACE(I20,""(.)"",""$1~""),""~""))))=len(I20)"),FALSE)</f>
        <v>0</v>
      </c>
      <c r="CT20" s="244" t="str">
        <f>IFERROR(__xludf.DUMMYFUNCTION("IF(REGEXMATCH(I20, ""S""), ""1"","""")"),"1")</f>
        <v>1</v>
      </c>
      <c r="CU20" s="245" t="str">
        <f>IFERROR(__xludf.DUMMYFUNCTION("IF(REGEXMATCH(I20, ""r""), ""b2"","""")"),"b2")</f>
        <v>b2</v>
      </c>
      <c r="CV20" s="246" t="str">
        <f>IFERROR(__xludf.DUMMYFUNCTION("IF(REGEXMATCH(I20, ""R""), ""2"","""")"),"")</f>
        <v/>
      </c>
      <c r="CW20" s="246" t="str">
        <f>IFERROR(__xludf.DUMMYFUNCTION("IF(REGEXMATCH(I20, ""g""), ""b3"","""")"),"")</f>
        <v/>
      </c>
      <c r="CX20" s="245" t="str">
        <f>IFERROR(__xludf.DUMMYFUNCTION("IF(REGEXMATCH(I20, ""G""), ""3"","""")"),"3")</f>
        <v>3</v>
      </c>
      <c r="CY20" s="245" t="str">
        <f>IFERROR(__xludf.DUMMYFUNCTION("IF(REGEXMATCH(I20, ""m""), ""4"","""")"),"4")</f>
        <v>4</v>
      </c>
      <c r="CZ20" s="246" t="str">
        <f>IFERROR(__xludf.DUMMYFUNCTION("IF(REGEXMATCH(I20, ""M""), ""#4"","""")"),"")</f>
        <v/>
      </c>
      <c r="DA20" s="245" t="str">
        <f>IFERROR(__xludf.DUMMYFUNCTION("IF(REGEXMATCH(I20, ""P""), ""5"","""")"),"5")</f>
        <v>5</v>
      </c>
      <c r="DB20" s="246" t="str">
        <f>IFERROR(__xludf.DUMMYFUNCTION("IF(REGEXMATCH(I20, ""d""), ""b6"","""")"),"")</f>
        <v/>
      </c>
      <c r="DC20" s="245" t="str">
        <f>IFERROR(__xludf.DUMMYFUNCTION("IF(REGEXMATCH(I20, ""D""), ""6"","""")"),"6")</f>
        <v>6</v>
      </c>
      <c r="DD20" s="245" t="str">
        <f>IFERROR(__xludf.DUMMYFUNCTION("IF(REGEXMATCH(I20, ""n""), ""b7"","""")"),"")</f>
        <v/>
      </c>
      <c r="DE20" s="246" t="str">
        <f>IFERROR(__xludf.DUMMYFUNCTION("IF(REGEXMATCH(I20, ""N""), ""7"","""")"),"7")</f>
        <v>7</v>
      </c>
      <c r="DF20" s="249" t="str">
        <f>IFERROR(__xludf.DUMMYFUNCTION("IF(REGEXMATCH(I20, ""S""), ""8"","""")"),"8")</f>
        <v>8</v>
      </c>
      <c r="DG20" s="244" t="str">
        <f>IFERROR(__xludf.DUMMYFUNCTION("IF(REGEXMATCH(I20, ""S""), ""S"","""")"),"S")</f>
        <v>S</v>
      </c>
      <c r="DH20" s="294" t="str">
        <f>IFERROR(__xludf.DUMMYFUNCTION("IF(REGEXMATCH(I20, ""r""), ""R1"","""")"),"R1")</f>
        <v>R1</v>
      </c>
      <c r="DI20" s="295" t="str">
        <f>IFERROR(__xludf.DUMMYFUNCTION("IF(REGEXMATCH(I20, ""R""), ""R2"","""")"),"")</f>
        <v/>
      </c>
      <c r="DJ20" s="295" t="str">
        <f>IFERROR(__xludf.DUMMYFUNCTION("IF(REGEXMATCH(I20, ""g""), ""G2"","""")"),"")</f>
        <v/>
      </c>
      <c r="DK20" s="294" t="str">
        <f>IFERROR(__xludf.DUMMYFUNCTION("IF(REGEXMATCH(I20, ""G""), ""G3"","""")"),"G3")</f>
        <v>G3</v>
      </c>
      <c r="DL20" s="294" t="str">
        <f>IFERROR(__xludf.DUMMYFUNCTION("IF(REGEXMATCH(I20, ""m""), ""M1"","""")"),"M1")</f>
        <v>M1</v>
      </c>
      <c r="DM20" s="295" t="str">
        <f>IFERROR(__xludf.DUMMYFUNCTION("IF(REGEXMATCH(I20, ""M""), ""M2"","""")"),"")</f>
        <v/>
      </c>
      <c r="DN20" s="294" t="str">
        <f>IFERROR(__xludf.DUMMYFUNCTION("IF(REGEXMATCH(I20, ""P""), ""P"","""")"),"P")</f>
        <v>P</v>
      </c>
      <c r="DO20" s="295" t="str">
        <f>IFERROR(__xludf.DUMMYFUNCTION("IF(REGEXMATCH(I20, ""d""), ""D1"","""")"),"")</f>
        <v/>
      </c>
      <c r="DP20" s="294" t="str">
        <f>IFERROR(__xludf.DUMMYFUNCTION("IF(REGEXMATCH(I20, ""D""), ""D2"","""")"),"D2")</f>
        <v>D2</v>
      </c>
      <c r="DQ20" s="294" t="str">
        <f>IFERROR(__xludf.DUMMYFUNCTION("IF(REGEXMATCH(I20, ""n""), ""N2"","""")"),"")</f>
        <v/>
      </c>
      <c r="DR20" s="295" t="str">
        <f>IFERROR(__xludf.DUMMYFUNCTION("IF(REGEXMATCH(I20, ""N""), ""N3"","""")"),"N3")</f>
        <v>N3</v>
      </c>
      <c r="DS20" s="249" t="str">
        <f>IFERROR(__xludf.DUMMYFUNCTION("IF(REGEXMATCH(I20, ""S""), ""S"","""")"),"S")</f>
        <v>S</v>
      </c>
      <c r="DT20" s="299" t="str">
        <f>IFERROR(__xludf.DUMMYFUNCTION("SUBSTITUTE(SUBSTITUTE(SUBSTITUTE(SUBSTITUTE(CONCATENATE(JOIN(""-"",CT20:DF20)),""--"",""-""),""--"",""-""),""--"",""-""),""--"",""-"")"),"1-b2-3-4-5-6-7-8")</f>
        <v>1-b2-3-4-5-6-7-8</v>
      </c>
      <c r="DU20" s="299" t="str">
        <f>IFERROR(__xludf.DUMMYFUNCTION("SUBSTITUTE(SUBSTITUTE(SUBSTITUTE(SUBSTITUTE(CONCATENATE(JOIN(""-"",DG20:DS20)),""--"",""-""),""--"",""-""),""--"",""-""),""--"",""-"")"),"S-R1-G3-M1-P-D2-N3-S")</f>
        <v>S-R1-G3-M1-P-D2-N3-S</v>
      </c>
      <c r="DV20" s="348" t="str">
        <f t="shared" si="43"/>
        <v>C-Db-E-F-G-A-B-C</v>
      </c>
      <c r="DW20" s="301">
        <f t="shared" si="44"/>
        <v>7</v>
      </c>
      <c r="DX20" s="302" t="str">
        <f t="shared" si="45"/>
        <v>Sampurna</v>
      </c>
      <c r="DY20" s="301" t="str">
        <f t="shared" ref="DY20:DZ20" si="186">SUBSTITUTE(Y20,"-","")</f>
        <v>SRGM</v>
      </c>
      <c r="DZ20" s="301" t="str">
        <f t="shared" si="186"/>
        <v>PDNS</v>
      </c>
      <c r="EA20" s="302" t="str">
        <f t="shared" si="47"/>
        <v>(PAIR)</v>
      </c>
      <c r="EB20" s="301" t="str">
        <f t="shared" si="48"/>
        <v>Hemi.</v>
      </c>
      <c r="EC20" s="364" t="str">
        <f t="shared" si="49"/>
        <v>Cohem.</v>
      </c>
      <c r="ED20" s="306" t="str">
        <f t="shared" si="50"/>
        <v>-</v>
      </c>
      <c r="EE20" s="366" t="str">
        <f t="shared" si="51"/>
        <v>-</v>
      </c>
      <c r="EF20" s="308" t="str">
        <f t="shared" si="52"/>
        <v>✔</v>
      </c>
      <c r="EG20" s="306" t="str">
        <f t="shared" si="53"/>
        <v>-</v>
      </c>
      <c r="EH20" s="306" t="str">
        <f t="shared" si="54"/>
        <v>-</v>
      </c>
      <c r="EI20" s="367" t="str">
        <f t="shared" si="55"/>
        <v>-</v>
      </c>
      <c r="EJ20" s="310" t="str">
        <f t="shared" si="56"/>
        <v>-</v>
      </c>
      <c r="EK20" s="310" t="str">
        <f t="shared" si="57"/>
        <v>-</v>
      </c>
      <c r="EL20" s="310" t="str">
        <f t="shared" si="58"/>
        <v>-</v>
      </c>
      <c r="EM20" s="310" t="str">
        <f t="shared" si="59"/>
        <v>-</v>
      </c>
      <c r="EN20" s="370" t="str">
        <f t="shared" si="60"/>
        <v>-</v>
      </c>
      <c r="EO20" s="306" t="str">
        <f t="shared" si="61"/>
        <v>-</v>
      </c>
      <c r="EP20" s="306" t="str">
        <f t="shared" si="62"/>
        <v>-</v>
      </c>
      <c r="EQ20" s="306" t="str">
        <f t="shared" si="63"/>
        <v>-</v>
      </c>
      <c r="ER20" s="306" t="str">
        <f t="shared" si="64"/>
        <v>-</v>
      </c>
      <c r="ES20" s="306" t="str">
        <f t="shared" si="65"/>
        <v>-</v>
      </c>
      <c r="ET20" s="367" t="str">
        <f t="shared" si="66"/>
        <v>-</v>
      </c>
      <c r="EU20" s="310" t="str">
        <f>IFERROR(__xludf.DUMMYFUNCTION("IF(REGEXMATCH(BH20,BD20),""✔"",""-"")"),"-")</f>
        <v>-</v>
      </c>
      <c r="EV20" s="310" t="str">
        <f t="shared" si="67"/>
        <v>-</v>
      </c>
      <c r="EW20" s="370" t="str">
        <f t="shared" si="68"/>
        <v>-</v>
      </c>
      <c r="EX20" s="315" t="str">
        <f t="shared" si="69"/>
        <v>[UQ]</v>
      </c>
      <c r="EY20" s="317" t="str">
        <f t="shared" si="70"/>
        <v>S-r-G-m-P-D-N-S</v>
      </c>
      <c r="EZ20" s="318" t="str">
        <f>IFERROR(__xludf.DUMMYFUNCTION("CONCATENATE(JOIN("""",GE20:GQ20))"),"SrgmPdNS")</f>
        <v>SrgmPdNS</v>
      </c>
      <c r="FA20" s="318"/>
      <c r="FB20" s="318"/>
      <c r="FC20" s="321">
        <f t="shared" si="71"/>
        <v>3</v>
      </c>
      <c r="FD20" s="318" t="str">
        <f>IFERROR(__xludf.DUMMYFUNCTION("CONCATENATE(JOIN("""",HR20:ID20))"),"re, Pa, Ni, ")</f>
        <v>re, Pa, Ni, </v>
      </c>
      <c r="FE20" s="322">
        <f t="shared" si="72"/>
        <v>1</v>
      </c>
      <c r="FF20" s="324" t="str">
        <f>IFERROR(__xludf.DUMMYFUNCTION("CONCATENATE(JOIN("""",IR20:JD20))"),"re, ")</f>
        <v>re, </v>
      </c>
      <c r="FG20" s="325" t="str">
        <f t="shared" si="73"/>
        <v>S-R1-G3-M1-P-D2-N3-S</v>
      </c>
      <c r="FH20" s="326" t="str">
        <f t="shared" si="74"/>
        <v>1-b2-3-4-5-6-7-8</v>
      </c>
      <c r="FI20" s="326" t="str">
        <f t="shared" si="75"/>
        <v>0-1-4-5-7-9-11-0</v>
      </c>
      <c r="FJ20" s="318"/>
      <c r="FK20" s="328" t="str">
        <f>IFERROR(__xludf.DUMMYFUNCTION("SUBSTITUTE(SUBSTITUTE(SUBSTITUTE(SUBSTITUTE(CONCATENATE(JOIN("" "",FN20:FZ20)),""  "","" ""),""  "","" ""),""  "","" ""),""  "","" "")"),"o o • • o o • o • o • o o")</f>
        <v>o o • • o o • o • o • o o</v>
      </c>
      <c r="FL20" s="328" t="str">
        <f t="shared" si="76"/>
        <v>-</v>
      </c>
      <c r="FM20" s="329"/>
      <c r="FN20" s="331" t="str">
        <f t="shared" si="77"/>
        <v>o</v>
      </c>
      <c r="FO20" s="332" t="str">
        <f t="shared" si="78"/>
        <v>o</v>
      </c>
      <c r="FP20" s="332" t="str">
        <f t="shared" si="79"/>
        <v>•</v>
      </c>
      <c r="FQ20" s="332" t="str">
        <f t="shared" si="80"/>
        <v>•</v>
      </c>
      <c r="FR20" s="332" t="str">
        <f t="shared" si="81"/>
        <v>o</v>
      </c>
      <c r="FS20" s="332" t="str">
        <f t="shared" si="82"/>
        <v>o</v>
      </c>
      <c r="FT20" s="332" t="str">
        <f t="shared" si="83"/>
        <v>•</v>
      </c>
      <c r="FU20" s="332" t="str">
        <f t="shared" si="84"/>
        <v>o</v>
      </c>
      <c r="FV20" s="332" t="str">
        <f t="shared" si="85"/>
        <v>•</v>
      </c>
      <c r="FW20" s="332" t="str">
        <f t="shared" si="86"/>
        <v>o</v>
      </c>
      <c r="FX20" s="332" t="str">
        <f t="shared" si="87"/>
        <v>•</v>
      </c>
      <c r="FY20" s="332" t="str">
        <f t="shared" si="88"/>
        <v>o</v>
      </c>
      <c r="FZ20" s="338" t="str">
        <f t="shared" si="89"/>
        <v>o</v>
      </c>
      <c r="GA20" s="339" t="str">
        <f t="shared" si="90"/>
        <v>-</v>
      </c>
      <c r="GB20" s="339" t="str">
        <f t="shared" si="91"/>
        <v>Sa-Pa</v>
      </c>
      <c r="GC20" s="339" t="str">
        <f t="shared" si="92"/>
        <v>-</v>
      </c>
      <c r="GD20" s="340" t="str">
        <f t="shared" si="93"/>
        <v>-</v>
      </c>
      <c r="GE20" s="331" t="str">
        <f t="shared" si="94"/>
        <v>S</v>
      </c>
      <c r="GF20" s="332" t="str">
        <f t="shared" si="95"/>
        <v>r</v>
      </c>
      <c r="GG20" s="332" t="str">
        <f t="shared" si="96"/>
        <v/>
      </c>
      <c r="GH20" s="332" t="str">
        <f t="shared" si="97"/>
        <v>g</v>
      </c>
      <c r="GI20" s="332" t="str">
        <f t="shared" si="98"/>
        <v/>
      </c>
      <c r="GJ20" s="332" t="str">
        <f t="shared" si="99"/>
        <v>m</v>
      </c>
      <c r="GK20" s="332" t="str">
        <f t="shared" si="100"/>
        <v/>
      </c>
      <c r="GL20" s="332" t="str">
        <f t="shared" si="101"/>
        <v>P</v>
      </c>
      <c r="GM20" s="332" t="str">
        <f t="shared" si="102"/>
        <v>d</v>
      </c>
      <c r="GN20" s="332" t="str">
        <f t="shared" si="103"/>
        <v/>
      </c>
      <c r="GO20" s="332" t="str">
        <f t="shared" si="104"/>
        <v/>
      </c>
      <c r="GP20" s="332" t="str">
        <f t="shared" si="105"/>
        <v>N</v>
      </c>
      <c r="GQ20" s="343" t="str">
        <f t="shared" si="106"/>
        <v>S</v>
      </c>
      <c r="GR20" s="331" t="str">
        <f t="shared" si="107"/>
        <v>•</v>
      </c>
      <c r="GS20" s="332" t="str">
        <f t="shared" si="108"/>
        <v>•</v>
      </c>
      <c r="GT20" s="332" t="str">
        <f t="shared" si="109"/>
        <v>o</v>
      </c>
      <c r="GU20" s="332" t="str">
        <f t="shared" si="110"/>
        <v>o</v>
      </c>
      <c r="GV20" s="332" t="str">
        <f t="shared" si="111"/>
        <v>•</v>
      </c>
      <c r="GW20" s="332" t="str">
        <f t="shared" si="112"/>
        <v>•</v>
      </c>
      <c r="GX20" s="332" t="str">
        <f t="shared" si="113"/>
        <v>o</v>
      </c>
      <c r="GY20" s="332" t="str">
        <f t="shared" si="114"/>
        <v>•</v>
      </c>
      <c r="GZ20" s="332" t="str">
        <f t="shared" si="115"/>
        <v>o</v>
      </c>
      <c r="HA20" s="332" t="str">
        <f t="shared" si="116"/>
        <v>•</v>
      </c>
      <c r="HB20" s="332" t="str">
        <f t="shared" si="117"/>
        <v>o</v>
      </c>
      <c r="HC20" s="332" t="str">
        <f t="shared" si="118"/>
        <v>•</v>
      </c>
      <c r="HD20" s="338" t="str">
        <f t="shared" si="119"/>
        <v>•</v>
      </c>
      <c r="HE20" s="346" t="b">
        <f t="shared" si="120"/>
        <v>0</v>
      </c>
      <c r="HF20" s="347" t="b">
        <f t="shared" si="121"/>
        <v>1</v>
      </c>
      <c r="HG20" s="347" t="b">
        <f t="shared" si="122"/>
        <v>0</v>
      </c>
      <c r="HH20" s="347" t="b">
        <f t="shared" si="123"/>
        <v>0</v>
      </c>
      <c r="HI20" s="347" t="b">
        <f t="shared" si="124"/>
        <v>0</v>
      </c>
      <c r="HJ20" s="347" t="b">
        <f t="shared" si="125"/>
        <v>0</v>
      </c>
      <c r="HK20" s="347" t="b">
        <f t="shared" si="126"/>
        <v>0</v>
      </c>
      <c r="HL20" s="347" t="b">
        <f t="shared" si="127"/>
        <v>1</v>
      </c>
      <c r="HM20" s="347" t="b">
        <f t="shared" si="128"/>
        <v>0</v>
      </c>
      <c r="HN20" s="347" t="b">
        <f t="shared" si="129"/>
        <v>0</v>
      </c>
      <c r="HO20" s="347" t="b">
        <f t="shared" si="130"/>
        <v>0</v>
      </c>
      <c r="HP20" s="347" t="b">
        <f t="shared" si="131"/>
        <v>1</v>
      </c>
      <c r="HQ20" s="353" t="b">
        <f t="shared" si="132"/>
        <v>0</v>
      </c>
      <c r="HR20" s="354" t="str">
        <f t="shared" si="133"/>
        <v/>
      </c>
      <c r="HS20" s="355" t="str">
        <f t="shared" si="134"/>
        <v>re, </v>
      </c>
      <c r="HT20" s="355" t="str">
        <f t="shared" si="135"/>
        <v/>
      </c>
      <c r="HU20" s="355" t="str">
        <f t="shared" si="136"/>
        <v/>
      </c>
      <c r="HV20" s="355" t="str">
        <f t="shared" si="137"/>
        <v/>
      </c>
      <c r="HW20" s="355" t="str">
        <f t="shared" si="138"/>
        <v/>
      </c>
      <c r="HX20" s="355" t="str">
        <f t="shared" si="139"/>
        <v/>
      </c>
      <c r="HY20" s="355" t="str">
        <f t="shared" si="140"/>
        <v>Pa, </v>
      </c>
      <c r="HZ20" s="355" t="str">
        <f t="shared" si="141"/>
        <v/>
      </c>
      <c r="IA20" s="355" t="str">
        <f t="shared" si="142"/>
        <v/>
      </c>
      <c r="IB20" s="355" t="str">
        <f t="shared" si="143"/>
        <v/>
      </c>
      <c r="IC20" s="355" t="str">
        <f t="shared" si="144"/>
        <v>Ni, </v>
      </c>
      <c r="ID20" s="359" t="str">
        <f t="shared" si="145"/>
        <v/>
      </c>
      <c r="IE20" s="346" t="b">
        <f t="shared" si="146"/>
        <v>0</v>
      </c>
      <c r="IF20" s="347" t="b">
        <f t="shared" si="147"/>
        <v>1</v>
      </c>
      <c r="IG20" s="347" t="b">
        <f t="shared" si="148"/>
        <v>0</v>
      </c>
      <c r="IH20" s="347" t="b">
        <f t="shared" si="149"/>
        <v>0</v>
      </c>
      <c r="II20" s="347" t="b">
        <f t="shared" si="150"/>
        <v>0</v>
      </c>
      <c r="IJ20" s="347" t="b">
        <f t="shared" si="151"/>
        <v>0</v>
      </c>
      <c r="IK20" s="347" t="b">
        <f t="shared" si="152"/>
        <v>0</v>
      </c>
      <c r="IL20" s="347" t="b">
        <f t="shared" si="153"/>
        <v>0</v>
      </c>
      <c r="IM20" s="347" t="b">
        <f t="shared" si="154"/>
        <v>0</v>
      </c>
      <c r="IN20" s="347" t="b">
        <f t="shared" si="155"/>
        <v>0</v>
      </c>
      <c r="IO20" s="347" t="b">
        <f t="shared" si="156"/>
        <v>0</v>
      </c>
      <c r="IP20" s="347" t="b">
        <f t="shared" si="157"/>
        <v>0</v>
      </c>
      <c r="IQ20" s="365" t="b">
        <f t="shared" si="158"/>
        <v>0</v>
      </c>
      <c r="IR20" s="354" t="str">
        <f t="shared" si="159"/>
        <v/>
      </c>
      <c r="IS20" s="355" t="str">
        <f t="shared" si="160"/>
        <v>re, </v>
      </c>
      <c r="IT20" s="355" t="str">
        <f t="shared" si="161"/>
        <v/>
      </c>
      <c r="IU20" s="355" t="str">
        <f t="shared" si="162"/>
        <v/>
      </c>
      <c r="IV20" s="355" t="str">
        <f t="shared" si="163"/>
        <v/>
      </c>
      <c r="IW20" s="355" t="str">
        <f t="shared" si="164"/>
        <v/>
      </c>
      <c r="IX20" s="355" t="str">
        <f t="shared" si="165"/>
        <v/>
      </c>
      <c r="IY20" s="355" t="str">
        <f t="shared" si="166"/>
        <v/>
      </c>
      <c r="IZ20" s="355" t="str">
        <f t="shared" si="167"/>
        <v/>
      </c>
      <c r="JA20" s="355" t="str">
        <f t="shared" si="168"/>
        <v/>
      </c>
      <c r="JB20" s="355" t="str">
        <f t="shared" si="169"/>
        <v/>
      </c>
      <c r="JC20" s="355" t="str">
        <f t="shared" si="170"/>
        <v/>
      </c>
      <c r="JD20" s="359"/>
      <c r="JE20" s="321"/>
      <c r="JF20" s="368"/>
      <c r="JG20" s="369"/>
      <c r="JH20" s="369"/>
      <c r="JI20" s="369"/>
      <c r="JJ20" s="369"/>
      <c r="JK20" s="369"/>
      <c r="JL20" s="369"/>
      <c r="JM20" s="369"/>
      <c r="JN20" s="369"/>
      <c r="JO20" s="369"/>
      <c r="JP20" s="369"/>
    </row>
    <row r="21" ht="20.25" customHeight="1">
      <c r="A21" s="221" t="s">
        <v>699</v>
      </c>
      <c r="B21" s="222">
        <v>19.0</v>
      </c>
      <c r="C21" s="223" t="s">
        <v>700</v>
      </c>
      <c r="D21" s="224" t="s">
        <v>17</v>
      </c>
      <c r="E21" s="225" t="str">
        <f t="shared" si="5"/>
        <v>[UQ]</v>
      </c>
      <c r="F21" s="227">
        <f t="shared" si="6"/>
        <v>7</v>
      </c>
      <c r="G21" s="229">
        <f t="shared" si="7"/>
        <v>7</v>
      </c>
      <c r="H21" s="230">
        <f t="shared" si="8"/>
        <v>0</v>
      </c>
      <c r="I21" s="233" t="str">
        <f t="shared" si="9"/>
        <v>SRGmPdNS</v>
      </c>
      <c r="J21" s="234" t="str">
        <f>IFERROR(__xludf.DUMMYFUNCTION("IF(REGEXMATCH(I21, ""S""), ""S"","""")"),"S")</f>
        <v>S</v>
      </c>
      <c r="K21" s="236" t="str">
        <f>IFERROR(__xludf.DUMMYFUNCTION("IF(REGEXMATCH(I21, ""r""), ""r"","""")"),"")</f>
        <v/>
      </c>
      <c r="L21" s="237" t="str">
        <f>IFERROR(__xludf.DUMMYFUNCTION("IF(REGEXMATCH(I21, ""R""), ""R"","""")"),"R")</f>
        <v>R</v>
      </c>
      <c r="M21" s="237" t="str">
        <f>IFERROR(__xludf.DUMMYFUNCTION("IF(REGEXMATCH(I21, ""g""), ""g"","""")"),"")</f>
        <v/>
      </c>
      <c r="N21" s="236" t="str">
        <f>IFERROR(__xludf.DUMMYFUNCTION("IF(REGEXMATCH(I21, ""G""), ""G"","""")"),"G")</f>
        <v>G</v>
      </c>
      <c r="O21" s="236" t="str">
        <f>IFERROR(__xludf.DUMMYFUNCTION("IF(REGEXMATCH(I21, ""m""), ""m"","""")"),"m")</f>
        <v>m</v>
      </c>
      <c r="P21" s="237" t="str">
        <f>IFERROR(__xludf.DUMMYFUNCTION("IF(REGEXMATCH(I21, ""M""), ""M"","""")"),"")</f>
        <v/>
      </c>
      <c r="Q21" s="236" t="str">
        <f>IFERROR(__xludf.DUMMYFUNCTION("IF(REGEXMATCH(I21, ""P""), ""P"","""")"),"P")</f>
        <v>P</v>
      </c>
      <c r="R21" s="237" t="str">
        <f>IFERROR(__xludf.DUMMYFUNCTION("IF(REGEXMATCH(I21, ""d""), ""d"","""")"),"d")</f>
        <v>d</v>
      </c>
      <c r="S21" s="236" t="str">
        <f>IFERROR(__xludf.DUMMYFUNCTION("IF(REGEXMATCH(I21, ""D""), ""D"","""")"),"")</f>
        <v/>
      </c>
      <c r="T21" s="236" t="str">
        <f>IFERROR(__xludf.DUMMYFUNCTION("IF(REGEXMATCH(I21, ""n""), ""n"","""")"),"")</f>
        <v/>
      </c>
      <c r="U21" s="237" t="str">
        <f>IFERROR(__xludf.DUMMYFUNCTION("IF(REGEXMATCH(I21, ""N""), ""N"","""")"),"N")</f>
        <v>N</v>
      </c>
      <c r="V21" s="238" t="str">
        <f>IFERROR(__xludf.DUMMYFUNCTION("IF(REGEXMATCH(I21, ""S""), ""S"","""")"),"S")</f>
        <v>S</v>
      </c>
      <c r="W21" s="239" t="str">
        <f>IFERROR(__xludf.DUMMYFUNCTION("SUBSTITUTE(CONCATENATE(JOIN(""-"",J21:P21)),""-"","""")"),"SRGm")</f>
        <v>SRGm</v>
      </c>
      <c r="X21" s="229" t="str">
        <f>IFERROR(__xludf.DUMMYFUNCTION("SUBSTITUTE(CONCATENATE(JOIN(""-"",Q21:V21)),""-"","""")"),"PdNS")</f>
        <v>PdNS</v>
      </c>
      <c r="Y21" s="282" t="str">
        <f t="shared" si="10"/>
        <v>S-R-G-M</v>
      </c>
      <c r="Z21" s="282" t="str">
        <f t="shared" si="11"/>
        <v>P-D-N-S</v>
      </c>
      <c r="AA21" s="309" t="str">
        <f t="shared" si="12"/>
        <v>RGmdN</v>
      </c>
      <c r="AB21" s="244" t="str">
        <f>IFERROR(__xludf.DUMMYFUNCTION("IF(REGEXMATCH(I21, ""S""), ""0"","""")"),"0")</f>
        <v>0</v>
      </c>
      <c r="AC21" s="245" t="str">
        <f>IFERROR(__xludf.DUMMYFUNCTION("IF(REGEXMATCH(I21, ""r""), ""1"","""")"),"")</f>
        <v/>
      </c>
      <c r="AD21" s="246" t="str">
        <f>IFERROR(__xludf.DUMMYFUNCTION("IF(REGEXMATCH(I21, ""R""), ""2"","""")"),"2")</f>
        <v>2</v>
      </c>
      <c r="AE21" s="246" t="str">
        <f>IFERROR(__xludf.DUMMYFUNCTION("IF(REGEXMATCH(I21, ""g""), ""3"","""")"),"")</f>
        <v/>
      </c>
      <c r="AF21" s="245" t="str">
        <f>IFERROR(__xludf.DUMMYFUNCTION("IF(REGEXMATCH(I21, ""G""), ""4"","""")"),"4")</f>
        <v>4</v>
      </c>
      <c r="AG21" s="245" t="str">
        <f>IFERROR(__xludf.DUMMYFUNCTION("IF(REGEXMATCH(I21, ""m""), ""5"","""")"),"5")</f>
        <v>5</v>
      </c>
      <c r="AH21" s="246" t="str">
        <f>IFERROR(__xludf.DUMMYFUNCTION("IF(REGEXMATCH(I21, ""M""), ""6"","""")"),"")</f>
        <v/>
      </c>
      <c r="AI21" s="245" t="str">
        <f>IFERROR(__xludf.DUMMYFUNCTION("IF(REGEXMATCH(I21, ""P""), ""7"","""")"),"7")</f>
        <v>7</v>
      </c>
      <c r="AJ21" s="246" t="str">
        <f>IFERROR(__xludf.DUMMYFUNCTION("IF(REGEXMATCH(I21, ""d""), ""8"","""")"),"8")</f>
        <v>8</v>
      </c>
      <c r="AK21" s="245" t="str">
        <f>IFERROR(__xludf.DUMMYFUNCTION("IF(REGEXMATCH(I21, ""D""), ""9"","""")"),"")</f>
        <v/>
      </c>
      <c r="AL21" s="245" t="str">
        <f>IFERROR(__xludf.DUMMYFUNCTION("IF(REGEXMATCH(I21, ""n""), ""10"","""")"),"")</f>
        <v/>
      </c>
      <c r="AM21" s="246" t="str">
        <f>IFERROR(__xludf.DUMMYFUNCTION("IF(REGEXMATCH(I21, ""N""), ""11"","""")"),"11")</f>
        <v>11</v>
      </c>
      <c r="AN21" s="249" t="str">
        <f>IFERROR(__xludf.DUMMYFUNCTION("IF(REGEXMATCH(I21, ""S""), ""0"","""")"),"0")</f>
        <v>0</v>
      </c>
      <c r="AO21" s="250" t="str">
        <f>IFERROR(__xludf.DUMMYFUNCTION("SUBSTITUTE(SUBSTITUTE(SUBSTITUTE(SUBSTITUTE(CONCATENATE(JOIN(""-"",AB21:AN21)),""--"",""-""),""--"",""-""),""--"",""-""),""--"",""-"")"),"0-2-4-5-7-8-11-0")</f>
        <v>0-2-4-5-7-8-11-0</v>
      </c>
      <c r="AP21" s="251">
        <f t="shared" si="13"/>
        <v>0</v>
      </c>
      <c r="AQ21" s="234" t="str">
        <f t="shared" si="14"/>
        <v>|</v>
      </c>
      <c r="AR21" s="236" t="str">
        <f t="shared" si="15"/>
        <v>-</v>
      </c>
      <c r="AS21" s="237" t="str">
        <f t="shared" si="16"/>
        <v>|</v>
      </c>
      <c r="AT21" s="236" t="str">
        <f t="shared" si="17"/>
        <v>-</v>
      </c>
      <c r="AU21" s="237" t="str">
        <f t="shared" si="18"/>
        <v>|</v>
      </c>
      <c r="AV21" s="236" t="str">
        <f t="shared" si="19"/>
        <v>|</v>
      </c>
      <c r="AW21" s="237" t="str">
        <f t="shared" si="20"/>
        <v>-</v>
      </c>
      <c r="AX21" s="236" t="str">
        <f t="shared" si="21"/>
        <v>|</v>
      </c>
      <c r="AY21" s="237" t="str">
        <f t="shared" si="22"/>
        <v>|</v>
      </c>
      <c r="AZ21" s="236" t="str">
        <f t="shared" si="23"/>
        <v>-</v>
      </c>
      <c r="BA21" s="237" t="str">
        <f t="shared" si="24"/>
        <v>-</v>
      </c>
      <c r="BB21" s="236" t="str">
        <f t="shared" si="25"/>
        <v>|</v>
      </c>
      <c r="BC21" s="238" t="str">
        <f t="shared" si="26"/>
        <v>|</v>
      </c>
      <c r="BD21" s="250" t="str">
        <f>IFERROR(__xludf.DUMMYFUNCTION("SUBSTITUTE(SUBSTITUTE(CONCATENATE(JOIN("""",AQ21:BB21)),""|"",""x""),""-"",""o"")"),"xoxoxxoxxoox")</f>
        <v>xoxoxxoxxoox</v>
      </c>
      <c r="BE21" s="323" t="str">
        <f>IFERROR(__xludf.DUMMYFUNCTION("JOIN("""",BD21,BD21)"),"xoxoxxoxxooxxoxoxxoxxoox")</f>
        <v>xoxoxxoxxooxxoxoxxoxxoox</v>
      </c>
      <c r="BF21" s="256" t="str">
        <f>IFERROR(__xludf.DUMMYFUNCTION("JOIN("""",ArrayFormula(MID(BD21,LEN(BD21)-SEQUENCE(1,LEN(BD21))+1,1)))"),"xooxxoxxoxox")</f>
        <v>xooxxoxxoxox</v>
      </c>
      <c r="BG21" s="256" t="str">
        <f>IFERROR(__xludf.DUMMYFUNCTION("LEFT(CONCATENATE(""x"",JOIN("""",ArrayFormula(MID(BD21,LEN(BD21)-SEQUENCE(1,LEN(BD21))+1,1)))),12)"),"xxooxxoxxoxo")</f>
        <v>xxooxxoxxoxo</v>
      </c>
      <c r="BH21" s="327" t="str">
        <f>IFERROR(__xludf.DUMMYFUNCTION("JOIN("""",BF21,BF21)"),"xooxxoxxoxoxxooxxoxxoxox")</f>
        <v>xooxxoxxoxoxxooxxoxxoxox</v>
      </c>
      <c r="BI21" s="239" t="str">
        <f>IFERROR(__xludf.DUMMYFUNCTION("IF(REGEXMATCH(BH21,BD21),""✔"",""-"")"),"-")</f>
        <v>-</v>
      </c>
      <c r="BJ21" s="330" t="str">
        <f t="shared" si="27"/>
        <v>-</v>
      </c>
      <c r="BK21" s="260" t="str">
        <f t="shared" si="28"/>
        <v>-</v>
      </c>
      <c r="BL21" s="261" t="str">
        <f>IFERROR(__xludf.DUMMYFUNCTION("IF(BO21=0,""(n/a)"",IF(BP21=2,""(PAIR)"",IF(REGEXMATCH(BE21,""xoxoxxoxoxox""),""Bilawal"",IF(REGEXMATCH(BE21,""xoxoxooxoxoo""),""Bhupali"",IF(REGEXMATCH(BE21,""xoxoxxoxxoxo""),""Charukeshi"",IF(REGEXMATCH(BE21,""xoxoooxxoxxo""),""Kameshwari"",IF(REGEXMATC"&amp;"H(BE21,""xoxoxooxoxox""),""Shankara"",IF(REGEXMATCH(BE21,""xxooxoxxxoox""),""Basant"",IF(REGEXMATCH(BE21,""xoxoxxxxoxox""),""Bihag"",IF(REGEXMATCH(BE21,""xoxxxxoxoxxx""),""Pilu"",IF(REGEXMATCH(BE21,""xoxxoxoxxoox""),""Kirwani"",IF(REGEXMATCH(BE21,""xoxxox"&amp;"oxoxxx""),""Mk.Malhar"",IF(REGEXMATCH(BE21,""xxooxxoxxoox""),""Bhairav"",IF(REGEXMATCH(BE21,""xxoxooxxxoox""),""Todi"",IF(REGEXMATCH(BE21,""xxooxoxooxox""),""Marwa"",IF(REGEXMATCH(BE21,""xxoooxoxxooo""),""Gunkali"",IF(REGEXMATCH(BE21,""xoxoxxoxxoox""),""N"&amp;"at Bhairav"",IF(REGEXMATCH(BE21,""xoxxoooxoxoo""),""Shivranjani"",IF(REGEXMATCH(BE21,""xooxxxoxooxo""),""Jog"",IF(REGEXMATCH(BE21,""xxooxoxoxoox""),""Hemshri"",IF(REGEXMATCH(BE21,""xoooxooxoxxo""),""Kalavati"",IF(REGEXMATCH(BE21,""xxoxoxxoxoox""),""Kedar"&amp;""",IF(REGEXMATCH(BE21,""xoxxxxoxooxx""),""Gara"",IF(REGEXMATCH(BE21,""xooxoxooxoox""),""Chandrakauns"",IF(REGEXMATCH(BE21,""xoxxxxoxxxox""),""Mand"",IF(REGEXMATCH(BE21,""xoxxxxoxoxox""),""Hanskinkini"",IF(REGEXMATCH(BE21,""xxooxxoxooxo""),""Lilavati"",IF("&amp;"REGEXMATCH(BE21,""xooxoxoooxox""),""Rajeshwari"",IF(REGEXMATCH(BE21,""xoooxxoxoxxx""),""Khokar"",IF(REGEXMATCH(BE21,""xxooxoxxxxox""),""Maligoura"",""-""))))))))))))))))))))))))))))))"),"Nat Bhairav")</f>
        <v>Nat Bhairav</v>
      </c>
      <c r="BM21" s="239">
        <f t="shared" si="29"/>
        <v>6</v>
      </c>
      <c r="BN21" s="239">
        <f>IFERROR(__xludf.DUMMYFUNCTION("COUNTUNIQUE(BR21:CB21)-1"),6.0)</f>
        <v>6</v>
      </c>
      <c r="BO21" s="239">
        <f>IFERROR(__xludf.DUMMYFUNCTION("COUNTUNIQUE(FILTER(BE:BE,REGEXMATCH(BE:BE,BD21)))-1"),2.0)</f>
        <v>2</v>
      </c>
      <c r="BP21" s="239">
        <f>IFERROR(__xludf.DUMMYFUNCTION("COUNTA(FILTER(BE:BE,REGEXMATCH(BE:BE,BD21)))"),3.0)</f>
        <v>3</v>
      </c>
      <c r="BQ21" s="341">
        <f>IFERROR(__xludf.DUMMYFUNCTION("COUNTA(FILTER(BE:BE,REGEXMATCH(BE:BE,BD21)))-AP21"),3.0)</f>
        <v>3</v>
      </c>
      <c r="BR21" s="269" t="str">
        <f t="shared" si="30"/>
        <v>-</v>
      </c>
      <c r="BS21" s="269" t="str">
        <f t="shared" si="31"/>
        <v>xoxxoxxooxx</v>
      </c>
      <c r="BT21" s="271" t="str">
        <f t="shared" si="32"/>
        <v>-</v>
      </c>
      <c r="BU21" s="269" t="str">
        <f t="shared" si="33"/>
        <v>xxoxxooxxox</v>
      </c>
      <c r="BV21" s="271" t="str">
        <f t="shared" si="34"/>
        <v>xoxxooxxoxo</v>
      </c>
      <c r="BW21" s="271" t="str">
        <f t="shared" si="35"/>
        <v>-</v>
      </c>
      <c r="BX21" s="271" t="str">
        <f t="shared" si="36"/>
        <v>xxooxxoxoxx</v>
      </c>
      <c r="BY21" s="271" t="str">
        <f t="shared" si="37"/>
        <v>xooxxoxoxxo</v>
      </c>
      <c r="BZ21" s="271" t="str">
        <f t="shared" si="38"/>
        <v>-</v>
      </c>
      <c r="CA21" s="271" t="str">
        <f t="shared" si="39"/>
        <v>-</v>
      </c>
      <c r="CB21" s="274" t="str">
        <f t="shared" si="40"/>
        <v>xxoxoxxoxxo</v>
      </c>
      <c r="CC21" s="276" t="str">
        <f>IFERROR(__xludf.DUMMYFUNCTION("IF(BD21=""oooooooooooo"",""-"",IF(REGEXMATCH(BE21,""xx""), ""Hemi."", ""Anhemi.""))"),"Hemi.")</f>
        <v>Hemi.</v>
      </c>
      <c r="CD21" s="282" t="str">
        <f>IFERROR(__xludf.DUMMYFUNCTION("IF(BD21=""oooooooooooo"",""-"",IF(REGEXMATCH(BE21,""xxx""), ""Cohem."", ""-""))"),"-")</f>
        <v>-</v>
      </c>
      <c r="CE21" s="282" t="str">
        <f>IFERROR(__xludf.DUMMYFUNCTION("IF(BD21=""oooooooooooo"",""-"",IF(REGEXMATCH(BE21,""xxxx""), ""Co-Co."", ""-""))"),"-")</f>
        <v>-</v>
      </c>
      <c r="CF21" s="342" t="str">
        <f>IFERROR(__xludf.DUMMYFUNCTION("IF(BD21=""oooooooooooo"",""-"",IF(REGEXMATCH(BE21,""xxxxx""), ""CCC."", ""-""))"),"-")</f>
        <v>-</v>
      </c>
      <c r="CG21" s="344" t="str">
        <f t="shared" si="41"/>
        <v>-</v>
      </c>
      <c r="CH21" s="282" t="str">
        <f>IFERROR(__xludf.DUMMYFUNCTION("IF(REGEXMATCH(JOIN(""-"",CJ21:CS21),""TRUE""),""✔"",""-"")"),"-")</f>
        <v>-</v>
      </c>
      <c r="CI21" s="225">
        <f t="shared" si="42"/>
        <v>0</v>
      </c>
      <c r="CJ21" s="376" t="b">
        <f>IFERROR(__xludf.DUMMYFUNCTION("arrayformula(sum(--REGEXMATCH(""SRGMPDNS"",split(REGEXREPLACE(I21,""(.)"",""$1~""),""~""))))=len(I21)
"),FALSE)</f>
        <v>0</v>
      </c>
      <c r="CK21" s="290" t="b">
        <f>IFERROR(__xludf.DUMMYFUNCTION("arrayformula(sum(--REGEXMATCH(""SRGmPDNS"",split(REGEXREPLACE(I21,""(.)"",""$1~""),""~""))))=len(I21)"),FALSE)</f>
        <v>0</v>
      </c>
      <c r="CL21" s="290" t="b">
        <f>IFERROR(__xludf.DUMMYFUNCTION("arrayformula(sum(--REGEXMATCH(""SRGmPDnS"",split(REGEXREPLACE(I21,""(.)"",""$1~""),""~""))))=len(I21)"),FALSE)</f>
        <v>0</v>
      </c>
      <c r="CM21" s="290" t="b">
        <f>IFERROR(__xludf.DUMMYFUNCTION("arrayformula(sum(--REGEXMATCH(""SRgmPDnS"",split(REGEXREPLACE(I21,""(.)"",""$1~""),""~""))))=len(I21)"),FALSE)</f>
        <v>0</v>
      </c>
      <c r="CN21" s="290" t="b">
        <f>IFERROR(__xludf.DUMMYFUNCTION("arrayformula(sum(--REGEXMATCH(""SRgmPdnS"",split(REGEXREPLACE(I21,""(.)"",""$1~""),""~""))))=len(I21)"),FALSE)</f>
        <v>0</v>
      </c>
      <c r="CO21" s="290" t="b">
        <f>IFERROR(__xludf.DUMMYFUNCTION("arrayformula(sum(--REGEXMATCH(""SrgmPdnS"",split(REGEXREPLACE(I21,""(.)"",""$1~""),""~""))))=len(I21)"),FALSE)</f>
        <v>0</v>
      </c>
      <c r="CP21" s="290" t="b">
        <f>IFERROR(__xludf.DUMMYFUNCTION("arrayformula(sum(--REGEXMATCH(""SrGmPdNS"",split(REGEXREPLACE(I21,""(.)"",""$1~""),""~""))))=len(I21)"),FALSE)</f>
        <v>0</v>
      </c>
      <c r="CQ21" s="290" t="b">
        <f>IFERROR(__xludf.DUMMYFUNCTION("arrayformula(sum(--REGEXMATCH(""SrGMPDNS"",split(REGEXREPLACE(I21,""(.)"",""$1~""),""~""))))=len(I21)"),FALSE)</f>
        <v>0</v>
      </c>
      <c r="CR21" s="290" t="b">
        <f>IFERROR(__xludf.DUMMYFUNCTION("arrayformula(sum(--REGEXMATCH(""SrGMPdNS"",split(REGEXREPLACE(I21,""(.)"",""$1~""),""~""))))=len(I21)"),FALSE)</f>
        <v>0</v>
      </c>
      <c r="CS21" s="293" t="b">
        <f>IFERROR(__xludf.DUMMYFUNCTION("arrayformula(sum(--REGEXMATCH(""SrgMPdNS"",split(REGEXREPLACE(I21,""(.)"",""$1~""),""~""))))=len(I21)"),FALSE)</f>
        <v>0</v>
      </c>
      <c r="CT21" s="244" t="str">
        <f>IFERROR(__xludf.DUMMYFUNCTION("IF(REGEXMATCH(I21, ""S""), ""1"","""")"),"1")</f>
        <v>1</v>
      </c>
      <c r="CU21" s="245" t="str">
        <f>IFERROR(__xludf.DUMMYFUNCTION("IF(REGEXMATCH(I21, ""r""), ""b2"","""")"),"")</f>
        <v/>
      </c>
      <c r="CV21" s="246" t="str">
        <f>IFERROR(__xludf.DUMMYFUNCTION("IF(REGEXMATCH(I21, ""R""), ""2"","""")"),"2")</f>
        <v>2</v>
      </c>
      <c r="CW21" s="246" t="str">
        <f>IFERROR(__xludf.DUMMYFUNCTION("IF(REGEXMATCH(I21, ""g""), ""b3"","""")"),"")</f>
        <v/>
      </c>
      <c r="CX21" s="245" t="str">
        <f>IFERROR(__xludf.DUMMYFUNCTION("IF(REGEXMATCH(I21, ""G""), ""3"","""")"),"3")</f>
        <v>3</v>
      </c>
      <c r="CY21" s="245" t="str">
        <f>IFERROR(__xludf.DUMMYFUNCTION("IF(REGEXMATCH(I21, ""m""), ""4"","""")"),"4")</f>
        <v>4</v>
      </c>
      <c r="CZ21" s="246" t="str">
        <f>IFERROR(__xludf.DUMMYFUNCTION("IF(REGEXMATCH(I21, ""M""), ""#4"","""")"),"")</f>
        <v/>
      </c>
      <c r="DA21" s="245" t="str">
        <f>IFERROR(__xludf.DUMMYFUNCTION("IF(REGEXMATCH(I21, ""P""), ""5"","""")"),"5")</f>
        <v>5</v>
      </c>
      <c r="DB21" s="246" t="str">
        <f>IFERROR(__xludf.DUMMYFUNCTION("IF(REGEXMATCH(I21, ""d""), ""b6"","""")"),"b6")</f>
        <v>b6</v>
      </c>
      <c r="DC21" s="245" t="str">
        <f>IFERROR(__xludf.DUMMYFUNCTION("IF(REGEXMATCH(I21, ""D""), ""6"","""")"),"")</f>
        <v/>
      </c>
      <c r="DD21" s="245" t="str">
        <f>IFERROR(__xludf.DUMMYFUNCTION("IF(REGEXMATCH(I21, ""n""), ""b7"","""")"),"")</f>
        <v/>
      </c>
      <c r="DE21" s="246" t="str">
        <f>IFERROR(__xludf.DUMMYFUNCTION("IF(REGEXMATCH(I21, ""N""), ""7"","""")"),"7")</f>
        <v>7</v>
      </c>
      <c r="DF21" s="249" t="str">
        <f>IFERROR(__xludf.DUMMYFUNCTION("IF(REGEXMATCH(I21, ""S""), ""8"","""")"),"8")</f>
        <v>8</v>
      </c>
      <c r="DG21" s="244" t="str">
        <f>IFERROR(__xludf.DUMMYFUNCTION("IF(REGEXMATCH(I21, ""S""), ""S"","""")"),"S")</f>
        <v>S</v>
      </c>
      <c r="DH21" s="294" t="str">
        <f>IFERROR(__xludf.DUMMYFUNCTION("IF(REGEXMATCH(I21, ""r""), ""R1"","""")"),"")</f>
        <v/>
      </c>
      <c r="DI21" s="295" t="str">
        <f>IFERROR(__xludf.DUMMYFUNCTION("IF(REGEXMATCH(I21, ""R""), ""R2"","""")"),"R2")</f>
        <v>R2</v>
      </c>
      <c r="DJ21" s="295" t="str">
        <f>IFERROR(__xludf.DUMMYFUNCTION("IF(REGEXMATCH(I21, ""g""), ""G2"","""")"),"")</f>
        <v/>
      </c>
      <c r="DK21" s="294" t="str">
        <f>IFERROR(__xludf.DUMMYFUNCTION("IF(REGEXMATCH(I21, ""G""), ""G3"","""")"),"G3")</f>
        <v>G3</v>
      </c>
      <c r="DL21" s="294" t="str">
        <f>IFERROR(__xludf.DUMMYFUNCTION("IF(REGEXMATCH(I21, ""m""), ""M1"","""")"),"M1")</f>
        <v>M1</v>
      </c>
      <c r="DM21" s="295" t="str">
        <f>IFERROR(__xludf.DUMMYFUNCTION("IF(REGEXMATCH(I21, ""M""), ""M2"","""")"),"")</f>
        <v/>
      </c>
      <c r="DN21" s="294" t="str">
        <f>IFERROR(__xludf.DUMMYFUNCTION("IF(REGEXMATCH(I21, ""P""), ""P"","""")"),"P")</f>
        <v>P</v>
      </c>
      <c r="DO21" s="295" t="str">
        <f>IFERROR(__xludf.DUMMYFUNCTION("IF(REGEXMATCH(I21, ""d""), ""D1"","""")"),"D1")</f>
        <v>D1</v>
      </c>
      <c r="DP21" s="294" t="str">
        <f>IFERROR(__xludf.DUMMYFUNCTION("IF(REGEXMATCH(I21, ""D""), ""D2"","""")"),"")</f>
        <v/>
      </c>
      <c r="DQ21" s="294" t="str">
        <f>IFERROR(__xludf.DUMMYFUNCTION("IF(REGEXMATCH(I21, ""n""), ""N2"","""")"),"")</f>
        <v/>
      </c>
      <c r="DR21" s="295" t="str">
        <f>IFERROR(__xludf.DUMMYFUNCTION("IF(REGEXMATCH(I21, ""N""), ""N3"","""")"),"N3")</f>
        <v>N3</v>
      </c>
      <c r="DS21" s="249" t="str">
        <f>IFERROR(__xludf.DUMMYFUNCTION("IF(REGEXMATCH(I21, ""S""), ""S"","""")"),"S")</f>
        <v>S</v>
      </c>
      <c r="DT21" s="299" t="str">
        <f>IFERROR(__xludf.DUMMYFUNCTION("SUBSTITUTE(SUBSTITUTE(SUBSTITUTE(SUBSTITUTE(CONCATENATE(JOIN(""-"",CT21:DF21)),""--"",""-""),""--"",""-""),""--"",""-""),""--"",""-"")"),"1-2-3-4-5-b6-7-8")</f>
        <v>1-2-3-4-5-b6-7-8</v>
      </c>
      <c r="DU21" s="299" t="str">
        <f>IFERROR(__xludf.DUMMYFUNCTION("SUBSTITUTE(SUBSTITUTE(SUBSTITUTE(SUBSTITUTE(CONCATENATE(JOIN(""-"",DG21:DS21)),""--"",""-""),""--"",""-""),""--"",""-""),""--"",""-"")"),"S-R2-G3-M1-P-D1-N3-S")</f>
        <v>S-R2-G3-M1-P-D1-N3-S</v>
      </c>
      <c r="DV21" s="348" t="str">
        <f t="shared" si="43"/>
        <v>C-D-E-F-G-Ab-B-C</v>
      </c>
      <c r="DW21" s="301">
        <f t="shared" si="44"/>
        <v>7</v>
      </c>
      <c r="DX21" s="302" t="str">
        <f t="shared" si="45"/>
        <v>Sampurna</v>
      </c>
      <c r="DY21" s="301" t="str">
        <f t="shared" ref="DY21:DZ21" si="187">SUBSTITUTE(Y21,"-","")</f>
        <v>SRGM</v>
      </c>
      <c r="DZ21" s="301" t="str">
        <f t="shared" si="187"/>
        <v>PDNS</v>
      </c>
      <c r="EA21" s="302" t="str">
        <f t="shared" si="47"/>
        <v>Nat Bhairav</v>
      </c>
      <c r="EB21" s="301" t="str">
        <f t="shared" si="48"/>
        <v>Hemi.</v>
      </c>
      <c r="EC21" s="364" t="str">
        <f t="shared" si="49"/>
        <v>-</v>
      </c>
      <c r="ED21" s="306" t="str">
        <f t="shared" si="50"/>
        <v>-</v>
      </c>
      <c r="EE21" s="366" t="str">
        <f t="shared" si="51"/>
        <v>-</v>
      </c>
      <c r="EF21" s="308" t="str">
        <f t="shared" si="52"/>
        <v>✔</v>
      </c>
      <c r="EG21" s="306" t="str">
        <f t="shared" si="53"/>
        <v>-</v>
      </c>
      <c r="EH21" s="306" t="str">
        <f t="shared" si="54"/>
        <v>-</v>
      </c>
      <c r="EI21" s="367" t="str">
        <f t="shared" si="55"/>
        <v>-</v>
      </c>
      <c r="EJ21" s="310" t="str">
        <f t="shared" si="56"/>
        <v>-</v>
      </c>
      <c r="EK21" s="310" t="str">
        <f t="shared" si="57"/>
        <v>-</v>
      </c>
      <c r="EL21" s="310" t="str">
        <f t="shared" si="58"/>
        <v>-</v>
      </c>
      <c r="EM21" s="310" t="str">
        <f t="shared" si="59"/>
        <v>-</v>
      </c>
      <c r="EN21" s="370" t="str">
        <f t="shared" si="60"/>
        <v>-</v>
      </c>
      <c r="EO21" s="306" t="str">
        <f t="shared" si="61"/>
        <v>-</v>
      </c>
      <c r="EP21" s="306" t="str">
        <f t="shared" si="62"/>
        <v>-</v>
      </c>
      <c r="EQ21" s="306" t="str">
        <f t="shared" si="63"/>
        <v>-</v>
      </c>
      <c r="ER21" s="306" t="str">
        <f t="shared" si="64"/>
        <v>-</v>
      </c>
      <c r="ES21" s="306" t="str">
        <f t="shared" si="65"/>
        <v>-</v>
      </c>
      <c r="ET21" s="367" t="str">
        <f t="shared" si="66"/>
        <v>-</v>
      </c>
      <c r="EU21" s="310" t="str">
        <f>IFERROR(__xludf.DUMMYFUNCTION("IF(REGEXMATCH(BH21,BD21),""✔"",""-"")"),"-")</f>
        <v>-</v>
      </c>
      <c r="EV21" s="310" t="str">
        <f t="shared" si="67"/>
        <v>-</v>
      </c>
      <c r="EW21" s="370" t="str">
        <f t="shared" si="68"/>
        <v>-</v>
      </c>
      <c r="EX21" s="315" t="str">
        <f t="shared" si="69"/>
        <v>[UQ]</v>
      </c>
      <c r="EY21" s="317" t="str">
        <f t="shared" si="70"/>
        <v>S-R-G-m-P-d-N-S</v>
      </c>
      <c r="EZ21" s="318" t="str">
        <f>IFERROR(__xludf.DUMMYFUNCTION("CONCATENATE(JOIN("""",GE21:GQ21))"),"SrGmPdnS")</f>
        <v>SrGmPdnS</v>
      </c>
      <c r="FA21" s="318"/>
      <c r="FB21" s="318"/>
      <c r="FC21" s="321">
        <f t="shared" si="71"/>
        <v>3</v>
      </c>
      <c r="FD21" s="318" t="str">
        <f>IFERROR(__xludf.DUMMYFUNCTION("CONCATENATE(JOIN("""",HR21:ID21))"),"Re, dha, Ni, ")</f>
        <v>Re, dha, Ni, </v>
      </c>
      <c r="FE21" s="322">
        <f t="shared" si="72"/>
        <v>1</v>
      </c>
      <c r="FF21" s="324" t="str">
        <f>IFERROR(__xludf.DUMMYFUNCTION("CONCATENATE(JOIN("""",IR21:JD21))"),"dha, ")</f>
        <v>dha, </v>
      </c>
      <c r="FG21" s="325" t="str">
        <f t="shared" si="73"/>
        <v>S-R2-G3-M1-P-D1-N3-S</v>
      </c>
      <c r="FH21" s="326" t="str">
        <f t="shared" si="74"/>
        <v>1-2-3-4-5-b6-7-8</v>
      </c>
      <c r="FI21" s="326" t="str">
        <f t="shared" si="75"/>
        <v>0-2-4-5-7-8-11-0</v>
      </c>
      <c r="FJ21" s="318"/>
      <c r="FK21" s="328" t="str">
        <f>IFERROR(__xludf.DUMMYFUNCTION("SUBSTITUTE(SUBSTITUTE(SUBSTITUTE(SUBSTITUTE(CONCATENATE(JOIN("" "",FN21:FZ21)),""  "","" ""),""  "","" ""),""  "","" ""),""  "","" "")"),"o • o • o o • o o • • o o")</f>
        <v>o • o • o o • o o • • o o</v>
      </c>
      <c r="FL21" s="328" t="str">
        <f t="shared" si="76"/>
        <v>-</v>
      </c>
      <c r="FM21" s="329"/>
      <c r="FN21" s="331" t="str">
        <f t="shared" si="77"/>
        <v>o</v>
      </c>
      <c r="FO21" s="332" t="str">
        <f t="shared" si="78"/>
        <v>•</v>
      </c>
      <c r="FP21" s="332" t="str">
        <f t="shared" si="79"/>
        <v>o</v>
      </c>
      <c r="FQ21" s="332" t="str">
        <f t="shared" si="80"/>
        <v>•</v>
      </c>
      <c r="FR21" s="332" t="str">
        <f t="shared" si="81"/>
        <v>o</v>
      </c>
      <c r="FS21" s="332" t="str">
        <f t="shared" si="82"/>
        <v>o</v>
      </c>
      <c r="FT21" s="332" t="str">
        <f t="shared" si="83"/>
        <v>•</v>
      </c>
      <c r="FU21" s="332" t="str">
        <f t="shared" si="84"/>
        <v>o</v>
      </c>
      <c r="FV21" s="332" t="str">
        <f t="shared" si="85"/>
        <v>o</v>
      </c>
      <c r="FW21" s="332" t="str">
        <f t="shared" si="86"/>
        <v>•</v>
      </c>
      <c r="FX21" s="332" t="str">
        <f t="shared" si="87"/>
        <v>•</v>
      </c>
      <c r="FY21" s="332" t="str">
        <f t="shared" si="88"/>
        <v>o</v>
      </c>
      <c r="FZ21" s="338" t="str">
        <f t="shared" si="89"/>
        <v>o</v>
      </c>
      <c r="GA21" s="339" t="str">
        <f t="shared" si="90"/>
        <v>-</v>
      </c>
      <c r="GB21" s="339" t="str">
        <f t="shared" si="91"/>
        <v>Sa-Pa</v>
      </c>
      <c r="GC21" s="339" t="str">
        <f t="shared" si="92"/>
        <v>-</v>
      </c>
      <c r="GD21" s="340" t="str">
        <f t="shared" si="93"/>
        <v>-</v>
      </c>
      <c r="GE21" s="331" t="str">
        <f t="shared" si="94"/>
        <v>S</v>
      </c>
      <c r="GF21" s="332" t="str">
        <f t="shared" si="95"/>
        <v>r</v>
      </c>
      <c r="GG21" s="332" t="str">
        <f t="shared" si="96"/>
        <v/>
      </c>
      <c r="GH21" s="332" t="str">
        <f t="shared" si="97"/>
        <v/>
      </c>
      <c r="GI21" s="332" t="str">
        <f t="shared" si="98"/>
        <v>G</v>
      </c>
      <c r="GJ21" s="332" t="str">
        <f t="shared" si="99"/>
        <v>m</v>
      </c>
      <c r="GK21" s="332" t="str">
        <f t="shared" si="100"/>
        <v/>
      </c>
      <c r="GL21" s="332" t="str">
        <f t="shared" si="101"/>
        <v>P</v>
      </c>
      <c r="GM21" s="332" t="str">
        <f t="shared" si="102"/>
        <v>d</v>
      </c>
      <c r="GN21" s="332" t="str">
        <f t="shared" si="103"/>
        <v/>
      </c>
      <c r="GO21" s="332" t="str">
        <f t="shared" si="104"/>
        <v>n</v>
      </c>
      <c r="GP21" s="332" t="str">
        <f t="shared" si="105"/>
        <v/>
      </c>
      <c r="GQ21" s="343" t="str">
        <f t="shared" si="106"/>
        <v>S</v>
      </c>
      <c r="GR21" s="331" t="str">
        <f t="shared" si="107"/>
        <v>•</v>
      </c>
      <c r="GS21" s="332" t="str">
        <f t="shared" si="108"/>
        <v>o</v>
      </c>
      <c r="GT21" s="332" t="str">
        <f t="shared" si="109"/>
        <v>•</v>
      </c>
      <c r="GU21" s="332" t="str">
        <f t="shared" si="110"/>
        <v>o</v>
      </c>
      <c r="GV21" s="332" t="str">
        <f t="shared" si="111"/>
        <v>•</v>
      </c>
      <c r="GW21" s="332" t="str">
        <f t="shared" si="112"/>
        <v>•</v>
      </c>
      <c r="GX21" s="332" t="str">
        <f t="shared" si="113"/>
        <v>o</v>
      </c>
      <c r="GY21" s="332" t="str">
        <f t="shared" si="114"/>
        <v>•</v>
      </c>
      <c r="GZ21" s="332" t="str">
        <f t="shared" si="115"/>
        <v>•</v>
      </c>
      <c r="HA21" s="332" t="str">
        <f t="shared" si="116"/>
        <v>o</v>
      </c>
      <c r="HB21" s="332" t="str">
        <f t="shared" si="117"/>
        <v>o</v>
      </c>
      <c r="HC21" s="332" t="str">
        <f t="shared" si="118"/>
        <v>•</v>
      </c>
      <c r="HD21" s="338" t="str">
        <f t="shared" si="119"/>
        <v>•</v>
      </c>
      <c r="HE21" s="346" t="b">
        <f t="shared" si="120"/>
        <v>0</v>
      </c>
      <c r="HF21" s="347" t="b">
        <f t="shared" si="121"/>
        <v>0</v>
      </c>
      <c r="HG21" s="347" t="b">
        <f t="shared" si="122"/>
        <v>1</v>
      </c>
      <c r="HH21" s="347" t="b">
        <f t="shared" si="123"/>
        <v>0</v>
      </c>
      <c r="HI21" s="347" t="b">
        <f t="shared" si="124"/>
        <v>0</v>
      </c>
      <c r="HJ21" s="347" t="b">
        <f t="shared" si="125"/>
        <v>0</v>
      </c>
      <c r="HK21" s="347" t="b">
        <f t="shared" si="126"/>
        <v>0</v>
      </c>
      <c r="HL21" s="347" t="b">
        <f t="shared" si="127"/>
        <v>0</v>
      </c>
      <c r="HM21" s="347" t="b">
        <f t="shared" si="128"/>
        <v>1</v>
      </c>
      <c r="HN21" s="347" t="b">
        <f t="shared" si="129"/>
        <v>0</v>
      </c>
      <c r="HO21" s="347" t="b">
        <f t="shared" si="130"/>
        <v>0</v>
      </c>
      <c r="HP21" s="347" t="b">
        <f t="shared" si="131"/>
        <v>1</v>
      </c>
      <c r="HQ21" s="353" t="b">
        <f t="shared" si="132"/>
        <v>0</v>
      </c>
      <c r="HR21" s="354" t="str">
        <f t="shared" si="133"/>
        <v/>
      </c>
      <c r="HS21" s="355" t="str">
        <f t="shared" si="134"/>
        <v/>
      </c>
      <c r="HT21" s="355" t="str">
        <f t="shared" si="135"/>
        <v>Re, </v>
      </c>
      <c r="HU21" s="355" t="str">
        <f t="shared" si="136"/>
        <v/>
      </c>
      <c r="HV21" s="355" t="str">
        <f t="shared" si="137"/>
        <v/>
      </c>
      <c r="HW21" s="355" t="str">
        <f t="shared" si="138"/>
        <v/>
      </c>
      <c r="HX21" s="355" t="str">
        <f t="shared" si="139"/>
        <v/>
      </c>
      <c r="HY21" s="355" t="str">
        <f t="shared" si="140"/>
        <v/>
      </c>
      <c r="HZ21" s="355" t="str">
        <f t="shared" si="141"/>
        <v>dha, </v>
      </c>
      <c r="IA21" s="355" t="str">
        <f t="shared" si="142"/>
        <v/>
      </c>
      <c r="IB21" s="355" t="str">
        <f t="shared" si="143"/>
        <v/>
      </c>
      <c r="IC21" s="355" t="str">
        <f t="shared" si="144"/>
        <v>Ni, </v>
      </c>
      <c r="ID21" s="359" t="str">
        <f t="shared" si="145"/>
        <v/>
      </c>
      <c r="IE21" s="346" t="b">
        <f t="shared" si="146"/>
        <v>0</v>
      </c>
      <c r="IF21" s="347" t="b">
        <f t="shared" si="147"/>
        <v>0</v>
      </c>
      <c r="IG21" s="347" t="b">
        <f t="shared" si="148"/>
        <v>0</v>
      </c>
      <c r="IH21" s="347" t="b">
        <f t="shared" si="149"/>
        <v>0</v>
      </c>
      <c r="II21" s="347" t="b">
        <f t="shared" si="150"/>
        <v>0</v>
      </c>
      <c r="IJ21" s="347" t="b">
        <f t="shared" si="151"/>
        <v>0</v>
      </c>
      <c r="IK21" s="347" t="b">
        <f t="shared" si="152"/>
        <v>0</v>
      </c>
      <c r="IL21" s="347" t="b">
        <f t="shared" si="153"/>
        <v>0</v>
      </c>
      <c r="IM21" s="347" t="b">
        <f t="shared" si="154"/>
        <v>1</v>
      </c>
      <c r="IN21" s="347" t="b">
        <f t="shared" si="155"/>
        <v>0</v>
      </c>
      <c r="IO21" s="347" t="b">
        <f t="shared" si="156"/>
        <v>0</v>
      </c>
      <c r="IP21" s="347" t="b">
        <f t="shared" si="157"/>
        <v>0</v>
      </c>
      <c r="IQ21" s="365" t="b">
        <f t="shared" si="158"/>
        <v>0</v>
      </c>
      <c r="IR21" s="354" t="str">
        <f t="shared" si="159"/>
        <v/>
      </c>
      <c r="IS21" s="355" t="str">
        <f t="shared" si="160"/>
        <v/>
      </c>
      <c r="IT21" s="355" t="str">
        <f t="shared" si="161"/>
        <v/>
      </c>
      <c r="IU21" s="355" t="str">
        <f t="shared" si="162"/>
        <v/>
      </c>
      <c r="IV21" s="355" t="str">
        <f t="shared" si="163"/>
        <v/>
      </c>
      <c r="IW21" s="355" t="str">
        <f t="shared" si="164"/>
        <v/>
      </c>
      <c r="IX21" s="355" t="str">
        <f t="shared" si="165"/>
        <v/>
      </c>
      <c r="IY21" s="355" t="str">
        <f t="shared" si="166"/>
        <v/>
      </c>
      <c r="IZ21" s="355" t="str">
        <f t="shared" si="167"/>
        <v>dha, </v>
      </c>
      <c r="JA21" s="355" t="str">
        <f t="shared" si="168"/>
        <v/>
      </c>
      <c r="JB21" s="355" t="str">
        <f t="shared" si="169"/>
        <v/>
      </c>
      <c r="JC21" s="355" t="str">
        <f t="shared" si="170"/>
        <v/>
      </c>
      <c r="JD21" s="359"/>
      <c r="JE21" s="321"/>
      <c r="JF21" s="368"/>
      <c r="JG21" s="369"/>
      <c r="JH21" s="369"/>
      <c r="JI21" s="369"/>
      <c r="JJ21" s="369"/>
      <c r="JK21" s="369"/>
      <c r="JL21" s="369"/>
      <c r="JM21" s="369"/>
      <c r="JN21" s="369"/>
      <c r="JO21" s="369"/>
      <c r="JP21" s="369"/>
    </row>
    <row r="22" ht="20.25" customHeight="1">
      <c r="A22" s="221" t="s">
        <v>124</v>
      </c>
      <c r="B22" s="222">
        <v>20.0</v>
      </c>
      <c r="C22" s="223" t="s">
        <v>591</v>
      </c>
      <c r="D22" s="224">
        <v>10.0</v>
      </c>
      <c r="E22" s="225" t="str">
        <f t="shared" si="5"/>
        <v>[UQ]</v>
      </c>
      <c r="F22" s="227">
        <f t="shared" si="6"/>
        <v>7</v>
      </c>
      <c r="G22" s="229">
        <f t="shared" si="7"/>
        <v>7</v>
      </c>
      <c r="H22" s="230">
        <f t="shared" si="8"/>
        <v>0</v>
      </c>
      <c r="I22" s="233" t="str">
        <f t="shared" si="9"/>
        <v>SrGmPdNS</v>
      </c>
      <c r="J22" s="234" t="str">
        <f>IFERROR(__xludf.DUMMYFUNCTION("IF(REGEXMATCH(I22, ""S""), ""S"","""")"),"S")</f>
        <v>S</v>
      </c>
      <c r="K22" s="236" t="str">
        <f>IFERROR(__xludf.DUMMYFUNCTION("IF(REGEXMATCH(I22, ""r""), ""r"","""")"),"r")</f>
        <v>r</v>
      </c>
      <c r="L22" s="237" t="str">
        <f>IFERROR(__xludf.DUMMYFUNCTION("IF(REGEXMATCH(I22, ""R""), ""R"","""")"),"")</f>
        <v/>
      </c>
      <c r="M22" s="237" t="str">
        <f>IFERROR(__xludf.DUMMYFUNCTION("IF(REGEXMATCH(I22, ""g""), ""g"","""")"),"")</f>
        <v/>
      </c>
      <c r="N22" s="236" t="str">
        <f>IFERROR(__xludf.DUMMYFUNCTION("IF(REGEXMATCH(I22, ""G""), ""G"","""")"),"G")</f>
        <v>G</v>
      </c>
      <c r="O22" s="236" t="str">
        <f>IFERROR(__xludf.DUMMYFUNCTION("IF(REGEXMATCH(I22, ""m""), ""m"","""")"),"m")</f>
        <v>m</v>
      </c>
      <c r="P22" s="237" t="str">
        <f>IFERROR(__xludf.DUMMYFUNCTION("IF(REGEXMATCH(I22, ""M""), ""M"","""")"),"")</f>
        <v/>
      </c>
      <c r="Q22" s="236" t="str">
        <f>IFERROR(__xludf.DUMMYFUNCTION("IF(REGEXMATCH(I22, ""P""), ""P"","""")"),"P")</f>
        <v>P</v>
      </c>
      <c r="R22" s="237" t="str">
        <f>IFERROR(__xludf.DUMMYFUNCTION("IF(REGEXMATCH(I22, ""d""), ""d"","""")"),"d")</f>
        <v>d</v>
      </c>
      <c r="S22" s="236" t="str">
        <f>IFERROR(__xludf.DUMMYFUNCTION("IF(REGEXMATCH(I22, ""D""), ""D"","""")"),"")</f>
        <v/>
      </c>
      <c r="T22" s="236" t="str">
        <f>IFERROR(__xludf.DUMMYFUNCTION("IF(REGEXMATCH(I22, ""n""), ""n"","""")"),"")</f>
        <v/>
      </c>
      <c r="U22" s="237" t="str">
        <f>IFERROR(__xludf.DUMMYFUNCTION("IF(REGEXMATCH(I22, ""N""), ""N"","""")"),"N")</f>
        <v>N</v>
      </c>
      <c r="V22" s="238" t="str">
        <f>IFERROR(__xludf.DUMMYFUNCTION("IF(REGEXMATCH(I22, ""S""), ""S"","""")"),"S")</f>
        <v>S</v>
      </c>
      <c r="W22" s="239" t="str">
        <f>IFERROR(__xludf.DUMMYFUNCTION("SUBSTITUTE(CONCATENATE(JOIN(""-"",J22:P22)),""-"","""")"),"SrGm")</f>
        <v>SrGm</v>
      </c>
      <c r="X22" s="229" t="str">
        <f>IFERROR(__xludf.DUMMYFUNCTION("SUBSTITUTE(CONCATENATE(JOIN(""-"",Q22:V22)),""-"","""")"),"PdNS")</f>
        <v>PdNS</v>
      </c>
      <c r="Y22" s="282" t="str">
        <f t="shared" si="10"/>
        <v>S-R-G-M</v>
      </c>
      <c r="Z22" s="282" t="str">
        <f t="shared" si="11"/>
        <v>P-D-N-S</v>
      </c>
      <c r="AA22" s="309" t="str">
        <f t="shared" si="12"/>
        <v>rGmdN</v>
      </c>
      <c r="AB22" s="244" t="str">
        <f>IFERROR(__xludf.DUMMYFUNCTION("IF(REGEXMATCH(I22, ""S""), ""0"","""")"),"0")</f>
        <v>0</v>
      </c>
      <c r="AC22" s="245" t="str">
        <f>IFERROR(__xludf.DUMMYFUNCTION("IF(REGEXMATCH(I22, ""r""), ""1"","""")"),"1")</f>
        <v>1</v>
      </c>
      <c r="AD22" s="246" t="str">
        <f>IFERROR(__xludf.DUMMYFUNCTION("IF(REGEXMATCH(I22, ""R""), ""2"","""")"),"")</f>
        <v/>
      </c>
      <c r="AE22" s="246" t="str">
        <f>IFERROR(__xludf.DUMMYFUNCTION("IF(REGEXMATCH(I22, ""g""), ""3"","""")"),"")</f>
        <v/>
      </c>
      <c r="AF22" s="245" t="str">
        <f>IFERROR(__xludf.DUMMYFUNCTION("IF(REGEXMATCH(I22, ""G""), ""4"","""")"),"4")</f>
        <v>4</v>
      </c>
      <c r="AG22" s="245" t="str">
        <f>IFERROR(__xludf.DUMMYFUNCTION("IF(REGEXMATCH(I22, ""m""), ""5"","""")"),"5")</f>
        <v>5</v>
      </c>
      <c r="AH22" s="246" t="str">
        <f>IFERROR(__xludf.DUMMYFUNCTION("IF(REGEXMATCH(I22, ""M""), ""6"","""")"),"")</f>
        <v/>
      </c>
      <c r="AI22" s="245" t="str">
        <f>IFERROR(__xludf.DUMMYFUNCTION("IF(REGEXMATCH(I22, ""P""), ""7"","""")"),"7")</f>
        <v>7</v>
      </c>
      <c r="AJ22" s="246" t="str">
        <f>IFERROR(__xludf.DUMMYFUNCTION("IF(REGEXMATCH(I22, ""d""), ""8"","""")"),"8")</f>
        <v>8</v>
      </c>
      <c r="AK22" s="245" t="str">
        <f>IFERROR(__xludf.DUMMYFUNCTION("IF(REGEXMATCH(I22, ""D""), ""9"","""")"),"")</f>
        <v/>
      </c>
      <c r="AL22" s="245" t="str">
        <f>IFERROR(__xludf.DUMMYFUNCTION("IF(REGEXMATCH(I22, ""n""), ""10"","""")"),"")</f>
        <v/>
      </c>
      <c r="AM22" s="246" t="str">
        <f>IFERROR(__xludf.DUMMYFUNCTION("IF(REGEXMATCH(I22, ""N""), ""11"","""")"),"11")</f>
        <v>11</v>
      </c>
      <c r="AN22" s="249" t="str">
        <f>IFERROR(__xludf.DUMMYFUNCTION("IF(REGEXMATCH(I22, ""S""), ""0"","""")"),"0")</f>
        <v>0</v>
      </c>
      <c r="AO22" s="250" t="str">
        <f>IFERROR(__xludf.DUMMYFUNCTION("SUBSTITUTE(SUBSTITUTE(SUBSTITUTE(SUBSTITUTE(CONCATENATE(JOIN(""-"",AB22:AN22)),""--"",""-""),""--"",""-""),""--"",""-""),""--"",""-"")"),"0-1-4-5-7-8-11-0")</f>
        <v>0-1-4-5-7-8-11-0</v>
      </c>
      <c r="AP22" s="251">
        <f t="shared" si="13"/>
        <v>0</v>
      </c>
      <c r="AQ22" s="234" t="str">
        <f t="shared" si="14"/>
        <v>|</v>
      </c>
      <c r="AR22" s="236" t="str">
        <f t="shared" si="15"/>
        <v>|</v>
      </c>
      <c r="AS22" s="237" t="str">
        <f t="shared" si="16"/>
        <v>-</v>
      </c>
      <c r="AT22" s="236" t="str">
        <f t="shared" si="17"/>
        <v>-</v>
      </c>
      <c r="AU22" s="237" t="str">
        <f t="shared" si="18"/>
        <v>|</v>
      </c>
      <c r="AV22" s="236" t="str">
        <f t="shared" si="19"/>
        <v>|</v>
      </c>
      <c r="AW22" s="237" t="str">
        <f t="shared" si="20"/>
        <v>-</v>
      </c>
      <c r="AX22" s="236" t="str">
        <f t="shared" si="21"/>
        <v>|</v>
      </c>
      <c r="AY22" s="237" t="str">
        <f t="shared" si="22"/>
        <v>|</v>
      </c>
      <c r="AZ22" s="236" t="str">
        <f t="shared" si="23"/>
        <v>-</v>
      </c>
      <c r="BA22" s="237" t="str">
        <f t="shared" si="24"/>
        <v>-</v>
      </c>
      <c r="BB22" s="236" t="str">
        <f t="shared" si="25"/>
        <v>|</v>
      </c>
      <c r="BC22" s="238" t="str">
        <f t="shared" si="26"/>
        <v>|</v>
      </c>
      <c r="BD22" s="250" t="str">
        <f>IFERROR(__xludf.DUMMYFUNCTION("SUBSTITUTE(SUBSTITUTE(CONCATENATE(JOIN("""",AQ22:BB22)),""|"",""x""),""-"",""o"")"),"xxooxxoxxoox")</f>
        <v>xxooxxoxxoox</v>
      </c>
      <c r="BE22" s="323" t="str">
        <f>IFERROR(__xludf.DUMMYFUNCTION("JOIN("""",BD22,BD22)"),"xxooxxoxxooxxxooxxoxxoox")</f>
        <v>xxooxxoxxooxxxooxxoxxoox</v>
      </c>
      <c r="BF22" s="256" t="str">
        <f>IFERROR(__xludf.DUMMYFUNCTION("JOIN("""",ArrayFormula(MID(BD22,LEN(BD22)-SEQUENCE(1,LEN(BD22))+1,1)))"),"xooxxoxxooxx")</f>
        <v>xooxxoxxooxx</v>
      </c>
      <c r="BG22" s="256" t="str">
        <f>IFERROR(__xludf.DUMMYFUNCTION("LEFT(CONCATENATE(""x"",JOIN("""",ArrayFormula(MID(BD22,LEN(BD22)-SEQUENCE(1,LEN(BD22))+1,1)))),12)"),"xxooxxoxxoox")</f>
        <v>xxooxxoxxoox</v>
      </c>
      <c r="BH22" s="327" t="str">
        <f>IFERROR(__xludf.DUMMYFUNCTION("JOIN("""",BF22,BF22)"),"xooxxoxxooxxxooxxoxxooxx")</f>
        <v>xooxxoxxooxxxooxxoxxooxx</v>
      </c>
      <c r="BI22" s="239" t="str">
        <f>IFERROR(__xludf.DUMMYFUNCTION("IF(REGEXMATCH(BH22,BD22),""✔"",""-"")"),"✔")</f>
        <v>✔</v>
      </c>
      <c r="BJ22" s="330" t="str">
        <f t="shared" si="27"/>
        <v>✔</v>
      </c>
      <c r="BK22" s="260" t="str">
        <f t="shared" si="28"/>
        <v>-</v>
      </c>
      <c r="BL22" s="261" t="str">
        <f>IFERROR(__xludf.DUMMYFUNCTION("IF(BO22=0,""(n/a)"",IF(BP22=2,""(PAIR)"",IF(REGEXMATCH(BE22,""xoxoxxoxoxox""),""Bilawal"",IF(REGEXMATCH(BE22,""xoxoxooxoxoo""),""Bhupali"",IF(REGEXMATCH(BE22,""xoxoxxoxxoxo""),""Charukeshi"",IF(REGEXMATCH(BE22,""xoxoooxxoxxo""),""Kameshwari"",IF(REGEXMATC"&amp;"H(BE22,""xoxoxooxoxox""),""Shankara"",IF(REGEXMATCH(BE22,""xxooxoxxxoox""),""Basant"",IF(REGEXMATCH(BE22,""xoxoxxxxoxox""),""Bihag"",IF(REGEXMATCH(BE22,""xoxxxxoxoxxx""),""Pilu"",IF(REGEXMATCH(BE22,""xoxxoxoxxoox""),""Kirwani"",IF(REGEXMATCH(BE22,""xoxxox"&amp;"oxoxxx""),""Mk.Malhar"",IF(REGEXMATCH(BE22,""xxooxxoxxoox""),""Bhairav"",IF(REGEXMATCH(BE22,""xxoxooxxxoox""),""Todi"",IF(REGEXMATCH(BE22,""xxooxoxooxox""),""Marwa"",IF(REGEXMATCH(BE22,""xxoooxoxxooo""),""Gunkali"",IF(REGEXMATCH(BE22,""xoxoxxoxxoox""),""N"&amp;"at Bhairav"",IF(REGEXMATCH(BE22,""xoxxoooxoxoo""),""Shivranjani"",IF(REGEXMATCH(BE22,""xooxxxoxooxo""),""Jog"",IF(REGEXMATCH(BE22,""xxooxoxoxoox""),""Hemshri"",IF(REGEXMATCH(BE22,""xoooxooxoxxo""),""Kalavati"",IF(REGEXMATCH(BE22,""xxoxoxxoxoox""),""Kedar"&amp;""",IF(REGEXMATCH(BE22,""xoxxxxoxooxx""),""Gara"",IF(REGEXMATCH(BE22,""xooxoxooxoox""),""Chandrakauns"",IF(REGEXMATCH(BE22,""xoxxxxoxxxox""),""Mand"",IF(REGEXMATCH(BE22,""xoxxxxoxoxox""),""Hanskinkini"",IF(REGEXMATCH(BE22,""xxooxxoxooxo""),""Lilavati"",IF("&amp;"REGEXMATCH(BE22,""xooxoxoooxox""),""Rajeshwari"",IF(REGEXMATCH(BE22,""xoooxxoxoxxx""),""Khokar"",IF(REGEXMATCH(BE22,""xxooxoxxxxox""),""Maligoura"",""-""))))))))))))))))))))))))))))))"),"(PAIR)")</f>
        <v>(PAIR)</v>
      </c>
      <c r="BM22" s="239">
        <f t="shared" si="29"/>
        <v>6</v>
      </c>
      <c r="BN22" s="239">
        <f>IFERROR(__xludf.DUMMYFUNCTION("COUNTUNIQUE(BR22:CB22)-1"),6.0)</f>
        <v>6</v>
      </c>
      <c r="BO22" s="239">
        <f>IFERROR(__xludf.DUMMYFUNCTION("COUNTUNIQUE(FILTER(BE:BE,REGEXMATCH(BE:BE,BD22)))-1"),1.0)</f>
        <v>1</v>
      </c>
      <c r="BP22" s="239">
        <f>IFERROR(__xludf.DUMMYFUNCTION("COUNTA(FILTER(BE:BE,REGEXMATCH(BE:BE,BD22)))"),2.0)</f>
        <v>2</v>
      </c>
      <c r="BQ22" s="341">
        <f>IFERROR(__xludf.DUMMYFUNCTION("COUNTA(FILTER(BE:BE,REGEXMATCH(BE:BE,BD22)))-AP22"),2.0)</f>
        <v>2</v>
      </c>
      <c r="BR22" s="269" t="str">
        <f t="shared" si="30"/>
        <v>xooxxoxxoox</v>
      </c>
      <c r="BS22" s="269" t="str">
        <f t="shared" si="31"/>
        <v>-</v>
      </c>
      <c r="BT22" s="271" t="str">
        <f t="shared" si="32"/>
        <v>-</v>
      </c>
      <c r="BU22" s="269" t="str">
        <f t="shared" si="33"/>
        <v>xxoxxooxxxo</v>
      </c>
      <c r="BV22" s="271" t="str">
        <f t="shared" si="34"/>
        <v>xoxxooxxxoo</v>
      </c>
      <c r="BW22" s="271" t="str">
        <f t="shared" si="35"/>
        <v>-</v>
      </c>
      <c r="BX22" s="271" t="str">
        <f t="shared" si="36"/>
        <v>xxooxxxooxx</v>
      </c>
      <c r="BY22" s="271" t="str">
        <f t="shared" si="37"/>
        <v>xooxxxooxxo</v>
      </c>
      <c r="BZ22" s="271" t="str">
        <f t="shared" si="38"/>
        <v>-</v>
      </c>
      <c r="CA22" s="271" t="str">
        <f t="shared" si="39"/>
        <v>-</v>
      </c>
      <c r="CB22" s="274" t="str">
        <f t="shared" si="40"/>
        <v>xxxooxxoxxo</v>
      </c>
      <c r="CC22" s="276" t="str">
        <f>IFERROR(__xludf.DUMMYFUNCTION("IF(BD22=""oooooooooooo"",""-"",IF(REGEXMATCH(BE22,""xx""), ""Hemi."", ""Anhemi.""))"),"Hemi.")</f>
        <v>Hemi.</v>
      </c>
      <c r="CD22" s="282" t="str">
        <f>IFERROR(__xludf.DUMMYFUNCTION("IF(BD22=""oooooooooooo"",""-"",IF(REGEXMATCH(BE22,""xxx""), ""Cohem."", ""-""))"),"Cohem.")</f>
        <v>Cohem.</v>
      </c>
      <c r="CE22" s="282" t="str">
        <f>IFERROR(__xludf.DUMMYFUNCTION("IF(BD22=""oooooooooooo"",""-"",IF(REGEXMATCH(BE22,""xxxx""), ""Co-Co."", ""-""))"),"-")</f>
        <v>-</v>
      </c>
      <c r="CF22" s="342" t="str">
        <f>IFERROR(__xludf.DUMMYFUNCTION("IF(BD22=""oooooooooooo"",""-"",IF(REGEXMATCH(BE22,""xxxxx""), ""CCC."", ""-""))"),"-")</f>
        <v>-</v>
      </c>
      <c r="CG22" s="344" t="str">
        <f t="shared" si="41"/>
        <v>Bhairav</v>
      </c>
      <c r="CH22" s="282" t="str">
        <f>IFERROR(__xludf.DUMMYFUNCTION("IF(REGEXMATCH(JOIN(""-"",CJ22:CS22),""TRUE""),""✔"",""-"")"),"✔")</f>
        <v>✔</v>
      </c>
      <c r="CI22" s="225">
        <f t="shared" si="42"/>
        <v>1</v>
      </c>
      <c r="CJ22" s="376" t="b">
        <f>IFERROR(__xludf.DUMMYFUNCTION("arrayformula(sum(--REGEXMATCH(""SRGMPDNS"",split(REGEXREPLACE(I22,""(.)"",""$1~""),""~""))))=len(I22)
"),FALSE)</f>
        <v>0</v>
      </c>
      <c r="CK22" s="290" t="b">
        <f>IFERROR(__xludf.DUMMYFUNCTION("arrayformula(sum(--REGEXMATCH(""SRGmPDNS"",split(REGEXREPLACE(I22,""(.)"",""$1~""),""~""))))=len(I22)"),FALSE)</f>
        <v>0</v>
      </c>
      <c r="CL22" s="290" t="b">
        <f>IFERROR(__xludf.DUMMYFUNCTION("arrayformula(sum(--REGEXMATCH(""SRGmPDnS"",split(REGEXREPLACE(I22,""(.)"",""$1~""),""~""))))=len(I22)"),FALSE)</f>
        <v>0</v>
      </c>
      <c r="CM22" s="290" t="b">
        <f>IFERROR(__xludf.DUMMYFUNCTION("arrayformula(sum(--REGEXMATCH(""SRgmPDnS"",split(REGEXREPLACE(I22,""(.)"",""$1~""),""~""))))=len(I22)"),FALSE)</f>
        <v>0</v>
      </c>
      <c r="CN22" s="290" t="b">
        <f>IFERROR(__xludf.DUMMYFUNCTION("arrayformula(sum(--REGEXMATCH(""SRgmPdnS"",split(REGEXREPLACE(I22,""(.)"",""$1~""),""~""))))=len(I22)"),FALSE)</f>
        <v>0</v>
      </c>
      <c r="CO22" s="290" t="b">
        <f>IFERROR(__xludf.DUMMYFUNCTION("arrayformula(sum(--REGEXMATCH(""SrgmPdnS"",split(REGEXREPLACE(I22,""(.)"",""$1~""),""~""))))=len(I22)"),FALSE)</f>
        <v>0</v>
      </c>
      <c r="CP22" s="290" t="b">
        <f>IFERROR(__xludf.DUMMYFUNCTION("arrayformula(sum(--REGEXMATCH(""SrGmPdNS"",split(REGEXREPLACE(I22,""(.)"",""$1~""),""~""))))=len(I22)"),TRUE)</f>
        <v>1</v>
      </c>
      <c r="CQ22" s="290" t="b">
        <f>IFERROR(__xludf.DUMMYFUNCTION("arrayformula(sum(--REGEXMATCH(""SrGMPDNS"",split(REGEXREPLACE(I22,""(.)"",""$1~""),""~""))))=len(I22)"),FALSE)</f>
        <v>0</v>
      </c>
      <c r="CR22" s="290" t="b">
        <f>IFERROR(__xludf.DUMMYFUNCTION("arrayformula(sum(--REGEXMATCH(""SrGMPdNS"",split(REGEXREPLACE(I22,""(.)"",""$1~""),""~""))))=len(I22)"),FALSE)</f>
        <v>0</v>
      </c>
      <c r="CS22" s="293" t="b">
        <f>IFERROR(__xludf.DUMMYFUNCTION("arrayformula(sum(--REGEXMATCH(""SrgMPdNS"",split(REGEXREPLACE(I22,""(.)"",""$1~""),""~""))))=len(I22)"),FALSE)</f>
        <v>0</v>
      </c>
      <c r="CT22" s="244" t="str">
        <f>IFERROR(__xludf.DUMMYFUNCTION("IF(REGEXMATCH(I22, ""S""), ""1"","""")"),"1")</f>
        <v>1</v>
      </c>
      <c r="CU22" s="245" t="str">
        <f>IFERROR(__xludf.DUMMYFUNCTION("IF(REGEXMATCH(I22, ""r""), ""b2"","""")"),"b2")</f>
        <v>b2</v>
      </c>
      <c r="CV22" s="246" t="str">
        <f>IFERROR(__xludf.DUMMYFUNCTION("IF(REGEXMATCH(I22, ""R""), ""2"","""")"),"")</f>
        <v/>
      </c>
      <c r="CW22" s="246" t="str">
        <f>IFERROR(__xludf.DUMMYFUNCTION("IF(REGEXMATCH(I22, ""g""), ""b3"","""")"),"")</f>
        <v/>
      </c>
      <c r="CX22" s="245" t="str">
        <f>IFERROR(__xludf.DUMMYFUNCTION("IF(REGEXMATCH(I22, ""G""), ""3"","""")"),"3")</f>
        <v>3</v>
      </c>
      <c r="CY22" s="245" t="str">
        <f>IFERROR(__xludf.DUMMYFUNCTION("IF(REGEXMATCH(I22, ""m""), ""4"","""")"),"4")</f>
        <v>4</v>
      </c>
      <c r="CZ22" s="246" t="str">
        <f>IFERROR(__xludf.DUMMYFUNCTION("IF(REGEXMATCH(I22, ""M""), ""#4"","""")"),"")</f>
        <v/>
      </c>
      <c r="DA22" s="245" t="str">
        <f>IFERROR(__xludf.DUMMYFUNCTION("IF(REGEXMATCH(I22, ""P""), ""5"","""")"),"5")</f>
        <v>5</v>
      </c>
      <c r="DB22" s="246" t="str">
        <f>IFERROR(__xludf.DUMMYFUNCTION("IF(REGEXMATCH(I22, ""d""), ""b6"","""")"),"b6")</f>
        <v>b6</v>
      </c>
      <c r="DC22" s="245" t="str">
        <f>IFERROR(__xludf.DUMMYFUNCTION("IF(REGEXMATCH(I22, ""D""), ""6"","""")"),"")</f>
        <v/>
      </c>
      <c r="DD22" s="245" t="str">
        <f>IFERROR(__xludf.DUMMYFUNCTION("IF(REGEXMATCH(I22, ""n""), ""b7"","""")"),"")</f>
        <v/>
      </c>
      <c r="DE22" s="246" t="str">
        <f>IFERROR(__xludf.DUMMYFUNCTION("IF(REGEXMATCH(I22, ""N""), ""7"","""")"),"7")</f>
        <v>7</v>
      </c>
      <c r="DF22" s="249" t="str">
        <f>IFERROR(__xludf.DUMMYFUNCTION("IF(REGEXMATCH(I22, ""S""), ""8"","""")"),"8")</f>
        <v>8</v>
      </c>
      <c r="DG22" s="244" t="str">
        <f>IFERROR(__xludf.DUMMYFUNCTION("IF(REGEXMATCH(I22, ""S""), ""S"","""")"),"S")</f>
        <v>S</v>
      </c>
      <c r="DH22" s="294" t="str">
        <f>IFERROR(__xludf.DUMMYFUNCTION("IF(REGEXMATCH(I22, ""r""), ""R1"","""")"),"R1")</f>
        <v>R1</v>
      </c>
      <c r="DI22" s="295" t="str">
        <f>IFERROR(__xludf.DUMMYFUNCTION("IF(REGEXMATCH(I22, ""R""), ""R2"","""")"),"")</f>
        <v/>
      </c>
      <c r="DJ22" s="295" t="str">
        <f>IFERROR(__xludf.DUMMYFUNCTION("IF(REGEXMATCH(I22, ""g""), ""G2"","""")"),"")</f>
        <v/>
      </c>
      <c r="DK22" s="294" t="str">
        <f>IFERROR(__xludf.DUMMYFUNCTION("IF(REGEXMATCH(I22, ""G""), ""G3"","""")"),"G3")</f>
        <v>G3</v>
      </c>
      <c r="DL22" s="294" t="str">
        <f>IFERROR(__xludf.DUMMYFUNCTION("IF(REGEXMATCH(I22, ""m""), ""M1"","""")"),"M1")</f>
        <v>M1</v>
      </c>
      <c r="DM22" s="295" t="str">
        <f>IFERROR(__xludf.DUMMYFUNCTION("IF(REGEXMATCH(I22, ""M""), ""M2"","""")"),"")</f>
        <v/>
      </c>
      <c r="DN22" s="294" t="str">
        <f>IFERROR(__xludf.DUMMYFUNCTION("IF(REGEXMATCH(I22, ""P""), ""P"","""")"),"P")</f>
        <v>P</v>
      </c>
      <c r="DO22" s="295" t="str">
        <f>IFERROR(__xludf.DUMMYFUNCTION("IF(REGEXMATCH(I22, ""d""), ""D1"","""")"),"D1")</f>
        <v>D1</v>
      </c>
      <c r="DP22" s="294" t="str">
        <f>IFERROR(__xludf.DUMMYFUNCTION("IF(REGEXMATCH(I22, ""D""), ""D2"","""")"),"")</f>
        <v/>
      </c>
      <c r="DQ22" s="294" t="str">
        <f>IFERROR(__xludf.DUMMYFUNCTION("IF(REGEXMATCH(I22, ""n""), ""N2"","""")"),"")</f>
        <v/>
      </c>
      <c r="DR22" s="295" t="str">
        <f>IFERROR(__xludf.DUMMYFUNCTION("IF(REGEXMATCH(I22, ""N""), ""N3"","""")"),"N3")</f>
        <v>N3</v>
      </c>
      <c r="DS22" s="249" t="str">
        <f>IFERROR(__xludf.DUMMYFUNCTION("IF(REGEXMATCH(I22, ""S""), ""S"","""")"),"S")</f>
        <v>S</v>
      </c>
      <c r="DT22" s="299" t="str">
        <f>IFERROR(__xludf.DUMMYFUNCTION("SUBSTITUTE(SUBSTITUTE(SUBSTITUTE(SUBSTITUTE(CONCATENATE(JOIN(""-"",CT22:DF22)),""--"",""-""),""--"",""-""),""--"",""-""),""--"",""-"")"),"1-b2-3-4-5-b6-7-8")</f>
        <v>1-b2-3-4-5-b6-7-8</v>
      </c>
      <c r="DU22" s="299" t="str">
        <f>IFERROR(__xludf.DUMMYFUNCTION("SUBSTITUTE(SUBSTITUTE(SUBSTITUTE(SUBSTITUTE(CONCATENATE(JOIN(""-"",DG22:DS22)),""--"",""-""),""--"",""-""),""--"",""-""),""--"",""-"")"),"S-R1-G3-M1-P-D1-N3-S")</f>
        <v>S-R1-G3-M1-P-D1-N3-S</v>
      </c>
      <c r="DV22" s="348" t="str">
        <f t="shared" si="43"/>
        <v>C-Db-E-F-G-Ab-B-C</v>
      </c>
      <c r="DW22" s="301">
        <f t="shared" si="44"/>
        <v>7</v>
      </c>
      <c r="DX22" s="302" t="str">
        <f t="shared" si="45"/>
        <v>Sampurna</v>
      </c>
      <c r="DY22" s="301" t="str">
        <f t="shared" ref="DY22:DZ22" si="188">SUBSTITUTE(Y22,"-","")</f>
        <v>SRGM</v>
      </c>
      <c r="DZ22" s="301" t="str">
        <f t="shared" si="188"/>
        <v>PDNS</v>
      </c>
      <c r="EA22" s="302" t="str">
        <f t="shared" si="47"/>
        <v>(PAIR)</v>
      </c>
      <c r="EB22" s="301" t="str">
        <f t="shared" si="48"/>
        <v>Hemi.</v>
      </c>
      <c r="EC22" s="364" t="str">
        <f t="shared" si="49"/>
        <v>Cohem.</v>
      </c>
      <c r="ED22" s="306" t="str">
        <f t="shared" si="50"/>
        <v>Bhairav</v>
      </c>
      <c r="EE22" s="366" t="str">
        <f t="shared" si="51"/>
        <v>-</v>
      </c>
      <c r="EF22" s="308" t="str">
        <f t="shared" si="52"/>
        <v>-</v>
      </c>
      <c r="EG22" s="306" t="str">
        <f t="shared" si="53"/>
        <v>-</v>
      </c>
      <c r="EH22" s="306" t="str">
        <f t="shared" si="54"/>
        <v>-</v>
      </c>
      <c r="EI22" s="367" t="str">
        <f t="shared" si="55"/>
        <v>-</v>
      </c>
      <c r="EJ22" s="310" t="str">
        <f t="shared" si="56"/>
        <v>-</v>
      </c>
      <c r="EK22" s="310" t="str">
        <f t="shared" si="57"/>
        <v>-</v>
      </c>
      <c r="EL22" s="310" t="str">
        <f t="shared" si="58"/>
        <v>-</v>
      </c>
      <c r="EM22" s="310" t="str">
        <f t="shared" si="59"/>
        <v>-</v>
      </c>
      <c r="EN22" s="370" t="str">
        <f t="shared" si="60"/>
        <v>-</v>
      </c>
      <c r="EO22" s="306" t="str">
        <f t="shared" si="61"/>
        <v>-</v>
      </c>
      <c r="EP22" s="306" t="str">
        <f t="shared" si="62"/>
        <v>-</v>
      </c>
      <c r="EQ22" s="306" t="str">
        <f t="shared" si="63"/>
        <v>-</v>
      </c>
      <c r="ER22" s="306" t="str">
        <f t="shared" si="64"/>
        <v>-</v>
      </c>
      <c r="ES22" s="306" t="str">
        <f t="shared" si="65"/>
        <v>-</v>
      </c>
      <c r="ET22" s="367" t="str">
        <f t="shared" si="66"/>
        <v>-</v>
      </c>
      <c r="EU22" s="310" t="str">
        <f>IFERROR(__xludf.DUMMYFUNCTION("IF(REGEXMATCH(BH22,BD22),""✔"",""-"")"),"✔")</f>
        <v>✔</v>
      </c>
      <c r="EV22" s="310" t="str">
        <f t="shared" si="67"/>
        <v>-</v>
      </c>
      <c r="EW22" s="370" t="str">
        <f t="shared" si="68"/>
        <v>✔</v>
      </c>
      <c r="EX22" s="315" t="str">
        <f t="shared" si="69"/>
        <v>[UQ]</v>
      </c>
      <c r="EY22" s="317" t="str">
        <f t="shared" si="70"/>
        <v>S-r-G-m-P-d-N-S</v>
      </c>
      <c r="EZ22" s="318" t="str">
        <f>IFERROR(__xludf.DUMMYFUNCTION("CONCATENATE(JOIN("""",GE22:GQ22))"),"SrGmPdNS")</f>
        <v>SrGmPdNS</v>
      </c>
      <c r="FA22" s="318"/>
      <c r="FB22" s="318"/>
      <c r="FC22" s="321">
        <f t="shared" si="71"/>
        <v>3</v>
      </c>
      <c r="FD22" s="318" t="str">
        <f>IFERROR(__xludf.DUMMYFUNCTION("CONCATENATE(JOIN("""",HR22:ID22))"),"Pa, dha, Ni, ")</f>
        <v>Pa, dha, Ni, </v>
      </c>
      <c r="FE22" s="322">
        <f t="shared" si="72"/>
        <v>0</v>
      </c>
      <c r="FF22" s="324" t="str">
        <f>IFERROR(__xludf.DUMMYFUNCTION("CONCATENATE(JOIN("""",IR22:JD22))"),"")</f>
        <v/>
      </c>
      <c r="FG22" s="325" t="str">
        <f t="shared" si="73"/>
        <v>S-R1-G3-M1-P-D1-N3-S</v>
      </c>
      <c r="FH22" s="326" t="str">
        <f t="shared" si="74"/>
        <v>1-b2-3-4-5-b6-7-8</v>
      </c>
      <c r="FI22" s="326" t="str">
        <f t="shared" si="75"/>
        <v>0-1-4-5-7-8-11-0</v>
      </c>
      <c r="FJ22" s="318"/>
      <c r="FK22" s="328" t="str">
        <f>IFERROR(__xludf.DUMMYFUNCTION("SUBSTITUTE(SUBSTITUTE(SUBSTITUTE(SUBSTITUTE(CONCATENATE(JOIN("" "",FN22:FZ22)),""  "","" ""),""  "","" ""),""  "","" ""),""  "","" "")"),"o o • • o o • o o • • o o")</f>
        <v>o o • • o o • o o • • o o</v>
      </c>
      <c r="FL22" s="328" t="str">
        <f t="shared" si="76"/>
        <v>-</v>
      </c>
      <c r="FM22" s="329"/>
      <c r="FN22" s="331" t="str">
        <f t="shared" si="77"/>
        <v>o</v>
      </c>
      <c r="FO22" s="332" t="str">
        <f t="shared" si="78"/>
        <v>o</v>
      </c>
      <c r="FP22" s="332" t="str">
        <f t="shared" si="79"/>
        <v>•</v>
      </c>
      <c r="FQ22" s="332" t="str">
        <f t="shared" si="80"/>
        <v>•</v>
      </c>
      <c r="FR22" s="332" t="str">
        <f t="shared" si="81"/>
        <v>o</v>
      </c>
      <c r="FS22" s="332" t="str">
        <f t="shared" si="82"/>
        <v>o</v>
      </c>
      <c r="FT22" s="332" t="str">
        <f t="shared" si="83"/>
        <v>•</v>
      </c>
      <c r="FU22" s="332" t="str">
        <f t="shared" si="84"/>
        <v>o</v>
      </c>
      <c r="FV22" s="332" t="str">
        <f t="shared" si="85"/>
        <v>o</v>
      </c>
      <c r="FW22" s="332" t="str">
        <f t="shared" si="86"/>
        <v>•</v>
      </c>
      <c r="FX22" s="332" t="str">
        <f t="shared" si="87"/>
        <v>•</v>
      </c>
      <c r="FY22" s="332" t="str">
        <f t="shared" si="88"/>
        <v>o</v>
      </c>
      <c r="FZ22" s="338" t="str">
        <f t="shared" si="89"/>
        <v>o</v>
      </c>
      <c r="GA22" s="339" t="str">
        <f t="shared" si="90"/>
        <v>-</v>
      </c>
      <c r="GB22" s="339" t="str">
        <f t="shared" si="91"/>
        <v>Sa-Pa</v>
      </c>
      <c r="GC22" s="339" t="str">
        <f t="shared" si="92"/>
        <v>-</v>
      </c>
      <c r="GD22" s="340" t="str">
        <f t="shared" si="93"/>
        <v>-</v>
      </c>
      <c r="GE22" s="331" t="str">
        <f t="shared" si="94"/>
        <v>S</v>
      </c>
      <c r="GF22" s="332" t="str">
        <f t="shared" si="95"/>
        <v>r</v>
      </c>
      <c r="GG22" s="332" t="str">
        <f t="shared" si="96"/>
        <v/>
      </c>
      <c r="GH22" s="332" t="str">
        <f t="shared" si="97"/>
        <v/>
      </c>
      <c r="GI22" s="332" t="str">
        <f t="shared" si="98"/>
        <v>G</v>
      </c>
      <c r="GJ22" s="332" t="str">
        <f t="shared" si="99"/>
        <v>m</v>
      </c>
      <c r="GK22" s="332" t="str">
        <f t="shared" si="100"/>
        <v/>
      </c>
      <c r="GL22" s="332" t="str">
        <f t="shared" si="101"/>
        <v>P</v>
      </c>
      <c r="GM22" s="332" t="str">
        <f t="shared" si="102"/>
        <v>d</v>
      </c>
      <c r="GN22" s="332" t="str">
        <f t="shared" si="103"/>
        <v/>
      </c>
      <c r="GO22" s="332" t="str">
        <f t="shared" si="104"/>
        <v/>
      </c>
      <c r="GP22" s="332" t="str">
        <f t="shared" si="105"/>
        <v>N</v>
      </c>
      <c r="GQ22" s="343" t="str">
        <f t="shared" si="106"/>
        <v>S</v>
      </c>
      <c r="GR22" s="331" t="str">
        <f t="shared" si="107"/>
        <v>•</v>
      </c>
      <c r="GS22" s="332" t="str">
        <f t="shared" si="108"/>
        <v>•</v>
      </c>
      <c r="GT22" s="332" t="str">
        <f t="shared" si="109"/>
        <v>o</v>
      </c>
      <c r="GU22" s="332" t="str">
        <f t="shared" si="110"/>
        <v>o</v>
      </c>
      <c r="GV22" s="332" t="str">
        <f t="shared" si="111"/>
        <v>•</v>
      </c>
      <c r="GW22" s="332" t="str">
        <f t="shared" si="112"/>
        <v>•</v>
      </c>
      <c r="GX22" s="332" t="str">
        <f t="shared" si="113"/>
        <v>o</v>
      </c>
      <c r="GY22" s="332" t="str">
        <f t="shared" si="114"/>
        <v>•</v>
      </c>
      <c r="GZ22" s="332" t="str">
        <f t="shared" si="115"/>
        <v>•</v>
      </c>
      <c r="HA22" s="332" t="str">
        <f t="shared" si="116"/>
        <v>o</v>
      </c>
      <c r="HB22" s="332" t="str">
        <f t="shared" si="117"/>
        <v>o</v>
      </c>
      <c r="HC22" s="332" t="str">
        <f t="shared" si="118"/>
        <v>•</v>
      </c>
      <c r="HD22" s="338" t="str">
        <f t="shared" si="119"/>
        <v>•</v>
      </c>
      <c r="HE22" s="346" t="b">
        <f t="shared" si="120"/>
        <v>0</v>
      </c>
      <c r="HF22" s="347" t="b">
        <f t="shared" si="121"/>
        <v>0</v>
      </c>
      <c r="HG22" s="347" t="b">
        <f t="shared" si="122"/>
        <v>0</v>
      </c>
      <c r="HH22" s="347" t="b">
        <f t="shared" si="123"/>
        <v>0</v>
      </c>
      <c r="HI22" s="347" t="b">
        <f t="shared" si="124"/>
        <v>0</v>
      </c>
      <c r="HJ22" s="347" t="b">
        <f t="shared" si="125"/>
        <v>0</v>
      </c>
      <c r="HK22" s="347" t="b">
        <f t="shared" si="126"/>
        <v>0</v>
      </c>
      <c r="HL22" s="347" t="b">
        <f t="shared" si="127"/>
        <v>1</v>
      </c>
      <c r="HM22" s="347" t="b">
        <f t="shared" si="128"/>
        <v>1</v>
      </c>
      <c r="HN22" s="347" t="b">
        <f t="shared" si="129"/>
        <v>0</v>
      </c>
      <c r="HO22" s="347" t="b">
        <f t="shared" si="130"/>
        <v>0</v>
      </c>
      <c r="HP22" s="347" t="b">
        <f t="shared" si="131"/>
        <v>1</v>
      </c>
      <c r="HQ22" s="353" t="b">
        <f t="shared" si="132"/>
        <v>0</v>
      </c>
      <c r="HR22" s="354" t="str">
        <f t="shared" si="133"/>
        <v/>
      </c>
      <c r="HS22" s="355" t="str">
        <f t="shared" si="134"/>
        <v/>
      </c>
      <c r="HT22" s="355" t="str">
        <f t="shared" si="135"/>
        <v/>
      </c>
      <c r="HU22" s="355" t="str">
        <f t="shared" si="136"/>
        <v/>
      </c>
      <c r="HV22" s="355" t="str">
        <f t="shared" si="137"/>
        <v/>
      </c>
      <c r="HW22" s="355" t="str">
        <f t="shared" si="138"/>
        <v/>
      </c>
      <c r="HX22" s="355" t="str">
        <f t="shared" si="139"/>
        <v/>
      </c>
      <c r="HY22" s="355" t="str">
        <f t="shared" si="140"/>
        <v>Pa, </v>
      </c>
      <c r="HZ22" s="355" t="str">
        <f t="shared" si="141"/>
        <v>dha, </v>
      </c>
      <c r="IA22" s="355" t="str">
        <f t="shared" si="142"/>
        <v/>
      </c>
      <c r="IB22" s="355" t="str">
        <f t="shared" si="143"/>
        <v/>
      </c>
      <c r="IC22" s="355" t="str">
        <f t="shared" si="144"/>
        <v>Ni, </v>
      </c>
      <c r="ID22" s="359" t="str">
        <f t="shared" si="145"/>
        <v/>
      </c>
      <c r="IE22" s="346" t="b">
        <f t="shared" si="146"/>
        <v>0</v>
      </c>
      <c r="IF22" s="347" t="b">
        <f t="shared" si="147"/>
        <v>0</v>
      </c>
      <c r="IG22" s="347" t="b">
        <f t="shared" si="148"/>
        <v>0</v>
      </c>
      <c r="IH22" s="347" t="b">
        <f t="shared" si="149"/>
        <v>0</v>
      </c>
      <c r="II22" s="347" t="b">
        <f t="shared" si="150"/>
        <v>0</v>
      </c>
      <c r="IJ22" s="347" t="b">
        <f t="shared" si="151"/>
        <v>0</v>
      </c>
      <c r="IK22" s="347" t="b">
        <f t="shared" si="152"/>
        <v>0</v>
      </c>
      <c r="IL22" s="347" t="b">
        <f t="shared" si="153"/>
        <v>0</v>
      </c>
      <c r="IM22" s="347" t="b">
        <f t="shared" si="154"/>
        <v>0</v>
      </c>
      <c r="IN22" s="347" t="b">
        <f t="shared" si="155"/>
        <v>0</v>
      </c>
      <c r="IO22" s="347" t="b">
        <f t="shared" si="156"/>
        <v>0</v>
      </c>
      <c r="IP22" s="347" t="b">
        <f t="shared" si="157"/>
        <v>0</v>
      </c>
      <c r="IQ22" s="365" t="b">
        <f t="shared" si="158"/>
        <v>0</v>
      </c>
      <c r="IR22" s="354" t="str">
        <f t="shared" si="159"/>
        <v/>
      </c>
      <c r="IS22" s="355" t="str">
        <f t="shared" si="160"/>
        <v/>
      </c>
      <c r="IT22" s="355" t="str">
        <f t="shared" si="161"/>
        <v/>
      </c>
      <c r="IU22" s="355" t="str">
        <f t="shared" si="162"/>
        <v/>
      </c>
      <c r="IV22" s="355" t="str">
        <f t="shared" si="163"/>
        <v/>
      </c>
      <c r="IW22" s="355" t="str">
        <f t="shared" si="164"/>
        <v/>
      </c>
      <c r="IX22" s="355" t="str">
        <f t="shared" si="165"/>
        <v/>
      </c>
      <c r="IY22" s="355" t="str">
        <f t="shared" si="166"/>
        <v/>
      </c>
      <c r="IZ22" s="355" t="str">
        <f t="shared" si="167"/>
        <v/>
      </c>
      <c r="JA22" s="355" t="str">
        <f t="shared" si="168"/>
        <v/>
      </c>
      <c r="JB22" s="355" t="str">
        <f t="shared" si="169"/>
        <v/>
      </c>
      <c r="JC22" s="355" t="str">
        <f t="shared" si="170"/>
        <v/>
      </c>
      <c r="JD22" s="359"/>
      <c r="JE22" s="321"/>
      <c r="JF22" s="368"/>
      <c r="JG22" s="369"/>
      <c r="JH22" s="369"/>
      <c r="JI22" s="369"/>
      <c r="JJ22" s="369"/>
      <c r="JK22" s="369"/>
      <c r="JL22" s="369"/>
      <c r="JM22" s="369"/>
      <c r="JN22" s="369"/>
      <c r="JO22" s="369"/>
      <c r="JP22" s="369"/>
    </row>
    <row r="23" ht="20.25" customHeight="1">
      <c r="A23" s="221" t="s">
        <v>835</v>
      </c>
      <c r="B23" s="222">
        <v>21.0</v>
      </c>
      <c r="C23" s="223" t="s">
        <v>836</v>
      </c>
      <c r="D23" s="224" t="s">
        <v>17</v>
      </c>
      <c r="E23" s="225" t="str">
        <f t="shared" si="5"/>
        <v>[UQ]</v>
      </c>
      <c r="F23" s="227">
        <f t="shared" si="6"/>
        <v>7</v>
      </c>
      <c r="G23" s="229">
        <f t="shared" si="7"/>
        <v>7</v>
      </c>
      <c r="H23" s="230">
        <f t="shared" si="8"/>
        <v>0</v>
      </c>
      <c r="I23" s="233" t="str">
        <f t="shared" si="9"/>
        <v>SRgmPDNS</v>
      </c>
      <c r="J23" s="234" t="str">
        <f>IFERROR(__xludf.DUMMYFUNCTION("IF(REGEXMATCH(I23, ""S""), ""S"","""")"),"S")</f>
        <v>S</v>
      </c>
      <c r="K23" s="236" t="str">
        <f>IFERROR(__xludf.DUMMYFUNCTION("IF(REGEXMATCH(I23, ""r""), ""r"","""")"),"")</f>
        <v/>
      </c>
      <c r="L23" s="237" t="str">
        <f>IFERROR(__xludf.DUMMYFUNCTION("IF(REGEXMATCH(I23, ""R""), ""R"","""")"),"R")</f>
        <v>R</v>
      </c>
      <c r="M23" s="237" t="str">
        <f>IFERROR(__xludf.DUMMYFUNCTION("IF(REGEXMATCH(I23, ""g""), ""g"","""")"),"g")</f>
        <v>g</v>
      </c>
      <c r="N23" s="236" t="str">
        <f>IFERROR(__xludf.DUMMYFUNCTION("IF(REGEXMATCH(I23, ""G""), ""G"","""")"),"")</f>
        <v/>
      </c>
      <c r="O23" s="236" t="str">
        <f>IFERROR(__xludf.DUMMYFUNCTION("IF(REGEXMATCH(I23, ""m""), ""m"","""")"),"m")</f>
        <v>m</v>
      </c>
      <c r="P23" s="237" t="str">
        <f>IFERROR(__xludf.DUMMYFUNCTION("IF(REGEXMATCH(I23, ""M""), ""M"","""")"),"")</f>
        <v/>
      </c>
      <c r="Q23" s="236" t="str">
        <f>IFERROR(__xludf.DUMMYFUNCTION("IF(REGEXMATCH(I23, ""P""), ""P"","""")"),"P")</f>
        <v>P</v>
      </c>
      <c r="R23" s="237" t="str">
        <f>IFERROR(__xludf.DUMMYFUNCTION("IF(REGEXMATCH(I23, ""d""), ""d"","""")"),"")</f>
        <v/>
      </c>
      <c r="S23" s="236" t="str">
        <f>IFERROR(__xludf.DUMMYFUNCTION("IF(REGEXMATCH(I23, ""D""), ""D"","""")"),"D")</f>
        <v>D</v>
      </c>
      <c r="T23" s="236" t="str">
        <f>IFERROR(__xludf.DUMMYFUNCTION("IF(REGEXMATCH(I23, ""n""), ""n"","""")"),"")</f>
        <v/>
      </c>
      <c r="U23" s="237" t="str">
        <f>IFERROR(__xludf.DUMMYFUNCTION("IF(REGEXMATCH(I23, ""N""), ""N"","""")"),"N")</f>
        <v>N</v>
      </c>
      <c r="V23" s="238" t="str">
        <f>IFERROR(__xludf.DUMMYFUNCTION("IF(REGEXMATCH(I23, ""S""), ""S"","""")"),"S")</f>
        <v>S</v>
      </c>
      <c r="W23" s="239" t="str">
        <f>IFERROR(__xludf.DUMMYFUNCTION("SUBSTITUTE(CONCATENATE(JOIN(""-"",J23:P23)),""-"","""")"),"SRgm")</f>
        <v>SRgm</v>
      </c>
      <c r="X23" s="229" t="str">
        <f>IFERROR(__xludf.DUMMYFUNCTION("SUBSTITUTE(CONCATENATE(JOIN(""-"",Q23:V23)),""-"","""")"),"PDNS")</f>
        <v>PDNS</v>
      </c>
      <c r="Y23" s="282" t="str">
        <f t="shared" si="10"/>
        <v>S-R-G-M</v>
      </c>
      <c r="Z23" s="282" t="str">
        <f t="shared" si="11"/>
        <v>P-D-N-S</v>
      </c>
      <c r="AA23" s="309" t="str">
        <f t="shared" si="12"/>
        <v>RgmDN</v>
      </c>
      <c r="AB23" s="244" t="str">
        <f>IFERROR(__xludf.DUMMYFUNCTION("IF(REGEXMATCH(I23, ""S""), ""0"","""")"),"0")</f>
        <v>0</v>
      </c>
      <c r="AC23" s="245" t="str">
        <f>IFERROR(__xludf.DUMMYFUNCTION("IF(REGEXMATCH(I23, ""r""), ""1"","""")"),"")</f>
        <v/>
      </c>
      <c r="AD23" s="246" t="str">
        <f>IFERROR(__xludf.DUMMYFUNCTION("IF(REGEXMATCH(I23, ""R""), ""2"","""")"),"2")</f>
        <v>2</v>
      </c>
      <c r="AE23" s="246" t="str">
        <f>IFERROR(__xludf.DUMMYFUNCTION("IF(REGEXMATCH(I23, ""g""), ""3"","""")"),"3")</f>
        <v>3</v>
      </c>
      <c r="AF23" s="245" t="str">
        <f>IFERROR(__xludf.DUMMYFUNCTION("IF(REGEXMATCH(I23, ""G""), ""4"","""")"),"")</f>
        <v/>
      </c>
      <c r="AG23" s="245" t="str">
        <f>IFERROR(__xludf.DUMMYFUNCTION("IF(REGEXMATCH(I23, ""m""), ""5"","""")"),"5")</f>
        <v>5</v>
      </c>
      <c r="AH23" s="246" t="str">
        <f>IFERROR(__xludf.DUMMYFUNCTION("IF(REGEXMATCH(I23, ""M""), ""6"","""")"),"")</f>
        <v/>
      </c>
      <c r="AI23" s="245" t="str">
        <f>IFERROR(__xludf.DUMMYFUNCTION("IF(REGEXMATCH(I23, ""P""), ""7"","""")"),"7")</f>
        <v>7</v>
      </c>
      <c r="AJ23" s="246" t="str">
        <f>IFERROR(__xludf.DUMMYFUNCTION("IF(REGEXMATCH(I23, ""d""), ""8"","""")"),"")</f>
        <v/>
      </c>
      <c r="AK23" s="245" t="str">
        <f>IFERROR(__xludf.DUMMYFUNCTION("IF(REGEXMATCH(I23, ""D""), ""9"","""")"),"9")</f>
        <v>9</v>
      </c>
      <c r="AL23" s="245" t="str">
        <f>IFERROR(__xludf.DUMMYFUNCTION("IF(REGEXMATCH(I23, ""n""), ""10"","""")"),"")</f>
        <v/>
      </c>
      <c r="AM23" s="246" t="str">
        <f>IFERROR(__xludf.DUMMYFUNCTION("IF(REGEXMATCH(I23, ""N""), ""11"","""")"),"11")</f>
        <v>11</v>
      </c>
      <c r="AN23" s="249" t="str">
        <f>IFERROR(__xludf.DUMMYFUNCTION("IF(REGEXMATCH(I23, ""S""), ""0"","""")"),"0")</f>
        <v>0</v>
      </c>
      <c r="AO23" s="250" t="str">
        <f>IFERROR(__xludf.DUMMYFUNCTION("SUBSTITUTE(SUBSTITUTE(SUBSTITUTE(SUBSTITUTE(CONCATENATE(JOIN(""-"",AB23:AN23)),""--"",""-""),""--"",""-""),""--"",""-""),""--"",""-"")"),"0-2-3-5-7-9-11-0")</f>
        <v>0-2-3-5-7-9-11-0</v>
      </c>
      <c r="AP23" s="251">
        <f t="shared" si="13"/>
        <v>0</v>
      </c>
      <c r="AQ23" s="234" t="str">
        <f t="shared" si="14"/>
        <v>|</v>
      </c>
      <c r="AR23" s="236" t="str">
        <f t="shared" si="15"/>
        <v>-</v>
      </c>
      <c r="AS23" s="237" t="str">
        <f t="shared" si="16"/>
        <v>|</v>
      </c>
      <c r="AT23" s="236" t="str">
        <f t="shared" si="17"/>
        <v>|</v>
      </c>
      <c r="AU23" s="237" t="str">
        <f t="shared" si="18"/>
        <v>-</v>
      </c>
      <c r="AV23" s="236" t="str">
        <f t="shared" si="19"/>
        <v>|</v>
      </c>
      <c r="AW23" s="237" t="str">
        <f t="shared" si="20"/>
        <v>-</v>
      </c>
      <c r="AX23" s="236" t="str">
        <f t="shared" si="21"/>
        <v>|</v>
      </c>
      <c r="AY23" s="237" t="str">
        <f t="shared" si="22"/>
        <v>-</v>
      </c>
      <c r="AZ23" s="236" t="str">
        <f t="shared" si="23"/>
        <v>|</v>
      </c>
      <c r="BA23" s="237" t="str">
        <f t="shared" si="24"/>
        <v>-</v>
      </c>
      <c r="BB23" s="236" t="str">
        <f t="shared" si="25"/>
        <v>|</v>
      </c>
      <c r="BC23" s="238" t="str">
        <f t="shared" si="26"/>
        <v>|</v>
      </c>
      <c r="BD23" s="250" t="str">
        <f>IFERROR(__xludf.DUMMYFUNCTION("SUBSTITUTE(SUBSTITUTE(CONCATENATE(JOIN("""",AQ23:BB23)),""|"",""x""),""-"",""o"")"),"xoxxoxoxoxox")</f>
        <v>xoxxoxoxoxox</v>
      </c>
      <c r="BE23" s="323" t="str">
        <f>IFERROR(__xludf.DUMMYFUNCTION("JOIN("""",BD23,BD23)"),"xoxxoxoxoxoxxoxxoxoxoxox")</f>
        <v>xoxxoxoxoxoxxoxxoxoxoxox</v>
      </c>
      <c r="BF23" s="256" t="str">
        <f>IFERROR(__xludf.DUMMYFUNCTION("JOIN("""",ArrayFormula(MID(BD23,LEN(BD23)-SEQUENCE(1,LEN(BD23))+1,1)))"),"xoxoxoxoxxox")</f>
        <v>xoxoxoxoxxox</v>
      </c>
      <c r="BG23" s="256" t="str">
        <f>IFERROR(__xludf.DUMMYFUNCTION("LEFT(CONCATENATE(""x"",JOIN("""",ArrayFormula(MID(BD23,LEN(BD23)-SEQUENCE(1,LEN(BD23))+1,1)))),12)"),"xxoxoxoxoxxo")</f>
        <v>xxoxoxoxoxxo</v>
      </c>
      <c r="BH23" s="327" t="str">
        <f>IFERROR(__xludf.DUMMYFUNCTION("JOIN("""",BF23,BF23)"),"xoxoxoxoxxoxxoxoxoxoxxox")</f>
        <v>xoxoxoxoxxoxxoxoxoxoxxox</v>
      </c>
      <c r="BI23" s="239" t="str">
        <f>IFERROR(__xludf.DUMMYFUNCTION("IF(REGEXMATCH(BH23,BD23),""✔"",""-"")"),"✔")</f>
        <v>✔</v>
      </c>
      <c r="BJ23" s="330" t="str">
        <f t="shared" si="27"/>
        <v>-</v>
      </c>
      <c r="BK23" s="260" t="str">
        <f t="shared" si="28"/>
        <v>-</v>
      </c>
      <c r="BL23" s="261" t="str">
        <f>IFERROR(__xludf.DUMMYFUNCTION("IF(BO23=0,""(n/a)"",IF(BP23=2,""(PAIR)"",IF(REGEXMATCH(BE23,""xoxoxxoxoxox""),""Bilawal"",IF(REGEXMATCH(BE23,""xoxoxooxoxoo""),""Bhupali"",IF(REGEXMATCH(BE23,""xoxoxxoxxoxo""),""Charukeshi"",IF(REGEXMATCH(BE23,""xoxoooxxoxxo""),""Kameshwari"",IF(REGEXMATC"&amp;"H(BE23,""xoxoxooxoxox""),""Shankara"",IF(REGEXMATCH(BE23,""xxooxoxxxoox""),""Basant"",IF(REGEXMATCH(BE23,""xoxoxxxxoxox""),""Bihag"",IF(REGEXMATCH(BE23,""xoxxxxoxoxxx""),""Pilu"",IF(REGEXMATCH(BE23,""xoxxoxoxxoox""),""Kirwani"",IF(REGEXMATCH(BE23,""xoxxox"&amp;"oxoxxx""),""Mk.Malhar"",IF(REGEXMATCH(BE23,""xxooxxoxxoox""),""Bhairav"",IF(REGEXMATCH(BE23,""xxoxooxxxoox""),""Todi"",IF(REGEXMATCH(BE23,""xxooxoxooxox""),""Marwa"",IF(REGEXMATCH(BE23,""xxoooxoxxooo""),""Gunkali"",IF(REGEXMATCH(BE23,""xoxoxxoxxoox""),""N"&amp;"at Bhairav"",IF(REGEXMATCH(BE23,""xoxxoooxoxoo""),""Shivranjani"",IF(REGEXMATCH(BE23,""xooxxxoxooxo""),""Jog"",IF(REGEXMATCH(BE23,""xxooxoxoxoox""),""Hemshri"",IF(REGEXMATCH(BE23,""xoooxooxoxxo""),""Kalavati"",IF(REGEXMATCH(BE23,""xxoxoxxoxoox""),""Kedar"&amp;""",IF(REGEXMATCH(BE23,""xoxxxxoxooxx""),""Gara"",IF(REGEXMATCH(BE23,""xooxoxooxoox""),""Chandrakauns"",IF(REGEXMATCH(BE23,""xoxxxxoxxxox""),""Mand"",IF(REGEXMATCH(BE23,""xoxxxxoxoxox""),""Hanskinkini"",IF(REGEXMATCH(BE23,""xxooxxoxooxo""),""Lilavati"",IF("&amp;"REGEXMATCH(BE23,""xooxoxoooxox""),""Rajeshwari"",IF(REGEXMATCH(BE23,""xoooxxoxoxxx""),""Khokar"",IF(REGEXMATCH(BE23,""xxooxoxxxxox""),""Maligoura"",""-""))))))))))))))))))))))))))))))"),"Charukeshi")</f>
        <v>Charukeshi</v>
      </c>
      <c r="BM23" s="239">
        <f t="shared" si="29"/>
        <v>6</v>
      </c>
      <c r="BN23" s="239">
        <f>IFERROR(__xludf.DUMMYFUNCTION("COUNTUNIQUE(BR23:CB23)-1"),6.0)</f>
        <v>6</v>
      </c>
      <c r="BO23" s="239">
        <f>IFERROR(__xludf.DUMMYFUNCTION("COUNTUNIQUE(FILTER(BE:BE,REGEXMATCH(BE:BE,BD23)))-1"),3.0)</f>
        <v>3</v>
      </c>
      <c r="BP23" s="239">
        <f>IFERROR(__xludf.DUMMYFUNCTION("COUNTA(FILTER(BE:BE,REGEXMATCH(BE:BE,BD23)))"),4.0)</f>
        <v>4</v>
      </c>
      <c r="BQ23" s="341">
        <f>IFERROR(__xludf.DUMMYFUNCTION("COUNTA(FILTER(BE:BE,REGEXMATCH(BE:BE,BD23)))-AP23"),4.0)</f>
        <v>4</v>
      </c>
      <c r="BR23" s="269" t="str">
        <f t="shared" si="30"/>
        <v>-</v>
      </c>
      <c r="BS23" s="269" t="str">
        <f t="shared" si="31"/>
        <v>xxoxoxoxoxx</v>
      </c>
      <c r="BT23" s="271" t="str">
        <f t="shared" si="32"/>
        <v>xoxoxoxoxxo</v>
      </c>
      <c r="BU23" s="269" t="str">
        <f t="shared" si="33"/>
        <v>-</v>
      </c>
      <c r="BV23" s="271" t="str">
        <f t="shared" si="34"/>
        <v>xoxoxoxxoxx</v>
      </c>
      <c r="BW23" s="271" t="str">
        <f t="shared" si="35"/>
        <v>-</v>
      </c>
      <c r="BX23" s="271" t="str">
        <f t="shared" si="36"/>
        <v>xoxoxxoxxox</v>
      </c>
      <c r="BY23" s="271" t="str">
        <f t="shared" si="37"/>
        <v>-</v>
      </c>
      <c r="BZ23" s="271" t="str">
        <f t="shared" si="38"/>
        <v>xoxxoxxoxox</v>
      </c>
      <c r="CA23" s="271" t="str">
        <f t="shared" si="39"/>
        <v>-</v>
      </c>
      <c r="CB23" s="274" t="str">
        <f t="shared" si="40"/>
        <v>xxoxxoxoxox</v>
      </c>
      <c r="CC23" s="276" t="str">
        <f>IFERROR(__xludf.DUMMYFUNCTION("IF(BD23=""oooooooooooo"",""-"",IF(REGEXMATCH(BE23,""xx""), ""Hemi."", ""Anhemi.""))"),"Hemi.")</f>
        <v>Hemi.</v>
      </c>
      <c r="CD23" s="282" t="str">
        <f>IFERROR(__xludf.DUMMYFUNCTION("IF(BD23=""oooooooooooo"",""-"",IF(REGEXMATCH(BE23,""xxx""), ""Cohem."", ""-""))"),"-")</f>
        <v>-</v>
      </c>
      <c r="CE23" s="282" t="str">
        <f>IFERROR(__xludf.DUMMYFUNCTION("IF(BD23=""oooooooooooo"",""-"",IF(REGEXMATCH(BE23,""xxxx""), ""Co-Co."", ""-""))"),"-")</f>
        <v>-</v>
      </c>
      <c r="CF23" s="342" t="str">
        <f>IFERROR(__xludf.DUMMYFUNCTION("IF(BD23=""oooooooooooo"",""-"",IF(REGEXMATCH(BE23,""xxxxx""), ""CCC."", ""-""))"),"-")</f>
        <v>-</v>
      </c>
      <c r="CG23" s="344" t="str">
        <f t="shared" si="41"/>
        <v>-</v>
      </c>
      <c r="CH23" s="282" t="str">
        <f>IFERROR(__xludf.DUMMYFUNCTION("IF(REGEXMATCH(JOIN(""-"",CJ23:CS23),""TRUE""),""✔"",""-"")"),"-")</f>
        <v>-</v>
      </c>
      <c r="CI23" s="225">
        <f t="shared" si="42"/>
        <v>0</v>
      </c>
      <c r="CJ23" s="376" t="b">
        <f>IFERROR(__xludf.DUMMYFUNCTION("arrayformula(sum(--REGEXMATCH(""SRGMPDNS"",split(REGEXREPLACE(I23,""(.)"",""$1~""),""~""))))=len(I23)
"),FALSE)</f>
        <v>0</v>
      </c>
      <c r="CK23" s="290" t="b">
        <f>IFERROR(__xludf.DUMMYFUNCTION("arrayformula(sum(--REGEXMATCH(""SRGmPDNS"",split(REGEXREPLACE(I23,""(.)"",""$1~""),""~""))))=len(I23)"),FALSE)</f>
        <v>0</v>
      </c>
      <c r="CL23" s="290" t="b">
        <f>IFERROR(__xludf.DUMMYFUNCTION("arrayformula(sum(--REGEXMATCH(""SRGmPDnS"",split(REGEXREPLACE(I23,""(.)"",""$1~""),""~""))))=len(I23)"),FALSE)</f>
        <v>0</v>
      </c>
      <c r="CM23" s="290" t="b">
        <f>IFERROR(__xludf.DUMMYFUNCTION("arrayformula(sum(--REGEXMATCH(""SRgmPDnS"",split(REGEXREPLACE(I23,""(.)"",""$1~""),""~""))))=len(I23)"),FALSE)</f>
        <v>0</v>
      </c>
      <c r="CN23" s="290" t="b">
        <f>IFERROR(__xludf.DUMMYFUNCTION("arrayformula(sum(--REGEXMATCH(""SRgmPdnS"",split(REGEXREPLACE(I23,""(.)"",""$1~""),""~""))))=len(I23)"),FALSE)</f>
        <v>0</v>
      </c>
      <c r="CO23" s="290" t="b">
        <f>IFERROR(__xludf.DUMMYFUNCTION("arrayformula(sum(--REGEXMATCH(""SrgmPdnS"",split(REGEXREPLACE(I23,""(.)"",""$1~""),""~""))))=len(I23)"),FALSE)</f>
        <v>0</v>
      </c>
      <c r="CP23" s="290" t="b">
        <f>IFERROR(__xludf.DUMMYFUNCTION("arrayformula(sum(--REGEXMATCH(""SrGmPdNS"",split(REGEXREPLACE(I23,""(.)"",""$1~""),""~""))))=len(I23)"),FALSE)</f>
        <v>0</v>
      </c>
      <c r="CQ23" s="290" t="b">
        <f>IFERROR(__xludf.DUMMYFUNCTION("arrayformula(sum(--REGEXMATCH(""SrGMPDNS"",split(REGEXREPLACE(I23,""(.)"",""$1~""),""~""))))=len(I23)"),FALSE)</f>
        <v>0</v>
      </c>
      <c r="CR23" s="290" t="b">
        <f>IFERROR(__xludf.DUMMYFUNCTION("arrayformula(sum(--REGEXMATCH(""SrGMPdNS"",split(REGEXREPLACE(I23,""(.)"",""$1~""),""~""))))=len(I23)"),FALSE)</f>
        <v>0</v>
      </c>
      <c r="CS23" s="293" t="b">
        <f>IFERROR(__xludf.DUMMYFUNCTION("arrayformula(sum(--REGEXMATCH(""SrgMPdNS"",split(REGEXREPLACE(I23,""(.)"",""$1~""),""~""))))=len(I23)"),FALSE)</f>
        <v>0</v>
      </c>
      <c r="CT23" s="244" t="str">
        <f>IFERROR(__xludf.DUMMYFUNCTION("IF(REGEXMATCH(I23, ""S""), ""1"","""")"),"1")</f>
        <v>1</v>
      </c>
      <c r="CU23" s="245" t="str">
        <f>IFERROR(__xludf.DUMMYFUNCTION("IF(REGEXMATCH(I23, ""r""), ""b2"","""")"),"")</f>
        <v/>
      </c>
      <c r="CV23" s="246" t="str">
        <f>IFERROR(__xludf.DUMMYFUNCTION("IF(REGEXMATCH(I23, ""R""), ""2"","""")"),"2")</f>
        <v>2</v>
      </c>
      <c r="CW23" s="246" t="str">
        <f>IFERROR(__xludf.DUMMYFUNCTION("IF(REGEXMATCH(I23, ""g""), ""b3"","""")"),"b3")</f>
        <v>b3</v>
      </c>
      <c r="CX23" s="245" t="str">
        <f>IFERROR(__xludf.DUMMYFUNCTION("IF(REGEXMATCH(I23, ""G""), ""3"","""")"),"")</f>
        <v/>
      </c>
      <c r="CY23" s="245" t="str">
        <f>IFERROR(__xludf.DUMMYFUNCTION("IF(REGEXMATCH(I23, ""m""), ""4"","""")"),"4")</f>
        <v>4</v>
      </c>
      <c r="CZ23" s="246" t="str">
        <f>IFERROR(__xludf.DUMMYFUNCTION("IF(REGEXMATCH(I23, ""M""), ""#4"","""")"),"")</f>
        <v/>
      </c>
      <c r="DA23" s="245" t="str">
        <f>IFERROR(__xludf.DUMMYFUNCTION("IF(REGEXMATCH(I23, ""P""), ""5"","""")"),"5")</f>
        <v>5</v>
      </c>
      <c r="DB23" s="246" t="str">
        <f>IFERROR(__xludf.DUMMYFUNCTION("IF(REGEXMATCH(I23, ""d""), ""b6"","""")"),"")</f>
        <v/>
      </c>
      <c r="DC23" s="245" t="str">
        <f>IFERROR(__xludf.DUMMYFUNCTION("IF(REGEXMATCH(I23, ""D""), ""6"","""")"),"6")</f>
        <v>6</v>
      </c>
      <c r="DD23" s="245" t="str">
        <f>IFERROR(__xludf.DUMMYFUNCTION("IF(REGEXMATCH(I23, ""n""), ""b7"","""")"),"")</f>
        <v/>
      </c>
      <c r="DE23" s="246" t="str">
        <f>IFERROR(__xludf.DUMMYFUNCTION("IF(REGEXMATCH(I23, ""N""), ""7"","""")"),"7")</f>
        <v>7</v>
      </c>
      <c r="DF23" s="249" t="str">
        <f>IFERROR(__xludf.DUMMYFUNCTION("IF(REGEXMATCH(I23, ""S""), ""8"","""")"),"8")</f>
        <v>8</v>
      </c>
      <c r="DG23" s="244" t="str">
        <f>IFERROR(__xludf.DUMMYFUNCTION("IF(REGEXMATCH(I23, ""S""), ""S"","""")"),"S")</f>
        <v>S</v>
      </c>
      <c r="DH23" s="294" t="str">
        <f>IFERROR(__xludf.DUMMYFUNCTION("IF(REGEXMATCH(I23, ""r""), ""R1"","""")"),"")</f>
        <v/>
      </c>
      <c r="DI23" s="295" t="str">
        <f>IFERROR(__xludf.DUMMYFUNCTION("IF(REGEXMATCH(I23, ""R""), ""R2"","""")"),"R2")</f>
        <v>R2</v>
      </c>
      <c r="DJ23" s="295" t="str">
        <f>IFERROR(__xludf.DUMMYFUNCTION("IF(REGEXMATCH(I23, ""g""), ""G2"","""")"),"G2")</f>
        <v>G2</v>
      </c>
      <c r="DK23" s="294" t="str">
        <f>IFERROR(__xludf.DUMMYFUNCTION("IF(REGEXMATCH(I23, ""G""), ""G3"","""")"),"")</f>
        <v/>
      </c>
      <c r="DL23" s="294" t="str">
        <f>IFERROR(__xludf.DUMMYFUNCTION("IF(REGEXMATCH(I23, ""m""), ""M1"","""")"),"M1")</f>
        <v>M1</v>
      </c>
      <c r="DM23" s="295" t="str">
        <f>IFERROR(__xludf.DUMMYFUNCTION("IF(REGEXMATCH(I23, ""M""), ""M2"","""")"),"")</f>
        <v/>
      </c>
      <c r="DN23" s="294" t="str">
        <f>IFERROR(__xludf.DUMMYFUNCTION("IF(REGEXMATCH(I23, ""P""), ""P"","""")"),"P")</f>
        <v>P</v>
      </c>
      <c r="DO23" s="295" t="str">
        <f>IFERROR(__xludf.DUMMYFUNCTION("IF(REGEXMATCH(I23, ""d""), ""D1"","""")"),"")</f>
        <v/>
      </c>
      <c r="DP23" s="294" t="str">
        <f>IFERROR(__xludf.DUMMYFUNCTION("IF(REGEXMATCH(I23, ""D""), ""D2"","""")"),"D2")</f>
        <v>D2</v>
      </c>
      <c r="DQ23" s="294" t="str">
        <f>IFERROR(__xludf.DUMMYFUNCTION("IF(REGEXMATCH(I23, ""n""), ""N2"","""")"),"")</f>
        <v/>
      </c>
      <c r="DR23" s="295" t="str">
        <f>IFERROR(__xludf.DUMMYFUNCTION("IF(REGEXMATCH(I23, ""N""), ""N3"","""")"),"N3")</f>
        <v>N3</v>
      </c>
      <c r="DS23" s="249" t="str">
        <f>IFERROR(__xludf.DUMMYFUNCTION("IF(REGEXMATCH(I23, ""S""), ""S"","""")"),"S")</f>
        <v>S</v>
      </c>
      <c r="DT23" s="299" t="str">
        <f>IFERROR(__xludf.DUMMYFUNCTION("SUBSTITUTE(SUBSTITUTE(SUBSTITUTE(SUBSTITUTE(CONCATENATE(JOIN(""-"",CT23:DF23)),""--"",""-""),""--"",""-""),""--"",""-""),""--"",""-"")"),"1-2-b3-4-5-6-7-8")</f>
        <v>1-2-b3-4-5-6-7-8</v>
      </c>
      <c r="DU23" s="299" t="str">
        <f>IFERROR(__xludf.DUMMYFUNCTION("SUBSTITUTE(SUBSTITUTE(SUBSTITUTE(SUBSTITUTE(CONCATENATE(JOIN(""-"",DG23:DS23)),""--"",""-""),""--"",""-""),""--"",""-""),""--"",""-"")"),"S-R2-G2-M1-P-D2-N3-S")</f>
        <v>S-R2-G2-M1-P-D2-N3-S</v>
      </c>
      <c r="DV23" s="348" t="str">
        <f t="shared" si="43"/>
        <v>C-D-Eb-F-G-A-B-C</v>
      </c>
      <c r="DW23" s="301">
        <f t="shared" si="44"/>
        <v>7</v>
      </c>
      <c r="DX23" s="302" t="str">
        <f t="shared" si="45"/>
        <v>Sampurna</v>
      </c>
      <c r="DY23" s="301" t="str">
        <f t="shared" ref="DY23:DZ23" si="189">SUBSTITUTE(Y23,"-","")</f>
        <v>SRGM</v>
      </c>
      <c r="DZ23" s="301" t="str">
        <f t="shared" si="189"/>
        <v>PDNS</v>
      </c>
      <c r="EA23" s="302" t="str">
        <f t="shared" si="47"/>
        <v>Charukeshi</v>
      </c>
      <c r="EB23" s="301" t="str">
        <f t="shared" si="48"/>
        <v>Hemi.</v>
      </c>
      <c r="EC23" s="364" t="str">
        <f t="shared" si="49"/>
        <v>-</v>
      </c>
      <c r="ED23" s="306" t="str">
        <f t="shared" si="50"/>
        <v>-</v>
      </c>
      <c r="EE23" s="366" t="str">
        <f t="shared" si="51"/>
        <v>-</v>
      </c>
      <c r="EF23" s="308" t="str">
        <f t="shared" si="52"/>
        <v>✔</v>
      </c>
      <c r="EG23" s="306" t="str">
        <f t="shared" si="53"/>
        <v>-</v>
      </c>
      <c r="EH23" s="306" t="str">
        <f t="shared" si="54"/>
        <v>-</v>
      </c>
      <c r="EI23" s="367" t="str">
        <f t="shared" si="55"/>
        <v>-</v>
      </c>
      <c r="EJ23" s="310" t="str">
        <f t="shared" si="56"/>
        <v>-</v>
      </c>
      <c r="EK23" s="310" t="str">
        <f t="shared" si="57"/>
        <v>-</v>
      </c>
      <c r="EL23" s="310" t="str">
        <f t="shared" si="58"/>
        <v>-</v>
      </c>
      <c r="EM23" s="310" t="str">
        <f t="shared" si="59"/>
        <v>-</v>
      </c>
      <c r="EN23" s="370" t="str">
        <f t="shared" si="60"/>
        <v>-</v>
      </c>
      <c r="EO23" s="306" t="str">
        <f t="shared" si="61"/>
        <v>-</v>
      </c>
      <c r="EP23" s="306" t="str">
        <f t="shared" si="62"/>
        <v>-</v>
      </c>
      <c r="EQ23" s="306" t="str">
        <f t="shared" si="63"/>
        <v>-</v>
      </c>
      <c r="ER23" s="306" t="str">
        <f t="shared" si="64"/>
        <v>-</v>
      </c>
      <c r="ES23" s="306" t="str">
        <f t="shared" si="65"/>
        <v>-</v>
      </c>
      <c r="ET23" s="367" t="str">
        <f t="shared" si="66"/>
        <v>-</v>
      </c>
      <c r="EU23" s="310" t="str">
        <f>IFERROR(__xludf.DUMMYFUNCTION("IF(REGEXMATCH(BH23,BD23),""✔"",""-"")"),"✔")</f>
        <v>✔</v>
      </c>
      <c r="EV23" s="310" t="str">
        <f t="shared" si="67"/>
        <v>-</v>
      </c>
      <c r="EW23" s="370" t="str">
        <f t="shared" si="68"/>
        <v>-</v>
      </c>
      <c r="EX23" s="315" t="str">
        <f t="shared" si="69"/>
        <v>[UQ]</v>
      </c>
      <c r="EY23" s="317" t="str">
        <f t="shared" si="70"/>
        <v>S-R-g-m-P-D-N-S</v>
      </c>
      <c r="EZ23" s="318" t="str">
        <f>IFERROR(__xludf.DUMMYFUNCTION("CONCATENATE(JOIN("""",GE23:GQ23))"),"SrgmPDnS")</f>
        <v>SrgmPDnS</v>
      </c>
      <c r="FA23" s="318"/>
      <c r="FB23" s="318"/>
      <c r="FC23" s="321">
        <f t="shared" si="71"/>
        <v>3</v>
      </c>
      <c r="FD23" s="318" t="str">
        <f>IFERROR(__xludf.DUMMYFUNCTION("CONCATENATE(JOIN("""",HR23:ID23))"),"ga, Dha, Ni, ")</f>
        <v>ga, Dha, Ni, </v>
      </c>
      <c r="FE23" s="322">
        <f t="shared" si="72"/>
        <v>2</v>
      </c>
      <c r="FF23" s="324" t="str">
        <f>IFERROR(__xludf.DUMMYFUNCTION("CONCATENATE(JOIN("""",IR23:JD23))"),"ga, Ni, ")</f>
        <v>ga, Ni, </v>
      </c>
      <c r="FG23" s="325" t="str">
        <f t="shared" si="73"/>
        <v>S-R2-G2-M1-P-D2-N3-S</v>
      </c>
      <c r="FH23" s="326" t="str">
        <f t="shared" si="74"/>
        <v>1-2-b3-4-5-6-7-8</v>
      </c>
      <c r="FI23" s="326" t="str">
        <f t="shared" si="75"/>
        <v>0-2-3-5-7-9-11-0</v>
      </c>
      <c r="FJ23" s="318"/>
      <c r="FK23" s="328" t="str">
        <f>IFERROR(__xludf.DUMMYFUNCTION("SUBSTITUTE(SUBSTITUTE(SUBSTITUTE(SUBSTITUTE(CONCATENATE(JOIN("" "",FN23:FZ23)),""  "","" ""),""  "","" ""),""  "","" ""),""  "","" "")"),"o • o o • o • o • o • o o")</f>
        <v>o • o o • o • o • o • o o</v>
      </c>
      <c r="FL23" s="328" t="str">
        <f t="shared" si="76"/>
        <v>-</v>
      </c>
      <c r="FM23" s="329"/>
      <c r="FN23" s="331" t="str">
        <f t="shared" si="77"/>
        <v>o</v>
      </c>
      <c r="FO23" s="332" t="str">
        <f t="shared" si="78"/>
        <v>•</v>
      </c>
      <c r="FP23" s="332" t="str">
        <f t="shared" si="79"/>
        <v>o</v>
      </c>
      <c r="FQ23" s="332" t="str">
        <f t="shared" si="80"/>
        <v>o</v>
      </c>
      <c r="FR23" s="332" t="str">
        <f t="shared" si="81"/>
        <v>•</v>
      </c>
      <c r="FS23" s="332" t="str">
        <f t="shared" si="82"/>
        <v>o</v>
      </c>
      <c r="FT23" s="332" t="str">
        <f t="shared" si="83"/>
        <v>•</v>
      </c>
      <c r="FU23" s="332" t="str">
        <f t="shared" si="84"/>
        <v>o</v>
      </c>
      <c r="FV23" s="332" t="str">
        <f t="shared" si="85"/>
        <v>•</v>
      </c>
      <c r="FW23" s="332" t="str">
        <f t="shared" si="86"/>
        <v>o</v>
      </c>
      <c r="FX23" s="332" t="str">
        <f t="shared" si="87"/>
        <v>•</v>
      </c>
      <c r="FY23" s="332" t="str">
        <f t="shared" si="88"/>
        <v>o</v>
      </c>
      <c r="FZ23" s="338" t="str">
        <f t="shared" si="89"/>
        <v>o</v>
      </c>
      <c r="GA23" s="339" t="str">
        <f t="shared" si="90"/>
        <v>-</v>
      </c>
      <c r="GB23" s="339" t="str">
        <f t="shared" si="91"/>
        <v>Sa-Pa</v>
      </c>
      <c r="GC23" s="339" t="str">
        <f t="shared" si="92"/>
        <v>-</v>
      </c>
      <c r="GD23" s="340" t="str">
        <f t="shared" si="93"/>
        <v>-</v>
      </c>
      <c r="GE23" s="331" t="str">
        <f t="shared" si="94"/>
        <v>S</v>
      </c>
      <c r="GF23" s="332" t="str">
        <f t="shared" si="95"/>
        <v>r</v>
      </c>
      <c r="GG23" s="332" t="str">
        <f t="shared" si="96"/>
        <v/>
      </c>
      <c r="GH23" s="332" t="str">
        <f t="shared" si="97"/>
        <v>g</v>
      </c>
      <c r="GI23" s="332" t="str">
        <f t="shared" si="98"/>
        <v/>
      </c>
      <c r="GJ23" s="332" t="str">
        <f t="shared" si="99"/>
        <v>m</v>
      </c>
      <c r="GK23" s="332" t="str">
        <f t="shared" si="100"/>
        <v/>
      </c>
      <c r="GL23" s="332" t="str">
        <f t="shared" si="101"/>
        <v>P</v>
      </c>
      <c r="GM23" s="332" t="str">
        <f t="shared" si="102"/>
        <v/>
      </c>
      <c r="GN23" s="332" t="str">
        <f t="shared" si="103"/>
        <v>D</v>
      </c>
      <c r="GO23" s="332" t="str">
        <f t="shared" si="104"/>
        <v>n</v>
      </c>
      <c r="GP23" s="332" t="str">
        <f t="shared" si="105"/>
        <v/>
      </c>
      <c r="GQ23" s="343" t="str">
        <f t="shared" si="106"/>
        <v>S</v>
      </c>
      <c r="GR23" s="331" t="str">
        <f t="shared" si="107"/>
        <v>•</v>
      </c>
      <c r="GS23" s="332" t="str">
        <f t="shared" si="108"/>
        <v>o</v>
      </c>
      <c r="GT23" s="332" t="str">
        <f t="shared" si="109"/>
        <v>•</v>
      </c>
      <c r="GU23" s="332" t="str">
        <f t="shared" si="110"/>
        <v>•</v>
      </c>
      <c r="GV23" s="332" t="str">
        <f t="shared" si="111"/>
        <v>o</v>
      </c>
      <c r="GW23" s="332" t="str">
        <f t="shared" si="112"/>
        <v>•</v>
      </c>
      <c r="GX23" s="332" t="str">
        <f t="shared" si="113"/>
        <v>o</v>
      </c>
      <c r="GY23" s="332" t="str">
        <f t="shared" si="114"/>
        <v>•</v>
      </c>
      <c r="GZ23" s="332" t="str">
        <f t="shared" si="115"/>
        <v>o</v>
      </c>
      <c r="HA23" s="332" t="str">
        <f t="shared" si="116"/>
        <v>•</v>
      </c>
      <c r="HB23" s="332" t="str">
        <f t="shared" si="117"/>
        <v>o</v>
      </c>
      <c r="HC23" s="332" t="str">
        <f t="shared" si="118"/>
        <v>•</v>
      </c>
      <c r="HD23" s="338" t="str">
        <f t="shared" si="119"/>
        <v>•</v>
      </c>
      <c r="HE23" s="346" t="b">
        <f t="shared" si="120"/>
        <v>0</v>
      </c>
      <c r="HF23" s="347" t="b">
        <f t="shared" si="121"/>
        <v>0</v>
      </c>
      <c r="HG23" s="347" t="b">
        <f t="shared" si="122"/>
        <v>0</v>
      </c>
      <c r="HH23" s="347" t="b">
        <f t="shared" si="123"/>
        <v>1</v>
      </c>
      <c r="HI23" s="347" t="b">
        <f t="shared" si="124"/>
        <v>0</v>
      </c>
      <c r="HJ23" s="347" t="b">
        <f t="shared" si="125"/>
        <v>0</v>
      </c>
      <c r="HK23" s="347" t="b">
        <f t="shared" si="126"/>
        <v>0</v>
      </c>
      <c r="HL23" s="347" t="b">
        <f t="shared" si="127"/>
        <v>0</v>
      </c>
      <c r="HM23" s="347" t="b">
        <f t="shared" si="128"/>
        <v>0</v>
      </c>
      <c r="HN23" s="347" t="b">
        <f t="shared" si="129"/>
        <v>1</v>
      </c>
      <c r="HO23" s="347" t="b">
        <f t="shared" si="130"/>
        <v>0</v>
      </c>
      <c r="HP23" s="347" t="b">
        <f t="shared" si="131"/>
        <v>1</v>
      </c>
      <c r="HQ23" s="353" t="b">
        <f t="shared" si="132"/>
        <v>0</v>
      </c>
      <c r="HR23" s="354" t="str">
        <f t="shared" si="133"/>
        <v/>
      </c>
      <c r="HS23" s="355" t="str">
        <f t="shared" si="134"/>
        <v/>
      </c>
      <c r="HT23" s="355" t="str">
        <f t="shared" si="135"/>
        <v/>
      </c>
      <c r="HU23" s="355" t="str">
        <f t="shared" si="136"/>
        <v>ga, </v>
      </c>
      <c r="HV23" s="355" t="str">
        <f t="shared" si="137"/>
        <v/>
      </c>
      <c r="HW23" s="355" t="str">
        <f t="shared" si="138"/>
        <v/>
      </c>
      <c r="HX23" s="355" t="str">
        <f t="shared" si="139"/>
        <v/>
      </c>
      <c r="HY23" s="355" t="str">
        <f t="shared" si="140"/>
        <v/>
      </c>
      <c r="HZ23" s="355" t="str">
        <f t="shared" si="141"/>
        <v/>
      </c>
      <c r="IA23" s="355" t="str">
        <f t="shared" si="142"/>
        <v>Dha, </v>
      </c>
      <c r="IB23" s="355" t="str">
        <f t="shared" si="143"/>
        <v/>
      </c>
      <c r="IC23" s="355" t="str">
        <f t="shared" si="144"/>
        <v>Ni, </v>
      </c>
      <c r="ID23" s="359" t="str">
        <f t="shared" si="145"/>
        <v/>
      </c>
      <c r="IE23" s="346" t="b">
        <f t="shared" si="146"/>
        <v>0</v>
      </c>
      <c r="IF23" s="347" t="b">
        <f t="shared" si="147"/>
        <v>0</v>
      </c>
      <c r="IG23" s="347" t="b">
        <f t="shared" si="148"/>
        <v>0</v>
      </c>
      <c r="IH23" s="347" t="b">
        <f t="shared" si="149"/>
        <v>1</v>
      </c>
      <c r="II23" s="347" t="b">
        <f t="shared" si="150"/>
        <v>0</v>
      </c>
      <c r="IJ23" s="347" t="b">
        <f t="shared" si="151"/>
        <v>0</v>
      </c>
      <c r="IK23" s="347" t="b">
        <f t="shared" si="152"/>
        <v>0</v>
      </c>
      <c r="IL23" s="347" t="b">
        <f t="shared" si="153"/>
        <v>0</v>
      </c>
      <c r="IM23" s="347" t="b">
        <f t="shared" si="154"/>
        <v>0</v>
      </c>
      <c r="IN23" s="347" t="b">
        <f t="shared" si="155"/>
        <v>0</v>
      </c>
      <c r="IO23" s="347" t="b">
        <f t="shared" si="156"/>
        <v>0</v>
      </c>
      <c r="IP23" s="347" t="b">
        <f t="shared" si="157"/>
        <v>1</v>
      </c>
      <c r="IQ23" s="365" t="b">
        <f t="shared" si="158"/>
        <v>0</v>
      </c>
      <c r="IR23" s="354" t="str">
        <f t="shared" si="159"/>
        <v/>
      </c>
      <c r="IS23" s="355" t="str">
        <f t="shared" si="160"/>
        <v/>
      </c>
      <c r="IT23" s="355" t="str">
        <f t="shared" si="161"/>
        <v/>
      </c>
      <c r="IU23" s="355" t="str">
        <f t="shared" si="162"/>
        <v>ga, </v>
      </c>
      <c r="IV23" s="355" t="str">
        <f t="shared" si="163"/>
        <v/>
      </c>
      <c r="IW23" s="355" t="str">
        <f t="shared" si="164"/>
        <v/>
      </c>
      <c r="IX23" s="355" t="str">
        <f t="shared" si="165"/>
        <v/>
      </c>
      <c r="IY23" s="355" t="str">
        <f t="shared" si="166"/>
        <v/>
      </c>
      <c r="IZ23" s="355" t="str">
        <f t="shared" si="167"/>
        <v/>
      </c>
      <c r="JA23" s="355" t="str">
        <f t="shared" si="168"/>
        <v/>
      </c>
      <c r="JB23" s="355" t="str">
        <f t="shared" si="169"/>
        <v/>
      </c>
      <c r="JC23" s="355" t="str">
        <f t="shared" si="170"/>
        <v>Ni, </v>
      </c>
      <c r="JD23" s="359"/>
      <c r="JE23" s="321"/>
      <c r="JF23" s="368"/>
      <c r="JG23" s="369"/>
      <c r="JH23" s="369"/>
      <c r="JI23" s="369"/>
      <c r="JJ23" s="369"/>
      <c r="JK23" s="369"/>
      <c r="JL23" s="369"/>
      <c r="JM23" s="369"/>
      <c r="JN23" s="369"/>
      <c r="JO23" s="369"/>
      <c r="JP23" s="369"/>
    </row>
    <row r="24" ht="20.25" customHeight="1">
      <c r="A24" s="221" t="s">
        <v>883</v>
      </c>
      <c r="B24" s="222">
        <v>22.0</v>
      </c>
      <c r="C24" s="223" t="s">
        <v>884</v>
      </c>
      <c r="D24" s="224" t="s">
        <v>17</v>
      </c>
      <c r="E24" s="225" t="str">
        <f t="shared" si="5"/>
        <v>[UQ]</v>
      </c>
      <c r="F24" s="227">
        <f t="shared" si="6"/>
        <v>7</v>
      </c>
      <c r="G24" s="229">
        <f t="shared" si="7"/>
        <v>7</v>
      </c>
      <c r="H24" s="230">
        <f t="shared" si="8"/>
        <v>0</v>
      </c>
      <c r="I24" s="233" t="str">
        <f t="shared" si="9"/>
        <v>SrgmPDNS</v>
      </c>
      <c r="J24" s="234" t="str">
        <f>IFERROR(__xludf.DUMMYFUNCTION("IF(REGEXMATCH(I24, ""S""), ""S"","""")"),"S")</f>
        <v>S</v>
      </c>
      <c r="K24" s="236" t="str">
        <f>IFERROR(__xludf.DUMMYFUNCTION("IF(REGEXMATCH(I24, ""r""), ""r"","""")"),"r")</f>
        <v>r</v>
      </c>
      <c r="L24" s="237" t="str">
        <f>IFERROR(__xludf.DUMMYFUNCTION("IF(REGEXMATCH(I24, ""R""), ""R"","""")"),"")</f>
        <v/>
      </c>
      <c r="M24" s="237" t="str">
        <f>IFERROR(__xludf.DUMMYFUNCTION("IF(REGEXMATCH(I24, ""g""), ""g"","""")"),"g")</f>
        <v>g</v>
      </c>
      <c r="N24" s="236" t="str">
        <f>IFERROR(__xludf.DUMMYFUNCTION("IF(REGEXMATCH(I24, ""G""), ""G"","""")"),"")</f>
        <v/>
      </c>
      <c r="O24" s="236" t="str">
        <f>IFERROR(__xludf.DUMMYFUNCTION("IF(REGEXMATCH(I24, ""m""), ""m"","""")"),"m")</f>
        <v>m</v>
      </c>
      <c r="P24" s="237" t="str">
        <f>IFERROR(__xludf.DUMMYFUNCTION("IF(REGEXMATCH(I24, ""M""), ""M"","""")"),"")</f>
        <v/>
      </c>
      <c r="Q24" s="236" t="str">
        <f>IFERROR(__xludf.DUMMYFUNCTION("IF(REGEXMATCH(I24, ""P""), ""P"","""")"),"P")</f>
        <v>P</v>
      </c>
      <c r="R24" s="237" t="str">
        <f>IFERROR(__xludf.DUMMYFUNCTION("IF(REGEXMATCH(I24, ""d""), ""d"","""")"),"")</f>
        <v/>
      </c>
      <c r="S24" s="236" t="str">
        <f>IFERROR(__xludf.DUMMYFUNCTION("IF(REGEXMATCH(I24, ""D""), ""D"","""")"),"D")</f>
        <v>D</v>
      </c>
      <c r="T24" s="236" t="str">
        <f>IFERROR(__xludf.DUMMYFUNCTION("IF(REGEXMATCH(I24, ""n""), ""n"","""")"),"")</f>
        <v/>
      </c>
      <c r="U24" s="237" t="str">
        <f>IFERROR(__xludf.DUMMYFUNCTION("IF(REGEXMATCH(I24, ""N""), ""N"","""")"),"N")</f>
        <v>N</v>
      </c>
      <c r="V24" s="238" t="str">
        <f>IFERROR(__xludf.DUMMYFUNCTION("IF(REGEXMATCH(I24, ""S""), ""S"","""")"),"S")</f>
        <v>S</v>
      </c>
      <c r="W24" s="239" t="str">
        <f>IFERROR(__xludf.DUMMYFUNCTION("SUBSTITUTE(CONCATENATE(JOIN(""-"",J24:P24)),""-"","""")"),"Srgm")</f>
        <v>Srgm</v>
      </c>
      <c r="X24" s="229" t="str">
        <f>IFERROR(__xludf.DUMMYFUNCTION("SUBSTITUTE(CONCATENATE(JOIN(""-"",Q24:V24)),""-"","""")"),"PDNS")</f>
        <v>PDNS</v>
      </c>
      <c r="Y24" s="282" t="str">
        <f t="shared" si="10"/>
        <v>S-R-G-M</v>
      </c>
      <c r="Z24" s="282" t="str">
        <f t="shared" si="11"/>
        <v>P-D-N-S</v>
      </c>
      <c r="AA24" s="309" t="str">
        <f t="shared" si="12"/>
        <v>rgmDN</v>
      </c>
      <c r="AB24" s="244" t="str">
        <f>IFERROR(__xludf.DUMMYFUNCTION("IF(REGEXMATCH(I24, ""S""), ""0"","""")"),"0")</f>
        <v>0</v>
      </c>
      <c r="AC24" s="245" t="str">
        <f>IFERROR(__xludf.DUMMYFUNCTION("IF(REGEXMATCH(I24, ""r""), ""1"","""")"),"1")</f>
        <v>1</v>
      </c>
      <c r="AD24" s="246" t="str">
        <f>IFERROR(__xludf.DUMMYFUNCTION("IF(REGEXMATCH(I24, ""R""), ""2"","""")"),"")</f>
        <v/>
      </c>
      <c r="AE24" s="246" t="str">
        <f>IFERROR(__xludf.DUMMYFUNCTION("IF(REGEXMATCH(I24, ""g""), ""3"","""")"),"3")</f>
        <v>3</v>
      </c>
      <c r="AF24" s="245" t="str">
        <f>IFERROR(__xludf.DUMMYFUNCTION("IF(REGEXMATCH(I24, ""G""), ""4"","""")"),"")</f>
        <v/>
      </c>
      <c r="AG24" s="245" t="str">
        <f>IFERROR(__xludf.DUMMYFUNCTION("IF(REGEXMATCH(I24, ""m""), ""5"","""")"),"5")</f>
        <v>5</v>
      </c>
      <c r="AH24" s="246" t="str">
        <f>IFERROR(__xludf.DUMMYFUNCTION("IF(REGEXMATCH(I24, ""M""), ""6"","""")"),"")</f>
        <v/>
      </c>
      <c r="AI24" s="245" t="str">
        <f>IFERROR(__xludf.DUMMYFUNCTION("IF(REGEXMATCH(I24, ""P""), ""7"","""")"),"7")</f>
        <v>7</v>
      </c>
      <c r="AJ24" s="246" t="str">
        <f>IFERROR(__xludf.DUMMYFUNCTION("IF(REGEXMATCH(I24, ""d""), ""8"","""")"),"")</f>
        <v/>
      </c>
      <c r="AK24" s="245" t="str">
        <f>IFERROR(__xludf.DUMMYFUNCTION("IF(REGEXMATCH(I24, ""D""), ""9"","""")"),"9")</f>
        <v>9</v>
      </c>
      <c r="AL24" s="245" t="str">
        <f>IFERROR(__xludf.DUMMYFUNCTION("IF(REGEXMATCH(I24, ""n""), ""10"","""")"),"")</f>
        <v/>
      </c>
      <c r="AM24" s="246" t="str">
        <f>IFERROR(__xludf.DUMMYFUNCTION("IF(REGEXMATCH(I24, ""N""), ""11"","""")"),"11")</f>
        <v>11</v>
      </c>
      <c r="AN24" s="249" t="str">
        <f>IFERROR(__xludf.DUMMYFUNCTION("IF(REGEXMATCH(I24, ""S""), ""0"","""")"),"0")</f>
        <v>0</v>
      </c>
      <c r="AO24" s="250" t="str">
        <f>IFERROR(__xludf.DUMMYFUNCTION("SUBSTITUTE(SUBSTITUTE(SUBSTITUTE(SUBSTITUTE(CONCATENATE(JOIN(""-"",AB24:AN24)),""--"",""-""),""--"",""-""),""--"",""-""),""--"",""-"")"),"0-1-3-5-7-9-11-0")</f>
        <v>0-1-3-5-7-9-11-0</v>
      </c>
      <c r="AP24" s="251">
        <f t="shared" si="13"/>
        <v>0</v>
      </c>
      <c r="AQ24" s="234" t="str">
        <f t="shared" si="14"/>
        <v>|</v>
      </c>
      <c r="AR24" s="236" t="str">
        <f t="shared" si="15"/>
        <v>|</v>
      </c>
      <c r="AS24" s="237" t="str">
        <f t="shared" si="16"/>
        <v>-</v>
      </c>
      <c r="AT24" s="236" t="str">
        <f t="shared" si="17"/>
        <v>|</v>
      </c>
      <c r="AU24" s="237" t="str">
        <f t="shared" si="18"/>
        <v>-</v>
      </c>
      <c r="AV24" s="236" t="str">
        <f t="shared" si="19"/>
        <v>|</v>
      </c>
      <c r="AW24" s="237" t="str">
        <f t="shared" si="20"/>
        <v>-</v>
      </c>
      <c r="AX24" s="236" t="str">
        <f t="shared" si="21"/>
        <v>|</v>
      </c>
      <c r="AY24" s="237" t="str">
        <f t="shared" si="22"/>
        <v>-</v>
      </c>
      <c r="AZ24" s="236" t="str">
        <f t="shared" si="23"/>
        <v>|</v>
      </c>
      <c r="BA24" s="237" t="str">
        <f t="shared" si="24"/>
        <v>-</v>
      </c>
      <c r="BB24" s="236" t="str">
        <f t="shared" si="25"/>
        <v>|</v>
      </c>
      <c r="BC24" s="238" t="str">
        <f t="shared" si="26"/>
        <v>|</v>
      </c>
      <c r="BD24" s="250" t="str">
        <f>IFERROR(__xludf.DUMMYFUNCTION("SUBSTITUTE(SUBSTITUTE(CONCATENATE(JOIN("""",AQ24:BB24)),""|"",""x""),""-"",""o"")"),"xxoxoxoxoxox")</f>
        <v>xxoxoxoxoxox</v>
      </c>
      <c r="BE24" s="323" t="str">
        <f>IFERROR(__xludf.DUMMYFUNCTION("JOIN("""",BD24,BD24)"),"xxoxoxoxoxoxxxoxoxoxoxox")</f>
        <v>xxoxoxoxoxoxxxoxoxoxoxox</v>
      </c>
      <c r="BF24" s="256" t="str">
        <f>IFERROR(__xludf.DUMMYFUNCTION("JOIN("""",ArrayFormula(MID(BD24,LEN(BD24)-SEQUENCE(1,LEN(BD24))+1,1)))"),"xoxoxoxoxoxx")</f>
        <v>xoxoxoxoxoxx</v>
      </c>
      <c r="BG24" s="256" t="str">
        <f>IFERROR(__xludf.DUMMYFUNCTION("LEFT(CONCATENATE(""x"",JOIN("""",ArrayFormula(MID(BD24,LEN(BD24)-SEQUENCE(1,LEN(BD24))+1,1)))),12)"),"xxoxoxoxoxox")</f>
        <v>xxoxoxoxoxox</v>
      </c>
      <c r="BH24" s="327" t="str">
        <f>IFERROR(__xludf.DUMMYFUNCTION("JOIN("""",BF24,BF24)"),"xoxoxoxoxoxxxoxoxoxoxoxx")</f>
        <v>xoxoxoxoxoxxxoxoxoxoxoxx</v>
      </c>
      <c r="BI24" s="239" t="str">
        <f>IFERROR(__xludf.DUMMYFUNCTION("IF(REGEXMATCH(BH24,BD24),""✔"",""-"")"),"✔")</f>
        <v>✔</v>
      </c>
      <c r="BJ24" s="330" t="str">
        <f t="shared" si="27"/>
        <v>✔</v>
      </c>
      <c r="BK24" s="260" t="str">
        <f t="shared" si="28"/>
        <v>-</v>
      </c>
      <c r="BL24" s="261" t="str">
        <f>IFERROR(__xludf.DUMMYFUNCTION("IF(BO24=0,""(n/a)"",IF(BP24=2,""(PAIR)"",IF(REGEXMATCH(BE24,""xoxoxxoxoxox""),""Bilawal"",IF(REGEXMATCH(BE24,""xoxoxooxoxoo""),""Bhupali"",IF(REGEXMATCH(BE24,""xoxoxxoxxoxo""),""Charukeshi"",IF(REGEXMATCH(BE24,""xoxoooxxoxxo""),""Kameshwari"",IF(REGEXMATC"&amp;"H(BE24,""xoxoxooxoxox""),""Shankara"",IF(REGEXMATCH(BE24,""xxooxoxxxoox""),""Basant"",IF(REGEXMATCH(BE24,""xoxoxxxxoxox""),""Bihag"",IF(REGEXMATCH(BE24,""xoxxxxoxoxxx""),""Pilu"",IF(REGEXMATCH(BE24,""xoxxoxoxxoox""),""Kirwani"",IF(REGEXMATCH(BE24,""xoxxox"&amp;"oxoxxx""),""Mk.Malhar"",IF(REGEXMATCH(BE24,""xxooxxoxxoox""),""Bhairav"",IF(REGEXMATCH(BE24,""xxoxooxxxoox""),""Todi"",IF(REGEXMATCH(BE24,""xxooxoxooxox""),""Marwa"",IF(REGEXMATCH(BE24,""xxoooxoxxooo""),""Gunkali"",IF(REGEXMATCH(BE24,""xoxoxxoxxoox""),""N"&amp;"at Bhairav"",IF(REGEXMATCH(BE24,""xoxxoooxoxoo""),""Shivranjani"",IF(REGEXMATCH(BE24,""xooxxxoxooxo""),""Jog"",IF(REGEXMATCH(BE24,""xxooxoxoxoox""),""Hemshri"",IF(REGEXMATCH(BE24,""xoooxooxoxxo""),""Kalavati"",IF(REGEXMATCH(BE24,""xxoxoxxoxoox""),""Kedar"&amp;""",IF(REGEXMATCH(BE24,""xoxxxxoxooxx""),""Gara"",IF(REGEXMATCH(BE24,""xooxoxooxoox""),""Chandrakauns"",IF(REGEXMATCH(BE24,""xoxxxxoxxxox""),""Mand"",IF(REGEXMATCH(BE24,""xoxxxxoxoxox""),""Hanskinkini"",IF(REGEXMATCH(BE24,""xxooxxoxooxo""),""Lilavati"",IF("&amp;"REGEXMATCH(BE24,""xooxoxoooxox""),""Rajeshwari"",IF(REGEXMATCH(BE24,""xoooxxoxoxxx""),""Khokar"",IF(REGEXMATCH(BE24,""xxooxoxxxxox""),""Maligoura"",""-""))))))))))))))))))))))))))))))"),"(PAIR)")</f>
        <v>(PAIR)</v>
      </c>
      <c r="BM24" s="239">
        <f t="shared" si="29"/>
        <v>6</v>
      </c>
      <c r="BN24" s="239">
        <f>IFERROR(__xludf.DUMMYFUNCTION("COUNTUNIQUE(BR24:CB24)-1"),6.0)</f>
        <v>6</v>
      </c>
      <c r="BO24" s="239">
        <f>IFERROR(__xludf.DUMMYFUNCTION("COUNTUNIQUE(FILTER(BE:BE,REGEXMATCH(BE:BE,BD24)))-1"),1.0)</f>
        <v>1</v>
      </c>
      <c r="BP24" s="239">
        <f>IFERROR(__xludf.DUMMYFUNCTION("COUNTA(FILTER(BE:BE,REGEXMATCH(BE:BE,BD24)))"),2.0)</f>
        <v>2</v>
      </c>
      <c r="BQ24" s="341">
        <f>IFERROR(__xludf.DUMMYFUNCTION("COUNTA(FILTER(BE:BE,REGEXMATCH(BE:BE,BD24)))-AP24"),2.0)</f>
        <v>2</v>
      </c>
      <c r="BR24" s="269" t="str">
        <f t="shared" si="30"/>
        <v>xoxoxoxoxox</v>
      </c>
      <c r="BS24" s="269" t="str">
        <f t="shared" si="31"/>
        <v>-</v>
      </c>
      <c r="BT24" s="271" t="str">
        <f t="shared" si="32"/>
        <v>xoxoxoxoxxx</v>
      </c>
      <c r="BU24" s="269" t="str">
        <f t="shared" si="33"/>
        <v>-</v>
      </c>
      <c r="BV24" s="271" t="str">
        <f t="shared" si="34"/>
        <v>xoxoxoxxxox</v>
      </c>
      <c r="BW24" s="271" t="str">
        <f t="shared" si="35"/>
        <v>-</v>
      </c>
      <c r="BX24" s="271" t="str">
        <f t="shared" si="36"/>
        <v>xoxoxxxoxox</v>
      </c>
      <c r="BY24" s="271" t="str">
        <f t="shared" si="37"/>
        <v>-</v>
      </c>
      <c r="BZ24" s="271" t="str">
        <f t="shared" si="38"/>
        <v>xoxxxoxoxox</v>
      </c>
      <c r="CA24" s="271" t="str">
        <f t="shared" si="39"/>
        <v>-</v>
      </c>
      <c r="CB24" s="274" t="str">
        <f t="shared" si="40"/>
        <v>xxxoxoxoxox</v>
      </c>
      <c r="CC24" s="276" t="str">
        <f>IFERROR(__xludf.DUMMYFUNCTION("IF(BD24=""oooooooooooo"",""-"",IF(REGEXMATCH(BE24,""xx""), ""Hemi."", ""Anhemi.""))"),"Hemi.")</f>
        <v>Hemi.</v>
      </c>
      <c r="CD24" s="282" t="str">
        <f>IFERROR(__xludf.DUMMYFUNCTION("IF(BD24=""oooooooooooo"",""-"",IF(REGEXMATCH(BE24,""xxx""), ""Cohem."", ""-""))"),"Cohem.")</f>
        <v>Cohem.</v>
      </c>
      <c r="CE24" s="282" t="str">
        <f>IFERROR(__xludf.DUMMYFUNCTION("IF(BD24=""oooooooooooo"",""-"",IF(REGEXMATCH(BE24,""xxxx""), ""Co-Co."", ""-""))"),"-")</f>
        <v>-</v>
      </c>
      <c r="CF24" s="342" t="str">
        <f>IFERROR(__xludf.DUMMYFUNCTION("IF(BD24=""oooooooooooo"",""-"",IF(REGEXMATCH(BE24,""xxxxx""), ""CCC."", ""-""))"),"-")</f>
        <v>-</v>
      </c>
      <c r="CG24" s="344" t="str">
        <f t="shared" si="41"/>
        <v>-</v>
      </c>
      <c r="CH24" s="282" t="str">
        <f>IFERROR(__xludf.DUMMYFUNCTION("IF(REGEXMATCH(JOIN(""-"",CJ24:CS24),""TRUE""),""✔"",""-"")"),"-")</f>
        <v>-</v>
      </c>
      <c r="CI24" s="225">
        <f t="shared" si="42"/>
        <v>0</v>
      </c>
      <c r="CJ24" s="376" t="b">
        <f>IFERROR(__xludf.DUMMYFUNCTION("arrayformula(sum(--REGEXMATCH(""SRGMPDNS"",split(REGEXREPLACE(I24,""(.)"",""$1~""),""~""))))=len(I24)
"),FALSE)</f>
        <v>0</v>
      </c>
      <c r="CK24" s="290" t="b">
        <f>IFERROR(__xludf.DUMMYFUNCTION("arrayformula(sum(--REGEXMATCH(""SRGmPDNS"",split(REGEXREPLACE(I24,""(.)"",""$1~""),""~""))))=len(I24)"),FALSE)</f>
        <v>0</v>
      </c>
      <c r="CL24" s="290" t="b">
        <f>IFERROR(__xludf.DUMMYFUNCTION("arrayformula(sum(--REGEXMATCH(""SRGmPDnS"",split(REGEXREPLACE(I24,""(.)"",""$1~""),""~""))))=len(I24)"),FALSE)</f>
        <v>0</v>
      </c>
      <c r="CM24" s="290" t="b">
        <f>IFERROR(__xludf.DUMMYFUNCTION("arrayformula(sum(--REGEXMATCH(""SRgmPDnS"",split(REGEXREPLACE(I24,""(.)"",""$1~""),""~""))))=len(I24)"),FALSE)</f>
        <v>0</v>
      </c>
      <c r="CN24" s="290" t="b">
        <f>IFERROR(__xludf.DUMMYFUNCTION("arrayformula(sum(--REGEXMATCH(""SRgmPdnS"",split(REGEXREPLACE(I24,""(.)"",""$1~""),""~""))))=len(I24)"),FALSE)</f>
        <v>0</v>
      </c>
      <c r="CO24" s="290" t="b">
        <f>IFERROR(__xludf.DUMMYFUNCTION("arrayformula(sum(--REGEXMATCH(""SrgmPdnS"",split(REGEXREPLACE(I24,""(.)"",""$1~""),""~""))))=len(I24)"),FALSE)</f>
        <v>0</v>
      </c>
      <c r="CP24" s="290" t="b">
        <f>IFERROR(__xludf.DUMMYFUNCTION("arrayformula(sum(--REGEXMATCH(""SrGmPdNS"",split(REGEXREPLACE(I24,""(.)"",""$1~""),""~""))))=len(I24)"),FALSE)</f>
        <v>0</v>
      </c>
      <c r="CQ24" s="290" t="b">
        <f>IFERROR(__xludf.DUMMYFUNCTION("arrayformula(sum(--REGEXMATCH(""SrGMPDNS"",split(REGEXREPLACE(I24,""(.)"",""$1~""),""~""))))=len(I24)"),FALSE)</f>
        <v>0</v>
      </c>
      <c r="CR24" s="290" t="b">
        <f>IFERROR(__xludf.DUMMYFUNCTION("arrayformula(sum(--REGEXMATCH(""SrGMPdNS"",split(REGEXREPLACE(I24,""(.)"",""$1~""),""~""))))=len(I24)"),FALSE)</f>
        <v>0</v>
      </c>
      <c r="CS24" s="293" t="b">
        <f>IFERROR(__xludf.DUMMYFUNCTION("arrayformula(sum(--REGEXMATCH(""SrgMPdNS"",split(REGEXREPLACE(I24,""(.)"",""$1~""),""~""))))=len(I24)"),FALSE)</f>
        <v>0</v>
      </c>
      <c r="CT24" s="244" t="str">
        <f>IFERROR(__xludf.DUMMYFUNCTION("IF(REGEXMATCH(I24, ""S""), ""1"","""")"),"1")</f>
        <v>1</v>
      </c>
      <c r="CU24" s="245" t="str">
        <f>IFERROR(__xludf.DUMMYFUNCTION("IF(REGEXMATCH(I24, ""r""), ""b2"","""")"),"b2")</f>
        <v>b2</v>
      </c>
      <c r="CV24" s="246" t="str">
        <f>IFERROR(__xludf.DUMMYFUNCTION("IF(REGEXMATCH(I24, ""R""), ""2"","""")"),"")</f>
        <v/>
      </c>
      <c r="CW24" s="246" t="str">
        <f>IFERROR(__xludf.DUMMYFUNCTION("IF(REGEXMATCH(I24, ""g""), ""b3"","""")"),"b3")</f>
        <v>b3</v>
      </c>
      <c r="CX24" s="245" t="str">
        <f>IFERROR(__xludf.DUMMYFUNCTION("IF(REGEXMATCH(I24, ""G""), ""3"","""")"),"")</f>
        <v/>
      </c>
      <c r="CY24" s="245" t="str">
        <f>IFERROR(__xludf.DUMMYFUNCTION("IF(REGEXMATCH(I24, ""m""), ""4"","""")"),"4")</f>
        <v>4</v>
      </c>
      <c r="CZ24" s="246" t="str">
        <f>IFERROR(__xludf.DUMMYFUNCTION("IF(REGEXMATCH(I24, ""M""), ""#4"","""")"),"")</f>
        <v/>
      </c>
      <c r="DA24" s="245" t="str">
        <f>IFERROR(__xludf.DUMMYFUNCTION("IF(REGEXMATCH(I24, ""P""), ""5"","""")"),"5")</f>
        <v>5</v>
      </c>
      <c r="DB24" s="246" t="str">
        <f>IFERROR(__xludf.DUMMYFUNCTION("IF(REGEXMATCH(I24, ""d""), ""b6"","""")"),"")</f>
        <v/>
      </c>
      <c r="DC24" s="245" t="str">
        <f>IFERROR(__xludf.DUMMYFUNCTION("IF(REGEXMATCH(I24, ""D""), ""6"","""")"),"6")</f>
        <v>6</v>
      </c>
      <c r="DD24" s="245" t="str">
        <f>IFERROR(__xludf.DUMMYFUNCTION("IF(REGEXMATCH(I24, ""n""), ""b7"","""")"),"")</f>
        <v/>
      </c>
      <c r="DE24" s="246" t="str">
        <f>IFERROR(__xludf.DUMMYFUNCTION("IF(REGEXMATCH(I24, ""N""), ""7"","""")"),"7")</f>
        <v>7</v>
      </c>
      <c r="DF24" s="249" t="str">
        <f>IFERROR(__xludf.DUMMYFUNCTION("IF(REGEXMATCH(I24, ""S""), ""8"","""")"),"8")</f>
        <v>8</v>
      </c>
      <c r="DG24" s="244" t="str">
        <f>IFERROR(__xludf.DUMMYFUNCTION("IF(REGEXMATCH(I24, ""S""), ""S"","""")"),"S")</f>
        <v>S</v>
      </c>
      <c r="DH24" s="294" t="str">
        <f>IFERROR(__xludf.DUMMYFUNCTION("IF(REGEXMATCH(I24, ""r""), ""R1"","""")"),"R1")</f>
        <v>R1</v>
      </c>
      <c r="DI24" s="295" t="str">
        <f>IFERROR(__xludf.DUMMYFUNCTION("IF(REGEXMATCH(I24, ""R""), ""R2"","""")"),"")</f>
        <v/>
      </c>
      <c r="DJ24" s="295" t="str">
        <f>IFERROR(__xludf.DUMMYFUNCTION("IF(REGEXMATCH(I24, ""g""), ""G2"","""")"),"G2")</f>
        <v>G2</v>
      </c>
      <c r="DK24" s="294" t="str">
        <f>IFERROR(__xludf.DUMMYFUNCTION("IF(REGEXMATCH(I24, ""G""), ""G3"","""")"),"")</f>
        <v/>
      </c>
      <c r="DL24" s="294" t="str">
        <f>IFERROR(__xludf.DUMMYFUNCTION("IF(REGEXMATCH(I24, ""m""), ""M1"","""")"),"M1")</f>
        <v>M1</v>
      </c>
      <c r="DM24" s="295" t="str">
        <f>IFERROR(__xludf.DUMMYFUNCTION("IF(REGEXMATCH(I24, ""M""), ""M2"","""")"),"")</f>
        <v/>
      </c>
      <c r="DN24" s="294" t="str">
        <f>IFERROR(__xludf.DUMMYFUNCTION("IF(REGEXMATCH(I24, ""P""), ""P"","""")"),"P")</f>
        <v>P</v>
      </c>
      <c r="DO24" s="295" t="str">
        <f>IFERROR(__xludf.DUMMYFUNCTION("IF(REGEXMATCH(I24, ""d""), ""D1"","""")"),"")</f>
        <v/>
      </c>
      <c r="DP24" s="294" t="str">
        <f>IFERROR(__xludf.DUMMYFUNCTION("IF(REGEXMATCH(I24, ""D""), ""D2"","""")"),"D2")</f>
        <v>D2</v>
      </c>
      <c r="DQ24" s="294" t="str">
        <f>IFERROR(__xludf.DUMMYFUNCTION("IF(REGEXMATCH(I24, ""n""), ""N2"","""")"),"")</f>
        <v/>
      </c>
      <c r="DR24" s="295" t="str">
        <f>IFERROR(__xludf.DUMMYFUNCTION("IF(REGEXMATCH(I24, ""N""), ""N3"","""")"),"N3")</f>
        <v>N3</v>
      </c>
      <c r="DS24" s="249" t="str">
        <f>IFERROR(__xludf.DUMMYFUNCTION("IF(REGEXMATCH(I24, ""S""), ""S"","""")"),"S")</f>
        <v>S</v>
      </c>
      <c r="DT24" s="299" t="str">
        <f>IFERROR(__xludf.DUMMYFUNCTION("SUBSTITUTE(SUBSTITUTE(SUBSTITUTE(SUBSTITUTE(CONCATENATE(JOIN(""-"",CT24:DF24)),""--"",""-""),""--"",""-""),""--"",""-""),""--"",""-"")"),"1-b2-b3-4-5-6-7-8")</f>
        <v>1-b2-b3-4-5-6-7-8</v>
      </c>
      <c r="DU24" s="299" t="str">
        <f>IFERROR(__xludf.DUMMYFUNCTION("SUBSTITUTE(SUBSTITUTE(SUBSTITUTE(SUBSTITUTE(CONCATENATE(JOIN(""-"",DG24:DS24)),""--"",""-""),""--"",""-""),""--"",""-""),""--"",""-"")"),"S-R1-G2-M1-P-D2-N3-S")</f>
        <v>S-R1-G2-M1-P-D2-N3-S</v>
      </c>
      <c r="DV24" s="348" t="str">
        <f t="shared" si="43"/>
        <v>C-Db-Eb-F-G-A-B-C</v>
      </c>
      <c r="DW24" s="301">
        <f t="shared" si="44"/>
        <v>7</v>
      </c>
      <c r="DX24" s="302" t="str">
        <f t="shared" si="45"/>
        <v>Sampurna</v>
      </c>
      <c r="DY24" s="301" t="str">
        <f t="shared" ref="DY24:DZ24" si="190">SUBSTITUTE(Y24,"-","")</f>
        <v>SRGM</v>
      </c>
      <c r="DZ24" s="301" t="str">
        <f t="shared" si="190"/>
        <v>PDNS</v>
      </c>
      <c r="EA24" s="302" t="str">
        <f t="shared" si="47"/>
        <v>(PAIR)</v>
      </c>
      <c r="EB24" s="301" t="str">
        <f t="shared" si="48"/>
        <v>Hemi.</v>
      </c>
      <c r="EC24" s="364" t="str">
        <f t="shared" si="49"/>
        <v>Cohem.</v>
      </c>
      <c r="ED24" s="306" t="str">
        <f t="shared" si="50"/>
        <v>-</v>
      </c>
      <c r="EE24" s="366" t="str">
        <f t="shared" si="51"/>
        <v>-</v>
      </c>
      <c r="EF24" s="308" t="str">
        <f t="shared" si="52"/>
        <v>✔</v>
      </c>
      <c r="EG24" s="306" t="str">
        <f t="shared" si="53"/>
        <v>-</v>
      </c>
      <c r="EH24" s="306" t="str">
        <f t="shared" si="54"/>
        <v>-</v>
      </c>
      <c r="EI24" s="367" t="str">
        <f t="shared" si="55"/>
        <v>-</v>
      </c>
      <c r="EJ24" s="310" t="str">
        <f t="shared" si="56"/>
        <v>-</v>
      </c>
      <c r="EK24" s="310" t="str">
        <f t="shared" si="57"/>
        <v>-</v>
      </c>
      <c r="EL24" s="310" t="str">
        <f t="shared" si="58"/>
        <v>-</v>
      </c>
      <c r="EM24" s="310" t="str">
        <f t="shared" si="59"/>
        <v>-</v>
      </c>
      <c r="EN24" s="370" t="str">
        <f t="shared" si="60"/>
        <v>-</v>
      </c>
      <c r="EO24" s="306" t="str">
        <f t="shared" si="61"/>
        <v>-</v>
      </c>
      <c r="EP24" s="306" t="str">
        <f t="shared" si="62"/>
        <v>-</v>
      </c>
      <c r="EQ24" s="306" t="str">
        <f t="shared" si="63"/>
        <v>-</v>
      </c>
      <c r="ER24" s="306" t="str">
        <f t="shared" si="64"/>
        <v>-</v>
      </c>
      <c r="ES24" s="306" t="str">
        <f t="shared" si="65"/>
        <v>-</v>
      </c>
      <c r="ET24" s="367" t="str">
        <f t="shared" si="66"/>
        <v>-</v>
      </c>
      <c r="EU24" s="310" t="str">
        <f>IFERROR(__xludf.DUMMYFUNCTION("IF(REGEXMATCH(BH24,BD24),""✔"",""-"")"),"✔")</f>
        <v>✔</v>
      </c>
      <c r="EV24" s="310" t="str">
        <f t="shared" si="67"/>
        <v>-</v>
      </c>
      <c r="EW24" s="370" t="str">
        <f t="shared" si="68"/>
        <v>✔</v>
      </c>
      <c r="EX24" s="315" t="str">
        <f t="shared" si="69"/>
        <v>[UQ]</v>
      </c>
      <c r="EY24" s="317" t="str">
        <f t="shared" si="70"/>
        <v>S-r-g-m-P-D-N-S</v>
      </c>
      <c r="EZ24" s="318" t="str">
        <f>IFERROR(__xludf.DUMMYFUNCTION("CONCATENATE(JOIN("""",GE24:GQ24))"),"SrgmPDNS")</f>
        <v>SrgmPDNS</v>
      </c>
      <c r="FA24" s="318"/>
      <c r="FB24" s="318"/>
      <c r="FC24" s="321">
        <f t="shared" si="71"/>
        <v>5</v>
      </c>
      <c r="FD24" s="318" t="str">
        <f>IFERROR(__xludf.DUMMYFUNCTION("CONCATENATE(JOIN("""",HR24:ID24))"),"re, ga, Pa, Dha, Ni, ")</f>
        <v>re, ga, Pa, Dha, Ni, </v>
      </c>
      <c r="FE24" s="322">
        <f t="shared" si="72"/>
        <v>4</v>
      </c>
      <c r="FF24" s="324" t="str">
        <f>IFERROR(__xludf.DUMMYFUNCTION("CONCATENATE(JOIN("""",IR24:JD24))"),"re, ga, Dha, Ni, ")</f>
        <v>re, ga, Dha, Ni, </v>
      </c>
      <c r="FG24" s="325" t="str">
        <f t="shared" si="73"/>
        <v>S-R1-G2-M1-P-D2-N3-S</v>
      </c>
      <c r="FH24" s="326" t="str">
        <f t="shared" si="74"/>
        <v>1-b2-b3-4-5-6-7-8</v>
      </c>
      <c r="FI24" s="326" t="str">
        <f t="shared" si="75"/>
        <v>0-1-3-5-7-9-11-0</v>
      </c>
      <c r="FJ24" s="318"/>
      <c r="FK24" s="328" t="str">
        <f>IFERROR(__xludf.DUMMYFUNCTION("SUBSTITUTE(SUBSTITUTE(SUBSTITUTE(SUBSTITUTE(CONCATENATE(JOIN("" "",FN24:FZ24)),""  "","" ""),""  "","" ""),""  "","" ""),""  "","" "")"),"o o • o • o • o • o • o o")</f>
        <v>o o • o • o • o • o • o o</v>
      </c>
      <c r="FL24" s="328" t="str">
        <f t="shared" si="76"/>
        <v>-</v>
      </c>
      <c r="FM24" s="329"/>
      <c r="FN24" s="331" t="str">
        <f t="shared" si="77"/>
        <v>o</v>
      </c>
      <c r="FO24" s="332" t="str">
        <f t="shared" si="78"/>
        <v>o</v>
      </c>
      <c r="FP24" s="332" t="str">
        <f t="shared" si="79"/>
        <v>•</v>
      </c>
      <c r="FQ24" s="332" t="str">
        <f t="shared" si="80"/>
        <v>o</v>
      </c>
      <c r="FR24" s="332" t="str">
        <f t="shared" si="81"/>
        <v>•</v>
      </c>
      <c r="FS24" s="332" t="str">
        <f t="shared" si="82"/>
        <v>o</v>
      </c>
      <c r="FT24" s="332" t="str">
        <f t="shared" si="83"/>
        <v>•</v>
      </c>
      <c r="FU24" s="332" t="str">
        <f t="shared" si="84"/>
        <v>o</v>
      </c>
      <c r="FV24" s="332" t="str">
        <f t="shared" si="85"/>
        <v>•</v>
      </c>
      <c r="FW24" s="332" t="str">
        <f t="shared" si="86"/>
        <v>o</v>
      </c>
      <c r="FX24" s="332" t="str">
        <f t="shared" si="87"/>
        <v>•</v>
      </c>
      <c r="FY24" s="332" t="str">
        <f t="shared" si="88"/>
        <v>o</v>
      </c>
      <c r="FZ24" s="338" t="str">
        <f t="shared" si="89"/>
        <v>o</v>
      </c>
      <c r="GA24" s="339" t="str">
        <f t="shared" si="90"/>
        <v>-</v>
      </c>
      <c r="GB24" s="339" t="str">
        <f t="shared" si="91"/>
        <v>Sa-Pa</v>
      </c>
      <c r="GC24" s="339" t="str">
        <f t="shared" si="92"/>
        <v>-</v>
      </c>
      <c r="GD24" s="340" t="str">
        <f t="shared" si="93"/>
        <v>-</v>
      </c>
      <c r="GE24" s="331" t="str">
        <f t="shared" si="94"/>
        <v>S</v>
      </c>
      <c r="GF24" s="332" t="str">
        <f t="shared" si="95"/>
        <v>r</v>
      </c>
      <c r="GG24" s="332" t="str">
        <f t="shared" si="96"/>
        <v/>
      </c>
      <c r="GH24" s="332" t="str">
        <f t="shared" si="97"/>
        <v>g</v>
      </c>
      <c r="GI24" s="332" t="str">
        <f t="shared" si="98"/>
        <v/>
      </c>
      <c r="GJ24" s="332" t="str">
        <f t="shared" si="99"/>
        <v>m</v>
      </c>
      <c r="GK24" s="332" t="str">
        <f t="shared" si="100"/>
        <v/>
      </c>
      <c r="GL24" s="332" t="str">
        <f t="shared" si="101"/>
        <v>P</v>
      </c>
      <c r="GM24" s="332" t="str">
        <f t="shared" si="102"/>
        <v/>
      </c>
      <c r="GN24" s="332" t="str">
        <f t="shared" si="103"/>
        <v>D</v>
      </c>
      <c r="GO24" s="332" t="str">
        <f t="shared" si="104"/>
        <v/>
      </c>
      <c r="GP24" s="332" t="str">
        <f t="shared" si="105"/>
        <v>N</v>
      </c>
      <c r="GQ24" s="343" t="str">
        <f t="shared" si="106"/>
        <v>S</v>
      </c>
      <c r="GR24" s="331" t="str">
        <f t="shared" si="107"/>
        <v>•</v>
      </c>
      <c r="GS24" s="332" t="str">
        <f t="shared" si="108"/>
        <v>•</v>
      </c>
      <c r="GT24" s="332" t="str">
        <f t="shared" si="109"/>
        <v>o</v>
      </c>
      <c r="GU24" s="332" t="str">
        <f t="shared" si="110"/>
        <v>•</v>
      </c>
      <c r="GV24" s="332" t="str">
        <f t="shared" si="111"/>
        <v>o</v>
      </c>
      <c r="GW24" s="332" t="str">
        <f t="shared" si="112"/>
        <v>•</v>
      </c>
      <c r="GX24" s="332" t="str">
        <f t="shared" si="113"/>
        <v>o</v>
      </c>
      <c r="GY24" s="332" t="str">
        <f t="shared" si="114"/>
        <v>•</v>
      </c>
      <c r="GZ24" s="332" t="str">
        <f t="shared" si="115"/>
        <v>o</v>
      </c>
      <c r="HA24" s="332" t="str">
        <f t="shared" si="116"/>
        <v>•</v>
      </c>
      <c r="HB24" s="332" t="str">
        <f t="shared" si="117"/>
        <v>o</v>
      </c>
      <c r="HC24" s="332" t="str">
        <f t="shared" si="118"/>
        <v>•</v>
      </c>
      <c r="HD24" s="338" t="str">
        <f t="shared" si="119"/>
        <v>•</v>
      </c>
      <c r="HE24" s="346" t="b">
        <f t="shared" si="120"/>
        <v>0</v>
      </c>
      <c r="HF24" s="347" t="b">
        <f t="shared" si="121"/>
        <v>1</v>
      </c>
      <c r="HG24" s="347" t="b">
        <f t="shared" si="122"/>
        <v>0</v>
      </c>
      <c r="HH24" s="347" t="b">
        <f t="shared" si="123"/>
        <v>1</v>
      </c>
      <c r="HI24" s="347" t="b">
        <f t="shared" si="124"/>
        <v>0</v>
      </c>
      <c r="HJ24" s="347" t="b">
        <f t="shared" si="125"/>
        <v>0</v>
      </c>
      <c r="HK24" s="347" t="b">
        <f t="shared" si="126"/>
        <v>0</v>
      </c>
      <c r="HL24" s="347" t="b">
        <f t="shared" si="127"/>
        <v>1</v>
      </c>
      <c r="HM24" s="347" t="b">
        <f t="shared" si="128"/>
        <v>0</v>
      </c>
      <c r="HN24" s="347" t="b">
        <f t="shared" si="129"/>
        <v>1</v>
      </c>
      <c r="HO24" s="347" t="b">
        <f t="shared" si="130"/>
        <v>0</v>
      </c>
      <c r="HP24" s="347" t="b">
        <f t="shared" si="131"/>
        <v>1</v>
      </c>
      <c r="HQ24" s="353" t="b">
        <f t="shared" si="132"/>
        <v>0</v>
      </c>
      <c r="HR24" s="354" t="str">
        <f t="shared" si="133"/>
        <v/>
      </c>
      <c r="HS24" s="355" t="str">
        <f t="shared" si="134"/>
        <v>re, </v>
      </c>
      <c r="HT24" s="355" t="str">
        <f t="shared" si="135"/>
        <v/>
      </c>
      <c r="HU24" s="355" t="str">
        <f t="shared" si="136"/>
        <v>ga, </v>
      </c>
      <c r="HV24" s="355" t="str">
        <f t="shared" si="137"/>
        <v/>
      </c>
      <c r="HW24" s="355" t="str">
        <f t="shared" si="138"/>
        <v/>
      </c>
      <c r="HX24" s="355" t="str">
        <f t="shared" si="139"/>
        <v/>
      </c>
      <c r="HY24" s="355" t="str">
        <f t="shared" si="140"/>
        <v>Pa, </v>
      </c>
      <c r="HZ24" s="355" t="str">
        <f t="shared" si="141"/>
        <v/>
      </c>
      <c r="IA24" s="355" t="str">
        <f t="shared" si="142"/>
        <v>Dha, </v>
      </c>
      <c r="IB24" s="355" t="str">
        <f t="shared" si="143"/>
        <v/>
      </c>
      <c r="IC24" s="355" t="str">
        <f t="shared" si="144"/>
        <v>Ni, </v>
      </c>
      <c r="ID24" s="359" t="str">
        <f t="shared" si="145"/>
        <v/>
      </c>
      <c r="IE24" s="346" t="b">
        <f t="shared" si="146"/>
        <v>0</v>
      </c>
      <c r="IF24" s="347" t="b">
        <f t="shared" si="147"/>
        <v>1</v>
      </c>
      <c r="IG24" s="347" t="b">
        <f t="shared" si="148"/>
        <v>0</v>
      </c>
      <c r="IH24" s="347" t="b">
        <f t="shared" si="149"/>
        <v>1</v>
      </c>
      <c r="II24" s="347" t="b">
        <f t="shared" si="150"/>
        <v>0</v>
      </c>
      <c r="IJ24" s="347" t="b">
        <f t="shared" si="151"/>
        <v>0</v>
      </c>
      <c r="IK24" s="347" t="b">
        <f t="shared" si="152"/>
        <v>0</v>
      </c>
      <c r="IL24" s="347" t="b">
        <f t="shared" si="153"/>
        <v>0</v>
      </c>
      <c r="IM24" s="347" t="b">
        <f t="shared" si="154"/>
        <v>0</v>
      </c>
      <c r="IN24" s="347" t="b">
        <f t="shared" si="155"/>
        <v>1</v>
      </c>
      <c r="IO24" s="347" t="b">
        <f t="shared" si="156"/>
        <v>0</v>
      </c>
      <c r="IP24" s="347" t="b">
        <f t="shared" si="157"/>
        <v>1</v>
      </c>
      <c r="IQ24" s="365" t="b">
        <f t="shared" si="158"/>
        <v>0</v>
      </c>
      <c r="IR24" s="354" t="str">
        <f t="shared" si="159"/>
        <v/>
      </c>
      <c r="IS24" s="355" t="str">
        <f t="shared" si="160"/>
        <v>re, </v>
      </c>
      <c r="IT24" s="355" t="str">
        <f t="shared" si="161"/>
        <v/>
      </c>
      <c r="IU24" s="355" t="str">
        <f t="shared" si="162"/>
        <v>ga, </v>
      </c>
      <c r="IV24" s="355" t="str">
        <f t="shared" si="163"/>
        <v/>
      </c>
      <c r="IW24" s="355" t="str">
        <f t="shared" si="164"/>
        <v/>
      </c>
      <c r="IX24" s="355" t="str">
        <f t="shared" si="165"/>
        <v/>
      </c>
      <c r="IY24" s="355" t="str">
        <f t="shared" si="166"/>
        <v/>
      </c>
      <c r="IZ24" s="355" t="str">
        <f t="shared" si="167"/>
        <v/>
      </c>
      <c r="JA24" s="355" t="str">
        <f t="shared" si="168"/>
        <v>Dha, </v>
      </c>
      <c r="JB24" s="355" t="str">
        <f t="shared" si="169"/>
        <v/>
      </c>
      <c r="JC24" s="355" t="str">
        <f t="shared" si="170"/>
        <v>Ni, </v>
      </c>
      <c r="JD24" s="359"/>
      <c r="JE24" s="321"/>
      <c r="JF24" s="368"/>
      <c r="JG24" s="369"/>
      <c r="JH24" s="369"/>
      <c r="JI24" s="369"/>
      <c r="JJ24" s="369"/>
      <c r="JK24" s="369"/>
      <c r="JL24" s="369"/>
      <c r="JM24" s="369"/>
      <c r="JN24" s="369"/>
      <c r="JO24" s="369"/>
      <c r="JP24" s="369"/>
    </row>
    <row r="25" ht="20.25" customHeight="1">
      <c r="A25" s="221" t="s">
        <v>888</v>
      </c>
      <c r="B25" s="222">
        <v>23.0</v>
      </c>
      <c r="C25" s="223" t="s">
        <v>889</v>
      </c>
      <c r="D25" s="224" t="s">
        <v>17</v>
      </c>
      <c r="E25" s="225" t="str">
        <f t="shared" si="5"/>
        <v>[UQ]</v>
      </c>
      <c r="F25" s="227">
        <f t="shared" si="6"/>
        <v>7</v>
      </c>
      <c r="G25" s="229">
        <f t="shared" si="7"/>
        <v>7</v>
      </c>
      <c r="H25" s="230">
        <f t="shared" si="8"/>
        <v>0</v>
      </c>
      <c r="I25" s="233" t="str">
        <f t="shared" si="9"/>
        <v>SRgmPdNS</v>
      </c>
      <c r="J25" s="234" t="str">
        <f>IFERROR(__xludf.DUMMYFUNCTION("IF(REGEXMATCH(I25, ""S""), ""S"","""")"),"S")</f>
        <v>S</v>
      </c>
      <c r="K25" s="236" t="str">
        <f>IFERROR(__xludf.DUMMYFUNCTION("IF(REGEXMATCH(I25, ""r""), ""r"","""")"),"")</f>
        <v/>
      </c>
      <c r="L25" s="237" t="str">
        <f>IFERROR(__xludf.DUMMYFUNCTION("IF(REGEXMATCH(I25, ""R""), ""R"","""")"),"R")</f>
        <v>R</v>
      </c>
      <c r="M25" s="237" t="str">
        <f>IFERROR(__xludf.DUMMYFUNCTION("IF(REGEXMATCH(I25, ""g""), ""g"","""")"),"g")</f>
        <v>g</v>
      </c>
      <c r="N25" s="236" t="str">
        <f>IFERROR(__xludf.DUMMYFUNCTION("IF(REGEXMATCH(I25, ""G""), ""G"","""")"),"")</f>
        <v/>
      </c>
      <c r="O25" s="236" t="str">
        <f>IFERROR(__xludf.DUMMYFUNCTION("IF(REGEXMATCH(I25, ""m""), ""m"","""")"),"m")</f>
        <v>m</v>
      </c>
      <c r="P25" s="237" t="str">
        <f>IFERROR(__xludf.DUMMYFUNCTION("IF(REGEXMATCH(I25, ""M""), ""M"","""")"),"")</f>
        <v/>
      </c>
      <c r="Q25" s="236" t="str">
        <f>IFERROR(__xludf.DUMMYFUNCTION("IF(REGEXMATCH(I25, ""P""), ""P"","""")"),"P")</f>
        <v>P</v>
      </c>
      <c r="R25" s="237" t="str">
        <f>IFERROR(__xludf.DUMMYFUNCTION("IF(REGEXMATCH(I25, ""d""), ""d"","""")"),"d")</f>
        <v>d</v>
      </c>
      <c r="S25" s="236" t="str">
        <f>IFERROR(__xludf.DUMMYFUNCTION("IF(REGEXMATCH(I25, ""D""), ""D"","""")"),"")</f>
        <v/>
      </c>
      <c r="T25" s="236" t="str">
        <f>IFERROR(__xludf.DUMMYFUNCTION("IF(REGEXMATCH(I25, ""n""), ""n"","""")"),"")</f>
        <v/>
      </c>
      <c r="U25" s="237" t="str">
        <f>IFERROR(__xludf.DUMMYFUNCTION("IF(REGEXMATCH(I25, ""N""), ""N"","""")"),"N")</f>
        <v>N</v>
      </c>
      <c r="V25" s="238" t="str">
        <f>IFERROR(__xludf.DUMMYFUNCTION("IF(REGEXMATCH(I25, ""S""), ""S"","""")"),"S")</f>
        <v>S</v>
      </c>
      <c r="W25" s="239" t="str">
        <f>IFERROR(__xludf.DUMMYFUNCTION("SUBSTITUTE(CONCATENATE(JOIN(""-"",J25:P25)),""-"","""")"),"SRgm")</f>
        <v>SRgm</v>
      </c>
      <c r="X25" s="229" t="str">
        <f>IFERROR(__xludf.DUMMYFUNCTION("SUBSTITUTE(CONCATENATE(JOIN(""-"",Q25:V25)),""-"","""")"),"PdNS")</f>
        <v>PdNS</v>
      </c>
      <c r="Y25" s="282" t="str">
        <f t="shared" si="10"/>
        <v>S-R-G-M</v>
      </c>
      <c r="Z25" s="282" t="str">
        <f t="shared" si="11"/>
        <v>P-D-N-S</v>
      </c>
      <c r="AA25" s="309" t="str">
        <f t="shared" si="12"/>
        <v>RgmdN</v>
      </c>
      <c r="AB25" s="244" t="str">
        <f>IFERROR(__xludf.DUMMYFUNCTION("IF(REGEXMATCH(I25, ""S""), ""0"","""")"),"0")</f>
        <v>0</v>
      </c>
      <c r="AC25" s="245" t="str">
        <f>IFERROR(__xludf.DUMMYFUNCTION("IF(REGEXMATCH(I25, ""r""), ""1"","""")"),"")</f>
        <v/>
      </c>
      <c r="AD25" s="246" t="str">
        <f>IFERROR(__xludf.DUMMYFUNCTION("IF(REGEXMATCH(I25, ""R""), ""2"","""")"),"2")</f>
        <v>2</v>
      </c>
      <c r="AE25" s="246" t="str">
        <f>IFERROR(__xludf.DUMMYFUNCTION("IF(REGEXMATCH(I25, ""g""), ""3"","""")"),"3")</f>
        <v>3</v>
      </c>
      <c r="AF25" s="245" t="str">
        <f>IFERROR(__xludf.DUMMYFUNCTION("IF(REGEXMATCH(I25, ""G""), ""4"","""")"),"")</f>
        <v/>
      </c>
      <c r="AG25" s="245" t="str">
        <f>IFERROR(__xludf.DUMMYFUNCTION("IF(REGEXMATCH(I25, ""m""), ""5"","""")"),"5")</f>
        <v>5</v>
      </c>
      <c r="AH25" s="246" t="str">
        <f>IFERROR(__xludf.DUMMYFUNCTION("IF(REGEXMATCH(I25, ""M""), ""6"","""")"),"")</f>
        <v/>
      </c>
      <c r="AI25" s="245" t="str">
        <f>IFERROR(__xludf.DUMMYFUNCTION("IF(REGEXMATCH(I25, ""P""), ""7"","""")"),"7")</f>
        <v>7</v>
      </c>
      <c r="AJ25" s="246" t="str">
        <f>IFERROR(__xludf.DUMMYFUNCTION("IF(REGEXMATCH(I25, ""d""), ""8"","""")"),"8")</f>
        <v>8</v>
      </c>
      <c r="AK25" s="245" t="str">
        <f>IFERROR(__xludf.DUMMYFUNCTION("IF(REGEXMATCH(I25, ""D""), ""9"","""")"),"")</f>
        <v/>
      </c>
      <c r="AL25" s="245" t="str">
        <f>IFERROR(__xludf.DUMMYFUNCTION("IF(REGEXMATCH(I25, ""n""), ""10"","""")"),"")</f>
        <v/>
      </c>
      <c r="AM25" s="246" t="str">
        <f>IFERROR(__xludf.DUMMYFUNCTION("IF(REGEXMATCH(I25, ""N""), ""11"","""")"),"11")</f>
        <v>11</v>
      </c>
      <c r="AN25" s="249" t="str">
        <f>IFERROR(__xludf.DUMMYFUNCTION("IF(REGEXMATCH(I25, ""S""), ""0"","""")"),"0")</f>
        <v>0</v>
      </c>
      <c r="AO25" s="250" t="str">
        <f>IFERROR(__xludf.DUMMYFUNCTION("SUBSTITUTE(SUBSTITUTE(SUBSTITUTE(SUBSTITUTE(CONCATENATE(JOIN(""-"",AB25:AN25)),""--"",""-""),""--"",""-""),""--"",""-""),""--"",""-"")"),"0-2-3-5-7-8-11-0")</f>
        <v>0-2-3-5-7-8-11-0</v>
      </c>
      <c r="AP25" s="251">
        <f t="shared" si="13"/>
        <v>0</v>
      </c>
      <c r="AQ25" s="234" t="str">
        <f t="shared" si="14"/>
        <v>|</v>
      </c>
      <c r="AR25" s="236" t="str">
        <f t="shared" si="15"/>
        <v>-</v>
      </c>
      <c r="AS25" s="237" t="str">
        <f t="shared" si="16"/>
        <v>|</v>
      </c>
      <c r="AT25" s="236" t="str">
        <f t="shared" si="17"/>
        <v>|</v>
      </c>
      <c r="AU25" s="237" t="str">
        <f t="shared" si="18"/>
        <v>-</v>
      </c>
      <c r="AV25" s="236" t="str">
        <f t="shared" si="19"/>
        <v>|</v>
      </c>
      <c r="AW25" s="237" t="str">
        <f t="shared" si="20"/>
        <v>-</v>
      </c>
      <c r="AX25" s="236" t="str">
        <f t="shared" si="21"/>
        <v>|</v>
      </c>
      <c r="AY25" s="237" t="str">
        <f t="shared" si="22"/>
        <v>|</v>
      </c>
      <c r="AZ25" s="236" t="str">
        <f t="shared" si="23"/>
        <v>-</v>
      </c>
      <c r="BA25" s="237" t="str">
        <f t="shared" si="24"/>
        <v>-</v>
      </c>
      <c r="BB25" s="236" t="str">
        <f t="shared" si="25"/>
        <v>|</v>
      </c>
      <c r="BC25" s="238" t="str">
        <f t="shared" si="26"/>
        <v>|</v>
      </c>
      <c r="BD25" s="250" t="str">
        <f>IFERROR(__xludf.DUMMYFUNCTION("SUBSTITUTE(SUBSTITUTE(CONCATENATE(JOIN("""",AQ25:BB25)),""|"",""x""),""-"",""o"")"),"xoxxoxoxxoox")</f>
        <v>xoxxoxoxxoox</v>
      </c>
      <c r="BE25" s="323" t="str">
        <f>IFERROR(__xludf.DUMMYFUNCTION("JOIN("""",BD25,BD25)"),"xoxxoxoxxooxxoxxoxoxxoox")</f>
        <v>xoxxoxoxxooxxoxxoxoxxoox</v>
      </c>
      <c r="BF25" s="256" t="str">
        <f>IFERROR(__xludf.DUMMYFUNCTION("JOIN("""",ArrayFormula(MID(BD25,LEN(BD25)-SEQUENCE(1,LEN(BD25))+1,1)))"),"xooxxoxoxxox")</f>
        <v>xooxxoxoxxox</v>
      </c>
      <c r="BG25" s="256" t="str">
        <f>IFERROR(__xludf.DUMMYFUNCTION("LEFT(CONCATENATE(""x"",JOIN("""",ArrayFormula(MID(BD25,LEN(BD25)-SEQUENCE(1,LEN(BD25))+1,1)))),12)"),"xxooxxoxoxxo")</f>
        <v>xxooxxoxoxxo</v>
      </c>
      <c r="BH25" s="327" t="str">
        <f>IFERROR(__xludf.DUMMYFUNCTION("JOIN("""",BF25,BF25)"),"xooxxoxoxxoxxooxxoxoxxox")</f>
        <v>xooxxoxoxxoxxooxxoxoxxox</v>
      </c>
      <c r="BI25" s="239" t="str">
        <f>IFERROR(__xludf.DUMMYFUNCTION("IF(REGEXMATCH(BH25,BD25),""✔"",""-"")"),"-")</f>
        <v>-</v>
      </c>
      <c r="BJ25" s="330" t="str">
        <f t="shared" si="27"/>
        <v>-</v>
      </c>
      <c r="BK25" s="260" t="str">
        <f t="shared" si="28"/>
        <v>-</v>
      </c>
      <c r="BL25" s="261" t="str">
        <f>IFERROR(__xludf.DUMMYFUNCTION("IF(BO25=0,""(n/a)"",IF(BP25=2,""(PAIR)"",IF(REGEXMATCH(BE25,""xoxoxxoxoxox""),""Bilawal"",IF(REGEXMATCH(BE25,""xoxoxooxoxoo""),""Bhupali"",IF(REGEXMATCH(BE25,""xoxoxxoxxoxo""),""Charukeshi"",IF(REGEXMATCH(BE25,""xoxoooxxoxxo""),""Kameshwari"",IF(REGEXMATC"&amp;"H(BE25,""xoxoxooxoxox""),""Shankara"",IF(REGEXMATCH(BE25,""xxooxoxxxoox""),""Basant"",IF(REGEXMATCH(BE25,""xoxoxxxxoxox""),""Bihag"",IF(REGEXMATCH(BE25,""xoxxxxoxoxxx""),""Pilu"",IF(REGEXMATCH(BE25,""xoxxoxoxxoox""),""Kirwani"",IF(REGEXMATCH(BE25,""xoxxox"&amp;"oxoxxx""),""Mk.Malhar"",IF(REGEXMATCH(BE25,""xxooxxoxxoox""),""Bhairav"",IF(REGEXMATCH(BE25,""xxoxooxxxoox""),""Todi"",IF(REGEXMATCH(BE25,""xxooxoxooxox""),""Marwa"",IF(REGEXMATCH(BE25,""xxoooxoxxooo""),""Gunkali"",IF(REGEXMATCH(BE25,""xoxoxxoxxoox""),""N"&amp;"at Bhairav"",IF(REGEXMATCH(BE25,""xoxxoooxoxoo""),""Shivranjani"",IF(REGEXMATCH(BE25,""xooxxxoxooxo""),""Jog"",IF(REGEXMATCH(BE25,""xxooxoxoxoox""),""Hemshri"",IF(REGEXMATCH(BE25,""xoooxooxoxxo""),""Kalavati"",IF(REGEXMATCH(BE25,""xxoxoxxoxoox""),""Kedar"&amp;""",IF(REGEXMATCH(BE25,""xoxxxxoxooxx""),""Gara"",IF(REGEXMATCH(BE25,""xooxoxooxoox""),""Chandrakauns"",IF(REGEXMATCH(BE25,""xoxxxxoxxxox""),""Mand"",IF(REGEXMATCH(BE25,""xoxxxxoxoxox""),""Hanskinkini"",IF(REGEXMATCH(BE25,""xxooxxoxooxo""),""Lilavati"",IF("&amp;"REGEXMATCH(BE25,""xooxoxoooxox""),""Rajeshwari"",IF(REGEXMATCH(BE25,""xoooxxoxoxxx""),""Khokar"",IF(REGEXMATCH(BE25,""xxooxoxxxxox""),""Maligoura"",""-""))))))))))))))))))))))))))))))"),"Kirwani")</f>
        <v>Kirwani</v>
      </c>
      <c r="BM25" s="239">
        <f t="shared" si="29"/>
        <v>6</v>
      </c>
      <c r="BN25" s="239">
        <f>IFERROR(__xludf.DUMMYFUNCTION("COUNTUNIQUE(BR25:CB25)-1"),6.0)</f>
        <v>6</v>
      </c>
      <c r="BO25" s="239">
        <f>IFERROR(__xludf.DUMMYFUNCTION("COUNTUNIQUE(FILTER(BE:BE,REGEXMATCH(BE:BE,BD25)))-1"),2.0)</f>
        <v>2</v>
      </c>
      <c r="BP25" s="239">
        <f>IFERROR(__xludf.DUMMYFUNCTION("COUNTA(FILTER(BE:BE,REGEXMATCH(BE:BE,BD25)))"),3.0)</f>
        <v>3</v>
      </c>
      <c r="BQ25" s="341">
        <f>IFERROR(__xludf.DUMMYFUNCTION("COUNTA(FILTER(BE:BE,REGEXMATCH(BE:BE,BD25)))-AP25"),3.0)</f>
        <v>3</v>
      </c>
      <c r="BR25" s="269" t="str">
        <f t="shared" si="30"/>
        <v>-</v>
      </c>
      <c r="BS25" s="269" t="str">
        <f t="shared" si="31"/>
        <v>xxoxoxxooxx</v>
      </c>
      <c r="BT25" s="271" t="str">
        <f t="shared" si="32"/>
        <v>xoxoxxooxxo</v>
      </c>
      <c r="BU25" s="269" t="str">
        <f t="shared" si="33"/>
        <v>-</v>
      </c>
      <c r="BV25" s="271" t="str">
        <f t="shared" si="34"/>
        <v>xoxxooxxoxx</v>
      </c>
      <c r="BW25" s="271" t="str">
        <f t="shared" si="35"/>
        <v>-</v>
      </c>
      <c r="BX25" s="271" t="str">
        <f t="shared" si="36"/>
        <v>xxooxxoxxox</v>
      </c>
      <c r="BY25" s="271" t="str">
        <f t="shared" si="37"/>
        <v>xooxxoxxoxo</v>
      </c>
      <c r="BZ25" s="271" t="str">
        <f t="shared" si="38"/>
        <v>-</v>
      </c>
      <c r="CA25" s="271" t="str">
        <f t="shared" si="39"/>
        <v>-</v>
      </c>
      <c r="CB25" s="274" t="str">
        <f t="shared" si="40"/>
        <v>xxoxxoxoxxo</v>
      </c>
      <c r="CC25" s="276" t="str">
        <f>IFERROR(__xludf.DUMMYFUNCTION("IF(BD25=""oooooooooooo"",""-"",IF(REGEXMATCH(BE25,""xx""), ""Hemi."", ""Anhemi.""))"),"Hemi.")</f>
        <v>Hemi.</v>
      </c>
      <c r="CD25" s="282" t="str">
        <f>IFERROR(__xludf.DUMMYFUNCTION("IF(BD25=""oooooooooooo"",""-"",IF(REGEXMATCH(BE25,""xxx""), ""Cohem."", ""-""))"),"-")</f>
        <v>-</v>
      </c>
      <c r="CE25" s="282" t="str">
        <f>IFERROR(__xludf.DUMMYFUNCTION("IF(BD25=""oooooooooooo"",""-"",IF(REGEXMATCH(BE25,""xxxx""), ""Co-Co."", ""-""))"),"-")</f>
        <v>-</v>
      </c>
      <c r="CF25" s="342" t="str">
        <f>IFERROR(__xludf.DUMMYFUNCTION("IF(BD25=""oooooooooooo"",""-"",IF(REGEXMATCH(BE25,""xxxxx""), ""CCC."", ""-""))"),"-")</f>
        <v>-</v>
      </c>
      <c r="CG25" s="344" t="str">
        <f t="shared" si="41"/>
        <v>-</v>
      </c>
      <c r="CH25" s="282" t="str">
        <f>IFERROR(__xludf.DUMMYFUNCTION("IF(REGEXMATCH(JOIN(""-"",CJ25:CS25),""TRUE""),""✔"",""-"")"),"-")</f>
        <v>-</v>
      </c>
      <c r="CI25" s="225">
        <f t="shared" si="42"/>
        <v>0</v>
      </c>
      <c r="CJ25" s="376" t="b">
        <f>IFERROR(__xludf.DUMMYFUNCTION("arrayformula(sum(--REGEXMATCH(""SRGMPDNS"",split(REGEXREPLACE(I25,""(.)"",""$1~""),""~""))))=len(I25)
"),FALSE)</f>
        <v>0</v>
      </c>
      <c r="CK25" s="290" t="b">
        <f>IFERROR(__xludf.DUMMYFUNCTION("arrayformula(sum(--REGEXMATCH(""SRGmPDNS"",split(REGEXREPLACE(I25,""(.)"",""$1~""),""~""))))=len(I25)"),FALSE)</f>
        <v>0</v>
      </c>
      <c r="CL25" s="290" t="b">
        <f>IFERROR(__xludf.DUMMYFUNCTION("arrayformula(sum(--REGEXMATCH(""SRGmPDnS"",split(REGEXREPLACE(I25,""(.)"",""$1~""),""~""))))=len(I25)"),FALSE)</f>
        <v>0</v>
      </c>
      <c r="CM25" s="290" t="b">
        <f>IFERROR(__xludf.DUMMYFUNCTION("arrayformula(sum(--REGEXMATCH(""SRgmPDnS"",split(REGEXREPLACE(I25,""(.)"",""$1~""),""~""))))=len(I25)"),FALSE)</f>
        <v>0</v>
      </c>
      <c r="CN25" s="290" t="b">
        <f>IFERROR(__xludf.DUMMYFUNCTION("arrayformula(sum(--REGEXMATCH(""SRgmPdnS"",split(REGEXREPLACE(I25,""(.)"",""$1~""),""~""))))=len(I25)"),FALSE)</f>
        <v>0</v>
      </c>
      <c r="CO25" s="290" t="b">
        <f>IFERROR(__xludf.DUMMYFUNCTION("arrayformula(sum(--REGEXMATCH(""SrgmPdnS"",split(REGEXREPLACE(I25,""(.)"",""$1~""),""~""))))=len(I25)"),FALSE)</f>
        <v>0</v>
      </c>
      <c r="CP25" s="290" t="b">
        <f>IFERROR(__xludf.DUMMYFUNCTION("arrayformula(sum(--REGEXMATCH(""SrGmPdNS"",split(REGEXREPLACE(I25,""(.)"",""$1~""),""~""))))=len(I25)"),FALSE)</f>
        <v>0</v>
      </c>
      <c r="CQ25" s="290" t="b">
        <f>IFERROR(__xludf.DUMMYFUNCTION("arrayformula(sum(--REGEXMATCH(""SrGMPDNS"",split(REGEXREPLACE(I25,""(.)"",""$1~""),""~""))))=len(I25)"),FALSE)</f>
        <v>0</v>
      </c>
      <c r="CR25" s="290" t="b">
        <f>IFERROR(__xludf.DUMMYFUNCTION("arrayformula(sum(--REGEXMATCH(""SrGMPdNS"",split(REGEXREPLACE(I25,""(.)"",""$1~""),""~""))))=len(I25)"),FALSE)</f>
        <v>0</v>
      </c>
      <c r="CS25" s="293" t="b">
        <f>IFERROR(__xludf.DUMMYFUNCTION("arrayformula(sum(--REGEXMATCH(""SrgMPdNS"",split(REGEXREPLACE(I25,""(.)"",""$1~""),""~""))))=len(I25)"),FALSE)</f>
        <v>0</v>
      </c>
      <c r="CT25" s="244" t="str">
        <f>IFERROR(__xludf.DUMMYFUNCTION("IF(REGEXMATCH(I25, ""S""), ""1"","""")"),"1")</f>
        <v>1</v>
      </c>
      <c r="CU25" s="245" t="str">
        <f>IFERROR(__xludf.DUMMYFUNCTION("IF(REGEXMATCH(I25, ""r""), ""b2"","""")"),"")</f>
        <v/>
      </c>
      <c r="CV25" s="246" t="str">
        <f>IFERROR(__xludf.DUMMYFUNCTION("IF(REGEXMATCH(I25, ""R""), ""2"","""")"),"2")</f>
        <v>2</v>
      </c>
      <c r="CW25" s="246" t="str">
        <f>IFERROR(__xludf.DUMMYFUNCTION("IF(REGEXMATCH(I25, ""g""), ""b3"","""")"),"b3")</f>
        <v>b3</v>
      </c>
      <c r="CX25" s="245" t="str">
        <f>IFERROR(__xludf.DUMMYFUNCTION("IF(REGEXMATCH(I25, ""G""), ""3"","""")"),"")</f>
        <v/>
      </c>
      <c r="CY25" s="245" t="str">
        <f>IFERROR(__xludf.DUMMYFUNCTION("IF(REGEXMATCH(I25, ""m""), ""4"","""")"),"4")</f>
        <v>4</v>
      </c>
      <c r="CZ25" s="246" t="str">
        <f>IFERROR(__xludf.DUMMYFUNCTION("IF(REGEXMATCH(I25, ""M""), ""#4"","""")"),"")</f>
        <v/>
      </c>
      <c r="DA25" s="245" t="str">
        <f>IFERROR(__xludf.DUMMYFUNCTION("IF(REGEXMATCH(I25, ""P""), ""5"","""")"),"5")</f>
        <v>5</v>
      </c>
      <c r="DB25" s="246" t="str">
        <f>IFERROR(__xludf.DUMMYFUNCTION("IF(REGEXMATCH(I25, ""d""), ""b6"","""")"),"b6")</f>
        <v>b6</v>
      </c>
      <c r="DC25" s="245" t="str">
        <f>IFERROR(__xludf.DUMMYFUNCTION("IF(REGEXMATCH(I25, ""D""), ""6"","""")"),"")</f>
        <v/>
      </c>
      <c r="DD25" s="245" t="str">
        <f>IFERROR(__xludf.DUMMYFUNCTION("IF(REGEXMATCH(I25, ""n""), ""b7"","""")"),"")</f>
        <v/>
      </c>
      <c r="DE25" s="246" t="str">
        <f>IFERROR(__xludf.DUMMYFUNCTION("IF(REGEXMATCH(I25, ""N""), ""7"","""")"),"7")</f>
        <v>7</v>
      </c>
      <c r="DF25" s="249" t="str">
        <f>IFERROR(__xludf.DUMMYFUNCTION("IF(REGEXMATCH(I25, ""S""), ""8"","""")"),"8")</f>
        <v>8</v>
      </c>
      <c r="DG25" s="244" t="str">
        <f>IFERROR(__xludf.DUMMYFUNCTION("IF(REGEXMATCH(I25, ""S""), ""S"","""")"),"S")</f>
        <v>S</v>
      </c>
      <c r="DH25" s="294" t="str">
        <f>IFERROR(__xludf.DUMMYFUNCTION("IF(REGEXMATCH(I25, ""r""), ""R1"","""")"),"")</f>
        <v/>
      </c>
      <c r="DI25" s="295" t="str">
        <f>IFERROR(__xludf.DUMMYFUNCTION("IF(REGEXMATCH(I25, ""R""), ""R2"","""")"),"R2")</f>
        <v>R2</v>
      </c>
      <c r="DJ25" s="295" t="str">
        <f>IFERROR(__xludf.DUMMYFUNCTION("IF(REGEXMATCH(I25, ""g""), ""G2"","""")"),"G2")</f>
        <v>G2</v>
      </c>
      <c r="DK25" s="294" t="str">
        <f>IFERROR(__xludf.DUMMYFUNCTION("IF(REGEXMATCH(I25, ""G""), ""G3"","""")"),"")</f>
        <v/>
      </c>
      <c r="DL25" s="294" t="str">
        <f>IFERROR(__xludf.DUMMYFUNCTION("IF(REGEXMATCH(I25, ""m""), ""M1"","""")"),"M1")</f>
        <v>M1</v>
      </c>
      <c r="DM25" s="295" t="str">
        <f>IFERROR(__xludf.DUMMYFUNCTION("IF(REGEXMATCH(I25, ""M""), ""M2"","""")"),"")</f>
        <v/>
      </c>
      <c r="DN25" s="294" t="str">
        <f>IFERROR(__xludf.DUMMYFUNCTION("IF(REGEXMATCH(I25, ""P""), ""P"","""")"),"P")</f>
        <v>P</v>
      </c>
      <c r="DO25" s="295" t="str">
        <f>IFERROR(__xludf.DUMMYFUNCTION("IF(REGEXMATCH(I25, ""d""), ""D1"","""")"),"D1")</f>
        <v>D1</v>
      </c>
      <c r="DP25" s="294" t="str">
        <f>IFERROR(__xludf.DUMMYFUNCTION("IF(REGEXMATCH(I25, ""D""), ""D2"","""")"),"")</f>
        <v/>
      </c>
      <c r="DQ25" s="294" t="str">
        <f>IFERROR(__xludf.DUMMYFUNCTION("IF(REGEXMATCH(I25, ""n""), ""N2"","""")"),"")</f>
        <v/>
      </c>
      <c r="DR25" s="295" t="str">
        <f>IFERROR(__xludf.DUMMYFUNCTION("IF(REGEXMATCH(I25, ""N""), ""N3"","""")"),"N3")</f>
        <v>N3</v>
      </c>
      <c r="DS25" s="249" t="str">
        <f>IFERROR(__xludf.DUMMYFUNCTION("IF(REGEXMATCH(I25, ""S""), ""S"","""")"),"S")</f>
        <v>S</v>
      </c>
      <c r="DT25" s="299" t="str">
        <f>IFERROR(__xludf.DUMMYFUNCTION("SUBSTITUTE(SUBSTITUTE(SUBSTITUTE(SUBSTITUTE(CONCATENATE(JOIN(""-"",CT25:DF25)),""--"",""-""),""--"",""-""),""--"",""-""),""--"",""-"")"),"1-2-b3-4-5-b6-7-8")</f>
        <v>1-2-b3-4-5-b6-7-8</v>
      </c>
      <c r="DU25" s="299" t="str">
        <f>IFERROR(__xludf.DUMMYFUNCTION("SUBSTITUTE(SUBSTITUTE(SUBSTITUTE(SUBSTITUTE(CONCATENATE(JOIN(""-"",DG25:DS25)),""--"",""-""),""--"",""-""),""--"",""-""),""--"",""-"")"),"S-R2-G2-M1-P-D1-N3-S")</f>
        <v>S-R2-G2-M1-P-D1-N3-S</v>
      </c>
      <c r="DV25" s="348" t="str">
        <f t="shared" si="43"/>
        <v>C-D-Eb-F-G-Ab-B-C</v>
      </c>
      <c r="DW25" s="301">
        <f t="shared" si="44"/>
        <v>7</v>
      </c>
      <c r="DX25" s="302" t="str">
        <f t="shared" si="45"/>
        <v>Sampurna</v>
      </c>
      <c r="DY25" s="301" t="str">
        <f t="shared" ref="DY25:DZ25" si="191">SUBSTITUTE(Y25,"-","")</f>
        <v>SRGM</v>
      </c>
      <c r="DZ25" s="301" t="str">
        <f t="shared" si="191"/>
        <v>PDNS</v>
      </c>
      <c r="EA25" s="302" t="str">
        <f t="shared" si="47"/>
        <v>Kirwani</v>
      </c>
      <c r="EB25" s="301" t="str">
        <f t="shared" si="48"/>
        <v>Hemi.</v>
      </c>
      <c r="EC25" s="364" t="str">
        <f t="shared" si="49"/>
        <v>-</v>
      </c>
      <c r="ED25" s="306" t="str">
        <f t="shared" si="50"/>
        <v>-</v>
      </c>
      <c r="EE25" s="366" t="str">
        <f t="shared" si="51"/>
        <v>-</v>
      </c>
      <c r="EF25" s="308" t="str">
        <f t="shared" si="52"/>
        <v>✔</v>
      </c>
      <c r="EG25" s="306" t="str">
        <f t="shared" si="53"/>
        <v>-</v>
      </c>
      <c r="EH25" s="306" t="str">
        <f t="shared" si="54"/>
        <v>-</v>
      </c>
      <c r="EI25" s="367" t="str">
        <f t="shared" si="55"/>
        <v>-</v>
      </c>
      <c r="EJ25" s="310" t="str">
        <f t="shared" si="56"/>
        <v>-</v>
      </c>
      <c r="EK25" s="310" t="str">
        <f t="shared" si="57"/>
        <v>-</v>
      </c>
      <c r="EL25" s="310" t="str">
        <f t="shared" si="58"/>
        <v>-</v>
      </c>
      <c r="EM25" s="310" t="str">
        <f t="shared" si="59"/>
        <v>-</v>
      </c>
      <c r="EN25" s="370" t="str">
        <f t="shared" si="60"/>
        <v>-</v>
      </c>
      <c r="EO25" s="306" t="str">
        <f t="shared" si="61"/>
        <v>-</v>
      </c>
      <c r="EP25" s="306" t="str">
        <f t="shared" si="62"/>
        <v>-</v>
      </c>
      <c r="EQ25" s="306" t="str">
        <f t="shared" si="63"/>
        <v>-</v>
      </c>
      <c r="ER25" s="306" t="str">
        <f t="shared" si="64"/>
        <v>-</v>
      </c>
      <c r="ES25" s="306" t="str">
        <f t="shared" si="65"/>
        <v>-</v>
      </c>
      <c r="ET25" s="367" t="str">
        <f t="shared" si="66"/>
        <v>-</v>
      </c>
      <c r="EU25" s="310" t="str">
        <f>IFERROR(__xludf.DUMMYFUNCTION("IF(REGEXMATCH(BH25,BD25),""✔"",""-"")"),"-")</f>
        <v>-</v>
      </c>
      <c r="EV25" s="310" t="str">
        <f t="shared" si="67"/>
        <v>-</v>
      </c>
      <c r="EW25" s="370" t="str">
        <f t="shared" si="68"/>
        <v>-</v>
      </c>
      <c r="EX25" s="315" t="str">
        <f t="shared" si="69"/>
        <v>[UQ]</v>
      </c>
      <c r="EY25" s="317" t="str">
        <f t="shared" si="70"/>
        <v>S-R-g-m-P-d-N-S</v>
      </c>
      <c r="EZ25" s="318" t="str">
        <f>IFERROR(__xludf.DUMMYFUNCTION("CONCATENATE(JOIN("""",GE25:GQ25))"),"SrGmPDnS")</f>
        <v>SrGmPDnS</v>
      </c>
      <c r="FA25" s="318"/>
      <c r="FB25" s="318"/>
      <c r="FC25" s="321">
        <f t="shared" si="71"/>
        <v>3</v>
      </c>
      <c r="FD25" s="318" t="str">
        <f>IFERROR(__xludf.DUMMYFUNCTION("CONCATENATE(JOIN("""",HR25:ID25))"),"Re, ga, Ni, ")</f>
        <v>Re, ga, Ni, </v>
      </c>
      <c r="FE25" s="322">
        <f t="shared" si="72"/>
        <v>1</v>
      </c>
      <c r="FF25" s="324" t="str">
        <f>IFERROR(__xludf.DUMMYFUNCTION("CONCATENATE(JOIN("""",IR25:JD25))"),"Ni, ")</f>
        <v>Ni, </v>
      </c>
      <c r="FG25" s="325" t="str">
        <f t="shared" si="73"/>
        <v>S-R2-G2-M1-P-D1-N3-S</v>
      </c>
      <c r="FH25" s="326" t="str">
        <f t="shared" si="74"/>
        <v>1-2-b3-4-5-b6-7-8</v>
      </c>
      <c r="FI25" s="326" t="str">
        <f t="shared" si="75"/>
        <v>0-2-3-5-7-8-11-0</v>
      </c>
      <c r="FJ25" s="318"/>
      <c r="FK25" s="328" t="str">
        <f>IFERROR(__xludf.DUMMYFUNCTION("SUBSTITUTE(SUBSTITUTE(SUBSTITUTE(SUBSTITUTE(CONCATENATE(JOIN("" "",FN25:FZ25)),""  "","" ""),""  "","" ""),""  "","" ""),""  "","" "")"),"o • o o • o • o o • • o o")</f>
        <v>o • o o • o • o o • • o o</v>
      </c>
      <c r="FL25" s="328" t="str">
        <f t="shared" si="76"/>
        <v>-</v>
      </c>
      <c r="FM25" s="329"/>
      <c r="FN25" s="331" t="str">
        <f t="shared" si="77"/>
        <v>o</v>
      </c>
      <c r="FO25" s="332" t="str">
        <f t="shared" si="78"/>
        <v>•</v>
      </c>
      <c r="FP25" s="332" t="str">
        <f t="shared" si="79"/>
        <v>o</v>
      </c>
      <c r="FQ25" s="332" t="str">
        <f t="shared" si="80"/>
        <v>o</v>
      </c>
      <c r="FR25" s="332" t="str">
        <f t="shared" si="81"/>
        <v>•</v>
      </c>
      <c r="FS25" s="332" t="str">
        <f t="shared" si="82"/>
        <v>o</v>
      </c>
      <c r="FT25" s="332" t="str">
        <f t="shared" si="83"/>
        <v>•</v>
      </c>
      <c r="FU25" s="332" t="str">
        <f t="shared" si="84"/>
        <v>o</v>
      </c>
      <c r="FV25" s="332" t="str">
        <f t="shared" si="85"/>
        <v>o</v>
      </c>
      <c r="FW25" s="332" t="str">
        <f t="shared" si="86"/>
        <v>•</v>
      </c>
      <c r="FX25" s="332" t="str">
        <f t="shared" si="87"/>
        <v>•</v>
      </c>
      <c r="FY25" s="332" t="str">
        <f t="shared" si="88"/>
        <v>o</v>
      </c>
      <c r="FZ25" s="338" t="str">
        <f t="shared" si="89"/>
        <v>o</v>
      </c>
      <c r="GA25" s="339" t="str">
        <f t="shared" si="90"/>
        <v>-</v>
      </c>
      <c r="GB25" s="339" t="str">
        <f t="shared" si="91"/>
        <v>Sa-Pa</v>
      </c>
      <c r="GC25" s="339" t="str">
        <f t="shared" si="92"/>
        <v>-</v>
      </c>
      <c r="GD25" s="340" t="str">
        <f t="shared" si="93"/>
        <v>-</v>
      </c>
      <c r="GE25" s="331" t="str">
        <f t="shared" si="94"/>
        <v>S</v>
      </c>
      <c r="GF25" s="332" t="str">
        <f t="shared" si="95"/>
        <v>r</v>
      </c>
      <c r="GG25" s="332" t="str">
        <f t="shared" si="96"/>
        <v/>
      </c>
      <c r="GH25" s="332" t="str">
        <f t="shared" si="97"/>
        <v/>
      </c>
      <c r="GI25" s="332" t="str">
        <f t="shared" si="98"/>
        <v>G</v>
      </c>
      <c r="GJ25" s="332" t="str">
        <f t="shared" si="99"/>
        <v>m</v>
      </c>
      <c r="GK25" s="332" t="str">
        <f t="shared" si="100"/>
        <v/>
      </c>
      <c r="GL25" s="332" t="str">
        <f t="shared" si="101"/>
        <v>P</v>
      </c>
      <c r="GM25" s="332" t="str">
        <f t="shared" si="102"/>
        <v/>
      </c>
      <c r="GN25" s="332" t="str">
        <f t="shared" si="103"/>
        <v>D</v>
      </c>
      <c r="GO25" s="332" t="str">
        <f t="shared" si="104"/>
        <v>n</v>
      </c>
      <c r="GP25" s="332" t="str">
        <f t="shared" si="105"/>
        <v/>
      </c>
      <c r="GQ25" s="343" t="str">
        <f t="shared" si="106"/>
        <v>S</v>
      </c>
      <c r="GR25" s="331" t="str">
        <f t="shared" si="107"/>
        <v>•</v>
      </c>
      <c r="GS25" s="332" t="str">
        <f t="shared" si="108"/>
        <v>o</v>
      </c>
      <c r="GT25" s="332" t="str">
        <f t="shared" si="109"/>
        <v>•</v>
      </c>
      <c r="GU25" s="332" t="str">
        <f t="shared" si="110"/>
        <v>•</v>
      </c>
      <c r="GV25" s="332" t="str">
        <f t="shared" si="111"/>
        <v>o</v>
      </c>
      <c r="GW25" s="332" t="str">
        <f t="shared" si="112"/>
        <v>•</v>
      </c>
      <c r="GX25" s="332" t="str">
        <f t="shared" si="113"/>
        <v>o</v>
      </c>
      <c r="GY25" s="332" t="str">
        <f t="shared" si="114"/>
        <v>•</v>
      </c>
      <c r="GZ25" s="332" t="str">
        <f t="shared" si="115"/>
        <v>•</v>
      </c>
      <c r="HA25" s="332" t="str">
        <f t="shared" si="116"/>
        <v>o</v>
      </c>
      <c r="HB25" s="332" t="str">
        <f t="shared" si="117"/>
        <v>o</v>
      </c>
      <c r="HC25" s="332" t="str">
        <f t="shared" si="118"/>
        <v>•</v>
      </c>
      <c r="HD25" s="338" t="str">
        <f t="shared" si="119"/>
        <v>•</v>
      </c>
      <c r="HE25" s="346" t="b">
        <f t="shared" si="120"/>
        <v>0</v>
      </c>
      <c r="HF25" s="347" t="b">
        <f t="shared" si="121"/>
        <v>0</v>
      </c>
      <c r="HG25" s="347" t="b">
        <f t="shared" si="122"/>
        <v>1</v>
      </c>
      <c r="HH25" s="347" t="b">
        <f t="shared" si="123"/>
        <v>1</v>
      </c>
      <c r="HI25" s="347" t="b">
        <f t="shared" si="124"/>
        <v>0</v>
      </c>
      <c r="HJ25" s="347" t="b">
        <f t="shared" si="125"/>
        <v>0</v>
      </c>
      <c r="HK25" s="347" t="b">
        <f t="shared" si="126"/>
        <v>0</v>
      </c>
      <c r="HL25" s="347" t="b">
        <f t="shared" si="127"/>
        <v>0</v>
      </c>
      <c r="HM25" s="347" t="b">
        <f t="shared" si="128"/>
        <v>0</v>
      </c>
      <c r="HN25" s="347" t="b">
        <f t="shared" si="129"/>
        <v>0</v>
      </c>
      <c r="HO25" s="347" t="b">
        <f t="shared" si="130"/>
        <v>0</v>
      </c>
      <c r="HP25" s="347" t="b">
        <f t="shared" si="131"/>
        <v>1</v>
      </c>
      <c r="HQ25" s="353" t="b">
        <f t="shared" si="132"/>
        <v>0</v>
      </c>
      <c r="HR25" s="354" t="str">
        <f t="shared" si="133"/>
        <v/>
      </c>
      <c r="HS25" s="355" t="str">
        <f t="shared" si="134"/>
        <v/>
      </c>
      <c r="HT25" s="355" t="str">
        <f t="shared" si="135"/>
        <v>Re, </v>
      </c>
      <c r="HU25" s="355" t="str">
        <f t="shared" si="136"/>
        <v>ga, </v>
      </c>
      <c r="HV25" s="355" t="str">
        <f t="shared" si="137"/>
        <v/>
      </c>
      <c r="HW25" s="355" t="str">
        <f t="shared" si="138"/>
        <v/>
      </c>
      <c r="HX25" s="355" t="str">
        <f t="shared" si="139"/>
        <v/>
      </c>
      <c r="HY25" s="355" t="str">
        <f t="shared" si="140"/>
        <v/>
      </c>
      <c r="HZ25" s="355" t="str">
        <f t="shared" si="141"/>
        <v/>
      </c>
      <c r="IA25" s="355" t="str">
        <f t="shared" si="142"/>
        <v/>
      </c>
      <c r="IB25" s="355" t="str">
        <f t="shared" si="143"/>
        <v/>
      </c>
      <c r="IC25" s="355" t="str">
        <f t="shared" si="144"/>
        <v>Ni, </v>
      </c>
      <c r="ID25" s="359" t="str">
        <f t="shared" si="145"/>
        <v/>
      </c>
      <c r="IE25" s="346" t="b">
        <f t="shared" si="146"/>
        <v>0</v>
      </c>
      <c r="IF25" s="347" t="b">
        <f t="shared" si="147"/>
        <v>0</v>
      </c>
      <c r="IG25" s="347" t="b">
        <f t="shared" si="148"/>
        <v>0</v>
      </c>
      <c r="IH25" s="347" t="b">
        <f t="shared" si="149"/>
        <v>0</v>
      </c>
      <c r="II25" s="347" t="b">
        <f t="shared" si="150"/>
        <v>0</v>
      </c>
      <c r="IJ25" s="347" t="b">
        <f t="shared" si="151"/>
        <v>0</v>
      </c>
      <c r="IK25" s="347" t="b">
        <f t="shared" si="152"/>
        <v>0</v>
      </c>
      <c r="IL25" s="347" t="b">
        <f t="shared" si="153"/>
        <v>0</v>
      </c>
      <c r="IM25" s="347" t="b">
        <f t="shared" si="154"/>
        <v>0</v>
      </c>
      <c r="IN25" s="347" t="b">
        <f t="shared" si="155"/>
        <v>0</v>
      </c>
      <c r="IO25" s="347" t="b">
        <f t="shared" si="156"/>
        <v>0</v>
      </c>
      <c r="IP25" s="347" t="b">
        <f t="shared" si="157"/>
        <v>1</v>
      </c>
      <c r="IQ25" s="365" t="b">
        <f t="shared" si="158"/>
        <v>0</v>
      </c>
      <c r="IR25" s="354" t="str">
        <f t="shared" si="159"/>
        <v/>
      </c>
      <c r="IS25" s="355" t="str">
        <f t="shared" si="160"/>
        <v/>
      </c>
      <c r="IT25" s="355" t="str">
        <f t="shared" si="161"/>
        <v/>
      </c>
      <c r="IU25" s="355" t="str">
        <f t="shared" si="162"/>
        <v/>
      </c>
      <c r="IV25" s="355" t="str">
        <f t="shared" si="163"/>
        <v/>
      </c>
      <c r="IW25" s="355" t="str">
        <f t="shared" si="164"/>
        <v/>
      </c>
      <c r="IX25" s="355" t="str">
        <f t="shared" si="165"/>
        <v/>
      </c>
      <c r="IY25" s="355" t="str">
        <f t="shared" si="166"/>
        <v/>
      </c>
      <c r="IZ25" s="355" t="str">
        <f t="shared" si="167"/>
        <v/>
      </c>
      <c r="JA25" s="355" t="str">
        <f t="shared" si="168"/>
        <v/>
      </c>
      <c r="JB25" s="355" t="str">
        <f t="shared" si="169"/>
        <v/>
      </c>
      <c r="JC25" s="355" t="str">
        <f t="shared" si="170"/>
        <v>Ni, </v>
      </c>
      <c r="JD25" s="359"/>
      <c r="JE25" s="321"/>
      <c r="JF25" s="368"/>
      <c r="JG25" s="369"/>
      <c r="JH25" s="369"/>
      <c r="JI25" s="369"/>
      <c r="JJ25" s="369"/>
      <c r="JK25" s="369"/>
      <c r="JL25" s="369"/>
      <c r="JM25" s="369"/>
      <c r="JN25" s="369"/>
      <c r="JO25" s="369"/>
      <c r="JP25" s="369"/>
    </row>
    <row r="26" ht="20.25" customHeight="1">
      <c r="A26" s="221" t="s">
        <v>1014</v>
      </c>
      <c r="B26" s="222">
        <v>24.0</v>
      </c>
      <c r="C26" s="223" t="s">
        <v>1015</v>
      </c>
      <c r="D26" s="224" t="s">
        <v>452</v>
      </c>
      <c r="E26" s="225" t="str">
        <f t="shared" si="5"/>
        <v>[UQ]</v>
      </c>
      <c r="F26" s="227">
        <f t="shared" si="6"/>
        <v>7</v>
      </c>
      <c r="G26" s="229">
        <f t="shared" si="7"/>
        <v>7</v>
      </c>
      <c r="H26" s="230">
        <f t="shared" si="8"/>
        <v>0</v>
      </c>
      <c r="I26" s="233" t="str">
        <f t="shared" si="9"/>
        <v>SrgmPdNS</v>
      </c>
      <c r="J26" s="234" t="str">
        <f>IFERROR(__xludf.DUMMYFUNCTION("IF(REGEXMATCH(I26, ""S""), ""S"","""")"),"S")</f>
        <v>S</v>
      </c>
      <c r="K26" s="236" t="str">
        <f>IFERROR(__xludf.DUMMYFUNCTION("IF(REGEXMATCH(I26, ""r""), ""r"","""")"),"r")</f>
        <v>r</v>
      </c>
      <c r="L26" s="237" t="str">
        <f>IFERROR(__xludf.DUMMYFUNCTION("IF(REGEXMATCH(I26, ""R""), ""R"","""")"),"")</f>
        <v/>
      </c>
      <c r="M26" s="237" t="str">
        <f>IFERROR(__xludf.DUMMYFUNCTION("IF(REGEXMATCH(I26, ""g""), ""g"","""")"),"g")</f>
        <v>g</v>
      </c>
      <c r="N26" s="236" t="str">
        <f>IFERROR(__xludf.DUMMYFUNCTION("IF(REGEXMATCH(I26, ""G""), ""G"","""")"),"")</f>
        <v/>
      </c>
      <c r="O26" s="236" t="str">
        <f>IFERROR(__xludf.DUMMYFUNCTION("IF(REGEXMATCH(I26, ""m""), ""m"","""")"),"m")</f>
        <v>m</v>
      </c>
      <c r="P26" s="237" t="str">
        <f>IFERROR(__xludf.DUMMYFUNCTION("IF(REGEXMATCH(I26, ""M""), ""M"","""")"),"")</f>
        <v/>
      </c>
      <c r="Q26" s="236" t="str">
        <f>IFERROR(__xludf.DUMMYFUNCTION("IF(REGEXMATCH(I26, ""P""), ""P"","""")"),"P")</f>
        <v>P</v>
      </c>
      <c r="R26" s="237" t="str">
        <f>IFERROR(__xludf.DUMMYFUNCTION("IF(REGEXMATCH(I26, ""d""), ""d"","""")"),"d")</f>
        <v>d</v>
      </c>
      <c r="S26" s="236" t="str">
        <f>IFERROR(__xludf.DUMMYFUNCTION("IF(REGEXMATCH(I26, ""D""), ""D"","""")"),"")</f>
        <v/>
      </c>
      <c r="T26" s="236" t="str">
        <f>IFERROR(__xludf.DUMMYFUNCTION("IF(REGEXMATCH(I26, ""n""), ""n"","""")"),"")</f>
        <v/>
      </c>
      <c r="U26" s="237" t="str">
        <f>IFERROR(__xludf.DUMMYFUNCTION("IF(REGEXMATCH(I26, ""N""), ""N"","""")"),"N")</f>
        <v>N</v>
      </c>
      <c r="V26" s="238" t="str">
        <f>IFERROR(__xludf.DUMMYFUNCTION("IF(REGEXMATCH(I26, ""S""), ""S"","""")"),"S")</f>
        <v>S</v>
      </c>
      <c r="W26" s="239" t="str">
        <f>IFERROR(__xludf.DUMMYFUNCTION("SUBSTITUTE(CONCATENATE(JOIN(""-"",J26:P26)),""-"","""")"),"Srgm")</f>
        <v>Srgm</v>
      </c>
      <c r="X26" s="229" t="str">
        <f>IFERROR(__xludf.DUMMYFUNCTION("SUBSTITUTE(CONCATENATE(JOIN(""-"",Q26:V26)),""-"","""")"),"PdNS")</f>
        <v>PdNS</v>
      </c>
      <c r="Y26" s="282" t="str">
        <f t="shared" si="10"/>
        <v>S-R-G-M</v>
      </c>
      <c r="Z26" s="282" t="str">
        <f t="shared" si="11"/>
        <v>P-D-N-S</v>
      </c>
      <c r="AA26" s="309" t="str">
        <f t="shared" si="12"/>
        <v>rgmdN</v>
      </c>
      <c r="AB26" s="244" t="str">
        <f>IFERROR(__xludf.DUMMYFUNCTION("IF(REGEXMATCH(I26, ""S""), ""0"","""")"),"0")</f>
        <v>0</v>
      </c>
      <c r="AC26" s="245" t="str">
        <f>IFERROR(__xludf.DUMMYFUNCTION("IF(REGEXMATCH(I26, ""r""), ""1"","""")"),"1")</f>
        <v>1</v>
      </c>
      <c r="AD26" s="246" t="str">
        <f>IFERROR(__xludf.DUMMYFUNCTION("IF(REGEXMATCH(I26, ""R""), ""2"","""")"),"")</f>
        <v/>
      </c>
      <c r="AE26" s="246" t="str">
        <f>IFERROR(__xludf.DUMMYFUNCTION("IF(REGEXMATCH(I26, ""g""), ""3"","""")"),"3")</f>
        <v>3</v>
      </c>
      <c r="AF26" s="245" t="str">
        <f>IFERROR(__xludf.DUMMYFUNCTION("IF(REGEXMATCH(I26, ""G""), ""4"","""")"),"")</f>
        <v/>
      </c>
      <c r="AG26" s="245" t="str">
        <f>IFERROR(__xludf.DUMMYFUNCTION("IF(REGEXMATCH(I26, ""m""), ""5"","""")"),"5")</f>
        <v>5</v>
      </c>
      <c r="AH26" s="246" t="str">
        <f>IFERROR(__xludf.DUMMYFUNCTION("IF(REGEXMATCH(I26, ""M""), ""6"","""")"),"")</f>
        <v/>
      </c>
      <c r="AI26" s="245" t="str">
        <f>IFERROR(__xludf.DUMMYFUNCTION("IF(REGEXMATCH(I26, ""P""), ""7"","""")"),"7")</f>
        <v>7</v>
      </c>
      <c r="AJ26" s="246" t="str">
        <f>IFERROR(__xludf.DUMMYFUNCTION("IF(REGEXMATCH(I26, ""d""), ""8"","""")"),"8")</f>
        <v>8</v>
      </c>
      <c r="AK26" s="245" t="str">
        <f>IFERROR(__xludf.DUMMYFUNCTION("IF(REGEXMATCH(I26, ""D""), ""9"","""")"),"")</f>
        <v/>
      </c>
      <c r="AL26" s="245" t="str">
        <f>IFERROR(__xludf.DUMMYFUNCTION("IF(REGEXMATCH(I26, ""n""), ""10"","""")"),"")</f>
        <v/>
      </c>
      <c r="AM26" s="246" t="str">
        <f>IFERROR(__xludf.DUMMYFUNCTION("IF(REGEXMATCH(I26, ""N""), ""11"","""")"),"11")</f>
        <v>11</v>
      </c>
      <c r="AN26" s="249" t="str">
        <f>IFERROR(__xludf.DUMMYFUNCTION("IF(REGEXMATCH(I26, ""S""), ""0"","""")"),"0")</f>
        <v>0</v>
      </c>
      <c r="AO26" s="250" t="str">
        <f>IFERROR(__xludf.DUMMYFUNCTION("SUBSTITUTE(SUBSTITUTE(SUBSTITUTE(SUBSTITUTE(CONCATENATE(JOIN(""-"",AB26:AN26)),""--"",""-""),""--"",""-""),""--"",""-""),""--"",""-"")"),"0-1-3-5-7-8-11-0")</f>
        <v>0-1-3-5-7-8-11-0</v>
      </c>
      <c r="AP26" s="251">
        <f t="shared" si="13"/>
        <v>0</v>
      </c>
      <c r="AQ26" s="234" t="str">
        <f t="shared" si="14"/>
        <v>|</v>
      </c>
      <c r="AR26" s="236" t="str">
        <f t="shared" si="15"/>
        <v>|</v>
      </c>
      <c r="AS26" s="237" t="str">
        <f t="shared" si="16"/>
        <v>-</v>
      </c>
      <c r="AT26" s="236" t="str">
        <f t="shared" si="17"/>
        <v>|</v>
      </c>
      <c r="AU26" s="237" t="str">
        <f t="shared" si="18"/>
        <v>-</v>
      </c>
      <c r="AV26" s="236" t="str">
        <f t="shared" si="19"/>
        <v>|</v>
      </c>
      <c r="AW26" s="237" t="str">
        <f t="shared" si="20"/>
        <v>-</v>
      </c>
      <c r="AX26" s="236" t="str">
        <f t="shared" si="21"/>
        <v>|</v>
      </c>
      <c r="AY26" s="237" t="str">
        <f t="shared" si="22"/>
        <v>|</v>
      </c>
      <c r="AZ26" s="236" t="str">
        <f t="shared" si="23"/>
        <v>-</v>
      </c>
      <c r="BA26" s="237" t="str">
        <f t="shared" si="24"/>
        <v>-</v>
      </c>
      <c r="BB26" s="236" t="str">
        <f t="shared" si="25"/>
        <v>|</v>
      </c>
      <c r="BC26" s="238" t="str">
        <f t="shared" si="26"/>
        <v>|</v>
      </c>
      <c r="BD26" s="250" t="str">
        <f>IFERROR(__xludf.DUMMYFUNCTION("SUBSTITUTE(SUBSTITUTE(CONCATENATE(JOIN("""",AQ26:BB26)),""|"",""x""),""-"",""o"")"),"xxoxoxoxxoox")</f>
        <v>xxoxoxoxxoox</v>
      </c>
      <c r="BE26" s="323" t="str">
        <f>IFERROR(__xludf.DUMMYFUNCTION("JOIN("""",BD26,BD26)"),"xxoxoxoxxooxxxoxoxoxxoox")</f>
        <v>xxoxoxoxxooxxxoxoxoxxoox</v>
      </c>
      <c r="BF26" s="256" t="str">
        <f>IFERROR(__xludf.DUMMYFUNCTION("JOIN("""",ArrayFormula(MID(BD26,LEN(BD26)-SEQUENCE(1,LEN(BD26))+1,1)))"),"xooxxoxoxoxx")</f>
        <v>xooxxoxoxoxx</v>
      </c>
      <c r="BG26" s="256" t="str">
        <f>IFERROR(__xludf.DUMMYFUNCTION("LEFT(CONCATENATE(""x"",JOIN("""",ArrayFormula(MID(BD26,LEN(BD26)-SEQUENCE(1,LEN(BD26))+1,1)))),12)"),"xxooxxoxoxox")</f>
        <v>xxooxxoxoxox</v>
      </c>
      <c r="BH26" s="327" t="str">
        <f>IFERROR(__xludf.DUMMYFUNCTION("JOIN("""",BF26,BF26)"),"xooxxoxoxoxxxooxxoxoxoxx")</f>
        <v>xooxxoxoxoxxxooxxoxoxoxx</v>
      </c>
      <c r="BI26" s="239" t="str">
        <f>IFERROR(__xludf.DUMMYFUNCTION("IF(REGEXMATCH(BH26,BD26),""✔"",""-"")"),"-")</f>
        <v>-</v>
      </c>
      <c r="BJ26" s="330" t="str">
        <f t="shared" si="27"/>
        <v>-</v>
      </c>
      <c r="BK26" s="260" t="str">
        <f t="shared" si="28"/>
        <v>-</v>
      </c>
      <c r="BL26" s="261" t="str">
        <f>IFERROR(__xludf.DUMMYFUNCTION("IF(BO26=0,""(n/a)"",IF(BP26=2,""(PAIR)"",IF(REGEXMATCH(BE26,""xoxoxxoxoxox""),""Bilawal"",IF(REGEXMATCH(BE26,""xoxoxooxoxoo""),""Bhupali"",IF(REGEXMATCH(BE26,""xoxoxxoxxoxo""),""Charukeshi"",IF(REGEXMATCH(BE26,""xoxoooxxoxxo""),""Kameshwari"",IF(REGEXMATC"&amp;"H(BE26,""xoxoxooxoxox""),""Shankara"",IF(REGEXMATCH(BE26,""xxooxoxxxoox""),""Basant"",IF(REGEXMATCH(BE26,""xoxoxxxxoxox""),""Bihag"",IF(REGEXMATCH(BE26,""xoxxxxoxoxxx""),""Pilu"",IF(REGEXMATCH(BE26,""xoxxoxoxxoox""),""Kirwani"",IF(REGEXMATCH(BE26,""xoxxox"&amp;"oxoxxx""),""Mk.Malhar"",IF(REGEXMATCH(BE26,""xxooxxoxxoox""),""Bhairav"",IF(REGEXMATCH(BE26,""xxoxooxxxoox""),""Todi"",IF(REGEXMATCH(BE26,""xxooxoxooxox""),""Marwa"",IF(REGEXMATCH(BE26,""xxoooxoxxooo""),""Gunkali"",IF(REGEXMATCH(BE26,""xoxoxxoxxoox""),""N"&amp;"at Bhairav"",IF(REGEXMATCH(BE26,""xoxxoooxoxoo""),""Shivranjani"",IF(REGEXMATCH(BE26,""xooxxxoxooxo""),""Jog"",IF(REGEXMATCH(BE26,""xxooxoxoxoox""),""Hemshri"",IF(REGEXMATCH(BE26,""xoooxooxoxxo""),""Kalavati"",IF(REGEXMATCH(BE26,""xxoxoxxoxoox""),""Kedar"&amp;""",IF(REGEXMATCH(BE26,""xoxxxxoxooxx""),""Gara"",IF(REGEXMATCH(BE26,""xooxoxooxoox""),""Chandrakauns"",IF(REGEXMATCH(BE26,""xoxxxxoxxxox""),""Mand"",IF(REGEXMATCH(BE26,""xoxxxxoxoxox""),""Hanskinkini"",IF(REGEXMATCH(BE26,""xxooxxoxooxo""),""Lilavati"",IF("&amp;"REGEXMATCH(BE26,""xooxoxoooxox""),""Rajeshwari"",IF(REGEXMATCH(BE26,""xoooxxoxoxxx""),""Khokar"",IF(REGEXMATCH(BE26,""xxooxoxxxxox""),""Maligoura"",""-""))))))))))))))))))))))))))))))"),"(PAIR)")</f>
        <v>(PAIR)</v>
      </c>
      <c r="BM26" s="239">
        <f t="shared" si="29"/>
        <v>6</v>
      </c>
      <c r="BN26" s="239">
        <f>IFERROR(__xludf.DUMMYFUNCTION("COUNTUNIQUE(BR26:CB26)-1"),6.0)</f>
        <v>6</v>
      </c>
      <c r="BO26" s="239">
        <f>IFERROR(__xludf.DUMMYFUNCTION("COUNTUNIQUE(FILTER(BE:BE,REGEXMATCH(BE:BE,BD26)))-1"),1.0)</f>
        <v>1</v>
      </c>
      <c r="BP26" s="239">
        <f>IFERROR(__xludf.DUMMYFUNCTION("COUNTA(FILTER(BE:BE,REGEXMATCH(BE:BE,BD26)))"),2.0)</f>
        <v>2</v>
      </c>
      <c r="BQ26" s="341">
        <f>IFERROR(__xludf.DUMMYFUNCTION("COUNTA(FILTER(BE:BE,REGEXMATCH(BE:BE,BD26)))-AP26"),2.0)</f>
        <v>2</v>
      </c>
      <c r="BR26" s="269" t="str">
        <f t="shared" si="30"/>
        <v>xoxoxoxxoox</v>
      </c>
      <c r="BS26" s="269" t="str">
        <f t="shared" si="31"/>
        <v>-</v>
      </c>
      <c r="BT26" s="271" t="str">
        <f t="shared" si="32"/>
        <v>xoxoxxooxxx</v>
      </c>
      <c r="BU26" s="269" t="str">
        <f t="shared" si="33"/>
        <v>-</v>
      </c>
      <c r="BV26" s="271" t="str">
        <f t="shared" si="34"/>
        <v>xoxxooxxxox</v>
      </c>
      <c r="BW26" s="271" t="str">
        <f t="shared" si="35"/>
        <v>-</v>
      </c>
      <c r="BX26" s="271" t="str">
        <f t="shared" si="36"/>
        <v>xxooxxxoxox</v>
      </c>
      <c r="BY26" s="271" t="str">
        <f t="shared" si="37"/>
        <v>xooxxxoxoxo</v>
      </c>
      <c r="BZ26" s="271" t="str">
        <f t="shared" si="38"/>
        <v>-</v>
      </c>
      <c r="CA26" s="271" t="str">
        <f t="shared" si="39"/>
        <v>-</v>
      </c>
      <c r="CB26" s="274" t="str">
        <f t="shared" si="40"/>
        <v>xxxoxoxoxxo</v>
      </c>
      <c r="CC26" s="276" t="str">
        <f>IFERROR(__xludf.DUMMYFUNCTION("IF(BD26=""oooooooooooo"",""-"",IF(REGEXMATCH(BE26,""xx""), ""Hemi."", ""Anhemi.""))"),"Hemi.")</f>
        <v>Hemi.</v>
      </c>
      <c r="CD26" s="282" t="str">
        <f>IFERROR(__xludf.DUMMYFUNCTION("IF(BD26=""oooooooooooo"",""-"",IF(REGEXMATCH(BE26,""xxx""), ""Cohem."", ""-""))"),"Cohem.")</f>
        <v>Cohem.</v>
      </c>
      <c r="CE26" s="282" t="str">
        <f>IFERROR(__xludf.DUMMYFUNCTION("IF(BD26=""oooooooooooo"",""-"",IF(REGEXMATCH(BE26,""xxxx""), ""Co-Co."", ""-""))"),"-")</f>
        <v>-</v>
      </c>
      <c r="CF26" s="342" t="str">
        <f>IFERROR(__xludf.DUMMYFUNCTION("IF(BD26=""oooooooooooo"",""-"",IF(REGEXMATCH(BE26,""xxxxx""), ""CCC."", ""-""))"),"-")</f>
        <v>-</v>
      </c>
      <c r="CG26" s="344" t="str">
        <f t="shared" si="41"/>
        <v>-</v>
      </c>
      <c r="CH26" s="282" t="str">
        <f>IFERROR(__xludf.DUMMYFUNCTION("IF(REGEXMATCH(JOIN(""-"",CJ26:CS26),""TRUE""),""✔"",""-"")"),"-")</f>
        <v>-</v>
      </c>
      <c r="CI26" s="225">
        <f t="shared" si="42"/>
        <v>0</v>
      </c>
      <c r="CJ26" s="376" t="b">
        <f>IFERROR(__xludf.DUMMYFUNCTION("arrayformula(sum(--REGEXMATCH(""SRGMPDNS"",split(REGEXREPLACE(I26,""(.)"",""$1~""),""~""))))=len(I26)
"),FALSE)</f>
        <v>0</v>
      </c>
      <c r="CK26" s="290" t="b">
        <f>IFERROR(__xludf.DUMMYFUNCTION("arrayformula(sum(--REGEXMATCH(""SRGmPDNS"",split(REGEXREPLACE(I26,""(.)"",""$1~""),""~""))))=len(I26)"),FALSE)</f>
        <v>0</v>
      </c>
      <c r="CL26" s="290" t="b">
        <f>IFERROR(__xludf.DUMMYFUNCTION("arrayformula(sum(--REGEXMATCH(""SRGmPDnS"",split(REGEXREPLACE(I26,""(.)"",""$1~""),""~""))))=len(I26)"),FALSE)</f>
        <v>0</v>
      </c>
      <c r="CM26" s="290" t="b">
        <f>IFERROR(__xludf.DUMMYFUNCTION("arrayformula(sum(--REGEXMATCH(""SRgmPDnS"",split(REGEXREPLACE(I26,""(.)"",""$1~""),""~""))))=len(I26)"),FALSE)</f>
        <v>0</v>
      </c>
      <c r="CN26" s="290" t="b">
        <f>IFERROR(__xludf.DUMMYFUNCTION("arrayformula(sum(--REGEXMATCH(""SRgmPdnS"",split(REGEXREPLACE(I26,""(.)"",""$1~""),""~""))))=len(I26)"),FALSE)</f>
        <v>0</v>
      </c>
      <c r="CO26" s="290" t="b">
        <f>IFERROR(__xludf.DUMMYFUNCTION("arrayformula(sum(--REGEXMATCH(""SrgmPdnS"",split(REGEXREPLACE(I26,""(.)"",""$1~""),""~""))))=len(I26)"),FALSE)</f>
        <v>0</v>
      </c>
      <c r="CP26" s="290" t="b">
        <f>IFERROR(__xludf.DUMMYFUNCTION("arrayformula(sum(--REGEXMATCH(""SrGmPdNS"",split(REGEXREPLACE(I26,""(.)"",""$1~""),""~""))))=len(I26)"),FALSE)</f>
        <v>0</v>
      </c>
      <c r="CQ26" s="290" t="b">
        <f>IFERROR(__xludf.DUMMYFUNCTION("arrayformula(sum(--REGEXMATCH(""SrGMPDNS"",split(REGEXREPLACE(I26,""(.)"",""$1~""),""~""))))=len(I26)"),FALSE)</f>
        <v>0</v>
      </c>
      <c r="CR26" s="290" t="b">
        <f>IFERROR(__xludf.DUMMYFUNCTION("arrayformula(sum(--REGEXMATCH(""SrGMPdNS"",split(REGEXREPLACE(I26,""(.)"",""$1~""),""~""))))=len(I26)"),FALSE)</f>
        <v>0</v>
      </c>
      <c r="CS26" s="293" t="b">
        <f>IFERROR(__xludf.DUMMYFUNCTION("arrayformula(sum(--REGEXMATCH(""SrgMPdNS"",split(REGEXREPLACE(I26,""(.)"",""$1~""),""~""))))=len(I26)"),FALSE)</f>
        <v>0</v>
      </c>
      <c r="CT26" s="244" t="str">
        <f>IFERROR(__xludf.DUMMYFUNCTION("IF(REGEXMATCH(I26, ""S""), ""1"","""")"),"1")</f>
        <v>1</v>
      </c>
      <c r="CU26" s="245" t="str">
        <f>IFERROR(__xludf.DUMMYFUNCTION("IF(REGEXMATCH(I26, ""r""), ""b2"","""")"),"b2")</f>
        <v>b2</v>
      </c>
      <c r="CV26" s="246" t="str">
        <f>IFERROR(__xludf.DUMMYFUNCTION("IF(REGEXMATCH(I26, ""R""), ""2"","""")"),"")</f>
        <v/>
      </c>
      <c r="CW26" s="246" t="str">
        <f>IFERROR(__xludf.DUMMYFUNCTION("IF(REGEXMATCH(I26, ""g""), ""b3"","""")"),"b3")</f>
        <v>b3</v>
      </c>
      <c r="CX26" s="245" t="str">
        <f>IFERROR(__xludf.DUMMYFUNCTION("IF(REGEXMATCH(I26, ""G""), ""3"","""")"),"")</f>
        <v/>
      </c>
      <c r="CY26" s="245" t="str">
        <f>IFERROR(__xludf.DUMMYFUNCTION("IF(REGEXMATCH(I26, ""m""), ""4"","""")"),"4")</f>
        <v>4</v>
      </c>
      <c r="CZ26" s="246" t="str">
        <f>IFERROR(__xludf.DUMMYFUNCTION("IF(REGEXMATCH(I26, ""M""), ""#4"","""")"),"")</f>
        <v/>
      </c>
      <c r="DA26" s="245" t="str">
        <f>IFERROR(__xludf.DUMMYFUNCTION("IF(REGEXMATCH(I26, ""P""), ""5"","""")"),"5")</f>
        <v>5</v>
      </c>
      <c r="DB26" s="246" t="str">
        <f>IFERROR(__xludf.DUMMYFUNCTION("IF(REGEXMATCH(I26, ""d""), ""b6"","""")"),"b6")</f>
        <v>b6</v>
      </c>
      <c r="DC26" s="245" t="str">
        <f>IFERROR(__xludf.DUMMYFUNCTION("IF(REGEXMATCH(I26, ""D""), ""6"","""")"),"")</f>
        <v/>
      </c>
      <c r="DD26" s="245" t="str">
        <f>IFERROR(__xludf.DUMMYFUNCTION("IF(REGEXMATCH(I26, ""n""), ""b7"","""")"),"")</f>
        <v/>
      </c>
      <c r="DE26" s="246" t="str">
        <f>IFERROR(__xludf.DUMMYFUNCTION("IF(REGEXMATCH(I26, ""N""), ""7"","""")"),"7")</f>
        <v>7</v>
      </c>
      <c r="DF26" s="249" t="str">
        <f>IFERROR(__xludf.DUMMYFUNCTION("IF(REGEXMATCH(I26, ""S""), ""8"","""")"),"8")</f>
        <v>8</v>
      </c>
      <c r="DG26" s="244" t="str">
        <f>IFERROR(__xludf.DUMMYFUNCTION("IF(REGEXMATCH(I26, ""S""), ""S"","""")"),"S")</f>
        <v>S</v>
      </c>
      <c r="DH26" s="294" t="str">
        <f>IFERROR(__xludf.DUMMYFUNCTION("IF(REGEXMATCH(I26, ""r""), ""R1"","""")"),"R1")</f>
        <v>R1</v>
      </c>
      <c r="DI26" s="295" t="str">
        <f>IFERROR(__xludf.DUMMYFUNCTION("IF(REGEXMATCH(I26, ""R""), ""R2"","""")"),"")</f>
        <v/>
      </c>
      <c r="DJ26" s="295" t="str">
        <f>IFERROR(__xludf.DUMMYFUNCTION("IF(REGEXMATCH(I26, ""g""), ""G2"","""")"),"G2")</f>
        <v>G2</v>
      </c>
      <c r="DK26" s="294" t="str">
        <f>IFERROR(__xludf.DUMMYFUNCTION("IF(REGEXMATCH(I26, ""G""), ""G3"","""")"),"")</f>
        <v/>
      </c>
      <c r="DL26" s="294" t="str">
        <f>IFERROR(__xludf.DUMMYFUNCTION("IF(REGEXMATCH(I26, ""m""), ""M1"","""")"),"M1")</f>
        <v>M1</v>
      </c>
      <c r="DM26" s="295" t="str">
        <f>IFERROR(__xludf.DUMMYFUNCTION("IF(REGEXMATCH(I26, ""M""), ""M2"","""")"),"")</f>
        <v/>
      </c>
      <c r="DN26" s="294" t="str">
        <f>IFERROR(__xludf.DUMMYFUNCTION("IF(REGEXMATCH(I26, ""P""), ""P"","""")"),"P")</f>
        <v>P</v>
      </c>
      <c r="DO26" s="295" t="str">
        <f>IFERROR(__xludf.DUMMYFUNCTION("IF(REGEXMATCH(I26, ""d""), ""D1"","""")"),"D1")</f>
        <v>D1</v>
      </c>
      <c r="DP26" s="294" t="str">
        <f>IFERROR(__xludf.DUMMYFUNCTION("IF(REGEXMATCH(I26, ""D""), ""D2"","""")"),"")</f>
        <v/>
      </c>
      <c r="DQ26" s="294" t="str">
        <f>IFERROR(__xludf.DUMMYFUNCTION("IF(REGEXMATCH(I26, ""n""), ""N2"","""")"),"")</f>
        <v/>
      </c>
      <c r="DR26" s="295" t="str">
        <f>IFERROR(__xludf.DUMMYFUNCTION("IF(REGEXMATCH(I26, ""N""), ""N3"","""")"),"N3")</f>
        <v>N3</v>
      </c>
      <c r="DS26" s="249" t="str">
        <f>IFERROR(__xludf.DUMMYFUNCTION("IF(REGEXMATCH(I26, ""S""), ""S"","""")"),"S")</f>
        <v>S</v>
      </c>
      <c r="DT26" s="299" t="str">
        <f>IFERROR(__xludf.DUMMYFUNCTION("SUBSTITUTE(SUBSTITUTE(SUBSTITUTE(SUBSTITUTE(CONCATENATE(JOIN(""-"",CT26:DF26)),""--"",""-""),""--"",""-""),""--"",""-""),""--"",""-"")"),"1-b2-b3-4-5-b6-7-8")</f>
        <v>1-b2-b3-4-5-b6-7-8</v>
      </c>
      <c r="DU26" s="299" t="str">
        <f>IFERROR(__xludf.DUMMYFUNCTION("SUBSTITUTE(SUBSTITUTE(SUBSTITUTE(SUBSTITUTE(CONCATENATE(JOIN(""-"",DG26:DS26)),""--"",""-""),""--"",""-""),""--"",""-""),""--"",""-"")"),"S-R1-G2-M1-P-D1-N3-S")</f>
        <v>S-R1-G2-M1-P-D1-N3-S</v>
      </c>
      <c r="DV26" s="348" t="str">
        <f t="shared" si="43"/>
        <v>C-Db-Eb-F-G-Ab-B-C</v>
      </c>
      <c r="DW26" s="301">
        <f t="shared" si="44"/>
        <v>7</v>
      </c>
      <c r="DX26" s="302" t="str">
        <f t="shared" si="45"/>
        <v>Sampurna</v>
      </c>
      <c r="DY26" s="301" t="str">
        <f t="shared" ref="DY26:DZ26" si="192">SUBSTITUTE(Y26,"-","")</f>
        <v>SRGM</v>
      </c>
      <c r="DZ26" s="301" t="str">
        <f t="shared" si="192"/>
        <v>PDNS</v>
      </c>
      <c r="EA26" s="302" t="str">
        <f t="shared" si="47"/>
        <v>(PAIR)</v>
      </c>
      <c r="EB26" s="301" t="str">
        <f t="shared" si="48"/>
        <v>Hemi.</v>
      </c>
      <c r="EC26" s="364" t="str">
        <f t="shared" si="49"/>
        <v>Cohem.</v>
      </c>
      <c r="ED26" s="306" t="str">
        <f t="shared" si="50"/>
        <v>-</v>
      </c>
      <c r="EE26" s="366" t="str">
        <f t="shared" si="51"/>
        <v>-</v>
      </c>
      <c r="EF26" s="308" t="str">
        <f t="shared" si="52"/>
        <v>✔</v>
      </c>
      <c r="EG26" s="306" t="str">
        <f t="shared" si="53"/>
        <v>-</v>
      </c>
      <c r="EH26" s="306" t="str">
        <f t="shared" si="54"/>
        <v>-</v>
      </c>
      <c r="EI26" s="367" t="str">
        <f t="shared" si="55"/>
        <v>-</v>
      </c>
      <c r="EJ26" s="310" t="str">
        <f t="shared" si="56"/>
        <v>-</v>
      </c>
      <c r="EK26" s="310" t="str">
        <f t="shared" si="57"/>
        <v>-</v>
      </c>
      <c r="EL26" s="310" t="str">
        <f t="shared" si="58"/>
        <v>-</v>
      </c>
      <c r="EM26" s="310" t="str">
        <f t="shared" si="59"/>
        <v>-</v>
      </c>
      <c r="EN26" s="370" t="str">
        <f t="shared" si="60"/>
        <v>-</v>
      </c>
      <c r="EO26" s="306" t="str">
        <f t="shared" si="61"/>
        <v>-</v>
      </c>
      <c r="EP26" s="306" t="str">
        <f t="shared" si="62"/>
        <v>-</v>
      </c>
      <c r="EQ26" s="306" t="str">
        <f t="shared" si="63"/>
        <v>-</v>
      </c>
      <c r="ER26" s="306" t="str">
        <f t="shared" si="64"/>
        <v>-</v>
      </c>
      <c r="ES26" s="306" t="str">
        <f t="shared" si="65"/>
        <v>-</v>
      </c>
      <c r="ET26" s="367" t="str">
        <f t="shared" si="66"/>
        <v>-</v>
      </c>
      <c r="EU26" s="310" t="str">
        <f>IFERROR(__xludf.DUMMYFUNCTION("IF(REGEXMATCH(BH26,BD26),""✔"",""-"")"),"-")</f>
        <v>-</v>
      </c>
      <c r="EV26" s="310" t="str">
        <f t="shared" si="67"/>
        <v>-</v>
      </c>
      <c r="EW26" s="370" t="str">
        <f t="shared" si="68"/>
        <v>-</v>
      </c>
      <c r="EX26" s="315" t="str">
        <f t="shared" si="69"/>
        <v>[UQ]</v>
      </c>
      <c r="EY26" s="317" t="str">
        <f t="shared" si="70"/>
        <v>S-r-g-m-P-d-N-S</v>
      </c>
      <c r="EZ26" s="318" t="str">
        <f>IFERROR(__xludf.DUMMYFUNCTION("CONCATENATE(JOIN("""",GE26:GQ26))"),"SrGmPDNS")</f>
        <v>SrGmPDNS</v>
      </c>
      <c r="FA26" s="318"/>
      <c r="FB26" s="318"/>
      <c r="FC26" s="321">
        <f t="shared" si="71"/>
        <v>3</v>
      </c>
      <c r="FD26" s="318" t="str">
        <f>IFERROR(__xludf.DUMMYFUNCTION("CONCATENATE(JOIN("""",HR26:ID26))"),"ga, Pa, Ni, ")</f>
        <v>ga, Pa, Ni, </v>
      </c>
      <c r="FE26" s="322">
        <f t="shared" si="72"/>
        <v>1</v>
      </c>
      <c r="FF26" s="324" t="str">
        <f>IFERROR(__xludf.DUMMYFUNCTION("CONCATENATE(JOIN("""",IR26:JD26))"),"Ni, ")</f>
        <v>Ni, </v>
      </c>
      <c r="FG26" s="325" t="str">
        <f t="shared" si="73"/>
        <v>S-R1-G2-M1-P-D1-N3-S</v>
      </c>
      <c r="FH26" s="326" t="str">
        <f t="shared" si="74"/>
        <v>1-b2-b3-4-5-b6-7-8</v>
      </c>
      <c r="FI26" s="326" t="str">
        <f t="shared" si="75"/>
        <v>0-1-3-5-7-8-11-0</v>
      </c>
      <c r="FJ26" s="318"/>
      <c r="FK26" s="328" t="str">
        <f>IFERROR(__xludf.DUMMYFUNCTION("SUBSTITUTE(SUBSTITUTE(SUBSTITUTE(SUBSTITUTE(CONCATENATE(JOIN("" "",FN26:FZ26)),""  "","" ""),""  "","" ""),""  "","" ""),""  "","" "")"),"o o • o • o • o o • • o o")</f>
        <v>o o • o • o • o o • • o o</v>
      </c>
      <c r="FL26" s="328" t="str">
        <f t="shared" si="76"/>
        <v>-</v>
      </c>
      <c r="FM26" s="329"/>
      <c r="FN26" s="331" t="str">
        <f t="shared" si="77"/>
        <v>o</v>
      </c>
      <c r="FO26" s="332" t="str">
        <f t="shared" si="78"/>
        <v>o</v>
      </c>
      <c r="FP26" s="332" t="str">
        <f t="shared" si="79"/>
        <v>•</v>
      </c>
      <c r="FQ26" s="332" t="str">
        <f t="shared" si="80"/>
        <v>o</v>
      </c>
      <c r="FR26" s="332" t="str">
        <f t="shared" si="81"/>
        <v>•</v>
      </c>
      <c r="FS26" s="332" t="str">
        <f t="shared" si="82"/>
        <v>o</v>
      </c>
      <c r="FT26" s="332" t="str">
        <f t="shared" si="83"/>
        <v>•</v>
      </c>
      <c r="FU26" s="332" t="str">
        <f t="shared" si="84"/>
        <v>o</v>
      </c>
      <c r="FV26" s="332" t="str">
        <f t="shared" si="85"/>
        <v>o</v>
      </c>
      <c r="FW26" s="332" t="str">
        <f t="shared" si="86"/>
        <v>•</v>
      </c>
      <c r="FX26" s="332" t="str">
        <f t="shared" si="87"/>
        <v>•</v>
      </c>
      <c r="FY26" s="332" t="str">
        <f t="shared" si="88"/>
        <v>o</v>
      </c>
      <c r="FZ26" s="338" t="str">
        <f t="shared" si="89"/>
        <v>o</v>
      </c>
      <c r="GA26" s="339" t="str">
        <f t="shared" si="90"/>
        <v>-</v>
      </c>
      <c r="GB26" s="339" t="str">
        <f t="shared" si="91"/>
        <v>Sa-Pa</v>
      </c>
      <c r="GC26" s="339" t="str">
        <f t="shared" si="92"/>
        <v>-</v>
      </c>
      <c r="GD26" s="340" t="str">
        <f t="shared" si="93"/>
        <v>-</v>
      </c>
      <c r="GE26" s="331" t="str">
        <f t="shared" si="94"/>
        <v>S</v>
      </c>
      <c r="GF26" s="332" t="str">
        <f t="shared" si="95"/>
        <v>r</v>
      </c>
      <c r="GG26" s="332" t="str">
        <f t="shared" si="96"/>
        <v/>
      </c>
      <c r="GH26" s="332" t="str">
        <f t="shared" si="97"/>
        <v/>
      </c>
      <c r="GI26" s="332" t="str">
        <f t="shared" si="98"/>
        <v>G</v>
      </c>
      <c r="GJ26" s="332" t="str">
        <f t="shared" si="99"/>
        <v>m</v>
      </c>
      <c r="GK26" s="332" t="str">
        <f t="shared" si="100"/>
        <v/>
      </c>
      <c r="GL26" s="332" t="str">
        <f t="shared" si="101"/>
        <v>P</v>
      </c>
      <c r="GM26" s="332" t="str">
        <f t="shared" si="102"/>
        <v/>
      </c>
      <c r="GN26" s="332" t="str">
        <f t="shared" si="103"/>
        <v>D</v>
      </c>
      <c r="GO26" s="332" t="str">
        <f t="shared" si="104"/>
        <v/>
      </c>
      <c r="GP26" s="332" t="str">
        <f t="shared" si="105"/>
        <v>N</v>
      </c>
      <c r="GQ26" s="343" t="str">
        <f t="shared" si="106"/>
        <v>S</v>
      </c>
      <c r="GR26" s="331" t="str">
        <f t="shared" si="107"/>
        <v>•</v>
      </c>
      <c r="GS26" s="332" t="str">
        <f t="shared" si="108"/>
        <v>•</v>
      </c>
      <c r="GT26" s="332" t="str">
        <f t="shared" si="109"/>
        <v>o</v>
      </c>
      <c r="GU26" s="332" t="str">
        <f t="shared" si="110"/>
        <v>•</v>
      </c>
      <c r="GV26" s="332" t="str">
        <f t="shared" si="111"/>
        <v>o</v>
      </c>
      <c r="GW26" s="332" t="str">
        <f t="shared" si="112"/>
        <v>•</v>
      </c>
      <c r="GX26" s="332" t="str">
        <f t="shared" si="113"/>
        <v>o</v>
      </c>
      <c r="GY26" s="332" t="str">
        <f t="shared" si="114"/>
        <v>•</v>
      </c>
      <c r="GZ26" s="332" t="str">
        <f t="shared" si="115"/>
        <v>•</v>
      </c>
      <c r="HA26" s="332" t="str">
        <f t="shared" si="116"/>
        <v>o</v>
      </c>
      <c r="HB26" s="332" t="str">
        <f t="shared" si="117"/>
        <v>o</v>
      </c>
      <c r="HC26" s="332" t="str">
        <f t="shared" si="118"/>
        <v>•</v>
      </c>
      <c r="HD26" s="338" t="str">
        <f t="shared" si="119"/>
        <v>•</v>
      </c>
      <c r="HE26" s="346" t="b">
        <f t="shared" si="120"/>
        <v>0</v>
      </c>
      <c r="HF26" s="347" t="b">
        <f t="shared" si="121"/>
        <v>0</v>
      </c>
      <c r="HG26" s="347" t="b">
        <f t="shared" si="122"/>
        <v>0</v>
      </c>
      <c r="HH26" s="347" t="b">
        <f t="shared" si="123"/>
        <v>1</v>
      </c>
      <c r="HI26" s="347" t="b">
        <f t="shared" si="124"/>
        <v>0</v>
      </c>
      <c r="HJ26" s="347" t="b">
        <f t="shared" si="125"/>
        <v>0</v>
      </c>
      <c r="HK26" s="347" t="b">
        <f t="shared" si="126"/>
        <v>0</v>
      </c>
      <c r="HL26" s="347" t="b">
        <f t="shared" si="127"/>
        <v>1</v>
      </c>
      <c r="HM26" s="347" t="b">
        <f t="shared" si="128"/>
        <v>0</v>
      </c>
      <c r="HN26" s="347" t="b">
        <f t="shared" si="129"/>
        <v>0</v>
      </c>
      <c r="HO26" s="347" t="b">
        <f t="shared" si="130"/>
        <v>0</v>
      </c>
      <c r="HP26" s="347" t="b">
        <f t="shared" si="131"/>
        <v>1</v>
      </c>
      <c r="HQ26" s="353" t="b">
        <f t="shared" si="132"/>
        <v>0</v>
      </c>
      <c r="HR26" s="354" t="str">
        <f t="shared" si="133"/>
        <v/>
      </c>
      <c r="HS26" s="355" t="str">
        <f t="shared" si="134"/>
        <v/>
      </c>
      <c r="HT26" s="355" t="str">
        <f t="shared" si="135"/>
        <v/>
      </c>
      <c r="HU26" s="355" t="str">
        <f t="shared" si="136"/>
        <v>ga, </v>
      </c>
      <c r="HV26" s="355" t="str">
        <f t="shared" si="137"/>
        <v/>
      </c>
      <c r="HW26" s="355" t="str">
        <f t="shared" si="138"/>
        <v/>
      </c>
      <c r="HX26" s="355" t="str">
        <f t="shared" si="139"/>
        <v/>
      </c>
      <c r="HY26" s="355" t="str">
        <f t="shared" si="140"/>
        <v>Pa, </v>
      </c>
      <c r="HZ26" s="355" t="str">
        <f t="shared" si="141"/>
        <v/>
      </c>
      <c r="IA26" s="355" t="str">
        <f t="shared" si="142"/>
        <v/>
      </c>
      <c r="IB26" s="355" t="str">
        <f t="shared" si="143"/>
        <v/>
      </c>
      <c r="IC26" s="355" t="str">
        <f t="shared" si="144"/>
        <v>Ni, </v>
      </c>
      <c r="ID26" s="359" t="str">
        <f t="shared" si="145"/>
        <v/>
      </c>
      <c r="IE26" s="346" t="b">
        <f t="shared" si="146"/>
        <v>0</v>
      </c>
      <c r="IF26" s="347" t="b">
        <f t="shared" si="147"/>
        <v>0</v>
      </c>
      <c r="IG26" s="347" t="b">
        <f t="shared" si="148"/>
        <v>0</v>
      </c>
      <c r="IH26" s="347" t="b">
        <f t="shared" si="149"/>
        <v>0</v>
      </c>
      <c r="II26" s="347" t="b">
        <f t="shared" si="150"/>
        <v>0</v>
      </c>
      <c r="IJ26" s="347" t="b">
        <f t="shared" si="151"/>
        <v>0</v>
      </c>
      <c r="IK26" s="347" t="b">
        <f t="shared" si="152"/>
        <v>0</v>
      </c>
      <c r="IL26" s="347" t="b">
        <f t="shared" si="153"/>
        <v>0</v>
      </c>
      <c r="IM26" s="347" t="b">
        <f t="shared" si="154"/>
        <v>0</v>
      </c>
      <c r="IN26" s="347" t="b">
        <f t="shared" si="155"/>
        <v>0</v>
      </c>
      <c r="IO26" s="347" t="b">
        <f t="shared" si="156"/>
        <v>0</v>
      </c>
      <c r="IP26" s="347" t="b">
        <f t="shared" si="157"/>
        <v>1</v>
      </c>
      <c r="IQ26" s="365" t="b">
        <f t="shared" si="158"/>
        <v>0</v>
      </c>
      <c r="IR26" s="354" t="str">
        <f t="shared" si="159"/>
        <v/>
      </c>
      <c r="IS26" s="355" t="str">
        <f t="shared" si="160"/>
        <v/>
      </c>
      <c r="IT26" s="355" t="str">
        <f t="shared" si="161"/>
        <v/>
      </c>
      <c r="IU26" s="355" t="str">
        <f t="shared" si="162"/>
        <v/>
      </c>
      <c r="IV26" s="355" t="str">
        <f t="shared" si="163"/>
        <v/>
      </c>
      <c r="IW26" s="355" t="str">
        <f t="shared" si="164"/>
        <v/>
      </c>
      <c r="IX26" s="355" t="str">
        <f t="shared" si="165"/>
        <v/>
      </c>
      <c r="IY26" s="355" t="str">
        <f t="shared" si="166"/>
        <v/>
      </c>
      <c r="IZ26" s="355" t="str">
        <f t="shared" si="167"/>
        <v/>
      </c>
      <c r="JA26" s="355" t="str">
        <f t="shared" si="168"/>
        <v/>
      </c>
      <c r="JB26" s="355" t="str">
        <f t="shared" si="169"/>
        <v/>
      </c>
      <c r="JC26" s="355" t="str">
        <f t="shared" si="170"/>
        <v>Ni, </v>
      </c>
      <c r="JD26" s="359"/>
      <c r="JE26" s="321"/>
      <c r="JF26" s="368"/>
      <c r="JG26" s="369"/>
      <c r="JH26" s="369"/>
      <c r="JI26" s="369"/>
      <c r="JJ26" s="369"/>
      <c r="JK26" s="369"/>
      <c r="JL26" s="369"/>
      <c r="JM26" s="369"/>
      <c r="JN26" s="369"/>
      <c r="JO26" s="369"/>
      <c r="JP26" s="369"/>
    </row>
    <row r="27" ht="20.25" customHeight="1">
      <c r="A27" s="221" t="s">
        <v>120</v>
      </c>
      <c r="B27" s="222">
        <v>25.0</v>
      </c>
      <c r="C27" s="223" t="s">
        <v>738</v>
      </c>
      <c r="D27" s="224">
        <v>10.0</v>
      </c>
      <c r="E27" s="225" t="str">
        <f t="shared" si="5"/>
        <v>[UQ]</v>
      </c>
      <c r="F27" s="227">
        <f t="shared" si="6"/>
        <v>7</v>
      </c>
      <c r="G27" s="229">
        <f t="shared" si="7"/>
        <v>7</v>
      </c>
      <c r="H27" s="230">
        <f t="shared" si="8"/>
        <v>0</v>
      </c>
      <c r="I27" s="233" t="str">
        <f t="shared" si="9"/>
        <v>SRGmPDnS</v>
      </c>
      <c r="J27" s="234" t="str">
        <f>IFERROR(__xludf.DUMMYFUNCTION("IF(REGEXMATCH(I27, ""S""), ""S"","""")"),"S")</f>
        <v>S</v>
      </c>
      <c r="K27" s="236" t="str">
        <f>IFERROR(__xludf.DUMMYFUNCTION("IF(REGEXMATCH(I27, ""r""), ""r"","""")"),"")</f>
        <v/>
      </c>
      <c r="L27" s="237" t="str">
        <f>IFERROR(__xludf.DUMMYFUNCTION("IF(REGEXMATCH(I27, ""R""), ""R"","""")"),"R")</f>
        <v>R</v>
      </c>
      <c r="M27" s="237" t="str">
        <f>IFERROR(__xludf.DUMMYFUNCTION("IF(REGEXMATCH(I27, ""g""), ""g"","""")"),"")</f>
        <v/>
      </c>
      <c r="N27" s="236" t="str">
        <f>IFERROR(__xludf.DUMMYFUNCTION("IF(REGEXMATCH(I27, ""G""), ""G"","""")"),"G")</f>
        <v>G</v>
      </c>
      <c r="O27" s="236" t="str">
        <f>IFERROR(__xludf.DUMMYFUNCTION("IF(REGEXMATCH(I27, ""m""), ""m"","""")"),"m")</f>
        <v>m</v>
      </c>
      <c r="P27" s="237" t="str">
        <f>IFERROR(__xludf.DUMMYFUNCTION("IF(REGEXMATCH(I27, ""M""), ""M"","""")"),"")</f>
        <v/>
      </c>
      <c r="Q27" s="236" t="str">
        <f>IFERROR(__xludf.DUMMYFUNCTION("IF(REGEXMATCH(I27, ""P""), ""P"","""")"),"P")</f>
        <v>P</v>
      </c>
      <c r="R27" s="237" t="str">
        <f>IFERROR(__xludf.DUMMYFUNCTION("IF(REGEXMATCH(I27, ""d""), ""d"","""")"),"")</f>
        <v/>
      </c>
      <c r="S27" s="236" t="str">
        <f>IFERROR(__xludf.DUMMYFUNCTION("IF(REGEXMATCH(I27, ""D""), ""D"","""")"),"D")</f>
        <v>D</v>
      </c>
      <c r="T27" s="236" t="str">
        <f>IFERROR(__xludf.DUMMYFUNCTION("IF(REGEXMATCH(I27, ""n""), ""n"","""")"),"n")</f>
        <v>n</v>
      </c>
      <c r="U27" s="237" t="str">
        <f>IFERROR(__xludf.DUMMYFUNCTION("IF(REGEXMATCH(I27, ""N""), ""N"","""")"),"")</f>
        <v/>
      </c>
      <c r="V27" s="238" t="str">
        <f>IFERROR(__xludf.DUMMYFUNCTION("IF(REGEXMATCH(I27, ""S""), ""S"","""")"),"S")</f>
        <v>S</v>
      </c>
      <c r="W27" s="239" t="str">
        <f>IFERROR(__xludf.DUMMYFUNCTION("SUBSTITUTE(CONCATENATE(JOIN(""-"",J27:P27)),""-"","""")"),"SRGm")</f>
        <v>SRGm</v>
      </c>
      <c r="X27" s="229" t="str">
        <f>IFERROR(__xludf.DUMMYFUNCTION("SUBSTITUTE(CONCATENATE(JOIN(""-"",Q27:V27)),""-"","""")"),"PDnS")</f>
        <v>PDnS</v>
      </c>
      <c r="Y27" s="282" t="str">
        <f t="shared" si="10"/>
        <v>S-R-G-M</v>
      </c>
      <c r="Z27" s="282" t="str">
        <f t="shared" si="11"/>
        <v>P-D-N-S</v>
      </c>
      <c r="AA27" s="309" t="str">
        <f t="shared" si="12"/>
        <v>RGmDn</v>
      </c>
      <c r="AB27" s="244" t="str">
        <f>IFERROR(__xludf.DUMMYFUNCTION("IF(REGEXMATCH(I27, ""S""), ""0"","""")"),"0")</f>
        <v>0</v>
      </c>
      <c r="AC27" s="245" t="str">
        <f>IFERROR(__xludf.DUMMYFUNCTION("IF(REGEXMATCH(I27, ""r""), ""1"","""")"),"")</f>
        <v/>
      </c>
      <c r="AD27" s="246" t="str">
        <f>IFERROR(__xludf.DUMMYFUNCTION("IF(REGEXMATCH(I27, ""R""), ""2"","""")"),"2")</f>
        <v>2</v>
      </c>
      <c r="AE27" s="246" t="str">
        <f>IFERROR(__xludf.DUMMYFUNCTION("IF(REGEXMATCH(I27, ""g""), ""3"","""")"),"")</f>
        <v/>
      </c>
      <c r="AF27" s="245" t="str">
        <f>IFERROR(__xludf.DUMMYFUNCTION("IF(REGEXMATCH(I27, ""G""), ""4"","""")"),"4")</f>
        <v>4</v>
      </c>
      <c r="AG27" s="245" t="str">
        <f>IFERROR(__xludf.DUMMYFUNCTION("IF(REGEXMATCH(I27, ""m""), ""5"","""")"),"5")</f>
        <v>5</v>
      </c>
      <c r="AH27" s="246" t="str">
        <f>IFERROR(__xludf.DUMMYFUNCTION("IF(REGEXMATCH(I27, ""M""), ""6"","""")"),"")</f>
        <v/>
      </c>
      <c r="AI27" s="245" t="str">
        <f>IFERROR(__xludf.DUMMYFUNCTION("IF(REGEXMATCH(I27, ""P""), ""7"","""")"),"7")</f>
        <v>7</v>
      </c>
      <c r="AJ27" s="246" t="str">
        <f>IFERROR(__xludf.DUMMYFUNCTION("IF(REGEXMATCH(I27, ""d""), ""8"","""")"),"")</f>
        <v/>
      </c>
      <c r="AK27" s="245" t="str">
        <f>IFERROR(__xludf.DUMMYFUNCTION("IF(REGEXMATCH(I27, ""D""), ""9"","""")"),"9")</f>
        <v>9</v>
      </c>
      <c r="AL27" s="245" t="str">
        <f>IFERROR(__xludf.DUMMYFUNCTION("IF(REGEXMATCH(I27, ""n""), ""10"","""")"),"10")</f>
        <v>10</v>
      </c>
      <c r="AM27" s="246" t="str">
        <f>IFERROR(__xludf.DUMMYFUNCTION("IF(REGEXMATCH(I27, ""N""), ""11"","""")"),"")</f>
        <v/>
      </c>
      <c r="AN27" s="249" t="str">
        <f>IFERROR(__xludf.DUMMYFUNCTION("IF(REGEXMATCH(I27, ""S""), ""0"","""")"),"0")</f>
        <v>0</v>
      </c>
      <c r="AO27" s="250" t="str">
        <f>IFERROR(__xludf.DUMMYFUNCTION("SUBSTITUTE(SUBSTITUTE(SUBSTITUTE(SUBSTITUTE(CONCATENATE(JOIN(""-"",AB27:AN27)),""--"",""-""),""--"",""-""),""--"",""-""),""--"",""-"")"),"0-2-4-5-7-9-10-0")</f>
        <v>0-2-4-5-7-9-10-0</v>
      </c>
      <c r="AP27" s="251">
        <f t="shared" si="13"/>
        <v>0</v>
      </c>
      <c r="AQ27" s="234" t="str">
        <f t="shared" si="14"/>
        <v>|</v>
      </c>
      <c r="AR27" s="236" t="str">
        <f t="shared" si="15"/>
        <v>-</v>
      </c>
      <c r="AS27" s="237" t="str">
        <f t="shared" si="16"/>
        <v>|</v>
      </c>
      <c r="AT27" s="236" t="str">
        <f t="shared" si="17"/>
        <v>-</v>
      </c>
      <c r="AU27" s="237" t="str">
        <f t="shared" si="18"/>
        <v>|</v>
      </c>
      <c r="AV27" s="236" t="str">
        <f t="shared" si="19"/>
        <v>|</v>
      </c>
      <c r="AW27" s="237" t="str">
        <f t="shared" si="20"/>
        <v>-</v>
      </c>
      <c r="AX27" s="236" t="str">
        <f t="shared" si="21"/>
        <v>|</v>
      </c>
      <c r="AY27" s="237" t="str">
        <f t="shared" si="22"/>
        <v>-</v>
      </c>
      <c r="AZ27" s="236" t="str">
        <f t="shared" si="23"/>
        <v>|</v>
      </c>
      <c r="BA27" s="237" t="str">
        <f t="shared" si="24"/>
        <v>|</v>
      </c>
      <c r="BB27" s="236" t="str">
        <f t="shared" si="25"/>
        <v>-</v>
      </c>
      <c r="BC27" s="238" t="str">
        <f t="shared" si="26"/>
        <v>|</v>
      </c>
      <c r="BD27" s="250" t="str">
        <f>IFERROR(__xludf.DUMMYFUNCTION("SUBSTITUTE(SUBSTITUTE(CONCATENATE(JOIN("""",AQ27:BB27)),""|"",""x""),""-"",""o"")"),"xoxoxxoxoxxo")</f>
        <v>xoxoxxoxoxxo</v>
      </c>
      <c r="BE27" s="323" t="str">
        <f>IFERROR(__xludf.DUMMYFUNCTION("JOIN("""",BD27,BD27)"),"xoxoxxoxoxxoxoxoxxoxoxxo")</f>
        <v>xoxoxxoxoxxoxoxoxxoxoxxo</v>
      </c>
      <c r="BF27" s="256" t="str">
        <f>IFERROR(__xludf.DUMMYFUNCTION("JOIN("""",ArrayFormula(MID(BD27,LEN(BD27)-SEQUENCE(1,LEN(BD27))+1,1)))"),"oxxoxoxxoxox")</f>
        <v>oxxoxoxxoxox</v>
      </c>
      <c r="BG27" s="256" t="str">
        <f>IFERROR(__xludf.DUMMYFUNCTION("LEFT(CONCATENATE(""x"",JOIN("""",ArrayFormula(MID(BD27,LEN(BD27)-SEQUENCE(1,LEN(BD27))+1,1)))),12)"),"xoxxoxoxxoxo")</f>
        <v>xoxxoxoxxoxo</v>
      </c>
      <c r="BH27" s="327" t="str">
        <f>IFERROR(__xludf.DUMMYFUNCTION("JOIN("""",BF27,BF27)"),"oxxoxoxxoxoxoxxoxoxxoxox")</f>
        <v>oxxoxoxxoxoxoxxoxoxxoxox</v>
      </c>
      <c r="BI27" s="239" t="str">
        <f>IFERROR(__xludf.DUMMYFUNCTION("IF(REGEXMATCH(BH27,BD27),""✔"",""-"")"),"✔")</f>
        <v>✔</v>
      </c>
      <c r="BJ27" s="330" t="str">
        <f t="shared" si="27"/>
        <v>-</v>
      </c>
      <c r="BK27" s="260" t="str">
        <f t="shared" si="28"/>
        <v>-</v>
      </c>
      <c r="BL27" s="261" t="str">
        <f>IFERROR(__xludf.DUMMYFUNCTION("IF(BO27=0,""(n/a)"",IF(BP27=2,""(PAIR)"",IF(REGEXMATCH(BE27,""xoxoxxoxoxox""),""Bilawal"",IF(REGEXMATCH(BE27,""xoxoxooxoxoo""),""Bhupali"",IF(REGEXMATCH(BE27,""xoxoxxoxxoxo""),""Charukeshi"",IF(REGEXMATCH(BE27,""xoxoooxxoxxo""),""Kameshwari"",IF(REGEXMATC"&amp;"H(BE27,""xoxoxooxoxox""),""Shankara"",IF(REGEXMATCH(BE27,""xxooxoxxxoox""),""Basant"",IF(REGEXMATCH(BE27,""xoxoxxxxoxox""),""Bihag"",IF(REGEXMATCH(BE27,""xoxxxxoxoxxx""),""Pilu"",IF(REGEXMATCH(BE27,""xoxxoxoxxoox""),""Kirwani"",IF(REGEXMATCH(BE27,""xoxxox"&amp;"oxoxxx""),""Mk.Malhar"",IF(REGEXMATCH(BE27,""xxooxxoxxoox""),""Bhairav"",IF(REGEXMATCH(BE27,""xxoxooxxxoox""),""Todi"",IF(REGEXMATCH(BE27,""xxooxoxooxox""),""Marwa"",IF(REGEXMATCH(BE27,""xxoooxoxxooo""),""Gunkali"",IF(REGEXMATCH(BE27,""xoxoxxoxxoox""),""N"&amp;"at Bhairav"",IF(REGEXMATCH(BE27,""xoxxoooxoxoo""),""Shivranjani"",IF(REGEXMATCH(BE27,""xooxxxoxooxo""),""Jog"",IF(REGEXMATCH(BE27,""xxooxoxoxoox""),""Hemshri"",IF(REGEXMATCH(BE27,""xoooxooxoxxo""),""Kalavati"",IF(REGEXMATCH(BE27,""xxoxoxxoxoox""),""Kedar"&amp;""",IF(REGEXMATCH(BE27,""xoxxxxoxooxx""),""Gara"",IF(REGEXMATCH(BE27,""xooxoxooxoox""),""Chandrakauns"",IF(REGEXMATCH(BE27,""xoxxxxoxxxox""),""Mand"",IF(REGEXMATCH(BE27,""xoxxxxoxoxox""),""Hanskinkini"",IF(REGEXMATCH(BE27,""xxooxxoxooxo""),""Lilavati"",IF("&amp;"REGEXMATCH(BE27,""xooxoxoooxox""),""Rajeshwari"",IF(REGEXMATCH(BE27,""xoooxxoxoxxx""),""Khokar"",IF(REGEXMATCH(BE27,""xxooxoxxxxox""),""Maligoura"",""-""))))))))))))))))))))))))))))))"),"Bilawal")</f>
        <v>Bilawal</v>
      </c>
      <c r="BM27" s="239">
        <f t="shared" si="29"/>
        <v>6</v>
      </c>
      <c r="BN27" s="239">
        <f>IFERROR(__xludf.DUMMYFUNCTION("COUNTUNIQUE(BR27:CB27)-1"),6.0)</f>
        <v>6</v>
      </c>
      <c r="BO27" s="239">
        <f>IFERROR(__xludf.DUMMYFUNCTION("COUNTUNIQUE(FILTER(BE:BE,REGEXMATCH(BE:BE,BD27)))-1"),5.0)</f>
        <v>5</v>
      </c>
      <c r="BP27" s="239">
        <f>IFERROR(__xludf.DUMMYFUNCTION("COUNTA(FILTER(BE:BE,REGEXMATCH(BE:BE,BD27)))"),6.0)</f>
        <v>6</v>
      </c>
      <c r="BQ27" s="341">
        <f>IFERROR(__xludf.DUMMYFUNCTION("COUNTA(FILTER(BE:BE,REGEXMATCH(BE:BE,BD27)))-AP27"),6.0)</f>
        <v>6</v>
      </c>
      <c r="BR27" s="269" t="str">
        <f t="shared" si="30"/>
        <v>-</v>
      </c>
      <c r="BS27" s="269" t="str">
        <f t="shared" si="31"/>
        <v>xoxxoxoxxox</v>
      </c>
      <c r="BT27" s="271" t="str">
        <f t="shared" si="32"/>
        <v>-</v>
      </c>
      <c r="BU27" s="269" t="str">
        <f t="shared" si="33"/>
        <v>xxoxoxxoxox</v>
      </c>
      <c r="BV27" s="271" t="str">
        <f t="shared" si="34"/>
        <v>xoxoxxoxoxo</v>
      </c>
      <c r="BW27" s="271" t="str">
        <f t="shared" si="35"/>
        <v>-</v>
      </c>
      <c r="BX27" s="271" t="str">
        <f t="shared" si="36"/>
        <v>xoxxoxoxoxx</v>
      </c>
      <c r="BY27" s="271" t="str">
        <f t="shared" si="37"/>
        <v>-</v>
      </c>
      <c r="BZ27" s="271" t="str">
        <f t="shared" si="38"/>
        <v>xxoxoxoxxox</v>
      </c>
      <c r="CA27" s="271" t="str">
        <f t="shared" si="39"/>
        <v>xoxoxoxxoxo</v>
      </c>
      <c r="CB27" s="274" t="str">
        <f t="shared" si="40"/>
        <v>-</v>
      </c>
      <c r="CC27" s="276" t="str">
        <f>IFERROR(__xludf.DUMMYFUNCTION("IF(BD27=""oooooooooooo"",""-"",IF(REGEXMATCH(BE27,""xx""), ""Hemi."", ""Anhemi.""))"),"Hemi.")</f>
        <v>Hemi.</v>
      </c>
      <c r="CD27" s="282" t="str">
        <f>IFERROR(__xludf.DUMMYFUNCTION("IF(BD27=""oooooooooooo"",""-"",IF(REGEXMATCH(BE27,""xxx""), ""Cohem."", ""-""))"),"-")</f>
        <v>-</v>
      </c>
      <c r="CE27" s="282" t="str">
        <f>IFERROR(__xludf.DUMMYFUNCTION("IF(BD27=""oooooooooooo"",""-"",IF(REGEXMATCH(BE27,""xxxx""), ""Co-Co."", ""-""))"),"-")</f>
        <v>-</v>
      </c>
      <c r="CF27" s="342" t="str">
        <f>IFERROR(__xludf.DUMMYFUNCTION("IF(BD27=""oooooooooooo"",""-"",IF(REGEXMATCH(BE27,""xxxxx""), ""CCC."", ""-""))"),"-")</f>
        <v>-</v>
      </c>
      <c r="CG27" s="344" t="str">
        <f t="shared" si="41"/>
        <v>Khamaj</v>
      </c>
      <c r="CH27" s="282" t="str">
        <f>IFERROR(__xludf.DUMMYFUNCTION("IF(REGEXMATCH(JOIN(""-"",CJ27:CS27),""TRUE""),""✔"",""-"")"),"✔")</f>
        <v>✔</v>
      </c>
      <c r="CI27" s="225">
        <f t="shared" si="42"/>
        <v>1</v>
      </c>
      <c r="CJ27" s="376" t="b">
        <f>IFERROR(__xludf.DUMMYFUNCTION("arrayformula(sum(--REGEXMATCH(""SRGMPDNS"",split(REGEXREPLACE(I27,""(.)"",""$1~""),""~""))))=len(I27)
"),FALSE)</f>
        <v>0</v>
      </c>
      <c r="CK27" s="290" t="b">
        <f>IFERROR(__xludf.DUMMYFUNCTION("arrayformula(sum(--REGEXMATCH(""SRGmPDNS"",split(REGEXREPLACE(I27,""(.)"",""$1~""),""~""))))=len(I27)"),FALSE)</f>
        <v>0</v>
      </c>
      <c r="CL27" s="290" t="b">
        <f>IFERROR(__xludf.DUMMYFUNCTION("arrayformula(sum(--REGEXMATCH(""SRGmPDnS"",split(REGEXREPLACE(I27,""(.)"",""$1~""),""~""))))=len(I27)"),TRUE)</f>
        <v>1</v>
      </c>
      <c r="CM27" s="290" t="b">
        <f>IFERROR(__xludf.DUMMYFUNCTION("arrayformula(sum(--REGEXMATCH(""SRgmPDnS"",split(REGEXREPLACE(I27,""(.)"",""$1~""),""~""))))=len(I27)"),FALSE)</f>
        <v>0</v>
      </c>
      <c r="CN27" s="290" t="b">
        <f>IFERROR(__xludf.DUMMYFUNCTION("arrayformula(sum(--REGEXMATCH(""SRgmPdnS"",split(REGEXREPLACE(I27,""(.)"",""$1~""),""~""))))=len(I27)"),FALSE)</f>
        <v>0</v>
      </c>
      <c r="CO27" s="290" t="b">
        <f>IFERROR(__xludf.DUMMYFUNCTION("arrayformula(sum(--REGEXMATCH(""SrgmPdnS"",split(REGEXREPLACE(I27,""(.)"",""$1~""),""~""))))=len(I27)"),FALSE)</f>
        <v>0</v>
      </c>
      <c r="CP27" s="290" t="b">
        <f>IFERROR(__xludf.DUMMYFUNCTION("arrayformula(sum(--REGEXMATCH(""SrGmPdNS"",split(REGEXREPLACE(I27,""(.)"",""$1~""),""~""))))=len(I27)"),FALSE)</f>
        <v>0</v>
      </c>
      <c r="CQ27" s="290" t="b">
        <f>IFERROR(__xludf.DUMMYFUNCTION("arrayformula(sum(--REGEXMATCH(""SrGMPDNS"",split(REGEXREPLACE(I27,""(.)"",""$1~""),""~""))))=len(I27)"),FALSE)</f>
        <v>0</v>
      </c>
      <c r="CR27" s="290" t="b">
        <f>IFERROR(__xludf.DUMMYFUNCTION("arrayformula(sum(--REGEXMATCH(""SrGMPdNS"",split(REGEXREPLACE(I27,""(.)"",""$1~""),""~""))))=len(I27)"),FALSE)</f>
        <v>0</v>
      </c>
      <c r="CS27" s="293" t="b">
        <f>IFERROR(__xludf.DUMMYFUNCTION("arrayformula(sum(--REGEXMATCH(""SrgMPdNS"",split(REGEXREPLACE(I27,""(.)"",""$1~""),""~""))))=len(I27)"),FALSE)</f>
        <v>0</v>
      </c>
      <c r="CT27" s="244" t="str">
        <f>IFERROR(__xludf.DUMMYFUNCTION("IF(REGEXMATCH(I27, ""S""), ""1"","""")"),"1")</f>
        <v>1</v>
      </c>
      <c r="CU27" s="245" t="str">
        <f>IFERROR(__xludf.DUMMYFUNCTION("IF(REGEXMATCH(I27, ""r""), ""b2"","""")"),"")</f>
        <v/>
      </c>
      <c r="CV27" s="246" t="str">
        <f>IFERROR(__xludf.DUMMYFUNCTION("IF(REGEXMATCH(I27, ""R""), ""2"","""")"),"2")</f>
        <v>2</v>
      </c>
      <c r="CW27" s="246" t="str">
        <f>IFERROR(__xludf.DUMMYFUNCTION("IF(REGEXMATCH(I27, ""g""), ""b3"","""")"),"")</f>
        <v/>
      </c>
      <c r="CX27" s="245" t="str">
        <f>IFERROR(__xludf.DUMMYFUNCTION("IF(REGEXMATCH(I27, ""G""), ""3"","""")"),"3")</f>
        <v>3</v>
      </c>
      <c r="CY27" s="245" t="str">
        <f>IFERROR(__xludf.DUMMYFUNCTION("IF(REGEXMATCH(I27, ""m""), ""4"","""")"),"4")</f>
        <v>4</v>
      </c>
      <c r="CZ27" s="246" t="str">
        <f>IFERROR(__xludf.DUMMYFUNCTION("IF(REGEXMATCH(I27, ""M""), ""#4"","""")"),"")</f>
        <v/>
      </c>
      <c r="DA27" s="245" t="str">
        <f>IFERROR(__xludf.DUMMYFUNCTION("IF(REGEXMATCH(I27, ""P""), ""5"","""")"),"5")</f>
        <v>5</v>
      </c>
      <c r="DB27" s="246" t="str">
        <f>IFERROR(__xludf.DUMMYFUNCTION("IF(REGEXMATCH(I27, ""d""), ""b6"","""")"),"")</f>
        <v/>
      </c>
      <c r="DC27" s="245" t="str">
        <f>IFERROR(__xludf.DUMMYFUNCTION("IF(REGEXMATCH(I27, ""D""), ""6"","""")"),"6")</f>
        <v>6</v>
      </c>
      <c r="DD27" s="245" t="str">
        <f>IFERROR(__xludf.DUMMYFUNCTION("IF(REGEXMATCH(I27, ""n""), ""b7"","""")"),"b7")</f>
        <v>b7</v>
      </c>
      <c r="DE27" s="246" t="str">
        <f>IFERROR(__xludf.DUMMYFUNCTION("IF(REGEXMATCH(I27, ""N""), ""7"","""")"),"")</f>
        <v/>
      </c>
      <c r="DF27" s="249" t="str">
        <f>IFERROR(__xludf.DUMMYFUNCTION("IF(REGEXMATCH(I27, ""S""), ""8"","""")"),"8")</f>
        <v>8</v>
      </c>
      <c r="DG27" s="244" t="str">
        <f>IFERROR(__xludf.DUMMYFUNCTION("IF(REGEXMATCH(I27, ""S""), ""S"","""")"),"S")</f>
        <v>S</v>
      </c>
      <c r="DH27" s="294" t="str">
        <f>IFERROR(__xludf.DUMMYFUNCTION("IF(REGEXMATCH(I27, ""r""), ""R1"","""")"),"")</f>
        <v/>
      </c>
      <c r="DI27" s="295" t="str">
        <f>IFERROR(__xludf.DUMMYFUNCTION("IF(REGEXMATCH(I27, ""R""), ""R2"","""")"),"R2")</f>
        <v>R2</v>
      </c>
      <c r="DJ27" s="295" t="str">
        <f>IFERROR(__xludf.DUMMYFUNCTION("IF(REGEXMATCH(I27, ""g""), ""G2"","""")"),"")</f>
        <v/>
      </c>
      <c r="DK27" s="294" t="str">
        <f>IFERROR(__xludf.DUMMYFUNCTION("IF(REGEXMATCH(I27, ""G""), ""G3"","""")"),"G3")</f>
        <v>G3</v>
      </c>
      <c r="DL27" s="294" t="str">
        <f>IFERROR(__xludf.DUMMYFUNCTION("IF(REGEXMATCH(I27, ""m""), ""M1"","""")"),"M1")</f>
        <v>M1</v>
      </c>
      <c r="DM27" s="295" t="str">
        <f>IFERROR(__xludf.DUMMYFUNCTION("IF(REGEXMATCH(I27, ""M""), ""M2"","""")"),"")</f>
        <v/>
      </c>
      <c r="DN27" s="294" t="str">
        <f>IFERROR(__xludf.DUMMYFUNCTION("IF(REGEXMATCH(I27, ""P""), ""P"","""")"),"P")</f>
        <v>P</v>
      </c>
      <c r="DO27" s="295" t="str">
        <f>IFERROR(__xludf.DUMMYFUNCTION("IF(REGEXMATCH(I27, ""d""), ""D1"","""")"),"")</f>
        <v/>
      </c>
      <c r="DP27" s="294" t="str">
        <f>IFERROR(__xludf.DUMMYFUNCTION("IF(REGEXMATCH(I27, ""D""), ""D2"","""")"),"D2")</f>
        <v>D2</v>
      </c>
      <c r="DQ27" s="294" t="str">
        <f>IFERROR(__xludf.DUMMYFUNCTION("IF(REGEXMATCH(I27, ""n""), ""N2"","""")"),"N2")</f>
        <v>N2</v>
      </c>
      <c r="DR27" s="295" t="str">
        <f>IFERROR(__xludf.DUMMYFUNCTION("IF(REGEXMATCH(I27, ""N""), ""N3"","""")"),"")</f>
        <v/>
      </c>
      <c r="DS27" s="249" t="str">
        <f>IFERROR(__xludf.DUMMYFUNCTION("IF(REGEXMATCH(I27, ""S""), ""S"","""")"),"S")</f>
        <v>S</v>
      </c>
      <c r="DT27" s="299" t="str">
        <f>IFERROR(__xludf.DUMMYFUNCTION("SUBSTITUTE(SUBSTITUTE(SUBSTITUTE(SUBSTITUTE(CONCATENATE(JOIN(""-"",CT27:DF27)),""--"",""-""),""--"",""-""),""--"",""-""),""--"",""-"")"),"1-2-3-4-5-6-b7-8")</f>
        <v>1-2-3-4-5-6-b7-8</v>
      </c>
      <c r="DU27" s="299" t="str">
        <f>IFERROR(__xludf.DUMMYFUNCTION("SUBSTITUTE(SUBSTITUTE(SUBSTITUTE(SUBSTITUTE(CONCATENATE(JOIN(""-"",DG27:DS27)),""--"",""-""),""--"",""-""),""--"",""-""),""--"",""-"")"),"S-R2-G3-M1-P-D2-N2-S")</f>
        <v>S-R2-G3-M1-P-D2-N2-S</v>
      </c>
      <c r="DV27" s="348" t="str">
        <f t="shared" si="43"/>
        <v>C-D-E-F-G-A-Bb-C</v>
      </c>
      <c r="DW27" s="301">
        <f t="shared" si="44"/>
        <v>7</v>
      </c>
      <c r="DX27" s="302" t="str">
        <f t="shared" si="45"/>
        <v>Sampurna</v>
      </c>
      <c r="DY27" s="301" t="str">
        <f t="shared" ref="DY27:DZ27" si="193">SUBSTITUTE(Y27,"-","")</f>
        <v>SRGM</v>
      </c>
      <c r="DZ27" s="301" t="str">
        <f t="shared" si="193"/>
        <v>PDNS</v>
      </c>
      <c r="EA27" s="302" t="str">
        <f t="shared" si="47"/>
        <v>Bilawal</v>
      </c>
      <c r="EB27" s="301" t="str">
        <f t="shared" si="48"/>
        <v>Hemi.</v>
      </c>
      <c r="EC27" s="364" t="str">
        <f t="shared" si="49"/>
        <v>-</v>
      </c>
      <c r="ED27" s="306" t="str">
        <f t="shared" si="50"/>
        <v>Khamaj</v>
      </c>
      <c r="EE27" s="366" t="str">
        <f t="shared" si="51"/>
        <v>-</v>
      </c>
      <c r="EF27" s="308" t="str">
        <f t="shared" si="52"/>
        <v>-</v>
      </c>
      <c r="EG27" s="306" t="str">
        <f t="shared" si="53"/>
        <v>-</v>
      </c>
      <c r="EH27" s="306" t="str">
        <f t="shared" si="54"/>
        <v>-</v>
      </c>
      <c r="EI27" s="367" t="str">
        <f t="shared" si="55"/>
        <v>-</v>
      </c>
      <c r="EJ27" s="310" t="str">
        <f t="shared" si="56"/>
        <v>-</v>
      </c>
      <c r="EK27" s="310" t="str">
        <f t="shared" si="57"/>
        <v>-</v>
      </c>
      <c r="EL27" s="310" t="str">
        <f t="shared" si="58"/>
        <v>-</v>
      </c>
      <c r="EM27" s="310" t="str">
        <f t="shared" si="59"/>
        <v>-</v>
      </c>
      <c r="EN27" s="370" t="str">
        <f t="shared" si="60"/>
        <v>-</v>
      </c>
      <c r="EO27" s="306" t="str">
        <f t="shared" si="61"/>
        <v>-</v>
      </c>
      <c r="EP27" s="306" t="str">
        <f t="shared" si="62"/>
        <v>-</v>
      </c>
      <c r="EQ27" s="306" t="str">
        <f t="shared" si="63"/>
        <v>-</v>
      </c>
      <c r="ER27" s="306" t="str">
        <f t="shared" si="64"/>
        <v>-</v>
      </c>
      <c r="ES27" s="306" t="str">
        <f t="shared" si="65"/>
        <v>-</v>
      </c>
      <c r="ET27" s="367" t="str">
        <f t="shared" si="66"/>
        <v>-</v>
      </c>
      <c r="EU27" s="310" t="str">
        <f>IFERROR(__xludf.DUMMYFUNCTION("IF(REGEXMATCH(BH27,BD27),""✔"",""-"")"),"✔")</f>
        <v>✔</v>
      </c>
      <c r="EV27" s="310" t="str">
        <f t="shared" si="67"/>
        <v>-</v>
      </c>
      <c r="EW27" s="370" t="str">
        <f t="shared" si="68"/>
        <v>-</v>
      </c>
      <c r="EX27" s="315" t="str">
        <f t="shared" si="69"/>
        <v>[UQ]</v>
      </c>
      <c r="EY27" s="317" t="str">
        <f t="shared" si="70"/>
        <v>S-R-G-m-P-D-n-S</v>
      </c>
      <c r="EZ27" s="318" t="str">
        <f>IFERROR(__xludf.DUMMYFUNCTION("CONCATENATE(JOIN("""",GE27:GQ27))"),"SRgmPdnS")</f>
        <v>SRgmPdnS</v>
      </c>
      <c r="FA27" s="318"/>
      <c r="FB27" s="318"/>
      <c r="FC27" s="321">
        <f t="shared" si="71"/>
        <v>1</v>
      </c>
      <c r="FD27" s="318" t="str">
        <f>IFERROR(__xludf.DUMMYFUNCTION("CONCATENATE(JOIN("""",HR27:ID27))"),"Ga, ")</f>
        <v>Ga, </v>
      </c>
      <c r="FE27" s="322">
        <f t="shared" si="72"/>
        <v>0</v>
      </c>
      <c r="FF27" s="324" t="str">
        <f>IFERROR(__xludf.DUMMYFUNCTION("CONCATENATE(JOIN("""",IR27:JD27))"),"")</f>
        <v/>
      </c>
      <c r="FG27" s="325" t="str">
        <f t="shared" si="73"/>
        <v>S-R2-G3-M1-P-D2-N2-S</v>
      </c>
      <c r="FH27" s="326" t="str">
        <f t="shared" si="74"/>
        <v>1-2-3-4-5-6-b7-8</v>
      </c>
      <c r="FI27" s="326" t="str">
        <f t="shared" si="75"/>
        <v>0-2-4-5-7-9-10-0</v>
      </c>
      <c r="FJ27" s="318"/>
      <c r="FK27" s="328" t="str">
        <f>IFERROR(__xludf.DUMMYFUNCTION("SUBSTITUTE(SUBSTITUTE(SUBSTITUTE(SUBSTITUTE(CONCATENATE(JOIN("" "",FN27:FZ27)),""  "","" ""),""  "","" ""),""  "","" ""),""  "","" "")"),"o • o • o o • o • o o • o")</f>
        <v>o • o • o o • o • o o • o</v>
      </c>
      <c r="FL27" s="328" t="str">
        <f t="shared" si="76"/>
        <v>-</v>
      </c>
      <c r="FM27" s="329"/>
      <c r="FN27" s="331" t="str">
        <f t="shared" si="77"/>
        <v>o</v>
      </c>
      <c r="FO27" s="332" t="str">
        <f t="shared" si="78"/>
        <v>•</v>
      </c>
      <c r="FP27" s="332" t="str">
        <f t="shared" si="79"/>
        <v>o</v>
      </c>
      <c r="FQ27" s="332" t="str">
        <f t="shared" si="80"/>
        <v>•</v>
      </c>
      <c r="FR27" s="332" t="str">
        <f t="shared" si="81"/>
        <v>o</v>
      </c>
      <c r="FS27" s="332" t="str">
        <f t="shared" si="82"/>
        <v>o</v>
      </c>
      <c r="FT27" s="332" t="str">
        <f t="shared" si="83"/>
        <v>•</v>
      </c>
      <c r="FU27" s="332" t="str">
        <f t="shared" si="84"/>
        <v>o</v>
      </c>
      <c r="FV27" s="332" t="str">
        <f t="shared" si="85"/>
        <v>•</v>
      </c>
      <c r="FW27" s="332" t="str">
        <f t="shared" si="86"/>
        <v>o</v>
      </c>
      <c r="FX27" s="332" t="str">
        <f t="shared" si="87"/>
        <v>o</v>
      </c>
      <c r="FY27" s="332" t="str">
        <f t="shared" si="88"/>
        <v>•</v>
      </c>
      <c r="FZ27" s="338" t="str">
        <f t="shared" si="89"/>
        <v>o</v>
      </c>
      <c r="GA27" s="339" t="str">
        <f t="shared" si="90"/>
        <v>-</v>
      </c>
      <c r="GB27" s="339" t="str">
        <f t="shared" si="91"/>
        <v>Sa-Pa</v>
      </c>
      <c r="GC27" s="339" t="str">
        <f t="shared" si="92"/>
        <v>-</v>
      </c>
      <c r="GD27" s="340" t="str">
        <f t="shared" si="93"/>
        <v>-</v>
      </c>
      <c r="GE27" s="331" t="str">
        <f t="shared" si="94"/>
        <v>S</v>
      </c>
      <c r="GF27" s="332" t="str">
        <f t="shared" si="95"/>
        <v/>
      </c>
      <c r="GG27" s="332" t="str">
        <f t="shared" si="96"/>
        <v>R</v>
      </c>
      <c r="GH27" s="332" t="str">
        <f t="shared" si="97"/>
        <v>g</v>
      </c>
      <c r="GI27" s="332" t="str">
        <f t="shared" si="98"/>
        <v/>
      </c>
      <c r="GJ27" s="332" t="str">
        <f t="shared" si="99"/>
        <v>m</v>
      </c>
      <c r="GK27" s="332" t="str">
        <f t="shared" si="100"/>
        <v/>
      </c>
      <c r="GL27" s="332" t="str">
        <f t="shared" si="101"/>
        <v>P</v>
      </c>
      <c r="GM27" s="332" t="str">
        <f t="shared" si="102"/>
        <v>d</v>
      </c>
      <c r="GN27" s="332" t="str">
        <f t="shared" si="103"/>
        <v/>
      </c>
      <c r="GO27" s="332" t="str">
        <f t="shared" si="104"/>
        <v>n</v>
      </c>
      <c r="GP27" s="332" t="str">
        <f t="shared" si="105"/>
        <v/>
      </c>
      <c r="GQ27" s="343" t="str">
        <f t="shared" si="106"/>
        <v>S</v>
      </c>
      <c r="GR27" s="331" t="str">
        <f t="shared" si="107"/>
        <v>•</v>
      </c>
      <c r="GS27" s="332" t="str">
        <f t="shared" si="108"/>
        <v>o</v>
      </c>
      <c r="GT27" s="332" t="str">
        <f t="shared" si="109"/>
        <v>•</v>
      </c>
      <c r="GU27" s="332" t="str">
        <f t="shared" si="110"/>
        <v>o</v>
      </c>
      <c r="GV27" s="332" t="str">
        <f t="shared" si="111"/>
        <v>•</v>
      </c>
      <c r="GW27" s="332" t="str">
        <f t="shared" si="112"/>
        <v>•</v>
      </c>
      <c r="GX27" s="332" t="str">
        <f t="shared" si="113"/>
        <v>o</v>
      </c>
      <c r="GY27" s="332" t="str">
        <f t="shared" si="114"/>
        <v>•</v>
      </c>
      <c r="GZ27" s="332" t="str">
        <f t="shared" si="115"/>
        <v>o</v>
      </c>
      <c r="HA27" s="332" t="str">
        <f t="shared" si="116"/>
        <v>•</v>
      </c>
      <c r="HB27" s="332" t="str">
        <f t="shared" si="117"/>
        <v>•</v>
      </c>
      <c r="HC27" s="332" t="str">
        <f t="shared" si="118"/>
        <v>o</v>
      </c>
      <c r="HD27" s="338" t="str">
        <f t="shared" si="119"/>
        <v>•</v>
      </c>
      <c r="HE27" s="346" t="b">
        <f t="shared" si="120"/>
        <v>0</v>
      </c>
      <c r="HF27" s="347" t="b">
        <f t="shared" si="121"/>
        <v>0</v>
      </c>
      <c r="HG27" s="347" t="b">
        <f t="shared" si="122"/>
        <v>0</v>
      </c>
      <c r="HH27" s="347" t="b">
        <f t="shared" si="123"/>
        <v>0</v>
      </c>
      <c r="HI27" s="347" t="b">
        <f t="shared" si="124"/>
        <v>1</v>
      </c>
      <c r="HJ27" s="347" t="b">
        <f t="shared" si="125"/>
        <v>0</v>
      </c>
      <c r="HK27" s="347" t="b">
        <f t="shared" si="126"/>
        <v>0</v>
      </c>
      <c r="HL27" s="347" t="b">
        <f t="shared" si="127"/>
        <v>0</v>
      </c>
      <c r="HM27" s="347" t="b">
        <f t="shared" si="128"/>
        <v>0</v>
      </c>
      <c r="HN27" s="347" t="b">
        <f t="shared" si="129"/>
        <v>0</v>
      </c>
      <c r="HO27" s="347" t="b">
        <f t="shared" si="130"/>
        <v>0</v>
      </c>
      <c r="HP27" s="347" t="b">
        <f t="shared" si="131"/>
        <v>0</v>
      </c>
      <c r="HQ27" s="353" t="b">
        <f t="shared" si="132"/>
        <v>0</v>
      </c>
      <c r="HR27" s="354" t="str">
        <f t="shared" si="133"/>
        <v/>
      </c>
      <c r="HS27" s="355" t="str">
        <f t="shared" si="134"/>
        <v/>
      </c>
      <c r="HT27" s="355" t="str">
        <f t="shared" si="135"/>
        <v/>
      </c>
      <c r="HU27" s="355" t="str">
        <f t="shared" si="136"/>
        <v/>
      </c>
      <c r="HV27" s="355" t="str">
        <f t="shared" si="137"/>
        <v>Ga, </v>
      </c>
      <c r="HW27" s="355" t="str">
        <f t="shared" si="138"/>
        <v/>
      </c>
      <c r="HX27" s="355" t="str">
        <f t="shared" si="139"/>
        <v/>
      </c>
      <c r="HY27" s="355" t="str">
        <f t="shared" si="140"/>
        <v/>
      </c>
      <c r="HZ27" s="355" t="str">
        <f t="shared" si="141"/>
        <v/>
      </c>
      <c r="IA27" s="355" t="str">
        <f t="shared" si="142"/>
        <v/>
      </c>
      <c r="IB27" s="355" t="str">
        <f t="shared" si="143"/>
        <v/>
      </c>
      <c r="IC27" s="355" t="str">
        <f t="shared" si="144"/>
        <v/>
      </c>
      <c r="ID27" s="359" t="str">
        <f t="shared" si="145"/>
        <v/>
      </c>
      <c r="IE27" s="346" t="b">
        <f t="shared" si="146"/>
        <v>0</v>
      </c>
      <c r="IF27" s="347" t="b">
        <f t="shared" si="147"/>
        <v>0</v>
      </c>
      <c r="IG27" s="347" t="b">
        <f t="shared" si="148"/>
        <v>0</v>
      </c>
      <c r="IH27" s="347" t="b">
        <f t="shared" si="149"/>
        <v>0</v>
      </c>
      <c r="II27" s="347" t="b">
        <f t="shared" si="150"/>
        <v>0</v>
      </c>
      <c r="IJ27" s="347" t="b">
        <f t="shared" si="151"/>
        <v>0</v>
      </c>
      <c r="IK27" s="347" t="b">
        <f t="shared" si="152"/>
        <v>0</v>
      </c>
      <c r="IL27" s="347" t="b">
        <f t="shared" si="153"/>
        <v>0</v>
      </c>
      <c r="IM27" s="347" t="b">
        <f t="shared" si="154"/>
        <v>0</v>
      </c>
      <c r="IN27" s="347" t="b">
        <f t="shared" si="155"/>
        <v>0</v>
      </c>
      <c r="IO27" s="347" t="b">
        <f t="shared" si="156"/>
        <v>0</v>
      </c>
      <c r="IP27" s="347" t="b">
        <f t="shared" si="157"/>
        <v>0</v>
      </c>
      <c r="IQ27" s="365" t="b">
        <f t="shared" si="158"/>
        <v>0</v>
      </c>
      <c r="IR27" s="354" t="str">
        <f t="shared" si="159"/>
        <v/>
      </c>
      <c r="IS27" s="355" t="str">
        <f t="shared" si="160"/>
        <v/>
      </c>
      <c r="IT27" s="355" t="str">
        <f t="shared" si="161"/>
        <v/>
      </c>
      <c r="IU27" s="355" t="str">
        <f t="shared" si="162"/>
        <v/>
      </c>
      <c r="IV27" s="355" t="str">
        <f t="shared" si="163"/>
        <v/>
      </c>
      <c r="IW27" s="355" t="str">
        <f t="shared" si="164"/>
        <v/>
      </c>
      <c r="IX27" s="355" t="str">
        <f t="shared" si="165"/>
        <v/>
      </c>
      <c r="IY27" s="355" t="str">
        <f t="shared" si="166"/>
        <v/>
      </c>
      <c r="IZ27" s="355" t="str">
        <f t="shared" si="167"/>
        <v/>
      </c>
      <c r="JA27" s="355" t="str">
        <f t="shared" si="168"/>
        <v/>
      </c>
      <c r="JB27" s="355" t="str">
        <f t="shared" si="169"/>
        <v/>
      </c>
      <c r="JC27" s="355" t="str">
        <f t="shared" si="170"/>
        <v/>
      </c>
      <c r="JD27" s="359"/>
      <c r="JE27" s="321"/>
      <c r="JF27" s="368"/>
      <c r="JG27" s="369"/>
      <c r="JH27" s="369"/>
      <c r="JI27" s="369"/>
      <c r="JJ27" s="369"/>
      <c r="JK27" s="369"/>
      <c r="JL27" s="369"/>
      <c r="JM27" s="369"/>
      <c r="JN27" s="369"/>
      <c r="JO27" s="369"/>
      <c r="JP27" s="369"/>
    </row>
    <row r="28" ht="20.25" customHeight="1">
      <c r="A28" s="221" t="s">
        <v>518</v>
      </c>
      <c r="B28" s="222">
        <v>26.0</v>
      </c>
      <c r="C28" s="223" t="s">
        <v>519</v>
      </c>
      <c r="D28" s="224" t="s">
        <v>17</v>
      </c>
      <c r="E28" s="225" t="str">
        <f t="shared" si="5"/>
        <v>[UQ]</v>
      </c>
      <c r="F28" s="227">
        <f t="shared" si="6"/>
        <v>7</v>
      </c>
      <c r="G28" s="229">
        <f t="shared" si="7"/>
        <v>7</v>
      </c>
      <c r="H28" s="230">
        <f t="shared" si="8"/>
        <v>0</v>
      </c>
      <c r="I28" s="233" t="str">
        <f t="shared" si="9"/>
        <v>SrGmPDnS</v>
      </c>
      <c r="J28" s="234" t="str">
        <f>IFERROR(__xludf.DUMMYFUNCTION("IF(REGEXMATCH(I28, ""S""), ""S"","""")"),"S")</f>
        <v>S</v>
      </c>
      <c r="K28" s="236" t="str">
        <f>IFERROR(__xludf.DUMMYFUNCTION("IF(REGEXMATCH(I28, ""r""), ""r"","""")"),"r")</f>
        <v>r</v>
      </c>
      <c r="L28" s="237" t="str">
        <f>IFERROR(__xludf.DUMMYFUNCTION("IF(REGEXMATCH(I28, ""R""), ""R"","""")"),"")</f>
        <v/>
      </c>
      <c r="M28" s="237" t="str">
        <f>IFERROR(__xludf.DUMMYFUNCTION("IF(REGEXMATCH(I28, ""g""), ""g"","""")"),"")</f>
        <v/>
      </c>
      <c r="N28" s="236" t="str">
        <f>IFERROR(__xludf.DUMMYFUNCTION("IF(REGEXMATCH(I28, ""G""), ""G"","""")"),"G")</f>
        <v>G</v>
      </c>
      <c r="O28" s="236" t="str">
        <f>IFERROR(__xludf.DUMMYFUNCTION("IF(REGEXMATCH(I28, ""m""), ""m"","""")"),"m")</f>
        <v>m</v>
      </c>
      <c r="P28" s="237" t="str">
        <f>IFERROR(__xludf.DUMMYFUNCTION("IF(REGEXMATCH(I28, ""M""), ""M"","""")"),"")</f>
        <v/>
      </c>
      <c r="Q28" s="236" t="str">
        <f>IFERROR(__xludf.DUMMYFUNCTION("IF(REGEXMATCH(I28, ""P""), ""P"","""")"),"P")</f>
        <v>P</v>
      </c>
      <c r="R28" s="237" t="str">
        <f>IFERROR(__xludf.DUMMYFUNCTION("IF(REGEXMATCH(I28, ""d""), ""d"","""")"),"")</f>
        <v/>
      </c>
      <c r="S28" s="236" t="str">
        <f>IFERROR(__xludf.DUMMYFUNCTION("IF(REGEXMATCH(I28, ""D""), ""D"","""")"),"D")</f>
        <v>D</v>
      </c>
      <c r="T28" s="236" t="str">
        <f>IFERROR(__xludf.DUMMYFUNCTION("IF(REGEXMATCH(I28, ""n""), ""n"","""")"),"n")</f>
        <v>n</v>
      </c>
      <c r="U28" s="237" t="str">
        <f>IFERROR(__xludf.DUMMYFUNCTION("IF(REGEXMATCH(I28, ""N""), ""N"","""")"),"")</f>
        <v/>
      </c>
      <c r="V28" s="238" t="str">
        <f>IFERROR(__xludf.DUMMYFUNCTION("IF(REGEXMATCH(I28, ""S""), ""S"","""")"),"S")</f>
        <v>S</v>
      </c>
      <c r="W28" s="239" t="str">
        <f>IFERROR(__xludf.DUMMYFUNCTION("SUBSTITUTE(CONCATENATE(JOIN(""-"",J28:P28)),""-"","""")"),"SrGm")</f>
        <v>SrGm</v>
      </c>
      <c r="X28" s="229" t="str">
        <f>IFERROR(__xludf.DUMMYFUNCTION("SUBSTITUTE(CONCATENATE(JOIN(""-"",Q28:V28)),""-"","""")"),"PDnS")</f>
        <v>PDnS</v>
      </c>
      <c r="Y28" s="282" t="str">
        <f t="shared" si="10"/>
        <v>S-R-G-M</v>
      </c>
      <c r="Z28" s="282" t="str">
        <f t="shared" si="11"/>
        <v>P-D-N-S</v>
      </c>
      <c r="AA28" s="309" t="str">
        <f t="shared" si="12"/>
        <v>rGmDn</v>
      </c>
      <c r="AB28" s="244" t="str">
        <f>IFERROR(__xludf.DUMMYFUNCTION("IF(REGEXMATCH(I28, ""S""), ""0"","""")"),"0")</f>
        <v>0</v>
      </c>
      <c r="AC28" s="245" t="str">
        <f>IFERROR(__xludf.DUMMYFUNCTION("IF(REGEXMATCH(I28, ""r""), ""1"","""")"),"1")</f>
        <v>1</v>
      </c>
      <c r="AD28" s="246" t="str">
        <f>IFERROR(__xludf.DUMMYFUNCTION("IF(REGEXMATCH(I28, ""R""), ""2"","""")"),"")</f>
        <v/>
      </c>
      <c r="AE28" s="246" t="str">
        <f>IFERROR(__xludf.DUMMYFUNCTION("IF(REGEXMATCH(I28, ""g""), ""3"","""")"),"")</f>
        <v/>
      </c>
      <c r="AF28" s="245" t="str">
        <f>IFERROR(__xludf.DUMMYFUNCTION("IF(REGEXMATCH(I28, ""G""), ""4"","""")"),"4")</f>
        <v>4</v>
      </c>
      <c r="AG28" s="245" t="str">
        <f>IFERROR(__xludf.DUMMYFUNCTION("IF(REGEXMATCH(I28, ""m""), ""5"","""")"),"5")</f>
        <v>5</v>
      </c>
      <c r="AH28" s="246" t="str">
        <f>IFERROR(__xludf.DUMMYFUNCTION("IF(REGEXMATCH(I28, ""M""), ""6"","""")"),"")</f>
        <v/>
      </c>
      <c r="AI28" s="245" t="str">
        <f>IFERROR(__xludf.DUMMYFUNCTION("IF(REGEXMATCH(I28, ""P""), ""7"","""")"),"7")</f>
        <v>7</v>
      </c>
      <c r="AJ28" s="246" t="str">
        <f>IFERROR(__xludf.DUMMYFUNCTION("IF(REGEXMATCH(I28, ""d""), ""8"","""")"),"")</f>
        <v/>
      </c>
      <c r="AK28" s="245" t="str">
        <f>IFERROR(__xludf.DUMMYFUNCTION("IF(REGEXMATCH(I28, ""D""), ""9"","""")"),"9")</f>
        <v>9</v>
      </c>
      <c r="AL28" s="245" t="str">
        <f>IFERROR(__xludf.DUMMYFUNCTION("IF(REGEXMATCH(I28, ""n""), ""10"","""")"),"10")</f>
        <v>10</v>
      </c>
      <c r="AM28" s="246" t="str">
        <f>IFERROR(__xludf.DUMMYFUNCTION("IF(REGEXMATCH(I28, ""N""), ""11"","""")"),"")</f>
        <v/>
      </c>
      <c r="AN28" s="249" t="str">
        <f>IFERROR(__xludf.DUMMYFUNCTION("IF(REGEXMATCH(I28, ""S""), ""0"","""")"),"0")</f>
        <v>0</v>
      </c>
      <c r="AO28" s="250" t="str">
        <f>IFERROR(__xludf.DUMMYFUNCTION("SUBSTITUTE(SUBSTITUTE(SUBSTITUTE(SUBSTITUTE(CONCATENATE(JOIN(""-"",AB28:AN28)),""--"",""-""),""--"",""-""),""--"",""-""),""--"",""-"")"),"0-1-4-5-7-9-10-0")</f>
        <v>0-1-4-5-7-9-10-0</v>
      </c>
      <c r="AP28" s="251">
        <f t="shared" si="13"/>
        <v>0</v>
      </c>
      <c r="AQ28" s="234" t="str">
        <f t="shared" si="14"/>
        <v>|</v>
      </c>
      <c r="AR28" s="236" t="str">
        <f t="shared" si="15"/>
        <v>|</v>
      </c>
      <c r="AS28" s="237" t="str">
        <f t="shared" si="16"/>
        <v>-</v>
      </c>
      <c r="AT28" s="236" t="str">
        <f t="shared" si="17"/>
        <v>-</v>
      </c>
      <c r="AU28" s="237" t="str">
        <f t="shared" si="18"/>
        <v>|</v>
      </c>
      <c r="AV28" s="236" t="str">
        <f t="shared" si="19"/>
        <v>|</v>
      </c>
      <c r="AW28" s="237" t="str">
        <f t="shared" si="20"/>
        <v>-</v>
      </c>
      <c r="AX28" s="236" t="str">
        <f t="shared" si="21"/>
        <v>|</v>
      </c>
      <c r="AY28" s="237" t="str">
        <f t="shared" si="22"/>
        <v>-</v>
      </c>
      <c r="AZ28" s="236" t="str">
        <f t="shared" si="23"/>
        <v>|</v>
      </c>
      <c r="BA28" s="237" t="str">
        <f t="shared" si="24"/>
        <v>|</v>
      </c>
      <c r="BB28" s="236" t="str">
        <f t="shared" si="25"/>
        <v>-</v>
      </c>
      <c r="BC28" s="238" t="str">
        <f t="shared" si="26"/>
        <v>|</v>
      </c>
      <c r="BD28" s="250" t="str">
        <f>IFERROR(__xludf.DUMMYFUNCTION("SUBSTITUTE(SUBSTITUTE(CONCATENATE(JOIN("""",AQ28:BB28)),""|"",""x""),""-"",""o"")"),"xxooxxoxoxxo")</f>
        <v>xxooxxoxoxxo</v>
      </c>
      <c r="BE28" s="323" t="str">
        <f>IFERROR(__xludf.DUMMYFUNCTION("JOIN("""",BD28,BD28)"),"xxooxxoxoxxoxxooxxoxoxxo")</f>
        <v>xxooxxoxoxxoxxooxxoxoxxo</v>
      </c>
      <c r="BF28" s="256" t="str">
        <f>IFERROR(__xludf.DUMMYFUNCTION("JOIN("""",ArrayFormula(MID(BD28,LEN(BD28)-SEQUENCE(1,LEN(BD28))+1,1)))"),"oxxoxoxxooxx")</f>
        <v>oxxoxoxxooxx</v>
      </c>
      <c r="BG28" s="256" t="str">
        <f>IFERROR(__xludf.DUMMYFUNCTION("LEFT(CONCATENATE(""x"",JOIN("""",ArrayFormula(MID(BD28,LEN(BD28)-SEQUENCE(1,LEN(BD28))+1,1)))),12)"),"xoxxoxoxxoox")</f>
        <v>xoxxoxoxxoox</v>
      </c>
      <c r="BH28" s="327" t="str">
        <f>IFERROR(__xludf.DUMMYFUNCTION("JOIN("""",BF28,BF28)"),"oxxoxoxxooxxoxxoxoxxooxx")</f>
        <v>oxxoxoxxooxxoxxoxoxxooxx</v>
      </c>
      <c r="BI28" s="239" t="str">
        <f>IFERROR(__xludf.DUMMYFUNCTION("IF(REGEXMATCH(BH28,BD28),""✔"",""-"")"),"-")</f>
        <v>-</v>
      </c>
      <c r="BJ28" s="330" t="str">
        <f t="shared" si="27"/>
        <v>-</v>
      </c>
      <c r="BK28" s="260" t="str">
        <f t="shared" si="28"/>
        <v>-</v>
      </c>
      <c r="BL28" s="261" t="str">
        <f>IFERROR(__xludf.DUMMYFUNCTION("IF(BO28=0,""(n/a)"",IF(BP28=2,""(PAIR)"",IF(REGEXMATCH(BE28,""xoxoxxoxoxox""),""Bilawal"",IF(REGEXMATCH(BE28,""xoxoxooxoxoo""),""Bhupali"",IF(REGEXMATCH(BE28,""xoxoxxoxxoxo""),""Charukeshi"",IF(REGEXMATCH(BE28,""xoxoooxxoxxo""),""Kameshwari"",IF(REGEXMATC"&amp;"H(BE28,""xoxoxooxoxox""),""Shankara"",IF(REGEXMATCH(BE28,""xxooxoxxxoox""),""Basant"",IF(REGEXMATCH(BE28,""xoxoxxxxoxox""),""Bihag"",IF(REGEXMATCH(BE28,""xoxxxxoxoxxx""),""Pilu"",IF(REGEXMATCH(BE28,""xoxxoxoxxoox""),""Kirwani"",IF(REGEXMATCH(BE28,""xoxxox"&amp;"oxoxxx""),""Mk.Malhar"",IF(REGEXMATCH(BE28,""xxooxxoxxoox""),""Bhairav"",IF(REGEXMATCH(BE28,""xxoxooxxxoox""),""Todi"",IF(REGEXMATCH(BE28,""xxooxoxooxox""),""Marwa"",IF(REGEXMATCH(BE28,""xxoooxoxxooo""),""Gunkali"",IF(REGEXMATCH(BE28,""xoxoxxoxxoox""),""N"&amp;"at Bhairav"",IF(REGEXMATCH(BE28,""xoxxoooxoxoo""),""Shivranjani"",IF(REGEXMATCH(BE28,""xooxxxoxooxo""),""Jog"",IF(REGEXMATCH(BE28,""xxooxoxoxoox""),""Hemshri"",IF(REGEXMATCH(BE28,""xoooxooxoxxo""),""Kalavati"",IF(REGEXMATCH(BE28,""xxoxoxxoxoox""),""Kedar"&amp;""",IF(REGEXMATCH(BE28,""xoxxxxoxooxx""),""Gara"",IF(REGEXMATCH(BE28,""xooxoxooxoox""),""Chandrakauns"",IF(REGEXMATCH(BE28,""xoxxxxoxxxox""),""Mand"",IF(REGEXMATCH(BE28,""xoxxxxoxoxox""),""Hanskinkini"",IF(REGEXMATCH(BE28,""xxooxxoxooxo""),""Lilavati"",IF("&amp;"REGEXMATCH(BE28,""xooxoxoooxox""),""Rajeshwari"",IF(REGEXMATCH(BE28,""xoooxxoxoxxx""),""Khokar"",IF(REGEXMATCH(BE28,""xxooxoxxxxox""),""Maligoura"",""-""))))))))))))))))))))))))))))))"),"Nat Bhairav")</f>
        <v>Nat Bhairav</v>
      </c>
      <c r="BM28" s="239">
        <f t="shared" si="29"/>
        <v>6</v>
      </c>
      <c r="BN28" s="239">
        <f>IFERROR(__xludf.DUMMYFUNCTION("COUNTUNIQUE(BR28:CB28)-1"),6.0)</f>
        <v>6</v>
      </c>
      <c r="BO28" s="239">
        <f>IFERROR(__xludf.DUMMYFUNCTION("COUNTUNIQUE(FILTER(BE:BE,REGEXMATCH(BE:BE,BD28)))-1"),2.0)</f>
        <v>2</v>
      </c>
      <c r="BP28" s="239">
        <f>IFERROR(__xludf.DUMMYFUNCTION("COUNTA(FILTER(BE:BE,REGEXMATCH(BE:BE,BD28)))"),3.0)</f>
        <v>3</v>
      </c>
      <c r="BQ28" s="341">
        <f>IFERROR(__xludf.DUMMYFUNCTION("COUNTA(FILTER(BE:BE,REGEXMATCH(BE:BE,BD28)))-AP28"),3.0)</f>
        <v>3</v>
      </c>
      <c r="BR28" s="269" t="str">
        <f t="shared" si="30"/>
        <v>xooxxoxoxxo</v>
      </c>
      <c r="BS28" s="269" t="str">
        <f t="shared" si="31"/>
        <v>-</v>
      </c>
      <c r="BT28" s="271" t="str">
        <f t="shared" si="32"/>
        <v>-</v>
      </c>
      <c r="BU28" s="269" t="str">
        <f t="shared" si="33"/>
        <v>xxoxoxxoxxo</v>
      </c>
      <c r="BV28" s="271" t="str">
        <f t="shared" si="34"/>
        <v>xoxoxxoxxoo</v>
      </c>
      <c r="BW28" s="271" t="str">
        <f t="shared" si="35"/>
        <v>-</v>
      </c>
      <c r="BX28" s="271" t="str">
        <f t="shared" si="36"/>
        <v>xoxxoxxooxx</v>
      </c>
      <c r="BY28" s="271" t="str">
        <f t="shared" si="37"/>
        <v>-</v>
      </c>
      <c r="BZ28" s="271" t="str">
        <f t="shared" si="38"/>
        <v>xxoxxooxxox</v>
      </c>
      <c r="CA28" s="271" t="str">
        <f t="shared" si="39"/>
        <v>xoxxooxxoxo</v>
      </c>
      <c r="CB28" s="274" t="str">
        <f t="shared" si="40"/>
        <v>-</v>
      </c>
      <c r="CC28" s="276" t="str">
        <f>IFERROR(__xludf.DUMMYFUNCTION("IF(BD28=""oooooooooooo"",""-"",IF(REGEXMATCH(BE28,""xx""), ""Hemi."", ""Anhemi.""))"),"Hemi.")</f>
        <v>Hemi.</v>
      </c>
      <c r="CD28" s="282" t="str">
        <f>IFERROR(__xludf.DUMMYFUNCTION("IF(BD28=""oooooooooooo"",""-"",IF(REGEXMATCH(BE28,""xxx""), ""Cohem."", ""-""))"),"-")</f>
        <v>-</v>
      </c>
      <c r="CE28" s="282" t="str">
        <f>IFERROR(__xludf.DUMMYFUNCTION("IF(BD28=""oooooooooooo"",""-"",IF(REGEXMATCH(BE28,""xxxx""), ""Co-Co."", ""-""))"),"-")</f>
        <v>-</v>
      </c>
      <c r="CF28" s="342" t="str">
        <f>IFERROR(__xludf.DUMMYFUNCTION("IF(BD28=""oooooooooooo"",""-"",IF(REGEXMATCH(BE28,""xxxxx""), ""CCC."", ""-""))"),"-")</f>
        <v>-</v>
      </c>
      <c r="CG28" s="344" t="str">
        <f t="shared" si="41"/>
        <v>-</v>
      </c>
      <c r="CH28" s="282" t="str">
        <f>IFERROR(__xludf.DUMMYFUNCTION("IF(REGEXMATCH(JOIN(""-"",CJ28:CS28),""TRUE""),""✔"",""-"")"),"-")</f>
        <v>-</v>
      </c>
      <c r="CI28" s="225">
        <f t="shared" si="42"/>
        <v>0</v>
      </c>
      <c r="CJ28" s="376" t="b">
        <f>IFERROR(__xludf.DUMMYFUNCTION("arrayformula(sum(--REGEXMATCH(""SRGMPDNS"",split(REGEXREPLACE(I28,""(.)"",""$1~""),""~""))))=len(I28)
"),FALSE)</f>
        <v>0</v>
      </c>
      <c r="CK28" s="290" t="b">
        <f>IFERROR(__xludf.DUMMYFUNCTION("arrayformula(sum(--REGEXMATCH(""SRGmPDNS"",split(REGEXREPLACE(I28,""(.)"",""$1~""),""~""))))=len(I28)"),FALSE)</f>
        <v>0</v>
      </c>
      <c r="CL28" s="290" t="b">
        <f>IFERROR(__xludf.DUMMYFUNCTION("arrayformula(sum(--REGEXMATCH(""SRGmPDnS"",split(REGEXREPLACE(I28,""(.)"",""$1~""),""~""))))=len(I28)"),FALSE)</f>
        <v>0</v>
      </c>
      <c r="CM28" s="290" t="b">
        <f>IFERROR(__xludf.DUMMYFUNCTION("arrayformula(sum(--REGEXMATCH(""SRgmPDnS"",split(REGEXREPLACE(I28,""(.)"",""$1~""),""~""))))=len(I28)"),FALSE)</f>
        <v>0</v>
      </c>
      <c r="CN28" s="290" t="b">
        <f>IFERROR(__xludf.DUMMYFUNCTION("arrayformula(sum(--REGEXMATCH(""SRgmPdnS"",split(REGEXREPLACE(I28,""(.)"",""$1~""),""~""))))=len(I28)"),FALSE)</f>
        <v>0</v>
      </c>
      <c r="CO28" s="290" t="b">
        <f>IFERROR(__xludf.DUMMYFUNCTION("arrayformula(sum(--REGEXMATCH(""SrgmPdnS"",split(REGEXREPLACE(I28,""(.)"",""$1~""),""~""))))=len(I28)"),FALSE)</f>
        <v>0</v>
      </c>
      <c r="CP28" s="290" t="b">
        <f>IFERROR(__xludf.DUMMYFUNCTION("arrayformula(sum(--REGEXMATCH(""SrGmPdNS"",split(REGEXREPLACE(I28,""(.)"",""$1~""),""~""))))=len(I28)"),FALSE)</f>
        <v>0</v>
      </c>
      <c r="CQ28" s="290" t="b">
        <f>IFERROR(__xludf.DUMMYFUNCTION("arrayformula(sum(--REGEXMATCH(""SrGMPDNS"",split(REGEXREPLACE(I28,""(.)"",""$1~""),""~""))))=len(I28)"),FALSE)</f>
        <v>0</v>
      </c>
      <c r="CR28" s="290" t="b">
        <f>IFERROR(__xludf.DUMMYFUNCTION("arrayformula(sum(--REGEXMATCH(""SrGMPdNS"",split(REGEXREPLACE(I28,""(.)"",""$1~""),""~""))))=len(I28)"),FALSE)</f>
        <v>0</v>
      </c>
      <c r="CS28" s="293" t="b">
        <f>IFERROR(__xludf.DUMMYFUNCTION("arrayformula(sum(--REGEXMATCH(""SrgMPdNS"",split(REGEXREPLACE(I28,""(.)"",""$1~""),""~""))))=len(I28)"),FALSE)</f>
        <v>0</v>
      </c>
      <c r="CT28" s="244" t="str">
        <f>IFERROR(__xludf.DUMMYFUNCTION("IF(REGEXMATCH(I28, ""S""), ""1"","""")"),"1")</f>
        <v>1</v>
      </c>
      <c r="CU28" s="245" t="str">
        <f>IFERROR(__xludf.DUMMYFUNCTION("IF(REGEXMATCH(I28, ""r""), ""b2"","""")"),"b2")</f>
        <v>b2</v>
      </c>
      <c r="CV28" s="246" t="str">
        <f>IFERROR(__xludf.DUMMYFUNCTION("IF(REGEXMATCH(I28, ""R""), ""2"","""")"),"")</f>
        <v/>
      </c>
      <c r="CW28" s="246" t="str">
        <f>IFERROR(__xludf.DUMMYFUNCTION("IF(REGEXMATCH(I28, ""g""), ""b3"","""")"),"")</f>
        <v/>
      </c>
      <c r="CX28" s="245" t="str">
        <f>IFERROR(__xludf.DUMMYFUNCTION("IF(REGEXMATCH(I28, ""G""), ""3"","""")"),"3")</f>
        <v>3</v>
      </c>
      <c r="CY28" s="245" t="str">
        <f>IFERROR(__xludf.DUMMYFUNCTION("IF(REGEXMATCH(I28, ""m""), ""4"","""")"),"4")</f>
        <v>4</v>
      </c>
      <c r="CZ28" s="246" t="str">
        <f>IFERROR(__xludf.DUMMYFUNCTION("IF(REGEXMATCH(I28, ""M""), ""#4"","""")"),"")</f>
        <v/>
      </c>
      <c r="DA28" s="245" t="str">
        <f>IFERROR(__xludf.DUMMYFUNCTION("IF(REGEXMATCH(I28, ""P""), ""5"","""")"),"5")</f>
        <v>5</v>
      </c>
      <c r="DB28" s="246" t="str">
        <f>IFERROR(__xludf.DUMMYFUNCTION("IF(REGEXMATCH(I28, ""d""), ""b6"","""")"),"")</f>
        <v/>
      </c>
      <c r="DC28" s="245" t="str">
        <f>IFERROR(__xludf.DUMMYFUNCTION("IF(REGEXMATCH(I28, ""D""), ""6"","""")"),"6")</f>
        <v>6</v>
      </c>
      <c r="DD28" s="245" t="str">
        <f>IFERROR(__xludf.DUMMYFUNCTION("IF(REGEXMATCH(I28, ""n""), ""b7"","""")"),"b7")</f>
        <v>b7</v>
      </c>
      <c r="DE28" s="246" t="str">
        <f>IFERROR(__xludf.DUMMYFUNCTION("IF(REGEXMATCH(I28, ""N""), ""7"","""")"),"")</f>
        <v/>
      </c>
      <c r="DF28" s="249" t="str">
        <f>IFERROR(__xludf.DUMMYFUNCTION("IF(REGEXMATCH(I28, ""S""), ""8"","""")"),"8")</f>
        <v>8</v>
      </c>
      <c r="DG28" s="244" t="str">
        <f>IFERROR(__xludf.DUMMYFUNCTION("IF(REGEXMATCH(I28, ""S""), ""S"","""")"),"S")</f>
        <v>S</v>
      </c>
      <c r="DH28" s="294" t="str">
        <f>IFERROR(__xludf.DUMMYFUNCTION("IF(REGEXMATCH(I28, ""r""), ""R1"","""")"),"R1")</f>
        <v>R1</v>
      </c>
      <c r="DI28" s="295" t="str">
        <f>IFERROR(__xludf.DUMMYFUNCTION("IF(REGEXMATCH(I28, ""R""), ""R2"","""")"),"")</f>
        <v/>
      </c>
      <c r="DJ28" s="295" t="str">
        <f>IFERROR(__xludf.DUMMYFUNCTION("IF(REGEXMATCH(I28, ""g""), ""G2"","""")"),"")</f>
        <v/>
      </c>
      <c r="DK28" s="294" t="str">
        <f>IFERROR(__xludf.DUMMYFUNCTION("IF(REGEXMATCH(I28, ""G""), ""G3"","""")"),"G3")</f>
        <v>G3</v>
      </c>
      <c r="DL28" s="294" t="str">
        <f>IFERROR(__xludf.DUMMYFUNCTION("IF(REGEXMATCH(I28, ""m""), ""M1"","""")"),"M1")</f>
        <v>M1</v>
      </c>
      <c r="DM28" s="295" t="str">
        <f>IFERROR(__xludf.DUMMYFUNCTION("IF(REGEXMATCH(I28, ""M""), ""M2"","""")"),"")</f>
        <v/>
      </c>
      <c r="DN28" s="294" t="str">
        <f>IFERROR(__xludf.DUMMYFUNCTION("IF(REGEXMATCH(I28, ""P""), ""P"","""")"),"P")</f>
        <v>P</v>
      </c>
      <c r="DO28" s="295" t="str">
        <f>IFERROR(__xludf.DUMMYFUNCTION("IF(REGEXMATCH(I28, ""d""), ""D1"","""")"),"")</f>
        <v/>
      </c>
      <c r="DP28" s="294" t="str">
        <f>IFERROR(__xludf.DUMMYFUNCTION("IF(REGEXMATCH(I28, ""D""), ""D2"","""")"),"D2")</f>
        <v>D2</v>
      </c>
      <c r="DQ28" s="294" t="str">
        <f>IFERROR(__xludf.DUMMYFUNCTION("IF(REGEXMATCH(I28, ""n""), ""N2"","""")"),"N2")</f>
        <v>N2</v>
      </c>
      <c r="DR28" s="295" t="str">
        <f>IFERROR(__xludf.DUMMYFUNCTION("IF(REGEXMATCH(I28, ""N""), ""N3"","""")"),"")</f>
        <v/>
      </c>
      <c r="DS28" s="249" t="str">
        <f>IFERROR(__xludf.DUMMYFUNCTION("IF(REGEXMATCH(I28, ""S""), ""S"","""")"),"S")</f>
        <v>S</v>
      </c>
      <c r="DT28" s="299" t="str">
        <f>IFERROR(__xludf.DUMMYFUNCTION("SUBSTITUTE(SUBSTITUTE(SUBSTITUTE(SUBSTITUTE(CONCATENATE(JOIN(""-"",CT28:DF28)),""--"",""-""),""--"",""-""),""--"",""-""),""--"",""-"")"),"1-b2-3-4-5-6-b7-8")</f>
        <v>1-b2-3-4-5-6-b7-8</v>
      </c>
      <c r="DU28" s="299" t="str">
        <f>IFERROR(__xludf.DUMMYFUNCTION("SUBSTITUTE(SUBSTITUTE(SUBSTITUTE(SUBSTITUTE(CONCATENATE(JOIN(""-"",DG28:DS28)),""--"",""-""),""--"",""-""),""--"",""-""),""--"",""-"")"),"S-R1-G3-M1-P-D2-N2-S")</f>
        <v>S-R1-G3-M1-P-D2-N2-S</v>
      </c>
      <c r="DV28" s="348" t="str">
        <f t="shared" si="43"/>
        <v>C-Db-E-F-G-A-Bb-C</v>
      </c>
      <c r="DW28" s="301">
        <f t="shared" si="44"/>
        <v>7</v>
      </c>
      <c r="DX28" s="302" t="str">
        <f t="shared" si="45"/>
        <v>Sampurna</v>
      </c>
      <c r="DY28" s="301" t="str">
        <f t="shared" ref="DY28:DZ28" si="194">SUBSTITUTE(Y28,"-","")</f>
        <v>SRGM</v>
      </c>
      <c r="DZ28" s="301" t="str">
        <f t="shared" si="194"/>
        <v>PDNS</v>
      </c>
      <c r="EA28" s="302" t="str">
        <f t="shared" si="47"/>
        <v>Nat Bhairav</v>
      </c>
      <c r="EB28" s="301" t="str">
        <f t="shared" si="48"/>
        <v>Hemi.</v>
      </c>
      <c r="EC28" s="364" t="str">
        <f t="shared" si="49"/>
        <v>-</v>
      </c>
      <c r="ED28" s="306" t="str">
        <f t="shared" si="50"/>
        <v>-</v>
      </c>
      <c r="EE28" s="366" t="str">
        <f t="shared" si="51"/>
        <v>-</v>
      </c>
      <c r="EF28" s="308" t="str">
        <f t="shared" si="52"/>
        <v>✔</v>
      </c>
      <c r="EG28" s="306" t="str">
        <f t="shared" si="53"/>
        <v>-</v>
      </c>
      <c r="EH28" s="306" t="str">
        <f t="shared" si="54"/>
        <v>-</v>
      </c>
      <c r="EI28" s="367" t="str">
        <f t="shared" si="55"/>
        <v>-</v>
      </c>
      <c r="EJ28" s="310" t="str">
        <f t="shared" si="56"/>
        <v>-</v>
      </c>
      <c r="EK28" s="310" t="str">
        <f t="shared" si="57"/>
        <v>-</v>
      </c>
      <c r="EL28" s="310" t="str">
        <f t="shared" si="58"/>
        <v>-</v>
      </c>
      <c r="EM28" s="310" t="str">
        <f t="shared" si="59"/>
        <v>-</v>
      </c>
      <c r="EN28" s="370" t="str">
        <f t="shared" si="60"/>
        <v>-</v>
      </c>
      <c r="EO28" s="306" t="str">
        <f t="shared" si="61"/>
        <v>-</v>
      </c>
      <c r="EP28" s="306" t="str">
        <f t="shared" si="62"/>
        <v>-</v>
      </c>
      <c r="EQ28" s="306" t="str">
        <f t="shared" si="63"/>
        <v>-</v>
      </c>
      <c r="ER28" s="306" t="str">
        <f t="shared" si="64"/>
        <v>-</v>
      </c>
      <c r="ES28" s="306" t="str">
        <f t="shared" si="65"/>
        <v>-</v>
      </c>
      <c r="ET28" s="367" t="str">
        <f t="shared" si="66"/>
        <v>-</v>
      </c>
      <c r="EU28" s="310" t="str">
        <f>IFERROR(__xludf.DUMMYFUNCTION("IF(REGEXMATCH(BH28,BD28),""✔"",""-"")"),"-")</f>
        <v>-</v>
      </c>
      <c r="EV28" s="310" t="str">
        <f t="shared" si="67"/>
        <v>-</v>
      </c>
      <c r="EW28" s="370" t="str">
        <f t="shared" si="68"/>
        <v>-</v>
      </c>
      <c r="EX28" s="315" t="str">
        <f t="shared" si="69"/>
        <v>[UQ]</v>
      </c>
      <c r="EY28" s="317" t="str">
        <f t="shared" si="70"/>
        <v>S-r-G-m-P-D-n-S</v>
      </c>
      <c r="EZ28" s="318" t="str">
        <f>IFERROR(__xludf.DUMMYFUNCTION("CONCATENATE(JOIN("""",GE28:GQ28))"),"SRgmPdNS")</f>
        <v>SRgmPdNS</v>
      </c>
      <c r="FA28" s="318"/>
      <c r="FB28" s="318"/>
      <c r="FC28" s="321">
        <f t="shared" si="71"/>
        <v>3</v>
      </c>
      <c r="FD28" s="318" t="str">
        <f>IFERROR(__xludf.DUMMYFUNCTION("CONCATENATE(JOIN("""",HR28:ID28))"),"re, Ga, Pa, ")</f>
        <v>re, Ga, Pa, </v>
      </c>
      <c r="FE28" s="322">
        <f t="shared" si="72"/>
        <v>1</v>
      </c>
      <c r="FF28" s="324" t="str">
        <f>IFERROR(__xludf.DUMMYFUNCTION("CONCATENATE(JOIN("""",IR28:JD28))"),"re, ")</f>
        <v>re, </v>
      </c>
      <c r="FG28" s="325" t="str">
        <f t="shared" si="73"/>
        <v>S-R1-G3-M1-P-D2-N2-S</v>
      </c>
      <c r="FH28" s="326" t="str">
        <f t="shared" si="74"/>
        <v>1-b2-3-4-5-6-b7-8</v>
      </c>
      <c r="FI28" s="326" t="str">
        <f t="shared" si="75"/>
        <v>0-1-4-5-7-9-10-0</v>
      </c>
      <c r="FJ28" s="318"/>
      <c r="FK28" s="328" t="str">
        <f>IFERROR(__xludf.DUMMYFUNCTION("SUBSTITUTE(SUBSTITUTE(SUBSTITUTE(SUBSTITUTE(CONCATENATE(JOIN("" "",FN28:FZ28)),""  "","" ""),""  "","" ""),""  "","" ""),""  "","" "")"),"o o • • o o • o • o o • o")</f>
        <v>o o • • o o • o • o o • o</v>
      </c>
      <c r="FL28" s="328" t="str">
        <f t="shared" si="76"/>
        <v>-</v>
      </c>
      <c r="FM28" s="329"/>
      <c r="FN28" s="331" t="str">
        <f t="shared" si="77"/>
        <v>o</v>
      </c>
      <c r="FO28" s="332" t="str">
        <f t="shared" si="78"/>
        <v>o</v>
      </c>
      <c r="FP28" s="332" t="str">
        <f t="shared" si="79"/>
        <v>•</v>
      </c>
      <c r="FQ28" s="332" t="str">
        <f t="shared" si="80"/>
        <v>•</v>
      </c>
      <c r="FR28" s="332" t="str">
        <f t="shared" si="81"/>
        <v>o</v>
      </c>
      <c r="FS28" s="332" t="str">
        <f t="shared" si="82"/>
        <v>o</v>
      </c>
      <c r="FT28" s="332" t="str">
        <f t="shared" si="83"/>
        <v>•</v>
      </c>
      <c r="FU28" s="332" t="str">
        <f t="shared" si="84"/>
        <v>o</v>
      </c>
      <c r="FV28" s="332" t="str">
        <f t="shared" si="85"/>
        <v>•</v>
      </c>
      <c r="FW28" s="332" t="str">
        <f t="shared" si="86"/>
        <v>o</v>
      </c>
      <c r="FX28" s="332" t="str">
        <f t="shared" si="87"/>
        <v>o</v>
      </c>
      <c r="FY28" s="332" t="str">
        <f t="shared" si="88"/>
        <v>•</v>
      </c>
      <c r="FZ28" s="338" t="str">
        <f t="shared" si="89"/>
        <v>o</v>
      </c>
      <c r="GA28" s="339" t="str">
        <f t="shared" si="90"/>
        <v>-</v>
      </c>
      <c r="GB28" s="339" t="str">
        <f t="shared" si="91"/>
        <v>Sa-Pa</v>
      </c>
      <c r="GC28" s="339" t="str">
        <f t="shared" si="92"/>
        <v>-</v>
      </c>
      <c r="GD28" s="340" t="str">
        <f t="shared" si="93"/>
        <v>-</v>
      </c>
      <c r="GE28" s="331" t="str">
        <f t="shared" si="94"/>
        <v>S</v>
      </c>
      <c r="GF28" s="332" t="str">
        <f t="shared" si="95"/>
        <v/>
      </c>
      <c r="GG28" s="332" t="str">
        <f t="shared" si="96"/>
        <v>R</v>
      </c>
      <c r="GH28" s="332" t="str">
        <f t="shared" si="97"/>
        <v>g</v>
      </c>
      <c r="GI28" s="332" t="str">
        <f t="shared" si="98"/>
        <v/>
      </c>
      <c r="GJ28" s="332" t="str">
        <f t="shared" si="99"/>
        <v>m</v>
      </c>
      <c r="GK28" s="332" t="str">
        <f t="shared" si="100"/>
        <v/>
      </c>
      <c r="GL28" s="332" t="str">
        <f t="shared" si="101"/>
        <v>P</v>
      </c>
      <c r="GM28" s="332" t="str">
        <f t="shared" si="102"/>
        <v>d</v>
      </c>
      <c r="GN28" s="332" t="str">
        <f t="shared" si="103"/>
        <v/>
      </c>
      <c r="GO28" s="332" t="str">
        <f t="shared" si="104"/>
        <v/>
      </c>
      <c r="GP28" s="332" t="str">
        <f t="shared" si="105"/>
        <v>N</v>
      </c>
      <c r="GQ28" s="343" t="str">
        <f t="shared" si="106"/>
        <v>S</v>
      </c>
      <c r="GR28" s="331" t="str">
        <f t="shared" si="107"/>
        <v>•</v>
      </c>
      <c r="GS28" s="332" t="str">
        <f t="shared" si="108"/>
        <v>•</v>
      </c>
      <c r="GT28" s="332" t="str">
        <f t="shared" si="109"/>
        <v>o</v>
      </c>
      <c r="GU28" s="332" t="str">
        <f t="shared" si="110"/>
        <v>o</v>
      </c>
      <c r="GV28" s="332" t="str">
        <f t="shared" si="111"/>
        <v>•</v>
      </c>
      <c r="GW28" s="332" t="str">
        <f t="shared" si="112"/>
        <v>•</v>
      </c>
      <c r="GX28" s="332" t="str">
        <f t="shared" si="113"/>
        <v>o</v>
      </c>
      <c r="GY28" s="332" t="str">
        <f t="shared" si="114"/>
        <v>•</v>
      </c>
      <c r="GZ28" s="332" t="str">
        <f t="shared" si="115"/>
        <v>o</v>
      </c>
      <c r="HA28" s="332" t="str">
        <f t="shared" si="116"/>
        <v>•</v>
      </c>
      <c r="HB28" s="332" t="str">
        <f t="shared" si="117"/>
        <v>•</v>
      </c>
      <c r="HC28" s="332" t="str">
        <f t="shared" si="118"/>
        <v>o</v>
      </c>
      <c r="HD28" s="338" t="str">
        <f t="shared" si="119"/>
        <v>•</v>
      </c>
      <c r="HE28" s="346" t="b">
        <f t="shared" si="120"/>
        <v>0</v>
      </c>
      <c r="HF28" s="347" t="b">
        <f t="shared" si="121"/>
        <v>1</v>
      </c>
      <c r="HG28" s="347" t="b">
        <f t="shared" si="122"/>
        <v>0</v>
      </c>
      <c r="HH28" s="347" t="b">
        <f t="shared" si="123"/>
        <v>0</v>
      </c>
      <c r="HI28" s="347" t="b">
        <f t="shared" si="124"/>
        <v>1</v>
      </c>
      <c r="HJ28" s="347" t="b">
        <f t="shared" si="125"/>
        <v>0</v>
      </c>
      <c r="HK28" s="347" t="b">
        <f t="shared" si="126"/>
        <v>0</v>
      </c>
      <c r="HL28" s="347" t="b">
        <f t="shared" si="127"/>
        <v>1</v>
      </c>
      <c r="HM28" s="347" t="b">
        <f t="shared" si="128"/>
        <v>0</v>
      </c>
      <c r="HN28" s="347" t="b">
        <f t="shared" si="129"/>
        <v>0</v>
      </c>
      <c r="HO28" s="347" t="b">
        <f t="shared" si="130"/>
        <v>0</v>
      </c>
      <c r="HP28" s="347" t="b">
        <f t="shared" si="131"/>
        <v>0</v>
      </c>
      <c r="HQ28" s="353" t="b">
        <f t="shared" si="132"/>
        <v>0</v>
      </c>
      <c r="HR28" s="354" t="str">
        <f t="shared" si="133"/>
        <v/>
      </c>
      <c r="HS28" s="355" t="str">
        <f t="shared" si="134"/>
        <v>re, </v>
      </c>
      <c r="HT28" s="355" t="str">
        <f t="shared" si="135"/>
        <v/>
      </c>
      <c r="HU28" s="355" t="str">
        <f t="shared" si="136"/>
        <v/>
      </c>
      <c r="HV28" s="355" t="str">
        <f t="shared" si="137"/>
        <v>Ga, </v>
      </c>
      <c r="HW28" s="355" t="str">
        <f t="shared" si="138"/>
        <v/>
      </c>
      <c r="HX28" s="355" t="str">
        <f t="shared" si="139"/>
        <v/>
      </c>
      <c r="HY28" s="355" t="str">
        <f t="shared" si="140"/>
        <v>Pa, </v>
      </c>
      <c r="HZ28" s="355" t="str">
        <f t="shared" si="141"/>
        <v/>
      </c>
      <c r="IA28" s="355" t="str">
        <f t="shared" si="142"/>
        <v/>
      </c>
      <c r="IB28" s="355" t="str">
        <f t="shared" si="143"/>
        <v/>
      </c>
      <c r="IC28" s="355" t="str">
        <f t="shared" si="144"/>
        <v/>
      </c>
      <c r="ID28" s="359" t="str">
        <f t="shared" si="145"/>
        <v/>
      </c>
      <c r="IE28" s="346" t="b">
        <f t="shared" si="146"/>
        <v>0</v>
      </c>
      <c r="IF28" s="347" t="b">
        <f t="shared" si="147"/>
        <v>1</v>
      </c>
      <c r="IG28" s="347" t="b">
        <f t="shared" si="148"/>
        <v>0</v>
      </c>
      <c r="IH28" s="347" t="b">
        <f t="shared" si="149"/>
        <v>0</v>
      </c>
      <c r="II28" s="347" t="b">
        <f t="shared" si="150"/>
        <v>0</v>
      </c>
      <c r="IJ28" s="347" t="b">
        <f t="shared" si="151"/>
        <v>0</v>
      </c>
      <c r="IK28" s="347" t="b">
        <f t="shared" si="152"/>
        <v>0</v>
      </c>
      <c r="IL28" s="347" t="b">
        <f t="shared" si="153"/>
        <v>0</v>
      </c>
      <c r="IM28" s="347" t="b">
        <f t="shared" si="154"/>
        <v>0</v>
      </c>
      <c r="IN28" s="347" t="b">
        <f t="shared" si="155"/>
        <v>0</v>
      </c>
      <c r="IO28" s="347" t="b">
        <f t="shared" si="156"/>
        <v>0</v>
      </c>
      <c r="IP28" s="347" t="b">
        <f t="shared" si="157"/>
        <v>0</v>
      </c>
      <c r="IQ28" s="365" t="b">
        <f t="shared" si="158"/>
        <v>0</v>
      </c>
      <c r="IR28" s="354" t="str">
        <f t="shared" si="159"/>
        <v/>
      </c>
      <c r="IS28" s="355" t="str">
        <f t="shared" si="160"/>
        <v>re, </v>
      </c>
      <c r="IT28" s="355" t="str">
        <f t="shared" si="161"/>
        <v/>
      </c>
      <c r="IU28" s="355" t="str">
        <f t="shared" si="162"/>
        <v/>
      </c>
      <c r="IV28" s="355" t="str">
        <f t="shared" si="163"/>
        <v/>
      </c>
      <c r="IW28" s="355" t="str">
        <f t="shared" si="164"/>
        <v/>
      </c>
      <c r="IX28" s="355" t="str">
        <f t="shared" si="165"/>
        <v/>
      </c>
      <c r="IY28" s="355" t="str">
        <f t="shared" si="166"/>
        <v/>
      </c>
      <c r="IZ28" s="355" t="str">
        <f t="shared" si="167"/>
        <v/>
      </c>
      <c r="JA28" s="355" t="str">
        <f t="shared" si="168"/>
        <v/>
      </c>
      <c r="JB28" s="355" t="str">
        <f t="shared" si="169"/>
        <v/>
      </c>
      <c r="JC28" s="355" t="str">
        <f t="shared" si="170"/>
        <v/>
      </c>
      <c r="JD28" s="359"/>
      <c r="JE28" s="321"/>
      <c r="JF28" s="368"/>
      <c r="JG28" s="369"/>
      <c r="JH28" s="369"/>
      <c r="JI28" s="369"/>
      <c r="JJ28" s="369"/>
      <c r="JK28" s="369"/>
      <c r="JL28" s="369"/>
      <c r="JM28" s="369"/>
      <c r="JN28" s="369"/>
      <c r="JO28" s="369"/>
      <c r="JP28" s="369"/>
    </row>
    <row r="29" ht="20.25" customHeight="1">
      <c r="A29" s="221" t="s">
        <v>659</v>
      </c>
      <c r="B29" s="222">
        <v>27.0</v>
      </c>
      <c r="C29" s="223" t="s">
        <v>353</v>
      </c>
      <c r="D29" s="224" t="s">
        <v>17</v>
      </c>
      <c r="E29" s="225" t="str">
        <f t="shared" si="5"/>
        <v>[UQ]</v>
      </c>
      <c r="F29" s="227">
        <f t="shared" si="6"/>
        <v>7</v>
      </c>
      <c r="G29" s="229">
        <f t="shared" si="7"/>
        <v>7</v>
      </c>
      <c r="H29" s="230">
        <f t="shared" si="8"/>
        <v>0</v>
      </c>
      <c r="I29" s="233" t="str">
        <f t="shared" si="9"/>
        <v>SRGmPdnS</v>
      </c>
      <c r="J29" s="234" t="str">
        <f>IFERROR(__xludf.DUMMYFUNCTION("IF(REGEXMATCH(I29, ""S""), ""S"","""")"),"S")</f>
        <v>S</v>
      </c>
      <c r="K29" s="236" t="str">
        <f>IFERROR(__xludf.DUMMYFUNCTION("IF(REGEXMATCH(I29, ""r""), ""r"","""")"),"")</f>
        <v/>
      </c>
      <c r="L29" s="237" t="str">
        <f>IFERROR(__xludf.DUMMYFUNCTION("IF(REGEXMATCH(I29, ""R""), ""R"","""")"),"R")</f>
        <v>R</v>
      </c>
      <c r="M29" s="237" t="str">
        <f>IFERROR(__xludf.DUMMYFUNCTION("IF(REGEXMATCH(I29, ""g""), ""g"","""")"),"")</f>
        <v/>
      </c>
      <c r="N29" s="236" t="str">
        <f>IFERROR(__xludf.DUMMYFUNCTION("IF(REGEXMATCH(I29, ""G""), ""G"","""")"),"G")</f>
        <v>G</v>
      </c>
      <c r="O29" s="236" t="str">
        <f>IFERROR(__xludf.DUMMYFUNCTION("IF(REGEXMATCH(I29, ""m""), ""m"","""")"),"m")</f>
        <v>m</v>
      </c>
      <c r="P29" s="237" t="str">
        <f>IFERROR(__xludf.DUMMYFUNCTION("IF(REGEXMATCH(I29, ""M""), ""M"","""")"),"")</f>
        <v/>
      </c>
      <c r="Q29" s="236" t="str">
        <f>IFERROR(__xludf.DUMMYFUNCTION("IF(REGEXMATCH(I29, ""P""), ""P"","""")"),"P")</f>
        <v>P</v>
      </c>
      <c r="R29" s="237" t="str">
        <f>IFERROR(__xludf.DUMMYFUNCTION("IF(REGEXMATCH(I29, ""d""), ""d"","""")"),"d")</f>
        <v>d</v>
      </c>
      <c r="S29" s="236" t="str">
        <f>IFERROR(__xludf.DUMMYFUNCTION("IF(REGEXMATCH(I29, ""D""), ""D"","""")"),"")</f>
        <v/>
      </c>
      <c r="T29" s="236" t="str">
        <f>IFERROR(__xludf.DUMMYFUNCTION("IF(REGEXMATCH(I29, ""n""), ""n"","""")"),"n")</f>
        <v>n</v>
      </c>
      <c r="U29" s="237" t="str">
        <f>IFERROR(__xludf.DUMMYFUNCTION("IF(REGEXMATCH(I29, ""N""), ""N"","""")"),"")</f>
        <v/>
      </c>
      <c r="V29" s="238" t="str">
        <f>IFERROR(__xludf.DUMMYFUNCTION("IF(REGEXMATCH(I29, ""S""), ""S"","""")"),"S")</f>
        <v>S</v>
      </c>
      <c r="W29" s="239" t="str">
        <f>IFERROR(__xludf.DUMMYFUNCTION("SUBSTITUTE(CONCATENATE(JOIN(""-"",J29:P29)),""-"","""")"),"SRGm")</f>
        <v>SRGm</v>
      </c>
      <c r="X29" s="229" t="str">
        <f>IFERROR(__xludf.DUMMYFUNCTION("SUBSTITUTE(CONCATENATE(JOIN(""-"",Q29:V29)),""-"","""")"),"PdnS")</f>
        <v>PdnS</v>
      </c>
      <c r="Y29" s="282" t="str">
        <f t="shared" si="10"/>
        <v>S-R-G-M</v>
      </c>
      <c r="Z29" s="282" t="str">
        <f t="shared" si="11"/>
        <v>P-D-N-S</v>
      </c>
      <c r="AA29" s="309" t="str">
        <f t="shared" si="12"/>
        <v>RGmdn</v>
      </c>
      <c r="AB29" s="244" t="str">
        <f>IFERROR(__xludf.DUMMYFUNCTION("IF(REGEXMATCH(I29, ""S""), ""0"","""")"),"0")</f>
        <v>0</v>
      </c>
      <c r="AC29" s="245" t="str">
        <f>IFERROR(__xludf.DUMMYFUNCTION("IF(REGEXMATCH(I29, ""r""), ""1"","""")"),"")</f>
        <v/>
      </c>
      <c r="AD29" s="246" t="str">
        <f>IFERROR(__xludf.DUMMYFUNCTION("IF(REGEXMATCH(I29, ""R""), ""2"","""")"),"2")</f>
        <v>2</v>
      </c>
      <c r="AE29" s="246" t="str">
        <f>IFERROR(__xludf.DUMMYFUNCTION("IF(REGEXMATCH(I29, ""g""), ""3"","""")"),"")</f>
        <v/>
      </c>
      <c r="AF29" s="245" t="str">
        <f>IFERROR(__xludf.DUMMYFUNCTION("IF(REGEXMATCH(I29, ""G""), ""4"","""")"),"4")</f>
        <v>4</v>
      </c>
      <c r="AG29" s="245" t="str">
        <f>IFERROR(__xludf.DUMMYFUNCTION("IF(REGEXMATCH(I29, ""m""), ""5"","""")"),"5")</f>
        <v>5</v>
      </c>
      <c r="AH29" s="246" t="str">
        <f>IFERROR(__xludf.DUMMYFUNCTION("IF(REGEXMATCH(I29, ""M""), ""6"","""")"),"")</f>
        <v/>
      </c>
      <c r="AI29" s="245" t="str">
        <f>IFERROR(__xludf.DUMMYFUNCTION("IF(REGEXMATCH(I29, ""P""), ""7"","""")"),"7")</f>
        <v>7</v>
      </c>
      <c r="AJ29" s="246" t="str">
        <f>IFERROR(__xludf.DUMMYFUNCTION("IF(REGEXMATCH(I29, ""d""), ""8"","""")"),"8")</f>
        <v>8</v>
      </c>
      <c r="AK29" s="245" t="str">
        <f>IFERROR(__xludf.DUMMYFUNCTION("IF(REGEXMATCH(I29, ""D""), ""9"","""")"),"")</f>
        <v/>
      </c>
      <c r="AL29" s="245" t="str">
        <f>IFERROR(__xludf.DUMMYFUNCTION("IF(REGEXMATCH(I29, ""n""), ""10"","""")"),"10")</f>
        <v>10</v>
      </c>
      <c r="AM29" s="246" t="str">
        <f>IFERROR(__xludf.DUMMYFUNCTION("IF(REGEXMATCH(I29, ""N""), ""11"","""")"),"")</f>
        <v/>
      </c>
      <c r="AN29" s="249" t="str">
        <f>IFERROR(__xludf.DUMMYFUNCTION("IF(REGEXMATCH(I29, ""S""), ""0"","""")"),"0")</f>
        <v>0</v>
      </c>
      <c r="AO29" s="250" t="str">
        <f>IFERROR(__xludf.DUMMYFUNCTION("SUBSTITUTE(SUBSTITUTE(SUBSTITUTE(SUBSTITUTE(CONCATENATE(JOIN(""-"",AB29:AN29)),""--"",""-""),""--"",""-""),""--"",""-""),""--"",""-"")"),"0-2-4-5-7-8-10-0")</f>
        <v>0-2-4-5-7-8-10-0</v>
      </c>
      <c r="AP29" s="251">
        <f t="shared" si="13"/>
        <v>0</v>
      </c>
      <c r="AQ29" s="234" t="str">
        <f t="shared" si="14"/>
        <v>|</v>
      </c>
      <c r="AR29" s="236" t="str">
        <f t="shared" si="15"/>
        <v>-</v>
      </c>
      <c r="AS29" s="237" t="str">
        <f t="shared" si="16"/>
        <v>|</v>
      </c>
      <c r="AT29" s="236" t="str">
        <f t="shared" si="17"/>
        <v>-</v>
      </c>
      <c r="AU29" s="237" t="str">
        <f t="shared" si="18"/>
        <v>|</v>
      </c>
      <c r="AV29" s="236" t="str">
        <f t="shared" si="19"/>
        <v>|</v>
      </c>
      <c r="AW29" s="237" t="str">
        <f t="shared" si="20"/>
        <v>-</v>
      </c>
      <c r="AX29" s="236" t="str">
        <f t="shared" si="21"/>
        <v>|</v>
      </c>
      <c r="AY29" s="237" t="str">
        <f t="shared" si="22"/>
        <v>|</v>
      </c>
      <c r="AZ29" s="236" t="str">
        <f t="shared" si="23"/>
        <v>-</v>
      </c>
      <c r="BA29" s="237" t="str">
        <f t="shared" si="24"/>
        <v>|</v>
      </c>
      <c r="BB29" s="236" t="str">
        <f t="shared" si="25"/>
        <v>-</v>
      </c>
      <c r="BC29" s="238" t="str">
        <f t="shared" si="26"/>
        <v>|</v>
      </c>
      <c r="BD29" s="250" t="str">
        <f>IFERROR(__xludf.DUMMYFUNCTION("SUBSTITUTE(SUBSTITUTE(CONCATENATE(JOIN("""",AQ29:BB29)),""|"",""x""),""-"",""o"")"),"xoxoxxoxxoxo")</f>
        <v>xoxoxxoxxoxo</v>
      </c>
      <c r="BE29" s="323" t="str">
        <f>IFERROR(__xludf.DUMMYFUNCTION("JOIN("""",BD29,BD29)"),"xoxoxxoxxoxoxoxoxxoxxoxo")</f>
        <v>xoxoxxoxxoxoxoxoxxoxxoxo</v>
      </c>
      <c r="BF29" s="256" t="str">
        <f>IFERROR(__xludf.DUMMYFUNCTION("JOIN("""",ArrayFormula(MID(BD29,LEN(BD29)-SEQUENCE(1,LEN(BD29))+1,1)))"),"oxoxxoxxoxox")</f>
        <v>oxoxxoxxoxox</v>
      </c>
      <c r="BG29" s="256" t="str">
        <f>IFERROR(__xludf.DUMMYFUNCTION("LEFT(CONCATENATE(""x"",JOIN("""",ArrayFormula(MID(BD29,LEN(BD29)-SEQUENCE(1,LEN(BD29))+1,1)))),12)"),"xoxoxxoxxoxo")</f>
        <v>xoxoxxoxxoxo</v>
      </c>
      <c r="BH29" s="327" t="str">
        <f>IFERROR(__xludf.DUMMYFUNCTION("JOIN("""",BF29,BF29)"),"oxoxxoxxoxoxoxoxxoxxoxox")</f>
        <v>oxoxxoxxoxoxoxoxxoxxoxox</v>
      </c>
      <c r="BI29" s="239" t="str">
        <f>IFERROR(__xludf.DUMMYFUNCTION("IF(REGEXMATCH(BH29,BD29),""✔"",""-"")"),"✔")</f>
        <v>✔</v>
      </c>
      <c r="BJ29" s="330" t="str">
        <f t="shared" si="27"/>
        <v>✔</v>
      </c>
      <c r="BK29" s="260" t="str">
        <f t="shared" si="28"/>
        <v>-</v>
      </c>
      <c r="BL29" s="261" t="str">
        <f>IFERROR(__xludf.DUMMYFUNCTION("IF(BO29=0,""(n/a)"",IF(BP29=2,""(PAIR)"",IF(REGEXMATCH(BE29,""xoxoxxoxoxox""),""Bilawal"",IF(REGEXMATCH(BE29,""xoxoxooxoxoo""),""Bhupali"",IF(REGEXMATCH(BE29,""xoxoxxoxxoxo""),""Charukeshi"",IF(REGEXMATCH(BE29,""xoxoooxxoxxo""),""Kameshwari"",IF(REGEXMATC"&amp;"H(BE29,""xoxoxooxoxox""),""Shankara"",IF(REGEXMATCH(BE29,""xxooxoxxxoox""),""Basant"",IF(REGEXMATCH(BE29,""xoxoxxxxoxox""),""Bihag"",IF(REGEXMATCH(BE29,""xoxxxxoxoxxx""),""Pilu"",IF(REGEXMATCH(BE29,""xoxxoxoxxoox""),""Kirwani"",IF(REGEXMATCH(BE29,""xoxxox"&amp;"oxoxxx""),""Mk.Malhar"",IF(REGEXMATCH(BE29,""xxooxxoxxoox""),""Bhairav"",IF(REGEXMATCH(BE29,""xxoxooxxxoox""),""Todi"",IF(REGEXMATCH(BE29,""xxooxoxooxox""),""Marwa"",IF(REGEXMATCH(BE29,""xxoooxoxxooo""),""Gunkali"",IF(REGEXMATCH(BE29,""xoxoxxoxxoox""),""N"&amp;"at Bhairav"",IF(REGEXMATCH(BE29,""xoxxoooxoxoo""),""Shivranjani"",IF(REGEXMATCH(BE29,""xooxxxoxooxo""),""Jog"",IF(REGEXMATCH(BE29,""xxooxoxoxoox""),""Hemshri"",IF(REGEXMATCH(BE29,""xoooxooxoxxo""),""Kalavati"",IF(REGEXMATCH(BE29,""xxoxoxxoxoox""),""Kedar"&amp;""",IF(REGEXMATCH(BE29,""xoxxxxoxooxx""),""Gara"",IF(REGEXMATCH(BE29,""xooxoxooxoox""),""Chandrakauns"",IF(REGEXMATCH(BE29,""xoxxxxoxxxox""),""Mand"",IF(REGEXMATCH(BE29,""xoxxxxoxoxox""),""Hanskinkini"",IF(REGEXMATCH(BE29,""xxooxxoxooxo""),""Lilavati"",IF("&amp;"REGEXMATCH(BE29,""xooxoxoooxox""),""Rajeshwari"",IF(REGEXMATCH(BE29,""xoooxxoxoxxx""),""Khokar"",IF(REGEXMATCH(BE29,""xxooxoxxxxox""),""Maligoura"",""-""))))))))))))))))))))))))))))))"),"Charukeshi")</f>
        <v>Charukeshi</v>
      </c>
      <c r="BM29" s="239">
        <f t="shared" si="29"/>
        <v>6</v>
      </c>
      <c r="BN29" s="239">
        <f>IFERROR(__xludf.DUMMYFUNCTION("COUNTUNIQUE(BR29:CB29)-1"),6.0)</f>
        <v>6</v>
      </c>
      <c r="BO29" s="239">
        <f>IFERROR(__xludf.DUMMYFUNCTION("COUNTUNIQUE(FILTER(BE:BE,REGEXMATCH(BE:BE,BD29)))-1"),3.0)</f>
        <v>3</v>
      </c>
      <c r="BP29" s="239">
        <f>IFERROR(__xludf.DUMMYFUNCTION("COUNTA(FILTER(BE:BE,REGEXMATCH(BE:BE,BD29)))"),4.0)</f>
        <v>4</v>
      </c>
      <c r="BQ29" s="341">
        <f>IFERROR(__xludf.DUMMYFUNCTION("COUNTA(FILTER(BE:BE,REGEXMATCH(BE:BE,BD29)))-AP29"),4.0)</f>
        <v>4</v>
      </c>
      <c r="BR29" s="269" t="str">
        <f t="shared" si="30"/>
        <v>-</v>
      </c>
      <c r="BS29" s="269" t="str">
        <f t="shared" si="31"/>
        <v>xoxxoxxoxox</v>
      </c>
      <c r="BT29" s="271" t="str">
        <f t="shared" si="32"/>
        <v>-</v>
      </c>
      <c r="BU29" s="269" t="str">
        <f t="shared" si="33"/>
        <v>xxoxxoxoxox</v>
      </c>
      <c r="BV29" s="271" t="str">
        <f t="shared" si="34"/>
        <v>xoxxoxoxoxo</v>
      </c>
      <c r="BW29" s="271" t="str">
        <f t="shared" si="35"/>
        <v>-</v>
      </c>
      <c r="BX29" s="271" t="str">
        <f t="shared" si="36"/>
        <v>xxoxoxoxoxx</v>
      </c>
      <c r="BY29" s="271" t="str">
        <f t="shared" si="37"/>
        <v>xoxoxoxoxxo</v>
      </c>
      <c r="BZ29" s="271" t="str">
        <f t="shared" si="38"/>
        <v>-</v>
      </c>
      <c r="CA29" s="271" t="str">
        <f t="shared" si="39"/>
        <v>xoxoxoxxoxx</v>
      </c>
      <c r="CB29" s="274" t="str">
        <f t="shared" si="40"/>
        <v>-</v>
      </c>
      <c r="CC29" s="276" t="str">
        <f>IFERROR(__xludf.DUMMYFUNCTION("IF(BD29=""oooooooooooo"",""-"",IF(REGEXMATCH(BE29,""xx""), ""Hemi."", ""Anhemi.""))"),"Hemi.")</f>
        <v>Hemi.</v>
      </c>
      <c r="CD29" s="282" t="str">
        <f>IFERROR(__xludf.DUMMYFUNCTION("IF(BD29=""oooooooooooo"",""-"",IF(REGEXMATCH(BE29,""xxx""), ""Cohem."", ""-""))"),"-")</f>
        <v>-</v>
      </c>
      <c r="CE29" s="282" t="str">
        <f>IFERROR(__xludf.DUMMYFUNCTION("IF(BD29=""oooooooooooo"",""-"",IF(REGEXMATCH(BE29,""xxxx""), ""Co-Co."", ""-""))"),"-")</f>
        <v>-</v>
      </c>
      <c r="CF29" s="342" t="str">
        <f>IFERROR(__xludf.DUMMYFUNCTION("IF(BD29=""oooooooooooo"",""-"",IF(REGEXMATCH(BE29,""xxxxx""), ""CCC."", ""-""))"),"-")</f>
        <v>-</v>
      </c>
      <c r="CG29" s="344" t="str">
        <f t="shared" si="41"/>
        <v>-</v>
      </c>
      <c r="CH29" s="282" t="str">
        <f>IFERROR(__xludf.DUMMYFUNCTION("IF(REGEXMATCH(JOIN(""-"",CJ29:CS29),""TRUE""),""✔"",""-"")"),"-")</f>
        <v>-</v>
      </c>
      <c r="CI29" s="225">
        <f t="shared" si="42"/>
        <v>0</v>
      </c>
      <c r="CJ29" s="376" t="b">
        <f>IFERROR(__xludf.DUMMYFUNCTION("arrayformula(sum(--REGEXMATCH(""SRGMPDNS"",split(REGEXREPLACE(I29,""(.)"",""$1~""),""~""))))=len(I29)
"),FALSE)</f>
        <v>0</v>
      </c>
      <c r="CK29" s="290" t="b">
        <f>IFERROR(__xludf.DUMMYFUNCTION("arrayformula(sum(--REGEXMATCH(""SRGmPDNS"",split(REGEXREPLACE(I29,""(.)"",""$1~""),""~""))))=len(I29)"),FALSE)</f>
        <v>0</v>
      </c>
      <c r="CL29" s="290" t="b">
        <f>IFERROR(__xludf.DUMMYFUNCTION("arrayformula(sum(--REGEXMATCH(""SRGmPDnS"",split(REGEXREPLACE(I29,""(.)"",""$1~""),""~""))))=len(I29)"),FALSE)</f>
        <v>0</v>
      </c>
      <c r="CM29" s="290" t="b">
        <f>IFERROR(__xludf.DUMMYFUNCTION("arrayformula(sum(--REGEXMATCH(""SRgmPDnS"",split(REGEXREPLACE(I29,""(.)"",""$1~""),""~""))))=len(I29)"),FALSE)</f>
        <v>0</v>
      </c>
      <c r="CN29" s="290" t="b">
        <f>IFERROR(__xludf.DUMMYFUNCTION("arrayformula(sum(--REGEXMATCH(""SRgmPdnS"",split(REGEXREPLACE(I29,""(.)"",""$1~""),""~""))))=len(I29)"),FALSE)</f>
        <v>0</v>
      </c>
      <c r="CO29" s="290" t="b">
        <f>IFERROR(__xludf.DUMMYFUNCTION("arrayformula(sum(--REGEXMATCH(""SrgmPdnS"",split(REGEXREPLACE(I29,""(.)"",""$1~""),""~""))))=len(I29)"),FALSE)</f>
        <v>0</v>
      </c>
      <c r="CP29" s="290" t="b">
        <f>IFERROR(__xludf.DUMMYFUNCTION("arrayformula(sum(--REGEXMATCH(""SrGmPdNS"",split(REGEXREPLACE(I29,""(.)"",""$1~""),""~""))))=len(I29)"),FALSE)</f>
        <v>0</v>
      </c>
      <c r="CQ29" s="290" t="b">
        <f>IFERROR(__xludf.DUMMYFUNCTION("arrayformula(sum(--REGEXMATCH(""SrGMPDNS"",split(REGEXREPLACE(I29,""(.)"",""$1~""),""~""))))=len(I29)"),FALSE)</f>
        <v>0</v>
      </c>
      <c r="CR29" s="290" t="b">
        <f>IFERROR(__xludf.DUMMYFUNCTION("arrayformula(sum(--REGEXMATCH(""SrGMPdNS"",split(REGEXREPLACE(I29,""(.)"",""$1~""),""~""))))=len(I29)"),FALSE)</f>
        <v>0</v>
      </c>
      <c r="CS29" s="293" t="b">
        <f>IFERROR(__xludf.DUMMYFUNCTION("arrayformula(sum(--REGEXMATCH(""SrgMPdNS"",split(REGEXREPLACE(I29,""(.)"",""$1~""),""~""))))=len(I29)"),FALSE)</f>
        <v>0</v>
      </c>
      <c r="CT29" s="244" t="str">
        <f>IFERROR(__xludf.DUMMYFUNCTION("IF(REGEXMATCH(I29, ""S""), ""1"","""")"),"1")</f>
        <v>1</v>
      </c>
      <c r="CU29" s="245" t="str">
        <f>IFERROR(__xludf.DUMMYFUNCTION("IF(REGEXMATCH(I29, ""r""), ""b2"","""")"),"")</f>
        <v/>
      </c>
      <c r="CV29" s="246" t="str">
        <f>IFERROR(__xludf.DUMMYFUNCTION("IF(REGEXMATCH(I29, ""R""), ""2"","""")"),"2")</f>
        <v>2</v>
      </c>
      <c r="CW29" s="246" t="str">
        <f>IFERROR(__xludf.DUMMYFUNCTION("IF(REGEXMATCH(I29, ""g""), ""b3"","""")"),"")</f>
        <v/>
      </c>
      <c r="CX29" s="245" t="str">
        <f>IFERROR(__xludf.DUMMYFUNCTION("IF(REGEXMATCH(I29, ""G""), ""3"","""")"),"3")</f>
        <v>3</v>
      </c>
      <c r="CY29" s="245" t="str">
        <f>IFERROR(__xludf.DUMMYFUNCTION("IF(REGEXMATCH(I29, ""m""), ""4"","""")"),"4")</f>
        <v>4</v>
      </c>
      <c r="CZ29" s="246" t="str">
        <f>IFERROR(__xludf.DUMMYFUNCTION("IF(REGEXMATCH(I29, ""M""), ""#4"","""")"),"")</f>
        <v/>
      </c>
      <c r="DA29" s="245" t="str">
        <f>IFERROR(__xludf.DUMMYFUNCTION("IF(REGEXMATCH(I29, ""P""), ""5"","""")"),"5")</f>
        <v>5</v>
      </c>
      <c r="DB29" s="246" t="str">
        <f>IFERROR(__xludf.DUMMYFUNCTION("IF(REGEXMATCH(I29, ""d""), ""b6"","""")"),"b6")</f>
        <v>b6</v>
      </c>
      <c r="DC29" s="245" t="str">
        <f>IFERROR(__xludf.DUMMYFUNCTION("IF(REGEXMATCH(I29, ""D""), ""6"","""")"),"")</f>
        <v/>
      </c>
      <c r="DD29" s="245" t="str">
        <f>IFERROR(__xludf.DUMMYFUNCTION("IF(REGEXMATCH(I29, ""n""), ""b7"","""")"),"b7")</f>
        <v>b7</v>
      </c>
      <c r="DE29" s="246" t="str">
        <f>IFERROR(__xludf.DUMMYFUNCTION("IF(REGEXMATCH(I29, ""N""), ""7"","""")"),"")</f>
        <v/>
      </c>
      <c r="DF29" s="249" t="str">
        <f>IFERROR(__xludf.DUMMYFUNCTION("IF(REGEXMATCH(I29, ""S""), ""8"","""")"),"8")</f>
        <v>8</v>
      </c>
      <c r="DG29" s="244" t="str">
        <f>IFERROR(__xludf.DUMMYFUNCTION("IF(REGEXMATCH(I29, ""S""), ""S"","""")"),"S")</f>
        <v>S</v>
      </c>
      <c r="DH29" s="294" t="str">
        <f>IFERROR(__xludf.DUMMYFUNCTION("IF(REGEXMATCH(I29, ""r""), ""R1"","""")"),"")</f>
        <v/>
      </c>
      <c r="DI29" s="295" t="str">
        <f>IFERROR(__xludf.DUMMYFUNCTION("IF(REGEXMATCH(I29, ""R""), ""R2"","""")"),"R2")</f>
        <v>R2</v>
      </c>
      <c r="DJ29" s="295" t="str">
        <f>IFERROR(__xludf.DUMMYFUNCTION("IF(REGEXMATCH(I29, ""g""), ""G2"","""")"),"")</f>
        <v/>
      </c>
      <c r="DK29" s="294" t="str">
        <f>IFERROR(__xludf.DUMMYFUNCTION("IF(REGEXMATCH(I29, ""G""), ""G3"","""")"),"G3")</f>
        <v>G3</v>
      </c>
      <c r="DL29" s="294" t="str">
        <f>IFERROR(__xludf.DUMMYFUNCTION("IF(REGEXMATCH(I29, ""m""), ""M1"","""")"),"M1")</f>
        <v>M1</v>
      </c>
      <c r="DM29" s="295" t="str">
        <f>IFERROR(__xludf.DUMMYFUNCTION("IF(REGEXMATCH(I29, ""M""), ""M2"","""")"),"")</f>
        <v/>
      </c>
      <c r="DN29" s="294" t="str">
        <f>IFERROR(__xludf.DUMMYFUNCTION("IF(REGEXMATCH(I29, ""P""), ""P"","""")"),"P")</f>
        <v>P</v>
      </c>
      <c r="DO29" s="295" t="str">
        <f>IFERROR(__xludf.DUMMYFUNCTION("IF(REGEXMATCH(I29, ""d""), ""D1"","""")"),"D1")</f>
        <v>D1</v>
      </c>
      <c r="DP29" s="294" t="str">
        <f>IFERROR(__xludf.DUMMYFUNCTION("IF(REGEXMATCH(I29, ""D""), ""D2"","""")"),"")</f>
        <v/>
      </c>
      <c r="DQ29" s="294" t="str">
        <f>IFERROR(__xludf.DUMMYFUNCTION("IF(REGEXMATCH(I29, ""n""), ""N2"","""")"),"N2")</f>
        <v>N2</v>
      </c>
      <c r="DR29" s="295" t="str">
        <f>IFERROR(__xludf.DUMMYFUNCTION("IF(REGEXMATCH(I29, ""N""), ""N3"","""")"),"")</f>
        <v/>
      </c>
      <c r="DS29" s="249" t="str">
        <f>IFERROR(__xludf.DUMMYFUNCTION("IF(REGEXMATCH(I29, ""S""), ""S"","""")"),"S")</f>
        <v>S</v>
      </c>
      <c r="DT29" s="299" t="str">
        <f>IFERROR(__xludf.DUMMYFUNCTION("SUBSTITUTE(SUBSTITUTE(SUBSTITUTE(SUBSTITUTE(CONCATENATE(JOIN(""-"",CT29:DF29)),""--"",""-""),""--"",""-""),""--"",""-""),""--"",""-"")"),"1-2-3-4-5-b6-b7-8")</f>
        <v>1-2-3-4-5-b6-b7-8</v>
      </c>
      <c r="DU29" s="299" t="str">
        <f>IFERROR(__xludf.DUMMYFUNCTION("SUBSTITUTE(SUBSTITUTE(SUBSTITUTE(SUBSTITUTE(CONCATENATE(JOIN(""-"",DG29:DS29)),""--"",""-""),""--"",""-""),""--"",""-""),""--"",""-"")"),"S-R2-G3-M1-P-D1-N2-S")</f>
        <v>S-R2-G3-M1-P-D1-N2-S</v>
      </c>
      <c r="DV29" s="348" t="str">
        <f t="shared" si="43"/>
        <v>C-D-E-F-G-Ab-Bb-C</v>
      </c>
      <c r="DW29" s="301">
        <f t="shared" si="44"/>
        <v>7</v>
      </c>
      <c r="DX29" s="302" t="str">
        <f t="shared" si="45"/>
        <v>Sampurna</v>
      </c>
      <c r="DY29" s="301" t="str">
        <f t="shared" ref="DY29:DZ29" si="195">SUBSTITUTE(Y29,"-","")</f>
        <v>SRGM</v>
      </c>
      <c r="DZ29" s="301" t="str">
        <f t="shared" si="195"/>
        <v>PDNS</v>
      </c>
      <c r="EA29" s="302" t="str">
        <f t="shared" si="47"/>
        <v>Charukeshi</v>
      </c>
      <c r="EB29" s="301" t="str">
        <f t="shared" si="48"/>
        <v>Hemi.</v>
      </c>
      <c r="EC29" s="364" t="str">
        <f t="shared" si="49"/>
        <v>-</v>
      </c>
      <c r="ED29" s="306" t="str">
        <f t="shared" si="50"/>
        <v>-</v>
      </c>
      <c r="EE29" s="366" t="str">
        <f t="shared" si="51"/>
        <v>-</v>
      </c>
      <c r="EF29" s="308" t="str">
        <f t="shared" si="52"/>
        <v>✔</v>
      </c>
      <c r="EG29" s="306" t="str">
        <f t="shared" si="53"/>
        <v>-</v>
      </c>
      <c r="EH29" s="306" t="str">
        <f t="shared" si="54"/>
        <v>-</v>
      </c>
      <c r="EI29" s="367" t="str">
        <f t="shared" si="55"/>
        <v>-</v>
      </c>
      <c r="EJ29" s="310" t="str">
        <f t="shared" si="56"/>
        <v>-</v>
      </c>
      <c r="EK29" s="310" t="str">
        <f t="shared" si="57"/>
        <v>-</v>
      </c>
      <c r="EL29" s="310" t="str">
        <f t="shared" si="58"/>
        <v>-</v>
      </c>
      <c r="EM29" s="310" t="str">
        <f t="shared" si="59"/>
        <v>-</v>
      </c>
      <c r="EN29" s="370" t="str">
        <f t="shared" si="60"/>
        <v>-</v>
      </c>
      <c r="EO29" s="306" t="str">
        <f t="shared" si="61"/>
        <v>-</v>
      </c>
      <c r="EP29" s="306" t="str">
        <f t="shared" si="62"/>
        <v>-</v>
      </c>
      <c r="EQ29" s="306" t="str">
        <f t="shared" si="63"/>
        <v>-</v>
      </c>
      <c r="ER29" s="306" t="str">
        <f t="shared" si="64"/>
        <v>-</v>
      </c>
      <c r="ES29" s="306" t="str">
        <f t="shared" si="65"/>
        <v>-</v>
      </c>
      <c r="ET29" s="367" t="str">
        <f t="shared" si="66"/>
        <v>-</v>
      </c>
      <c r="EU29" s="310" t="str">
        <f>IFERROR(__xludf.DUMMYFUNCTION("IF(REGEXMATCH(BH29,BD29),""✔"",""-"")"),"✔")</f>
        <v>✔</v>
      </c>
      <c r="EV29" s="310" t="str">
        <f t="shared" si="67"/>
        <v>-</v>
      </c>
      <c r="EW29" s="370" t="str">
        <f t="shared" si="68"/>
        <v>✔</v>
      </c>
      <c r="EX29" s="315" t="str">
        <f t="shared" si="69"/>
        <v>[UQ]</v>
      </c>
      <c r="EY29" s="317" t="str">
        <f t="shared" si="70"/>
        <v>S-R-G-m-P-d-n-S</v>
      </c>
      <c r="EZ29" s="318" t="str">
        <f>IFERROR(__xludf.DUMMYFUNCTION("CONCATENATE(JOIN("""",GE29:GQ29))"),"SRGmPdnS")</f>
        <v>SRGmPdnS</v>
      </c>
      <c r="FA29" s="318"/>
      <c r="FB29" s="318"/>
      <c r="FC29" s="321">
        <f t="shared" si="71"/>
        <v>3</v>
      </c>
      <c r="FD29" s="318" t="str">
        <f>IFERROR(__xludf.DUMMYFUNCTION("CONCATENATE(JOIN("""",HR29:ID29))"),"Re, Ga, dha, ")</f>
        <v>Re, Ga, dha, </v>
      </c>
      <c r="FE29" s="322">
        <f t="shared" si="72"/>
        <v>2</v>
      </c>
      <c r="FF29" s="324" t="str">
        <f>IFERROR(__xludf.DUMMYFUNCTION("CONCATENATE(JOIN("""",IR29:JD29))"),"Ga, dha, ")</f>
        <v>Ga, dha, </v>
      </c>
      <c r="FG29" s="325" t="str">
        <f t="shared" si="73"/>
        <v>S-R2-G3-M1-P-D1-N2-S</v>
      </c>
      <c r="FH29" s="326" t="str">
        <f t="shared" si="74"/>
        <v>1-2-3-4-5-b6-b7-8</v>
      </c>
      <c r="FI29" s="326" t="str">
        <f t="shared" si="75"/>
        <v>0-2-4-5-7-8-10-0</v>
      </c>
      <c r="FJ29" s="318"/>
      <c r="FK29" s="328" t="str">
        <f>IFERROR(__xludf.DUMMYFUNCTION("SUBSTITUTE(SUBSTITUTE(SUBSTITUTE(SUBSTITUTE(CONCATENATE(JOIN("" "",FN29:FZ29)),""  "","" ""),""  "","" ""),""  "","" ""),""  "","" "")"),"o • o • o o • o o • o • o")</f>
        <v>o • o • o o • o o • o • o</v>
      </c>
      <c r="FL29" s="328" t="str">
        <f t="shared" si="76"/>
        <v>-</v>
      </c>
      <c r="FM29" s="329"/>
      <c r="FN29" s="331" t="str">
        <f t="shared" si="77"/>
        <v>o</v>
      </c>
      <c r="FO29" s="332" t="str">
        <f t="shared" si="78"/>
        <v>•</v>
      </c>
      <c r="FP29" s="332" t="str">
        <f t="shared" si="79"/>
        <v>o</v>
      </c>
      <c r="FQ29" s="332" t="str">
        <f t="shared" si="80"/>
        <v>•</v>
      </c>
      <c r="FR29" s="332" t="str">
        <f t="shared" si="81"/>
        <v>o</v>
      </c>
      <c r="FS29" s="332" t="str">
        <f t="shared" si="82"/>
        <v>o</v>
      </c>
      <c r="FT29" s="332" t="str">
        <f t="shared" si="83"/>
        <v>•</v>
      </c>
      <c r="FU29" s="332" t="str">
        <f t="shared" si="84"/>
        <v>o</v>
      </c>
      <c r="FV29" s="332" t="str">
        <f t="shared" si="85"/>
        <v>o</v>
      </c>
      <c r="FW29" s="332" t="str">
        <f t="shared" si="86"/>
        <v>•</v>
      </c>
      <c r="FX29" s="332" t="str">
        <f t="shared" si="87"/>
        <v>o</v>
      </c>
      <c r="FY29" s="332" t="str">
        <f t="shared" si="88"/>
        <v>•</v>
      </c>
      <c r="FZ29" s="338" t="str">
        <f t="shared" si="89"/>
        <v>o</v>
      </c>
      <c r="GA29" s="339" t="str">
        <f t="shared" si="90"/>
        <v>-</v>
      </c>
      <c r="GB29" s="339" t="str">
        <f t="shared" si="91"/>
        <v>Sa-Pa</v>
      </c>
      <c r="GC29" s="339" t="str">
        <f t="shared" si="92"/>
        <v>-</v>
      </c>
      <c r="GD29" s="340" t="str">
        <f t="shared" si="93"/>
        <v>-</v>
      </c>
      <c r="GE29" s="331" t="str">
        <f t="shared" si="94"/>
        <v>S</v>
      </c>
      <c r="GF29" s="332" t="str">
        <f t="shared" si="95"/>
        <v/>
      </c>
      <c r="GG29" s="332" t="str">
        <f t="shared" si="96"/>
        <v>R</v>
      </c>
      <c r="GH29" s="332" t="str">
        <f t="shared" si="97"/>
        <v/>
      </c>
      <c r="GI29" s="332" t="str">
        <f t="shared" si="98"/>
        <v>G</v>
      </c>
      <c r="GJ29" s="332" t="str">
        <f t="shared" si="99"/>
        <v>m</v>
      </c>
      <c r="GK29" s="332" t="str">
        <f t="shared" si="100"/>
        <v/>
      </c>
      <c r="GL29" s="332" t="str">
        <f t="shared" si="101"/>
        <v>P</v>
      </c>
      <c r="GM29" s="332" t="str">
        <f t="shared" si="102"/>
        <v>d</v>
      </c>
      <c r="GN29" s="332" t="str">
        <f t="shared" si="103"/>
        <v/>
      </c>
      <c r="GO29" s="332" t="str">
        <f t="shared" si="104"/>
        <v>n</v>
      </c>
      <c r="GP29" s="332" t="str">
        <f t="shared" si="105"/>
        <v/>
      </c>
      <c r="GQ29" s="343" t="str">
        <f t="shared" si="106"/>
        <v>S</v>
      </c>
      <c r="GR29" s="331" t="str">
        <f t="shared" si="107"/>
        <v>•</v>
      </c>
      <c r="GS29" s="332" t="str">
        <f t="shared" si="108"/>
        <v>o</v>
      </c>
      <c r="GT29" s="332" t="str">
        <f t="shared" si="109"/>
        <v>•</v>
      </c>
      <c r="GU29" s="332" t="str">
        <f t="shared" si="110"/>
        <v>o</v>
      </c>
      <c r="GV29" s="332" t="str">
        <f t="shared" si="111"/>
        <v>•</v>
      </c>
      <c r="GW29" s="332" t="str">
        <f t="shared" si="112"/>
        <v>•</v>
      </c>
      <c r="GX29" s="332" t="str">
        <f t="shared" si="113"/>
        <v>o</v>
      </c>
      <c r="GY29" s="332" t="str">
        <f t="shared" si="114"/>
        <v>•</v>
      </c>
      <c r="GZ29" s="332" t="str">
        <f t="shared" si="115"/>
        <v>•</v>
      </c>
      <c r="HA29" s="332" t="str">
        <f t="shared" si="116"/>
        <v>o</v>
      </c>
      <c r="HB29" s="332" t="str">
        <f t="shared" si="117"/>
        <v>•</v>
      </c>
      <c r="HC29" s="332" t="str">
        <f t="shared" si="118"/>
        <v>o</v>
      </c>
      <c r="HD29" s="338" t="str">
        <f t="shared" si="119"/>
        <v>•</v>
      </c>
      <c r="HE29" s="346" t="b">
        <f t="shared" si="120"/>
        <v>0</v>
      </c>
      <c r="HF29" s="347" t="b">
        <f t="shared" si="121"/>
        <v>0</v>
      </c>
      <c r="HG29" s="347" t="b">
        <f t="shared" si="122"/>
        <v>1</v>
      </c>
      <c r="HH29" s="347" t="b">
        <f t="shared" si="123"/>
        <v>0</v>
      </c>
      <c r="HI29" s="347" t="b">
        <f t="shared" si="124"/>
        <v>1</v>
      </c>
      <c r="HJ29" s="347" t="b">
        <f t="shared" si="125"/>
        <v>0</v>
      </c>
      <c r="HK29" s="347" t="b">
        <f t="shared" si="126"/>
        <v>0</v>
      </c>
      <c r="HL29" s="347" t="b">
        <f t="shared" si="127"/>
        <v>0</v>
      </c>
      <c r="HM29" s="347" t="b">
        <f t="shared" si="128"/>
        <v>1</v>
      </c>
      <c r="HN29" s="347" t="b">
        <f t="shared" si="129"/>
        <v>0</v>
      </c>
      <c r="HO29" s="347" t="b">
        <f t="shared" si="130"/>
        <v>0</v>
      </c>
      <c r="HP29" s="347" t="b">
        <f t="shared" si="131"/>
        <v>0</v>
      </c>
      <c r="HQ29" s="353" t="b">
        <f t="shared" si="132"/>
        <v>0</v>
      </c>
      <c r="HR29" s="354" t="str">
        <f t="shared" si="133"/>
        <v/>
      </c>
      <c r="HS29" s="355" t="str">
        <f t="shared" si="134"/>
        <v/>
      </c>
      <c r="HT29" s="355" t="str">
        <f t="shared" si="135"/>
        <v>Re, </v>
      </c>
      <c r="HU29" s="355" t="str">
        <f t="shared" si="136"/>
        <v/>
      </c>
      <c r="HV29" s="355" t="str">
        <f t="shared" si="137"/>
        <v>Ga, </v>
      </c>
      <c r="HW29" s="355" t="str">
        <f t="shared" si="138"/>
        <v/>
      </c>
      <c r="HX29" s="355" t="str">
        <f t="shared" si="139"/>
        <v/>
      </c>
      <c r="HY29" s="355" t="str">
        <f t="shared" si="140"/>
        <v/>
      </c>
      <c r="HZ29" s="355" t="str">
        <f t="shared" si="141"/>
        <v>dha, </v>
      </c>
      <c r="IA29" s="355" t="str">
        <f t="shared" si="142"/>
        <v/>
      </c>
      <c r="IB29" s="355" t="str">
        <f t="shared" si="143"/>
        <v/>
      </c>
      <c r="IC29" s="355" t="str">
        <f t="shared" si="144"/>
        <v/>
      </c>
      <c r="ID29" s="359" t="str">
        <f t="shared" si="145"/>
        <v/>
      </c>
      <c r="IE29" s="346" t="b">
        <f t="shared" si="146"/>
        <v>0</v>
      </c>
      <c r="IF29" s="347" t="b">
        <f t="shared" si="147"/>
        <v>0</v>
      </c>
      <c r="IG29" s="347" t="b">
        <f t="shared" si="148"/>
        <v>0</v>
      </c>
      <c r="IH29" s="347" t="b">
        <f t="shared" si="149"/>
        <v>0</v>
      </c>
      <c r="II29" s="347" t="b">
        <f t="shared" si="150"/>
        <v>1</v>
      </c>
      <c r="IJ29" s="347" t="b">
        <f t="shared" si="151"/>
        <v>0</v>
      </c>
      <c r="IK29" s="347" t="b">
        <f t="shared" si="152"/>
        <v>0</v>
      </c>
      <c r="IL29" s="347" t="b">
        <f t="shared" si="153"/>
        <v>0</v>
      </c>
      <c r="IM29" s="347" t="b">
        <f t="shared" si="154"/>
        <v>1</v>
      </c>
      <c r="IN29" s="347" t="b">
        <f t="shared" si="155"/>
        <v>0</v>
      </c>
      <c r="IO29" s="347" t="b">
        <f t="shared" si="156"/>
        <v>0</v>
      </c>
      <c r="IP29" s="347" t="b">
        <f t="shared" si="157"/>
        <v>0</v>
      </c>
      <c r="IQ29" s="365" t="b">
        <f t="shared" si="158"/>
        <v>0</v>
      </c>
      <c r="IR29" s="354" t="str">
        <f t="shared" si="159"/>
        <v/>
      </c>
      <c r="IS29" s="355" t="str">
        <f t="shared" si="160"/>
        <v/>
      </c>
      <c r="IT29" s="355" t="str">
        <f t="shared" si="161"/>
        <v/>
      </c>
      <c r="IU29" s="355" t="str">
        <f t="shared" si="162"/>
        <v/>
      </c>
      <c r="IV29" s="355" t="str">
        <f t="shared" si="163"/>
        <v>Ga, </v>
      </c>
      <c r="IW29" s="355" t="str">
        <f t="shared" si="164"/>
        <v/>
      </c>
      <c r="IX29" s="355" t="str">
        <f t="shared" si="165"/>
        <v/>
      </c>
      <c r="IY29" s="355" t="str">
        <f t="shared" si="166"/>
        <v/>
      </c>
      <c r="IZ29" s="355" t="str">
        <f t="shared" si="167"/>
        <v>dha, </v>
      </c>
      <c r="JA29" s="355" t="str">
        <f t="shared" si="168"/>
        <v/>
      </c>
      <c r="JB29" s="355" t="str">
        <f t="shared" si="169"/>
        <v/>
      </c>
      <c r="JC29" s="355" t="str">
        <f t="shared" si="170"/>
        <v/>
      </c>
      <c r="JD29" s="359"/>
      <c r="JE29" s="321"/>
      <c r="JF29" s="368"/>
      <c r="JG29" s="369"/>
      <c r="JH29" s="369"/>
      <c r="JI29" s="369"/>
      <c r="JJ29" s="369"/>
      <c r="JK29" s="369"/>
      <c r="JL29" s="369"/>
      <c r="JM29" s="369"/>
      <c r="JN29" s="369"/>
      <c r="JO29" s="369"/>
      <c r="JP29" s="369"/>
    </row>
    <row r="30" ht="20.25" customHeight="1">
      <c r="A30" s="221" t="s">
        <v>585</v>
      </c>
      <c r="B30" s="222">
        <v>28.0</v>
      </c>
      <c r="C30" s="223" t="s">
        <v>586</v>
      </c>
      <c r="D30" s="224" t="s">
        <v>17</v>
      </c>
      <c r="E30" s="225" t="str">
        <f t="shared" si="5"/>
        <v>[UQ]</v>
      </c>
      <c r="F30" s="227">
        <f t="shared" si="6"/>
        <v>7</v>
      </c>
      <c r="G30" s="229">
        <f t="shared" si="7"/>
        <v>7</v>
      </c>
      <c r="H30" s="230">
        <f t="shared" si="8"/>
        <v>0</v>
      </c>
      <c r="I30" s="233" t="str">
        <f t="shared" si="9"/>
        <v>SrGmPdnS</v>
      </c>
      <c r="J30" s="234" t="str">
        <f>IFERROR(__xludf.DUMMYFUNCTION("IF(REGEXMATCH(I30, ""S""), ""S"","""")"),"S")</f>
        <v>S</v>
      </c>
      <c r="K30" s="236" t="str">
        <f>IFERROR(__xludf.DUMMYFUNCTION("IF(REGEXMATCH(I30, ""r""), ""r"","""")"),"r")</f>
        <v>r</v>
      </c>
      <c r="L30" s="237" t="str">
        <f>IFERROR(__xludf.DUMMYFUNCTION("IF(REGEXMATCH(I30, ""R""), ""R"","""")"),"")</f>
        <v/>
      </c>
      <c r="M30" s="237" t="str">
        <f>IFERROR(__xludf.DUMMYFUNCTION("IF(REGEXMATCH(I30, ""g""), ""g"","""")"),"")</f>
        <v/>
      </c>
      <c r="N30" s="236" t="str">
        <f>IFERROR(__xludf.DUMMYFUNCTION("IF(REGEXMATCH(I30, ""G""), ""G"","""")"),"G")</f>
        <v>G</v>
      </c>
      <c r="O30" s="236" t="str">
        <f>IFERROR(__xludf.DUMMYFUNCTION("IF(REGEXMATCH(I30, ""m""), ""m"","""")"),"m")</f>
        <v>m</v>
      </c>
      <c r="P30" s="237" t="str">
        <f>IFERROR(__xludf.DUMMYFUNCTION("IF(REGEXMATCH(I30, ""M""), ""M"","""")"),"")</f>
        <v/>
      </c>
      <c r="Q30" s="236" t="str">
        <f>IFERROR(__xludf.DUMMYFUNCTION("IF(REGEXMATCH(I30, ""P""), ""P"","""")"),"P")</f>
        <v>P</v>
      </c>
      <c r="R30" s="237" t="str">
        <f>IFERROR(__xludf.DUMMYFUNCTION("IF(REGEXMATCH(I30, ""d""), ""d"","""")"),"d")</f>
        <v>d</v>
      </c>
      <c r="S30" s="236" t="str">
        <f>IFERROR(__xludf.DUMMYFUNCTION("IF(REGEXMATCH(I30, ""D""), ""D"","""")"),"")</f>
        <v/>
      </c>
      <c r="T30" s="236" t="str">
        <f>IFERROR(__xludf.DUMMYFUNCTION("IF(REGEXMATCH(I30, ""n""), ""n"","""")"),"n")</f>
        <v>n</v>
      </c>
      <c r="U30" s="237" t="str">
        <f>IFERROR(__xludf.DUMMYFUNCTION("IF(REGEXMATCH(I30, ""N""), ""N"","""")"),"")</f>
        <v/>
      </c>
      <c r="V30" s="238" t="str">
        <f>IFERROR(__xludf.DUMMYFUNCTION("IF(REGEXMATCH(I30, ""S""), ""S"","""")"),"S")</f>
        <v>S</v>
      </c>
      <c r="W30" s="239" t="str">
        <f>IFERROR(__xludf.DUMMYFUNCTION("SUBSTITUTE(CONCATENATE(JOIN(""-"",J30:P30)),""-"","""")"),"SrGm")</f>
        <v>SrGm</v>
      </c>
      <c r="X30" s="229" t="str">
        <f>IFERROR(__xludf.DUMMYFUNCTION("SUBSTITUTE(CONCATENATE(JOIN(""-"",Q30:V30)),""-"","""")"),"PdnS")</f>
        <v>PdnS</v>
      </c>
      <c r="Y30" s="282" t="str">
        <f t="shared" si="10"/>
        <v>S-R-G-M</v>
      </c>
      <c r="Z30" s="282" t="str">
        <f t="shared" si="11"/>
        <v>P-D-N-S</v>
      </c>
      <c r="AA30" s="309" t="str">
        <f t="shared" si="12"/>
        <v>rGmdn</v>
      </c>
      <c r="AB30" s="244" t="str">
        <f>IFERROR(__xludf.DUMMYFUNCTION("IF(REGEXMATCH(I30, ""S""), ""0"","""")"),"0")</f>
        <v>0</v>
      </c>
      <c r="AC30" s="245" t="str">
        <f>IFERROR(__xludf.DUMMYFUNCTION("IF(REGEXMATCH(I30, ""r""), ""1"","""")"),"1")</f>
        <v>1</v>
      </c>
      <c r="AD30" s="246" t="str">
        <f>IFERROR(__xludf.DUMMYFUNCTION("IF(REGEXMATCH(I30, ""R""), ""2"","""")"),"")</f>
        <v/>
      </c>
      <c r="AE30" s="246" t="str">
        <f>IFERROR(__xludf.DUMMYFUNCTION("IF(REGEXMATCH(I30, ""g""), ""3"","""")"),"")</f>
        <v/>
      </c>
      <c r="AF30" s="245" t="str">
        <f>IFERROR(__xludf.DUMMYFUNCTION("IF(REGEXMATCH(I30, ""G""), ""4"","""")"),"4")</f>
        <v>4</v>
      </c>
      <c r="AG30" s="245" t="str">
        <f>IFERROR(__xludf.DUMMYFUNCTION("IF(REGEXMATCH(I30, ""m""), ""5"","""")"),"5")</f>
        <v>5</v>
      </c>
      <c r="AH30" s="246" t="str">
        <f>IFERROR(__xludf.DUMMYFUNCTION("IF(REGEXMATCH(I30, ""M""), ""6"","""")"),"")</f>
        <v/>
      </c>
      <c r="AI30" s="245" t="str">
        <f>IFERROR(__xludf.DUMMYFUNCTION("IF(REGEXMATCH(I30, ""P""), ""7"","""")"),"7")</f>
        <v>7</v>
      </c>
      <c r="AJ30" s="246" t="str">
        <f>IFERROR(__xludf.DUMMYFUNCTION("IF(REGEXMATCH(I30, ""d""), ""8"","""")"),"8")</f>
        <v>8</v>
      </c>
      <c r="AK30" s="245" t="str">
        <f>IFERROR(__xludf.DUMMYFUNCTION("IF(REGEXMATCH(I30, ""D""), ""9"","""")"),"")</f>
        <v/>
      </c>
      <c r="AL30" s="245" t="str">
        <f>IFERROR(__xludf.DUMMYFUNCTION("IF(REGEXMATCH(I30, ""n""), ""10"","""")"),"10")</f>
        <v>10</v>
      </c>
      <c r="AM30" s="246" t="str">
        <f>IFERROR(__xludf.DUMMYFUNCTION("IF(REGEXMATCH(I30, ""N""), ""11"","""")"),"")</f>
        <v/>
      </c>
      <c r="AN30" s="249" t="str">
        <f>IFERROR(__xludf.DUMMYFUNCTION("IF(REGEXMATCH(I30, ""S""), ""0"","""")"),"0")</f>
        <v>0</v>
      </c>
      <c r="AO30" s="250" t="str">
        <f>IFERROR(__xludf.DUMMYFUNCTION("SUBSTITUTE(SUBSTITUTE(SUBSTITUTE(SUBSTITUTE(CONCATENATE(JOIN(""-"",AB30:AN30)),""--"",""-""),""--"",""-""),""--"",""-""),""--"",""-"")"),"0-1-4-5-7-8-10-0")</f>
        <v>0-1-4-5-7-8-10-0</v>
      </c>
      <c r="AP30" s="251">
        <f t="shared" si="13"/>
        <v>0</v>
      </c>
      <c r="AQ30" s="234" t="str">
        <f t="shared" si="14"/>
        <v>|</v>
      </c>
      <c r="AR30" s="236" t="str">
        <f t="shared" si="15"/>
        <v>|</v>
      </c>
      <c r="AS30" s="237" t="str">
        <f t="shared" si="16"/>
        <v>-</v>
      </c>
      <c r="AT30" s="236" t="str">
        <f t="shared" si="17"/>
        <v>-</v>
      </c>
      <c r="AU30" s="237" t="str">
        <f t="shared" si="18"/>
        <v>|</v>
      </c>
      <c r="AV30" s="236" t="str">
        <f t="shared" si="19"/>
        <v>|</v>
      </c>
      <c r="AW30" s="237" t="str">
        <f t="shared" si="20"/>
        <v>-</v>
      </c>
      <c r="AX30" s="236" t="str">
        <f t="shared" si="21"/>
        <v>|</v>
      </c>
      <c r="AY30" s="237" t="str">
        <f t="shared" si="22"/>
        <v>|</v>
      </c>
      <c r="AZ30" s="236" t="str">
        <f t="shared" si="23"/>
        <v>-</v>
      </c>
      <c r="BA30" s="237" t="str">
        <f t="shared" si="24"/>
        <v>|</v>
      </c>
      <c r="BB30" s="236" t="str">
        <f t="shared" si="25"/>
        <v>-</v>
      </c>
      <c r="BC30" s="238" t="str">
        <f t="shared" si="26"/>
        <v>|</v>
      </c>
      <c r="BD30" s="250" t="str">
        <f>IFERROR(__xludf.DUMMYFUNCTION("SUBSTITUTE(SUBSTITUTE(CONCATENATE(JOIN("""",AQ30:BB30)),""|"",""x""),""-"",""o"")"),"xxooxxoxxoxo")</f>
        <v>xxooxxoxxoxo</v>
      </c>
      <c r="BE30" s="323" t="str">
        <f>IFERROR(__xludf.DUMMYFUNCTION("JOIN("""",BD30,BD30)"),"xxooxxoxxoxoxxooxxoxxoxo")</f>
        <v>xxooxxoxxoxoxxooxxoxxoxo</v>
      </c>
      <c r="BF30" s="256" t="str">
        <f>IFERROR(__xludf.DUMMYFUNCTION("JOIN("""",ArrayFormula(MID(BD30,LEN(BD30)-SEQUENCE(1,LEN(BD30))+1,1)))"),"oxoxxoxxooxx")</f>
        <v>oxoxxoxxooxx</v>
      </c>
      <c r="BG30" s="256" t="str">
        <f>IFERROR(__xludf.DUMMYFUNCTION("LEFT(CONCATENATE(""x"",JOIN("""",ArrayFormula(MID(BD30,LEN(BD30)-SEQUENCE(1,LEN(BD30))+1,1)))),12)"),"xoxoxxoxxoox")</f>
        <v>xoxoxxoxxoox</v>
      </c>
      <c r="BH30" s="327" t="str">
        <f>IFERROR(__xludf.DUMMYFUNCTION("JOIN("""",BF30,BF30)"),"oxoxxoxxooxxoxoxxoxxooxx")</f>
        <v>oxoxxoxxooxxoxoxxoxxooxx</v>
      </c>
      <c r="BI30" s="239" t="str">
        <f>IFERROR(__xludf.DUMMYFUNCTION("IF(REGEXMATCH(BH30,BD30),""✔"",""-"")"),"-")</f>
        <v>-</v>
      </c>
      <c r="BJ30" s="330" t="str">
        <f t="shared" si="27"/>
        <v>-</v>
      </c>
      <c r="BK30" s="260" t="str">
        <f t="shared" si="28"/>
        <v>-</v>
      </c>
      <c r="BL30" s="261" t="str">
        <f>IFERROR(__xludf.DUMMYFUNCTION("IF(BO30=0,""(n/a)"",IF(BP30=2,""(PAIR)"",IF(REGEXMATCH(BE30,""xoxoxxoxoxox""),""Bilawal"",IF(REGEXMATCH(BE30,""xoxoxooxoxoo""),""Bhupali"",IF(REGEXMATCH(BE30,""xoxoxxoxxoxo""),""Charukeshi"",IF(REGEXMATCH(BE30,""xoxoooxxoxxo""),""Kameshwari"",IF(REGEXMATC"&amp;"H(BE30,""xoxoxooxoxox""),""Shankara"",IF(REGEXMATCH(BE30,""xxooxoxxxoox""),""Basant"",IF(REGEXMATCH(BE30,""xoxoxxxxoxox""),""Bihag"",IF(REGEXMATCH(BE30,""xoxxxxoxoxxx""),""Pilu"",IF(REGEXMATCH(BE30,""xoxxoxoxxoox""),""Kirwani"",IF(REGEXMATCH(BE30,""xoxxox"&amp;"oxoxxx""),""Mk.Malhar"",IF(REGEXMATCH(BE30,""xxooxxoxxoox""),""Bhairav"",IF(REGEXMATCH(BE30,""xxoxooxxxoox""),""Todi"",IF(REGEXMATCH(BE30,""xxooxoxooxox""),""Marwa"",IF(REGEXMATCH(BE30,""xxoooxoxxooo""),""Gunkali"",IF(REGEXMATCH(BE30,""xoxoxxoxxoox""),""N"&amp;"at Bhairav"",IF(REGEXMATCH(BE30,""xoxxoooxoxoo""),""Shivranjani"",IF(REGEXMATCH(BE30,""xooxxxoxooxo""),""Jog"",IF(REGEXMATCH(BE30,""xxooxoxoxoox""),""Hemshri"",IF(REGEXMATCH(BE30,""xoooxooxoxxo""),""Kalavati"",IF(REGEXMATCH(BE30,""xxoxoxxoxoox""),""Kedar"&amp;""",IF(REGEXMATCH(BE30,""xoxxxxoxooxx""),""Gara"",IF(REGEXMATCH(BE30,""xooxoxooxoox""),""Chandrakauns"",IF(REGEXMATCH(BE30,""xoxxxxoxxxox""),""Mand"",IF(REGEXMATCH(BE30,""xoxxxxoxoxox""),""Hanskinkini"",IF(REGEXMATCH(BE30,""xxooxxoxooxo""),""Lilavati"",IF("&amp;"REGEXMATCH(BE30,""xooxoxoooxox""),""Rajeshwari"",IF(REGEXMATCH(BE30,""xoooxxoxoxxx""),""Khokar"",IF(REGEXMATCH(BE30,""xxooxoxxxxox""),""Maligoura"",""-""))))))))))))))))))))))))))))))"),"Kirwani")</f>
        <v>Kirwani</v>
      </c>
      <c r="BM30" s="239">
        <f t="shared" si="29"/>
        <v>6</v>
      </c>
      <c r="BN30" s="239">
        <f>IFERROR(__xludf.DUMMYFUNCTION("COUNTUNIQUE(BR30:CB30)-1"),6.0)</f>
        <v>6</v>
      </c>
      <c r="BO30" s="239">
        <f>IFERROR(__xludf.DUMMYFUNCTION("COUNTUNIQUE(FILTER(BE:BE,REGEXMATCH(BE:BE,BD30)))-1"),2.0)</f>
        <v>2</v>
      </c>
      <c r="BP30" s="239">
        <f>IFERROR(__xludf.DUMMYFUNCTION("COUNTA(FILTER(BE:BE,REGEXMATCH(BE:BE,BD30)))"),3.0)</f>
        <v>3</v>
      </c>
      <c r="BQ30" s="341">
        <f>IFERROR(__xludf.DUMMYFUNCTION("COUNTA(FILTER(BE:BE,REGEXMATCH(BE:BE,BD30)))-AP30"),3.0)</f>
        <v>3</v>
      </c>
      <c r="BR30" s="269" t="str">
        <f t="shared" si="30"/>
        <v>xooxxoxxoxo</v>
      </c>
      <c r="BS30" s="269" t="str">
        <f t="shared" si="31"/>
        <v>-</v>
      </c>
      <c r="BT30" s="271" t="str">
        <f t="shared" si="32"/>
        <v>-</v>
      </c>
      <c r="BU30" s="269" t="str">
        <f t="shared" si="33"/>
        <v>xxoxxoxoxxo</v>
      </c>
      <c r="BV30" s="271" t="str">
        <f t="shared" si="34"/>
        <v>xoxxoxoxxoo</v>
      </c>
      <c r="BW30" s="271" t="str">
        <f t="shared" si="35"/>
        <v>-</v>
      </c>
      <c r="BX30" s="271" t="str">
        <f t="shared" si="36"/>
        <v>xxoxoxxooxx</v>
      </c>
      <c r="BY30" s="271" t="str">
        <f t="shared" si="37"/>
        <v>xoxoxxooxxo</v>
      </c>
      <c r="BZ30" s="271" t="str">
        <f t="shared" si="38"/>
        <v>-</v>
      </c>
      <c r="CA30" s="271" t="str">
        <f t="shared" si="39"/>
        <v>xoxxooxxoxx</v>
      </c>
      <c r="CB30" s="274" t="str">
        <f t="shared" si="40"/>
        <v>-</v>
      </c>
      <c r="CC30" s="276" t="str">
        <f>IFERROR(__xludf.DUMMYFUNCTION("IF(BD30=""oooooooooooo"",""-"",IF(REGEXMATCH(BE30,""xx""), ""Hemi."", ""Anhemi.""))"),"Hemi.")</f>
        <v>Hemi.</v>
      </c>
      <c r="CD30" s="282" t="str">
        <f>IFERROR(__xludf.DUMMYFUNCTION("IF(BD30=""oooooooooooo"",""-"",IF(REGEXMATCH(BE30,""xxx""), ""Cohem."", ""-""))"),"-")</f>
        <v>-</v>
      </c>
      <c r="CE30" s="282" t="str">
        <f>IFERROR(__xludf.DUMMYFUNCTION("IF(BD30=""oooooooooooo"",""-"",IF(REGEXMATCH(BE30,""xxxx""), ""Co-Co."", ""-""))"),"-")</f>
        <v>-</v>
      </c>
      <c r="CF30" s="342" t="str">
        <f>IFERROR(__xludf.DUMMYFUNCTION("IF(BD30=""oooooooooooo"",""-"",IF(REGEXMATCH(BE30,""xxxxx""), ""CCC."", ""-""))"),"-")</f>
        <v>-</v>
      </c>
      <c r="CG30" s="344" t="str">
        <f t="shared" si="41"/>
        <v>-</v>
      </c>
      <c r="CH30" s="282" t="str">
        <f>IFERROR(__xludf.DUMMYFUNCTION("IF(REGEXMATCH(JOIN(""-"",CJ30:CS30),""TRUE""),""✔"",""-"")"),"-")</f>
        <v>-</v>
      </c>
      <c r="CI30" s="225">
        <f t="shared" si="42"/>
        <v>0</v>
      </c>
      <c r="CJ30" s="376" t="b">
        <f>IFERROR(__xludf.DUMMYFUNCTION("arrayformula(sum(--REGEXMATCH(""SRGMPDNS"",split(REGEXREPLACE(I30,""(.)"",""$1~""),""~""))))=len(I30)
"),FALSE)</f>
        <v>0</v>
      </c>
      <c r="CK30" s="290" t="b">
        <f>IFERROR(__xludf.DUMMYFUNCTION("arrayformula(sum(--REGEXMATCH(""SRGmPDNS"",split(REGEXREPLACE(I30,""(.)"",""$1~""),""~""))))=len(I30)"),FALSE)</f>
        <v>0</v>
      </c>
      <c r="CL30" s="290" t="b">
        <f>IFERROR(__xludf.DUMMYFUNCTION("arrayformula(sum(--REGEXMATCH(""SRGmPDnS"",split(REGEXREPLACE(I30,""(.)"",""$1~""),""~""))))=len(I30)"),FALSE)</f>
        <v>0</v>
      </c>
      <c r="CM30" s="290" t="b">
        <f>IFERROR(__xludf.DUMMYFUNCTION("arrayformula(sum(--REGEXMATCH(""SRgmPDnS"",split(REGEXREPLACE(I30,""(.)"",""$1~""),""~""))))=len(I30)"),FALSE)</f>
        <v>0</v>
      </c>
      <c r="CN30" s="290" t="b">
        <f>IFERROR(__xludf.DUMMYFUNCTION("arrayformula(sum(--REGEXMATCH(""SRgmPdnS"",split(REGEXREPLACE(I30,""(.)"",""$1~""),""~""))))=len(I30)"),FALSE)</f>
        <v>0</v>
      </c>
      <c r="CO30" s="290" t="b">
        <f>IFERROR(__xludf.DUMMYFUNCTION("arrayformula(sum(--REGEXMATCH(""SrgmPdnS"",split(REGEXREPLACE(I30,""(.)"",""$1~""),""~""))))=len(I30)"),FALSE)</f>
        <v>0</v>
      </c>
      <c r="CP30" s="290" t="b">
        <f>IFERROR(__xludf.DUMMYFUNCTION("arrayformula(sum(--REGEXMATCH(""SrGmPdNS"",split(REGEXREPLACE(I30,""(.)"",""$1~""),""~""))))=len(I30)"),FALSE)</f>
        <v>0</v>
      </c>
      <c r="CQ30" s="290" t="b">
        <f>IFERROR(__xludf.DUMMYFUNCTION("arrayformula(sum(--REGEXMATCH(""SrGMPDNS"",split(REGEXREPLACE(I30,""(.)"",""$1~""),""~""))))=len(I30)"),FALSE)</f>
        <v>0</v>
      </c>
      <c r="CR30" s="290" t="b">
        <f>IFERROR(__xludf.DUMMYFUNCTION("arrayformula(sum(--REGEXMATCH(""SrGMPdNS"",split(REGEXREPLACE(I30,""(.)"",""$1~""),""~""))))=len(I30)"),FALSE)</f>
        <v>0</v>
      </c>
      <c r="CS30" s="293" t="b">
        <f>IFERROR(__xludf.DUMMYFUNCTION("arrayformula(sum(--REGEXMATCH(""SrgMPdNS"",split(REGEXREPLACE(I30,""(.)"",""$1~""),""~""))))=len(I30)"),FALSE)</f>
        <v>0</v>
      </c>
      <c r="CT30" s="244" t="str">
        <f>IFERROR(__xludf.DUMMYFUNCTION("IF(REGEXMATCH(I30, ""S""), ""1"","""")"),"1")</f>
        <v>1</v>
      </c>
      <c r="CU30" s="245" t="str">
        <f>IFERROR(__xludf.DUMMYFUNCTION("IF(REGEXMATCH(I30, ""r""), ""b2"","""")"),"b2")</f>
        <v>b2</v>
      </c>
      <c r="CV30" s="246" t="str">
        <f>IFERROR(__xludf.DUMMYFUNCTION("IF(REGEXMATCH(I30, ""R""), ""2"","""")"),"")</f>
        <v/>
      </c>
      <c r="CW30" s="246" t="str">
        <f>IFERROR(__xludf.DUMMYFUNCTION("IF(REGEXMATCH(I30, ""g""), ""b3"","""")"),"")</f>
        <v/>
      </c>
      <c r="CX30" s="245" t="str">
        <f>IFERROR(__xludf.DUMMYFUNCTION("IF(REGEXMATCH(I30, ""G""), ""3"","""")"),"3")</f>
        <v>3</v>
      </c>
      <c r="CY30" s="245" t="str">
        <f>IFERROR(__xludf.DUMMYFUNCTION("IF(REGEXMATCH(I30, ""m""), ""4"","""")"),"4")</f>
        <v>4</v>
      </c>
      <c r="CZ30" s="246" t="str">
        <f>IFERROR(__xludf.DUMMYFUNCTION("IF(REGEXMATCH(I30, ""M""), ""#4"","""")"),"")</f>
        <v/>
      </c>
      <c r="DA30" s="245" t="str">
        <f>IFERROR(__xludf.DUMMYFUNCTION("IF(REGEXMATCH(I30, ""P""), ""5"","""")"),"5")</f>
        <v>5</v>
      </c>
      <c r="DB30" s="246" t="str">
        <f>IFERROR(__xludf.DUMMYFUNCTION("IF(REGEXMATCH(I30, ""d""), ""b6"","""")"),"b6")</f>
        <v>b6</v>
      </c>
      <c r="DC30" s="245" t="str">
        <f>IFERROR(__xludf.DUMMYFUNCTION("IF(REGEXMATCH(I30, ""D""), ""6"","""")"),"")</f>
        <v/>
      </c>
      <c r="DD30" s="245" t="str">
        <f>IFERROR(__xludf.DUMMYFUNCTION("IF(REGEXMATCH(I30, ""n""), ""b7"","""")"),"b7")</f>
        <v>b7</v>
      </c>
      <c r="DE30" s="246" t="str">
        <f>IFERROR(__xludf.DUMMYFUNCTION("IF(REGEXMATCH(I30, ""N""), ""7"","""")"),"")</f>
        <v/>
      </c>
      <c r="DF30" s="249" t="str">
        <f>IFERROR(__xludf.DUMMYFUNCTION("IF(REGEXMATCH(I30, ""S""), ""8"","""")"),"8")</f>
        <v>8</v>
      </c>
      <c r="DG30" s="244" t="str">
        <f>IFERROR(__xludf.DUMMYFUNCTION("IF(REGEXMATCH(I30, ""S""), ""S"","""")"),"S")</f>
        <v>S</v>
      </c>
      <c r="DH30" s="294" t="str">
        <f>IFERROR(__xludf.DUMMYFUNCTION("IF(REGEXMATCH(I30, ""r""), ""R1"","""")"),"R1")</f>
        <v>R1</v>
      </c>
      <c r="DI30" s="295" t="str">
        <f>IFERROR(__xludf.DUMMYFUNCTION("IF(REGEXMATCH(I30, ""R""), ""R2"","""")"),"")</f>
        <v/>
      </c>
      <c r="DJ30" s="295" t="str">
        <f>IFERROR(__xludf.DUMMYFUNCTION("IF(REGEXMATCH(I30, ""g""), ""G2"","""")"),"")</f>
        <v/>
      </c>
      <c r="DK30" s="294" t="str">
        <f>IFERROR(__xludf.DUMMYFUNCTION("IF(REGEXMATCH(I30, ""G""), ""G3"","""")"),"G3")</f>
        <v>G3</v>
      </c>
      <c r="DL30" s="294" t="str">
        <f>IFERROR(__xludf.DUMMYFUNCTION("IF(REGEXMATCH(I30, ""m""), ""M1"","""")"),"M1")</f>
        <v>M1</v>
      </c>
      <c r="DM30" s="295" t="str">
        <f>IFERROR(__xludf.DUMMYFUNCTION("IF(REGEXMATCH(I30, ""M""), ""M2"","""")"),"")</f>
        <v/>
      </c>
      <c r="DN30" s="294" t="str">
        <f>IFERROR(__xludf.DUMMYFUNCTION("IF(REGEXMATCH(I30, ""P""), ""P"","""")"),"P")</f>
        <v>P</v>
      </c>
      <c r="DO30" s="295" t="str">
        <f>IFERROR(__xludf.DUMMYFUNCTION("IF(REGEXMATCH(I30, ""d""), ""D1"","""")"),"D1")</f>
        <v>D1</v>
      </c>
      <c r="DP30" s="294" t="str">
        <f>IFERROR(__xludf.DUMMYFUNCTION("IF(REGEXMATCH(I30, ""D""), ""D2"","""")"),"")</f>
        <v/>
      </c>
      <c r="DQ30" s="294" t="str">
        <f>IFERROR(__xludf.DUMMYFUNCTION("IF(REGEXMATCH(I30, ""n""), ""N2"","""")"),"N2")</f>
        <v>N2</v>
      </c>
      <c r="DR30" s="295" t="str">
        <f>IFERROR(__xludf.DUMMYFUNCTION("IF(REGEXMATCH(I30, ""N""), ""N3"","""")"),"")</f>
        <v/>
      </c>
      <c r="DS30" s="249" t="str">
        <f>IFERROR(__xludf.DUMMYFUNCTION("IF(REGEXMATCH(I30, ""S""), ""S"","""")"),"S")</f>
        <v>S</v>
      </c>
      <c r="DT30" s="299" t="str">
        <f>IFERROR(__xludf.DUMMYFUNCTION("SUBSTITUTE(SUBSTITUTE(SUBSTITUTE(SUBSTITUTE(CONCATENATE(JOIN(""-"",CT30:DF30)),""--"",""-""),""--"",""-""),""--"",""-""),""--"",""-"")"),"1-b2-3-4-5-b6-b7-8")</f>
        <v>1-b2-3-4-5-b6-b7-8</v>
      </c>
      <c r="DU30" s="299" t="str">
        <f>IFERROR(__xludf.DUMMYFUNCTION("SUBSTITUTE(SUBSTITUTE(SUBSTITUTE(SUBSTITUTE(CONCATENATE(JOIN(""-"",DG30:DS30)),""--"",""-""),""--"",""-""),""--"",""-""),""--"",""-"")"),"S-R1-G3-M1-P-D1-N2-S")</f>
        <v>S-R1-G3-M1-P-D1-N2-S</v>
      </c>
      <c r="DV30" s="348" t="str">
        <f t="shared" si="43"/>
        <v>C-Db-E-F-G-Ab-Bb-C</v>
      </c>
      <c r="DW30" s="301">
        <f t="shared" si="44"/>
        <v>7</v>
      </c>
      <c r="DX30" s="302" t="str">
        <f t="shared" si="45"/>
        <v>Sampurna</v>
      </c>
      <c r="DY30" s="301" t="str">
        <f t="shared" ref="DY30:DZ30" si="196">SUBSTITUTE(Y30,"-","")</f>
        <v>SRGM</v>
      </c>
      <c r="DZ30" s="301" t="str">
        <f t="shared" si="196"/>
        <v>PDNS</v>
      </c>
      <c r="EA30" s="302" t="str">
        <f t="shared" si="47"/>
        <v>Kirwani</v>
      </c>
      <c r="EB30" s="301" t="str">
        <f t="shared" si="48"/>
        <v>Hemi.</v>
      </c>
      <c r="EC30" s="364" t="str">
        <f t="shared" si="49"/>
        <v>-</v>
      </c>
      <c r="ED30" s="306" t="str">
        <f t="shared" si="50"/>
        <v>-</v>
      </c>
      <c r="EE30" s="366" t="str">
        <f t="shared" si="51"/>
        <v>-</v>
      </c>
      <c r="EF30" s="308" t="str">
        <f t="shared" si="52"/>
        <v>✔</v>
      </c>
      <c r="EG30" s="306" t="str">
        <f t="shared" si="53"/>
        <v>-</v>
      </c>
      <c r="EH30" s="306" t="str">
        <f t="shared" si="54"/>
        <v>-</v>
      </c>
      <c r="EI30" s="367" t="str">
        <f t="shared" si="55"/>
        <v>-</v>
      </c>
      <c r="EJ30" s="310" t="str">
        <f t="shared" si="56"/>
        <v>-</v>
      </c>
      <c r="EK30" s="310" t="str">
        <f t="shared" si="57"/>
        <v>-</v>
      </c>
      <c r="EL30" s="310" t="str">
        <f t="shared" si="58"/>
        <v>-</v>
      </c>
      <c r="EM30" s="310" t="str">
        <f t="shared" si="59"/>
        <v>-</v>
      </c>
      <c r="EN30" s="370" t="str">
        <f t="shared" si="60"/>
        <v>-</v>
      </c>
      <c r="EO30" s="306" t="str">
        <f t="shared" si="61"/>
        <v>-</v>
      </c>
      <c r="EP30" s="306" t="str">
        <f t="shared" si="62"/>
        <v>-</v>
      </c>
      <c r="EQ30" s="306" t="str">
        <f t="shared" si="63"/>
        <v>-</v>
      </c>
      <c r="ER30" s="306" t="str">
        <f t="shared" si="64"/>
        <v>-</v>
      </c>
      <c r="ES30" s="306" t="str">
        <f t="shared" si="65"/>
        <v>-</v>
      </c>
      <c r="ET30" s="367" t="str">
        <f t="shared" si="66"/>
        <v>-</v>
      </c>
      <c r="EU30" s="310" t="str">
        <f>IFERROR(__xludf.DUMMYFUNCTION("IF(REGEXMATCH(BH30,BD30),""✔"",""-"")"),"-")</f>
        <v>-</v>
      </c>
      <c r="EV30" s="310" t="str">
        <f t="shared" si="67"/>
        <v>-</v>
      </c>
      <c r="EW30" s="370" t="str">
        <f t="shared" si="68"/>
        <v>-</v>
      </c>
      <c r="EX30" s="315" t="str">
        <f t="shared" si="69"/>
        <v>[UQ]</v>
      </c>
      <c r="EY30" s="317" t="str">
        <f t="shared" si="70"/>
        <v>S-r-G-m-P-d-n-S</v>
      </c>
      <c r="EZ30" s="318" t="str">
        <f>IFERROR(__xludf.DUMMYFUNCTION("CONCATENATE(JOIN("""",GE30:GQ30))"),"SRGmPdNS")</f>
        <v>SRGmPdNS</v>
      </c>
      <c r="FA30" s="318"/>
      <c r="FB30" s="318"/>
      <c r="FC30" s="321">
        <f t="shared" si="71"/>
        <v>3</v>
      </c>
      <c r="FD30" s="318" t="str">
        <f>IFERROR(__xludf.DUMMYFUNCTION("CONCATENATE(JOIN("""",HR30:ID30))"),"Ga, Pa, dha, ")</f>
        <v>Ga, Pa, dha, </v>
      </c>
      <c r="FE30" s="322">
        <f t="shared" si="72"/>
        <v>1</v>
      </c>
      <c r="FF30" s="324" t="str">
        <f>IFERROR(__xludf.DUMMYFUNCTION("CONCATENATE(JOIN("""",IR30:JD30))"),"Ga, ")</f>
        <v>Ga, </v>
      </c>
      <c r="FG30" s="325" t="str">
        <f t="shared" si="73"/>
        <v>S-R1-G3-M1-P-D1-N2-S</v>
      </c>
      <c r="FH30" s="326" t="str">
        <f t="shared" si="74"/>
        <v>1-b2-3-4-5-b6-b7-8</v>
      </c>
      <c r="FI30" s="326" t="str">
        <f t="shared" si="75"/>
        <v>0-1-4-5-7-8-10-0</v>
      </c>
      <c r="FJ30" s="318"/>
      <c r="FK30" s="328" t="str">
        <f>IFERROR(__xludf.DUMMYFUNCTION("SUBSTITUTE(SUBSTITUTE(SUBSTITUTE(SUBSTITUTE(CONCATENATE(JOIN("" "",FN30:FZ30)),""  "","" ""),""  "","" ""),""  "","" ""),""  "","" "")"),"o o • • o o • o o • o • o")</f>
        <v>o o • • o o • o o • o • o</v>
      </c>
      <c r="FL30" s="328" t="str">
        <f t="shared" si="76"/>
        <v>-</v>
      </c>
      <c r="FM30" s="329"/>
      <c r="FN30" s="331" t="str">
        <f t="shared" si="77"/>
        <v>o</v>
      </c>
      <c r="FO30" s="332" t="str">
        <f t="shared" si="78"/>
        <v>o</v>
      </c>
      <c r="FP30" s="332" t="str">
        <f t="shared" si="79"/>
        <v>•</v>
      </c>
      <c r="FQ30" s="332" t="str">
        <f t="shared" si="80"/>
        <v>•</v>
      </c>
      <c r="FR30" s="332" t="str">
        <f t="shared" si="81"/>
        <v>o</v>
      </c>
      <c r="FS30" s="332" t="str">
        <f t="shared" si="82"/>
        <v>o</v>
      </c>
      <c r="FT30" s="332" t="str">
        <f t="shared" si="83"/>
        <v>•</v>
      </c>
      <c r="FU30" s="332" t="str">
        <f t="shared" si="84"/>
        <v>o</v>
      </c>
      <c r="FV30" s="332" t="str">
        <f t="shared" si="85"/>
        <v>o</v>
      </c>
      <c r="FW30" s="332" t="str">
        <f t="shared" si="86"/>
        <v>•</v>
      </c>
      <c r="FX30" s="332" t="str">
        <f t="shared" si="87"/>
        <v>o</v>
      </c>
      <c r="FY30" s="332" t="str">
        <f t="shared" si="88"/>
        <v>•</v>
      </c>
      <c r="FZ30" s="338" t="str">
        <f t="shared" si="89"/>
        <v>o</v>
      </c>
      <c r="GA30" s="339" t="str">
        <f t="shared" si="90"/>
        <v>-</v>
      </c>
      <c r="GB30" s="339" t="str">
        <f t="shared" si="91"/>
        <v>Sa-Pa</v>
      </c>
      <c r="GC30" s="339" t="str">
        <f t="shared" si="92"/>
        <v>-</v>
      </c>
      <c r="GD30" s="340" t="str">
        <f t="shared" si="93"/>
        <v>-</v>
      </c>
      <c r="GE30" s="331" t="str">
        <f t="shared" si="94"/>
        <v>S</v>
      </c>
      <c r="GF30" s="332" t="str">
        <f t="shared" si="95"/>
        <v/>
      </c>
      <c r="GG30" s="332" t="str">
        <f t="shared" si="96"/>
        <v>R</v>
      </c>
      <c r="GH30" s="332" t="str">
        <f t="shared" si="97"/>
        <v/>
      </c>
      <c r="GI30" s="332" t="str">
        <f t="shared" si="98"/>
        <v>G</v>
      </c>
      <c r="GJ30" s="332" t="str">
        <f t="shared" si="99"/>
        <v>m</v>
      </c>
      <c r="GK30" s="332" t="str">
        <f t="shared" si="100"/>
        <v/>
      </c>
      <c r="GL30" s="332" t="str">
        <f t="shared" si="101"/>
        <v>P</v>
      </c>
      <c r="GM30" s="332" t="str">
        <f t="shared" si="102"/>
        <v>d</v>
      </c>
      <c r="GN30" s="332" t="str">
        <f t="shared" si="103"/>
        <v/>
      </c>
      <c r="GO30" s="332" t="str">
        <f t="shared" si="104"/>
        <v/>
      </c>
      <c r="GP30" s="332" t="str">
        <f t="shared" si="105"/>
        <v>N</v>
      </c>
      <c r="GQ30" s="343" t="str">
        <f t="shared" si="106"/>
        <v>S</v>
      </c>
      <c r="GR30" s="331" t="str">
        <f t="shared" si="107"/>
        <v>•</v>
      </c>
      <c r="GS30" s="332" t="str">
        <f t="shared" si="108"/>
        <v>•</v>
      </c>
      <c r="GT30" s="332" t="str">
        <f t="shared" si="109"/>
        <v>o</v>
      </c>
      <c r="GU30" s="332" t="str">
        <f t="shared" si="110"/>
        <v>o</v>
      </c>
      <c r="GV30" s="332" t="str">
        <f t="shared" si="111"/>
        <v>•</v>
      </c>
      <c r="GW30" s="332" t="str">
        <f t="shared" si="112"/>
        <v>•</v>
      </c>
      <c r="GX30" s="332" t="str">
        <f t="shared" si="113"/>
        <v>o</v>
      </c>
      <c r="GY30" s="332" t="str">
        <f t="shared" si="114"/>
        <v>•</v>
      </c>
      <c r="GZ30" s="332" t="str">
        <f t="shared" si="115"/>
        <v>•</v>
      </c>
      <c r="HA30" s="332" t="str">
        <f t="shared" si="116"/>
        <v>o</v>
      </c>
      <c r="HB30" s="332" t="str">
        <f t="shared" si="117"/>
        <v>•</v>
      </c>
      <c r="HC30" s="332" t="str">
        <f t="shared" si="118"/>
        <v>o</v>
      </c>
      <c r="HD30" s="338" t="str">
        <f t="shared" si="119"/>
        <v>•</v>
      </c>
      <c r="HE30" s="346" t="b">
        <f t="shared" si="120"/>
        <v>0</v>
      </c>
      <c r="HF30" s="347" t="b">
        <f t="shared" si="121"/>
        <v>0</v>
      </c>
      <c r="HG30" s="347" t="b">
        <f t="shared" si="122"/>
        <v>0</v>
      </c>
      <c r="HH30" s="347" t="b">
        <f t="shared" si="123"/>
        <v>0</v>
      </c>
      <c r="HI30" s="347" t="b">
        <f t="shared" si="124"/>
        <v>1</v>
      </c>
      <c r="HJ30" s="347" t="b">
        <f t="shared" si="125"/>
        <v>0</v>
      </c>
      <c r="HK30" s="347" t="b">
        <f t="shared" si="126"/>
        <v>0</v>
      </c>
      <c r="HL30" s="347" t="b">
        <f t="shared" si="127"/>
        <v>1</v>
      </c>
      <c r="HM30" s="347" t="b">
        <f t="shared" si="128"/>
        <v>1</v>
      </c>
      <c r="HN30" s="347" t="b">
        <f t="shared" si="129"/>
        <v>0</v>
      </c>
      <c r="HO30" s="347" t="b">
        <f t="shared" si="130"/>
        <v>0</v>
      </c>
      <c r="HP30" s="347" t="b">
        <f t="shared" si="131"/>
        <v>0</v>
      </c>
      <c r="HQ30" s="353" t="b">
        <f t="shared" si="132"/>
        <v>0</v>
      </c>
      <c r="HR30" s="354" t="str">
        <f t="shared" si="133"/>
        <v/>
      </c>
      <c r="HS30" s="355" t="str">
        <f t="shared" si="134"/>
        <v/>
      </c>
      <c r="HT30" s="355" t="str">
        <f t="shared" si="135"/>
        <v/>
      </c>
      <c r="HU30" s="355" t="str">
        <f t="shared" si="136"/>
        <v/>
      </c>
      <c r="HV30" s="355" t="str">
        <f t="shared" si="137"/>
        <v>Ga, </v>
      </c>
      <c r="HW30" s="355" t="str">
        <f t="shared" si="138"/>
        <v/>
      </c>
      <c r="HX30" s="355" t="str">
        <f t="shared" si="139"/>
        <v/>
      </c>
      <c r="HY30" s="355" t="str">
        <f t="shared" si="140"/>
        <v>Pa, </v>
      </c>
      <c r="HZ30" s="355" t="str">
        <f t="shared" si="141"/>
        <v>dha, </v>
      </c>
      <c r="IA30" s="355" t="str">
        <f t="shared" si="142"/>
        <v/>
      </c>
      <c r="IB30" s="355" t="str">
        <f t="shared" si="143"/>
        <v/>
      </c>
      <c r="IC30" s="355" t="str">
        <f t="shared" si="144"/>
        <v/>
      </c>
      <c r="ID30" s="359" t="str">
        <f t="shared" si="145"/>
        <v/>
      </c>
      <c r="IE30" s="346" t="b">
        <f t="shared" si="146"/>
        <v>0</v>
      </c>
      <c r="IF30" s="347" t="b">
        <f t="shared" si="147"/>
        <v>0</v>
      </c>
      <c r="IG30" s="347" t="b">
        <f t="shared" si="148"/>
        <v>0</v>
      </c>
      <c r="IH30" s="347" t="b">
        <f t="shared" si="149"/>
        <v>0</v>
      </c>
      <c r="II30" s="347" t="b">
        <f t="shared" si="150"/>
        <v>1</v>
      </c>
      <c r="IJ30" s="347" t="b">
        <f t="shared" si="151"/>
        <v>0</v>
      </c>
      <c r="IK30" s="347" t="b">
        <f t="shared" si="152"/>
        <v>0</v>
      </c>
      <c r="IL30" s="347" t="b">
        <f t="shared" si="153"/>
        <v>0</v>
      </c>
      <c r="IM30" s="347" t="b">
        <f t="shared" si="154"/>
        <v>0</v>
      </c>
      <c r="IN30" s="347" t="b">
        <f t="shared" si="155"/>
        <v>0</v>
      </c>
      <c r="IO30" s="347" t="b">
        <f t="shared" si="156"/>
        <v>0</v>
      </c>
      <c r="IP30" s="347" t="b">
        <f t="shared" si="157"/>
        <v>0</v>
      </c>
      <c r="IQ30" s="365" t="b">
        <f t="shared" si="158"/>
        <v>0</v>
      </c>
      <c r="IR30" s="354" t="str">
        <f t="shared" si="159"/>
        <v/>
      </c>
      <c r="IS30" s="355" t="str">
        <f t="shared" si="160"/>
        <v/>
      </c>
      <c r="IT30" s="355" t="str">
        <f t="shared" si="161"/>
        <v/>
      </c>
      <c r="IU30" s="355" t="str">
        <f t="shared" si="162"/>
        <v/>
      </c>
      <c r="IV30" s="355" t="str">
        <f t="shared" si="163"/>
        <v>Ga, </v>
      </c>
      <c r="IW30" s="355" t="str">
        <f t="shared" si="164"/>
        <v/>
      </c>
      <c r="IX30" s="355" t="str">
        <f t="shared" si="165"/>
        <v/>
      </c>
      <c r="IY30" s="355" t="str">
        <f t="shared" si="166"/>
        <v/>
      </c>
      <c r="IZ30" s="355" t="str">
        <f t="shared" si="167"/>
        <v/>
      </c>
      <c r="JA30" s="355" t="str">
        <f t="shared" si="168"/>
        <v/>
      </c>
      <c r="JB30" s="355" t="str">
        <f t="shared" si="169"/>
        <v/>
      </c>
      <c r="JC30" s="355" t="str">
        <f t="shared" si="170"/>
        <v/>
      </c>
      <c r="JD30" s="359"/>
      <c r="JE30" s="321"/>
      <c r="JF30" s="368"/>
      <c r="JG30" s="369"/>
      <c r="JH30" s="369"/>
      <c r="JI30" s="369"/>
      <c r="JJ30" s="369"/>
      <c r="JK30" s="369"/>
      <c r="JL30" s="369"/>
      <c r="JM30" s="369"/>
      <c r="JN30" s="369"/>
      <c r="JO30" s="369"/>
      <c r="JP30" s="369"/>
    </row>
    <row r="31" ht="20.25" customHeight="1">
      <c r="A31" s="221" t="s">
        <v>121</v>
      </c>
      <c r="B31" s="222">
        <v>29.0</v>
      </c>
      <c r="C31" s="223" t="s">
        <v>561</v>
      </c>
      <c r="D31" s="224">
        <v>10.0</v>
      </c>
      <c r="E31" s="225" t="str">
        <f t="shared" si="5"/>
        <v>[UQ]</v>
      </c>
      <c r="F31" s="227">
        <f t="shared" si="6"/>
        <v>7</v>
      </c>
      <c r="G31" s="229">
        <f t="shared" si="7"/>
        <v>7</v>
      </c>
      <c r="H31" s="230">
        <f t="shared" si="8"/>
        <v>0</v>
      </c>
      <c r="I31" s="233" t="str">
        <f t="shared" si="9"/>
        <v>SRgmPDnS</v>
      </c>
      <c r="J31" s="234" t="str">
        <f>IFERROR(__xludf.DUMMYFUNCTION("IF(REGEXMATCH(I31, ""S""), ""S"","""")"),"S")</f>
        <v>S</v>
      </c>
      <c r="K31" s="236" t="str">
        <f>IFERROR(__xludf.DUMMYFUNCTION("IF(REGEXMATCH(I31, ""r""), ""r"","""")"),"")</f>
        <v/>
      </c>
      <c r="L31" s="237" t="str">
        <f>IFERROR(__xludf.DUMMYFUNCTION("IF(REGEXMATCH(I31, ""R""), ""R"","""")"),"R")</f>
        <v>R</v>
      </c>
      <c r="M31" s="237" t="str">
        <f>IFERROR(__xludf.DUMMYFUNCTION("IF(REGEXMATCH(I31, ""g""), ""g"","""")"),"g")</f>
        <v>g</v>
      </c>
      <c r="N31" s="236" t="str">
        <f>IFERROR(__xludf.DUMMYFUNCTION("IF(REGEXMATCH(I31, ""G""), ""G"","""")"),"")</f>
        <v/>
      </c>
      <c r="O31" s="236" t="str">
        <f>IFERROR(__xludf.DUMMYFUNCTION("IF(REGEXMATCH(I31, ""m""), ""m"","""")"),"m")</f>
        <v>m</v>
      </c>
      <c r="P31" s="237" t="str">
        <f>IFERROR(__xludf.DUMMYFUNCTION("IF(REGEXMATCH(I31, ""M""), ""M"","""")"),"")</f>
        <v/>
      </c>
      <c r="Q31" s="236" t="str">
        <f>IFERROR(__xludf.DUMMYFUNCTION("IF(REGEXMATCH(I31, ""P""), ""P"","""")"),"P")</f>
        <v>P</v>
      </c>
      <c r="R31" s="237" t="str">
        <f>IFERROR(__xludf.DUMMYFUNCTION("IF(REGEXMATCH(I31, ""d""), ""d"","""")"),"")</f>
        <v/>
      </c>
      <c r="S31" s="236" t="str">
        <f>IFERROR(__xludf.DUMMYFUNCTION("IF(REGEXMATCH(I31, ""D""), ""D"","""")"),"D")</f>
        <v>D</v>
      </c>
      <c r="T31" s="236" t="str">
        <f>IFERROR(__xludf.DUMMYFUNCTION("IF(REGEXMATCH(I31, ""n""), ""n"","""")"),"n")</f>
        <v>n</v>
      </c>
      <c r="U31" s="237" t="str">
        <f>IFERROR(__xludf.DUMMYFUNCTION("IF(REGEXMATCH(I31, ""N""), ""N"","""")"),"")</f>
        <v/>
      </c>
      <c r="V31" s="238" t="str">
        <f>IFERROR(__xludf.DUMMYFUNCTION("IF(REGEXMATCH(I31, ""S""), ""S"","""")"),"S")</f>
        <v>S</v>
      </c>
      <c r="W31" s="239" t="str">
        <f>IFERROR(__xludf.DUMMYFUNCTION("SUBSTITUTE(CONCATENATE(JOIN(""-"",J31:P31)),""-"","""")"),"SRgm")</f>
        <v>SRgm</v>
      </c>
      <c r="X31" s="229" t="str">
        <f>IFERROR(__xludf.DUMMYFUNCTION("SUBSTITUTE(CONCATENATE(JOIN(""-"",Q31:V31)),""-"","""")"),"PDnS")</f>
        <v>PDnS</v>
      </c>
      <c r="Y31" s="282" t="str">
        <f t="shared" si="10"/>
        <v>S-R-G-M</v>
      </c>
      <c r="Z31" s="282" t="str">
        <f t="shared" si="11"/>
        <v>P-D-N-S</v>
      </c>
      <c r="AA31" s="309" t="str">
        <f t="shared" si="12"/>
        <v>RgmDn</v>
      </c>
      <c r="AB31" s="244" t="str">
        <f>IFERROR(__xludf.DUMMYFUNCTION("IF(REGEXMATCH(I31, ""S""), ""0"","""")"),"0")</f>
        <v>0</v>
      </c>
      <c r="AC31" s="245" t="str">
        <f>IFERROR(__xludf.DUMMYFUNCTION("IF(REGEXMATCH(I31, ""r""), ""1"","""")"),"")</f>
        <v/>
      </c>
      <c r="AD31" s="246" t="str">
        <f>IFERROR(__xludf.DUMMYFUNCTION("IF(REGEXMATCH(I31, ""R""), ""2"","""")"),"2")</f>
        <v>2</v>
      </c>
      <c r="AE31" s="246" t="str">
        <f>IFERROR(__xludf.DUMMYFUNCTION("IF(REGEXMATCH(I31, ""g""), ""3"","""")"),"3")</f>
        <v>3</v>
      </c>
      <c r="AF31" s="245" t="str">
        <f>IFERROR(__xludf.DUMMYFUNCTION("IF(REGEXMATCH(I31, ""G""), ""4"","""")"),"")</f>
        <v/>
      </c>
      <c r="AG31" s="245" t="str">
        <f>IFERROR(__xludf.DUMMYFUNCTION("IF(REGEXMATCH(I31, ""m""), ""5"","""")"),"5")</f>
        <v>5</v>
      </c>
      <c r="AH31" s="246" t="str">
        <f>IFERROR(__xludf.DUMMYFUNCTION("IF(REGEXMATCH(I31, ""M""), ""6"","""")"),"")</f>
        <v/>
      </c>
      <c r="AI31" s="245" t="str">
        <f>IFERROR(__xludf.DUMMYFUNCTION("IF(REGEXMATCH(I31, ""P""), ""7"","""")"),"7")</f>
        <v>7</v>
      </c>
      <c r="AJ31" s="246" t="str">
        <f>IFERROR(__xludf.DUMMYFUNCTION("IF(REGEXMATCH(I31, ""d""), ""8"","""")"),"")</f>
        <v/>
      </c>
      <c r="AK31" s="245" t="str">
        <f>IFERROR(__xludf.DUMMYFUNCTION("IF(REGEXMATCH(I31, ""D""), ""9"","""")"),"9")</f>
        <v>9</v>
      </c>
      <c r="AL31" s="245" t="str">
        <f>IFERROR(__xludf.DUMMYFUNCTION("IF(REGEXMATCH(I31, ""n""), ""10"","""")"),"10")</f>
        <v>10</v>
      </c>
      <c r="AM31" s="246" t="str">
        <f>IFERROR(__xludf.DUMMYFUNCTION("IF(REGEXMATCH(I31, ""N""), ""11"","""")"),"")</f>
        <v/>
      </c>
      <c r="AN31" s="249" t="str">
        <f>IFERROR(__xludf.DUMMYFUNCTION("IF(REGEXMATCH(I31, ""S""), ""0"","""")"),"0")</f>
        <v>0</v>
      </c>
      <c r="AO31" s="250" t="str">
        <f>IFERROR(__xludf.DUMMYFUNCTION("SUBSTITUTE(SUBSTITUTE(SUBSTITUTE(SUBSTITUTE(CONCATENATE(JOIN(""-"",AB31:AN31)),""--"",""-""),""--"",""-""),""--"",""-""),""--"",""-"")"),"0-2-3-5-7-9-10-0")</f>
        <v>0-2-3-5-7-9-10-0</v>
      </c>
      <c r="AP31" s="251">
        <f t="shared" si="13"/>
        <v>0</v>
      </c>
      <c r="AQ31" s="234" t="str">
        <f t="shared" si="14"/>
        <v>|</v>
      </c>
      <c r="AR31" s="236" t="str">
        <f t="shared" si="15"/>
        <v>-</v>
      </c>
      <c r="AS31" s="237" t="str">
        <f t="shared" si="16"/>
        <v>|</v>
      </c>
      <c r="AT31" s="236" t="str">
        <f t="shared" si="17"/>
        <v>|</v>
      </c>
      <c r="AU31" s="237" t="str">
        <f t="shared" si="18"/>
        <v>-</v>
      </c>
      <c r="AV31" s="236" t="str">
        <f t="shared" si="19"/>
        <v>|</v>
      </c>
      <c r="AW31" s="237" t="str">
        <f t="shared" si="20"/>
        <v>-</v>
      </c>
      <c r="AX31" s="236" t="str">
        <f t="shared" si="21"/>
        <v>|</v>
      </c>
      <c r="AY31" s="237" t="str">
        <f t="shared" si="22"/>
        <v>-</v>
      </c>
      <c r="AZ31" s="236" t="str">
        <f t="shared" si="23"/>
        <v>|</v>
      </c>
      <c r="BA31" s="237" t="str">
        <f t="shared" si="24"/>
        <v>|</v>
      </c>
      <c r="BB31" s="236" t="str">
        <f t="shared" si="25"/>
        <v>-</v>
      </c>
      <c r="BC31" s="238" t="str">
        <f t="shared" si="26"/>
        <v>|</v>
      </c>
      <c r="BD31" s="250" t="str">
        <f>IFERROR(__xludf.DUMMYFUNCTION("SUBSTITUTE(SUBSTITUTE(CONCATENATE(JOIN("""",AQ31:BB31)),""|"",""x""),""-"",""o"")"),"xoxxoxoxoxxo")</f>
        <v>xoxxoxoxoxxo</v>
      </c>
      <c r="BE31" s="323" t="str">
        <f>IFERROR(__xludf.DUMMYFUNCTION("JOIN("""",BD31,BD31)"),"xoxxoxoxoxxoxoxxoxoxoxxo")</f>
        <v>xoxxoxoxoxxoxoxxoxoxoxxo</v>
      </c>
      <c r="BF31" s="256" t="str">
        <f>IFERROR(__xludf.DUMMYFUNCTION("JOIN("""",ArrayFormula(MID(BD31,LEN(BD31)-SEQUENCE(1,LEN(BD31))+1,1)))"),"oxxoxoxoxxox")</f>
        <v>oxxoxoxoxxox</v>
      </c>
      <c r="BG31" s="256" t="str">
        <f>IFERROR(__xludf.DUMMYFUNCTION("LEFT(CONCATENATE(""x"",JOIN("""",ArrayFormula(MID(BD31,LEN(BD31)-SEQUENCE(1,LEN(BD31))+1,1)))),12)"),"xoxxoxoxoxxo")</f>
        <v>xoxxoxoxoxxo</v>
      </c>
      <c r="BH31" s="327" t="str">
        <f>IFERROR(__xludf.DUMMYFUNCTION("JOIN("""",BF31,BF31)"),"oxxoxoxoxxoxoxxoxoxoxxox")</f>
        <v>oxxoxoxoxxoxoxxoxoxoxxox</v>
      </c>
      <c r="BI31" s="239" t="str">
        <f>IFERROR(__xludf.DUMMYFUNCTION("IF(REGEXMATCH(BH31,BD31),""✔"",""-"")"),"✔")</f>
        <v>✔</v>
      </c>
      <c r="BJ31" s="330" t="str">
        <f t="shared" si="27"/>
        <v>✔</v>
      </c>
      <c r="BK31" s="260" t="str">
        <f t="shared" si="28"/>
        <v>-</v>
      </c>
      <c r="BL31" s="261" t="str">
        <f>IFERROR(__xludf.DUMMYFUNCTION("IF(BO31=0,""(n/a)"",IF(BP31=2,""(PAIR)"",IF(REGEXMATCH(BE31,""xoxoxxoxoxox""),""Bilawal"",IF(REGEXMATCH(BE31,""xoxoxooxoxoo""),""Bhupali"",IF(REGEXMATCH(BE31,""xoxoxxoxxoxo""),""Charukeshi"",IF(REGEXMATCH(BE31,""xoxoooxxoxxo""),""Kameshwari"",IF(REGEXMATC"&amp;"H(BE31,""xoxoxooxoxox""),""Shankara"",IF(REGEXMATCH(BE31,""xxooxoxxxoox""),""Basant"",IF(REGEXMATCH(BE31,""xoxoxxxxoxox""),""Bihag"",IF(REGEXMATCH(BE31,""xoxxxxoxoxxx""),""Pilu"",IF(REGEXMATCH(BE31,""xoxxoxoxxoox""),""Kirwani"",IF(REGEXMATCH(BE31,""xoxxox"&amp;"oxoxxx""),""Mk.Malhar"",IF(REGEXMATCH(BE31,""xxooxxoxxoox""),""Bhairav"",IF(REGEXMATCH(BE31,""xxoxooxxxoox""),""Todi"",IF(REGEXMATCH(BE31,""xxooxoxooxox""),""Marwa"",IF(REGEXMATCH(BE31,""xxoooxoxxooo""),""Gunkali"",IF(REGEXMATCH(BE31,""xoxoxxoxxoox""),""N"&amp;"at Bhairav"",IF(REGEXMATCH(BE31,""xoxxoooxoxoo""),""Shivranjani"",IF(REGEXMATCH(BE31,""xooxxxoxooxo""),""Jog"",IF(REGEXMATCH(BE31,""xxooxoxoxoox""),""Hemshri"",IF(REGEXMATCH(BE31,""xoooxooxoxxo""),""Kalavati"",IF(REGEXMATCH(BE31,""xxoxoxxoxoox""),""Kedar"&amp;""",IF(REGEXMATCH(BE31,""xoxxxxoxooxx""),""Gara"",IF(REGEXMATCH(BE31,""xooxoxooxoox""),""Chandrakauns"",IF(REGEXMATCH(BE31,""xoxxxxoxxxox""),""Mand"",IF(REGEXMATCH(BE31,""xoxxxxoxoxox""),""Hanskinkini"",IF(REGEXMATCH(BE31,""xxooxxoxooxo""),""Lilavati"",IF("&amp;"REGEXMATCH(BE31,""xooxoxoooxox""),""Rajeshwari"",IF(REGEXMATCH(BE31,""xoooxxoxoxxx""),""Khokar"",IF(REGEXMATCH(BE31,""xxooxoxxxxox""),""Maligoura"",""-""))))))))))))))))))))))))))))))"),"Bilawal")</f>
        <v>Bilawal</v>
      </c>
      <c r="BM31" s="239">
        <f t="shared" si="29"/>
        <v>6</v>
      </c>
      <c r="BN31" s="239">
        <f>IFERROR(__xludf.DUMMYFUNCTION("COUNTUNIQUE(BR31:CB31)-1"),6.0)</f>
        <v>6</v>
      </c>
      <c r="BO31" s="239">
        <f>IFERROR(__xludf.DUMMYFUNCTION("COUNTUNIQUE(FILTER(BE:BE,REGEXMATCH(BE:BE,BD31)))-1"),5.0)</f>
        <v>5</v>
      </c>
      <c r="BP31" s="239">
        <f>IFERROR(__xludf.DUMMYFUNCTION("COUNTA(FILTER(BE:BE,REGEXMATCH(BE:BE,BD31)))"),6.0)</f>
        <v>6</v>
      </c>
      <c r="BQ31" s="341">
        <f>IFERROR(__xludf.DUMMYFUNCTION("COUNTA(FILTER(BE:BE,REGEXMATCH(BE:BE,BD31)))-AP31"),6.0)</f>
        <v>6</v>
      </c>
      <c r="BR31" s="269" t="str">
        <f t="shared" si="30"/>
        <v>-</v>
      </c>
      <c r="BS31" s="269" t="str">
        <f t="shared" si="31"/>
        <v>xxoxoxoxxox</v>
      </c>
      <c r="BT31" s="271" t="str">
        <f t="shared" si="32"/>
        <v>xoxoxoxxoxo</v>
      </c>
      <c r="BU31" s="269" t="str">
        <f t="shared" si="33"/>
        <v>-</v>
      </c>
      <c r="BV31" s="271" t="str">
        <f t="shared" si="34"/>
        <v>xoxoxxoxoxx</v>
      </c>
      <c r="BW31" s="271" t="str">
        <f t="shared" si="35"/>
        <v>-</v>
      </c>
      <c r="BX31" s="271" t="str">
        <f t="shared" si="36"/>
        <v>xoxxoxoxxox</v>
      </c>
      <c r="BY31" s="271" t="str">
        <f t="shared" si="37"/>
        <v>-</v>
      </c>
      <c r="BZ31" s="271" t="str">
        <f t="shared" si="38"/>
        <v>xxoxoxxoxox</v>
      </c>
      <c r="CA31" s="271" t="str">
        <f t="shared" si="39"/>
        <v>xoxoxxoxoxo</v>
      </c>
      <c r="CB31" s="274" t="str">
        <f t="shared" si="40"/>
        <v>-</v>
      </c>
      <c r="CC31" s="276" t="str">
        <f>IFERROR(__xludf.DUMMYFUNCTION("IF(BD31=""oooooooooooo"",""-"",IF(REGEXMATCH(BE31,""xx""), ""Hemi."", ""Anhemi.""))"),"Hemi.")</f>
        <v>Hemi.</v>
      </c>
      <c r="CD31" s="282" t="str">
        <f>IFERROR(__xludf.DUMMYFUNCTION("IF(BD31=""oooooooooooo"",""-"",IF(REGEXMATCH(BE31,""xxx""), ""Cohem."", ""-""))"),"-")</f>
        <v>-</v>
      </c>
      <c r="CE31" s="282" t="str">
        <f>IFERROR(__xludf.DUMMYFUNCTION("IF(BD31=""oooooooooooo"",""-"",IF(REGEXMATCH(BE31,""xxxx""), ""Co-Co."", ""-""))"),"-")</f>
        <v>-</v>
      </c>
      <c r="CF31" s="342" t="str">
        <f>IFERROR(__xludf.DUMMYFUNCTION("IF(BD31=""oooooooooooo"",""-"",IF(REGEXMATCH(BE31,""xxxxx""), ""CCC."", ""-""))"),"-")</f>
        <v>-</v>
      </c>
      <c r="CG31" s="344" t="str">
        <f t="shared" si="41"/>
        <v>Kafi</v>
      </c>
      <c r="CH31" s="282" t="str">
        <f>IFERROR(__xludf.DUMMYFUNCTION("IF(REGEXMATCH(JOIN(""-"",CJ31:CS31),""TRUE""),""✔"",""-"")"),"✔")</f>
        <v>✔</v>
      </c>
      <c r="CI31" s="225">
        <f t="shared" si="42"/>
        <v>1</v>
      </c>
      <c r="CJ31" s="376" t="b">
        <f>IFERROR(__xludf.DUMMYFUNCTION("arrayformula(sum(--REGEXMATCH(""SRGMPDNS"",split(REGEXREPLACE(I31,""(.)"",""$1~""),""~""))))=len(I31)
"),FALSE)</f>
        <v>0</v>
      </c>
      <c r="CK31" s="290" t="b">
        <f>IFERROR(__xludf.DUMMYFUNCTION("arrayformula(sum(--REGEXMATCH(""SRGmPDNS"",split(REGEXREPLACE(I31,""(.)"",""$1~""),""~""))))=len(I31)"),FALSE)</f>
        <v>0</v>
      </c>
      <c r="CL31" s="290" t="b">
        <f>IFERROR(__xludf.DUMMYFUNCTION("arrayformula(sum(--REGEXMATCH(""SRGmPDnS"",split(REGEXREPLACE(I31,""(.)"",""$1~""),""~""))))=len(I31)"),FALSE)</f>
        <v>0</v>
      </c>
      <c r="CM31" s="290" t="b">
        <f>IFERROR(__xludf.DUMMYFUNCTION("arrayformula(sum(--REGEXMATCH(""SRgmPDnS"",split(REGEXREPLACE(I31,""(.)"",""$1~""),""~""))))=len(I31)"),TRUE)</f>
        <v>1</v>
      </c>
      <c r="CN31" s="290" t="b">
        <f>IFERROR(__xludf.DUMMYFUNCTION("arrayformula(sum(--REGEXMATCH(""SRgmPdnS"",split(REGEXREPLACE(I31,""(.)"",""$1~""),""~""))))=len(I31)"),FALSE)</f>
        <v>0</v>
      </c>
      <c r="CO31" s="290" t="b">
        <f>IFERROR(__xludf.DUMMYFUNCTION("arrayformula(sum(--REGEXMATCH(""SrgmPdnS"",split(REGEXREPLACE(I31,""(.)"",""$1~""),""~""))))=len(I31)"),FALSE)</f>
        <v>0</v>
      </c>
      <c r="CP31" s="290" t="b">
        <f>IFERROR(__xludf.DUMMYFUNCTION("arrayformula(sum(--REGEXMATCH(""SrGmPdNS"",split(REGEXREPLACE(I31,""(.)"",""$1~""),""~""))))=len(I31)"),FALSE)</f>
        <v>0</v>
      </c>
      <c r="CQ31" s="290" t="b">
        <f>IFERROR(__xludf.DUMMYFUNCTION("arrayformula(sum(--REGEXMATCH(""SrGMPDNS"",split(REGEXREPLACE(I31,""(.)"",""$1~""),""~""))))=len(I31)"),FALSE)</f>
        <v>0</v>
      </c>
      <c r="CR31" s="290" t="b">
        <f>IFERROR(__xludf.DUMMYFUNCTION("arrayformula(sum(--REGEXMATCH(""SrGMPdNS"",split(REGEXREPLACE(I31,""(.)"",""$1~""),""~""))))=len(I31)"),FALSE)</f>
        <v>0</v>
      </c>
      <c r="CS31" s="293" t="b">
        <f>IFERROR(__xludf.DUMMYFUNCTION("arrayformula(sum(--REGEXMATCH(""SrgMPdNS"",split(REGEXREPLACE(I31,""(.)"",""$1~""),""~""))))=len(I31)"),FALSE)</f>
        <v>0</v>
      </c>
      <c r="CT31" s="244" t="str">
        <f>IFERROR(__xludf.DUMMYFUNCTION("IF(REGEXMATCH(I31, ""S""), ""1"","""")"),"1")</f>
        <v>1</v>
      </c>
      <c r="CU31" s="245" t="str">
        <f>IFERROR(__xludf.DUMMYFUNCTION("IF(REGEXMATCH(I31, ""r""), ""b2"","""")"),"")</f>
        <v/>
      </c>
      <c r="CV31" s="246" t="str">
        <f>IFERROR(__xludf.DUMMYFUNCTION("IF(REGEXMATCH(I31, ""R""), ""2"","""")"),"2")</f>
        <v>2</v>
      </c>
      <c r="CW31" s="246" t="str">
        <f>IFERROR(__xludf.DUMMYFUNCTION("IF(REGEXMATCH(I31, ""g""), ""b3"","""")"),"b3")</f>
        <v>b3</v>
      </c>
      <c r="CX31" s="245" t="str">
        <f>IFERROR(__xludf.DUMMYFUNCTION("IF(REGEXMATCH(I31, ""G""), ""3"","""")"),"")</f>
        <v/>
      </c>
      <c r="CY31" s="245" t="str">
        <f>IFERROR(__xludf.DUMMYFUNCTION("IF(REGEXMATCH(I31, ""m""), ""4"","""")"),"4")</f>
        <v>4</v>
      </c>
      <c r="CZ31" s="246" t="str">
        <f>IFERROR(__xludf.DUMMYFUNCTION("IF(REGEXMATCH(I31, ""M""), ""#4"","""")"),"")</f>
        <v/>
      </c>
      <c r="DA31" s="245" t="str">
        <f>IFERROR(__xludf.DUMMYFUNCTION("IF(REGEXMATCH(I31, ""P""), ""5"","""")"),"5")</f>
        <v>5</v>
      </c>
      <c r="DB31" s="246" t="str">
        <f>IFERROR(__xludf.DUMMYFUNCTION("IF(REGEXMATCH(I31, ""d""), ""b6"","""")"),"")</f>
        <v/>
      </c>
      <c r="DC31" s="245" t="str">
        <f>IFERROR(__xludf.DUMMYFUNCTION("IF(REGEXMATCH(I31, ""D""), ""6"","""")"),"6")</f>
        <v>6</v>
      </c>
      <c r="DD31" s="245" t="str">
        <f>IFERROR(__xludf.DUMMYFUNCTION("IF(REGEXMATCH(I31, ""n""), ""b7"","""")"),"b7")</f>
        <v>b7</v>
      </c>
      <c r="DE31" s="246" t="str">
        <f>IFERROR(__xludf.DUMMYFUNCTION("IF(REGEXMATCH(I31, ""N""), ""7"","""")"),"")</f>
        <v/>
      </c>
      <c r="DF31" s="249" t="str">
        <f>IFERROR(__xludf.DUMMYFUNCTION("IF(REGEXMATCH(I31, ""S""), ""8"","""")"),"8")</f>
        <v>8</v>
      </c>
      <c r="DG31" s="244" t="str">
        <f>IFERROR(__xludf.DUMMYFUNCTION("IF(REGEXMATCH(I31, ""S""), ""S"","""")"),"S")</f>
        <v>S</v>
      </c>
      <c r="DH31" s="294" t="str">
        <f>IFERROR(__xludf.DUMMYFUNCTION("IF(REGEXMATCH(I31, ""r""), ""R1"","""")"),"")</f>
        <v/>
      </c>
      <c r="DI31" s="295" t="str">
        <f>IFERROR(__xludf.DUMMYFUNCTION("IF(REGEXMATCH(I31, ""R""), ""R2"","""")"),"R2")</f>
        <v>R2</v>
      </c>
      <c r="DJ31" s="295" t="str">
        <f>IFERROR(__xludf.DUMMYFUNCTION("IF(REGEXMATCH(I31, ""g""), ""G2"","""")"),"G2")</f>
        <v>G2</v>
      </c>
      <c r="DK31" s="294" t="str">
        <f>IFERROR(__xludf.DUMMYFUNCTION("IF(REGEXMATCH(I31, ""G""), ""G3"","""")"),"")</f>
        <v/>
      </c>
      <c r="DL31" s="294" t="str">
        <f>IFERROR(__xludf.DUMMYFUNCTION("IF(REGEXMATCH(I31, ""m""), ""M1"","""")"),"M1")</f>
        <v>M1</v>
      </c>
      <c r="DM31" s="295" t="str">
        <f>IFERROR(__xludf.DUMMYFUNCTION("IF(REGEXMATCH(I31, ""M""), ""M2"","""")"),"")</f>
        <v/>
      </c>
      <c r="DN31" s="294" t="str">
        <f>IFERROR(__xludf.DUMMYFUNCTION("IF(REGEXMATCH(I31, ""P""), ""P"","""")"),"P")</f>
        <v>P</v>
      </c>
      <c r="DO31" s="295" t="str">
        <f>IFERROR(__xludf.DUMMYFUNCTION("IF(REGEXMATCH(I31, ""d""), ""D1"","""")"),"")</f>
        <v/>
      </c>
      <c r="DP31" s="294" t="str">
        <f>IFERROR(__xludf.DUMMYFUNCTION("IF(REGEXMATCH(I31, ""D""), ""D2"","""")"),"D2")</f>
        <v>D2</v>
      </c>
      <c r="DQ31" s="294" t="str">
        <f>IFERROR(__xludf.DUMMYFUNCTION("IF(REGEXMATCH(I31, ""n""), ""N2"","""")"),"N2")</f>
        <v>N2</v>
      </c>
      <c r="DR31" s="295" t="str">
        <f>IFERROR(__xludf.DUMMYFUNCTION("IF(REGEXMATCH(I31, ""N""), ""N3"","""")"),"")</f>
        <v/>
      </c>
      <c r="DS31" s="249" t="str">
        <f>IFERROR(__xludf.DUMMYFUNCTION("IF(REGEXMATCH(I31, ""S""), ""S"","""")"),"S")</f>
        <v>S</v>
      </c>
      <c r="DT31" s="299" t="str">
        <f>IFERROR(__xludf.DUMMYFUNCTION("SUBSTITUTE(SUBSTITUTE(SUBSTITUTE(SUBSTITUTE(CONCATENATE(JOIN(""-"",CT31:DF31)),""--"",""-""),""--"",""-""),""--"",""-""),""--"",""-"")"),"1-2-b3-4-5-6-b7-8")</f>
        <v>1-2-b3-4-5-6-b7-8</v>
      </c>
      <c r="DU31" s="299" t="str">
        <f>IFERROR(__xludf.DUMMYFUNCTION("SUBSTITUTE(SUBSTITUTE(SUBSTITUTE(SUBSTITUTE(CONCATENATE(JOIN(""-"",DG31:DS31)),""--"",""-""),""--"",""-""),""--"",""-""),""--"",""-"")"),"S-R2-G2-M1-P-D2-N2-S")</f>
        <v>S-R2-G2-M1-P-D2-N2-S</v>
      </c>
      <c r="DV31" s="348" t="str">
        <f t="shared" si="43"/>
        <v>C-D-Eb-F-G-A-Bb-C</v>
      </c>
      <c r="DW31" s="301">
        <f t="shared" si="44"/>
        <v>7</v>
      </c>
      <c r="DX31" s="302" t="str">
        <f t="shared" si="45"/>
        <v>Sampurna</v>
      </c>
      <c r="DY31" s="301" t="str">
        <f t="shared" ref="DY31:DZ31" si="197">SUBSTITUTE(Y31,"-","")</f>
        <v>SRGM</v>
      </c>
      <c r="DZ31" s="301" t="str">
        <f t="shared" si="197"/>
        <v>PDNS</v>
      </c>
      <c r="EA31" s="302" t="str">
        <f t="shared" si="47"/>
        <v>Bilawal</v>
      </c>
      <c r="EB31" s="301" t="str">
        <f t="shared" si="48"/>
        <v>Hemi.</v>
      </c>
      <c r="EC31" s="364" t="str">
        <f t="shared" si="49"/>
        <v>-</v>
      </c>
      <c r="ED31" s="306" t="str">
        <f t="shared" si="50"/>
        <v>Kafi</v>
      </c>
      <c r="EE31" s="366" t="str">
        <f t="shared" si="51"/>
        <v>-</v>
      </c>
      <c r="EF31" s="308" t="str">
        <f t="shared" si="52"/>
        <v>-</v>
      </c>
      <c r="EG31" s="306" t="str">
        <f t="shared" si="53"/>
        <v>-</v>
      </c>
      <c r="EH31" s="306" t="str">
        <f t="shared" si="54"/>
        <v>-</v>
      </c>
      <c r="EI31" s="367" t="str">
        <f t="shared" si="55"/>
        <v>-</v>
      </c>
      <c r="EJ31" s="310" t="str">
        <f t="shared" si="56"/>
        <v>-</v>
      </c>
      <c r="EK31" s="310" t="str">
        <f t="shared" si="57"/>
        <v>-</v>
      </c>
      <c r="EL31" s="310" t="str">
        <f t="shared" si="58"/>
        <v>-</v>
      </c>
      <c r="EM31" s="310" t="str">
        <f t="shared" si="59"/>
        <v>-</v>
      </c>
      <c r="EN31" s="370" t="str">
        <f t="shared" si="60"/>
        <v>-</v>
      </c>
      <c r="EO31" s="306" t="str">
        <f t="shared" si="61"/>
        <v>-</v>
      </c>
      <c r="EP31" s="306" t="str">
        <f t="shared" si="62"/>
        <v>-</v>
      </c>
      <c r="EQ31" s="306" t="str">
        <f t="shared" si="63"/>
        <v>-</v>
      </c>
      <c r="ER31" s="306" t="str">
        <f t="shared" si="64"/>
        <v>-</v>
      </c>
      <c r="ES31" s="306" t="str">
        <f t="shared" si="65"/>
        <v>-</v>
      </c>
      <c r="ET31" s="367" t="str">
        <f t="shared" si="66"/>
        <v>-</v>
      </c>
      <c r="EU31" s="310" t="str">
        <f>IFERROR(__xludf.DUMMYFUNCTION("IF(REGEXMATCH(BH31,BD31),""✔"",""-"")"),"✔")</f>
        <v>✔</v>
      </c>
      <c r="EV31" s="310" t="str">
        <f t="shared" si="67"/>
        <v>-</v>
      </c>
      <c r="EW31" s="370" t="str">
        <f t="shared" si="68"/>
        <v>✔</v>
      </c>
      <c r="EX31" s="315" t="str">
        <f t="shared" si="69"/>
        <v>[UQ]</v>
      </c>
      <c r="EY31" s="317" t="str">
        <f t="shared" si="70"/>
        <v>S-R-g-m-P-D-n-S</v>
      </c>
      <c r="EZ31" s="318" t="str">
        <f>IFERROR(__xludf.DUMMYFUNCTION("CONCATENATE(JOIN("""",GE31:GQ31))"),"SRgmPDnS")</f>
        <v>SRgmPDnS</v>
      </c>
      <c r="FA31" s="318"/>
      <c r="FB31" s="318"/>
      <c r="FC31" s="321">
        <f t="shared" si="71"/>
        <v>1</v>
      </c>
      <c r="FD31" s="318" t="str">
        <f>IFERROR(__xludf.DUMMYFUNCTION("CONCATENATE(JOIN("""",HR31:ID31))"),"Dha, ")</f>
        <v>Dha, </v>
      </c>
      <c r="FE31" s="322">
        <f t="shared" si="72"/>
        <v>0</v>
      </c>
      <c r="FF31" s="324" t="str">
        <f>IFERROR(__xludf.DUMMYFUNCTION("CONCATENATE(JOIN("""",IR31:JD31))"),"")</f>
        <v/>
      </c>
      <c r="FG31" s="325" t="str">
        <f t="shared" si="73"/>
        <v>S-R2-G2-M1-P-D2-N2-S</v>
      </c>
      <c r="FH31" s="326" t="str">
        <f t="shared" si="74"/>
        <v>1-2-b3-4-5-6-b7-8</v>
      </c>
      <c r="FI31" s="326" t="str">
        <f t="shared" si="75"/>
        <v>0-2-3-5-7-9-10-0</v>
      </c>
      <c r="FJ31" s="318"/>
      <c r="FK31" s="328" t="str">
        <f>IFERROR(__xludf.DUMMYFUNCTION("SUBSTITUTE(SUBSTITUTE(SUBSTITUTE(SUBSTITUTE(CONCATENATE(JOIN("" "",FN31:FZ31)),""  "","" ""),""  "","" ""),""  "","" ""),""  "","" "")"),"o • o o • o • o • o o • o")</f>
        <v>o • o o • o • o • o o • o</v>
      </c>
      <c r="FL31" s="328" t="str">
        <f t="shared" si="76"/>
        <v>-</v>
      </c>
      <c r="FM31" s="329"/>
      <c r="FN31" s="331" t="str">
        <f t="shared" si="77"/>
        <v>o</v>
      </c>
      <c r="FO31" s="332" t="str">
        <f t="shared" si="78"/>
        <v>•</v>
      </c>
      <c r="FP31" s="332" t="str">
        <f t="shared" si="79"/>
        <v>o</v>
      </c>
      <c r="FQ31" s="332" t="str">
        <f t="shared" si="80"/>
        <v>o</v>
      </c>
      <c r="FR31" s="332" t="str">
        <f t="shared" si="81"/>
        <v>•</v>
      </c>
      <c r="FS31" s="332" t="str">
        <f t="shared" si="82"/>
        <v>o</v>
      </c>
      <c r="FT31" s="332" t="str">
        <f t="shared" si="83"/>
        <v>•</v>
      </c>
      <c r="FU31" s="332" t="str">
        <f t="shared" si="84"/>
        <v>o</v>
      </c>
      <c r="FV31" s="332" t="str">
        <f t="shared" si="85"/>
        <v>•</v>
      </c>
      <c r="FW31" s="332" t="str">
        <f t="shared" si="86"/>
        <v>o</v>
      </c>
      <c r="FX31" s="332" t="str">
        <f t="shared" si="87"/>
        <v>o</v>
      </c>
      <c r="FY31" s="332" t="str">
        <f t="shared" si="88"/>
        <v>•</v>
      </c>
      <c r="FZ31" s="338" t="str">
        <f t="shared" si="89"/>
        <v>o</v>
      </c>
      <c r="GA31" s="339" t="str">
        <f t="shared" si="90"/>
        <v>-</v>
      </c>
      <c r="GB31" s="339" t="str">
        <f t="shared" si="91"/>
        <v>Sa-Pa</v>
      </c>
      <c r="GC31" s="339" t="str">
        <f t="shared" si="92"/>
        <v>-</v>
      </c>
      <c r="GD31" s="340" t="str">
        <f t="shared" si="93"/>
        <v>-</v>
      </c>
      <c r="GE31" s="331" t="str">
        <f t="shared" si="94"/>
        <v>S</v>
      </c>
      <c r="GF31" s="332" t="str">
        <f t="shared" si="95"/>
        <v/>
      </c>
      <c r="GG31" s="332" t="str">
        <f t="shared" si="96"/>
        <v>R</v>
      </c>
      <c r="GH31" s="332" t="str">
        <f t="shared" si="97"/>
        <v>g</v>
      </c>
      <c r="GI31" s="332" t="str">
        <f t="shared" si="98"/>
        <v/>
      </c>
      <c r="GJ31" s="332" t="str">
        <f t="shared" si="99"/>
        <v>m</v>
      </c>
      <c r="GK31" s="332" t="str">
        <f t="shared" si="100"/>
        <v/>
      </c>
      <c r="GL31" s="332" t="str">
        <f t="shared" si="101"/>
        <v>P</v>
      </c>
      <c r="GM31" s="332" t="str">
        <f t="shared" si="102"/>
        <v/>
      </c>
      <c r="GN31" s="332" t="str">
        <f t="shared" si="103"/>
        <v>D</v>
      </c>
      <c r="GO31" s="332" t="str">
        <f t="shared" si="104"/>
        <v>n</v>
      </c>
      <c r="GP31" s="332" t="str">
        <f t="shared" si="105"/>
        <v/>
      </c>
      <c r="GQ31" s="343" t="str">
        <f t="shared" si="106"/>
        <v>S</v>
      </c>
      <c r="GR31" s="331" t="str">
        <f t="shared" si="107"/>
        <v>•</v>
      </c>
      <c r="GS31" s="332" t="str">
        <f t="shared" si="108"/>
        <v>o</v>
      </c>
      <c r="GT31" s="332" t="str">
        <f t="shared" si="109"/>
        <v>•</v>
      </c>
      <c r="GU31" s="332" t="str">
        <f t="shared" si="110"/>
        <v>•</v>
      </c>
      <c r="GV31" s="332" t="str">
        <f t="shared" si="111"/>
        <v>o</v>
      </c>
      <c r="GW31" s="332" t="str">
        <f t="shared" si="112"/>
        <v>•</v>
      </c>
      <c r="GX31" s="332" t="str">
        <f t="shared" si="113"/>
        <v>o</v>
      </c>
      <c r="GY31" s="332" t="str">
        <f t="shared" si="114"/>
        <v>•</v>
      </c>
      <c r="GZ31" s="332" t="str">
        <f t="shared" si="115"/>
        <v>o</v>
      </c>
      <c r="HA31" s="332" t="str">
        <f t="shared" si="116"/>
        <v>•</v>
      </c>
      <c r="HB31" s="332" t="str">
        <f t="shared" si="117"/>
        <v>•</v>
      </c>
      <c r="HC31" s="332" t="str">
        <f t="shared" si="118"/>
        <v>o</v>
      </c>
      <c r="HD31" s="338" t="str">
        <f t="shared" si="119"/>
        <v>•</v>
      </c>
      <c r="HE31" s="346" t="b">
        <f t="shared" si="120"/>
        <v>0</v>
      </c>
      <c r="HF31" s="347" t="b">
        <f t="shared" si="121"/>
        <v>0</v>
      </c>
      <c r="HG31" s="347" t="b">
        <f t="shared" si="122"/>
        <v>0</v>
      </c>
      <c r="HH31" s="347" t="b">
        <f t="shared" si="123"/>
        <v>0</v>
      </c>
      <c r="HI31" s="347" t="b">
        <f t="shared" si="124"/>
        <v>0</v>
      </c>
      <c r="HJ31" s="347" t="b">
        <f t="shared" si="125"/>
        <v>0</v>
      </c>
      <c r="HK31" s="347" t="b">
        <f t="shared" si="126"/>
        <v>0</v>
      </c>
      <c r="HL31" s="347" t="b">
        <f t="shared" si="127"/>
        <v>0</v>
      </c>
      <c r="HM31" s="347" t="b">
        <f t="shared" si="128"/>
        <v>0</v>
      </c>
      <c r="HN31" s="347" t="b">
        <f t="shared" si="129"/>
        <v>1</v>
      </c>
      <c r="HO31" s="347" t="b">
        <f t="shared" si="130"/>
        <v>0</v>
      </c>
      <c r="HP31" s="347" t="b">
        <f t="shared" si="131"/>
        <v>0</v>
      </c>
      <c r="HQ31" s="353" t="b">
        <f t="shared" si="132"/>
        <v>0</v>
      </c>
      <c r="HR31" s="354" t="str">
        <f t="shared" si="133"/>
        <v/>
      </c>
      <c r="HS31" s="355" t="str">
        <f t="shared" si="134"/>
        <v/>
      </c>
      <c r="HT31" s="355" t="str">
        <f t="shared" si="135"/>
        <v/>
      </c>
      <c r="HU31" s="355" t="str">
        <f t="shared" si="136"/>
        <v/>
      </c>
      <c r="HV31" s="355" t="str">
        <f t="shared" si="137"/>
        <v/>
      </c>
      <c r="HW31" s="355" t="str">
        <f t="shared" si="138"/>
        <v/>
      </c>
      <c r="HX31" s="355" t="str">
        <f t="shared" si="139"/>
        <v/>
      </c>
      <c r="HY31" s="355" t="str">
        <f t="shared" si="140"/>
        <v/>
      </c>
      <c r="HZ31" s="355" t="str">
        <f t="shared" si="141"/>
        <v/>
      </c>
      <c r="IA31" s="355" t="str">
        <f t="shared" si="142"/>
        <v>Dha, </v>
      </c>
      <c r="IB31" s="355" t="str">
        <f t="shared" si="143"/>
        <v/>
      </c>
      <c r="IC31" s="355" t="str">
        <f t="shared" si="144"/>
        <v/>
      </c>
      <c r="ID31" s="359" t="str">
        <f t="shared" si="145"/>
        <v/>
      </c>
      <c r="IE31" s="346" t="b">
        <f t="shared" si="146"/>
        <v>0</v>
      </c>
      <c r="IF31" s="347" t="b">
        <f t="shared" si="147"/>
        <v>0</v>
      </c>
      <c r="IG31" s="347" t="b">
        <f t="shared" si="148"/>
        <v>0</v>
      </c>
      <c r="IH31" s="347" t="b">
        <f t="shared" si="149"/>
        <v>0</v>
      </c>
      <c r="II31" s="347" t="b">
        <f t="shared" si="150"/>
        <v>0</v>
      </c>
      <c r="IJ31" s="347" t="b">
        <f t="shared" si="151"/>
        <v>0</v>
      </c>
      <c r="IK31" s="347" t="b">
        <f t="shared" si="152"/>
        <v>0</v>
      </c>
      <c r="IL31" s="347" t="b">
        <f t="shared" si="153"/>
        <v>0</v>
      </c>
      <c r="IM31" s="347" t="b">
        <f t="shared" si="154"/>
        <v>0</v>
      </c>
      <c r="IN31" s="347" t="b">
        <f t="shared" si="155"/>
        <v>0</v>
      </c>
      <c r="IO31" s="347" t="b">
        <f t="shared" si="156"/>
        <v>0</v>
      </c>
      <c r="IP31" s="347" t="b">
        <f t="shared" si="157"/>
        <v>0</v>
      </c>
      <c r="IQ31" s="365" t="b">
        <f t="shared" si="158"/>
        <v>0</v>
      </c>
      <c r="IR31" s="354" t="str">
        <f t="shared" si="159"/>
        <v/>
      </c>
      <c r="IS31" s="355" t="str">
        <f t="shared" si="160"/>
        <v/>
      </c>
      <c r="IT31" s="355" t="str">
        <f t="shared" si="161"/>
        <v/>
      </c>
      <c r="IU31" s="355" t="str">
        <f t="shared" si="162"/>
        <v/>
      </c>
      <c r="IV31" s="355" t="str">
        <f t="shared" si="163"/>
        <v/>
      </c>
      <c r="IW31" s="355" t="str">
        <f t="shared" si="164"/>
        <v/>
      </c>
      <c r="IX31" s="355" t="str">
        <f t="shared" si="165"/>
        <v/>
      </c>
      <c r="IY31" s="355" t="str">
        <f t="shared" si="166"/>
        <v/>
      </c>
      <c r="IZ31" s="355" t="str">
        <f t="shared" si="167"/>
        <v/>
      </c>
      <c r="JA31" s="355" t="str">
        <f t="shared" si="168"/>
        <v/>
      </c>
      <c r="JB31" s="355" t="str">
        <f t="shared" si="169"/>
        <v/>
      </c>
      <c r="JC31" s="355" t="str">
        <f t="shared" si="170"/>
        <v/>
      </c>
      <c r="JD31" s="359"/>
      <c r="JE31" s="321"/>
      <c r="JF31" s="368"/>
      <c r="JG31" s="369"/>
      <c r="JH31" s="369"/>
      <c r="JI31" s="369"/>
      <c r="JJ31" s="369"/>
      <c r="JK31" s="369"/>
      <c r="JL31" s="369"/>
      <c r="JM31" s="369"/>
      <c r="JN31" s="369"/>
      <c r="JO31" s="369"/>
      <c r="JP31" s="369"/>
    </row>
    <row r="32" ht="20.25" customHeight="1">
      <c r="A32" s="221" t="s">
        <v>523</v>
      </c>
      <c r="B32" s="222">
        <v>30.0</v>
      </c>
      <c r="C32" s="223" t="s">
        <v>524</v>
      </c>
      <c r="D32" s="224" t="s">
        <v>17</v>
      </c>
      <c r="E32" s="225" t="str">
        <f t="shared" si="5"/>
        <v>[UQ]</v>
      </c>
      <c r="F32" s="227">
        <f t="shared" si="6"/>
        <v>7</v>
      </c>
      <c r="G32" s="229">
        <f t="shared" si="7"/>
        <v>7</v>
      </c>
      <c r="H32" s="230">
        <f t="shared" si="8"/>
        <v>0</v>
      </c>
      <c r="I32" s="233" t="str">
        <f t="shared" si="9"/>
        <v>SrgmPDnS</v>
      </c>
      <c r="J32" s="234" t="str">
        <f>IFERROR(__xludf.DUMMYFUNCTION("IF(REGEXMATCH(I32, ""S""), ""S"","""")"),"S")</f>
        <v>S</v>
      </c>
      <c r="K32" s="236" t="str">
        <f>IFERROR(__xludf.DUMMYFUNCTION("IF(REGEXMATCH(I32, ""r""), ""r"","""")"),"r")</f>
        <v>r</v>
      </c>
      <c r="L32" s="237" t="str">
        <f>IFERROR(__xludf.DUMMYFUNCTION("IF(REGEXMATCH(I32, ""R""), ""R"","""")"),"")</f>
        <v/>
      </c>
      <c r="M32" s="237" t="str">
        <f>IFERROR(__xludf.DUMMYFUNCTION("IF(REGEXMATCH(I32, ""g""), ""g"","""")"),"g")</f>
        <v>g</v>
      </c>
      <c r="N32" s="236" t="str">
        <f>IFERROR(__xludf.DUMMYFUNCTION("IF(REGEXMATCH(I32, ""G""), ""G"","""")"),"")</f>
        <v/>
      </c>
      <c r="O32" s="236" t="str">
        <f>IFERROR(__xludf.DUMMYFUNCTION("IF(REGEXMATCH(I32, ""m""), ""m"","""")"),"m")</f>
        <v>m</v>
      </c>
      <c r="P32" s="237" t="str">
        <f>IFERROR(__xludf.DUMMYFUNCTION("IF(REGEXMATCH(I32, ""M""), ""M"","""")"),"")</f>
        <v/>
      </c>
      <c r="Q32" s="236" t="str">
        <f>IFERROR(__xludf.DUMMYFUNCTION("IF(REGEXMATCH(I32, ""P""), ""P"","""")"),"P")</f>
        <v>P</v>
      </c>
      <c r="R32" s="237" t="str">
        <f>IFERROR(__xludf.DUMMYFUNCTION("IF(REGEXMATCH(I32, ""d""), ""d"","""")"),"")</f>
        <v/>
      </c>
      <c r="S32" s="236" t="str">
        <f>IFERROR(__xludf.DUMMYFUNCTION("IF(REGEXMATCH(I32, ""D""), ""D"","""")"),"D")</f>
        <v>D</v>
      </c>
      <c r="T32" s="236" t="str">
        <f>IFERROR(__xludf.DUMMYFUNCTION("IF(REGEXMATCH(I32, ""n""), ""n"","""")"),"n")</f>
        <v>n</v>
      </c>
      <c r="U32" s="237" t="str">
        <f>IFERROR(__xludf.DUMMYFUNCTION("IF(REGEXMATCH(I32, ""N""), ""N"","""")"),"")</f>
        <v/>
      </c>
      <c r="V32" s="238" t="str">
        <f>IFERROR(__xludf.DUMMYFUNCTION("IF(REGEXMATCH(I32, ""S""), ""S"","""")"),"S")</f>
        <v>S</v>
      </c>
      <c r="W32" s="239" t="str">
        <f>IFERROR(__xludf.DUMMYFUNCTION("SUBSTITUTE(CONCATENATE(JOIN(""-"",J32:P32)),""-"","""")"),"Srgm")</f>
        <v>Srgm</v>
      </c>
      <c r="X32" s="229" t="str">
        <f>IFERROR(__xludf.DUMMYFUNCTION("SUBSTITUTE(CONCATENATE(JOIN(""-"",Q32:V32)),""-"","""")"),"PDnS")</f>
        <v>PDnS</v>
      </c>
      <c r="Y32" s="282" t="str">
        <f t="shared" si="10"/>
        <v>S-R-G-M</v>
      </c>
      <c r="Z32" s="282" t="str">
        <f t="shared" si="11"/>
        <v>P-D-N-S</v>
      </c>
      <c r="AA32" s="309" t="str">
        <f t="shared" si="12"/>
        <v>rgmDn</v>
      </c>
      <c r="AB32" s="244" t="str">
        <f>IFERROR(__xludf.DUMMYFUNCTION("IF(REGEXMATCH(I32, ""S""), ""0"","""")"),"0")</f>
        <v>0</v>
      </c>
      <c r="AC32" s="245" t="str">
        <f>IFERROR(__xludf.DUMMYFUNCTION("IF(REGEXMATCH(I32, ""r""), ""1"","""")"),"1")</f>
        <v>1</v>
      </c>
      <c r="AD32" s="246" t="str">
        <f>IFERROR(__xludf.DUMMYFUNCTION("IF(REGEXMATCH(I32, ""R""), ""2"","""")"),"")</f>
        <v/>
      </c>
      <c r="AE32" s="246" t="str">
        <f>IFERROR(__xludf.DUMMYFUNCTION("IF(REGEXMATCH(I32, ""g""), ""3"","""")"),"3")</f>
        <v>3</v>
      </c>
      <c r="AF32" s="245" t="str">
        <f>IFERROR(__xludf.DUMMYFUNCTION("IF(REGEXMATCH(I32, ""G""), ""4"","""")"),"")</f>
        <v/>
      </c>
      <c r="AG32" s="245" t="str">
        <f>IFERROR(__xludf.DUMMYFUNCTION("IF(REGEXMATCH(I32, ""m""), ""5"","""")"),"5")</f>
        <v>5</v>
      </c>
      <c r="AH32" s="246" t="str">
        <f>IFERROR(__xludf.DUMMYFUNCTION("IF(REGEXMATCH(I32, ""M""), ""6"","""")"),"")</f>
        <v/>
      </c>
      <c r="AI32" s="245" t="str">
        <f>IFERROR(__xludf.DUMMYFUNCTION("IF(REGEXMATCH(I32, ""P""), ""7"","""")"),"7")</f>
        <v>7</v>
      </c>
      <c r="AJ32" s="246" t="str">
        <f>IFERROR(__xludf.DUMMYFUNCTION("IF(REGEXMATCH(I32, ""d""), ""8"","""")"),"")</f>
        <v/>
      </c>
      <c r="AK32" s="245" t="str">
        <f>IFERROR(__xludf.DUMMYFUNCTION("IF(REGEXMATCH(I32, ""D""), ""9"","""")"),"9")</f>
        <v>9</v>
      </c>
      <c r="AL32" s="245" t="str">
        <f>IFERROR(__xludf.DUMMYFUNCTION("IF(REGEXMATCH(I32, ""n""), ""10"","""")"),"10")</f>
        <v>10</v>
      </c>
      <c r="AM32" s="246" t="str">
        <f>IFERROR(__xludf.DUMMYFUNCTION("IF(REGEXMATCH(I32, ""N""), ""11"","""")"),"")</f>
        <v/>
      </c>
      <c r="AN32" s="249" t="str">
        <f>IFERROR(__xludf.DUMMYFUNCTION("IF(REGEXMATCH(I32, ""S""), ""0"","""")"),"0")</f>
        <v>0</v>
      </c>
      <c r="AO32" s="250" t="str">
        <f>IFERROR(__xludf.DUMMYFUNCTION("SUBSTITUTE(SUBSTITUTE(SUBSTITUTE(SUBSTITUTE(CONCATENATE(JOIN(""-"",AB32:AN32)),""--"",""-""),""--"",""-""),""--"",""-""),""--"",""-"")"),"0-1-3-5-7-9-10-0")</f>
        <v>0-1-3-5-7-9-10-0</v>
      </c>
      <c r="AP32" s="251">
        <f t="shared" si="13"/>
        <v>0</v>
      </c>
      <c r="AQ32" s="234" t="str">
        <f t="shared" si="14"/>
        <v>|</v>
      </c>
      <c r="AR32" s="236" t="str">
        <f t="shared" si="15"/>
        <v>|</v>
      </c>
      <c r="AS32" s="237" t="str">
        <f t="shared" si="16"/>
        <v>-</v>
      </c>
      <c r="AT32" s="236" t="str">
        <f t="shared" si="17"/>
        <v>|</v>
      </c>
      <c r="AU32" s="237" t="str">
        <f t="shared" si="18"/>
        <v>-</v>
      </c>
      <c r="AV32" s="236" t="str">
        <f t="shared" si="19"/>
        <v>|</v>
      </c>
      <c r="AW32" s="237" t="str">
        <f t="shared" si="20"/>
        <v>-</v>
      </c>
      <c r="AX32" s="236" t="str">
        <f t="shared" si="21"/>
        <v>|</v>
      </c>
      <c r="AY32" s="237" t="str">
        <f t="shared" si="22"/>
        <v>-</v>
      </c>
      <c r="AZ32" s="236" t="str">
        <f t="shared" si="23"/>
        <v>|</v>
      </c>
      <c r="BA32" s="237" t="str">
        <f t="shared" si="24"/>
        <v>|</v>
      </c>
      <c r="BB32" s="236" t="str">
        <f t="shared" si="25"/>
        <v>-</v>
      </c>
      <c r="BC32" s="238" t="str">
        <f t="shared" si="26"/>
        <v>|</v>
      </c>
      <c r="BD32" s="250" t="str">
        <f>IFERROR(__xludf.DUMMYFUNCTION("SUBSTITUTE(SUBSTITUTE(CONCATENATE(JOIN("""",AQ32:BB32)),""|"",""x""),""-"",""o"")"),"xxoxoxoxoxxo")</f>
        <v>xxoxoxoxoxxo</v>
      </c>
      <c r="BE32" s="323" t="str">
        <f>IFERROR(__xludf.DUMMYFUNCTION("JOIN("""",BD32,BD32)"),"xxoxoxoxoxxoxxoxoxoxoxxo")</f>
        <v>xxoxoxoxoxxoxxoxoxoxoxxo</v>
      </c>
      <c r="BF32" s="256" t="str">
        <f>IFERROR(__xludf.DUMMYFUNCTION("JOIN("""",ArrayFormula(MID(BD32,LEN(BD32)-SEQUENCE(1,LEN(BD32))+1,1)))"),"oxxoxoxoxoxx")</f>
        <v>oxxoxoxoxoxx</v>
      </c>
      <c r="BG32" s="256" t="str">
        <f>IFERROR(__xludf.DUMMYFUNCTION("LEFT(CONCATENATE(""x"",JOIN("""",ArrayFormula(MID(BD32,LEN(BD32)-SEQUENCE(1,LEN(BD32))+1,1)))),12)"),"xoxxoxoxoxox")</f>
        <v>xoxxoxoxoxox</v>
      </c>
      <c r="BH32" s="327" t="str">
        <f>IFERROR(__xludf.DUMMYFUNCTION("JOIN("""",BF32,BF32)"),"oxxoxoxoxoxxoxxoxoxoxoxx")</f>
        <v>oxxoxoxoxoxxoxxoxoxoxoxx</v>
      </c>
      <c r="BI32" s="239" t="str">
        <f>IFERROR(__xludf.DUMMYFUNCTION("IF(REGEXMATCH(BH32,BD32),""✔"",""-"")"),"✔")</f>
        <v>✔</v>
      </c>
      <c r="BJ32" s="330" t="str">
        <f t="shared" si="27"/>
        <v>-</v>
      </c>
      <c r="BK32" s="260" t="str">
        <f t="shared" si="28"/>
        <v>-</v>
      </c>
      <c r="BL32" s="261" t="str">
        <f>IFERROR(__xludf.DUMMYFUNCTION("IF(BO32=0,""(n/a)"",IF(BP32=2,""(PAIR)"",IF(REGEXMATCH(BE32,""xoxoxxoxoxox""),""Bilawal"",IF(REGEXMATCH(BE32,""xoxoxooxoxoo""),""Bhupali"",IF(REGEXMATCH(BE32,""xoxoxxoxxoxo""),""Charukeshi"",IF(REGEXMATCH(BE32,""xoxoooxxoxxo""),""Kameshwari"",IF(REGEXMATC"&amp;"H(BE32,""xoxoxooxoxox""),""Shankara"",IF(REGEXMATCH(BE32,""xxooxoxxxoox""),""Basant"",IF(REGEXMATCH(BE32,""xoxoxxxxoxox""),""Bihag"",IF(REGEXMATCH(BE32,""xoxxxxoxoxxx""),""Pilu"",IF(REGEXMATCH(BE32,""xoxxoxoxxoox""),""Kirwani"",IF(REGEXMATCH(BE32,""xoxxox"&amp;"oxoxxx""),""Mk.Malhar"",IF(REGEXMATCH(BE32,""xxooxxoxxoox""),""Bhairav"",IF(REGEXMATCH(BE32,""xxoxooxxxoox""),""Todi"",IF(REGEXMATCH(BE32,""xxooxoxooxox""),""Marwa"",IF(REGEXMATCH(BE32,""xxoooxoxxooo""),""Gunkali"",IF(REGEXMATCH(BE32,""xoxoxxoxxoox""),""N"&amp;"at Bhairav"",IF(REGEXMATCH(BE32,""xoxxoooxoxoo""),""Shivranjani"",IF(REGEXMATCH(BE32,""xooxxxoxooxo""),""Jog"",IF(REGEXMATCH(BE32,""xxooxoxoxoox""),""Hemshri"",IF(REGEXMATCH(BE32,""xoooxooxoxxo""),""Kalavati"",IF(REGEXMATCH(BE32,""xxoxoxxoxoox""),""Kedar"&amp;""",IF(REGEXMATCH(BE32,""xoxxxxoxooxx""),""Gara"",IF(REGEXMATCH(BE32,""xooxoxooxoox""),""Chandrakauns"",IF(REGEXMATCH(BE32,""xoxxxxoxxxox""),""Mand"",IF(REGEXMATCH(BE32,""xoxxxxoxoxox""),""Hanskinkini"",IF(REGEXMATCH(BE32,""xxooxxoxooxo""),""Lilavati"",IF("&amp;"REGEXMATCH(BE32,""xooxoxoooxox""),""Rajeshwari"",IF(REGEXMATCH(BE32,""xoooxxoxoxxx""),""Khokar"",IF(REGEXMATCH(BE32,""xxooxoxxxxox""),""Maligoura"",""-""))))))))))))))))))))))))))))))"),"Charukeshi")</f>
        <v>Charukeshi</v>
      </c>
      <c r="BM32" s="239">
        <f t="shared" si="29"/>
        <v>6</v>
      </c>
      <c r="BN32" s="239">
        <f>IFERROR(__xludf.DUMMYFUNCTION("COUNTUNIQUE(BR32:CB32)-1"),6.0)</f>
        <v>6</v>
      </c>
      <c r="BO32" s="239">
        <f>IFERROR(__xludf.DUMMYFUNCTION("COUNTUNIQUE(FILTER(BE:BE,REGEXMATCH(BE:BE,BD32)))-1"),3.0)</f>
        <v>3</v>
      </c>
      <c r="BP32" s="239">
        <f>IFERROR(__xludf.DUMMYFUNCTION("COUNTA(FILTER(BE:BE,REGEXMATCH(BE:BE,BD32)))"),4.0)</f>
        <v>4</v>
      </c>
      <c r="BQ32" s="341">
        <f>IFERROR(__xludf.DUMMYFUNCTION("COUNTA(FILTER(BE:BE,REGEXMATCH(BE:BE,BD32)))-AP32"),4.0)</f>
        <v>4</v>
      </c>
      <c r="BR32" s="269" t="str">
        <f t="shared" si="30"/>
        <v>xoxoxoxoxxo</v>
      </c>
      <c r="BS32" s="269" t="str">
        <f t="shared" si="31"/>
        <v>-</v>
      </c>
      <c r="BT32" s="271" t="str">
        <f t="shared" si="32"/>
        <v>xoxoxoxxoxx</v>
      </c>
      <c r="BU32" s="269" t="str">
        <f t="shared" si="33"/>
        <v>-</v>
      </c>
      <c r="BV32" s="271" t="str">
        <f t="shared" si="34"/>
        <v>xoxoxxoxxox</v>
      </c>
      <c r="BW32" s="271" t="str">
        <f t="shared" si="35"/>
        <v>-</v>
      </c>
      <c r="BX32" s="271" t="str">
        <f t="shared" si="36"/>
        <v>xoxxoxxoxox</v>
      </c>
      <c r="BY32" s="271" t="str">
        <f t="shared" si="37"/>
        <v>-</v>
      </c>
      <c r="BZ32" s="271" t="str">
        <f t="shared" si="38"/>
        <v>xxoxxoxoxox</v>
      </c>
      <c r="CA32" s="271" t="str">
        <f t="shared" si="39"/>
        <v>xoxxoxoxoxo</v>
      </c>
      <c r="CB32" s="274" t="str">
        <f t="shared" si="40"/>
        <v>-</v>
      </c>
      <c r="CC32" s="276" t="str">
        <f>IFERROR(__xludf.DUMMYFUNCTION("IF(BD32=""oooooooooooo"",""-"",IF(REGEXMATCH(BE32,""xx""), ""Hemi."", ""Anhemi.""))"),"Hemi.")</f>
        <v>Hemi.</v>
      </c>
      <c r="CD32" s="282" t="str">
        <f>IFERROR(__xludf.DUMMYFUNCTION("IF(BD32=""oooooooooooo"",""-"",IF(REGEXMATCH(BE32,""xxx""), ""Cohem."", ""-""))"),"-")</f>
        <v>-</v>
      </c>
      <c r="CE32" s="282" t="str">
        <f>IFERROR(__xludf.DUMMYFUNCTION("IF(BD32=""oooooooooooo"",""-"",IF(REGEXMATCH(BE32,""xxxx""), ""Co-Co."", ""-""))"),"-")</f>
        <v>-</v>
      </c>
      <c r="CF32" s="342" t="str">
        <f>IFERROR(__xludf.DUMMYFUNCTION("IF(BD32=""oooooooooooo"",""-"",IF(REGEXMATCH(BE32,""xxxxx""), ""CCC."", ""-""))"),"-")</f>
        <v>-</v>
      </c>
      <c r="CG32" s="344" t="str">
        <f t="shared" si="41"/>
        <v>-</v>
      </c>
      <c r="CH32" s="282" t="str">
        <f>IFERROR(__xludf.DUMMYFUNCTION("IF(REGEXMATCH(JOIN(""-"",CJ32:CS32),""TRUE""),""✔"",""-"")"),"-")</f>
        <v>-</v>
      </c>
      <c r="CI32" s="225">
        <f t="shared" si="42"/>
        <v>0</v>
      </c>
      <c r="CJ32" s="376" t="b">
        <f>IFERROR(__xludf.DUMMYFUNCTION("arrayformula(sum(--REGEXMATCH(""SRGMPDNS"",split(REGEXREPLACE(I32,""(.)"",""$1~""),""~""))))=len(I32)
"),FALSE)</f>
        <v>0</v>
      </c>
      <c r="CK32" s="290" t="b">
        <f>IFERROR(__xludf.DUMMYFUNCTION("arrayformula(sum(--REGEXMATCH(""SRGmPDNS"",split(REGEXREPLACE(I32,""(.)"",""$1~""),""~""))))=len(I32)"),FALSE)</f>
        <v>0</v>
      </c>
      <c r="CL32" s="290" t="b">
        <f>IFERROR(__xludf.DUMMYFUNCTION("arrayformula(sum(--REGEXMATCH(""SRGmPDnS"",split(REGEXREPLACE(I32,""(.)"",""$1~""),""~""))))=len(I32)"),FALSE)</f>
        <v>0</v>
      </c>
      <c r="CM32" s="290" t="b">
        <f>IFERROR(__xludf.DUMMYFUNCTION("arrayformula(sum(--REGEXMATCH(""SRgmPDnS"",split(REGEXREPLACE(I32,""(.)"",""$1~""),""~""))))=len(I32)"),FALSE)</f>
        <v>0</v>
      </c>
      <c r="CN32" s="290" t="b">
        <f>IFERROR(__xludf.DUMMYFUNCTION("arrayformula(sum(--REGEXMATCH(""SRgmPdnS"",split(REGEXREPLACE(I32,""(.)"",""$1~""),""~""))))=len(I32)"),FALSE)</f>
        <v>0</v>
      </c>
      <c r="CO32" s="290" t="b">
        <f>IFERROR(__xludf.DUMMYFUNCTION("arrayformula(sum(--REGEXMATCH(""SrgmPdnS"",split(REGEXREPLACE(I32,""(.)"",""$1~""),""~""))))=len(I32)"),FALSE)</f>
        <v>0</v>
      </c>
      <c r="CP32" s="290" t="b">
        <f>IFERROR(__xludf.DUMMYFUNCTION("arrayformula(sum(--REGEXMATCH(""SrGmPdNS"",split(REGEXREPLACE(I32,""(.)"",""$1~""),""~""))))=len(I32)"),FALSE)</f>
        <v>0</v>
      </c>
      <c r="CQ32" s="290" t="b">
        <f>IFERROR(__xludf.DUMMYFUNCTION("arrayformula(sum(--REGEXMATCH(""SrGMPDNS"",split(REGEXREPLACE(I32,""(.)"",""$1~""),""~""))))=len(I32)"),FALSE)</f>
        <v>0</v>
      </c>
      <c r="CR32" s="290" t="b">
        <f>IFERROR(__xludf.DUMMYFUNCTION("arrayformula(sum(--REGEXMATCH(""SrGMPdNS"",split(REGEXREPLACE(I32,""(.)"",""$1~""),""~""))))=len(I32)"),FALSE)</f>
        <v>0</v>
      </c>
      <c r="CS32" s="293" t="b">
        <f>IFERROR(__xludf.DUMMYFUNCTION("arrayformula(sum(--REGEXMATCH(""SrgMPdNS"",split(REGEXREPLACE(I32,""(.)"",""$1~""),""~""))))=len(I32)"),FALSE)</f>
        <v>0</v>
      </c>
      <c r="CT32" s="244" t="str">
        <f>IFERROR(__xludf.DUMMYFUNCTION("IF(REGEXMATCH(I32, ""S""), ""1"","""")"),"1")</f>
        <v>1</v>
      </c>
      <c r="CU32" s="245" t="str">
        <f>IFERROR(__xludf.DUMMYFUNCTION("IF(REGEXMATCH(I32, ""r""), ""b2"","""")"),"b2")</f>
        <v>b2</v>
      </c>
      <c r="CV32" s="246" t="str">
        <f>IFERROR(__xludf.DUMMYFUNCTION("IF(REGEXMATCH(I32, ""R""), ""2"","""")"),"")</f>
        <v/>
      </c>
      <c r="CW32" s="246" t="str">
        <f>IFERROR(__xludf.DUMMYFUNCTION("IF(REGEXMATCH(I32, ""g""), ""b3"","""")"),"b3")</f>
        <v>b3</v>
      </c>
      <c r="CX32" s="245" t="str">
        <f>IFERROR(__xludf.DUMMYFUNCTION("IF(REGEXMATCH(I32, ""G""), ""3"","""")"),"")</f>
        <v/>
      </c>
      <c r="CY32" s="245" t="str">
        <f>IFERROR(__xludf.DUMMYFUNCTION("IF(REGEXMATCH(I32, ""m""), ""4"","""")"),"4")</f>
        <v>4</v>
      </c>
      <c r="CZ32" s="246" t="str">
        <f>IFERROR(__xludf.DUMMYFUNCTION("IF(REGEXMATCH(I32, ""M""), ""#4"","""")"),"")</f>
        <v/>
      </c>
      <c r="DA32" s="245" t="str">
        <f>IFERROR(__xludf.DUMMYFUNCTION("IF(REGEXMATCH(I32, ""P""), ""5"","""")"),"5")</f>
        <v>5</v>
      </c>
      <c r="DB32" s="246" t="str">
        <f>IFERROR(__xludf.DUMMYFUNCTION("IF(REGEXMATCH(I32, ""d""), ""b6"","""")"),"")</f>
        <v/>
      </c>
      <c r="DC32" s="245" t="str">
        <f>IFERROR(__xludf.DUMMYFUNCTION("IF(REGEXMATCH(I32, ""D""), ""6"","""")"),"6")</f>
        <v>6</v>
      </c>
      <c r="DD32" s="245" t="str">
        <f>IFERROR(__xludf.DUMMYFUNCTION("IF(REGEXMATCH(I32, ""n""), ""b7"","""")"),"b7")</f>
        <v>b7</v>
      </c>
      <c r="DE32" s="246" t="str">
        <f>IFERROR(__xludf.DUMMYFUNCTION("IF(REGEXMATCH(I32, ""N""), ""7"","""")"),"")</f>
        <v/>
      </c>
      <c r="DF32" s="249" t="str">
        <f>IFERROR(__xludf.DUMMYFUNCTION("IF(REGEXMATCH(I32, ""S""), ""8"","""")"),"8")</f>
        <v>8</v>
      </c>
      <c r="DG32" s="244" t="str">
        <f>IFERROR(__xludf.DUMMYFUNCTION("IF(REGEXMATCH(I32, ""S""), ""S"","""")"),"S")</f>
        <v>S</v>
      </c>
      <c r="DH32" s="294" t="str">
        <f>IFERROR(__xludf.DUMMYFUNCTION("IF(REGEXMATCH(I32, ""r""), ""R1"","""")"),"R1")</f>
        <v>R1</v>
      </c>
      <c r="DI32" s="295" t="str">
        <f>IFERROR(__xludf.DUMMYFUNCTION("IF(REGEXMATCH(I32, ""R""), ""R2"","""")"),"")</f>
        <v/>
      </c>
      <c r="DJ32" s="295" t="str">
        <f>IFERROR(__xludf.DUMMYFUNCTION("IF(REGEXMATCH(I32, ""g""), ""G2"","""")"),"G2")</f>
        <v>G2</v>
      </c>
      <c r="DK32" s="294" t="str">
        <f>IFERROR(__xludf.DUMMYFUNCTION("IF(REGEXMATCH(I32, ""G""), ""G3"","""")"),"")</f>
        <v/>
      </c>
      <c r="DL32" s="294" t="str">
        <f>IFERROR(__xludf.DUMMYFUNCTION("IF(REGEXMATCH(I32, ""m""), ""M1"","""")"),"M1")</f>
        <v>M1</v>
      </c>
      <c r="DM32" s="295" t="str">
        <f>IFERROR(__xludf.DUMMYFUNCTION("IF(REGEXMATCH(I32, ""M""), ""M2"","""")"),"")</f>
        <v/>
      </c>
      <c r="DN32" s="294" t="str">
        <f>IFERROR(__xludf.DUMMYFUNCTION("IF(REGEXMATCH(I32, ""P""), ""P"","""")"),"P")</f>
        <v>P</v>
      </c>
      <c r="DO32" s="295" t="str">
        <f>IFERROR(__xludf.DUMMYFUNCTION("IF(REGEXMATCH(I32, ""d""), ""D1"","""")"),"")</f>
        <v/>
      </c>
      <c r="DP32" s="294" t="str">
        <f>IFERROR(__xludf.DUMMYFUNCTION("IF(REGEXMATCH(I32, ""D""), ""D2"","""")"),"D2")</f>
        <v>D2</v>
      </c>
      <c r="DQ32" s="294" t="str">
        <f>IFERROR(__xludf.DUMMYFUNCTION("IF(REGEXMATCH(I32, ""n""), ""N2"","""")"),"N2")</f>
        <v>N2</v>
      </c>
      <c r="DR32" s="295" t="str">
        <f>IFERROR(__xludf.DUMMYFUNCTION("IF(REGEXMATCH(I32, ""N""), ""N3"","""")"),"")</f>
        <v/>
      </c>
      <c r="DS32" s="249" t="str">
        <f>IFERROR(__xludf.DUMMYFUNCTION("IF(REGEXMATCH(I32, ""S""), ""S"","""")"),"S")</f>
        <v>S</v>
      </c>
      <c r="DT32" s="299" t="str">
        <f>IFERROR(__xludf.DUMMYFUNCTION("SUBSTITUTE(SUBSTITUTE(SUBSTITUTE(SUBSTITUTE(CONCATENATE(JOIN(""-"",CT32:DF32)),""--"",""-""),""--"",""-""),""--"",""-""),""--"",""-"")"),"1-b2-b3-4-5-6-b7-8")</f>
        <v>1-b2-b3-4-5-6-b7-8</v>
      </c>
      <c r="DU32" s="299" t="str">
        <f>IFERROR(__xludf.DUMMYFUNCTION("SUBSTITUTE(SUBSTITUTE(SUBSTITUTE(SUBSTITUTE(CONCATENATE(JOIN(""-"",DG32:DS32)),""--"",""-""),""--"",""-""),""--"",""-""),""--"",""-"")"),"S-R1-G2-M1-P-D2-N2-S")</f>
        <v>S-R1-G2-M1-P-D2-N2-S</v>
      </c>
      <c r="DV32" s="348" t="str">
        <f t="shared" si="43"/>
        <v>C-Db-Eb-F-G-A-Bb-C</v>
      </c>
      <c r="DW32" s="301">
        <f t="shared" si="44"/>
        <v>7</v>
      </c>
      <c r="DX32" s="302" t="str">
        <f t="shared" si="45"/>
        <v>Sampurna</v>
      </c>
      <c r="DY32" s="301" t="str">
        <f t="shared" ref="DY32:DZ32" si="198">SUBSTITUTE(Y32,"-","")</f>
        <v>SRGM</v>
      </c>
      <c r="DZ32" s="301" t="str">
        <f t="shared" si="198"/>
        <v>PDNS</v>
      </c>
      <c r="EA32" s="302" t="str">
        <f t="shared" si="47"/>
        <v>Charukeshi</v>
      </c>
      <c r="EB32" s="301" t="str">
        <f t="shared" si="48"/>
        <v>Hemi.</v>
      </c>
      <c r="EC32" s="364" t="str">
        <f t="shared" si="49"/>
        <v>-</v>
      </c>
      <c r="ED32" s="306" t="str">
        <f t="shared" si="50"/>
        <v>-</v>
      </c>
      <c r="EE32" s="366" t="str">
        <f t="shared" si="51"/>
        <v>-</v>
      </c>
      <c r="EF32" s="308" t="str">
        <f t="shared" si="52"/>
        <v>✔</v>
      </c>
      <c r="EG32" s="306" t="str">
        <f t="shared" si="53"/>
        <v>-</v>
      </c>
      <c r="EH32" s="306" t="str">
        <f t="shared" si="54"/>
        <v>-</v>
      </c>
      <c r="EI32" s="367" t="str">
        <f t="shared" si="55"/>
        <v>-</v>
      </c>
      <c r="EJ32" s="310" t="str">
        <f t="shared" si="56"/>
        <v>-</v>
      </c>
      <c r="EK32" s="310" t="str">
        <f t="shared" si="57"/>
        <v>-</v>
      </c>
      <c r="EL32" s="310" t="str">
        <f t="shared" si="58"/>
        <v>-</v>
      </c>
      <c r="EM32" s="310" t="str">
        <f t="shared" si="59"/>
        <v>-</v>
      </c>
      <c r="EN32" s="370" t="str">
        <f t="shared" si="60"/>
        <v>-</v>
      </c>
      <c r="EO32" s="306" t="str">
        <f t="shared" si="61"/>
        <v>-</v>
      </c>
      <c r="EP32" s="306" t="str">
        <f t="shared" si="62"/>
        <v>-</v>
      </c>
      <c r="EQ32" s="306" t="str">
        <f t="shared" si="63"/>
        <v>-</v>
      </c>
      <c r="ER32" s="306" t="str">
        <f t="shared" si="64"/>
        <v>-</v>
      </c>
      <c r="ES32" s="306" t="str">
        <f t="shared" si="65"/>
        <v>-</v>
      </c>
      <c r="ET32" s="367" t="str">
        <f t="shared" si="66"/>
        <v>-</v>
      </c>
      <c r="EU32" s="310" t="str">
        <f>IFERROR(__xludf.DUMMYFUNCTION("IF(REGEXMATCH(BH32,BD32),""✔"",""-"")"),"✔")</f>
        <v>✔</v>
      </c>
      <c r="EV32" s="310" t="str">
        <f t="shared" si="67"/>
        <v>-</v>
      </c>
      <c r="EW32" s="370" t="str">
        <f t="shared" si="68"/>
        <v>-</v>
      </c>
      <c r="EX32" s="315" t="str">
        <f t="shared" si="69"/>
        <v>[UQ]</v>
      </c>
      <c r="EY32" s="317" t="str">
        <f t="shared" si="70"/>
        <v>S-r-g-m-P-D-n-S</v>
      </c>
      <c r="EZ32" s="318" t="str">
        <f>IFERROR(__xludf.DUMMYFUNCTION("CONCATENATE(JOIN("""",GE32:GQ32))"),"SRgmPDNS")</f>
        <v>SRgmPDNS</v>
      </c>
      <c r="FA32" s="318"/>
      <c r="FB32" s="318"/>
      <c r="FC32" s="321">
        <f t="shared" si="71"/>
        <v>3</v>
      </c>
      <c r="FD32" s="318" t="str">
        <f>IFERROR(__xludf.DUMMYFUNCTION("CONCATENATE(JOIN("""",HR32:ID32))"),"re, Pa, Dha, ")</f>
        <v>re, Pa, Dha, </v>
      </c>
      <c r="FE32" s="322">
        <f t="shared" si="72"/>
        <v>2</v>
      </c>
      <c r="FF32" s="324" t="str">
        <f>IFERROR(__xludf.DUMMYFUNCTION("CONCATENATE(JOIN("""",IR32:JD32))"),"re, Dha, ")</f>
        <v>re, Dha, </v>
      </c>
      <c r="FG32" s="325" t="str">
        <f t="shared" si="73"/>
        <v>S-R1-G2-M1-P-D2-N2-S</v>
      </c>
      <c r="FH32" s="326" t="str">
        <f t="shared" si="74"/>
        <v>1-b2-b3-4-5-6-b7-8</v>
      </c>
      <c r="FI32" s="326" t="str">
        <f t="shared" si="75"/>
        <v>0-1-3-5-7-9-10-0</v>
      </c>
      <c r="FJ32" s="318"/>
      <c r="FK32" s="328" t="str">
        <f>IFERROR(__xludf.DUMMYFUNCTION("SUBSTITUTE(SUBSTITUTE(SUBSTITUTE(SUBSTITUTE(CONCATENATE(JOIN("" "",FN32:FZ32)),""  "","" ""),""  "","" ""),""  "","" ""),""  "","" "")"),"o o • o • o • o • o o • o")</f>
        <v>o o • o • o • o • o o • o</v>
      </c>
      <c r="FL32" s="328" t="str">
        <f t="shared" si="76"/>
        <v>-</v>
      </c>
      <c r="FM32" s="329"/>
      <c r="FN32" s="331" t="str">
        <f t="shared" si="77"/>
        <v>o</v>
      </c>
      <c r="FO32" s="332" t="str">
        <f t="shared" si="78"/>
        <v>o</v>
      </c>
      <c r="FP32" s="332" t="str">
        <f t="shared" si="79"/>
        <v>•</v>
      </c>
      <c r="FQ32" s="332" t="str">
        <f t="shared" si="80"/>
        <v>o</v>
      </c>
      <c r="FR32" s="332" t="str">
        <f t="shared" si="81"/>
        <v>•</v>
      </c>
      <c r="FS32" s="332" t="str">
        <f t="shared" si="82"/>
        <v>o</v>
      </c>
      <c r="FT32" s="332" t="str">
        <f t="shared" si="83"/>
        <v>•</v>
      </c>
      <c r="FU32" s="332" t="str">
        <f t="shared" si="84"/>
        <v>o</v>
      </c>
      <c r="FV32" s="332" t="str">
        <f t="shared" si="85"/>
        <v>•</v>
      </c>
      <c r="FW32" s="332" t="str">
        <f t="shared" si="86"/>
        <v>o</v>
      </c>
      <c r="FX32" s="332" t="str">
        <f t="shared" si="87"/>
        <v>o</v>
      </c>
      <c r="FY32" s="332" t="str">
        <f t="shared" si="88"/>
        <v>•</v>
      </c>
      <c r="FZ32" s="338" t="str">
        <f t="shared" si="89"/>
        <v>o</v>
      </c>
      <c r="GA32" s="339" t="str">
        <f t="shared" si="90"/>
        <v>-</v>
      </c>
      <c r="GB32" s="339" t="str">
        <f t="shared" si="91"/>
        <v>Sa-Pa</v>
      </c>
      <c r="GC32" s="339" t="str">
        <f t="shared" si="92"/>
        <v>-</v>
      </c>
      <c r="GD32" s="340" t="str">
        <f t="shared" si="93"/>
        <v>-</v>
      </c>
      <c r="GE32" s="331" t="str">
        <f t="shared" si="94"/>
        <v>S</v>
      </c>
      <c r="GF32" s="332" t="str">
        <f t="shared" si="95"/>
        <v/>
      </c>
      <c r="GG32" s="332" t="str">
        <f t="shared" si="96"/>
        <v>R</v>
      </c>
      <c r="GH32" s="332" t="str">
        <f t="shared" si="97"/>
        <v>g</v>
      </c>
      <c r="GI32" s="332" t="str">
        <f t="shared" si="98"/>
        <v/>
      </c>
      <c r="GJ32" s="332" t="str">
        <f t="shared" si="99"/>
        <v>m</v>
      </c>
      <c r="GK32" s="332" t="str">
        <f t="shared" si="100"/>
        <v/>
      </c>
      <c r="GL32" s="332" t="str">
        <f t="shared" si="101"/>
        <v>P</v>
      </c>
      <c r="GM32" s="332" t="str">
        <f t="shared" si="102"/>
        <v/>
      </c>
      <c r="GN32" s="332" t="str">
        <f t="shared" si="103"/>
        <v>D</v>
      </c>
      <c r="GO32" s="332" t="str">
        <f t="shared" si="104"/>
        <v/>
      </c>
      <c r="GP32" s="332" t="str">
        <f t="shared" si="105"/>
        <v>N</v>
      </c>
      <c r="GQ32" s="343" t="str">
        <f t="shared" si="106"/>
        <v>S</v>
      </c>
      <c r="GR32" s="331" t="str">
        <f t="shared" si="107"/>
        <v>•</v>
      </c>
      <c r="GS32" s="332" t="str">
        <f t="shared" si="108"/>
        <v>•</v>
      </c>
      <c r="GT32" s="332" t="str">
        <f t="shared" si="109"/>
        <v>o</v>
      </c>
      <c r="GU32" s="332" t="str">
        <f t="shared" si="110"/>
        <v>•</v>
      </c>
      <c r="GV32" s="332" t="str">
        <f t="shared" si="111"/>
        <v>o</v>
      </c>
      <c r="GW32" s="332" t="str">
        <f t="shared" si="112"/>
        <v>•</v>
      </c>
      <c r="GX32" s="332" t="str">
        <f t="shared" si="113"/>
        <v>o</v>
      </c>
      <c r="GY32" s="332" t="str">
        <f t="shared" si="114"/>
        <v>•</v>
      </c>
      <c r="GZ32" s="332" t="str">
        <f t="shared" si="115"/>
        <v>o</v>
      </c>
      <c r="HA32" s="332" t="str">
        <f t="shared" si="116"/>
        <v>•</v>
      </c>
      <c r="HB32" s="332" t="str">
        <f t="shared" si="117"/>
        <v>•</v>
      </c>
      <c r="HC32" s="332" t="str">
        <f t="shared" si="118"/>
        <v>o</v>
      </c>
      <c r="HD32" s="338" t="str">
        <f t="shared" si="119"/>
        <v>•</v>
      </c>
      <c r="HE32" s="346" t="b">
        <f t="shared" si="120"/>
        <v>0</v>
      </c>
      <c r="HF32" s="347" t="b">
        <f t="shared" si="121"/>
        <v>1</v>
      </c>
      <c r="HG32" s="347" t="b">
        <f t="shared" si="122"/>
        <v>0</v>
      </c>
      <c r="HH32" s="347" t="b">
        <f t="shared" si="123"/>
        <v>0</v>
      </c>
      <c r="HI32" s="347" t="b">
        <f t="shared" si="124"/>
        <v>0</v>
      </c>
      <c r="HJ32" s="347" t="b">
        <f t="shared" si="125"/>
        <v>0</v>
      </c>
      <c r="HK32" s="347" t="b">
        <f t="shared" si="126"/>
        <v>0</v>
      </c>
      <c r="HL32" s="347" t="b">
        <f t="shared" si="127"/>
        <v>1</v>
      </c>
      <c r="HM32" s="347" t="b">
        <f t="shared" si="128"/>
        <v>0</v>
      </c>
      <c r="HN32" s="347" t="b">
        <f t="shared" si="129"/>
        <v>1</v>
      </c>
      <c r="HO32" s="347" t="b">
        <f t="shared" si="130"/>
        <v>0</v>
      </c>
      <c r="HP32" s="347" t="b">
        <f t="shared" si="131"/>
        <v>0</v>
      </c>
      <c r="HQ32" s="353" t="b">
        <f t="shared" si="132"/>
        <v>0</v>
      </c>
      <c r="HR32" s="354" t="str">
        <f t="shared" si="133"/>
        <v/>
      </c>
      <c r="HS32" s="355" t="str">
        <f t="shared" si="134"/>
        <v>re, </v>
      </c>
      <c r="HT32" s="355" t="str">
        <f t="shared" si="135"/>
        <v/>
      </c>
      <c r="HU32" s="355" t="str">
        <f t="shared" si="136"/>
        <v/>
      </c>
      <c r="HV32" s="355" t="str">
        <f t="shared" si="137"/>
        <v/>
      </c>
      <c r="HW32" s="355" t="str">
        <f t="shared" si="138"/>
        <v/>
      </c>
      <c r="HX32" s="355" t="str">
        <f t="shared" si="139"/>
        <v/>
      </c>
      <c r="HY32" s="355" t="str">
        <f t="shared" si="140"/>
        <v>Pa, </v>
      </c>
      <c r="HZ32" s="355" t="str">
        <f t="shared" si="141"/>
        <v/>
      </c>
      <c r="IA32" s="355" t="str">
        <f t="shared" si="142"/>
        <v>Dha, </v>
      </c>
      <c r="IB32" s="355" t="str">
        <f t="shared" si="143"/>
        <v/>
      </c>
      <c r="IC32" s="355" t="str">
        <f t="shared" si="144"/>
        <v/>
      </c>
      <c r="ID32" s="359" t="str">
        <f t="shared" si="145"/>
        <v/>
      </c>
      <c r="IE32" s="346" t="b">
        <f t="shared" si="146"/>
        <v>0</v>
      </c>
      <c r="IF32" s="347" t="b">
        <f t="shared" si="147"/>
        <v>1</v>
      </c>
      <c r="IG32" s="347" t="b">
        <f t="shared" si="148"/>
        <v>0</v>
      </c>
      <c r="IH32" s="347" t="b">
        <f t="shared" si="149"/>
        <v>0</v>
      </c>
      <c r="II32" s="347" t="b">
        <f t="shared" si="150"/>
        <v>0</v>
      </c>
      <c r="IJ32" s="347" t="b">
        <f t="shared" si="151"/>
        <v>0</v>
      </c>
      <c r="IK32" s="347" t="b">
        <f t="shared" si="152"/>
        <v>0</v>
      </c>
      <c r="IL32" s="347" t="b">
        <f t="shared" si="153"/>
        <v>0</v>
      </c>
      <c r="IM32" s="347" t="b">
        <f t="shared" si="154"/>
        <v>0</v>
      </c>
      <c r="IN32" s="347" t="b">
        <f t="shared" si="155"/>
        <v>1</v>
      </c>
      <c r="IO32" s="347" t="b">
        <f t="shared" si="156"/>
        <v>0</v>
      </c>
      <c r="IP32" s="347" t="b">
        <f t="shared" si="157"/>
        <v>0</v>
      </c>
      <c r="IQ32" s="365" t="b">
        <f t="shared" si="158"/>
        <v>0</v>
      </c>
      <c r="IR32" s="354" t="str">
        <f t="shared" si="159"/>
        <v/>
      </c>
      <c r="IS32" s="355" t="str">
        <f t="shared" si="160"/>
        <v>re, </v>
      </c>
      <c r="IT32" s="355" t="str">
        <f t="shared" si="161"/>
        <v/>
      </c>
      <c r="IU32" s="355" t="str">
        <f t="shared" si="162"/>
        <v/>
      </c>
      <c r="IV32" s="355" t="str">
        <f t="shared" si="163"/>
        <v/>
      </c>
      <c r="IW32" s="355" t="str">
        <f t="shared" si="164"/>
        <v/>
      </c>
      <c r="IX32" s="355" t="str">
        <f t="shared" si="165"/>
        <v/>
      </c>
      <c r="IY32" s="355" t="str">
        <f t="shared" si="166"/>
        <v/>
      </c>
      <c r="IZ32" s="355" t="str">
        <f t="shared" si="167"/>
        <v/>
      </c>
      <c r="JA32" s="355" t="str">
        <f t="shared" si="168"/>
        <v>Dha, </v>
      </c>
      <c r="JB32" s="355" t="str">
        <f t="shared" si="169"/>
        <v/>
      </c>
      <c r="JC32" s="355" t="str">
        <f t="shared" si="170"/>
        <v/>
      </c>
      <c r="JD32" s="359"/>
      <c r="JE32" s="321"/>
      <c r="JF32" s="368"/>
      <c r="JG32" s="369"/>
      <c r="JH32" s="369"/>
      <c r="JI32" s="369"/>
      <c r="JJ32" s="369"/>
      <c r="JK32" s="369"/>
      <c r="JL32" s="369"/>
      <c r="JM32" s="369"/>
      <c r="JN32" s="369"/>
      <c r="JO32" s="369"/>
      <c r="JP32" s="369"/>
    </row>
    <row r="33" ht="20.25" customHeight="1">
      <c r="A33" s="221" t="s">
        <v>122</v>
      </c>
      <c r="B33" s="222">
        <v>31.0</v>
      </c>
      <c r="C33" s="223" t="s">
        <v>405</v>
      </c>
      <c r="D33" s="224">
        <v>10.0</v>
      </c>
      <c r="E33" s="225" t="str">
        <f t="shared" si="5"/>
        <v>[UQ]</v>
      </c>
      <c r="F33" s="227">
        <f t="shared" si="6"/>
        <v>7</v>
      </c>
      <c r="G33" s="229">
        <f t="shared" si="7"/>
        <v>7</v>
      </c>
      <c r="H33" s="230">
        <f t="shared" si="8"/>
        <v>0</v>
      </c>
      <c r="I33" s="233" t="str">
        <f t="shared" si="9"/>
        <v>SRgmPdnS</v>
      </c>
      <c r="J33" s="234" t="str">
        <f>IFERROR(__xludf.DUMMYFUNCTION("IF(REGEXMATCH(I33, ""S""), ""S"","""")"),"S")</f>
        <v>S</v>
      </c>
      <c r="K33" s="236" t="str">
        <f>IFERROR(__xludf.DUMMYFUNCTION("IF(REGEXMATCH(I33, ""r""), ""r"","""")"),"")</f>
        <v/>
      </c>
      <c r="L33" s="237" t="str">
        <f>IFERROR(__xludf.DUMMYFUNCTION("IF(REGEXMATCH(I33, ""R""), ""R"","""")"),"R")</f>
        <v>R</v>
      </c>
      <c r="M33" s="237" t="str">
        <f>IFERROR(__xludf.DUMMYFUNCTION("IF(REGEXMATCH(I33, ""g""), ""g"","""")"),"g")</f>
        <v>g</v>
      </c>
      <c r="N33" s="236" t="str">
        <f>IFERROR(__xludf.DUMMYFUNCTION("IF(REGEXMATCH(I33, ""G""), ""G"","""")"),"")</f>
        <v/>
      </c>
      <c r="O33" s="236" t="str">
        <f>IFERROR(__xludf.DUMMYFUNCTION("IF(REGEXMATCH(I33, ""m""), ""m"","""")"),"m")</f>
        <v>m</v>
      </c>
      <c r="P33" s="237" t="str">
        <f>IFERROR(__xludf.DUMMYFUNCTION("IF(REGEXMATCH(I33, ""M""), ""M"","""")"),"")</f>
        <v/>
      </c>
      <c r="Q33" s="236" t="str">
        <f>IFERROR(__xludf.DUMMYFUNCTION("IF(REGEXMATCH(I33, ""P""), ""P"","""")"),"P")</f>
        <v>P</v>
      </c>
      <c r="R33" s="237" t="str">
        <f>IFERROR(__xludf.DUMMYFUNCTION("IF(REGEXMATCH(I33, ""d""), ""d"","""")"),"d")</f>
        <v>d</v>
      </c>
      <c r="S33" s="236" t="str">
        <f>IFERROR(__xludf.DUMMYFUNCTION("IF(REGEXMATCH(I33, ""D""), ""D"","""")"),"")</f>
        <v/>
      </c>
      <c r="T33" s="236" t="str">
        <f>IFERROR(__xludf.DUMMYFUNCTION("IF(REGEXMATCH(I33, ""n""), ""n"","""")"),"n")</f>
        <v>n</v>
      </c>
      <c r="U33" s="237" t="str">
        <f>IFERROR(__xludf.DUMMYFUNCTION("IF(REGEXMATCH(I33, ""N""), ""N"","""")"),"")</f>
        <v/>
      </c>
      <c r="V33" s="238" t="str">
        <f>IFERROR(__xludf.DUMMYFUNCTION("IF(REGEXMATCH(I33, ""S""), ""S"","""")"),"S")</f>
        <v>S</v>
      </c>
      <c r="W33" s="239" t="str">
        <f>IFERROR(__xludf.DUMMYFUNCTION("SUBSTITUTE(CONCATENATE(JOIN(""-"",J33:P33)),""-"","""")"),"SRgm")</f>
        <v>SRgm</v>
      </c>
      <c r="X33" s="229" t="str">
        <f>IFERROR(__xludf.DUMMYFUNCTION("SUBSTITUTE(CONCATENATE(JOIN(""-"",Q33:V33)),""-"","""")"),"PdnS")</f>
        <v>PdnS</v>
      </c>
      <c r="Y33" s="282" t="str">
        <f t="shared" si="10"/>
        <v>S-R-G-M</v>
      </c>
      <c r="Z33" s="282" t="str">
        <f t="shared" si="11"/>
        <v>P-D-N-S</v>
      </c>
      <c r="AA33" s="309" t="str">
        <f t="shared" si="12"/>
        <v>Rgmdn</v>
      </c>
      <c r="AB33" s="244" t="str">
        <f>IFERROR(__xludf.DUMMYFUNCTION("IF(REGEXMATCH(I33, ""S""), ""0"","""")"),"0")</f>
        <v>0</v>
      </c>
      <c r="AC33" s="245" t="str">
        <f>IFERROR(__xludf.DUMMYFUNCTION("IF(REGEXMATCH(I33, ""r""), ""1"","""")"),"")</f>
        <v/>
      </c>
      <c r="AD33" s="246" t="str">
        <f>IFERROR(__xludf.DUMMYFUNCTION("IF(REGEXMATCH(I33, ""R""), ""2"","""")"),"2")</f>
        <v>2</v>
      </c>
      <c r="AE33" s="246" t="str">
        <f>IFERROR(__xludf.DUMMYFUNCTION("IF(REGEXMATCH(I33, ""g""), ""3"","""")"),"3")</f>
        <v>3</v>
      </c>
      <c r="AF33" s="245" t="str">
        <f>IFERROR(__xludf.DUMMYFUNCTION("IF(REGEXMATCH(I33, ""G""), ""4"","""")"),"")</f>
        <v/>
      </c>
      <c r="AG33" s="245" t="str">
        <f>IFERROR(__xludf.DUMMYFUNCTION("IF(REGEXMATCH(I33, ""m""), ""5"","""")"),"5")</f>
        <v>5</v>
      </c>
      <c r="AH33" s="246" t="str">
        <f>IFERROR(__xludf.DUMMYFUNCTION("IF(REGEXMATCH(I33, ""M""), ""6"","""")"),"")</f>
        <v/>
      </c>
      <c r="AI33" s="245" t="str">
        <f>IFERROR(__xludf.DUMMYFUNCTION("IF(REGEXMATCH(I33, ""P""), ""7"","""")"),"7")</f>
        <v>7</v>
      </c>
      <c r="AJ33" s="246" t="str">
        <f>IFERROR(__xludf.DUMMYFUNCTION("IF(REGEXMATCH(I33, ""d""), ""8"","""")"),"8")</f>
        <v>8</v>
      </c>
      <c r="AK33" s="245" t="str">
        <f>IFERROR(__xludf.DUMMYFUNCTION("IF(REGEXMATCH(I33, ""D""), ""9"","""")"),"")</f>
        <v/>
      </c>
      <c r="AL33" s="245" t="str">
        <f>IFERROR(__xludf.DUMMYFUNCTION("IF(REGEXMATCH(I33, ""n""), ""10"","""")"),"10")</f>
        <v>10</v>
      </c>
      <c r="AM33" s="246" t="str">
        <f>IFERROR(__xludf.DUMMYFUNCTION("IF(REGEXMATCH(I33, ""N""), ""11"","""")"),"")</f>
        <v/>
      </c>
      <c r="AN33" s="249" t="str">
        <f>IFERROR(__xludf.DUMMYFUNCTION("IF(REGEXMATCH(I33, ""S""), ""0"","""")"),"0")</f>
        <v>0</v>
      </c>
      <c r="AO33" s="250" t="str">
        <f>IFERROR(__xludf.DUMMYFUNCTION("SUBSTITUTE(SUBSTITUTE(SUBSTITUTE(SUBSTITUTE(CONCATENATE(JOIN(""-"",AB33:AN33)),""--"",""-""),""--"",""-""),""--"",""-""),""--"",""-"")"),"0-2-3-5-7-8-10-0")</f>
        <v>0-2-3-5-7-8-10-0</v>
      </c>
      <c r="AP33" s="251">
        <f t="shared" si="13"/>
        <v>0</v>
      </c>
      <c r="AQ33" s="234" t="str">
        <f t="shared" si="14"/>
        <v>|</v>
      </c>
      <c r="AR33" s="236" t="str">
        <f t="shared" si="15"/>
        <v>-</v>
      </c>
      <c r="AS33" s="237" t="str">
        <f t="shared" si="16"/>
        <v>|</v>
      </c>
      <c r="AT33" s="236" t="str">
        <f t="shared" si="17"/>
        <v>|</v>
      </c>
      <c r="AU33" s="237" t="str">
        <f t="shared" si="18"/>
        <v>-</v>
      </c>
      <c r="AV33" s="236" t="str">
        <f t="shared" si="19"/>
        <v>|</v>
      </c>
      <c r="AW33" s="237" t="str">
        <f t="shared" si="20"/>
        <v>-</v>
      </c>
      <c r="AX33" s="236" t="str">
        <f t="shared" si="21"/>
        <v>|</v>
      </c>
      <c r="AY33" s="237" t="str">
        <f t="shared" si="22"/>
        <v>|</v>
      </c>
      <c r="AZ33" s="236" t="str">
        <f t="shared" si="23"/>
        <v>-</v>
      </c>
      <c r="BA33" s="237" t="str">
        <f t="shared" si="24"/>
        <v>|</v>
      </c>
      <c r="BB33" s="236" t="str">
        <f t="shared" si="25"/>
        <v>-</v>
      </c>
      <c r="BC33" s="238" t="str">
        <f t="shared" si="26"/>
        <v>|</v>
      </c>
      <c r="BD33" s="250" t="str">
        <f>IFERROR(__xludf.DUMMYFUNCTION("SUBSTITUTE(SUBSTITUTE(CONCATENATE(JOIN("""",AQ33:BB33)),""|"",""x""),""-"",""o"")"),"xoxxoxoxxoxo")</f>
        <v>xoxxoxoxxoxo</v>
      </c>
      <c r="BE33" s="323" t="str">
        <f>IFERROR(__xludf.DUMMYFUNCTION("JOIN("""",BD33,BD33)"),"xoxxoxoxxoxoxoxxoxoxxoxo")</f>
        <v>xoxxoxoxxoxoxoxxoxoxxoxo</v>
      </c>
      <c r="BF33" s="256" t="str">
        <f>IFERROR(__xludf.DUMMYFUNCTION("JOIN("""",ArrayFormula(MID(BD33,LEN(BD33)-SEQUENCE(1,LEN(BD33))+1,1)))"),"oxoxxoxoxxox")</f>
        <v>oxoxxoxoxxox</v>
      </c>
      <c r="BG33" s="256" t="str">
        <f>IFERROR(__xludf.DUMMYFUNCTION("LEFT(CONCATENATE(""x"",JOIN("""",ArrayFormula(MID(BD33,LEN(BD33)-SEQUENCE(1,LEN(BD33))+1,1)))),12)"),"xoxoxxoxoxxo")</f>
        <v>xoxoxxoxoxxo</v>
      </c>
      <c r="BH33" s="327" t="str">
        <f>IFERROR(__xludf.DUMMYFUNCTION("JOIN("""",BF33,BF33)"),"oxoxxoxoxxoxoxoxxoxoxxox")</f>
        <v>oxoxxoxoxxoxoxoxxoxoxxox</v>
      </c>
      <c r="BI33" s="239" t="str">
        <f>IFERROR(__xludf.DUMMYFUNCTION("IF(REGEXMATCH(BH33,BD33),""✔"",""-"")"),"✔")</f>
        <v>✔</v>
      </c>
      <c r="BJ33" s="330" t="str">
        <f t="shared" si="27"/>
        <v>-</v>
      </c>
      <c r="BK33" s="260" t="str">
        <f t="shared" si="28"/>
        <v>-</v>
      </c>
      <c r="BL33" s="261" t="str">
        <f>IFERROR(__xludf.DUMMYFUNCTION("IF(BO33=0,""(n/a)"",IF(BP33=2,""(PAIR)"",IF(REGEXMATCH(BE33,""xoxoxxoxoxox""),""Bilawal"",IF(REGEXMATCH(BE33,""xoxoxooxoxoo""),""Bhupali"",IF(REGEXMATCH(BE33,""xoxoxxoxxoxo""),""Charukeshi"",IF(REGEXMATCH(BE33,""xoxoooxxoxxo""),""Kameshwari"",IF(REGEXMATC"&amp;"H(BE33,""xoxoxooxoxox""),""Shankara"",IF(REGEXMATCH(BE33,""xxooxoxxxoox""),""Basant"",IF(REGEXMATCH(BE33,""xoxoxxxxoxox""),""Bihag"",IF(REGEXMATCH(BE33,""xoxxxxoxoxxx""),""Pilu"",IF(REGEXMATCH(BE33,""xoxxoxoxxoox""),""Kirwani"",IF(REGEXMATCH(BE33,""xoxxox"&amp;"oxoxxx""),""Mk.Malhar"",IF(REGEXMATCH(BE33,""xxooxxoxxoox""),""Bhairav"",IF(REGEXMATCH(BE33,""xxoxooxxxoox""),""Todi"",IF(REGEXMATCH(BE33,""xxooxoxooxox""),""Marwa"",IF(REGEXMATCH(BE33,""xxoooxoxxooo""),""Gunkali"",IF(REGEXMATCH(BE33,""xoxoxxoxxoox""),""N"&amp;"at Bhairav"",IF(REGEXMATCH(BE33,""xoxxoooxoxoo""),""Shivranjani"",IF(REGEXMATCH(BE33,""xooxxxoxooxo""),""Jog"",IF(REGEXMATCH(BE33,""xxooxoxoxoox""),""Hemshri"",IF(REGEXMATCH(BE33,""xoooxooxoxxo""),""Kalavati"",IF(REGEXMATCH(BE33,""xxoxoxxoxoox""),""Kedar"&amp;""",IF(REGEXMATCH(BE33,""xoxxxxoxooxx""),""Gara"",IF(REGEXMATCH(BE33,""xooxoxooxoox""),""Chandrakauns"",IF(REGEXMATCH(BE33,""xoxxxxoxxxox""),""Mand"",IF(REGEXMATCH(BE33,""xoxxxxoxoxox""),""Hanskinkini"",IF(REGEXMATCH(BE33,""xxooxxoxooxo""),""Lilavati"",IF("&amp;"REGEXMATCH(BE33,""xooxoxoooxox""),""Rajeshwari"",IF(REGEXMATCH(BE33,""xoooxxoxoxxx""),""Khokar"",IF(REGEXMATCH(BE33,""xxooxoxxxxox""),""Maligoura"",""-""))))))))))))))))))))))))))))))"),"Bilawal")</f>
        <v>Bilawal</v>
      </c>
      <c r="BM33" s="239">
        <f t="shared" si="29"/>
        <v>6</v>
      </c>
      <c r="BN33" s="239">
        <f>IFERROR(__xludf.DUMMYFUNCTION("COUNTUNIQUE(BR33:CB33)-1"),6.0)</f>
        <v>6</v>
      </c>
      <c r="BO33" s="239">
        <f>IFERROR(__xludf.DUMMYFUNCTION("COUNTUNIQUE(FILTER(BE:BE,REGEXMATCH(BE:BE,BD33)))-1"),5.0)</f>
        <v>5</v>
      </c>
      <c r="BP33" s="239">
        <f>IFERROR(__xludf.DUMMYFUNCTION("COUNTA(FILTER(BE:BE,REGEXMATCH(BE:BE,BD33)))"),6.0)</f>
        <v>6</v>
      </c>
      <c r="BQ33" s="341">
        <f>IFERROR(__xludf.DUMMYFUNCTION("COUNTA(FILTER(BE:BE,REGEXMATCH(BE:BE,BD33)))-AP33"),6.0)</f>
        <v>6</v>
      </c>
      <c r="BR33" s="269" t="str">
        <f t="shared" si="30"/>
        <v>-</v>
      </c>
      <c r="BS33" s="269" t="str">
        <f t="shared" si="31"/>
        <v>xxoxoxxoxox</v>
      </c>
      <c r="BT33" s="271" t="str">
        <f t="shared" si="32"/>
        <v>xoxoxxoxoxo</v>
      </c>
      <c r="BU33" s="269" t="str">
        <f t="shared" si="33"/>
        <v>-</v>
      </c>
      <c r="BV33" s="271" t="str">
        <f t="shared" si="34"/>
        <v>xoxxoxoxoxx</v>
      </c>
      <c r="BW33" s="271" t="str">
        <f t="shared" si="35"/>
        <v>-</v>
      </c>
      <c r="BX33" s="271" t="str">
        <f t="shared" si="36"/>
        <v>xxoxoxoxxox</v>
      </c>
      <c r="BY33" s="271" t="str">
        <f t="shared" si="37"/>
        <v>xoxoxoxxoxo</v>
      </c>
      <c r="BZ33" s="271" t="str">
        <f t="shared" si="38"/>
        <v>-</v>
      </c>
      <c r="CA33" s="271" t="str">
        <f t="shared" si="39"/>
        <v>xoxoxxoxoxx</v>
      </c>
      <c r="CB33" s="274" t="str">
        <f t="shared" si="40"/>
        <v>-</v>
      </c>
      <c r="CC33" s="276" t="str">
        <f>IFERROR(__xludf.DUMMYFUNCTION("IF(BD33=""oooooooooooo"",""-"",IF(REGEXMATCH(BE33,""xx""), ""Hemi."", ""Anhemi.""))"),"Hemi.")</f>
        <v>Hemi.</v>
      </c>
      <c r="CD33" s="282" t="str">
        <f>IFERROR(__xludf.DUMMYFUNCTION("IF(BD33=""oooooooooooo"",""-"",IF(REGEXMATCH(BE33,""xxx""), ""Cohem."", ""-""))"),"-")</f>
        <v>-</v>
      </c>
      <c r="CE33" s="282" t="str">
        <f>IFERROR(__xludf.DUMMYFUNCTION("IF(BD33=""oooooooooooo"",""-"",IF(REGEXMATCH(BE33,""xxxx""), ""Co-Co."", ""-""))"),"-")</f>
        <v>-</v>
      </c>
      <c r="CF33" s="342" t="str">
        <f>IFERROR(__xludf.DUMMYFUNCTION("IF(BD33=""oooooooooooo"",""-"",IF(REGEXMATCH(BE33,""xxxxx""), ""CCC."", ""-""))"),"-")</f>
        <v>-</v>
      </c>
      <c r="CG33" s="344" t="str">
        <f t="shared" si="41"/>
        <v>Asavari</v>
      </c>
      <c r="CH33" s="282" t="str">
        <f>IFERROR(__xludf.DUMMYFUNCTION("IF(REGEXMATCH(JOIN(""-"",CJ33:CS33),""TRUE""),""✔"",""-"")"),"✔")</f>
        <v>✔</v>
      </c>
      <c r="CI33" s="225">
        <f t="shared" si="42"/>
        <v>1</v>
      </c>
      <c r="CJ33" s="376" t="b">
        <f>IFERROR(__xludf.DUMMYFUNCTION("arrayformula(sum(--REGEXMATCH(""SRGMPDNS"",split(REGEXREPLACE(I33,""(.)"",""$1~""),""~""))))=len(I33)
"),FALSE)</f>
        <v>0</v>
      </c>
      <c r="CK33" s="290" t="b">
        <f>IFERROR(__xludf.DUMMYFUNCTION("arrayformula(sum(--REGEXMATCH(""SRGmPDNS"",split(REGEXREPLACE(I33,""(.)"",""$1~""),""~""))))=len(I33)"),FALSE)</f>
        <v>0</v>
      </c>
      <c r="CL33" s="290" t="b">
        <f>IFERROR(__xludf.DUMMYFUNCTION("arrayformula(sum(--REGEXMATCH(""SRGmPDnS"",split(REGEXREPLACE(I33,""(.)"",""$1~""),""~""))))=len(I33)"),FALSE)</f>
        <v>0</v>
      </c>
      <c r="CM33" s="290" t="b">
        <f>IFERROR(__xludf.DUMMYFUNCTION("arrayformula(sum(--REGEXMATCH(""SRgmPDnS"",split(REGEXREPLACE(I33,""(.)"",""$1~""),""~""))))=len(I33)"),FALSE)</f>
        <v>0</v>
      </c>
      <c r="CN33" s="290" t="b">
        <f>IFERROR(__xludf.DUMMYFUNCTION("arrayformula(sum(--REGEXMATCH(""SRgmPdnS"",split(REGEXREPLACE(I33,""(.)"",""$1~""),""~""))))=len(I33)"),TRUE)</f>
        <v>1</v>
      </c>
      <c r="CO33" s="290" t="b">
        <f>IFERROR(__xludf.DUMMYFUNCTION("arrayformula(sum(--REGEXMATCH(""SrgmPdnS"",split(REGEXREPLACE(I33,""(.)"",""$1~""),""~""))))=len(I33)"),FALSE)</f>
        <v>0</v>
      </c>
      <c r="CP33" s="290" t="b">
        <f>IFERROR(__xludf.DUMMYFUNCTION("arrayformula(sum(--REGEXMATCH(""SrGmPdNS"",split(REGEXREPLACE(I33,""(.)"",""$1~""),""~""))))=len(I33)"),FALSE)</f>
        <v>0</v>
      </c>
      <c r="CQ33" s="290" t="b">
        <f>IFERROR(__xludf.DUMMYFUNCTION("arrayformula(sum(--REGEXMATCH(""SrGMPDNS"",split(REGEXREPLACE(I33,""(.)"",""$1~""),""~""))))=len(I33)"),FALSE)</f>
        <v>0</v>
      </c>
      <c r="CR33" s="290" t="b">
        <f>IFERROR(__xludf.DUMMYFUNCTION("arrayformula(sum(--REGEXMATCH(""SrGMPdNS"",split(REGEXREPLACE(I33,""(.)"",""$1~""),""~""))))=len(I33)"),FALSE)</f>
        <v>0</v>
      </c>
      <c r="CS33" s="293" t="b">
        <f>IFERROR(__xludf.DUMMYFUNCTION("arrayformula(sum(--REGEXMATCH(""SrgMPdNS"",split(REGEXREPLACE(I33,""(.)"",""$1~""),""~""))))=len(I33)"),FALSE)</f>
        <v>0</v>
      </c>
      <c r="CT33" s="244" t="str">
        <f>IFERROR(__xludf.DUMMYFUNCTION("IF(REGEXMATCH(I33, ""S""), ""1"","""")"),"1")</f>
        <v>1</v>
      </c>
      <c r="CU33" s="245" t="str">
        <f>IFERROR(__xludf.DUMMYFUNCTION("IF(REGEXMATCH(I33, ""r""), ""b2"","""")"),"")</f>
        <v/>
      </c>
      <c r="CV33" s="246" t="str">
        <f>IFERROR(__xludf.DUMMYFUNCTION("IF(REGEXMATCH(I33, ""R""), ""2"","""")"),"2")</f>
        <v>2</v>
      </c>
      <c r="CW33" s="246" t="str">
        <f>IFERROR(__xludf.DUMMYFUNCTION("IF(REGEXMATCH(I33, ""g""), ""b3"","""")"),"b3")</f>
        <v>b3</v>
      </c>
      <c r="CX33" s="245" t="str">
        <f>IFERROR(__xludf.DUMMYFUNCTION("IF(REGEXMATCH(I33, ""G""), ""3"","""")"),"")</f>
        <v/>
      </c>
      <c r="CY33" s="245" t="str">
        <f>IFERROR(__xludf.DUMMYFUNCTION("IF(REGEXMATCH(I33, ""m""), ""4"","""")"),"4")</f>
        <v>4</v>
      </c>
      <c r="CZ33" s="246" t="str">
        <f>IFERROR(__xludf.DUMMYFUNCTION("IF(REGEXMATCH(I33, ""M""), ""#4"","""")"),"")</f>
        <v/>
      </c>
      <c r="DA33" s="245" t="str">
        <f>IFERROR(__xludf.DUMMYFUNCTION("IF(REGEXMATCH(I33, ""P""), ""5"","""")"),"5")</f>
        <v>5</v>
      </c>
      <c r="DB33" s="246" t="str">
        <f>IFERROR(__xludf.DUMMYFUNCTION("IF(REGEXMATCH(I33, ""d""), ""b6"","""")"),"b6")</f>
        <v>b6</v>
      </c>
      <c r="DC33" s="245" t="str">
        <f>IFERROR(__xludf.DUMMYFUNCTION("IF(REGEXMATCH(I33, ""D""), ""6"","""")"),"")</f>
        <v/>
      </c>
      <c r="DD33" s="245" t="str">
        <f>IFERROR(__xludf.DUMMYFUNCTION("IF(REGEXMATCH(I33, ""n""), ""b7"","""")"),"b7")</f>
        <v>b7</v>
      </c>
      <c r="DE33" s="246" t="str">
        <f>IFERROR(__xludf.DUMMYFUNCTION("IF(REGEXMATCH(I33, ""N""), ""7"","""")"),"")</f>
        <v/>
      </c>
      <c r="DF33" s="249" t="str">
        <f>IFERROR(__xludf.DUMMYFUNCTION("IF(REGEXMATCH(I33, ""S""), ""8"","""")"),"8")</f>
        <v>8</v>
      </c>
      <c r="DG33" s="244" t="str">
        <f>IFERROR(__xludf.DUMMYFUNCTION("IF(REGEXMATCH(I33, ""S""), ""S"","""")"),"S")</f>
        <v>S</v>
      </c>
      <c r="DH33" s="294" t="str">
        <f>IFERROR(__xludf.DUMMYFUNCTION("IF(REGEXMATCH(I33, ""r""), ""R1"","""")"),"")</f>
        <v/>
      </c>
      <c r="DI33" s="295" t="str">
        <f>IFERROR(__xludf.DUMMYFUNCTION("IF(REGEXMATCH(I33, ""R""), ""R2"","""")"),"R2")</f>
        <v>R2</v>
      </c>
      <c r="DJ33" s="295" t="str">
        <f>IFERROR(__xludf.DUMMYFUNCTION("IF(REGEXMATCH(I33, ""g""), ""G2"","""")"),"G2")</f>
        <v>G2</v>
      </c>
      <c r="DK33" s="294" t="str">
        <f>IFERROR(__xludf.DUMMYFUNCTION("IF(REGEXMATCH(I33, ""G""), ""G3"","""")"),"")</f>
        <v/>
      </c>
      <c r="DL33" s="294" t="str">
        <f>IFERROR(__xludf.DUMMYFUNCTION("IF(REGEXMATCH(I33, ""m""), ""M1"","""")"),"M1")</f>
        <v>M1</v>
      </c>
      <c r="DM33" s="295" t="str">
        <f>IFERROR(__xludf.DUMMYFUNCTION("IF(REGEXMATCH(I33, ""M""), ""M2"","""")"),"")</f>
        <v/>
      </c>
      <c r="DN33" s="294" t="str">
        <f>IFERROR(__xludf.DUMMYFUNCTION("IF(REGEXMATCH(I33, ""P""), ""P"","""")"),"P")</f>
        <v>P</v>
      </c>
      <c r="DO33" s="295" t="str">
        <f>IFERROR(__xludf.DUMMYFUNCTION("IF(REGEXMATCH(I33, ""d""), ""D1"","""")"),"D1")</f>
        <v>D1</v>
      </c>
      <c r="DP33" s="294" t="str">
        <f>IFERROR(__xludf.DUMMYFUNCTION("IF(REGEXMATCH(I33, ""D""), ""D2"","""")"),"")</f>
        <v/>
      </c>
      <c r="DQ33" s="294" t="str">
        <f>IFERROR(__xludf.DUMMYFUNCTION("IF(REGEXMATCH(I33, ""n""), ""N2"","""")"),"N2")</f>
        <v>N2</v>
      </c>
      <c r="DR33" s="295" t="str">
        <f>IFERROR(__xludf.DUMMYFUNCTION("IF(REGEXMATCH(I33, ""N""), ""N3"","""")"),"")</f>
        <v/>
      </c>
      <c r="DS33" s="249" t="str">
        <f>IFERROR(__xludf.DUMMYFUNCTION("IF(REGEXMATCH(I33, ""S""), ""S"","""")"),"S")</f>
        <v>S</v>
      </c>
      <c r="DT33" s="299" t="str">
        <f>IFERROR(__xludf.DUMMYFUNCTION("SUBSTITUTE(SUBSTITUTE(SUBSTITUTE(SUBSTITUTE(CONCATENATE(JOIN(""-"",CT33:DF33)),""--"",""-""),""--"",""-""),""--"",""-""),""--"",""-"")"),"1-2-b3-4-5-b6-b7-8")</f>
        <v>1-2-b3-4-5-b6-b7-8</v>
      </c>
      <c r="DU33" s="299" t="str">
        <f>IFERROR(__xludf.DUMMYFUNCTION("SUBSTITUTE(SUBSTITUTE(SUBSTITUTE(SUBSTITUTE(CONCATENATE(JOIN(""-"",DG33:DS33)),""--"",""-""),""--"",""-""),""--"",""-""),""--"",""-"")"),"S-R2-G2-M1-P-D1-N2-S")</f>
        <v>S-R2-G2-M1-P-D1-N2-S</v>
      </c>
      <c r="DV33" s="348" t="str">
        <f t="shared" si="43"/>
        <v>C-D-Eb-F-G-Ab-Bb-C</v>
      </c>
      <c r="DW33" s="301">
        <f t="shared" si="44"/>
        <v>7</v>
      </c>
      <c r="DX33" s="302" t="str">
        <f t="shared" si="45"/>
        <v>Sampurna</v>
      </c>
      <c r="DY33" s="301" t="str">
        <f t="shared" ref="DY33:DZ33" si="199">SUBSTITUTE(Y33,"-","")</f>
        <v>SRGM</v>
      </c>
      <c r="DZ33" s="301" t="str">
        <f t="shared" si="199"/>
        <v>PDNS</v>
      </c>
      <c r="EA33" s="302" t="str">
        <f t="shared" si="47"/>
        <v>Bilawal</v>
      </c>
      <c r="EB33" s="301" t="str">
        <f t="shared" si="48"/>
        <v>Hemi.</v>
      </c>
      <c r="EC33" s="364" t="str">
        <f t="shared" si="49"/>
        <v>-</v>
      </c>
      <c r="ED33" s="306" t="str">
        <f t="shared" si="50"/>
        <v>Asavari</v>
      </c>
      <c r="EE33" s="366" t="str">
        <f t="shared" si="51"/>
        <v>-</v>
      </c>
      <c r="EF33" s="308" t="str">
        <f t="shared" si="52"/>
        <v>-</v>
      </c>
      <c r="EG33" s="306" t="str">
        <f t="shared" si="53"/>
        <v>-</v>
      </c>
      <c r="EH33" s="306" t="str">
        <f t="shared" si="54"/>
        <v>-</v>
      </c>
      <c r="EI33" s="367" t="str">
        <f t="shared" si="55"/>
        <v>-</v>
      </c>
      <c r="EJ33" s="310" t="str">
        <f t="shared" si="56"/>
        <v>-</v>
      </c>
      <c r="EK33" s="310" t="str">
        <f t="shared" si="57"/>
        <v>-</v>
      </c>
      <c r="EL33" s="310" t="str">
        <f t="shared" si="58"/>
        <v>-</v>
      </c>
      <c r="EM33" s="310" t="str">
        <f t="shared" si="59"/>
        <v>-</v>
      </c>
      <c r="EN33" s="370" t="str">
        <f t="shared" si="60"/>
        <v>-</v>
      </c>
      <c r="EO33" s="306" t="str">
        <f t="shared" si="61"/>
        <v>-</v>
      </c>
      <c r="EP33" s="306" t="str">
        <f t="shared" si="62"/>
        <v>-</v>
      </c>
      <c r="EQ33" s="306" t="str">
        <f t="shared" si="63"/>
        <v>-</v>
      </c>
      <c r="ER33" s="306" t="str">
        <f t="shared" si="64"/>
        <v>-</v>
      </c>
      <c r="ES33" s="306" t="str">
        <f t="shared" si="65"/>
        <v>-</v>
      </c>
      <c r="ET33" s="367" t="str">
        <f t="shared" si="66"/>
        <v>-</v>
      </c>
      <c r="EU33" s="310" t="str">
        <f>IFERROR(__xludf.DUMMYFUNCTION("IF(REGEXMATCH(BH33,BD33),""✔"",""-"")"),"✔")</f>
        <v>✔</v>
      </c>
      <c r="EV33" s="310" t="str">
        <f t="shared" si="67"/>
        <v>-</v>
      </c>
      <c r="EW33" s="370" t="str">
        <f t="shared" si="68"/>
        <v>-</v>
      </c>
      <c r="EX33" s="315" t="str">
        <f t="shared" si="69"/>
        <v>[UQ]</v>
      </c>
      <c r="EY33" s="317" t="str">
        <f t="shared" si="70"/>
        <v>S-R-g-m-P-d-n-S</v>
      </c>
      <c r="EZ33" s="318" t="str">
        <f>IFERROR(__xludf.DUMMYFUNCTION("CONCATENATE(JOIN("""",GE33:GQ33))"),"SRGmPDnS")</f>
        <v>SRGmPDnS</v>
      </c>
      <c r="FA33" s="318"/>
      <c r="FB33" s="318"/>
      <c r="FC33" s="321">
        <f t="shared" si="71"/>
        <v>1</v>
      </c>
      <c r="FD33" s="318" t="str">
        <f>IFERROR(__xludf.DUMMYFUNCTION("CONCATENATE(JOIN("""",HR33:ID33))"),"Re, ")</f>
        <v>Re, </v>
      </c>
      <c r="FE33" s="322">
        <f t="shared" si="72"/>
        <v>0</v>
      </c>
      <c r="FF33" s="324" t="str">
        <f>IFERROR(__xludf.DUMMYFUNCTION("CONCATENATE(JOIN("""",IR33:JD33))"),"")</f>
        <v/>
      </c>
      <c r="FG33" s="325" t="str">
        <f t="shared" si="73"/>
        <v>S-R2-G2-M1-P-D1-N2-S</v>
      </c>
      <c r="FH33" s="326" t="str">
        <f t="shared" si="74"/>
        <v>1-2-b3-4-5-b6-b7-8</v>
      </c>
      <c r="FI33" s="326" t="str">
        <f t="shared" si="75"/>
        <v>0-2-3-5-7-8-10-0</v>
      </c>
      <c r="FJ33" s="318"/>
      <c r="FK33" s="328" t="str">
        <f>IFERROR(__xludf.DUMMYFUNCTION("SUBSTITUTE(SUBSTITUTE(SUBSTITUTE(SUBSTITUTE(CONCATENATE(JOIN("" "",FN33:FZ33)),""  "","" ""),""  "","" ""),""  "","" ""),""  "","" "")"),"o • o o • o • o o • o • o")</f>
        <v>o • o o • o • o o • o • o</v>
      </c>
      <c r="FL33" s="328" t="str">
        <f t="shared" si="76"/>
        <v>-</v>
      </c>
      <c r="FM33" s="329"/>
      <c r="FN33" s="331" t="str">
        <f t="shared" si="77"/>
        <v>o</v>
      </c>
      <c r="FO33" s="332" t="str">
        <f t="shared" si="78"/>
        <v>•</v>
      </c>
      <c r="FP33" s="332" t="str">
        <f t="shared" si="79"/>
        <v>o</v>
      </c>
      <c r="FQ33" s="332" t="str">
        <f t="shared" si="80"/>
        <v>o</v>
      </c>
      <c r="FR33" s="332" t="str">
        <f t="shared" si="81"/>
        <v>•</v>
      </c>
      <c r="FS33" s="332" t="str">
        <f t="shared" si="82"/>
        <v>o</v>
      </c>
      <c r="FT33" s="332" t="str">
        <f t="shared" si="83"/>
        <v>•</v>
      </c>
      <c r="FU33" s="332" t="str">
        <f t="shared" si="84"/>
        <v>o</v>
      </c>
      <c r="FV33" s="332" t="str">
        <f t="shared" si="85"/>
        <v>o</v>
      </c>
      <c r="FW33" s="332" t="str">
        <f t="shared" si="86"/>
        <v>•</v>
      </c>
      <c r="FX33" s="332" t="str">
        <f t="shared" si="87"/>
        <v>o</v>
      </c>
      <c r="FY33" s="332" t="str">
        <f t="shared" si="88"/>
        <v>•</v>
      </c>
      <c r="FZ33" s="338" t="str">
        <f t="shared" si="89"/>
        <v>o</v>
      </c>
      <c r="GA33" s="339" t="str">
        <f t="shared" si="90"/>
        <v>-</v>
      </c>
      <c r="GB33" s="339" t="str">
        <f t="shared" si="91"/>
        <v>Sa-Pa</v>
      </c>
      <c r="GC33" s="339" t="str">
        <f t="shared" si="92"/>
        <v>-</v>
      </c>
      <c r="GD33" s="340" t="str">
        <f t="shared" si="93"/>
        <v>-</v>
      </c>
      <c r="GE33" s="331" t="str">
        <f t="shared" si="94"/>
        <v>S</v>
      </c>
      <c r="GF33" s="332" t="str">
        <f t="shared" si="95"/>
        <v/>
      </c>
      <c r="GG33" s="332" t="str">
        <f t="shared" si="96"/>
        <v>R</v>
      </c>
      <c r="GH33" s="332" t="str">
        <f t="shared" si="97"/>
        <v/>
      </c>
      <c r="GI33" s="332" t="str">
        <f t="shared" si="98"/>
        <v>G</v>
      </c>
      <c r="GJ33" s="332" t="str">
        <f t="shared" si="99"/>
        <v>m</v>
      </c>
      <c r="GK33" s="332" t="str">
        <f t="shared" si="100"/>
        <v/>
      </c>
      <c r="GL33" s="332" t="str">
        <f t="shared" si="101"/>
        <v>P</v>
      </c>
      <c r="GM33" s="332" t="str">
        <f t="shared" si="102"/>
        <v/>
      </c>
      <c r="GN33" s="332" t="str">
        <f t="shared" si="103"/>
        <v>D</v>
      </c>
      <c r="GO33" s="332" t="str">
        <f t="shared" si="104"/>
        <v>n</v>
      </c>
      <c r="GP33" s="332" t="str">
        <f t="shared" si="105"/>
        <v/>
      </c>
      <c r="GQ33" s="343" t="str">
        <f t="shared" si="106"/>
        <v>S</v>
      </c>
      <c r="GR33" s="331" t="str">
        <f t="shared" si="107"/>
        <v>•</v>
      </c>
      <c r="GS33" s="332" t="str">
        <f t="shared" si="108"/>
        <v>o</v>
      </c>
      <c r="GT33" s="332" t="str">
        <f t="shared" si="109"/>
        <v>•</v>
      </c>
      <c r="GU33" s="332" t="str">
        <f t="shared" si="110"/>
        <v>•</v>
      </c>
      <c r="GV33" s="332" t="str">
        <f t="shared" si="111"/>
        <v>o</v>
      </c>
      <c r="GW33" s="332" t="str">
        <f t="shared" si="112"/>
        <v>•</v>
      </c>
      <c r="GX33" s="332" t="str">
        <f t="shared" si="113"/>
        <v>o</v>
      </c>
      <c r="GY33" s="332" t="str">
        <f t="shared" si="114"/>
        <v>•</v>
      </c>
      <c r="GZ33" s="332" t="str">
        <f t="shared" si="115"/>
        <v>•</v>
      </c>
      <c r="HA33" s="332" t="str">
        <f t="shared" si="116"/>
        <v>o</v>
      </c>
      <c r="HB33" s="332" t="str">
        <f t="shared" si="117"/>
        <v>•</v>
      </c>
      <c r="HC33" s="332" t="str">
        <f t="shared" si="118"/>
        <v>o</v>
      </c>
      <c r="HD33" s="338" t="str">
        <f t="shared" si="119"/>
        <v>•</v>
      </c>
      <c r="HE33" s="346" t="b">
        <f t="shared" si="120"/>
        <v>0</v>
      </c>
      <c r="HF33" s="347" t="b">
        <f t="shared" si="121"/>
        <v>0</v>
      </c>
      <c r="HG33" s="347" t="b">
        <f t="shared" si="122"/>
        <v>1</v>
      </c>
      <c r="HH33" s="347" t="b">
        <f t="shared" si="123"/>
        <v>0</v>
      </c>
      <c r="HI33" s="347" t="b">
        <f t="shared" si="124"/>
        <v>0</v>
      </c>
      <c r="HJ33" s="347" t="b">
        <f t="shared" si="125"/>
        <v>0</v>
      </c>
      <c r="HK33" s="347" t="b">
        <f t="shared" si="126"/>
        <v>0</v>
      </c>
      <c r="HL33" s="347" t="b">
        <f t="shared" si="127"/>
        <v>0</v>
      </c>
      <c r="HM33" s="347" t="b">
        <f t="shared" si="128"/>
        <v>0</v>
      </c>
      <c r="HN33" s="347" t="b">
        <f t="shared" si="129"/>
        <v>0</v>
      </c>
      <c r="HO33" s="347" t="b">
        <f t="shared" si="130"/>
        <v>0</v>
      </c>
      <c r="HP33" s="347" t="b">
        <f t="shared" si="131"/>
        <v>0</v>
      </c>
      <c r="HQ33" s="353" t="b">
        <f t="shared" si="132"/>
        <v>0</v>
      </c>
      <c r="HR33" s="354" t="str">
        <f t="shared" si="133"/>
        <v/>
      </c>
      <c r="HS33" s="355" t="str">
        <f t="shared" si="134"/>
        <v/>
      </c>
      <c r="HT33" s="355" t="str">
        <f t="shared" si="135"/>
        <v>Re, </v>
      </c>
      <c r="HU33" s="355" t="str">
        <f t="shared" si="136"/>
        <v/>
      </c>
      <c r="HV33" s="355" t="str">
        <f t="shared" si="137"/>
        <v/>
      </c>
      <c r="HW33" s="355" t="str">
        <f t="shared" si="138"/>
        <v/>
      </c>
      <c r="HX33" s="355" t="str">
        <f t="shared" si="139"/>
        <v/>
      </c>
      <c r="HY33" s="355" t="str">
        <f t="shared" si="140"/>
        <v/>
      </c>
      <c r="HZ33" s="355" t="str">
        <f t="shared" si="141"/>
        <v/>
      </c>
      <c r="IA33" s="355" t="str">
        <f t="shared" si="142"/>
        <v/>
      </c>
      <c r="IB33" s="355" t="str">
        <f t="shared" si="143"/>
        <v/>
      </c>
      <c r="IC33" s="355" t="str">
        <f t="shared" si="144"/>
        <v/>
      </c>
      <c r="ID33" s="359" t="str">
        <f t="shared" si="145"/>
        <v/>
      </c>
      <c r="IE33" s="346" t="b">
        <f t="shared" si="146"/>
        <v>0</v>
      </c>
      <c r="IF33" s="347" t="b">
        <f t="shared" si="147"/>
        <v>0</v>
      </c>
      <c r="IG33" s="347" t="b">
        <f t="shared" si="148"/>
        <v>0</v>
      </c>
      <c r="IH33" s="347" t="b">
        <f t="shared" si="149"/>
        <v>0</v>
      </c>
      <c r="II33" s="347" t="b">
        <f t="shared" si="150"/>
        <v>0</v>
      </c>
      <c r="IJ33" s="347" t="b">
        <f t="shared" si="151"/>
        <v>0</v>
      </c>
      <c r="IK33" s="347" t="b">
        <f t="shared" si="152"/>
        <v>0</v>
      </c>
      <c r="IL33" s="347" t="b">
        <f t="shared" si="153"/>
        <v>0</v>
      </c>
      <c r="IM33" s="347" t="b">
        <f t="shared" si="154"/>
        <v>0</v>
      </c>
      <c r="IN33" s="347" t="b">
        <f t="shared" si="155"/>
        <v>0</v>
      </c>
      <c r="IO33" s="347" t="b">
        <f t="shared" si="156"/>
        <v>0</v>
      </c>
      <c r="IP33" s="347" t="b">
        <f t="shared" si="157"/>
        <v>0</v>
      </c>
      <c r="IQ33" s="365" t="b">
        <f t="shared" si="158"/>
        <v>0</v>
      </c>
      <c r="IR33" s="354" t="str">
        <f t="shared" si="159"/>
        <v/>
      </c>
      <c r="IS33" s="355" t="str">
        <f t="shared" si="160"/>
        <v/>
      </c>
      <c r="IT33" s="355" t="str">
        <f t="shared" si="161"/>
        <v/>
      </c>
      <c r="IU33" s="355" t="str">
        <f t="shared" si="162"/>
        <v/>
      </c>
      <c r="IV33" s="355" t="str">
        <f t="shared" si="163"/>
        <v/>
      </c>
      <c r="IW33" s="355" t="str">
        <f t="shared" si="164"/>
        <v/>
      </c>
      <c r="IX33" s="355" t="str">
        <f t="shared" si="165"/>
        <v/>
      </c>
      <c r="IY33" s="355" t="str">
        <f t="shared" si="166"/>
        <v/>
      </c>
      <c r="IZ33" s="355" t="str">
        <f t="shared" si="167"/>
        <v/>
      </c>
      <c r="JA33" s="355" t="str">
        <f t="shared" si="168"/>
        <v/>
      </c>
      <c r="JB33" s="355" t="str">
        <f t="shared" si="169"/>
        <v/>
      </c>
      <c r="JC33" s="355" t="str">
        <f t="shared" si="170"/>
        <v/>
      </c>
      <c r="JD33" s="359"/>
      <c r="JE33" s="321"/>
      <c r="JF33" s="368"/>
      <c r="JG33" s="369"/>
      <c r="JH33" s="369"/>
      <c r="JI33" s="369"/>
      <c r="JJ33" s="369"/>
      <c r="JK33" s="369"/>
      <c r="JL33" s="369"/>
      <c r="JM33" s="369"/>
      <c r="JN33" s="369"/>
      <c r="JO33" s="369"/>
      <c r="JP33" s="369"/>
    </row>
    <row r="34" ht="20.25" customHeight="1">
      <c r="A34" s="221" t="s">
        <v>123</v>
      </c>
      <c r="B34" s="222">
        <v>32.0</v>
      </c>
      <c r="C34" s="223" t="s">
        <v>595</v>
      </c>
      <c r="D34" s="224">
        <v>10.0</v>
      </c>
      <c r="E34" s="225" t="str">
        <f t="shared" si="5"/>
        <v>[UQ]</v>
      </c>
      <c r="F34" s="227">
        <f t="shared" si="6"/>
        <v>7</v>
      </c>
      <c r="G34" s="229">
        <f t="shared" si="7"/>
        <v>7</v>
      </c>
      <c r="H34" s="230">
        <f t="shared" si="8"/>
        <v>0</v>
      </c>
      <c r="I34" s="233" t="str">
        <f t="shared" si="9"/>
        <v>SrgmPdnS</v>
      </c>
      <c r="J34" s="234" t="str">
        <f>IFERROR(__xludf.DUMMYFUNCTION("IF(REGEXMATCH(I34, ""S""), ""S"","""")"),"S")</f>
        <v>S</v>
      </c>
      <c r="K34" s="236" t="str">
        <f>IFERROR(__xludf.DUMMYFUNCTION("IF(REGEXMATCH(I34, ""r""), ""r"","""")"),"r")</f>
        <v>r</v>
      </c>
      <c r="L34" s="237" t="str">
        <f>IFERROR(__xludf.DUMMYFUNCTION("IF(REGEXMATCH(I34, ""R""), ""R"","""")"),"")</f>
        <v/>
      </c>
      <c r="M34" s="237" t="str">
        <f>IFERROR(__xludf.DUMMYFUNCTION("IF(REGEXMATCH(I34, ""g""), ""g"","""")"),"g")</f>
        <v>g</v>
      </c>
      <c r="N34" s="236" t="str">
        <f>IFERROR(__xludf.DUMMYFUNCTION("IF(REGEXMATCH(I34, ""G""), ""G"","""")"),"")</f>
        <v/>
      </c>
      <c r="O34" s="236" t="str">
        <f>IFERROR(__xludf.DUMMYFUNCTION("IF(REGEXMATCH(I34, ""m""), ""m"","""")"),"m")</f>
        <v>m</v>
      </c>
      <c r="P34" s="237" t="str">
        <f>IFERROR(__xludf.DUMMYFUNCTION("IF(REGEXMATCH(I34, ""M""), ""M"","""")"),"")</f>
        <v/>
      </c>
      <c r="Q34" s="236" t="str">
        <f>IFERROR(__xludf.DUMMYFUNCTION("IF(REGEXMATCH(I34, ""P""), ""P"","""")"),"P")</f>
        <v>P</v>
      </c>
      <c r="R34" s="237" t="str">
        <f>IFERROR(__xludf.DUMMYFUNCTION("IF(REGEXMATCH(I34, ""d""), ""d"","""")"),"d")</f>
        <v>d</v>
      </c>
      <c r="S34" s="236" t="str">
        <f>IFERROR(__xludf.DUMMYFUNCTION("IF(REGEXMATCH(I34, ""D""), ""D"","""")"),"")</f>
        <v/>
      </c>
      <c r="T34" s="236" t="str">
        <f>IFERROR(__xludf.DUMMYFUNCTION("IF(REGEXMATCH(I34, ""n""), ""n"","""")"),"n")</f>
        <v>n</v>
      </c>
      <c r="U34" s="237" t="str">
        <f>IFERROR(__xludf.DUMMYFUNCTION("IF(REGEXMATCH(I34, ""N""), ""N"","""")"),"")</f>
        <v/>
      </c>
      <c r="V34" s="238" t="str">
        <f>IFERROR(__xludf.DUMMYFUNCTION("IF(REGEXMATCH(I34, ""S""), ""S"","""")"),"S")</f>
        <v>S</v>
      </c>
      <c r="W34" s="239" t="str">
        <f>IFERROR(__xludf.DUMMYFUNCTION("SUBSTITUTE(CONCATENATE(JOIN(""-"",J34:P34)),""-"","""")"),"Srgm")</f>
        <v>Srgm</v>
      </c>
      <c r="X34" s="229" t="str">
        <f>IFERROR(__xludf.DUMMYFUNCTION("SUBSTITUTE(CONCATENATE(JOIN(""-"",Q34:V34)),""-"","""")"),"PdnS")</f>
        <v>PdnS</v>
      </c>
      <c r="Y34" s="282" t="str">
        <f t="shared" si="10"/>
        <v>S-R-G-M</v>
      </c>
      <c r="Z34" s="282" t="str">
        <f t="shared" si="11"/>
        <v>P-D-N-S</v>
      </c>
      <c r="AA34" s="309" t="str">
        <f t="shared" si="12"/>
        <v>rgmdn</v>
      </c>
      <c r="AB34" s="244" t="str">
        <f>IFERROR(__xludf.DUMMYFUNCTION("IF(REGEXMATCH(I34, ""S""), ""0"","""")"),"0")</f>
        <v>0</v>
      </c>
      <c r="AC34" s="245" t="str">
        <f>IFERROR(__xludf.DUMMYFUNCTION("IF(REGEXMATCH(I34, ""r""), ""1"","""")"),"1")</f>
        <v>1</v>
      </c>
      <c r="AD34" s="246" t="str">
        <f>IFERROR(__xludf.DUMMYFUNCTION("IF(REGEXMATCH(I34, ""R""), ""2"","""")"),"")</f>
        <v/>
      </c>
      <c r="AE34" s="246" t="str">
        <f>IFERROR(__xludf.DUMMYFUNCTION("IF(REGEXMATCH(I34, ""g""), ""3"","""")"),"3")</f>
        <v>3</v>
      </c>
      <c r="AF34" s="245" t="str">
        <f>IFERROR(__xludf.DUMMYFUNCTION("IF(REGEXMATCH(I34, ""G""), ""4"","""")"),"")</f>
        <v/>
      </c>
      <c r="AG34" s="245" t="str">
        <f>IFERROR(__xludf.DUMMYFUNCTION("IF(REGEXMATCH(I34, ""m""), ""5"","""")"),"5")</f>
        <v>5</v>
      </c>
      <c r="AH34" s="246" t="str">
        <f>IFERROR(__xludf.DUMMYFUNCTION("IF(REGEXMATCH(I34, ""M""), ""6"","""")"),"")</f>
        <v/>
      </c>
      <c r="AI34" s="245" t="str">
        <f>IFERROR(__xludf.DUMMYFUNCTION("IF(REGEXMATCH(I34, ""P""), ""7"","""")"),"7")</f>
        <v>7</v>
      </c>
      <c r="AJ34" s="246" t="str">
        <f>IFERROR(__xludf.DUMMYFUNCTION("IF(REGEXMATCH(I34, ""d""), ""8"","""")"),"8")</f>
        <v>8</v>
      </c>
      <c r="AK34" s="245" t="str">
        <f>IFERROR(__xludf.DUMMYFUNCTION("IF(REGEXMATCH(I34, ""D""), ""9"","""")"),"")</f>
        <v/>
      </c>
      <c r="AL34" s="245" t="str">
        <f>IFERROR(__xludf.DUMMYFUNCTION("IF(REGEXMATCH(I34, ""n""), ""10"","""")"),"10")</f>
        <v>10</v>
      </c>
      <c r="AM34" s="246" t="str">
        <f>IFERROR(__xludf.DUMMYFUNCTION("IF(REGEXMATCH(I34, ""N""), ""11"","""")"),"")</f>
        <v/>
      </c>
      <c r="AN34" s="249" t="str">
        <f>IFERROR(__xludf.DUMMYFUNCTION("IF(REGEXMATCH(I34, ""S""), ""0"","""")"),"0")</f>
        <v>0</v>
      </c>
      <c r="AO34" s="250" t="str">
        <f>IFERROR(__xludf.DUMMYFUNCTION("SUBSTITUTE(SUBSTITUTE(SUBSTITUTE(SUBSTITUTE(CONCATENATE(JOIN(""-"",AB34:AN34)),""--"",""-""),""--"",""-""),""--"",""-""),""--"",""-"")"),"0-1-3-5-7-8-10-0")</f>
        <v>0-1-3-5-7-8-10-0</v>
      </c>
      <c r="AP34" s="251">
        <f t="shared" si="13"/>
        <v>0</v>
      </c>
      <c r="AQ34" s="234" t="str">
        <f t="shared" si="14"/>
        <v>|</v>
      </c>
      <c r="AR34" s="236" t="str">
        <f t="shared" si="15"/>
        <v>|</v>
      </c>
      <c r="AS34" s="237" t="str">
        <f t="shared" si="16"/>
        <v>-</v>
      </c>
      <c r="AT34" s="236" t="str">
        <f t="shared" si="17"/>
        <v>|</v>
      </c>
      <c r="AU34" s="237" t="str">
        <f t="shared" si="18"/>
        <v>-</v>
      </c>
      <c r="AV34" s="236" t="str">
        <f t="shared" si="19"/>
        <v>|</v>
      </c>
      <c r="AW34" s="237" t="str">
        <f t="shared" si="20"/>
        <v>-</v>
      </c>
      <c r="AX34" s="236" t="str">
        <f t="shared" si="21"/>
        <v>|</v>
      </c>
      <c r="AY34" s="237" t="str">
        <f t="shared" si="22"/>
        <v>|</v>
      </c>
      <c r="AZ34" s="236" t="str">
        <f t="shared" si="23"/>
        <v>-</v>
      </c>
      <c r="BA34" s="237" t="str">
        <f t="shared" si="24"/>
        <v>|</v>
      </c>
      <c r="BB34" s="236" t="str">
        <f t="shared" si="25"/>
        <v>-</v>
      </c>
      <c r="BC34" s="238" t="str">
        <f t="shared" si="26"/>
        <v>|</v>
      </c>
      <c r="BD34" s="250" t="str">
        <f>IFERROR(__xludf.DUMMYFUNCTION("SUBSTITUTE(SUBSTITUTE(CONCATENATE(JOIN("""",AQ34:BB34)),""|"",""x""),""-"",""o"")"),"xxoxoxoxxoxo")</f>
        <v>xxoxoxoxxoxo</v>
      </c>
      <c r="BE34" s="323" t="str">
        <f>IFERROR(__xludf.DUMMYFUNCTION("JOIN("""",BD34,BD34)"),"xxoxoxoxxoxoxxoxoxoxxoxo")</f>
        <v>xxoxoxoxxoxoxxoxoxoxxoxo</v>
      </c>
      <c r="BF34" s="256" t="str">
        <f>IFERROR(__xludf.DUMMYFUNCTION("JOIN("""",ArrayFormula(MID(BD34,LEN(BD34)-SEQUENCE(1,LEN(BD34))+1,1)))"),"oxoxxoxoxoxx")</f>
        <v>oxoxxoxoxoxx</v>
      </c>
      <c r="BG34" s="256" t="str">
        <f>IFERROR(__xludf.DUMMYFUNCTION("LEFT(CONCATENATE(""x"",JOIN("""",ArrayFormula(MID(BD34,LEN(BD34)-SEQUENCE(1,LEN(BD34))+1,1)))),12)"),"xoxoxxoxoxox")</f>
        <v>xoxoxxoxoxox</v>
      </c>
      <c r="BH34" s="327" t="str">
        <f>IFERROR(__xludf.DUMMYFUNCTION("JOIN("""",BF34,BF34)"),"oxoxxoxoxoxxoxoxxoxoxoxx")</f>
        <v>oxoxxoxoxoxxoxoxxoxoxoxx</v>
      </c>
      <c r="BI34" s="239" t="str">
        <f>IFERROR(__xludf.DUMMYFUNCTION("IF(REGEXMATCH(BH34,BD34),""✔"",""-"")"),"✔")</f>
        <v>✔</v>
      </c>
      <c r="BJ34" s="330" t="str">
        <f t="shared" si="27"/>
        <v>-</v>
      </c>
      <c r="BK34" s="260" t="str">
        <f t="shared" si="28"/>
        <v>-</v>
      </c>
      <c r="BL34" s="261" t="str">
        <f>IFERROR(__xludf.DUMMYFUNCTION("IF(BO34=0,""(n/a)"",IF(BP34=2,""(PAIR)"",IF(REGEXMATCH(BE34,""xoxoxxoxoxox""),""Bilawal"",IF(REGEXMATCH(BE34,""xoxoxooxoxoo""),""Bhupali"",IF(REGEXMATCH(BE34,""xoxoxxoxxoxo""),""Charukeshi"",IF(REGEXMATCH(BE34,""xoxoooxxoxxo""),""Kameshwari"",IF(REGEXMATC"&amp;"H(BE34,""xoxoxooxoxox""),""Shankara"",IF(REGEXMATCH(BE34,""xxooxoxxxoox""),""Basant"",IF(REGEXMATCH(BE34,""xoxoxxxxoxox""),""Bihag"",IF(REGEXMATCH(BE34,""xoxxxxoxoxxx""),""Pilu"",IF(REGEXMATCH(BE34,""xoxxoxoxxoox""),""Kirwani"",IF(REGEXMATCH(BE34,""xoxxox"&amp;"oxoxxx""),""Mk.Malhar"",IF(REGEXMATCH(BE34,""xxooxxoxxoox""),""Bhairav"",IF(REGEXMATCH(BE34,""xxoxooxxxoox""),""Todi"",IF(REGEXMATCH(BE34,""xxooxoxooxox""),""Marwa"",IF(REGEXMATCH(BE34,""xxoooxoxxooo""),""Gunkali"",IF(REGEXMATCH(BE34,""xoxoxxoxxoox""),""N"&amp;"at Bhairav"",IF(REGEXMATCH(BE34,""xoxxoooxoxoo""),""Shivranjani"",IF(REGEXMATCH(BE34,""xooxxxoxooxo""),""Jog"",IF(REGEXMATCH(BE34,""xxooxoxoxoox""),""Hemshri"",IF(REGEXMATCH(BE34,""xoooxooxoxxo""),""Kalavati"",IF(REGEXMATCH(BE34,""xxoxoxxoxoox""),""Kedar"&amp;""",IF(REGEXMATCH(BE34,""xoxxxxoxooxx""),""Gara"",IF(REGEXMATCH(BE34,""xooxoxooxoox""),""Chandrakauns"",IF(REGEXMATCH(BE34,""xoxxxxoxxxox""),""Mand"",IF(REGEXMATCH(BE34,""xoxxxxoxoxox""),""Hanskinkini"",IF(REGEXMATCH(BE34,""xxooxxoxooxo""),""Lilavati"",IF("&amp;"REGEXMATCH(BE34,""xooxoxoooxox""),""Rajeshwari"",IF(REGEXMATCH(BE34,""xoooxxoxoxxx""),""Khokar"",IF(REGEXMATCH(BE34,""xxooxoxxxxox""),""Maligoura"",""-""))))))))))))))))))))))))))))))"),"Bilawal")</f>
        <v>Bilawal</v>
      </c>
      <c r="BM34" s="239">
        <f t="shared" si="29"/>
        <v>6</v>
      </c>
      <c r="BN34" s="239">
        <f>IFERROR(__xludf.DUMMYFUNCTION("COUNTUNIQUE(BR34:CB34)-1"),6.0)</f>
        <v>6</v>
      </c>
      <c r="BO34" s="239">
        <f>IFERROR(__xludf.DUMMYFUNCTION("COUNTUNIQUE(FILTER(BE:BE,REGEXMATCH(BE:BE,BD34)))-1"),5.0)</f>
        <v>5</v>
      </c>
      <c r="BP34" s="239">
        <f>IFERROR(__xludf.DUMMYFUNCTION("COUNTA(FILTER(BE:BE,REGEXMATCH(BE:BE,BD34)))"),6.0)</f>
        <v>6</v>
      </c>
      <c r="BQ34" s="341">
        <f>IFERROR(__xludf.DUMMYFUNCTION("COUNTA(FILTER(BE:BE,REGEXMATCH(BE:BE,BD34)))-AP34"),6.0)</f>
        <v>6</v>
      </c>
      <c r="BR34" s="269" t="str">
        <f t="shared" si="30"/>
        <v>xoxoxoxxoxo</v>
      </c>
      <c r="BS34" s="269" t="str">
        <f t="shared" si="31"/>
        <v>-</v>
      </c>
      <c r="BT34" s="271" t="str">
        <f t="shared" si="32"/>
        <v>xoxoxxoxoxx</v>
      </c>
      <c r="BU34" s="269" t="str">
        <f t="shared" si="33"/>
        <v>-</v>
      </c>
      <c r="BV34" s="271" t="str">
        <f t="shared" si="34"/>
        <v>xoxxoxoxxox</v>
      </c>
      <c r="BW34" s="271" t="str">
        <f t="shared" si="35"/>
        <v>-</v>
      </c>
      <c r="BX34" s="271" t="str">
        <f t="shared" si="36"/>
        <v>xxoxoxxoxox</v>
      </c>
      <c r="BY34" s="271" t="str">
        <f t="shared" si="37"/>
        <v>xoxoxxoxoxo</v>
      </c>
      <c r="BZ34" s="271" t="str">
        <f t="shared" si="38"/>
        <v>-</v>
      </c>
      <c r="CA34" s="271" t="str">
        <f t="shared" si="39"/>
        <v>xoxxoxoxoxx</v>
      </c>
      <c r="CB34" s="274" t="str">
        <f t="shared" si="40"/>
        <v>-</v>
      </c>
      <c r="CC34" s="276" t="str">
        <f>IFERROR(__xludf.DUMMYFUNCTION("IF(BD34=""oooooooooooo"",""-"",IF(REGEXMATCH(BE34,""xx""), ""Hemi."", ""Anhemi.""))"),"Hemi.")</f>
        <v>Hemi.</v>
      </c>
      <c r="CD34" s="282" t="str">
        <f>IFERROR(__xludf.DUMMYFUNCTION("IF(BD34=""oooooooooooo"",""-"",IF(REGEXMATCH(BE34,""xxx""), ""Cohem."", ""-""))"),"-")</f>
        <v>-</v>
      </c>
      <c r="CE34" s="282" t="str">
        <f>IFERROR(__xludf.DUMMYFUNCTION("IF(BD34=""oooooooooooo"",""-"",IF(REGEXMATCH(BE34,""xxxx""), ""Co-Co."", ""-""))"),"-")</f>
        <v>-</v>
      </c>
      <c r="CF34" s="342" t="str">
        <f>IFERROR(__xludf.DUMMYFUNCTION("IF(BD34=""oooooooooooo"",""-"",IF(REGEXMATCH(BE34,""xxxxx""), ""CCC."", ""-""))"),"-")</f>
        <v>-</v>
      </c>
      <c r="CG34" s="344" t="str">
        <f t="shared" si="41"/>
        <v>Bhairavi</v>
      </c>
      <c r="CH34" s="282" t="str">
        <f>IFERROR(__xludf.DUMMYFUNCTION("IF(REGEXMATCH(JOIN(""-"",CJ34:CS34),""TRUE""),""✔"",""-"")"),"✔")</f>
        <v>✔</v>
      </c>
      <c r="CI34" s="225">
        <f t="shared" si="42"/>
        <v>1</v>
      </c>
      <c r="CJ34" s="376" t="b">
        <f>IFERROR(__xludf.DUMMYFUNCTION("arrayformula(sum(--REGEXMATCH(""SRGMPDNS"",split(REGEXREPLACE(I34,""(.)"",""$1~""),""~""))))=len(I34)
"),FALSE)</f>
        <v>0</v>
      </c>
      <c r="CK34" s="290" t="b">
        <f>IFERROR(__xludf.DUMMYFUNCTION("arrayformula(sum(--REGEXMATCH(""SRGmPDNS"",split(REGEXREPLACE(I34,""(.)"",""$1~""),""~""))))=len(I34)"),FALSE)</f>
        <v>0</v>
      </c>
      <c r="CL34" s="290" t="b">
        <f>IFERROR(__xludf.DUMMYFUNCTION("arrayformula(sum(--REGEXMATCH(""SRGmPDnS"",split(REGEXREPLACE(I34,""(.)"",""$1~""),""~""))))=len(I34)"),FALSE)</f>
        <v>0</v>
      </c>
      <c r="CM34" s="290" t="b">
        <f>IFERROR(__xludf.DUMMYFUNCTION("arrayformula(sum(--REGEXMATCH(""SRgmPDnS"",split(REGEXREPLACE(I34,""(.)"",""$1~""),""~""))))=len(I34)"),FALSE)</f>
        <v>0</v>
      </c>
      <c r="CN34" s="290" t="b">
        <f>IFERROR(__xludf.DUMMYFUNCTION("arrayformula(sum(--REGEXMATCH(""SRgmPdnS"",split(REGEXREPLACE(I34,""(.)"",""$1~""),""~""))))=len(I34)"),FALSE)</f>
        <v>0</v>
      </c>
      <c r="CO34" s="290" t="b">
        <f>IFERROR(__xludf.DUMMYFUNCTION("arrayformula(sum(--REGEXMATCH(""SrgmPdnS"",split(REGEXREPLACE(I34,""(.)"",""$1~""),""~""))))=len(I34)"),TRUE)</f>
        <v>1</v>
      </c>
      <c r="CP34" s="290" t="b">
        <f>IFERROR(__xludf.DUMMYFUNCTION("arrayformula(sum(--REGEXMATCH(""SrGmPdNS"",split(REGEXREPLACE(I34,""(.)"",""$1~""),""~""))))=len(I34)"),FALSE)</f>
        <v>0</v>
      </c>
      <c r="CQ34" s="290" t="b">
        <f>IFERROR(__xludf.DUMMYFUNCTION("arrayformula(sum(--REGEXMATCH(""SrGMPDNS"",split(REGEXREPLACE(I34,""(.)"",""$1~""),""~""))))=len(I34)"),FALSE)</f>
        <v>0</v>
      </c>
      <c r="CR34" s="290" t="b">
        <f>IFERROR(__xludf.DUMMYFUNCTION("arrayformula(sum(--REGEXMATCH(""SrGMPdNS"",split(REGEXREPLACE(I34,""(.)"",""$1~""),""~""))))=len(I34)"),FALSE)</f>
        <v>0</v>
      </c>
      <c r="CS34" s="293" t="b">
        <f>IFERROR(__xludf.DUMMYFUNCTION("arrayformula(sum(--REGEXMATCH(""SrgMPdNS"",split(REGEXREPLACE(I34,""(.)"",""$1~""),""~""))))=len(I34)"),FALSE)</f>
        <v>0</v>
      </c>
      <c r="CT34" s="244" t="str">
        <f>IFERROR(__xludf.DUMMYFUNCTION("IF(REGEXMATCH(I34, ""S""), ""1"","""")"),"1")</f>
        <v>1</v>
      </c>
      <c r="CU34" s="245" t="str">
        <f>IFERROR(__xludf.DUMMYFUNCTION("IF(REGEXMATCH(I34, ""r""), ""b2"","""")"),"b2")</f>
        <v>b2</v>
      </c>
      <c r="CV34" s="246" t="str">
        <f>IFERROR(__xludf.DUMMYFUNCTION("IF(REGEXMATCH(I34, ""R""), ""2"","""")"),"")</f>
        <v/>
      </c>
      <c r="CW34" s="246" t="str">
        <f>IFERROR(__xludf.DUMMYFUNCTION("IF(REGEXMATCH(I34, ""g""), ""b3"","""")"),"b3")</f>
        <v>b3</v>
      </c>
      <c r="CX34" s="245" t="str">
        <f>IFERROR(__xludf.DUMMYFUNCTION("IF(REGEXMATCH(I34, ""G""), ""3"","""")"),"")</f>
        <v/>
      </c>
      <c r="CY34" s="245" t="str">
        <f>IFERROR(__xludf.DUMMYFUNCTION("IF(REGEXMATCH(I34, ""m""), ""4"","""")"),"4")</f>
        <v>4</v>
      </c>
      <c r="CZ34" s="246" t="str">
        <f>IFERROR(__xludf.DUMMYFUNCTION("IF(REGEXMATCH(I34, ""M""), ""#4"","""")"),"")</f>
        <v/>
      </c>
      <c r="DA34" s="245" t="str">
        <f>IFERROR(__xludf.DUMMYFUNCTION("IF(REGEXMATCH(I34, ""P""), ""5"","""")"),"5")</f>
        <v>5</v>
      </c>
      <c r="DB34" s="246" t="str">
        <f>IFERROR(__xludf.DUMMYFUNCTION("IF(REGEXMATCH(I34, ""d""), ""b6"","""")"),"b6")</f>
        <v>b6</v>
      </c>
      <c r="DC34" s="245" t="str">
        <f>IFERROR(__xludf.DUMMYFUNCTION("IF(REGEXMATCH(I34, ""D""), ""6"","""")"),"")</f>
        <v/>
      </c>
      <c r="DD34" s="245" t="str">
        <f>IFERROR(__xludf.DUMMYFUNCTION("IF(REGEXMATCH(I34, ""n""), ""b7"","""")"),"b7")</f>
        <v>b7</v>
      </c>
      <c r="DE34" s="246" t="str">
        <f>IFERROR(__xludf.DUMMYFUNCTION("IF(REGEXMATCH(I34, ""N""), ""7"","""")"),"")</f>
        <v/>
      </c>
      <c r="DF34" s="249" t="str">
        <f>IFERROR(__xludf.DUMMYFUNCTION("IF(REGEXMATCH(I34, ""S""), ""8"","""")"),"8")</f>
        <v>8</v>
      </c>
      <c r="DG34" s="244" t="str">
        <f>IFERROR(__xludf.DUMMYFUNCTION("IF(REGEXMATCH(I34, ""S""), ""S"","""")"),"S")</f>
        <v>S</v>
      </c>
      <c r="DH34" s="294" t="str">
        <f>IFERROR(__xludf.DUMMYFUNCTION("IF(REGEXMATCH(I34, ""r""), ""R1"","""")"),"R1")</f>
        <v>R1</v>
      </c>
      <c r="DI34" s="295" t="str">
        <f>IFERROR(__xludf.DUMMYFUNCTION("IF(REGEXMATCH(I34, ""R""), ""R2"","""")"),"")</f>
        <v/>
      </c>
      <c r="DJ34" s="295" t="str">
        <f>IFERROR(__xludf.DUMMYFUNCTION("IF(REGEXMATCH(I34, ""g""), ""G2"","""")"),"G2")</f>
        <v>G2</v>
      </c>
      <c r="DK34" s="294" t="str">
        <f>IFERROR(__xludf.DUMMYFUNCTION("IF(REGEXMATCH(I34, ""G""), ""G3"","""")"),"")</f>
        <v/>
      </c>
      <c r="DL34" s="294" t="str">
        <f>IFERROR(__xludf.DUMMYFUNCTION("IF(REGEXMATCH(I34, ""m""), ""M1"","""")"),"M1")</f>
        <v>M1</v>
      </c>
      <c r="DM34" s="295" t="str">
        <f>IFERROR(__xludf.DUMMYFUNCTION("IF(REGEXMATCH(I34, ""M""), ""M2"","""")"),"")</f>
        <v/>
      </c>
      <c r="DN34" s="294" t="str">
        <f>IFERROR(__xludf.DUMMYFUNCTION("IF(REGEXMATCH(I34, ""P""), ""P"","""")"),"P")</f>
        <v>P</v>
      </c>
      <c r="DO34" s="295" t="str">
        <f>IFERROR(__xludf.DUMMYFUNCTION("IF(REGEXMATCH(I34, ""d""), ""D1"","""")"),"D1")</f>
        <v>D1</v>
      </c>
      <c r="DP34" s="294" t="str">
        <f>IFERROR(__xludf.DUMMYFUNCTION("IF(REGEXMATCH(I34, ""D""), ""D2"","""")"),"")</f>
        <v/>
      </c>
      <c r="DQ34" s="294" t="str">
        <f>IFERROR(__xludf.DUMMYFUNCTION("IF(REGEXMATCH(I34, ""n""), ""N2"","""")"),"N2")</f>
        <v>N2</v>
      </c>
      <c r="DR34" s="295" t="str">
        <f>IFERROR(__xludf.DUMMYFUNCTION("IF(REGEXMATCH(I34, ""N""), ""N3"","""")"),"")</f>
        <v/>
      </c>
      <c r="DS34" s="249" t="str">
        <f>IFERROR(__xludf.DUMMYFUNCTION("IF(REGEXMATCH(I34, ""S""), ""S"","""")"),"S")</f>
        <v>S</v>
      </c>
      <c r="DT34" s="299" t="str">
        <f>IFERROR(__xludf.DUMMYFUNCTION("SUBSTITUTE(SUBSTITUTE(SUBSTITUTE(SUBSTITUTE(CONCATENATE(JOIN(""-"",CT34:DF34)),""--"",""-""),""--"",""-""),""--"",""-""),""--"",""-"")"),"1-b2-b3-4-5-b6-b7-8")</f>
        <v>1-b2-b3-4-5-b6-b7-8</v>
      </c>
      <c r="DU34" s="299" t="str">
        <f>IFERROR(__xludf.DUMMYFUNCTION("SUBSTITUTE(SUBSTITUTE(SUBSTITUTE(SUBSTITUTE(CONCATENATE(JOIN(""-"",DG34:DS34)),""--"",""-""),""--"",""-""),""--"",""-""),""--"",""-"")"),"S-R1-G2-M1-P-D1-N2-S")</f>
        <v>S-R1-G2-M1-P-D1-N2-S</v>
      </c>
      <c r="DV34" s="348" t="str">
        <f t="shared" si="43"/>
        <v>C-Db-Eb-F-G-Ab-Bb-C</v>
      </c>
      <c r="DW34" s="301">
        <f t="shared" si="44"/>
        <v>7</v>
      </c>
      <c r="DX34" s="302" t="str">
        <f t="shared" si="45"/>
        <v>Sampurna</v>
      </c>
      <c r="DY34" s="301" t="str">
        <f t="shared" ref="DY34:DZ34" si="200">SUBSTITUTE(Y34,"-","")</f>
        <v>SRGM</v>
      </c>
      <c r="DZ34" s="301" t="str">
        <f t="shared" si="200"/>
        <v>PDNS</v>
      </c>
      <c r="EA34" s="302" t="str">
        <f t="shared" si="47"/>
        <v>Bilawal</v>
      </c>
      <c r="EB34" s="301" t="str">
        <f t="shared" si="48"/>
        <v>Hemi.</v>
      </c>
      <c r="EC34" s="364" t="str">
        <f t="shared" si="49"/>
        <v>-</v>
      </c>
      <c r="ED34" s="306" t="str">
        <f t="shared" si="50"/>
        <v>Bhairavi</v>
      </c>
      <c r="EE34" s="366" t="str">
        <f t="shared" si="51"/>
        <v>-</v>
      </c>
      <c r="EF34" s="308" t="str">
        <f t="shared" si="52"/>
        <v>-</v>
      </c>
      <c r="EG34" s="306" t="str">
        <f t="shared" si="53"/>
        <v>-</v>
      </c>
      <c r="EH34" s="306" t="str">
        <f t="shared" si="54"/>
        <v>✔</v>
      </c>
      <c r="EI34" s="367" t="str">
        <f t="shared" si="55"/>
        <v>-</v>
      </c>
      <c r="EJ34" s="310" t="str">
        <f t="shared" si="56"/>
        <v>-</v>
      </c>
      <c r="EK34" s="310" t="str">
        <f t="shared" si="57"/>
        <v>-</v>
      </c>
      <c r="EL34" s="310" t="str">
        <f t="shared" si="58"/>
        <v>-</v>
      </c>
      <c r="EM34" s="310" t="str">
        <f t="shared" si="59"/>
        <v>-</v>
      </c>
      <c r="EN34" s="370" t="str">
        <f t="shared" si="60"/>
        <v>-</v>
      </c>
      <c r="EO34" s="306" t="str">
        <f t="shared" si="61"/>
        <v>-</v>
      </c>
      <c r="EP34" s="306" t="str">
        <f t="shared" si="62"/>
        <v>-</v>
      </c>
      <c r="EQ34" s="306" t="str">
        <f t="shared" si="63"/>
        <v>-</v>
      </c>
      <c r="ER34" s="306" t="str">
        <f t="shared" si="64"/>
        <v>-</v>
      </c>
      <c r="ES34" s="306" t="str">
        <f t="shared" si="65"/>
        <v>-</v>
      </c>
      <c r="ET34" s="367" t="str">
        <f t="shared" si="66"/>
        <v>-</v>
      </c>
      <c r="EU34" s="310" t="str">
        <f>IFERROR(__xludf.DUMMYFUNCTION("IF(REGEXMATCH(BH34,BD34),""✔"",""-"")"),"✔")</f>
        <v>✔</v>
      </c>
      <c r="EV34" s="310" t="str">
        <f t="shared" si="67"/>
        <v>-</v>
      </c>
      <c r="EW34" s="370" t="str">
        <f t="shared" si="68"/>
        <v>-</v>
      </c>
      <c r="EX34" s="315" t="str">
        <f t="shared" si="69"/>
        <v>[UQ]</v>
      </c>
      <c r="EY34" s="317" t="str">
        <f t="shared" si="70"/>
        <v>S-r-g-m-P-d-n-S</v>
      </c>
      <c r="EZ34" s="318" t="str">
        <f>IFERROR(__xludf.DUMMYFUNCTION("CONCATENATE(JOIN("""",GE34:GQ34))"),"SRGmPDNS")</f>
        <v>SRGmPDNS</v>
      </c>
      <c r="FA34" s="318"/>
      <c r="FB34" s="318"/>
      <c r="FC34" s="321">
        <f t="shared" si="71"/>
        <v>1</v>
      </c>
      <c r="FD34" s="318" t="str">
        <f>IFERROR(__xludf.DUMMYFUNCTION("CONCATENATE(JOIN("""",HR34:ID34))"),"Pa, ")</f>
        <v>Pa, </v>
      </c>
      <c r="FE34" s="322">
        <f t="shared" si="72"/>
        <v>0</v>
      </c>
      <c r="FF34" s="324" t="str">
        <f>IFERROR(__xludf.DUMMYFUNCTION("CONCATENATE(JOIN("""",IR34:JD34))"),"")</f>
        <v/>
      </c>
      <c r="FG34" s="325" t="str">
        <f t="shared" si="73"/>
        <v>S-R1-G2-M1-P-D1-N2-S</v>
      </c>
      <c r="FH34" s="326" t="str">
        <f t="shared" si="74"/>
        <v>1-b2-b3-4-5-b6-b7-8</v>
      </c>
      <c r="FI34" s="326" t="str">
        <f t="shared" si="75"/>
        <v>0-1-3-5-7-8-10-0</v>
      </c>
      <c r="FJ34" s="318"/>
      <c r="FK34" s="328" t="str">
        <f>IFERROR(__xludf.DUMMYFUNCTION("SUBSTITUTE(SUBSTITUTE(SUBSTITUTE(SUBSTITUTE(CONCATENATE(JOIN("" "",FN34:FZ34)),""  "","" ""),""  "","" ""),""  "","" ""),""  "","" "")"),"o o • o • o • o o • o • o")</f>
        <v>o o • o • o • o o • o • o</v>
      </c>
      <c r="FL34" s="328" t="str">
        <f t="shared" si="76"/>
        <v>-</v>
      </c>
      <c r="FM34" s="329"/>
      <c r="FN34" s="331" t="str">
        <f t="shared" si="77"/>
        <v>o</v>
      </c>
      <c r="FO34" s="332" t="str">
        <f t="shared" si="78"/>
        <v>o</v>
      </c>
      <c r="FP34" s="332" t="str">
        <f t="shared" si="79"/>
        <v>•</v>
      </c>
      <c r="FQ34" s="332" t="str">
        <f t="shared" si="80"/>
        <v>o</v>
      </c>
      <c r="FR34" s="332" t="str">
        <f t="shared" si="81"/>
        <v>•</v>
      </c>
      <c r="FS34" s="332" t="str">
        <f t="shared" si="82"/>
        <v>o</v>
      </c>
      <c r="FT34" s="332" t="str">
        <f t="shared" si="83"/>
        <v>•</v>
      </c>
      <c r="FU34" s="332" t="str">
        <f t="shared" si="84"/>
        <v>o</v>
      </c>
      <c r="FV34" s="332" t="str">
        <f t="shared" si="85"/>
        <v>o</v>
      </c>
      <c r="FW34" s="332" t="str">
        <f t="shared" si="86"/>
        <v>•</v>
      </c>
      <c r="FX34" s="332" t="str">
        <f t="shared" si="87"/>
        <v>o</v>
      </c>
      <c r="FY34" s="332" t="str">
        <f t="shared" si="88"/>
        <v>•</v>
      </c>
      <c r="FZ34" s="338" t="str">
        <f t="shared" si="89"/>
        <v>o</v>
      </c>
      <c r="GA34" s="339" t="str">
        <f t="shared" si="90"/>
        <v>-</v>
      </c>
      <c r="GB34" s="339" t="str">
        <f t="shared" si="91"/>
        <v>Sa-Pa</v>
      </c>
      <c r="GC34" s="339" t="str">
        <f t="shared" si="92"/>
        <v>-</v>
      </c>
      <c r="GD34" s="340" t="str">
        <f t="shared" si="93"/>
        <v>-</v>
      </c>
      <c r="GE34" s="331" t="str">
        <f t="shared" si="94"/>
        <v>S</v>
      </c>
      <c r="GF34" s="332" t="str">
        <f t="shared" si="95"/>
        <v/>
      </c>
      <c r="GG34" s="332" t="str">
        <f t="shared" si="96"/>
        <v>R</v>
      </c>
      <c r="GH34" s="332" t="str">
        <f t="shared" si="97"/>
        <v/>
      </c>
      <c r="GI34" s="332" t="str">
        <f t="shared" si="98"/>
        <v>G</v>
      </c>
      <c r="GJ34" s="332" t="str">
        <f t="shared" si="99"/>
        <v>m</v>
      </c>
      <c r="GK34" s="332" t="str">
        <f t="shared" si="100"/>
        <v/>
      </c>
      <c r="GL34" s="332" t="str">
        <f t="shared" si="101"/>
        <v>P</v>
      </c>
      <c r="GM34" s="332" t="str">
        <f t="shared" si="102"/>
        <v/>
      </c>
      <c r="GN34" s="332" t="str">
        <f t="shared" si="103"/>
        <v>D</v>
      </c>
      <c r="GO34" s="332" t="str">
        <f t="shared" si="104"/>
        <v/>
      </c>
      <c r="GP34" s="332" t="str">
        <f t="shared" si="105"/>
        <v>N</v>
      </c>
      <c r="GQ34" s="343" t="str">
        <f t="shared" si="106"/>
        <v>S</v>
      </c>
      <c r="GR34" s="331" t="str">
        <f t="shared" si="107"/>
        <v>•</v>
      </c>
      <c r="GS34" s="332" t="str">
        <f t="shared" si="108"/>
        <v>•</v>
      </c>
      <c r="GT34" s="332" t="str">
        <f t="shared" si="109"/>
        <v>o</v>
      </c>
      <c r="GU34" s="332" t="str">
        <f t="shared" si="110"/>
        <v>•</v>
      </c>
      <c r="GV34" s="332" t="str">
        <f t="shared" si="111"/>
        <v>o</v>
      </c>
      <c r="GW34" s="332" t="str">
        <f t="shared" si="112"/>
        <v>•</v>
      </c>
      <c r="GX34" s="332" t="str">
        <f t="shared" si="113"/>
        <v>o</v>
      </c>
      <c r="GY34" s="332" t="str">
        <f t="shared" si="114"/>
        <v>•</v>
      </c>
      <c r="GZ34" s="332" t="str">
        <f t="shared" si="115"/>
        <v>•</v>
      </c>
      <c r="HA34" s="332" t="str">
        <f t="shared" si="116"/>
        <v>o</v>
      </c>
      <c r="HB34" s="332" t="str">
        <f t="shared" si="117"/>
        <v>•</v>
      </c>
      <c r="HC34" s="332" t="str">
        <f t="shared" si="118"/>
        <v>o</v>
      </c>
      <c r="HD34" s="338" t="str">
        <f t="shared" si="119"/>
        <v>•</v>
      </c>
      <c r="HE34" s="346" t="b">
        <f t="shared" si="120"/>
        <v>0</v>
      </c>
      <c r="HF34" s="347" t="b">
        <f t="shared" si="121"/>
        <v>0</v>
      </c>
      <c r="HG34" s="347" t="b">
        <f t="shared" si="122"/>
        <v>0</v>
      </c>
      <c r="HH34" s="347" t="b">
        <f t="shared" si="123"/>
        <v>0</v>
      </c>
      <c r="HI34" s="347" t="b">
        <f t="shared" si="124"/>
        <v>0</v>
      </c>
      <c r="HJ34" s="347" t="b">
        <f t="shared" si="125"/>
        <v>0</v>
      </c>
      <c r="HK34" s="347" t="b">
        <f t="shared" si="126"/>
        <v>0</v>
      </c>
      <c r="HL34" s="347" t="b">
        <f t="shared" si="127"/>
        <v>1</v>
      </c>
      <c r="HM34" s="347" t="b">
        <f t="shared" si="128"/>
        <v>0</v>
      </c>
      <c r="HN34" s="347" t="b">
        <f t="shared" si="129"/>
        <v>0</v>
      </c>
      <c r="HO34" s="347" t="b">
        <f t="shared" si="130"/>
        <v>0</v>
      </c>
      <c r="HP34" s="347" t="b">
        <f t="shared" si="131"/>
        <v>0</v>
      </c>
      <c r="HQ34" s="353" t="b">
        <f t="shared" si="132"/>
        <v>0</v>
      </c>
      <c r="HR34" s="354" t="str">
        <f t="shared" si="133"/>
        <v/>
      </c>
      <c r="HS34" s="355" t="str">
        <f t="shared" si="134"/>
        <v/>
      </c>
      <c r="HT34" s="355" t="str">
        <f t="shared" si="135"/>
        <v/>
      </c>
      <c r="HU34" s="355" t="str">
        <f t="shared" si="136"/>
        <v/>
      </c>
      <c r="HV34" s="355" t="str">
        <f t="shared" si="137"/>
        <v/>
      </c>
      <c r="HW34" s="355" t="str">
        <f t="shared" si="138"/>
        <v/>
      </c>
      <c r="HX34" s="355" t="str">
        <f t="shared" si="139"/>
        <v/>
      </c>
      <c r="HY34" s="355" t="str">
        <f t="shared" si="140"/>
        <v>Pa, </v>
      </c>
      <c r="HZ34" s="355" t="str">
        <f t="shared" si="141"/>
        <v/>
      </c>
      <c r="IA34" s="355" t="str">
        <f t="shared" si="142"/>
        <v/>
      </c>
      <c r="IB34" s="355" t="str">
        <f t="shared" si="143"/>
        <v/>
      </c>
      <c r="IC34" s="355" t="str">
        <f t="shared" si="144"/>
        <v/>
      </c>
      <c r="ID34" s="359" t="str">
        <f t="shared" si="145"/>
        <v/>
      </c>
      <c r="IE34" s="346" t="b">
        <f t="shared" si="146"/>
        <v>0</v>
      </c>
      <c r="IF34" s="347" t="b">
        <f t="shared" si="147"/>
        <v>0</v>
      </c>
      <c r="IG34" s="347" t="b">
        <f t="shared" si="148"/>
        <v>0</v>
      </c>
      <c r="IH34" s="347" t="b">
        <f t="shared" si="149"/>
        <v>0</v>
      </c>
      <c r="II34" s="347" t="b">
        <f t="shared" si="150"/>
        <v>0</v>
      </c>
      <c r="IJ34" s="347" t="b">
        <f t="shared" si="151"/>
        <v>0</v>
      </c>
      <c r="IK34" s="347" t="b">
        <f t="shared" si="152"/>
        <v>0</v>
      </c>
      <c r="IL34" s="347" t="b">
        <f t="shared" si="153"/>
        <v>0</v>
      </c>
      <c r="IM34" s="347" t="b">
        <f t="shared" si="154"/>
        <v>0</v>
      </c>
      <c r="IN34" s="347" t="b">
        <f t="shared" si="155"/>
        <v>0</v>
      </c>
      <c r="IO34" s="347" t="b">
        <f t="shared" si="156"/>
        <v>0</v>
      </c>
      <c r="IP34" s="347" t="b">
        <f t="shared" si="157"/>
        <v>0</v>
      </c>
      <c r="IQ34" s="365" t="b">
        <f t="shared" si="158"/>
        <v>0</v>
      </c>
      <c r="IR34" s="354" t="str">
        <f t="shared" si="159"/>
        <v/>
      </c>
      <c r="IS34" s="355" t="str">
        <f t="shared" si="160"/>
        <v/>
      </c>
      <c r="IT34" s="355" t="str">
        <f t="shared" si="161"/>
        <v/>
      </c>
      <c r="IU34" s="355" t="str">
        <f t="shared" si="162"/>
        <v/>
      </c>
      <c r="IV34" s="355" t="str">
        <f t="shared" si="163"/>
        <v/>
      </c>
      <c r="IW34" s="355" t="str">
        <f t="shared" si="164"/>
        <v/>
      </c>
      <c r="IX34" s="355" t="str">
        <f t="shared" si="165"/>
        <v/>
      </c>
      <c r="IY34" s="355" t="str">
        <f t="shared" si="166"/>
        <v/>
      </c>
      <c r="IZ34" s="355" t="str">
        <f t="shared" si="167"/>
        <v/>
      </c>
      <c r="JA34" s="355" t="str">
        <f t="shared" si="168"/>
        <v/>
      </c>
      <c r="JB34" s="355" t="str">
        <f t="shared" si="169"/>
        <v/>
      </c>
      <c r="JC34" s="355" t="str">
        <f t="shared" si="170"/>
        <v/>
      </c>
      <c r="JD34" s="359"/>
      <c r="JE34" s="321"/>
      <c r="JF34" s="368"/>
      <c r="JG34" s="369"/>
      <c r="JH34" s="369"/>
      <c r="JI34" s="369"/>
      <c r="JJ34" s="369"/>
      <c r="JK34" s="369"/>
      <c r="JL34" s="369"/>
      <c r="JM34" s="369"/>
      <c r="JN34" s="369"/>
      <c r="JO34" s="369"/>
      <c r="JP34" s="369"/>
    </row>
    <row r="35" ht="18.0" customHeight="1">
      <c r="A35" s="419"/>
      <c r="B35" s="420"/>
      <c r="C35" s="420"/>
      <c r="D35" s="421"/>
      <c r="E35" s="330"/>
      <c r="F35" s="422"/>
      <c r="G35" s="330"/>
      <c r="H35" s="423"/>
      <c r="I35" s="424"/>
      <c r="J35" s="425"/>
      <c r="K35" s="426"/>
      <c r="L35" s="309"/>
      <c r="M35" s="309"/>
      <c r="N35" s="426"/>
      <c r="O35" s="426"/>
      <c r="P35" s="309"/>
      <c r="Q35" s="426"/>
      <c r="R35" s="309"/>
      <c r="S35" s="426"/>
      <c r="T35" s="426"/>
      <c r="U35" s="309"/>
      <c r="V35" s="425"/>
      <c r="W35" s="330"/>
      <c r="X35" s="330"/>
      <c r="Y35" s="309"/>
      <c r="Z35" s="309"/>
      <c r="AA35" s="309"/>
      <c r="AB35" s="427"/>
      <c r="AC35" s="424"/>
      <c r="AD35" s="362"/>
      <c r="AE35" s="362"/>
      <c r="AF35" s="424"/>
      <c r="AG35" s="424"/>
      <c r="AH35" s="362"/>
      <c r="AI35" s="424"/>
      <c r="AJ35" s="362"/>
      <c r="AK35" s="424"/>
      <c r="AL35" s="424"/>
      <c r="AM35" s="362"/>
      <c r="AN35" s="427"/>
      <c r="AO35" s="362"/>
      <c r="AP35" s="428"/>
      <c r="AQ35" s="425"/>
      <c r="AR35" s="426"/>
      <c r="AS35" s="309"/>
      <c r="AT35" s="426"/>
      <c r="AU35" s="309"/>
      <c r="AV35" s="426"/>
      <c r="AW35" s="309"/>
      <c r="AX35" s="426"/>
      <c r="AY35" s="309"/>
      <c r="AZ35" s="426"/>
      <c r="BA35" s="309"/>
      <c r="BB35" s="426"/>
      <c r="BC35" s="425"/>
      <c r="BD35" s="429"/>
      <c r="BE35" s="429"/>
      <c r="BF35" s="430"/>
      <c r="BG35" s="430"/>
      <c r="BH35" s="430"/>
      <c r="BI35" s="330"/>
      <c r="BJ35" s="330"/>
      <c r="BK35" s="330"/>
      <c r="BL35" s="309"/>
      <c r="BM35" s="330"/>
      <c r="BN35" s="330"/>
      <c r="BO35" s="330"/>
      <c r="BP35" s="330"/>
      <c r="BQ35" s="330"/>
      <c r="BR35" s="431"/>
      <c r="BS35" s="431"/>
      <c r="BT35" s="432"/>
      <c r="BU35" s="431"/>
      <c r="BV35" s="432"/>
      <c r="BW35" s="432"/>
      <c r="BX35" s="432"/>
      <c r="BY35" s="432"/>
      <c r="BZ35" s="432"/>
      <c r="CA35" s="432"/>
      <c r="CB35" s="432"/>
      <c r="CC35" s="309"/>
      <c r="CD35" s="309"/>
      <c r="CE35" s="309"/>
      <c r="CF35" s="309"/>
      <c r="CG35" s="309"/>
      <c r="CH35" s="330"/>
      <c r="CI35" s="330"/>
      <c r="CJ35" s="433"/>
      <c r="CK35" s="433"/>
      <c r="CL35" s="433"/>
      <c r="CM35" s="433"/>
      <c r="CN35" s="433"/>
      <c r="CO35" s="433"/>
      <c r="CP35" s="433"/>
      <c r="CQ35" s="433"/>
      <c r="CR35" s="433"/>
      <c r="CS35" s="433"/>
      <c r="CT35" s="427"/>
      <c r="CU35" s="424"/>
      <c r="CV35" s="362"/>
      <c r="CW35" s="362"/>
      <c r="CX35" s="424"/>
      <c r="CY35" s="424"/>
      <c r="CZ35" s="362"/>
      <c r="DA35" s="424"/>
      <c r="DB35" s="362"/>
      <c r="DC35" s="424"/>
      <c r="DD35" s="424"/>
      <c r="DE35" s="362"/>
      <c r="DF35" s="427"/>
      <c r="DG35" s="427"/>
      <c r="DH35" s="424"/>
      <c r="DI35" s="362"/>
      <c r="DJ35" s="362"/>
      <c r="DK35" s="424"/>
      <c r="DL35" s="424"/>
      <c r="DM35" s="362"/>
      <c r="DN35" s="424"/>
      <c r="DO35" s="362"/>
      <c r="DP35" s="424"/>
      <c r="DQ35" s="424"/>
      <c r="DR35" s="362"/>
      <c r="DS35" s="427"/>
      <c r="DT35" s="362"/>
      <c r="DU35" s="362"/>
      <c r="DV35" s="309"/>
      <c r="DW35" s="434"/>
      <c r="DX35" s="435"/>
      <c r="DY35" s="434"/>
      <c r="DZ35" s="434"/>
      <c r="EA35" s="435"/>
      <c r="EB35" s="434"/>
      <c r="EC35" s="434"/>
      <c r="ED35" s="366"/>
      <c r="EE35" s="366"/>
      <c r="EF35" s="366"/>
      <c r="EG35" s="366"/>
      <c r="EH35" s="366"/>
      <c r="EI35" s="366"/>
      <c r="EJ35" s="436"/>
      <c r="EK35" s="436"/>
      <c r="EL35" s="436"/>
      <c r="EM35" s="436"/>
      <c r="EN35" s="436"/>
      <c r="EO35" s="366"/>
      <c r="EP35" s="366"/>
      <c r="EQ35" s="366"/>
      <c r="ER35" s="366"/>
      <c r="ES35" s="366"/>
      <c r="ET35" s="366"/>
      <c r="EU35" s="436"/>
      <c r="EV35" s="436"/>
      <c r="EW35" s="436"/>
      <c r="EX35" s="317"/>
      <c r="EY35" s="317"/>
      <c r="EZ35" s="321"/>
      <c r="FA35" s="321"/>
      <c r="FB35" s="321"/>
      <c r="FC35" s="321"/>
      <c r="FD35" s="321"/>
      <c r="FE35" s="322"/>
      <c r="FF35" s="322"/>
      <c r="FG35" s="321"/>
      <c r="FH35" s="321"/>
      <c r="FI35" s="321"/>
      <c r="FJ35" s="321"/>
      <c r="FK35" s="321"/>
      <c r="FL35" s="321"/>
      <c r="FM35" s="329"/>
      <c r="FN35" s="437"/>
      <c r="FO35" s="438"/>
      <c r="FP35" s="438"/>
      <c r="FQ35" s="438"/>
      <c r="FR35" s="438"/>
      <c r="FS35" s="438"/>
      <c r="FT35" s="438"/>
      <c r="FU35" s="438"/>
      <c r="FV35" s="438"/>
      <c r="FW35" s="438"/>
      <c r="FX35" s="438"/>
      <c r="FY35" s="438"/>
      <c r="FZ35" s="437"/>
      <c r="GA35" s="340"/>
      <c r="GB35" s="340"/>
      <c r="GC35" s="340"/>
      <c r="GD35" s="340"/>
      <c r="GE35" s="437"/>
      <c r="GF35" s="438"/>
      <c r="GG35" s="438"/>
      <c r="GH35" s="438"/>
      <c r="GI35" s="438"/>
      <c r="GJ35" s="438"/>
      <c r="GK35" s="438"/>
      <c r="GL35" s="438"/>
      <c r="GM35" s="438"/>
      <c r="GN35" s="438"/>
      <c r="GO35" s="438"/>
      <c r="GP35" s="438"/>
      <c r="GQ35" s="437"/>
      <c r="GR35" s="437"/>
      <c r="GS35" s="438"/>
      <c r="GT35" s="438"/>
      <c r="GU35" s="438"/>
      <c r="GV35" s="438"/>
      <c r="GW35" s="438"/>
      <c r="GX35" s="438"/>
      <c r="GY35" s="438"/>
      <c r="GZ35" s="438"/>
      <c r="HA35" s="438"/>
      <c r="HB35" s="438"/>
      <c r="HC35" s="438"/>
      <c r="HD35" s="437"/>
      <c r="HE35" s="439"/>
      <c r="HF35" s="440"/>
      <c r="HG35" s="440"/>
      <c r="HH35" s="440"/>
      <c r="HI35" s="440"/>
      <c r="HJ35" s="440"/>
      <c r="HK35" s="440"/>
      <c r="HL35" s="440"/>
      <c r="HM35" s="440"/>
      <c r="HN35" s="440"/>
      <c r="HO35" s="440"/>
      <c r="HP35" s="440"/>
      <c r="HQ35" s="439"/>
      <c r="HR35" s="441"/>
      <c r="HS35" s="442"/>
      <c r="HT35" s="442"/>
      <c r="HU35" s="442"/>
      <c r="HV35" s="442"/>
      <c r="HW35" s="442"/>
      <c r="HX35" s="442"/>
      <c r="HY35" s="442"/>
      <c r="HZ35" s="442"/>
      <c r="IA35" s="442"/>
      <c r="IB35" s="442"/>
      <c r="IC35" s="442"/>
      <c r="ID35" s="441"/>
      <c r="IE35" s="443"/>
      <c r="IF35" s="444"/>
      <c r="IG35" s="444"/>
      <c r="IH35" s="444"/>
      <c r="II35" s="444"/>
      <c r="IJ35" s="444"/>
      <c r="IK35" s="444"/>
      <c r="IL35" s="444"/>
      <c r="IM35" s="444"/>
      <c r="IN35" s="444"/>
      <c r="IO35" s="444"/>
      <c r="IP35" s="444"/>
      <c r="IQ35" s="443"/>
      <c r="IR35" s="441"/>
      <c r="IS35" s="442"/>
      <c r="IT35" s="442"/>
      <c r="IU35" s="442"/>
      <c r="IV35" s="442"/>
      <c r="IW35" s="442"/>
      <c r="IX35" s="442"/>
      <c r="IY35" s="442"/>
      <c r="IZ35" s="442"/>
      <c r="JA35" s="442"/>
      <c r="JB35" s="442"/>
      <c r="JC35" s="442"/>
      <c r="JD35" s="441"/>
      <c r="JE35" s="321"/>
      <c r="JF35" s="321"/>
      <c r="JG35" s="369"/>
      <c r="JH35" s="369"/>
      <c r="JI35" s="369"/>
      <c r="JJ35" s="369"/>
      <c r="JK35" s="369"/>
      <c r="JL35" s="369"/>
      <c r="JM35" s="369"/>
      <c r="JN35" s="369"/>
      <c r="JO35" s="369"/>
      <c r="JP35" s="369"/>
    </row>
  </sheetData>
  <autoFilter ref="$C$2:$JP$34"/>
  <hyperlinks>
    <hyperlink r:id="rId1" ref="A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9.75"/>
    <col customWidth="1" min="2" max="2" width="16.88"/>
    <col customWidth="1" hidden="1" min="3" max="7" width="5.0"/>
    <col customWidth="1" min="8" max="8" width="5.0"/>
    <col customWidth="1" min="9" max="9" width="5.38"/>
    <col customWidth="1" min="10" max="10" width="5.5"/>
    <col customWidth="1" min="11" max="13" width="4.5"/>
    <col customWidth="1" min="14" max="14" width="12.75"/>
    <col customWidth="1" min="15" max="27" width="3.0"/>
    <col customWidth="1" min="28" max="28" width="9.38"/>
    <col customWidth="1" min="29" max="31" width="8.75"/>
    <col customWidth="1" min="32" max="32" width="10.38"/>
    <col customWidth="1" min="33" max="45" width="1.88"/>
    <col customWidth="1" min="46" max="46" width="17.63"/>
    <col customWidth="1" min="47" max="47" width="6.13"/>
    <col customWidth="1" min="48" max="60" width="1.5"/>
    <col customWidth="1" min="61" max="61" width="12.0"/>
    <col customWidth="1" min="62" max="62" width="23.0"/>
    <col customWidth="1" min="63" max="64" width="11.75"/>
    <col customWidth="1" min="65" max="65" width="19.75"/>
    <col customWidth="1" min="66" max="68" width="5.38"/>
    <col customWidth="1" min="69" max="69" width="11.5"/>
    <col customWidth="1" min="70" max="74" width="5.38"/>
    <col customWidth="1" min="75" max="84" width="2.63"/>
    <col customWidth="1" min="85" max="85" width="3.63"/>
    <col customWidth="1" min="86" max="90" width="6.75"/>
    <col customWidth="1" min="91" max="92" width="5.88"/>
    <col customWidth="1" min="93" max="102" width="3.38"/>
    <col customWidth="1" min="103" max="128" width="2.25"/>
    <col customWidth="1" min="129" max="129" width="17.63"/>
    <col customWidth="1" min="130" max="130" width="19.13"/>
    <col customWidth="1" min="131" max="131" width="19.38"/>
    <col customWidth="1" min="132" max="132" width="5.88"/>
    <col customWidth="1" min="133" max="133" width="8.5"/>
    <col customWidth="1" min="134" max="135" width="7.25"/>
    <col customWidth="1" min="136" max="136" width="8.13"/>
    <col customWidth="1" min="137" max="138" width="7.25"/>
    <col customWidth="1" min="139" max="139" width="5.88"/>
    <col customWidth="1" min="140" max="158" width="4.0"/>
    <col customWidth="1" min="159" max="159" width="5.88"/>
    <col customWidth="1" min="160" max="160" width="14.25"/>
    <col customWidth="1" min="161" max="161" width="13.0"/>
    <col customWidth="1" min="162" max="163" width="1.5"/>
    <col customWidth="1" min="164" max="164" width="4.75"/>
    <col customWidth="1" min="165" max="165" width="11.13"/>
    <col customWidth="1" min="166" max="166" width="4.75"/>
    <col customWidth="1" min="167" max="167" width="10.13"/>
    <col customWidth="1" min="168" max="168" width="13.5"/>
    <col customWidth="1" min="169" max="169" width="11.38"/>
    <col customWidth="1" min="170" max="170" width="10.63"/>
    <col customWidth="1" min="171" max="171" width="1.75"/>
    <col customWidth="1" min="172" max="172" width="15.38"/>
    <col customWidth="1" min="173" max="173" width="11.63"/>
    <col customWidth="1" min="174" max="174" width="5.25"/>
    <col customWidth="1" min="175" max="187" width="2.5"/>
    <col customWidth="1" min="188" max="191" width="9.5"/>
    <col customWidth="1" min="192" max="270" width="2.88"/>
    <col customWidth="1" min="271" max="271" width="10.0"/>
    <col customWidth="1" min="272" max="281" width="3.38"/>
  </cols>
  <sheetData>
    <row r="1" ht="24.75" customHeight="1">
      <c r="A1" s="390" t="s">
        <v>370</v>
      </c>
      <c r="B1" s="3" t="s">
        <v>3</v>
      </c>
      <c r="C1" s="3"/>
      <c r="D1" s="3"/>
      <c r="E1" s="3"/>
      <c r="F1" s="3"/>
      <c r="G1" s="391"/>
      <c r="H1" s="3"/>
      <c r="I1" s="5" t="s">
        <v>7</v>
      </c>
      <c r="J1" s="7" t="s">
        <v>10</v>
      </c>
      <c r="K1" s="9" t="s">
        <v>12</v>
      </c>
      <c r="L1" s="19" t="s">
        <v>15</v>
      </c>
      <c r="M1" s="21" t="s">
        <v>26</v>
      </c>
      <c r="N1" s="11" t="s">
        <v>13</v>
      </c>
      <c r="O1" s="14" t="s">
        <v>9</v>
      </c>
      <c r="P1" s="17" t="s">
        <v>16</v>
      </c>
      <c r="Q1" s="17" t="s">
        <v>17</v>
      </c>
      <c r="R1" s="17" t="s">
        <v>20</v>
      </c>
      <c r="S1" s="17" t="s">
        <v>21</v>
      </c>
      <c r="T1" s="17" t="s">
        <v>25</v>
      </c>
      <c r="U1" s="17" t="s">
        <v>27</v>
      </c>
      <c r="V1" s="17" t="s">
        <v>29</v>
      </c>
      <c r="W1" s="17" t="s">
        <v>31</v>
      </c>
      <c r="X1" s="17" t="s">
        <v>32</v>
      </c>
      <c r="Y1" s="17" t="s">
        <v>34</v>
      </c>
      <c r="Z1" s="17" t="s">
        <v>36</v>
      </c>
      <c r="AA1" s="25" t="s">
        <v>9</v>
      </c>
      <c r="AB1" s="27" t="s">
        <v>43</v>
      </c>
      <c r="AC1" s="28" t="s">
        <v>44</v>
      </c>
      <c r="AD1" s="27" t="s">
        <v>45</v>
      </c>
      <c r="AE1" s="27" t="s">
        <v>46</v>
      </c>
      <c r="AF1" s="29" t="s">
        <v>48</v>
      </c>
      <c r="AG1" s="30" t="s">
        <v>9</v>
      </c>
      <c r="AH1" s="31" t="s">
        <v>16</v>
      </c>
      <c r="AI1" s="31" t="s">
        <v>17</v>
      </c>
      <c r="AJ1" s="31" t="s">
        <v>20</v>
      </c>
      <c r="AK1" s="31" t="s">
        <v>21</v>
      </c>
      <c r="AL1" s="31" t="s">
        <v>25</v>
      </c>
      <c r="AM1" s="31" t="s">
        <v>27</v>
      </c>
      <c r="AN1" s="31" t="s">
        <v>29</v>
      </c>
      <c r="AO1" s="31" t="s">
        <v>31</v>
      </c>
      <c r="AP1" s="31" t="s">
        <v>32</v>
      </c>
      <c r="AQ1" s="31" t="s">
        <v>34</v>
      </c>
      <c r="AR1" s="31" t="s">
        <v>36</v>
      </c>
      <c r="AS1" s="35" t="s">
        <v>9</v>
      </c>
      <c r="AT1" s="37" t="s">
        <v>52</v>
      </c>
      <c r="AU1" s="39" t="s">
        <v>10</v>
      </c>
      <c r="AV1" s="14" t="s">
        <v>9</v>
      </c>
      <c r="AW1" s="17" t="s">
        <v>16</v>
      </c>
      <c r="AX1" s="17" t="s">
        <v>17</v>
      </c>
      <c r="AY1" s="17" t="s">
        <v>20</v>
      </c>
      <c r="AZ1" s="17" t="s">
        <v>21</v>
      </c>
      <c r="BA1" s="17" t="s">
        <v>25</v>
      </c>
      <c r="BB1" s="17" t="s">
        <v>27</v>
      </c>
      <c r="BC1" s="17" t="s">
        <v>29</v>
      </c>
      <c r="BD1" s="17" t="s">
        <v>31</v>
      </c>
      <c r="BE1" s="17" t="s">
        <v>32</v>
      </c>
      <c r="BF1" s="17" t="s">
        <v>34</v>
      </c>
      <c r="BG1" s="17" t="s">
        <v>36</v>
      </c>
      <c r="BH1" s="25" t="s">
        <v>9</v>
      </c>
      <c r="BI1" s="37" t="s">
        <v>65</v>
      </c>
      <c r="BJ1" s="45" t="s">
        <v>67</v>
      </c>
      <c r="BK1" s="47" t="s">
        <v>71</v>
      </c>
      <c r="BL1" s="47" t="s">
        <v>77</v>
      </c>
      <c r="BM1" s="50" t="s">
        <v>80</v>
      </c>
      <c r="BN1" s="52" t="s">
        <v>86</v>
      </c>
      <c r="BO1" s="54" t="s">
        <v>88</v>
      </c>
      <c r="BP1" s="57" t="s">
        <v>89</v>
      </c>
      <c r="BQ1" s="60" t="s">
        <v>90</v>
      </c>
      <c r="BR1" s="62" t="s">
        <v>91</v>
      </c>
      <c r="BS1" s="62" t="s">
        <v>92</v>
      </c>
      <c r="BT1" s="62" t="s">
        <v>93</v>
      </c>
      <c r="BU1" s="62" t="s">
        <v>94</v>
      </c>
      <c r="BV1" s="64" t="s">
        <v>95</v>
      </c>
      <c r="BW1" s="66" t="s">
        <v>87</v>
      </c>
      <c r="BX1" s="66" t="s">
        <v>96</v>
      </c>
      <c r="BY1" s="67" t="s">
        <v>97</v>
      </c>
      <c r="BZ1" s="66" t="s">
        <v>98</v>
      </c>
      <c r="CA1" s="67" t="s">
        <v>99</v>
      </c>
      <c r="CB1" s="67" t="s">
        <v>100</v>
      </c>
      <c r="CC1" s="67" t="s">
        <v>101</v>
      </c>
      <c r="CD1" s="67" t="s">
        <v>102</v>
      </c>
      <c r="CE1" s="67" t="s">
        <v>104</v>
      </c>
      <c r="CF1" s="67" t="s">
        <v>105</v>
      </c>
      <c r="CG1" s="73" t="s">
        <v>106</v>
      </c>
      <c r="CH1" s="76" t="s">
        <v>108</v>
      </c>
      <c r="CI1" s="27" t="s">
        <v>109</v>
      </c>
      <c r="CJ1" s="27" t="s">
        <v>111</v>
      </c>
      <c r="CK1" s="78" t="s">
        <v>112</v>
      </c>
      <c r="CL1" s="81" t="s">
        <v>114</v>
      </c>
      <c r="CM1" s="27" t="s">
        <v>115</v>
      </c>
      <c r="CN1" s="78" t="s">
        <v>117</v>
      </c>
      <c r="CO1" s="82" t="s">
        <v>118</v>
      </c>
      <c r="CP1" s="83" t="s">
        <v>119</v>
      </c>
      <c r="CQ1" s="83" t="s">
        <v>120</v>
      </c>
      <c r="CR1" s="83" t="s">
        <v>121</v>
      </c>
      <c r="CS1" s="83" t="s">
        <v>122</v>
      </c>
      <c r="CT1" s="83" t="s">
        <v>123</v>
      </c>
      <c r="CU1" s="83" t="s">
        <v>124</v>
      </c>
      <c r="CV1" s="83" t="s">
        <v>125</v>
      </c>
      <c r="CW1" s="83" t="s">
        <v>126</v>
      </c>
      <c r="CX1" s="85" t="s">
        <v>127</v>
      </c>
      <c r="CY1" s="30" t="s">
        <v>9</v>
      </c>
      <c r="CZ1" s="31" t="s">
        <v>16</v>
      </c>
      <c r="DA1" s="31" t="s">
        <v>17</v>
      </c>
      <c r="DB1" s="31" t="s">
        <v>20</v>
      </c>
      <c r="DC1" s="31" t="s">
        <v>21</v>
      </c>
      <c r="DD1" s="31" t="s">
        <v>25</v>
      </c>
      <c r="DE1" s="31" t="s">
        <v>27</v>
      </c>
      <c r="DF1" s="31" t="s">
        <v>29</v>
      </c>
      <c r="DG1" s="31" t="s">
        <v>31</v>
      </c>
      <c r="DH1" s="31" t="s">
        <v>32</v>
      </c>
      <c r="DI1" s="31" t="s">
        <v>34</v>
      </c>
      <c r="DJ1" s="31" t="s">
        <v>36</v>
      </c>
      <c r="DK1" s="35" t="s">
        <v>9</v>
      </c>
      <c r="DL1" s="30" t="s">
        <v>9</v>
      </c>
      <c r="DM1" s="31" t="s">
        <v>16</v>
      </c>
      <c r="DN1" s="31" t="s">
        <v>17</v>
      </c>
      <c r="DO1" s="31" t="s">
        <v>20</v>
      </c>
      <c r="DP1" s="31" t="s">
        <v>21</v>
      </c>
      <c r="DQ1" s="31" t="s">
        <v>25</v>
      </c>
      <c r="DR1" s="31" t="s">
        <v>27</v>
      </c>
      <c r="DS1" s="31" t="s">
        <v>29</v>
      </c>
      <c r="DT1" s="31" t="s">
        <v>31</v>
      </c>
      <c r="DU1" s="31" t="s">
        <v>32</v>
      </c>
      <c r="DV1" s="31" t="s">
        <v>34</v>
      </c>
      <c r="DW1" s="31" t="s">
        <v>36</v>
      </c>
      <c r="DX1" s="35" t="s">
        <v>9</v>
      </c>
      <c r="DY1" s="37" t="s">
        <v>128</v>
      </c>
      <c r="DZ1" s="37" t="s">
        <v>129</v>
      </c>
      <c r="EA1" s="87" t="s">
        <v>130</v>
      </c>
      <c r="EB1" s="89" t="s">
        <v>132</v>
      </c>
      <c r="EC1" s="89" t="s">
        <v>133</v>
      </c>
      <c r="ED1" s="89" t="s">
        <v>134</v>
      </c>
      <c r="EE1" s="89" t="s">
        <v>135</v>
      </c>
      <c r="EF1" s="89" t="s">
        <v>136</v>
      </c>
      <c r="EG1" s="89" t="s">
        <v>137</v>
      </c>
      <c r="EH1" s="93" t="s">
        <v>138</v>
      </c>
      <c r="EI1" s="95" t="s">
        <v>139</v>
      </c>
      <c r="EJ1" s="97" t="s">
        <v>140</v>
      </c>
      <c r="EK1" s="98" t="s">
        <v>142</v>
      </c>
      <c r="EL1" s="95" t="s">
        <v>143</v>
      </c>
      <c r="EM1" s="95" t="s">
        <v>144</v>
      </c>
      <c r="EN1" s="99" t="s">
        <v>145</v>
      </c>
      <c r="EO1" s="89" t="s">
        <v>18</v>
      </c>
      <c r="EP1" s="89" t="s">
        <v>22</v>
      </c>
      <c r="EQ1" s="89" t="s">
        <v>28</v>
      </c>
      <c r="ER1" s="89" t="s">
        <v>37</v>
      </c>
      <c r="ES1" s="93" t="s">
        <v>40</v>
      </c>
      <c r="ET1" s="95" t="s">
        <v>146</v>
      </c>
      <c r="EU1" s="95" t="s">
        <v>147</v>
      </c>
      <c r="EV1" s="95" t="s">
        <v>148</v>
      </c>
      <c r="EW1" s="95" t="s">
        <v>149</v>
      </c>
      <c r="EX1" s="95" t="s">
        <v>150</v>
      </c>
      <c r="EY1" s="99" t="s">
        <v>151</v>
      </c>
      <c r="EZ1" s="89" t="s">
        <v>86</v>
      </c>
      <c r="FA1" s="89" t="s">
        <v>89</v>
      </c>
      <c r="FB1" s="93" t="s">
        <v>88</v>
      </c>
      <c r="FC1" s="102" t="s">
        <v>152</v>
      </c>
      <c r="FD1" s="103" t="s">
        <v>153</v>
      </c>
      <c r="FE1" s="104" t="s">
        <v>154</v>
      </c>
      <c r="FF1" s="104"/>
      <c r="FG1" s="104" t="s">
        <v>155</v>
      </c>
      <c r="FH1" s="106" t="s">
        <v>156</v>
      </c>
      <c r="FI1" s="107" t="s">
        <v>157</v>
      </c>
      <c r="FJ1" s="108" t="s">
        <v>158</v>
      </c>
      <c r="FK1" s="109" t="s">
        <v>159</v>
      </c>
      <c r="FL1" s="110" t="s">
        <v>129</v>
      </c>
      <c r="FM1" s="104" t="s">
        <v>128</v>
      </c>
      <c r="FN1" s="104" t="s">
        <v>161</v>
      </c>
      <c r="FO1" s="104" t="s">
        <v>162</v>
      </c>
      <c r="FP1" s="111" t="s">
        <v>163</v>
      </c>
      <c r="FQ1" s="111" t="s">
        <v>164</v>
      </c>
      <c r="FR1" s="110" t="s">
        <v>165</v>
      </c>
      <c r="FS1" s="112" t="s">
        <v>9</v>
      </c>
      <c r="FT1" s="113" t="s">
        <v>16</v>
      </c>
      <c r="FU1" s="113" t="s">
        <v>17</v>
      </c>
      <c r="FV1" s="113" t="s">
        <v>20</v>
      </c>
      <c r="FW1" s="113" t="s">
        <v>21</v>
      </c>
      <c r="FX1" s="113" t="s">
        <v>25</v>
      </c>
      <c r="FY1" s="113" t="s">
        <v>27</v>
      </c>
      <c r="FZ1" s="113" t="s">
        <v>29</v>
      </c>
      <c r="GA1" s="113" t="s">
        <v>31</v>
      </c>
      <c r="GB1" s="113" t="s">
        <v>32</v>
      </c>
      <c r="GC1" s="113" t="s">
        <v>34</v>
      </c>
      <c r="GD1" s="113" t="s">
        <v>36</v>
      </c>
      <c r="GE1" s="114" t="s">
        <v>9</v>
      </c>
      <c r="GF1" s="115" t="s">
        <v>166</v>
      </c>
      <c r="GG1" s="115" t="s">
        <v>167</v>
      </c>
      <c r="GH1" s="115" t="s">
        <v>168</v>
      </c>
      <c r="GI1" s="116" t="s">
        <v>169</v>
      </c>
      <c r="GJ1" s="112" t="s">
        <v>9</v>
      </c>
      <c r="GK1" s="118" t="s">
        <v>36</v>
      </c>
      <c r="GL1" s="118" t="s">
        <v>34</v>
      </c>
      <c r="GM1" s="118" t="s">
        <v>32</v>
      </c>
      <c r="GN1" s="118" t="s">
        <v>31</v>
      </c>
      <c r="GO1" s="118" t="s">
        <v>29</v>
      </c>
      <c r="GP1" s="113" t="s">
        <v>27</v>
      </c>
      <c r="GQ1" s="118" t="s">
        <v>25</v>
      </c>
      <c r="GR1" s="118" t="s">
        <v>21</v>
      </c>
      <c r="GS1" s="118" t="s">
        <v>20</v>
      </c>
      <c r="GT1" s="118" t="s">
        <v>17</v>
      </c>
      <c r="GU1" s="118" t="s">
        <v>16</v>
      </c>
      <c r="GV1" s="113" t="s">
        <v>9</v>
      </c>
      <c r="GW1" s="112" t="s">
        <v>9</v>
      </c>
      <c r="GX1" s="113" t="s">
        <v>16</v>
      </c>
      <c r="GY1" s="113" t="s">
        <v>17</v>
      </c>
      <c r="GZ1" s="113" t="s">
        <v>20</v>
      </c>
      <c r="HA1" s="113" t="s">
        <v>21</v>
      </c>
      <c r="HB1" s="113" t="s">
        <v>25</v>
      </c>
      <c r="HC1" s="113" t="s">
        <v>27</v>
      </c>
      <c r="HD1" s="113" t="s">
        <v>29</v>
      </c>
      <c r="HE1" s="113" t="s">
        <v>31</v>
      </c>
      <c r="HF1" s="113" t="s">
        <v>32</v>
      </c>
      <c r="HG1" s="113" t="s">
        <v>34</v>
      </c>
      <c r="HH1" s="113" t="s">
        <v>36</v>
      </c>
      <c r="HI1" s="114" t="s">
        <v>9</v>
      </c>
      <c r="HJ1" s="122" t="s">
        <v>9</v>
      </c>
      <c r="HK1" s="123" t="s">
        <v>16</v>
      </c>
      <c r="HL1" s="123" t="s">
        <v>17</v>
      </c>
      <c r="HM1" s="123" t="s">
        <v>20</v>
      </c>
      <c r="HN1" s="123" t="s">
        <v>21</v>
      </c>
      <c r="HO1" s="123" t="s">
        <v>25</v>
      </c>
      <c r="HP1" s="123" t="s">
        <v>27</v>
      </c>
      <c r="HQ1" s="123" t="s">
        <v>29</v>
      </c>
      <c r="HR1" s="123" t="s">
        <v>31</v>
      </c>
      <c r="HS1" s="123" t="s">
        <v>32</v>
      </c>
      <c r="HT1" s="123" t="s">
        <v>34</v>
      </c>
      <c r="HU1" s="123" t="s">
        <v>36</v>
      </c>
      <c r="HV1" s="124" t="s">
        <v>9</v>
      </c>
      <c r="HW1" s="122" t="s">
        <v>9</v>
      </c>
      <c r="HX1" s="123" t="s">
        <v>16</v>
      </c>
      <c r="HY1" s="123" t="s">
        <v>17</v>
      </c>
      <c r="HZ1" s="123" t="s">
        <v>20</v>
      </c>
      <c r="IA1" s="123" t="s">
        <v>21</v>
      </c>
      <c r="IB1" s="123" t="s">
        <v>25</v>
      </c>
      <c r="IC1" s="123" t="s">
        <v>27</v>
      </c>
      <c r="ID1" s="123" t="s">
        <v>29</v>
      </c>
      <c r="IE1" s="123" t="s">
        <v>31</v>
      </c>
      <c r="IF1" s="123" t="s">
        <v>32</v>
      </c>
      <c r="IG1" s="123" t="s">
        <v>34</v>
      </c>
      <c r="IH1" s="123" t="s">
        <v>36</v>
      </c>
      <c r="II1" s="124" t="s">
        <v>9</v>
      </c>
      <c r="IJ1" s="126" t="s">
        <v>9</v>
      </c>
      <c r="IK1" s="127" t="s">
        <v>16</v>
      </c>
      <c r="IL1" s="127" t="s">
        <v>17</v>
      </c>
      <c r="IM1" s="127" t="s">
        <v>20</v>
      </c>
      <c r="IN1" s="127" t="s">
        <v>21</v>
      </c>
      <c r="IO1" s="127" t="s">
        <v>25</v>
      </c>
      <c r="IP1" s="127" t="s">
        <v>27</v>
      </c>
      <c r="IQ1" s="127" t="s">
        <v>29</v>
      </c>
      <c r="IR1" s="127" t="s">
        <v>31</v>
      </c>
      <c r="IS1" s="127" t="s">
        <v>32</v>
      </c>
      <c r="IT1" s="127" t="s">
        <v>34</v>
      </c>
      <c r="IU1" s="127" t="s">
        <v>36</v>
      </c>
      <c r="IV1" s="128" t="s">
        <v>9</v>
      </c>
      <c r="IW1" s="122" t="s">
        <v>9</v>
      </c>
      <c r="IX1" s="123" t="s">
        <v>16</v>
      </c>
      <c r="IY1" s="123" t="s">
        <v>17</v>
      </c>
      <c r="IZ1" s="123" t="s">
        <v>20</v>
      </c>
      <c r="JA1" s="123" t="s">
        <v>21</v>
      </c>
      <c r="JB1" s="123" t="s">
        <v>25</v>
      </c>
      <c r="JC1" s="123" t="s">
        <v>27</v>
      </c>
      <c r="JD1" s="123" t="s">
        <v>29</v>
      </c>
      <c r="JE1" s="123" t="s">
        <v>31</v>
      </c>
      <c r="JF1" s="123" t="s">
        <v>32</v>
      </c>
      <c r="JG1" s="123" t="s">
        <v>34</v>
      </c>
      <c r="JH1" s="123" t="s">
        <v>36</v>
      </c>
      <c r="JI1" s="124" t="s">
        <v>9</v>
      </c>
      <c r="JJ1" s="110"/>
      <c r="JK1" s="121"/>
      <c r="JL1" s="129"/>
      <c r="JM1" s="129"/>
      <c r="JN1" s="129"/>
      <c r="JO1" s="129"/>
      <c r="JP1" s="129"/>
      <c r="JQ1" s="129"/>
      <c r="JR1" s="129"/>
      <c r="JS1" s="129"/>
      <c r="JT1" s="129"/>
      <c r="JU1" s="129"/>
    </row>
    <row r="2" ht="18.0" customHeight="1">
      <c r="A2" s="393" t="s">
        <v>173</v>
      </c>
      <c r="B2" s="131">
        <f>IFERROR(__xludf.DUMMYFUNCTION("COUNTUNIQUE(B3:B66)"),43.0)</f>
        <v>43</v>
      </c>
      <c r="C2" s="131" t="s">
        <v>380</v>
      </c>
      <c r="D2" s="131" t="s">
        <v>381</v>
      </c>
      <c r="E2" s="131" t="s">
        <v>382</v>
      </c>
      <c r="F2" s="131" t="s">
        <v>383</v>
      </c>
      <c r="G2" s="394"/>
      <c r="H2" s="131"/>
      <c r="I2" s="132" t="s">
        <v>11</v>
      </c>
      <c r="J2" s="133">
        <f>COUNTIF(J3:J66, "[UQ]")</f>
        <v>29</v>
      </c>
      <c r="K2" s="134" t="s">
        <v>4</v>
      </c>
      <c r="L2" s="135" t="s">
        <v>4</v>
      </c>
      <c r="M2" s="136" t="s">
        <v>4</v>
      </c>
      <c r="N2" s="137" t="s">
        <v>11</v>
      </c>
      <c r="O2" s="138">
        <f>COUNTIF(O3:O66, "S")</f>
        <v>63</v>
      </c>
      <c r="P2" s="139">
        <f>COUNTIF(P3:P66, "r")</f>
        <v>3</v>
      </c>
      <c r="Q2" s="139">
        <f>COUNTIF(Q3:Q66, "R")</f>
        <v>23</v>
      </c>
      <c r="R2" s="139">
        <f>COUNTIF(R3:R66, "g")</f>
        <v>49</v>
      </c>
      <c r="S2" s="139">
        <f>COUNTIF(S3:S66, "G")</f>
        <v>23</v>
      </c>
      <c r="T2" s="139">
        <f>COUNTIF(T3:T66, "m")</f>
        <v>58</v>
      </c>
      <c r="U2" s="139">
        <f>COUNTIF(U3:U66, "M")</f>
        <v>7</v>
      </c>
      <c r="V2" s="139">
        <f>COUNTIF(V3:V66, "P")</f>
        <v>30</v>
      </c>
      <c r="W2" s="139">
        <f>COUNTIF(W3:W66, "d")</f>
        <v>48</v>
      </c>
      <c r="X2" s="139">
        <f>COUNTIF(X3:X66, "D")</f>
        <v>14</v>
      </c>
      <c r="Y2" s="139">
        <f>COUNTIF(Y3:Y66, "n")</f>
        <v>45</v>
      </c>
      <c r="Z2" s="139">
        <f>COUNTIF(Z3:Z66, "N")</f>
        <v>25</v>
      </c>
      <c r="AA2" s="147">
        <f>COUNTIF(AA3:AA66, "S")</f>
        <v>63</v>
      </c>
      <c r="AB2" s="149">
        <f>IFERROR(__xludf.DUMMYFUNCTION("COUNTUNIQUE(AB3:AB66)"),13.0)</f>
        <v>13</v>
      </c>
      <c r="AC2" s="151">
        <f>IFERROR(__xludf.DUMMYFUNCTION("COUNTUNIQUE(AC3:AC66)"),15.0)</f>
        <v>15</v>
      </c>
      <c r="AD2" s="149">
        <f>IFERROR(__xludf.DUMMYFUNCTION("COUNTUNIQUE(AD3:AD66)"),3.0)</f>
        <v>3</v>
      </c>
      <c r="AE2" s="149">
        <f>IFERROR(__xludf.DUMMYFUNCTION("COUNTUNIQUE(AE3:AE66)"),4.0)</f>
        <v>4</v>
      </c>
      <c r="AF2" s="155">
        <f>IFERROR(__xludf.DUMMYFUNCTION("COUNTUNIQUE(AF3:AF66)"),35.0)</f>
        <v>35</v>
      </c>
      <c r="AG2" s="138">
        <f>COUNTIF(AG3:AG66, "0")</f>
        <v>63</v>
      </c>
      <c r="AH2" s="139">
        <f>COUNTIF(AH3:AH66, "1")</f>
        <v>3</v>
      </c>
      <c r="AI2" s="139">
        <f>COUNTIF(AI3:AI66, "2")</f>
        <v>23</v>
      </c>
      <c r="AJ2" s="139">
        <f>COUNTIF(AJ3:AJ66, "3")</f>
        <v>49</v>
      </c>
      <c r="AK2" s="139">
        <f>COUNTIF(AK3:AK66, "4")</f>
        <v>23</v>
      </c>
      <c r="AL2" s="139">
        <f>COUNTIF(AL3:AL66, "5")</f>
        <v>58</v>
      </c>
      <c r="AM2" s="139">
        <f>COUNTIF(AM3:AM66, "6")</f>
        <v>7</v>
      </c>
      <c r="AN2" s="139">
        <f>COUNTIF(AN3:AN66, "7")</f>
        <v>30</v>
      </c>
      <c r="AO2" s="139">
        <f>COUNTIF(AO3:AO66, "8")</f>
        <v>48</v>
      </c>
      <c r="AP2" s="139">
        <f>COUNTIF(AP3:AP66, "9")</f>
        <v>14</v>
      </c>
      <c r="AQ2" s="139">
        <f>COUNTIF(AQ3:AQ66, "10")</f>
        <v>45</v>
      </c>
      <c r="AR2" s="139">
        <f>COUNTIF(AR3:AR66, "11")</f>
        <v>25</v>
      </c>
      <c r="AS2" s="147">
        <f>COUNTIF(AS3:AS66, "12")</f>
        <v>0</v>
      </c>
      <c r="AT2" s="161" t="s">
        <v>11</v>
      </c>
      <c r="AU2" s="136" t="s">
        <v>11</v>
      </c>
      <c r="AV2" s="162" t="s">
        <v>11</v>
      </c>
      <c r="AW2" s="163" t="s">
        <v>11</v>
      </c>
      <c r="AX2" s="163" t="s">
        <v>11</v>
      </c>
      <c r="AY2" s="163" t="s">
        <v>11</v>
      </c>
      <c r="AZ2" s="163" t="s">
        <v>11</v>
      </c>
      <c r="BA2" s="163" t="s">
        <v>11</v>
      </c>
      <c r="BB2" s="163" t="s">
        <v>11</v>
      </c>
      <c r="BC2" s="163" t="s">
        <v>11</v>
      </c>
      <c r="BD2" s="163" t="s">
        <v>11</v>
      </c>
      <c r="BE2" s="163" t="s">
        <v>11</v>
      </c>
      <c r="BF2" s="163" t="s">
        <v>11</v>
      </c>
      <c r="BG2" s="163" t="s">
        <v>11</v>
      </c>
      <c r="BH2" s="164" t="s">
        <v>11</v>
      </c>
      <c r="BI2" s="161">
        <f>IFERROR(__xludf.DUMMYFUNCTION("COUNTUNIQUE(BI3:BI66)"),43.0)</f>
        <v>43</v>
      </c>
      <c r="BJ2" s="165" t="s">
        <v>11</v>
      </c>
      <c r="BK2" s="166" t="s">
        <v>11</v>
      </c>
      <c r="BL2" s="166" t="s">
        <v>11</v>
      </c>
      <c r="BM2" s="167" t="s">
        <v>11</v>
      </c>
      <c r="BN2" s="168">
        <f t="shared" ref="BN2:BP2" si="1">COUNTIF(BN3:BN66, "✔")</f>
        <v>23</v>
      </c>
      <c r="BO2" s="169">
        <f t="shared" si="1"/>
        <v>2</v>
      </c>
      <c r="BP2" s="170">
        <f t="shared" si="1"/>
        <v>1</v>
      </c>
      <c r="BQ2" s="171">
        <f>IFERROR(__xludf.DUMMYFUNCTION("COUNTUNIQUE(BQ3:BQ66)"),7.0)</f>
        <v>7</v>
      </c>
      <c r="BR2" s="172">
        <f>IFERROR(__xludf.DUMMYFUNCTION("COUNTUNIQUE(BR3:BR66)"),5.0)</f>
        <v>5</v>
      </c>
      <c r="BS2" s="172">
        <f>IFERROR(__xludf.DUMMYFUNCTION("COUNTUNIQUE(BS3:BS66)"),6.0)</f>
        <v>6</v>
      </c>
      <c r="BT2" s="172">
        <f>IFERROR(__xludf.DUMMYFUNCTION("COUNTUNIQUE(BT3:BT66)"),3.0)</f>
        <v>3</v>
      </c>
      <c r="BU2" s="172">
        <f>IFERROR(__xludf.DUMMYFUNCTION("COUNTUNIQUE(BU3:BU66)"),4.0)</f>
        <v>4</v>
      </c>
      <c r="BV2" s="173">
        <f>IFERROR(__xludf.DUMMYFUNCTION("COUNTUNIQUE(BV3:BV66)"),4.0)</f>
        <v>4</v>
      </c>
      <c r="BW2" s="174">
        <f>IFERROR(__xludf.DUMMYFUNCTION("COUNTUNIQUE(BW3:BW66)"),4.0)</f>
        <v>4</v>
      </c>
      <c r="BX2" s="174">
        <f>IFERROR(__xludf.DUMMYFUNCTION("COUNTUNIQUE(BX3:BX66)"),15.0)</f>
        <v>15</v>
      </c>
      <c r="BY2" s="175">
        <f>IFERROR(__xludf.DUMMYFUNCTION("COUNTUNIQUE(BY3:BY66)"),28.0)</f>
        <v>28</v>
      </c>
      <c r="BZ2" s="174">
        <f>IFERROR(__xludf.DUMMYFUNCTION("COUNTUNIQUE(BZ3:BZ66)"),14.0)</f>
        <v>14</v>
      </c>
      <c r="CA2" s="175">
        <f>IFERROR(__xludf.DUMMYFUNCTION("COUNTUNIQUE(CA3:CA66)"),31.0)</f>
        <v>31</v>
      </c>
      <c r="CB2" s="175">
        <f>IFERROR(__xludf.DUMMYFUNCTION("COUNTUNIQUE(CB3:CB66)"),8.0)</f>
        <v>8</v>
      </c>
      <c r="CC2" s="175">
        <f>IFERROR(__xludf.DUMMYFUNCTION("COUNTUNIQUE(CC3:CC66)"),24.0)</f>
        <v>24</v>
      </c>
      <c r="CD2" s="175">
        <f>IFERROR(__xludf.DUMMYFUNCTION("COUNTUNIQUE(CD3:CD66)"),25.0)</f>
        <v>25</v>
      </c>
      <c r="CE2" s="175">
        <f>IFERROR(__xludf.DUMMYFUNCTION("COUNTUNIQUE(CE3:CE66)"),11.0)</f>
        <v>11</v>
      </c>
      <c r="CF2" s="175">
        <f>IFERROR(__xludf.DUMMYFUNCTION("COUNTUNIQUE(CF3:CF66)"),28.0)</f>
        <v>28</v>
      </c>
      <c r="CG2" s="176">
        <f>IFERROR(__xludf.DUMMYFUNCTION("COUNTUNIQUE(CG3:CG66)"),14.0)</f>
        <v>14</v>
      </c>
      <c r="CH2" s="177" t="s">
        <v>11</v>
      </c>
      <c r="CI2" s="149">
        <f>COUNTIF(CI3:CI66, "Cohem.")</f>
        <v>18</v>
      </c>
      <c r="CJ2" s="149">
        <f>COUNTIF(CJ3:CJ66, "Co-Co.")</f>
        <v>5</v>
      </c>
      <c r="CK2" s="133">
        <f>COUNTIF(CK3:CK66, "CCC.")</f>
        <v>0</v>
      </c>
      <c r="CL2" s="178">
        <f>COUNTIF(CL3:CL66,"-")</f>
        <v>59</v>
      </c>
      <c r="CM2" s="168">
        <f>COUNTIF(CM3:CM66, "✔")</f>
        <v>18</v>
      </c>
      <c r="CN2" s="179" t="s">
        <v>11</v>
      </c>
      <c r="CO2" s="180">
        <f t="shared" ref="CO2:CX2" si="2">COUNTIF(CO3:CO66, "TRUE")</f>
        <v>0</v>
      </c>
      <c r="CP2" s="181">
        <f t="shared" si="2"/>
        <v>1</v>
      </c>
      <c r="CQ2" s="181">
        <f t="shared" si="2"/>
        <v>0</v>
      </c>
      <c r="CR2" s="181">
        <f t="shared" si="2"/>
        <v>4</v>
      </c>
      <c r="CS2" s="181">
        <f t="shared" si="2"/>
        <v>11</v>
      </c>
      <c r="CT2" s="181">
        <f t="shared" si="2"/>
        <v>6</v>
      </c>
      <c r="CU2" s="181">
        <f t="shared" si="2"/>
        <v>2</v>
      </c>
      <c r="CV2" s="181">
        <f t="shared" si="2"/>
        <v>0</v>
      </c>
      <c r="CW2" s="181">
        <f t="shared" si="2"/>
        <v>0</v>
      </c>
      <c r="CX2" s="182">
        <f t="shared" si="2"/>
        <v>0</v>
      </c>
      <c r="CY2" s="183" t="s">
        <v>11</v>
      </c>
      <c r="CZ2" s="184" t="s">
        <v>11</v>
      </c>
      <c r="DA2" s="184" t="s">
        <v>11</v>
      </c>
      <c r="DB2" s="184" t="s">
        <v>11</v>
      </c>
      <c r="DC2" s="184" t="s">
        <v>11</v>
      </c>
      <c r="DD2" s="184" t="s">
        <v>11</v>
      </c>
      <c r="DE2" s="184" t="s">
        <v>11</v>
      </c>
      <c r="DF2" s="184" t="s">
        <v>11</v>
      </c>
      <c r="DG2" s="184" t="s">
        <v>11</v>
      </c>
      <c r="DH2" s="184" t="s">
        <v>11</v>
      </c>
      <c r="DI2" s="184" t="s">
        <v>11</v>
      </c>
      <c r="DJ2" s="184" t="s">
        <v>11</v>
      </c>
      <c r="DK2" s="185" t="s">
        <v>11</v>
      </c>
      <c r="DL2" s="183" t="s">
        <v>11</v>
      </c>
      <c r="DM2" s="184" t="s">
        <v>11</v>
      </c>
      <c r="DN2" s="184" t="s">
        <v>11</v>
      </c>
      <c r="DO2" s="184" t="s">
        <v>11</v>
      </c>
      <c r="DP2" s="184" t="s">
        <v>11</v>
      </c>
      <c r="DQ2" s="184" t="s">
        <v>11</v>
      </c>
      <c r="DR2" s="184" t="s">
        <v>11</v>
      </c>
      <c r="DS2" s="184" t="s">
        <v>11</v>
      </c>
      <c r="DT2" s="184" t="s">
        <v>11</v>
      </c>
      <c r="DU2" s="184" t="s">
        <v>11</v>
      </c>
      <c r="DV2" s="184" t="s">
        <v>11</v>
      </c>
      <c r="DW2" s="184" t="s">
        <v>11</v>
      </c>
      <c r="DX2" s="185" t="s">
        <v>11</v>
      </c>
      <c r="DY2" s="161" t="s">
        <v>11</v>
      </c>
      <c r="DZ2" s="161"/>
      <c r="EA2" s="186" t="s">
        <v>11</v>
      </c>
      <c r="EB2" s="187" t="s">
        <v>11</v>
      </c>
      <c r="EC2" s="187"/>
      <c r="ED2" s="187" t="s">
        <v>11</v>
      </c>
      <c r="EE2" s="187" t="s">
        <v>11</v>
      </c>
      <c r="EF2" s="187" t="s">
        <v>11</v>
      </c>
      <c r="EG2" s="187" t="s">
        <v>11</v>
      </c>
      <c r="EH2" s="188" t="s">
        <v>11</v>
      </c>
      <c r="EI2" s="189">
        <f>COUNTIF(EI3:EI66,"-")</f>
        <v>59</v>
      </c>
      <c r="EJ2" s="190">
        <f t="shared" ref="EJ2:FB2" si="3">COUNTIF(EJ3:EJ66, "✔")</f>
        <v>14</v>
      </c>
      <c r="EK2" s="191">
        <f t="shared" si="3"/>
        <v>45</v>
      </c>
      <c r="EL2" s="189">
        <f t="shared" si="3"/>
        <v>1</v>
      </c>
      <c r="EM2" s="189">
        <f t="shared" si="3"/>
        <v>9</v>
      </c>
      <c r="EN2" s="192">
        <f t="shared" si="3"/>
        <v>5</v>
      </c>
      <c r="EO2" s="187">
        <f t="shared" si="3"/>
        <v>0</v>
      </c>
      <c r="EP2" s="187">
        <f t="shared" si="3"/>
        <v>10</v>
      </c>
      <c r="EQ2" s="187">
        <f t="shared" si="3"/>
        <v>2</v>
      </c>
      <c r="ER2" s="187">
        <f t="shared" si="3"/>
        <v>3</v>
      </c>
      <c r="ES2" s="188">
        <f t="shared" si="3"/>
        <v>8</v>
      </c>
      <c r="ET2" s="189">
        <f t="shared" si="3"/>
        <v>37</v>
      </c>
      <c r="EU2" s="189">
        <f t="shared" si="3"/>
        <v>1</v>
      </c>
      <c r="EV2" s="189">
        <f t="shared" si="3"/>
        <v>0</v>
      </c>
      <c r="EW2" s="189">
        <f t="shared" si="3"/>
        <v>33</v>
      </c>
      <c r="EX2" s="189">
        <f t="shared" si="3"/>
        <v>4</v>
      </c>
      <c r="EY2" s="192">
        <f t="shared" si="3"/>
        <v>1</v>
      </c>
      <c r="EZ2" s="187">
        <f t="shared" si="3"/>
        <v>23</v>
      </c>
      <c r="FA2" s="187">
        <f t="shared" si="3"/>
        <v>1</v>
      </c>
      <c r="FB2" s="188">
        <f t="shared" si="3"/>
        <v>2</v>
      </c>
      <c r="FC2" s="193"/>
      <c r="FD2" s="194"/>
      <c r="FE2" s="195"/>
      <c r="FF2" s="195"/>
      <c r="FG2" s="195"/>
      <c r="FH2" s="196"/>
      <c r="FI2" s="197"/>
      <c r="FJ2" s="198"/>
      <c r="FK2" s="199"/>
      <c r="FL2" s="196"/>
      <c r="FM2" s="195"/>
      <c r="FN2" s="195"/>
      <c r="FO2" s="195"/>
      <c r="FP2" s="200"/>
      <c r="FQ2" s="200"/>
      <c r="FR2" s="201"/>
      <c r="FS2" s="202" t="s">
        <v>11</v>
      </c>
      <c r="FT2" s="203" t="s">
        <v>11</v>
      </c>
      <c r="FU2" s="203" t="s">
        <v>11</v>
      </c>
      <c r="FV2" s="203" t="s">
        <v>11</v>
      </c>
      <c r="FW2" s="203" t="s">
        <v>11</v>
      </c>
      <c r="FX2" s="203" t="s">
        <v>11</v>
      </c>
      <c r="FY2" s="203" t="s">
        <v>11</v>
      </c>
      <c r="FZ2" s="203" t="s">
        <v>11</v>
      </c>
      <c r="GA2" s="203" t="s">
        <v>11</v>
      </c>
      <c r="GB2" s="203" t="s">
        <v>11</v>
      </c>
      <c r="GC2" s="203" t="s">
        <v>11</v>
      </c>
      <c r="GD2" s="203" t="s">
        <v>11</v>
      </c>
      <c r="GE2" s="204" t="s">
        <v>11</v>
      </c>
      <c r="GF2" s="205"/>
      <c r="GG2" s="205"/>
      <c r="GH2" s="205"/>
      <c r="GI2" s="206"/>
      <c r="GJ2" s="202" t="s">
        <v>11</v>
      </c>
      <c r="GK2" s="203" t="s">
        <v>11</v>
      </c>
      <c r="GL2" s="203" t="s">
        <v>11</v>
      </c>
      <c r="GM2" s="203" t="s">
        <v>11</v>
      </c>
      <c r="GN2" s="203" t="s">
        <v>11</v>
      </c>
      <c r="GO2" s="203" t="s">
        <v>11</v>
      </c>
      <c r="GP2" s="203" t="s">
        <v>11</v>
      </c>
      <c r="GQ2" s="203" t="s">
        <v>11</v>
      </c>
      <c r="GR2" s="203" t="s">
        <v>11</v>
      </c>
      <c r="GS2" s="203" t="s">
        <v>11</v>
      </c>
      <c r="GT2" s="203" t="s">
        <v>11</v>
      </c>
      <c r="GU2" s="203" t="s">
        <v>11</v>
      </c>
      <c r="GV2" s="203" t="s">
        <v>11</v>
      </c>
      <c r="GW2" s="202" t="s">
        <v>11</v>
      </c>
      <c r="GX2" s="203" t="s">
        <v>11</v>
      </c>
      <c r="GY2" s="203" t="s">
        <v>11</v>
      </c>
      <c r="GZ2" s="203" t="s">
        <v>11</v>
      </c>
      <c r="HA2" s="203" t="s">
        <v>11</v>
      </c>
      <c r="HB2" s="203" t="s">
        <v>11</v>
      </c>
      <c r="HC2" s="203" t="s">
        <v>11</v>
      </c>
      <c r="HD2" s="203" t="s">
        <v>11</v>
      </c>
      <c r="HE2" s="203" t="s">
        <v>11</v>
      </c>
      <c r="HF2" s="203" t="s">
        <v>11</v>
      </c>
      <c r="HG2" s="203" t="s">
        <v>11</v>
      </c>
      <c r="HH2" s="203" t="s">
        <v>11</v>
      </c>
      <c r="HI2" s="204" t="s">
        <v>11</v>
      </c>
      <c r="HJ2" s="207" t="s">
        <v>11</v>
      </c>
      <c r="HK2" s="208" t="s">
        <v>11</v>
      </c>
      <c r="HL2" s="208" t="s">
        <v>11</v>
      </c>
      <c r="HM2" s="208" t="s">
        <v>11</v>
      </c>
      <c r="HN2" s="208" t="s">
        <v>11</v>
      </c>
      <c r="HO2" s="208" t="s">
        <v>11</v>
      </c>
      <c r="HP2" s="208" t="s">
        <v>11</v>
      </c>
      <c r="HQ2" s="208" t="s">
        <v>11</v>
      </c>
      <c r="HR2" s="208" t="s">
        <v>11</v>
      </c>
      <c r="HS2" s="208" t="s">
        <v>11</v>
      </c>
      <c r="HT2" s="208" t="s">
        <v>11</v>
      </c>
      <c r="HU2" s="208" t="s">
        <v>11</v>
      </c>
      <c r="HV2" s="210" t="s">
        <v>11</v>
      </c>
      <c r="HW2" s="211" t="s">
        <v>11</v>
      </c>
      <c r="HX2" s="212" t="s">
        <v>11</v>
      </c>
      <c r="HY2" s="212" t="s">
        <v>11</v>
      </c>
      <c r="HZ2" s="212" t="s">
        <v>11</v>
      </c>
      <c r="IA2" s="212" t="s">
        <v>11</v>
      </c>
      <c r="IB2" s="212" t="s">
        <v>11</v>
      </c>
      <c r="IC2" s="212" t="s">
        <v>11</v>
      </c>
      <c r="ID2" s="212" t="s">
        <v>11</v>
      </c>
      <c r="IE2" s="212" t="s">
        <v>11</v>
      </c>
      <c r="IF2" s="212" t="s">
        <v>11</v>
      </c>
      <c r="IG2" s="212" t="s">
        <v>11</v>
      </c>
      <c r="IH2" s="212" t="s">
        <v>11</v>
      </c>
      <c r="II2" s="215" t="s">
        <v>11</v>
      </c>
      <c r="IJ2" s="216" t="s">
        <v>11</v>
      </c>
      <c r="IK2" s="218" t="s">
        <v>11</v>
      </c>
      <c r="IL2" s="218" t="s">
        <v>11</v>
      </c>
      <c r="IM2" s="218" t="s">
        <v>11</v>
      </c>
      <c r="IN2" s="218" t="s">
        <v>11</v>
      </c>
      <c r="IO2" s="218" t="s">
        <v>11</v>
      </c>
      <c r="IP2" s="218" t="s">
        <v>11</v>
      </c>
      <c r="IQ2" s="218" t="s">
        <v>11</v>
      </c>
      <c r="IR2" s="218" t="s">
        <v>11</v>
      </c>
      <c r="IS2" s="218" t="s">
        <v>11</v>
      </c>
      <c r="IT2" s="218" t="s">
        <v>11</v>
      </c>
      <c r="IU2" s="218" t="s">
        <v>11</v>
      </c>
      <c r="IV2" s="219" t="s">
        <v>11</v>
      </c>
      <c r="IW2" s="211" t="s">
        <v>11</v>
      </c>
      <c r="IX2" s="212" t="s">
        <v>11</v>
      </c>
      <c r="IY2" s="212" t="s">
        <v>11</v>
      </c>
      <c r="IZ2" s="212" t="s">
        <v>11</v>
      </c>
      <c r="JA2" s="212" t="s">
        <v>11</v>
      </c>
      <c r="JB2" s="212" t="s">
        <v>11</v>
      </c>
      <c r="JC2" s="212" t="s">
        <v>11</v>
      </c>
      <c r="JD2" s="212" t="s">
        <v>11</v>
      </c>
      <c r="JE2" s="212" t="s">
        <v>11</v>
      </c>
      <c r="JF2" s="212" t="s">
        <v>11</v>
      </c>
      <c r="JG2" s="212" t="s">
        <v>11</v>
      </c>
      <c r="JH2" s="212" t="s">
        <v>11</v>
      </c>
      <c r="JI2" s="215" t="s">
        <v>11</v>
      </c>
      <c r="JJ2" s="201"/>
      <c r="JK2" s="220"/>
      <c r="JL2" s="206"/>
      <c r="JM2" s="206"/>
      <c r="JN2" s="206"/>
      <c r="JO2" s="206"/>
      <c r="JP2" s="206"/>
      <c r="JQ2" s="206"/>
      <c r="JR2" s="206"/>
      <c r="JS2" s="206"/>
      <c r="JT2" s="206"/>
      <c r="JU2" s="206"/>
    </row>
    <row r="3" ht="19.5" customHeight="1">
      <c r="A3" s="221" t="s">
        <v>396</v>
      </c>
      <c r="B3" s="223" t="s">
        <v>397</v>
      </c>
      <c r="C3" s="222" t="s">
        <v>275</v>
      </c>
      <c r="D3" s="222"/>
      <c r="E3" s="222" t="s">
        <v>275</v>
      </c>
      <c r="F3" s="222"/>
      <c r="G3" s="222" t="s">
        <v>275</v>
      </c>
      <c r="H3" s="222">
        <v>1.0</v>
      </c>
      <c r="I3" s="224" t="s">
        <v>398</v>
      </c>
      <c r="J3" s="225" t="str">
        <f t="shared" ref="J3:J65" si="5">IF(AU3=0,"[UQ]",AU3)</f>
        <v>[UQ]</v>
      </c>
      <c r="K3" s="227">
        <f t="shared" ref="K3:K65" si="6">(LEN(N3))-1</f>
        <v>5</v>
      </c>
      <c r="L3" s="229">
        <f t="shared" ref="L3:L65" si="7">len(B3)-len(SUBSTITUTE(B3,"-",""))</f>
        <v>5</v>
      </c>
      <c r="M3" s="230">
        <f t="shared" ref="M3:M65" si="8">K3-L3</f>
        <v>0</v>
      </c>
      <c r="N3" s="233" t="str">
        <f t="shared" ref="N3:N65" si="9">SUBSTITUTE(B3,"-","")</f>
        <v>SgmdnS</v>
      </c>
      <c r="O3" s="234" t="str">
        <f>IFERROR(__xludf.DUMMYFUNCTION("IF(REGEXMATCH(N3, ""S""), ""S"","""")"),"S")</f>
        <v>S</v>
      </c>
      <c r="P3" s="236" t="str">
        <f>IFERROR(__xludf.DUMMYFUNCTION("IF(REGEXMATCH(N3, ""r""), ""r"","""")"),"")</f>
        <v/>
      </c>
      <c r="Q3" s="237" t="str">
        <f>IFERROR(__xludf.DUMMYFUNCTION("IF(REGEXMATCH(N3, ""R""), ""R"","""")"),"")</f>
        <v/>
      </c>
      <c r="R3" s="237" t="str">
        <f>IFERROR(__xludf.DUMMYFUNCTION("IF(REGEXMATCH(N3, ""g""), ""g"","""")"),"g")</f>
        <v>g</v>
      </c>
      <c r="S3" s="236" t="str">
        <f>IFERROR(__xludf.DUMMYFUNCTION("IF(REGEXMATCH(N3, ""G""), ""G"","""")"),"")</f>
        <v/>
      </c>
      <c r="T3" s="236" t="str">
        <f>IFERROR(__xludf.DUMMYFUNCTION("IF(REGEXMATCH(N3, ""m""), ""m"","""")"),"m")</f>
        <v>m</v>
      </c>
      <c r="U3" s="237" t="str">
        <f>IFERROR(__xludf.DUMMYFUNCTION("IF(REGEXMATCH(N3, ""M""), ""M"","""")"),"")</f>
        <v/>
      </c>
      <c r="V3" s="236" t="str">
        <f>IFERROR(__xludf.DUMMYFUNCTION("IF(REGEXMATCH(N3, ""P""), ""P"","""")"),"")</f>
        <v/>
      </c>
      <c r="W3" s="237" t="str">
        <f>IFERROR(__xludf.DUMMYFUNCTION("IF(REGEXMATCH(N3, ""d""), ""d"","""")"),"d")</f>
        <v>d</v>
      </c>
      <c r="X3" s="236" t="str">
        <f>IFERROR(__xludf.DUMMYFUNCTION("IF(REGEXMATCH(N3, ""D""), ""D"","""")"),"")</f>
        <v/>
      </c>
      <c r="Y3" s="236" t="str">
        <f>IFERROR(__xludf.DUMMYFUNCTION("IF(REGEXMATCH(N3, ""n""), ""n"","""")"),"n")</f>
        <v>n</v>
      </c>
      <c r="Z3" s="237" t="str">
        <f>IFERROR(__xludf.DUMMYFUNCTION("IF(REGEXMATCH(N3, ""N""), ""N"","""")"),"")</f>
        <v/>
      </c>
      <c r="AA3" s="238" t="str">
        <f>IFERROR(__xludf.DUMMYFUNCTION("IF(REGEXMATCH(N3, ""S""), ""S"","""")"),"S")</f>
        <v>S</v>
      </c>
      <c r="AB3" s="239" t="str">
        <f>IFERROR(__xludf.DUMMYFUNCTION("SUBSTITUTE(CONCATENATE(JOIN(""-"",O3:U3)),""-"","""")"),"Sgm")</f>
        <v>Sgm</v>
      </c>
      <c r="AC3" s="229" t="str">
        <f>IFERROR(__xludf.DUMMYFUNCTION("SUBSTITUTE(CONCATENATE(JOIN(""-"",V3:AA3)),""-"","""")"),"dnS")</f>
        <v>dnS</v>
      </c>
      <c r="AD3" s="237" t="str">
        <f t="shared" ref="AD3:AD65" si="10">SUBSTITUTE(SUBSTITUTE(SUBSTITUTE(SUBSTITUTE(UPPER(SUBSTITUTE(SUBSTITUTE(SUBSTITUTE(AB3,"rR","R"),"gG","G"),"mM","M")),"S","S-"),"R","R-"),"G","G-"),"M","M")</f>
        <v>S-G-M</v>
      </c>
      <c r="AE3" s="237" t="str">
        <f t="shared" ref="AE3:AE65" si="11">SUBSTITUTE(SUBSTITUTE(SUBSTITUTE(SUBSTITUTE(UPPER(SUBSTITUTE(SUBSTITUTE(AC3,"dD","D"),"nN","N")),"P","P-"),"D","D-"),"N","N-"),"S","S")</f>
        <v>D-N-S</v>
      </c>
      <c r="AF3" s="242" t="str">
        <f t="shared" ref="AF3:AF65" si="12">SUBSTITUTE(SUBSTITUTE(N3,"S",""),"P","")</f>
        <v>gmdn</v>
      </c>
      <c r="AG3" s="244" t="str">
        <f>IFERROR(__xludf.DUMMYFUNCTION("IF(REGEXMATCH(N3, ""S""), ""0"","""")"),"0")</f>
        <v>0</v>
      </c>
      <c r="AH3" s="245" t="str">
        <f>IFERROR(__xludf.DUMMYFUNCTION("IF(REGEXMATCH(N3, ""r""), ""1"","""")"),"")</f>
        <v/>
      </c>
      <c r="AI3" s="246" t="str">
        <f>IFERROR(__xludf.DUMMYFUNCTION("IF(REGEXMATCH(N3, ""R""), ""2"","""")"),"")</f>
        <v/>
      </c>
      <c r="AJ3" s="246" t="str">
        <f>IFERROR(__xludf.DUMMYFUNCTION("IF(REGEXMATCH(N3, ""g""), ""3"","""")"),"3")</f>
        <v>3</v>
      </c>
      <c r="AK3" s="245" t="str">
        <f>IFERROR(__xludf.DUMMYFUNCTION("IF(REGEXMATCH(N3, ""G""), ""4"","""")"),"")</f>
        <v/>
      </c>
      <c r="AL3" s="245" t="str">
        <f>IFERROR(__xludf.DUMMYFUNCTION("IF(REGEXMATCH(N3, ""m""), ""5"","""")"),"5")</f>
        <v>5</v>
      </c>
      <c r="AM3" s="246" t="str">
        <f>IFERROR(__xludf.DUMMYFUNCTION("IF(REGEXMATCH(N3, ""M""), ""6"","""")"),"")</f>
        <v/>
      </c>
      <c r="AN3" s="245" t="str">
        <f>IFERROR(__xludf.DUMMYFUNCTION("IF(REGEXMATCH(N3, ""P""), ""7"","""")"),"")</f>
        <v/>
      </c>
      <c r="AO3" s="246" t="str">
        <f>IFERROR(__xludf.DUMMYFUNCTION("IF(REGEXMATCH(N3, ""d""), ""8"","""")"),"8")</f>
        <v>8</v>
      </c>
      <c r="AP3" s="245" t="str">
        <f>IFERROR(__xludf.DUMMYFUNCTION("IF(REGEXMATCH(N3, ""D""), ""9"","""")"),"")</f>
        <v/>
      </c>
      <c r="AQ3" s="245" t="str">
        <f>IFERROR(__xludf.DUMMYFUNCTION("IF(REGEXMATCH(N3, ""n""), ""10"","""")"),"10")</f>
        <v>10</v>
      </c>
      <c r="AR3" s="246" t="str">
        <f>IFERROR(__xludf.DUMMYFUNCTION("IF(REGEXMATCH(N3, ""N""), ""11"","""")"),"")</f>
        <v/>
      </c>
      <c r="AS3" s="249" t="str">
        <f>IFERROR(__xludf.DUMMYFUNCTION("IF(REGEXMATCH(N3, ""S""), ""0"","""")"),"0")</f>
        <v>0</v>
      </c>
      <c r="AT3" s="250" t="str">
        <f>IFERROR(__xludf.DUMMYFUNCTION("SUBSTITUTE(SUBSTITUTE(SUBSTITUTE(SUBSTITUTE(CONCATENATE(JOIN(""-"",AG3:AS3)),""--"",""-""),""--"",""-""),""--"",""-""),""--"",""-"")"),"0-3-5-8-10-0")</f>
        <v>0-3-5-8-10-0</v>
      </c>
      <c r="AU3" s="251">
        <f t="shared" ref="AU3:AU65" si="13">countif(AT:AT,AT3)-1</f>
        <v>0</v>
      </c>
      <c r="AV3" s="234" t="str">
        <f t="shared" ref="AV3:AV65" si="14">IF(AG3="0","|","-")</f>
        <v>|</v>
      </c>
      <c r="AW3" s="236" t="str">
        <f t="shared" ref="AW3:AW65" si="15">IF(AH3="1","|","-")</f>
        <v>-</v>
      </c>
      <c r="AX3" s="237" t="str">
        <f t="shared" ref="AX3:AX65" si="16">IF(AI3="2","|","-")</f>
        <v>-</v>
      </c>
      <c r="AY3" s="236" t="str">
        <f t="shared" ref="AY3:AY65" si="17">IF(AJ3="3","|","-")</f>
        <v>|</v>
      </c>
      <c r="AZ3" s="237" t="str">
        <f t="shared" ref="AZ3:AZ65" si="18">IF(AK3="4","|","-")</f>
        <v>-</v>
      </c>
      <c r="BA3" s="236" t="str">
        <f t="shared" ref="BA3:BA65" si="19">IF(AL3="5","|","-")</f>
        <v>|</v>
      </c>
      <c r="BB3" s="237" t="str">
        <f t="shared" ref="BB3:BB65" si="20">IF(AM3="6","|","-")</f>
        <v>-</v>
      </c>
      <c r="BC3" s="236" t="str">
        <f t="shared" ref="BC3:BC65" si="21">IF(AN3="7","|","-")</f>
        <v>-</v>
      </c>
      <c r="BD3" s="237" t="str">
        <f t="shared" ref="BD3:BD65" si="22">IF(AO3="8","|","-")</f>
        <v>|</v>
      </c>
      <c r="BE3" s="236" t="str">
        <f t="shared" ref="BE3:BE65" si="23">IF(AP3="9","|","-")</f>
        <v>-</v>
      </c>
      <c r="BF3" s="237" t="str">
        <f t="shared" ref="BF3:BF65" si="24">IF(AQ3="10","|","-")</f>
        <v>|</v>
      </c>
      <c r="BG3" s="236" t="str">
        <f t="shared" ref="BG3:BG65" si="25">IF(AR3="11","|","-")</f>
        <v>-</v>
      </c>
      <c r="BH3" s="238" t="str">
        <f t="shared" ref="BH3:BH65" si="26">IF(AS3="0","|","-")</f>
        <v>|</v>
      </c>
      <c r="BI3" s="250" t="str">
        <f>IFERROR(__xludf.DUMMYFUNCTION("SUBSTITUTE(SUBSTITUTE(CONCATENATE(JOIN("""",AV3:BG3)),""|"",""x""),""-"",""o"")"),"xooxoxooxoxo")</f>
        <v>xooxoxooxoxo</v>
      </c>
      <c r="BJ3" s="255" t="str">
        <f>IFERROR(__xludf.DUMMYFUNCTION("JOIN("""",BI3,BI3)"),"xooxoxooxoxoxooxoxooxoxo")</f>
        <v>xooxoxooxoxoxooxoxooxoxo</v>
      </c>
      <c r="BK3" s="256" t="str">
        <f>IFERROR(__xludf.DUMMYFUNCTION("JOIN("""",ArrayFormula(MID(BI3,LEN(BI3)-SEQUENCE(1,LEN(BI3))+1,1)))"),"oxoxooxoxoox")</f>
        <v>oxoxooxoxoox</v>
      </c>
      <c r="BL3" s="257" t="str">
        <f>IFERROR(__xludf.DUMMYFUNCTION("LEFT(CONCATENATE(""x"",JOIN("""",ArrayFormula(MID(BI3,LEN(BI3)-SEQUENCE(1,LEN(BI3))+1,1)))),12)"),"xoxoxooxoxoo")</f>
        <v>xoxoxooxoxoo</v>
      </c>
      <c r="BM3" s="258" t="str">
        <f>IFERROR(__xludf.DUMMYFUNCTION("JOIN("""",BK3,BK3)"),"oxoxooxoxooxoxoxooxoxoox")</f>
        <v>oxoxooxoxooxoxoxooxoxoox</v>
      </c>
      <c r="BN3" s="239" t="str">
        <f>IFERROR(__xludf.DUMMYFUNCTION("IF(REGEXMATCH(BM3,BI3),""✔"",""-"")"),"✔")</f>
        <v>✔</v>
      </c>
      <c r="BO3" s="229" t="str">
        <f t="shared" ref="BO3:BO65" si="27">IF(BI3=BL3,"✔","-")</f>
        <v>-</v>
      </c>
      <c r="BP3" s="260" t="str">
        <f t="shared" ref="BP3:BP65" si="28">IF(BR3=BS3,"-","✔")</f>
        <v>-</v>
      </c>
      <c r="BQ3" s="261" t="str">
        <f>IFERROR(__xludf.DUMMYFUNCTION("IF(BT3=0,""(n/a)"",IF(BU3=2,""(PAIR)"",IF(REGEXMATCH(BJ3,""xoxoxxoxoxox""),""Bilawal"",IF(REGEXMATCH(BJ3,""xoxoxooxoxoo""),""Bhupali"",IF(REGEXMATCH(BJ3,""xoxoxxoxxoxo""),""Charukeshi"",IF(REGEXMATCH(BJ3,""xoxoooxxoxxo""),""Kameshwari"",IF(REGEXMATCH(BJ3,"&amp;"""xoxoxooxoxox""),""Shankara"",IF(REGEXMATCH(BJ3,""xxooxoxxxoox""),""Basant"",IF(REGEXMATCH(BJ3,""xoxoxxxxoxox""),""Bihag"",IF(REGEXMATCH(BJ3,""xoxxxxoxoxxx""),""Pilu"",IF(REGEXMATCH(BJ3,""xoxxoxoxxoox""),""Kirwani"",IF(REGEXMATCH(BJ3,""xoxxoxoxoxxx""),"""&amp;"Mk.Malhar"",IF(REGEXMATCH(BJ3,""xxooxxoxxoox""),""Bhairav"",IF(REGEXMATCH(BJ3,""xxoxooxxxoox""),""Todi"",IF(REGEXMATCH(BJ3,""xxooxoxooxox""),""Marwa"",IF(REGEXMATCH(BJ3,""xxoooxoxxooo""),""Gunkali"",IF(REGEXMATCH(BJ3,""xoxoxxoxxoox""),""Nat Bhairav"",IF(R"&amp;"EGEXMATCH(BJ3,""xoxxoooxoxoo""),""Shivranjani"",IF(REGEXMATCH(BJ3,""xooxxxoxooxo""),""Jog"",IF(REGEXMATCH(BJ3,""xxooxoxoxoox""),""Hemshri"",IF(REGEXMATCH(BJ3,""xoooxooxoxxo""),""Kalavati"",IF(REGEXMATCH(BJ3,""xxoxoxxoxoox""),""Kedar"",IF(REGEXMATCH(BJ3,"""&amp;"xoxxxxoxooxx""),""Gara"",IF(REGEXMATCH(BJ3,""xooxoxooxoox""),""Chandrakauns"",IF(REGEXMATCH(BJ3,""xoxxxxoxxxox""),""Mand"",IF(REGEXMATCH(BJ3,""xoxxxxoxoxox""),""Hanskinkini"",IF(REGEXMATCH(BJ3,""xxooxxoxooxo""),""Lilavati"",IF(REGEXMATCH(BJ3,""xooxoxoooxo"&amp;"x""),""Rajeshwari"",IF(REGEXMATCH(BJ3,""xoooxxoxoxxx""),""Khokar"",IF(REGEXMATCH(BJ3,""xxooxoxxxxox""),""Maligoura"",""-""))))))))))))))))))))))))))))))"),"(PAIR)")</f>
        <v>(PAIR)</v>
      </c>
      <c r="BR3" s="239">
        <f t="shared" ref="BR3:BR65" si="29">K3-1</f>
        <v>4</v>
      </c>
      <c r="BS3" s="229">
        <f>IFERROR(__xludf.DUMMYFUNCTION("COUNTUNIQUE(BW3:CG3)-1"),4.0)</f>
        <v>4</v>
      </c>
      <c r="BT3" s="229">
        <f>IFERROR(__xludf.DUMMYFUNCTION("COUNTUNIQUE(FILTER(BJ:BJ,REGEXMATCH(BJ:BJ,BI3)))-1"),1.0)</f>
        <v>1</v>
      </c>
      <c r="BU3" s="229">
        <f>IFERROR(__xludf.DUMMYFUNCTION("COUNTA(FILTER(BJ:BJ,REGEXMATCH(BJ:BJ,BI3)))"),2.0)</f>
        <v>2</v>
      </c>
      <c r="BV3" s="267">
        <f>IFERROR(__xludf.DUMMYFUNCTION("COUNTA(FILTER(BJ:BJ,REGEXMATCH(BJ:BJ,BI3)))-AU3"),2.0)</f>
        <v>2</v>
      </c>
      <c r="BW3" s="269" t="str">
        <f t="shared" ref="BW3:BW65" si="30">IF(LEFT(MID(BJ3,2,11))&lt;&gt;"o",MID(BJ3,2,11),"-")</f>
        <v>-</v>
      </c>
      <c r="BX3" s="270" t="str">
        <f t="shared" ref="BX3:BX65" si="31">IF(LEFT(MID(BJ3,3,11))&lt;&gt;"o",MID(BJ3,3,11),"-")</f>
        <v>-</v>
      </c>
      <c r="BY3" s="271" t="str">
        <f t="shared" ref="BY3:BY65" si="32">IF(LEFT(MID(BJ3,4,11))&lt;&gt;"o",MID(BJ3,4,11),"-")</f>
        <v>xoxooxoxoxo</v>
      </c>
      <c r="BZ3" s="270" t="str">
        <f t="shared" ref="BZ3:BZ65" si="33">IF(LEFT(MID(BJ3,5,11))&lt;&gt;"o",MID(BJ3,5,11),"-")</f>
        <v>-</v>
      </c>
      <c r="CA3" s="271" t="str">
        <f t="shared" ref="CA3:CA65" si="34">IF(LEFT(MID(BJ3,6,11))&lt;&gt;"o",MID(BJ3,6,11),"-")</f>
        <v>xooxoxoxoox</v>
      </c>
      <c r="CB3" s="271" t="str">
        <f t="shared" ref="CB3:CB65" si="35">IF(LEFT(MID(BJ3,7,11))&lt;&gt;"o",MID(BJ3,7,11),"-")</f>
        <v>-</v>
      </c>
      <c r="CC3" s="271" t="str">
        <f t="shared" ref="CC3:CC65" si="36">IF(LEFT(MID(BJ3,8,11))&lt;&gt;"o",MID(BJ3,8,11),"-")</f>
        <v>-</v>
      </c>
      <c r="CD3" s="271" t="str">
        <f t="shared" ref="CD3:CD65" si="37">IF(LEFT(MID(BJ3,9,11))&lt;&gt;"o",MID(BJ3,9,11),"-")</f>
        <v>xoxoxooxoxo</v>
      </c>
      <c r="CE3" s="271" t="str">
        <f t="shared" ref="CE3:CE65" si="38">IF(LEFT(MID(BJ3,10,11))&lt;&gt;"o",MID(BJ3,10,11),"-")</f>
        <v>-</v>
      </c>
      <c r="CF3" s="271" t="str">
        <f t="shared" ref="CF3:CF65" si="39">IF(LEFT(MID(BJ3,11,11))&lt;&gt;"o",MID(BJ3,11,11),"-")</f>
        <v>xoxooxoxoox</v>
      </c>
      <c r="CG3" s="274" t="str">
        <f t="shared" ref="CG3:CG65" si="40">IF(LEFT(MID(BJ3,12,11))&lt;&gt;"o",MID(BJ3,12,11),"-")</f>
        <v>-</v>
      </c>
      <c r="CH3" s="276" t="str">
        <f>IFERROR(__xludf.DUMMYFUNCTION("IF(BI3=""oooooooooooo"",""-"",IF(REGEXMATCH(BJ3,""xx""), ""Hemi."", ""Anhemi.""))"),"Anhemi.")</f>
        <v>Anhemi.</v>
      </c>
      <c r="CI3" s="237" t="str">
        <f>IFERROR(__xludf.DUMMYFUNCTION("IF(BI3=""oooooooooooo"",""-"",IF(REGEXMATCH(BJ3,""xxx""), ""Cohem."", ""-""))"),"-")</f>
        <v>-</v>
      </c>
      <c r="CJ3" s="237" t="str">
        <f>IFERROR(__xludf.DUMMYFUNCTION("IF(BI3=""oooooooooooo"",""-"",IF(REGEXMATCH(BJ3,""xxxx""), ""Co-Co."", ""-""))"),"-")</f>
        <v>-</v>
      </c>
      <c r="CK3" s="279" t="str">
        <f>IFERROR(__xludf.DUMMYFUNCTION("IF(BI3=""oooooooooooo"",""-"",IF(REGEXMATCH(BJ3,""xxxxx""), ""CCC."", ""-""))"),"-")</f>
        <v>-</v>
      </c>
      <c r="CL3" s="282" t="str">
        <f t="shared" ref="CL3:CL65" si="41">IF(BI3="xoxoxoxxoxox","Kalyan",
IF(BI3="xoxoxxoxoxox","Bilawal",
IF(BI3="xoxoxxoxoxxo","Khamaj",
IF(BI3="xoxxoxoxoxxo","Kafi",
IF(BI3="xoxxoxoxxoxo","Asavari",
IF(BI3="xxoxoxoxxoxo","Bhairavi",
IF(BI3="xxooxxoxxoox","Bhairav",
IF(BI3="xxooxoxxoxox","Marwa",
IF(BI3="xxooxoxxxoox","Poorvi",
IF(BI3="xxoxooxxxoox","Todi","-"))))))))))
</f>
        <v>-</v>
      </c>
      <c r="CM3" s="237" t="str">
        <f>IFERROR(__xludf.DUMMYFUNCTION("IF(REGEXMATCH(JOIN(""-"",CO3:CX3),""TRUE""),""✔"",""-"")"),"✔")</f>
        <v>✔</v>
      </c>
      <c r="CN3" s="287">
        <f t="shared" ref="CN3:CN65" si="42">countif(CO3:CX3,TRUE)</f>
        <v>2</v>
      </c>
      <c r="CO3" s="289" t="b">
        <f>IFERROR(__xludf.DUMMYFUNCTION("arrayformula(sum(--REGEXMATCH(""SRGMPDNS"",split(REGEXREPLACE(N3,""(.)"",""$1~""),""~""))))=len(N3)
"),FALSE)</f>
        <v>0</v>
      </c>
      <c r="CP3" s="290" t="b">
        <f>IFERROR(__xludf.DUMMYFUNCTION("arrayformula(sum(--REGEXMATCH(""SRGmPDNS"",split(REGEXREPLACE(N3,""(.)"",""$1~""),""~""))))=len(N3)"),FALSE)</f>
        <v>0</v>
      </c>
      <c r="CQ3" s="290" t="b">
        <f>IFERROR(__xludf.DUMMYFUNCTION("arrayformula(sum(--REGEXMATCH(""SRGmPDnS"",split(REGEXREPLACE(N3,""(.)"",""$1~""),""~""))))=len(N3)"),FALSE)</f>
        <v>0</v>
      </c>
      <c r="CR3" s="290" t="b">
        <f>IFERROR(__xludf.DUMMYFUNCTION("arrayformula(sum(--REGEXMATCH(""SRgmPDnS"",split(REGEXREPLACE(N3,""(.)"",""$1~""),""~""))))=len(N3)"),FALSE)</f>
        <v>0</v>
      </c>
      <c r="CS3" s="290" t="b">
        <f>IFERROR(__xludf.DUMMYFUNCTION("arrayformula(sum(--REGEXMATCH(""SRgmPdnS"",split(REGEXREPLACE(N3,""(.)"",""$1~""),""~""))))=len(N3)"),TRUE)</f>
        <v>1</v>
      </c>
      <c r="CT3" s="290" t="b">
        <f>IFERROR(__xludf.DUMMYFUNCTION("arrayformula(sum(--REGEXMATCH(""SrgmPdnS"",split(REGEXREPLACE(N3,""(.)"",""$1~""),""~""))))=len(N3)"),TRUE)</f>
        <v>1</v>
      </c>
      <c r="CU3" s="290" t="b">
        <f>IFERROR(__xludf.DUMMYFUNCTION("arrayformula(sum(--REGEXMATCH(""SrGmPdNS"",split(REGEXREPLACE(N3,""(.)"",""$1~""),""~""))))=len(N3)"),FALSE)</f>
        <v>0</v>
      </c>
      <c r="CV3" s="290" t="b">
        <f>IFERROR(__xludf.DUMMYFUNCTION("arrayformula(sum(--REGEXMATCH(""SrGMPDNS"",split(REGEXREPLACE(N3,""(.)"",""$1~""),""~""))))=len(N3)"),FALSE)</f>
        <v>0</v>
      </c>
      <c r="CW3" s="290" t="b">
        <f>IFERROR(__xludf.DUMMYFUNCTION("arrayformula(sum(--REGEXMATCH(""SrGMPdNS"",split(REGEXREPLACE(N3,""(.)"",""$1~""),""~""))))=len(N3)"),FALSE)</f>
        <v>0</v>
      </c>
      <c r="CX3" s="293" t="b">
        <f>IFERROR(__xludf.DUMMYFUNCTION("arrayformula(sum(--REGEXMATCH(""SrgMPdNS"",split(REGEXREPLACE(N3,""(.)"",""$1~""),""~""))))=len(N3)"),FALSE)</f>
        <v>0</v>
      </c>
      <c r="CY3" s="244" t="str">
        <f>IFERROR(__xludf.DUMMYFUNCTION("IF(REGEXMATCH(N3, ""S""), ""1"","""")"),"1")</f>
        <v>1</v>
      </c>
      <c r="CZ3" s="245" t="str">
        <f>IFERROR(__xludf.DUMMYFUNCTION("IF(REGEXMATCH(N3, ""r""), ""b2"","""")"),"")</f>
        <v/>
      </c>
      <c r="DA3" s="246" t="str">
        <f>IFERROR(__xludf.DUMMYFUNCTION("IF(REGEXMATCH(N3, ""R""), ""2"","""")"),"")</f>
        <v/>
      </c>
      <c r="DB3" s="246" t="str">
        <f>IFERROR(__xludf.DUMMYFUNCTION("IF(REGEXMATCH(N3, ""g""), ""b3"","""")"),"b3")</f>
        <v>b3</v>
      </c>
      <c r="DC3" s="245" t="str">
        <f>IFERROR(__xludf.DUMMYFUNCTION("IF(REGEXMATCH(N3, ""G""), ""3"","""")"),"")</f>
        <v/>
      </c>
      <c r="DD3" s="245" t="str">
        <f>IFERROR(__xludf.DUMMYFUNCTION("IF(REGEXMATCH(N3, ""m""), ""4"","""")"),"4")</f>
        <v>4</v>
      </c>
      <c r="DE3" s="246" t="str">
        <f>IFERROR(__xludf.DUMMYFUNCTION("IF(REGEXMATCH(N3, ""M""), ""#4"","""")"),"")</f>
        <v/>
      </c>
      <c r="DF3" s="245" t="str">
        <f>IFERROR(__xludf.DUMMYFUNCTION("IF(REGEXMATCH(N3, ""P""), ""5"","""")"),"")</f>
        <v/>
      </c>
      <c r="DG3" s="246" t="str">
        <f>IFERROR(__xludf.DUMMYFUNCTION("IF(REGEXMATCH(N3, ""d""), ""b6"","""")"),"b6")</f>
        <v>b6</v>
      </c>
      <c r="DH3" s="245" t="str">
        <f>IFERROR(__xludf.DUMMYFUNCTION("IF(REGEXMATCH(N3, ""D""), ""6"","""")"),"")</f>
        <v/>
      </c>
      <c r="DI3" s="245" t="str">
        <f>IFERROR(__xludf.DUMMYFUNCTION("IF(REGEXMATCH(N3, ""n""), ""b7"","""")"),"b7")</f>
        <v>b7</v>
      </c>
      <c r="DJ3" s="246" t="str">
        <f>IFERROR(__xludf.DUMMYFUNCTION("IF(REGEXMATCH(N3, ""N""), ""7"","""")"),"")</f>
        <v/>
      </c>
      <c r="DK3" s="249" t="str">
        <f>IFERROR(__xludf.DUMMYFUNCTION("IF(REGEXMATCH(N3, ""S""), ""8"","""")"),"8")</f>
        <v>8</v>
      </c>
      <c r="DL3" s="244" t="str">
        <f>IFERROR(__xludf.DUMMYFUNCTION("IF(REGEXMATCH(N3, ""S""), ""S"","""")"),"S")</f>
        <v>S</v>
      </c>
      <c r="DM3" s="294" t="str">
        <f>IFERROR(__xludf.DUMMYFUNCTION("IF(REGEXMATCH(N3, ""r""), ""R1"","""")"),"")</f>
        <v/>
      </c>
      <c r="DN3" s="295" t="str">
        <f>IFERROR(__xludf.DUMMYFUNCTION("IF(REGEXMATCH(N3, ""R""), ""R2"","""")"),"")</f>
        <v/>
      </c>
      <c r="DO3" s="295" t="str">
        <f>IFERROR(__xludf.DUMMYFUNCTION("IF(REGEXMATCH(N3, ""g""), ""G2"","""")"),"G2")</f>
        <v>G2</v>
      </c>
      <c r="DP3" s="294" t="str">
        <f>IFERROR(__xludf.DUMMYFUNCTION("IF(REGEXMATCH(N3, ""G""), ""G3"","""")"),"")</f>
        <v/>
      </c>
      <c r="DQ3" s="294" t="str">
        <f>IFERROR(__xludf.DUMMYFUNCTION("IF(REGEXMATCH(N3, ""m""), ""M1"","""")"),"M1")</f>
        <v>M1</v>
      </c>
      <c r="DR3" s="295" t="str">
        <f>IFERROR(__xludf.DUMMYFUNCTION("IF(REGEXMATCH(N3, ""M""), ""M2"","""")"),"")</f>
        <v/>
      </c>
      <c r="DS3" s="294" t="str">
        <f>IFERROR(__xludf.DUMMYFUNCTION("IF(REGEXMATCH(N3, ""P""), ""P"","""")"),"")</f>
        <v/>
      </c>
      <c r="DT3" s="295" t="str">
        <f>IFERROR(__xludf.DUMMYFUNCTION("IF(REGEXMATCH(N3, ""d""), ""D1"","""")"),"D1")</f>
        <v>D1</v>
      </c>
      <c r="DU3" s="294" t="str">
        <f>IFERROR(__xludf.DUMMYFUNCTION("IF(REGEXMATCH(N3, ""D""), ""D2"","""")"),"")</f>
        <v/>
      </c>
      <c r="DV3" s="294" t="str">
        <f>IFERROR(__xludf.DUMMYFUNCTION("IF(REGEXMATCH(N3, ""n""), ""N2"","""")"),"N2")</f>
        <v>N2</v>
      </c>
      <c r="DW3" s="295" t="str">
        <f>IFERROR(__xludf.DUMMYFUNCTION("IF(REGEXMATCH(N3, ""N""), ""N3"","""")"),"")</f>
        <v/>
      </c>
      <c r="DX3" s="249" t="str">
        <f>IFERROR(__xludf.DUMMYFUNCTION("IF(REGEXMATCH(N3, ""S""), ""S"","""")"),"S")</f>
        <v>S</v>
      </c>
      <c r="DY3" s="299" t="str">
        <f>IFERROR(__xludf.DUMMYFUNCTION("SUBSTITUTE(SUBSTITUTE(SUBSTITUTE(SUBSTITUTE(CONCATENATE(JOIN(""-"",CY3:DK3)),""--"",""-""),""--"",""-""),""--"",""-""),""--"",""-"")"),"1-b3-4-b6-b7-8")</f>
        <v>1-b3-4-b6-b7-8</v>
      </c>
      <c r="DZ3" s="299" t="str">
        <f>IFERROR(__xludf.DUMMYFUNCTION("SUBSTITUTE(SUBSTITUTE(SUBSTITUTE(SUBSTITUTE(CONCATENATE(JOIN(""-"",DL3:DX3)),""--"",""-""),""--"",""-""),""--"",""-""),""--"",""-"")"),"S-G2-M1-D1-N2-S")</f>
        <v>S-G2-M1-D1-N2-S</v>
      </c>
      <c r="EA3" s="300" t="str">
        <f t="shared" ref="EA3:EA65" si="43">SUBSTITUTE(SUBSTITUTE(SUBSTITUTE(SUBSTITUTE(SUBSTITUTE(SUBSTITUTE(SUBSTITUTE(SUBSTITUTE(SUBSTITUTE(SUBSTITUTE(SUBSTITUTE(SUBSTITUTE(SUBSTITUTE(SUBSTITUTE(DY3,"1","C"),"b2","Db"),"2","D"),"b3","Eb"),"3","E"),"4","F"),"#4","F#"),"5","G"),"b6","Ab"),"6","A"),"b7","Bb"),"7","B"),"8","C"),"#F","F#")</f>
        <v>C-Eb-F-Ab-Bb-C</v>
      </c>
      <c r="EB3" s="301">
        <f t="shared" ref="EB3:EB65" si="44">K3</f>
        <v>5</v>
      </c>
      <c r="EC3" s="302" t="str">
        <f t="shared" ref="EC3:EC65" si="45">IF(L3=5,"Audav",IF(L3=6,"Shadav",IF(L3=7,"Sampurna","-")))</f>
        <v>Audav</v>
      </c>
      <c r="ED3" s="303" t="str">
        <f t="shared" ref="ED3:EE3" si="4">SUBSTITUTE(AD3,"-","")</f>
        <v>SGM</v>
      </c>
      <c r="EE3" s="303" t="str">
        <f t="shared" si="4"/>
        <v>DNS</v>
      </c>
      <c r="EF3" s="304" t="str">
        <f t="shared" ref="EF3:EF65" si="47">BQ3</f>
        <v>(PAIR)</v>
      </c>
      <c r="EG3" s="303" t="str">
        <f t="shared" ref="EG3:EG65" si="48">CH3</f>
        <v>Anhemi.</v>
      </c>
      <c r="EH3" s="305" t="str">
        <f t="shared" ref="EH3:EH65" si="49">IF(CK3="CCC.",CK3,IF(CJ3="Co-Co.",CJ3,IF(CI3="Cohem.",CI3,"-")))</f>
        <v>-</v>
      </c>
      <c r="EI3" s="306" t="str">
        <f t="shared" ref="EI3:EI65" si="50">CL3</f>
        <v>-</v>
      </c>
      <c r="EJ3" s="307" t="str">
        <f t="shared" ref="EJ3:EJ65" si="51">IF(CONCATENATE(EI3,CM3)="-✔","✔","-")</f>
        <v>✔</v>
      </c>
      <c r="EK3" s="308" t="str">
        <f t="shared" ref="EK3:EK65" si="52">IF(CN3=0,"✔","-")</f>
        <v>-</v>
      </c>
      <c r="EL3" s="306" t="str">
        <f t="shared" ref="EL3:EL65" si="53">IF(CONCATENATE(P3,R3,U3,W3,Y3)="","✔","-")</f>
        <v>-</v>
      </c>
      <c r="EM3" s="307" t="str">
        <f t="shared" ref="EM3:EM65" si="54">IF(CONCATENATE(Q3,S3,X3,Z3)="","✔","-")</f>
        <v>✔</v>
      </c>
      <c r="EN3" s="308" t="str">
        <f t="shared" ref="EN3:EN65" si="55">IF(CONCATENATE(T3,"-",U3)="-M","✔","-")</f>
        <v>-</v>
      </c>
      <c r="EO3" s="310" t="str">
        <f t="shared" ref="EO3:EO65" si="56">IF(CONCATENATE(P3,"-",Q3)="r-R","✔","-")</f>
        <v>-</v>
      </c>
      <c r="EP3" s="311" t="str">
        <f t="shared" ref="EP3:EP65" si="57">IF(CONCATENATE(R3,"-",S3)="g-G","✔","-")</f>
        <v>-</v>
      </c>
      <c r="EQ3" s="311" t="str">
        <f t="shared" ref="EQ3:EQ65" si="58">IF(CONCATENATE(T3,"-",U3)="m-M","✔","-")</f>
        <v>-</v>
      </c>
      <c r="ER3" s="311" t="str">
        <f t="shared" ref="ER3:ER65" si="59">IF(CONCATENATE(W3,"-",X3)="d-D","✔","-")</f>
        <v>-</v>
      </c>
      <c r="ES3" s="312" t="str">
        <f t="shared" ref="ES3:ES65" si="60">IF(CONCATENATE(Y3,"-",Z3)="n-N","✔","-")</f>
        <v>-</v>
      </c>
      <c r="ET3" s="306" t="str">
        <f t="shared" ref="ET3:ET65" si="61">IF(CONCATENATE(P3,"-",Q3)="-","✔","-")</f>
        <v>✔</v>
      </c>
      <c r="EU3" s="307" t="str">
        <f t="shared" ref="EU3:EU65" si="62">IF(CONCATENATE(R3,"-",S3)="-","✔","-")</f>
        <v>-</v>
      </c>
      <c r="EV3" s="307" t="str">
        <f t="shared" ref="EV3:EV65" si="63">IF(CONCATENATE(T3,"-",U3)="-","✔","-")</f>
        <v>-</v>
      </c>
      <c r="EW3" s="307" t="str">
        <f t="shared" ref="EW3:EW65" si="64">IF(CONCATENATE(V3,"-",V3)="-","✔","-")</f>
        <v>✔</v>
      </c>
      <c r="EX3" s="307" t="str">
        <f t="shared" ref="EX3:EX65" si="65">IF(CONCATENATE(W3,"-",X3)="-","✔","-")</f>
        <v>-</v>
      </c>
      <c r="EY3" s="308" t="str">
        <f t="shared" ref="EY3:EY65" si="66">IF(CONCATENATE(Y3,"-",Z3)="-","✔","-")</f>
        <v>-</v>
      </c>
      <c r="EZ3" s="310" t="str">
        <f>IFERROR(__xludf.DUMMYFUNCTION("IF(REGEXMATCH(BM3,BI3),""✔"",""-"")"),"✔")</f>
        <v>✔</v>
      </c>
      <c r="FA3" s="311" t="str">
        <f t="shared" ref="FA3:FA65" si="67">IF(BR3=BS3,"-","✔")</f>
        <v>-</v>
      </c>
      <c r="FB3" s="312" t="str">
        <f t="shared" ref="FB3:FB65" si="68">IF(BI3=BL3,"✔","-")</f>
        <v>-</v>
      </c>
      <c r="FC3" s="315" t="str">
        <f t="shared" ref="FC3:FC65" si="69">J3</f>
        <v>[UQ]</v>
      </c>
      <c r="FD3" s="317" t="str">
        <f t="shared" ref="FD3:FD65" si="70">B3</f>
        <v>S-g-m-d-n-S</v>
      </c>
      <c r="FE3" s="318" t="str">
        <f>IFERROR(__xludf.DUMMYFUNCTION("CONCATENATE(JOIN("""",GJ3:GV3))"),"SRGPDS")</f>
        <v>SRGPDS</v>
      </c>
      <c r="FF3" s="318"/>
      <c r="FG3" s="318"/>
      <c r="FH3" s="321">
        <f t="shared" ref="FH3:FH65" si="71">13-(COUNTIF(HW3:II3, ""))</f>
        <v>1</v>
      </c>
      <c r="FI3" s="318" t="str">
        <f>IFERROR(__xludf.DUMMYFUNCTION("CONCATENATE(JOIN("""",HW3:II3))"),"Sa, ")</f>
        <v>Sa, </v>
      </c>
      <c r="FJ3" s="322">
        <f t="shared" ref="FJ3:FJ65" si="72">13-(COUNTIF(IW3:JI3, ""))</f>
        <v>0</v>
      </c>
      <c r="FK3" s="324" t="str">
        <f>IFERROR(__xludf.DUMMYFUNCTION("CONCATENATE(JOIN("""",IW3:JI3))"),"")</f>
        <v/>
      </c>
      <c r="FL3" s="325" t="str">
        <f t="shared" ref="FL3:FL65" si="73">DZ3</f>
        <v>S-G2-M1-D1-N2-S</v>
      </c>
      <c r="FM3" s="326" t="str">
        <f t="shared" ref="FM3:FM65" si="74">DY3</f>
        <v>1-b3-4-b6-b7-8</v>
      </c>
      <c r="FN3" s="326" t="str">
        <f t="shared" ref="FN3:FN65" si="75">AT3</f>
        <v>0-3-5-8-10-0</v>
      </c>
      <c r="FO3" s="318"/>
      <c r="FP3" s="328" t="str">
        <f>IFERROR(__xludf.DUMMYFUNCTION("SUBSTITUTE(SUBSTITUTE(SUBSTITUTE(SUBSTITUTE(CONCATENATE(JOIN("" "",FS3:GE3)),""  "","" ""),""  "","" ""),""  "","" ""),""  "","" "")"),"o • • o • o • • o • o • o")</f>
        <v>o • • o • o • • o • o • o</v>
      </c>
      <c r="FQ3" s="328" t="str">
        <f t="shared" ref="FQ3:FQ65" si="76">IF(GF3="Sa-Pa",GF3,IF(GH3="Sa-Pa",GH3,IF(GI3="Sa-ma",GI3,"-")))</f>
        <v>Sa-ma</v>
      </c>
      <c r="FR3" s="329"/>
      <c r="FS3" s="331" t="str">
        <f t="shared" ref="FS3:FS65" si="77">IF(AG3="0","o","•")</f>
        <v>o</v>
      </c>
      <c r="FT3" s="332" t="str">
        <f t="shared" ref="FT3:FT65" si="78">IF(AH3="1","o","•")</f>
        <v>•</v>
      </c>
      <c r="FU3" s="332" t="str">
        <f t="shared" ref="FU3:FU65" si="79">IF(AI3="2","o","•")</f>
        <v>•</v>
      </c>
      <c r="FV3" s="332" t="str">
        <f t="shared" ref="FV3:FV65" si="80">IF(AJ3="3","o","•")</f>
        <v>o</v>
      </c>
      <c r="FW3" s="332" t="str">
        <f t="shared" ref="FW3:FW65" si="81">IF(AK3="4","o","•")</f>
        <v>•</v>
      </c>
      <c r="FX3" s="332" t="str">
        <f t="shared" ref="FX3:FX65" si="82">IF(AL3="5","o","•")</f>
        <v>o</v>
      </c>
      <c r="FY3" s="332" t="str">
        <f t="shared" ref="FY3:FY65" si="83">IF(AM3="6","o","•")</f>
        <v>•</v>
      </c>
      <c r="FZ3" s="332" t="str">
        <f t="shared" ref="FZ3:FZ65" si="84">IF(AN3="7","o","•")</f>
        <v>•</v>
      </c>
      <c r="GA3" s="332" t="str">
        <f t="shared" ref="GA3:GA65" si="85">IF(AO3="8","o","•")</f>
        <v>o</v>
      </c>
      <c r="GB3" s="332" t="str">
        <f t="shared" ref="GB3:GB65" si="86">IF(AP3="9","o","•")</f>
        <v>•</v>
      </c>
      <c r="GC3" s="332" t="str">
        <f t="shared" ref="GC3:GC65" si="87">IF(AQ3="10","o","•")</f>
        <v>o</v>
      </c>
      <c r="GD3" s="332" t="str">
        <f t="shared" ref="GD3:GD65" si="88">IF(AR3="11","o","•")</f>
        <v>•</v>
      </c>
      <c r="GE3" s="338" t="str">
        <f t="shared" ref="GE3:GE65" si="89">IF(AS3="0","o","•")</f>
        <v>o</v>
      </c>
      <c r="GF3" s="339" t="str">
        <f t="shared" ref="GF3:GF65" si="90">IF(EN3="✔","Sa-Pa","-")</f>
        <v>-</v>
      </c>
      <c r="GG3" s="339" t="str">
        <f t="shared" ref="GG3:GG65" si="91">IF(V3="P","Sa-Pa","-")</f>
        <v>-</v>
      </c>
      <c r="GH3" s="339" t="str">
        <f t="shared" ref="GH3:GH65" si="92">IF(CONCATENATE(T3,"-",U3,"-",V3)="--P","Sa-Pa","-")</f>
        <v>-</v>
      </c>
      <c r="GI3" s="340" t="str">
        <f t="shared" ref="GI3:GI65" si="93">IF(CONCATENATE(T3,"-",U3,"-",V3)="m--","Sa-ma","-")</f>
        <v>Sa-ma</v>
      </c>
      <c r="GJ3" s="331" t="str">
        <f t="shared" ref="GJ3:GJ65" si="94">IF(AS3="0","S","")</f>
        <v>S</v>
      </c>
      <c r="GK3" s="332" t="str">
        <f t="shared" ref="GK3:GK65" si="95">IF(AR3="11","r","")</f>
        <v/>
      </c>
      <c r="GL3" s="332" t="str">
        <f t="shared" ref="GL3:GL65" si="96">IF(AQ3="10","R","")</f>
        <v>R</v>
      </c>
      <c r="GM3" s="332" t="str">
        <f t="shared" ref="GM3:GM65" si="97">IF(AP3="9","g","")</f>
        <v/>
      </c>
      <c r="GN3" s="332" t="str">
        <f t="shared" ref="GN3:GN65" si="98">IF(AO3="8","G","")</f>
        <v>G</v>
      </c>
      <c r="GO3" s="332" t="str">
        <f t="shared" ref="GO3:GO65" si="99">IF(AN3="7","m","")</f>
        <v/>
      </c>
      <c r="GP3" s="332" t="str">
        <f t="shared" ref="GP3:GP65" si="100">IF(AM3="6","M","")</f>
        <v/>
      </c>
      <c r="GQ3" s="332" t="str">
        <f t="shared" ref="GQ3:GQ65" si="101">IF(AL3="5","P","")</f>
        <v>P</v>
      </c>
      <c r="GR3" s="332" t="str">
        <f t="shared" ref="GR3:GR65" si="102">IF(AK3="4","d","")</f>
        <v/>
      </c>
      <c r="GS3" s="332" t="str">
        <f t="shared" ref="GS3:GS65" si="103">IF(AJ3="3","D","")</f>
        <v>D</v>
      </c>
      <c r="GT3" s="332" t="str">
        <f t="shared" ref="GT3:GT65" si="104">IF(AI3="2","n","")</f>
        <v/>
      </c>
      <c r="GU3" s="332" t="str">
        <f t="shared" ref="GU3:GU65" si="105">IF(AH3="1","N","")</f>
        <v/>
      </c>
      <c r="GV3" s="343" t="str">
        <f t="shared" ref="GV3:GV65" si="106">IF(AG3="0","S","")</f>
        <v>S</v>
      </c>
      <c r="GW3" s="331" t="str">
        <f t="shared" ref="GW3:GW65" si="107">IF(AG3="0","•","o")</f>
        <v>•</v>
      </c>
      <c r="GX3" s="332" t="str">
        <f t="shared" ref="GX3:GX65" si="108">IF(AH3="1","•","o")</f>
        <v>o</v>
      </c>
      <c r="GY3" s="332" t="str">
        <f t="shared" ref="GY3:GY65" si="109">IF(AI3="2","•","o")</f>
        <v>o</v>
      </c>
      <c r="GZ3" s="332" t="str">
        <f t="shared" ref="GZ3:GZ65" si="110">IF(AJ3="3","•","o")</f>
        <v>•</v>
      </c>
      <c r="HA3" s="332" t="str">
        <f t="shared" ref="HA3:HA65" si="111">IF(AK3="4","•","o")</f>
        <v>o</v>
      </c>
      <c r="HB3" s="332" t="str">
        <f t="shared" ref="HB3:HB65" si="112">IF(AL3="5","•","o")</f>
        <v>•</v>
      </c>
      <c r="HC3" s="332" t="str">
        <f t="shared" ref="HC3:HC65" si="113">IF(AM3="6","•","o")</f>
        <v>o</v>
      </c>
      <c r="HD3" s="332" t="str">
        <f t="shared" ref="HD3:HD65" si="114">IF(AN3="7","•","o")</f>
        <v>o</v>
      </c>
      <c r="HE3" s="332" t="str">
        <f t="shared" ref="HE3:HE65" si="115">IF(AO3="8","•","o")</f>
        <v>•</v>
      </c>
      <c r="HF3" s="332" t="str">
        <f t="shared" ref="HF3:HF65" si="116">IF(AP3="9","•","o")</f>
        <v>o</v>
      </c>
      <c r="HG3" s="332" t="str">
        <f t="shared" ref="HG3:HG65" si="117">IF(AQ3="10","•","o")</f>
        <v>•</v>
      </c>
      <c r="HH3" s="332" t="str">
        <f t="shared" ref="HH3:HH65" si="118">IF(AR3="11","•","o")</f>
        <v>o</v>
      </c>
      <c r="HI3" s="338" t="str">
        <f t="shared" ref="HI3:HI65" si="119">IF(AS3="0","•","o")</f>
        <v>•</v>
      </c>
      <c r="HJ3" s="346" t="b">
        <f t="shared" ref="HJ3:HJ65" si="120">AND(AG3="0",AN3="")</f>
        <v>1</v>
      </c>
      <c r="HK3" s="347" t="b">
        <f t="shared" ref="HK3:HK65" si="121">AND(AH3="1",AO3="")</f>
        <v>0</v>
      </c>
      <c r="HL3" s="347" t="b">
        <f t="shared" ref="HL3:HL65" si="122">AND(AI3="2",AP3="")</f>
        <v>0</v>
      </c>
      <c r="HM3" s="347" t="b">
        <f t="shared" ref="HM3:HM65" si="123">AND(AJ3="3",AQ3="")</f>
        <v>0</v>
      </c>
      <c r="HN3" s="347" t="b">
        <f t="shared" ref="HN3:HN65" si="124">AND(AK3="4",AR3="")</f>
        <v>0</v>
      </c>
      <c r="HO3" s="347" t="b">
        <f t="shared" ref="HO3:HO65" si="125">AND(AL3="5",AG3="")</f>
        <v>0</v>
      </c>
      <c r="HP3" s="347" t="b">
        <f t="shared" ref="HP3:HP65" si="126">AND(AM3="6",AH3="")</f>
        <v>0</v>
      </c>
      <c r="HQ3" s="347" t="b">
        <f t="shared" ref="HQ3:HQ65" si="127">AND(AN3="7",AI3="")</f>
        <v>0</v>
      </c>
      <c r="HR3" s="347" t="b">
        <f t="shared" ref="HR3:HR65" si="128">AND(AO3="8",AJ3="")</f>
        <v>0</v>
      </c>
      <c r="HS3" s="347" t="b">
        <f t="shared" ref="HS3:HS65" si="129">AND(AP3="9",AK3="")</f>
        <v>0</v>
      </c>
      <c r="HT3" s="347" t="b">
        <f t="shared" ref="HT3:HT65" si="130">AND(AQ3="10",AL3="")</f>
        <v>0</v>
      </c>
      <c r="HU3" s="347" t="b">
        <f t="shared" ref="HU3:HU65" si="131">AND(AR3="11",AM3="")</f>
        <v>0</v>
      </c>
      <c r="HV3" s="353" t="b">
        <f t="shared" ref="HV3:HV65" si="132">AND(AS3="0",AN3="")</f>
        <v>1</v>
      </c>
      <c r="HW3" s="354" t="str">
        <f t="shared" ref="HW3:HW65" si="133">IF(HJ3=TRUE,"Sa, ","")</f>
        <v>Sa, </v>
      </c>
      <c r="HX3" s="355" t="str">
        <f t="shared" ref="HX3:HX65" si="134">IF(HK3=TRUE,"re, ","")</f>
        <v/>
      </c>
      <c r="HY3" s="355" t="str">
        <f t="shared" ref="HY3:HY65" si="135">IF(HL3=TRUE,"Re, ","")</f>
        <v/>
      </c>
      <c r="HZ3" s="355" t="str">
        <f t="shared" ref="HZ3:HZ65" si="136">IF(HM3=TRUE,"ga, ","")</f>
        <v/>
      </c>
      <c r="IA3" s="355" t="str">
        <f t="shared" ref="IA3:IA65" si="137">IF(HN3=TRUE,"Ga, ","")</f>
        <v/>
      </c>
      <c r="IB3" s="355" t="str">
        <f t="shared" ref="IB3:IB65" si="138">IF(HO3=TRUE,"ma, ","")</f>
        <v/>
      </c>
      <c r="IC3" s="355" t="str">
        <f t="shared" ref="IC3:IC65" si="139">IF(HP3=TRUE,"Ma, ","")</f>
        <v/>
      </c>
      <c r="ID3" s="355" t="str">
        <f t="shared" ref="ID3:ID65" si="140">IF(HQ3=TRUE,"Pa, ","")</f>
        <v/>
      </c>
      <c r="IE3" s="355" t="str">
        <f t="shared" ref="IE3:IE65" si="141">IF(HR3=TRUE,"dha, ","")</f>
        <v/>
      </c>
      <c r="IF3" s="355" t="str">
        <f t="shared" ref="IF3:IF65" si="142">IF(HS3=TRUE,"Dha, ","")</f>
        <v/>
      </c>
      <c r="IG3" s="355" t="str">
        <f t="shared" ref="IG3:IG65" si="143">IF(HT3=TRUE,"ni, ","")</f>
        <v/>
      </c>
      <c r="IH3" s="355" t="str">
        <f t="shared" ref="IH3:IH65" si="144">IF(HU3=TRUE,"Ni, ","")</f>
        <v/>
      </c>
      <c r="II3" s="359" t="str">
        <f t="shared" ref="II3:II65" si="145">IF(HV3=TRUE,"", "")</f>
        <v/>
      </c>
      <c r="IJ3" s="346" t="b">
        <f t="shared" ref="IJ3:IJ65" si="146">AND(AG3="0",AN3="",AL3="")</f>
        <v>0</v>
      </c>
      <c r="IK3" s="347" t="b">
        <f t="shared" ref="IK3:IK65" si="147">AND(AH3="1",AO3="",AM3="")</f>
        <v>0</v>
      </c>
      <c r="IL3" s="347" t="b">
        <f t="shared" ref="IL3:IL65" si="148">AND(AI3="2",AP3="",AN3="")</f>
        <v>0</v>
      </c>
      <c r="IM3" s="347" t="b">
        <f t="shared" ref="IM3:IM65" si="149">AND(AJ3="3",AQ3="",AO3="")</f>
        <v>0</v>
      </c>
      <c r="IN3" s="347" t="b">
        <f t="shared" ref="IN3:IN65" si="150">AND(AK3="4",AR3="",AP3="")</f>
        <v>0</v>
      </c>
      <c r="IO3" s="347" t="b">
        <f t="shared" ref="IO3:IO65" si="151">AND(AL3="5",AS3="",AQ3="")</f>
        <v>0</v>
      </c>
      <c r="IP3" s="347" t="b">
        <f t="shared" ref="IP3:IP65" si="152">AND(AM3="6",AH3="",AR3="")</f>
        <v>0</v>
      </c>
      <c r="IQ3" s="347" t="b">
        <f t="shared" ref="IQ3:IQ65" si="153">AND(AN3="7",AG3="",AI3="")</f>
        <v>0</v>
      </c>
      <c r="IR3" s="347" t="b">
        <f t="shared" ref="IR3:IR65" si="154">AND(AO3="8",AH3="",AJ3="")</f>
        <v>0</v>
      </c>
      <c r="IS3" s="347" t="b">
        <f t="shared" ref="IS3:IS65" si="155">AND(AP3="9",AI3="",AK3="")</f>
        <v>0</v>
      </c>
      <c r="IT3" s="347" t="b">
        <f t="shared" ref="IT3:IT65" si="156">AND(AQ3="10",AJ3="",AL3="")</f>
        <v>0</v>
      </c>
      <c r="IU3" s="347" t="b">
        <f t="shared" ref="IU3:IU65" si="157">AND(AR3="11",AK3="",AM3="")</f>
        <v>0</v>
      </c>
      <c r="IV3" s="365" t="b">
        <f t="shared" ref="IV3:IV65" si="158">AND(AG3="0",AN3="",AL3="")</f>
        <v>0</v>
      </c>
      <c r="IW3" s="354" t="str">
        <f t="shared" ref="IW3:IW65" si="159">IF(IJ3=TRUE,"Sa, ","")</f>
        <v/>
      </c>
      <c r="IX3" s="355" t="str">
        <f t="shared" ref="IX3:IX65" si="160">IF(IK3=TRUE,"re, ","")</f>
        <v/>
      </c>
      <c r="IY3" s="355" t="str">
        <f t="shared" ref="IY3:IY65" si="161">IF(IL3=TRUE,"Re, ","")</f>
        <v/>
      </c>
      <c r="IZ3" s="355" t="str">
        <f t="shared" ref="IZ3:IZ65" si="162">IF(IM3=TRUE,"ga, ","")</f>
        <v/>
      </c>
      <c r="JA3" s="355" t="str">
        <f t="shared" ref="JA3:JA65" si="163">IF(IN3=TRUE,"Ga, ","")</f>
        <v/>
      </c>
      <c r="JB3" s="355" t="str">
        <f t="shared" ref="JB3:JB65" si="164">IF(IO3=TRUE,"ma, ","")</f>
        <v/>
      </c>
      <c r="JC3" s="355" t="str">
        <f t="shared" ref="JC3:JC65" si="165">IF(IP3=TRUE,"Ma, ","")</f>
        <v/>
      </c>
      <c r="JD3" s="355" t="str">
        <f t="shared" ref="JD3:JD65" si="166">IF(IQ3=TRUE,"Pa, ","")</f>
        <v/>
      </c>
      <c r="JE3" s="355" t="str">
        <f t="shared" ref="JE3:JE65" si="167">IF(IR3=TRUE,"dha, ","")</f>
        <v/>
      </c>
      <c r="JF3" s="355" t="str">
        <f t="shared" ref="JF3:JF65" si="168">IF(IS3=TRUE,"Dha, ","")</f>
        <v/>
      </c>
      <c r="JG3" s="355" t="str">
        <f t="shared" ref="JG3:JG65" si="169">IF(IT3=TRUE,"ni, ","")</f>
        <v/>
      </c>
      <c r="JH3" s="355" t="str">
        <f t="shared" ref="JH3:JH65" si="170">IF(IU3=TRUE,"Ni, ","")</f>
        <v/>
      </c>
      <c r="JI3" s="359"/>
      <c r="JJ3" s="321"/>
      <c r="JK3" s="368"/>
      <c r="JL3" s="369"/>
      <c r="JM3" s="369"/>
      <c r="JN3" s="369"/>
      <c r="JO3" s="369"/>
      <c r="JP3" s="369"/>
      <c r="JQ3" s="369"/>
      <c r="JR3" s="369"/>
      <c r="JS3" s="369"/>
      <c r="JT3" s="369"/>
      <c r="JU3" s="369"/>
    </row>
    <row r="4" ht="20.25" customHeight="1">
      <c r="A4" s="221" t="s">
        <v>444</v>
      </c>
      <c r="B4" s="223" t="s">
        <v>445</v>
      </c>
      <c r="C4" s="222" t="s">
        <v>275</v>
      </c>
      <c r="D4" s="222"/>
      <c r="E4" s="222"/>
      <c r="F4" s="222" t="s">
        <v>275</v>
      </c>
      <c r="G4" s="395" t="s">
        <v>275</v>
      </c>
      <c r="H4" s="222">
        <v>2.0</v>
      </c>
      <c r="I4" s="224" t="s">
        <v>398</v>
      </c>
      <c r="J4" s="225" t="str">
        <f t="shared" si="5"/>
        <v>[UQ]</v>
      </c>
      <c r="K4" s="227">
        <f t="shared" si="6"/>
        <v>5</v>
      </c>
      <c r="L4" s="229">
        <f t="shared" si="7"/>
        <v>5</v>
      </c>
      <c r="M4" s="230">
        <f t="shared" si="8"/>
        <v>0</v>
      </c>
      <c r="N4" s="233" t="str">
        <f t="shared" si="9"/>
        <v>SgmdNS</v>
      </c>
      <c r="O4" s="234" t="str">
        <f>IFERROR(__xludf.DUMMYFUNCTION("IF(REGEXMATCH(N4, ""S""), ""S"","""")"),"S")</f>
        <v>S</v>
      </c>
      <c r="P4" s="236" t="str">
        <f>IFERROR(__xludf.DUMMYFUNCTION("IF(REGEXMATCH(N4, ""r""), ""r"","""")"),"")</f>
        <v/>
      </c>
      <c r="Q4" s="237" t="str">
        <f>IFERROR(__xludf.DUMMYFUNCTION("IF(REGEXMATCH(N4, ""R""), ""R"","""")"),"")</f>
        <v/>
      </c>
      <c r="R4" s="237" t="str">
        <f>IFERROR(__xludf.DUMMYFUNCTION("IF(REGEXMATCH(N4, ""g""), ""g"","""")"),"g")</f>
        <v>g</v>
      </c>
      <c r="S4" s="236" t="str">
        <f>IFERROR(__xludf.DUMMYFUNCTION("IF(REGEXMATCH(N4, ""G""), ""G"","""")"),"")</f>
        <v/>
      </c>
      <c r="T4" s="236" t="str">
        <f>IFERROR(__xludf.DUMMYFUNCTION("IF(REGEXMATCH(N4, ""m""), ""m"","""")"),"m")</f>
        <v>m</v>
      </c>
      <c r="U4" s="237" t="str">
        <f>IFERROR(__xludf.DUMMYFUNCTION("IF(REGEXMATCH(N4, ""M""), ""M"","""")"),"")</f>
        <v/>
      </c>
      <c r="V4" s="236" t="str">
        <f>IFERROR(__xludf.DUMMYFUNCTION("IF(REGEXMATCH(N4, ""P""), ""P"","""")"),"")</f>
        <v/>
      </c>
      <c r="W4" s="237" t="str">
        <f>IFERROR(__xludf.DUMMYFUNCTION("IF(REGEXMATCH(N4, ""d""), ""d"","""")"),"d")</f>
        <v>d</v>
      </c>
      <c r="X4" s="236" t="str">
        <f>IFERROR(__xludf.DUMMYFUNCTION("IF(REGEXMATCH(N4, ""D""), ""D"","""")"),"")</f>
        <v/>
      </c>
      <c r="Y4" s="236" t="str">
        <f>IFERROR(__xludf.DUMMYFUNCTION("IF(REGEXMATCH(N4, ""n""), ""n"","""")"),"")</f>
        <v/>
      </c>
      <c r="Z4" s="237" t="str">
        <f>IFERROR(__xludf.DUMMYFUNCTION("IF(REGEXMATCH(N4, ""N""), ""N"","""")"),"N")</f>
        <v>N</v>
      </c>
      <c r="AA4" s="238" t="str">
        <f>IFERROR(__xludf.DUMMYFUNCTION("IF(REGEXMATCH(N4, ""S""), ""S"","""")"),"S")</f>
        <v>S</v>
      </c>
      <c r="AB4" s="239" t="str">
        <f>IFERROR(__xludf.DUMMYFUNCTION("SUBSTITUTE(CONCATENATE(JOIN(""-"",O4:U4)),""-"","""")"),"Sgm")</f>
        <v>Sgm</v>
      </c>
      <c r="AC4" s="229" t="str">
        <f>IFERROR(__xludf.DUMMYFUNCTION("SUBSTITUTE(CONCATENATE(JOIN(""-"",V4:AA4)),""-"","""")"),"dNS")</f>
        <v>dNS</v>
      </c>
      <c r="AD4" s="282" t="str">
        <f t="shared" si="10"/>
        <v>S-G-M</v>
      </c>
      <c r="AE4" s="282" t="str">
        <f t="shared" si="11"/>
        <v>D-N-S</v>
      </c>
      <c r="AF4" s="309" t="str">
        <f t="shared" si="12"/>
        <v>gmdN</v>
      </c>
      <c r="AG4" s="244" t="str">
        <f>IFERROR(__xludf.DUMMYFUNCTION("IF(REGEXMATCH(N4, ""S""), ""0"","""")"),"0")</f>
        <v>0</v>
      </c>
      <c r="AH4" s="245" t="str">
        <f>IFERROR(__xludf.DUMMYFUNCTION("IF(REGEXMATCH(N4, ""r""), ""1"","""")"),"")</f>
        <v/>
      </c>
      <c r="AI4" s="246" t="str">
        <f>IFERROR(__xludf.DUMMYFUNCTION("IF(REGEXMATCH(N4, ""R""), ""2"","""")"),"")</f>
        <v/>
      </c>
      <c r="AJ4" s="246" t="str">
        <f>IFERROR(__xludf.DUMMYFUNCTION("IF(REGEXMATCH(N4, ""g""), ""3"","""")"),"3")</f>
        <v>3</v>
      </c>
      <c r="AK4" s="245" t="str">
        <f>IFERROR(__xludf.DUMMYFUNCTION("IF(REGEXMATCH(N4, ""G""), ""4"","""")"),"")</f>
        <v/>
      </c>
      <c r="AL4" s="245" t="str">
        <f>IFERROR(__xludf.DUMMYFUNCTION("IF(REGEXMATCH(N4, ""m""), ""5"","""")"),"5")</f>
        <v>5</v>
      </c>
      <c r="AM4" s="246" t="str">
        <f>IFERROR(__xludf.DUMMYFUNCTION("IF(REGEXMATCH(N4, ""M""), ""6"","""")"),"")</f>
        <v/>
      </c>
      <c r="AN4" s="245" t="str">
        <f>IFERROR(__xludf.DUMMYFUNCTION("IF(REGEXMATCH(N4, ""P""), ""7"","""")"),"")</f>
        <v/>
      </c>
      <c r="AO4" s="246" t="str">
        <f>IFERROR(__xludf.DUMMYFUNCTION("IF(REGEXMATCH(N4, ""d""), ""8"","""")"),"8")</f>
        <v>8</v>
      </c>
      <c r="AP4" s="245" t="str">
        <f>IFERROR(__xludf.DUMMYFUNCTION("IF(REGEXMATCH(N4, ""D""), ""9"","""")"),"")</f>
        <v/>
      </c>
      <c r="AQ4" s="245" t="str">
        <f>IFERROR(__xludf.DUMMYFUNCTION("IF(REGEXMATCH(N4, ""n""), ""10"","""")"),"")</f>
        <v/>
      </c>
      <c r="AR4" s="246" t="str">
        <f>IFERROR(__xludf.DUMMYFUNCTION("IF(REGEXMATCH(N4, ""N""), ""11"","""")"),"11")</f>
        <v>11</v>
      </c>
      <c r="AS4" s="249" t="str">
        <f>IFERROR(__xludf.DUMMYFUNCTION("IF(REGEXMATCH(N4, ""S""), ""0"","""")"),"0")</f>
        <v>0</v>
      </c>
      <c r="AT4" s="250" t="str">
        <f>IFERROR(__xludf.DUMMYFUNCTION("SUBSTITUTE(SUBSTITUTE(SUBSTITUTE(SUBSTITUTE(CONCATENATE(JOIN(""-"",AG4:AS4)),""--"",""-""),""--"",""-""),""--"",""-""),""--"",""-"")"),"0-3-5-8-11-0")</f>
        <v>0-3-5-8-11-0</v>
      </c>
      <c r="AU4" s="251">
        <f t="shared" si="13"/>
        <v>0</v>
      </c>
      <c r="AV4" s="234" t="str">
        <f t="shared" si="14"/>
        <v>|</v>
      </c>
      <c r="AW4" s="236" t="str">
        <f t="shared" si="15"/>
        <v>-</v>
      </c>
      <c r="AX4" s="237" t="str">
        <f t="shared" si="16"/>
        <v>-</v>
      </c>
      <c r="AY4" s="236" t="str">
        <f t="shared" si="17"/>
        <v>|</v>
      </c>
      <c r="AZ4" s="237" t="str">
        <f t="shared" si="18"/>
        <v>-</v>
      </c>
      <c r="BA4" s="236" t="str">
        <f t="shared" si="19"/>
        <v>|</v>
      </c>
      <c r="BB4" s="237" t="str">
        <f t="shared" si="20"/>
        <v>-</v>
      </c>
      <c r="BC4" s="236" t="str">
        <f t="shared" si="21"/>
        <v>-</v>
      </c>
      <c r="BD4" s="237" t="str">
        <f t="shared" si="22"/>
        <v>|</v>
      </c>
      <c r="BE4" s="236" t="str">
        <f t="shared" si="23"/>
        <v>-</v>
      </c>
      <c r="BF4" s="237" t="str">
        <f t="shared" si="24"/>
        <v>-</v>
      </c>
      <c r="BG4" s="236" t="str">
        <f t="shared" si="25"/>
        <v>|</v>
      </c>
      <c r="BH4" s="238" t="str">
        <f t="shared" si="26"/>
        <v>|</v>
      </c>
      <c r="BI4" s="250" t="str">
        <f>IFERROR(__xludf.DUMMYFUNCTION("SUBSTITUTE(SUBSTITUTE(CONCATENATE(JOIN("""",AV4:BG4)),""|"",""x""),""-"",""o"")"),"xooxoxooxoox")</f>
        <v>xooxoxooxoox</v>
      </c>
      <c r="BJ4" s="323" t="str">
        <f>IFERROR(__xludf.DUMMYFUNCTION("JOIN("""",BI4,BI4)"),"xooxoxooxooxxooxoxooxoox")</f>
        <v>xooxoxooxooxxooxoxooxoox</v>
      </c>
      <c r="BK4" s="256" t="str">
        <f>IFERROR(__xludf.DUMMYFUNCTION("JOIN("""",ArrayFormula(MID(BI4,LEN(BI4)-SEQUENCE(1,LEN(BI4))+1,1)))"),"xooxooxoxoox")</f>
        <v>xooxooxoxoox</v>
      </c>
      <c r="BL4" s="256" t="str">
        <f>IFERROR(__xludf.DUMMYFUNCTION("LEFT(CONCATENATE(""x"",JOIN("""",ArrayFormula(MID(BI4,LEN(BI4)-SEQUENCE(1,LEN(BI4))+1,1)))),12)"),"xxooxooxoxoo")</f>
        <v>xxooxooxoxoo</v>
      </c>
      <c r="BM4" s="327" t="str">
        <f>IFERROR(__xludf.DUMMYFUNCTION("JOIN("""",BK4,BK4)"),"xooxooxoxooxxooxooxoxoox")</f>
        <v>xooxooxoxooxxooxooxoxoox</v>
      </c>
      <c r="BN4" s="239" t="str">
        <f>IFERROR(__xludf.DUMMYFUNCTION("IF(REGEXMATCH(BM4,BI4),""✔"",""-"")"),"-")</f>
        <v>-</v>
      </c>
      <c r="BO4" s="330" t="str">
        <f t="shared" si="27"/>
        <v>-</v>
      </c>
      <c r="BP4" s="260" t="str">
        <f t="shared" si="28"/>
        <v>-</v>
      </c>
      <c r="BQ4" s="261" t="str">
        <f>IFERROR(__xludf.DUMMYFUNCTION("IF(BT4=0,""(n/a)"",IF(BU4=2,""(PAIR)"",IF(REGEXMATCH(BJ4,""xoxoxxoxoxox""),""Bilawal"",IF(REGEXMATCH(BJ4,""xoxoxooxoxoo""),""Bhupali"",IF(REGEXMATCH(BJ4,""xoxoxxoxxoxo""),""Charukeshi"",IF(REGEXMATCH(BJ4,""xoxoooxxoxxo""),""Kameshwari"",IF(REGEXMATCH(BJ4,"&amp;"""xoxoxooxoxox""),""Shankara"",IF(REGEXMATCH(BJ4,""xxooxoxxxoox""),""Basant"",IF(REGEXMATCH(BJ4,""xoxoxxxxoxox""),""Bihag"",IF(REGEXMATCH(BJ4,""xoxxxxoxoxxx""),""Pilu"",IF(REGEXMATCH(BJ4,""xoxxoxoxxoox""),""Kirwani"",IF(REGEXMATCH(BJ4,""xoxxoxoxoxxx""),"""&amp;"Mk.Malhar"",IF(REGEXMATCH(BJ4,""xxooxxoxxoox""),""Bhairav"",IF(REGEXMATCH(BJ4,""xxoxooxxxoox""),""Todi"",IF(REGEXMATCH(BJ4,""xxooxoxooxox""),""Marwa"",IF(REGEXMATCH(BJ4,""xxoooxoxxooo""),""Gunkali"",IF(REGEXMATCH(BJ4,""xoxoxxoxxoox""),""Nat Bhairav"",IF(R"&amp;"EGEXMATCH(BJ4,""xoxxoooxoxoo""),""Shivranjani"",IF(REGEXMATCH(BJ4,""xooxxxoxooxo""),""Jog"",IF(REGEXMATCH(BJ4,""xxooxoxoxoox""),""Hemshri"",IF(REGEXMATCH(BJ4,""xoooxooxoxxo""),""Kalavati"",IF(REGEXMATCH(BJ4,""xxoxoxxoxoox""),""Kedar"",IF(REGEXMATCH(BJ4,"""&amp;"xoxxxxoxooxx""),""Gara"",IF(REGEXMATCH(BJ4,""xooxoxooxoox""),""Chandrakauns"",IF(REGEXMATCH(BJ4,""xoxxxxoxxxox""),""Mand"",IF(REGEXMATCH(BJ4,""xoxxxxoxoxox""),""Hanskinkini"",IF(REGEXMATCH(BJ4,""xxooxxoxooxo""),""Lilavati"",IF(REGEXMATCH(BJ4,""xooxoxoooxo"&amp;"x""),""Rajeshwari"",IF(REGEXMATCH(BJ4,""xoooxxoxoxxx""),""Khokar"",IF(REGEXMATCH(BJ4,""xxooxoxxxxox""),""Maligoura"",""-""))))))))))))))))))))))))))))))"),"(PAIR)")</f>
        <v>(PAIR)</v>
      </c>
      <c r="BR4" s="239">
        <f t="shared" si="29"/>
        <v>4</v>
      </c>
      <c r="BS4" s="239">
        <f>IFERROR(__xludf.DUMMYFUNCTION("COUNTUNIQUE(BW4:CG4)-1"),4.0)</f>
        <v>4</v>
      </c>
      <c r="BT4" s="239">
        <f>IFERROR(__xludf.DUMMYFUNCTION("COUNTUNIQUE(FILTER(BJ:BJ,REGEXMATCH(BJ:BJ,BI4)))-1"),1.0)</f>
        <v>1</v>
      </c>
      <c r="BU4" s="239">
        <f>IFERROR(__xludf.DUMMYFUNCTION("COUNTA(FILTER(BJ:BJ,REGEXMATCH(BJ:BJ,BI4)))"),2.0)</f>
        <v>2</v>
      </c>
      <c r="BV4" s="341">
        <f>IFERROR(__xludf.DUMMYFUNCTION("COUNTA(FILTER(BJ:BJ,REGEXMATCH(BJ:BJ,BI4)))-AU4"),2.0)</f>
        <v>2</v>
      </c>
      <c r="BW4" s="269" t="str">
        <f t="shared" si="30"/>
        <v>-</v>
      </c>
      <c r="BX4" s="269" t="str">
        <f t="shared" si="31"/>
        <v>-</v>
      </c>
      <c r="BY4" s="271" t="str">
        <f t="shared" si="32"/>
        <v>xoxooxooxxo</v>
      </c>
      <c r="BZ4" s="269" t="str">
        <f t="shared" si="33"/>
        <v>-</v>
      </c>
      <c r="CA4" s="271" t="str">
        <f t="shared" si="34"/>
        <v>xooxooxxoox</v>
      </c>
      <c r="CB4" s="271" t="str">
        <f t="shared" si="35"/>
        <v>-</v>
      </c>
      <c r="CC4" s="271" t="str">
        <f t="shared" si="36"/>
        <v>-</v>
      </c>
      <c r="CD4" s="271" t="str">
        <f t="shared" si="37"/>
        <v>xooxxooxoxo</v>
      </c>
      <c r="CE4" s="271" t="str">
        <f t="shared" si="38"/>
        <v>-</v>
      </c>
      <c r="CF4" s="271" t="str">
        <f t="shared" si="39"/>
        <v>-</v>
      </c>
      <c r="CG4" s="274" t="str">
        <f t="shared" si="40"/>
        <v>xxooxoxooxo</v>
      </c>
      <c r="CH4" s="276" t="str">
        <f>IFERROR(__xludf.DUMMYFUNCTION("IF(BI4=""oooooooooooo"",""-"",IF(REGEXMATCH(BJ4,""xx""), ""Hemi."", ""Anhemi.""))"),"Hemi.")</f>
        <v>Hemi.</v>
      </c>
      <c r="CI4" s="282" t="str">
        <f>IFERROR(__xludf.DUMMYFUNCTION("IF(BI4=""oooooooooooo"",""-"",IF(REGEXMATCH(BJ4,""xxx""), ""Cohem."", ""-""))"),"-")</f>
        <v>-</v>
      </c>
      <c r="CJ4" s="282" t="str">
        <f>IFERROR(__xludf.DUMMYFUNCTION("IF(BI4=""oooooooooooo"",""-"",IF(REGEXMATCH(BJ4,""xxxx""), ""Co-Co."", ""-""))"),"-")</f>
        <v>-</v>
      </c>
      <c r="CK4" s="342" t="str">
        <f>IFERROR(__xludf.DUMMYFUNCTION("IF(BI4=""oooooooooooo"",""-"",IF(REGEXMATCH(BJ4,""xxxxx""), ""CCC."", ""-""))"),"-")</f>
        <v>-</v>
      </c>
      <c r="CL4" s="344" t="str">
        <f t="shared" si="41"/>
        <v>-</v>
      </c>
      <c r="CM4" s="282" t="str">
        <f>IFERROR(__xludf.DUMMYFUNCTION("IF(REGEXMATCH(JOIN(""-"",CO4:CX4),""TRUE""),""✔"",""-"")"),"-")</f>
        <v>-</v>
      </c>
      <c r="CN4" s="225">
        <f t="shared" si="42"/>
        <v>0</v>
      </c>
      <c r="CO4" s="376" t="b">
        <f>IFERROR(__xludf.DUMMYFUNCTION("arrayformula(sum(--REGEXMATCH(""SRGMPDNS"",split(REGEXREPLACE(N4,""(.)"",""$1~""),""~""))))=len(N4)
"),FALSE)</f>
        <v>0</v>
      </c>
      <c r="CP4" s="290" t="b">
        <f>IFERROR(__xludf.DUMMYFUNCTION("arrayformula(sum(--REGEXMATCH(""SRGmPDNS"",split(REGEXREPLACE(N4,""(.)"",""$1~""),""~""))))=len(N4)"),FALSE)</f>
        <v>0</v>
      </c>
      <c r="CQ4" s="290" t="b">
        <f>IFERROR(__xludf.DUMMYFUNCTION("arrayformula(sum(--REGEXMATCH(""SRGmPDnS"",split(REGEXREPLACE(N4,""(.)"",""$1~""),""~""))))=len(N4)"),FALSE)</f>
        <v>0</v>
      </c>
      <c r="CR4" s="290" t="b">
        <f>IFERROR(__xludf.DUMMYFUNCTION("arrayformula(sum(--REGEXMATCH(""SRgmPDnS"",split(REGEXREPLACE(N4,""(.)"",""$1~""),""~""))))=len(N4)"),FALSE)</f>
        <v>0</v>
      </c>
      <c r="CS4" s="290" t="b">
        <f>IFERROR(__xludf.DUMMYFUNCTION("arrayformula(sum(--REGEXMATCH(""SRgmPdnS"",split(REGEXREPLACE(N4,""(.)"",""$1~""),""~""))))=len(N4)"),FALSE)</f>
        <v>0</v>
      </c>
      <c r="CT4" s="290" t="b">
        <f>IFERROR(__xludf.DUMMYFUNCTION("arrayformula(sum(--REGEXMATCH(""SrgmPdnS"",split(REGEXREPLACE(N4,""(.)"",""$1~""),""~""))))=len(N4)"),FALSE)</f>
        <v>0</v>
      </c>
      <c r="CU4" s="290" t="b">
        <f>IFERROR(__xludf.DUMMYFUNCTION("arrayformula(sum(--REGEXMATCH(""SrGmPdNS"",split(REGEXREPLACE(N4,""(.)"",""$1~""),""~""))))=len(N4)"),FALSE)</f>
        <v>0</v>
      </c>
      <c r="CV4" s="290" t="b">
        <f>IFERROR(__xludf.DUMMYFUNCTION("arrayformula(sum(--REGEXMATCH(""SrGMPDNS"",split(REGEXREPLACE(N4,""(.)"",""$1~""),""~""))))=len(N4)"),FALSE)</f>
        <v>0</v>
      </c>
      <c r="CW4" s="290" t="b">
        <f>IFERROR(__xludf.DUMMYFUNCTION("arrayformula(sum(--REGEXMATCH(""SrGMPdNS"",split(REGEXREPLACE(N4,""(.)"",""$1~""),""~""))))=len(N4)"),FALSE)</f>
        <v>0</v>
      </c>
      <c r="CX4" s="293" t="b">
        <f>IFERROR(__xludf.DUMMYFUNCTION("arrayformula(sum(--REGEXMATCH(""SrgMPdNS"",split(REGEXREPLACE(N4,""(.)"",""$1~""),""~""))))=len(N4)"),FALSE)</f>
        <v>0</v>
      </c>
      <c r="CY4" s="244" t="str">
        <f>IFERROR(__xludf.DUMMYFUNCTION("IF(REGEXMATCH(N4, ""S""), ""1"","""")"),"1")</f>
        <v>1</v>
      </c>
      <c r="CZ4" s="245" t="str">
        <f>IFERROR(__xludf.DUMMYFUNCTION("IF(REGEXMATCH(N4, ""r""), ""b2"","""")"),"")</f>
        <v/>
      </c>
      <c r="DA4" s="246" t="str">
        <f>IFERROR(__xludf.DUMMYFUNCTION("IF(REGEXMATCH(N4, ""R""), ""2"","""")"),"")</f>
        <v/>
      </c>
      <c r="DB4" s="246" t="str">
        <f>IFERROR(__xludf.DUMMYFUNCTION("IF(REGEXMATCH(N4, ""g""), ""b3"","""")"),"b3")</f>
        <v>b3</v>
      </c>
      <c r="DC4" s="245" t="str">
        <f>IFERROR(__xludf.DUMMYFUNCTION("IF(REGEXMATCH(N4, ""G""), ""3"","""")"),"")</f>
        <v/>
      </c>
      <c r="DD4" s="245" t="str">
        <f>IFERROR(__xludf.DUMMYFUNCTION("IF(REGEXMATCH(N4, ""m""), ""4"","""")"),"4")</f>
        <v>4</v>
      </c>
      <c r="DE4" s="246" t="str">
        <f>IFERROR(__xludf.DUMMYFUNCTION("IF(REGEXMATCH(N4, ""M""), ""#4"","""")"),"")</f>
        <v/>
      </c>
      <c r="DF4" s="245" t="str">
        <f>IFERROR(__xludf.DUMMYFUNCTION("IF(REGEXMATCH(N4, ""P""), ""5"","""")"),"")</f>
        <v/>
      </c>
      <c r="DG4" s="246" t="str">
        <f>IFERROR(__xludf.DUMMYFUNCTION("IF(REGEXMATCH(N4, ""d""), ""b6"","""")"),"b6")</f>
        <v>b6</v>
      </c>
      <c r="DH4" s="245" t="str">
        <f>IFERROR(__xludf.DUMMYFUNCTION("IF(REGEXMATCH(N4, ""D""), ""6"","""")"),"")</f>
        <v/>
      </c>
      <c r="DI4" s="245" t="str">
        <f>IFERROR(__xludf.DUMMYFUNCTION("IF(REGEXMATCH(N4, ""n""), ""b7"","""")"),"")</f>
        <v/>
      </c>
      <c r="DJ4" s="246" t="str">
        <f>IFERROR(__xludf.DUMMYFUNCTION("IF(REGEXMATCH(N4, ""N""), ""7"","""")"),"7")</f>
        <v>7</v>
      </c>
      <c r="DK4" s="249" t="str">
        <f>IFERROR(__xludf.DUMMYFUNCTION("IF(REGEXMATCH(N4, ""S""), ""8"","""")"),"8")</f>
        <v>8</v>
      </c>
      <c r="DL4" s="244" t="str">
        <f>IFERROR(__xludf.DUMMYFUNCTION("IF(REGEXMATCH(N4, ""S""), ""S"","""")"),"S")</f>
        <v>S</v>
      </c>
      <c r="DM4" s="294" t="str">
        <f>IFERROR(__xludf.DUMMYFUNCTION("IF(REGEXMATCH(N4, ""r""), ""R1"","""")"),"")</f>
        <v/>
      </c>
      <c r="DN4" s="295" t="str">
        <f>IFERROR(__xludf.DUMMYFUNCTION("IF(REGEXMATCH(N4, ""R""), ""R2"","""")"),"")</f>
        <v/>
      </c>
      <c r="DO4" s="295" t="str">
        <f>IFERROR(__xludf.DUMMYFUNCTION("IF(REGEXMATCH(N4, ""g""), ""G2"","""")"),"G2")</f>
        <v>G2</v>
      </c>
      <c r="DP4" s="294" t="str">
        <f>IFERROR(__xludf.DUMMYFUNCTION("IF(REGEXMATCH(N4, ""G""), ""G3"","""")"),"")</f>
        <v/>
      </c>
      <c r="DQ4" s="294" t="str">
        <f>IFERROR(__xludf.DUMMYFUNCTION("IF(REGEXMATCH(N4, ""m""), ""M1"","""")"),"M1")</f>
        <v>M1</v>
      </c>
      <c r="DR4" s="295" t="str">
        <f>IFERROR(__xludf.DUMMYFUNCTION("IF(REGEXMATCH(N4, ""M""), ""M2"","""")"),"")</f>
        <v/>
      </c>
      <c r="DS4" s="294" t="str">
        <f>IFERROR(__xludf.DUMMYFUNCTION("IF(REGEXMATCH(N4, ""P""), ""P"","""")"),"")</f>
        <v/>
      </c>
      <c r="DT4" s="295" t="str">
        <f>IFERROR(__xludf.DUMMYFUNCTION("IF(REGEXMATCH(N4, ""d""), ""D1"","""")"),"D1")</f>
        <v>D1</v>
      </c>
      <c r="DU4" s="294" t="str">
        <f>IFERROR(__xludf.DUMMYFUNCTION("IF(REGEXMATCH(N4, ""D""), ""D2"","""")"),"")</f>
        <v/>
      </c>
      <c r="DV4" s="294" t="str">
        <f>IFERROR(__xludf.DUMMYFUNCTION("IF(REGEXMATCH(N4, ""n""), ""N2"","""")"),"")</f>
        <v/>
      </c>
      <c r="DW4" s="295" t="str">
        <f>IFERROR(__xludf.DUMMYFUNCTION("IF(REGEXMATCH(N4, ""N""), ""N3"","""")"),"N3")</f>
        <v>N3</v>
      </c>
      <c r="DX4" s="249" t="str">
        <f>IFERROR(__xludf.DUMMYFUNCTION("IF(REGEXMATCH(N4, ""S""), ""S"","""")"),"S")</f>
        <v>S</v>
      </c>
      <c r="DY4" s="299" t="str">
        <f>IFERROR(__xludf.DUMMYFUNCTION("SUBSTITUTE(SUBSTITUTE(SUBSTITUTE(SUBSTITUTE(CONCATENATE(JOIN(""-"",CY4:DK4)),""--"",""-""),""--"",""-""),""--"",""-""),""--"",""-"")"),"1-b3-4-b6-7-8")</f>
        <v>1-b3-4-b6-7-8</v>
      </c>
      <c r="DZ4" s="299" t="str">
        <f>IFERROR(__xludf.DUMMYFUNCTION("SUBSTITUTE(SUBSTITUTE(SUBSTITUTE(SUBSTITUTE(CONCATENATE(JOIN(""-"",DL4:DX4)),""--"",""-""),""--"",""-""),""--"",""-""),""--"",""-"")"),"S-G2-M1-D1-N3-S")</f>
        <v>S-G2-M1-D1-N3-S</v>
      </c>
      <c r="EA4" s="348" t="str">
        <f t="shared" si="43"/>
        <v>C-Eb-F-Ab-B-C</v>
      </c>
      <c r="EB4" s="301">
        <f t="shared" si="44"/>
        <v>5</v>
      </c>
      <c r="EC4" s="302" t="str">
        <f t="shared" si="45"/>
        <v>Audav</v>
      </c>
      <c r="ED4" s="301" t="str">
        <f t="shared" ref="ED4:EE4" si="46">SUBSTITUTE(AD4,"-","")</f>
        <v>SGM</v>
      </c>
      <c r="EE4" s="301" t="str">
        <f t="shared" si="46"/>
        <v>DNS</v>
      </c>
      <c r="EF4" s="302" t="str">
        <f t="shared" si="47"/>
        <v>(PAIR)</v>
      </c>
      <c r="EG4" s="301" t="str">
        <f t="shared" si="48"/>
        <v>Hemi.</v>
      </c>
      <c r="EH4" s="364" t="str">
        <f t="shared" si="49"/>
        <v>-</v>
      </c>
      <c r="EI4" s="306" t="str">
        <f t="shared" si="50"/>
        <v>-</v>
      </c>
      <c r="EJ4" s="366" t="str">
        <f t="shared" si="51"/>
        <v>-</v>
      </c>
      <c r="EK4" s="308" t="str">
        <f t="shared" si="52"/>
        <v>✔</v>
      </c>
      <c r="EL4" s="306" t="str">
        <f t="shared" si="53"/>
        <v>-</v>
      </c>
      <c r="EM4" s="306" t="str">
        <f t="shared" si="54"/>
        <v>-</v>
      </c>
      <c r="EN4" s="367" t="str">
        <f t="shared" si="55"/>
        <v>-</v>
      </c>
      <c r="EO4" s="310" t="str">
        <f t="shared" si="56"/>
        <v>-</v>
      </c>
      <c r="EP4" s="310" t="str">
        <f t="shared" si="57"/>
        <v>-</v>
      </c>
      <c r="EQ4" s="310" t="str">
        <f t="shared" si="58"/>
        <v>-</v>
      </c>
      <c r="ER4" s="310" t="str">
        <f t="shared" si="59"/>
        <v>-</v>
      </c>
      <c r="ES4" s="370" t="str">
        <f t="shared" si="60"/>
        <v>-</v>
      </c>
      <c r="ET4" s="306" t="str">
        <f t="shared" si="61"/>
        <v>✔</v>
      </c>
      <c r="EU4" s="306" t="str">
        <f t="shared" si="62"/>
        <v>-</v>
      </c>
      <c r="EV4" s="306" t="str">
        <f t="shared" si="63"/>
        <v>-</v>
      </c>
      <c r="EW4" s="306" t="str">
        <f t="shared" si="64"/>
        <v>✔</v>
      </c>
      <c r="EX4" s="306" t="str">
        <f t="shared" si="65"/>
        <v>-</v>
      </c>
      <c r="EY4" s="367" t="str">
        <f t="shared" si="66"/>
        <v>-</v>
      </c>
      <c r="EZ4" s="310" t="str">
        <f>IFERROR(__xludf.DUMMYFUNCTION("IF(REGEXMATCH(BM4,BI4),""✔"",""-"")"),"-")</f>
        <v>-</v>
      </c>
      <c r="FA4" s="310" t="str">
        <f t="shared" si="67"/>
        <v>-</v>
      </c>
      <c r="FB4" s="370" t="str">
        <f t="shared" si="68"/>
        <v>-</v>
      </c>
      <c r="FC4" s="315" t="str">
        <f t="shared" si="69"/>
        <v>[UQ]</v>
      </c>
      <c r="FD4" s="317" t="str">
        <f t="shared" si="70"/>
        <v>S-g-m-d-N-S</v>
      </c>
      <c r="FE4" s="318" t="str">
        <f>IFERROR(__xludf.DUMMYFUNCTION("CONCATENATE(JOIN("""",GJ4:GV4))"),"SrGPDS")</f>
        <v>SrGPDS</v>
      </c>
      <c r="FF4" s="318"/>
      <c r="FG4" s="318"/>
      <c r="FH4" s="321">
        <f t="shared" si="71"/>
        <v>3</v>
      </c>
      <c r="FI4" s="318" t="str">
        <f>IFERROR(__xludf.DUMMYFUNCTION("CONCATENATE(JOIN("""",HW4:II4))"),"Sa, ga, Ni, ")</f>
        <v>Sa, ga, Ni, </v>
      </c>
      <c r="FJ4" s="322">
        <f t="shared" si="72"/>
        <v>1</v>
      </c>
      <c r="FK4" s="324" t="str">
        <f>IFERROR(__xludf.DUMMYFUNCTION("CONCATENATE(JOIN("""",IW4:JI4))"),"Ni, ")</f>
        <v>Ni, </v>
      </c>
      <c r="FL4" s="325" t="str">
        <f t="shared" si="73"/>
        <v>S-G2-M1-D1-N3-S</v>
      </c>
      <c r="FM4" s="326" t="str">
        <f t="shared" si="74"/>
        <v>1-b3-4-b6-7-8</v>
      </c>
      <c r="FN4" s="326" t="str">
        <f t="shared" si="75"/>
        <v>0-3-5-8-11-0</v>
      </c>
      <c r="FO4" s="318"/>
      <c r="FP4" s="328" t="str">
        <f>IFERROR(__xludf.DUMMYFUNCTION("SUBSTITUTE(SUBSTITUTE(SUBSTITUTE(SUBSTITUTE(CONCATENATE(JOIN("" "",FS4:GE4)),""  "","" ""),""  "","" ""),""  "","" ""),""  "","" "")"),"o • • o • o • • o • • o o")</f>
        <v>o • • o • o • • o • • o o</v>
      </c>
      <c r="FQ4" s="328" t="str">
        <f t="shared" si="76"/>
        <v>Sa-ma</v>
      </c>
      <c r="FR4" s="329"/>
      <c r="FS4" s="331" t="str">
        <f t="shared" si="77"/>
        <v>o</v>
      </c>
      <c r="FT4" s="332" t="str">
        <f t="shared" si="78"/>
        <v>•</v>
      </c>
      <c r="FU4" s="332" t="str">
        <f t="shared" si="79"/>
        <v>•</v>
      </c>
      <c r="FV4" s="332" t="str">
        <f t="shared" si="80"/>
        <v>o</v>
      </c>
      <c r="FW4" s="332" t="str">
        <f t="shared" si="81"/>
        <v>•</v>
      </c>
      <c r="FX4" s="332" t="str">
        <f t="shared" si="82"/>
        <v>o</v>
      </c>
      <c r="FY4" s="332" t="str">
        <f t="shared" si="83"/>
        <v>•</v>
      </c>
      <c r="FZ4" s="332" t="str">
        <f t="shared" si="84"/>
        <v>•</v>
      </c>
      <c r="GA4" s="332" t="str">
        <f t="shared" si="85"/>
        <v>o</v>
      </c>
      <c r="GB4" s="332" t="str">
        <f t="shared" si="86"/>
        <v>•</v>
      </c>
      <c r="GC4" s="332" t="str">
        <f t="shared" si="87"/>
        <v>•</v>
      </c>
      <c r="GD4" s="332" t="str">
        <f t="shared" si="88"/>
        <v>o</v>
      </c>
      <c r="GE4" s="338" t="str">
        <f t="shared" si="89"/>
        <v>o</v>
      </c>
      <c r="GF4" s="339" t="str">
        <f t="shared" si="90"/>
        <v>-</v>
      </c>
      <c r="GG4" s="339" t="str">
        <f t="shared" si="91"/>
        <v>-</v>
      </c>
      <c r="GH4" s="339" t="str">
        <f t="shared" si="92"/>
        <v>-</v>
      </c>
      <c r="GI4" s="340" t="str">
        <f t="shared" si="93"/>
        <v>Sa-ma</v>
      </c>
      <c r="GJ4" s="331" t="str">
        <f t="shared" si="94"/>
        <v>S</v>
      </c>
      <c r="GK4" s="332" t="str">
        <f t="shared" si="95"/>
        <v>r</v>
      </c>
      <c r="GL4" s="332" t="str">
        <f t="shared" si="96"/>
        <v/>
      </c>
      <c r="GM4" s="332" t="str">
        <f t="shared" si="97"/>
        <v/>
      </c>
      <c r="GN4" s="332" t="str">
        <f t="shared" si="98"/>
        <v>G</v>
      </c>
      <c r="GO4" s="332" t="str">
        <f t="shared" si="99"/>
        <v/>
      </c>
      <c r="GP4" s="332" t="str">
        <f t="shared" si="100"/>
        <v/>
      </c>
      <c r="GQ4" s="332" t="str">
        <f t="shared" si="101"/>
        <v>P</v>
      </c>
      <c r="GR4" s="332" t="str">
        <f t="shared" si="102"/>
        <v/>
      </c>
      <c r="GS4" s="332" t="str">
        <f t="shared" si="103"/>
        <v>D</v>
      </c>
      <c r="GT4" s="332" t="str">
        <f t="shared" si="104"/>
        <v/>
      </c>
      <c r="GU4" s="332" t="str">
        <f t="shared" si="105"/>
        <v/>
      </c>
      <c r="GV4" s="343" t="str">
        <f t="shared" si="106"/>
        <v>S</v>
      </c>
      <c r="GW4" s="331" t="str">
        <f t="shared" si="107"/>
        <v>•</v>
      </c>
      <c r="GX4" s="332" t="str">
        <f t="shared" si="108"/>
        <v>o</v>
      </c>
      <c r="GY4" s="332" t="str">
        <f t="shared" si="109"/>
        <v>o</v>
      </c>
      <c r="GZ4" s="332" t="str">
        <f t="shared" si="110"/>
        <v>•</v>
      </c>
      <c r="HA4" s="332" t="str">
        <f t="shared" si="111"/>
        <v>o</v>
      </c>
      <c r="HB4" s="332" t="str">
        <f t="shared" si="112"/>
        <v>•</v>
      </c>
      <c r="HC4" s="332" t="str">
        <f t="shared" si="113"/>
        <v>o</v>
      </c>
      <c r="HD4" s="332" t="str">
        <f t="shared" si="114"/>
        <v>o</v>
      </c>
      <c r="HE4" s="332" t="str">
        <f t="shared" si="115"/>
        <v>•</v>
      </c>
      <c r="HF4" s="332" t="str">
        <f t="shared" si="116"/>
        <v>o</v>
      </c>
      <c r="HG4" s="332" t="str">
        <f t="shared" si="117"/>
        <v>o</v>
      </c>
      <c r="HH4" s="332" t="str">
        <f t="shared" si="118"/>
        <v>•</v>
      </c>
      <c r="HI4" s="338" t="str">
        <f t="shared" si="119"/>
        <v>•</v>
      </c>
      <c r="HJ4" s="346" t="b">
        <f t="shared" si="120"/>
        <v>1</v>
      </c>
      <c r="HK4" s="347" t="b">
        <f t="shared" si="121"/>
        <v>0</v>
      </c>
      <c r="HL4" s="347" t="b">
        <f t="shared" si="122"/>
        <v>0</v>
      </c>
      <c r="HM4" s="347" t="b">
        <f t="shared" si="123"/>
        <v>1</v>
      </c>
      <c r="HN4" s="347" t="b">
        <f t="shared" si="124"/>
        <v>0</v>
      </c>
      <c r="HO4" s="347" t="b">
        <f t="shared" si="125"/>
        <v>0</v>
      </c>
      <c r="HP4" s="347" t="b">
        <f t="shared" si="126"/>
        <v>0</v>
      </c>
      <c r="HQ4" s="347" t="b">
        <f t="shared" si="127"/>
        <v>0</v>
      </c>
      <c r="HR4" s="347" t="b">
        <f t="shared" si="128"/>
        <v>0</v>
      </c>
      <c r="HS4" s="347" t="b">
        <f t="shared" si="129"/>
        <v>0</v>
      </c>
      <c r="HT4" s="347" t="b">
        <f t="shared" si="130"/>
        <v>0</v>
      </c>
      <c r="HU4" s="347" t="b">
        <f t="shared" si="131"/>
        <v>1</v>
      </c>
      <c r="HV4" s="353" t="b">
        <f t="shared" si="132"/>
        <v>1</v>
      </c>
      <c r="HW4" s="354" t="str">
        <f t="shared" si="133"/>
        <v>Sa, </v>
      </c>
      <c r="HX4" s="355" t="str">
        <f t="shared" si="134"/>
        <v/>
      </c>
      <c r="HY4" s="355" t="str">
        <f t="shared" si="135"/>
        <v/>
      </c>
      <c r="HZ4" s="355" t="str">
        <f t="shared" si="136"/>
        <v>ga, </v>
      </c>
      <c r="IA4" s="355" t="str">
        <f t="shared" si="137"/>
        <v/>
      </c>
      <c r="IB4" s="355" t="str">
        <f t="shared" si="138"/>
        <v/>
      </c>
      <c r="IC4" s="355" t="str">
        <f t="shared" si="139"/>
        <v/>
      </c>
      <c r="ID4" s="355" t="str">
        <f t="shared" si="140"/>
        <v/>
      </c>
      <c r="IE4" s="355" t="str">
        <f t="shared" si="141"/>
        <v/>
      </c>
      <c r="IF4" s="355" t="str">
        <f t="shared" si="142"/>
        <v/>
      </c>
      <c r="IG4" s="355" t="str">
        <f t="shared" si="143"/>
        <v/>
      </c>
      <c r="IH4" s="355" t="str">
        <f t="shared" si="144"/>
        <v>Ni, </v>
      </c>
      <c r="II4" s="359" t="str">
        <f t="shared" si="145"/>
        <v/>
      </c>
      <c r="IJ4" s="346" t="b">
        <f t="shared" si="146"/>
        <v>0</v>
      </c>
      <c r="IK4" s="347" t="b">
        <f t="shared" si="147"/>
        <v>0</v>
      </c>
      <c r="IL4" s="347" t="b">
        <f t="shared" si="148"/>
        <v>0</v>
      </c>
      <c r="IM4" s="347" t="b">
        <f t="shared" si="149"/>
        <v>0</v>
      </c>
      <c r="IN4" s="347" t="b">
        <f t="shared" si="150"/>
        <v>0</v>
      </c>
      <c r="IO4" s="347" t="b">
        <f t="shared" si="151"/>
        <v>0</v>
      </c>
      <c r="IP4" s="347" t="b">
        <f t="shared" si="152"/>
        <v>0</v>
      </c>
      <c r="IQ4" s="347" t="b">
        <f t="shared" si="153"/>
        <v>0</v>
      </c>
      <c r="IR4" s="347" t="b">
        <f t="shared" si="154"/>
        <v>0</v>
      </c>
      <c r="IS4" s="347" t="b">
        <f t="shared" si="155"/>
        <v>0</v>
      </c>
      <c r="IT4" s="347" t="b">
        <f t="shared" si="156"/>
        <v>0</v>
      </c>
      <c r="IU4" s="347" t="b">
        <f t="shared" si="157"/>
        <v>1</v>
      </c>
      <c r="IV4" s="365" t="b">
        <f t="shared" si="158"/>
        <v>0</v>
      </c>
      <c r="IW4" s="354" t="str">
        <f t="shared" si="159"/>
        <v/>
      </c>
      <c r="IX4" s="355" t="str">
        <f t="shared" si="160"/>
        <v/>
      </c>
      <c r="IY4" s="355" t="str">
        <f t="shared" si="161"/>
        <v/>
      </c>
      <c r="IZ4" s="355" t="str">
        <f t="shared" si="162"/>
        <v/>
      </c>
      <c r="JA4" s="355" t="str">
        <f t="shared" si="163"/>
        <v/>
      </c>
      <c r="JB4" s="355" t="str">
        <f t="shared" si="164"/>
        <v/>
      </c>
      <c r="JC4" s="355" t="str">
        <f t="shared" si="165"/>
        <v/>
      </c>
      <c r="JD4" s="355" t="str">
        <f t="shared" si="166"/>
        <v/>
      </c>
      <c r="JE4" s="355" t="str">
        <f t="shared" si="167"/>
        <v/>
      </c>
      <c r="JF4" s="355" t="str">
        <f t="shared" si="168"/>
        <v/>
      </c>
      <c r="JG4" s="355" t="str">
        <f t="shared" si="169"/>
        <v/>
      </c>
      <c r="JH4" s="355" t="str">
        <f t="shared" si="170"/>
        <v>Ni, </v>
      </c>
      <c r="JI4" s="359"/>
      <c r="JJ4" s="321"/>
      <c r="JK4" s="368"/>
      <c r="JL4" s="369"/>
      <c r="JM4" s="369"/>
      <c r="JN4" s="369"/>
      <c r="JO4" s="369"/>
      <c r="JP4" s="369"/>
      <c r="JQ4" s="369"/>
      <c r="JR4" s="369"/>
      <c r="JS4" s="369"/>
      <c r="JT4" s="369"/>
      <c r="JU4" s="369"/>
    </row>
    <row r="5" ht="20.25" customHeight="1">
      <c r="A5" s="221" t="s">
        <v>470</v>
      </c>
      <c r="B5" s="223" t="s">
        <v>471</v>
      </c>
      <c r="C5" s="222" t="s">
        <v>275</v>
      </c>
      <c r="D5" s="222"/>
      <c r="E5" s="222"/>
      <c r="F5" s="222" t="s">
        <v>275</v>
      </c>
      <c r="G5" s="395" t="s">
        <v>275</v>
      </c>
      <c r="H5" s="222">
        <v>3.0</v>
      </c>
      <c r="I5" s="224" t="s">
        <v>398</v>
      </c>
      <c r="J5" s="225" t="str">
        <f t="shared" si="5"/>
        <v>[UQ]</v>
      </c>
      <c r="K5" s="227">
        <f t="shared" si="6"/>
        <v>7</v>
      </c>
      <c r="L5" s="229">
        <f t="shared" si="7"/>
        <v>6</v>
      </c>
      <c r="M5" s="230">
        <f t="shared" si="8"/>
        <v>1</v>
      </c>
      <c r="N5" s="233" t="str">
        <f t="shared" si="9"/>
        <v>SgGmPdNS</v>
      </c>
      <c r="O5" s="234" t="str">
        <f>IFERROR(__xludf.DUMMYFUNCTION("IF(REGEXMATCH(N5, ""S""), ""S"","""")"),"S")</f>
        <v>S</v>
      </c>
      <c r="P5" s="236" t="str">
        <f>IFERROR(__xludf.DUMMYFUNCTION("IF(REGEXMATCH(N5, ""r""), ""r"","""")"),"")</f>
        <v/>
      </c>
      <c r="Q5" s="237" t="str">
        <f>IFERROR(__xludf.DUMMYFUNCTION("IF(REGEXMATCH(N5, ""R""), ""R"","""")"),"")</f>
        <v/>
      </c>
      <c r="R5" s="237" t="str">
        <f>IFERROR(__xludf.DUMMYFUNCTION("IF(REGEXMATCH(N5, ""g""), ""g"","""")"),"g")</f>
        <v>g</v>
      </c>
      <c r="S5" s="236" t="str">
        <f>IFERROR(__xludf.DUMMYFUNCTION("IF(REGEXMATCH(N5, ""G""), ""G"","""")"),"G")</f>
        <v>G</v>
      </c>
      <c r="T5" s="236" t="str">
        <f>IFERROR(__xludf.DUMMYFUNCTION("IF(REGEXMATCH(N5, ""m""), ""m"","""")"),"m")</f>
        <v>m</v>
      </c>
      <c r="U5" s="237" t="str">
        <f>IFERROR(__xludf.DUMMYFUNCTION("IF(REGEXMATCH(N5, ""M""), ""M"","""")"),"")</f>
        <v/>
      </c>
      <c r="V5" s="236" t="str">
        <f>IFERROR(__xludf.DUMMYFUNCTION("IF(REGEXMATCH(N5, ""P""), ""P"","""")"),"P")</f>
        <v>P</v>
      </c>
      <c r="W5" s="237" t="str">
        <f>IFERROR(__xludf.DUMMYFUNCTION("IF(REGEXMATCH(N5, ""d""), ""d"","""")"),"d")</f>
        <v>d</v>
      </c>
      <c r="X5" s="236" t="str">
        <f>IFERROR(__xludf.DUMMYFUNCTION("IF(REGEXMATCH(N5, ""D""), ""D"","""")"),"")</f>
        <v/>
      </c>
      <c r="Y5" s="236" t="str">
        <f>IFERROR(__xludf.DUMMYFUNCTION("IF(REGEXMATCH(N5, ""n""), ""n"","""")"),"")</f>
        <v/>
      </c>
      <c r="Z5" s="237" t="str">
        <f>IFERROR(__xludf.DUMMYFUNCTION("IF(REGEXMATCH(N5, ""N""), ""N"","""")"),"N")</f>
        <v>N</v>
      </c>
      <c r="AA5" s="238" t="str">
        <f>IFERROR(__xludf.DUMMYFUNCTION("IF(REGEXMATCH(N5, ""S""), ""S"","""")"),"S")</f>
        <v>S</v>
      </c>
      <c r="AB5" s="239" t="str">
        <f>IFERROR(__xludf.DUMMYFUNCTION("SUBSTITUTE(CONCATENATE(JOIN(""-"",O5:U5)),""-"","""")"),"SgGm")</f>
        <v>SgGm</v>
      </c>
      <c r="AC5" s="229" t="str">
        <f>IFERROR(__xludf.DUMMYFUNCTION("SUBSTITUTE(CONCATENATE(JOIN(""-"",V5:AA5)),""-"","""")"),"PdNS")</f>
        <v>PdNS</v>
      </c>
      <c r="AD5" s="282" t="str">
        <f t="shared" si="10"/>
        <v>S-G-M</v>
      </c>
      <c r="AE5" s="282" t="str">
        <f t="shared" si="11"/>
        <v>P-D-N-S</v>
      </c>
      <c r="AF5" s="309" t="str">
        <f t="shared" si="12"/>
        <v>gGmdN</v>
      </c>
      <c r="AG5" s="244" t="str">
        <f>IFERROR(__xludf.DUMMYFUNCTION("IF(REGEXMATCH(N5, ""S""), ""0"","""")"),"0")</f>
        <v>0</v>
      </c>
      <c r="AH5" s="245" t="str">
        <f>IFERROR(__xludf.DUMMYFUNCTION("IF(REGEXMATCH(N5, ""r""), ""1"","""")"),"")</f>
        <v/>
      </c>
      <c r="AI5" s="246" t="str">
        <f>IFERROR(__xludf.DUMMYFUNCTION("IF(REGEXMATCH(N5, ""R""), ""2"","""")"),"")</f>
        <v/>
      </c>
      <c r="AJ5" s="246" t="str">
        <f>IFERROR(__xludf.DUMMYFUNCTION("IF(REGEXMATCH(N5, ""g""), ""3"","""")"),"3")</f>
        <v>3</v>
      </c>
      <c r="AK5" s="245" t="str">
        <f>IFERROR(__xludf.DUMMYFUNCTION("IF(REGEXMATCH(N5, ""G""), ""4"","""")"),"4")</f>
        <v>4</v>
      </c>
      <c r="AL5" s="245" t="str">
        <f>IFERROR(__xludf.DUMMYFUNCTION("IF(REGEXMATCH(N5, ""m""), ""5"","""")"),"5")</f>
        <v>5</v>
      </c>
      <c r="AM5" s="246" t="str">
        <f>IFERROR(__xludf.DUMMYFUNCTION("IF(REGEXMATCH(N5, ""M""), ""6"","""")"),"")</f>
        <v/>
      </c>
      <c r="AN5" s="245" t="str">
        <f>IFERROR(__xludf.DUMMYFUNCTION("IF(REGEXMATCH(N5, ""P""), ""7"","""")"),"7")</f>
        <v>7</v>
      </c>
      <c r="AO5" s="246" t="str">
        <f>IFERROR(__xludf.DUMMYFUNCTION("IF(REGEXMATCH(N5, ""d""), ""8"","""")"),"8")</f>
        <v>8</v>
      </c>
      <c r="AP5" s="245" t="str">
        <f>IFERROR(__xludf.DUMMYFUNCTION("IF(REGEXMATCH(N5, ""D""), ""9"","""")"),"")</f>
        <v/>
      </c>
      <c r="AQ5" s="245" t="str">
        <f>IFERROR(__xludf.DUMMYFUNCTION("IF(REGEXMATCH(N5, ""n""), ""10"","""")"),"")</f>
        <v/>
      </c>
      <c r="AR5" s="246" t="str">
        <f>IFERROR(__xludf.DUMMYFUNCTION("IF(REGEXMATCH(N5, ""N""), ""11"","""")"),"11")</f>
        <v>11</v>
      </c>
      <c r="AS5" s="249" t="str">
        <f>IFERROR(__xludf.DUMMYFUNCTION("IF(REGEXMATCH(N5, ""S""), ""0"","""")"),"0")</f>
        <v>0</v>
      </c>
      <c r="AT5" s="250" t="str">
        <f>IFERROR(__xludf.DUMMYFUNCTION("SUBSTITUTE(SUBSTITUTE(SUBSTITUTE(SUBSTITUTE(CONCATENATE(JOIN(""-"",AG5:AS5)),""--"",""-""),""--"",""-""),""--"",""-""),""--"",""-"")"),"0-3-4-5-7-8-11-0")</f>
        <v>0-3-4-5-7-8-11-0</v>
      </c>
      <c r="AU5" s="251">
        <f t="shared" si="13"/>
        <v>0</v>
      </c>
      <c r="AV5" s="234" t="str">
        <f t="shared" si="14"/>
        <v>|</v>
      </c>
      <c r="AW5" s="236" t="str">
        <f t="shared" si="15"/>
        <v>-</v>
      </c>
      <c r="AX5" s="237" t="str">
        <f t="shared" si="16"/>
        <v>-</v>
      </c>
      <c r="AY5" s="236" t="str">
        <f t="shared" si="17"/>
        <v>|</v>
      </c>
      <c r="AZ5" s="237" t="str">
        <f t="shared" si="18"/>
        <v>|</v>
      </c>
      <c r="BA5" s="236" t="str">
        <f t="shared" si="19"/>
        <v>|</v>
      </c>
      <c r="BB5" s="237" t="str">
        <f t="shared" si="20"/>
        <v>-</v>
      </c>
      <c r="BC5" s="236" t="str">
        <f t="shared" si="21"/>
        <v>|</v>
      </c>
      <c r="BD5" s="237" t="str">
        <f t="shared" si="22"/>
        <v>|</v>
      </c>
      <c r="BE5" s="236" t="str">
        <f t="shared" si="23"/>
        <v>-</v>
      </c>
      <c r="BF5" s="237" t="str">
        <f t="shared" si="24"/>
        <v>-</v>
      </c>
      <c r="BG5" s="236" t="str">
        <f t="shared" si="25"/>
        <v>|</v>
      </c>
      <c r="BH5" s="238" t="str">
        <f t="shared" si="26"/>
        <v>|</v>
      </c>
      <c r="BI5" s="250" t="str">
        <f>IFERROR(__xludf.DUMMYFUNCTION("SUBSTITUTE(SUBSTITUTE(CONCATENATE(JOIN("""",AV5:BG5)),""|"",""x""),""-"",""o"")"),"xooxxxoxxoox")</f>
        <v>xooxxxoxxoox</v>
      </c>
      <c r="BJ5" s="323" t="str">
        <f>IFERROR(__xludf.DUMMYFUNCTION("JOIN("""",BI5,BI5)"),"xooxxxoxxooxxooxxxoxxoox")</f>
        <v>xooxxxoxxooxxooxxxoxxoox</v>
      </c>
      <c r="BK5" s="256" t="str">
        <f>IFERROR(__xludf.DUMMYFUNCTION("JOIN("""",ArrayFormula(MID(BI5,LEN(BI5)-SEQUENCE(1,LEN(BI5))+1,1)))"),"xooxxoxxxoox")</f>
        <v>xooxxoxxxoox</v>
      </c>
      <c r="BL5" s="256" t="str">
        <f>IFERROR(__xludf.DUMMYFUNCTION("LEFT(CONCATENATE(""x"",JOIN("""",ArrayFormula(MID(BI5,LEN(BI5)-SEQUENCE(1,LEN(BI5))+1,1)))),12)"),"xxooxxoxxxoo")</f>
        <v>xxooxxoxxxoo</v>
      </c>
      <c r="BM5" s="327" t="str">
        <f>IFERROR(__xludf.DUMMYFUNCTION("JOIN("""",BK5,BK5)"),"xooxxoxxxooxxooxxoxxxoox")</f>
        <v>xooxxoxxxooxxooxxoxxxoox</v>
      </c>
      <c r="BN5" s="239" t="str">
        <f>IFERROR(__xludf.DUMMYFUNCTION("IF(REGEXMATCH(BM5,BI5),""✔"",""-"")"),"-")</f>
        <v>-</v>
      </c>
      <c r="BO5" s="330" t="str">
        <f t="shared" si="27"/>
        <v>-</v>
      </c>
      <c r="BP5" s="260" t="str">
        <f t="shared" si="28"/>
        <v>-</v>
      </c>
      <c r="BQ5" s="261" t="str">
        <f>IFERROR(__xludf.DUMMYFUNCTION("IF(BT5=0,""(n/a)"",IF(BU5=2,""(PAIR)"",IF(REGEXMATCH(BJ5,""xoxoxxoxoxox""),""Bilawal"",IF(REGEXMATCH(BJ5,""xoxoxooxoxoo""),""Bhupali"",IF(REGEXMATCH(BJ5,""xoxoxxoxxoxo""),""Charukeshi"",IF(REGEXMATCH(BJ5,""xoxoooxxoxxo""),""Kameshwari"",IF(REGEXMATCH(BJ5,"&amp;"""xoxoxooxoxox""),""Shankara"",IF(REGEXMATCH(BJ5,""xxooxoxxxoox""),""Basant"",IF(REGEXMATCH(BJ5,""xoxoxxxxoxox""),""Bihag"",IF(REGEXMATCH(BJ5,""xoxxxxoxoxxx""),""Pilu"",IF(REGEXMATCH(BJ5,""xoxxoxoxxoox""),""Kirwani"",IF(REGEXMATCH(BJ5,""xoxxoxoxoxxx""),"""&amp;"Mk.Malhar"",IF(REGEXMATCH(BJ5,""xxooxxoxxoox""),""Bhairav"",IF(REGEXMATCH(BJ5,""xxoxooxxxoox""),""Todi"",IF(REGEXMATCH(BJ5,""xxooxoxooxox""),""Marwa"",IF(REGEXMATCH(BJ5,""xxoooxoxxooo""),""Gunkali"",IF(REGEXMATCH(BJ5,""xoxoxxoxxoox""),""Nat Bhairav"",IF(R"&amp;"EGEXMATCH(BJ5,""xoxxoooxoxoo""),""Shivranjani"",IF(REGEXMATCH(BJ5,""xooxxxoxooxo""),""Jog"",IF(REGEXMATCH(BJ5,""xxooxoxoxoox""),""Hemshri"",IF(REGEXMATCH(BJ5,""xoooxooxoxxo""),""Kalavati"",IF(REGEXMATCH(BJ5,""xxoxoxxoxoox""),""Kedar"",IF(REGEXMATCH(BJ5,"""&amp;"xoxxxxoxooxx""),""Gara"",IF(REGEXMATCH(BJ5,""xooxoxooxoox""),""Chandrakauns"",IF(REGEXMATCH(BJ5,""xoxxxxoxxxox""),""Mand"",IF(REGEXMATCH(BJ5,""xoxxxxoxoxox""),""Hanskinkini"",IF(REGEXMATCH(BJ5,""xxooxxoxooxo""),""Lilavati"",IF(REGEXMATCH(BJ5,""xooxoxoooxo"&amp;"x""),""Rajeshwari"",IF(REGEXMATCH(BJ5,""xoooxxoxoxxx""),""Khokar"",IF(REGEXMATCH(BJ5,""xxooxoxxxxox""),""Maligoura"",""-""))))))))))))))))))))))))))))))"),"(n/a)")</f>
        <v>(n/a)</v>
      </c>
      <c r="BR5" s="239">
        <f t="shared" si="29"/>
        <v>6</v>
      </c>
      <c r="BS5" s="239">
        <f>IFERROR(__xludf.DUMMYFUNCTION("COUNTUNIQUE(BW5:CG5)-1"),6.0)</f>
        <v>6</v>
      </c>
      <c r="BT5" s="239">
        <f>IFERROR(__xludf.DUMMYFUNCTION("COUNTUNIQUE(FILTER(BJ:BJ,REGEXMATCH(BJ:BJ,BI5)))-1"),0.0)</f>
        <v>0</v>
      </c>
      <c r="BU5" s="239">
        <f>IFERROR(__xludf.DUMMYFUNCTION("COUNTA(FILTER(BJ:BJ,REGEXMATCH(BJ:BJ,BI5)))"),1.0)</f>
        <v>1</v>
      </c>
      <c r="BV5" s="341">
        <f>IFERROR(__xludf.DUMMYFUNCTION("COUNTA(FILTER(BJ:BJ,REGEXMATCH(BJ:BJ,BI5)))-AU5"),1.0)</f>
        <v>1</v>
      </c>
      <c r="BW5" s="269" t="str">
        <f t="shared" si="30"/>
        <v>-</v>
      </c>
      <c r="BX5" s="269" t="str">
        <f t="shared" si="31"/>
        <v>-</v>
      </c>
      <c r="BY5" s="271" t="str">
        <f t="shared" si="32"/>
        <v>xxxoxxooxxo</v>
      </c>
      <c r="BZ5" s="269" t="str">
        <f t="shared" si="33"/>
        <v>xxoxxooxxoo</v>
      </c>
      <c r="CA5" s="271" t="str">
        <f t="shared" si="34"/>
        <v>xoxxooxxoox</v>
      </c>
      <c r="CB5" s="271" t="str">
        <f t="shared" si="35"/>
        <v>-</v>
      </c>
      <c r="CC5" s="271" t="str">
        <f t="shared" si="36"/>
        <v>xxooxxooxxx</v>
      </c>
      <c r="CD5" s="271" t="str">
        <f t="shared" si="37"/>
        <v>xooxxooxxxo</v>
      </c>
      <c r="CE5" s="271" t="str">
        <f t="shared" si="38"/>
        <v>-</v>
      </c>
      <c r="CF5" s="271" t="str">
        <f t="shared" si="39"/>
        <v>-</v>
      </c>
      <c r="CG5" s="274" t="str">
        <f t="shared" si="40"/>
        <v>xxooxxxoxxo</v>
      </c>
      <c r="CH5" s="276" t="str">
        <f>IFERROR(__xludf.DUMMYFUNCTION("IF(BI5=""oooooooooooo"",""-"",IF(REGEXMATCH(BJ5,""xx""), ""Hemi."", ""Anhemi.""))"),"Hemi.")</f>
        <v>Hemi.</v>
      </c>
      <c r="CI5" s="282" t="str">
        <f>IFERROR(__xludf.DUMMYFUNCTION("IF(BI5=""oooooooooooo"",""-"",IF(REGEXMATCH(BJ5,""xxx""), ""Cohem."", ""-""))"),"Cohem.")</f>
        <v>Cohem.</v>
      </c>
      <c r="CJ5" s="282" t="str">
        <f>IFERROR(__xludf.DUMMYFUNCTION("IF(BI5=""oooooooooooo"",""-"",IF(REGEXMATCH(BJ5,""xxxx""), ""Co-Co."", ""-""))"),"-")</f>
        <v>-</v>
      </c>
      <c r="CK5" s="342" t="str">
        <f>IFERROR(__xludf.DUMMYFUNCTION("IF(BI5=""oooooooooooo"",""-"",IF(REGEXMATCH(BJ5,""xxxxx""), ""CCC."", ""-""))"),"-")</f>
        <v>-</v>
      </c>
      <c r="CL5" s="344" t="str">
        <f t="shared" si="41"/>
        <v>-</v>
      </c>
      <c r="CM5" s="282" t="str">
        <f>IFERROR(__xludf.DUMMYFUNCTION("IF(REGEXMATCH(JOIN(""-"",CO5:CX5),""TRUE""),""✔"",""-"")"),"-")</f>
        <v>-</v>
      </c>
      <c r="CN5" s="225">
        <f t="shared" si="42"/>
        <v>0</v>
      </c>
      <c r="CO5" s="376" t="b">
        <f>IFERROR(__xludf.DUMMYFUNCTION("arrayformula(sum(--REGEXMATCH(""SRGMPDNS"",split(REGEXREPLACE(N5,""(.)"",""$1~""),""~""))))=len(N5)
"),FALSE)</f>
        <v>0</v>
      </c>
      <c r="CP5" s="290" t="b">
        <f>IFERROR(__xludf.DUMMYFUNCTION("arrayformula(sum(--REGEXMATCH(""SRGmPDNS"",split(REGEXREPLACE(N5,""(.)"",""$1~""),""~""))))=len(N5)"),FALSE)</f>
        <v>0</v>
      </c>
      <c r="CQ5" s="290" t="b">
        <f>IFERROR(__xludf.DUMMYFUNCTION("arrayformula(sum(--REGEXMATCH(""SRGmPDnS"",split(REGEXREPLACE(N5,""(.)"",""$1~""),""~""))))=len(N5)"),FALSE)</f>
        <v>0</v>
      </c>
      <c r="CR5" s="290" t="b">
        <f>IFERROR(__xludf.DUMMYFUNCTION("arrayformula(sum(--REGEXMATCH(""SRgmPDnS"",split(REGEXREPLACE(N5,""(.)"",""$1~""),""~""))))=len(N5)"),FALSE)</f>
        <v>0</v>
      </c>
      <c r="CS5" s="290" t="b">
        <f>IFERROR(__xludf.DUMMYFUNCTION("arrayformula(sum(--REGEXMATCH(""SRgmPdnS"",split(REGEXREPLACE(N5,""(.)"",""$1~""),""~""))))=len(N5)"),FALSE)</f>
        <v>0</v>
      </c>
      <c r="CT5" s="290" t="b">
        <f>IFERROR(__xludf.DUMMYFUNCTION("arrayformula(sum(--REGEXMATCH(""SrgmPdnS"",split(REGEXREPLACE(N5,""(.)"",""$1~""),""~""))))=len(N5)"),FALSE)</f>
        <v>0</v>
      </c>
      <c r="CU5" s="290" t="b">
        <f>IFERROR(__xludf.DUMMYFUNCTION("arrayformula(sum(--REGEXMATCH(""SrGmPdNS"",split(REGEXREPLACE(N5,""(.)"",""$1~""),""~""))))=len(N5)"),FALSE)</f>
        <v>0</v>
      </c>
      <c r="CV5" s="290" t="b">
        <f>IFERROR(__xludf.DUMMYFUNCTION("arrayformula(sum(--REGEXMATCH(""SrGMPDNS"",split(REGEXREPLACE(N5,""(.)"",""$1~""),""~""))))=len(N5)"),FALSE)</f>
        <v>0</v>
      </c>
      <c r="CW5" s="290" t="b">
        <f>IFERROR(__xludf.DUMMYFUNCTION("arrayformula(sum(--REGEXMATCH(""SrGMPdNS"",split(REGEXREPLACE(N5,""(.)"",""$1~""),""~""))))=len(N5)"),FALSE)</f>
        <v>0</v>
      </c>
      <c r="CX5" s="293" t="b">
        <f>IFERROR(__xludf.DUMMYFUNCTION("arrayformula(sum(--REGEXMATCH(""SrgMPdNS"",split(REGEXREPLACE(N5,""(.)"",""$1~""),""~""))))=len(N5)"),FALSE)</f>
        <v>0</v>
      </c>
      <c r="CY5" s="244" t="str">
        <f>IFERROR(__xludf.DUMMYFUNCTION("IF(REGEXMATCH(N5, ""S""), ""1"","""")"),"1")</f>
        <v>1</v>
      </c>
      <c r="CZ5" s="245" t="str">
        <f>IFERROR(__xludf.DUMMYFUNCTION("IF(REGEXMATCH(N5, ""r""), ""b2"","""")"),"")</f>
        <v/>
      </c>
      <c r="DA5" s="246" t="str">
        <f>IFERROR(__xludf.DUMMYFUNCTION("IF(REGEXMATCH(N5, ""R""), ""2"","""")"),"")</f>
        <v/>
      </c>
      <c r="DB5" s="246" t="str">
        <f>IFERROR(__xludf.DUMMYFUNCTION("IF(REGEXMATCH(N5, ""g""), ""b3"","""")"),"b3")</f>
        <v>b3</v>
      </c>
      <c r="DC5" s="245" t="str">
        <f>IFERROR(__xludf.DUMMYFUNCTION("IF(REGEXMATCH(N5, ""G""), ""3"","""")"),"3")</f>
        <v>3</v>
      </c>
      <c r="DD5" s="245" t="str">
        <f>IFERROR(__xludf.DUMMYFUNCTION("IF(REGEXMATCH(N5, ""m""), ""4"","""")"),"4")</f>
        <v>4</v>
      </c>
      <c r="DE5" s="246" t="str">
        <f>IFERROR(__xludf.DUMMYFUNCTION("IF(REGEXMATCH(N5, ""M""), ""#4"","""")"),"")</f>
        <v/>
      </c>
      <c r="DF5" s="245" t="str">
        <f>IFERROR(__xludf.DUMMYFUNCTION("IF(REGEXMATCH(N5, ""P""), ""5"","""")"),"5")</f>
        <v>5</v>
      </c>
      <c r="DG5" s="246" t="str">
        <f>IFERROR(__xludf.DUMMYFUNCTION("IF(REGEXMATCH(N5, ""d""), ""b6"","""")"),"b6")</f>
        <v>b6</v>
      </c>
      <c r="DH5" s="245" t="str">
        <f>IFERROR(__xludf.DUMMYFUNCTION("IF(REGEXMATCH(N5, ""D""), ""6"","""")"),"")</f>
        <v/>
      </c>
      <c r="DI5" s="245" t="str">
        <f>IFERROR(__xludf.DUMMYFUNCTION("IF(REGEXMATCH(N5, ""n""), ""b7"","""")"),"")</f>
        <v/>
      </c>
      <c r="DJ5" s="246" t="str">
        <f>IFERROR(__xludf.DUMMYFUNCTION("IF(REGEXMATCH(N5, ""N""), ""7"","""")"),"7")</f>
        <v>7</v>
      </c>
      <c r="DK5" s="249" t="str">
        <f>IFERROR(__xludf.DUMMYFUNCTION("IF(REGEXMATCH(N5, ""S""), ""8"","""")"),"8")</f>
        <v>8</v>
      </c>
      <c r="DL5" s="244" t="str">
        <f>IFERROR(__xludf.DUMMYFUNCTION("IF(REGEXMATCH(N5, ""S""), ""S"","""")"),"S")</f>
        <v>S</v>
      </c>
      <c r="DM5" s="294" t="str">
        <f>IFERROR(__xludf.DUMMYFUNCTION("IF(REGEXMATCH(N5, ""r""), ""R1"","""")"),"")</f>
        <v/>
      </c>
      <c r="DN5" s="295" t="str">
        <f>IFERROR(__xludf.DUMMYFUNCTION("IF(REGEXMATCH(N5, ""R""), ""R2"","""")"),"")</f>
        <v/>
      </c>
      <c r="DO5" s="295" t="str">
        <f>IFERROR(__xludf.DUMMYFUNCTION("IF(REGEXMATCH(N5, ""g""), ""G2"","""")"),"G2")</f>
        <v>G2</v>
      </c>
      <c r="DP5" s="294" t="str">
        <f>IFERROR(__xludf.DUMMYFUNCTION("IF(REGEXMATCH(N5, ""G""), ""G3"","""")"),"G3")</f>
        <v>G3</v>
      </c>
      <c r="DQ5" s="294" t="str">
        <f>IFERROR(__xludf.DUMMYFUNCTION("IF(REGEXMATCH(N5, ""m""), ""M1"","""")"),"M1")</f>
        <v>M1</v>
      </c>
      <c r="DR5" s="295" t="str">
        <f>IFERROR(__xludf.DUMMYFUNCTION("IF(REGEXMATCH(N5, ""M""), ""M2"","""")"),"")</f>
        <v/>
      </c>
      <c r="DS5" s="294" t="str">
        <f>IFERROR(__xludf.DUMMYFUNCTION("IF(REGEXMATCH(N5, ""P""), ""P"","""")"),"P")</f>
        <v>P</v>
      </c>
      <c r="DT5" s="295" t="str">
        <f>IFERROR(__xludf.DUMMYFUNCTION("IF(REGEXMATCH(N5, ""d""), ""D1"","""")"),"D1")</f>
        <v>D1</v>
      </c>
      <c r="DU5" s="294" t="str">
        <f>IFERROR(__xludf.DUMMYFUNCTION("IF(REGEXMATCH(N5, ""D""), ""D2"","""")"),"")</f>
        <v/>
      </c>
      <c r="DV5" s="294" t="str">
        <f>IFERROR(__xludf.DUMMYFUNCTION("IF(REGEXMATCH(N5, ""n""), ""N2"","""")"),"")</f>
        <v/>
      </c>
      <c r="DW5" s="295" t="str">
        <f>IFERROR(__xludf.DUMMYFUNCTION("IF(REGEXMATCH(N5, ""N""), ""N3"","""")"),"N3")</f>
        <v>N3</v>
      </c>
      <c r="DX5" s="249" t="str">
        <f>IFERROR(__xludf.DUMMYFUNCTION("IF(REGEXMATCH(N5, ""S""), ""S"","""")"),"S")</f>
        <v>S</v>
      </c>
      <c r="DY5" s="299" t="str">
        <f>IFERROR(__xludf.DUMMYFUNCTION("SUBSTITUTE(SUBSTITUTE(SUBSTITUTE(SUBSTITUTE(CONCATENATE(JOIN(""-"",CY5:DK5)),""--"",""-""),""--"",""-""),""--"",""-""),""--"",""-"")"),"1-b3-3-4-5-b6-7-8")</f>
        <v>1-b3-3-4-5-b6-7-8</v>
      </c>
      <c r="DZ5" s="299" t="str">
        <f>IFERROR(__xludf.DUMMYFUNCTION("SUBSTITUTE(SUBSTITUTE(SUBSTITUTE(SUBSTITUTE(CONCATENATE(JOIN(""-"",DL5:DX5)),""--"",""-""),""--"",""-""),""--"",""-""),""--"",""-"")"),"S-G2-G3-M1-P-D1-N3-S")</f>
        <v>S-G2-G3-M1-P-D1-N3-S</v>
      </c>
      <c r="EA5" s="348" t="str">
        <f t="shared" si="43"/>
        <v>C-Eb-E-F-G-Ab-B-C</v>
      </c>
      <c r="EB5" s="301">
        <f t="shared" si="44"/>
        <v>7</v>
      </c>
      <c r="EC5" s="302" t="str">
        <f t="shared" si="45"/>
        <v>Shadav</v>
      </c>
      <c r="ED5" s="301" t="str">
        <f t="shared" ref="ED5:EE5" si="171">SUBSTITUTE(AD5,"-","")</f>
        <v>SGM</v>
      </c>
      <c r="EE5" s="301" t="str">
        <f t="shared" si="171"/>
        <v>PDNS</v>
      </c>
      <c r="EF5" s="302" t="str">
        <f t="shared" si="47"/>
        <v>(n/a)</v>
      </c>
      <c r="EG5" s="301" t="str">
        <f t="shared" si="48"/>
        <v>Hemi.</v>
      </c>
      <c r="EH5" s="364" t="str">
        <f t="shared" si="49"/>
        <v>Cohem.</v>
      </c>
      <c r="EI5" s="306" t="str">
        <f t="shared" si="50"/>
        <v>-</v>
      </c>
      <c r="EJ5" s="366" t="str">
        <f t="shared" si="51"/>
        <v>-</v>
      </c>
      <c r="EK5" s="308" t="str">
        <f t="shared" si="52"/>
        <v>✔</v>
      </c>
      <c r="EL5" s="306" t="str">
        <f t="shared" si="53"/>
        <v>-</v>
      </c>
      <c r="EM5" s="306" t="str">
        <f t="shared" si="54"/>
        <v>-</v>
      </c>
      <c r="EN5" s="367" t="str">
        <f t="shared" si="55"/>
        <v>-</v>
      </c>
      <c r="EO5" s="310" t="str">
        <f t="shared" si="56"/>
        <v>-</v>
      </c>
      <c r="EP5" s="310" t="str">
        <f t="shared" si="57"/>
        <v>✔</v>
      </c>
      <c r="EQ5" s="310" t="str">
        <f t="shared" si="58"/>
        <v>-</v>
      </c>
      <c r="ER5" s="310" t="str">
        <f t="shared" si="59"/>
        <v>-</v>
      </c>
      <c r="ES5" s="370" t="str">
        <f t="shared" si="60"/>
        <v>-</v>
      </c>
      <c r="ET5" s="306" t="str">
        <f t="shared" si="61"/>
        <v>✔</v>
      </c>
      <c r="EU5" s="306" t="str">
        <f t="shared" si="62"/>
        <v>-</v>
      </c>
      <c r="EV5" s="306" t="str">
        <f t="shared" si="63"/>
        <v>-</v>
      </c>
      <c r="EW5" s="306" t="str">
        <f t="shared" si="64"/>
        <v>-</v>
      </c>
      <c r="EX5" s="306" t="str">
        <f t="shared" si="65"/>
        <v>-</v>
      </c>
      <c r="EY5" s="367" t="str">
        <f t="shared" si="66"/>
        <v>-</v>
      </c>
      <c r="EZ5" s="310" t="str">
        <f>IFERROR(__xludf.DUMMYFUNCTION("IF(REGEXMATCH(BM5,BI5),""✔"",""-"")"),"-")</f>
        <v>-</v>
      </c>
      <c r="FA5" s="310" t="str">
        <f t="shared" si="67"/>
        <v>-</v>
      </c>
      <c r="FB5" s="370" t="str">
        <f t="shared" si="68"/>
        <v>-</v>
      </c>
      <c r="FC5" s="315" t="str">
        <f t="shared" si="69"/>
        <v>[UQ]</v>
      </c>
      <c r="FD5" s="317" t="str">
        <f t="shared" si="70"/>
        <v>S-gG-m-P-d-N-S</v>
      </c>
      <c r="FE5" s="318" t="str">
        <f>IFERROR(__xludf.DUMMYFUNCTION("CONCATENATE(JOIN("""",GJ5:GV5))"),"SrGmPdDS")</f>
        <v>SrGmPdDS</v>
      </c>
      <c r="FF5" s="318"/>
      <c r="FG5" s="318"/>
      <c r="FH5" s="321">
        <f t="shared" si="71"/>
        <v>3</v>
      </c>
      <c r="FI5" s="318" t="str">
        <f>IFERROR(__xludf.DUMMYFUNCTION("CONCATENATE(JOIN("""",HW5:II5))"),"ga, Pa, Ni, ")</f>
        <v>ga, Pa, Ni, </v>
      </c>
      <c r="FJ5" s="322">
        <f t="shared" si="72"/>
        <v>0</v>
      </c>
      <c r="FK5" s="324" t="str">
        <f>IFERROR(__xludf.DUMMYFUNCTION("CONCATENATE(JOIN("""",IW5:JI5))"),"")</f>
        <v/>
      </c>
      <c r="FL5" s="325" t="str">
        <f t="shared" si="73"/>
        <v>S-G2-G3-M1-P-D1-N3-S</v>
      </c>
      <c r="FM5" s="326" t="str">
        <f t="shared" si="74"/>
        <v>1-b3-3-4-5-b6-7-8</v>
      </c>
      <c r="FN5" s="326" t="str">
        <f t="shared" si="75"/>
        <v>0-3-4-5-7-8-11-0</v>
      </c>
      <c r="FO5" s="318"/>
      <c r="FP5" s="328" t="str">
        <f>IFERROR(__xludf.DUMMYFUNCTION("SUBSTITUTE(SUBSTITUTE(SUBSTITUTE(SUBSTITUTE(CONCATENATE(JOIN("" "",FS5:GE5)),""  "","" ""),""  "","" ""),""  "","" ""),""  "","" "")"),"o • • o o o • o o • • o o")</f>
        <v>o • • o o o • o o • • o o</v>
      </c>
      <c r="FQ5" s="328" t="str">
        <f t="shared" si="76"/>
        <v>-</v>
      </c>
      <c r="FR5" s="329"/>
      <c r="FS5" s="331" t="str">
        <f t="shared" si="77"/>
        <v>o</v>
      </c>
      <c r="FT5" s="332" t="str">
        <f t="shared" si="78"/>
        <v>•</v>
      </c>
      <c r="FU5" s="332" t="str">
        <f t="shared" si="79"/>
        <v>•</v>
      </c>
      <c r="FV5" s="332" t="str">
        <f t="shared" si="80"/>
        <v>o</v>
      </c>
      <c r="FW5" s="332" t="str">
        <f t="shared" si="81"/>
        <v>o</v>
      </c>
      <c r="FX5" s="332" t="str">
        <f t="shared" si="82"/>
        <v>o</v>
      </c>
      <c r="FY5" s="332" t="str">
        <f t="shared" si="83"/>
        <v>•</v>
      </c>
      <c r="FZ5" s="332" t="str">
        <f t="shared" si="84"/>
        <v>o</v>
      </c>
      <c r="GA5" s="332" t="str">
        <f t="shared" si="85"/>
        <v>o</v>
      </c>
      <c r="GB5" s="332" t="str">
        <f t="shared" si="86"/>
        <v>•</v>
      </c>
      <c r="GC5" s="332" t="str">
        <f t="shared" si="87"/>
        <v>•</v>
      </c>
      <c r="GD5" s="332" t="str">
        <f t="shared" si="88"/>
        <v>o</v>
      </c>
      <c r="GE5" s="338" t="str">
        <f t="shared" si="89"/>
        <v>o</v>
      </c>
      <c r="GF5" s="339" t="str">
        <f t="shared" si="90"/>
        <v>-</v>
      </c>
      <c r="GG5" s="339" t="str">
        <f t="shared" si="91"/>
        <v>Sa-Pa</v>
      </c>
      <c r="GH5" s="339" t="str">
        <f t="shared" si="92"/>
        <v>-</v>
      </c>
      <c r="GI5" s="340" t="str">
        <f t="shared" si="93"/>
        <v>-</v>
      </c>
      <c r="GJ5" s="331" t="str">
        <f t="shared" si="94"/>
        <v>S</v>
      </c>
      <c r="GK5" s="332" t="str">
        <f t="shared" si="95"/>
        <v>r</v>
      </c>
      <c r="GL5" s="332" t="str">
        <f t="shared" si="96"/>
        <v/>
      </c>
      <c r="GM5" s="332" t="str">
        <f t="shared" si="97"/>
        <v/>
      </c>
      <c r="GN5" s="332" t="str">
        <f t="shared" si="98"/>
        <v>G</v>
      </c>
      <c r="GO5" s="332" t="str">
        <f t="shared" si="99"/>
        <v>m</v>
      </c>
      <c r="GP5" s="332" t="str">
        <f t="shared" si="100"/>
        <v/>
      </c>
      <c r="GQ5" s="332" t="str">
        <f t="shared" si="101"/>
        <v>P</v>
      </c>
      <c r="GR5" s="332" t="str">
        <f t="shared" si="102"/>
        <v>d</v>
      </c>
      <c r="GS5" s="332" t="str">
        <f t="shared" si="103"/>
        <v>D</v>
      </c>
      <c r="GT5" s="332" t="str">
        <f t="shared" si="104"/>
        <v/>
      </c>
      <c r="GU5" s="332" t="str">
        <f t="shared" si="105"/>
        <v/>
      </c>
      <c r="GV5" s="343" t="str">
        <f t="shared" si="106"/>
        <v>S</v>
      </c>
      <c r="GW5" s="331" t="str">
        <f t="shared" si="107"/>
        <v>•</v>
      </c>
      <c r="GX5" s="332" t="str">
        <f t="shared" si="108"/>
        <v>o</v>
      </c>
      <c r="GY5" s="332" t="str">
        <f t="shared" si="109"/>
        <v>o</v>
      </c>
      <c r="GZ5" s="332" t="str">
        <f t="shared" si="110"/>
        <v>•</v>
      </c>
      <c r="HA5" s="332" t="str">
        <f t="shared" si="111"/>
        <v>•</v>
      </c>
      <c r="HB5" s="332" t="str">
        <f t="shared" si="112"/>
        <v>•</v>
      </c>
      <c r="HC5" s="332" t="str">
        <f t="shared" si="113"/>
        <v>o</v>
      </c>
      <c r="HD5" s="332" t="str">
        <f t="shared" si="114"/>
        <v>•</v>
      </c>
      <c r="HE5" s="332" t="str">
        <f t="shared" si="115"/>
        <v>•</v>
      </c>
      <c r="HF5" s="332" t="str">
        <f t="shared" si="116"/>
        <v>o</v>
      </c>
      <c r="HG5" s="332" t="str">
        <f t="shared" si="117"/>
        <v>o</v>
      </c>
      <c r="HH5" s="332" t="str">
        <f t="shared" si="118"/>
        <v>•</v>
      </c>
      <c r="HI5" s="338" t="str">
        <f t="shared" si="119"/>
        <v>•</v>
      </c>
      <c r="HJ5" s="346" t="b">
        <f t="shared" si="120"/>
        <v>0</v>
      </c>
      <c r="HK5" s="347" t="b">
        <f t="shared" si="121"/>
        <v>0</v>
      </c>
      <c r="HL5" s="347" t="b">
        <f t="shared" si="122"/>
        <v>0</v>
      </c>
      <c r="HM5" s="347" t="b">
        <f t="shared" si="123"/>
        <v>1</v>
      </c>
      <c r="HN5" s="347" t="b">
        <f t="shared" si="124"/>
        <v>0</v>
      </c>
      <c r="HO5" s="347" t="b">
        <f t="shared" si="125"/>
        <v>0</v>
      </c>
      <c r="HP5" s="347" t="b">
        <f t="shared" si="126"/>
        <v>0</v>
      </c>
      <c r="HQ5" s="347" t="b">
        <f t="shared" si="127"/>
        <v>1</v>
      </c>
      <c r="HR5" s="347" t="b">
        <f t="shared" si="128"/>
        <v>0</v>
      </c>
      <c r="HS5" s="347" t="b">
        <f t="shared" si="129"/>
        <v>0</v>
      </c>
      <c r="HT5" s="347" t="b">
        <f t="shared" si="130"/>
        <v>0</v>
      </c>
      <c r="HU5" s="347" t="b">
        <f t="shared" si="131"/>
        <v>1</v>
      </c>
      <c r="HV5" s="353" t="b">
        <f t="shared" si="132"/>
        <v>0</v>
      </c>
      <c r="HW5" s="354" t="str">
        <f t="shared" si="133"/>
        <v/>
      </c>
      <c r="HX5" s="355" t="str">
        <f t="shared" si="134"/>
        <v/>
      </c>
      <c r="HY5" s="355" t="str">
        <f t="shared" si="135"/>
        <v/>
      </c>
      <c r="HZ5" s="355" t="str">
        <f t="shared" si="136"/>
        <v>ga, </v>
      </c>
      <c r="IA5" s="355" t="str">
        <f t="shared" si="137"/>
        <v/>
      </c>
      <c r="IB5" s="355" t="str">
        <f t="shared" si="138"/>
        <v/>
      </c>
      <c r="IC5" s="355" t="str">
        <f t="shared" si="139"/>
        <v/>
      </c>
      <c r="ID5" s="355" t="str">
        <f t="shared" si="140"/>
        <v>Pa, </v>
      </c>
      <c r="IE5" s="355" t="str">
        <f t="shared" si="141"/>
        <v/>
      </c>
      <c r="IF5" s="355" t="str">
        <f t="shared" si="142"/>
        <v/>
      </c>
      <c r="IG5" s="355" t="str">
        <f t="shared" si="143"/>
        <v/>
      </c>
      <c r="IH5" s="355" t="str">
        <f t="shared" si="144"/>
        <v>Ni, </v>
      </c>
      <c r="II5" s="359" t="str">
        <f t="shared" si="145"/>
        <v/>
      </c>
      <c r="IJ5" s="346" t="b">
        <f t="shared" si="146"/>
        <v>0</v>
      </c>
      <c r="IK5" s="347" t="b">
        <f t="shared" si="147"/>
        <v>0</v>
      </c>
      <c r="IL5" s="347" t="b">
        <f t="shared" si="148"/>
        <v>0</v>
      </c>
      <c r="IM5" s="347" t="b">
        <f t="shared" si="149"/>
        <v>0</v>
      </c>
      <c r="IN5" s="347" t="b">
        <f t="shared" si="150"/>
        <v>0</v>
      </c>
      <c r="IO5" s="347" t="b">
        <f t="shared" si="151"/>
        <v>0</v>
      </c>
      <c r="IP5" s="347" t="b">
        <f t="shared" si="152"/>
        <v>0</v>
      </c>
      <c r="IQ5" s="347" t="b">
        <f t="shared" si="153"/>
        <v>0</v>
      </c>
      <c r="IR5" s="347" t="b">
        <f t="shared" si="154"/>
        <v>0</v>
      </c>
      <c r="IS5" s="347" t="b">
        <f t="shared" si="155"/>
        <v>0</v>
      </c>
      <c r="IT5" s="347" t="b">
        <f t="shared" si="156"/>
        <v>0</v>
      </c>
      <c r="IU5" s="347" t="b">
        <f t="shared" si="157"/>
        <v>0</v>
      </c>
      <c r="IV5" s="365" t="b">
        <f t="shared" si="158"/>
        <v>0</v>
      </c>
      <c r="IW5" s="354" t="str">
        <f t="shared" si="159"/>
        <v/>
      </c>
      <c r="IX5" s="355" t="str">
        <f t="shared" si="160"/>
        <v/>
      </c>
      <c r="IY5" s="355" t="str">
        <f t="shared" si="161"/>
        <v/>
      </c>
      <c r="IZ5" s="355" t="str">
        <f t="shared" si="162"/>
        <v/>
      </c>
      <c r="JA5" s="355" t="str">
        <f t="shared" si="163"/>
        <v/>
      </c>
      <c r="JB5" s="355" t="str">
        <f t="shared" si="164"/>
        <v/>
      </c>
      <c r="JC5" s="355" t="str">
        <f t="shared" si="165"/>
        <v/>
      </c>
      <c r="JD5" s="355" t="str">
        <f t="shared" si="166"/>
        <v/>
      </c>
      <c r="JE5" s="355" t="str">
        <f t="shared" si="167"/>
        <v/>
      </c>
      <c r="JF5" s="355" t="str">
        <f t="shared" si="168"/>
        <v/>
      </c>
      <c r="JG5" s="355" t="str">
        <f t="shared" si="169"/>
        <v/>
      </c>
      <c r="JH5" s="355" t="str">
        <f t="shared" si="170"/>
        <v/>
      </c>
      <c r="JI5" s="359"/>
      <c r="JJ5" s="321"/>
      <c r="JK5" s="368"/>
      <c r="JL5" s="369"/>
      <c r="JM5" s="369"/>
      <c r="JN5" s="369"/>
      <c r="JO5" s="369"/>
      <c r="JP5" s="369"/>
      <c r="JQ5" s="369"/>
      <c r="JR5" s="369"/>
      <c r="JS5" s="369"/>
      <c r="JT5" s="369"/>
      <c r="JU5" s="369"/>
    </row>
    <row r="6" ht="20.25" customHeight="1">
      <c r="A6" s="221" t="s">
        <v>488</v>
      </c>
      <c r="B6" s="223" t="s">
        <v>489</v>
      </c>
      <c r="C6" s="222" t="s">
        <v>275</v>
      </c>
      <c r="D6" s="222"/>
      <c r="E6" s="222" t="s">
        <v>275</v>
      </c>
      <c r="F6" s="222"/>
      <c r="G6" s="395" t="s">
        <v>275</v>
      </c>
      <c r="H6" s="222">
        <v>4.0</v>
      </c>
      <c r="I6" s="224" t="s">
        <v>398</v>
      </c>
      <c r="J6" s="225" t="str">
        <f t="shared" si="5"/>
        <v>[UQ]</v>
      </c>
      <c r="K6" s="227">
        <f t="shared" si="6"/>
        <v>7</v>
      </c>
      <c r="L6" s="229">
        <f t="shared" si="7"/>
        <v>6</v>
      </c>
      <c r="M6" s="230">
        <f t="shared" si="8"/>
        <v>1</v>
      </c>
      <c r="N6" s="233" t="str">
        <f t="shared" si="9"/>
        <v>SgGmPdnS</v>
      </c>
      <c r="O6" s="234" t="str">
        <f>IFERROR(__xludf.DUMMYFUNCTION("IF(REGEXMATCH(N6, ""S""), ""S"","""")"),"S")</f>
        <v>S</v>
      </c>
      <c r="P6" s="236" t="str">
        <f>IFERROR(__xludf.DUMMYFUNCTION("IF(REGEXMATCH(N6, ""r""), ""r"","""")"),"")</f>
        <v/>
      </c>
      <c r="Q6" s="237" t="str">
        <f>IFERROR(__xludf.DUMMYFUNCTION("IF(REGEXMATCH(N6, ""R""), ""R"","""")"),"")</f>
        <v/>
      </c>
      <c r="R6" s="237" t="str">
        <f>IFERROR(__xludf.DUMMYFUNCTION("IF(REGEXMATCH(N6, ""g""), ""g"","""")"),"g")</f>
        <v>g</v>
      </c>
      <c r="S6" s="236" t="str">
        <f>IFERROR(__xludf.DUMMYFUNCTION("IF(REGEXMATCH(N6, ""G""), ""G"","""")"),"G")</f>
        <v>G</v>
      </c>
      <c r="T6" s="236" t="str">
        <f>IFERROR(__xludf.DUMMYFUNCTION("IF(REGEXMATCH(N6, ""m""), ""m"","""")"),"m")</f>
        <v>m</v>
      </c>
      <c r="U6" s="237" t="str">
        <f>IFERROR(__xludf.DUMMYFUNCTION("IF(REGEXMATCH(N6, ""M""), ""M"","""")"),"")</f>
        <v/>
      </c>
      <c r="V6" s="236" t="str">
        <f>IFERROR(__xludf.DUMMYFUNCTION("IF(REGEXMATCH(N6, ""P""), ""P"","""")"),"P")</f>
        <v>P</v>
      </c>
      <c r="W6" s="237" t="str">
        <f>IFERROR(__xludf.DUMMYFUNCTION("IF(REGEXMATCH(N6, ""d""), ""d"","""")"),"d")</f>
        <v>d</v>
      </c>
      <c r="X6" s="236" t="str">
        <f>IFERROR(__xludf.DUMMYFUNCTION("IF(REGEXMATCH(N6, ""D""), ""D"","""")"),"")</f>
        <v/>
      </c>
      <c r="Y6" s="236" t="str">
        <f>IFERROR(__xludf.DUMMYFUNCTION("IF(REGEXMATCH(N6, ""n""), ""n"","""")"),"n")</f>
        <v>n</v>
      </c>
      <c r="Z6" s="237" t="str">
        <f>IFERROR(__xludf.DUMMYFUNCTION("IF(REGEXMATCH(N6, ""N""), ""N"","""")"),"")</f>
        <v/>
      </c>
      <c r="AA6" s="238" t="str">
        <f>IFERROR(__xludf.DUMMYFUNCTION("IF(REGEXMATCH(N6, ""S""), ""S"","""")"),"S")</f>
        <v>S</v>
      </c>
      <c r="AB6" s="239" t="str">
        <f>IFERROR(__xludf.DUMMYFUNCTION("SUBSTITUTE(CONCATENATE(JOIN(""-"",O6:U6)),""-"","""")"),"SgGm")</f>
        <v>SgGm</v>
      </c>
      <c r="AC6" s="229" t="str">
        <f>IFERROR(__xludf.DUMMYFUNCTION("SUBSTITUTE(CONCATENATE(JOIN(""-"",V6:AA6)),""-"","""")"),"PdnS")</f>
        <v>PdnS</v>
      </c>
      <c r="AD6" s="282" t="str">
        <f t="shared" si="10"/>
        <v>S-G-M</v>
      </c>
      <c r="AE6" s="282" t="str">
        <f t="shared" si="11"/>
        <v>P-D-N-S</v>
      </c>
      <c r="AF6" s="309" t="str">
        <f t="shared" si="12"/>
        <v>gGmdn</v>
      </c>
      <c r="AG6" s="244" t="str">
        <f>IFERROR(__xludf.DUMMYFUNCTION("IF(REGEXMATCH(N6, ""S""), ""0"","""")"),"0")</f>
        <v>0</v>
      </c>
      <c r="AH6" s="245" t="str">
        <f>IFERROR(__xludf.DUMMYFUNCTION("IF(REGEXMATCH(N6, ""r""), ""1"","""")"),"")</f>
        <v/>
      </c>
      <c r="AI6" s="246" t="str">
        <f>IFERROR(__xludf.DUMMYFUNCTION("IF(REGEXMATCH(N6, ""R""), ""2"","""")"),"")</f>
        <v/>
      </c>
      <c r="AJ6" s="246" t="str">
        <f>IFERROR(__xludf.DUMMYFUNCTION("IF(REGEXMATCH(N6, ""g""), ""3"","""")"),"3")</f>
        <v>3</v>
      </c>
      <c r="AK6" s="245" t="str">
        <f>IFERROR(__xludf.DUMMYFUNCTION("IF(REGEXMATCH(N6, ""G""), ""4"","""")"),"4")</f>
        <v>4</v>
      </c>
      <c r="AL6" s="245" t="str">
        <f>IFERROR(__xludf.DUMMYFUNCTION("IF(REGEXMATCH(N6, ""m""), ""5"","""")"),"5")</f>
        <v>5</v>
      </c>
      <c r="AM6" s="246" t="str">
        <f>IFERROR(__xludf.DUMMYFUNCTION("IF(REGEXMATCH(N6, ""M""), ""6"","""")"),"")</f>
        <v/>
      </c>
      <c r="AN6" s="245" t="str">
        <f>IFERROR(__xludf.DUMMYFUNCTION("IF(REGEXMATCH(N6, ""P""), ""7"","""")"),"7")</f>
        <v>7</v>
      </c>
      <c r="AO6" s="246" t="str">
        <f>IFERROR(__xludf.DUMMYFUNCTION("IF(REGEXMATCH(N6, ""d""), ""8"","""")"),"8")</f>
        <v>8</v>
      </c>
      <c r="AP6" s="245" t="str">
        <f>IFERROR(__xludf.DUMMYFUNCTION("IF(REGEXMATCH(N6, ""D""), ""9"","""")"),"")</f>
        <v/>
      </c>
      <c r="AQ6" s="245" t="str">
        <f>IFERROR(__xludf.DUMMYFUNCTION("IF(REGEXMATCH(N6, ""n""), ""10"","""")"),"10")</f>
        <v>10</v>
      </c>
      <c r="AR6" s="246" t="str">
        <f>IFERROR(__xludf.DUMMYFUNCTION("IF(REGEXMATCH(N6, ""N""), ""11"","""")"),"")</f>
        <v/>
      </c>
      <c r="AS6" s="249" t="str">
        <f>IFERROR(__xludf.DUMMYFUNCTION("IF(REGEXMATCH(N6, ""S""), ""0"","""")"),"0")</f>
        <v>0</v>
      </c>
      <c r="AT6" s="250" t="str">
        <f>IFERROR(__xludf.DUMMYFUNCTION("SUBSTITUTE(SUBSTITUTE(SUBSTITUTE(SUBSTITUTE(CONCATENATE(JOIN(""-"",AG6:AS6)),""--"",""-""),""--"",""-""),""--"",""-""),""--"",""-"")"),"0-3-4-5-7-8-10-0")</f>
        <v>0-3-4-5-7-8-10-0</v>
      </c>
      <c r="AU6" s="251">
        <f t="shared" si="13"/>
        <v>0</v>
      </c>
      <c r="AV6" s="234" t="str">
        <f t="shared" si="14"/>
        <v>|</v>
      </c>
      <c r="AW6" s="236" t="str">
        <f t="shared" si="15"/>
        <v>-</v>
      </c>
      <c r="AX6" s="237" t="str">
        <f t="shared" si="16"/>
        <v>-</v>
      </c>
      <c r="AY6" s="236" t="str">
        <f t="shared" si="17"/>
        <v>|</v>
      </c>
      <c r="AZ6" s="237" t="str">
        <f t="shared" si="18"/>
        <v>|</v>
      </c>
      <c r="BA6" s="236" t="str">
        <f t="shared" si="19"/>
        <v>|</v>
      </c>
      <c r="BB6" s="237" t="str">
        <f t="shared" si="20"/>
        <v>-</v>
      </c>
      <c r="BC6" s="236" t="str">
        <f t="shared" si="21"/>
        <v>|</v>
      </c>
      <c r="BD6" s="237" t="str">
        <f t="shared" si="22"/>
        <v>|</v>
      </c>
      <c r="BE6" s="236" t="str">
        <f t="shared" si="23"/>
        <v>-</v>
      </c>
      <c r="BF6" s="237" t="str">
        <f t="shared" si="24"/>
        <v>|</v>
      </c>
      <c r="BG6" s="236" t="str">
        <f t="shared" si="25"/>
        <v>-</v>
      </c>
      <c r="BH6" s="238" t="str">
        <f t="shared" si="26"/>
        <v>|</v>
      </c>
      <c r="BI6" s="250" t="str">
        <f>IFERROR(__xludf.DUMMYFUNCTION("SUBSTITUTE(SUBSTITUTE(CONCATENATE(JOIN("""",AV6:BG6)),""|"",""x""),""-"",""o"")"),"xooxxxoxxoxo")</f>
        <v>xooxxxoxxoxo</v>
      </c>
      <c r="BJ6" s="323" t="str">
        <f>IFERROR(__xludf.DUMMYFUNCTION("JOIN("""",BI6,BI6)"),"xooxxxoxxoxoxooxxxoxxoxo")</f>
        <v>xooxxxoxxoxoxooxxxoxxoxo</v>
      </c>
      <c r="BK6" s="256" t="str">
        <f>IFERROR(__xludf.DUMMYFUNCTION("JOIN("""",ArrayFormula(MID(BI6,LEN(BI6)-SEQUENCE(1,LEN(BI6))+1,1)))"),"oxoxxoxxxoox")</f>
        <v>oxoxxoxxxoox</v>
      </c>
      <c r="BL6" s="256" t="str">
        <f>IFERROR(__xludf.DUMMYFUNCTION("LEFT(CONCATENATE(""x"",JOIN("""",ArrayFormula(MID(BI6,LEN(BI6)-SEQUENCE(1,LEN(BI6))+1,1)))),12)"),"xoxoxxoxxxoo")</f>
        <v>xoxoxxoxxxoo</v>
      </c>
      <c r="BM6" s="327" t="str">
        <f>IFERROR(__xludf.DUMMYFUNCTION("JOIN("""",BK6,BK6)"),"oxoxxoxxxooxoxoxxoxxxoox")</f>
        <v>oxoxxoxxxooxoxoxxoxxxoox</v>
      </c>
      <c r="BN6" s="239" t="str">
        <f>IFERROR(__xludf.DUMMYFUNCTION("IF(REGEXMATCH(BM6,BI6),""✔"",""-"")"),"-")</f>
        <v>-</v>
      </c>
      <c r="BO6" s="330" t="str">
        <f t="shared" si="27"/>
        <v>-</v>
      </c>
      <c r="BP6" s="260" t="str">
        <f t="shared" si="28"/>
        <v>-</v>
      </c>
      <c r="BQ6" s="261" t="str">
        <f>IFERROR(__xludf.DUMMYFUNCTION("IF(BT6=0,""(n/a)"",IF(BU6=2,""(PAIR)"",IF(REGEXMATCH(BJ6,""xoxoxxoxoxox""),""Bilawal"",IF(REGEXMATCH(BJ6,""xoxoxooxoxoo""),""Bhupali"",IF(REGEXMATCH(BJ6,""xoxoxxoxxoxo""),""Charukeshi"",IF(REGEXMATCH(BJ6,""xoxoooxxoxxo""),""Kameshwari"",IF(REGEXMATCH(BJ6,"&amp;"""xoxoxooxoxox""),""Shankara"",IF(REGEXMATCH(BJ6,""xxooxoxxxoox""),""Basant"",IF(REGEXMATCH(BJ6,""xoxoxxxxoxox""),""Bihag"",IF(REGEXMATCH(BJ6,""xoxxxxoxoxxx""),""Pilu"",IF(REGEXMATCH(BJ6,""xoxxoxoxxoox""),""Kirwani"",IF(REGEXMATCH(BJ6,""xoxxoxoxoxxx""),"""&amp;"Mk.Malhar"",IF(REGEXMATCH(BJ6,""xxooxxoxxoox""),""Bhairav"",IF(REGEXMATCH(BJ6,""xxoxooxxxoox""),""Todi"",IF(REGEXMATCH(BJ6,""xxooxoxooxox""),""Marwa"",IF(REGEXMATCH(BJ6,""xxoooxoxxooo""),""Gunkali"",IF(REGEXMATCH(BJ6,""xoxoxxoxxoox""),""Nat Bhairav"",IF(R"&amp;"EGEXMATCH(BJ6,""xoxxoooxoxoo""),""Shivranjani"",IF(REGEXMATCH(BJ6,""xooxxxoxooxo""),""Jog"",IF(REGEXMATCH(BJ6,""xxooxoxoxoox""),""Hemshri"",IF(REGEXMATCH(BJ6,""xoooxooxoxxo""),""Kalavati"",IF(REGEXMATCH(BJ6,""xxoxoxxoxoox""),""Kedar"",IF(REGEXMATCH(BJ6,"""&amp;"xoxxxxoxooxx""),""Gara"",IF(REGEXMATCH(BJ6,""xooxoxooxoox""),""Chandrakauns"",IF(REGEXMATCH(BJ6,""xoxxxxoxxxox""),""Mand"",IF(REGEXMATCH(BJ6,""xoxxxxoxoxox""),""Hanskinkini"",IF(REGEXMATCH(BJ6,""xxooxxoxooxo""),""Lilavati"",IF(REGEXMATCH(BJ6,""xooxoxoooxo"&amp;"x""),""Rajeshwari"",IF(REGEXMATCH(BJ6,""xoooxxoxoxxx""),""Khokar"",IF(REGEXMATCH(BJ6,""xxooxoxxxxox""),""Maligoura"",""-""))))))))))))))))))))))))))))))"),"(n/a)")</f>
        <v>(n/a)</v>
      </c>
      <c r="BR6" s="239">
        <f t="shared" si="29"/>
        <v>6</v>
      </c>
      <c r="BS6" s="239">
        <f>IFERROR(__xludf.DUMMYFUNCTION("COUNTUNIQUE(BW6:CG6)-1"),6.0)</f>
        <v>6</v>
      </c>
      <c r="BT6" s="239">
        <f>IFERROR(__xludf.DUMMYFUNCTION("COUNTUNIQUE(FILTER(BJ:BJ,REGEXMATCH(BJ:BJ,BI6)))-1"),0.0)</f>
        <v>0</v>
      </c>
      <c r="BU6" s="239">
        <f>IFERROR(__xludf.DUMMYFUNCTION("COUNTA(FILTER(BJ:BJ,REGEXMATCH(BJ:BJ,BI6)))"),1.0)</f>
        <v>1</v>
      </c>
      <c r="BV6" s="341">
        <f>IFERROR(__xludf.DUMMYFUNCTION("COUNTA(FILTER(BJ:BJ,REGEXMATCH(BJ:BJ,BI6)))-AU6"),1.0)</f>
        <v>1</v>
      </c>
      <c r="BW6" s="269" t="str">
        <f t="shared" si="30"/>
        <v>-</v>
      </c>
      <c r="BX6" s="269" t="str">
        <f t="shared" si="31"/>
        <v>-</v>
      </c>
      <c r="BY6" s="271" t="str">
        <f t="shared" si="32"/>
        <v>xxxoxxoxoxo</v>
      </c>
      <c r="BZ6" s="269" t="str">
        <f t="shared" si="33"/>
        <v>xxoxxoxoxoo</v>
      </c>
      <c r="CA6" s="271" t="str">
        <f t="shared" si="34"/>
        <v>xoxxoxoxoox</v>
      </c>
      <c r="CB6" s="271" t="str">
        <f t="shared" si="35"/>
        <v>-</v>
      </c>
      <c r="CC6" s="271" t="str">
        <f t="shared" si="36"/>
        <v>xxoxoxooxxx</v>
      </c>
      <c r="CD6" s="271" t="str">
        <f t="shared" si="37"/>
        <v>xoxoxooxxxo</v>
      </c>
      <c r="CE6" s="271" t="str">
        <f t="shared" si="38"/>
        <v>-</v>
      </c>
      <c r="CF6" s="271" t="str">
        <f t="shared" si="39"/>
        <v>xoxooxxxoxx</v>
      </c>
      <c r="CG6" s="274" t="str">
        <f t="shared" si="40"/>
        <v>-</v>
      </c>
      <c r="CH6" s="276" t="str">
        <f>IFERROR(__xludf.DUMMYFUNCTION("IF(BI6=""oooooooooooo"",""-"",IF(REGEXMATCH(BJ6,""xx""), ""Hemi."", ""Anhemi.""))"),"Hemi.")</f>
        <v>Hemi.</v>
      </c>
      <c r="CI6" s="282" t="str">
        <f>IFERROR(__xludf.DUMMYFUNCTION("IF(BI6=""oooooooooooo"",""-"",IF(REGEXMATCH(BJ6,""xxx""), ""Cohem."", ""-""))"),"Cohem.")</f>
        <v>Cohem.</v>
      </c>
      <c r="CJ6" s="282" t="str">
        <f>IFERROR(__xludf.DUMMYFUNCTION("IF(BI6=""oooooooooooo"",""-"",IF(REGEXMATCH(BJ6,""xxxx""), ""Co-Co."", ""-""))"),"-")</f>
        <v>-</v>
      </c>
      <c r="CK6" s="342" t="str">
        <f>IFERROR(__xludf.DUMMYFUNCTION("IF(BI6=""oooooooooooo"",""-"",IF(REGEXMATCH(BJ6,""xxxxx""), ""CCC."", ""-""))"),"-")</f>
        <v>-</v>
      </c>
      <c r="CL6" s="344" t="str">
        <f t="shared" si="41"/>
        <v>-</v>
      </c>
      <c r="CM6" s="282" t="str">
        <f>IFERROR(__xludf.DUMMYFUNCTION("IF(REGEXMATCH(JOIN(""-"",CO6:CX6),""TRUE""),""✔"",""-"")"),"-")</f>
        <v>-</v>
      </c>
      <c r="CN6" s="225">
        <f t="shared" si="42"/>
        <v>0</v>
      </c>
      <c r="CO6" s="376" t="b">
        <f>IFERROR(__xludf.DUMMYFUNCTION("arrayformula(sum(--REGEXMATCH(""SRGMPDNS"",split(REGEXREPLACE(N6,""(.)"",""$1~""),""~""))))=len(N6)
"),FALSE)</f>
        <v>0</v>
      </c>
      <c r="CP6" s="290" t="b">
        <f>IFERROR(__xludf.DUMMYFUNCTION("arrayformula(sum(--REGEXMATCH(""SRGmPDNS"",split(REGEXREPLACE(N6,""(.)"",""$1~""),""~""))))=len(N6)"),FALSE)</f>
        <v>0</v>
      </c>
      <c r="CQ6" s="290" t="b">
        <f>IFERROR(__xludf.DUMMYFUNCTION("arrayformula(sum(--REGEXMATCH(""SRGmPDnS"",split(REGEXREPLACE(N6,""(.)"",""$1~""),""~""))))=len(N6)"),FALSE)</f>
        <v>0</v>
      </c>
      <c r="CR6" s="290" t="b">
        <f>IFERROR(__xludf.DUMMYFUNCTION("arrayformula(sum(--REGEXMATCH(""SRgmPDnS"",split(REGEXREPLACE(N6,""(.)"",""$1~""),""~""))))=len(N6)"),FALSE)</f>
        <v>0</v>
      </c>
      <c r="CS6" s="290" t="b">
        <f>IFERROR(__xludf.DUMMYFUNCTION("arrayformula(sum(--REGEXMATCH(""SRgmPdnS"",split(REGEXREPLACE(N6,""(.)"",""$1~""),""~""))))=len(N6)"),FALSE)</f>
        <v>0</v>
      </c>
      <c r="CT6" s="290" t="b">
        <f>IFERROR(__xludf.DUMMYFUNCTION("arrayformula(sum(--REGEXMATCH(""SrgmPdnS"",split(REGEXREPLACE(N6,""(.)"",""$1~""),""~""))))=len(N6)"),FALSE)</f>
        <v>0</v>
      </c>
      <c r="CU6" s="290" t="b">
        <f>IFERROR(__xludf.DUMMYFUNCTION("arrayformula(sum(--REGEXMATCH(""SrGmPdNS"",split(REGEXREPLACE(N6,""(.)"",""$1~""),""~""))))=len(N6)"),FALSE)</f>
        <v>0</v>
      </c>
      <c r="CV6" s="290" t="b">
        <f>IFERROR(__xludf.DUMMYFUNCTION("arrayformula(sum(--REGEXMATCH(""SrGMPDNS"",split(REGEXREPLACE(N6,""(.)"",""$1~""),""~""))))=len(N6)"),FALSE)</f>
        <v>0</v>
      </c>
      <c r="CW6" s="290" t="b">
        <f>IFERROR(__xludf.DUMMYFUNCTION("arrayformula(sum(--REGEXMATCH(""SrGMPdNS"",split(REGEXREPLACE(N6,""(.)"",""$1~""),""~""))))=len(N6)"),FALSE)</f>
        <v>0</v>
      </c>
      <c r="CX6" s="293" t="b">
        <f>IFERROR(__xludf.DUMMYFUNCTION("arrayformula(sum(--REGEXMATCH(""SrgMPdNS"",split(REGEXREPLACE(N6,""(.)"",""$1~""),""~""))))=len(N6)"),FALSE)</f>
        <v>0</v>
      </c>
      <c r="CY6" s="244" t="str">
        <f>IFERROR(__xludf.DUMMYFUNCTION("IF(REGEXMATCH(N6, ""S""), ""1"","""")"),"1")</f>
        <v>1</v>
      </c>
      <c r="CZ6" s="245" t="str">
        <f>IFERROR(__xludf.DUMMYFUNCTION("IF(REGEXMATCH(N6, ""r""), ""b2"","""")"),"")</f>
        <v/>
      </c>
      <c r="DA6" s="246" t="str">
        <f>IFERROR(__xludf.DUMMYFUNCTION("IF(REGEXMATCH(N6, ""R""), ""2"","""")"),"")</f>
        <v/>
      </c>
      <c r="DB6" s="246" t="str">
        <f>IFERROR(__xludf.DUMMYFUNCTION("IF(REGEXMATCH(N6, ""g""), ""b3"","""")"),"b3")</f>
        <v>b3</v>
      </c>
      <c r="DC6" s="245" t="str">
        <f>IFERROR(__xludf.DUMMYFUNCTION("IF(REGEXMATCH(N6, ""G""), ""3"","""")"),"3")</f>
        <v>3</v>
      </c>
      <c r="DD6" s="245" t="str">
        <f>IFERROR(__xludf.DUMMYFUNCTION("IF(REGEXMATCH(N6, ""m""), ""4"","""")"),"4")</f>
        <v>4</v>
      </c>
      <c r="DE6" s="246" t="str">
        <f>IFERROR(__xludf.DUMMYFUNCTION("IF(REGEXMATCH(N6, ""M""), ""#4"","""")"),"")</f>
        <v/>
      </c>
      <c r="DF6" s="245" t="str">
        <f>IFERROR(__xludf.DUMMYFUNCTION("IF(REGEXMATCH(N6, ""P""), ""5"","""")"),"5")</f>
        <v>5</v>
      </c>
      <c r="DG6" s="246" t="str">
        <f>IFERROR(__xludf.DUMMYFUNCTION("IF(REGEXMATCH(N6, ""d""), ""b6"","""")"),"b6")</f>
        <v>b6</v>
      </c>
      <c r="DH6" s="245" t="str">
        <f>IFERROR(__xludf.DUMMYFUNCTION("IF(REGEXMATCH(N6, ""D""), ""6"","""")"),"")</f>
        <v/>
      </c>
      <c r="DI6" s="245" t="str">
        <f>IFERROR(__xludf.DUMMYFUNCTION("IF(REGEXMATCH(N6, ""n""), ""b7"","""")"),"b7")</f>
        <v>b7</v>
      </c>
      <c r="DJ6" s="246" t="str">
        <f>IFERROR(__xludf.DUMMYFUNCTION("IF(REGEXMATCH(N6, ""N""), ""7"","""")"),"")</f>
        <v/>
      </c>
      <c r="DK6" s="249" t="str">
        <f>IFERROR(__xludf.DUMMYFUNCTION("IF(REGEXMATCH(N6, ""S""), ""8"","""")"),"8")</f>
        <v>8</v>
      </c>
      <c r="DL6" s="244" t="str">
        <f>IFERROR(__xludf.DUMMYFUNCTION("IF(REGEXMATCH(N6, ""S""), ""S"","""")"),"S")</f>
        <v>S</v>
      </c>
      <c r="DM6" s="294" t="str">
        <f>IFERROR(__xludf.DUMMYFUNCTION("IF(REGEXMATCH(N6, ""r""), ""R1"","""")"),"")</f>
        <v/>
      </c>
      <c r="DN6" s="295" t="str">
        <f>IFERROR(__xludf.DUMMYFUNCTION("IF(REGEXMATCH(N6, ""R""), ""R2"","""")"),"")</f>
        <v/>
      </c>
      <c r="DO6" s="295" t="str">
        <f>IFERROR(__xludf.DUMMYFUNCTION("IF(REGEXMATCH(N6, ""g""), ""G2"","""")"),"G2")</f>
        <v>G2</v>
      </c>
      <c r="DP6" s="294" t="str">
        <f>IFERROR(__xludf.DUMMYFUNCTION("IF(REGEXMATCH(N6, ""G""), ""G3"","""")"),"G3")</f>
        <v>G3</v>
      </c>
      <c r="DQ6" s="294" t="str">
        <f>IFERROR(__xludf.DUMMYFUNCTION("IF(REGEXMATCH(N6, ""m""), ""M1"","""")"),"M1")</f>
        <v>M1</v>
      </c>
      <c r="DR6" s="295" t="str">
        <f>IFERROR(__xludf.DUMMYFUNCTION("IF(REGEXMATCH(N6, ""M""), ""M2"","""")"),"")</f>
        <v/>
      </c>
      <c r="DS6" s="294" t="str">
        <f>IFERROR(__xludf.DUMMYFUNCTION("IF(REGEXMATCH(N6, ""P""), ""P"","""")"),"P")</f>
        <v>P</v>
      </c>
      <c r="DT6" s="295" t="str">
        <f>IFERROR(__xludf.DUMMYFUNCTION("IF(REGEXMATCH(N6, ""d""), ""D1"","""")"),"D1")</f>
        <v>D1</v>
      </c>
      <c r="DU6" s="294" t="str">
        <f>IFERROR(__xludf.DUMMYFUNCTION("IF(REGEXMATCH(N6, ""D""), ""D2"","""")"),"")</f>
        <v/>
      </c>
      <c r="DV6" s="294" t="str">
        <f>IFERROR(__xludf.DUMMYFUNCTION("IF(REGEXMATCH(N6, ""n""), ""N2"","""")"),"N2")</f>
        <v>N2</v>
      </c>
      <c r="DW6" s="295" t="str">
        <f>IFERROR(__xludf.DUMMYFUNCTION("IF(REGEXMATCH(N6, ""N""), ""N3"","""")"),"")</f>
        <v/>
      </c>
      <c r="DX6" s="249" t="str">
        <f>IFERROR(__xludf.DUMMYFUNCTION("IF(REGEXMATCH(N6, ""S""), ""S"","""")"),"S")</f>
        <v>S</v>
      </c>
      <c r="DY6" s="299" t="str">
        <f>IFERROR(__xludf.DUMMYFUNCTION("SUBSTITUTE(SUBSTITUTE(SUBSTITUTE(SUBSTITUTE(CONCATENATE(JOIN(""-"",CY6:DK6)),""--"",""-""),""--"",""-""),""--"",""-""),""--"",""-"")"),"1-b3-3-4-5-b6-b7-8")</f>
        <v>1-b3-3-4-5-b6-b7-8</v>
      </c>
      <c r="DZ6" s="299" t="str">
        <f>IFERROR(__xludf.DUMMYFUNCTION("SUBSTITUTE(SUBSTITUTE(SUBSTITUTE(SUBSTITUTE(CONCATENATE(JOIN(""-"",DL6:DX6)),""--"",""-""),""--"",""-""),""--"",""-""),""--"",""-"")"),"S-G2-G3-M1-P-D1-N2-S")</f>
        <v>S-G2-G3-M1-P-D1-N2-S</v>
      </c>
      <c r="EA6" s="348" t="str">
        <f t="shared" si="43"/>
        <v>C-Eb-E-F-G-Ab-Bb-C</v>
      </c>
      <c r="EB6" s="301">
        <f t="shared" si="44"/>
        <v>7</v>
      </c>
      <c r="EC6" s="302" t="str">
        <f t="shared" si="45"/>
        <v>Shadav</v>
      </c>
      <c r="ED6" s="301" t="str">
        <f t="shared" ref="ED6:EE6" si="172">SUBSTITUTE(AD6,"-","")</f>
        <v>SGM</v>
      </c>
      <c r="EE6" s="301" t="str">
        <f t="shared" si="172"/>
        <v>PDNS</v>
      </c>
      <c r="EF6" s="302" t="str">
        <f t="shared" si="47"/>
        <v>(n/a)</v>
      </c>
      <c r="EG6" s="301" t="str">
        <f t="shared" si="48"/>
        <v>Hemi.</v>
      </c>
      <c r="EH6" s="364" t="str">
        <f t="shared" si="49"/>
        <v>Cohem.</v>
      </c>
      <c r="EI6" s="306" t="str">
        <f t="shared" si="50"/>
        <v>-</v>
      </c>
      <c r="EJ6" s="366" t="str">
        <f t="shared" si="51"/>
        <v>-</v>
      </c>
      <c r="EK6" s="308" t="str">
        <f t="shared" si="52"/>
        <v>✔</v>
      </c>
      <c r="EL6" s="306" t="str">
        <f t="shared" si="53"/>
        <v>-</v>
      </c>
      <c r="EM6" s="306" t="str">
        <f t="shared" si="54"/>
        <v>-</v>
      </c>
      <c r="EN6" s="367" t="str">
        <f t="shared" si="55"/>
        <v>-</v>
      </c>
      <c r="EO6" s="310" t="str">
        <f t="shared" si="56"/>
        <v>-</v>
      </c>
      <c r="EP6" s="310" t="str">
        <f t="shared" si="57"/>
        <v>✔</v>
      </c>
      <c r="EQ6" s="310" t="str">
        <f t="shared" si="58"/>
        <v>-</v>
      </c>
      <c r="ER6" s="310" t="str">
        <f t="shared" si="59"/>
        <v>-</v>
      </c>
      <c r="ES6" s="370" t="str">
        <f t="shared" si="60"/>
        <v>-</v>
      </c>
      <c r="ET6" s="306" t="str">
        <f t="shared" si="61"/>
        <v>✔</v>
      </c>
      <c r="EU6" s="306" t="str">
        <f t="shared" si="62"/>
        <v>-</v>
      </c>
      <c r="EV6" s="306" t="str">
        <f t="shared" si="63"/>
        <v>-</v>
      </c>
      <c r="EW6" s="306" t="str">
        <f t="shared" si="64"/>
        <v>-</v>
      </c>
      <c r="EX6" s="306" t="str">
        <f t="shared" si="65"/>
        <v>-</v>
      </c>
      <c r="EY6" s="367" t="str">
        <f t="shared" si="66"/>
        <v>-</v>
      </c>
      <c r="EZ6" s="310" t="str">
        <f>IFERROR(__xludf.DUMMYFUNCTION("IF(REGEXMATCH(BM6,BI6),""✔"",""-"")"),"-")</f>
        <v>-</v>
      </c>
      <c r="FA6" s="310" t="str">
        <f t="shared" si="67"/>
        <v>-</v>
      </c>
      <c r="FB6" s="370" t="str">
        <f t="shared" si="68"/>
        <v>-</v>
      </c>
      <c r="FC6" s="315" t="str">
        <f t="shared" si="69"/>
        <v>[UQ]</v>
      </c>
      <c r="FD6" s="317" t="str">
        <f t="shared" si="70"/>
        <v>S-gG-m-P-d-n-S</v>
      </c>
      <c r="FE6" s="318" t="str">
        <f>IFERROR(__xludf.DUMMYFUNCTION("CONCATENATE(JOIN("""",GJ6:GV6))"),"SRGmPdDS")</f>
        <v>SRGmPdDS</v>
      </c>
      <c r="FF6" s="318"/>
      <c r="FG6" s="318"/>
      <c r="FH6" s="321">
        <f t="shared" si="71"/>
        <v>2</v>
      </c>
      <c r="FI6" s="318" t="str">
        <f>IFERROR(__xludf.DUMMYFUNCTION("CONCATENATE(JOIN("""",HW6:II6))"),"Ga, Pa, ")</f>
        <v>Ga, Pa, </v>
      </c>
      <c r="FJ6" s="322">
        <f t="shared" si="72"/>
        <v>1</v>
      </c>
      <c r="FK6" s="324" t="str">
        <f>IFERROR(__xludf.DUMMYFUNCTION("CONCATENATE(JOIN("""",IW6:JI6))"),"Ga, ")</f>
        <v>Ga, </v>
      </c>
      <c r="FL6" s="325" t="str">
        <f t="shared" si="73"/>
        <v>S-G2-G3-M1-P-D1-N2-S</v>
      </c>
      <c r="FM6" s="326" t="str">
        <f t="shared" si="74"/>
        <v>1-b3-3-4-5-b6-b7-8</v>
      </c>
      <c r="FN6" s="326" t="str">
        <f t="shared" si="75"/>
        <v>0-3-4-5-7-8-10-0</v>
      </c>
      <c r="FO6" s="318"/>
      <c r="FP6" s="328" t="str">
        <f>IFERROR(__xludf.DUMMYFUNCTION("SUBSTITUTE(SUBSTITUTE(SUBSTITUTE(SUBSTITUTE(CONCATENATE(JOIN("" "",FS6:GE6)),""  "","" ""),""  "","" ""),""  "","" ""),""  "","" "")"),"o • • o o o • o o • o • o")</f>
        <v>o • • o o o • o o • o • o</v>
      </c>
      <c r="FQ6" s="328" t="str">
        <f t="shared" si="76"/>
        <v>-</v>
      </c>
      <c r="FR6" s="329"/>
      <c r="FS6" s="331" t="str">
        <f t="shared" si="77"/>
        <v>o</v>
      </c>
      <c r="FT6" s="332" t="str">
        <f t="shared" si="78"/>
        <v>•</v>
      </c>
      <c r="FU6" s="332" t="str">
        <f t="shared" si="79"/>
        <v>•</v>
      </c>
      <c r="FV6" s="332" t="str">
        <f t="shared" si="80"/>
        <v>o</v>
      </c>
      <c r="FW6" s="332" t="str">
        <f t="shared" si="81"/>
        <v>o</v>
      </c>
      <c r="FX6" s="332" t="str">
        <f t="shared" si="82"/>
        <v>o</v>
      </c>
      <c r="FY6" s="332" t="str">
        <f t="shared" si="83"/>
        <v>•</v>
      </c>
      <c r="FZ6" s="332" t="str">
        <f t="shared" si="84"/>
        <v>o</v>
      </c>
      <c r="GA6" s="332" t="str">
        <f t="shared" si="85"/>
        <v>o</v>
      </c>
      <c r="GB6" s="332" t="str">
        <f t="shared" si="86"/>
        <v>•</v>
      </c>
      <c r="GC6" s="332" t="str">
        <f t="shared" si="87"/>
        <v>o</v>
      </c>
      <c r="GD6" s="332" t="str">
        <f t="shared" si="88"/>
        <v>•</v>
      </c>
      <c r="GE6" s="338" t="str">
        <f t="shared" si="89"/>
        <v>o</v>
      </c>
      <c r="GF6" s="339" t="str">
        <f t="shared" si="90"/>
        <v>-</v>
      </c>
      <c r="GG6" s="339" t="str">
        <f t="shared" si="91"/>
        <v>Sa-Pa</v>
      </c>
      <c r="GH6" s="339" t="str">
        <f t="shared" si="92"/>
        <v>-</v>
      </c>
      <c r="GI6" s="340" t="str">
        <f t="shared" si="93"/>
        <v>-</v>
      </c>
      <c r="GJ6" s="331" t="str">
        <f t="shared" si="94"/>
        <v>S</v>
      </c>
      <c r="GK6" s="332" t="str">
        <f t="shared" si="95"/>
        <v/>
      </c>
      <c r="GL6" s="332" t="str">
        <f t="shared" si="96"/>
        <v>R</v>
      </c>
      <c r="GM6" s="332" t="str">
        <f t="shared" si="97"/>
        <v/>
      </c>
      <c r="GN6" s="332" t="str">
        <f t="shared" si="98"/>
        <v>G</v>
      </c>
      <c r="GO6" s="332" t="str">
        <f t="shared" si="99"/>
        <v>m</v>
      </c>
      <c r="GP6" s="332" t="str">
        <f t="shared" si="100"/>
        <v/>
      </c>
      <c r="GQ6" s="332" t="str">
        <f t="shared" si="101"/>
        <v>P</v>
      </c>
      <c r="GR6" s="332" t="str">
        <f t="shared" si="102"/>
        <v>d</v>
      </c>
      <c r="GS6" s="332" t="str">
        <f t="shared" si="103"/>
        <v>D</v>
      </c>
      <c r="GT6" s="332" t="str">
        <f t="shared" si="104"/>
        <v/>
      </c>
      <c r="GU6" s="332" t="str">
        <f t="shared" si="105"/>
        <v/>
      </c>
      <c r="GV6" s="343" t="str">
        <f t="shared" si="106"/>
        <v>S</v>
      </c>
      <c r="GW6" s="331" t="str">
        <f t="shared" si="107"/>
        <v>•</v>
      </c>
      <c r="GX6" s="332" t="str">
        <f t="shared" si="108"/>
        <v>o</v>
      </c>
      <c r="GY6" s="332" t="str">
        <f t="shared" si="109"/>
        <v>o</v>
      </c>
      <c r="GZ6" s="332" t="str">
        <f t="shared" si="110"/>
        <v>•</v>
      </c>
      <c r="HA6" s="332" t="str">
        <f t="shared" si="111"/>
        <v>•</v>
      </c>
      <c r="HB6" s="332" t="str">
        <f t="shared" si="112"/>
        <v>•</v>
      </c>
      <c r="HC6" s="332" t="str">
        <f t="shared" si="113"/>
        <v>o</v>
      </c>
      <c r="HD6" s="332" t="str">
        <f t="shared" si="114"/>
        <v>•</v>
      </c>
      <c r="HE6" s="332" t="str">
        <f t="shared" si="115"/>
        <v>•</v>
      </c>
      <c r="HF6" s="332" t="str">
        <f t="shared" si="116"/>
        <v>o</v>
      </c>
      <c r="HG6" s="332" t="str">
        <f t="shared" si="117"/>
        <v>•</v>
      </c>
      <c r="HH6" s="332" t="str">
        <f t="shared" si="118"/>
        <v>o</v>
      </c>
      <c r="HI6" s="338" t="str">
        <f t="shared" si="119"/>
        <v>•</v>
      </c>
      <c r="HJ6" s="346" t="b">
        <f t="shared" si="120"/>
        <v>0</v>
      </c>
      <c r="HK6" s="347" t="b">
        <f t="shared" si="121"/>
        <v>0</v>
      </c>
      <c r="HL6" s="347" t="b">
        <f t="shared" si="122"/>
        <v>0</v>
      </c>
      <c r="HM6" s="347" t="b">
        <f t="shared" si="123"/>
        <v>0</v>
      </c>
      <c r="HN6" s="347" t="b">
        <f t="shared" si="124"/>
        <v>1</v>
      </c>
      <c r="HO6" s="347" t="b">
        <f t="shared" si="125"/>
        <v>0</v>
      </c>
      <c r="HP6" s="347" t="b">
        <f t="shared" si="126"/>
        <v>0</v>
      </c>
      <c r="HQ6" s="347" t="b">
        <f t="shared" si="127"/>
        <v>1</v>
      </c>
      <c r="HR6" s="347" t="b">
        <f t="shared" si="128"/>
        <v>0</v>
      </c>
      <c r="HS6" s="347" t="b">
        <f t="shared" si="129"/>
        <v>0</v>
      </c>
      <c r="HT6" s="347" t="b">
        <f t="shared" si="130"/>
        <v>0</v>
      </c>
      <c r="HU6" s="347" t="b">
        <f t="shared" si="131"/>
        <v>0</v>
      </c>
      <c r="HV6" s="353" t="b">
        <f t="shared" si="132"/>
        <v>0</v>
      </c>
      <c r="HW6" s="354" t="str">
        <f t="shared" si="133"/>
        <v/>
      </c>
      <c r="HX6" s="355" t="str">
        <f t="shared" si="134"/>
        <v/>
      </c>
      <c r="HY6" s="355" t="str">
        <f t="shared" si="135"/>
        <v/>
      </c>
      <c r="HZ6" s="355" t="str">
        <f t="shared" si="136"/>
        <v/>
      </c>
      <c r="IA6" s="355" t="str">
        <f t="shared" si="137"/>
        <v>Ga, </v>
      </c>
      <c r="IB6" s="355" t="str">
        <f t="shared" si="138"/>
        <v/>
      </c>
      <c r="IC6" s="355" t="str">
        <f t="shared" si="139"/>
        <v/>
      </c>
      <c r="ID6" s="355" t="str">
        <f t="shared" si="140"/>
        <v>Pa, </v>
      </c>
      <c r="IE6" s="355" t="str">
        <f t="shared" si="141"/>
        <v/>
      </c>
      <c r="IF6" s="355" t="str">
        <f t="shared" si="142"/>
        <v/>
      </c>
      <c r="IG6" s="355" t="str">
        <f t="shared" si="143"/>
        <v/>
      </c>
      <c r="IH6" s="355" t="str">
        <f t="shared" si="144"/>
        <v/>
      </c>
      <c r="II6" s="359" t="str">
        <f t="shared" si="145"/>
        <v/>
      </c>
      <c r="IJ6" s="346" t="b">
        <f t="shared" si="146"/>
        <v>0</v>
      </c>
      <c r="IK6" s="347" t="b">
        <f t="shared" si="147"/>
        <v>0</v>
      </c>
      <c r="IL6" s="347" t="b">
        <f t="shared" si="148"/>
        <v>0</v>
      </c>
      <c r="IM6" s="347" t="b">
        <f t="shared" si="149"/>
        <v>0</v>
      </c>
      <c r="IN6" s="347" t="b">
        <f t="shared" si="150"/>
        <v>1</v>
      </c>
      <c r="IO6" s="347" t="b">
        <f t="shared" si="151"/>
        <v>0</v>
      </c>
      <c r="IP6" s="347" t="b">
        <f t="shared" si="152"/>
        <v>0</v>
      </c>
      <c r="IQ6" s="347" t="b">
        <f t="shared" si="153"/>
        <v>0</v>
      </c>
      <c r="IR6" s="347" t="b">
        <f t="shared" si="154"/>
        <v>0</v>
      </c>
      <c r="IS6" s="347" t="b">
        <f t="shared" si="155"/>
        <v>0</v>
      </c>
      <c r="IT6" s="347" t="b">
        <f t="shared" si="156"/>
        <v>0</v>
      </c>
      <c r="IU6" s="347" t="b">
        <f t="shared" si="157"/>
        <v>0</v>
      </c>
      <c r="IV6" s="365" t="b">
        <f t="shared" si="158"/>
        <v>0</v>
      </c>
      <c r="IW6" s="354" t="str">
        <f t="shared" si="159"/>
        <v/>
      </c>
      <c r="IX6" s="355" t="str">
        <f t="shared" si="160"/>
        <v/>
      </c>
      <c r="IY6" s="355" t="str">
        <f t="shared" si="161"/>
        <v/>
      </c>
      <c r="IZ6" s="355" t="str">
        <f t="shared" si="162"/>
        <v/>
      </c>
      <c r="JA6" s="355" t="str">
        <f t="shared" si="163"/>
        <v>Ga, </v>
      </c>
      <c r="JB6" s="355" t="str">
        <f t="shared" si="164"/>
        <v/>
      </c>
      <c r="JC6" s="355" t="str">
        <f t="shared" si="165"/>
        <v/>
      </c>
      <c r="JD6" s="355" t="str">
        <f t="shared" si="166"/>
        <v/>
      </c>
      <c r="JE6" s="355" t="str">
        <f t="shared" si="167"/>
        <v/>
      </c>
      <c r="JF6" s="355" t="str">
        <f t="shared" si="168"/>
        <v/>
      </c>
      <c r="JG6" s="355" t="str">
        <f t="shared" si="169"/>
        <v/>
      </c>
      <c r="JH6" s="355" t="str">
        <f t="shared" si="170"/>
        <v/>
      </c>
      <c r="JI6" s="359"/>
      <c r="JJ6" s="321"/>
      <c r="JK6" s="368"/>
      <c r="JL6" s="369"/>
      <c r="JM6" s="369"/>
      <c r="JN6" s="369"/>
      <c r="JO6" s="369"/>
      <c r="JP6" s="369"/>
      <c r="JQ6" s="369"/>
      <c r="JR6" s="369"/>
      <c r="JS6" s="369"/>
      <c r="JT6" s="369"/>
      <c r="JU6" s="369"/>
    </row>
    <row r="7" ht="20.25" customHeight="1">
      <c r="A7" s="221" t="s">
        <v>548</v>
      </c>
      <c r="B7" s="223" t="s">
        <v>405</v>
      </c>
      <c r="C7" s="222" t="s">
        <v>275</v>
      </c>
      <c r="D7" s="222"/>
      <c r="E7" s="222" t="s">
        <v>275</v>
      </c>
      <c r="F7" s="222"/>
      <c r="G7" s="395" t="s">
        <v>275</v>
      </c>
      <c r="H7" s="222">
        <v>5.0</v>
      </c>
      <c r="I7" s="224" t="s">
        <v>398</v>
      </c>
      <c r="J7" s="414">
        <f t="shared" si="5"/>
        <v>2</v>
      </c>
      <c r="K7" s="227">
        <f t="shared" si="6"/>
        <v>7</v>
      </c>
      <c r="L7" s="229">
        <f t="shared" si="7"/>
        <v>7</v>
      </c>
      <c r="M7" s="230">
        <f t="shared" si="8"/>
        <v>0</v>
      </c>
      <c r="N7" s="233" t="str">
        <f t="shared" si="9"/>
        <v>SRgmPdnS</v>
      </c>
      <c r="O7" s="234" t="str">
        <f>IFERROR(__xludf.DUMMYFUNCTION("IF(REGEXMATCH(N7, ""S""), ""S"","""")"),"S")</f>
        <v>S</v>
      </c>
      <c r="P7" s="236" t="str">
        <f>IFERROR(__xludf.DUMMYFUNCTION("IF(REGEXMATCH(N7, ""r""), ""r"","""")"),"")</f>
        <v/>
      </c>
      <c r="Q7" s="237" t="str">
        <f>IFERROR(__xludf.DUMMYFUNCTION("IF(REGEXMATCH(N7, ""R""), ""R"","""")"),"R")</f>
        <v>R</v>
      </c>
      <c r="R7" s="237" t="str">
        <f>IFERROR(__xludf.DUMMYFUNCTION("IF(REGEXMATCH(N7, ""g""), ""g"","""")"),"g")</f>
        <v>g</v>
      </c>
      <c r="S7" s="236" t="str">
        <f>IFERROR(__xludf.DUMMYFUNCTION("IF(REGEXMATCH(N7, ""G""), ""G"","""")"),"")</f>
        <v/>
      </c>
      <c r="T7" s="236" t="str">
        <f>IFERROR(__xludf.DUMMYFUNCTION("IF(REGEXMATCH(N7, ""m""), ""m"","""")"),"m")</f>
        <v>m</v>
      </c>
      <c r="U7" s="237" t="str">
        <f>IFERROR(__xludf.DUMMYFUNCTION("IF(REGEXMATCH(N7, ""M""), ""M"","""")"),"")</f>
        <v/>
      </c>
      <c r="V7" s="236" t="str">
        <f>IFERROR(__xludf.DUMMYFUNCTION("IF(REGEXMATCH(N7, ""P""), ""P"","""")"),"P")</f>
        <v>P</v>
      </c>
      <c r="W7" s="237" t="str">
        <f>IFERROR(__xludf.DUMMYFUNCTION("IF(REGEXMATCH(N7, ""d""), ""d"","""")"),"d")</f>
        <v>d</v>
      </c>
      <c r="X7" s="236" t="str">
        <f>IFERROR(__xludf.DUMMYFUNCTION("IF(REGEXMATCH(N7, ""D""), ""D"","""")"),"")</f>
        <v/>
      </c>
      <c r="Y7" s="236" t="str">
        <f>IFERROR(__xludf.DUMMYFUNCTION("IF(REGEXMATCH(N7, ""n""), ""n"","""")"),"n")</f>
        <v>n</v>
      </c>
      <c r="Z7" s="237" t="str">
        <f>IFERROR(__xludf.DUMMYFUNCTION("IF(REGEXMATCH(N7, ""N""), ""N"","""")"),"")</f>
        <v/>
      </c>
      <c r="AA7" s="238" t="str">
        <f>IFERROR(__xludf.DUMMYFUNCTION("IF(REGEXMATCH(N7, ""S""), ""S"","""")"),"S")</f>
        <v>S</v>
      </c>
      <c r="AB7" s="239" t="str">
        <f>IFERROR(__xludf.DUMMYFUNCTION("SUBSTITUTE(CONCATENATE(JOIN(""-"",O7:U7)),""-"","""")"),"SRgm")</f>
        <v>SRgm</v>
      </c>
      <c r="AC7" s="229" t="str">
        <f>IFERROR(__xludf.DUMMYFUNCTION("SUBSTITUTE(CONCATENATE(JOIN(""-"",V7:AA7)),""-"","""")"),"PdnS")</f>
        <v>PdnS</v>
      </c>
      <c r="AD7" s="282" t="str">
        <f t="shared" si="10"/>
        <v>S-R-G-M</v>
      </c>
      <c r="AE7" s="282" t="str">
        <f t="shared" si="11"/>
        <v>P-D-N-S</v>
      </c>
      <c r="AF7" s="309" t="str">
        <f t="shared" si="12"/>
        <v>Rgmdn</v>
      </c>
      <c r="AG7" s="244" t="str">
        <f>IFERROR(__xludf.DUMMYFUNCTION("IF(REGEXMATCH(N7, ""S""), ""0"","""")"),"0")</f>
        <v>0</v>
      </c>
      <c r="AH7" s="245" t="str">
        <f>IFERROR(__xludf.DUMMYFUNCTION("IF(REGEXMATCH(N7, ""r""), ""1"","""")"),"")</f>
        <v/>
      </c>
      <c r="AI7" s="246" t="str">
        <f>IFERROR(__xludf.DUMMYFUNCTION("IF(REGEXMATCH(N7, ""R""), ""2"","""")"),"2")</f>
        <v>2</v>
      </c>
      <c r="AJ7" s="246" t="str">
        <f>IFERROR(__xludf.DUMMYFUNCTION("IF(REGEXMATCH(N7, ""g""), ""3"","""")"),"3")</f>
        <v>3</v>
      </c>
      <c r="AK7" s="245" t="str">
        <f>IFERROR(__xludf.DUMMYFUNCTION("IF(REGEXMATCH(N7, ""G""), ""4"","""")"),"")</f>
        <v/>
      </c>
      <c r="AL7" s="245" t="str">
        <f>IFERROR(__xludf.DUMMYFUNCTION("IF(REGEXMATCH(N7, ""m""), ""5"","""")"),"5")</f>
        <v>5</v>
      </c>
      <c r="AM7" s="246" t="str">
        <f>IFERROR(__xludf.DUMMYFUNCTION("IF(REGEXMATCH(N7, ""M""), ""6"","""")"),"")</f>
        <v/>
      </c>
      <c r="AN7" s="245" t="str">
        <f>IFERROR(__xludf.DUMMYFUNCTION("IF(REGEXMATCH(N7, ""P""), ""7"","""")"),"7")</f>
        <v>7</v>
      </c>
      <c r="AO7" s="246" t="str">
        <f>IFERROR(__xludf.DUMMYFUNCTION("IF(REGEXMATCH(N7, ""d""), ""8"","""")"),"8")</f>
        <v>8</v>
      </c>
      <c r="AP7" s="245" t="str">
        <f>IFERROR(__xludf.DUMMYFUNCTION("IF(REGEXMATCH(N7, ""D""), ""9"","""")"),"")</f>
        <v/>
      </c>
      <c r="AQ7" s="245" t="str">
        <f>IFERROR(__xludf.DUMMYFUNCTION("IF(REGEXMATCH(N7, ""n""), ""10"","""")"),"10")</f>
        <v>10</v>
      </c>
      <c r="AR7" s="246" t="str">
        <f>IFERROR(__xludf.DUMMYFUNCTION("IF(REGEXMATCH(N7, ""N""), ""11"","""")"),"")</f>
        <v/>
      </c>
      <c r="AS7" s="249" t="str">
        <f>IFERROR(__xludf.DUMMYFUNCTION("IF(REGEXMATCH(N7, ""S""), ""0"","""")"),"0")</f>
        <v>0</v>
      </c>
      <c r="AT7" s="250" t="str">
        <f>IFERROR(__xludf.DUMMYFUNCTION("SUBSTITUTE(SUBSTITUTE(SUBSTITUTE(SUBSTITUTE(CONCATENATE(JOIN(""-"",AG7:AS7)),""--"",""-""),""--"",""-""),""--"",""-""),""--"",""-"")"),"0-2-3-5-7-8-10-0")</f>
        <v>0-2-3-5-7-8-10-0</v>
      </c>
      <c r="AU7" s="251">
        <f t="shared" si="13"/>
        <v>2</v>
      </c>
      <c r="AV7" s="234" t="str">
        <f t="shared" si="14"/>
        <v>|</v>
      </c>
      <c r="AW7" s="236" t="str">
        <f t="shared" si="15"/>
        <v>-</v>
      </c>
      <c r="AX7" s="237" t="str">
        <f t="shared" si="16"/>
        <v>|</v>
      </c>
      <c r="AY7" s="236" t="str">
        <f t="shared" si="17"/>
        <v>|</v>
      </c>
      <c r="AZ7" s="237" t="str">
        <f t="shared" si="18"/>
        <v>-</v>
      </c>
      <c r="BA7" s="236" t="str">
        <f t="shared" si="19"/>
        <v>|</v>
      </c>
      <c r="BB7" s="237" t="str">
        <f t="shared" si="20"/>
        <v>-</v>
      </c>
      <c r="BC7" s="236" t="str">
        <f t="shared" si="21"/>
        <v>|</v>
      </c>
      <c r="BD7" s="237" t="str">
        <f t="shared" si="22"/>
        <v>|</v>
      </c>
      <c r="BE7" s="236" t="str">
        <f t="shared" si="23"/>
        <v>-</v>
      </c>
      <c r="BF7" s="237" t="str">
        <f t="shared" si="24"/>
        <v>|</v>
      </c>
      <c r="BG7" s="236" t="str">
        <f t="shared" si="25"/>
        <v>-</v>
      </c>
      <c r="BH7" s="238" t="str">
        <f t="shared" si="26"/>
        <v>|</v>
      </c>
      <c r="BI7" s="250" t="str">
        <f>IFERROR(__xludf.DUMMYFUNCTION("SUBSTITUTE(SUBSTITUTE(CONCATENATE(JOIN("""",AV7:BG7)),""|"",""x""),""-"",""o"")"),"xoxxoxoxxoxo")</f>
        <v>xoxxoxoxxoxo</v>
      </c>
      <c r="BJ7" s="323" t="str">
        <f>IFERROR(__xludf.DUMMYFUNCTION("JOIN("""",BI7,BI7)"),"xoxxoxoxxoxoxoxxoxoxxoxo")</f>
        <v>xoxxoxoxxoxoxoxxoxoxxoxo</v>
      </c>
      <c r="BK7" s="256" t="str">
        <f>IFERROR(__xludf.DUMMYFUNCTION("JOIN("""",ArrayFormula(MID(BI7,LEN(BI7)-SEQUENCE(1,LEN(BI7))+1,1)))"),"oxoxxoxoxxox")</f>
        <v>oxoxxoxoxxox</v>
      </c>
      <c r="BL7" s="256" t="str">
        <f>IFERROR(__xludf.DUMMYFUNCTION("LEFT(CONCATENATE(""x"",JOIN("""",ArrayFormula(MID(BI7,LEN(BI7)-SEQUENCE(1,LEN(BI7))+1,1)))),12)"),"xoxoxxoxoxxo")</f>
        <v>xoxoxxoxoxxo</v>
      </c>
      <c r="BM7" s="327" t="str">
        <f>IFERROR(__xludf.DUMMYFUNCTION("JOIN("""",BK7,BK7)"),"oxoxxoxoxxoxoxoxxoxoxxox")</f>
        <v>oxoxxoxoxxoxoxoxxoxoxxox</v>
      </c>
      <c r="BN7" s="239" t="str">
        <f>IFERROR(__xludf.DUMMYFUNCTION("IF(REGEXMATCH(BM7,BI7),""✔"",""-"")"),"✔")</f>
        <v>✔</v>
      </c>
      <c r="BO7" s="330" t="str">
        <f t="shared" si="27"/>
        <v>-</v>
      </c>
      <c r="BP7" s="260" t="str">
        <f t="shared" si="28"/>
        <v>-</v>
      </c>
      <c r="BQ7" s="261" t="str">
        <f>IFERROR(__xludf.DUMMYFUNCTION("IF(BT7=0,""(n/a)"",IF(BU7=2,""(PAIR)"",IF(REGEXMATCH(BJ7,""xoxoxxoxoxox""),""Bilawal"",IF(REGEXMATCH(BJ7,""xoxoxooxoxoo""),""Bhupali"",IF(REGEXMATCH(BJ7,""xoxoxxoxxoxo""),""Charukeshi"",IF(REGEXMATCH(BJ7,""xoxoooxxoxxo""),""Kameshwari"",IF(REGEXMATCH(BJ7,"&amp;"""xoxoxooxoxox""),""Shankara"",IF(REGEXMATCH(BJ7,""xxooxoxxxoox""),""Basant"",IF(REGEXMATCH(BJ7,""xoxoxxxxoxox""),""Bihag"",IF(REGEXMATCH(BJ7,""xoxxxxoxoxxx""),""Pilu"",IF(REGEXMATCH(BJ7,""xoxxoxoxxoox""),""Kirwani"",IF(REGEXMATCH(BJ7,""xoxxoxoxoxxx""),"""&amp;"Mk.Malhar"",IF(REGEXMATCH(BJ7,""xxooxxoxxoox""),""Bhairav"",IF(REGEXMATCH(BJ7,""xxoxooxxxoox""),""Todi"",IF(REGEXMATCH(BJ7,""xxooxoxooxox""),""Marwa"",IF(REGEXMATCH(BJ7,""xxoooxoxxooo""),""Gunkali"",IF(REGEXMATCH(BJ7,""xoxoxxoxxoox""),""Nat Bhairav"",IF(R"&amp;"EGEXMATCH(BJ7,""xoxxoooxoxoo""),""Shivranjani"",IF(REGEXMATCH(BJ7,""xooxxxoxooxo""),""Jog"",IF(REGEXMATCH(BJ7,""xxooxoxoxoox""),""Hemshri"",IF(REGEXMATCH(BJ7,""xoooxooxoxxo""),""Kalavati"",IF(REGEXMATCH(BJ7,""xxoxoxxoxoox""),""Kedar"",IF(REGEXMATCH(BJ7,"""&amp;"xoxxxxoxooxx""),""Gara"",IF(REGEXMATCH(BJ7,""xooxoxooxoox""),""Chandrakauns"",IF(REGEXMATCH(BJ7,""xoxxxxoxxxox""),""Mand"",IF(REGEXMATCH(BJ7,""xoxxxxoxoxox""),""Hanskinkini"",IF(REGEXMATCH(BJ7,""xxooxxoxooxo""),""Lilavati"",IF(REGEXMATCH(BJ7,""xooxoxoooxo"&amp;"x""),""Rajeshwari"",IF(REGEXMATCH(BJ7,""xoooxxoxoxxx""),""Khokar"",IF(REGEXMATCH(BJ7,""xxooxoxxxxox""),""Maligoura"",""-""))))))))))))))))))))))))))))))"),"Bilawal")</f>
        <v>Bilawal</v>
      </c>
      <c r="BR7" s="239">
        <f t="shared" si="29"/>
        <v>6</v>
      </c>
      <c r="BS7" s="239">
        <f>IFERROR(__xludf.DUMMYFUNCTION("COUNTUNIQUE(BW7:CG7)-1"),6.0)</f>
        <v>6</v>
      </c>
      <c r="BT7" s="239">
        <f>IFERROR(__xludf.DUMMYFUNCTION("COUNTUNIQUE(FILTER(BJ:BJ,REGEXMATCH(BJ:BJ,BI7)))-1"),1.0)</f>
        <v>1</v>
      </c>
      <c r="BU7" s="239">
        <f>IFERROR(__xludf.DUMMYFUNCTION("COUNTA(FILTER(BJ:BJ,REGEXMATCH(BJ:BJ,BI7)))"),4.0)</f>
        <v>4</v>
      </c>
      <c r="BV7" s="341">
        <f>IFERROR(__xludf.DUMMYFUNCTION("COUNTA(FILTER(BJ:BJ,REGEXMATCH(BJ:BJ,BI7)))-AU7"),2.0)</f>
        <v>2</v>
      </c>
      <c r="BW7" s="269" t="str">
        <f t="shared" si="30"/>
        <v>-</v>
      </c>
      <c r="BX7" s="269" t="str">
        <f t="shared" si="31"/>
        <v>xxoxoxxoxox</v>
      </c>
      <c r="BY7" s="271" t="str">
        <f t="shared" si="32"/>
        <v>xoxoxxoxoxo</v>
      </c>
      <c r="BZ7" s="269" t="str">
        <f t="shared" si="33"/>
        <v>-</v>
      </c>
      <c r="CA7" s="271" t="str">
        <f t="shared" si="34"/>
        <v>xoxxoxoxoxx</v>
      </c>
      <c r="CB7" s="271" t="str">
        <f t="shared" si="35"/>
        <v>-</v>
      </c>
      <c r="CC7" s="271" t="str">
        <f t="shared" si="36"/>
        <v>xxoxoxoxxox</v>
      </c>
      <c r="CD7" s="271" t="str">
        <f t="shared" si="37"/>
        <v>xoxoxoxxoxo</v>
      </c>
      <c r="CE7" s="271" t="str">
        <f t="shared" si="38"/>
        <v>-</v>
      </c>
      <c r="CF7" s="271" t="str">
        <f t="shared" si="39"/>
        <v>xoxoxxoxoxx</v>
      </c>
      <c r="CG7" s="274" t="str">
        <f t="shared" si="40"/>
        <v>-</v>
      </c>
      <c r="CH7" s="276" t="str">
        <f>IFERROR(__xludf.DUMMYFUNCTION("IF(BI7=""oooooooooooo"",""-"",IF(REGEXMATCH(BJ7,""xx""), ""Hemi."", ""Anhemi.""))"),"Hemi.")</f>
        <v>Hemi.</v>
      </c>
      <c r="CI7" s="282" t="str">
        <f>IFERROR(__xludf.DUMMYFUNCTION("IF(BI7=""oooooooooooo"",""-"",IF(REGEXMATCH(BJ7,""xxx""), ""Cohem."", ""-""))"),"-")</f>
        <v>-</v>
      </c>
      <c r="CJ7" s="282" t="str">
        <f>IFERROR(__xludf.DUMMYFUNCTION("IF(BI7=""oooooooooooo"",""-"",IF(REGEXMATCH(BJ7,""xxxx""), ""Co-Co."", ""-""))"),"-")</f>
        <v>-</v>
      </c>
      <c r="CK7" s="342" t="str">
        <f>IFERROR(__xludf.DUMMYFUNCTION("IF(BI7=""oooooooooooo"",""-"",IF(REGEXMATCH(BJ7,""xxxxx""), ""CCC."", ""-""))"),"-")</f>
        <v>-</v>
      </c>
      <c r="CL7" s="344" t="str">
        <f t="shared" si="41"/>
        <v>Asavari</v>
      </c>
      <c r="CM7" s="282" t="str">
        <f>IFERROR(__xludf.DUMMYFUNCTION("IF(REGEXMATCH(JOIN(""-"",CO7:CX7),""TRUE""),""✔"",""-"")"),"✔")</f>
        <v>✔</v>
      </c>
      <c r="CN7" s="225">
        <f t="shared" si="42"/>
        <v>1</v>
      </c>
      <c r="CO7" s="376" t="b">
        <f>IFERROR(__xludf.DUMMYFUNCTION("arrayformula(sum(--REGEXMATCH(""SRGMPDNS"",split(REGEXREPLACE(N7,""(.)"",""$1~""),""~""))))=len(N7)
"),FALSE)</f>
        <v>0</v>
      </c>
      <c r="CP7" s="290" t="b">
        <f>IFERROR(__xludf.DUMMYFUNCTION("arrayformula(sum(--REGEXMATCH(""SRGmPDNS"",split(REGEXREPLACE(N7,""(.)"",""$1~""),""~""))))=len(N7)"),FALSE)</f>
        <v>0</v>
      </c>
      <c r="CQ7" s="290" t="b">
        <f>IFERROR(__xludf.DUMMYFUNCTION("arrayformula(sum(--REGEXMATCH(""SRGmPDnS"",split(REGEXREPLACE(N7,""(.)"",""$1~""),""~""))))=len(N7)"),FALSE)</f>
        <v>0</v>
      </c>
      <c r="CR7" s="290" t="b">
        <f>IFERROR(__xludf.DUMMYFUNCTION("arrayformula(sum(--REGEXMATCH(""SRgmPDnS"",split(REGEXREPLACE(N7,""(.)"",""$1~""),""~""))))=len(N7)"),FALSE)</f>
        <v>0</v>
      </c>
      <c r="CS7" s="290" t="b">
        <f>IFERROR(__xludf.DUMMYFUNCTION("arrayformula(sum(--REGEXMATCH(""SRgmPdnS"",split(REGEXREPLACE(N7,""(.)"",""$1~""),""~""))))=len(N7)"),TRUE)</f>
        <v>1</v>
      </c>
      <c r="CT7" s="290" t="b">
        <f>IFERROR(__xludf.DUMMYFUNCTION("arrayformula(sum(--REGEXMATCH(""SrgmPdnS"",split(REGEXREPLACE(N7,""(.)"",""$1~""),""~""))))=len(N7)"),FALSE)</f>
        <v>0</v>
      </c>
      <c r="CU7" s="290" t="b">
        <f>IFERROR(__xludf.DUMMYFUNCTION("arrayformula(sum(--REGEXMATCH(""SrGmPdNS"",split(REGEXREPLACE(N7,""(.)"",""$1~""),""~""))))=len(N7)"),FALSE)</f>
        <v>0</v>
      </c>
      <c r="CV7" s="290" t="b">
        <f>IFERROR(__xludf.DUMMYFUNCTION("arrayformula(sum(--REGEXMATCH(""SrGMPDNS"",split(REGEXREPLACE(N7,""(.)"",""$1~""),""~""))))=len(N7)"),FALSE)</f>
        <v>0</v>
      </c>
      <c r="CW7" s="290" t="b">
        <f>IFERROR(__xludf.DUMMYFUNCTION("arrayformula(sum(--REGEXMATCH(""SrGMPdNS"",split(REGEXREPLACE(N7,""(.)"",""$1~""),""~""))))=len(N7)"),FALSE)</f>
        <v>0</v>
      </c>
      <c r="CX7" s="293" t="b">
        <f>IFERROR(__xludf.DUMMYFUNCTION("arrayformula(sum(--REGEXMATCH(""SrgMPdNS"",split(REGEXREPLACE(N7,""(.)"",""$1~""),""~""))))=len(N7)"),FALSE)</f>
        <v>0</v>
      </c>
      <c r="CY7" s="244" t="str">
        <f>IFERROR(__xludf.DUMMYFUNCTION("IF(REGEXMATCH(N7, ""S""), ""1"","""")"),"1")</f>
        <v>1</v>
      </c>
      <c r="CZ7" s="245" t="str">
        <f>IFERROR(__xludf.DUMMYFUNCTION("IF(REGEXMATCH(N7, ""r""), ""b2"","""")"),"")</f>
        <v/>
      </c>
      <c r="DA7" s="246" t="str">
        <f>IFERROR(__xludf.DUMMYFUNCTION("IF(REGEXMATCH(N7, ""R""), ""2"","""")"),"2")</f>
        <v>2</v>
      </c>
      <c r="DB7" s="246" t="str">
        <f>IFERROR(__xludf.DUMMYFUNCTION("IF(REGEXMATCH(N7, ""g""), ""b3"","""")"),"b3")</f>
        <v>b3</v>
      </c>
      <c r="DC7" s="245" t="str">
        <f>IFERROR(__xludf.DUMMYFUNCTION("IF(REGEXMATCH(N7, ""G""), ""3"","""")"),"")</f>
        <v/>
      </c>
      <c r="DD7" s="245" t="str">
        <f>IFERROR(__xludf.DUMMYFUNCTION("IF(REGEXMATCH(N7, ""m""), ""4"","""")"),"4")</f>
        <v>4</v>
      </c>
      <c r="DE7" s="246" t="str">
        <f>IFERROR(__xludf.DUMMYFUNCTION("IF(REGEXMATCH(N7, ""M""), ""#4"","""")"),"")</f>
        <v/>
      </c>
      <c r="DF7" s="245" t="str">
        <f>IFERROR(__xludf.DUMMYFUNCTION("IF(REGEXMATCH(N7, ""P""), ""5"","""")"),"5")</f>
        <v>5</v>
      </c>
      <c r="DG7" s="246" t="str">
        <f>IFERROR(__xludf.DUMMYFUNCTION("IF(REGEXMATCH(N7, ""d""), ""b6"","""")"),"b6")</f>
        <v>b6</v>
      </c>
      <c r="DH7" s="245" t="str">
        <f>IFERROR(__xludf.DUMMYFUNCTION("IF(REGEXMATCH(N7, ""D""), ""6"","""")"),"")</f>
        <v/>
      </c>
      <c r="DI7" s="245" t="str">
        <f>IFERROR(__xludf.DUMMYFUNCTION("IF(REGEXMATCH(N7, ""n""), ""b7"","""")"),"b7")</f>
        <v>b7</v>
      </c>
      <c r="DJ7" s="246" t="str">
        <f>IFERROR(__xludf.DUMMYFUNCTION("IF(REGEXMATCH(N7, ""N""), ""7"","""")"),"")</f>
        <v/>
      </c>
      <c r="DK7" s="249" t="str">
        <f>IFERROR(__xludf.DUMMYFUNCTION("IF(REGEXMATCH(N7, ""S""), ""8"","""")"),"8")</f>
        <v>8</v>
      </c>
      <c r="DL7" s="244" t="str">
        <f>IFERROR(__xludf.DUMMYFUNCTION("IF(REGEXMATCH(N7, ""S""), ""S"","""")"),"S")</f>
        <v>S</v>
      </c>
      <c r="DM7" s="294" t="str">
        <f>IFERROR(__xludf.DUMMYFUNCTION("IF(REGEXMATCH(N7, ""r""), ""R1"","""")"),"")</f>
        <v/>
      </c>
      <c r="DN7" s="295" t="str">
        <f>IFERROR(__xludf.DUMMYFUNCTION("IF(REGEXMATCH(N7, ""R""), ""R2"","""")"),"R2")</f>
        <v>R2</v>
      </c>
      <c r="DO7" s="295" t="str">
        <f>IFERROR(__xludf.DUMMYFUNCTION("IF(REGEXMATCH(N7, ""g""), ""G2"","""")"),"G2")</f>
        <v>G2</v>
      </c>
      <c r="DP7" s="294" t="str">
        <f>IFERROR(__xludf.DUMMYFUNCTION("IF(REGEXMATCH(N7, ""G""), ""G3"","""")"),"")</f>
        <v/>
      </c>
      <c r="DQ7" s="294" t="str">
        <f>IFERROR(__xludf.DUMMYFUNCTION("IF(REGEXMATCH(N7, ""m""), ""M1"","""")"),"M1")</f>
        <v>M1</v>
      </c>
      <c r="DR7" s="295" t="str">
        <f>IFERROR(__xludf.DUMMYFUNCTION("IF(REGEXMATCH(N7, ""M""), ""M2"","""")"),"")</f>
        <v/>
      </c>
      <c r="DS7" s="294" t="str">
        <f>IFERROR(__xludf.DUMMYFUNCTION("IF(REGEXMATCH(N7, ""P""), ""P"","""")"),"P")</f>
        <v>P</v>
      </c>
      <c r="DT7" s="295" t="str">
        <f>IFERROR(__xludf.DUMMYFUNCTION("IF(REGEXMATCH(N7, ""d""), ""D1"","""")"),"D1")</f>
        <v>D1</v>
      </c>
      <c r="DU7" s="294" t="str">
        <f>IFERROR(__xludf.DUMMYFUNCTION("IF(REGEXMATCH(N7, ""D""), ""D2"","""")"),"")</f>
        <v/>
      </c>
      <c r="DV7" s="294" t="str">
        <f>IFERROR(__xludf.DUMMYFUNCTION("IF(REGEXMATCH(N7, ""n""), ""N2"","""")"),"N2")</f>
        <v>N2</v>
      </c>
      <c r="DW7" s="295" t="str">
        <f>IFERROR(__xludf.DUMMYFUNCTION("IF(REGEXMATCH(N7, ""N""), ""N3"","""")"),"")</f>
        <v/>
      </c>
      <c r="DX7" s="249" t="str">
        <f>IFERROR(__xludf.DUMMYFUNCTION("IF(REGEXMATCH(N7, ""S""), ""S"","""")"),"S")</f>
        <v>S</v>
      </c>
      <c r="DY7" s="299" t="str">
        <f>IFERROR(__xludf.DUMMYFUNCTION("SUBSTITUTE(SUBSTITUTE(SUBSTITUTE(SUBSTITUTE(CONCATENATE(JOIN(""-"",CY7:DK7)),""--"",""-""),""--"",""-""),""--"",""-""),""--"",""-"")"),"1-2-b3-4-5-b6-b7-8")</f>
        <v>1-2-b3-4-5-b6-b7-8</v>
      </c>
      <c r="DZ7" s="299" t="str">
        <f>IFERROR(__xludf.DUMMYFUNCTION("SUBSTITUTE(SUBSTITUTE(SUBSTITUTE(SUBSTITUTE(CONCATENATE(JOIN(""-"",DL7:DX7)),""--"",""-""),""--"",""-""),""--"",""-""),""--"",""-"")"),"S-R2-G2-M1-P-D1-N2-S")</f>
        <v>S-R2-G2-M1-P-D1-N2-S</v>
      </c>
      <c r="EA7" s="348" t="str">
        <f t="shared" si="43"/>
        <v>C-D-Eb-F-G-Ab-Bb-C</v>
      </c>
      <c r="EB7" s="301">
        <f t="shared" si="44"/>
        <v>7</v>
      </c>
      <c r="EC7" s="302" t="str">
        <f t="shared" si="45"/>
        <v>Sampurna</v>
      </c>
      <c r="ED7" s="301" t="str">
        <f t="shared" ref="ED7:EE7" si="173">SUBSTITUTE(AD7,"-","")</f>
        <v>SRGM</v>
      </c>
      <c r="EE7" s="301" t="str">
        <f t="shared" si="173"/>
        <v>PDNS</v>
      </c>
      <c r="EF7" s="302" t="str">
        <f t="shared" si="47"/>
        <v>Bilawal</v>
      </c>
      <c r="EG7" s="301" t="str">
        <f t="shared" si="48"/>
        <v>Hemi.</v>
      </c>
      <c r="EH7" s="364" t="str">
        <f t="shared" si="49"/>
        <v>-</v>
      </c>
      <c r="EI7" s="306" t="str">
        <f t="shared" si="50"/>
        <v>Asavari</v>
      </c>
      <c r="EJ7" s="366" t="str">
        <f t="shared" si="51"/>
        <v>-</v>
      </c>
      <c r="EK7" s="308" t="str">
        <f t="shared" si="52"/>
        <v>-</v>
      </c>
      <c r="EL7" s="306" t="str">
        <f t="shared" si="53"/>
        <v>-</v>
      </c>
      <c r="EM7" s="306" t="str">
        <f t="shared" si="54"/>
        <v>-</v>
      </c>
      <c r="EN7" s="367" t="str">
        <f t="shared" si="55"/>
        <v>-</v>
      </c>
      <c r="EO7" s="310" t="str">
        <f t="shared" si="56"/>
        <v>-</v>
      </c>
      <c r="EP7" s="310" t="str">
        <f t="shared" si="57"/>
        <v>-</v>
      </c>
      <c r="EQ7" s="310" t="str">
        <f t="shared" si="58"/>
        <v>-</v>
      </c>
      <c r="ER7" s="310" t="str">
        <f t="shared" si="59"/>
        <v>-</v>
      </c>
      <c r="ES7" s="370" t="str">
        <f t="shared" si="60"/>
        <v>-</v>
      </c>
      <c r="ET7" s="306" t="str">
        <f t="shared" si="61"/>
        <v>-</v>
      </c>
      <c r="EU7" s="306" t="str">
        <f t="shared" si="62"/>
        <v>-</v>
      </c>
      <c r="EV7" s="306" t="str">
        <f t="shared" si="63"/>
        <v>-</v>
      </c>
      <c r="EW7" s="306" t="str">
        <f t="shared" si="64"/>
        <v>-</v>
      </c>
      <c r="EX7" s="306" t="str">
        <f t="shared" si="65"/>
        <v>-</v>
      </c>
      <c r="EY7" s="367" t="str">
        <f t="shared" si="66"/>
        <v>-</v>
      </c>
      <c r="EZ7" s="310" t="str">
        <f>IFERROR(__xludf.DUMMYFUNCTION("IF(REGEXMATCH(BM7,BI7),""✔"",""-"")"),"✔")</f>
        <v>✔</v>
      </c>
      <c r="FA7" s="310" t="str">
        <f t="shared" si="67"/>
        <v>-</v>
      </c>
      <c r="FB7" s="370" t="str">
        <f t="shared" si="68"/>
        <v>-</v>
      </c>
      <c r="FC7" s="415">
        <f t="shared" si="69"/>
        <v>2</v>
      </c>
      <c r="FD7" s="317" t="str">
        <f t="shared" si="70"/>
        <v>S-R-g-m-P-d-n-S</v>
      </c>
      <c r="FE7" s="318" t="str">
        <f>IFERROR(__xludf.DUMMYFUNCTION("CONCATENATE(JOIN("""",GJ7:GV7))"),"SRGmPDnS")</f>
        <v>SRGmPDnS</v>
      </c>
      <c r="FF7" s="318"/>
      <c r="FG7" s="318"/>
      <c r="FH7" s="321">
        <f t="shared" si="71"/>
        <v>1</v>
      </c>
      <c r="FI7" s="318" t="str">
        <f>IFERROR(__xludf.DUMMYFUNCTION("CONCATENATE(JOIN("""",HW7:II7))"),"Re, ")</f>
        <v>Re, </v>
      </c>
      <c r="FJ7" s="322">
        <f t="shared" si="72"/>
        <v>0</v>
      </c>
      <c r="FK7" s="324" t="str">
        <f>IFERROR(__xludf.DUMMYFUNCTION("CONCATENATE(JOIN("""",IW7:JI7))"),"")</f>
        <v/>
      </c>
      <c r="FL7" s="325" t="str">
        <f t="shared" si="73"/>
        <v>S-R2-G2-M1-P-D1-N2-S</v>
      </c>
      <c r="FM7" s="326" t="str">
        <f t="shared" si="74"/>
        <v>1-2-b3-4-5-b6-b7-8</v>
      </c>
      <c r="FN7" s="326" t="str">
        <f t="shared" si="75"/>
        <v>0-2-3-5-7-8-10-0</v>
      </c>
      <c r="FO7" s="318"/>
      <c r="FP7" s="328" t="str">
        <f>IFERROR(__xludf.DUMMYFUNCTION("SUBSTITUTE(SUBSTITUTE(SUBSTITUTE(SUBSTITUTE(CONCATENATE(JOIN("" "",FS7:GE7)),""  "","" ""),""  "","" ""),""  "","" ""),""  "","" "")"),"o • o o • o • o o • o • o")</f>
        <v>o • o o • o • o o • o • o</v>
      </c>
      <c r="FQ7" s="328" t="str">
        <f t="shared" si="76"/>
        <v>-</v>
      </c>
      <c r="FR7" s="329"/>
      <c r="FS7" s="331" t="str">
        <f t="shared" si="77"/>
        <v>o</v>
      </c>
      <c r="FT7" s="332" t="str">
        <f t="shared" si="78"/>
        <v>•</v>
      </c>
      <c r="FU7" s="332" t="str">
        <f t="shared" si="79"/>
        <v>o</v>
      </c>
      <c r="FV7" s="332" t="str">
        <f t="shared" si="80"/>
        <v>o</v>
      </c>
      <c r="FW7" s="332" t="str">
        <f t="shared" si="81"/>
        <v>•</v>
      </c>
      <c r="FX7" s="332" t="str">
        <f t="shared" si="82"/>
        <v>o</v>
      </c>
      <c r="FY7" s="332" t="str">
        <f t="shared" si="83"/>
        <v>•</v>
      </c>
      <c r="FZ7" s="332" t="str">
        <f t="shared" si="84"/>
        <v>o</v>
      </c>
      <c r="GA7" s="332" t="str">
        <f t="shared" si="85"/>
        <v>o</v>
      </c>
      <c r="GB7" s="332" t="str">
        <f t="shared" si="86"/>
        <v>•</v>
      </c>
      <c r="GC7" s="332" t="str">
        <f t="shared" si="87"/>
        <v>o</v>
      </c>
      <c r="GD7" s="332" t="str">
        <f t="shared" si="88"/>
        <v>•</v>
      </c>
      <c r="GE7" s="338" t="str">
        <f t="shared" si="89"/>
        <v>o</v>
      </c>
      <c r="GF7" s="339" t="str">
        <f t="shared" si="90"/>
        <v>-</v>
      </c>
      <c r="GG7" s="339" t="str">
        <f t="shared" si="91"/>
        <v>Sa-Pa</v>
      </c>
      <c r="GH7" s="339" t="str">
        <f t="shared" si="92"/>
        <v>-</v>
      </c>
      <c r="GI7" s="340" t="str">
        <f t="shared" si="93"/>
        <v>-</v>
      </c>
      <c r="GJ7" s="331" t="str">
        <f t="shared" si="94"/>
        <v>S</v>
      </c>
      <c r="GK7" s="332" t="str">
        <f t="shared" si="95"/>
        <v/>
      </c>
      <c r="GL7" s="332" t="str">
        <f t="shared" si="96"/>
        <v>R</v>
      </c>
      <c r="GM7" s="332" t="str">
        <f t="shared" si="97"/>
        <v/>
      </c>
      <c r="GN7" s="332" t="str">
        <f t="shared" si="98"/>
        <v>G</v>
      </c>
      <c r="GO7" s="332" t="str">
        <f t="shared" si="99"/>
        <v>m</v>
      </c>
      <c r="GP7" s="332" t="str">
        <f t="shared" si="100"/>
        <v/>
      </c>
      <c r="GQ7" s="332" t="str">
        <f t="shared" si="101"/>
        <v>P</v>
      </c>
      <c r="GR7" s="332" t="str">
        <f t="shared" si="102"/>
        <v/>
      </c>
      <c r="GS7" s="332" t="str">
        <f t="shared" si="103"/>
        <v>D</v>
      </c>
      <c r="GT7" s="332" t="str">
        <f t="shared" si="104"/>
        <v>n</v>
      </c>
      <c r="GU7" s="332" t="str">
        <f t="shared" si="105"/>
        <v/>
      </c>
      <c r="GV7" s="343" t="str">
        <f t="shared" si="106"/>
        <v>S</v>
      </c>
      <c r="GW7" s="331" t="str">
        <f t="shared" si="107"/>
        <v>•</v>
      </c>
      <c r="GX7" s="332" t="str">
        <f t="shared" si="108"/>
        <v>o</v>
      </c>
      <c r="GY7" s="332" t="str">
        <f t="shared" si="109"/>
        <v>•</v>
      </c>
      <c r="GZ7" s="332" t="str">
        <f t="shared" si="110"/>
        <v>•</v>
      </c>
      <c r="HA7" s="332" t="str">
        <f t="shared" si="111"/>
        <v>o</v>
      </c>
      <c r="HB7" s="332" t="str">
        <f t="shared" si="112"/>
        <v>•</v>
      </c>
      <c r="HC7" s="332" t="str">
        <f t="shared" si="113"/>
        <v>o</v>
      </c>
      <c r="HD7" s="332" t="str">
        <f t="shared" si="114"/>
        <v>•</v>
      </c>
      <c r="HE7" s="332" t="str">
        <f t="shared" si="115"/>
        <v>•</v>
      </c>
      <c r="HF7" s="332" t="str">
        <f t="shared" si="116"/>
        <v>o</v>
      </c>
      <c r="HG7" s="332" t="str">
        <f t="shared" si="117"/>
        <v>•</v>
      </c>
      <c r="HH7" s="332" t="str">
        <f t="shared" si="118"/>
        <v>o</v>
      </c>
      <c r="HI7" s="338" t="str">
        <f t="shared" si="119"/>
        <v>•</v>
      </c>
      <c r="HJ7" s="346" t="b">
        <f t="shared" si="120"/>
        <v>0</v>
      </c>
      <c r="HK7" s="347" t="b">
        <f t="shared" si="121"/>
        <v>0</v>
      </c>
      <c r="HL7" s="347" t="b">
        <f t="shared" si="122"/>
        <v>1</v>
      </c>
      <c r="HM7" s="347" t="b">
        <f t="shared" si="123"/>
        <v>0</v>
      </c>
      <c r="HN7" s="347" t="b">
        <f t="shared" si="124"/>
        <v>0</v>
      </c>
      <c r="HO7" s="347" t="b">
        <f t="shared" si="125"/>
        <v>0</v>
      </c>
      <c r="HP7" s="347" t="b">
        <f t="shared" si="126"/>
        <v>0</v>
      </c>
      <c r="HQ7" s="347" t="b">
        <f t="shared" si="127"/>
        <v>0</v>
      </c>
      <c r="HR7" s="347" t="b">
        <f t="shared" si="128"/>
        <v>0</v>
      </c>
      <c r="HS7" s="347" t="b">
        <f t="shared" si="129"/>
        <v>0</v>
      </c>
      <c r="HT7" s="347" t="b">
        <f t="shared" si="130"/>
        <v>0</v>
      </c>
      <c r="HU7" s="347" t="b">
        <f t="shared" si="131"/>
        <v>0</v>
      </c>
      <c r="HV7" s="353" t="b">
        <f t="shared" si="132"/>
        <v>0</v>
      </c>
      <c r="HW7" s="354" t="str">
        <f t="shared" si="133"/>
        <v/>
      </c>
      <c r="HX7" s="355" t="str">
        <f t="shared" si="134"/>
        <v/>
      </c>
      <c r="HY7" s="355" t="str">
        <f t="shared" si="135"/>
        <v>Re, </v>
      </c>
      <c r="HZ7" s="355" t="str">
        <f t="shared" si="136"/>
        <v/>
      </c>
      <c r="IA7" s="355" t="str">
        <f t="shared" si="137"/>
        <v/>
      </c>
      <c r="IB7" s="355" t="str">
        <f t="shared" si="138"/>
        <v/>
      </c>
      <c r="IC7" s="355" t="str">
        <f t="shared" si="139"/>
        <v/>
      </c>
      <c r="ID7" s="355" t="str">
        <f t="shared" si="140"/>
        <v/>
      </c>
      <c r="IE7" s="355" t="str">
        <f t="shared" si="141"/>
        <v/>
      </c>
      <c r="IF7" s="355" t="str">
        <f t="shared" si="142"/>
        <v/>
      </c>
      <c r="IG7" s="355" t="str">
        <f t="shared" si="143"/>
        <v/>
      </c>
      <c r="IH7" s="355" t="str">
        <f t="shared" si="144"/>
        <v/>
      </c>
      <c r="II7" s="359" t="str">
        <f t="shared" si="145"/>
        <v/>
      </c>
      <c r="IJ7" s="346" t="b">
        <f t="shared" si="146"/>
        <v>0</v>
      </c>
      <c r="IK7" s="347" t="b">
        <f t="shared" si="147"/>
        <v>0</v>
      </c>
      <c r="IL7" s="347" t="b">
        <f t="shared" si="148"/>
        <v>0</v>
      </c>
      <c r="IM7" s="347" t="b">
        <f t="shared" si="149"/>
        <v>0</v>
      </c>
      <c r="IN7" s="347" t="b">
        <f t="shared" si="150"/>
        <v>0</v>
      </c>
      <c r="IO7" s="347" t="b">
        <f t="shared" si="151"/>
        <v>0</v>
      </c>
      <c r="IP7" s="347" t="b">
        <f t="shared" si="152"/>
        <v>0</v>
      </c>
      <c r="IQ7" s="347" t="b">
        <f t="shared" si="153"/>
        <v>0</v>
      </c>
      <c r="IR7" s="347" t="b">
        <f t="shared" si="154"/>
        <v>0</v>
      </c>
      <c r="IS7" s="347" t="b">
        <f t="shared" si="155"/>
        <v>0</v>
      </c>
      <c r="IT7" s="347" t="b">
        <f t="shared" si="156"/>
        <v>0</v>
      </c>
      <c r="IU7" s="347" t="b">
        <f t="shared" si="157"/>
        <v>0</v>
      </c>
      <c r="IV7" s="365" t="b">
        <f t="shared" si="158"/>
        <v>0</v>
      </c>
      <c r="IW7" s="354" t="str">
        <f t="shared" si="159"/>
        <v/>
      </c>
      <c r="IX7" s="355" t="str">
        <f t="shared" si="160"/>
        <v/>
      </c>
      <c r="IY7" s="355" t="str">
        <f t="shared" si="161"/>
        <v/>
      </c>
      <c r="IZ7" s="355" t="str">
        <f t="shared" si="162"/>
        <v/>
      </c>
      <c r="JA7" s="355" t="str">
        <f t="shared" si="163"/>
        <v/>
      </c>
      <c r="JB7" s="355" t="str">
        <f t="shared" si="164"/>
        <v/>
      </c>
      <c r="JC7" s="355" t="str">
        <f t="shared" si="165"/>
        <v/>
      </c>
      <c r="JD7" s="355" t="str">
        <f t="shared" si="166"/>
        <v/>
      </c>
      <c r="JE7" s="355" t="str">
        <f t="shared" si="167"/>
        <v/>
      </c>
      <c r="JF7" s="355" t="str">
        <f t="shared" si="168"/>
        <v/>
      </c>
      <c r="JG7" s="355" t="str">
        <f t="shared" si="169"/>
        <v/>
      </c>
      <c r="JH7" s="355" t="str">
        <f t="shared" si="170"/>
        <v/>
      </c>
      <c r="JI7" s="359"/>
      <c r="JJ7" s="321"/>
      <c r="JK7" s="368"/>
      <c r="JL7" s="369"/>
      <c r="JM7" s="369"/>
      <c r="JN7" s="369"/>
      <c r="JO7" s="369"/>
      <c r="JP7" s="369"/>
      <c r="JQ7" s="369"/>
      <c r="JR7" s="369"/>
      <c r="JS7" s="369"/>
      <c r="JT7" s="369"/>
      <c r="JU7" s="369"/>
    </row>
    <row r="8" ht="20.25" customHeight="1">
      <c r="A8" s="221" t="s">
        <v>669</v>
      </c>
      <c r="B8" s="223" t="s">
        <v>671</v>
      </c>
      <c r="C8" s="222" t="s">
        <v>275</v>
      </c>
      <c r="D8" s="222"/>
      <c r="E8" s="222" t="s">
        <v>275</v>
      </c>
      <c r="F8" s="222"/>
      <c r="G8" s="395" t="s">
        <v>275</v>
      </c>
      <c r="H8" s="222">
        <v>6.0</v>
      </c>
      <c r="I8" s="224" t="s">
        <v>398</v>
      </c>
      <c r="J8" s="414">
        <f t="shared" si="5"/>
        <v>2</v>
      </c>
      <c r="K8" s="227">
        <f t="shared" si="6"/>
        <v>6</v>
      </c>
      <c r="L8" s="229">
        <f t="shared" si="7"/>
        <v>6</v>
      </c>
      <c r="M8" s="230">
        <f t="shared" si="8"/>
        <v>0</v>
      </c>
      <c r="N8" s="233" t="str">
        <f t="shared" si="9"/>
        <v>SgmPdnS</v>
      </c>
      <c r="O8" s="234" t="str">
        <f>IFERROR(__xludf.DUMMYFUNCTION("IF(REGEXMATCH(N8, ""S""), ""S"","""")"),"S")</f>
        <v>S</v>
      </c>
      <c r="P8" s="236" t="str">
        <f>IFERROR(__xludf.DUMMYFUNCTION("IF(REGEXMATCH(N8, ""r""), ""r"","""")"),"")</f>
        <v/>
      </c>
      <c r="Q8" s="237" t="str">
        <f>IFERROR(__xludf.DUMMYFUNCTION("IF(REGEXMATCH(N8, ""R""), ""R"","""")"),"")</f>
        <v/>
      </c>
      <c r="R8" s="237" t="str">
        <f>IFERROR(__xludf.DUMMYFUNCTION("IF(REGEXMATCH(N8, ""g""), ""g"","""")"),"g")</f>
        <v>g</v>
      </c>
      <c r="S8" s="236" t="str">
        <f>IFERROR(__xludf.DUMMYFUNCTION("IF(REGEXMATCH(N8, ""G""), ""G"","""")"),"")</f>
        <v/>
      </c>
      <c r="T8" s="236" t="str">
        <f>IFERROR(__xludf.DUMMYFUNCTION("IF(REGEXMATCH(N8, ""m""), ""m"","""")"),"m")</f>
        <v>m</v>
      </c>
      <c r="U8" s="237" t="str">
        <f>IFERROR(__xludf.DUMMYFUNCTION("IF(REGEXMATCH(N8, ""M""), ""M"","""")"),"")</f>
        <v/>
      </c>
      <c r="V8" s="236" t="str">
        <f>IFERROR(__xludf.DUMMYFUNCTION("IF(REGEXMATCH(N8, ""P""), ""P"","""")"),"P")</f>
        <v>P</v>
      </c>
      <c r="W8" s="237" t="str">
        <f>IFERROR(__xludf.DUMMYFUNCTION("IF(REGEXMATCH(N8, ""d""), ""d"","""")"),"d")</f>
        <v>d</v>
      </c>
      <c r="X8" s="236" t="str">
        <f>IFERROR(__xludf.DUMMYFUNCTION("IF(REGEXMATCH(N8, ""D""), ""D"","""")"),"")</f>
        <v/>
      </c>
      <c r="Y8" s="236" t="str">
        <f>IFERROR(__xludf.DUMMYFUNCTION("IF(REGEXMATCH(N8, ""n""), ""n"","""")"),"n")</f>
        <v>n</v>
      </c>
      <c r="Z8" s="237" t="str">
        <f>IFERROR(__xludf.DUMMYFUNCTION("IF(REGEXMATCH(N8, ""N""), ""N"","""")"),"")</f>
        <v/>
      </c>
      <c r="AA8" s="238" t="str">
        <f>IFERROR(__xludf.DUMMYFUNCTION("IF(REGEXMATCH(N8, ""S""), ""S"","""")"),"S")</f>
        <v>S</v>
      </c>
      <c r="AB8" s="239" t="str">
        <f>IFERROR(__xludf.DUMMYFUNCTION("SUBSTITUTE(CONCATENATE(JOIN(""-"",O8:U8)),""-"","""")"),"Sgm")</f>
        <v>Sgm</v>
      </c>
      <c r="AC8" s="229" t="str">
        <f>IFERROR(__xludf.DUMMYFUNCTION("SUBSTITUTE(CONCATENATE(JOIN(""-"",V8:AA8)),""-"","""")"),"PdnS")</f>
        <v>PdnS</v>
      </c>
      <c r="AD8" s="282" t="str">
        <f t="shared" si="10"/>
        <v>S-G-M</v>
      </c>
      <c r="AE8" s="282" t="str">
        <f t="shared" si="11"/>
        <v>P-D-N-S</v>
      </c>
      <c r="AF8" s="309" t="str">
        <f t="shared" si="12"/>
        <v>gmdn</v>
      </c>
      <c r="AG8" s="244" t="str">
        <f>IFERROR(__xludf.DUMMYFUNCTION("IF(REGEXMATCH(N8, ""S""), ""0"","""")"),"0")</f>
        <v>0</v>
      </c>
      <c r="AH8" s="245" t="str">
        <f>IFERROR(__xludf.DUMMYFUNCTION("IF(REGEXMATCH(N8, ""r""), ""1"","""")"),"")</f>
        <v/>
      </c>
      <c r="AI8" s="246" t="str">
        <f>IFERROR(__xludf.DUMMYFUNCTION("IF(REGEXMATCH(N8, ""R""), ""2"","""")"),"")</f>
        <v/>
      </c>
      <c r="AJ8" s="246" t="str">
        <f>IFERROR(__xludf.DUMMYFUNCTION("IF(REGEXMATCH(N8, ""g""), ""3"","""")"),"3")</f>
        <v>3</v>
      </c>
      <c r="AK8" s="245" t="str">
        <f>IFERROR(__xludf.DUMMYFUNCTION("IF(REGEXMATCH(N8, ""G""), ""4"","""")"),"")</f>
        <v/>
      </c>
      <c r="AL8" s="245" t="str">
        <f>IFERROR(__xludf.DUMMYFUNCTION("IF(REGEXMATCH(N8, ""m""), ""5"","""")"),"5")</f>
        <v>5</v>
      </c>
      <c r="AM8" s="246" t="str">
        <f>IFERROR(__xludf.DUMMYFUNCTION("IF(REGEXMATCH(N8, ""M""), ""6"","""")"),"")</f>
        <v/>
      </c>
      <c r="AN8" s="245" t="str">
        <f>IFERROR(__xludf.DUMMYFUNCTION("IF(REGEXMATCH(N8, ""P""), ""7"","""")"),"7")</f>
        <v>7</v>
      </c>
      <c r="AO8" s="246" t="str">
        <f>IFERROR(__xludf.DUMMYFUNCTION("IF(REGEXMATCH(N8, ""d""), ""8"","""")"),"8")</f>
        <v>8</v>
      </c>
      <c r="AP8" s="245" t="str">
        <f>IFERROR(__xludf.DUMMYFUNCTION("IF(REGEXMATCH(N8, ""D""), ""9"","""")"),"")</f>
        <v/>
      </c>
      <c r="AQ8" s="245" t="str">
        <f>IFERROR(__xludf.DUMMYFUNCTION("IF(REGEXMATCH(N8, ""n""), ""10"","""")"),"10")</f>
        <v>10</v>
      </c>
      <c r="AR8" s="246" t="str">
        <f>IFERROR(__xludf.DUMMYFUNCTION("IF(REGEXMATCH(N8, ""N""), ""11"","""")"),"")</f>
        <v/>
      </c>
      <c r="AS8" s="249" t="str">
        <f>IFERROR(__xludf.DUMMYFUNCTION("IF(REGEXMATCH(N8, ""S""), ""0"","""")"),"0")</f>
        <v>0</v>
      </c>
      <c r="AT8" s="250" t="str">
        <f>IFERROR(__xludf.DUMMYFUNCTION("SUBSTITUTE(SUBSTITUTE(SUBSTITUTE(SUBSTITUTE(CONCATENATE(JOIN(""-"",AG8:AS8)),""--"",""-""),""--"",""-""),""--"",""-""),""--"",""-"")"),"0-3-5-7-8-10-0")</f>
        <v>0-3-5-7-8-10-0</v>
      </c>
      <c r="AU8" s="251">
        <f t="shared" si="13"/>
        <v>2</v>
      </c>
      <c r="AV8" s="234" t="str">
        <f t="shared" si="14"/>
        <v>|</v>
      </c>
      <c r="AW8" s="236" t="str">
        <f t="shared" si="15"/>
        <v>-</v>
      </c>
      <c r="AX8" s="237" t="str">
        <f t="shared" si="16"/>
        <v>-</v>
      </c>
      <c r="AY8" s="236" t="str">
        <f t="shared" si="17"/>
        <v>|</v>
      </c>
      <c r="AZ8" s="237" t="str">
        <f t="shared" si="18"/>
        <v>-</v>
      </c>
      <c r="BA8" s="236" t="str">
        <f t="shared" si="19"/>
        <v>|</v>
      </c>
      <c r="BB8" s="237" t="str">
        <f t="shared" si="20"/>
        <v>-</v>
      </c>
      <c r="BC8" s="236" t="str">
        <f t="shared" si="21"/>
        <v>|</v>
      </c>
      <c r="BD8" s="237" t="str">
        <f t="shared" si="22"/>
        <v>|</v>
      </c>
      <c r="BE8" s="236" t="str">
        <f t="shared" si="23"/>
        <v>-</v>
      </c>
      <c r="BF8" s="237" t="str">
        <f t="shared" si="24"/>
        <v>|</v>
      </c>
      <c r="BG8" s="236" t="str">
        <f t="shared" si="25"/>
        <v>-</v>
      </c>
      <c r="BH8" s="238" t="str">
        <f t="shared" si="26"/>
        <v>|</v>
      </c>
      <c r="BI8" s="250" t="str">
        <f>IFERROR(__xludf.DUMMYFUNCTION("SUBSTITUTE(SUBSTITUTE(CONCATENATE(JOIN("""",AV8:BG8)),""|"",""x""),""-"",""o"")"),"xooxoxoxxoxo")</f>
        <v>xooxoxoxxoxo</v>
      </c>
      <c r="BJ8" s="323" t="str">
        <f>IFERROR(__xludf.DUMMYFUNCTION("JOIN("""",BI8,BI8)"),"xooxoxoxxoxoxooxoxoxxoxo")</f>
        <v>xooxoxoxxoxoxooxoxoxxoxo</v>
      </c>
      <c r="BK8" s="256" t="str">
        <f>IFERROR(__xludf.DUMMYFUNCTION("JOIN("""",ArrayFormula(MID(BI8,LEN(BI8)-SEQUENCE(1,LEN(BI8))+1,1)))"),"oxoxxoxoxoox")</f>
        <v>oxoxxoxoxoox</v>
      </c>
      <c r="BL8" s="256" t="str">
        <f>IFERROR(__xludf.DUMMYFUNCTION("LEFT(CONCATENATE(""x"",JOIN("""",ArrayFormula(MID(BI8,LEN(BI8)-SEQUENCE(1,LEN(BI8))+1,1)))),12)"),"xoxoxxoxoxoo")</f>
        <v>xoxoxxoxoxoo</v>
      </c>
      <c r="BM8" s="327" t="str">
        <f>IFERROR(__xludf.DUMMYFUNCTION("JOIN("""",BK8,BK8)"),"oxoxxoxoxooxoxoxxoxoxoox")</f>
        <v>oxoxxoxoxooxoxoxxoxoxoox</v>
      </c>
      <c r="BN8" s="239" t="str">
        <f>IFERROR(__xludf.DUMMYFUNCTION("IF(REGEXMATCH(BM8,BI8),""✔"",""-"")"),"✔")</f>
        <v>✔</v>
      </c>
      <c r="BO8" s="330" t="str">
        <f t="shared" si="27"/>
        <v>-</v>
      </c>
      <c r="BP8" s="260" t="str">
        <f t="shared" si="28"/>
        <v>-</v>
      </c>
      <c r="BQ8" s="261" t="str">
        <f>IFERROR(__xludf.DUMMYFUNCTION("IF(BT8=0,""(n/a)"",IF(BU8=2,""(PAIR)"",IF(REGEXMATCH(BJ8,""xoxoxxoxoxox""),""Bilawal"",IF(REGEXMATCH(BJ8,""xoxoxooxoxoo""),""Bhupali"",IF(REGEXMATCH(BJ8,""xoxoxxoxxoxo""),""Charukeshi"",IF(REGEXMATCH(BJ8,""xoxoooxxoxxo""),""Kameshwari"",IF(REGEXMATCH(BJ8,"&amp;"""xoxoxooxoxox""),""Shankara"",IF(REGEXMATCH(BJ8,""xxooxoxxxoox""),""Basant"",IF(REGEXMATCH(BJ8,""xoxoxxxxoxox""),""Bihag"",IF(REGEXMATCH(BJ8,""xoxxxxoxoxxx""),""Pilu"",IF(REGEXMATCH(BJ8,""xoxxoxoxxoox""),""Kirwani"",IF(REGEXMATCH(BJ8,""xoxxoxoxoxxx""),"""&amp;"Mk.Malhar"",IF(REGEXMATCH(BJ8,""xxooxxoxxoox""),""Bhairav"",IF(REGEXMATCH(BJ8,""xxoxooxxxoox""),""Todi"",IF(REGEXMATCH(BJ8,""xxooxoxooxox""),""Marwa"",IF(REGEXMATCH(BJ8,""xxoooxoxxooo""),""Gunkali"",IF(REGEXMATCH(BJ8,""xoxoxxoxxoox""),""Nat Bhairav"",IF(R"&amp;"EGEXMATCH(BJ8,""xoxxoooxoxoo""),""Shivranjani"",IF(REGEXMATCH(BJ8,""xooxxxoxooxo""),""Jog"",IF(REGEXMATCH(BJ8,""xxooxoxoxoox""),""Hemshri"",IF(REGEXMATCH(BJ8,""xoooxooxoxxo""),""Kalavati"",IF(REGEXMATCH(BJ8,""xxoxoxxoxoox""),""Kedar"",IF(REGEXMATCH(BJ8,"""&amp;"xoxxxxoxooxx""),""Gara"",IF(REGEXMATCH(BJ8,""xooxoxooxoox""),""Chandrakauns"",IF(REGEXMATCH(BJ8,""xoxxxxoxxxox""),""Mand"",IF(REGEXMATCH(BJ8,""xoxxxxoxoxox""),""Hanskinkini"",IF(REGEXMATCH(BJ8,""xxooxxoxooxo""),""Lilavati"",IF(REGEXMATCH(BJ8,""xooxoxoooxo"&amp;"x""),""Rajeshwari"",IF(REGEXMATCH(BJ8,""xoooxxoxoxxx""),""Khokar"",IF(REGEXMATCH(BJ8,""xxooxoxxxxox""),""Maligoura"",""-""))))))))))))))))))))))))))))))"),"(n/a)")</f>
        <v>(n/a)</v>
      </c>
      <c r="BR8" s="239">
        <f t="shared" si="29"/>
        <v>5</v>
      </c>
      <c r="BS8" s="239">
        <f>IFERROR(__xludf.DUMMYFUNCTION("COUNTUNIQUE(BW8:CG8)-1"),5.0)</f>
        <v>5</v>
      </c>
      <c r="BT8" s="239">
        <f>IFERROR(__xludf.DUMMYFUNCTION("COUNTUNIQUE(FILTER(BJ:BJ,REGEXMATCH(BJ:BJ,BI8)))-1"),0.0)</f>
        <v>0</v>
      </c>
      <c r="BU8" s="239">
        <f>IFERROR(__xludf.DUMMYFUNCTION("COUNTA(FILTER(BJ:BJ,REGEXMATCH(BJ:BJ,BI8)))"),3.0)</f>
        <v>3</v>
      </c>
      <c r="BV8" s="341">
        <f>IFERROR(__xludf.DUMMYFUNCTION("COUNTA(FILTER(BJ:BJ,REGEXMATCH(BJ:BJ,BI8)))-AU8"),1.0)</f>
        <v>1</v>
      </c>
      <c r="BW8" s="269" t="str">
        <f t="shared" si="30"/>
        <v>-</v>
      </c>
      <c r="BX8" s="269" t="str">
        <f t="shared" si="31"/>
        <v>-</v>
      </c>
      <c r="BY8" s="271" t="str">
        <f t="shared" si="32"/>
        <v>xoxoxxoxoxo</v>
      </c>
      <c r="BZ8" s="269" t="str">
        <f t="shared" si="33"/>
        <v>-</v>
      </c>
      <c r="CA8" s="271" t="str">
        <f t="shared" si="34"/>
        <v>xoxxoxoxoox</v>
      </c>
      <c r="CB8" s="271" t="str">
        <f t="shared" si="35"/>
        <v>-</v>
      </c>
      <c r="CC8" s="271" t="str">
        <f t="shared" si="36"/>
        <v>xxoxoxooxox</v>
      </c>
      <c r="CD8" s="271" t="str">
        <f t="shared" si="37"/>
        <v>xoxoxooxoxo</v>
      </c>
      <c r="CE8" s="271" t="str">
        <f t="shared" si="38"/>
        <v>-</v>
      </c>
      <c r="CF8" s="271" t="str">
        <f t="shared" si="39"/>
        <v>xoxooxoxoxx</v>
      </c>
      <c r="CG8" s="274" t="str">
        <f t="shared" si="40"/>
        <v>-</v>
      </c>
      <c r="CH8" s="276" t="str">
        <f>IFERROR(__xludf.DUMMYFUNCTION("IF(BI8=""oooooooooooo"",""-"",IF(REGEXMATCH(BJ8,""xx""), ""Hemi."", ""Anhemi.""))"),"Hemi.")</f>
        <v>Hemi.</v>
      </c>
      <c r="CI8" s="282" t="str">
        <f>IFERROR(__xludf.DUMMYFUNCTION("IF(BI8=""oooooooooooo"",""-"",IF(REGEXMATCH(BJ8,""xxx""), ""Cohem."", ""-""))"),"-")</f>
        <v>-</v>
      </c>
      <c r="CJ8" s="282" t="str">
        <f>IFERROR(__xludf.DUMMYFUNCTION("IF(BI8=""oooooooooooo"",""-"",IF(REGEXMATCH(BJ8,""xxxx""), ""Co-Co."", ""-""))"),"-")</f>
        <v>-</v>
      </c>
      <c r="CK8" s="342" t="str">
        <f>IFERROR(__xludf.DUMMYFUNCTION("IF(BI8=""oooooooooooo"",""-"",IF(REGEXMATCH(BJ8,""xxxxx""), ""CCC."", ""-""))"),"-")</f>
        <v>-</v>
      </c>
      <c r="CL8" s="344" t="str">
        <f t="shared" si="41"/>
        <v>-</v>
      </c>
      <c r="CM8" s="282" t="str">
        <f>IFERROR(__xludf.DUMMYFUNCTION("IF(REGEXMATCH(JOIN(""-"",CO8:CX8),""TRUE""),""✔"",""-"")"),"✔")</f>
        <v>✔</v>
      </c>
      <c r="CN8" s="225">
        <f t="shared" si="42"/>
        <v>2</v>
      </c>
      <c r="CO8" s="376" t="b">
        <f>IFERROR(__xludf.DUMMYFUNCTION("arrayformula(sum(--REGEXMATCH(""SRGMPDNS"",split(REGEXREPLACE(N8,""(.)"",""$1~""),""~""))))=len(N8)
"),FALSE)</f>
        <v>0</v>
      </c>
      <c r="CP8" s="290" t="b">
        <f>IFERROR(__xludf.DUMMYFUNCTION("arrayformula(sum(--REGEXMATCH(""SRGmPDNS"",split(REGEXREPLACE(N8,""(.)"",""$1~""),""~""))))=len(N8)"),FALSE)</f>
        <v>0</v>
      </c>
      <c r="CQ8" s="290" t="b">
        <f>IFERROR(__xludf.DUMMYFUNCTION("arrayformula(sum(--REGEXMATCH(""SRGmPDnS"",split(REGEXREPLACE(N8,""(.)"",""$1~""),""~""))))=len(N8)"),FALSE)</f>
        <v>0</v>
      </c>
      <c r="CR8" s="290" t="b">
        <f>IFERROR(__xludf.DUMMYFUNCTION("arrayformula(sum(--REGEXMATCH(""SRgmPDnS"",split(REGEXREPLACE(N8,""(.)"",""$1~""),""~""))))=len(N8)"),FALSE)</f>
        <v>0</v>
      </c>
      <c r="CS8" s="290" t="b">
        <f>IFERROR(__xludf.DUMMYFUNCTION("arrayformula(sum(--REGEXMATCH(""SRgmPdnS"",split(REGEXREPLACE(N8,""(.)"",""$1~""),""~""))))=len(N8)"),TRUE)</f>
        <v>1</v>
      </c>
      <c r="CT8" s="290" t="b">
        <f>IFERROR(__xludf.DUMMYFUNCTION("arrayformula(sum(--REGEXMATCH(""SrgmPdnS"",split(REGEXREPLACE(N8,""(.)"",""$1~""),""~""))))=len(N8)"),TRUE)</f>
        <v>1</v>
      </c>
      <c r="CU8" s="290" t="b">
        <f>IFERROR(__xludf.DUMMYFUNCTION("arrayformula(sum(--REGEXMATCH(""SrGmPdNS"",split(REGEXREPLACE(N8,""(.)"",""$1~""),""~""))))=len(N8)"),FALSE)</f>
        <v>0</v>
      </c>
      <c r="CV8" s="290" t="b">
        <f>IFERROR(__xludf.DUMMYFUNCTION("arrayformula(sum(--REGEXMATCH(""SrGMPDNS"",split(REGEXREPLACE(N8,""(.)"",""$1~""),""~""))))=len(N8)"),FALSE)</f>
        <v>0</v>
      </c>
      <c r="CW8" s="290" t="b">
        <f>IFERROR(__xludf.DUMMYFUNCTION("arrayformula(sum(--REGEXMATCH(""SrGMPdNS"",split(REGEXREPLACE(N8,""(.)"",""$1~""),""~""))))=len(N8)"),FALSE)</f>
        <v>0</v>
      </c>
      <c r="CX8" s="293" t="b">
        <f>IFERROR(__xludf.DUMMYFUNCTION("arrayformula(sum(--REGEXMATCH(""SrgMPdNS"",split(REGEXREPLACE(N8,""(.)"",""$1~""),""~""))))=len(N8)"),FALSE)</f>
        <v>0</v>
      </c>
      <c r="CY8" s="244" t="str">
        <f>IFERROR(__xludf.DUMMYFUNCTION("IF(REGEXMATCH(N8, ""S""), ""1"","""")"),"1")</f>
        <v>1</v>
      </c>
      <c r="CZ8" s="245" t="str">
        <f>IFERROR(__xludf.DUMMYFUNCTION("IF(REGEXMATCH(N8, ""r""), ""b2"","""")"),"")</f>
        <v/>
      </c>
      <c r="DA8" s="246" t="str">
        <f>IFERROR(__xludf.DUMMYFUNCTION("IF(REGEXMATCH(N8, ""R""), ""2"","""")"),"")</f>
        <v/>
      </c>
      <c r="DB8" s="246" t="str">
        <f>IFERROR(__xludf.DUMMYFUNCTION("IF(REGEXMATCH(N8, ""g""), ""b3"","""")"),"b3")</f>
        <v>b3</v>
      </c>
      <c r="DC8" s="245" t="str">
        <f>IFERROR(__xludf.DUMMYFUNCTION("IF(REGEXMATCH(N8, ""G""), ""3"","""")"),"")</f>
        <v/>
      </c>
      <c r="DD8" s="245" t="str">
        <f>IFERROR(__xludf.DUMMYFUNCTION("IF(REGEXMATCH(N8, ""m""), ""4"","""")"),"4")</f>
        <v>4</v>
      </c>
      <c r="DE8" s="246" t="str">
        <f>IFERROR(__xludf.DUMMYFUNCTION("IF(REGEXMATCH(N8, ""M""), ""#4"","""")"),"")</f>
        <v/>
      </c>
      <c r="DF8" s="245" t="str">
        <f>IFERROR(__xludf.DUMMYFUNCTION("IF(REGEXMATCH(N8, ""P""), ""5"","""")"),"5")</f>
        <v>5</v>
      </c>
      <c r="DG8" s="246" t="str">
        <f>IFERROR(__xludf.DUMMYFUNCTION("IF(REGEXMATCH(N8, ""d""), ""b6"","""")"),"b6")</f>
        <v>b6</v>
      </c>
      <c r="DH8" s="245" t="str">
        <f>IFERROR(__xludf.DUMMYFUNCTION("IF(REGEXMATCH(N8, ""D""), ""6"","""")"),"")</f>
        <v/>
      </c>
      <c r="DI8" s="245" t="str">
        <f>IFERROR(__xludf.DUMMYFUNCTION("IF(REGEXMATCH(N8, ""n""), ""b7"","""")"),"b7")</f>
        <v>b7</v>
      </c>
      <c r="DJ8" s="246" t="str">
        <f>IFERROR(__xludf.DUMMYFUNCTION("IF(REGEXMATCH(N8, ""N""), ""7"","""")"),"")</f>
        <v/>
      </c>
      <c r="DK8" s="249" t="str">
        <f>IFERROR(__xludf.DUMMYFUNCTION("IF(REGEXMATCH(N8, ""S""), ""8"","""")"),"8")</f>
        <v>8</v>
      </c>
      <c r="DL8" s="244" t="str">
        <f>IFERROR(__xludf.DUMMYFUNCTION("IF(REGEXMATCH(N8, ""S""), ""S"","""")"),"S")</f>
        <v>S</v>
      </c>
      <c r="DM8" s="294" t="str">
        <f>IFERROR(__xludf.DUMMYFUNCTION("IF(REGEXMATCH(N8, ""r""), ""R1"","""")"),"")</f>
        <v/>
      </c>
      <c r="DN8" s="295" t="str">
        <f>IFERROR(__xludf.DUMMYFUNCTION("IF(REGEXMATCH(N8, ""R""), ""R2"","""")"),"")</f>
        <v/>
      </c>
      <c r="DO8" s="295" t="str">
        <f>IFERROR(__xludf.DUMMYFUNCTION("IF(REGEXMATCH(N8, ""g""), ""G2"","""")"),"G2")</f>
        <v>G2</v>
      </c>
      <c r="DP8" s="294" t="str">
        <f>IFERROR(__xludf.DUMMYFUNCTION("IF(REGEXMATCH(N8, ""G""), ""G3"","""")"),"")</f>
        <v/>
      </c>
      <c r="DQ8" s="294" t="str">
        <f>IFERROR(__xludf.DUMMYFUNCTION("IF(REGEXMATCH(N8, ""m""), ""M1"","""")"),"M1")</f>
        <v>M1</v>
      </c>
      <c r="DR8" s="295" t="str">
        <f>IFERROR(__xludf.DUMMYFUNCTION("IF(REGEXMATCH(N8, ""M""), ""M2"","""")"),"")</f>
        <v/>
      </c>
      <c r="DS8" s="294" t="str">
        <f>IFERROR(__xludf.DUMMYFUNCTION("IF(REGEXMATCH(N8, ""P""), ""P"","""")"),"P")</f>
        <v>P</v>
      </c>
      <c r="DT8" s="295" t="str">
        <f>IFERROR(__xludf.DUMMYFUNCTION("IF(REGEXMATCH(N8, ""d""), ""D1"","""")"),"D1")</f>
        <v>D1</v>
      </c>
      <c r="DU8" s="294" t="str">
        <f>IFERROR(__xludf.DUMMYFUNCTION("IF(REGEXMATCH(N8, ""D""), ""D2"","""")"),"")</f>
        <v/>
      </c>
      <c r="DV8" s="294" t="str">
        <f>IFERROR(__xludf.DUMMYFUNCTION("IF(REGEXMATCH(N8, ""n""), ""N2"","""")"),"N2")</f>
        <v>N2</v>
      </c>
      <c r="DW8" s="295" t="str">
        <f>IFERROR(__xludf.DUMMYFUNCTION("IF(REGEXMATCH(N8, ""N""), ""N3"","""")"),"")</f>
        <v/>
      </c>
      <c r="DX8" s="249" t="str">
        <f>IFERROR(__xludf.DUMMYFUNCTION("IF(REGEXMATCH(N8, ""S""), ""S"","""")"),"S")</f>
        <v>S</v>
      </c>
      <c r="DY8" s="299" t="str">
        <f>IFERROR(__xludf.DUMMYFUNCTION("SUBSTITUTE(SUBSTITUTE(SUBSTITUTE(SUBSTITUTE(CONCATENATE(JOIN(""-"",CY8:DK8)),""--"",""-""),""--"",""-""),""--"",""-""),""--"",""-"")"),"1-b3-4-5-b6-b7-8")</f>
        <v>1-b3-4-5-b6-b7-8</v>
      </c>
      <c r="DZ8" s="299" t="str">
        <f>IFERROR(__xludf.DUMMYFUNCTION("SUBSTITUTE(SUBSTITUTE(SUBSTITUTE(SUBSTITUTE(CONCATENATE(JOIN(""-"",DL8:DX8)),""--"",""-""),""--"",""-""),""--"",""-""),""--"",""-"")"),"S-G2-M1-P-D1-N2-S")</f>
        <v>S-G2-M1-P-D1-N2-S</v>
      </c>
      <c r="EA8" s="348" t="str">
        <f t="shared" si="43"/>
        <v>C-Eb-F-G-Ab-Bb-C</v>
      </c>
      <c r="EB8" s="301">
        <f t="shared" si="44"/>
        <v>6</v>
      </c>
      <c r="EC8" s="302" t="str">
        <f t="shared" si="45"/>
        <v>Shadav</v>
      </c>
      <c r="ED8" s="301" t="str">
        <f t="shared" ref="ED8:EE8" si="174">SUBSTITUTE(AD8,"-","")</f>
        <v>SGM</v>
      </c>
      <c r="EE8" s="301" t="str">
        <f t="shared" si="174"/>
        <v>PDNS</v>
      </c>
      <c r="EF8" s="302" t="str">
        <f t="shared" si="47"/>
        <v>(n/a)</v>
      </c>
      <c r="EG8" s="301" t="str">
        <f t="shared" si="48"/>
        <v>Hemi.</v>
      </c>
      <c r="EH8" s="364" t="str">
        <f t="shared" si="49"/>
        <v>-</v>
      </c>
      <c r="EI8" s="306" t="str">
        <f t="shared" si="50"/>
        <v>-</v>
      </c>
      <c r="EJ8" s="366" t="str">
        <f t="shared" si="51"/>
        <v>✔</v>
      </c>
      <c r="EK8" s="308" t="str">
        <f t="shared" si="52"/>
        <v>-</v>
      </c>
      <c r="EL8" s="306" t="str">
        <f t="shared" si="53"/>
        <v>-</v>
      </c>
      <c r="EM8" s="306" t="str">
        <f t="shared" si="54"/>
        <v>✔</v>
      </c>
      <c r="EN8" s="367" t="str">
        <f t="shared" si="55"/>
        <v>-</v>
      </c>
      <c r="EO8" s="310" t="str">
        <f t="shared" si="56"/>
        <v>-</v>
      </c>
      <c r="EP8" s="310" t="str">
        <f t="shared" si="57"/>
        <v>-</v>
      </c>
      <c r="EQ8" s="310" t="str">
        <f t="shared" si="58"/>
        <v>-</v>
      </c>
      <c r="ER8" s="310" t="str">
        <f t="shared" si="59"/>
        <v>-</v>
      </c>
      <c r="ES8" s="370" t="str">
        <f t="shared" si="60"/>
        <v>-</v>
      </c>
      <c r="ET8" s="306" t="str">
        <f t="shared" si="61"/>
        <v>✔</v>
      </c>
      <c r="EU8" s="306" t="str">
        <f t="shared" si="62"/>
        <v>-</v>
      </c>
      <c r="EV8" s="306" t="str">
        <f t="shared" si="63"/>
        <v>-</v>
      </c>
      <c r="EW8" s="306" t="str">
        <f t="shared" si="64"/>
        <v>-</v>
      </c>
      <c r="EX8" s="306" t="str">
        <f t="shared" si="65"/>
        <v>-</v>
      </c>
      <c r="EY8" s="367" t="str">
        <f t="shared" si="66"/>
        <v>-</v>
      </c>
      <c r="EZ8" s="310" t="str">
        <f>IFERROR(__xludf.DUMMYFUNCTION("IF(REGEXMATCH(BM8,BI8),""✔"",""-"")"),"✔")</f>
        <v>✔</v>
      </c>
      <c r="FA8" s="310" t="str">
        <f t="shared" si="67"/>
        <v>-</v>
      </c>
      <c r="FB8" s="370" t="str">
        <f t="shared" si="68"/>
        <v>-</v>
      </c>
      <c r="FC8" s="415">
        <f t="shared" si="69"/>
        <v>2</v>
      </c>
      <c r="FD8" s="317" t="str">
        <f t="shared" si="70"/>
        <v>S-g-m-P-d-n-S</v>
      </c>
      <c r="FE8" s="318" t="str">
        <f>IFERROR(__xludf.DUMMYFUNCTION("CONCATENATE(JOIN("""",GJ8:GV8))"),"SRGmPDS")</f>
        <v>SRGmPDS</v>
      </c>
      <c r="FF8" s="318"/>
      <c r="FG8" s="318"/>
      <c r="FH8" s="321">
        <f t="shared" si="71"/>
        <v>1</v>
      </c>
      <c r="FI8" s="318" t="str">
        <f>IFERROR(__xludf.DUMMYFUNCTION("CONCATENATE(JOIN("""",HW8:II8))"),"Pa, ")</f>
        <v>Pa, </v>
      </c>
      <c r="FJ8" s="322">
        <f t="shared" si="72"/>
        <v>0</v>
      </c>
      <c r="FK8" s="324" t="str">
        <f>IFERROR(__xludf.DUMMYFUNCTION("CONCATENATE(JOIN("""",IW8:JI8))"),"")</f>
        <v/>
      </c>
      <c r="FL8" s="325" t="str">
        <f t="shared" si="73"/>
        <v>S-G2-M1-P-D1-N2-S</v>
      </c>
      <c r="FM8" s="326" t="str">
        <f t="shared" si="74"/>
        <v>1-b3-4-5-b6-b7-8</v>
      </c>
      <c r="FN8" s="326" t="str">
        <f t="shared" si="75"/>
        <v>0-3-5-7-8-10-0</v>
      </c>
      <c r="FO8" s="318"/>
      <c r="FP8" s="328" t="str">
        <f>IFERROR(__xludf.DUMMYFUNCTION("SUBSTITUTE(SUBSTITUTE(SUBSTITUTE(SUBSTITUTE(CONCATENATE(JOIN("" "",FS8:GE8)),""  "","" ""),""  "","" ""),""  "","" ""),""  "","" "")"),"o • • o • o • o o • o • o")</f>
        <v>o • • o • o • o o • o • o</v>
      </c>
      <c r="FQ8" s="328" t="str">
        <f t="shared" si="76"/>
        <v>-</v>
      </c>
      <c r="FR8" s="329"/>
      <c r="FS8" s="331" t="str">
        <f t="shared" si="77"/>
        <v>o</v>
      </c>
      <c r="FT8" s="332" t="str">
        <f t="shared" si="78"/>
        <v>•</v>
      </c>
      <c r="FU8" s="332" t="str">
        <f t="shared" si="79"/>
        <v>•</v>
      </c>
      <c r="FV8" s="332" t="str">
        <f t="shared" si="80"/>
        <v>o</v>
      </c>
      <c r="FW8" s="332" t="str">
        <f t="shared" si="81"/>
        <v>•</v>
      </c>
      <c r="FX8" s="332" t="str">
        <f t="shared" si="82"/>
        <v>o</v>
      </c>
      <c r="FY8" s="332" t="str">
        <f t="shared" si="83"/>
        <v>•</v>
      </c>
      <c r="FZ8" s="332" t="str">
        <f t="shared" si="84"/>
        <v>o</v>
      </c>
      <c r="GA8" s="332" t="str">
        <f t="shared" si="85"/>
        <v>o</v>
      </c>
      <c r="GB8" s="332" t="str">
        <f t="shared" si="86"/>
        <v>•</v>
      </c>
      <c r="GC8" s="332" t="str">
        <f t="shared" si="87"/>
        <v>o</v>
      </c>
      <c r="GD8" s="332" t="str">
        <f t="shared" si="88"/>
        <v>•</v>
      </c>
      <c r="GE8" s="338" t="str">
        <f t="shared" si="89"/>
        <v>o</v>
      </c>
      <c r="GF8" s="339" t="str">
        <f t="shared" si="90"/>
        <v>-</v>
      </c>
      <c r="GG8" s="339" t="str">
        <f t="shared" si="91"/>
        <v>Sa-Pa</v>
      </c>
      <c r="GH8" s="339" t="str">
        <f t="shared" si="92"/>
        <v>-</v>
      </c>
      <c r="GI8" s="340" t="str">
        <f t="shared" si="93"/>
        <v>-</v>
      </c>
      <c r="GJ8" s="331" t="str">
        <f t="shared" si="94"/>
        <v>S</v>
      </c>
      <c r="GK8" s="332" t="str">
        <f t="shared" si="95"/>
        <v/>
      </c>
      <c r="GL8" s="332" t="str">
        <f t="shared" si="96"/>
        <v>R</v>
      </c>
      <c r="GM8" s="332" t="str">
        <f t="shared" si="97"/>
        <v/>
      </c>
      <c r="GN8" s="332" t="str">
        <f t="shared" si="98"/>
        <v>G</v>
      </c>
      <c r="GO8" s="332" t="str">
        <f t="shared" si="99"/>
        <v>m</v>
      </c>
      <c r="GP8" s="332" t="str">
        <f t="shared" si="100"/>
        <v/>
      </c>
      <c r="GQ8" s="332" t="str">
        <f t="shared" si="101"/>
        <v>P</v>
      </c>
      <c r="GR8" s="332" t="str">
        <f t="shared" si="102"/>
        <v/>
      </c>
      <c r="GS8" s="332" t="str">
        <f t="shared" si="103"/>
        <v>D</v>
      </c>
      <c r="GT8" s="332" t="str">
        <f t="shared" si="104"/>
        <v/>
      </c>
      <c r="GU8" s="332" t="str">
        <f t="shared" si="105"/>
        <v/>
      </c>
      <c r="GV8" s="343" t="str">
        <f t="shared" si="106"/>
        <v>S</v>
      </c>
      <c r="GW8" s="331" t="str">
        <f t="shared" si="107"/>
        <v>•</v>
      </c>
      <c r="GX8" s="332" t="str">
        <f t="shared" si="108"/>
        <v>o</v>
      </c>
      <c r="GY8" s="332" t="str">
        <f t="shared" si="109"/>
        <v>o</v>
      </c>
      <c r="GZ8" s="332" t="str">
        <f t="shared" si="110"/>
        <v>•</v>
      </c>
      <c r="HA8" s="332" t="str">
        <f t="shared" si="111"/>
        <v>o</v>
      </c>
      <c r="HB8" s="332" t="str">
        <f t="shared" si="112"/>
        <v>•</v>
      </c>
      <c r="HC8" s="332" t="str">
        <f t="shared" si="113"/>
        <v>o</v>
      </c>
      <c r="HD8" s="332" t="str">
        <f t="shared" si="114"/>
        <v>•</v>
      </c>
      <c r="HE8" s="332" t="str">
        <f t="shared" si="115"/>
        <v>•</v>
      </c>
      <c r="HF8" s="332" t="str">
        <f t="shared" si="116"/>
        <v>o</v>
      </c>
      <c r="HG8" s="332" t="str">
        <f t="shared" si="117"/>
        <v>•</v>
      </c>
      <c r="HH8" s="332" t="str">
        <f t="shared" si="118"/>
        <v>o</v>
      </c>
      <c r="HI8" s="338" t="str">
        <f t="shared" si="119"/>
        <v>•</v>
      </c>
      <c r="HJ8" s="346" t="b">
        <f t="shared" si="120"/>
        <v>0</v>
      </c>
      <c r="HK8" s="347" t="b">
        <f t="shared" si="121"/>
        <v>0</v>
      </c>
      <c r="HL8" s="347" t="b">
        <f t="shared" si="122"/>
        <v>0</v>
      </c>
      <c r="HM8" s="347" t="b">
        <f t="shared" si="123"/>
        <v>0</v>
      </c>
      <c r="HN8" s="347" t="b">
        <f t="shared" si="124"/>
        <v>0</v>
      </c>
      <c r="HO8" s="347" t="b">
        <f t="shared" si="125"/>
        <v>0</v>
      </c>
      <c r="HP8" s="347" t="b">
        <f t="shared" si="126"/>
        <v>0</v>
      </c>
      <c r="HQ8" s="347" t="b">
        <f t="shared" si="127"/>
        <v>1</v>
      </c>
      <c r="HR8" s="347" t="b">
        <f t="shared" si="128"/>
        <v>0</v>
      </c>
      <c r="HS8" s="347" t="b">
        <f t="shared" si="129"/>
        <v>0</v>
      </c>
      <c r="HT8" s="347" t="b">
        <f t="shared" si="130"/>
        <v>0</v>
      </c>
      <c r="HU8" s="347" t="b">
        <f t="shared" si="131"/>
        <v>0</v>
      </c>
      <c r="HV8" s="353" t="b">
        <f t="shared" si="132"/>
        <v>0</v>
      </c>
      <c r="HW8" s="354" t="str">
        <f t="shared" si="133"/>
        <v/>
      </c>
      <c r="HX8" s="355" t="str">
        <f t="shared" si="134"/>
        <v/>
      </c>
      <c r="HY8" s="355" t="str">
        <f t="shared" si="135"/>
        <v/>
      </c>
      <c r="HZ8" s="355" t="str">
        <f t="shared" si="136"/>
        <v/>
      </c>
      <c r="IA8" s="355" t="str">
        <f t="shared" si="137"/>
        <v/>
      </c>
      <c r="IB8" s="355" t="str">
        <f t="shared" si="138"/>
        <v/>
      </c>
      <c r="IC8" s="355" t="str">
        <f t="shared" si="139"/>
        <v/>
      </c>
      <c r="ID8" s="355" t="str">
        <f t="shared" si="140"/>
        <v>Pa, </v>
      </c>
      <c r="IE8" s="355" t="str">
        <f t="shared" si="141"/>
        <v/>
      </c>
      <c r="IF8" s="355" t="str">
        <f t="shared" si="142"/>
        <v/>
      </c>
      <c r="IG8" s="355" t="str">
        <f t="shared" si="143"/>
        <v/>
      </c>
      <c r="IH8" s="355" t="str">
        <f t="shared" si="144"/>
        <v/>
      </c>
      <c r="II8" s="359" t="str">
        <f t="shared" si="145"/>
        <v/>
      </c>
      <c r="IJ8" s="346" t="b">
        <f t="shared" si="146"/>
        <v>0</v>
      </c>
      <c r="IK8" s="347" t="b">
        <f t="shared" si="147"/>
        <v>0</v>
      </c>
      <c r="IL8" s="347" t="b">
        <f t="shared" si="148"/>
        <v>0</v>
      </c>
      <c r="IM8" s="347" t="b">
        <f t="shared" si="149"/>
        <v>0</v>
      </c>
      <c r="IN8" s="347" t="b">
        <f t="shared" si="150"/>
        <v>0</v>
      </c>
      <c r="IO8" s="347" t="b">
        <f t="shared" si="151"/>
        <v>0</v>
      </c>
      <c r="IP8" s="347" t="b">
        <f t="shared" si="152"/>
        <v>0</v>
      </c>
      <c r="IQ8" s="347" t="b">
        <f t="shared" si="153"/>
        <v>0</v>
      </c>
      <c r="IR8" s="347" t="b">
        <f t="shared" si="154"/>
        <v>0</v>
      </c>
      <c r="IS8" s="347" t="b">
        <f t="shared" si="155"/>
        <v>0</v>
      </c>
      <c r="IT8" s="347" t="b">
        <f t="shared" si="156"/>
        <v>0</v>
      </c>
      <c r="IU8" s="347" t="b">
        <f t="shared" si="157"/>
        <v>0</v>
      </c>
      <c r="IV8" s="365" t="b">
        <f t="shared" si="158"/>
        <v>0</v>
      </c>
      <c r="IW8" s="354" t="str">
        <f t="shared" si="159"/>
        <v/>
      </c>
      <c r="IX8" s="355" t="str">
        <f t="shared" si="160"/>
        <v/>
      </c>
      <c r="IY8" s="355" t="str">
        <f t="shared" si="161"/>
        <v/>
      </c>
      <c r="IZ8" s="355" t="str">
        <f t="shared" si="162"/>
        <v/>
      </c>
      <c r="JA8" s="355" t="str">
        <f t="shared" si="163"/>
        <v/>
      </c>
      <c r="JB8" s="355" t="str">
        <f t="shared" si="164"/>
        <v/>
      </c>
      <c r="JC8" s="355" t="str">
        <f t="shared" si="165"/>
        <v/>
      </c>
      <c r="JD8" s="355" t="str">
        <f t="shared" si="166"/>
        <v/>
      </c>
      <c r="JE8" s="355" t="str">
        <f t="shared" si="167"/>
        <v/>
      </c>
      <c r="JF8" s="355" t="str">
        <f t="shared" si="168"/>
        <v/>
      </c>
      <c r="JG8" s="355" t="str">
        <f t="shared" si="169"/>
        <v/>
      </c>
      <c r="JH8" s="355" t="str">
        <f t="shared" si="170"/>
        <v/>
      </c>
      <c r="JI8" s="359"/>
      <c r="JJ8" s="321"/>
      <c r="JK8" s="368"/>
      <c r="JL8" s="369"/>
      <c r="JM8" s="369"/>
      <c r="JN8" s="369"/>
      <c r="JO8" s="369"/>
      <c r="JP8" s="369"/>
      <c r="JQ8" s="369"/>
      <c r="JR8" s="369"/>
      <c r="JS8" s="369"/>
      <c r="JT8" s="369"/>
      <c r="JU8" s="369"/>
    </row>
    <row r="9" ht="20.25" customHeight="1">
      <c r="A9" s="221" t="s">
        <v>788</v>
      </c>
      <c r="B9" s="223" t="s">
        <v>405</v>
      </c>
      <c r="C9" s="222" t="s">
        <v>275</v>
      </c>
      <c r="D9" s="222"/>
      <c r="E9" s="222" t="s">
        <v>275</v>
      </c>
      <c r="F9" s="222"/>
      <c r="G9" s="395" t="s">
        <v>275</v>
      </c>
      <c r="H9" s="222">
        <v>7.0</v>
      </c>
      <c r="I9" s="224" t="s">
        <v>398</v>
      </c>
      <c r="J9" s="414">
        <f t="shared" si="5"/>
        <v>2</v>
      </c>
      <c r="K9" s="227">
        <f t="shared" si="6"/>
        <v>7</v>
      </c>
      <c r="L9" s="229">
        <f t="shared" si="7"/>
        <v>7</v>
      </c>
      <c r="M9" s="230">
        <f t="shared" si="8"/>
        <v>0</v>
      </c>
      <c r="N9" s="233" t="str">
        <f t="shared" si="9"/>
        <v>SRgmPdnS</v>
      </c>
      <c r="O9" s="234" t="str">
        <f>IFERROR(__xludf.DUMMYFUNCTION("IF(REGEXMATCH(N9, ""S""), ""S"","""")"),"S")</f>
        <v>S</v>
      </c>
      <c r="P9" s="236" t="str">
        <f>IFERROR(__xludf.DUMMYFUNCTION("IF(REGEXMATCH(N9, ""r""), ""r"","""")"),"")</f>
        <v/>
      </c>
      <c r="Q9" s="237" t="str">
        <f>IFERROR(__xludf.DUMMYFUNCTION("IF(REGEXMATCH(N9, ""R""), ""R"","""")"),"R")</f>
        <v>R</v>
      </c>
      <c r="R9" s="237" t="str">
        <f>IFERROR(__xludf.DUMMYFUNCTION("IF(REGEXMATCH(N9, ""g""), ""g"","""")"),"g")</f>
        <v>g</v>
      </c>
      <c r="S9" s="236" t="str">
        <f>IFERROR(__xludf.DUMMYFUNCTION("IF(REGEXMATCH(N9, ""G""), ""G"","""")"),"")</f>
        <v/>
      </c>
      <c r="T9" s="236" t="str">
        <f>IFERROR(__xludf.DUMMYFUNCTION("IF(REGEXMATCH(N9, ""m""), ""m"","""")"),"m")</f>
        <v>m</v>
      </c>
      <c r="U9" s="237" t="str">
        <f>IFERROR(__xludf.DUMMYFUNCTION("IF(REGEXMATCH(N9, ""M""), ""M"","""")"),"")</f>
        <v/>
      </c>
      <c r="V9" s="236" t="str">
        <f>IFERROR(__xludf.DUMMYFUNCTION("IF(REGEXMATCH(N9, ""P""), ""P"","""")"),"P")</f>
        <v>P</v>
      </c>
      <c r="W9" s="237" t="str">
        <f>IFERROR(__xludf.DUMMYFUNCTION("IF(REGEXMATCH(N9, ""d""), ""d"","""")"),"d")</f>
        <v>d</v>
      </c>
      <c r="X9" s="236" t="str">
        <f>IFERROR(__xludf.DUMMYFUNCTION("IF(REGEXMATCH(N9, ""D""), ""D"","""")"),"")</f>
        <v/>
      </c>
      <c r="Y9" s="236" t="str">
        <f>IFERROR(__xludf.DUMMYFUNCTION("IF(REGEXMATCH(N9, ""n""), ""n"","""")"),"n")</f>
        <v>n</v>
      </c>
      <c r="Z9" s="237" t="str">
        <f>IFERROR(__xludf.DUMMYFUNCTION("IF(REGEXMATCH(N9, ""N""), ""N"","""")"),"")</f>
        <v/>
      </c>
      <c r="AA9" s="238" t="str">
        <f>IFERROR(__xludf.DUMMYFUNCTION("IF(REGEXMATCH(N9, ""S""), ""S"","""")"),"S")</f>
        <v>S</v>
      </c>
      <c r="AB9" s="239" t="str">
        <f>IFERROR(__xludf.DUMMYFUNCTION("SUBSTITUTE(CONCATENATE(JOIN(""-"",O9:U9)),""-"","""")"),"SRgm")</f>
        <v>SRgm</v>
      </c>
      <c r="AC9" s="229" t="str">
        <f>IFERROR(__xludf.DUMMYFUNCTION("SUBSTITUTE(CONCATENATE(JOIN(""-"",V9:AA9)),""-"","""")"),"PdnS")</f>
        <v>PdnS</v>
      </c>
      <c r="AD9" s="282" t="str">
        <f t="shared" si="10"/>
        <v>S-R-G-M</v>
      </c>
      <c r="AE9" s="282" t="str">
        <f t="shared" si="11"/>
        <v>P-D-N-S</v>
      </c>
      <c r="AF9" s="309" t="str">
        <f t="shared" si="12"/>
        <v>Rgmdn</v>
      </c>
      <c r="AG9" s="244" t="str">
        <f>IFERROR(__xludf.DUMMYFUNCTION("IF(REGEXMATCH(N9, ""S""), ""0"","""")"),"0")</f>
        <v>0</v>
      </c>
      <c r="AH9" s="245" t="str">
        <f>IFERROR(__xludf.DUMMYFUNCTION("IF(REGEXMATCH(N9, ""r""), ""1"","""")"),"")</f>
        <v/>
      </c>
      <c r="AI9" s="246" t="str">
        <f>IFERROR(__xludf.DUMMYFUNCTION("IF(REGEXMATCH(N9, ""R""), ""2"","""")"),"2")</f>
        <v>2</v>
      </c>
      <c r="AJ9" s="246" t="str">
        <f>IFERROR(__xludf.DUMMYFUNCTION("IF(REGEXMATCH(N9, ""g""), ""3"","""")"),"3")</f>
        <v>3</v>
      </c>
      <c r="AK9" s="245" t="str">
        <f>IFERROR(__xludf.DUMMYFUNCTION("IF(REGEXMATCH(N9, ""G""), ""4"","""")"),"")</f>
        <v/>
      </c>
      <c r="AL9" s="245" t="str">
        <f>IFERROR(__xludf.DUMMYFUNCTION("IF(REGEXMATCH(N9, ""m""), ""5"","""")"),"5")</f>
        <v>5</v>
      </c>
      <c r="AM9" s="246" t="str">
        <f>IFERROR(__xludf.DUMMYFUNCTION("IF(REGEXMATCH(N9, ""M""), ""6"","""")"),"")</f>
        <v/>
      </c>
      <c r="AN9" s="245" t="str">
        <f>IFERROR(__xludf.DUMMYFUNCTION("IF(REGEXMATCH(N9, ""P""), ""7"","""")"),"7")</f>
        <v>7</v>
      </c>
      <c r="AO9" s="246" t="str">
        <f>IFERROR(__xludf.DUMMYFUNCTION("IF(REGEXMATCH(N9, ""d""), ""8"","""")"),"8")</f>
        <v>8</v>
      </c>
      <c r="AP9" s="245" t="str">
        <f>IFERROR(__xludf.DUMMYFUNCTION("IF(REGEXMATCH(N9, ""D""), ""9"","""")"),"")</f>
        <v/>
      </c>
      <c r="AQ9" s="245" t="str">
        <f>IFERROR(__xludf.DUMMYFUNCTION("IF(REGEXMATCH(N9, ""n""), ""10"","""")"),"10")</f>
        <v>10</v>
      </c>
      <c r="AR9" s="246" t="str">
        <f>IFERROR(__xludf.DUMMYFUNCTION("IF(REGEXMATCH(N9, ""N""), ""11"","""")"),"")</f>
        <v/>
      </c>
      <c r="AS9" s="249" t="str">
        <f>IFERROR(__xludf.DUMMYFUNCTION("IF(REGEXMATCH(N9, ""S""), ""0"","""")"),"0")</f>
        <v>0</v>
      </c>
      <c r="AT9" s="250" t="str">
        <f>IFERROR(__xludf.DUMMYFUNCTION("SUBSTITUTE(SUBSTITUTE(SUBSTITUTE(SUBSTITUTE(CONCATENATE(JOIN(""-"",AG9:AS9)),""--"",""-""),""--"",""-""),""--"",""-""),""--"",""-"")"),"0-2-3-5-7-8-10-0")</f>
        <v>0-2-3-5-7-8-10-0</v>
      </c>
      <c r="AU9" s="251">
        <f t="shared" si="13"/>
        <v>2</v>
      </c>
      <c r="AV9" s="234" t="str">
        <f t="shared" si="14"/>
        <v>|</v>
      </c>
      <c r="AW9" s="236" t="str">
        <f t="shared" si="15"/>
        <v>-</v>
      </c>
      <c r="AX9" s="237" t="str">
        <f t="shared" si="16"/>
        <v>|</v>
      </c>
      <c r="AY9" s="236" t="str">
        <f t="shared" si="17"/>
        <v>|</v>
      </c>
      <c r="AZ9" s="237" t="str">
        <f t="shared" si="18"/>
        <v>-</v>
      </c>
      <c r="BA9" s="236" t="str">
        <f t="shared" si="19"/>
        <v>|</v>
      </c>
      <c r="BB9" s="237" t="str">
        <f t="shared" si="20"/>
        <v>-</v>
      </c>
      <c r="BC9" s="236" t="str">
        <f t="shared" si="21"/>
        <v>|</v>
      </c>
      <c r="BD9" s="237" t="str">
        <f t="shared" si="22"/>
        <v>|</v>
      </c>
      <c r="BE9" s="236" t="str">
        <f t="shared" si="23"/>
        <v>-</v>
      </c>
      <c r="BF9" s="237" t="str">
        <f t="shared" si="24"/>
        <v>|</v>
      </c>
      <c r="BG9" s="236" t="str">
        <f t="shared" si="25"/>
        <v>-</v>
      </c>
      <c r="BH9" s="238" t="str">
        <f t="shared" si="26"/>
        <v>|</v>
      </c>
      <c r="BI9" s="250" t="str">
        <f>IFERROR(__xludf.DUMMYFUNCTION("SUBSTITUTE(SUBSTITUTE(CONCATENATE(JOIN("""",AV9:BG9)),""|"",""x""),""-"",""o"")"),"xoxxoxoxxoxo")</f>
        <v>xoxxoxoxxoxo</v>
      </c>
      <c r="BJ9" s="323" t="str">
        <f>IFERROR(__xludf.DUMMYFUNCTION("JOIN("""",BI9,BI9)"),"xoxxoxoxxoxoxoxxoxoxxoxo")</f>
        <v>xoxxoxoxxoxoxoxxoxoxxoxo</v>
      </c>
      <c r="BK9" s="256" t="str">
        <f>IFERROR(__xludf.DUMMYFUNCTION("JOIN("""",ArrayFormula(MID(BI9,LEN(BI9)-SEQUENCE(1,LEN(BI9))+1,1)))"),"oxoxxoxoxxox")</f>
        <v>oxoxxoxoxxox</v>
      </c>
      <c r="BL9" s="256" t="str">
        <f>IFERROR(__xludf.DUMMYFUNCTION("LEFT(CONCATENATE(""x"",JOIN("""",ArrayFormula(MID(BI9,LEN(BI9)-SEQUENCE(1,LEN(BI9))+1,1)))),12)"),"xoxoxxoxoxxo")</f>
        <v>xoxoxxoxoxxo</v>
      </c>
      <c r="BM9" s="327" t="str">
        <f>IFERROR(__xludf.DUMMYFUNCTION("JOIN("""",BK9,BK9)"),"oxoxxoxoxxoxoxoxxoxoxxox")</f>
        <v>oxoxxoxoxxoxoxoxxoxoxxox</v>
      </c>
      <c r="BN9" s="239" t="str">
        <f>IFERROR(__xludf.DUMMYFUNCTION("IF(REGEXMATCH(BM9,BI9),""✔"",""-"")"),"✔")</f>
        <v>✔</v>
      </c>
      <c r="BO9" s="330" t="str">
        <f t="shared" si="27"/>
        <v>-</v>
      </c>
      <c r="BP9" s="260" t="str">
        <f t="shared" si="28"/>
        <v>-</v>
      </c>
      <c r="BQ9" s="261" t="str">
        <f>IFERROR(__xludf.DUMMYFUNCTION("IF(BT9=0,""(n/a)"",IF(BU9=2,""(PAIR)"",IF(REGEXMATCH(BJ9,""xoxoxxoxoxox""),""Bilawal"",IF(REGEXMATCH(BJ9,""xoxoxooxoxoo""),""Bhupali"",IF(REGEXMATCH(BJ9,""xoxoxxoxxoxo""),""Charukeshi"",IF(REGEXMATCH(BJ9,""xoxoooxxoxxo""),""Kameshwari"",IF(REGEXMATCH(BJ9,"&amp;"""xoxoxooxoxox""),""Shankara"",IF(REGEXMATCH(BJ9,""xxooxoxxxoox""),""Basant"",IF(REGEXMATCH(BJ9,""xoxoxxxxoxox""),""Bihag"",IF(REGEXMATCH(BJ9,""xoxxxxoxoxxx""),""Pilu"",IF(REGEXMATCH(BJ9,""xoxxoxoxxoox""),""Kirwani"",IF(REGEXMATCH(BJ9,""xoxxoxoxoxxx""),"""&amp;"Mk.Malhar"",IF(REGEXMATCH(BJ9,""xxooxxoxxoox""),""Bhairav"",IF(REGEXMATCH(BJ9,""xxoxooxxxoox""),""Todi"",IF(REGEXMATCH(BJ9,""xxooxoxooxox""),""Marwa"",IF(REGEXMATCH(BJ9,""xxoooxoxxooo""),""Gunkali"",IF(REGEXMATCH(BJ9,""xoxoxxoxxoox""),""Nat Bhairav"",IF(R"&amp;"EGEXMATCH(BJ9,""xoxxoooxoxoo""),""Shivranjani"",IF(REGEXMATCH(BJ9,""xooxxxoxooxo""),""Jog"",IF(REGEXMATCH(BJ9,""xxooxoxoxoox""),""Hemshri"",IF(REGEXMATCH(BJ9,""xoooxooxoxxo""),""Kalavati"",IF(REGEXMATCH(BJ9,""xxoxoxxoxoox""),""Kedar"",IF(REGEXMATCH(BJ9,"""&amp;"xoxxxxoxooxx""),""Gara"",IF(REGEXMATCH(BJ9,""xooxoxooxoox""),""Chandrakauns"",IF(REGEXMATCH(BJ9,""xoxxxxoxxxox""),""Mand"",IF(REGEXMATCH(BJ9,""xoxxxxoxoxox""),""Hanskinkini"",IF(REGEXMATCH(BJ9,""xxooxxoxooxo""),""Lilavati"",IF(REGEXMATCH(BJ9,""xooxoxoooxo"&amp;"x""),""Rajeshwari"",IF(REGEXMATCH(BJ9,""xoooxxoxoxxx""),""Khokar"",IF(REGEXMATCH(BJ9,""xxooxoxxxxox""),""Maligoura"",""-""))))))))))))))))))))))))))))))"),"Bilawal")</f>
        <v>Bilawal</v>
      </c>
      <c r="BR9" s="239">
        <f t="shared" si="29"/>
        <v>6</v>
      </c>
      <c r="BS9" s="239">
        <f>IFERROR(__xludf.DUMMYFUNCTION("COUNTUNIQUE(BW9:CG9)-1"),6.0)</f>
        <v>6</v>
      </c>
      <c r="BT9" s="239">
        <f>IFERROR(__xludf.DUMMYFUNCTION("COUNTUNIQUE(FILTER(BJ:BJ,REGEXMATCH(BJ:BJ,BI9)))-1"),1.0)</f>
        <v>1</v>
      </c>
      <c r="BU9" s="239">
        <f>IFERROR(__xludf.DUMMYFUNCTION("COUNTA(FILTER(BJ:BJ,REGEXMATCH(BJ:BJ,BI9)))"),4.0)</f>
        <v>4</v>
      </c>
      <c r="BV9" s="341">
        <f>IFERROR(__xludf.DUMMYFUNCTION("COUNTA(FILTER(BJ:BJ,REGEXMATCH(BJ:BJ,BI9)))-AU9"),2.0)</f>
        <v>2</v>
      </c>
      <c r="BW9" s="269" t="str">
        <f t="shared" si="30"/>
        <v>-</v>
      </c>
      <c r="BX9" s="269" t="str">
        <f t="shared" si="31"/>
        <v>xxoxoxxoxox</v>
      </c>
      <c r="BY9" s="271" t="str">
        <f t="shared" si="32"/>
        <v>xoxoxxoxoxo</v>
      </c>
      <c r="BZ9" s="269" t="str">
        <f t="shared" si="33"/>
        <v>-</v>
      </c>
      <c r="CA9" s="271" t="str">
        <f t="shared" si="34"/>
        <v>xoxxoxoxoxx</v>
      </c>
      <c r="CB9" s="271" t="str">
        <f t="shared" si="35"/>
        <v>-</v>
      </c>
      <c r="CC9" s="271" t="str">
        <f t="shared" si="36"/>
        <v>xxoxoxoxxox</v>
      </c>
      <c r="CD9" s="271" t="str">
        <f t="shared" si="37"/>
        <v>xoxoxoxxoxo</v>
      </c>
      <c r="CE9" s="271" t="str">
        <f t="shared" si="38"/>
        <v>-</v>
      </c>
      <c r="CF9" s="271" t="str">
        <f t="shared" si="39"/>
        <v>xoxoxxoxoxx</v>
      </c>
      <c r="CG9" s="274" t="str">
        <f t="shared" si="40"/>
        <v>-</v>
      </c>
      <c r="CH9" s="276" t="str">
        <f>IFERROR(__xludf.DUMMYFUNCTION("IF(BI9=""oooooooooooo"",""-"",IF(REGEXMATCH(BJ9,""xx""), ""Hemi."", ""Anhemi.""))"),"Hemi.")</f>
        <v>Hemi.</v>
      </c>
      <c r="CI9" s="282" t="str">
        <f>IFERROR(__xludf.DUMMYFUNCTION("IF(BI9=""oooooooooooo"",""-"",IF(REGEXMATCH(BJ9,""xxx""), ""Cohem."", ""-""))"),"-")</f>
        <v>-</v>
      </c>
      <c r="CJ9" s="282" t="str">
        <f>IFERROR(__xludf.DUMMYFUNCTION("IF(BI9=""oooooooooooo"",""-"",IF(REGEXMATCH(BJ9,""xxxx""), ""Co-Co."", ""-""))"),"-")</f>
        <v>-</v>
      </c>
      <c r="CK9" s="342" t="str">
        <f>IFERROR(__xludf.DUMMYFUNCTION("IF(BI9=""oooooooooooo"",""-"",IF(REGEXMATCH(BJ9,""xxxxx""), ""CCC."", ""-""))"),"-")</f>
        <v>-</v>
      </c>
      <c r="CL9" s="344" t="str">
        <f t="shared" si="41"/>
        <v>Asavari</v>
      </c>
      <c r="CM9" s="282" t="str">
        <f>IFERROR(__xludf.DUMMYFUNCTION("IF(REGEXMATCH(JOIN(""-"",CO9:CX9),""TRUE""),""✔"",""-"")"),"✔")</f>
        <v>✔</v>
      </c>
      <c r="CN9" s="225">
        <f t="shared" si="42"/>
        <v>1</v>
      </c>
      <c r="CO9" s="376" t="b">
        <f>IFERROR(__xludf.DUMMYFUNCTION("arrayformula(sum(--REGEXMATCH(""SRGMPDNS"",split(REGEXREPLACE(N9,""(.)"",""$1~""),""~""))))=len(N9)
"),FALSE)</f>
        <v>0</v>
      </c>
      <c r="CP9" s="290" t="b">
        <f>IFERROR(__xludf.DUMMYFUNCTION("arrayformula(sum(--REGEXMATCH(""SRGmPDNS"",split(REGEXREPLACE(N9,""(.)"",""$1~""),""~""))))=len(N9)"),FALSE)</f>
        <v>0</v>
      </c>
      <c r="CQ9" s="290" t="b">
        <f>IFERROR(__xludf.DUMMYFUNCTION("arrayformula(sum(--REGEXMATCH(""SRGmPDnS"",split(REGEXREPLACE(N9,""(.)"",""$1~""),""~""))))=len(N9)"),FALSE)</f>
        <v>0</v>
      </c>
      <c r="CR9" s="290" t="b">
        <f>IFERROR(__xludf.DUMMYFUNCTION("arrayformula(sum(--REGEXMATCH(""SRgmPDnS"",split(REGEXREPLACE(N9,""(.)"",""$1~""),""~""))))=len(N9)"),FALSE)</f>
        <v>0</v>
      </c>
      <c r="CS9" s="290" t="b">
        <f>IFERROR(__xludf.DUMMYFUNCTION("arrayformula(sum(--REGEXMATCH(""SRgmPdnS"",split(REGEXREPLACE(N9,""(.)"",""$1~""),""~""))))=len(N9)"),TRUE)</f>
        <v>1</v>
      </c>
      <c r="CT9" s="290" t="b">
        <f>IFERROR(__xludf.DUMMYFUNCTION("arrayformula(sum(--REGEXMATCH(""SrgmPdnS"",split(REGEXREPLACE(N9,""(.)"",""$1~""),""~""))))=len(N9)"),FALSE)</f>
        <v>0</v>
      </c>
      <c r="CU9" s="290" t="b">
        <f>IFERROR(__xludf.DUMMYFUNCTION("arrayformula(sum(--REGEXMATCH(""SrGmPdNS"",split(REGEXREPLACE(N9,""(.)"",""$1~""),""~""))))=len(N9)"),FALSE)</f>
        <v>0</v>
      </c>
      <c r="CV9" s="290" t="b">
        <f>IFERROR(__xludf.DUMMYFUNCTION("arrayformula(sum(--REGEXMATCH(""SrGMPDNS"",split(REGEXREPLACE(N9,""(.)"",""$1~""),""~""))))=len(N9)"),FALSE)</f>
        <v>0</v>
      </c>
      <c r="CW9" s="290" t="b">
        <f>IFERROR(__xludf.DUMMYFUNCTION("arrayformula(sum(--REGEXMATCH(""SrGMPdNS"",split(REGEXREPLACE(N9,""(.)"",""$1~""),""~""))))=len(N9)"),FALSE)</f>
        <v>0</v>
      </c>
      <c r="CX9" s="293" t="b">
        <f>IFERROR(__xludf.DUMMYFUNCTION("arrayformula(sum(--REGEXMATCH(""SrgMPdNS"",split(REGEXREPLACE(N9,""(.)"",""$1~""),""~""))))=len(N9)"),FALSE)</f>
        <v>0</v>
      </c>
      <c r="CY9" s="244" t="str">
        <f>IFERROR(__xludf.DUMMYFUNCTION("IF(REGEXMATCH(N9, ""S""), ""1"","""")"),"1")</f>
        <v>1</v>
      </c>
      <c r="CZ9" s="245" t="str">
        <f>IFERROR(__xludf.DUMMYFUNCTION("IF(REGEXMATCH(N9, ""r""), ""b2"","""")"),"")</f>
        <v/>
      </c>
      <c r="DA9" s="246" t="str">
        <f>IFERROR(__xludf.DUMMYFUNCTION("IF(REGEXMATCH(N9, ""R""), ""2"","""")"),"2")</f>
        <v>2</v>
      </c>
      <c r="DB9" s="246" t="str">
        <f>IFERROR(__xludf.DUMMYFUNCTION("IF(REGEXMATCH(N9, ""g""), ""b3"","""")"),"b3")</f>
        <v>b3</v>
      </c>
      <c r="DC9" s="245" t="str">
        <f>IFERROR(__xludf.DUMMYFUNCTION("IF(REGEXMATCH(N9, ""G""), ""3"","""")"),"")</f>
        <v/>
      </c>
      <c r="DD9" s="245" t="str">
        <f>IFERROR(__xludf.DUMMYFUNCTION("IF(REGEXMATCH(N9, ""m""), ""4"","""")"),"4")</f>
        <v>4</v>
      </c>
      <c r="DE9" s="246" t="str">
        <f>IFERROR(__xludf.DUMMYFUNCTION("IF(REGEXMATCH(N9, ""M""), ""#4"","""")"),"")</f>
        <v/>
      </c>
      <c r="DF9" s="245" t="str">
        <f>IFERROR(__xludf.DUMMYFUNCTION("IF(REGEXMATCH(N9, ""P""), ""5"","""")"),"5")</f>
        <v>5</v>
      </c>
      <c r="DG9" s="246" t="str">
        <f>IFERROR(__xludf.DUMMYFUNCTION("IF(REGEXMATCH(N9, ""d""), ""b6"","""")"),"b6")</f>
        <v>b6</v>
      </c>
      <c r="DH9" s="245" t="str">
        <f>IFERROR(__xludf.DUMMYFUNCTION("IF(REGEXMATCH(N9, ""D""), ""6"","""")"),"")</f>
        <v/>
      </c>
      <c r="DI9" s="245" t="str">
        <f>IFERROR(__xludf.DUMMYFUNCTION("IF(REGEXMATCH(N9, ""n""), ""b7"","""")"),"b7")</f>
        <v>b7</v>
      </c>
      <c r="DJ9" s="246" t="str">
        <f>IFERROR(__xludf.DUMMYFUNCTION("IF(REGEXMATCH(N9, ""N""), ""7"","""")"),"")</f>
        <v/>
      </c>
      <c r="DK9" s="249" t="str">
        <f>IFERROR(__xludf.DUMMYFUNCTION("IF(REGEXMATCH(N9, ""S""), ""8"","""")"),"8")</f>
        <v>8</v>
      </c>
      <c r="DL9" s="244" t="str">
        <f>IFERROR(__xludf.DUMMYFUNCTION("IF(REGEXMATCH(N9, ""S""), ""S"","""")"),"S")</f>
        <v>S</v>
      </c>
      <c r="DM9" s="294" t="str">
        <f>IFERROR(__xludf.DUMMYFUNCTION("IF(REGEXMATCH(N9, ""r""), ""R1"","""")"),"")</f>
        <v/>
      </c>
      <c r="DN9" s="295" t="str">
        <f>IFERROR(__xludf.DUMMYFUNCTION("IF(REGEXMATCH(N9, ""R""), ""R2"","""")"),"R2")</f>
        <v>R2</v>
      </c>
      <c r="DO9" s="295" t="str">
        <f>IFERROR(__xludf.DUMMYFUNCTION("IF(REGEXMATCH(N9, ""g""), ""G2"","""")"),"G2")</f>
        <v>G2</v>
      </c>
      <c r="DP9" s="294" t="str">
        <f>IFERROR(__xludf.DUMMYFUNCTION("IF(REGEXMATCH(N9, ""G""), ""G3"","""")"),"")</f>
        <v/>
      </c>
      <c r="DQ9" s="294" t="str">
        <f>IFERROR(__xludf.DUMMYFUNCTION("IF(REGEXMATCH(N9, ""m""), ""M1"","""")"),"M1")</f>
        <v>M1</v>
      </c>
      <c r="DR9" s="295" t="str">
        <f>IFERROR(__xludf.DUMMYFUNCTION("IF(REGEXMATCH(N9, ""M""), ""M2"","""")"),"")</f>
        <v/>
      </c>
      <c r="DS9" s="294" t="str">
        <f>IFERROR(__xludf.DUMMYFUNCTION("IF(REGEXMATCH(N9, ""P""), ""P"","""")"),"P")</f>
        <v>P</v>
      </c>
      <c r="DT9" s="295" t="str">
        <f>IFERROR(__xludf.DUMMYFUNCTION("IF(REGEXMATCH(N9, ""d""), ""D1"","""")"),"D1")</f>
        <v>D1</v>
      </c>
      <c r="DU9" s="294" t="str">
        <f>IFERROR(__xludf.DUMMYFUNCTION("IF(REGEXMATCH(N9, ""D""), ""D2"","""")"),"")</f>
        <v/>
      </c>
      <c r="DV9" s="294" t="str">
        <f>IFERROR(__xludf.DUMMYFUNCTION("IF(REGEXMATCH(N9, ""n""), ""N2"","""")"),"N2")</f>
        <v>N2</v>
      </c>
      <c r="DW9" s="295" t="str">
        <f>IFERROR(__xludf.DUMMYFUNCTION("IF(REGEXMATCH(N9, ""N""), ""N3"","""")"),"")</f>
        <v/>
      </c>
      <c r="DX9" s="249" t="str">
        <f>IFERROR(__xludf.DUMMYFUNCTION("IF(REGEXMATCH(N9, ""S""), ""S"","""")"),"S")</f>
        <v>S</v>
      </c>
      <c r="DY9" s="299" t="str">
        <f>IFERROR(__xludf.DUMMYFUNCTION("SUBSTITUTE(SUBSTITUTE(SUBSTITUTE(SUBSTITUTE(CONCATENATE(JOIN(""-"",CY9:DK9)),""--"",""-""),""--"",""-""),""--"",""-""),""--"",""-"")"),"1-2-b3-4-5-b6-b7-8")</f>
        <v>1-2-b3-4-5-b6-b7-8</v>
      </c>
      <c r="DZ9" s="299" t="str">
        <f>IFERROR(__xludf.DUMMYFUNCTION("SUBSTITUTE(SUBSTITUTE(SUBSTITUTE(SUBSTITUTE(CONCATENATE(JOIN(""-"",DL9:DX9)),""--"",""-""),""--"",""-""),""--"",""-""),""--"",""-"")"),"S-R2-G2-M1-P-D1-N2-S")</f>
        <v>S-R2-G2-M1-P-D1-N2-S</v>
      </c>
      <c r="EA9" s="348" t="str">
        <f t="shared" si="43"/>
        <v>C-D-Eb-F-G-Ab-Bb-C</v>
      </c>
      <c r="EB9" s="301">
        <f t="shared" si="44"/>
        <v>7</v>
      </c>
      <c r="EC9" s="302" t="str">
        <f t="shared" si="45"/>
        <v>Sampurna</v>
      </c>
      <c r="ED9" s="301" t="str">
        <f t="shared" ref="ED9:EE9" si="175">SUBSTITUTE(AD9,"-","")</f>
        <v>SRGM</v>
      </c>
      <c r="EE9" s="301" t="str">
        <f t="shared" si="175"/>
        <v>PDNS</v>
      </c>
      <c r="EF9" s="302" t="str">
        <f t="shared" si="47"/>
        <v>Bilawal</v>
      </c>
      <c r="EG9" s="301" t="str">
        <f t="shared" si="48"/>
        <v>Hemi.</v>
      </c>
      <c r="EH9" s="364" t="str">
        <f t="shared" si="49"/>
        <v>-</v>
      </c>
      <c r="EI9" s="306" t="str">
        <f t="shared" si="50"/>
        <v>Asavari</v>
      </c>
      <c r="EJ9" s="366" t="str">
        <f t="shared" si="51"/>
        <v>-</v>
      </c>
      <c r="EK9" s="308" t="str">
        <f t="shared" si="52"/>
        <v>-</v>
      </c>
      <c r="EL9" s="306" t="str">
        <f t="shared" si="53"/>
        <v>-</v>
      </c>
      <c r="EM9" s="306" t="str">
        <f t="shared" si="54"/>
        <v>-</v>
      </c>
      <c r="EN9" s="367" t="str">
        <f t="shared" si="55"/>
        <v>-</v>
      </c>
      <c r="EO9" s="310" t="str">
        <f t="shared" si="56"/>
        <v>-</v>
      </c>
      <c r="EP9" s="310" t="str">
        <f t="shared" si="57"/>
        <v>-</v>
      </c>
      <c r="EQ9" s="310" t="str">
        <f t="shared" si="58"/>
        <v>-</v>
      </c>
      <c r="ER9" s="310" t="str">
        <f t="shared" si="59"/>
        <v>-</v>
      </c>
      <c r="ES9" s="370" t="str">
        <f t="shared" si="60"/>
        <v>-</v>
      </c>
      <c r="ET9" s="306" t="str">
        <f t="shared" si="61"/>
        <v>-</v>
      </c>
      <c r="EU9" s="306" t="str">
        <f t="shared" si="62"/>
        <v>-</v>
      </c>
      <c r="EV9" s="306" t="str">
        <f t="shared" si="63"/>
        <v>-</v>
      </c>
      <c r="EW9" s="306" t="str">
        <f t="shared" si="64"/>
        <v>-</v>
      </c>
      <c r="EX9" s="306" t="str">
        <f t="shared" si="65"/>
        <v>-</v>
      </c>
      <c r="EY9" s="367" t="str">
        <f t="shared" si="66"/>
        <v>-</v>
      </c>
      <c r="EZ9" s="310" t="str">
        <f>IFERROR(__xludf.DUMMYFUNCTION("IF(REGEXMATCH(BM9,BI9),""✔"",""-"")"),"✔")</f>
        <v>✔</v>
      </c>
      <c r="FA9" s="310" t="str">
        <f t="shared" si="67"/>
        <v>-</v>
      </c>
      <c r="FB9" s="370" t="str">
        <f t="shared" si="68"/>
        <v>-</v>
      </c>
      <c r="FC9" s="415">
        <f t="shared" si="69"/>
        <v>2</v>
      </c>
      <c r="FD9" s="317" t="str">
        <f t="shared" si="70"/>
        <v>S-R-g-m-P-d-n-S</v>
      </c>
      <c r="FE9" s="318" t="str">
        <f>IFERROR(__xludf.DUMMYFUNCTION("CONCATENATE(JOIN("""",GJ9:GV9))"),"SRGmPDnS")</f>
        <v>SRGmPDnS</v>
      </c>
      <c r="FF9" s="318"/>
      <c r="FG9" s="318"/>
      <c r="FH9" s="321">
        <f t="shared" si="71"/>
        <v>1</v>
      </c>
      <c r="FI9" s="318" t="str">
        <f>IFERROR(__xludf.DUMMYFUNCTION("CONCATENATE(JOIN("""",HW9:II9))"),"Re, ")</f>
        <v>Re, </v>
      </c>
      <c r="FJ9" s="322">
        <f t="shared" si="72"/>
        <v>0</v>
      </c>
      <c r="FK9" s="324" t="str">
        <f>IFERROR(__xludf.DUMMYFUNCTION("CONCATENATE(JOIN("""",IW9:JI9))"),"")</f>
        <v/>
      </c>
      <c r="FL9" s="325" t="str">
        <f t="shared" si="73"/>
        <v>S-R2-G2-M1-P-D1-N2-S</v>
      </c>
      <c r="FM9" s="326" t="str">
        <f t="shared" si="74"/>
        <v>1-2-b3-4-5-b6-b7-8</v>
      </c>
      <c r="FN9" s="326" t="str">
        <f t="shared" si="75"/>
        <v>0-2-3-5-7-8-10-0</v>
      </c>
      <c r="FO9" s="318"/>
      <c r="FP9" s="328" t="str">
        <f>IFERROR(__xludf.DUMMYFUNCTION("SUBSTITUTE(SUBSTITUTE(SUBSTITUTE(SUBSTITUTE(CONCATENATE(JOIN("" "",FS9:GE9)),""  "","" ""),""  "","" ""),""  "","" ""),""  "","" "")"),"o • o o • o • o o • o • o")</f>
        <v>o • o o • o • o o • o • o</v>
      </c>
      <c r="FQ9" s="328" t="str">
        <f t="shared" si="76"/>
        <v>-</v>
      </c>
      <c r="FR9" s="329"/>
      <c r="FS9" s="331" t="str">
        <f t="shared" si="77"/>
        <v>o</v>
      </c>
      <c r="FT9" s="332" t="str">
        <f t="shared" si="78"/>
        <v>•</v>
      </c>
      <c r="FU9" s="332" t="str">
        <f t="shared" si="79"/>
        <v>o</v>
      </c>
      <c r="FV9" s="332" t="str">
        <f t="shared" si="80"/>
        <v>o</v>
      </c>
      <c r="FW9" s="332" t="str">
        <f t="shared" si="81"/>
        <v>•</v>
      </c>
      <c r="FX9" s="332" t="str">
        <f t="shared" si="82"/>
        <v>o</v>
      </c>
      <c r="FY9" s="332" t="str">
        <f t="shared" si="83"/>
        <v>•</v>
      </c>
      <c r="FZ9" s="332" t="str">
        <f t="shared" si="84"/>
        <v>o</v>
      </c>
      <c r="GA9" s="332" t="str">
        <f t="shared" si="85"/>
        <v>o</v>
      </c>
      <c r="GB9" s="332" t="str">
        <f t="shared" si="86"/>
        <v>•</v>
      </c>
      <c r="GC9" s="332" t="str">
        <f t="shared" si="87"/>
        <v>o</v>
      </c>
      <c r="GD9" s="332" t="str">
        <f t="shared" si="88"/>
        <v>•</v>
      </c>
      <c r="GE9" s="338" t="str">
        <f t="shared" si="89"/>
        <v>o</v>
      </c>
      <c r="GF9" s="339" t="str">
        <f t="shared" si="90"/>
        <v>-</v>
      </c>
      <c r="GG9" s="339" t="str">
        <f t="shared" si="91"/>
        <v>Sa-Pa</v>
      </c>
      <c r="GH9" s="339" t="str">
        <f t="shared" si="92"/>
        <v>-</v>
      </c>
      <c r="GI9" s="340" t="str">
        <f t="shared" si="93"/>
        <v>-</v>
      </c>
      <c r="GJ9" s="331" t="str">
        <f t="shared" si="94"/>
        <v>S</v>
      </c>
      <c r="GK9" s="332" t="str">
        <f t="shared" si="95"/>
        <v/>
      </c>
      <c r="GL9" s="332" t="str">
        <f t="shared" si="96"/>
        <v>R</v>
      </c>
      <c r="GM9" s="332" t="str">
        <f t="shared" si="97"/>
        <v/>
      </c>
      <c r="GN9" s="332" t="str">
        <f t="shared" si="98"/>
        <v>G</v>
      </c>
      <c r="GO9" s="332" t="str">
        <f t="shared" si="99"/>
        <v>m</v>
      </c>
      <c r="GP9" s="332" t="str">
        <f t="shared" si="100"/>
        <v/>
      </c>
      <c r="GQ9" s="332" t="str">
        <f t="shared" si="101"/>
        <v>P</v>
      </c>
      <c r="GR9" s="332" t="str">
        <f t="shared" si="102"/>
        <v/>
      </c>
      <c r="GS9" s="332" t="str">
        <f t="shared" si="103"/>
        <v>D</v>
      </c>
      <c r="GT9" s="332" t="str">
        <f t="shared" si="104"/>
        <v>n</v>
      </c>
      <c r="GU9" s="332" t="str">
        <f t="shared" si="105"/>
        <v/>
      </c>
      <c r="GV9" s="343" t="str">
        <f t="shared" si="106"/>
        <v>S</v>
      </c>
      <c r="GW9" s="331" t="str">
        <f t="shared" si="107"/>
        <v>•</v>
      </c>
      <c r="GX9" s="332" t="str">
        <f t="shared" si="108"/>
        <v>o</v>
      </c>
      <c r="GY9" s="332" t="str">
        <f t="shared" si="109"/>
        <v>•</v>
      </c>
      <c r="GZ9" s="332" t="str">
        <f t="shared" si="110"/>
        <v>•</v>
      </c>
      <c r="HA9" s="332" t="str">
        <f t="shared" si="111"/>
        <v>o</v>
      </c>
      <c r="HB9" s="332" t="str">
        <f t="shared" si="112"/>
        <v>•</v>
      </c>
      <c r="HC9" s="332" t="str">
        <f t="shared" si="113"/>
        <v>o</v>
      </c>
      <c r="HD9" s="332" t="str">
        <f t="shared" si="114"/>
        <v>•</v>
      </c>
      <c r="HE9" s="332" t="str">
        <f t="shared" si="115"/>
        <v>•</v>
      </c>
      <c r="HF9" s="332" t="str">
        <f t="shared" si="116"/>
        <v>o</v>
      </c>
      <c r="HG9" s="332" t="str">
        <f t="shared" si="117"/>
        <v>•</v>
      </c>
      <c r="HH9" s="332" t="str">
        <f t="shared" si="118"/>
        <v>o</v>
      </c>
      <c r="HI9" s="338" t="str">
        <f t="shared" si="119"/>
        <v>•</v>
      </c>
      <c r="HJ9" s="346" t="b">
        <f t="shared" si="120"/>
        <v>0</v>
      </c>
      <c r="HK9" s="347" t="b">
        <f t="shared" si="121"/>
        <v>0</v>
      </c>
      <c r="HL9" s="347" t="b">
        <f t="shared" si="122"/>
        <v>1</v>
      </c>
      <c r="HM9" s="347" t="b">
        <f t="shared" si="123"/>
        <v>0</v>
      </c>
      <c r="HN9" s="347" t="b">
        <f t="shared" si="124"/>
        <v>0</v>
      </c>
      <c r="HO9" s="347" t="b">
        <f t="shared" si="125"/>
        <v>0</v>
      </c>
      <c r="HP9" s="347" t="b">
        <f t="shared" si="126"/>
        <v>0</v>
      </c>
      <c r="HQ9" s="347" t="b">
        <f t="shared" si="127"/>
        <v>0</v>
      </c>
      <c r="HR9" s="347" t="b">
        <f t="shared" si="128"/>
        <v>0</v>
      </c>
      <c r="HS9" s="347" t="b">
        <f t="shared" si="129"/>
        <v>0</v>
      </c>
      <c r="HT9" s="347" t="b">
        <f t="shared" si="130"/>
        <v>0</v>
      </c>
      <c r="HU9" s="347" t="b">
        <f t="shared" si="131"/>
        <v>0</v>
      </c>
      <c r="HV9" s="353" t="b">
        <f t="shared" si="132"/>
        <v>0</v>
      </c>
      <c r="HW9" s="354" t="str">
        <f t="shared" si="133"/>
        <v/>
      </c>
      <c r="HX9" s="355" t="str">
        <f t="shared" si="134"/>
        <v/>
      </c>
      <c r="HY9" s="355" t="str">
        <f t="shared" si="135"/>
        <v>Re, </v>
      </c>
      <c r="HZ9" s="355" t="str">
        <f t="shared" si="136"/>
        <v/>
      </c>
      <c r="IA9" s="355" t="str">
        <f t="shared" si="137"/>
        <v/>
      </c>
      <c r="IB9" s="355" t="str">
        <f t="shared" si="138"/>
        <v/>
      </c>
      <c r="IC9" s="355" t="str">
        <f t="shared" si="139"/>
        <v/>
      </c>
      <c r="ID9" s="355" t="str">
        <f t="shared" si="140"/>
        <v/>
      </c>
      <c r="IE9" s="355" t="str">
        <f t="shared" si="141"/>
        <v/>
      </c>
      <c r="IF9" s="355" t="str">
        <f t="shared" si="142"/>
        <v/>
      </c>
      <c r="IG9" s="355" t="str">
        <f t="shared" si="143"/>
        <v/>
      </c>
      <c r="IH9" s="355" t="str">
        <f t="shared" si="144"/>
        <v/>
      </c>
      <c r="II9" s="359" t="str">
        <f t="shared" si="145"/>
        <v/>
      </c>
      <c r="IJ9" s="346" t="b">
        <f t="shared" si="146"/>
        <v>0</v>
      </c>
      <c r="IK9" s="347" t="b">
        <f t="shared" si="147"/>
        <v>0</v>
      </c>
      <c r="IL9" s="347" t="b">
        <f t="shared" si="148"/>
        <v>0</v>
      </c>
      <c r="IM9" s="347" t="b">
        <f t="shared" si="149"/>
        <v>0</v>
      </c>
      <c r="IN9" s="347" t="b">
        <f t="shared" si="150"/>
        <v>0</v>
      </c>
      <c r="IO9" s="347" t="b">
        <f t="shared" si="151"/>
        <v>0</v>
      </c>
      <c r="IP9" s="347" t="b">
        <f t="shared" si="152"/>
        <v>0</v>
      </c>
      <c r="IQ9" s="347" t="b">
        <f t="shared" si="153"/>
        <v>0</v>
      </c>
      <c r="IR9" s="347" t="b">
        <f t="shared" si="154"/>
        <v>0</v>
      </c>
      <c r="IS9" s="347" t="b">
        <f t="shared" si="155"/>
        <v>0</v>
      </c>
      <c r="IT9" s="347" t="b">
        <f t="shared" si="156"/>
        <v>0</v>
      </c>
      <c r="IU9" s="347" t="b">
        <f t="shared" si="157"/>
        <v>0</v>
      </c>
      <c r="IV9" s="365" t="b">
        <f t="shared" si="158"/>
        <v>0</v>
      </c>
      <c r="IW9" s="354" t="str">
        <f t="shared" si="159"/>
        <v/>
      </c>
      <c r="IX9" s="355" t="str">
        <f t="shared" si="160"/>
        <v/>
      </c>
      <c r="IY9" s="355" t="str">
        <f t="shared" si="161"/>
        <v/>
      </c>
      <c r="IZ9" s="355" t="str">
        <f t="shared" si="162"/>
        <v/>
      </c>
      <c r="JA9" s="355" t="str">
        <f t="shared" si="163"/>
        <v/>
      </c>
      <c r="JB9" s="355" t="str">
        <f t="shared" si="164"/>
        <v/>
      </c>
      <c r="JC9" s="355" t="str">
        <f t="shared" si="165"/>
        <v/>
      </c>
      <c r="JD9" s="355" t="str">
        <f t="shared" si="166"/>
        <v/>
      </c>
      <c r="JE9" s="355" t="str">
        <f t="shared" si="167"/>
        <v/>
      </c>
      <c r="JF9" s="355" t="str">
        <f t="shared" si="168"/>
        <v/>
      </c>
      <c r="JG9" s="355" t="str">
        <f t="shared" si="169"/>
        <v/>
      </c>
      <c r="JH9" s="355" t="str">
        <f t="shared" si="170"/>
        <v/>
      </c>
      <c r="JI9" s="359"/>
      <c r="JJ9" s="321"/>
      <c r="JK9" s="368"/>
      <c r="JL9" s="369"/>
      <c r="JM9" s="369"/>
      <c r="JN9" s="369"/>
      <c r="JO9" s="369"/>
      <c r="JP9" s="369"/>
      <c r="JQ9" s="369"/>
      <c r="JR9" s="369"/>
      <c r="JS9" s="369"/>
      <c r="JT9" s="369"/>
      <c r="JU9" s="369"/>
    </row>
    <row r="10" ht="20.25" customHeight="1">
      <c r="A10" s="221" t="s">
        <v>859</v>
      </c>
      <c r="B10" s="223" t="s">
        <v>616</v>
      </c>
      <c r="C10" s="222"/>
      <c r="D10" s="222"/>
      <c r="E10" s="222"/>
      <c r="F10" s="222"/>
      <c r="G10" s="222"/>
      <c r="H10" s="222">
        <v>8.0</v>
      </c>
      <c r="I10" s="224" t="s">
        <v>398</v>
      </c>
      <c r="J10" s="225" t="str">
        <f t="shared" si="5"/>
        <v>[UQ]</v>
      </c>
      <c r="K10" s="227">
        <f t="shared" si="6"/>
        <v>5</v>
      </c>
      <c r="L10" s="229">
        <f t="shared" si="7"/>
        <v>5</v>
      </c>
      <c r="M10" s="230">
        <f t="shared" si="8"/>
        <v>0</v>
      </c>
      <c r="N10" s="233" t="str">
        <f t="shared" si="9"/>
        <v>SGmDNS</v>
      </c>
      <c r="O10" s="234" t="str">
        <f>IFERROR(__xludf.DUMMYFUNCTION("IF(REGEXMATCH(N10, ""S""), ""S"","""")"),"S")</f>
        <v>S</v>
      </c>
      <c r="P10" s="236" t="str">
        <f>IFERROR(__xludf.DUMMYFUNCTION("IF(REGEXMATCH(N10, ""r""), ""r"","""")"),"")</f>
        <v/>
      </c>
      <c r="Q10" s="237" t="str">
        <f>IFERROR(__xludf.DUMMYFUNCTION("IF(REGEXMATCH(N10, ""R""), ""R"","""")"),"")</f>
        <v/>
      </c>
      <c r="R10" s="237" t="str">
        <f>IFERROR(__xludf.DUMMYFUNCTION("IF(REGEXMATCH(N10, ""g""), ""g"","""")"),"")</f>
        <v/>
      </c>
      <c r="S10" s="236" t="str">
        <f>IFERROR(__xludf.DUMMYFUNCTION("IF(REGEXMATCH(N10, ""G""), ""G"","""")"),"G")</f>
        <v>G</v>
      </c>
      <c r="T10" s="236" t="str">
        <f>IFERROR(__xludf.DUMMYFUNCTION("IF(REGEXMATCH(N10, ""m""), ""m"","""")"),"m")</f>
        <v>m</v>
      </c>
      <c r="U10" s="237" t="str">
        <f>IFERROR(__xludf.DUMMYFUNCTION("IF(REGEXMATCH(N10, ""M""), ""M"","""")"),"")</f>
        <v/>
      </c>
      <c r="V10" s="236" t="str">
        <f>IFERROR(__xludf.DUMMYFUNCTION("IF(REGEXMATCH(N10, ""P""), ""P"","""")"),"")</f>
        <v/>
      </c>
      <c r="W10" s="237" t="str">
        <f>IFERROR(__xludf.DUMMYFUNCTION("IF(REGEXMATCH(N10, ""d""), ""d"","""")"),"")</f>
        <v/>
      </c>
      <c r="X10" s="236" t="str">
        <f>IFERROR(__xludf.DUMMYFUNCTION("IF(REGEXMATCH(N10, ""D""), ""D"","""")"),"D")</f>
        <v>D</v>
      </c>
      <c r="Y10" s="236" t="str">
        <f>IFERROR(__xludf.DUMMYFUNCTION("IF(REGEXMATCH(N10, ""n""), ""n"","""")"),"")</f>
        <v/>
      </c>
      <c r="Z10" s="237" t="str">
        <f>IFERROR(__xludf.DUMMYFUNCTION("IF(REGEXMATCH(N10, ""N""), ""N"","""")"),"N")</f>
        <v>N</v>
      </c>
      <c r="AA10" s="238" t="str">
        <f>IFERROR(__xludf.DUMMYFUNCTION("IF(REGEXMATCH(N10, ""S""), ""S"","""")"),"S")</f>
        <v>S</v>
      </c>
      <c r="AB10" s="239" t="str">
        <f>IFERROR(__xludf.DUMMYFUNCTION("SUBSTITUTE(CONCATENATE(JOIN(""-"",O10:U10)),""-"","""")"),"SGm")</f>
        <v>SGm</v>
      </c>
      <c r="AC10" s="229" t="str">
        <f>IFERROR(__xludf.DUMMYFUNCTION("SUBSTITUTE(CONCATENATE(JOIN(""-"",V10:AA10)),""-"","""")"),"DNS")</f>
        <v>DNS</v>
      </c>
      <c r="AD10" s="282" t="str">
        <f t="shared" si="10"/>
        <v>S-G-M</v>
      </c>
      <c r="AE10" s="282" t="str">
        <f t="shared" si="11"/>
        <v>D-N-S</v>
      </c>
      <c r="AF10" s="309" t="str">
        <f t="shared" si="12"/>
        <v>GmDN</v>
      </c>
      <c r="AG10" s="244" t="str">
        <f>IFERROR(__xludf.DUMMYFUNCTION("IF(REGEXMATCH(N10, ""S""), ""0"","""")"),"0")</f>
        <v>0</v>
      </c>
      <c r="AH10" s="245" t="str">
        <f>IFERROR(__xludf.DUMMYFUNCTION("IF(REGEXMATCH(N10, ""r""), ""1"","""")"),"")</f>
        <v/>
      </c>
      <c r="AI10" s="246" t="str">
        <f>IFERROR(__xludf.DUMMYFUNCTION("IF(REGEXMATCH(N10, ""R""), ""2"","""")"),"")</f>
        <v/>
      </c>
      <c r="AJ10" s="246" t="str">
        <f>IFERROR(__xludf.DUMMYFUNCTION("IF(REGEXMATCH(N10, ""g""), ""3"","""")"),"")</f>
        <v/>
      </c>
      <c r="AK10" s="245" t="str">
        <f>IFERROR(__xludf.DUMMYFUNCTION("IF(REGEXMATCH(N10, ""G""), ""4"","""")"),"4")</f>
        <v>4</v>
      </c>
      <c r="AL10" s="245" t="str">
        <f>IFERROR(__xludf.DUMMYFUNCTION("IF(REGEXMATCH(N10, ""m""), ""5"","""")"),"5")</f>
        <v>5</v>
      </c>
      <c r="AM10" s="246" t="str">
        <f>IFERROR(__xludf.DUMMYFUNCTION("IF(REGEXMATCH(N10, ""M""), ""6"","""")"),"")</f>
        <v/>
      </c>
      <c r="AN10" s="245" t="str">
        <f>IFERROR(__xludf.DUMMYFUNCTION("IF(REGEXMATCH(N10, ""P""), ""7"","""")"),"")</f>
        <v/>
      </c>
      <c r="AO10" s="246" t="str">
        <f>IFERROR(__xludf.DUMMYFUNCTION("IF(REGEXMATCH(N10, ""d""), ""8"","""")"),"")</f>
        <v/>
      </c>
      <c r="AP10" s="245" t="str">
        <f>IFERROR(__xludf.DUMMYFUNCTION("IF(REGEXMATCH(N10, ""D""), ""9"","""")"),"9")</f>
        <v>9</v>
      </c>
      <c r="AQ10" s="245" t="str">
        <f>IFERROR(__xludf.DUMMYFUNCTION("IF(REGEXMATCH(N10, ""n""), ""10"","""")"),"")</f>
        <v/>
      </c>
      <c r="AR10" s="246" t="str">
        <f>IFERROR(__xludf.DUMMYFUNCTION("IF(REGEXMATCH(N10, ""N""), ""11"","""")"),"11")</f>
        <v>11</v>
      </c>
      <c r="AS10" s="249" t="str">
        <f>IFERROR(__xludf.DUMMYFUNCTION("IF(REGEXMATCH(N10, ""S""), ""0"","""")"),"0")</f>
        <v>0</v>
      </c>
      <c r="AT10" s="250" t="str">
        <f>IFERROR(__xludf.DUMMYFUNCTION("SUBSTITUTE(SUBSTITUTE(SUBSTITUTE(SUBSTITUTE(CONCATENATE(JOIN(""-"",AG10:AS10)),""--"",""-""),""--"",""-""),""--"",""-""),""--"",""-"")"),"0-4-5-9-11-0")</f>
        <v>0-4-5-9-11-0</v>
      </c>
      <c r="AU10" s="251">
        <f t="shared" si="13"/>
        <v>0</v>
      </c>
      <c r="AV10" s="234" t="str">
        <f t="shared" si="14"/>
        <v>|</v>
      </c>
      <c r="AW10" s="236" t="str">
        <f t="shared" si="15"/>
        <v>-</v>
      </c>
      <c r="AX10" s="237" t="str">
        <f t="shared" si="16"/>
        <v>-</v>
      </c>
      <c r="AY10" s="236" t="str">
        <f t="shared" si="17"/>
        <v>-</v>
      </c>
      <c r="AZ10" s="237" t="str">
        <f t="shared" si="18"/>
        <v>|</v>
      </c>
      <c r="BA10" s="236" t="str">
        <f t="shared" si="19"/>
        <v>|</v>
      </c>
      <c r="BB10" s="237" t="str">
        <f t="shared" si="20"/>
        <v>-</v>
      </c>
      <c r="BC10" s="236" t="str">
        <f t="shared" si="21"/>
        <v>-</v>
      </c>
      <c r="BD10" s="237" t="str">
        <f t="shared" si="22"/>
        <v>-</v>
      </c>
      <c r="BE10" s="236" t="str">
        <f t="shared" si="23"/>
        <v>|</v>
      </c>
      <c r="BF10" s="237" t="str">
        <f t="shared" si="24"/>
        <v>-</v>
      </c>
      <c r="BG10" s="236" t="str">
        <f t="shared" si="25"/>
        <v>|</v>
      </c>
      <c r="BH10" s="238" t="str">
        <f t="shared" si="26"/>
        <v>|</v>
      </c>
      <c r="BI10" s="250" t="str">
        <f>IFERROR(__xludf.DUMMYFUNCTION("SUBSTITUTE(SUBSTITUTE(CONCATENATE(JOIN("""",AV10:BG10)),""|"",""x""),""-"",""o"")"),"xoooxxoooxox")</f>
        <v>xoooxxoooxox</v>
      </c>
      <c r="BJ10" s="323" t="str">
        <f>IFERROR(__xludf.DUMMYFUNCTION("JOIN("""",BI10,BI10)"),"xoooxxoooxoxxoooxxoooxox")</f>
        <v>xoooxxoooxoxxoooxxoooxox</v>
      </c>
      <c r="BK10" s="256" t="str">
        <f>IFERROR(__xludf.DUMMYFUNCTION("JOIN("""",ArrayFormula(MID(BI10,LEN(BI10)-SEQUENCE(1,LEN(BI10))+1,1)))"),"xoxoooxxooox")</f>
        <v>xoxoooxxooox</v>
      </c>
      <c r="BL10" s="256" t="str">
        <f>IFERROR(__xludf.DUMMYFUNCTION("LEFT(CONCATENATE(""x"",JOIN("""",ArrayFormula(MID(BI10,LEN(BI10)-SEQUENCE(1,LEN(BI10))+1,1)))),12)"),"xxoxoooxxooo")</f>
        <v>xxoxoooxxooo</v>
      </c>
      <c r="BM10" s="327" t="str">
        <f>IFERROR(__xludf.DUMMYFUNCTION("JOIN("""",BK10,BK10)"),"xoxoooxxoooxxoxoooxxooox")</f>
        <v>xoxoooxxoooxxoxoooxxooox</v>
      </c>
      <c r="BN10" s="239" t="str">
        <f>IFERROR(__xludf.DUMMYFUNCTION("IF(REGEXMATCH(BM10,BI10),""✔"",""-"")"),"-")</f>
        <v>-</v>
      </c>
      <c r="BO10" s="330" t="str">
        <f t="shared" si="27"/>
        <v>-</v>
      </c>
      <c r="BP10" s="260" t="str">
        <f t="shared" si="28"/>
        <v>-</v>
      </c>
      <c r="BQ10" s="261" t="str">
        <f>IFERROR(__xludf.DUMMYFUNCTION("IF(BT10=0,""(n/a)"",IF(BU10=2,""(PAIR)"",IF(REGEXMATCH(BJ10,""xoxoxxoxoxox""),""Bilawal"",IF(REGEXMATCH(BJ10,""xoxoxooxoxoo""),""Bhupali"",IF(REGEXMATCH(BJ10,""xoxoxxoxxoxo""),""Charukeshi"",IF(REGEXMATCH(BJ10,""xoxoooxxoxxo""),""Kameshwari"",IF(REGEXMATC"&amp;"H(BJ10,""xoxoxooxoxox""),""Shankara"",IF(REGEXMATCH(BJ10,""xxooxoxxxoox""),""Basant"",IF(REGEXMATCH(BJ10,""xoxoxxxxoxox""),""Bihag"",IF(REGEXMATCH(BJ10,""xoxxxxoxoxxx""),""Pilu"",IF(REGEXMATCH(BJ10,""xoxxoxoxxoox""),""Kirwani"",IF(REGEXMATCH(BJ10,""xoxxox"&amp;"oxoxxx""),""Mk.Malhar"",IF(REGEXMATCH(BJ10,""xxooxxoxxoox""),""Bhairav"",IF(REGEXMATCH(BJ10,""xxoxooxxxoox""),""Todi"",IF(REGEXMATCH(BJ10,""xxooxoxooxox""),""Marwa"",IF(REGEXMATCH(BJ10,""xxoooxoxxooo""),""Gunkali"",IF(REGEXMATCH(BJ10,""xoxoxxoxxoox""),""N"&amp;"at Bhairav"",IF(REGEXMATCH(BJ10,""xoxxoooxoxoo""),""Shivranjani"",IF(REGEXMATCH(BJ10,""xooxxxoxooxo""),""Jog"",IF(REGEXMATCH(BJ10,""xxooxoxoxoox""),""Hemshri"",IF(REGEXMATCH(BJ10,""xoooxooxoxxo""),""Kalavati"",IF(REGEXMATCH(BJ10,""xxoxoxxoxoox""),""Kedar"&amp;""",IF(REGEXMATCH(BJ10,""xoxxxxoxooxx""),""Gara"",IF(REGEXMATCH(BJ10,""xooxoxooxoox""),""Chandrakauns"",IF(REGEXMATCH(BJ10,""xoxxxxoxxxox""),""Mand"",IF(REGEXMATCH(BJ10,""xoxxxxoxoxox""),""Hanskinkini"",IF(REGEXMATCH(BJ10,""xxooxxoxooxo""),""Lilavati"",IF("&amp;"REGEXMATCH(BJ10,""xooxoxoooxox""),""Rajeshwari"",IF(REGEXMATCH(BJ10,""xoooxxoxoxxx""),""Khokar"",IF(REGEXMATCH(BJ10,""xxooxoxxxxox""),""Maligoura"",""-""))))))))))))))))))))))))))))))"),"(n/a)")</f>
        <v>(n/a)</v>
      </c>
      <c r="BR10" s="239">
        <f t="shared" si="29"/>
        <v>4</v>
      </c>
      <c r="BS10" s="239">
        <f>IFERROR(__xludf.DUMMYFUNCTION("COUNTUNIQUE(BW10:CG10)-1"),4.0)</f>
        <v>4</v>
      </c>
      <c r="BT10" s="239">
        <f>IFERROR(__xludf.DUMMYFUNCTION("COUNTUNIQUE(FILTER(BJ:BJ,REGEXMATCH(BJ:BJ,BI10)))-1"),0.0)</f>
        <v>0</v>
      </c>
      <c r="BU10" s="239">
        <f>IFERROR(__xludf.DUMMYFUNCTION("COUNTA(FILTER(BJ:BJ,REGEXMATCH(BJ:BJ,BI10)))"),1.0)</f>
        <v>1</v>
      </c>
      <c r="BV10" s="341">
        <f>IFERROR(__xludf.DUMMYFUNCTION("COUNTA(FILTER(BJ:BJ,REGEXMATCH(BJ:BJ,BI10)))-AU10"),1.0)</f>
        <v>1</v>
      </c>
      <c r="BW10" s="269" t="str">
        <f t="shared" si="30"/>
        <v>-</v>
      </c>
      <c r="BX10" s="269" t="str">
        <f t="shared" si="31"/>
        <v>-</v>
      </c>
      <c r="BY10" s="271" t="str">
        <f t="shared" si="32"/>
        <v>-</v>
      </c>
      <c r="BZ10" s="269" t="str">
        <f t="shared" si="33"/>
        <v>xxoooxoxxoo</v>
      </c>
      <c r="CA10" s="271" t="str">
        <f t="shared" si="34"/>
        <v>xoooxoxxooo</v>
      </c>
      <c r="CB10" s="271" t="str">
        <f t="shared" si="35"/>
        <v>-</v>
      </c>
      <c r="CC10" s="271" t="str">
        <f t="shared" si="36"/>
        <v>-</v>
      </c>
      <c r="CD10" s="271" t="str">
        <f t="shared" si="37"/>
        <v>-</v>
      </c>
      <c r="CE10" s="271" t="str">
        <f t="shared" si="38"/>
        <v>xoxxoooxxoo</v>
      </c>
      <c r="CF10" s="271" t="str">
        <f t="shared" si="39"/>
        <v>-</v>
      </c>
      <c r="CG10" s="274" t="str">
        <f t="shared" si="40"/>
        <v>xxoooxxooox</v>
      </c>
      <c r="CH10" s="276" t="str">
        <f>IFERROR(__xludf.DUMMYFUNCTION("IF(BI10=""oooooooooooo"",""-"",IF(REGEXMATCH(BJ10,""xx""), ""Hemi."", ""Anhemi.""))"),"Hemi.")</f>
        <v>Hemi.</v>
      </c>
      <c r="CI10" s="282" t="str">
        <f>IFERROR(__xludf.DUMMYFUNCTION("IF(BI10=""oooooooooooo"",""-"",IF(REGEXMATCH(BJ10,""xxx""), ""Cohem."", ""-""))"),"-")</f>
        <v>-</v>
      </c>
      <c r="CJ10" s="282" t="str">
        <f>IFERROR(__xludf.DUMMYFUNCTION("IF(BI10=""oooooooooooo"",""-"",IF(REGEXMATCH(BJ10,""xxxx""), ""Co-Co."", ""-""))"),"-")</f>
        <v>-</v>
      </c>
      <c r="CK10" s="342" t="str">
        <f>IFERROR(__xludf.DUMMYFUNCTION("IF(BI10=""oooooooooooo"",""-"",IF(REGEXMATCH(BJ10,""xxxxx""), ""CCC."", ""-""))"),"-")</f>
        <v>-</v>
      </c>
      <c r="CL10" s="344" t="str">
        <f t="shared" si="41"/>
        <v>-</v>
      </c>
      <c r="CM10" s="282" t="str">
        <f>IFERROR(__xludf.DUMMYFUNCTION("IF(REGEXMATCH(JOIN(""-"",CO10:CX10),""TRUE""),""✔"",""-"")"),"✔")</f>
        <v>✔</v>
      </c>
      <c r="CN10" s="225">
        <f t="shared" si="42"/>
        <v>1</v>
      </c>
      <c r="CO10" s="376" t="b">
        <f>IFERROR(__xludf.DUMMYFUNCTION("arrayformula(sum(--REGEXMATCH(""SRGMPDNS"",split(REGEXREPLACE(N10,""(.)"",""$1~""),""~""))))=len(N10)
"),FALSE)</f>
        <v>0</v>
      </c>
      <c r="CP10" s="290" t="b">
        <f>IFERROR(__xludf.DUMMYFUNCTION("arrayformula(sum(--REGEXMATCH(""SRGmPDNS"",split(REGEXREPLACE(N10,""(.)"",""$1~""),""~""))))=len(N10)"),TRUE)</f>
        <v>1</v>
      </c>
      <c r="CQ10" s="290" t="b">
        <f>IFERROR(__xludf.DUMMYFUNCTION("arrayformula(sum(--REGEXMATCH(""SRGmPDnS"",split(REGEXREPLACE(N10,""(.)"",""$1~""),""~""))))=len(N10)"),FALSE)</f>
        <v>0</v>
      </c>
      <c r="CR10" s="290" t="b">
        <f>IFERROR(__xludf.DUMMYFUNCTION("arrayformula(sum(--REGEXMATCH(""SRgmPDnS"",split(REGEXREPLACE(N10,""(.)"",""$1~""),""~""))))=len(N10)"),FALSE)</f>
        <v>0</v>
      </c>
      <c r="CS10" s="290" t="b">
        <f>IFERROR(__xludf.DUMMYFUNCTION("arrayformula(sum(--REGEXMATCH(""SRgmPdnS"",split(REGEXREPLACE(N10,""(.)"",""$1~""),""~""))))=len(N10)"),FALSE)</f>
        <v>0</v>
      </c>
      <c r="CT10" s="290" t="b">
        <f>IFERROR(__xludf.DUMMYFUNCTION("arrayformula(sum(--REGEXMATCH(""SrgmPdnS"",split(REGEXREPLACE(N10,""(.)"",""$1~""),""~""))))=len(N10)"),FALSE)</f>
        <v>0</v>
      </c>
      <c r="CU10" s="290" t="b">
        <f>IFERROR(__xludf.DUMMYFUNCTION("arrayformula(sum(--REGEXMATCH(""SrGmPdNS"",split(REGEXREPLACE(N10,""(.)"",""$1~""),""~""))))=len(N10)"),FALSE)</f>
        <v>0</v>
      </c>
      <c r="CV10" s="290" t="b">
        <f>IFERROR(__xludf.DUMMYFUNCTION("arrayformula(sum(--REGEXMATCH(""SrGMPDNS"",split(REGEXREPLACE(N10,""(.)"",""$1~""),""~""))))=len(N10)"),FALSE)</f>
        <v>0</v>
      </c>
      <c r="CW10" s="290" t="b">
        <f>IFERROR(__xludf.DUMMYFUNCTION("arrayformula(sum(--REGEXMATCH(""SrGMPdNS"",split(REGEXREPLACE(N10,""(.)"",""$1~""),""~""))))=len(N10)"),FALSE)</f>
        <v>0</v>
      </c>
      <c r="CX10" s="293" t="b">
        <f>IFERROR(__xludf.DUMMYFUNCTION("arrayformula(sum(--REGEXMATCH(""SrgMPdNS"",split(REGEXREPLACE(N10,""(.)"",""$1~""),""~""))))=len(N10)"),FALSE)</f>
        <v>0</v>
      </c>
      <c r="CY10" s="244" t="str">
        <f>IFERROR(__xludf.DUMMYFUNCTION("IF(REGEXMATCH(N10, ""S""), ""1"","""")"),"1")</f>
        <v>1</v>
      </c>
      <c r="CZ10" s="245" t="str">
        <f>IFERROR(__xludf.DUMMYFUNCTION("IF(REGEXMATCH(N10, ""r""), ""b2"","""")"),"")</f>
        <v/>
      </c>
      <c r="DA10" s="246" t="str">
        <f>IFERROR(__xludf.DUMMYFUNCTION("IF(REGEXMATCH(N10, ""R""), ""2"","""")"),"")</f>
        <v/>
      </c>
      <c r="DB10" s="246" t="str">
        <f>IFERROR(__xludf.DUMMYFUNCTION("IF(REGEXMATCH(N10, ""g""), ""b3"","""")"),"")</f>
        <v/>
      </c>
      <c r="DC10" s="245" t="str">
        <f>IFERROR(__xludf.DUMMYFUNCTION("IF(REGEXMATCH(N10, ""G""), ""3"","""")"),"3")</f>
        <v>3</v>
      </c>
      <c r="DD10" s="245" t="str">
        <f>IFERROR(__xludf.DUMMYFUNCTION("IF(REGEXMATCH(N10, ""m""), ""4"","""")"),"4")</f>
        <v>4</v>
      </c>
      <c r="DE10" s="246" t="str">
        <f>IFERROR(__xludf.DUMMYFUNCTION("IF(REGEXMATCH(N10, ""M""), ""#4"","""")"),"")</f>
        <v/>
      </c>
      <c r="DF10" s="245" t="str">
        <f>IFERROR(__xludf.DUMMYFUNCTION("IF(REGEXMATCH(N10, ""P""), ""5"","""")"),"")</f>
        <v/>
      </c>
      <c r="DG10" s="246" t="str">
        <f>IFERROR(__xludf.DUMMYFUNCTION("IF(REGEXMATCH(N10, ""d""), ""b6"","""")"),"")</f>
        <v/>
      </c>
      <c r="DH10" s="245" t="str">
        <f>IFERROR(__xludf.DUMMYFUNCTION("IF(REGEXMATCH(N10, ""D""), ""6"","""")"),"6")</f>
        <v>6</v>
      </c>
      <c r="DI10" s="245" t="str">
        <f>IFERROR(__xludf.DUMMYFUNCTION("IF(REGEXMATCH(N10, ""n""), ""b7"","""")"),"")</f>
        <v/>
      </c>
      <c r="DJ10" s="246" t="str">
        <f>IFERROR(__xludf.DUMMYFUNCTION("IF(REGEXMATCH(N10, ""N""), ""7"","""")"),"7")</f>
        <v>7</v>
      </c>
      <c r="DK10" s="249" t="str">
        <f>IFERROR(__xludf.DUMMYFUNCTION("IF(REGEXMATCH(N10, ""S""), ""8"","""")"),"8")</f>
        <v>8</v>
      </c>
      <c r="DL10" s="244" t="str">
        <f>IFERROR(__xludf.DUMMYFUNCTION("IF(REGEXMATCH(N10, ""S""), ""S"","""")"),"S")</f>
        <v>S</v>
      </c>
      <c r="DM10" s="294" t="str">
        <f>IFERROR(__xludf.DUMMYFUNCTION("IF(REGEXMATCH(N10, ""r""), ""R1"","""")"),"")</f>
        <v/>
      </c>
      <c r="DN10" s="295" t="str">
        <f>IFERROR(__xludf.DUMMYFUNCTION("IF(REGEXMATCH(N10, ""R""), ""R2"","""")"),"")</f>
        <v/>
      </c>
      <c r="DO10" s="295" t="str">
        <f>IFERROR(__xludf.DUMMYFUNCTION("IF(REGEXMATCH(N10, ""g""), ""G2"","""")"),"")</f>
        <v/>
      </c>
      <c r="DP10" s="294" t="str">
        <f>IFERROR(__xludf.DUMMYFUNCTION("IF(REGEXMATCH(N10, ""G""), ""G3"","""")"),"G3")</f>
        <v>G3</v>
      </c>
      <c r="DQ10" s="294" t="str">
        <f>IFERROR(__xludf.DUMMYFUNCTION("IF(REGEXMATCH(N10, ""m""), ""M1"","""")"),"M1")</f>
        <v>M1</v>
      </c>
      <c r="DR10" s="295" t="str">
        <f>IFERROR(__xludf.DUMMYFUNCTION("IF(REGEXMATCH(N10, ""M""), ""M2"","""")"),"")</f>
        <v/>
      </c>
      <c r="DS10" s="294" t="str">
        <f>IFERROR(__xludf.DUMMYFUNCTION("IF(REGEXMATCH(N10, ""P""), ""P"","""")"),"")</f>
        <v/>
      </c>
      <c r="DT10" s="295" t="str">
        <f>IFERROR(__xludf.DUMMYFUNCTION("IF(REGEXMATCH(N10, ""d""), ""D1"","""")"),"")</f>
        <v/>
      </c>
      <c r="DU10" s="294" t="str">
        <f>IFERROR(__xludf.DUMMYFUNCTION("IF(REGEXMATCH(N10, ""D""), ""D2"","""")"),"D2")</f>
        <v>D2</v>
      </c>
      <c r="DV10" s="294" t="str">
        <f>IFERROR(__xludf.DUMMYFUNCTION("IF(REGEXMATCH(N10, ""n""), ""N2"","""")"),"")</f>
        <v/>
      </c>
      <c r="DW10" s="295" t="str">
        <f>IFERROR(__xludf.DUMMYFUNCTION("IF(REGEXMATCH(N10, ""N""), ""N3"","""")"),"N3")</f>
        <v>N3</v>
      </c>
      <c r="DX10" s="249" t="str">
        <f>IFERROR(__xludf.DUMMYFUNCTION("IF(REGEXMATCH(N10, ""S""), ""S"","""")"),"S")</f>
        <v>S</v>
      </c>
      <c r="DY10" s="299" t="str">
        <f>IFERROR(__xludf.DUMMYFUNCTION("SUBSTITUTE(SUBSTITUTE(SUBSTITUTE(SUBSTITUTE(CONCATENATE(JOIN(""-"",CY10:DK10)),""--"",""-""),""--"",""-""),""--"",""-""),""--"",""-"")"),"1-3-4-6-7-8")</f>
        <v>1-3-4-6-7-8</v>
      </c>
      <c r="DZ10" s="299" t="str">
        <f>IFERROR(__xludf.DUMMYFUNCTION("SUBSTITUTE(SUBSTITUTE(SUBSTITUTE(SUBSTITUTE(CONCATENATE(JOIN(""-"",DL10:DX10)),""--"",""-""),""--"",""-""),""--"",""-""),""--"",""-"")"),"S-G3-M1-D2-N3-S")</f>
        <v>S-G3-M1-D2-N3-S</v>
      </c>
      <c r="EA10" s="348" t="str">
        <f t="shared" si="43"/>
        <v>C-E-F-A-B-C</v>
      </c>
      <c r="EB10" s="301">
        <f t="shared" si="44"/>
        <v>5</v>
      </c>
      <c r="EC10" s="302" t="str">
        <f t="shared" si="45"/>
        <v>Audav</v>
      </c>
      <c r="ED10" s="301" t="str">
        <f t="shared" ref="ED10:EE10" si="176">SUBSTITUTE(AD10,"-","")</f>
        <v>SGM</v>
      </c>
      <c r="EE10" s="301" t="str">
        <f t="shared" si="176"/>
        <v>DNS</v>
      </c>
      <c r="EF10" s="302" t="str">
        <f t="shared" si="47"/>
        <v>(n/a)</v>
      </c>
      <c r="EG10" s="301" t="str">
        <f t="shared" si="48"/>
        <v>Hemi.</v>
      </c>
      <c r="EH10" s="364" t="str">
        <f t="shared" si="49"/>
        <v>-</v>
      </c>
      <c r="EI10" s="306" t="str">
        <f t="shared" si="50"/>
        <v>-</v>
      </c>
      <c r="EJ10" s="366" t="str">
        <f t="shared" si="51"/>
        <v>✔</v>
      </c>
      <c r="EK10" s="308" t="str">
        <f t="shared" si="52"/>
        <v>-</v>
      </c>
      <c r="EL10" s="306" t="str">
        <f t="shared" si="53"/>
        <v>✔</v>
      </c>
      <c r="EM10" s="306" t="str">
        <f t="shared" si="54"/>
        <v>-</v>
      </c>
      <c r="EN10" s="367" t="str">
        <f t="shared" si="55"/>
        <v>-</v>
      </c>
      <c r="EO10" s="310" t="str">
        <f t="shared" si="56"/>
        <v>-</v>
      </c>
      <c r="EP10" s="310" t="str">
        <f t="shared" si="57"/>
        <v>-</v>
      </c>
      <c r="EQ10" s="310" t="str">
        <f t="shared" si="58"/>
        <v>-</v>
      </c>
      <c r="ER10" s="310" t="str">
        <f t="shared" si="59"/>
        <v>-</v>
      </c>
      <c r="ES10" s="370" t="str">
        <f t="shared" si="60"/>
        <v>-</v>
      </c>
      <c r="ET10" s="306" t="str">
        <f t="shared" si="61"/>
        <v>✔</v>
      </c>
      <c r="EU10" s="306" t="str">
        <f t="shared" si="62"/>
        <v>-</v>
      </c>
      <c r="EV10" s="306" t="str">
        <f t="shared" si="63"/>
        <v>-</v>
      </c>
      <c r="EW10" s="306" t="str">
        <f t="shared" si="64"/>
        <v>✔</v>
      </c>
      <c r="EX10" s="306" t="str">
        <f t="shared" si="65"/>
        <v>-</v>
      </c>
      <c r="EY10" s="367" t="str">
        <f t="shared" si="66"/>
        <v>-</v>
      </c>
      <c r="EZ10" s="310" t="str">
        <f>IFERROR(__xludf.DUMMYFUNCTION("IF(REGEXMATCH(BM10,BI10),""✔"",""-"")"),"-")</f>
        <v>-</v>
      </c>
      <c r="FA10" s="310" t="str">
        <f t="shared" si="67"/>
        <v>-</v>
      </c>
      <c r="FB10" s="370" t="str">
        <f t="shared" si="68"/>
        <v>-</v>
      </c>
      <c r="FC10" s="315" t="str">
        <f t="shared" si="69"/>
        <v>[UQ]</v>
      </c>
      <c r="FD10" s="317" t="str">
        <f t="shared" si="70"/>
        <v>S-G-m-D-N-S</v>
      </c>
      <c r="FE10" s="318" t="str">
        <f>IFERROR(__xludf.DUMMYFUNCTION("CONCATENATE(JOIN("""",GJ10:GV10))"),"SrgPdS")</f>
        <v>SrgPdS</v>
      </c>
      <c r="FF10" s="318"/>
      <c r="FG10" s="318"/>
      <c r="FH10" s="321">
        <f t="shared" si="71"/>
        <v>2</v>
      </c>
      <c r="FI10" s="318" t="str">
        <f>IFERROR(__xludf.DUMMYFUNCTION("CONCATENATE(JOIN("""",HW10:II10))"),"Sa, Ni, ")</f>
        <v>Sa, Ni, </v>
      </c>
      <c r="FJ10" s="322">
        <f t="shared" si="72"/>
        <v>0</v>
      </c>
      <c r="FK10" s="324" t="str">
        <f>IFERROR(__xludf.DUMMYFUNCTION("CONCATENATE(JOIN("""",IW10:JI10))"),"")</f>
        <v/>
      </c>
      <c r="FL10" s="325" t="str">
        <f t="shared" si="73"/>
        <v>S-G3-M1-D2-N3-S</v>
      </c>
      <c r="FM10" s="326" t="str">
        <f t="shared" si="74"/>
        <v>1-3-4-6-7-8</v>
      </c>
      <c r="FN10" s="326" t="str">
        <f t="shared" si="75"/>
        <v>0-4-5-9-11-0</v>
      </c>
      <c r="FO10" s="318"/>
      <c r="FP10" s="328" t="str">
        <f>IFERROR(__xludf.DUMMYFUNCTION("SUBSTITUTE(SUBSTITUTE(SUBSTITUTE(SUBSTITUTE(CONCATENATE(JOIN("" "",FS10:GE10)),""  "","" ""),""  "","" ""),""  "","" ""),""  "","" "")"),"o • • • o o • • • o • o o")</f>
        <v>o • • • o o • • • o • o o</v>
      </c>
      <c r="FQ10" s="328" t="str">
        <f t="shared" si="76"/>
        <v>Sa-ma</v>
      </c>
      <c r="FR10" s="329"/>
      <c r="FS10" s="331" t="str">
        <f t="shared" si="77"/>
        <v>o</v>
      </c>
      <c r="FT10" s="332" t="str">
        <f t="shared" si="78"/>
        <v>•</v>
      </c>
      <c r="FU10" s="332" t="str">
        <f t="shared" si="79"/>
        <v>•</v>
      </c>
      <c r="FV10" s="332" t="str">
        <f t="shared" si="80"/>
        <v>•</v>
      </c>
      <c r="FW10" s="332" t="str">
        <f t="shared" si="81"/>
        <v>o</v>
      </c>
      <c r="FX10" s="332" t="str">
        <f t="shared" si="82"/>
        <v>o</v>
      </c>
      <c r="FY10" s="332" t="str">
        <f t="shared" si="83"/>
        <v>•</v>
      </c>
      <c r="FZ10" s="332" t="str">
        <f t="shared" si="84"/>
        <v>•</v>
      </c>
      <c r="GA10" s="332" t="str">
        <f t="shared" si="85"/>
        <v>•</v>
      </c>
      <c r="GB10" s="332" t="str">
        <f t="shared" si="86"/>
        <v>o</v>
      </c>
      <c r="GC10" s="332" t="str">
        <f t="shared" si="87"/>
        <v>•</v>
      </c>
      <c r="GD10" s="332" t="str">
        <f t="shared" si="88"/>
        <v>o</v>
      </c>
      <c r="GE10" s="338" t="str">
        <f t="shared" si="89"/>
        <v>o</v>
      </c>
      <c r="GF10" s="339" t="str">
        <f t="shared" si="90"/>
        <v>-</v>
      </c>
      <c r="GG10" s="339" t="str">
        <f t="shared" si="91"/>
        <v>-</v>
      </c>
      <c r="GH10" s="339" t="str">
        <f t="shared" si="92"/>
        <v>-</v>
      </c>
      <c r="GI10" s="340" t="str">
        <f t="shared" si="93"/>
        <v>Sa-ma</v>
      </c>
      <c r="GJ10" s="331" t="str">
        <f t="shared" si="94"/>
        <v>S</v>
      </c>
      <c r="GK10" s="332" t="str">
        <f t="shared" si="95"/>
        <v>r</v>
      </c>
      <c r="GL10" s="332" t="str">
        <f t="shared" si="96"/>
        <v/>
      </c>
      <c r="GM10" s="332" t="str">
        <f t="shared" si="97"/>
        <v>g</v>
      </c>
      <c r="GN10" s="332" t="str">
        <f t="shared" si="98"/>
        <v/>
      </c>
      <c r="GO10" s="332" t="str">
        <f t="shared" si="99"/>
        <v/>
      </c>
      <c r="GP10" s="332" t="str">
        <f t="shared" si="100"/>
        <v/>
      </c>
      <c r="GQ10" s="332" t="str">
        <f t="shared" si="101"/>
        <v>P</v>
      </c>
      <c r="GR10" s="332" t="str">
        <f t="shared" si="102"/>
        <v>d</v>
      </c>
      <c r="GS10" s="332" t="str">
        <f t="shared" si="103"/>
        <v/>
      </c>
      <c r="GT10" s="332" t="str">
        <f t="shared" si="104"/>
        <v/>
      </c>
      <c r="GU10" s="332" t="str">
        <f t="shared" si="105"/>
        <v/>
      </c>
      <c r="GV10" s="343" t="str">
        <f t="shared" si="106"/>
        <v>S</v>
      </c>
      <c r="GW10" s="331" t="str">
        <f t="shared" si="107"/>
        <v>•</v>
      </c>
      <c r="GX10" s="332" t="str">
        <f t="shared" si="108"/>
        <v>o</v>
      </c>
      <c r="GY10" s="332" t="str">
        <f t="shared" si="109"/>
        <v>o</v>
      </c>
      <c r="GZ10" s="332" t="str">
        <f t="shared" si="110"/>
        <v>o</v>
      </c>
      <c r="HA10" s="332" t="str">
        <f t="shared" si="111"/>
        <v>•</v>
      </c>
      <c r="HB10" s="332" t="str">
        <f t="shared" si="112"/>
        <v>•</v>
      </c>
      <c r="HC10" s="332" t="str">
        <f t="shared" si="113"/>
        <v>o</v>
      </c>
      <c r="HD10" s="332" t="str">
        <f t="shared" si="114"/>
        <v>o</v>
      </c>
      <c r="HE10" s="332" t="str">
        <f t="shared" si="115"/>
        <v>o</v>
      </c>
      <c r="HF10" s="332" t="str">
        <f t="shared" si="116"/>
        <v>•</v>
      </c>
      <c r="HG10" s="332" t="str">
        <f t="shared" si="117"/>
        <v>o</v>
      </c>
      <c r="HH10" s="332" t="str">
        <f t="shared" si="118"/>
        <v>•</v>
      </c>
      <c r="HI10" s="338" t="str">
        <f t="shared" si="119"/>
        <v>•</v>
      </c>
      <c r="HJ10" s="346" t="b">
        <f t="shared" si="120"/>
        <v>1</v>
      </c>
      <c r="HK10" s="347" t="b">
        <f t="shared" si="121"/>
        <v>0</v>
      </c>
      <c r="HL10" s="347" t="b">
        <f t="shared" si="122"/>
        <v>0</v>
      </c>
      <c r="HM10" s="347" t="b">
        <f t="shared" si="123"/>
        <v>0</v>
      </c>
      <c r="HN10" s="347" t="b">
        <f t="shared" si="124"/>
        <v>0</v>
      </c>
      <c r="HO10" s="347" t="b">
        <f t="shared" si="125"/>
        <v>0</v>
      </c>
      <c r="HP10" s="347" t="b">
        <f t="shared" si="126"/>
        <v>0</v>
      </c>
      <c r="HQ10" s="347" t="b">
        <f t="shared" si="127"/>
        <v>0</v>
      </c>
      <c r="HR10" s="347" t="b">
        <f t="shared" si="128"/>
        <v>0</v>
      </c>
      <c r="HS10" s="347" t="b">
        <f t="shared" si="129"/>
        <v>0</v>
      </c>
      <c r="HT10" s="347" t="b">
        <f t="shared" si="130"/>
        <v>0</v>
      </c>
      <c r="HU10" s="347" t="b">
        <f t="shared" si="131"/>
        <v>1</v>
      </c>
      <c r="HV10" s="353" t="b">
        <f t="shared" si="132"/>
        <v>1</v>
      </c>
      <c r="HW10" s="354" t="str">
        <f t="shared" si="133"/>
        <v>Sa, </v>
      </c>
      <c r="HX10" s="355" t="str">
        <f t="shared" si="134"/>
        <v/>
      </c>
      <c r="HY10" s="355" t="str">
        <f t="shared" si="135"/>
        <v/>
      </c>
      <c r="HZ10" s="355" t="str">
        <f t="shared" si="136"/>
        <v/>
      </c>
      <c r="IA10" s="355" t="str">
        <f t="shared" si="137"/>
        <v/>
      </c>
      <c r="IB10" s="355" t="str">
        <f t="shared" si="138"/>
        <v/>
      </c>
      <c r="IC10" s="355" t="str">
        <f t="shared" si="139"/>
        <v/>
      </c>
      <c r="ID10" s="355" t="str">
        <f t="shared" si="140"/>
        <v/>
      </c>
      <c r="IE10" s="355" t="str">
        <f t="shared" si="141"/>
        <v/>
      </c>
      <c r="IF10" s="355" t="str">
        <f t="shared" si="142"/>
        <v/>
      </c>
      <c r="IG10" s="355" t="str">
        <f t="shared" si="143"/>
        <v/>
      </c>
      <c r="IH10" s="355" t="str">
        <f t="shared" si="144"/>
        <v>Ni, </v>
      </c>
      <c r="II10" s="359" t="str">
        <f t="shared" si="145"/>
        <v/>
      </c>
      <c r="IJ10" s="346" t="b">
        <f t="shared" si="146"/>
        <v>0</v>
      </c>
      <c r="IK10" s="347" t="b">
        <f t="shared" si="147"/>
        <v>0</v>
      </c>
      <c r="IL10" s="347" t="b">
        <f t="shared" si="148"/>
        <v>0</v>
      </c>
      <c r="IM10" s="347" t="b">
        <f t="shared" si="149"/>
        <v>0</v>
      </c>
      <c r="IN10" s="347" t="b">
        <f t="shared" si="150"/>
        <v>0</v>
      </c>
      <c r="IO10" s="347" t="b">
        <f t="shared" si="151"/>
        <v>0</v>
      </c>
      <c r="IP10" s="347" t="b">
        <f t="shared" si="152"/>
        <v>0</v>
      </c>
      <c r="IQ10" s="347" t="b">
        <f t="shared" si="153"/>
        <v>0</v>
      </c>
      <c r="IR10" s="347" t="b">
        <f t="shared" si="154"/>
        <v>0</v>
      </c>
      <c r="IS10" s="347" t="b">
        <f t="shared" si="155"/>
        <v>0</v>
      </c>
      <c r="IT10" s="347" t="b">
        <f t="shared" si="156"/>
        <v>0</v>
      </c>
      <c r="IU10" s="347" t="b">
        <f t="shared" si="157"/>
        <v>0</v>
      </c>
      <c r="IV10" s="365" t="b">
        <f t="shared" si="158"/>
        <v>0</v>
      </c>
      <c r="IW10" s="354" t="str">
        <f t="shared" si="159"/>
        <v/>
      </c>
      <c r="IX10" s="355" t="str">
        <f t="shared" si="160"/>
        <v/>
      </c>
      <c r="IY10" s="355" t="str">
        <f t="shared" si="161"/>
        <v/>
      </c>
      <c r="IZ10" s="355" t="str">
        <f t="shared" si="162"/>
        <v/>
      </c>
      <c r="JA10" s="355" t="str">
        <f t="shared" si="163"/>
        <v/>
      </c>
      <c r="JB10" s="355" t="str">
        <f t="shared" si="164"/>
        <v/>
      </c>
      <c r="JC10" s="355" t="str">
        <f t="shared" si="165"/>
        <v/>
      </c>
      <c r="JD10" s="355" t="str">
        <f t="shared" si="166"/>
        <v/>
      </c>
      <c r="JE10" s="355" t="str">
        <f t="shared" si="167"/>
        <v/>
      </c>
      <c r="JF10" s="355" t="str">
        <f t="shared" si="168"/>
        <v/>
      </c>
      <c r="JG10" s="355" t="str">
        <f t="shared" si="169"/>
        <v/>
      </c>
      <c r="JH10" s="355" t="str">
        <f t="shared" si="170"/>
        <v/>
      </c>
      <c r="JI10" s="359"/>
      <c r="JJ10" s="321"/>
      <c r="JK10" s="368"/>
      <c r="JL10" s="369"/>
      <c r="JM10" s="369"/>
      <c r="JN10" s="369"/>
      <c r="JO10" s="369"/>
      <c r="JP10" s="369"/>
      <c r="JQ10" s="369"/>
      <c r="JR10" s="369"/>
      <c r="JS10" s="369"/>
      <c r="JT10" s="369"/>
      <c r="JU10" s="369"/>
    </row>
    <row r="11" ht="20.25" customHeight="1">
      <c r="A11" s="221" t="s">
        <v>926</v>
      </c>
      <c r="B11" s="223" t="s">
        <v>656</v>
      </c>
      <c r="C11" s="222"/>
      <c r="D11" s="222" t="s">
        <v>275</v>
      </c>
      <c r="E11" s="222"/>
      <c r="F11" s="222"/>
      <c r="G11" s="222" t="s">
        <v>275</v>
      </c>
      <c r="H11" s="222">
        <v>9.0</v>
      </c>
      <c r="I11" s="224" t="s">
        <v>398</v>
      </c>
      <c r="J11" s="225" t="str">
        <f t="shared" si="5"/>
        <v>[UQ]</v>
      </c>
      <c r="K11" s="227">
        <f t="shared" si="6"/>
        <v>5</v>
      </c>
      <c r="L11" s="229">
        <f t="shared" si="7"/>
        <v>5</v>
      </c>
      <c r="M11" s="230">
        <f t="shared" si="8"/>
        <v>0</v>
      </c>
      <c r="N11" s="233" t="str">
        <f t="shared" si="9"/>
        <v>SgMPnS</v>
      </c>
      <c r="O11" s="234" t="str">
        <f>IFERROR(__xludf.DUMMYFUNCTION("IF(REGEXMATCH(N11, ""S""), ""S"","""")"),"S")</f>
        <v>S</v>
      </c>
      <c r="P11" s="236" t="str">
        <f>IFERROR(__xludf.DUMMYFUNCTION("IF(REGEXMATCH(N11, ""r""), ""r"","""")"),"")</f>
        <v/>
      </c>
      <c r="Q11" s="237" t="str">
        <f>IFERROR(__xludf.DUMMYFUNCTION("IF(REGEXMATCH(N11, ""R""), ""R"","""")"),"")</f>
        <v/>
      </c>
      <c r="R11" s="237" t="str">
        <f>IFERROR(__xludf.DUMMYFUNCTION("IF(REGEXMATCH(N11, ""g""), ""g"","""")"),"g")</f>
        <v>g</v>
      </c>
      <c r="S11" s="236" t="str">
        <f>IFERROR(__xludf.DUMMYFUNCTION("IF(REGEXMATCH(N11, ""G""), ""G"","""")"),"")</f>
        <v/>
      </c>
      <c r="T11" s="236" t="str">
        <f>IFERROR(__xludf.DUMMYFUNCTION("IF(REGEXMATCH(N11, ""m""), ""m"","""")"),"")</f>
        <v/>
      </c>
      <c r="U11" s="237" t="str">
        <f>IFERROR(__xludf.DUMMYFUNCTION("IF(REGEXMATCH(N11, ""M""), ""M"","""")"),"M")</f>
        <v>M</v>
      </c>
      <c r="V11" s="236" t="str">
        <f>IFERROR(__xludf.DUMMYFUNCTION("IF(REGEXMATCH(N11, ""P""), ""P"","""")"),"P")</f>
        <v>P</v>
      </c>
      <c r="W11" s="237" t="str">
        <f>IFERROR(__xludf.DUMMYFUNCTION("IF(REGEXMATCH(N11, ""d""), ""d"","""")"),"")</f>
        <v/>
      </c>
      <c r="X11" s="236" t="str">
        <f>IFERROR(__xludf.DUMMYFUNCTION("IF(REGEXMATCH(N11, ""D""), ""D"","""")"),"")</f>
        <v/>
      </c>
      <c r="Y11" s="236" t="str">
        <f>IFERROR(__xludf.DUMMYFUNCTION("IF(REGEXMATCH(N11, ""n""), ""n"","""")"),"n")</f>
        <v>n</v>
      </c>
      <c r="Z11" s="237" t="str">
        <f>IFERROR(__xludf.DUMMYFUNCTION("IF(REGEXMATCH(N11, ""N""), ""N"","""")"),"")</f>
        <v/>
      </c>
      <c r="AA11" s="238" t="str">
        <f>IFERROR(__xludf.DUMMYFUNCTION("IF(REGEXMATCH(N11, ""S""), ""S"","""")"),"S")</f>
        <v>S</v>
      </c>
      <c r="AB11" s="239" t="str">
        <f>IFERROR(__xludf.DUMMYFUNCTION("SUBSTITUTE(CONCATENATE(JOIN(""-"",O11:U11)),""-"","""")"),"SgM")</f>
        <v>SgM</v>
      </c>
      <c r="AC11" s="229" t="str">
        <f>IFERROR(__xludf.DUMMYFUNCTION("SUBSTITUTE(CONCATENATE(JOIN(""-"",V11:AA11)),""-"","""")"),"PnS")</f>
        <v>PnS</v>
      </c>
      <c r="AD11" s="282" t="str">
        <f t="shared" si="10"/>
        <v>S-G-M</v>
      </c>
      <c r="AE11" s="282" t="str">
        <f t="shared" si="11"/>
        <v>P-N-S</v>
      </c>
      <c r="AF11" s="309" t="str">
        <f t="shared" si="12"/>
        <v>gMn</v>
      </c>
      <c r="AG11" s="244" t="str">
        <f>IFERROR(__xludf.DUMMYFUNCTION("IF(REGEXMATCH(N11, ""S""), ""0"","""")"),"0")</f>
        <v>0</v>
      </c>
      <c r="AH11" s="245" t="str">
        <f>IFERROR(__xludf.DUMMYFUNCTION("IF(REGEXMATCH(N11, ""r""), ""1"","""")"),"")</f>
        <v/>
      </c>
      <c r="AI11" s="246" t="str">
        <f>IFERROR(__xludf.DUMMYFUNCTION("IF(REGEXMATCH(N11, ""R""), ""2"","""")"),"")</f>
        <v/>
      </c>
      <c r="AJ11" s="246" t="str">
        <f>IFERROR(__xludf.DUMMYFUNCTION("IF(REGEXMATCH(N11, ""g""), ""3"","""")"),"3")</f>
        <v>3</v>
      </c>
      <c r="AK11" s="245" t="str">
        <f>IFERROR(__xludf.DUMMYFUNCTION("IF(REGEXMATCH(N11, ""G""), ""4"","""")"),"")</f>
        <v/>
      </c>
      <c r="AL11" s="245" t="str">
        <f>IFERROR(__xludf.DUMMYFUNCTION("IF(REGEXMATCH(N11, ""m""), ""5"","""")"),"")</f>
        <v/>
      </c>
      <c r="AM11" s="246" t="str">
        <f>IFERROR(__xludf.DUMMYFUNCTION("IF(REGEXMATCH(N11, ""M""), ""6"","""")"),"6")</f>
        <v>6</v>
      </c>
      <c r="AN11" s="245" t="str">
        <f>IFERROR(__xludf.DUMMYFUNCTION("IF(REGEXMATCH(N11, ""P""), ""7"","""")"),"7")</f>
        <v>7</v>
      </c>
      <c r="AO11" s="246" t="str">
        <f>IFERROR(__xludf.DUMMYFUNCTION("IF(REGEXMATCH(N11, ""d""), ""8"","""")"),"")</f>
        <v/>
      </c>
      <c r="AP11" s="245" t="str">
        <f>IFERROR(__xludf.DUMMYFUNCTION("IF(REGEXMATCH(N11, ""D""), ""9"","""")"),"")</f>
        <v/>
      </c>
      <c r="AQ11" s="245" t="str">
        <f>IFERROR(__xludf.DUMMYFUNCTION("IF(REGEXMATCH(N11, ""n""), ""10"","""")"),"10")</f>
        <v>10</v>
      </c>
      <c r="AR11" s="246" t="str">
        <f>IFERROR(__xludf.DUMMYFUNCTION("IF(REGEXMATCH(N11, ""N""), ""11"","""")"),"")</f>
        <v/>
      </c>
      <c r="AS11" s="249" t="str">
        <f>IFERROR(__xludf.DUMMYFUNCTION("IF(REGEXMATCH(N11, ""S""), ""0"","""")"),"0")</f>
        <v>0</v>
      </c>
      <c r="AT11" s="250" t="str">
        <f>IFERROR(__xludf.DUMMYFUNCTION("SUBSTITUTE(SUBSTITUTE(SUBSTITUTE(SUBSTITUTE(CONCATENATE(JOIN(""-"",AG11:AS11)),""--"",""-""),""--"",""-""),""--"",""-""),""--"",""-"")"),"0-3-6-7-10-0")</f>
        <v>0-3-6-7-10-0</v>
      </c>
      <c r="AU11" s="251">
        <f t="shared" si="13"/>
        <v>0</v>
      </c>
      <c r="AV11" s="234" t="str">
        <f t="shared" si="14"/>
        <v>|</v>
      </c>
      <c r="AW11" s="236" t="str">
        <f t="shared" si="15"/>
        <v>-</v>
      </c>
      <c r="AX11" s="237" t="str">
        <f t="shared" si="16"/>
        <v>-</v>
      </c>
      <c r="AY11" s="236" t="str">
        <f t="shared" si="17"/>
        <v>|</v>
      </c>
      <c r="AZ11" s="237" t="str">
        <f t="shared" si="18"/>
        <v>-</v>
      </c>
      <c r="BA11" s="236" t="str">
        <f t="shared" si="19"/>
        <v>-</v>
      </c>
      <c r="BB11" s="237" t="str">
        <f t="shared" si="20"/>
        <v>|</v>
      </c>
      <c r="BC11" s="236" t="str">
        <f t="shared" si="21"/>
        <v>|</v>
      </c>
      <c r="BD11" s="237" t="str">
        <f t="shared" si="22"/>
        <v>-</v>
      </c>
      <c r="BE11" s="236" t="str">
        <f t="shared" si="23"/>
        <v>-</v>
      </c>
      <c r="BF11" s="237" t="str">
        <f t="shared" si="24"/>
        <v>|</v>
      </c>
      <c r="BG11" s="236" t="str">
        <f t="shared" si="25"/>
        <v>-</v>
      </c>
      <c r="BH11" s="238" t="str">
        <f t="shared" si="26"/>
        <v>|</v>
      </c>
      <c r="BI11" s="250" t="str">
        <f>IFERROR(__xludf.DUMMYFUNCTION("SUBSTITUTE(SUBSTITUTE(CONCATENATE(JOIN("""",AV11:BG11)),""|"",""x""),""-"",""o"")"),"xooxooxxooxo")</f>
        <v>xooxooxxooxo</v>
      </c>
      <c r="BJ11" s="323" t="str">
        <f>IFERROR(__xludf.DUMMYFUNCTION("JOIN("""",BI11,BI11)"),"xooxooxxooxoxooxooxxooxo")</f>
        <v>xooxooxxooxoxooxooxxooxo</v>
      </c>
      <c r="BK11" s="256" t="str">
        <f>IFERROR(__xludf.DUMMYFUNCTION("JOIN("""",ArrayFormula(MID(BI11,LEN(BI11)-SEQUENCE(1,LEN(BI11))+1,1)))"),"oxooxxooxoox")</f>
        <v>oxooxxooxoox</v>
      </c>
      <c r="BL11" s="256" t="str">
        <f>IFERROR(__xludf.DUMMYFUNCTION("LEFT(CONCATENATE(""x"",JOIN("""",ArrayFormula(MID(BI11,LEN(BI11)-SEQUENCE(1,LEN(BI11))+1,1)))),12)"),"xoxooxxooxoo")</f>
        <v>xoxooxxooxoo</v>
      </c>
      <c r="BM11" s="327" t="str">
        <f>IFERROR(__xludf.DUMMYFUNCTION("JOIN("""",BK11,BK11)"),"oxooxxooxooxoxooxxooxoox")</f>
        <v>oxooxxooxooxoxooxxooxoox</v>
      </c>
      <c r="BN11" s="239" t="str">
        <f>IFERROR(__xludf.DUMMYFUNCTION("IF(REGEXMATCH(BM11,BI11),""✔"",""-"")"),"-")</f>
        <v>-</v>
      </c>
      <c r="BO11" s="330" t="str">
        <f t="shared" si="27"/>
        <v>-</v>
      </c>
      <c r="BP11" s="260" t="str">
        <f t="shared" si="28"/>
        <v>-</v>
      </c>
      <c r="BQ11" s="261" t="str">
        <f>IFERROR(__xludf.DUMMYFUNCTION("IF(BT11=0,""(n/a)"",IF(BU11=2,""(PAIR)"",IF(REGEXMATCH(BJ11,""xoxoxxoxoxox""),""Bilawal"",IF(REGEXMATCH(BJ11,""xoxoxooxoxoo""),""Bhupali"",IF(REGEXMATCH(BJ11,""xoxoxxoxxoxo""),""Charukeshi"",IF(REGEXMATCH(BJ11,""xoxoooxxoxxo""),""Kameshwari"",IF(REGEXMATC"&amp;"H(BJ11,""xoxoxooxoxox""),""Shankara"",IF(REGEXMATCH(BJ11,""xxooxoxxxoox""),""Basant"",IF(REGEXMATCH(BJ11,""xoxoxxxxoxox""),""Bihag"",IF(REGEXMATCH(BJ11,""xoxxxxoxoxxx""),""Pilu"",IF(REGEXMATCH(BJ11,""xoxxoxoxxoox""),""Kirwani"",IF(REGEXMATCH(BJ11,""xoxxox"&amp;"oxoxxx""),""Mk.Malhar"",IF(REGEXMATCH(BJ11,""xxooxxoxxoox""),""Bhairav"",IF(REGEXMATCH(BJ11,""xxoxooxxxoox""),""Todi"",IF(REGEXMATCH(BJ11,""xxooxoxooxox""),""Marwa"",IF(REGEXMATCH(BJ11,""xxoooxoxxooo""),""Gunkali"",IF(REGEXMATCH(BJ11,""xoxoxxoxxoox""),""N"&amp;"at Bhairav"",IF(REGEXMATCH(BJ11,""xoxxoooxoxoo""),""Shivranjani"",IF(REGEXMATCH(BJ11,""xooxxxoxooxo""),""Jog"",IF(REGEXMATCH(BJ11,""xxooxoxoxoox""),""Hemshri"",IF(REGEXMATCH(BJ11,""xoooxooxoxxo""),""Kalavati"",IF(REGEXMATCH(BJ11,""xxoxoxxoxoox""),""Kedar"&amp;""",IF(REGEXMATCH(BJ11,""xoxxxxoxooxx""),""Gara"",IF(REGEXMATCH(BJ11,""xooxoxooxoox""),""Chandrakauns"",IF(REGEXMATCH(BJ11,""xoxxxxoxxxox""),""Mand"",IF(REGEXMATCH(BJ11,""xoxxxxoxoxox""),""Hanskinkini"",IF(REGEXMATCH(BJ11,""xxooxxoxooxo""),""Lilavati"",IF("&amp;"REGEXMATCH(BJ11,""xooxoxoooxox""),""Rajeshwari"",IF(REGEXMATCH(BJ11,""xoooxxoxoxxx""),""Khokar"",IF(REGEXMATCH(BJ11,""xxooxoxxxxox""),""Maligoura"",""-""))))))))))))))))))))))))))))))"),"(PAIR)")</f>
        <v>(PAIR)</v>
      </c>
      <c r="BR11" s="239">
        <f t="shared" si="29"/>
        <v>4</v>
      </c>
      <c r="BS11" s="239">
        <f>IFERROR(__xludf.DUMMYFUNCTION("COUNTUNIQUE(BW11:CG11)-1"),4.0)</f>
        <v>4</v>
      </c>
      <c r="BT11" s="239">
        <f>IFERROR(__xludf.DUMMYFUNCTION("COUNTUNIQUE(FILTER(BJ:BJ,REGEXMATCH(BJ:BJ,BI11)))-1"),1.0)</f>
        <v>1</v>
      </c>
      <c r="BU11" s="239">
        <f>IFERROR(__xludf.DUMMYFUNCTION("COUNTA(FILTER(BJ:BJ,REGEXMATCH(BJ:BJ,BI11)))"),2.0)</f>
        <v>2</v>
      </c>
      <c r="BV11" s="341">
        <f>IFERROR(__xludf.DUMMYFUNCTION("COUNTA(FILTER(BJ:BJ,REGEXMATCH(BJ:BJ,BI11)))-AU11"),2.0)</f>
        <v>2</v>
      </c>
      <c r="BW11" s="269" t="str">
        <f t="shared" si="30"/>
        <v>-</v>
      </c>
      <c r="BX11" s="269" t="str">
        <f t="shared" si="31"/>
        <v>-</v>
      </c>
      <c r="BY11" s="271" t="str">
        <f t="shared" si="32"/>
        <v>xooxxooxoxo</v>
      </c>
      <c r="BZ11" s="269" t="str">
        <f t="shared" si="33"/>
        <v>-</v>
      </c>
      <c r="CA11" s="271" t="str">
        <f t="shared" si="34"/>
        <v>-</v>
      </c>
      <c r="CB11" s="271" t="str">
        <f t="shared" si="35"/>
        <v>xxooxoxooxo</v>
      </c>
      <c r="CC11" s="271" t="str">
        <f t="shared" si="36"/>
        <v>xooxoxooxoo</v>
      </c>
      <c r="CD11" s="271" t="str">
        <f t="shared" si="37"/>
        <v>-</v>
      </c>
      <c r="CE11" s="271" t="str">
        <f t="shared" si="38"/>
        <v>-</v>
      </c>
      <c r="CF11" s="271" t="str">
        <f t="shared" si="39"/>
        <v>xoxooxooxxo</v>
      </c>
      <c r="CG11" s="274" t="str">
        <f t="shared" si="40"/>
        <v>-</v>
      </c>
      <c r="CH11" s="276" t="str">
        <f>IFERROR(__xludf.DUMMYFUNCTION("IF(BI11=""oooooooooooo"",""-"",IF(REGEXMATCH(BJ11,""xx""), ""Hemi."", ""Anhemi.""))"),"Hemi.")</f>
        <v>Hemi.</v>
      </c>
      <c r="CI11" s="282" t="str">
        <f>IFERROR(__xludf.DUMMYFUNCTION("IF(BI11=""oooooooooooo"",""-"",IF(REGEXMATCH(BJ11,""xxx""), ""Cohem."", ""-""))"),"-")</f>
        <v>-</v>
      </c>
      <c r="CJ11" s="282" t="str">
        <f>IFERROR(__xludf.DUMMYFUNCTION("IF(BI11=""oooooooooooo"",""-"",IF(REGEXMATCH(BJ11,""xxxx""), ""Co-Co."", ""-""))"),"-")</f>
        <v>-</v>
      </c>
      <c r="CK11" s="342" t="str">
        <f>IFERROR(__xludf.DUMMYFUNCTION("IF(BI11=""oooooooooooo"",""-"",IF(REGEXMATCH(BJ11,""xxxxx""), ""CCC."", ""-""))"),"-")</f>
        <v>-</v>
      </c>
      <c r="CL11" s="344" t="str">
        <f t="shared" si="41"/>
        <v>-</v>
      </c>
      <c r="CM11" s="282" t="str">
        <f>IFERROR(__xludf.DUMMYFUNCTION("IF(REGEXMATCH(JOIN(""-"",CO11:CX11),""TRUE""),""✔"",""-"")"),"-")</f>
        <v>-</v>
      </c>
      <c r="CN11" s="225">
        <f t="shared" si="42"/>
        <v>0</v>
      </c>
      <c r="CO11" s="376" t="b">
        <f>IFERROR(__xludf.DUMMYFUNCTION("arrayformula(sum(--REGEXMATCH(""SRGMPDNS"",split(REGEXREPLACE(N11,""(.)"",""$1~""),""~""))))=len(N11)
"),FALSE)</f>
        <v>0</v>
      </c>
      <c r="CP11" s="290" t="b">
        <f>IFERROR(__xludf.DUMMYFUNCTION("arrayformula(sum(--REGEXMATCH(""SRGmPDNS"",split(REGEXREPLACE(N11,""(.)"",""$1~""),""~""))))=len(N11)"),FALSE)</f>
        <v>0</v>
      </c>
      <c r="CQ11" s="290" t="b">
        <f>IFERROR(__xludf.DUMMYFUNCTION("arrayformula(sum(--REGEXMATCH(""SRGmPDnS"",split(REGEXREPLACE(N11,""(.)"",""$1~""),""~""))))=len(N11)"),FALSE)</f>
        <v>0</v>
      </c>
      <c r="CR11" s="290" t="b">
        <f>IFERROR(__xludf.DUMMYFUNCTION("arrayformula(sum(--REGEXMATCH(""SRgmPDnS"",split(REGEXREPLACE(N11,""(.)"",""$1~""),""~""))))=len(N11)"),FALSE)</f>
        <v>0</v>
      </c>
      <c r="CS11" s="290" t="b">
        <f>IFERROR(__xludf.DUMMYFUNCTION("arrayformula(sum(--REGEXMATCH(""SRgmPdnS"",split(REGEXREPLACE(N11,""(.)"",""$1~""),""~""))))=len(N11)"),FALSE)</f>
        <v>0</v>
      </c>
      <c r="CT11" s="290" t="b">
        <f>IFERROR(__xludf.DUMMYFUNCTION("arrayformula(sum(--REGEXMATCH(""SrgmPdnS"",split(REGEXREPLACE(N11,""(.)"",""$1~""),""~""))))=len(N11)"),FALSE)</f>
        <v>0</v>
      </c>
      <c r="CU11" s="290" t="b">
        <f>IFERROR(__xludf.DUMMYFUNCTION("arrayformula(sum(--REGEXMATCH(""SrGmPdNS"",split(REGEXREPLACE(N11,""(.)"",""$1~""),""~""))))=len(N11)"),FALSE)</f>
        <v>0</v>
      </c>
      <c r="CV11" s="290" t="b">
        <f>IFERROR(__xludf.DUMMYFUNCTION("arrayformula(sum(--REGEXMATCH(""SrGMPDNS"",split(REGEXREPLACE(N11,""(.)"",""$1~""),""~""))))=len(N11)"),FALSE)</f>
        <v>0</v>
      </c>
      <c r="CW11" s="290" t="b">
        <f>IFERROR(__xludf.DUMMYFUNCTION("arrayformula(sum(--REGEXMATCH(""SrGMPdNS"",split(REGEXREPLACE(N11,""(.)"",""$1~""),""~""))))=len(N11)"),FALSE)</f>
        <v>0</v>
      </c>
      <c r="CX11" s="293" t="b">
        <f>IFERROR(__xludf.DUMMYFUNCTION("arrayformula(sum(--REGEXMATCH(""SrgMPdNS"",split(REGEXREPLACE(N11,""(.)"",""$1~""),""~""))))=len(N11)"),FALSE)</f>
        <v>0</v>
      </c>
      <c r="CY11" s="244" t="str">
        <f>IFERROR(__xludf.DUMMYFUNCTION("IF(REGEXMATCH(N11, ""S""), ""1"","""")"),"1")</f>
        <v>1</v>
      </c>
      <c r="CZ11" s="245" t="str">
        <f>IFERROR(__xludf.DUMMYFUNCTION("IF(REGEXMATCH(N11, ""r""), ""b2"","""")"),"")</f>
        <v/>
      </c>
      <c r="DA11" s="246" t="str">
        <f>IFERROR(__xludf.DUMMYFUNCTION("IF(REGEXMATCH(N11, ""R""), ""2"","""")"),"")</f>
        <v/>
      </c>
      <c r="DB11" s="246" t="str">
        <f>IFERROR(__xludf.DUMMYFUNCTION("IF(REGEXMATCH(N11, ""g""), ""b3"","""")"),"b3")</f>
        <v>b3</v>
      </c>
      <c r="DC11" s="245" t="str">
        <f>IFERROR(__xludf.DUMMYFUNCTION("IF(REGEXMATCH(N11, ""G""), ""3"","""")"),"")</f>
        <v/>
      </c>
      <c r="DD11" s="245" t="str">
        <f>IFERROR(__xludf.DUMMYFUNCTION("IF(REGEXMATCH(N11, ""m""), ""4"","""")"),"")</f>
        <v/>
      </c>
      <c r="DE11" s="246" t="str">
        <f>IFERROR(__xludf.DUMMYFUNCTION("IF(REGEXMATCH(N11, ""M""), ""#4"","""")"),"#4")</f>
        <v>#4</v>
      </c>
      <c r="DF11" s="245" t="str">
        <f>IFERROR(__xludf.DUMMYFUNCTION("IF(REGEXMATCH(N11, ""P""), ""5"","""")"),"5")</f>
        <v>5</v>
      </c>
      <c r="DG11" s="246" t="str">
        <f>IFERROR(__xludf.DUMMYFUNCTION("IF(REGEXMATCH(N11, ""d""), ""b6"","""")"),"")</f>
        <v/>
      </c>
      <c r="DH11" s="245" t="str">
        <f>IFERROR(__xludf.DUMMYFUNCTION("IF(REGEXMATCH(N11, ""D""), ""6"","""")"),"")</f>
        <v/>
      </c>
      <c r="DI11" s="245" t="str">
        <f>IFERROR(__xludf.DUMMYFUNCTION("IF(REGEXMATCH(N11, ""n""), ""b7"","""")"),"b7")</f>
        <v>b7</v>
      </c>
      <c r="DJ11" s="246" t="str">
        <f>IFERROR(__xludf.DUMMYFUNCTION("IF(REGEXMATCH(N11, ""N""), ""7"","""")"),"")</f>
        <v/>
      </c>
      <c r="DK11" s="249" t="str">
        <f>IFERROR(__xludf.DUMMYFUNCTION("IF(REGEXMATCH(N11, ""S""), ""8"","""")"),"8")</f>
        <v>8</v>
      </c>
      <c r="DL11" s="244" t="str">
        <f>IFERROR(__xludf.DUMMYFUNCTION("IF(REGEXMATCH(N11, ""S""), ""S"","""")"),"S")</f>
        <v>S</v>
      </c>
      <c r="DM11" s="294" t="str">
        <f>IFERROR(__xludf.DUMMYFUNCTION("IF(REGEXMATCH(N11, ""r""), ""R1"","""")"),"")</f>
        <v/>
      </c>
      <c r="DN11" s="295" t="str">
        <f>IFERROR(__xludf.DUMMYFUNCTION("IF(REGEXMATCH(N11, ""R""), ""R2"","""")"),"")</f>
        <v/>
      </c>
      <c r="DO11" s="295" t="str">
        <f>IFERROR(__xludf.DUMMYFUNCTION("IF(REGEXMATCH(N11, ""g""), ""G2"","""")"),"G2")</f>
        <v>G2</v>
      </c>
      <c r="DP11" s="294" t="str">
        <f>IFERROR(__xludf.DUMMYFUNCTION("IF(REGEXMATCH(N11, ""G""), ""G3"","""")"),"")</f>
        <v/>
      </c>
      <c r="DQ11" s="294" t="str">
        <f>IFERROR(__xludf.DUMMYFUNCTION("IF(REGEXMATCH(N11, ""m""), ""M1"","""")"),"")</f>
        <v/>
      </c>
      <c r="DR11" s="295" t="str">
        <f>IFERROR(__xludf.DUMMYFUNCTION("IF(REGEXMATCH(N11, ""M""), ""M2"","""")"),"M2")</f>
        <v>M2</v>
      </c>
      <c r="DS11" s="294" t="str">
        <f>IFERROR(__xludf.DUMMYFUNCTION("IF(REGEXMATCH(N11, ""P""), ""P"","""")"),"P")</f>
        <v>P</v>
      </c>
      <c r="DT11" s="295" t="str">
        <f>IFERROR(__xludf.DUMMYFUNCTION("IF(REGEXMATCH(N11, ""d""), ""D1"","""")"),"")</f>
        <v/>
      </c>
      <c r="DU11" s="294" t="str">
        <f>IFERROR(__xludf.DUMMYFUNCTION("IF(REGEXMATCH(N11, ""D""), ""D2"","""")"),"")</f>
        <v/>
      </c>
      <c r="DV11" s="294" t="str">
        <f>IFERROR(__xludf.DUMMYFUNCTION("IF(REGEXMATCH(N11, ""n""), ""N2"","""")"),"N2")</f>
        <v>N2</v>
      </c>
      <c r="DW11" s="295" t="str">
        <f>IFERROR(__xludf.DUMMYFUNCTION("IF(REGEXMATCH(N11, ""N""), ""N3"","""")"),"")</f>
        <v/>
      </c>
      <c r="DX11" s="249" t="str">
        <f>IFERROR(__xludf.DUMMYFUNCTION("IF(REGEXMATCH(N11, ""S""), ""S"","""")"),"S")</f>
        <v>S</v>
      </c>
      <c r="DY11" s="299" t="str">
        <f>IFERROR(__xludf.DUMMYFUNCTION("SUBSTITUTE(SUBSTITUTE(SUBSTITUTE(SUBSTITUTE(CONCATENATE(JOIN(""-"",CY11:DK11)),""--"",""-""),""--"",""-""),""--"",""-""),""--"",""-"")"),"1-b3-#4-5-b7-8")</f>
        <v>1-b3-#4-5-b7-8</v>
      </c>
      <c r="DZ11" s="299" t="str">
        <f>IFERROR(__xludf.DUMMYFUNCTION("SUBSTITUTE(SUBSTITUTE(SUBSTITUTE(SUBSTITUTE(CONCATENATE(JOIN(""-"",DL11:DX11)),""--"",""-""),""--"",""-""),""--"",""-""),""--"",""-"")"),"S-G2-M2-P-N2-S")</f>
        <v>S-G2-M2-P-N2-S</v>
      </c>
      <c r="EA11" s="348" t="str">
        <f t="shared" si="43"/>
        <v>C-Eb-F#-G-Bb-C</v>
      </c>
      <c r="EB11" s="301">
        <f t="shared" si="44"/>
        <v>5</v>
      </c>
      <c r="EC11" s="302" t="str">
        <f t="shared" si="45"/>
        <v>Audav</v>
      </c>
      <c r="ED11" s="301" t="str">
        <f t="shared" ref="ED11:EE11" si="177">SUBSTITUTE(AD11,"-","")</f>
        <v>SGM</v>
      </c>
      <c r="EE11" s="301" t="str">
        <f t="shared" si="177"/>
        <v>PNS</v>
      </c>
      <c r="EF11" s="302" t="str">
        <f t="shared" si="47"/>
        <v>(PAIR)</v>
      </c>
      <c r="EG11" s="301" t="str">
        <f t="shared" si="48"/>
        <v>Hemi.</v>
      </c>
      <c r="EH11" s="364" t="str">
        <f t="shared" si="49"/>
        <v>-</v>
      </c>
      <c r="EI11" s="306" t="str">
        <f t="shared" si="50"/>
        <v>-</v>
      </c>
      <c r="EJ11" s="366" t="str">
        <f t="shared" si="51"/>
        <v>-</v>
      </c>
      <c r="EK11" s="308" t="str">
        <f t="shared" si="52"/>
        <v>✔</v>
      </c>
      <c r="EL11" s="306" t="str">
        <f t="shared" si="53"/>
        <v>-</v>
      </c>
      <c r="EM11" s="306" t="str">
        <f t="shared" si="54"/>
        <v>✔</v>
      </c>
      <c r="EN11" s="367" t="str">
        <f t="shared" si="55"/>
        <v>✔</v>
      </c>
      <c r="EO11" s="310" t="str">
        <f t="shared" si="56"/>
        <v>-</v>
      </c>
      <c r="EP11" s="310" t="str">
        <f t="shared" si="57"/>
        <v>-</v>
      </c>
      <c r="EQ11" s="310" t="str">
        <f t="shared" si="58"/>
        <v>-</v>
      </c>
      <c r="ER11" s="310" t="str">
        <f t="shared" si="59"/>
        <v>-</v>
      </c>
      <c r="ES11" s="370" t="str">
        <f t="shared" si="60"/>
        <v>-</v>
      </c>
      <c r="ET11" s="306" t="str">
        <f t="shared" si="61"/>
        <v>✔</v>
      </c>
      <c r="EU11" s="306" t="str">
        <f t="shared" si="62"/>
        <v>-</v>
      </c>
      <c r="EV11" s="306" t="str">
        <f t="shared" si="63"/>
        <v>-</v>
      </c>
      <c r="EW11" s="306" t="str">
        <f t="shared" si="64"/>
        <v>-</v>
      </c>
      <c r="EX11" s="306" t="str">
        <f t="shared" si="65"/>
        <v>✔</v>
      </c>
      <c r="EY11" s="367" t="str">
        <f t="shared" si="66"/>
        <v>-</v>
      </c>
      <c r="EZ11" s="310" t="str">
        <f>IFERROR(__xludf.DUMMYFUNCTION("IF(REGEXMATCH(BM11,BI11),""✔"",""-"")"),"-")</f>
        <v>-</v>
      </c>
      <c r="FA11" s="310" t="str">
        <f t="shared" si="67"/>
        <v>-</v>
      </c>
      <c r="FB11" s="370" t="str">
        <f t="shared" si="68"/>
        <v>-</v>
      </c>
      <c r="FC11" s="315" t="str">
        <f t="shared" si="69"/>
        <v>[UQ]</v>
      </c>
      <c r="FD11" s="317" t="str">
        <f t="shared" si="70"/>
        <v>S-g-M-P-n-S</v>
      </c>
      <c r="FE11" s="318" t="str">
        <f>IFERROR(__xludf.DUMMYFUNCTION("CONCATENATE(JOIN("""",GJ11:GV11))"),"SRmMDS")</f>
        <v>SRmMDS</v>
      </c>
      <c r="FF11" s="318"/>
      <c r="FG11" s="318"/>
      <c r="FH11" s="321">
        <f t="shared" si="71"/>
        <v>3</v>
      </c>
      <c r="FI11" s="318" t="str">
        <f>IFERROR(__xludf.DUMMYFUNCTION("CONCATENATE(JOIN("""",HW11:II11))"),"Ma, Pa, ni, ")</f>
        <v>Ma, Pa, ni, </v>
      </c>
      <c r="FJ11" s="322">
        <f t="shared" si="72"/>
        <v>1</v>
      </c>
      <c r="FK11" s="324" t="str">
        <f>IFERROR(__xludf.DUMMYFUNCTION("CONCATENATE(JOIN("""",IW11:JI11))"),"Ma, ")</f>
        <v>Ma, </v>
      </c>
      <c r="FL11" s="325" t="str">
        <f t="shared" si="73"/>
        <v>S-G2-M2-P-N2-S</v>
      </c>
      <c r="FM11" s="326" t="str">
        <f t="shared" si="74"/>
        <v>1-b3-#4-5-b7-8</v>
      </c>
      <c r="FN11" s="326" t="str">
        <f t="shared" si="75"/>
        <v>0-3-6-7-10-0</v>
      </c>
      <c r="FO11" s="318"/>
      <c r="FP11" s="328" t="str">
        <f>IFERROR(__xludf.DUMMYFUNCTION("SUBSTITUTE(SUBSTITUTE(SUBSTITUTE(SUBSTITUTE(CONCATENATE(JOIN("" "",FS11:GE11)),""  "","" ""),""  "","" ""),""  "","" ""),""  "","" "")"),"o • • o • • o o • • o • o")</f>
        <v>o • • o • • o o • • o • o</v>
      </c>
      <c r="FQ11" s="328" t="str">
        <f t="shared" si="76"/>
        <v>Sa-Pa</v>
      </c>
      <c r="FR11" s="329"/>
      <c r="FS11" s="331" t="str">
        <f t="shared" si="77"/>
        <v>o</v>
      </c>
      <c r="FT11" s="332" t="str">
        <f t="shared" si="78"/>
        <v>•</v>
      </c>
      <c r="FU11" s="332" t="str">
        <f t="shared" si="79"/>
        <v>•</v>
      </c>
      <c r="FV11" s="332" t="str">
        <f t="shared" si="80"/>
        <v>o</v>
      </c>
      <c r="FW11" s="332" t="str">
        <f t="shared" si="81"/>
        <v>•</v>
      </c>
      <c r="FX11" s="332" t="str">
        <f t="shared" si="82"/>
        <v>•</v>
      </c>
      <c r="FY11" s="332" t="str">
        <f t="shared" si="83"/>
        <v>o</v>
      </c>
      <c r="FZ11" s="332" t="str">
        <f t="shared" si="84"/>
        <v>o</v>
      </c>
      <c r="GA11" s="332" t="str">
        <f t="shared" si="85"/>
        <v>•</v>
      </c>
      <c r="GB11" s="332" t="str">
        <f t="shared" si="86"/>
        <v>•</v>
      </c>
      <c r="GC11" s="332" t="str">
        <f t="shared" si="87"/>
        <v>o</v>
      </c>
      <c r="GD11" s="332" t="str">
        <f t="shared" si="88"/>
        <v>•</v>
      </c>
      <c r="GE11" s="338" t="str">
        <f t="shared" si="89"/>
        <v>o</v>
      </c>
      <c r="GF11" s="339" t="str">
        <f t="shared" si="90"/>
        <v>Sa-Pa</v>
      </c>
      <c r="GG11" s="339" t="str">
        <f t="shared" si="91"/>
        <v>Sa-Pa</v>
      </c>
      <c r="GH11" s="339" t="str">
        <f t="shared" si="92"/>
        <v>-</v>
      </c>
      <c r="GI11" s="340" t="str">
        <f t="shared" si="93"/>
        <v>-</v>
      </c>
      <c r="GJ11" s="331" t="str">
        <f t="shared" si="94"/>
        <v>S</v>
      </c>
      <c r="GK11" s="332" t="str">
        <f t="shared" si="95"/>
        <v/>
      </c>
      <c r="GL11" s="332" t="str">
        <f t="shared" si="96"/>
        <v>R</v>
      </c>
      <c r="GM11" s="332" t="str">
        <f t="shared" si="97"/>
        <v/>
      </c>
      <c r="GN11" s="332" t="str">
        <f t="shared" si="98"/>
        <v/>
      </c>
      <c r="GO11" s="332" t="str">
        <f t="shared" si="99"/>
        <v>m</v>
      </c>
      <c r="GP11" s="332" t="str">
        <f t="shared" si="100"/>
        <v>M</v>
      </c>
      <c r="GQ11" s="332" t="str">
        <f t="shared" si="101"/>
        <v/>
      </c>
      <c r="GR11" s="332" t="str">
        <f t="shared" si="102"/>
        <v/>
      </c>
      <c r="GS11" s="332" t="str">
        <f t="shared" si="103"/>
        <v>D</v>
      </c>
      <c r="GT11" s="332" t="str">
        <f t="shared" si="104"/>
        <v/>
      </c>
      <c r="GU11" s="332" t="str">
        <f t="shared" si="105"/>
        <v/>
      </c>
      <c r="GV11" s="343" t="str">
        <f t="shared" si="106"/>
        <v>S</v>
      </c>
      <c r="GW11" s="331" t="str">
        <f t="shared" si="107"/>
        <v>•</v>
      </c>
      <c r="GX11" s="332" t="str">
        <f t="shared" si="108"/>
        <v>o</v>
      </c>
      <c r="GY11" s="332" t="str">
        <f t="shared" si="109"/>
        <v>o</v>
      </c>
      <c r="GZ11" s="332" t="str">
        <f t="shared" si="110"/>
        <v>•</v>
      </c>
      <c r="HA11" s="332" t="str">
        <f t="shared" si="111"/>
        <v>o</v>
      </c>
      <c r="HB11" s="332" t="str">
        <f t="shared" si="112"/>
        <v>o</v>
      </c>
      <c r="HC11" s="332" t="str">
        <f t="shared" si="113"/>
        <v>•</v>
      </c>
      <c r="HD11" s="332" t="str">
        <f t="shared" si="114"/>
        <v>•</v>
      </c>
      <c r="HE11" s="332" t="str">
        <f t="shared" si="115"/>
        <v>o</v>
      </c>
      <c r="HF11" s="332" t="str">
        <f t="shared" si="116"/>
        <v>o</v>
      </c>
      <c r="HG11" s="332" t="str">
        <f t="shared" si="117"/>
        <v>•</v>
      </c>
      <c r="HH11" s="332" t="str">
        <f t="shared" si="118"/>
        <v>o</v>
      </c>
      <c r="HI11" s="338" t="str">
        <f t="shared" si="119"/>
        <v>•</v>
      </c>
      <c r="HJ11" s="346" t="b">
        <f t="shared" si="120"/>
        <v>0</v>
      </c>
      <c r="HK11" s="347" t="b">
        <f t="shared" si="121"/>
        <v>0</v>
      </c>
      <c r="HL11" s="347" t="b">
        <f t="shared" si="122"/>
        <v>0</v>
      </c>
      <c r="HM11" s="347" t="b">
        <f t="shared" si="123"/>
        <v>0</v>
      </c>
      <c r="HN11" s="347" t="b">
        <f t="shared" si="124"/>
        <v>0</v>
      </c>
      <c r="HO11" s="347" t="b">
        <f t="shared" si="125"/>
        <v>0</v>
      </c>
      <c r="HP11" s="347" t="b">
        <f t="shared" si="126"/>
        <v>1</v>
      </c>
      <c r="HQ11" s="347" t="b">
        <f t="shared" si="127"/>
        <v>1</v>
      </c>
      <c r="HR11" s="347" t="b">
        <f t="shared" si="128"/>
        <v>0</v>
      </c>
      <c r="HS11" s="347" t="b">
        <f t="shared" si="129"/>
        <v>0</v>
      </c>
      <c r="HT11" s="347" t="b">
        <f t="shared" si="130"/>
        <v>1</v>
      </c>
      <c r="HU11" s="347" t="b">
        <f t="shared" si="131"/>
        <v>0</v>
      </c>
      <c r="HV11" s="353" t="b">
        <f t="shared" si="132"/>
        <v>0</v>
      </c>
      <c r="HW11" s="354" t="str">
        <f t="shared" si="133"/>
        <v/>
      </c>
      <c r="HX11" s="355" t="str">
        <f t="shared" si="134"/>
        <v/>
      </c>
      <c r="HY11" s="355" t="str">
        <f t="shared" si="135"/>
        <v/>
      </c>
      <c r="HZ11" s="355" t="str">
        <f t="shared" si="136"/>
        <v/>
      </c>
      <c r="IA11" s="355" t="str">
        <f t="shared" si="137"/>
        <v/>
      </c>
      <c r="IB11" s="355" t="str">
        <f t="shared" si="138"/>
        <v/>
      </c>
      <c r="IC11" s="355" t="str">
        <f t="shared" si="139"/>
        <v>Ma, </v>
      </c>
      <c r="ID11" s="355" t="str">
        <f t="shared" si="140"/>
        <v>Pa, </v>
      </c>
      <c r="IE11" s="355" t="str">
        <f t="shared" si="141"/>
        <v/>
      </c>
      <c r="IF11" s="355" t="str">
        <f t="shared" si="142"/>
        <v/>
      </c>
      <c r="IG11" s="355" t="str">
        <f t="shared" si="143"/>
        <v>ni, </v>
      </c>
      <c r="IH11" s="355" t="str">
        <f t="shared" si="144"/>
        <v/>
      </c>
      <c r="II11" s="359" t="str">
        <f t="shared" si="145"/>
        <v/>
      </c>
      <c r="IJ11" s="346" t="b">
        <f t="shared" si="146"/>
        <v>0</v>
      </c>
      <c r="IK11" s="347" t="b">
        <f t="shared" si="147"/>
        <v>0</v>
      </c>
      <c r="IL11" s="347" t="b">
        <f t="shared" si="148"/>
        <v>0</v>
      </c>
      <c r="IM11" s="347" t="b">
        <f t="shared" si="149"/>
        <v>0</v>
      </c>
      <c r="IN11" s="347" t="b">
        <f t="shared" si="150"/>
        <v>0</v>
      </c>
      <c r="IO11" s="347" t="b">
        <f t="shared" si="151"/>
        <v>0</v>
      </c>
      <c r="IP11" s="347" t="b">
        <f t="shared" si="152"/>
        <v>1</v>
      </c>
      <c r="IQ11" s="347" t="b">
        <f t="shared" si="153"/>
        <v>0</v>
      </c>
      <c r="IR11" s="347" t="b">
        <f t="shared" si="154"/>
        <v>0</v>
      </c>
      <c r="IS11" s="347" t="b">
        <f t="shared" si="155"/>
        <v>0</v>
      </c>
      <c r="IT11" s="347" t="b">
        <f t="shared" si="156"/>
        <v>0</v>
      </c>
      <c r="IU11" s="347" t="b">
        <f t="shared" si="157"/>
        <v>0</v>
      </c>
      <c r="IV11" s="365" t="b">
        <f t="shared" si="158"/>
        <v>0</v>
      </c>
      <c r="IW11" s="354" t="str">
        <f t="shared" si="159"/>
        <v/>
      </c>
      <c r="IX11" s="355" t="str">
        <f t="shared" si="160"/>
        <v/>
      </c>
      <c r="IY11" s="355" t="str">
        <f t="shared" si="161"/>
        <v/>
      </c>
      <c r="IZ11" s="355" t="str">
        <f t="shared" si="162"/>
        <v/>
      </c>
      <c r="JA11" s="355" t="str">
        <f t="shared" si="163"/>
        <v/>
      </c>
      <c r="JB11" s="355" t="str">
        <f t="shared" si="164"/>
        <v/>
      </c>
      <c r="JC11" s="355" t="str">
        <f t="shared" si="165"/>
        <v>Ma, </v>
      </c>
      <c r="JD11" s="355" t="str">
        <f t="shared" si="166"/>
        <v/>
      </c>
      <c r="JE11" s="355" t="str">
        <f t="shared" si="167"/>
        <v/>
      </c>
      <c r="JF11" s="355" t="str">
        <f t="shared" si="168"/>
        <v/>
      </c>
      <c r="JG11" s="355" t="str">
        <f t="shared" si="169"/>
        <v/>
      </c>
      <c r="JH11" s="355" t="str">
        <f t="shared" si="170"/>
        <v/>
      </c>
      <c r="JI11" s="359"/>
      <c r="JJ11" s="321"/>
      <c r="JK11" s="368"/>
      <c r="JL11" s="369"/>
      <c r="JM11" s="369"/>
      <c r="JN11" s="369"/>
      <c r="JO11" s="369"/>
      <c r="JP11" s="369"/>
      <c r="JQ11" s="369"/>
      <c r="JR11" s="369"/>
      <c r="JS11" s="369"/>
      <c r="JT11" s="369"/>
      <c r="JU11" s="369"/>
    </row>
    <row r="12" ht="20.25" customHeight="1">
      <c r="A12" s="221" t="s">
        <v>781</v>
      </c>
      <c r="B12" s="223" t="s">
        <v>782</v>
      </c>
      <c r="C12" s="222"/>
      <c r="D12" s="222" t="s">
        <v>275</v>
      </c>
      <c r="E12" s="222"/>
      <c r="F12" s="222"/>
      <c r="G12" s="222" t="s">
        <v>275</v>
      </c>
      <c r="H12" s="222">
        <v>10.0</v>
      </c>
      <c r="I12" s="224" t="s">
        <v>398</v>
      </c>
      <c r="J12" s="225" t="str">
        <f t="shared" si="5"/>
        <v>[UQ]</v>
      </c>
      <c r="K12" s="227">
        <f t="shared" si="6"/>
        <v>5</v>
      </c>
      <c r="L12" s="229">
        <f t="shared" si="7"/>
        <v>5</v>
      </c>
      <c r="M12" s="230">
        <f t="shared" si="8"/>
        <v>0</v>
      </c>
      <c r="N12" s="233" t="str">
        <f t="shared" si="9"/>
        <v>SgMDnS</v>
      </c>
      <c r="O12" s="234" t="str">
        <f>IFERROR(__xludf.DUMMYFUNCTION("IF(REGEXMATCH(N12, ""S""), ""S"","""")"),"S")</f>
        <v>S</v>
      </c>
      <c r="P12" s="236" t="str">
        <f>IFERROR(__xludf.DUMMYFUNCTION("IF(REGEXMATCH(N12, ""r""), ""r"","""")"),"")</f>
        <v/>
      </c>
      <c r="Q12" s="237" t="str">
        <f>IFERROR(__xludf.DUMMYFUNCTION("IF(REGEXMATCH(N12, ""R""), ""R"","""")"),"")</f>
        <v/>
      </c>
      <c r="R12" s="237" t="str">
        <f>IFERROR(__xludf.DUMMYFUNCTION("IF(REGEXMATCH(N12, ""g""), ""g"","""")"),"g")</f>
        <v>g</v>
      </c>
      <c r="S12" s="236" t="str">
        <f>IFERROR(__xludf.DUMMYFUNCTION("IF(REGEXMATCH(N12, ""G""), ""G"","""")"),"")</f>
        <v/>
      </c>
      <c r="T12" s="236" t="str">
        <f>IFERROR(__xludf.DUMMYFUNCTION("IF(REGEXMATCH(N12, ""m""), ""m"","""")"),"")</f>
        <v/>
      </c>
      <c r="U12" s="237" t="str">
        <f>IFERROR(__xludf.DUMMYFUNCTION("IF(REGEXMATCH(N12, ""M""), ""M"","""")"),"M")</f>
        <v>M</v>
      </c>
      <c r="V12" s="236" t="str">
        <f>IFERROR(__xludf.DUMMYFUNCTION("IF(REGEXMATCH(N12, ""P""), ""P"","""")"),"")</f>
        <v/>
      </c>
      <c r="W12" s="237" t="str">
        <f>IFERROR(__xludf.DUMMYFUNCTION("IF(REGEXMATCH(N12, ""d""), ""d"","""")"),"")</f>
        <v/>
      </c>
      <c r="X12" s="236" t="str">
        <f>IFERROR(__xludf.DUMMYFUNCTION("IF(REGEXMATCH(N12, ""D""), ""D"","""")"),"D")</f>
        <v>D</v>
      </c>
      <c r="Y12" s="236" t="str">
        <f>IFERROR(__xludf.DUMMYFUNCTION("IF(REGEXMATCH(N12, ""n""), ""n"","""")"),"n")</f>
        <v>n</v>
      </c>
      <c r="Z12" s="237" t="str">
        <f>IFERROR(__xludf.DUMMYFUNCTION("IF(REGEXMATCH(N12, ""N""), ""N"","""")"),"")</f>
        <v/>
      </c>
      <c r="AA12" s="238" t="str">
        <f>IFERROR(__xludf.DUMMYFUNCTION("IF(REGEXMATCH(N12, ""S""), ""S"","""")"),"S")</f>
        <v>S</v>
      </c>
      <c r="AB12" s="239" t="str">
        <f>IFERROR(__xludf.DUMMYFUNCTION("SUBSTITUTE(CONCATENATE(JOIN(""-"",O12:U12)),""-"","""")"),"SgM")</f>
        <v>SgM</v>
      </c>
      <c r="AC12" s="229" t="str">
        <f>IFERROR(__xludf.DUMMYFUNCTION("SUBSTITUTE(CONCATENATE(JOIN(""-"",V12:AA12)),""-"","""")"),"DnS")</f>
        <v>DnS</v>
      </c>
      <c r="AD12" s="282" t="str">
        <f t="shared" si="10"/>
        <v>S-G-M</v>
      </c>
      <c r="AE12" s="282" t="str">
        <f t="shared" si="11"/>
        <v>D-N-S</v>
      </c>
      <c r="AF12" s="309" t="str">
        <f t="shared" si="12"/>
        <v>gMDn</v>
      </c>
      <c r="AG12" s="244" t="str">
        <f>IFERROR(__xludf.DUMMYFUNCTION("IF(REGEXMATCH(N12, ""S""), ""0"","""")"),"0")</f>
        <v>0</v>
      </c>
      <c r="AH12" s="245" t="str">
        <f>IFERROR(__xludf.DUMMYFUNCTION("IF(REGEXMATCH(N12, ""r""), ""1"","""")"),"")</f>
        <v/>
      </c>
      <c r="AI12" s="246" t="str">
        <f>IFERROR(__xludf.DUMMYFUNCTION("IF(REGEXMATCH(N12, ""R""), ""2"","""")"),"")</f>
        <v/>
      </c>
      <c r="AJ12" s="246" t="str">
        <f>IFERROR(__xludf.DUMMYFUNCTION("IF(REGEXMATCH(N12, ""g""), ""3"","""")"),"3")</f>
        <v>3</v>
      </c>
      <c r="AK12" s="245" t="str">
        <f>IFERROR(__xludf.DUMMYFUNCTION("IF(REGEXMATCH(N12, ""G""), ""4"","""")"),"")</f>
        <v/>
      </c>
      <c r="AL12" s="245" t="str">
        <f>IFERROR(__xludf.DUMMYFUNCTION("IF(REGEXMATCH(N12, ""m""), ""5"","""")"),"")</f>
        <v/>
      </c>
      <c r="AM12" s="246" t="str">
        <f>IFERROR(__xludf.DUMMYFUNCTION("IF(REGEXMATCH(N12, ""M""), ""6"","""")"),"6")</f>
        <v>6</v>
      </c>
      <c r="AN12" s="245" t="str">
        <f>IFERROR(__xludf.DUMMYFUNCTION("IF(REGEXMATCH(N12, ""P""), ""7"","""")"),"")</f>
        <v/>
      </c>
      <c r="AO12" s="246" t="str">
        <f>IFERROR(__xludf.DUMMYFUNCTION("IF(REGEXMATCH(N12, ""d""), ""8"","""")"),"")</f>
        <v/>
      </c>
      <c r="AP12" s="245" t="str">
        <f>IFERROR(__xludf.DUMMYFUNCTION("IF(REGEXMATCH(N12, ""D""), ""9"","""")"),"9")</f>
        <v>9</v>
      </c>
      <c r="AQ12" s="245" t="str">
        <f>IFERROR(__xludf.DUMMYFUNCTION("IF(REGEXMATCH(N12, ""n""), ""10"","""")"),"10")</f>
        <v>10</v>
      </c>
      <c r="AR12" s="246" t="str">
        <f>IFERROR(__xludf.DUMMYFUNCTION("IF(REGEXMATCH(N12, ""N""), ""11"","""")"),"")</f>
        <v/>
      </c>
      <c r="AS12" s="249" t="str">
        <f>IFERROR(__xludf.DUMMYFUNCTION("IF(REGEXMATCH(N12, ""S""), ""0"","""")"),"0")</f>
        <v>0</v>
      </c>
      <c r="AT12" s="250" t="str">
        <f>IFERROR(__xludf.DUMMYFUNCTION("SUBSTITUTE(SUBSTITUTE(SUBSTITUTE(SUBSTITUTE(CONCATENATE(JOIN(""-"",AG12:AS12)),""--"",""-""),""--"",""-""),""--"",""-""),""--"",""-"")"),"0-3-6-9-10-0")</f>
        <v>0-3-6-9-10-0</v>
      </c>
      <c r="AU12" s="251">
        <f t="shared" si="13"/>
        <v>0</v>
      </c>
      <c r="AV12" s="234" t="str">
        <f t="shared" si="14"/>
        <v>|</v>
      </c>
      <c r="AW12" s="236" t="str">
        <f t="shared" si="15"/>
        <v>-</v>
      </c>
      <c r="AX12" s="237" t="str">
        <f t="shared" si="16"/>
        <v>-</v>
      </c>
      <c r="AY12" s="236" t="str">
        <f t="shared" si="17"/>
        <v>|</v>
      </c>
      <c r="AZ12" s="237" t="str">
        <f t="shared" si="18"/>
        <v>-</v>
      </c>
      <c r="BA12" s="236" t="str">
        <f t="shared" si="19"/>
        <v>-</v>
      </c>
      <c r="BB12" s="237" t="str">
        <f t="shared" si="20"/>
        <v>|</v>
      </c>
      <c r="BC12" s="236" t="str">
        <f t="shared" si="21"/>
        <v>-</v>
      </c>
      <c r="BD12" s="237" t="str">
        <f t="shared" si="22"/>
        <v>-</v>
      </c>
      <c r="BE12" s="236" t="str">
        <f t="shared" si="23"/>
        <v>|</v>
      </c>
      <c r="BF12" s="237" t="str">
        <f t="shared" si="24"/>
        <v>|</v>
      </c>
      <c r="BG12" s="236" t="str">
        <f t="shared" si="25"/>
        <v>-</v>
      </c>
      <c r="BH12" s="238" t="str">
        <f t="shared" si="26"/>
        <v>|</v>
      </c>
      <c r="BI12" s="250" t="str">
        <f>IFERROR(__xludf.DUMMYFUNCTION("SUBSTITUTE(SUBSTITUTE(CONCATENATE(JOIN("""",AV12:BG12)),""|"",""x""),""-"",""o"")"),"xooxooxooxxo")</f>
        <v>xooxooxooxxo</v>
      </c>
      <c r="BJ12" s="323" t="str">
        <f>IFERROR(__xludf.DUMMYFUNCTION("JOIN("""",BI12,BI12)"),"xooxooxooxxoxooxooxooxxo")</f>
        <v>xooxooxooxxoxooxooxooxxo</v>
      </c>
      <c r="BK12" s="256" t="str">
        <f>IFERROR(__xludf.DUMMYFUNCTION("JOIN("""",ArrayFormula(MID(BI12,LEN(BI12)-SEQUENCE(1,LEN(BI12))+1,1)))"),"oxxooxooxoox")</f>
        <v>oxxooxooxoox</v>
      </c>
      <c r="BL12" s="256" t="str">
        <f>IFERROR(__xludf.DUMMYFUNCTION("LEFT(CONCATENATE(""x"",JOIN("""",ArrayFormula(MID(BI12,LEN(BI12)-SEQUENCE(1,LEN(BI12))+1,1)))),12)"),"xoxxooxooxoo")</f>
        <v>xoxxooxooxoo</v>
      </c>
      <c r="BM12" s="327" t="str">
        <f>IFERROR(__xludf.DUMMYFUNCTION("JOIN("""",BK12,BK12)"),"oxxooxooxooxoxxooxooxoox")</f>
        <v>oxxooxooxooxoxxooxooxoox</v>
      </c>
      <c r="BN12" s="239" t="str">
        <f>IFERROR(__xludf.DUMMYFUNCTION("IF(REGEXMATCH(BM12,BI12),""✔"",""-"")"),"-")</f>
        <v>-</v>
      </c>
      <c r="BO12" s="330" t="str">
        <f t="shared" si="27"/>
        <v>-</v>
      </c>
      <c r="BP12" s="260" t="str">
        <f t="shared" si="28"/>
        <v>-</v>
      </c>
      <c r="BQ12" s="261" t="str">
        <f>IFERROR(__xludf.DUMMYFUNCTION("IF(BT12=0,""(n/a)"",IF(BU12=2,""(PAIR)"",IF(REGEXMATCH(BJ12,""xoxoxxoxoxox""),""Bilawal"",IF(REGEXMATCH(BJ12,""xoxoxooxoxoo""),""Bhupali"",IF(REGEXMATCH(BJ12,""xoxoxxoxxoxo""),""Charukeshi"",IF(REGEXMATCH(BJ12,""xoxoooxxoxxo""),""Kameshwari"",IF(REGEXMATC"&amp;"H(BJ12,""xoxoxooxoxox""),""Shankara"",IF(REGEXMATCH(BJ12,""xxooxoxxxoox""),""Basant"",IF(REGEXMATCH(BJ12,""xoxoxxxxoxox""),""Bihag"",IF(REGEXMATCH(BJ12,""xoxxxxoxoxxx""),""Pilu"",IF(REGEXMATCH(BJ12,""xoxxoxoxxoox""),""Kirwani"",IF(REGEXMATCH(BJ12,""xoxxox"&amp;"oxoxxx""),""Mk.Malhar"",IF(REGEXMATCH(BJ12,""xxooxxoxxoox""),""Bhairav"",IF(REGEXMATCH(BJ12,""xxoxooxxxoox""),""Todi"",IF(REGEXMATCH(BJ12,""xxooxoxooxox""),""Marwa"",IF(REGEXMATCH(BJ12,""xxoooxoxxooo""),""Gunkali"",IF(REGEXMATCH(BJ12,""xoxoxxoxxoox""),""N"&amp;"at Bhairav"",IF(REGEXMATCH(BJ12,""xoxxoooxoxoo""),""Shivranjani"",IF(REGEXMATCH(BJ12,""xooxxxoxooxo""),""Jog"",IF(REGEXMATCH(BJ12,""xxooxoxoxoox""),""Hemshri"",IF(REGEXMATCH(BJ12,""xoooxooxoxxo""),""Kalavati"",IF(REGEXMATCH(BJ12,""xxoxoxxoxoox""),""Kedar"&amp;""",IF(REGEXMATCH(BJ12,""xoxxxxoxooxx""),""Gara"",IF(REGEXMATCH(BJ12,""xooxoxooxoox""),""Chandrakauns"",IF(REGEXMATCH(BJ12,""xoxxxxoxxxox""),""Mand"",IF(REGEXMATCH(BJ12,""xoxxxxoxoxox""),""Hanskinkini"",IF(REGEXMATCH(BJ12,""xxooxxoxooxo""),""Lilavati"",IF("&amp;"REGEXMATCH(BJ12,""xooxoxoooxox""),""Rajeshwari"",IF(REGEXMATCH(BJ12,""xoooxxoxoxxx""),""Khokar"",IF(REGEXMATCH(BJ12,""xxooxoxxxxox""),""Maligoura"",""-""))))))))))))))))))))))))))))))"),"(n/a)")</f>
        <v>(n/a)</v>
      </c>
      <c r="BR12" s="239">
        <f t="shared" si="29"/>
        <v>4</v>
      </c>
      <c r="BS12" s="239">
        <f>IFERROR(__xludf.DUMMYFUNCTION("COUNTUNIQUE(BW12:CG12)-1"),4.0)</f>
        <v>4</v>
      </c>
      <c r="BT12" s="239">
        <f>IFERROR(__xludf.DUMMYFUNCTION("COUNTUNIQUE(FILTER(BJ:BJ,REGEXMATCH(BJ:BJ,BI12)))-1"),0.0)</f>
        <v>0</v>
      </c>
      <c r="BU12" s="239">
        <f>IFERROR(__xludf.DUMMYFUNCTION("COUNTA(FILTER(BJ:BJ,REGEXMATCH(BJ:BJ,BI12)))"),1.0)</f>
        <v>1</v>
      </c>
      <c r="BV12" s="341">
        <f>IFERROR(__xludf.DUMMYFUNCTION("COUNTA(FILTER(BJ:BJ,REGEXMATCH(BJ:BJ,BI12)))-AU12"),1.0)</f>
        <v>1</v>
      </c>
      <c r="BW12" s="269" t="str">
        <f t="shared" si="30"/>
        <v>-</v>
      </c>
      <c r="BX12" s="269" t="str">
        <f t="shared" si="31"/>
        <v>-</v>
      </c>
      <c r="BY12" s="271" t="str">
        <f t="shared" si="32"/>
        <v>xooxooxxoxo</v>
      </c>
      <c r="BZ12" s="269" t="str">
        <f t="shared" si="33"/>
        <v>-</v>
      </c>
      <c r="CA12" s="271" t="str">
        <f t="shared" si="34"/>
        <v>-</v>
      </c>
      <c r="CB12" s="271" t="str">
        <f t="shared" si="35"/>
        <v>xooxxoxooxo</v>
      </c>
      <c r="CC12" s="271" t="str">
        <f t="shared" si="36"/>
        <v>-</v>
      </c>
      <c r="CD12" s="271" t="str">
        <f t="shared" si="37"/>
        <v>-</v>
      </c>
      <c r="CE12" s="271" t="str">
        <f t="shared" si="38"/>
        <v>xxoxooxooxo</v>
      </c>
      <c r="CF12" s="271" t="str">
        <f t="shared" si="39"/>
        <v>xoxooxooxoo</v>
      </c>
      <c r="CG12" s="274" t="str">
        <f t="shared" si="40"/>
        <v>-</v>
      </c>
      <c r="CH12" s="276" t="str">
        <f>IFERROR(__xludf.DUMMYFUNCTION("IF(BI12=""oooooooooooo"",""-"",IF(REGEXMATCH(BJ12,""xx""), ""Hemi."", ""Anhemi.""))"),"Hemi.")</f>
        <v>Hemi.</v>
      </c>
      <c r="CI12" s="282" t="str">
        <f>IFERROR(__xludf.DUMMYFUNCTION("IF(BI12=""oooooooooooo"",""-"",IF(REGEXMATCH(BJ12,""xxx""), ""Cohem."", ""-""))"),"-")</f>
        <v>-</v>
      </c>
      <c r="CJ12" s="282" t="str">
        <f>IFERROR(__xludf.DUMMYFUNCTION("IF(BI12=""oooooooooooo"",""-"",IF(REGEXMATCH(BJ12,""xxxx""), ""Co-Co."", ""-""))"),"-")</f>
        <v>-</v>
      </c>
      <c r="CK12" s="342" t="str">
        <f>IFERROR(__xludf.DUMMYFUNCTION("IF(BI12=""oooooooooooo"",""-"",IF(REGEXMATCH(BJ12,""xxxxx""), ""CCC."", ""-""))"),"-")</f>
        <v>-</v>
      </c>
      <c r="CL12" s="344" t="str">
        <f t="shared" si="41"/>
        <v>-</v>
      </c>
      <c r="CM12" s="282" t="str">
        <f>IFERROR(__xludf.DUMMYFUNCTION("IF(REGEXMATCH(JOIN(""-"",CO12:CX12),""TRUE""),""✔"",""-"")"),"-")</f>
        <v>-</v>
      </c>
      <c r="CN12" s="225">
        <f t="shared" si="42"/>
        <v>0</v>
      </c>
      <c r="CO12" s="376" t="b">
        <f>IFERROR(__xludf.DUMMYFUNCTION("arrayformula(sum(--REGEXMATCH(""SRGMPDNS"",split(REGEXREPLACE(N12,""(.)"",""$1~""),""~""))))=len(N12)
"),FALSE)</f>
        <v>0</v>
      </c>
      <c r="CP12" s="290" t="b">
        <f>IFERROR(__xludf.DUMMYFUNCTION("arrayformula(sum(--REGEXMATCH(""SRGmPDNS"",split(REGEXREPLACE(N12,""(.)"",""$1~""),""~""))))=len(N12)"),FALSE)</f>
        <v>0</v>
      </c>
      <c r="CQ12" s="290" t="b">
        <f>IFERROR(__xludf.DUMMYFUNCTION("arrayformula(sum(--REGEXMATCH(""SRGmPDnS"",split(REGEXREPLACE(N12,""(.)"",""$1~""),""~""))))=len(N12)"),FALSE)</f>
        <v>0</v>
      </c>
      <c r="CR12" s="290" t="b">
        <f>IFERROR(__xludf.DUMMYFUNCTION("arrayformula(sum(--REGEXMATCH(""SRgmPDnS"",split(REGEXREPLACE(N12,""(.)"",""$1~""),""~""))))=len(N12)"),FALSE)</f>
        <v>0</v>
      </c>
      <c r="CS12" s="290" t="b">
        <f>IFERROR(__xludf.DUMMYFUNCTION("arrayformula(sum(--REGEXMATCH(""SRgmPdnS"",split(REGEXREPLACE(N12,""(.)"",""$1~""),""~""))))=len(N12)"),FALSE)</f>
        <v>0</v>
      </c>
      <c r="CT12" s="290" t="b">
        <f>IFERROR(__xludf.DUMMYFUNCTION("arrayformula(sum(--REGEXMATCH(""SrgmPdnS"",split(REGEXREPLACE(N12,""(.)"",""$1~""),""~""))))=len(N12)"),FALSE)</f>
        <v>0</v>
      </c>
      <c r="CU12" s="290" t="b">
        <f>IFERROR(__xludf.DUMMYFUNCTION("arrayformula(sum(--REGEXMATCH(""SrGmPdNS"",split(REGEXREPLACE(N12,""(.)"",""$1~""),""~""))))=len(N12)"),FALSE)</f>
        <v>0</v>
      </c>
      <c r="CV12" s="290" t="b">
        <f>IFERROR(__xludf.DUMMYFUNCTION("arrayformula(sum(--REGEXMATCH(""SrGMPDNS"",split(REGEXREPLACE(N12,""(.)"",""$1~""),""~""))))=len(N12)"),FALSE)</f>
        <v>0</v>
      </c>
      <c r="CW12" s="290" t="b">
        <f>IFERROR(__xludf.DUMMYFUNCTION("arrayformula(sum(--REGEXMATCH(""SrGMPdNS"",split(REGEXREPLACE(N12,""(.)"",""$1~""),""~""))))=len(N12)"),FALSE)</f>
        <v>0</v>
      </c>
      <c r="CX12" s="293" t="b">
        <f>IFERROR(__xludf.DUMMYFUNCTION("arrayformula(sum(--REGEXMATCH(""SrgMPdNS"",split(REGEXREPLACE(N12,""(.)"",""$1~""),""~""))))=len(N12)"),FALSE)</f>
        <v>0</v>
      </c>
      <c r="CY12" s="244" t="str">
        <f>IFERROR(__xludf.DUMMYFUNCTION("IF(REGEXMATCH(N12, ""S""), ""1"","""")"),"1")</f>
        <v>1</v>
      </c>
      <c r="CZ12" s="245" t="str">
        <f>IFERROR(__xludf.DUMMYFUNCTION("IF(REGEXMATCH(N12, ""r""), ""b2"","""")"),"")</f>
        <v/>
      </c>
      <c r="DA12" s="246" t="str">
        <f>IFERROR(__xludf.DUMMYFUNCTION("IF(REGEXMATCH(N12, ""R""), ""2"","""")"),"")</f>
        <v/>
      </c>
      <c r="DB12" s="246" t="str">
        <f>IFERROR(__xludf.DUMMYFUNCTION("IF(REGEXMATCH(N12, ""g""), ""b3"","""")"),"b3")</f>
        <v>b3</v>
      </c>
      <c r="DC12" s="245" t="str">
        <f>IFERROR(__xludf.DUMMYFUNCTION("IF(REGEXMATCH(N12, ""G""), ""3"","""")"),"")</f>
        <v/>
      </c>
      <c r="DD12" s="245" t="str">
        <f>IFERROR(__xludf.DUMMYFUNCTION("IF(REGEXMATCH(N12, ""m""), ""4"","""")"),"")</f>
        <v/>
      </c>
      <c r="DE12" s="246" t="str">
        <f>IFERROR(__xludf.DUMMYFUNCTION("IF(REGEXMATCH(N12, ""M""), ""#4"","""")"),"#4")</f>
        <v>#4</v>
      </c>
      <c r="DF12" s="245" t="str">
        <f>IFERROR(__xludf.DUMMYFUNCTION("IF(REGEXMATCH(N12, ""P""), ""5"","""")"),"")</f>
        <v/>
      </c>
      <c r="DG12" s="246" t="str">
        <f>IFERROR(__xludf.DUMMYFUNCTION("IF(REGEXMATCH(N12, ""d""), ""b6"","""")"),"")</f>
        <v/>
      </c>
      <c r="DH12" s="245" t="str">
        <f>IFERROR(__xludf.DUMMYFUNCTION("IF(REGEXMATCH(N12, ""D""), ""6"","""")"),"6")</f>
        <v>6</v>
      </c>
      <c r="DI12" s="245" t="str">
        <f>IFERROR(__xludf.DUMMYFUNCTION("IF(REGEXMATCH(N12, ""n""), ""b7"","""")"),"b7")</f>
        <v>b7</v>
      </c>
      <c r="DJ12" s="246" t="str">
        <f>IFERROR(__xludf.DUMMYFUNCTION("IF(REGEXMATCH(N12, ""N""), ""7"","""")"),"")</f>
        <v/>
      </c>
      <c r="DK12" s="249" t="str">
        <f>IFERROR(__xludf.DUMMYFUNCTION("IF(REGEXMATCH(N12, ""S""), ""8"","""")"),"8")</f>
        <v>8</v>
      </c>
      <c r="DL12" s="244" t="str">
        <f>IFERROR(__xludf.DUMMYFUNCTION("IF(REGEXMATCH(N12, ""S""), ""S"","""")"),"S")</f>
        <v>S</v>
      </c>
      <c r="DM12" s="294" t="str">
        <f>IFERROR(__xludf.DUMMYFUNCTION("IF(REGEXMATCH(N12, ""r""), ""R1"","""")"),"")</f>
        <v/>
      </c>
      <c r="DN12" s="295" t="str">
        <f>IFERROR(__xludf.DUMMYFUNCTION("IF(REGEXMATCH(N12, ""R""), ""R2"","""")"),"")</f>
        <v/>
      </c>
      <c r="DO12" s="295" t="str">
        <f>IFERROR(__xludf.DUMMYFUNCTION("IF(REGEXMATCH(N12, ""g""), ""G2"","""")"),"G2")</f>
        <v>G2</v>
      </c>
      <c r="DP12" s="294" t="str">
        <f>IFERROR(__xludf.DUMMYFUNCTION("IF(REGEXMATCH(N12, ""G""), ""G3"","""")"),"")</f>
        <v/>
      </c>
      <c r="DQ12" s="294" t="str">
        <f>IFERROR(__xludf.DUMMYFUNCTION("IF(REGEXMATCH(N12, ""m""), ""M1"","""")"),"")</f>
        <v/>
      </c>
      <c r="DR12" s="295" t="str">
        <f>IFERROR(__xludf.DUMMYFUNCTION("IF(REGEXMATCH(N12, ""M""), ""M2"","""")"),"M2")</f>
        <v>M2</v>
      </c>
      <c r="DS12" s="294" t="str">
        <f>IFERROR(__xludf.DUMMYFUNCTION("IF(REGEXMATCH(N12, ""P""), ""P"","""")"),"")</f>
        <v/>
      </c>
      <c r="DT12" s="295" t="str">
        <f>IFERROR(__xludf.DUMMYFUNCTION("IF(REGEXMATCH(N12, ""d""), ""D1"","""")"),"")</f>
        <v/>
      </c>
      <c r="DU12" s="294" t="str">
        <f>IFERROR(__xludf.DUMMYFUNCTION("IF(REGEXMATCH(N12, ""D""), ""D2"","""")"),"D2")</f>
        <v>D2</v>
      </c>
      <c r="DV12" s="294" t="str">
        <f>IFERROR(__xludf.DUMMYFUNCTION("IF(REGEXMATCH(N12, ""n""), ""N2"","""")"),"N2")</f>
        <v>N2</v>
      </c>
      <c r="DW12" s="295" t="str">
        <f>IFERROR(__xludf.DUMMYFUNCTION("IF(REGEXMATCH(N12, ""N""), ""N3"","""")"),"")</f>
        <v/>
      </c>
      <c r="DX12" s="249" t="str">
        <f>IFERROR(__xludf.DUMMYFUNCTION("IF(REGEXMATCH(N12, ""S""), ""S"","""")"),"S")</f>
        <v>S</v>
      </c>
      <c r="DY12" s="299" t="str">
        <f>IFERROR(__xludf.DUMMYFUNCTION("SUBSTITUTE(SUBSTITUTE(SUBSTITUTE(SUBSTITUTE(CONCATENATE(JOIN(""-"",CY12:DK12)),""--"",""-""),""--"",""-""),""--"",""-""),""--"",""-"")"),"1-b3-#4-6-b7-8")</f>
        <v>1-b3-#4-6-b7-8</v>
      </c>
      <c r="DZ12" s="299" t="str">
        <f>IFERROR(__xludf.DUMMYFUNCTION("SUBSTITUTE(SUBSTITUTE(SUBSTITUTE(SUBSTITUTE(CONCATENATE(JOIN(""-"",DL12:DX12)),""--"",""-""),""--"",""-""),""--"",""-""),""--"",""-"")"),"S-G2-M2-D2-N2-S")</f>
        <v>S-G2-M2-D2-N2-S</v>
      </c>
      <c r="EA12" s="348" t="str">
        <f t="shared" si="43"/>
        <v>C-Eb-F#-A-Bb-C</v>
      </c>
      <c r="EB12" s="301">
        <f t="shared" si="44"/>
        <v>5</v>
      </c>
      <c r="EC12" s="302" t="str">
        <f t="shared" si="45"/>
        <v>Audav</v>
      </c>
      <c r="ED12" s="301" t="str">
        <f t="shared" ref="ED12:EE12" si="178">SUBSTITUTE(AD12,"-","")</f>
        <v>SGM</v>
      </c>
      <c r="EE12" s="301" t="str">
        <f t="shared" si="178"/>
        <v>DNS</v>
      </c>
      <c r="EF12" s="302" t="str">
        <f t="shared" si="47"/>
        <v>(n/a)</v>
      </c>
      <c r="EG12" s="301" t="str">
        <f t="shared" si="48"/>
        <v>Hemi.</v>
      </c>
      <c r="EH12" s="364" t="str">
        <f t="shared" si="49"/>
        <v>-</v>
      </c>
      <c r="EI12" s="306" t="str">
        <f t="shared" si="50"/>
        <v>-</v>
      </c>
      <c r="EJ12" s="366" t="str">
        <f t="shared" si="51"/>
        <v>-</v>
      </c>
      <c r="EK12" s="308" t="str">
        <f t="shared" si="52"/>
        <v>✔</v>
      </c>
      <c r="EL12" s="306" t="str">
        <f t="shared" si="53"/>
        <v>-</v>
      </c>
      <c r="EM12" s="306" t="str">
        <f t="shared" si="54"/>
        <v>-</v>
      </c>
      <c r="EN12" s="367" t="str">
        <f t="shared" si="55"/>
        <v>✔</v>
      </c>
      <c r="EO12" s="310" t="str">
        <f t="shared" si="56"/>
        <v>-</v>
      </c>
      <c r="EP12" s="310" t="str">
        <f t="shared" si="57"/>
        <v>-</v>
      </c>
      <c r="EQ12" s="310" t="str">
        <f t="shared" si="58"/>
        <v>-</v>
      </c>
      <c r="ER12" s="310" t="str">
        <f t="shared" si="59"/>
        <v>-</v>
      </c>
      <c r="ES12" s="370" t="str">
        <f t="shared" si="60"/>
        <v>-</v>
      </c>
      <c r="ET12" s="306" t="str">
        <f t="shared" si="61"/>
        <v>✔</v>
      </c>
      <c r="EU12" s="306" t="str">
        <f t="shared" si="62"/>
        <v>-</v>
      </c>
      <c r="EV12" s="306" t="str">
        <f t="shared" si="63"/>
        <v>-</v>
      </c>
      <c r="EW12" s="306" t="str">
        <f t="shared" si="64"/>
        <v>✔</v>
      </c>
      <c r="EX12" s="306" t="str">
        <f t="shared" si="65"/>
        <v>-</v>
      </c>
      <c r="EY12" s="367" t="str">
        <f t="shared" si="66"/>
        <v>-</v>
      </c>
      <c r="EZ12" s="310" t="str">
        <f>IFERROR(__xludf.DUMMYFUNCTION("IF(REGEXMATCH(BM12,BI12),""✔"",""-"")"),"-")</f>
        <v>-</v>
      </c>
      <c r="FA12" s="310" t="str">
        <f t="shared" si="67"/>
        <v>-</v>
      </c>
      <c r="FB12" s="370" t="str">
        <f t="shared" si="68"/>
        <v>-</v>
      </c>
      <c r="FC12" s="315" t="str">
        <f t="shared" si="69"/>
        <v>[UQ]</v>
      </c>
      <c r="FD12" s="317" t="str">
        <f t="shared" si="70"/>
        <v>S-g-M-D-n-S</v>
      </c>
      <c r="FE12" s="318" t="str">
        <f>IFERROR(__xludf.DUMMYFUNCTION("CONCATENATE(JOIN("""",GJ12:GV12))"),"SRgMDS")</f>
        <v>SRgMDS</v>
      </c>
      <c r="FF12" s="318"/>
      <c r="FG12" s="318"/>
      <c r="FH12" s="321">
        <f t="shared" si="71"/>
        <v>4</v>
      </c>
      <c r="FI12" s="318" t="str">
        <f>IFERROR(__xludf.DUMMYFUNCTION("CONCATENATE(JOIN("""",HW12:II12))"),"Sa, Ma, Dha, ni, ")</f>
        <v>Sa, Ma, Dha, ni, </v>
      </c>
      <c r="FJ12" s="322">
        <f t="shared" si="72"/>
        <v>3</v>
      </c>
      <c r="FK12" s="324" t="str">
        <f>IFERROR(__xludf.DUMMYFUNCTION("CONCATENATE(JOIN("""",IW12:JI12))"),"Sa, Ma, Dha, ")</f>
        <v>Sa, Ma, Dha, </v>
      </c>
      <c r="FL12" s="325" t="str">
        <f t="shared" si="73"/>
        <v>S-G2-M2-D2-N2-S</v>
      </c>
      <c r="FM12" s="326" t="str">
        <f t="shared" si="74"/>
        <v>1-b3-#4-6-b7-8</v>
      </c>
      <c r="FN12" s="326" t="str">
        <f t="shared" si="75"/>
        <v>0-3-6-9-10-0</v>
      </c>
      <c r="FO12" s="318"/>
      <c r="FP12" s="328" t="str">
        <f>IFERROR(__xludf.DUMMYFUNCTION("SUBSTITUTE(SUBSTITUTE(SUBSTITUTE(SUBSTITUTE(CONCATENATE(JOIN("" "",FS12:GE12)),""  "","" ""),""  "","" ""),""  "","" ""),""  "","" "")"),"o • • o • • o • • o o • o")</f>
        <v>o • • o • • o • • o o • o</v>
      </c>
      <c r="FQ12" s="328" t="str">
        <f t="shared" si="76"/>
        <v>Sa-Pa</v>
      </c>
      <c r="FR12" s="329"/>
      <c r="FS12" s="331" t="str">
        <f t="shared" si="77"/>
        <v>o</v>
      </c>
      <c r="FT12" s="332" t="str">
        <f t="shared" si="78"/>
        <v>•</v>
      </c>
      <c r="FU12" s="332" t="str">
        <f t="shared" si="79"/>
        <v>•</v>
      </c>
      <c r="FV12" s="332" t="str">
        <f t="shared" si="80"/>
        <v>o</v>
      </c>
      <c r="FW12" s="332" t="str">
        <f t="shared" si="81"/>
        <v>•</v>
      </c>
      <c r="FX12" s="332" t="str">
        <f t="shared" si="82"/>
        <v>•</v>
      </c>
      <c r="FY12" s="332" t="str">
        <f t="shared" si="83"/>
        <v>o</v>
      </c>
      <c r="FZ12" s="332" t="str">
        <f t="shared" si="84"/>
        <v>•</v>
      </c>
      <c r="GA12" s="332" t="str">
        <f t="shared" si="85"/>
        <v>•</v>
      </c>
      <c r="GB12" s="332" t="str">
        <f t="shared" si="86"/>
        <v>o</v>
      </c>
      <c r="GC12" s="332" t="str">
        <f t="shared" si="87"/>
        <v>o</v>
      </c>
      <c r="GD12" s="332" t="str">
        <f t="shared" si="88"/>
        <v>•</v>
      </c>
      <c r="GE12" s="338" t="str">
        <f t="shared" si="89"/>
        <v>o</v>
      </c>
      <c r="GF12" s="339" t="str">
        <f t="shared" si="90"/>
        <v>Sa-Pa</v>
      </c>
      <c r="GG12" s="339" t="str">
        <f t="shared" si="91"/>
        <v>-</v>
      </c>
      <c r="GH12" s="339" t="str">
        <f t="shared" si="92"/>
        <v>-</v>
      </c>
      <c r="GI12" s="340" t="str">
        <f t="shared" si="93"/>
        <v>-</v>
      </c>
      <c r="GJ12" s="331" t="str">
        <f t="shared" si="94"/>
        <v>S</v>
      </c>
      <c r="GK12" s="332" t="str">
        <f t="shared" si="95"/>
        <v/>
      </c>
      <c r="GL12" s="332" t="str">
        <f t="shared" si="96"/>
        <v>R</v>
      </c>
      <c r="GM12" s="332" t="str">
        <f t="shared" si="97"/>
        <v>g</v>
      </c>
      <c r="GN12" s="332" t="str">
        <f t="shared" si="98"/>
        <v/>
      </c>
      <c r="GO12" s="332" t="str">
        <f t="shared" si="99"/>
        <v/>
      </c>
      <c r="GP12" s="332" t="str">
        <f t="shared" si="100"/>
        <v>M</v>
      </c>
      <c r="GQ12" s="332" t="str">
        <f t="shared" si="101"/>
        <v/>
      </c>
      <c r="GR12" s="332" t="str">
        <f t="shared" si="102"/>
        <v/>
      </c>
      <c r="GS12" s="332" t="str">
        <f t="shared" si="103"/>
        <v>D</v>
      </c>
      <c r="GT12" s="332" t="str">
        <f t="shared" si="104"/>
        <v/>
      </c>
      <c r="GU12" s="332" t="str">
        <f t="shared" si="105"/>
        <v/>
      </c>
      <c r="GV12" s="343" t="str">
        <f t="shared" si="106"/>
        <v>S</v>
      </c>
      <c r="GW12" s="331" t="str">
        <f t="shared" si="107"/>
        <v>•</v>
      </c>
      <c r="GX12" s="332" t="str">
        <f t="shared" si="108"/>
        <v>o</v>
      </c>
      <c r="GY12" s="332" t="str">
        <f t="shared" si="109"/>
        <v>o</v>
      </c>
      <c r="GZ12" s="332" t="str">
        <f t="shared" si="110"/>
        <v>•</v>
      </c>
      <c r="HA12" s="332" t="str">
        <f t="shared" si="111"/>
        <v>o</v>
      </c>
      <c r="HB12" s="332" t="str">
        <f t="shared" si="112"/>
        <v>o</v>
      </c>
      <c r="HC12" s="332" t="str">
        <f t="shared" si="113"/>
        <v>•</v>
      </c>
      <c r="HD12" s="332" t="str">
        <f t="shared" si="114"/>
        <v>o</v>
      </c>
      <c r="HE12" s="332" t="str">
        <f t="shared" si="115"/>
        <v>o</v>
      </c>
      <c r="HF12" s="332" t="str">
        <f t="shared" si="116"/>
        <v>•</v>
      </c>
      <c r="HG12" s="332" t="str">
        <f t="shared" si="117"/>
        <v>•</v>
      </c>
      <c r="HH12" s="332" t="str">
        <f t="shared" si="118"/>
        <v>o</v>
      </c>
      <c r="HI12" s="338" t="str">
        <f t="shared" si="119"/>
        <v>•</v>
      </c>
      <c r="HJ12" s="346" t="b">
        <f t="shared" si="120"/>
        <v>1</v>
      </c>
      <c r="HK12" s="347" t="b">
        <f t="shared" si="121"/>
        <v>0</v>
      </c>
      <c r="HL12" s="347" t="b">
        <f t="shared" si="122"/>
        <v>0</v>
      </c>
      <c r="HM12" s="347" t="b">
        <f t="shared" si="123"/>
        <v>0</v>
      </c>
      <c r="HN12" s="347" t="b">
        <f t="shared" si="124"/>
        <v>0</v>
      </c>
      <c r="HO12" s="347" t="b">
        <f t="shared" si="125"/>
        <v>0</v>
      </c>
      <c r="HP12" s="347" t="b">
        <f t="shared" si="126"/>
        <v>1</v>
      </c>
      <c r="HQ12" s="347" t="b">
        <f t="shared" si="127"/>
        <v>0</v>
      </c>
      <c r="HR12" s="347" t="b">
        <f t="shared" si="128"/>
        <v>0</v>
      </c>
      <c r="HS12" s="347" t="b">
        <f t="shared" si="129"/>
        <v>1</v>
      </c>
      <c r="HT12" s="347" t="b">
        <f t="shared" si="130"/>
        <v>1</v>
      </c>
      <c r="HU12" s="347" t="b">
        <f t="shared" si="131"/>
        <v>0</v>
      </c>
      <c r="HV12" s="353" t="b">
        <f t="shared" si="132"/>
        <v>1</v>
      </c>
      <c r="HW12" s="354" t="str">
        <f t="shared" si="133"/>
        <v>Sa, </v>
      </c>
      <c r="HX12" s="355" t="str">
        <f t="shared" si="134"/>
        <v/>
      </c>
      <c r="HY12" s="355" t="str">
        <f t="shared" si="135"/>
        <v/>
      </c>
      <c r="HZ12" s="355" t="str">
        <f t="shared" si="136"/>
        <v/>
      </c>
      <c r="IA12" s="355" t="str">
        <f t="shared" si="137"/>
        <v/>
      </c>
      <c r="IB12" s="355" t="str">
        <f t="shared" si="138"/>
        <v/>
      </c>
      <c r="IC12" s="355" t="str">
        <f t="shared" si="139"/>
        <v>Ma, </v>
      </c>
      <c r="ID12" s="355" t="str">
        <f t="shared" si="140"/>
        <v/>
      </c>
      <c r="IE12" s="355" t="str">
        <f t="shared" si="141"/>
        <v/>
      </c>
      <c r="IF12" s="355" t="str">
        <f t="shared" si="142"/>
        <v>Dha, </v>
      </c>
      <c r="IG12" s="355" t="str">
        <f t="shared" si="143"/>
        <v>ni, </v>
      </c>
      <c r="IH12" s="355" t="str">
        <f t="shared" si="144"/>
        <v/>
      </c>
      <c r="II12" s="359" t="str">
        <f t="shared" si="145"/>
        <v/>
      </c>
      <c r="IJ12" s="346" t="b">
        <f t="shared" si="146"/>
        <v>1</v>
      </c>
      <c r="IK12" s="347" t="b">
        <f t="shared" si="147"/>
        <v>0</v>
      </c>
      <c r="IL12" s="347" t="b">
        <f t="shared" si="148"/>
        <v>0</v>
      </c>
      <c r="IM12" s="347" t="b">
        <f t="shared" si="149"/>
        <v>0</v>
      </c>
      <c r="IN12" s="347" t="b">
        <f t="shared" si="150"/>
        <v>0</v>
      </c>
      <c r="IO12" s="347" t="b">
        <f t="shared" si="151"/>
        <v>0</v>
      </c>
      <c r="IP12" s="347" t="b">
        <f t="shared" si="152"/>
        <v>1</v>
      </c>
      <c r="IQ12" s="347" t="b">
        <f t="shared" si="153"/>
        <v>0</v>
      </c>
      <c r="IR12" s="347" t="b">
        <f t="shared" si="154"/>
        <v>0</v>
      </c>
      <c r="IS12" s="347" t="b">
        <f t="shared" si="155"/>
        <v>1</v>
      </c>
      <c r="IT12" s="347" t="b">
        <f t="shared" si="156"/>
        <v>0</v>
      </c>
      <c r="IU12" s="347" t="b">
        <f t="shared" si="157"/>
        <v>0</v>
      </c>
      <c r="IV12" s="365" t="b">
        <f t="shared" si="158"/>
        <v>1</v>
      </c>
      <c r="IW12" s="354" t="str">
        <f t="shared" si="159"/>
        <v>Sa, </v>
      </c>
      <c r="IX12" s="355" t="str">
        <f t="shared" si="160"/>
        <v/>
      </c>
      <c r="IY12" s="355" t="str">
        <f t="shared" si="161"/>
        <v/>
      </c>
      <c r="IZ12" s="355" t="str">
        <f t="shared" si="162"/>
        <v/>
      </c>
      <c r="JA12" s="355" t="str">
        <f t="shared" si="163"/>
        <v/>
      </c>
      <c r="JB12" s="355" t="str">
        <f t="shared" si="164"/>
        <v/>
      </c>
      <c r="JC12" s="355" t="str">
        <f t="shared" si="165"/>
        <v>Ma, </v>
      </c>
      <c r="JD12" s="355" t="str">
        <f t="shared" si="166"/>
        <v/>
      </c>
      <c r="JE12" s="355" t="str">
        <f t="shared" si="167"/>
        <v/>
      </c>
      <c r="JF12" s="355" t="str">
        <f t="shared" si="168"/>
        <v>Dha, </v>
      </c>
      <c r="JG12" s="355" t="str">
        <f t="shared" si="169"/>
        <v/>
      </c>
      <c r="JH12" s="355" t="str">
        <f t="shared" si="170"/>
        <v/>
      </c>
      <c r="JI12" s="359"/>
      <c r="JJ12" s="321"/>
      <c r="JK12" s="368"/>
      <c r="JL12" s="369"/>
      <c r="JM12" s="369"/>
      <c r="JN12" s="369"/>
      <c r="JO12" s="369"/>
      <c r="JP12" s="369"/>
      <c r="JQ12" s="369"/>
      <c r="JR12" s="369"/>
      <c r="JS12" s="369"/>
      <c r="JT12" s="369"/>
      <c r="JU12" s="369"/>
    </row>
    <row r="13" ht="20.25" customHeight="1">
      <c r="A13" s="221" t="s">
        <v>999</v>
      </c>
      <c r="B13" s="223" t="s">
        <v>938</v>
      </c>
      <c r="C13" s="222" t="s">
        <v>275</v>
      </c>
      <c r="D13" s="222"/>
      <c r="E13" s="222" t="s">
        <v>275</v>
      </c>
      <c r="F13" s="222"/>
      <c r="G13" s="395" t="s">
        <v>275</v>
      </c>
      <c r="H13" s="222">
        <v>11.0</v>
      </c>
      <c r="I13" s="224" t="s">
        <v>398</v>
      </c>
      <c r="J13" s="414">
        <f t="shared" si="5"/>
        <v>2</v>
      </c>
      <c r="K13" s="227">
        <f t="shared" si="6"/>
        <v>6</v>
      </c>
      <c r="L13" s="229">
        <f t="shared" si="7"/>
        <v>5</v>
      </c>
      <c r="M13" s="230">
        <f t="shared" si="8"/>
        <v>1</v>
      </c>
      <c r="N13" s="233" t="str">
        <f t="shared" si="9"/>
        <v>SgGmdnS</v>
      </c>
      <c r="O13" s="234" t="str">
        <f>IFERROR(__xludf.DUMMYFUNCTION("IF(REGEXMATCH(N13, ""S""), ""S"","""")"),"S")</f>
        <v>S</v>
      </c>
      <c r="P13" s="236" t="str">
        <f>IFERROR(__xludf.DUMMYFUNCTION("IF(REGEXMATCH(N13, ""r""), ""r"","""")"),"")</f>
        <v/>
      </c>
      <c r="Q13" s="237" t="str">
        <f>IFERROR(__xludf.DUMMYFUNCTION("IF(REGEXMATCH(N13, ""R""), ""R"","""")"),"")</f>
        <v/>
      </c>
      <c r="R13" s="237" t="str">
        <f>IFERROR(__xludf.DUMMYFUNCTION("IF(REGEXMATCH(N13, ""g""), ""g"","""")"),"g")</f>
        <v>g</v>
      </c>
      <c r="S13" s="236" t="str">
        <f>IFERROR(__xludf.DUMMYFUNCTION("IF(REGEXMATCH(N13, ""G""), ""G"","""")"),"G")</f>
        <v>G</v>
      </c>
      <c r="T13" s="236" t="str">
        <f>IFERROR(__xludf.DUMMYFUNCTION("IF(REGEXMATCH(N13, ""m""), ""m"","""")"),"m")</f>
        <v>m</v>
      </c>
      <c r="U13" s="237" t="str">
        <f>IFERROR(__xludf.DUMMYFUNCTION("IF(REGEXMATCH(N13, ""M""), ""M"","""")"),"")</f>
        <v/>
      </c>
      <c r="V13" s="236" t="str">
        <f>IFERROR(__xludf.DUMMYFUNCTION("IF(REGEXMATCH(N13, ""P""), ""P"","""")"),"")</f>
        <v/>
      </c>
      <c r="W13" s="237" t="str">
        <f>IFERROR(__xludf.DUMMYFUNCTION("IF(REGEXMATCH(N13, ""d""), ""d"","""")"),"d")</f>
        <v>d</v>
      </c>
      <c r="X13" s="236" t="str">
        <f>IFERROR(__xludf.DUMMYFUNCTION("IF(REGEXMATCH(N13, ""D""), ""D"","""")"),"")</f>
        <v/>
      </c>
      <c r="Y13" s="236" t="str">
        <f>IFERROR(__xludf.DUMMYFUNCTION("IF(REGEXMATCH(N13, ""n""), ""n"","""")"),"n")</f>
        <v>n</v>
      </c>
      <c r="Z13" s="237" t="str">
        <f>IFERROR(__xludf.DUMMYFUNCTION("IF(REGEXMATCH(N13, ""N""), ""N"","""")"),"")</f>
        <v/>
      </c>
      <c r="AA13" s="238" t="str">
        <f>IFERROR(__xludf.DUMMYFUNCTION("IF(REGEXMATCH(N13, ""S""), ""S"","""")"),"S")</f>
        <v>S</v>
      </c>
      <c r="AB13" s="239" t="str">
        <f>IFERROR(__xludf.DUMMYFUNCTION("SUBSTITUTE(CONCATENATE(JOIN(""-"",O13:U13)),""-"","""")"),"SgGm")</f>
        <v>SgGm</v>
      </c>
      <c r="AC13" s="229" t="str">
        <f>IFERROR(__xludf.DUMMYFUNCTION("SUBSTITUTE(CONCATENATE(JOIN(""-"",V13:AA13)),""-"","""")"),"dnS")</f>
        <v>dnS</v>
      </c>
      <c r="AD13" s="282" t="str">
        <f t="shared" si="10"/>
        <v>S-G-M</v>
      </c>
      <c r="AE13" s="282" t="str">
        <f t="shared" si="11"/>
        <v>D-N-S</v>
      </c>
      <c r="AF13" s="309" t="str">
        <f t="shared" si="12"/>
        <v>gGmdn</v>
      </c>
      <c r="AG13" s="244" t="str">
        <f>IFERROR(__xludf.DUMMYFUNCTION("IF(REGEXMATCH(N13, ""S""), ""0"","""")"),"0")</f>
        <v>0</v>
      </c>
      <c r="AH13" s="245" t="str">
        <f>IFERROR(__xludf.DUMMYFUNCTION("IF(REGEXMATCH(N13, ""r""), ""1"","""")"),"")</f>
        <v/>
      </c>
      <c r="AI13" s="246" t="str">
        <f>IFERROR(__xludf.DUMMYFUNCTION("IF(REGEXMATCH(N13, ""R""), ""2"","""")"),"")</f>
        <v/>
      </c>
      <c r="AJ13" s="246" t="str">
        <f>IFERROR(__xludf.DUMMYFUNCTION("IF(REGEXMATCH(N13, ""g""), ""3"","""")"),"3")</f>
        <v>3</v>
      </c>
      <c r="AK13" s="245" t="str">
        <f>IFERROR(__xludf.DUMMYFUNCTION("IF(REGEXMATCH(N13, ""G""), ""4"","""")"),"4")</f>
        <v>4</v>
      </c>
      <c r="AL13" s="245" t="str">
        <f>IFERROR(__xludf.DUMMYFUNCTION("IF(REGEXMATCH(N13, ""m""), ""5"","""")"),"5")</f>
        <v>5</v>
      </c>
      <c r="AM13" s="246" t="str">
        <f>IFERROR(__xludf.DUMMYFUNCTION("IF(REGEXMATCH(N13, ""M""), ""6"","""")"),"")</f>
        <v/>
      </c>
      <c r="AN13" s="245" t="str">
        <f>IFERROR(__xludf.DUMMYFUNCTION("IF(REGEXMATCH(N13, ""P""), ""7"","""")"),"")</f>
        <v/>
      </c>
      <c r="AO13" s="246" t="str">
        <f>IFERROR(__xludf.DUMMYFUNCTION("IF(REGEXMATCH(N13, ""d""), ""8"","""")"),"8")</f>
        <v>8</v>
      </c>
      <c r="AP13" s="245" t="str">
        <f>IFERROR(__xludf.DUMMYFUNCTION("IF(REGEXMATCH(N13, ""D""), ""9"","""")"),"")</f>
        <v/>
      </c>
      <c r="AQ13" s="245" t="str">
        <f>IFERROR(__xludf.DUMMYFUNCTION("IF(REGEXMATCH(N13, ""n""), ""10"","""")"),"10")</f>
        <v>10</v>
      </c>
      <c r="AR13" s="246" t="str">
        <f>IFERROR(__xludf.DUMMYFUNCTION("IF(REGEXMATCH(N13, ""N""), ""11"","""")"),"")</f>
        <v/>
      </c>
      <c r="AS13" s="249" t="str">
        <f>IFERROR(__xludf.DUMMYFUNCTION("IF(REGEXMATCH(N13, ""S""), ""0"","""")"),"0")</f>
        <v>0</v>
      </c>
      <c r="AT13" s="250" t="str">
        <f>IFERROR(__xludf.DUMMYFUNCTION("SUBSTITUTE(SUBSTITUTE(SUBSTITUTE(SUBSTITUTE(CONCATENATE(JOIN(""-"",AG13:AS13)),""--"",""-""),""--"",""-""),""--"",""-""),""--"",""-"")"),"0-3-4-5-8-10-0")</f>
        <v>0-3-4-5-8-10-0</v>
      </c>
      <c r="AU13" s="251">
        <f t="shared" si="13"/>
        <v>2</v>
      </c>
      <c r="AV13" s="234" t="str">
        <f t="shared" si="14"/>
        <v>|</v>
      </c>
      <c r="AW13" s="236" t="str">
        <f t="shared" si="15"/>
        <v>-</v>
      </c>
      <c r="AX13" s="237" t="str">
        <f t="shared" si="16"/>
        <v>-</v>
      </c>
      <c r="AY13" s="236" t="str">
        <f t="shared" si="17"/>
        <v>|</v>
      </c>
      <c r="AZ13" s="237" t="str">
        <f t="shared" si="18"/>
        <v>|</v>
      </c>
      <c r="BA13" s="236" t="str">
        <f t="shared" si="19"/>
        <v>|</v>
      </c>
      <c r="BB13" s="237" t="str">
        <f t="shared" si="20"/>
        <v>-</v>
      </c>
      <c r="BC13" s="236" t="str">
        <f t="shared" si="21"/>
        <v>-</v>
      </c>
      <c r="BD13" s="237" t="str">
        <f t="shared" si="22"/>
        <v>|</v>
      </c>
      <c r="BE13" s="236" t="str">
        <f t="shared" si="23"/>
        <v>-</v>
      </c>
      <c r="BF13" s="237" t="str">
        <f t="shared" si="24"/>
        <v>|</v>
      </c>
      <c r="BG13" s="236" t="str">
        <f t="shared" si="25"/>
        <v>-</v>
      </c>
      <c r="BH13" s="238" t="str">
        <f t="shared" si="26"/>
        <v>|</v>
      </c>
      <c r="BI13" s="250" t="str">
        <f>IFERROR(__xludf.DUMMYFUNCTION("SUBSTITUTE(SUBSTITUTE(CONCATENATE(JOIN("""",AV13:BG13)),""|"",""x""),""-"",""o"")"),"xooxxxooxoxo")</f>
        <v>xooxxxooxoxo</v>
      </c>
      <c r="BJ13" s="323" t="str">
        <f>IFERROR(__xludf.DUMMYFUNCTION("JOIN("""",BI13,BI13)"),"xooxxxooxoxoxooxxxooxoxo")</f>
        <v>xooxxxooxoxoxooxxxooxoxo</v>
      </c>
      <c r="BK13" s="256" t="str">
        <f>IFERROR(__xludf.DUMMYFUNCTION("JOIN("""",ArrayFormula(MID(BI13,LEN(BI13)-SEQUENCE(1,LEN(BI13))+1,1)))"),"oxoxooxxxoox")</f>
        <v>oxoxooxxxoox</v>
      </c>
      <c r="BL13" s="256" t="str">
        <f>IFERROR(__xludf.DUMMYFUNCTION("LEFT(CONCATENATE(""x"",JOIN("""",ArrayFormula(MID(BI13,LEN(BI13)-SEQUENCE(1,LEN(BI13))+1,1)))),12)"),"xoxoxooxxxoo")</f>
        <v>xoxoxooxxxoo</v>
      </c>
      <c r="BM13" s="327" t="str">
        <f>IFERROR(__xludf.DUMMYFUNCTION("JOIN("""",BK13,BK13)"),"oxoxooxxxooxoxoxooxxxoox")</f>
        <v>oxoxooxxxooxoxoxooxxxoox</v>
      </c>
      <c r="BN13" s="239" t="str">
        <f>IFERROR(__xludf.DUMMYFUNCTION("IF(REGEXMATCH(BM13,BI13),""✔"",""-"")"),"✔")</f>
        <v>✔</v>
      </c>
      <c r="BO13" s="330" t="str">
        <f t="shared" si="27"/>
        <v>-</v>
      </c>
      <c r="BP13" s="260" t="str">
        <f t="shared" si="28"/>
        <v>-</v>
      </c>
      <c r="BQ13" s="261" t="str">
        <f>IFERROR(__xludf.DUMMYFUNCTION("IF(BT13=0,""(n/a)"",IF(BU13=2,""(PAIR)"",IF(REGEXMATCH(BJ13,""xoxoxxoxoxox""),""Bilawal"",IF(REGEXMATCH(BJ13,""xoxoxooxoxoo""),""Bhupali"",IF(REGEXMATCH(BJ13,""xoxoxxoxxoxo""),""Charukeshi"",IF(REGEXMATCH(BJ13,""xoxoooxxoxxo""),""Kameshwari"",IF(REGEXMATC"&amp;"H(BJ13,""xoxoxooxoxox""),""Shankara"",IF(REGEXMATCH(BJ13,""xxooxoxxxoox""),""Basant"",IF(REGEXMATCH(BJ13,""xoxoxxxxoxox""),""Bihag"",IF(REGEXMATCH(BJ13,""xoxxxxoxoxxx""),""Pilu"",IF(REGEXMATCH(BJ13,""xoxxoxoxxoox""),""Kirwani"",IF(REGEXMATCH(BJ13,""xoxxox"&amp;"oxoxxx""),""Mk.Malhar"",IF(REGEXMATCH(BJ13,""xxooxxoxxoox""),""Bhairav"",IF(REGEXMATCH(BJ13,""xxoxooxxxoox""),""Todi"",IF(REGEXMATCH(BJ13,""xxooxoxooxox""),""Marwa"",IF(REGEXMATCH(BJ13,""xxoooxoxxooo""),""Gunkali"",IF(REGEXMATCH(BJ13,""xoxoxxoxxoox""),""N"&amp;"at Bhairav"",IF(REGEXMATCH(BJ13,""xoxxoooxoxoo""),""Shivranjani"",IF(REGEXMATCH(BJ13,""xooxxxoxooxo""),""Jog"",IF(REGEXMATCH(BJ13,""xxooxoxoxoox""),""Hemshri"",IF(REGEXMATCH(BJ13,""xoooxooxoxxo""),""Kalavati"",IF(REGEXMATCH(BJ13,""xxoxoxxoxoox""),""Kedar"&amp;""",IF(REGEXMATCH(BJ13,""xoxxxxoxooxx""),""Gara"",IF(REGEXMATCH(BJ13,""xooxoxooxoox""),""Chandrakauns"",IF(REGEXMATCH(BJ13,""xoxxxxoxxxox""),""Mand"",IF(REGEXMATCH(BJ13,""xoxxxxoxoxox""),""Hanskinkini"",IF(REGEXMATCH(BJ13,""xxooxxoxooxo""),""Lilavati"",IF("&amp;"REGEXMATCH(BJ13,""xooxoxoooxox""),""Rajeshwari"",IF(REGEXMATCH(BJ13,""xoooxxoxoxxx""),""Khokar"",IF(REGEXMATCH(BJ13,""xxooxoxxxxox""),""Maligoura"",""-""))))))))))))))))))))))))))))))"),"(n/a)")</f>
        <v>(n/a)</v>
      </c>
      <c r="BR13" s="239">
        <f t="shared" si="29"/>
        <v>5</v>
      </c>
      <c r="BS13" s="239">
        <f>IFERROR(__xludf.DUMMYFUNCTION("COUNTUNIQUE(BW13:CG13)-1"),5.0)</f>
        <v>5</v>
      </c>
      <c r="BT13" s="239">
        <f>IFERROR(__xludf.DUMMYFUNCTION("COUNTUNIQUE(FILTER(BJ:BJ,REGEXMATCH(BJ:BJ,BI13)))-1"),0.0)</f>
        <v>0</v>
      </c>
      <c r="BU13" s="239">
        <f>IFERROR(__xludf.DUMMYFUNCTION("COUNTA(FILTER(BJ:BJ,REGEXMATCH(BJ:BJ,BI13)))"),3.0)</f>
        <v>3</v>
      </c>
      <c r="BV13" s="341">
        <f>IFERROR(__xludf.DUMMYFUNCTION("COUNTA(FILTER(BJ:BJ,REGEXMATCH(BJ:BJ,BI13)))-AU13"),1.0)</f>
        <v>1</v>
      </c>
      <c r="BW13" s="269" t="str">
        <f t="shared" si="30"/>
        <v>-</v>
      </c>
      <c r="BX13" s="269" t="str">
        <f t="shared" si="31"/>
        <v>-</v>
      </c>
      <c r="BY13" s="271" t="str">
        <f t="shared" si="32"/>
        <v>xxxooxoxoxo</v>
      </c>
      <c r="BZ13" s="269" t="str">
        <f t="shared" si="33"/>
        <v>xxooxoxoxoo</v>
      </c>
      <c r="CA13" s="271" t="str">
        <f t="shared" si="34"/>
        <v>xooxoxoxoox</v>
      </c>
      <c r="CB13" s="271" t="str">
        <f t="shared" si="35"/>
        <v>-</v>
      </c>
      <c r="CC13" s="271" t="str">
        <f t="shared" si="36"/>
        <v>-</v>
      </c>
      <c r="CD13" s="271" t="str">
        <f t="shared" si="37"/>
        <v>xoxoxooxxxo</v>
      </c>
      <c r="CE13" s="271" t="str">
        <f t="shared" si="38"/>
        <v>-</v>
      </c>
      <c r="CF13" s="271" t="str">
        <f t="shared" si="39"/>
        <v>xoxooxxxoox</v>
      </c>
      <c r="CG13" s="274" t="str">
        <f t="shared" si="40"/>
        <v>-</v>
      </c>
      <c r="CH13" s="276" t="str">
        <f>IFERROR(__xludf.DUMMYFUNCTION("IF(BI13=""oooooooooooo"",""-"",IF(REGEXMATCH(BJ13,""xx""), ""Hemi."", ""Anhemi.""))"),"Hemi.")</f>
        <v>Hemi.</v>
      </c>
      <c r="CI13" s="282" t="str">
        <f>IFERROR(__xludf.DUMMYFUNCTION("IF(BI13=""oooooooooooo"",""-"",IF(REGEXMATCH(BJ13,""xxx""), ""Cohem."", ""-""))"),"Cohem.")</f>
        <v>Cohem.</v>
      </c>
      <c r="CJ13" s="282" t="str">
        <f>IFERROR(__xludf.DUMMYFUNCTION("IF(BI13=""oooooooooooo"",""-"",IF(REGEXMATCH(BJ13,""xxxx""), ""Co-Co."", ""-""))"),"-")</f>
        <v>-</v>
      </c>
      <c r="CK13" s="342" t="str">
        <f>IFERROR(__xludf.DUMMYFUNCTION("IF(BI13=""oooooooooooo"",""-"",IF(REGEXMATCH(BJ13,""xxxxx""), ""CCC."", ""-""))"),"-")</f>
        <v>-</v>
      </c>
      <c r="CL13" s="344" t="str">
        <f t="shared" si="41"/>
        <v>-</v>
      </c>
      <c r="CM13" s="282" t="str">
        <f>IFERROR(__xludf.DUMMYFUNCTION("IF(REGEXMATCH(JOIN(""-"",CO13:CX13),""TRUE""),""✔"",""-"")"),"-")</f>
        <v>-</v>
      </c>
      <c r="CN13" s="225">
        <f t="shared" si="42"/>
        <v>0</v>
      </c>
      <c r="CO13" s="376" t="b">
        <f>IFERROR(__xludf.DUMMYFUNCTION("arrayformula(sum(--REGEXMATCH(""SRGMPDNS"",split(REGEXREPLACE(N13,""(.)"",""$1~""),""~""))))=len(N13)
"),FALSE)</f>
        <v>0</v>
      </c>
      <c r="CP13" s="290" t="b">
        <f>IFERROR(__xludf.DUMMYFUNCTION("arrayformula(sum(--REGEXMATCH(""SRGmPDNS"",split(REGEXREPLACE(N13,""(.)"",""$1~""),""~""))))=len(N13)"),FALSE)</f>
        <v>0</v>
      </c>
      <c r="CQ13" s="290" t="b">
        <f>IFERROR(__xludf.DUMMYFUNCTION("arrayformula(sum(--REGEXMATCH(""SRGmPDnS"",split(REGEXREPLACE(N13,""(.)"",""$1~""),""~""))))=len(N13)"),FALSE)</f>
        <v>0</v>
      </c>
      <c r="CR13" s="290" t="b">
        <f>IFERROR(__xludf.DUMMYFUNCTION("arrayformula(sum(--REGEXMATCH(""SRgmPDnS"",split(REGEXREPLACE(N13,""(.)"",""$1~""),""~""))))=len(N13)"),FALSE)</f>
        <v>0</v>
      </c>
      <c r="CS13" s="290" t="b">
        <f>IFERROR(__xludf.DUMMYFUNCTION("arrayformula(sum(--REGEXMATCH(""SRgmPdnS"",split(REGEXREPLACE(N13,""(.)"",""$1~""),""~""))))=len(N13)"),FALSE)</f>
        <v>0</v>
      </c>
      <c r="CT13" s="290" t="b">
        <f>IFERROR(__xludf.DUMMYFUNCTION("arrayformula(sum(--REGEXMATCH(""SrgmPdnS"",split(REGEXREPLACE(N13,""(.)"",""$1~""),""~""))))=len(N13)"),FALSE)</f>
        <v>0</v>
      </c>
      <c r="CU13" s="290" t="b">
        <f>IFERROR(__xludf.DUMMYFUNCTION("arrayformula(sum(--REGEXMATCH(""SrGmPdNS"",split(REGEXREPLACE(N13,""(.)"",""$1~""),""~""))))=len(N13)"),FALSE)</f>
        <v>0</v>
      </c>
      <c r="CV13" s="290" t="b">
        <f>IFERROR(__xludf.DUMMYFUNCTION("arrayformula(sum(--REGEXMATCH(""SrGMPDNS"",split(REGEXREPLACE(N13,""(.)"",""$1~""),""~""))))=len(N13)"),FALSE)</f>
        <v>0</v>
      </c>
      <c r="CW13" s="290" t="b">
        <f>IFERROR(__xludf.DUMMYFUNCTION("arrayformula(sum(--REGEXMATCH(""SrGMPdNS"",split(REGEXREPLACE(N13,""(.)"",""$1~""),""~""))))=len(N13)"),FALSE)</f>
        <v>0</v>
      </c>
      <c r="CX13" s="293" t="b">
        <f>IFERROR(__xludf.DUMMYFUNCTION("arrayformula(sum(--REGEXMATCH(""SrgMPdNS"",split(REGEXREPLACE(N13,""(.)"",""$1~""),""~""))))=len(N13)"),FALSE)</f>
        <v>0</v>
      </c>
      <c r="CY13" s="244" t="str">
        <f>IFERROR(__xludf.DUMMYFUNCTION("IF(REGEXMATCH(N13, ""S""), ""1"","""")"),"1")</f>
        <v>1</v>
      </c>
      <c r="CZ13" s="245" t="str">
        <f>IFERROR(__xludf.DUMMYFUNCTION("IF(REGEXMATCH(N13, ""r""), ""b2"","""")"),"")</f>
        <v/>
      </c>
      <c r="DA13" s="246" t="str">
        <f>IFERROR(__xludf.DUMMYFUNCTION("IF(REGEXMATCH(N13, ""R""), ""2"","""")"),"")</f>
        <v/>
      </c>
      <c r="DB13" s="246" t="str">
        <f>IFERROR(__xludf.DUMMYFUNCTION("IF(REGEXMATCH(N13, ""g""), ""b3"","""")"),"b3")</f>
        <v>b3</v>
      </c>
      <c r="DC13" s="245" t="str">
        <f>IFERROR(__xludf.DUMMYFUNCTION("IF(REGEXMATCH(N13, ""G""), ""3"","""")"),"3")</f>
        <v>3</v>
      </c>
      <c r="DD13" s="245" t="str">
        <f>IFERROR(__xludf.DUMMYFUNCTION("IF(REGEXMATCH(N13, ""m""), ""4"","""")"),"4")</f>
        <v>4</v>
      </c>
      <c r="DE13" s="246" t="str">
        <f>IFERROR(__xludf.DUMMYFUNCTION("IF(REGEXMATCH(N13, ""M""), ""#4"","""")"),"")</f>
        <v/>
      </c>
      <c r="DF13" s="245" t="str">
        <f>IFERROR(__xludf.DUMMYFUNCTION("IF(REGEXMATCH(N13, ""P""), ""5"","""")"),"")</f>
        <v/>
      </c>
      <c r="DG13" s="246" t="str">
        <f>IFERROR(__xludf.DUMMYFUNCTION("IF(REGEXMATCH(N13, ""d""), ""b6"","""")"),"b6")</f>
        <v>b6</v>
      </c>
      <c r="DH13" s="245" t="str">
        <f>IFERROR(__xludf.DUMMYFUNCTION("IF(REGEXMATCH(N13, ""D""), ""6"","""")"),"")</f>
        <v/>
      </c>
      <c r="DI13" s="245" t="str">
        <f>IFERROR(__xludf.DUMMYFUNCTION("IF(REGEXMATCH(N13, ""n""), ""b7"","""")"),"b7")</f>
        <v>b7</v>
      </c>
      <c r="DJ13" s="246" t="str">
        <f>IFERROR(__xludf.DUMMYFUNCTION("IF(REGEXMATCH(N13, ""N""), ""7"","""")"),"")</f>
        <v/>
      </c>
      <c r="DK13" s="249" t="str">
        <f>IFERROR(__xludf.DUMMYFUNCTION("IF(REGEXMATCH(N13, ""S""), ""8"","""")"),"8")</f>
        <v>8</v>
      </c>
      <c r="DL13" s="244" t="str">
        <f>IFERROR(__xludf.DUMMYFUNCTION("IF(REGEXMATCH(N13, ""S""), ""S"","""")"),"S")</f>
        <v>S</v>
      </c>
      <c r="DM13" s="294" t="str">
        <f>IFERROR(__xludf.DUMMYFUNCTION("IF(REGEXMATCH(N13, ""r""), ""R1"","""")"),"")</f>
        <v/>
      </c>
      <c r="DN13" s="295" t="str">
        <f>IFERROR(__xludf.DUMMYFUNCTION("IF(REGEXMATCH(N13, ""R""), ""R2"","""")"),"")</f>
        <v/>
      </c>
      <c r="DO13" s="295" t="str">
        <f>IFERROR(__xludf.DUMMYFUNCTION("IF(REGEXMATCH(N13, ""g""), ""G2"","""")"),"G2")</f>
        <v>G2</v>
      </c>
      <c r="DP13" s="294" t="str">
        <f>IFERROR(__xludf.DUMMYFUNCTION("IF(REGEXMATCH(N13, ""G""), ""G3"","""")"),"G3")</f>
        <v>G3</v>
      </c>
      <c r="DQ13" s="294" t="str">
        <f>IFERROR(__xludf.DUMMYFUNCTION("IF(REGEXMATCH(N13, ""m""), ""M1"","""")"),"M1")</f>
        <v>M1</v>
      </c>
      <c r="DR13" s="295" t="str">
        <f>IFERROR(__xludf.DUMMYFUNCTION("IF(REGEXMATCH(N13, ""M""), ""M2"","""")"),"")</f>
        <v/>
      </c>
      <c r="DS13" s="294" t="str">
        <f>IFERROR(__xludf.DUMMYFUNCTION("IF(REGEXMATCH(N13, ""P""), ""P"","""")"),"")</f>
        <v/>
      </c>
      <c r="DT13" s="295" t="str">
        <f>IFERROR(__xludf.DUMMYFUNCTION("IF(REGEXMATCH(N13, ""d""), ""D1"","""")"),"D1")</f>
        <v>D1</v>
      </c>
      <c r="DU13" s="294" t="str">
        <f>IFERROR(__xludf.DUMMYFUNCTION("IF(REGEXMATCH(N13, ""D""), ""D2"","""")"),"")</f>
        <v/>
      </c>
      <c r="DV13" s="294" t="str">
        <f>IFERROR(__xludf.DUMMYFUNCTION("IF(REGEXMATCH(N13, ""n""), ""N2"","""")"),"N2")</f>
        <v>N2</v>
      </c>
      <c r="DW13" s="295" t="str">
        <f>IFERROR(__xludf.DUMMYFUNCTION("IF(REGEXMATCH(N13, ""N""), ""N3"","""")"),"")</f>
        <v/>
      </c>
      <c r="DX13" s="249" t="str">
        <f>IFERROR(__xludf.DUMMYFUNCTION("IF(REGEXMATCH(N13, ""S""), ""S"","""")"),"S")</f>
        <v>S</v>
      </c>
      <c r="DY13" s="299" t="str">
        <f>IFERROR(__xludf.DUMMYFUNCTION("SUBSTITUTE(SUBSTITUTE(SUBSTITUTE(SUBSTITUTE(CONCATENATE(JOIN(""-"",CY13:DK13)),""--"",""-""),""--"",""-""),""--"",""-""),""--"",""-"")"),"1-b3-3-4-b6-b7-8")</f>
        <v>1-b3-3-4-b6-b7-8</v>
      </c>
      <c r="DZ13" s="299" t="str">
        <f>IFERROR(__xludf.DUMMYFUNCTION("SUBSTITUTE(SUBSTITUTE(SUBSTITUTE(SUBSTITUTE(CONCATENATE(JOIN(""-"",DL13:DX13)),""--"",""-""),""--"",""-""),""--"",""-""),""--"",""-"")"),"S-G2-G3-M1-D1-N2-S")</f>
        <v>S-G2-G3-M1-D1-N2-S</v>
      </c>
      <c r="EA13" s="348" t="str">
        <f t="shared" si="43"/>
        <v>C-Eb-E-F-Ab-Bb-C</v>
      </c>
      <c r="EB13" s="301">
        <f t="shared" si="44"/>
        <v>6</v>
      </c>
      <c r="EC13" s="302" t="str">
        <f t="shared" si="45"/>
        <v>Audav</v>
      </c>
      <c r="ED13" s="301" t="str">
        <f t="shared" ref="ED13:EE13" si="179">SUBSTITUTE(AD13,"-","")</f>
        <v>SGM</v>
      </c>
      <c r="EE13" s="301" t="str">
        <f t="shared" si="179"/>
        <v>DNS</v>
      </c>
      <c r="EF13" s="302" t="str">
        <f t="shared" si="47"/>
        <v>(n/a)</v>
      </c>
      <c r="EG13" s="301" t="str">
        <f t="shared" si="48"/>
        <v>Hemi.</v>
      </c>
      <c r="EH13" s="364" t="str">
        <f t="shared" si="49"/>
        <v>Cohem.</v>
      </c>
      <c r="EI13" s="306" t="str">
        <f t="shared" si="50"/>
        <v>-</v>
      </c>
      <c r="EJ13" s="366" t="str">
        <f t="shared" si="51"/>
        <v>-</v>
      </c>
      <c r="EK13" s="308" t="str">
        <f t="shared" si="52"/>
        <v>✔</v>
      </c>
      <c r="EL13" s="306" t="str">
        <f t="shared" si="53"/>
        <v>-</v>
      </c>
      <c r="EM13" s="306" t="str">
        <f t="shared" si="54"/>
        <v>-</v>
      </c>
      <c r="EN13" s="367" t="str">
        <f t="shared" si="55"/>
        <v>-</v>
      </c>
      <c r="EO13" s="310" t="str">
        <f t="shared" si="56"/>
        <v>-</v>
      </c>
      <c r="EP13" s="310" t="str">
        <f t="shared" si="57"/>
        <v>✔</v>
      </c>
      <c r="EQ13" s="310" t="str">
        <f t="shared" si="58"/>
        <v>-</v>
      </c>
      <c r="ER13" s="310" t="str">
        <f t="shared" si="59"/>
        <v>-</v>
      </c>
      <c r="ES13" s="370" t="str">
        <f t="shared" si="60"/>
        <v>-</v>
      </c>
      <c r="ET13" s="306" t="str">
        <f t="shared" si="61"/>
        <v>✔</v>
      </c>
      <c r="EU13" s="306" t="str">
        <f t="shared" si="62"/>
        <v>-</v>
      </c>
      <c r="EV13" s="306" t="str">
        <f t="shared" si="63"/>
        <v>-</v>
      </c>
      <c r="EW13" s="306" t="str">
        <f t="shared" si="64"/>
        <v>✔</v>
      </c>
      <c r="EX13" s="306" t="str">
        <f t="shared" si="65"/>
        <v>-</v>
      </c>
      <c r="EY13" s="367" t="str">
        <f t="shared" si="66"/>
        <v>-</v>
      </c>
      <c r="EZ13" s="310" t="str">
        <f>IFERROR(__xludf.DUMMYFUNCTION("IF(REGEXMATCH(BM13,BI13),""✔"",""-"")"),"✔")</f>
        <v>✔</v>
      </c>
      <c r="FA13" s="310" t="str">
        <f t="shared" si="67"/>
        <v>-</v>
      </c>
      <c r="FB13" s="370" t="str">
        <f t="shared" si="68"/>
        <v>-</v>
      </c>
      <c r="FC13" s="415">
        <f t="shared" si="69"/>
        <v>2</v>
      </c>
      <c r="FD13" s="317" t="str">
        <f t="shared" si="70"/>
        <v>S-gG-m-d-n-S</v>
      </c>
      <c r="FE13" s="318" t="str">
        <f>IFERROR(__xludf.DUMMYFUNCTION("CONCATENATE(JOIN("""",GJ13:GV13))"),"SRGPdDS")</f>
        <v>SRGPdDS</v>
      </c>
      <c r="FF13" s="318"/>
      <c r="FG13" s="318"/>
      <c r="FH13" s="321">
        <f t="shared" si="71"/>
        <v>2</v>
      </c>
      <c r="FI13" s="318" t="str">
        <f>IFERROR(__xludf.DUMMYFUNCTION("CONCATENATE(JOIN("""",HW13:II13))"),"Sa, Ga, ")</f>
        <v>Sa, Ga, </v>
      </c>
      <c r="FJ13" s="322">
        <f t="shared" si="72"/>
        <v>1</v>
      </c>
      <c r="FK13" s="324" t="str">
        <f>IFERROR(__xludf.DUMMYFUNCTION("CONCATENATE(JOIN("""",IW13:JI13))"),"Ga, ")</f>
        <v>Ga, </v>
      </c>
      <c r="FL13" s="325" t="str">
        <f t="shared" si="73"/>
        <v>S-G2-G3-M1-D1-N2-S</v>
      </c>
      <c r="FM13" s="326" t="str">
        <f t="shared" si="74"/>
        <v>1-b3-3-4-b6-b7-8</v>
      </c>
      <c r="FN13" s="326" t="str">
        <f t="shared" si="75"/>
        <v>0-3-4-5-8-10-0</v>
      </c>
      <c r="FO13" s="318"/>
      <c r="FP13" s="328" t="str">
        <f>IFERROR(__xludf.DUMMYFUNCTION("SUBSTITUTE(SUBSTITUTE(SUBSTITUTE(SUBSTITUTE(CONCATENATE(JOIN("" "",FS13:GE13)),""  "","" ""),""  "","" ""),""  "","" ""),""  "","" "")"),"o • • o o o • • o • o • o")</f>
        <v>o • • o o o • • o • o • o</v>
      </c>
      <c r="FQ13" s="328" t="str">
        <f t="shared" si="76"/>
        <v>Sa-ma</v>
      </c>
      <c r="FR13" s="329"/>
      <c r="FS13" s="331" t="str">
        <f t="shared" si="77"/>
        <v>o</v>
      </c>
      <c r="FT13" s="332" t="str">
        <f t="shared" si="78"/>
        <v>•</v>
      </c>
      <c r="FU13" s="332" t="str">
        <f t="shared" si="79"/>
        <v>•</v>
      </c>
      <c r="FV13" s="332" t="str">
        <f t="shared" si="80"/>
        <v>o</v>
      </c>
      <c r="FW13" s="332" t="str">
        <f t="shared" si="81"/>
        <v>o</v>
      </c>
      <c r="FX13" s="332" t="str">
        <f t="shared" si="82"/>
        <v>o</v>
      </c>
      <c r="FY13" s="332" t="str">
        <f t="shared" si="83"/>
        <v>•</v>
      </c>
      <c r="FZ13" s="332" t="str">
        <f t="shared" si="84"/>
        <v>•</v>
      </c>
      <c r="GA13" s="332" t="str">
        <f t="shared" si="85"/>
        <v>o</v>
      </c>
      <c r="GB13" s="332" t="str">
        <f t="shared" si="86"/>
        <v>•</v>
      </c>
      <c r="GC13" s="332" t="str">
        <f t="shared" si="87"/>
        <v>o</v>
      </c>
      <c r="GD13" s="332" t="str">
        <f t="shared" si="88"/>
        <v>•</v>
      </c>
      <c r="GE13" s="338" t="str">
        <f t="shared" si="89"/>
        <v>o</v>
      </c>
      <c r="GF13" s="339" t="str">
        <f t="shared" si="90"/>
        <v>-</v>
      </c>
      <c r="GG13" s="339" t="str">
        <f t="shared" si="91"/>
        <v>-</v>
      </c>
      <c r="GH13" s="339" t="str">
        <f t="shared" si="92"/>
        <v>-</v>
      </c>
      <c r="GI13" s="340" t="str">
        <f t="shared" si="93"/>
        <v>Sa-ma</v>
      </c>
      <c r="GJ13" s="331" t="str">
        <f t="shared" si="94"/>
        <v>S</v>
      </c>
      <c r="GK13" s="332" t="str">
        <f t="shared" si="95"/>
        <v/>
      </c>
      <c r="GL13" s="332" t="str">
        <f t="shared" si="96"/>
        <v>R</v>
      </c>
      <c r="GM13" s="332" t="str">
        <f t="shared" si="97"/>
        <v/>
      </c>
      <c r="GN13" s="332" t="str">
        <f t="shared" si="98"/>
        <v>G</v>
      </c>
      <c r="GO13" s="332" t="str">
        <f t="shared" si="99"/>
        <v/>
      </c>
      <c r="GP13" s="332" t="str">
        <f t="shared" si="100"/>
        <v/>
      </c>
      <c r="GQ13" s="332" t="str">
        <f t="shared" si="101"/>
        <v>P</v>
      </c>
      <c r="GR13" s="332" t="str">
        <f t="shared" si="102"/>
        <v>d</v>
      </c>
      <c r="GS13" s="332" t="str">
        <f t="shared" si="103"/>
        <v>D</v>
      </c>
      <c r="GT13" s="332" t="str">
        <f t="shared" si="104"/>
        <v/>
      </c>
      <c r="GU13" s="332" t="str">
        <f t="shared" si="105"/>
        <v/>
      </c>
      <c r="GV13" s="343" t="str">
        <f t="shared" si="106"/>
        <v>S</v>
      </c>
      <c r="GW13" s="331" t="str">
        <f t="shared" si="107"/>
        <v>•</v>
      </c>
      <c r="GX13" s="332" t="str">
        <f t="shared" si="108"/>
        <v>o</v>
      </c>
      <c r="GY13" s="332" t="str">
        <f t="shared" si="109"/>
        <v>o</v>
      </c>
      <c r="GZ13" s="332" t="str">
        <f t="shared" si="110"/>
        <v>•</v>
      </c>
      <c r="HA13" s="332" t="str">
        <f t="shared" si="111"/>
        <v>•</v>
      </c>
      <c r="HB13" s="332" t="str">
        <f t="shared" si="112"/>
        <v>•</v>
      </c>
      <c r="HC13" s="332" t="str">
        <f t="shared" si="113"/>
        <v>o</v>
      </c>
      <c r="HD13" s="332" t="str">
        <f t="shared" si="114"/>
        <v>o</v>
      </c>
      <c r="HE13" s="332" t="str">
        <f t="shared" si="115"/>
        <v>•</v>
      </c>
      <c r="HF13" s="332" t="str">
        <f t="shared" si="116"/>
        <v>o</v>
      </c>
      <c r="HG13" s="332" t="str">
        <f t="shared" si="117"/>
        <v>•</v>
      </c>
      <c r="HH13" s="332" t="str">
        <f t="shared" si="118"/>
        <v>o</v>
      </c>
      <c r="HI13" s="338" t="str">
        <f t="shared" si="119"/>
        <v>•</v>
      </c>
      <c r="HJ13" s="346" t="b">
        <f t="shared" si="120"/>
        <v>1</v>
      </c>
      <c r="HK13" s="347" t="b">
        <f t="shared" si="121"/>
        <v>0</v>
      </c>
      <c r="HL13" s="347" t="b">
        <f t="shared" si="122"/>
        <v>0</v>
      </c>
      <c r="HM13" s="347" t="b">
        <f t="shared" si="123"/>
        <v>0</v>
      </c>
      <c r="HN13" s="347" t="b">
        <f t="shared" si="124"/>
        <v>1</v>
      </c>
      <c r="HO13" s="347" t="b">
        <f t="shared" si="125"/>
        <v>0</v>
      </c>
      <c r="HP13" s="347" t="b">
        <f t="shared" si="126"/>
        <v>0</v>
      </c>
      <c r="HQ13" s="347" t="b">
        <f t="shared" si="127"/>
        <v>0</v>
      </c>
      <c r="HR13" s="347" t="b">
        <f t="shared" si="128"/>
        <v>0</v>
      </c>
      <c r="HS13" s="347" t="b">
        <f t="shared" si="129"/>
        <v>0</v>
      </c>
      <c r="HT13" s="347" t="b">
        <f t="shared" si="130"/>
        <v>0</v>
      </c>
      <c r="HU13" s="347" t="b">
        <f t="shared" si="131"/>
        <v>0</v>
      </c>
      <c r="HV13" s="353" t="b">
        <f t="shared" si="132"/>
        <v>1</v>
      </c>
      <c r="HW13" s="354" t="str">
        <f t="shared" si="133"/>
        <v>Sa, </v>
      </c>
      <c r="HX13" s="355" t="str">
        <f t="shared" si="134"/>
        <v/>
      </c>
      <c r="HY13" s="355" t="str">
        <f t="shared" si="135"/>
        <v/>
      </c>
      <c r="HZ13" s="355" t="str">
        <f t="shared" si="136"/>
        <v/>
      </c>
      <c r="IA13" s="355" t="str">
        <f t="shared" si="137"/>
        <v>Ga, </v>
      </c>
      <c r="IB13" s="355" t="str">
        <f t="shared" si="138"/>
        <v/>
      </c>
      <c r="IC13" s="355" t="str">
        <f t="shared" si="139"/>
        <v/>
      </c>
      <c r="ID13" s="355" t="str">
        <f t="shared" si="140"/>
        <v/>
      </c>
      <c r="IE13" s="355" t="str">
        <f t="shared" si="141"/>
        <v/>
      </c>
      <c r="IF13" s="355" t="str">
        <f t="shared" si="142"/>
        <v/>
      </c>
      <c r="IG13" s="355" t="str">
        <f t="shared" si="143"/>
        <v/>
      </c>
      <c r="IH13" s="355" t="str">
        <f t="shared" si="144"/>
        <v/>
      </c>
      <c r="II13" s="359" t="str">
        <f t="shared" si="145"/>
        <v/>
      </c>
      <c r="IJ13" s="346" t="b">
        <f t="shared" si="146"/>
        <v>0</v>
      </c>
      <c r="IK13" s="347" t="b">
        <f t="shared" si="147"/>
        <v>0</v>
      </c>
      <c r="IL13" s="347" t="b">
        <f t="shared" si="148"/>
        <v>0</v>
      </c>
      <c r="IM13" s="347" t="b">
        <f t="shared" si="149"/>
        <v>0</v>
      </c>
      <c r="IN13" s="347" t="b">
        <f t="shared" si="150"/>
        <v>1</v>
      </c>
      <c r="IO13" s="347" t="b">
        <f t="shared" si="151"/>
        <v>0</v>
      </c>
      <c r="IP13" s="347" t="b">
        <f t="shared" si="152"/>
        <v>0</v>
      </c>
      <c r="IQ13" s="347" t="b">
        <f t="shared" si="153"/>
        <v>0</v>
      </c>
      <c r="IR13" s="347" t="b">
        <f t="shared" si="154"/>
        <v>0</v>
      </c>
      <c r="IS13" s="347" t="b">
        <f t="shared" si="155"/>
        <v>0</v>
      </c>
      <c r="IT13" s="347" t="b">
        <f t="shared" si="156"/>
        <v>0</v>
      </c>
      <c r="IU13" s="347" t="b">
        <f t="shared" si="157"/>
        <v>0</v>
      </c>
      <c r="IV13" s="365" t="b">
        <f t="shared" si="158"/>
        <v>0</v>
      </c>
      <c r="IW13" s="354" t="str">
        <f t="shared" si="159"/>
        <v/>
      </c>
      <c r="IX13" s="355" t="str">
        <f t="shared" si="160"/>
        <v/>
      </c>
      <c r="IY13" s="355" t="str">
        <f t="shared" si="161"/>
        <v/>
      </c>
      <c r="IZ13" s="355" t="str">
        <f t="shared" si="162"/>
        <v/>
      </c>
      <c r="JA13" s="355" t="str">
        <f t="shared" si="163"/>
        <v>Ga, </v>
      </c>
      <c r="JB13" s="355" t="str">
        <f t="shared" si="164"/>
        <v/>
      </c>
      <c r="JC13" s="355" t="str">
        <f t="shared" si="165"/>
        <v/>
      </c>
      <c r="JD13" s="355" t="str">
        <f t="shared" si="166"/>
        <v/>
      </c>
      <c r="JE13" s="355" t="str">
        <f t="shared" si="167"/>
        <v/>
      </c>
      <c r="JF13" s="355" t="str">
        <f t="shared" si="168"/>
        <v/>
      </c>
      <c r="JG13" s="355" t="str">
        <f t="shared" si="169"/>
        <v/>
      </c>
      <c r="JH13" s="355" t="str">
        <f t="shared" si="170"/>
        <v/>
      </c>
      <c r="JI13" s="359"/>
      <c r="JJ13" s="321"/>
      <c r="JK13" s="368"/>
      <c r="JL13" s="369"/>
      <c r="JM13" s="369"/>
      <c r="JN13" s="369"/>
      <c r="JO13" s="369"/>
      <c r="JP13" s="369"/>
      <c r="JQ13" s="369"/>
      <c r="JR13" s="369"/>
      <c r="JS13" s="369"/>
      <c r="JT13" s="369"/>
      <c r="JU13" s="369"/>
    </row>
    <row r="14" ht="20.25" customHeight="1">
      <c r="A14" s="221" t="s">
        <v>538</v>
      </c>
      <c r="B14" s="223" t="s">
        <v>539</v>
      </c>
      <c r="C14" s="222"/>
      <c r="D14" s="222"/>
      <c r="E14" s="222"/>
      <c r="F14" s="222"/>
      <c r="G14" s="222"/>
      <c r="H14" s="222">
        <v>12.0</v>
      </c>
      <c r="I14" s="224" t="s">
        <v>1219</v>
      </c>
      <c r="J14" s="225" t="str">
        <f t="shared" si="5"/>
        <v>[UQ]</v>
      </c>
      <c r="K14" s="227">
        <f t="shared" si="6"/>
        <v>5</v>
      </c>
      <c r="L14" s="229">
        <f t="shared" si="7"/>
        <v>5</v>
      </c>
      <c r="M14" s="230">
        <f t="shared" si="8"/>
        <v>0</v>
      </c>
      <c r="N14" s="233" t="str">
        <f t="shared" si="9"/>
        <v>SGMPnS</v>
      </c>
      <c r="O14" s="234" t="str">
        <f>IFERROR(__xludf.DUMMYFUNCTION("IF(REGEXMATCH(N14, ""S""), ""S"","""")"),"S")</f>
        <v>S</v>
      </c>
      <c r="P14" s="236" t="str">
        <f>IFERROR(__xludf.DUMMYFUNCTION("IF(REGEXMATCH(N14, ""r""), ""r"","""")"),"")</f>
        <v/>
      </c>
      <c r="Q14" s="237" t="str">
        <f>IFERROR(__xludf.DUMMYFUNCTION("IF(REGEXMATCH(N14, ""R""), ""R"","""")"),"")</f>
        <v/>
      </c>
      <c r="R14" s="237" t="str">
        <f>IFERROR(__xludf.DUMMYFUNCTION("IF(REGEXMATCH(N14, ""g""), ""g"","""")"),"")</f>
        <v/>
      </c>
      <c r="S14" s="236" t="str">
        <f>IFERROR(__xludf.DUMMYFUNCTION("IF(REGEXMATCH(N14, ""G""), ""G"","""")"),"G")</f>
        <v>G</v>
      </c>
      <c r="T14" s="236" t="str">
        <f>IFERROR(__xludf.DUMMYFUNCTION("IF(REGEXMATCH(N14, ""m""), ""m"","""")"),"")</f>
        <v/>
      </c>
      <c r="U14" s="237" t="str">
        <f>IFERROR(__xludf.DUMMYFUNCTION("IF(REGEXMATCH(N14, ""M""), ""M"","""")"),"M")</f>
        <v>M</v>
      </c>
      <c r="V14" s="236" t="str">
        <f>IFERROR(__xludf.DUMMYFUNCTION("IF(REGEXMATCH(N14, ""P""), ""P"","""")"),"P")</f>
        <v>P</v>
      </c>
      <c r="W14" s="237" t="str">
        <f>IFERROR(__xludf.DUMMYFUNCTION("IF(REGEXMATCH(N14, ""d""), ""d"","""")"),"")</f>
        <v/>
      </c>
      <c r="X14" s="236" t="str">
        <f>IFERROR(__xludf.DUMMYFUNCTION("IF(REGEXMATCH(N14, ""D""), ""D"","""")"),"")</f>
        <v/>
      </c>
      <c r="Y14" s="236" t="str">
        <f>IFERROR(__xludf.DUMMYFUNCTION("IF(REGEXMATCH(N14, ""n""), ""n"","""")"),"n")</f>
        <v>n</v>
      </c>
      <c r="Z14" s="237" t="str">
        <f>IFERROR(__xludf.DUMMYFUNCTION("IF(REGEXMATCH(N14, ""N""), ""N"","""")"),"")</f>
        <v/>
      </c>
      <c r="AA14" s="238" t="str">
        <f>IFERROR(__xludf.DUMMYFUNCTION("IF(REGEXMATCH(N14, ""S""), ""S"","""")"),"S")</f>
        <v>S</v>
      </c>
      <c r="AB14" s="239" t="str">
        <f>IFERROR(__xludf.DUMMYFUNCTION("SUBSTITUTE(CONCATENATE(JOIN(""-"",O14:U14)),""-"","""")"),"SGM")</f>
        <v>SGM</v>
      </c>
      <c r="AC14" s="229" t="str">
        <f>IFERROR(__xludf.DUMMYFUNCTION("SUBSTITUTE(CONCATENATE(JOIN(""-"",V14:AA14)),""-"","""")"),"PnS")</f>
        <v>PnS</v>
      </c>
      <c r="AD14" s="282" t="str">
        <f t="shared" si="10"/>
        <v>S-G-M</v>
      </c>
      <c r="AE14" s="282" t="str">
        <f t="shared" si="11"/>
        <v>P-N-S</v>
      </c>
      <c r="AF14" s="309" t="str">
        <f t="shared" si="12"/>
        <v>GMn</v>
      </c>
      <c r="AG14" s="244" t="str">
        <f>IFERROR(__xludf.DUMMYFUNCTION("IF(REGEXMATCH(N14, ""S""), ""0"","""")"),"0")</f>
        <v>0</v>
      </c>
      <c r="AH14" s="245" t="str">
        <f>IFERROR(__xludf.DUMMYFUNCTION("IF(REGEXMATCH(N14, ""r""), ""1"","""")"),"")</f>
        <v/>
      </c>
      <c r="AI14" s="246" t="str">
        <f>IFERROR(__xludf.DUMMYFUNCTION("IF(REGEXMATCH(N14, ""R""), ""2"","""")"),"")</f>
        <v/>
      </c>
      <c r="AJ14" s="246" t="str">
        <f>IFERROR(__xludf.DUMMYFUNCTION("IF(REGEXMATCH(N14, ""g""), ""3"","""")"),"")</f>
        <v/>
      </c>
      <c r="AK14" s="245" t="str">
        <f>IFERROR(__xludf.DUMMYFUNCTION("IF(REGEXMATCH(N14, ""G""), ""4"","""")"),"4")</f>
        <v>4</v>
      </c>
      <c r="AL14" s="245" t="str">
        <f>IFERROR(__xludf.DUMMYFUNCTION("IF(REGEXMATCH(N14, ""m""), ""5"","""")"),"")</f>
        <v/>
      </c>
      <c r="AM14" s="246" t="str">
        <f>IFERROR(__xludf.DUMMYFUNCTION("IF(REGEXMATCH(N14, ""M""), ""6"","""")"),"6")</f>
        <v>6</v>
      </c>
      <c r="AN14" s="245" t="str">
        <f>IFERROR(__xludf.DUMMYFUNCTION("IF(REGEXMATCH(N14, ""P""), ""7"","""")"),"7")</f>
        <v>7</v>
      </c>
      <c r="AO14" s="246" t="str">
        <f>IFERROR(__xludf.DUMMYFUNCTION("IF(REGEXMATCH(N14, ""d""), ""8"","""")"),"")</f>
        <v/>
      </c>
      <c r="AP14" s="245" t="str">
        <f>IFERROR(__xludf.DUMMYFUNCTION("IF(REGEXMATCH(N14, ""D""), ""9"","""")"),"")</f>
        <v/>
      </c>
      <c r="AQ14" s="245" t="str">
        <f>IFERROR(__xludf.DUMMYFUNCTION("IF(REGEXMATCH(N14, ""n""), ""10"","""")"),"10")</f>
        <v>10</v>
      </c>
      <c r="AR14" s="246" t="str">
        <f>IFERROR(__xludf.DUMMYFUNCTION("IF(REGEXMATCH(N14, ""N""), ""11"","""")"),"")</f>
        <v/>
      </c>
      <c r="AS14" s="249" t="str">
        <f>IFERROR(__xludf.DUMMYFUNCTION("IF(REGEXMATCH(N14, ""S""), ""0"","""")"),"0")</f>
        <v>0</v>
      </c>
      <c r="AT14" s="250" t="str">
        <f>IFERROR(__xludf.DUMMYFUNCTION("SUBSTITUTE(SUBSTITUTE(SUBSTITUTE(SUBSTITUTE(CONCATENATE(JOIN(""-"",AG14:AS14)),""--"",""-""),""--"",""-""),""--"",""-""),""--"",""-"")"),"0-4-6-7-10-0")</f>
        <v>0-4-6-7-10-0</v>
      </c>
      <c r="AU14" s="251">
        <f t="shared" si="13"/>
        <v>0</v>
      </c>
      <c r="AV14" s="234" t="str">
        <f t="shared" si="14"/>
        <v>|</v>
      </c>
      <c r="AW14" s="236" t="str">
        <f t="shared" si="15"/>
        <v>-</v>
      </c>
      <c r="AX14" s="237" t="str">
        <f t="shared" si="16"/>
        <v>-</v>
      </c>
      <c r="AY14" s="236" t="str">
        <f t="shared" si="17"/>
        <v>-</v>
      </c>
      <c r="AZ14" s="237" t="str">
        <f t="shared" si="18"/>
        <v>|</v>
      </c>
      <c r="BA14" s="236" t="str">
        <f t="shared" si="19"/>
        <v>-</v>
      </c>
      <c r="BB14" s="237" t="str">
        <f t="shared" si="20"/>
        <v>|</v>
      </c>
      <c r="BC14" s="236" t="str">
        <f t="shared" si="21"/>
        <v>|</v>
      </c>
      <c r="BD14" s="237" t="str">
        <f t="shared" si="22"/>
        <v>-</v>
      </c>
      <c r="BE14" s="236" t="str">
        <f t="shared" si="23"/>
        <v>-</v>
      </c>
      <c r="BF14" s="237" t="str">
        <f t="shared" si="24"/>
        <v>|</v>
      </c>
      <c r="BG14" s="236" t="str">
        <f t="shared" si="25"/>
        <v>-</v>
      </c>
      <c r="BH14" s="238" t="str">
        <f t="shared" si="26"/>
        <v>|</v>
      </c>
      <c r="BI14" s="250" t="str">
        <f>IFERROR(__xludf.DUMMYFUNCTION("SUBSTITUTE(SUBSTITUTE(CONCATENATE(JOIN("""",AV14:BG14)),""|"",""x""),""-"",""o"")"),"xoooxoxxooxo")</f>
        <v>xoooxoxxooxo</v>
      </c>
      <c r="BJ14" s="323" t="str">
        <f>IFERROR(__xludf.DUMMYFUNCTION("JOIN("""",BI14,BI14)"),"xoooxoxxooxoxoooxoxxooxo")</f>
        <v>xoooxoxxooxoxoooxoxxooxo</v>
      </c>
      <c r="BK14" s="256" t="str">
        <f>IFERROR(__xludf.DUMMYFUNCTION("JOIN("""",ArrayFormula(MID(BI14,LEN(BI14)-SEQUENCE(1,LEN(BI14))+1,1)))"),"oxooxxoxooox")</f>
        <v>oxooxxoxooox</v>
      </c>
      <c r="BL14" s="256" t="str">
        <f>IFERROR(__xludf.DUMMYFUNCTION("LEFT(CONCATENATE(""x"",JOIN("""",ArrayFormula(MID(BI14,LEN(BI14)-SEQUENCE(1,LEN(BI14))+1,1)))),12)"),"xoxooxxoxooo")</f>
        <v>xoxooxxoxooo</v>
      </c>
      <c r="BM14" s="327" t="str">
        <f>IFERROR(__xludf.DUMMYFUNCTION("JOIN("""",BK14,BK14)"),"oxooxxoxoooxoxooxxoxooox")</f>
        <v>oxooxxoxoooxoxooxxoxooox</v>
      </c>
      <c r="BN14" s="239" t="str">
        <f>IFERROR(__xludf.DUMMYFUNCTION("IF(REGEXMATCH(BM14,BI14),""✔"",""-"")"),"-")</f>
        <v>-</v>
      </c>
      <c r="BO14" s="330" t="str">
        <f t="shared" si="27"/>
        <v>-</v>
      </c>
      <c r="BP14" s="260" t="str">
        <f t="shared" si="28"/>
        <v>-</v>
      </c>
      <c r="BQ14" s="261" t="str">
        <f>IFERROR(__xludf.DUMMYFUNCTION("IF(BT14=0,""(n/a)"",IF(BU14=2,""(PAIR)"",IF(REGEXMATCH(BJ14,""xoxoxxoxoxox""),""Bilawal"",IF(REGEXMATCH(BJ14,""xoxoxooxoxoo""),""Bhupali"",IF(REGEXMATCH(BJ14,""xoxoxxoxxoxo""),""Charukeshi"",IF(REGEXMATCH(BJ14,""xoxoooxxoxxo""),""Kameshwari"",IF(REGEXMATC"&amp;"H(BJ14,""xoxoxooxoxox""),""Shankara"",IF(REGEXMATCH(BJ14,""xxooxoxxxoox""),""Basant"",IF(REGEXMATCH(BJ14,""xoxoxxxxoxox""),""Bihag"",IF(REGEXMATCH(BJ14,""xoxxxxoxoxxx""),""Pilu"",IF(REGEXMATCH(BJ14,""xoxxoxoxxoox""),""Kirwani"",IF(REGEXMATCH(BJ14,""xoxxox"&amp;"oxoxxx""),""Mk.Malhar"",IF(REGEXMATCH(BJ14,""xxooxxoxxoox""),""Bhairav"",IF(REGEXMATCH(BJ14,""xxoxooxxxoox""),""Todi"",IF(REGEXMATCH(BJ14,""xxooxoxooxox""),""Marwa"",IF(REGEXMATCH(BJ14,""xxoooxoxxooo""),""Gunkali"",IF(REGEXMATCH(BJ14,""xoxoxxoxxoox""),""N"&amp;"at Bhairav"",IF(REGEXMATCH(BJ14,""xoxxoooxoxoo""),""Shivranjani"",IF(REGEXMATCH(BJ14,""xooxxxoxooxo""),""Jog"",IF(REGEXMATCH(BJ14,""xxooxoxoxoox""),""Hemshri"",IF(REGEXMATCH(BJ14,""xoooxooxoxxo""),""Kalavati"",IF(REGEXMATCH(BJ14,""xxoxoxxoxoox""),""Kedar"&amp;""",IF(REGEXMATCH(BJ14,""xoxxxxoxooxx""),""Gara"",IF(REGEXMATCH(BJ14,""xooxoxooxoox""),""Chandrakauns"",IF(REGEXMATCH(BJ14,""xoxxxxoxxxox""),""Mand"",IF(REGEXMATCH(BJ14,""xoxxxxoxoxox""),""Hanskinkini"",IF(REGEXMATCH(BJ14,""xxooxxoxooxo""),""Lilavati"",IF("&amp;"REGEXMATCH(BJ14,""xooxoxoooxox""),""Rajeshwari"",IF(REGEXMATCH(BJ14,""xoooxxoxoxxx""),""Khokar"",IF(REGEXMATCH(BJ14,""xxooxoxxxxox""),""Maligoura"",""-""))))))))))))))))))))))))))))))"),"Rajeshwari")</f>
        <v>Rajeshwari</v>
      </c>
      <c r="BR14" s="239">
        <f t="shared" si="29"/>
        <v>4</v>
      </c>
      <c r="BS14" s="239">
        <f>IFERROR(__xludf.DUMMYFUNCTION("COUNTUNIQUE(BW14:CG14)-1"),4.0)</f>
        <v>4</v>
      </c>
      <c r="BT14" s="239">
        <f>IFERROR(__xludf.DUMMYFUNCTION("COUNTUNIQUE(FILTER(BJ:BJ,REGEXMATCH(BJ:BJ,BI14)))-1"),1.0)</f>
        <v>1</v>
      </c>
      <c r="BU14" s="239">
        <f>IFERROR(__xludf.DUMMYFUNCTION("COUNTA(FILTER(BJ:BJ,REGEXMATCH(BJ:BJ,BI14)))"),3.0)</f>
        <v>3</v>
      </c>
      <c r="BV14" s="341">
        <f>IFERROR(__xludf.DUMMYFUNCTION("COUNTA(FILTER(BJ:BJ,REGEXMATCH(BJ:BJ,BI14)))-AU14"),3.0)</f>
        <v>3</v>
      </c>
      <c r="BW14" s="269" t="str">
        <f t="shared" si="30"/>
        <v>-</v>
      </c>
      <c r="BX14" s="269" t="str">
        <f t="shared" si="31"/>
        <v>-</v>
      </c>
      <c r="BY14" s="271" t="str">
        <f t="shared" si="32"/>
        <v>-</v>
      </c>
      <c r="BZ14" s="269" t="str">
        <f t="shared" si="33"/>
        <v>xoxxooxoxoo</v>
      </c>
      <c r="CA14" s="271" t="str">
        <f t="shared" si="34"/>
        <v>-</v>
      </c>
      <c r="CB14" s="271" t="str">
        <f t="shared" si="35"/>
        <v>xxooxoxooox</v>
      </c>
      <c r="CC14" s="271" t="str">
        <f t="shared" si="36"/>
        <v>xooxoxoooxo</v>
      </c>
      <c r="CD14" s="271" t="str">
        <f t="shared" si="37"/>
        <v>-</v>
      </c>
      <c r="CE14" s="271" t="str">
        <f t="shared" si="38"/>
        <v>-</v>
      </c>
      <c r="CF14" s="271" t="str">
        <f t="shared" si="39"/>
        <v>xoxoooxoxxo</v>
      </c>
      <c r="CG14" s="274" t="str">
        <f t="shared" si="40"/>
        <v>-</v>
      </c>
      <c r="CH14" s="276" t="str">
        <f>IFERROR(__xludf.DUMMYFUNCTION("IF(BI14=""oooooooooooo"",""-"",IF(REGEXMATCH(BJ14,""xx""), ""Hemi."", ""Anhemi.""))"),"Hemi.")</f>
        <v>Hemi.</v>
      </c>
      <c r="CI14" s="282" t="str">
        <f>IFERROR(__xludf.DUMMYFUNCTION("IF(BI14=""oooooooooooo"",""-"",IF(REGEXMATCH(BJ14,""xxx""), ""Cohem."", ""-""))"),"-")</f>
        <v>-</v>
      </c>
      <c r="CJ14" s="282" t="str">
        <f>IFERROR(__xludf.DUMMYFUNCTION("IF(BI14=""oooooooooooo"",""-"",IF(REGEXMATCH(BJ14,""xxxx""), ""Co-Co."", ""-""))"),"-")</f>
        <v>-</v>
      </c>
      <c r="CK14" s="342" t="str">
        <f>IFERROR(__xludf.DUMMYFUNCTION("IF(BI14=""oooooooooooo"",""-"",IF(REGEXMATCH(BJ14,""xxxxx""), ""CCC."", ""-""))"),"-")</f>
        <v>-</v>
      </c>
      <c r="CL14" s="344" t="str">
        <f t="shared" si="41"/>
        <v>-</v>
      </c>
      <c r="CM14" s="282" t="str">
        <f>IFERROR(__xludf.DUMMYFUNCTION("IF(REGEXMATCH(JOIN(""-"",CO14:CX14),""TRUE""),""✔"",""-"")"),"-")</f>
        <v>-</v>
      </c>
      <c r="CN14" s="225">
        <f t="shared" si="42"/>
        <v>0</v>
      </c>
      <c r="CO14" s="376" t="b">
        <f>IFERROR(__xludf.DUMMYFUNCTION("arrayformula(sum(--REGEXMATCH(""SRGMPDNS"",split(REGEXREPLACE(N14,""(.)"",""$1~""),""~""))))=len(N14)
"),FALSE)</f>
        <v>0</v>
      </c>
      <c r="CP14" s="290" t="b">
        <f>IFERROR(__xludf.DUMMYFUNCTION("arrayformula(sum(--REGEXMATCH(""SRGmPDNS"",split(REGEXREPLACE(N14,""(.)"",""$1~""),""~""))))=len(N14)"),FALSE)</f>
        <v>0</v>
      </c>
      <c r="CQ14" s="290" t="b">
        <f>IFERROR(__xludf.DUMMYFUNCTION("arrayformula(sum(--REGEXMATCH(""SRGmPDnS"",split(REGEXREPLACE(N14,""(.)"",""$1~""),""~""))))=len(N14)"),FALSE)</f>
        <v>0</v>
      </c>
      <c r="CR14" s="290" t="b">
        <f>IFERROR(__xludf.DUMMYFUNCTION("arrayformula(sum(--REGEXMATCH(""SRgmPDnS"",split(REGEXREPLACE(N14,""(.)"",""$1~""),""~""))))=len(N14)"),FALSE)</f>
        <v>0</v>
      </c>
      <c r="CS14" s="290" t="b">
        <f>IFERROR(__xludf.DUMMYFUNCTION("arrayformula(sum(--REGEXMATCH(""SRgmPdnS"",split(REGEXREPLACE(N14,""(.)"",""$1~""),""~""))))=len(N14)"),FALSE)</f>
        <v>0</v>
      </c>
      <c r="CT14" s="290" t="b">
        <f>IFERROR(__xludf.DUMMYFUNCTION("arrayformula(sum(--REGEXMATCH(""SrgmPdnS"",split(REGEXREPLACE(N14,""(.)"",""$1~""),""~""))))=len(N14)"),FALSE)</f>
        <v>0</v>
      </c>
      <c r="CU14" s="290" t="b">
        <f>IFERROR(__xludf.DUMMYFUNCTION("arrayformula(sum(--REGEXMATCH(""SrGmPdNS"",split(REGEXREPLACE(N14,""(.)"",""$1~""),""~""))))=len(N14)"),FALSE)</f>
        <v>0</v>
      </c>
      <c r="CV14" s="290" t="b">
        <f>IFERROR(__xludf.DUMMYFUNCTION("arrayformula(sum(--REGEXMATCH(""SrGMPDNS"",split(REGEXREPLACE(N14,""(.)"",""$1~""),""~""))))=len(N14)"),FALSE)</f>
        <v>0</v>
      </c>
      <c r="CW14" s="290" t="b">
        <f>IFERROR(__xludf.DUMMYFUNCTION("arrayformula(sum(--REGEXMATCH(""SrGMPdNS"",split(REGEXREPLACE(N14,""(.)"",""$1~""),""~""))))=len(N14)"),FALSE)</f>
        <v>0</v>
      </c>
      <c r="CX14" s="293" t="b">
        <f>IFERROR(__xludf.DUMMYFUNCTION("arrayformula(sum(--REGEXMATCH(""SrgMPdNS"",split(REGEXREPLACE(N14,""(.)"",""$1~""),""~""))))=len(N14)"),FALSE)</f>
        <v>0</v>
      </c>
      <c r="CY14" s="244" t="str">
        <f>IFERROR(__xludf.DUMMYFUNCTION("IF(REGEXMATCH(N14, ""S""), ""1"","""")"),"1")</f>
        <v>1</v>
      </c>
      <c r="CZ14" s="245" t="str">
        <f>IFERROR(__xludf.DUMMYFUNCTION("IF(REGEXMATCH(N14, ""r""), ""b2"","""")"),"")</f>
        <v/>
      </c>
      <c r="DA14" s="246" t="str">
        <f>IFERROR(__xludf.DUMMYFUNCTION("IF(REGEXMATCH(N14, ""R""), ""2"","""")"),"")</f>
        <v/>
      </c>
      <c r="DB14" s="246" t="str">
        <f>IFERROR(__xludf.DUMMYFUNCTION("IF(REGEXMATCH(N14, ""g""), ""b3"","""")"),"")</f>
        <v/>
      </c>
      <c r="DC14" s="245" t="str">
        <f>IFERROR(__xludf.DUMMYFUNCTION("IF(REGEXMATCH(N14, ""G""), ""3"","""")"),"3")</f>
        <v>3</v>
      </c>
      <c r="DD14" s="245" t="str">
        <f>IFERROR(__xludf.DUMMYFUNCTION("IF(REGEXMATCH(N14, ""m""), ""4"","""")"),"")</f>
        <v/>
      </c>
      <c r="DE14" s="246" t="str">
        <f>IFERROR(__xludf.DUMMYFUNCTION("IF(REGEXMATCH(N14, ""M""), ""#4"","""")"),"#4")</f>
        <v>#4</v>
      </c>
      <c r="DF14" s="245" t="str">
        <f>IFERROR(__xludf.DUMMYFUNCTION("IF(REGEXMATCH(N14, ""P""), ""5"","""")"),"5")</f>
        <v>5</v>
      </c>
      <c r="DG14" s="246" t="str">
        <f>IFERROR(__xludf.DUMMYFUNCTION("IF(REGEXMATCH(N14, ""d""), ""b6"","""")"),"")</f>
        <v/>
      </c>
      <c r="DH14" s="245" t="str">
        <f>IFERROR(__xludf.DUMMYFUNCTION("IF(REGEXMATCH(N14, ""D""), ""6"","""")"),"")</f>
        <v/>
      </c>
      <c r="DI14" s="245" t="str">
        <f>IFERROR(__xludf.DUMMYFUNCTION("IF(REGEXMATCH(N14, ""n""), ""b7"","""")"),"b7")</f>
        <v>b7</v>
      </c>
      <c r="DJ14" s="246" t="str">
        <f>IFERROR(__xludf.DUMMYFUNCTION("IF(REGEXMATCH(N14, ""N""), ""7"","""")"),"")</f>
        <v/>
      </c>
      <c r="DK14" s="249" t="str">
        <f>IFERROR(__xludf.DUMMYFUNCTION("IF(REGEXMATCH(N14, ""S""), ""8"","""")"),"8")</f>
        <v>8</v>
      </c>
      <c r="DL14" s="244" t="str">
        <f>IFERROR(__xludf.DUMMYFUNCTION("IF(REGEXMATCH(N14, ""S""), ""S"","""")"),"S")</f>
        <v>S</v>
      </c>
      <c r="DM14" s="294" t="str">
        <f>IFERROR(__xludf.DUMMYFUNCTION("IF(REGEXMATCH(N14, ""r""), ""R1"","""")"),"")</f>
        <v/>
      </c>
      <c r="DN14" s="295" t="str">
        <f>IFERROR(__xludf.DUMMYFUNCTION("IF(REGEXMATCH(N14, ""R""), ""R2"","""")"),"")</f>
        <v/>
      </c>
      <c r="DO14" s="295" t="str">
        <f>IFERROR(__xludf.DUMMYFUNCTION("IF(REGEXMATCH(N14, ""g""), ""G2"","""")"),"")</f>
        <v/>
      </c>
      <c r="DP14" s="294" t="str">
        <f>IFERROR(__xludf.DUMMYFUNCTION("IF(REGEXMATCH(N14, ""G""), ""G3"","""")"),"G3")</f>
        <v>G3</v>
      </c>
      <c r="DQ14" s="294" t="str">
        <f>IFERROR(__xludf.DUMMYFUNCTION("IF(REGEXMATCH(N14, ""m""), ""M1"","""")"),"")</f>
        <v/>
      </c>
      <c r="DR14" s="295" t="str">
        <f>IFERROR(__xludf.DUMMYFUNCTION("IF(REGEXMATCH(N14, ""M""), ""M2"","""")"),"M2")</f>
        <v>M2</v>
      </c>
      <c r="DS14" s="294" t="str">
        <f>IFERROR(__xludf.DUMMYFUNCTION("IF(REGEXMATCH(N14, ""P""), ""P"","""")"),"P")</f>
        <v>P</v>
      </c>
      <c r="DT14" s="295" t="str">
        <f>IFERROR(__xludf.DUMMYFUNCTION("IF(REGEXMATCH(N14, ""d""), ""D1"","""")"),"")</f>
        <v/>
      </c>
      <c r="DU14" s="294" t="str">
        <f>IFERROR(__xludf.DUMMYFUNCTION("IF(REGEXMATCH(N14, ""D""), ""D2"","""")"),"")</f>
        <v/>
      </c>
      <c r="DV14" s="294" t="str">
        <f>IFERROR(__xludf.DUMMYFUNCTION("IF(REGEXMATCH(N14, ""n""), ""N2"","""")"),"N2")</f>
        <v>N2</v>
      </c>
      <c r="DW14" s="295" t="str">
        <f>IFERROR(__xludf.DUMMYFUNCTION("IF(REGEXMATCH(N14, ""N""), ""N3"","""")"),"")</f>
        <v/>
      </c>
      <c r="DX14" s="249" t="str">
        <f>IFERROR(__xludf.DUMMYFUNCTION("IF(REGEXMATCH(N14, ""S""), ""S"","""")"),"S")</f>
        <v>S</v>
      </c>
      <c r="DY14" s="299" t="str">
        <f>IFERROR(__xludf.DUMMYFUNCTION("SUBSTITUTE(SUBSTITUTE(SUBSTITUTE(SUBSTITUTE(CONCATENATE(JOIN(""-"",CY14:DK14)),""--"",""-""),""--"",""-""),""--"",""-""),""--"",""-"")"),"1-3-#4-5-b7-8")</f>
        <v>1-3-#4-5-b7-8</v>
      </c>
      <c r="DZ14" s="299" t="str">
        <f>IFERROR(__xludf.DUMMYFUNCTION("SUBSTITUTE(SUBSTITUTE(SUBSTITUTE(SUBSTITUTE(CONCATENATE(JOIN(""-"",DL14:DX14)),""--"",""-""),""--"",""-""),""--"",""-""),""--"",""-"")"),"S-G3-M2-P-N2-S")</f>
        <v>S-G3-M2-P-N2-S</v>
      </c>
      <c r="EA14" s="348" t="str">
        <f t="shared" si="43"/>
        <v>C-E-F#-G-Bb-C</v>
      </c>
      <c r="EB14" s="301">
        <f t="shared" si="44"/>
        <v>5</v>
      </c>
      <c r="EC14" s="302" t="str">
        <f t="shared" si="45"/>
        <v>Audav</v>
      </c>
      <c r="ED14" s="301" t="str">
        <f t="shared" ref="ED14:EE14" si="180">SUBSTITUTE(AD14,"-","")</f>
        <v>SGM</v>
      </c>
      <c r="EE14" s="301" t="str">
        <f t="shared" si="180"/>
        <v>PNS</v>
      </c>
      <c r="EF14" s="302" t="str">
        <f t="shared" si="47"/>
        <v>Rajeshwari</v>
      </c>
      <c r="EG14" s="301" t="str">
        <f t="shared" si="48"/>
        <v>Hemi.</v>
      </c>
      <c r="EH14" s="364" t="str">
        <f t="shared" si="49"/>
        <v>-</v>
      </c>
      <c r="EI14" s="306" t="str">
        <f t="shared" si="50"/>
        <v>-</v>
      </c>
      <c r="EJ14" s="366" t="str">
        <f t="shared" si="51"/>
        <v>-</v>
      </c>
      <c r="EK14" s="308" t="str">
        <f t="shared" si="52"/>
        <v>✔</v>
      </c>
      <c r="EL14" s="306" t="str">
        <f t="shared" si="53"/>
        <v>-</v>
      </c>
      <c r="EM14" s="306" t="str">
        <f t="shared" si="54"/>
        <v>-</v>
      </c>
      <c r="EN14" s="367" t="str">
        <f t="shared" si="55"/>
        <v>✔</v>
      </c>
      <c r="EO14" s="310" t="str">
        <f t="shared" si="56"/>
        <v>-</v>
      </c>
      <c r="EP14" s="310" t="str">
        <f t="shared" si="57"/>
        <v>-</v>
      </c>
      <c r="EQ14" s="310" t="str">
        <f t="shared" si="58"/>
        <v>-</v>
      </c>
      <c r="ER14" s="310" t="str">
        <f t="shared" si="59"/>
        <v>-</v>
      </c>
      <c r="ES14" s="370" t="str">
        <f t="shared" si="60"/>
        <v>-</v>
      </c>
      <c r="ET14" s="306" t="str">
        <f t="shared" si="61"/>
        <v>✔</v>
      </c>
      <c r="EU14" s="306" t="str">
        <f t="shared" si="62"/>
        <v>-</v>
      </c>
      <c r="EV14" s="306" t="str">
        <f t="shared" si="63"/>
        <v>-</v>
      </c>
      <c r="EW14" s="306" t="str">
        <f t="shared" si="64"/>
        <v>-</v>
      </c>
      <c r="EX14" s="306" t="str">
        <f t="shared" si="65"/>
        <v>✔</v>
      </c>
      <c r="EY14" s="367" t="str">
        <f t="shared" si="66"/>
        <v>-</v>
      </c>
      <c r="EZ14" s="310" t="str">
        <f>IFERROR(__xludf.DUMMYFUNCTION("IF(REGEXMATCH(BM14,BI14),""✔"",""-"")"),"-")</f>
        <v>-</v>
      </c>
      <c r="FA14" s="310" t="str">
        <f t="shared" si="67"/>
        <v>-</v>
      </c>
      <c r="FB14" s="370" t="str">
        <f t="shared" si="68"/>
        <v>-</v>
      </c>
      <c r="FC14" s="315" t="str">
        <f t="shared" si="69"/>
        <v>[UQ]</v>
      </c>
      <c r="FD14" s="317" t="str">
        <f t="shared" si="70"/>
        <v>S-G-M-P-n-S</v>
      </c>
      <c r="FE14" s="318" t="str">
        <f>IFERROR(__xludf.DUMMYFUNCTION("CONCATENATE(JOIN("""",GJ14:GV14))"),"SRmMdS")</f>
        <v>SRmMdS</v>
      </c>
      <c r="FF14" s="318"/>
      <c r="FG14" s="318"/>
      <c r="FH14" s="321">
        <f t="shared" si="71"/>
        <v>4</v>
      </c>
      <c r="FI14" s="318" t="str">
        <f>IFERROR(__xludf.DUMMYFUNCTION("CONCATENATE(JOIN("""",HW14:II14))"),"Ga, Ma, Pa, ni, ")</f>
        <v>Ga, Ma, Pa, ni, </v>
      </c>
      <c r="FJ14" s="322">
        <f t="shared" si="72"/>
        <v>3</v>
      </c>
      <c r="FK14" s="324" t="str">
        <f>IFERROR(__xludf.DUMMYFUNCTION("CONCATENATE(JOIN("""",IW14:JI14))"),"Ga, Ma, ni, ")</f>
        <v>Ga, Ma, ni, </v>
      </c>
      <c r="FL14" s="325" t="str">
        <f t="shared" si="73"/>
        <v>S-G3-M2-P-N2-S</v>
      </c>
      <c r="FM14" s="326" t="str">
        <f t="shared" si="74"/>
        <v>1-3-#4-5-b7-8</v>
      </c>
      <c r="FN14" s="326" t="str">
        <f t="shared" si="75"/>
        <v>0-4-6-7-10-0</v>
      </c>
      <c r="FO14" s="318"/>
      <c r="FP14" s="328" t="str">
        <f>IFERROR(__xludf.DUMMYFUNCTION("SUBSTITUTE(SUBSTITUTE(SUBSTITUTE(SUBSTITUTE(CONCATENATE(JOIN("" "",FS14:GE14)),""  "","" ""),""  "","" ""),""  "","" ""),""  "","" "")"),"o • • • o • o o • • o • o")</f>
        <v>o • • • o • o o • • o • o</v>
      </c>
      <c r="FQ14" s="328" t="str">
        <f t="shared" si="76"/>
        <v>Sa-Pa</v>
      </c>
      <c r="FR14" s="329"/>
      <c r="FS14" s="331" t="str">
        <f t="shared" si="77"/>
        <v>o</v>
      </c>
      <c r="FT14" s="332" t="str">
        <f t="shared" si="78"/>
        <v>•</v>
      </c>
      <c r="FU14" s="332" t="str">
        <f t="shared" si="79"/>
        <v>•</v>
      </c>
      <c r="FV14" s="332" t="str">
        <f t="shared" si="80"/>
        <v>•</v>
      </c>
      <c r="FW14" s="332" t="str">
        <f t="shared" si="81"/>
        <v>o</v>
      </c>
      <c r="FX14" s="332" t="str">
        <f t="shared" si="82"/>
        <v>•</v>
      </c>
      <c r="FY14" s="332" t="str">
        <f t="shared" si="83"/>
        <v>o</v>
      </c>
      <c r="FZ14" s="332" t="str">
        <f t="shared" si="84"/>
        <v>o</v>
      </c>
      <c r="GA14" s="332" t="str">
        <f t="shared" si="85"/>
        <v>•</v>
      </c>
      <c r="GB14" s="332" t="str">
        <f t="shared" si="86"/>
        <v>•</v>
      </c>
      <c r="GC14" s="332" t="str">
        <f t="shared" si="87"/>
        <v>o</v>
      </c>
      <c r="GD14" s="332" t="str">
        <f t="shared" si="88"/>
        <v>•</v>
      </c>
      <c r="GE14" s="338" t="str">
        <f t="shared" si="89"/>
        <v>o</v>
      </c>
      <c r="GF14" s="339" t="str">
        <f t="shared" si="90"/>
        <v>Sa-Pa</v>
      </c>
      <c r="GG14" s="339" t="str">
        <f t="shared" si="91"/>
        <v>Sa-Pa</v>
      </c>
      <c r="GH14" s="339" t="str">
        <f t="shared" si="92"/>
        <v>-</v>
      </c>
      <c r="GI14" s="340" t="str">
        <f t="shared" si="93"/>
        <v>-</v>
      </c>
      <c r="GJ14" s="331" t="str">
        <f t="shared" si="94"/>
        <v>S</v>
      </c>
      <c r="GK14" s="332" t="str">
        <f t="shared" si="95"/>
        <v/>
      </c>
      <c r="GL14" s="332" t="str">
        <f t="shared" si="96"/>
        <v>R</v>
      </c>
      <c r="GM14" s="332" t="str">
        <f t="shared" si="97"/>
        <v/>
      </c>
      <c r="GN14" s="332" t="str">
        <f t="shared" si="98"/>
        <v/>
      </c>
      <c r="GO14" s="332" t="str">
        <f t="shared" si="99"/>
        <v>m</v>
      </c>
      <c r="GP14" s="332" t="str">
        <f t="shared" si="100"/>
        <v>M</v>
      </c>
      <c r="GQ14" s="332" t="str">
        <f t="shared" si="101"/>
        <v/>
      </c>
      <c r="GR14" s="332" t="str">
        <f t="shared" si="102"/>
        <v>d</v>
      </c>
      <c r="GS14" s="332" t="str">
        <f t="shared" si="103"/>
        <v/>
      </c>
      <c r="GT14" s="332" t="str">
        <f t="shared" si="104"/>
        <v/>
      </c>
      <c r="GU14" s="332" t="str">
        <f t="shared" si="105"/>
        <v/>
      </c>
      <c r="GV14" s="343" t="str">
        <f t="shared" si="106"/>
        <v>S</v>
      </c>
      <c r="GW14" s="331" t="str">
        <f t="shared" si="107"/>
        <v>•</v>
      </c>
      <c r="GX14" s="332" t="str">
        <f t="shared" si="108"/>
        <v>o</v>
      </c>
      <c r="GY14" s="332" t="str">
        <f t="shared" si="109"/>
        <v>o</v>
      </c>
      <c r="GZ14" s="332" t="str">
        <f t="shared" si="110"/>
        <v>o</v>
      </c>
      <c r="HA14" s="332" t="str">
        <f t="shared" si="111"/>
        <v>•</v>
      </c>
      <c r="HB14" s="332" t="str">
        <f t="shared" si="112"/>
        <v>o</v>
      </c>
      <c r="HC14" s="332" t="str">
        <f t="shared" si="113"/>
        <v>•</v>
      </c>
      <c r="HD14" s="332" t="str">
        <f t="shared" si="114"/>
        <v>•</v>
      </c>
      <c r="HE14" s="332" t="str">
        <f t="shared" si="115"/>
        <v>o</v>
      </c>
      <c r="HF14" s="332" t="str">
        <f t="shared" si="116"/>
        <v>o</v>
      </c>
      <c r="HG14" s="332" t="str">
        <f t="shared" si="117"/>
        <v>•</v>
      </c>
      <c r="HH14" s="332" t="str">
        <f t="shared" si="118"/>
        <v>o</v>
      </c>
      <c r="HI14" s="338" t="str">
        <f t="shared" si="119"/>
        <v>•</v>
      </c>
      <c r="HJ14" s="346" t="b">
        <f t="shared" si="120"/>
        <v>0</v>
      </c>
      <c r="HK14" s="347" t="b">
        <f t="shared" si="121"/>
        <v>0</v>
      </c>
      <c r="HL14" s="347" t="b">
        <f t="shared" si="122"/>
        <v>0</v>
      </c>
      <c r="HM14" s="347" t="b">
        <f t="shared" si="123"/>
        <v>0</v>
      </c>
      <c r="HN14" s="347" t="b">
        <f t="shared" si="124"/>
        <v>1</v>
      </c>
      <c r="HO14" s="347" t="b">
        <f t="shared" si="125"/>
        <v>0</v>
      </c>
      <c r="HP14" s="347" t="b">
        <f t="shared" si="126"/>
        <v>1</v>
      </c>
      <c r="HQ14" s="347" t="b">
        <f t="shared" si="127"/>
        <v>1</v>
      </c>
      <c r="HR14" s="347" t="b">
        <f t="shared" si="128"/>
        <v>0</v>
      </c>
      <c r="HS14" s="347" t="b">
        <f t="shared" si="129"/>
        <v>0</v>
      </c>
      <c r="HT14" s="347" t="b">
        <f t="shared" si="130"/>
        <v>1</v>
      </c>
      <c r="HU14" s="347" t="b">
        <f t="shared" si="131"/>
        <v>0</v>
      </c>
      <c r="HV14" s="353" t="b">
        <f t="shared" si="132"/>
        <v>0</v>
      </c>
      <c r="HW14" s="354" t="str">
        <f t="shared" si="133"/>
        <v/>
      </c>
      <c r="HX14" s="355" t="str">
        <f t="shared" si="134"/>
        <v/>
      </c>
      <c r="HY14" s="355" t="str">
        <f t="shared" si="135"/>
        <v/>
      </c>
      <c r="HZ14" s="355" t="str">
        <f t="shared" si="136"/>
        <v/>
      </c>
      <c r="IA14" s="355" t="str">
        <f t="shared" si="137"/>
        <v>Ga, </v>
      </c>
      <c r="IB14" s="355" t="str">
        <f t="shared" si="138"/>
        <v/>
      </c>
      <c r="IC14" s="355" t="str">
        <f t="shared" si="139"/>
        <v>Ma, </v>
      </c>
      <c r="ID14" s="355" t="str">
        <f t="shared" si="140"/>
        <v>Pa, </v>
      </c>
      <c r="IE14" s="355" t="str">
        <f t="shared" si="141"/>
        <v/>
      </c>
      <c r="IF14" s="355" t="str">
        <f t="shared" si="142"/>
        <v/>
      </c>
      <c r="IG14" s="355" t="str">
        <f t="shared" si="143"/>
        <v>ni, </v>
      </c>
      <c r="IH14" s="355" t="str">
        <f t="shared" si="144"/>
        <v/>
      </c>
      <c r="II14" s="359" t="str">
        <f t="shared" si="145"/>
        <v/>
      </c>
      <c r="IJ14" s="346" t="b">
        <f t="shared" si="146"/>
        <v>0</v>
      </c>
      <c r="IK14" s="347" t="b">
        <f t="shared" si="147"/>
        <v>0</v>
      </c>
      <c r="IL14" s="347" t="b">
        <f t="shared" si="148"/>
        <v>0</v>
      </c>
      <c r="IM14" s="347" t="b">
        <f t="shared" si="149"/>
        <v>0</v>
      </c>
      <c r="IN14" s="347" t="b">
        <f t="shared" si="150"/>
        <v>1</v>
      </c>
      <c r="IO14" s="347" t="b">
        <f t="shared" si="151"/>
        <v>0</v>
      </c>
      <c r="IP14" s="347" t="b">
        <f t="shared" si="152"/>
        <v>1</v>
      </c>
      <c r="IQ14" s="347" t="b">
        <f t="shared" si="153"/>
        <v>0</v>
      </c>
      <c r="IR14" s="347" t="b">
        <f t="shared" si="154"/>
        <v>0</v>
      </c>
      <c r="IS14" s="347" t="b">
        <f t="shared" si="155"/>
        <v>0</v>
      </c>
      <c r="IT14" s="347" t="b">
        <f t="shared" si="156"/>
        <v>1</v>
      </c>
      <c r="IU14" s="347" t="b">
        <f t="shared" si="157"/>
        <v>0</v>
      </c>
      <c r="IV14" s="365" t="b">
        <f t="shared" si="158"/>
        <v>0</v>
      </c>
      <c r="IW14" s="354" t="str">
        <f t="shared" si="159"/>
        <v/>
      </c>
      <c r="IX14" s="355" t="str">
        <f t="shared" si="160"/>
        <v/>
      </c>
      <c r="IY14" s="355" t="str">
        <f t="shared" si="161"/>
        <v/>
      </c>
      <c r="IZ14" s="355" t="str">
        <f t="shared" si="162"/>
        <v/>
      </c>
      <c r="JA14" s="355" t="str">
        <f t="shared" si="163"/>
        <v>Ga, </v>
      </c>
      <c r="JB14" s="355" t="str">
        <f t="shared" si="164"/>
        <v/>
      </c>
      <c r="JC14" s="355" t="str">
        <f t="shared" si="165"/>
        <v>Ma, </v>
      </c>
      <c r="JD14" s="355" t="str">
        <f t="shared" si="166"/>
        <v/>
      </c>
      <c r="JE14" s="355" t="str">
        <f t="shared" si="167"/>
        <v/>
      </c>
      <c r="JF14" s="355" t="str">
        <f t="shared" si="168"/>
        <v/>
      </c>
      <c r="JG14" s="355" t="str">
        <f t="shared" si="169"/>
        <v>ni, </v>
      </c>
      <c r="JH14" s="355" t="str">
        <f t="shared" si="170"/>
        <v/>
      </c>
      <c r="JI14" s="359"/>
      <c r="JJ14" s="321"/>
      <c r="JK14" s="368"/>
      <c r="JL14" s="369"/>
      <c r="JM14" s="369"/>
      <c r="JN14" s="369"/>
      <c r="JO14" s="369"/>
      <c r="JP14" s="369"/>
      <c r="JQ14" s="369"/>
      <c r="JR14" s="369"/>
      <c r="JS14" s="369"/>
      <c r="JT14" s="369"/>
      <c r="JU14" s="369"/>
    </row>
    <row r="15" ht="20.25" customHeight="1">
      <c r="A15" s="221" t="s">
        <v>1254</v>
      </c>
      <c r="B15" s="223" t="s">
        <v>1255</v>
      </c>
      <c r="C15" s="222"/>
      <c r="D15" s="222"/>
      <c r="E15" s="222"/>
      <c r="F15" s="222" t="s">
        <v>275</v>
      </c>
      <c r="G15" s="395" t="s">
        <v>275</v>
      </c>
      <c r="H15" s="222">
        <v>13.0</v>
      </c>
      <c r="I15" s="224" t="s">
        <v>1219</v>
      </c>
      <c r="J15" s="414">
        <f t="shared" si="5"/>
        <v>1</v>
      </c>
      <c r="K15" s="227">
        <f t="shared" si="6"/>
        <v>5</v>
      </c>
      <c r="L15" s="229">
        <f t="shared" si="7"/>
        <v>5</v>
      </c>
      <c r="M15" s="230">
        <f t="shared" si="8"/>
        <v>0</v>
      </c>
      <c r="N15" s="233" t="str">
        <f t="shared" si="9"/>
        <v>SGmdNS</v>
      </c>
      <c r="O15" s="234" t="str">
        <f>IFERROR(__xludf.DUMMYFUNCTION("IF(REGEXMATCH(N15, ""S""), ""S"","""")"),"S")</f>
        <v>S</v>
      </c>
      <c r="P15" s="236" t="str">
        <f>IFERROR(__xludf.DUMMYFUNCTION("IF(REGEXMATCH(N15, ""r""), ""r"","""")"),"")</f>
        <v/>
      </c>
      <c r="Q15" s="237" t="str">
        <f>IFERROR(__xludf.DUMMYFUNCTION("IF(REGEXMATCH(N15, ""R""), ""R"","""")"),"")</f>
        <v/>
      </c>
      <c r="R15" s="237" t="str">
        <f>IFERROR(__xludf.DUMMYFUNCTION("IF(REGEXMATCH(N15, ""g""), ""g"","""")"),"")</f>
        <v/>
      </c>
      <c r="S15" s="236" t="str">
        <f>IFERROR(__xludf.DUMMYFUNCTION("IF(REGEXMATCH(N15, ""G""), ""G"","""")"),"G")</f>
        <v>G</v>
      </c>
      <c r="T15" s="236" t="str">
        <f>IFERROR(__xludf.DUMMYFUNCTION("IF(REGEXMATCH(N15, ""m""), ""m"","""")"),"m")</f>
        <v>m</v>
      </c>
      <c r="U15" s="237" t="str">
        <f>IFERROR(__xludf.DUMMYFUNCTION("IF(REGEXMATCH(N15, ""M""), ""M"","""")"),"")</f>
        <v/>
      </c>
      <c r="V15" s="236" t="str">
        <f>IFERROR(__xludf.DUMMYFUNCTION("IF(REGEXMATCH(N15, ""P""), ""P"","""")"),"")</f>
        <v/>
      </c>
      <c r="W15" s="237" t="str">
        <f>IFERROR(__xludf.DUMMYFUNCTION("IF(REGEXMATCH(N15, ""d""), ""d"","""")"),"d")</f>
        <v>d</v>
      </c>
      <c r="X15" s="236" t="str">
        <f>IFERROR(__xludf.DUMMYFUNCTION("IF(REGEXMATCH(N15, ""D""), ""D"","""")"),"")</f>
        <v/>
      </c>
      <c r="Y15" s="236" t="str">
        <f>IFERROR(__xludf.DUMMYFUNCTION("IF(REGEXMATCH(N15, ""n""), ""n"","""")"),"")</f>
        <v/>
      </c>
      <c r="Z15" s="237" t="str">
        <f>IFERROR(__xludf.DUMMYFUNCTION("IF(REGEXMATCH(N15, ""N""), ""N"","""")"),"N")</f>
        <v>N</v>
      </c>
      <c r="AA15" s="238" t="str">
        <f>IFERROR(__xludf.DUMMYFUNCTION("IF(REGEXMATCH(N15, ""S""), ""S"","""")"),"S")</f>
        <v>S</v>
      </c>
      <c r="AB15" s="239" t="str">
        <f>IFERROR(__xludf.DUMMYFUNCTION("SUBSTITUTE(CONCATENATE(JOIN(""-"",O15:U15)),""-"","""")"),"SGm")</f>
        <v>SGm</v>
      </c>
      <c r="AC15" s="229" t="str">
        <f>IFERROR(__xludf.DUMMYFUNCTION("SUBSTITUTE(CONCATENATE(JOIN(""-"",V15:AA15)),""-"","""")"),"dNS")</f>
        <v>dNS</v>
      </c>
      <c r="AD15" s="282" t="str">
        <f t="shared" si="10"/>
        <v>S-G-M</v>
      </c>
      <c r="AE15" s="282" t="str">
        <f t="shared" si="11"/>
        <v>D-N-S</v>
      </c>
      <c r="AF15" s="309" t="str">
        <f t="shared" si="12"/>
        <v>GmdN</v>
      </c>
      <c r="AG15" s="244" t="str">
        <f>IFERROR(__xludf.DUMMYFUNCTION("IF(REGEXMATCH(N15, ""S""), ""0"","""")"),"0")</f>
        <v>0</v>
      </c>
      <c r="AH15" s="245" t="str">
        <f>IFERROR(__xludf.DUMMYFUNCTION("IF(REGEXMATCH(N15, ""r""), ""1"","""")"),"")</f>
        <v/>
      </c>
      <c r="AI15" s="246" t="str">
        <f>IFERROR(__xludf.DUMMYFUNCTION("IF(REGEXMATCH(N15, ""R""), ""2"","""")"),"")</f>
        <v/>
      </c>
      <c r="AJ15" s="246" t="str">
        <f>IFERROR(__xludf.DUMMYFUNCTION("IF(REGEXMATCH(N15, ""g""), ""3"","""")"),"")</f>
        <v/>
      </c>
      <c r="AK15" s="245" t="str">
        <f>IFERROR(__xludf.DUMMYFUNCTION("IF(REGEXMATCH(N15, ""G""), ""4"","""")"),"4")</f>
        <v>4</v>
      </c>
      <c r="AL15" s="245" t="str">
        <f>IFERROR(__xludf.DUMMYFUNCTION("IF(REGEXMATCH(N15, ""m""), ""5"","""")"),"5")</f>
        <v>5</v>
      </c>
      <c r="AM15" s="246" t="str">
        <f>IFERROR(__xludf.DUMMYFUNCTION("IF(REGEXMATCH(N15, ""M""), ""6"","""")"),"")</f>
        <v/>
      </c>
      <c r="AN15" s="245" t="str">
        <f>IFERROR(__xludf.DUMMYFUNCTION("IF(REGEXMATCH(N15, ""P""), ""7"","""")"),"")</f>
        <v/>
      </c>
      <c r="AO15" s="246" t="str">
        <f>IFERROR(__xludf.DUMMYFUNCTION("IF(REGEXMATCH(N15, ""d""), ""8"","""")"),"8")</f>
        <v>8</v>
      </c>
      <c r="AP15" s="245" t="str">
        <f>IFERROR(__xludf.DUMMYFUNCTION("IF(REGEXMATCH(N15, ""D""), ""9"","""")"),"")</f>
        <v/>
      </c>
      <c r="AQ15" s="245" t="str">
        <f>IFERROR(__xludf.DUMMYFUNCTION("IF(REGEXMATCH(N15, ""n""), ""10"","""")"),"")</f>
        <v/>
      </c>
      <c r="AR15" s="246" t="str">
        <f>IFERROR(__xludf.DUMMYFUNCTION("IF(REGEXMATCH(N15, ""N""), ""11"","""")"),"11")</f>
        <v>11</v>
      </c>
      <c r="AS15" s="249" t="str">
        <f>IFERROR(__xludf.DUMMYFUNCTION("IF(REGEXMATCH(N15, ""S""), ""0"","""")"),"0")</f>
        <v>0</v>
      </c>
      <c r="AT15" s="250" t="str">
        <f>IFERROR(__xludf.DUMMYFUNCTION("SUBSTITUTE(SUBSTITUTE(SUBSTITUTE(SUBSTITUTE(CONCATENATE(JOIN(""-"",AG15:AS15)),""--"",""-""),""--"",""-""),""--"",""-""),""--"",""-"")"),"0-4-5-8-11-0")</f>
        <v>0-4-5-8-11-0</v>
      </c>
      <c r="AU15" s="251">
        <f t="shared" si="13"/>
        <v>1</v>
      </c>
      <c r="AV15" s="234" t="str">
        <f t="shared" si="14"/>
        <v>|</v>
      </c>
      <c r="AW15" s="236" t="str">
        <f t="shared" si="15"/>
        <v>-</v>
      </c>
      <c r="AX15" s="237" t="str">
        <f t="shared" si="16"/>
        <v>-</v>
      </c>
      <c r="AY15" s="236" t="str">
        <f t="shared" si="17"/>
        <v>-</v>
      </c>
      <c r="AZ15" s="237" t="str">
        <f t="shared" si="18"/>
        <v>|</v>
      </c>
      <c r="BA15" s="236" t="str">
        <f t="shared" si="19"/>
        <v>|</v>
      </c>
      <c r="BB15" s="237" t="str">
        <f t="shared" si="20"/>
        <v>-</v>
      </c>
      <c r="BC15" s="236" t="str">
        <f t="shared" si="21"/>
        <v>-</v>
      </c>
      <c r="BD15" s="237" t="str">
        <f t="shared" si="22"/>
        <v>|</v>
      </c>
      <c r="BE15" s="236" t="str">
        <f t="shared" si="23"/>
        <v>-</v>
      </c>
      <c r="BF15" s="237" t="str">
        <f t="shared" si="24"/>
        <v>-</v>
      </c>
      <c r="BG15" s="236" t="str">
        <f t="shared" si="25"/>
        <v>|</v>
      </c>
      <c r="BH15" s="238" t="str">
        <f t="shared" si="26"/>
        <v>|</v>
      </c>
      <c r="BI15" s="250" t="str">
        <f>IFERROR(__xludf.DUMMYFUNCTION("SUBSTITUTE(SUBSTITUTE(CONCATENATE(JOIN("""",AV15:BG15)),""|"",""x""),""-"",""o"")"),"xoooxxooxoox")</f>
        <v>xoooxxooxoox</v>
      </c>
      <c r="BJ15" s="323" t="str">
        <f>IFERROR(__xludf.DUMMYFUNCTION("JOIN("""",BI15,BI15)"),"xoooxxooxooxxoooxxooxoox")</f>
        <v>xoooxxooxooxxoooxxooxoox</v>
      </c>
      <c r="BK15" s="256" t="str">
        <f>IFERROR(__xludf.DUMMYFUNCTION("JOIN("""",ArrayFormula(MID(BI15,LEN(BI15)-SEQUENCE(1,LEN(BI15))+1,1)))"),"xooxooxxooox")</f>
        <v>xooxooxxooox</v>
      </c>
      <c r="BL15" s="256" t="str">
        <f>IFERROR(__xludf.DUMMYFUNCTION("LEFT(CONCATENATE(""x"",JOIN("""",ArrayFormula(MID(BI15,LEN(BI15)-SEQUENCE(1,LEN(BI15))+1,1)))),12)"),"xxooxooxxooo")</f>
        <v>xxooxooxxooo</v>
      </c>
      <c r="BM15" s="327" t="str">
        <f>IFERROR(__xludf.DUMMYFUNCTION("JOIN("""",BK15,BK15)"),"xooxooxxoooxxooxooxxooox")</f>
        <v>xooxooxxoooxxooxooxxooox</v>
      </c>
      <c r="BN15" s="239" t="str">
        <f>IFERROR(__xludf.DUMMYFUNCTION("IF(REGEXMATCH(BM15,BI15),""✔"",""-"")"),"✔")</f>
        <v>✔</v>
      </c>
      <c r="BO15" s="330" t="str">
        <f t="shared" si="27"/>
        <v>-</v>
      </c>
      <c r="BP15" s="260" t="str">
        <f t="shared" si="28"/>
        <v>-</v>
      </c>
      <c r="BQ15" s="261" t="str">
        <f>IFERROR(__xludf.DUMMYFUNCTION("IF(BT15=0,""(n/a)"",IF(BU15=2,""(PAIR)"",IF(REGEXMATCH(BJ15,""xoxoxxoxoxox""),""Bilawal"",IF(REGEXMATCH(BJ15,""xoxoxooxoxoo""),""Bhupali"",IF(REGEXMATCH(BJ15,""xoxoxxoxxoxo""),""Charukeshi"",IF(REGEXMATCH(BJ15,""xoxoooxxoxxo""),""Kameshwari"",IF(REGEXMATC"&amp;"H(BJ15,""xoxoxooxoxox""),""Shankara"",IF(REGEXMATCH(BJ15,""xxooxoxxxoox""),""Basant"",IF(REGEXMATCH(BJ15,""xoxoxxxxoxox""),""Bihag"",IF(REGEXMATCH(BJ15,""xoxxxxoxoxxx""),""Pilu"",IF(REGEXMATCH(BJ15,""xoxxoxoxxoox""),""Kirwani"",IF(REGEXMATCH(BJ15,""xoxxox"&amp;"oxoxxx""),""Mk.Malhar"",IF(REGEXMATCH(BJ15,""xxooxxoxxoox""),""Bhairav"",IF(REGEXMATCH(BJ15,""xxoxooxxxoox""),""Todi"",IF(REGEXMATCH(BJ15,""xxooxoxooxox""),""Marwa"",IF(REGEXMATCH(BJ15,""xxoooxoxxooo""),""Gunkali"",IF(REGEXMATCH(BJ15,""xoxoxxoxxoox""),""N"&amp;"at Bhairav"",IF(REGEXMATCH(BJ15,""xoxxoooxoxoo""),""Shivranjani"",IF(REGEXMATCH(BJ15,""xooxxxoxooxo""),""Jog"",IF(REGEXMATCH(BJ15,""xxooxoxoxoox""),""Hemshri"",IF(REGEXMATCH(BJ15,""xoooxooxoxxo""),""Kalavati"",IF(REGEXMATCH(BJ15,""xxoxoxxoxoox""),""Kedar"&amp;""",IF(REGEXMATCH(BJ15,""xoxxxxoxooxx""),""Gara"",IF(REGEXMATCH(BJ15,""xooxoxooxoox""),""Chandrakauns"",IF(REGEXMATCH(BJ15,""xoxxxxoxxxox""),""Mand"",IF(REGEXMATCH(BJ15,""xoxxxxoxoxox""),""Hanskinkini"",IF(REGEXMATCH(BJ15,""xxooxxoxooxo""),""Lilavati"",IF("&amp;"REGEXMATCH(BJ15,""xooxoxoooxox""),""Rajeshwari"",IF(REGEXMATCH(BJ15,""xoooxxoxoxxx""),""Khokar"",IF(REGEXMATCH(BJ15,""xxooxoxxxxox""),""Maligoura"",""-""))))))))))))))))))))))))))))))"),"(n/a)")</f>
        <v>(n/a)</v>
      </c>
      <c r="BR15" s="239">
        <f t="shared" si="29"/>
        <v>4</v>
      </c>
      <c r="BS15" s="239">
        <f>IFERROR(__xludf.DUMMYFUNCTION("COUNTUNIQUE(BW15:CG15)-1"),4.0)</f>
        <v>4</v>
      </c>
      <c r="BT15" s="239">
        <f>IFERROR(__xludf.DUMMYFUNCTION("COUNTUNIQUE(FILTER(BJ:BJ,REGEXMATCH(BJ:BJ,BI15)))-1"),0.0)</f>
        <v>0</v>
      </c>
      <c r="BU15" s="239">
        <f>IFERROR(__xludf.DUMMYFUNCTION("COUNTA(FILTER(BJ:BJ,REGEXMATCH(BJ:BJ,BI15)))"),2.0)</f>
        <v>2</v>
      </c>
      <c r="BV15" s="341">
        <f>IFERROR(__xludf.DUMMYFUNCTION("COUNTA(FILTER(BJ:BJ,REGEXMATCH(BJ:BJ,BI15)))-AU15"),1.0)</f>
        <v>1</v>
      </c>
      <c r="BW15" s="269" t="str">
        <f t="shared" si="30"/>
        <v>-</v>
      </c>
      <c r="BX15" s="269" t="str">
        <f t="shared" si="31"/>
        <v>-</v>
      </c>
      <c r="BY15" s="271" t="str">
        <f t="shared" si="32"/>
        <v>-</v>
      </c>
      <c r="BZ15" s="269" t="str">
        <f t="shared" si="33"/>
        <v>xxooxooxxoo</v>
      </c>
      <c r="CA15" s="271" t="str">
        <f t="shared" si="34"/>
        <v>xooxooxxooo</v>
      </c>
      <c r="CB15" s="271" t="str">
        <f t="shared" si="35"/>
        <v>-</v>
      </c>
      <c r="CC15" s="271" t="str">
        <f t="shared" si="36"/>
        <v>-</v>
      </c>
      <c r="CD15" s="271" t="str">
        <f t="shared" si="37"/>
        <v>xooxxoooxxo</v>
      </c>
      <c r="CE15" s="271" t="str">
        <f t="shared" si="38"/>
        <v>-</v>
      </c>
      <c r="CF15" s="271" t="str">
        <f t="shared" si="39"/>
        <v>-</v>
      </c>
      <c r="CG15" s="274" t="str">
        <f t="shared" si="40"/>
        <v>xxoooxxooxo</v>
      </c>
      <c r="CH15" s="276" t="str">
        <f>IFERROR(__xludf.DUMMYFUNCTION("IF(BI15=""oooooooooooo"",""-"",IF(REGEXMATCH(BJ15,""xx""), ""Hemi."", ""Anhemi.""))"),"Hemi.")</f>
        <v>Hemi.</v>
      </c>
      <c r="CI15" s="282" t="str">
        <f>IFERROR(__xludf.DUMMYFUNCTION("IF(BI15=""oooooooooooo"",""-"",IF(REGEXMATCH(BJ15,""xxx""), ""Cohem."", ""-""))"),"-")</f>
        <v>-</v>
      </c>
      <c r="CJ15" s="282" t="str">
        <f>IFERROR(__xludf.DUMMYFUNCTION("IF(BI15=""oooooooooooo"",""-"",IF(REGEXMATCH(BJ15,""xxxx""), ""Co-Co."", ""-""))"),"-")</f>
        <v>-</v>
      </c>
      <c r="CK15" s="342" t="str">
        <f>IFERROR(__xludf.DUMMYFUNCTION("IF(BI15=""oooooooooooo"",""-"",IF(REGEXMATCH(BJ15,""xxxxx""), ""CCC."", ""-""))"),"-")</f>
        <v>-</v>
      </c>
      <c r="CL15" s="344" t="str">
        <f t="shared" si="41"/>
        <v>-</v>
      </c>
      <c r="CM15" s="282" t="str">
        <f>IFERROR(__xludf.DUMMYFUNCTION("IF(REGEXMATCH(JOIN(""-"",CO15:CX15),""TRUE""),""✔"",""-"")"),"✔")</f>
        <v>✔</v>
      </c>
      <c r="CN15" s="225">
        <f t="shared" si="42"/>
        <v>1</v>
      </c>
      <c r="CO15" s="376" t="b">
        <f>IFERROR(__xludf.DUMMYFUNCTION("arrayformula(sum(--REGEXMATCH(""SRGMPDNS"",split(REGEXREPLACE(N15,""(.)"",""$1~""),""~""))))=len(N15)
"),FALSE)</f>
        <v>0</v>
      </c>
      <c r="CP15" s="290" t="b">
        <f>IFERROR(__xludf.DUMMYFUNCTION("arrayformula(sum(--REGEXMATCH(""SRGmPDNS"",split(REGEXREPLACE(N15,""(.)"",""$1~""),""~""))))=len(N15)"),FALSE)</f>
        <v>0</v>
      </c>
      <c r="CQ15" s="290" t="b">
        <f>IFERROR(__xludf.DUMMYFUNCTION("arrayformula(sum(--REGEXMATCH(""SRGmPDnS"",split(REGEXREPLACE(N15,""(.)"",""$1~""),""~""))))=len(N15)"),FALSE)</f>
        <v>0</v>
      </c>
      <c r="CR15" s="290" t="b">
        <f>IFERROR(__xludf.DUMMYFUNCTION("arrayformula(sum(--REGEXMATCH(""SRgmPDnS"",split(REGEXREPLACE(N15,""(.)"",""$1~""),""~""))))=len(N15)"),FALSE)</f>
        <v>0</v>
      </c>
      <c r="CS15" s="290" t="b">
        <f>IFERROR(__xludf.DUMMYFUNCTION("arrayformula(sum(--REGEXMATCH(""SRgmPdnS"",split(REGEXREPLACE(N15,""(.)"",""$1~""),""~""))))=len(N15)"),FALSE)</f>
        <v>0</v>
      </c>
      <c r="CT15" s="290" t="b">
        <f>IFERROR(__xludf.DUMMYFUNCTION("arrayformula(sum(--REGEXMATCH(""SrgmPdnS"",split(REGEXREPLACE(N15,""(.)"",""$1~""),""~""))))=len(N15)"),FALSE)</f>
        <v>0</v>
      </c>
      <c r="CU15" s="290" t="b">
        <f>IFERROR(__xludf.DUMMYFUNCTION("arrayformula(sum(--REGEXMATCH(""SrGmPdNS"",split(REGEXREPLACE(N15,""(.)"",""$1~""),""~""))))=len(N15)"),TRUE)</f>
        <v>1</v>
      </c>
      <c r="CV15" s="290" t="b">
        <f>IFERROR(__xludf.DUMMYFUNCTION("arrayformula(sum(--REGEXMATCH(""SrGMPDNS"",split(REGEXREPLACE(N15,""(.)"",""$1~""),""~""))))=len(N15)"),FALSE)</f>
        <v>0</v>
      </c>
      <c r="CW15" s="290" t="b">
        <f>IFERROR(__xludf.DUMMYFUNCTION("arrayformula(sum(--REGEXMATCH(""SrGMPdNS"",split(REGEXREPLACE(N15,""(.)"",""$1~""),""~""))))=len(N15)"),FALSE)</f>
        <v>0</v>
      </c>
      <c r="CX15" s="293" t="b">
        <f>IFERROR(__xludf.DUMMYFUNCTION("arrayformula(sum(--REGEXMATCH(""SrgMPdNS"",split(REGEXREPLACE(N15,""(.)"",""$1~""),""~""))))=len(N15)"),FALSE)</f>
        <v>0</v>
      </c>
      <c r="CY15" s="244" t="str">
        <f>IFERROR(__xludf.DUMMYFUNCTION("IF(REGEXMATCH(N15, ""S""), ""1"","""")"),"1")</f>
        <v>1</v>
      </c>
      <c r="CZ15" s="245" t="str">
        <f>IFERROR(__xludf.DUMMYFUNCTION("IF(REGEXMATCH(N15, ""r""), ""b2"","""")"),"")</f>
        <v/>
      </c>
      <c r="DA15" s="246" t="str">
        <f>IFERROR(__xludf.DUMMYFUNCTION("IF(REGEXMATCH(N15, ""R""), ""2"","""")"),"")</f>
        <v/>
      </c>
      <c r="DB15" s="246" t="str">
        <f>IFERROR(__xludf.DUMMYFUNCTION("IF(REGEXMATCH(N15, ""g""), ""b3"","""")"),"")</f>
        <v/>
      </c>
      <c r="DC15" s="245" t="str">
        <f>IFERROR(__xludf.DUMMYFUNCTION("IF(REGEXMATCH(N15, ""G""), ""3"","""")"),"3")</f>
        <v>3</v>
      </c>
      <c r="DD15" s="245" t="str">
        <f>IFERROR(__xludf.DUMMYFUNCTION("IF(REGEXMATCH(N15, ""m""), ""4"","""")"),"4")</f>
        <v>4</v>
      </c>
      <c r="DE15" s="246" t="str">
        <f>IFERROR(__xludf.DUMMYFUNCTION("IF(REGEXMATCH(N15, ""M""), ""#4"","""")"),"")</f>
        <v/>
      </c>
      <c r="DF15" s="245" t="str">
        <f>IFERROR(__xludf.DUMMYFUNCTION("IF(REGEXMATCH(N15, ""P""), ""5"","""")"),"")</f>
        <v/>
      </c>
      <c r="DG15" s="246" t="str">
        <f>IFERROR(__xludf.DUMMYFUNCTION("IF(REGEXMATCH(N15, ""d""), ""b6"","""")"),"b6")</f>
        <v>b6</v>
      </c>
      <c r="DH15" s="245" t="str">
        <f>IFERROR(__xludf.DUMMYFUNCTION("IF(REGEXMATCH(N15, ""D""), ""6"","""")"),"")</f>
        <v/>
      </c>
      <c r="DI15" s="245" t="str">
        <f>IFERROR(__xludf.DUMMYFUNCTION("IF(REGEXMATCH(N15, ""n""), ""b7"","""")"),"")</f>
        <v/>
      </c>
      <c r="DJ15" s="246" t="str">
        <f>IFERROR(__xludf.DUMMYFUNCTION("IF(REGEXMATCH(N15, ""N""), ""7"","""")"),"7")</f>
        <v>7</v>
      </c>
      <c r="DK15" s="249" t="str">
        <f>IFERROR(__xludf.DUMMYFUNCTION("IF(REGEXMATCH(N15, ""S""), ""8"","""")"),"8")</f>
        <v>8</v>
      </c>
      <c r="DL15" s="244" t="str">
        <f>IFERROR(__xludf.DUMMYFUNCTION("IF(REGEXMATCH(N15, ""S""), ""S"","""")"),"S")</f>
        <v>S</v>
      </c>
      <c r="DM15" s="294" t="str">
        <f>IFERROR(__xludf.DUMMYFUNCTION("IF(REGEXMATCH(N15, ""r""), ""R1"","""")"),"")</f>
        <v/>
      </c>
      <c r="DN15" s="295" t="str">
        <f>IFERROR(__xludf.DUMMYFUNCTION("IF(REGEXMATCH(N15, ""R""), ""R2"","""")"),"")</f>
        <v/>
      </c>
      <c r="DO15" s="295" t="str">
        <f>IFERROR(__xludf.DUMMYFUNCTION("IF(REGEXMATCH(N15, ""g""), ""G2"","""")"),"")</f>
        <v/>
      </c>
      <c r="DP15" s="294" t="str">
        <f>IFERROR(__xludf.DUMMYFUNCTION("IF(REGEXMATCH(N15, ""G""), ""G3"","""")"),"G3")</f>
        <v>G3</v>
      </c>
      <c r="DQ15" s="294" t="str">
        <f>IFERROR(__xludf.DUMMYFUNCTION("IF(REGEXMATCH(N15, ""m""), ""M1"","""")"),"M1")</f>
        <v>M1</v>
      </c>
      <c r="DR15" s="295" t="str">
        <f>IFERROR(__xludf.DUMMYFUNCTION("IF(REGEXMATCH(N15, ""M""), ""M2"","""")"),"")</f>
        <v/>
      </c>
      <c r="DS15" s="294" t="str">
        <f>IFERROR(__xludf.DUMMYFUNCTION("IF(REGEXMATCH(N15, ""P""), ""P"","""")"),"")</f>
        <v/>
      </c>
      <c r="DT15" s="295" t="str">
        <f>IFERROR(__xludf.DUMMYFUNCTION("IF(REGEXMATCH(N15, ""d""), ""D1"","""")"),"D1")</f>
        <v>D1</v>
      </c>
      <c r="DU15" s="294" t="str">
        <f>IFERROR(__xludf.DUMMYFUNCTION("IF(REGEXMATCH(N15, ""D""), ""D2"","""")"),"")</f>
        <v/>
      </c>
      <c r="DV15" s="294" t="str">
        <f>IFERROR(__xludf.DUMMYFUNCTION("IF(REGEXMATCH(N15, ""n""), ""N2"","""")"),"")</f>
        <v/>
      </c>
      <c r="DW15" s="295" t="str">
        <f>IFERROR(__xludf.DUMMYFUNCTION("IF(REGEXMATCH(N15, ""N""), ""N3"","""")"),"N3")</f>
        <v>N3</v>
      </c>
      <c r="DX15" s="249" t="str">
        <f>IFERROR(__xludf.DUMMYFUNCTION("IF(REGEXMATCH(N15, ""S""), ""S"","""")"),"S")</f>
        <v>S</v>
      </c>
      <c r="DY15" s="299" t="str">
        <f>IFERROR(__xludf.DUMMYFUNCTION("SUBSTITUTE(SUBSTITUTE(SUBSTITUTE(SUBSTITUTE(CONCATENATE(JOIN(""-"",CY15:DK15)),""--"",""-""),""--"",""-""),""--"",""-""),""--"",""-"")"),"1-3-4-b6-7-8")</f>
        <v>1-3-4-b6-7-8</v>
      </c>
      <c r="DZ15" s="299" t="str">
        <f>IFERROR(__xludf.DUMMYFUNCTION("SUBSTITUTE(SUBSTITUTE(SUBSTITUTE(SUBSTITUTE(CONCATENATE(JOIN(""-"",DL15:DX15)),""--"",""-""),""--"",""-""),""--"",""-""),""--"",""-"")"),"S-G3-M1-D1-N3-S")</f>
        <v>S-G3-M1-D1-N3-S</v>
      </c>
      <c r="EA15" s="348" t="str">
        <f t="shared" si="43"/>
        <v>C-E-F-Ab-B-C</v>
      </c>
      <c r="EB15" s="301">
        <f t="shared" si="44"/>
        <v>5</v>
      </c>
      <c r="EC15" s="302" t="str">
        <f t="shared" si="45"/>
        <v>Audav</v>
      </c>
      <c r="ED15" s="301" t="str">
        <f t="shared" ref="ED15:EE15" si="181">SUBSTITUTE(AD15,"-","")</f>
        <v>SGM</v>
      </c>
      <c r="EE15" s="301" t="str">
        <f t="shared" si="181"/>
        <v>DNS</v>
      </c>
      <c r="EF15" s="302" t="str">
        <f t="shared" si="47"/>
        <v>(n/a)</v>
      </c>
      <c r="EG15" s="301" t="str">
        <f t="shared" si="48"/>
        <v>Hemi.</v>
      </c>
      <c r="EH15" s="364" t="str">
        <f t="shared" si="49"/>
        <v>-</v>
      </c>
      <c r="EI15" s="306" t="str">
        <f t="shared" si="50"/>
        <v>-</v>
      </c>
      <c r="EJ15" s="366" t="str">
        <f t="shared" si="51"/>
        <v>✔</v>
      </c>
      <c r="EK15" s="308" t="str">
        <f t="shared" si="52"/>
        <v>-</v>
      </c>
      <c r="EL15" s="306" t="str">
        <f t="shared" si="53"/>
        <v>-</v>
      </c>
      <c r="EM15" s="306" t="str">
        <f t="shared" si="54"/>
        <v>-</v>
      </c>
      <c r="EN15" s="367" t="str">
        <f t="shared" si="55"/>
        <v>-</v>
      </c>
      <c r="EO15" s="310" t="str">
        <f t="shared" si="56"/>
        <v>-</v>
      </c>
      <c r="EP15" s="310" t="str">
        <f t="shared" si="57"/>
        <v>-</v>
      </c>
      <c r="EQ15" s="310" t="str">
        <f t="shared" si="58"/>
        <v>-</v>
      </c>
      <c r="ER15" s="310" t="str">
        <f t="shared" si="59"/>
        <v>-</v>
      </c>
      <c r="ES15" s="370" t="str">
        <f t="shared" si="60"/>
        <v>-</v>
      </c>
      <c r="ET15" s="306" t="str">
        <f t="shared" si="61"/>
        <v>✔</v>
      </c>
      <c r="EU15" s="306" t="str">
        <f t="shared" si="62"/>
        <v>-</v>
      </c>
      <c r="EV15" s="306" t="str">
        <f t="shared" si="63"/>
        <v>-</v>
      </c>
      <c r="EW15" s="306" t="str">
        <f t="shared" si="64"/>
        <v>✔</v>
      </c>
      <c r="EX15" s="306" t="str">
        <f t="shared" si="65"/>
        <v>-</v>
      </c>
      <c r="EY15" s="367" t="str">
        <f t="shared" si="66"/>
        <v>-</v>
      </c>
      <c r="EZ15" s="310" t="str">
        <f>IFERROR(__xludf.DUMMYFUNCTION("IF(REGEXMATCH(BM15,BI15),""✔"",""-"")"),"✔")</f>
        <v>✔</v>
      </c>
      <c r="FA15" s="310" t="str">
        <f t="shared" si="67"/>
        <v>-</v>
      </c>
      <c r="FB15" s="370" t="str">
        <f t="shared" si="68"/>
        <v>-</v>
      </c>
      <c r="FC15" s="415">
        <f t="shared" si="69"/>
        <v>1</v>
      </c>
      <c r="FD15" s="317" t="str">
        <f t="shared" si="70"/>
        <v>S-G-m-d-N-S</v>
      </c>
      <c r="FE15" s="318" t="str">
        <f>IFERROR(__xludf.DUMMYFUNCTION("CONCATENATE(JOIN("""",GJ15:GV15))"),"SrGPdS")</f>
        <v>SrGPdS</v>
      </c>
      <c r="FF15" s="318"/>
      <c r="FG15" s="318"/>
      <c r="FH15" s="321">
        <f t="shared" si="71"/>
        <v>3</v>
      </c>
      <c r="FI15" s="318" t="str">
        <f>IFERROR(__xludf.DUMMYFUNCTION("CONCATENATE(JOIN("""",HW15:II15))"),"Sa, dha, Ni, ")</f>
        <v>Sa, dha, Ni, </v>
      </c>
      <c r="FJ15" s="322">
        <f t="shared" si="72"/>
        <v>1</v>
      </c>
      <c r="FK15" s="324" t="str">
        <f>IFERROR(__xludf.DUMMYFUNCTION("CONCATENATE(JOIN("""",IW15:JI15))"),"dha, ")</f>
        <v>dha, </v>
      </c>
      <c r="FL15" s="325" t="str">
        <f t="shared" si="73"/>
        <v>S-G3-M1-D1-N3-S</v>
      </c>
      <c r="FM15" s="326" t="str">
        <f t="shared" si="74"/>
        <v>1-3-4-b6-7-8</v>
      </c>
      <c r="FN15" s="326" t="str">
        <f t="shared" si="75"/>
        <v>0-4-5-8-11-0</v>
      </c>
      <c r="FO15" s="318"/>
      <c r="FP15" s="328" t="str">
        <f>IFERROR(__xludf.DUMMYFUNCTION("SUBSTITUTE(SUBSTITUTE(SUBSTITUTE(SUBSTITUTE(CONCATENATE(JOIN("" "",FS15:GE15)),""  "","" ""),""  "","" ""),""  "","" ""),""  "","" "")"),"o • • • o o • • o • • o o")</f>
        <v>o • • • o o • • o • • o o</v>
      </c>
      <c r="FQ15" s="328" t="str">
        <f t="shared" si="76"/>
        <v>Sa-ma</v>
      </c>
      <c r="FR15" s="329"/>
      <c r="FS15" s="331" t="str">
        <f t="shared" si="77"/>
        <v>o</v>
      </c>
      <c r="FT15" s="332" t="str">
        <f t="shared" si="78"/>
        <v>•</v>
      </c>
      <c r="FU15" s="332" t="str">
        <f t="shared" si="79"/>
        <v>•</v>
      </c>
      <c r="FV15" s="332" t="str">
        <f t="shared" si="80"/>
        <v>•</v>
      </c>
      <c r="FW15" s="332" t="str">
        <f t="shared" si="81"/>
        <v>o</v>
      </c>
      <c r="FX15" s="332" t="str">
        <f t="shared" si="82"/>
        <v>o</v>
      </c>
      <c r="FY15" s="332" t="str">
        <f t="shared" si="83"/>
        <v>•</v>
      </c>
      <c r="FZ15" s="332" t="str">
        <f t="shared" si="84"/>
        <v>•</v>
      </c>
      <c r="GA15" s="332" t="str">
        <f t="shared" si="85"/>
        <v>o</v>
      </c>
      <c r="GB15" s="332" t="str">
        <f t="shared" si="86"/>
        <v>•</v>
      </c>
      <c r="GC15" s="332" t="str">
        <f t="shared" si="87"/>
        <v>•</v>
      </c>
      <c r="GD15" s="332" t="str">
        <f t="shared" si="88"/>
        <v>o</v>
      </c>
      <c r="GE15" s="338" t="str">
        <f t="shared" si="89"/>
        <v>o</v>
      </c>
      <c r="GF15" s="339" t="str">
        <f t="shared" si="90"/>
        <v>-</v>
      </c>
      <c r="GG15" s="339" t="str">
        <f t="shared" si="91"/>
        <v>-</v>
      </c>
      <c r="GH15" s="339" t="str">
        <f t="shared" si="92"/>
        <v>-</v>
      </c>
      <c r="GI15" s="340" t="str">
        <f t="shared" si="93"/>
        <v>Sa-ma</v>
      </c>
      <c r="GJ15" s="331" t="str">
        <f t="shared" si="94"/>
        <v>S</v>
      </c>
      <c r="GK15" s="332" t="str">
        <f t="shared" si="95"/>
        <v>r</v>
      </c>
      <c r="GL15" s="332" t="str">
        <f t="shared" si="96"/>
        <v/>
      </c>
      <c r="GM15" s="332" t="str">
        <f t="shared" si="97"/>
        <v/>
      </c>
      <c r="GN15" s="332" t="str">
        <f t="shared" si="98"/>
        <v>G</v>
      </c>
      <c r="GO15" s="332" t="str">
        <f t="shared" si="99"/>
        <v/>
      </c>
      <c r="GP15" s="332" t="str">
        <f t="shared" si="100"/>
        <v/>
      </c>
      <c r="GQ15" s="332" t="str">
        <f t="shared" si="101"/>
        <v>P</v>
      </c>
      <c r="GR15" s="332" t="str">
        <f t="shared" si="102"/>
        <v>d</v>
      </c>
      <c r="GS15" s="332" t="str">
        <f t="shared" si="103"/>
        <v/>
      </c>
      <c r="GT15" s="332" t="str">
        <f t="shared" si="104"/>
        <v/>
      </c>
      <c r="GU15" s="332" t="str">
        <f t="shared" si="105"/>
        <v/>
      </c>
      <c r="GV15" s="343" t="str">
        <f t="shared" si="106"/>
        <v>S</v>
      </c>
      <c r="GW15" s="331" t="str">
        <f t="shared" si="107"/>
        <v>•</v>
      </c>
      <c r="GX15" s="332" t="str">
        <f t="shared" si="108"/>
        <v>o</v>
      </c>
      <c r="GY15" s="332" t="str">
        <f t="shared" si="109"/>
        <v>o</v>
      </c>
      <c r="GZ15" s="332" t="str">
        <f t="shared" si="110"/>
        <v>o</v>
      </c>
      <c r="HA15" s="332" t="str">
        <f t="shared" si="111"/>
        <v>•</v>
      </c>
      <c r="HB15" s="332" t="str">
        <f t="shared" si="112"/>
        <v>•</v>
      </c>
      <c r="HC15" s="332" t="str">
        <f t="shared" si="113"/>
        <v>o</v>
      </c>
      <c r="HD15" s="332" t="str">
        <f t="shared" si="114"/>
        <v>o</v>
      </c>
      <c r="HE15" s="332" t="str">
        <f t="shared" si="115"/>
        <v>•</v>
      </c>
      <c r="HF15" s="332" t="str">
        <f t="shared" si="116"/>
        <v>o</v>
      </c>
      <c r="HG15" s="332" t="str">
        <f t="shared" si="117"/>
        <v>o</v>
      </c>
      <c r="HH15" s="332" t="str">
        <f t="shared" si="118"/>
        <v>•</v>
      </c>
      <c r="HI15" s="338" t="str">
        <f t="shared" si="119"/>
        <v>•</v>
      </c>
      <c r="HJ15" s="346" t="b">
        <f t="shared" si="120"/>
        <v>1</v>
      </c>
      <c r="HK15" s="347" t="b">
        <f t="shared" si="121"/>
        <v>0</v>
      </c>
      <c r="HL15" s="347" t="b">
        <f t="shared" si="122"/>
        <v>0</v>
      </c>
      <c r="HM15" s="347" t="b">
        <f t="shared" si="123"/>
        <v>0</v>
      </c>
      <c r="HN15" s="347" t="b">
        <f t="shared" si="124"/>
        <v>0</v>
      </c>
      <c r="HO15" s="347" t="b">
        <f t="shared" si="125"/>
        <v>0</v>
      </c>
      <c r="HP15" s="347" t="b">
        <f t="shared" si="126"/>
        <v>0</v>
      </c>
      <c r="HQ15" s="347" t="b">
        <f t="shared" si="127"/>
        <v>0</v>
      </c>
      <c r="HR15" s="347" t="b">
        <f t="shared" si="128"/>
        <v>1</v>
      </c>
      <c r="HS15" s="347" t="b">
        <f t="shared" si="129"/>
        <v>0</v>
      </c>
      <c r="HT15" s="347" t="b">
        <f t="shared" si="130"/>
        <v>0</v>
      </c>
      <c r="HU15" s="347" t="b">
        <f t="shared" si="131"/>
        <v>1</v>
      </c>
      <c r="HV15" s="353" t="b">
        <f t="shared" si="132"/>
        <v>1</v>
      </c>
      <c r="HW15" s="354" t="str">
        <f t="shared" si="133"/>
        <v>Sa, </v>
      </c>
      <c r="HX15" s="355" t="str">
        <f t="shared" si="134"/>
        <v/>
      </c>
      <c r="HY15" s="355" t="str">
        <f t="shared" si="135"/>
        <v/>
      </c>
      <c r="HZ15" s="355" t="str">
        <f t="shared" si="136"/>
        <v/>
      </c>
      <c r="IA15" s="355" t="str">
        <f t="shared" si="137"/>
        <v/>
      </c>
      <c r="IB15" s="355" t="str">
        <f t="shared" si="138"/>
        <v/>
      </c>
      <c r="IC15" s="355" t="str">
        <f t="shared" si="139"/>
        <v/>
      </c>
      <c r="ID15" s="355" t="str">
        <f t="shared" si="140"/>
        <v/>
      </c>
      <c r="IE15" s="355" t="str">
        <f t="shared" si="141"/>
        <v>dha, </v>
      </c>
      <c r="IF15" s="355" t="str">
        <f t="shared" si="142"/>
        <v/>
      </c>
      <c r="IG15" s="355" t="str">
        <f t="shared" si="143"/>
        <v/>
      </c>
      <c r="IH15" s="355" t="str">
        <f t="shared" si="144"/>
        <v>Ni, </v>
      </c>
      <c r="II15" s="359" t="str">
        <f t="shared" si="145"/>
        <v/>
      </c>
      <c r="IJ15" s="346" t="b">
        <f t="shared" si="146"/>
        <v>0</v>
      </c>
      <c r="IK15" s="347" t="b">
        <f t="shared" si="147"/>
        <v>0</v>
      </c>
      <c r="IL15" s="347" t="b">
        <f t="shared" si="148"/>
        <v>0</v>
      </c>
      <c r="IM15" s="347" t="b">
        <f t="shared" si="149"/>
        <v>0</v>
      </c>
      <c r="IN15" s="347" t="b">
        <f t="shared" si="150"/>
        <v>0</v>
      </c>
      <c r="IO15" s="347" t="b">
        <f t="shared" si="151"/>
        <v>0</v>
      </c>
      <c r="IP15" s="347" t="b">
        <f t="shared" si="152"/>
        <v>0</v>
      </c>
      <c r="IQ15" s="347" t="b">
        <f t="shared" si="153"/>
        <v>0</v>
      </c>
      <c r="IR15" s="347" t="b">
        <f t="shared" si="154"/>
        <v>1</v>
      </c>
      <c r="IS15" s="347" t="b">
        <f t="shared" si="155"/>
        <v>0</v>
      </c>
      <c r="IT15" s="347" t="b">
        <f t="shared" si="156"/>
        <v>0</v>
      </c>
      <c r="IU15" s="347" t="b">
        <f t="shared" si="157"/>
        <v>0</v>
      </c>
      <c r="IV15" s="365" t="b">
        <f t="shared" si="158"/>
        <v>0</v>
      </c>
      <c r="IW15" s="354" t="str">
        <f t="shared" si="159"/>
        <v/>
      </c>
      <c r="IX15" s="355" t="str">
        <f t="shared" si="160"/>
        <v/>
      </c>
      <c r="IY15" s="355" t="str">
        <f t="shared" si="161"/>
        <v/>
      </c>
      <c r="IZ15" s="355" t="str">
        <f t="shared" si="162"/>
        <v/>
      </c>
      <c r="JA15" s="355" t="str">
        <f t="shared" si="163"/>
        <v/>
      </c>
      <c r="JB15" s="355" t="str">
        <f t="shared" si="164"/>
        <v/>
      </c>
      <c r="JC15" s="355" t="str">
        <f t="shared" si="165"/>
        <v/>
      </c>
      <c r="JD15" s="355" t="str">
        <f t="shared" si="166"/>
        <v/>
      </c>
      <c r="JE15" s="355" t="str">
        <f t="shared" si="167"/>
        <v>dha, </v>
      </c>
      <c r="JF15" s="355" t="str">
        <f t="shared" si="168"/>
        <v/>
      </c>
      <c r="JG15" s="355" t="str">
        <f t="shared" si="169"/>
        <v/>
      </c>
      <c r="JH15" s="355" t="str">
        <f t="shared" si="170"/>
        <v/>
      </c>
      <c r="JI15" s="359"/>
      <c r="JJ15" s="321"/>
      <c r="JK15" s="368"/>
      <c r="JL15" s="369"/>
      <c r="JM15" s="369"/>
      <c r="JN15" s="369"/>
      <c r="JO15" s="369"/>
      <c r="JP15" s="369"/>
      <c r="JQ15" s="369"/>
      <c r="JR15" s="369"/>
      <c r="JS15" s="369"/>
      <c r="JT15" s="369"/>
      <c r="JU15" s="369"/>
    </row>
    <row r="16" ht="20.25" customHeight="1">
      <c r="A16" s="221" t="s">
        <v>1257</v>
      </c>
      <c r="B16" s="223" t="s">
        <v>1258</v>
      </c>
      <c r="C16" s="222" t="s">
        <v>275</v>
      </c>
      <c r="D16" s="222"/>
      <c r="E16" s="222"/>
      <c r="F16" s="222" t="s">
        <v>275</v>
      </c>
      <c r="G16" s="395" t="s">
        <v>275</v>
      </c>
      <c r="H16" s="222">
        <v>14.0</v>
      </c>
      <c r="I16" s="224" t="s">
        <v>1219</v>
      </c>
      <c r="J16" s="414">
        <f t="shared" si="5"/>
        <v>2</v>
      </c>
      <c r="K16" s="227">
        <f t="shared" si="6"/>
        <v>6</v>
      </c>
      <c r="L16" s="229">
        <f t="shared" si="7"/>
        <v>6</v>
      </c>
      <c r="M16" s="230">
        <f t="shared" si="8"/>
        <v>0</v>
      </c>
      <c r="N16" s="233" t="str">
        <f t="shared" si="9"/>
        <v>SRgmdNS</v>
      </c>
      <c r="O16" s="234" t="str">
        <f>IFERROR(__xludf.DUMMYFUNCTION("IF(REGEXMATCH(N16, ""S""), ""S"","""")"),"S")</f>
        <v>S</v>
      </c>
      <c r="P16" s="236" t="str">
        <f>IFERROR(__xludf.DUMMYFUNCTION("IF(REGEXMATCH(N16, ""r""), ""r"","""")"),"")</f>
        <v/>
      </c>
      <c r="Q16" s="237" t="str">
        <f>IFERROR(__xludf.DUMMYFUNCTION("IF(REGEXMATCH(N16, ""R""), ""R"","""")"),"R")</f>
        <v>R</v>
      </c>
      <c r="R16" s="237" t="str">
        <f>IFERROR(__xludf.DUMMYFUNCTION("IF(REGEXMATCH(N16, ""g""), ""g"","""")"),"g")</f>
        <v>g</v>
      </c>
      <c r="S16" s="236" t="str">
        <f>IFERROR(__xludf.DUMMYFUNCTION("IF(REGEXMATCH(N16, ""G""), ""G"","""")"),"")</f>
        <v/>
      </c>
      <c r="T16" s="236" t="str">
        <f>IFERROR(__xludf.DUMMYFUNCTION("IF(REGEXMATCH(N16, ""m""), ""m"","""")"),"m")</f>
        <v>m</v>
      </c>
      <c r="U16" s="237" t="str">
        <f>IFERROR(__xludf.DUMMYFUNCTION("IF(REGEXMATCH(N16, ""M""), ""M"","""")"),"")</f>
        <v/>
      </c>
      <c r="V16" s="236" t="str">
        <f>IFERROR(__xludf.DUMMYFUNCTION("IF(REGEXMATCH(N16, ""P""), ""P"","""")"),"")</f>
        <v/>
      </c>
      <c r="W16" s="237" t="str">
        <f>IFERROR(__xludf.DUMMYFUNCTION("IF(REGEXMATCH(N16, ""d""), ""d"","""")"),"d")</f>
        <v>d</v>
      </c>
      <c r="X16" s="236" t="str">
        <f>IFERROR(__xludf.DUMMYFUNCTION("IF(REGEXMATCH(N16, ""D""), ""D"","""")"),"")</f>
        <v/>
      </c>
      <c r="Y16" s="236" t="str">
        <f>IFERROR(__xludf.DUMMYFUNCTION("IF(REGEXMATCH(N16, ""n""), ""n"","""")"),"")</f>
        <v/>
      </c>
      <c r="Z16" s="237" t="str">
        <f>IFERROR(__xludf.DUMMYFUNCTION("IF(REGEXMATCH(N16, ""N""), ""N"","""")"),"N")</f>
        <v>N</v>
      </c>
      <c r="AA16" s="238" t="str">
        <f>IFERROR(__xludf.DUMMYFUNCTION("IF(REGEXMATCH(N16, ""S""), ""S"","""")"),"S")</f>
        <v>S</v>
      </c>
      <c r="AB16" s="239" t="str">
        <f>IFERROR(__xludf.DUMMYFUNCTION("SUBSTITUTE(CONCATENATE(JOIN(""-"",O16:U16)),""-"","""")"),"SRgm")</f>
        <v>SRgm</v>
      </c>
      <c r="AC16" s="229" t="str">
        <f>IFERROR(__xludf.DUMMYFUNCTION("SUBSTITUTE(CONCATENATE(JOIN(""-"",V16:AA16)),""-"","""")"),"dNS")</f>
        <v>dNS</v>
      </c>
      <c r="AD16" s="282" t="str">
        <f t="shared" si="10"/>
        <v>S-R-G-M</v>
      </c>
      <c r="AE16" s="282" t="str">
        <f t="shared" si="11"/>
        <v>D-N-S</v>
      </c>
      <c r="AF16" s="309" t="str">
        <f t="shared" si="12"/>
        <v>RgmdN</v>
      </c>
      <c r="AG16" s="244" t="str">
        <f>IFERROR(__xludf.DUMMYFUNCTION("IF(REGEXMATCH(N16, ""S""), ""0"","""")"),"0")</f>
        <v>0</v>
      </c>
      <c r="AH16" s="245" t="str">
        <f>IFERROR(__xludf.DUMMYFUNCTION("IF(REGEXMATCH(N16, ""r""), ""1"","""")"),"")</f>
        <v/>
      </c>
      <c r="AI16" s="246" t="str">
        <f>IFERROR(__xludf.DUMMYFUNCTION("IF(REGEXMATCH(N16, ""R""), ""2"","""")"),"2")</f>
        <v>2</v>
      </c>
      <c r="AJ16" s="246" t="str">
        <f>IFERROR(__xludf.DUMMYFUNCTION("IF(REGEXMATCH(N16, ""g""), ""3"","""")"),"3")</f>
        <v>3</v>
      </c>
      <c r="AK16" s="245" t="str">
        <f>IFERROR(__xludf.DUMMYFUNCTION("IF(REGEXMATCH(N16, ""G""), ""4"","""")"),"")</f>
        <v/>
      </c>
      <c r="AL16" s="245" t="str">
        <f>IFERROR(__xludf.DUMMYFUNCTION("IF(REGEXMATCH(N16, ""m""), ""5"","""")"),"5")</f>
        <v>5</v>
      </c>
      <c r="AM16" s="246" t="str">
        <f>IFERROR(__xludf.DUMMYFUNCTION("IF(REGEXMATCH(N16, ""M""), ""6"","""")"),"")</f>
        <v/>
      </c>
      <c r="AN16" s="245" t="str">
        <f>IFERROR(__xludf.DUMMYFUNCTION("IF(REGEXMATCH(N16, ""P""), ""7"","""")"),"")</f>
        <v/>
      </c>
      <c r="AO16" s="246" t="str">
        <f>IFERROR(__xludf.DUMMYFUNCTION("IF(REGEXMATCH(N16, ""d""), ""8"","""")"),"8")</f>
        <v>8</v>
      </c>
      <c r="AP16" s="245" t="str">
        <f>IFERROR(__xludf.DUMMYFUNCTION("IF(REGEXMATCH(N16, ""D""), ""9"","""")"),"")</f>
        <v/>
      </c>
      <c r="AQ16" s="245" t="str">
        <f>IFERROR(__xludf.DUMMYFUNCTION("IF(REGEXMATCH(N16, ""n""), ""10"","""")"),"")</f>
        <v/>
      </c>
      <c r="AR16" s="246" t="str">
        <f>IFERROR(__xludf.DUMMYFUNCTION("IF(REGEXMATCH(N16, ""N""), ""11"","""")"),"11")</f>
        <v>11</v>
      </c>
      <c r="AS16" s="249" t="str">
        <f>IFERROR(__xludf.DUMMYFUNCTION("IF(REGEXMATCH(N16, ""S""), ""0"","""")"),"0")</f>
        <v>0</v>
      </c>
      <c r="AT16" s="250" t="str">
        <f>IFERROR(__xludf.DUMMYFUNCTION("SUBSTITUTE(SUBSTITUTE(SUBSTITUTE(SUBSTITUTE(CONCATENATE(JOIN(""-"",AG16:AS16)),""--"",""-""),""--"",""-""),""--"",""-""),""--"",""-"")"),"0-2-3-5-8-11-0")</f>
        <v>0-2-3-5-8-11-0</v>
      </c>
      <c r="AU16" s="251">
        <f t="shared" si="13"/>
        <v>2</v>
      </c>
      <c r="AV16" s="234" t="str">
        <f t="shared" si="14"/>
        <v>|</v>
      </c>
      <c r="AW16" s="236" t="str">
        <f t="shared" si="15"/>
        <v>-</v>
      </c>
      <c r="AX16" s="237" t="str">
        <f t="shared" si="16"/>
        <v>|</v>
      </c>
      <c r="AY16" s="236" t="str">
        <f t="shared" si="17"/>
        <v>|</v>
      </c>
      <c r="AZ16" s="237" t="str">
        <f t="shared" si="18"/>
        <v>-</v>
      </c>
      <c r="BA16" s="236" t="str">
        <f t="shared" si="19"/>
        <v>|</v>
      </c>
      <c r="BB16" s="237" t="str">
        <f t="shared" si="20"/>
        <v>-</v>
      </c>
      <c r="BC16" s="236" t="str">
        <f t="shared" si="21"/>
        <v>-</v>
      </c>
      <c r="BD16" s="237" t="str">
        <f t="shared" si="22"/>
        <v>|</v>
      </c>
      <c r="BE16" s="236" t="str">
        <f t="shared" si="23"/>
        <v>-</v>
      </c>
      <c r="BF16" s="237" t="str">
        <f t="shared" si="24"/>
        <v>-</v>
      </c>
      <c r="BG16" s="236" t="str">
        <f t="shared" si="25"/>
        <v>|</v>
      </c>
      <c r="BH16" s="238" t="str">
        <f t="shared" si="26"/>
        <v>|</v>
      </c>
      <c r="BI16" s="250" t="str">
        <f>IFERROR(__xludf.DUMMYFUNCTION("SUBSTITUTE(SUBSTITUTE(CONCATENATE(JOIN("""",AV16:BG16)),""|"",""x""),""-"",""o"")"),"xoxxoxooxoox")</f>
        <v>xoxxoxooxoox</v>
      </c>
      <c r="BJ16" s="323" t="str">
        <f>IFERROR(__xludf.DUMMYFUNCTION("JOIN("""",BI16,BI16)"),"xoxxoxooxooxxoxxoxooxoox")</f>
        <v>xoxxoxooxooxxoxxoxooxoox</v>
      </c>
      <c r="BK16" s="256" t="str">
        <f>IFERROR(__xludf.DUMMYFUNCTION("JOIN("""",ArrayFormula(MID(BI16,LEN(BI16)-SEQUENCE(1,LEN(BI16))+1,1)))"),"xooxooxoxxox")</f>
        <v>xooxooxoxxox</v>
      </c>
      <c r="BL16" s="256" t="str">
        <f>IFERROR(__xludf.DUMMYFUNCTION("LEFT(CONCATENATE(""x"",JOIN("""",ArrayFormula(MID(BI16,LEN(BI16)-SEQUENCE(1,LEN(BI16))+1,1)))),12)"),"xxooxooxoxxo")</f>
        <v>xxooxooxoxxo</v>
      </c>
      <c r="BM16" s="327" t="str">
        <f>IFERROR(__xludf.DUMMYFUNCTION("JOIN("""",BK16,BK16)"),"xooxooxoxxoxxooxooxoxxox")</f>
        <v>xooxooxoxxoxxooxooxoxxox</v>
      </c>
      <c r="BN16" s="239" t="str">
        <f>IFERROR(__xludf.DUMMYFUNCTION("IF(REGEXMATCH(BM16,BI16),""✔"",""-"")"),"-")</f>
        <v>-</v>
      </c>
      <c r="BO16" s="330" t="str">
        <f t="shared" si="27"/>
        <v>-</v>
      </c>
      <c r="BP16" s="260" t="str">
        <f t="shared" si="28"/>
        <v>-</v>
      </c>
      <c r="BQ16" s="261" t="str">
        <f>IFERROR(__xludf.DUMMYFUNCTION("IF(BT16=0,""(n/a)"",IF(BU16=2,""(PAIR)"",IF(REGEXMATCH(BJ16,""xoxoxxoxoxox""),""Bilawal"",IF(REGEXMATCH(BJ16,""xoxoxooxoxoo""),""Bhupali"",IF(REGEXMATCH(BJ16,""xoxoxxoxxoxo""),""Charukeshi"",IF(REGEXMATCH(BJ16,""xoxoooxxoxxo""),""Kameshwari"",IF(REGEXMATC"&amp;"H(BJ16,""xoxoxooxoxox""),""Shankara"",IF(REGEXMATCH(BJ16,""xxooxoxxxoox""),""Basant"",IF(REGEXMATCH(BJ16,""xoxoxxxxoxox""),""Bihag"",IF(REGEXMATCH(BJ16,""xoxxxxoxoxxx""),""Pilu"",IF(REGEXMATCH(BJ16,""xoxxoxoxxoox""),""Kirwani"",IF(REGEXMATCH(BJ16,""xoxxox"&amp;"oxoxxx""),""Mk.Malhar"",IF(REGEXMATCH(BJ16,""xxooxxoxxoox""),""Bhairav"",IF(REGEXMATCH(BJ16,""xxoxooxxxoox""),""Todi"",IF(REGEXMATCH(BJ16,""xxooxoxooxox""),""Marwa"",IF(REGEXMATCH(BJ16,""xxoooxoxxooo""),""Gunkali"",IF(REGEXMATCH(BJ16,""xoxoxxoxxoox""),""N"&amp;"at Bhairav"",IF(REGEXMATCH(BJ16,""xoxxoooxoxoo""),""Shivranjani"",IF(REGEXMATCH(BJ16,""xooxxxoxooxo""),""Jog"",IF(REGEXMATCH(BJ16,""xxooxoxoxoox""),""Hemshri"",IF(REGEXMATCH(BJ16,""xoooxooxoxxo""),""Kalavati"",IF(REGEXMATCH(BJ16,""xxoxoxxoxoox""),""Kedar"&amp;""",IF(REGEXMATCH(BJ16,""xoxxxxoxooxx""),""Gara"",IF(REGEXMATCH(BJ16,""xooxoxooxoox""),""Chandrakauns"",IF(REGEXMATCH(BJ16,""xoxxxxoxxxox""),""Mand"",IF(REGEXMATCH(BJ16,""xoxxxxoxoxox""),""Hanskinkini"",IF(REGEXMATCH(BJ16,""xxooxxoxooxo""),""Lilavati"",IF("&amp;"REGEXMATCH(BJ16,""xooxoxoooxox""),""Rajeshwari"",IF(REGEXMATCH(BJ16,""xoooxxoxoxxx""),""Khokar"",IF(REGEXMATCH(BJ16,""xxooxoxxxxox""),""Maligoura"",""-""))))))))))))))))))))))))))))))"),"(n/a)")</f>
        <v>(n/a)</v>
      </c>
      <c r="BR16" s="239">
        <f t="shared" si="29"/>
        <v>5</v>
      </c>
      <c r="BS16" s="239">
        <f>IFERROR(__xludf.DUMMYFUNCTION("COUNTUNIQUE(BW16:CG16)-1"),5.0)</f>
        <v>5</v>
      </c>
      <c r="BT16" s="239">
        <f>IFERROR(__xludf.DUMMYFUNCTION("COUNTUNIQUE(FILTER(BJ:BJ,REGEXMATCH(BJ:BJ,BI16)))-1"),0.0)</f>
        <v>0</v>
      </c>
      <c r="BU16" s="239">
        <f>IFERROR(__xludf.DUMMYFUNCTION("COUNTA(FILTER(BJ:BJ,REGEXMATCH(BJ:BJ,BI16)))"),3.0)</f>
        <v>3</v>
      </c>
      <c r="BV16" s="341">
        <f>IFERROR(__xludf.DUMMYFUNCTION("COUNTA(FILTER(BJ:BJ,REGEXMATCH(BJ:BJ,BI16)))-AU16"),1.0)</f>
        <v>1</v>
      </c>
      <c r="BW16" s="269" t="str">
        <f t="shared" si="30"/>
        <v>-</v>
      </c>
      <c r="BX16" s="269" t="str">
        <f t="shared" si="31"/>
        <v>xxoxooxooxx</v>
      </c>
      <c r="BY16" s="271" t="str">
        <f t="shared" si="32"/>
        <v>xoxooxooxxo</v>
      </c>
      <c r="BZ16" s="269" t="str">
        <f t="shared" si="33"/>
        <v>-</v>
      </c>
      <c r="CA16" s="271" t="str">
        <f t="shared" si="34"/>
        <v>xooxooxxoxx</v>
      </c>
      <c r="CB16" s="271" t="str">
        <f t="shared" si="35"/>
        <v>-</v>
      </c>
      <c r="CC16" s="271" t="str">
        <f t="shared" si="36"/>
        <v>-</v>
      </c>
      <c r="CD16" s="271" t="str">
        <f t="shared" si="37"/>
        <v>xooxxoxxoxo</v>
      </c>
      <c r="CE16" s="271" t="str">
        <f t="shared" si="38"/>
        <v>-</v>
      </c>
      <c r="CF16" s="271" t="str">
        <f t="shared" si="39"/>
        <v>-</v>
      </c>
      <c r="CG16" s="274" t="str">
        <f t="shared" si="40"/>
        <v>xxoxxoxooxo</v>
      </c>
      <c r="CH16" s="276" t="str">
        <f>IFERROR(__xludf.DUMMYFUNCTION("IF(BI16=""oooooooooooo"",""-"",IF(REGEXMATCH(BJ16,""xx""), ""Hemi."", ""Anhemi.""))"),"Hemi.")</f>
        <v>Hemi.</v>
      </c>
      <c r="CI16" s="282" t="str">
        <f>IFERROR(__xludf.DUMMYFUNCTION("IF(BI16=""oooooooooooo"",""-"",IF(REGEXMATCH(BJ16,""xxx""), ""Cohem."", ""-""))"),"-")</f>
        <v>-</v>
      </c>
      <c r="CJ16" s="282" t="str">
        <f>IFERROR(__xludf.DUMMYFUNCTION("IF(BI16=""oooooooooooo"",""-"",IF(REGEXMATCH(BJ16,""xxxx""), ""Co-Co."", ""-""))"),"-")</f>
        <v>-</v>
      </c>
      <c r="CK16" s="342" t="str">
        <f>IFERROR(__xludf.DUMMYFUNCTION("IF(BI16=""oooooooooooo"",""-"",IF(REGEXMATCH(BJ16,""xxxxx""), ""CCC."", ""-""))"),"-")</f>
        <v>-</v>
      </c>
      <c r="CL16" s="344" t="str">
        <f t="shared" si="41"/>
        <v>-</v>
      </c>
      <c r="CM16" s="282" t="str">
        <f>IFERROR(__xludf.DUMMYFUNCTION("IF(REGEXMATCH(JOIN(""-"",CO16:CX16),""TRUE""),""✔"",""-"")"),"-")</f>
        <v>-</v>
      </c>
      <c r="CN16" s="225">
        <f t="shared" si="42"/>
        <v>0</v>
      </c>
      <c r="CO16" s="376" t="b">
        <f>IFERROR(__xludf.DUMMYFUNCTION("arrayformula(sum(--REGEXMATCH(""SRGMPDNS"",split(REGEXREPLACE(N16,""(.)"",""$1~""),""~""))))=len(N16)
"),FALSE)</f>
        <v>0</v>
      </c>
      <c r="CP16" s="290" t="b">
        <f>IFERROR(__xludf.DUMMYFUNCTION("arrayformula(sum(--REGEXMATCH(""SRGmPDNS"",split(REGEXREPLACE(N16,""(.)"",""$1~""),""~""))))=len(N16)"),FALSE)</f>
        <v>0</v>
      </c>
      <c r="CQ16" s="290" t="b">
        <f>IFERROR(__xludf.DUMMYFUNCTION("arrayformula(sum(--REGEXMATCH(""SRGmPDnS"",split(REGEXREPLACE(N16,""(.)"",""$1~""),""~""))))=len(N16)"),FALSE)</f>
        <v>0</v>
      </c>
      <c r="CR16" s="290" t="b">
        <f>IFERROR(__xludf.DUMMYFUNCTION("arrayformula(sum(--REGEXMATCH(""SRgmPDnS"",split(REGEXREPLACE(N16,""(.)"",""$1~""),""~""))))=len(N16)"),FALSE)</f>
        <v>0</v>
      </c>
      <c r="CS16" s="290" t="b">
        <f>IFERROR(__xludf.DUMMYFUNCTION("arrayformula(sum(--REGEXMATCH(""SRgmPdnS"",split(REGEXREPLACE(N16,""(.)"",""$1~""),""~""))))=len(N16)"),FALSE)</f>
        <v>0</v>
      </c>
      <c r="CT16" s="290" t="b">
        <f>IFERROR(__xludf.DUMMYFUNCTION("arrayformula(sum(--REGEXMATCH(""SrgmPdnS"",split(REGEXREPLACE(N16,""(.)"",""$1~""),""~""))))=len(N16)"),FALSE)</f>
        <v>0</v>
      </c>
      <c r="CU16" s="290" t="b">
        <f>IFERROR(__xludf.DUMMYFUNCTION("arrayformula(sum(--REGEXMATCH(""SrGmPdNS"",split(REGEXREPLACE(N16,""(.)"",""$1~""),""~""))))=len(N16)"),FALSE)</f>
        <v>0</v>
      </c>
      <c r="CV16" s="290" t="b">
        <f>IFERROR(__xludf.DUMMYFUNCTION("arrayformula(sum(--REGEXMATCH(""SrGMPDNS"",split(REGEXREPLACE(N16,""(.)"",""$1~""),""~""))))=len(N16)"),FALSE)</f>
        <v>0</v>
      </c>
      <c r="CW16" s="290" t="b">
        <f>IFERROR(__xludf.DUMMYFUNCTION("arrayformula(sum(--REGEXMATCH(""SrGMPdNS"",split(REGEXREPLACE(N16,""(.)"",""$1~""),""~""))))=len(N16)"),FALSE)</f>
        <v>0</v>
      </c>
      <c r="CX16" s="293" t="b">
        <f>IFERROR(__xludf.DUMMYFUNCTION("arrayformula(sum(--REGEXMATCH(""SrgMPdNS"",split(REGEXREPLACE(N16,""(.)"",""$1~""),""~""))))=len(N16)"),FALSE)</f>
        <v>0</v>
      </c>
      <c r="CY16" s="244" t="str">
        <f>IFERROR(__xludf.DUMMYFUNCTION("IF(REGEXMATCH(N16, ""S""), ""1"","""")"),"1")</f>
        <v>1</v>
      </c>
      <c r="CZ16" s="245" t="str">
        <f>IFERROR(__xludf.DUMMYFUNCTION("IF(REGEXMATCH(N16, ""r""), ""b2"","""")"),"")</f>
        <v/>
      </c>
      <c r="DA16" s="246" t="str">
        <f>IFERROR(__xludf.DUMMYFUNCTION("IF(REGEXMATCH(N16, ""R""), ""2"","""")"),"2")</f>
        <v>2</v>
      </c>
      <c r="DB16" s="246" t="str">
        <f>IFERROR(__xludf.DUMMYFUNCTION("IF(REGEXMATCH(N16, ""g""), ""b3"","""")"),"b3")</f>
        <v>b3</v>
      </c>
      <c r="DC16" s="245" t="str">
        <f>IFERROR(__xludf.DUMMYFUNCTION("IF(REGEXMATCH(N16, ""G""), ""3"","""")"),"")</f>
        <v/>
      </c>
      <c r="DD16" s="245" t="str">
        <f>IFERROR(__xludf.DUMMYFUNCTION("IF(REGEXMATCH(N16, ""m""), ""4"","""")"),"4")</f>
        <v>4</v>
      </c>
      <c r="DE16" s="246" t="str">
        <f>IFERROR(__xludf.DUMMYFUNCTION("IF(REGEXMATCH(N16, ""M""), ""#4"","""")"),"")</f>
        <v/>
      </c>
      <c r="DF16" s="245" t="str">
        <f>IFERROR(__xludf.DUMMYFUNCTION("IF(REGEXMATCH(N16, ""P""), ""5"","""")"),"")</f>
        <v/>
      </c>
      <c r="DG16" s="246" t="str">
        <f>IFERROR(__xludf.DUMMYFUNCTION("IF(REGEXMATCH(N16, ""d""), ""b6"","""")"),"b6")</f>
        <v>b6</v>
      </c>
      <c r="DH16" s="245" t="str">
        <f>IFERROR(__xludf.DUMMYFUNCTION("IF(REGEXMATCH(N16, ""D""), ""6"","""")"),"")</f>
        <v/>
      </c>
      <c r="DI16" s="245" t="str">
        <f>IFERROR(__xludf.DUMMYFUNCTION("IF(REGEXMATCH(N16, ""n""), ""b7"","""")"),"")</f>
        <v/>
      </c>
      <c r="DJ16" s="246" t="str">
        <f>IFERROR(__xludf.DUMMYFUNCTION("IF(REGEXMATCH(N16, ""N""), ""7"","""")"),"7")</f>
        <v>7</v>
      </c>
      <c r="DK16" s="249" t="str">
        <f>IFERROR(__xludf.DUMMYFUNCTION("IF(REGEXMATCH(N16, ""S""), ""8"","""")"),"8")</f>
        <v>8</v>
      </c>
      <c r="DL16" s="244" t="str">
        <f>IFERROR(__xludf.DUMMYFUNCTION("IF(REGEXMATCH(N16, ""S""), ""S"","""")"),"S")</f>
        <v>S</v>
      </c>
      <c r="DM16" s="294" t="str">
        <f>IFERROR(__xludf.DUMMYFUNCTION("IF(REGEXMATCH(N16, ""r""), ""R1"","""")"),"")</f>
        <v/>
      </c>
      <c r="DN16" s="295" t="str">
        <f>IFERROR(__xludf.DUMMYFUNCTION("IF(REGEXMATCH(N16, ""R""), ""R2"","""")"),"R2")</f>
        <v>R2</v>
      </c>
      <c r="DO16" s="295" t="str">
        <f>IFERROR(__xludf.DUMMYFUNCTION("IF(REGEXMATCH(N16, ""g""), ""G2"","""")"),"G2")</f>
        <v>G2</v>
      </c>
      <c r="DP16" s="294" t="str">
        <f>IFERROR(__xludf.DUMMYFUNCTION("IF(REGEXMATCH(N16, ""G""), ""G3"","""")"),"")</f>
        <v/>
      </c>
      <c r="DQ16" s="294" t="str">
        <f>IFERROR(__xludf.DUMMYFUNCTION("IF(REGEXMATCH(N16, ""m""), ""M1"","""")"),"M1")</f>
        <v>M1</v>
      </c>
      <c r="DR16" s="295" t="str">
        <f>IFERROR(__xludf.DUMMYFUNCTION("IF(REGEXMATCH(N16, ""M""), ""M2"","""")"),"")</f>
        <v/>
      </c>
      <c r="DS16" s="294" t="str">
        <f>IFERROR(__xludf.DUMMYFUNCTION("IF(REGEXMATCH(N16, ""P""), ""P"","""")"),"")</f>
        <v/>
      </c>
      <c r="DT16" s="295" t="str">
        <f>IFERROR(__xludf.DUMMYFUNCTION("IF(REGEXMATCH(N16, ""d""), ""D1"","""")"),"D1")</f>
        <v>D1</v>
      </c>
      <c r="DU16" s="294" t="str">
        <f>IFERROR(__xludf.DUMMYFUNCTION("IF(REGEXMATCH(N16, ""D""), ""D2"","""")"),"")</f>
        <v/>
      </c>
      <c r="DV16" s="294" t="str">
        <f>IFERROR(__xludf.DUMMYFUNCTION("IF(REGEXMATCH(N16, ""n""), ""N2"","""")"),"")</f>
        <v/>
      </c>
      <c r="DW16" s="295" t="str">
        <f>IFERROR(__xludf.DUMMYFUNCTION("IF(REGEXMATCH(N16, ""N""), ""N3"","""")"),"N3")</f>
        <v>N3</v>
      </c>
      <c r="DX16" s="249" t="str">
        <f>IFERROR(__xludf.DUMMYFUNCTION("IF(REGEXMATCH(N16, ""S""), ""S"","""")"),"S")</f>
        <v>S</v>
      </c>
      <c r="DY16" s="299" t="str">
        <f>IFERROR(__xludf.DUMMYFUNCTION("SUBSTITUTE(SUBSTITUTE(SUBSTITUTE(SUBSTITUTE(CONCATENATE(JOIN(""-"",CY16:DK16)),""--"",""-""),""--"",""-""),""--"",""-""),""--"",""-"")"),"1-2-b3-4-b6-7-8")</f>
        <v>1-2-b3-4-b6-7-8</v>
      </c>
      <c r="DZ16" s="299" t="str">
        <f>IFERROR(__xludf.DUMMYFUNCTION("SUBSTITUTE(SUBSTITUTE(SUBSTITUTE(SUBSTITUTE(CONCATENATE(JOIN(""-"",DL16:DX16)),""--"",""-""),""--"",""-""),""--"",""-""),""--"",""-"")"),"S-R2-G2-M1-D1-N3-S")</f>
        <v>S-R2-G2-M1-D1-N3-S</v>
      </c>
      <c r="EA16" s="348" t="str">
        <f t="shared" si="43"/>
        <v>C-D-Eb-F-Ab-B-C</v>
      </c>
      <c r="EB16" s="301">
        <f t="shared" si="44"/>
        <v>6</v>
      </c>
      <c r="EC16" s="302" t="str">
        <f t="shared" si="45"/>
        <v>Shadav</v>
      </c>
      <c r="ED16" s="301" t="str">
        <f t="shared" ref="ED16:EE16" si="182">SUBSTITUTE(AD16,"-","")</f>
        <v>SRGM</v>
      </c>
      <c r="EE16" s="301" t="str">
        <f t="shared" si="182"/>
        <v>DNS</v>
      </c>
      <c r="EF16" s="302" t="str">
        <f t="shared" si="47"/>
        <v>(n/a)</v>
      </c>
      <c r="EG16" s="301" t="str">
        <f t="shared" si="48"/>
        <v>Hemi.</v>
      </c>
      <c r="EH16" s="364" t="str">
        <f t="shared" si="49"/>
        <v>-</v>
      </c>
      <c r="EI16" s="306" t="str">
        <f t="shared" si="50"/>
        <v>-</v>
      </c>
      <c r="EJ16" s="366" t="str">
        <f t="shared" si="51"/>
        <v>-</v>
      </c>
      <c r="EK16" s="308" t="str">
        <f t="shared" si="52"/>
        <v>✔</v>
      </c>
      <c r="EL16" s="306" t="str">
        <f t="shared" si="53"/>
        <v>-</v>
      </c>
      <c r="EM16" s="306" t="str">
        <f t="shared" si="54"/>
        <v>-</v>
      </c>
      <c r="EN16" s="367" t="str">
        <f t="shared" si="55"/>
        <v>-</v>
      </c>
      <c r="EO16" s="310" t="str">
        <f t="shared" si="56"/>
        <v>-</v>
      </c>
      <c r="EP16" s="310" t="str">
        <f t="shared" si="57"/>
        <v>-</v>
      </c>
      <c r="EQ16" s="310" t="str">
        <f t="shared" si="58"/>
        <v>-</v>
      </c>
      <c r="ER16" s="310" t="str">
        <f t="shared" si="59"/>
        <v>-</v>
      </c>
      <c r="ES16" s="370" t="str">
        <f t="shared" si="60"/>
        <v>-</v>
      </c>
      <c r="ET16" s="306" t="str">
        <f t="shared" si="61"/>
        <v>-</v>
      </c>
      <c r="EU16" s="306" t="str">
        <f t="shared" si="62"/>
        <v>-</v>
      </c>
      <c r="EV16" s="306" t="str">
        <f t="shared" si="63"/>
        <v>-</v>
      </c>
      <c r="EW16" s="306" t="str">
        <f t="shared" si="64"/>
        <v>✔</v>
      </c>
      <c r="EX16" s="306" t="str">
        <f t="shared" si="65"/>
        <v>-</v>
      </c>
      <c r="EY16" s="367" t="str">
        <f t="shared" si="66"/>
        <v>-</v>
      </c>
      <c r="EZ16" s="310" t="str">
        <f>IFERROR(__xludf.DUMMYFUNCTION("IF(REGEXMATCH(BM16,BI16),""✔"",""-"")"),"-")</f>
        <v>-</v>
      </c>
      <c r="FA16" s="310" t="str">
        <f t="shared" si="67"/>
        <v>-</v>
      </c>
      <c r="FB16" s="370" t="str">
        <f t="shared" si="68"/>
        <v>-</v>
      </c>
      <c r="FC16" s="415">
        <f t="shared" si="69"/>
        <v>2</v>
      </c>
      <c r="FD16" s="317" t="str">
        <f t="shared" si="70"/>
        <v>S-R-g-m-d-N-S</v>
      </c>
      <c r="FE16" s="318" t="str">
        <f>IFERROR(__xludf.DUMMYFUNCTION("CONCATENATE(JOIN("""",GJ16:GV16))"),"SrGPDnS")</f>
        <v>SrGPDnS</v>
      </c>
      <c r="FF16" s="318"/>
      <c r="FG16" s="318"/>
      <c r="FH16" s="321">
        <f t="shared" si="71"/>
        <v>4</v>
      </c>
      <c r="FI16" s="318" t="str">
        <f>IFERROR(__xludf.DUMMYFUNCTION("CONCATENATE(JOIN("""",HW16:II16))"),"Sa, Re, ga, Ni, ")</f>
        <v>Sa, Re, ga, Ni, </v>
      </c>
      <c r="FJ16" s="322">
        <f t="shared" si="72"/>
        <v>2</v>
      </c>
      <c r="FK16" s="324" t="str">
        <f>IFERROR(__xludf.DUMMYFUNCTION("CONCATENATE(JOIN("""",IW16:JI16))"),"Re, Ni, ")</f>
        <v>Re, Ni, </v>
      </c>
      <c r="FL16" s="325" t="str">
        <f t="shared" si="73"/>
        <v>S-R2-G2-M1-D1-N3-S</v>
      </c>
      <c r="FM16" s="326" t="str">
        <f t="shared" si="74"/>
        <v>1-2-b3-4-b6-7-8</v>
      </c>
      <c r="FN16" s="326" t="str">
        <f t="shared" si="75"/>
        <v>0-2-3-5-8-11-0</v>
      </c>
      <c r="FO16" s="318"/>
      <c r="FP16" s="328" t="str">
        <f>IFERROR(__xludf.DUMMYFUNCTION("SUBSTITUTE(SUBSTITUTE(SUBSTITUTE(SUBSTITUTE(CONCATENATE(JOIN("" "",FS16:GE16)),""  "","" ""),""  "","" ""),""  "","" ""),""  "","" "")"),"o • o o • o • • o • • o o")</f>
        <v>o • o o • o • • o • • o o</v>
      </c>
      <c r="FQ16" s="328" t="str">
        <f t="shared" si="76"/>
        <v>Sa-ma</v>
      </c>
      <c r="FR16" s="329"/>
      <c r="FS16" s="331" t="str">
        <f t="shared" si="77"/>
        <v>o</v>
      </c>
      <c r="FT16" s="332" t="str">
        <f t="shared" si="78"/>
        <v>•</v>
      </c>
      <c r="FU16" s="332" t="str">
        <f t="shared" si="79"/>
        <v>o</v>
      </c>
      <c r="FV16" s="332" t="str">
        <f t="shared" si="80"/>
        <v>o</v>
      </c>
      <c r="FW16" s="332" t="str">
        <f t="shared" si="81"/>
        <v>•</v>
      </c>
      <c r="FX16" s="332" t="str">
        <f t="shared" si="82"/>
        <v>o</v>
      </c>
      <c r="FY16" s="332" t="str">
        <f t="shared" si="83"/>
        <v>•</v>
      </c>
      <c r="FZ16" s="332" t="str">
        <f t="shared" si="84"/>
        <v>•</v>
      </c>
      <c r="GA16" s="332" t="str">
        <f t="shared" si="85"/>
        <v>o</v>
      </c>
      <c r="GB16" s="332" t="str">
        <f t="shared" si="86"/>
        <v>•</v>
      </c>
      <c r="GC16" s="332" t="str">
        <f t="shared" si="87"/>
        <v>•</v>
      </c>
      <c r="GD16" s="332" t="str">
        <f t="shared" si="88"/>
        <v>o</v>
      </c>
      <c r="GE16" s="338" t="str">
        <f t="shared" si="89"/>
        <v>o</v>
      </c>
      <c r="GF16" s="339" t="str">
        <f t="shared" si="90"/>
        <v>-</v>
      </c>
      <c r="GG16" s="339" t="str">
        <f t="shared" si="91"/>
        <v>-</v>
      </c>
      <c r="GH16" s="339" t="str">
        <f t="shared" si="92"/>
        <v>-</v>
      </c>
      <c r="GI16" s="340" t="str">
        <f t="shared" si="93"/>
        <v>Sa-ma</v>
      </c>
      <c r="GJ16" s="331" t="str">
        <f t="shared" si="94"/>
        <v>S</v>
      </c>
      <c r="GK16" s="332" t="str">
        <f t="shared" si="95"/>
        <v>r</v>
      </c>
      <c r="GL16" s="332" t="str">
        <f t="shared" si="96"/>
        <v/>
      </c>
      <c r="GM16" s="332" t="str">
        <f t="shared" si="97"/>
        <v/>
      </c>
      <c r="GN16" s="332" t="str">
        <f t="shared" si="98"/>
        <v>G</v>
      </c>
      <c r="GO16" s="332" t="str">
        <f t="shared" si="99"/>
        <v/>
      </c>
      <c r="GP16" s="332" t="str">
        <f t="shared" si="100"/>
        <v/>
      </c>
      <c r="GQ16" s="332" t="str">
        <f t="shared" si="101"/>
        <v>P</v>
      </c>
      <c r="GR16" s="332" t="str">
        <f t="shared" si="102"/>
        <v/>
      </c>
      <c r="GS16" s="332" t="str">
        <f t="shared" si="103"/>
        <v>D</v>
      </c>
      <c r="GT16" s="332" t="str">
        <f t="shared" si="104"/>
        <v>n</v>
      </c>
      <c r="GU16" s="332" t="str">
        <f t="shared" si="105"/>
        <v/>
      </c>
      <c r="GV16" s="343" t="str">
        <f t="shared" si="106"/>
        <v>S</v>
      </c>
      <c r="GW16" s="331" t="str">
        <f t="shared" si="107"/>
        <v>•</v>
      </c>
      <c r="GX16" s="332" t="str">
        <f t="shared" si="108"/>
        <v>o</v>
      </c>
      <c r="GY16" s="332" t="str">
        <f t="shared" si="109"/>
        <v>•</v>
      </c>
      <c r="GZ16" s="332" t="str">
        <f t="shared" si="110"/>
        <v>•</v>
      </c>
      <c r="HA16" s="332" t="str">
        <f t="shared" si="111"/>
        <v>o</v>
      </c>
      <c r="HB16" s="332" t="str">
        <f t="shared" si="112"/>
        <v>•</v>
      </c>
      <c r="HC16" s="332" t="str">
        <f t="shared" si="113"/>
        <v>o</v>
      </c>
      <c r="HD16" s="332" t="str">
        <f t="shared" si="114"/>
        <v>o</v>
      </c>
      <c r="HE16" s="332" t="str">
        <f t="shared" si="115"/>
        <v>•</v>
      </c>
      <c r="HF16" s="332" t="str">
        <f t="shared" si="116"/>
        <v>o</v>
      </c>
      <c r="HG16" s="332" t="str">
        <f t="shared" si="117"/>
        <v>o</v>
      </c>
      <c r="HH16" s="332" t="str">
        <f t="shared" si="118"/>
        <v>•</v>
      </c>
      <c r="HI16" s="338" t="str">
        <f t="shared" si="119"/>
        <v>•</v>
      </c>
      <c r="HJ16" s="346" t="b">
        <f t="shared" si="120"/>
        <v>1</v>
      </c>
      <c r="HK16" s="347" t="b">
        <f t="shared" si="121"/>
        <v>0</v>
      </c>
      <c r="HL16" s="347" t="b">
        <f t="shared" si="122"/>
        <v>1</v>
      </c>
      <c r="HM16" s="347" t="b">
        <f t="shared" si="123"/>
        <v>1</v>
      </c>
      <c r="HN16" s="347" t="b">
        <f t="shared" si="124"/>
        <v>0</v>
      </c>
      <c r="HO16" s="347" t="b">
        <f t="shared" si="125"/>
        <v>0</v>
      </c>
      <c r="HP16" s="347" t="b">
        <f t="shared" si="126"/>
        <v>0</v>
      </c>
      <c r="HQ16" s="347" t="b">
        <f t="shared" si="127"/>
        <v>0</v>
      </c>
      <c r="HR16" s="347" t="b">
        <f t="shared" si="128"/>
        <v>0</v>
      </c>
      <c r="HS16" s="347" t="b">
        <f t="shared" si="129"/>
        <v>0</v>
      </c>
      <c r="HT16" s="347" t="b">
        <f t="shared" si="130"/>
        <v>0</v>
      </c>
      <c r="HU16" s="347" t="b">
        <f t="shared" si="131"/>
        <v>1</v>
      </c>
      <c r="HV16" s="353" t="b">
        <f t="shared" si="132"/>
        <v>1</v>
      </c>
      <c r="HW16" s="354" t="str">
        <f t="shared" si="133"/>
        <v>Sa, </v>
      </c>
      <c r="HX16" s="355" t="str">
        <f t="shared" si="134"/>
        <v/>
      </c>
      <c r="HY16" s="355" t="str">
        <f t="shared" si="135"/>
        <v>Re, </v>
      </c>
      <c r="HZ16" s="355" t="str">
        <f t="shared" si="136"/>
        <v>ga, </v>
      </c>
      <c r="IA16" s="355" t="str">
        <f t="shared" si="137"/>
        <v/>
      </c>
      <c r="IB16" s="355" t="str">
        <f t="shared" si="138"/>
        <v/>
      </c>
      <c r="IC16" s="355" t="str">
        <f t="shared" si="139"/>
        <v/>
      </c>
      <c r="ID16" s="355" t="str">
        <f t="shared" si="140"/>
        <v/>
      </c>
      <c r="IE16" s="355" t="str">
        <f t="shared" si="141"/>
        <v/>
      </c>
      <c r="IF16" s="355" t="str">
        <f t="shared" si="142"/>
        <v/>
      </c>
      <c r="IG16" s="355" t="str">
        <f t="shared" si="143"/>
        <v/>
      </c>
      <c r="IH16" s="355" t="str">
        <f t="shared" si="144"/>
        <v>Ni, </v>
      </c>
      <c r="II16" s="359" t="str">
        <f t="shared" si="145"/>
        <v/>
      </c>
      <c r="IJ16" s="346" t="b">
        <f t="shared" si="146"/>
        <v>0</v>
      </c>
      <c r="IK16" s="347" t="b">
        <f t="shared" si="147"/>
        <v>0</v>
      </c>
      <c r="IL16" s="347" t="b">
        <f t="shared" si="148"/>
        <v>1</v>
      </c>
      <c r="IM16" s="347" t="b">
        <f t="shared" si="149"/>
        <v>0</v>
      </c>
      <c r="IN16" s="347" t="b">
        <f t="shared" si="150"/>
        <v>0</v>
      </c>
      <c r="IO16" s="347" t="b">
        <f t="shared" si="151"/>
        <v>0</v>
      </c>
      <c r="IP16" s="347" t="b">
        <f t="shared" si="152"/>
        <v>0</v>
      </c>
      <c r="IQ16" s="347" t="b">
        <f t="shared" si="153"/>
        <v>0</v>
      </c>
      <c r="IR16" s="347" t="b">
        <f t="shared" si="154"/>
        <v>0</v>
      </c>
      <c r="IS16" s="347" t="b">
        <f t="shared" si="155"/>
        <v>0</v>
      </c>
      <c r="IT16" s="347" t="b">
        <f t="shared" si="156"/>
        <v>0</v>
      </c>
      <c r="IU16" s="347" t="b">
        <f t="shared" si="157"/>
        <v>1</v>
      </c>
      <c r="IV16" s="365" t="b">
        <f t="shared" si="158"/>
        <v>0</v>
      </c>
      <c r="IW16" s="354" t="str">
        <f t="shared" si="159"/>
        <v/>
      </c>
      <c r="IX16" s="355" t="str">
        <f t="shared" si="160"/>
        <v/>
      </c>
      <c r="IY16" s="355" t="str">
        <f t="shared" si="161"/>
        <v>Re, </v>
      </c>
      <c r="IZ16" s="355" t="str">
        <f t="shared" si="162"/>
        <v/>
      </c>
      <c r="JA16" s="355" t="str">
        <f t="shared" si="163"/>
        <v/>
      </c>
      <c r="JB16" s="355" t="str">
        <f t="shared" si="164"/>
        <v/>
      </c>
      <c r="JC16" s="355" t="str">
        <f t="shared" si="165"/>
        <v/>
      </c>
      <c r="JD16" s="355" t="str">
        <f t="shared" si="166"/>
        <v/>
      </c>
      <c r="JE16" s="355" t="str">
        <f t="shared" si="167"/>
        <v/>
      </c>
      <c r="JF16" s="355" t="str">
        <f t="shared" si="168"/>
        <v/>
      </c>
      <c r="JG16" s="355" t="str">
        <f t="shared" si="169"/>
        <v/>
      </c>
      <c r="JH16" s="355" t="str">
        <f t="shared" si="170"/>
        <v>Ni, </v>
      </c>
      <c r="JI16" s="359"/>
      <c r="JJ16" s="321"/>
      <c r="JK16" s="368"/>
      <c r="JL16" s="369"/>
      <c r="JM16" s="369"/>
      <c r="JN16" s="369"/>
      <c r="JO16" s="369"/>
      <c r="JP16" s="369"/>
      <c r="JQ16" s="369"/>
      <c r="JR16" s="369"/>
      <c r="JS16" s="369"/>
      <c r="JT16" s="369"/>
      <c r="JU16" s="369"/>
    </row>
    <row r="17" ht="20.25" customHeight="1">
      <c r="A17" s="221" t="s">
        <v>1259</v>
      </c>
      <c r="B17" s="223" t="s">
        <v>671</v>
      </c>
      <c r="C17" s="222" t="s">
        <v>275</v>
      </c>
      <c r="D17" s="222"/>
      <c r="E17" s="222" t="s">
        <v>275</v>
      </c>
      <c r="F17" s="222"/>
      <c r="G17" s="395" t="s">
        <v>275</v>
      </c>
      <c r="H17" s="222">
        <v>15.0</v>
      </c>
      <c r="I17" s="224" t="s">
        <v>1219</v>
      </c>
      <c r="J17" s="414">
        <f t="shared" si="5"/>
        <v>2</v>
      </c>
      <c r="K17" s="227">
        <f t="shared" si="6"/>
        <v>6</v>
      </c>
      <c r="L17" s="229">
        <f t="shared" si="7"/>
        <v>6</v>
      </c>
      <c r="M17" s="230">
        <f t="shared" si="8"/>
        <v>0</v>
      </c>
      <c r="N17" s="233" t="str">
        <f t="shared" si="9"/>
        <v>SgmPdnS</v>
      </c>
      <c r="O17" s="234" t="str">
        <f>IFERROR(__xludf.DUMMYFUNCTION("IF(REGEXMATCH(N17, ""S""), ""S"","""")"),"S")</f>
        <v>S</v>
      </c>
      <c r="P17" s="236" t="str">
        <f>IFERROR(__xludf.DUMMYFUNCTION("IF(REGEXMATCH(N17, ""r""), ""r"","""")"),"")</f>
        <v/>
      </c>
      <c r="Q17" s="237" t="str">
        <f>IFERROR(__xludf.DUMMYFUNCTION("IF(REGEXMATCH(N17, ""R""), ""R"","""")"),"")</f>
        <v/>
      </c>
      <c r="R17" s="237" t="str">
        <f>IFERROR(__xludf.DUMMYFUNCTION("IF(REGEXMATCH(N17, ""g""), ""g"","""")"),"g")</f>
        <v>g</v>
      </c>
      <c r="S17" s="236" t="str">
        <f>IFERROR(__xludf.DUMMYFUNCTION("IF(REGEXMATCH(N17, ""G""), ""G"","""")"),"")</f>
        <v/>
      </c>
      <c r="T17" s="236" t="str">
        <f>IFERROR(__xludf.DUMMYFUNCTION("IF(REGEXMATCH(N17, ""m""), ""m"","""")"),"m")</f>
        <v>m</v>
      </c>
      <c r="U17" s="237" t="str">
        <f>IFERROR(__xludf.DUMMYFUNCTION("IF(REGEXMATCH(N17, ""M""), ""M"","""")"),"")</f>
        <v/>
      </c>
      <c r="V17" s="236" t="str">
        <f>IFERROR(__xludf.DUMMYFUNCTION("IF(REGEXMATCH(N17, ""P""), ""P"","""")"),"P")</f>
        <v>P</v>
      </c>
      <c r="W17" s="237" t="str">
        <f>IFERROR(__xludf.DUMMYFUNCTION("IF(REGEXMATCH(N17, ""d""), ""d"","""")"),"d")</f>
        <v>d</v>
      </c>
      <c r="X17" s="236" t="str">
        <f>IFERROR(__xludf.DUMMYFUNCTION("IF(REGEXMATCH(N17, ""D""), ""D"","""")"),"")</f>
        <v/>
      </c>
      <c r="Y17" s="236" t="str">
        <f>IFERROR(__xludf.DUMMYFUNCTION("IF(REGEXMATCH(N17, ""n""), ""n"","""")"),"n")</f>
        <v>n</v>
      </c>
      <c r="Z17" s="237" t="str">
        <f>IFERROR(__xludf.DUMMYFUNCTION("IF(REGEXMATCH(N17, ""N""), ""N"","""")"),"")</f>
        <v/>
      </c>
      <c r="AA17" s="238" t="str">
        <f>IFERROR(__xludf.DUMMYFUNCTION("IF(REGEXMATCH(N17, ""S""), ""S"","""")"),"S")</f>
        <v>S</v>
      </c>
      <c r="AB17" s="239" t="str">
        <f>IFERROR(__xludf.DUMMYFUNCTION("SUBSTITUTE(CONCATENATE(JOIN(""-"",O17:U17)),""-"","""")"),"Sgm")</f>
        <v>Sgm</v>
      </c>
      <c r="AC17" s="229" t="str">
        <f>IFERROR(__xludf.DUMMYFUNCTION("SUBSTITUTE(CONCATENATE(JOIN(""-"",V17:AA17)),""-"","""")"),"PdnS")</f>
        <v>PdnS</v>
      </c>
      <c r="AD17" s="282" t="str">
        <f t="shared" si="10"/>
        <v>S-G-M</v>
      </c>
      <c r="AE17" s="282" t="str">
        <f t="shared" si="11"/>
        <v>P-D-N-S</v>
      </c>
      <c r="AF17" s="309" t="str">
        <f t="shared" si="12"/>
        <v>gmdn</v>
      </c>
      <c r="AG17" s="244" t="str">
        <f>IFERROR(__xludf.DUMMYFUNCTION("IF(REGEXMATCH(N17, ""S""), ""0"","""")"),"0")</f>
        <v>0</v>
      </c>
      <c r="AH17" s="245" t="str">
        <f>IFERROR(__xludf.DUMMYFUNCTION("IF(REGEXMATCH(N17, ""r""), ""1"","""")"),"")</f>
        <v/>
      </c>
      <c r="AI17" s="246" t="str">
        <f>IFERROR(__xludf.DUMMYFUNCTION("IF(REGEXMATCH(N17, ""R""), ""2"","""")"),"")</f>
        <v/>
      </c>
      <c r="AJ17" s="246" t="str">
        <f>IFERROR(__xludf.DUMMYFUNCTION("IF(REGEXMATCH(N17, ""g""), ""3"","""")"),"3")</f>
        <v>3</v>
      </c>
      <c r="AK17" s="245" t="str">
        <f>IFERROR(__xludf.DUMMYFUNCTION("IF(REGEXMATCH(N17, ""G""), ""4"","""")"),"")</f>
        <v/>
      </c>
      <c r="AL17" s="245" t="str">
        <f>IFERROR(__xludf.DUMMYFUNCTION("IF(REGEXMATCH(N17, ""m""), ""5"","""")"),"5")</f>
        <v>5</v>
      </c>
      <c r="AM17" s="246" t="str">
        <f>IFERROR(__xludf.DUMMYFUNCTION("IF(REGEXMATCH(N17, ""M""), ""6"","""")"),"")</f>
        <v/>
      </c>
      <c r="AN17" s="245" t="str">
        <f>IFERROR(__xludf.DUMMYFUNCTION("IF(REGEXMATCH(N17, ""P""), ""7"","""")"),"7")</f>
        <v>7</v>
      </c>
      <c r="AO17" s="246" t="str">
        <f>IFERROR(__xludf.DUMMYFUNCTION("IF(REGEXMATCH(N17, ""d""), ""8"","""")"),"8")</f>
        <v>8</v>
      </c>
      <c r="AP17" s="245" t="str">
        <f>IFERROR(__xludf.DUMMYFUNCTION("IF(REGEXMATCH(N17, ""D""), ""9"","""")"),"")</f>
        <v/>
      </c>
      <c r="AQ17" s="245" t="str">
        <f>IFERROR(__xludf.DUMMYFUNCTION("IF(REGEXMATCH(N17, ""n""), ""10"","""")"),"10")</f>
        <v>10</v>
      </c>
      <c r="AR17" s="246" t="str">
        <f>IFERROR(__xludf.DUMMYFUNCTION("IF(REGEXMATCH(N17, ""N""), ""11"","""")"),"")</f>
        <v/>
      </c>
      <c r="AS17" s="249" t="str">
        <f>IFERROR(__xludf.DUMMYFUNCTION("IF(REGEXMATCH(N17, ""S""), ""0"","""")"),"0")</f>
        <v>0</v>
      </c>
      <c r="AT17" s="250" t="str">
        <f>IFERROR(__xludf.DUMMYFUNCTION("SUBSTITUTE(SUBSTITUTE(SUBSTITUTE(SUBSTITUTE(CONCATENATE(JOIN(""-"",AG17:AS17)),""--"",""-""),""--"",""-""),""--"",""-""),""--"",""-"")"),"0-3-5-7-8-10-0")</f>
        <v>0-3-5-7-8-10-0</v>
      </c>
      <c r="AU17" s="251">
        <f t="shared" si="13"/>
        <v>2</v>
      </c>
      <c r="AV17" s="234" t="str">
        <f t="shared" si="14"/>
        <v>|</v>
      </c>
      <c r="AW17" s="236" t="str">
        <f t="shared" si="15"/>
        <v>-</v>
      </c>
      <c r="AX17" s="237" t="str">
        <f t="shared" si="16"/>
        <v>-</v>
      </c>
      <c r="AY17" s="236" t="str">
        <f t="shared" si="17"/>
        <v>|</v>
      </c>
      <c r="AZ17" s="237" t="str">
        <f t="shared" si="18"/>
        <v>-</v>
      </c>
      <c r="BA17" s="236" t="str">
        <f t="shared" si="19"/>
        <v>|</v>
      </c>
      <c r="BB17" s="237" t="str">
        <f t="shared" si="20"/>
        <v>-</v>
      </c>
      <c r="BC17" s="236" t="str">
        <f t="shared" si="21"/>
        <v>|</v>
      </c>
      <c r="BD17" s="237" t="str">
        <f t="shared" si="22"/>
        <v>|</v>
      </c>
      <c r="BE17" s="236" t="str">
        <f t="shared" si="23"/>
        <v>-</v>
      </c>
      <c r="BF17" s="237" t="str">
        <f t="shared" si="24"/>
        <v>|</v>
      </c>
      <c r="BG17" s="236" t="str">
        <f t="shared" si="25"/>
        <v>-</v>
      </c>
      <c r="BH17" s="238" t="str">
        <f t="shared" si="26"/>
        <v>|</v>
      </c>
      <c r="BI17" s="250" t="str">
        <f>IFERROR(__xludf.DUMMYFUNCTION("SUBSTITUTE(SUBSTITUTE(CONCATENATE(JOIN("""",AV17:BG17)),""|"",""x""),""-"",""o"")"),"xooxoxoxxoxo")</f>
        <v>xooxoxoxxoxo</v>
      </c>
      <c r="BJ17" s="323" t="str">
        <f>IFERROR(__xludf.DUMMYFUNCTION("JOIN("""",BI17,BI17)"),"xooxoxoxxoxoxooxoxoxxoxo")</f>
        <v>xooxoxoxxoxoxooxoxoxxoxo</v>
      </c>
      <c r="BK17" s="256" t="str">
        <f>IFERROR(__xludf.DUMMYFUNCTION("JOIN("""",ArrayFormula(MID(BI17,LEN(BI17)-SEQUENCE(1,LEN(BI17))+1,1)))"),"oxoxxoxoxoox")</f>
        <v>oxoxxoxoxoox</v>
      </c>
      <c r="BL17" s="256" t="str">
        <f>IFERROR(__xludf.DUMMYFUNCTION("LEFT(CONCATENATE(""x"",JOIN("""",ArrayFormula(MID(BI17,LEN(BI17)-SEQUENCE(1,LEN(BI17))+1,1)))),12)"),"xoxoxxoxoxoo")</f>
        <v>xoxoxxoxoxoo</v>
      </c>
      <c r="BM17" s="327" t="str">
        <f>IFERROR(__xludf.DUMMYFUNCTION("JOIN("""",BK17,BK17)"),"oxoxxoxoxooxoxoxxoxoxoox")</f>
        <v>oxoxxoxoxooxoxoxxoxoxoox</v>
      </c>
      <c r="BN17" s="239" t="str">
        <f>IFERROR(__xludf.DUMMYFUNCTION("IF(REGEXMATCH(BM17,BI17),""✔"",""-"")"),"✔")</f>
        <v>✔</v>
      </c>
      <c r="BO17" s="330" t="str">
        <f t="shared" si="27"/>
        <v>-</v>
      </c>
      <c r="BP17" s="260" t="str">
        <f t="shared" si="28"/>
        <v>-</v>
      </c>
      <c r="BQ17" s="261" t="str">
        <f>IFERROR(__xludf.DUMMYFUNCTION("IF(BT17=0,""(n/a)"",IF(BU17=2,""(PAIR)"",IF(REGEXMATCH(BJ17,""xoxoxxoxoxox""),""Bilawal"",IF(REGEXMATCH(BJ17,""xoxoxooxoxoo""),""Bhupali"",IF(REGEXMATCH(BJ17,""xoxoxxoxxoxo""),""Charukeshi"",IF(REGEXMATCH(BJ17,""xoxoooxxoxxo""),""Kameshwari"",IF(REGEXMATC"&amp;"H(BJ17,""xoxoxooxoxox""),""Shankara"",IF(REGEXMATCH(BJ17,""xxooxoxxxoox""),""Basant"",IF(REGEXMATCH(BJ17,""xoxoxxxxoxox""),""Bihag"",IF(REGEXMATCH(BJ17,""xoxxxxoxoxxx""),""Pilu"",IF(REGEXMATCH(BJ17,""xoxxoxoxxoox""),""Kirwani"",IF(REGEXMATCH(BJ17,""xoxxox"&amp;"oxoxxx""),""Mk.Malhar"",IF(REGEXMATCH(BJ17,""xxooxxoxxoox""),""Bhairav"",IF(REGEXMATCH(BJ17,""xxoxooxxxoox""),""Todi"",IF(REGEXMATCH(BJ17,""xxooxoxooxox""),""Marwa"",IF(REGEXMATCH(BJ17,""xxoooxoxxooo""),""Gunkali"",IF(REGEXMATCH(BJ17,""xoxoxxoxxoox""),""N"&amp;"at Bhairav"",IF(REGEXMATCH(BJ17,""xoxxoooxoxoo""),""Shivranjani"",IF(REGEXMATCH(BJ17,""xooxxxoxooxo""),""Jog"",IF(REGEXMATCH(BJ17,""xxooxoxoxoox""),""Hemshri"",IF(REGEXMATCH(BJ17,""xoooxooxoxxo""),""Kalavati"",IF(REGEXMATCH(BJ17,""xxoxoxxoxoox""),""Kedar"&amp;""",IF(REGEXMATCH(BJ17,""xoxxxxoxooxx""),""Gara"",IF(REGEXMATCH(BJ17,""xooxoxooxoox""),""Chandrakauns"",IF(REGEXMATCH(BJ17,""xoxxxxoxxxox""),""Mand"",IF(REGEXMATCH(BJ17,""xoxxxxoxoxox""),""Hanskinkini"",IF(REGEXMATCH(BJ17,""xxooxxoxooxo""),""Lilavati"",IF("&amp;"REGEXMATCH(BJ17,""xooxoxoooxox""),""Rajeshwari"",IF(REGEXMATCH(BJ17,""xoooxxoxoxxx""),""Khokar"",IF(REGEXMATCH(BJ17,""xxooxoxxxxox""),""Maligoura"",""-""))))))))))))))))))))))))))))))"),"(n/a)")</f>
        <v>(n/a)</v>
      </c>
      <c r="BR17" s="239">
        <f t="shared" si="29"/>
        <v>5</v>
      </c>
      <c r="BS17" s="239">
        <f>IFERROR(__xludf.DUMMYFUNCTION("COUNTUNIQUE(BW17:CG17)-1"),5.0)</f>
        <v>5</v>
      </c>
      <c r="BT17" s="239">
        <f>IFERROR(__xludf.DUMMYFUNCTION("COUNTUNIQUE(FILTER(BJ:BJ,REGEXMATCH(BJ:BJ,BI17)))-1"),0.0)</f>
        <v>0</v>
      </c>
      <c r="BU17" s="239">
        <f>IFERROR(__xludf.DUMMYFUNCTION("COUNTA(FILTER(BJ:BJ,REGEXMATCH(BJ:BJ,BI17)))"),3.0)</f>
        <v>3</v>
      </c>
      <c r="BV17" s="341">
        <f>IFERROR(__xludf.DUMMYFUNCTION("COUNTA(FILTER(BJ:BJ,REGEXMATCH(BJ:BJ,BI17)))-AU17"),1.0)</f>
        <v>1</v>
      </c>
      <c r="BW17" s="269" t="str">
        <f t="shared" si="30"/>
        <v>-</v>
      </c>
      <c r="BX17" s="269" t="str">
        <f t="shared" si="31"/>
        <v>-</v>
      </c>
      <c r="BY17" s="271" t="str">
        <f t="shared" si="32"/>
        <v>xoxoxxoxoxo</v>
      </c>
      <c r="BZ17" s="269" t="str">
        <f t="shared" si="33"/>
        <v>-</v>
      </c>
      <c r="CA17" s="271" t="str">
        <f t="shared" si="34"/>
        <v>xoxxoxoxoox</v>
      </c>
      <c r="CB17" s="271" t="str">
        <f t="shared" si="35"/>
        <v>-</v>
      </c>
      <c r="CC17" s="271" t="str">
        <f t="shared" si="36"/>
        <v>xxoxoxooxox</v>
      </c>
      <c r="CD17" s="271" t="str">
        <f t="shared" si="37"/>
        <v>xoxoxooxoxo</v>
      </c>
      <c r="CE17" s="271" t="str">
        <f t="shared" si="38"/>
        <v>-</v>
      </c>
      <c r="CF17" s="271" t="str">
        <f t="shared" si="39"/>
        <v>xoxooxoxoxx</v>
      </c>
      <c r="CG17" s="274" t="str">
        <f t="shared" si="40"/>
        <v>-</v>
      </c>
      <c r="CH17" s="276" t="str">
        <f>IFERROR(__xludf.DUMMYFUNCTION("IF(BI17=""oooooooooooo"",""-"",IF(REGEXMATCH(BJ17,""xx""), ""Hemi."", ""Anhemi.""))"),"Hemi.")</f>
        <v>Hemi.</v>
      </c>
      <c r="CI17" s="282" t="str">
        <f>IFERROR(__xludf.DUMMYFUNCTION("IF(BI17=""oooooooooooo"",""-"",IF(REGEXMATCH(BJ17,""xxx""), ""Cohem."", ""-""))"),"-")</f>
        <v>-</v>
      </c>
      <c r="CJ17" s="282" t="str">
        <f>IFERROR(__xludf.DUMMYFUNCTION("IF(BI17=""oooooooooooo"",""-"",IF(REGEXMATCH(BJ17,""xxxx""), ""Co-Co."", ""-""))"),"-")</f>
        <v>-</v>
      </c>
      <c r="CK17" s="342" t="str">
        <f>IFERROR(__xludf.DUMMYFUNCTION("IF(BI17=""oooooooooooo"",""-"",IF(REGEXMATCH(BJ17,""xxxxx""), ""CCC."", ""-""))"),"-")</f>
        <v>-</v>
      </c>
      <c r="CL17" s="344" t="str">
        <f t="shared" si="41"/>
        <v>-</v>
      </c>
      <c r="CM17" s="282" t="str">
        <f>IFERROR(__xludf.DUMMYFUNCTION("IF(REGEXMATCH(JOIN(""-"",CO17:CX17),""TRUE""),""✔"",""-"")"),"✔")</f>
        <v>✔</v>
      </c>
      <c r="CN17" s="225">
        <f t="shared" si="42"/>
        <v>2</v>
      </c>
      <c r="CO17" s="376" t="b">
        <f>IFERROR(__xludf.DUMMYFUNCTION("arrayformula(sum(--REGEXMATCH(""SRGMPDNS"",split(REGEXREPLACE(N17,""(.)"",""$1~""),""~""))))=len(N17)
"),FALSE)</f>
        <v>0</v>
      </c>
      <c r="CP17" s="290" t="b">
        <f>IFERROR(__xludf.DUMMYFUNCTION("arrayformula(sum(--REGEXMATCH(""SRGmPDNS"",split(REGEXREPLACE(N17,""(.)"",""$1~""),""~""))))=len(N17)"),FALSE)</f>
        <v>0</v>
      </c>
      <c r="CQ17" s="290" t="b">
        <f>IFERROR(__xludf.DUMMYFUNCTION("arrayformula(sum(--REGEXMATCH(""SRGmPDnS"",split(REGEXREPLACE(N17,""(.)"",""$1~""),""~""))))=len(N17)"),FALSE)</f>
        <v>0</v>
      </c>
      <c r="CR17" s="290" t="b">
        <f>IFERROR(__xludf.DUMMYFUNCTION("arrayformula(sum(--REGEXMATCH(""SRgmPDnS"",split(REGEXREPLACE(N17,""(.)"",""$1~""),""~""))))=len(N17)"),FALSE)</f>
        <v>0</v>
      </c>
      <c r="CS17" s="290" t="b">
        <f>IFERROR(__xludf.DUMMYFUNCTION("arrayformula(sum(--REGEXMATCH(""SRgmPdnS"",split(REGEXREPLACE(N17,""(.)"",""$1~""),""~""))))=len(N17)"),TRUE)</f>
        <v>1</v>
      </c>
      <c r="CT17" s="290" t="b">
        <f>IFERROR(__xludf.DUMMYFUNCTION("arrayformula(sum(--REGEXMATCH(""SrgmPdnS"",split(REGEXREPLACE(N17,""(.)"",""$1~""),""~""))))=len(N17)"),TRUE)</f>
        <v>1</v>
      </c>
      <c r="CU17" s="290" t="b">
        <f>IFERROR(__xludf.DUMMYFUNCTION("arrayformula(sum(--REGEXMATCH(""SrGmPdNS"",split(REGEXREPLACE(N17,""(.)"",""$1~""),""~""))))=len(N17)"),FALSE)</f>
        <v>0</v>
      </c>
      <c r="CV17" s="290" t="b">
        <f>IFERROR(__xludf.DUMMYFUNCTION("arrayformula(sum(--REGEXMATCH(""SrGMPDNS"",split(REGEXREPLACE(N17,""(.)"",""$1~""),""~""))))=len(N17)"),FALSE)</f>
        <v>0</v>
      </c>
      <c r="CW17" s="290" t="b">
        <f>IFERROR(__xludf.DUMMYFUNCTION("arrayformula(sum(--REGEXMATCH(""SrGMPdNS"",split(REGEXREPLACE(N17,""(.)"",""$1~""),""~""))))=len(N17)"),FALSE)</f>
        <v>0</v>
      </c>
      <c r="CX17" s="293" t="b">
        <f>IFERROR(__xludf.DUMMYFUNCTION("arrayformula(sum(--REGEXMATCH(""SrgMPdNS"",split(REGEXREPLACE(N17,""(.)"",""$1~""),""~""))))=len(N17)"),FALSE)</f>
        <v>0</v>
      </c>
      <c r="CY17" s="244" t="str">
        <f>IFERROR(__xludf.DUMMYFUNCTION("IF(REGEXMATCH(N17, ""S""), ""1"","""")"),"1")</f>
        <v>1</v>
      </c>
      <c r="CZ17" s="245" t="str">
        <f>IFERROR(__xludf.DUMMYFUNCTION("IF(REGEXMATCH(N17, ""r""), ""b2"","""")"),"")</f>
        <v/>
      </c>
      <c r="DA17" s="246" t="str">
        <f>IFERROR(__xludf.DUMMYFUNCTION("IF(REGEXMATCH(N17, ""R""), ""2"","""")"),"")</f>
        <v/>
      </c>
      <c r="DB17" s="246" t="str">
        <f>IFERROR(__xludf.DUMMYFUNCTION("IF(REGEXMATCH(N17, ""g""), ""b3"","""")"),"b3")</f>
        <v>b3</v>
      </c>
      <c r="DC17" s="245" t="str">
        <f>IFERROR(__xludf.DUMMYFUNCTION("IF(REGEXMATCH(N17, ""G""), ""3"","""")"),"")</f>
        <v/>
      </c>
      <c r="DD17" s="245" t="str">
        <f>IFERROR(__xludf.DUMMYFUNCTION("IF(REGEXMATCH(N17, ""m""), ""4"","""")"),"4")</f>
        <v>4</v>
      </c>
      <c r="DE17" s="246" t="str">
        <f>IFERROR(__xludf.DUMMYFUNCTION("IF(REGEXMATCH(N17, ""M""), ""#4"","""")"),"")</f>
        <v/>
      </c>
      <c r="DF17" s="245" t="str">
        <f>IFERROR(__xludf.DUMMYFUNCTION("IF(REGEXMATCH(N17, ""P""), ""5"","""")"),"5")</f>
        <v>5</v>
      </c>
      <c r="DG17" s="246" t="str">
        <f>IFERROR(__xludf.DUMMYFUNCTION("IF(REGEXMATCH(N17, ""d""), ""b6"","""")"),"b6")</f>
        <v>b6</v>
      </c>
      <c r="DH17" s="245" t="str">
        <f>IFERROR(__xludf.DUMMYFUNCTION("IF(REGEXMATCH(N17, ""D""), ""6"","""")"),"")</f>
        <v/>
      </c>
      <c r="DI17" s="245" t="str">
        <f>IFERROR(__xludf.DUMMYFUNCTION("IF(REGEXMATCH(N17, ""n""), ""b7"","""")"),"b7")</f>
        <v>b7</v>
      </c>
      <c r="DJ17" s="246" t="str">
        <f>IFERROR(__xludf.DUMMYFUNCTION("IF(REGEXMATCH(N17, ""N""), ""7"","""")"),"")</f>
        <v/>
      </c>
      <c r="DK17" s="249" t="str">
        <f>IFERROR(__xludf.DUMMYFUNCTION("IF(REGEXMATCH(N17, ""S""), ""8"","""")"),"8")</f>
        <v>8</v>
      </c>
      <c r="DL17" s="244" t="str">
        <f>IFERROR(__xludf.DUMMYFUNCTION("IF(REGEXMATCH(N17, ""S""), ""S"","""")"),"S")</f>
        <v>S</v>
      </c>
      <c r="DM17" s="294" t="str">
        <f>IFERROR(__xludf.DUMMYFUNCTION("IF(REGEXMATCH(N17, ""r""), ""R1"","""")"),"")</f>
        <v/>
      </c>
      <c r="DN17" s="295" t="str">
        <f>IFERROR(__xludf.DUMMYFUNCTION("IF(REGEXMATCH(N17, ""R""), ""R2"","""")"),"")</f>
        <v/>
      </c>
      <c r="DO17" s="295" t="str">
        <f>IFERROR(__xludf.DUMMYFUNCTION("IF(REGEXMATCH(N17, ""g""), ""G2"","""")"),"G2")</f>
        <v>G2</v>
      </c>
      <c r="DP17" s="294" t="str">
        <f>IFERROR(__xludf.DUMMYFUNCTION("IF(REGEXMATCH(N17, ""G""), ""G3"","""")"),"")</f>
        <v/>
      </c>
      <c r="DQ17" s="294" t="str">
        <f>IFERROR(__xludf.DUMMYFUNCTION("IF(REGEXMATCH(N17, ""m""), ""M1"","""")"),"M1")</f>
        <v>M1</v>
      </c>
      <c r="DR17" s="295" t="str">
        <f>IFERROR(__xludf.DUMMYFUNCTION("IF(REGEXMATCH(N17, ""M""), ""M2"","""")"),"")</f>
        <v/>
      </c>
      <c r="DS17" s="294" t="str">
        <f>IFERROR(__xludf.DUMMYFUNCTION("IF(REGEXMATCH(N17, ""P""), ""P"","""")"),"P")</f>
        <v>P</v>
      </c>
      <c r="DT17" s="295" t="str">
        <f>IFERROR(__xludf.DUMMYFUNCTION("IF(REGEXMATCH(N17, ""d""), ""D1"","""")"),"D1")</f>
        <v>D1</v>
      </c>
      <c r="DU17" s="294" t="str">
        <f>IFERROR(__xludf.DUMMYFUNCTION("IF(REGEXMATCH(N17, ""D""), ""D2"","""")"),"")</f>
        <v/>
      </c>
      <c r="DV17" s="294" t="str">
        <f>IFERROR(__xludf.DUMMYFUNCTION("IF(REGEXMATCH(N17, ""n""), ""N2"","""")"),"N2")</f>
        <v>N2</v>
      </c>
      <c r="DW17" s="295" t="str">
        <f>IFERROR(__xludf.DUMMYFUNCTION("IF(REGEXMATCH(N17, ""N""), ""N3"","""")"),"")</f>
        <v/>
      </c>
      <c r="DX17" s="249" t="str">
        <f>IFERROR(__xludf.DUMMYFUNCTION("IF(REGEXMATCH(N17, ""S""), ""S"","""")"),"S")</f>
        <v>S</v>
      </c>
      <c r="DY17" s="299" t="str">
        <f>IFERROR(__xludf.DUMMYFUNCTION("SUBSTITUTE(SUBSTITUTE(SUBSTITUTE(SUBSTITUTE(CONCATENATE(JOIN(""-"",CY17:DK17)),""--"",""-""),""--"",""-""),""--"",""-""),""--"",""-"")"),"1-b3-4-5-b6-b7-8")</f>
        <v>1-b3-4-5-b6-b7-8</v>
      </c>
      <c r="DZ17" s="299" t="str">
        <f>IFERROR(__xludf.DUMMYFUNCTION("SUBSTITUTE(SUBSTITUTE(SUBSTITUTE(SUBSTITUTE(CONCATENATE(JOIN(""-"",DL17:DX17)),""--"",""-""),""--"",""-""),""--"",""-""),""--"",""-"")"),"S-G2-M1-P-D1-N2-S")</f>
        <v>S-G2-M1-P-D1-N2-S</v>
      </c>
      <c r="EA17" s="348" t="str">
        <f t="shared" si="43"/>
        <v>C-Eb-F-G-Ab-Bb-C</v>
      </c>
      <c r="EB17" s="301">
        <f t="shared" si="44"/>
        <v>6</v>
      </c>
      <c r="EC17" s="302" t="str">
        <f t="shared" si="45"/>
        <v>Shadav</v>
      </c>
      <c r="ED17" s="301" t="str">
        <f t="shared" ref="ED17:EE17" si="183">SUBSTITUTE(AD17,"-","")</f>
        <v>SGM</v>
      </c>
      <c r="EE17" s="301" t="str">
        <f t="shared" si="183"/>
        <v>PDNS</v>
      </c>
      <c r="EF17" s="302" t="str">
        <f t="shared" si="47"/>
        <v>(n/a)</v>
      </c>
      <c r="EG17" s="301" t="str">
        <f t="shared" si="48"/>
        <v>Hemi.</v>
      </c>
      <c r="EH17" s="364" t="str">
        <f t="shared" si="49"/>
        <v>-</v>
      </c>
      <c r="EI17" s="306" t="str">
        <f t="shared" si="50"/>
        <v>-</v>
      </c>
      <c r="EJ17" s="366" t="str">
        <f t="shared" si="51"/>
        <v>✔</v>
      </c>
      <c r="EK17" s="308" t="str">
        <f t="shared" si="52"/>
        <v>-</v>
      </c>
      <c r="EL17" s="306" t="str">
        <f t="shared" si="53"/>
        <v>-</v>
      </c>
      <c r="EM17" s="306" t="str">
        <f t="shared" si="54"/>
        <v>✔</v>
      </c>
      <c r="EN17" s="367" t="str">
        <f t="shared" si="55"/>
        <v>-</v>
      </c>
      <c r="EO17" s="310" t="str">
        <f t="shared" si="56"/>
        <v>-</v>
      </c>
      <c r="EP17" s="310" t="str">
        <f t="shared" si="57"/>
        <v>-</v>
      </c>
      <c r="EQ17" s="310" t="str">
        <f t="shared" si="58"/>
        <v>-</v>
      </c>
      <c r="ER17" s="310" t="str">
        <f t="shared" si="59"/>
        <v>-</v>
      </c>
      <c r="ES17" s="370" t="str">
        <f t="shared" si="60"/>
        <v>-</v>
      </c>
      <c r="ET17" s="306" t="str">
        <f t="shared" si="61"/>
        <v>✔</v>
      </c>
      <c r="EU17" s="306" t="str">
        <f t="shared" si="62"/>
        <v>-</v>
      </c>
      <c r="EV17" s="306" t="str">
        <f t="shared" si="63"/>
        <v>-</v>
      </c>
      <c r="EW17" s="306" t="str">
        <f t="shared" si="64"/>
        <v>-</v>
      </c>
      <c r="EX17" s="306" t="str">
        <f t="shared" si="65"/>
        <v>-</v>
      </c>
      <c r="EY17" s="367" t="str">
        <f t="shared" si="66"/>
        <v>-</v>
      </c>
      <c r="EZ17" s="310" t="str">
        <f>IFERROR(__xludf.DUMMYFUNCTION("IF(REGEXMATCH(BM17,BI17),""✔"",""-"")"),"✔")</f>
        <v>✔</v>
      </c>
      <c r="FA17" s="310" t="str">
        <f t="shared" si="67"/>
        <v>-</v>
      </c>
      <c r="FB17" s="370" t="str">
        <f t="shared" si="68"/>
        <v>-</v>
      </c>
      <c r="FC17" s="415">
        <f t="shared" si="69"/>
        <v>2</v>
      </c>
      <c r="FD17" s="317" t="str">
        <f t="shared" si="70"/>
        <v>S-g-m-P-d-n-S</v>
      </c>
      <c r="FE17" s="318" t="str">
        <f>IFERROR(__xludf.DUMMYFUNCTION("CONCATENATE(JOIN("""",GJ17:GV17))"),"SRGmPDS")</f>
        <v>SRGmPDS</v>
      </c>
      <c r="FF17" s="318"/>
      <c r="FG17" s="318"/>
      <c r="FH17" s="321">
        <f t="shared" si="71"/>
        <v>1</v>
      </c>
      <c r="FI17" s="318" t="str">
        <f>IFERROR(__xludf.DUMMYFUNCTION("CONCATENATE(JOIN("""",HW17:II17))"),"Pa, ")</f>
        <v>Pa, </v>
      </c>
      <c r="FJ17" s="322">
        <f t="shared" si="72"/>
        <v>0</v>
      </c>
      <c r="FK17" s="324" t="str">
        <f>IFERROR(__xludf.DUMMYFUNCTION("CONCATENATE(JOIN("""",IW17:JI17))"),"")</f>
        <v/>
      </c>
      <c r="FL17" s="325" t="str">
        <f t="shared" si="73"/>
        <v>S-G2-M1-P-D1-N2-S</v>
      </c>
      <c r="FM17" s="326" t="str">
        <f t="shared" si="74"/>
        <v>1-b3-4-5-b6-b7-8</v>
      </c>
      <c r="FN17" s="326" t="str">
        <f t="shared" si="75"/>
        <v>0-3-5-7-8-10-0</v>
      </c>
      <c r="FO17" s="318"/>
      <c r="FP17" s="328" t="str">
        <f>IFERROR(__xludf.DUMMYFUNCTION("SUBSTITUTE(SUBSTITUTE(SUBSTITUTE(SUBSTITUTE(CONCATENATE(JOIN("" "",FS17:GE17)),""  "","" ""),""  "","" ""),""  "","" ""),""  "","" "")"),"o • • o • o • o o • o • o")</f>
        <v>o • • o • o • o o • o • o</v>
      </c>
      <c r="FQ17" s="328" t="str">
        <f t="shared" si="76"/>
        <v>-</v>
      </c>
      <c r="FR17" s="329"/>
      <c r="FS17" s="331" t="str">
        <f t="shared" si="77"/>
        <v>o</v>
      </c>
      <c r="FT17" s="332" t="str">
        <f t="shared" si="78"/>
        <v>•</v>
      </c>
      <c r="FU17" s="332" t="str">
        <f t="shared" si="79"/>
        <v>•</v>
      </c>
      <c r="FV17" s="332" t="str">
        <f t="shared" si="80"/>
        <v>o</v>
      </c>
      <c r="FW17" s="332" t="str">
        <f t="shared" si="81"/>
        <v>•</v>
      </c>
      <c r="FX17" s="332" t="str">
        <f t="shared" si="82"/>
        <v>o</v>
      </c>
      <c r="FY17" s="332" t="str">
        <f t="shared" si="83"/>
        <v>•</v>
      </c>
      <c r="FZ17" s="332" t="str">
        <f t="shared" si="84"/>
        <v>o</v>
      </c>
      <c r="GA17" s="332" t="str">
        <f t="shared" si="85"/>
        <v>o</v>
      </c>
      <c r="GB17" s="332" t="str">
        <f t="shared" si="86"/>
        <v>•</v>
      </c>
      <c r="GC17" s="332" t="str">
        <f t="shared" si="87"/>
        <v>o</v>
      </c>
      <c r="GD17" s="332" t="str">
        <f t="shared" si="88"/>
        <v>•</v>
      </c>
      <c r="GE17" s="338" t="str">
        <f t="shared" si="89"/>
        <v>o</v>
      </c>
      <c r="GF17" s="339" t="str">
        <f t="shared" si="90"/>
        <v>-</v>
      </c>
      <c r="GG17" s="339" t="str">
        <f t="shared" si="91"/>
        <v>Sa-Pa</v>
      </c>
      <c r="GH17" s="339" t="str">
        <f t="shared" si="92"/>
        <v>-</v>
      </c>
      <c r="GI17" s="340" t="str">
        <f t="shared" si="93"/>
        <v>-</v>
      </c>
      <c r="GJ17" s="331" t="str">
        <f t="shared" si="94"/>
        <v>S</v>
      </c>
      <c r="GK17" s="332" t="str">
        <f t="shared" si="95"/>
        <v/>
      </c>
      <c r="GL17" s="332" t="str">
        <f t="shared" si="96"/>
        <v>R</v>
      </c>
      <c r="GM17" s="332" t="str">
        <f t="shared" si="97"/>
        <v/>
      </c>
      <c r="GN17" s="332" t="str">
        <f t="shared" si="98"/>
        <v>G</v>
      </c>
      <c r="GO17" s="332" t="str">
        <f t="shared" si="99"/>
        <v>m</v>
      </c>
      <c r="GP17" s="332" t="str">
        <f t="shared" si="100"/>
        <v/>
      </c>
      <c r="GQ17" s="332" t="str">
        <f t="shared" si="101"/>
        <v>P</v>
      </c>
      <c r="GR17" s="332" t="str">
        <f t="shared" si="102"/>
        <v/>
      </c>
      <c r="GS17" s="332" t="str">
        <f t="shared" si="103"/>
        <v>D</v>
      </c>
      <c r="GT17" s="332" t="str">
        <f t="shared" si="104"/>
        <v/>
      </c>
      <c r="GU17" s="332" t="str">
        <f t="shared" si="105"/>
        <v/>
      </c>
      <c r="GV17" s="343" t="str">
        <f t="shared" si="106"/>
        <v>S</v>
      </c>
      <c r="GW17" s="331" t="str">
        <f t="shared" si="107"/>
        <v>•</v>
      </c>
      <c r="GX17" s="332" t="str">
        <f t="shared" si="108"/>
        <v>o</v>
      </c>
      <c r="GY17" s="332" t="str">
        <f t="shared" si="109"/>
        <v>o</v>
      </c>
      <c r="GZ17" s="332" t="str">
        <f t="shared" si="110"/>
        <v>•</v>
      </c>
      <c r="HA17" s="332" t="str">
        <f t="shared" si="111"/>
        <v>o</v>
      </c>
      <c r="HB17" s="332" t="str">
        <f t="shared" si="112"/>
        <v>•</v>
      </c>
      <c r="HC17" s="332" t="str">
        <f t="shared" si="113"/>
        <v>o</v>
      </c>
      <c r="HD17" s="332" t="str">
        <f t="shared" si="114"/>
        <v>•</v>
      </c>
      <c r="HE17" s="332" t="str">
        <f t="shared" si="115"/>
        <v>•</v>
      </c>
      <c r="HF17" s="332" t="str">
        <f t="shared" si="116"/>
        <v>o</v>
      </c>
      <c r="HG17" s="332" t="str">
        <f t="shared" si="117"/>
        <v>•</v>
      </c>
      <c r="HH17" s="332" t="str">
        <f t="shared" si="118"/>
        <v>o</v>
      </c>
      <c r="HI17" s="338" t="str">
        <f t="shared" si="119"/>
        <v>•</v>
      </c>
      <c r="HJ17" s="346" t="b">
        <f t="shared" si="120"/>
        <v>0</v>
      </c>
      <c r="HK17" s="347" t="b">
        <f t="shared" si="121"/>
        <v>0</v>
      </c>
      <c r="HL17" s="347" t="b">
        <f t="shared" si="122"/>
        <v>0</v>
      </c>
      <c r="HM17" s="347" t="b">
        <f t="shared" si="123"/>
        <v>0</v>
      </c>
      <c r="HN17" s="347" t="b">
        <f t="shared" si="124"/>
        <v>0</v>
      </c>
      <c r="HO17" s="347" t="b">
        <f t="shared" si="125"/>
        <v>0</v>
      </c>
      <c r="HP17" s="347" t="b">
        <f t="shared" si="126"/>
        <v>0</v>
      </c>
      <c r="HQ17" s="347" t="b">
        <f t="shared" si="127"/>
        <v>1</v>
      </c>
      <c r="HR17" s="347" t="b">
        <f t="shared" si="128"/>
        <v>0</v>
      </c>
      <c r="HS17" s="347" t="b">
        <f t="shared" si="129"/>
        <v>0</v>
      </c>
      <c r="HT17" s="347" t="b">
        <f t="shared" si="130"/>
        <v>0</v>
      </c>
      <c r="HU17" s="347" t="b">
        <f t="shared" si="131"/>
        <v>0</v>
      </c>
      <c r="HV17" s="353" t="b">
        <f t="shared" si="132"/>
        <v>0</v>
      </c>
      <c r="HW17" s="354" t="str">
        <f t="shared" si="133"/>
        <v/>
      </c>
      <c r="HX17" s="355" t="str">
        <f t="shared" si="134"/>
        <v/>
      </c>
      <c r="HY17" s="355" t="str">
        <f t="shared" si="135"/>
        <v/>
      </c>
      <c r="HZ17" s="355" t="str">
        <f t="shared" si="136"/>
        <v/>
      </c>
      <c r="IA17" s="355" t="str">
        <f t="shared" si="137"/>
        <v/>
      </c>
      <c r="IB17" s="355" t="str">
        <f t="shared" si="138"/>
        <v/>
      </c>
      <c r="IC17" s="355" t="str">
        <f t="shared" si="139"/>
        <v/>
      </c>
      <c r="ID17" s="355" t="str">
        <f t="shared" si="140"/>
        <v>Pa, </v>
      </c>
      <c r="IE17" s="355" t="str">
        <f t="shared" si="141"/>
        <v/>
      </c>
      <c r="IF17" s="355" t="str">
        <f t="shared" si="142"/>
        <v/>
      </c>
      <c r="IG17" s="355" t="str">
        <f t="shared" si="143"/>
        <v/>
      </c>
      <c r="IH17" s="355" t="str">
        <f t="shared" si="144"/>
        <v/>
      </c>
      <c r="II17" s="359" t="str">
        <f t="shared" si="145"/>
        <v/>
      </c>
      <c r="IJ17" s="346" t="b">
        <f t="shared" si="146"/>
        <v>0</v>
      </c>
      <c r="IK17" s="347" t="b">
        <f t="shared" si="147"/>
        <v>0</v>
      </c>
      <c r="IL17" s="347" t="b">
        <f t="shared" si="148"/>
        <v>0</v>
      </c>
      <c r="IM17" s="347" t="b">
        <f t="shared" si="149"/>
        <v>0</v>
      </c>
      <c r="IN17" s="347" t="b">
        <f t="shared" si="150"/>
        <v>0</v>
      </c>
      <c r="IO17" s="347" t="b">
        <f t="shared" si="151"/>
        <v>0</v>
      </c>
      <c r="IP17" s="347" t="b">
        <f t="shared" si="152"/>
        <v>0</v>
      </c>
      <c r="IQ17" s="347" t="b">
        <f t="shared" si="153"/>
        <v>0</v>
      </c>
      <c r="IR17" s="347" t="b">
        <f t="shared" si="154"/>
        <v>0</v>
      </c>
      <c r="IS17" s="347" t="b">
        <f t="shared" si="155"/>
        <v>0</v>
      </c>
      <c r="IT17" s="347" t="b">
        <f t="shared" si="156"/>
        <v>0</v>
      </c>
      <c r="IU17" s="347" t="b">
        <f t="shared" si="157"/>
        <v>0</v>
      </c>
      <c r="IV17" s="365" t="b">
        <f t="shared" si="158"/>
        <v>0</v>
      </c>
      <c r="IW17" s="354" t="str">
        <f t="shared" si="159"/>
        <v/>
      </c>
      <c r="IX17" s="355" t="str">
        <f t="shared" si="160"/>
        <v/>
      </c>
      <c r="IY17" s="355" t="str">
        <f t="shared" si="161"/>
        <v/>
      </c>
      <c r="IZ17" s="355" t="str">
        <f t="shared" si="162"/>
        <v/>
      </c>
      <c r="JA17" s="355" t="str">
        <f t="shared" si="163"/>
        <v/>
      </c>
      <c r="JB17" s="355" t="str">
        <f t="shared" si="164"/>
        <v/>
      </c>
      <c r="JC17" s="355" t="str">
        <f t="shared" si="165"/>
        <v/>
      </c>
      <c r="JD17" s="355" t="str">
        <f t="shared" si="166"/>
        <v/>
      </c>
      <c r="JE17" s="355" t="str">
        <f t="shared" si="167"/>
        <v/>
      </c>
      <c r="JF17" s="355" t="str">
        <f t="shared" si="168"/>
        <v/>
      </c>
      <c r="JG17" s="355" t="str">
        <f t="shared" si="169"/>
        <v/>
      </c>
      <c r="JH17" s="355" t="str">
        <f t="shared" si="170"/>
        <v/>
      </c>
      <c r="JI17" s="359"/>
      <c r="JJ17" s="321"/>
      <c r="JK17" s="368"/>
      <c r="JL17" s="369"/>
      <c r="JM17" s="369"/>
      <c r="JN17" s="369"/>
      <c r="JO17" s="369"/>
      <c r="JP17" s="369"/>
      <c r="JQ17" s="369"/>
      <c r="JR17" s="369"/>
      <c r="JS17" s="369"/>
      <c r="JT17" s="369"/>
      <c r="JU17" s="369"/>
    </row>
    <row r="18" ht="20.25" customHeight="1">
      <c r="A18" s="221" t="s">
        <v>1260</v>
      </c>
      <c r="B18" s="223" t="s">
        <v>1085</v>
      </c>
      <c r="C18" s="222" t="s">
        <v>275</v>
      </c>
      <c r="D18" s="222"/>
      <c r="E18" s="222"/>
      <c r="F18" s="222"/>
      <c r="G18" s="395" t="s">
        <v>275</v>
      </c>
      <c r="H18" s="222">
        <v>16.0</v>
      </c>
      <c r="I18" s="224" t="s">
        <v>1219</v>
      </c>
      <c r="J18" s="414">
        <f t="shared" si="5"/>
        <v>1</v>
      </c>
      <c r="K18" s="227">
        <f t="shared" si="6"/>
        <v>5</v>
      </c>
      <c r="L18" s="229">
        <f t="shared" si="7"/>
        <v>5</v>
      </c>
      <c r="M18" s="230">
        <f t="shared" si="8"/>
        <v>0</v>
      </c>
      <c r="N18" s="233" t="str">
        <f t="shared" si="9"/>
        <v>SgmDNS</v>
      </c>
      <c r="O18" s="234" t="str">
        <f>IFERROR(__xludf.DUMMYFUNCTION("IF(REGEXMATCH(N18, ""S""), ""S"","""")"),"S")</f>
        <v>S</v>
      </c>
      <c r="P18" s="236" t="str">
        <f>IFERROR(__xludf.DUMMYFUNCTION("IF(REGEXMATCH(N18, ""r""), ""r"","""")"),"")</f>
        <v/>
      </c>
      <c r="Q18" s="237" t="str">
        <f>IFERROR(__xludf.DUMMYFUNCTION("IF(REGEXMATCH(N18, ""R""), ""R"","""")"),"")</f>
        <v/>
      </c>
      <c r="R18" s="237" t="str">
        <f>IFERROR(__xludf.DUMMYFUNCTION("IF(REGEXMATCH(N18, ""g""), ""g"","""")"),"g")</f>
        <v>g</v>
      </c>
      <c r="S18" s="236" t="str">
        <f>IFERROR(__xludf.DUMMYFUNCTION("IF(REGEXMATCH(N18, ""G""), ""G"","""")"),"")</f>
        <v/>
      </c>
      <c r="T18" s="236" t="str">
        <f>IFERROR(__xludf.DUMMYFUNCTION("IF(REGEXMATCH(N18, ""m""), ""m"","""")"),"m")</f>
        <v>m</v>
      </c>
      <c r="U18" s="237" t="str">
        <f>IFERROR(__xludf.DUMMYFUNCTION("IF(REGEXMATCH(N18, ""M""), ""M"","""")"),"")</f>
        <v/>
      </c>
      <c r="V18" s="236" t="str">
        <f>IFERROR(__xludf.DUMMYFUNCTION("IF(REGEXMATCH(N18, ""P""), ""P"","""")"),"")</f>
        <v/>
      </c>
      <c r="W18" s="237" t="str">
        <f>IFERROR(__xludf.DUMMYFUNCTION("IF(REGEXMATCH(N18, ""d""), ""d"","""")"),"")</f>
        <v/>
      </c>
      <c r="X18" s="236" t="str">
        <f>IFERROR(__xludf.DUMMYFUNCTION("IF(REGEXMATCH(N18, ""D""), ""D"","""")"),"D")</f>
        <v>D</v>
      </c>
      <c r="Y18" s="236" t="str">
        <f>IFERROR(__xludf.DUMMYFUNCTION("IF(REGEXMATCH(N18, ""n""), ""n"","""")"),"")</f>
        <v/>
      </c>
      <c r="Z18" s="237" t="str">
        <f>IFERROR(__xludf.DUMMYFUNCTION("IF(REGEXMATCH(N18, ""N""), ""N"","""")"),"N")</f>
        <v>N</v>
      </c>
      <c r="AA18" s="238" t="str">
        <f>IFERROR(__xludf.DUMMYFUNCTION("IF(REGEXMATCH(N18, ""S""), ""S"","""")"),"S")</f>
        <v>S</v>
      </c>
      <c r="AB18" s="239" t="str">
        <f>IFERROR(__xludf.DUMMYFUNCTION("SUBSTITUTE(CONCATENATE(JOIN(""-"",O18:U18)),""-"","""")"),"Sgm")</f>
        <v>Sgm</v>
      </c>
      <c r="AC18" s="229" t="str">
        <f>IFERROR(__xludf.DUMMYFUNCTION("SUBSTITUTE(CONCATENATE(JOIN(""-"",V18:AA18)),""-"","""")"),"DNS")</f>
        <v>DNS</v>
      </c>
      <c r="AD18" s="282" t="str">
        <f t="shared" si="10"/>
        <v>S-G-M</v>
      </c>
      <c r="AE18" s="282" t="str">
        <f t="shared" si="11"/>
        <v>D-N-S</v>
      </c>
      <c r="AF18" s="309" t="str">
        <f t="shared" si="12"/>
        <v>gmDN</v>
      </c>
      <c r="AG18" s="244" t="str">
        <f>IFERROR(__xludf.DUMMYFUNCTION("IF(REGEXMATCH(N18, ""S""), ""0"","""")"),"0")</f>
        <v>0</v>
      </c>
      <c r="AH18" s="245" t="str">
        <f>IFERROR(__xludf.DUMMYFUNCTION("IF(REGEXMATCH(N18, ""r""), ""1"","""")"),"")</f>
        <v/>
      </c>
      <c r="AI18" s="246" t="str">
        <f>IFERROR(__xludf.DUMMYFUNCTION("IF(REGEXMATCH(N18, ""R""), ""2"","""")"),"")</f>
        <v/>
      </c>
      <c r="AJ18" s="246" t="str">
        <f>IFERROR(__xludf.DUMMYFUNCTION("IF(REGEXMATCH(N18, ""g""), ""3"","""")"),"3")</f>
        <v>3</v>
      </c>
      <c r="AK18" s="245" t="str">
        <f>IFERROR(__xludf.DUMMYFUNCTION("IF(REGEXMATCH(N18, ""G""), ""4"","""")"),"")</f>
        <v/>
      </c>
      <c r="AL18" s="245" t="str">
        <f>IFERROR(__xludf.DUMMYFUNCTION("IF(REGEXMATCH(N18, ""m""), ""5"","""")"),"5")</f>
        <v>5</v>
      </c>
      <c r="AM18" s="246" t="str">
        <f>IFERROR(__xludf.DUMMYFUNCTION("IF(REGEXMATCH(N18, ""M""), ""6"","""")"),"")</f>
        <v/>
      </c>
      <c r="AN18" s="245" t="str">
        <f>IFERROR(__xludf.DUMMYFUNCTION("IF(REGEXMATCH(N18, ""P""), ""7"","""")"),"")</f>
        <v/>
      </c>
      <c r="AO18" s="246" t="str">
        <f>IFERROR(__xludf.DUMMYFUNCTION("IF(REGEXMATCH(N18, ""d""), ""8"","""")"),"")</f>
        <v/>
      </c>
      <c r="AP18" s="245" t="str">
        <f>IFERROR(__xludf.DUMMYFUNCTION("IF(REGEXMATCH(N18, ""D""), ""9"","""")"),"9")</f>
        <v>9</v>
      </c>
      <c r="AQ18" s="245" t="str">
        <f>IFERROR(__xludf.DUMMYFUNCTION("IF(REGEXMATCH(N18, ""n""), ""10"","""")"),"")</f>
        <v/>
      </c>
      <c r="AR18" s="246" t="str">
        <f>IFERROR(__xludf.DUMMYFUNCTION("IF(REGEXMATCH(N18, ""N""), ""11"","""")"),"11")</f>
        <v>11</v>
      </c>
      <c r="AS18" s="249" t="str">
        <f>IFERROR(__xludf.DUMMYFUNCTION("IF(REGEXMATCH(N18, ""S""), ""0"","""")"),"0")</f>
        <v>0</v>
      </c>
      <c r="AT18" s="250" t="str">
        <f>IFERROR(__xludf.DUMMYFUNCTION("SUBSTITUTE(SUBSTITUTE(SUBSTITUTE(SUBSTITUTE(CONCATENATE(JOIN(""-"",AG18:AS18)),""--"",""-""),""--"",""-""),""--"",""-""),""--"",""-"")"),"0-3-5-9-11-0")</f>
        <v>0-3-5-9-11-0</v>
      </c>
      <c r="AU18" s="251">
        <f t="shared" si="13"/>
        <v>1</v>
      </c>
      <c r="AV18" s="234" t="str">
        <f t="shared" si="14"/>
        <v>|</v>
      </c>
      <c r="AW18" s="236" t="str">
        <f t="shared" si="15"/>
        <v>-</v>
      </c>
      <c r="AX18" s="237" t="str">
        <f t="shared" si="16"/>
        <v>-</v>
      </c>
      <c r="AY18" s="236" t="str">
        <f t="shared" si="17"/>
        <v>|</v>
      </c>
      <c r="AZ18" s="237" t="str">
        <f t="shared" si="18"/>
        <v>-</v>
      </c>
      <c r="BA18" s="236" t="str">
        <f t="shared" si="19"/>
        <v>|</v>
      </c>
      <c r="BB18" s="237" t="str">
        <f t="shared" si="20"/>
        <v>-</v>
      </c>
      <c r="BC18" s="236" t="str">
        <f t="shared" si="21"/>
        <v>-</v>
      </c>
      <c r="BD18" s="237" t="str">
        <f t="shared" si="22"/>
        <v>-</v>
      </c>
      <c r="BE18" s="236" t="str">
        <f t="shared" si="23"/>
        <v>|</v>
      </c>
      <c r="BF18" s="237" t="str">
        <f t="shared" si="24"/>
        <v>-</v>
      </c>
      <c r="BG18" s="236" t="str">
        <f t="shared" si="25"/>
        <v>|</v>
      </c>
      <c r="BH18" s="238" t="str">
        <f t="shared" si="26"/>
        <v>|</v>
      </c>
      <c r="BI18" s="250" t="str">
        <f>IFERROR(__xludf.DUMMYFUNCTION("SUBSTITUTE(SUBSTITUTE(CONCATENATE(JOIN("""",AV18:BG18)),""|"",""x""),""-"",""o"")"),"xooxoxoooxox")</f>
        <v>xooxoxoooxox</v>
      </c>
      <c r="BJ18" s="323" t="str">
        <f>IFERROR(__xludf.DUMMYFUNCTION("JOIN("""",BI18,BI18)"),"xooxoxoooxoxxooxoxoooxox")</f>
        <v>xooxoxoooxoxxooxoxoooxox</v>
      </c>
      <c r="BK18" s="256" t="str">
        <f>IFERROR(__xludf.DUMMYFUNCTION("JOIN("""",ArrayFormula(MID(BI18,LEN(BI18)-SEQUENCE(1,LEN(BI18))+1,1)))"),"xoxoooxoxoox")</f>
        <v>xoxoooxoxoox</v>
      </c>
      <c r="BL18" s="256" t="str">
        <f>IFERROR(__xludf.DUMMYFUNCTION("LEFT(CONCATENATE(""x"",JOIN("""",ArrayFormula(MID(BI18,LEN(BI18)-SEQUENCE(1,LEN(BI18))+1,1)))),12)"),"xxoxoooxoxoo")</f>
        <v>xxoxoooxoxoo</v>
      </c>
      <c r="BM18" s="327" t="str">
        <f>IFERROR(__xludf.DUMMYFUNCTION("JOIN("""",BK18,BK18)"),"xoxoooxoxooxxoxoooxoxoox")</f>
        <v>xoxoooxoxooxxoxoooxoxoox</v>
      </c>
      <c r="BN18" s="239" t="str">
        <f>IFERROR(__xludf.DUMMYFUNCTION("IF(REGEXMATCH(BM18,BI18),""✔"",""-"")"),"-")</f>
        <v>-</v>
      </c>
      <c r="BO18" s="330" t="str">
        <f t="shared" si="27"/>
        <v>-</v>
      </c>
      <c r="BP18" s="260" t="str">
        <f t="shared" si="28"/>
        <v>-</v>
      </c>
      <c r="BQ18" s="261" t="str">
        <f>IFERROR(__xludf.DUMMYFUNCTION("IF(BT18=0,""(n/a)"",IF(BU18=2,""(PAIR)"",IF(REGEXMATCH(BJ18,""xoxoxxoxoxox""),""Bilawal"",IF(REGEXMATCH(BJ18,""xoxoxooxoxoo""),""Bhupali"",IF(REGEXMATCH(BJ18,""xoxoxxoxxoxo""),""Charukeshi"",IF(REGEXMATCH(BJ18,""xoxoooxxoxxo""),""Kameshwari"",IF(REGEXMATC"&amp;"H(BJ18,""xoxoxooxoxox""),""Shankara"",IF(REGEXMATCH(BJ18,""xxooxoxxxoox""),""Basant"",IF(REGEXMATCH(BJ18,""xoxoxxxxoxox""),""Bihag"",IF(REGEXMATCH(BJ18,""xoxxxxoxoxxx""),""Pilu"",IF(REGEXMATCH(BJ18,""xoxxoxoxxoox""),""Kirwani"",IF(REGEXMATCH(BJ18,""xoxxox"&amp;"oxoxxx""),""Mk.Malhar"",IF(REGEXMATCH(BJ18,""xxooxxoxxoox""),""Bhairav"",IF(REGEXMATCH(BJ18,""xxoxooxxxoox""),""Todi"",IF(REGEXMATCH(BJ18,""xxooxoxooxox""),""Marwa"",IF(REGEXMATCH(BJ18,""xxoooxoxxooo""),""Gunkali"",IF(REGEXMATCH(BJ18,""xoxoxxoxxoox""),""N"&amp;"at Bhairav"",IF(REGEXMATCH(BJ18,""xoxxoooxoxoo""),""Shivranjani"",IF(REGEXMATCH(BJ18,""xooxxxoxooxo""),""Jog"",IF(REGEXMATCH(BJ18,""xxooxoxoxoox""),""Hemshri"",IF(REGEXMATCH(BJ18,""xoooxooxoxxo""),""Kalavati"",IF(REGEXMATCH(BJ18,""xxoxoxxoxoox""),""Kedar"&amp;""",IF(REGEXMATCH(BJ18,""xoxxxxoxooxx""),""Gara"",IF(REGEXMATCH(BJ18,""xooxoxooxoox""),""Chandrakauns"",IF(REGEXMATCH(BJ18,""xoxxxxoxxxox""),""Mand"",IF(REGEXMATCH(BJ18,""xoxxxxoxoxox""),""Hanskinkini"",IF(REGEXMATCH(BJ18,""xxooxxoxooxo""),""Lilavati"",IF("&amp;"REGEXMATCH(BJ18,""xooxoxoooxox""),""Rajeshwari"",IF(REGEXMATCH(BJ18,""xoooxxoxoxxx""),""Khokar"",IF(REGEXMATCH(BJ18,""xxooxoxxxxox""),""Maligoura"",""-""))))))))))))))))))))))))))))))"),"Rajeshwari")</f>
        <v>Rajeshwari</v>
      </c>
      <c r="BR18" s="239">
        <f t="shared" si="29"/>
        <v>4</v>
      </c>
      <c r="BS18" s="239">
        <f>IFERROR(__xludf.DUMMYFUNCTION("COUNTUNIQUE(BW18:CG18)-1"),4.0)</f>
        <v>4</v>
      </c>
      <c r="BT18" s="239">
        <f>IFERROR(__xludf.DUMMYFUNCTION("COUNTUNIQUE(FILTER(BJ:BJ,REGEXMATCH(BJ:BJ,BI18)))-1"),1.0)</f>
        <v>1</v>
      </c>
      <c r="BU18" s="239">
        <f>IFERROR(__xludf.DUMMYFUNCTION("COUNTA(FILTER(BJ:BJ,REGEXMATCH(BJ:BJ,BI18)))"),3.0)</f>
        <v>3</v>
      </c>
      <c r="BV18" s="341">
        <f>IFERROR(__xludf.DUMMYFUNCTION("COUNTA(FILTER(BJ:BJ,REGEXMATCH(BJ:BJ,BI18)))-AU18"),2.0)</f>
        <v>2</v>
      </c>
      <c r="BW18" s="269" t="str">
        <f t="shared" si="30"/>
        <v>-</v>
      </c>
      <c r="BX18" s="269" t="str">
        <f t="shared" si="31"/>
        <v>-</v>
      </c>
      <c r="BY18" s="271" t="str">
        <f t="shared" si="32"/>
        <v>xoxoooxoxxo</v>
      </c>
      <c r="BZ18" s="269" t="str">
        <f t="shared" si="33"/>
        <v>-</v>
      </c>
      <c r="CA18" s="271" t="str">
        <f t="shared" si="34"/>
        <v>xoooxoxxoox</v>
      </c>
      <c r="CB18" s="271" t="str">
        <f t="shared" si="35"/>
        <v>-</v>
      </c>
      <c r="CC18" s="271" t="str">
        <f t="shared" si="36"/>
        <v>-</v>
      </c>
      <c r="CD18" s="271" t="str">
        <f t="shared" si="37"/>
        <v>-</v>
      </c>
      <c r="CE18" s="271" t="str">
        <f t="shared" si="38"/>
        <v>xoxxooxoxoo</v>
      </c>
      <c r="CF18" s="271" t="str">
        <f t="shared" si="39"/>
        <v>-</v>
      </c>
      <c r="CG18" s="274" t="str">
        <f t="shared" si="40"/>
        <v>xxooxoxooox</v>
      </c>
      <c r="CH18" s="276" t="str">
        <f>IFERROR(__xludf.DUMMYFUNCTION("IF(BI18=""oooooooooooo"",""-"",IF(REGEXMATCH(BJ18,""xx""), ""Hemi."", ""Anhemi.""))"),"Hemi.")</f>
        <v>Hemi.</v>
      </c>
      <c r="CI18" s="282" t="str">
        <f>IFERROR(__xludf.DUMMYFUNCTION("IF(BI18=""oooooooooooo"",""-"",IF(REGEXMATCH(BJ18,""xxx""), ""Cohem."", ""-""))"),"-")</f>
        <v>-</v>
      </c>
      <c r="CJ18" s="282" t="str">
        <f>IFERROR(__xludf.DUMMYFUNCTION("IF(BI18=""oooooooooooo"",""-"",IF(REGEXMATCH(BJ18,""xxxx""), ""Co-Co."", ""-""))"),"-")</f>
        <v>-</v>
      </c>
      <c r="CK18" s="342" t="str">
        <f>IFERROR(__xludf.DUMMYFUNCTION("IF(BI18=""oooooooooooo"",""-"",IF(REGEXMATCH(BJ18,""xxxxx""), ""CCC."", ""-""))"),"-")</f>
        <v>-</v>
      </c>
      <c r="CL18" s="344" t="str">
        <f t="shared" si="41"/>
        <v>-</v>
      </c>
      <c r="CM18" s="282" t="str">
        <f>IFERROR(__xludf.DUMMYFUNCTION("IF(REGEXMATCH(JOIN(""-"",CO18:CX18),""TRUE""),""✔"",""-"")"),"-")</f>
        <v>-</v>
      </c>
      <c r="CN18" s="225">
        <f t="shared" si="42"/>
        <v>0</v>
      </c>
      <c r="CO18" s="376" t="b">
        <f>IFERROR(__xludf.DUMMYFUNCTION("arrayformula(sum(--REGEXMATCH(""SRGMPDNS"",split(REGEXREPLACE(N18,""(.)"",""$1~""),""~""))))=len(N18)
"),FALSE)</f>
        <v>0</v>
      </c>
      <c r="CP18" s="290" t="b">
        <f>IFERROR(__xludf.DUMMYFUNCTION("arrayformula(sum(--REGEXMATCH(""SRGmPDNS"",split(REGEXREPLACE(N18,""(.)"",""$1~""),""~""))))=len(N18)"),FALSE)</f>
        <v>0</v>
      </c>
      <c r="CQ18" s="290" t="b">
        <f>IFERROR(__xludf.DUMMYFUNCTION("arrayformula(sum(--REGEXMATCH(""SRGmPDnS"",split(REGEXREPLACE(N18,""(.)"",""$1~""),""~""))))=len(N18)"),FALSE)</f>
        <v>0</v>
      </c>
      <c r="CR18" s="290" t="b">
        <f>IFERROR(__xludf.DUMMYFUNCTION("arrayformula(sum(--REGEXMATCH(""SRgmPDnS"",split(REGEXREPLACE(N18,""(.)"",""$1~""),""~""))))=len(N18)"),FALSE)</f>
        <v>0</v>
      </c>
      <c r="CS18" s="290" t="b">
        <f>IFERROR(__xludf.DUMMYFUNCTION("arrayformula(sum(--REGEXMATCH(""SRgmPdnS"",split(REGEXREPLACE(N18,""(.)"",""$1~""),""~""))))=len(N18)"),FALSE)</f>
        <v>0</v>
      </c>
      <c r="CT18" s="290" t="b">
        <f>IFERROR(__xludf.DUMMYFUNCTION("arrayformula(sum(--REGEXMATCH(""SrgmPdnS"",split(REGEXREPLACE(N18,""(.)"",""$1~""),""~""))))=len(N18)"),FALSE)</f>
        <v>0</v>
      </c>
      <c r="CU18" s="290" t="b">
        <f>IFERROR(__xludf.DUMMYFUNCTION("arrayformula(sum(--REGEXMATCH(""SrGmPdNS"",split(REGEXREPLACE(N18,""(.)"",""$1~""),""~""))))=len(N18)"),FALSE)</f>
        <v>0</v>
      </c>
      <c r="CV18" s="290" t="b">
        <f>IFERROR(__xludf.DUMMYFUNCTION("arrayformula(sum(--REGEXMATCH(""SrGMPDNS"",split(REGEXREPLACE(N18,""(.)"",""$1~""),""~""))))=len(N18)"),FALSE)</f>
        <v>0</v>
      </c>
      <c r="CW18" s="290" t="b">
        <f>IFERROR(__xludf.DUMMYFUNCTION("arrayformula(sum(--REGEXMATCH(""SrGMPdNS"",split(REGEXREPLACE(N18,""(.)"",""$1~""),""~""))))=len(N18)"),FALSE)</f>
        <v>0</v>
      </c>
      <c r="CX18" s="293" t="b">
        <f>IFERROR(__xludf.DUMMYFUNCTION("arrayformula(sum(--REGEXMATCH(""SrgMPdNS"",split(REGEXREPLACE(N18,""(.)"",""$1~""),""~""))))=len(N18)"),FALSE)</f>
        <v>0</v>
      </c>
      <c r="CY18" s="244" t="str">
        <f>IFERROR(__xludf.DUMMYFUNCTION("IF(REGEXMATCH(N18, ""S""), ""1"","""")"),"1")</f>
        <v>1</v>
      </c>
      <c r="CZ18" s="245" t="str">
        <f>IFERROR(__xludf.DUMMYFUNCTION("IF(REGEXMATCH(N18, ""r""), ""b2"","""")"),"")</f>
        <v/>
      </c>
      <c r="DA18" s="246" t="str">
        <f>IFERROR(__xludf.DUMMYFUNCTION("IF(REGEXMATCH(N18, ""R""), ""2"","""")"),"")</f>
        <v/>
      </c>
      <c r="DB18" s="246" t="str">
        <f>IFERROR(__xludf.DUMMYFUNCTION("IF(REGEXMATCH(N18, ""g""), ""b3"","""")"),"b3")</f>
        <v>b3</v>
      </c>
      <c r="DC18" s="245" t="str">
        <f>IFERROR(__xludf.DUMMYFUNCTION("IF(REGEXMATCH(N18, ""G""), ""3"","""")"),"")</f>
        <v/>
      </c>
      <c r="DD18" s="245" t="str">
        <f>IFERROR(__xludf.DUMMYFUNCTION("IF(REGEXMATCH(N18, ""m""), ""4"","""")"),"4")</f>
        <v>4</v>
      </c>
      <c r="DE18" s="246" t="str">
        <f>IFERROR(__xludf.DUMMYFUNCTION("IF(REGEXMATCH(N18, ""M""), ""#4"","""")"),"")</f>
        <v/>
      </c>
      <c r="DF18" s="245" t="str">
        <f>IFERROR(__xludf.DUMMYFUNCTION("IF(REGEXMATCH(N18, ""P""), ""5"","""")"),"")</f>
        <v/>
      </c>
      <c r="DG18" s="246" t="str">
        <f>IFERROR(__xludf.DUMMYFUNCTION("IF(REGEXMATCH(N18, ""d""), ""b6"","""")"),"")</f>
        <v/>
      </c>
      <c r="DH18" s="245" t="str">
        <f>IFERROR(__xludf.DUMMYFUNCTION("IF(REGEXMATCH(N18, ""D""), ""6"","""")"),"6")</f>
        <v>6</v>
      </c>
      <c r="DI18" s="245" t="str">
        <f>IFERROR(__xludf.DUMMYFUNCTION("IF(REGEXMATCH(N18, ""n""), ""b7"","""")"),"")</f>
        <v/>
      </c>
      <c r="DJ18" s="246" t="str">
        <f>IFERROR(__xludf.DUMMYFUNCTION("IF(REGEXMATCH(N18, ""N""), ""7"","""")"),"7")</f>
        <v>7</v>
      </c>
      <c r="DK18" s="249" t="str">
        <f>IFERROR(__xludf.DUMMYFUNCTION("IF(REGEXMATCH(N18, ""S""), ""8"","""")"),"8")</f>
        <v>8</v>
      </c>
      <c r="DL18" s="244" t="str">
        <f>IFERROR(__xludf.DUMMYFUNCTION("IF(REGEXMATCH(N18, ""S""), ""S"","""")"),"S")</f>
        <v>S</v>
      </c>
      <c r="DM18" s="294" t="str">
        <f>IFERROR(__xludf.DUMMYFUNCTION("IF(REGEXMATCH(N18, ""r""), ""R1"","""")"),"")</f>
        <v/>
      </c>
      <c r="DN18" s="295" t="str">
        <f>IFERROR(__xludf.DUMMYFUNCTION("IF(REGEXMATCH(N18, ""R""), ""R2"","""")"),"")</f>
        <v/>
      </c>
      <c r="DO18" s="295" t="str">
        <f>IFERROR(__xludf.DUMMYFUNCTION("IF(REGEXMATCH(N18, ""g""), ""G2"","""")"),"G2")</f>
        <v>G2</v>
      </c>
      <c r="DP18" s="294" t="str">
        <f>IFERROR(__xludf.DUMMYFUNCTION("IF(REGEXMATCH(N18, ""G""), ""G3"","""")"),"")</f>
        <v/>
      </c>
      <c r="DQ18" s="294" t="str">
        <f>IFERROR(__xludf.DUMMYFUNCTION("IF(REGEXMATCH(N18, ""m""), ""M1"","""")"),"M1")</f>
        <v>M1</v>
      </c>
      <c r="DR18" s="295" t="str">
        <f>IFERROR(__xludf.DUMMYFUNCTION("IF(REGEXMATCH(N18, ""M""), ""M2"","""")"),"")</f>
        <v/>
      </c>
      <c r="DS18" s="294" t="str">
        <f>IFERROR(__xludf.DUMMYFUNCTION("IF(REGEXMATCH(N18, ""P""), ""P"","""")"),"")</f>
        <v/>
      </c>
      <c r="DT18" s="295" t="str">
        <f>IFERROR(__xludf.DUMMYFUNCTION("IF(REGEXMATCH(N18, ""d""), ""D1"","""")"),"")</f>
        <v/>
      </c>
      <c r="DU18" s="294" t="str">
        <f>IFERROR(__xludf.DUMMYFUNCTION("IF(REGEXMATCH(N18, ""D""), ""D2"","""")"),"D2")</f>
        <v>D2</v>
      </c>
      <c r="DV18" s="294" t="str">
        <f>IFERROR(__xludf.DUMMYFUNCTION("IF(REGEXMATCH(N18, ""n""), ""N2"","""")"),"")</f>
        <v/>
      </c>
      <c r="DW18" s="295" t="str">
        <f>IFERROR(__xludf.DUMMYFUNCTION("IF(REGEXMATCH(N18, ""N""), ""N3"","""")"),"N3")</f>
        <v>N3</v>
      </c>
      <c r="DX18" s="249" t="str">
        <f>IFERROR(__xludf.DUMMYFUNCTION("IF(REGEXMATCH(N18, ""S""), ""S"","""")"),"S")</f>
        <v>S</v>
      </c>
      <c r="DY18" s="299" t="str">
        <f>IFERROR(__xludf.DUMMYFUNCTION("SUBSTITUTE(SUBSTITUTE(SUBSTITUTE(SUBSTITUTE(CONCATENATE(JOIN(""-"",CY18:DK18)),""--"",""-""),""--"",""-""),""--"",""-""),""--"",""-"")"),"1-b3-4-6-7-8")</f>
        <v>1-b3-4-6-7-8</v>
      </c>
      <c r="DZ18" s="299" t="str">
        <f>IFERROR(__xludf.DUMMYFUNCTION("SUBSTITUTE(SUBSTITUTE(SUBSTITUTE(SUBSTITUTE(CONCATENATE(JOIN(""-"",DL18:DX18)),""--"",""-""),""--"",""-""),""--"",""-""),""--"",""-"")"),"S-G2-M1-D2-N3-S")</f>
        <v>S-G2-M1-D2-N3-S</v>
      </c>
      <c r="EA18" s="348" t="str">
        <f t="shared" si="43"/>
        <v>C-Eb-F-A-B-C</v>
      </c>
      <c r="EB18" s="301">
        <f t="shared" si="44"/>
        <v>5</v>
      </c>
      <c r="EC18" s="302" t="str">
        <f t="shared" si="45"/>
        <v>Audav</v>
      </c>
      <c r="ED18" s="301" t="str">
        <f t="shared" ref="ED18:EE18" si="184">SUBSTITUTE(AD18,"-","")</f>
        <v>SGM</v>
      </c>
      <c r="EE18" s="301" t="str">
        <f t="shared" si="184"/>
        <v>DNS</v>
      </c>
      <c r="EF18" s="302" t="str">
        <f t="shared" si="47"/>
        <v>Rajeshwari</v>
      </c>
      <c r="EG18" s="301" t="str">
        <f t="shared" si="48"/>
        <v>Hemi.</v>
      </c>
      <c r="EH18" s="364" t="str">
        <f t="shared" si="49"/>
        <v>-</v>
      </c>
      <c r="EI18" s="306" t="str">
        <f t="shared" si="50"/>
        <v>-</v>
      </c>
      <c r="EJ18" s="366" t="str">
        <f t="shared" si="51"/>
        <v>-</v>
      </c>
      <c r="EK18" s="308" t="str">
        <f t="shared" si="52"/>
        <v>✔</v>
      </c>
      <c r="EL18" s="306" t="str">
        <f t="shared" si="53"/>
        <v>-</v>
      </c>
      <c r="EM18" s="306" t="str">
        <f t="shared" si="54"/>
        <v>-</v>
      </c>
      <c r="EN18" s="367" t="str">
        <f t="shared" si="55"/>
        <v>-</v>
      </c>
      <c r="EO18" s="310" t="str">
        <f t="shared" si="56"/>
        <v>-</v>
      </c>
      <c r="EP18" s="310" t="str">
        <f t="shared" si="57"/>
        <v>-</v>
      </c>
      <c r="EQ18" s="310" t="str">
        <f t="shared" si="58"/>
        <v>-</v>
      </c>
      <c r="ER18" s="310" t="str">
        <f t="shared" si="59"/>
        <v>-</v>
      </c>
      <c r="ES18" s="370" t="str">
        <f t="shared" si="60"/>
        <v>-</v>
      </c>
      <c r="ET18" s="306" t="str">
        <f t="shared" si="61"/>
        <v>✔</v>
      </c>
      <c r="EU18" s="306" t="str">
        <f t="shared" si="62"/>
        <v>-</v>
      </c>
      <c r="EV18" s="306" t="str">
        <f t="shared" si="63"/>
        <v>-</v>
      </c>
      <c r="EW18" s="306" t="str">
        <f t="shared" si="64"/>
        <v>✔</v>
      </c>
      <c r="EX18" s="306" t="str">
        <f t="shared" si="65"/>
        <v>-</v>
      </c>
      <c r="EY18" s="367" t="str">
        <f t="shared" si="66"/>
        <v>-</v>
      </c>
      <c r="EZ18" s="310" t="str">
        <f>IFERROR(__xludf.DUMMYFUNCTION("IF(REGEXMATCH(BM18,BI18),""✔"",""-"")"),"-")</f>
        <v>-</v>
      </c>
      <c r="FA18" s="310" t="str">
        <f t="shared" si="67"/>
        <v>-</v>
      </c>
      <c r="FB18" s="370" t="str">
        <f t="shared" si="68"/>
        <v>-</v>
      </c>
      <c r="FC18" s="415">
        <f t="shared" si="69"/>
        <v>1</v>
      </c>
      <c r="FD18" s="317" t="str">
        <f t="shared" si="70"/>
        <v>S-g-m-D-N-S</v>
      </c>
      <c r="FE18" s="318" t="str">
        <f>IFERROR(__xludf.DUMMYFUNCTION("CONCATENATE(JOIN("""",GJ18:GV18))"),"SrgPDS")</f>
        <v>SrgPDS</v>
      </c>
      <c r="FF18" s="318"/>
      <c r="FG18" s="318"/>
      <c r="FH18" s="321">
        <f t="shared" si="71"/>
        <v>4</v>
      </c>
      <c r="FI18" s="318" t="str">
        <f>IFERROR(__xludf.DUMMYFUNCTION("CONCATENATE(JOIN("""",HW18:II18))"),"Sa, ga, Dha, Ni, ")</f>
        <v>Sa, ga, Dha, Ni, </v>
      </c>
      <c r="FJ18" s="322">
        <f t="shared" si="72"/>
        <v>3</v>
      </c>
      <c r="FK18" s="324" t="str">
        <f>IFERROR(__xludf.DUMMYFUNCTION("CONCATENATE(JOIN("""",IW18:JI18))"),"ga, Dha, Ni, ")</f>
        <v>ga, Dha, Ni, </v>
      </c>
      <c r="FL18" s="325" t="str">
        <f t="shared" si="73"/>
        <v>S-G2-M1-D2-N3-S</v>
      </c>
      <c r="FM18" s="326" t="str">
        <f t="shared" si="74"/>
        <v>1-b3-4-6-7-8</v>
      </c>
      <c r="FN18" s="326" t="str">
        <f t="shared" si="75"/>
        <v>0-3-5-9-11-0</v>
      </c>
      <c r="FO18" s="318"/>
      <c r="FP18" s="328" t="str">
        <f>IFERROR(__xludf.DUMMYFUNCTION("SUBSTITUTE(SUBSTITUTE(SUBSTITUTE(SUBSTITUTE(CONCATENATE(JOIN("" "",FS18:GE18)),""  "","" ""),""  "","" ""),""  "","" ""),""  "","" "")"),"o • • o • o • • • o • o o")</f>
        <v>o • • o • o • • • o • o o</v>
      </c>
      <c r="FQ18" s="328" t="str">
        <f t="shared" si="76"/>
        <v>Sa-ma</v>
      </c>
      <c r="FR18" s="329"/>
      <c r="FS18" s="331" t="str">
        <f t="shared" si="77"/>
        <v>o</v>
      </c>
      <c r="FT18" s="332" t="str">
        <f t="shared" si="78"/>
        <v>•</v>
      </c>
      <c r="FU18" s="332" t="str">
        <f t="shared" si="79"/>
        <v>•</v>
      </c>
      <c r="FV18" s="332" t="str">
        <f t="shared" si="80"/>
        <v>o</v>
      </c>
      <c r="FW18" s="332" t="str">
        <f t="shared" si="81"/>
        <v>•</v>
      </c>
      <c r="FX18" s="332" t="str">
        <f t="shared" si="82"/>
        <v>o</v>
      </c>
      <c r="FY18" s="332" t="str">
        <f t="shared" si="83"/>
        <v>•</v>
      </c>
      <c r="FZ18" s="332" t="str">
        <f t="shared" si="84"/>
        <v>•</v>
      </c>
      <c r="GA18" s="332" t="str">
        <f t="shared" si="85"/>
        <v>•</v>
      </c>
      <c r="GB18" s="332" t="str">
        <f t="shared" si="86"/>
        <v>o</v>
      </c>
      <c r="GC18" s="332" t="str">
        <f t="shared" si="87"/>
        <v>•</v>
      </c>
      <c r="GD18" s="332" t="str">
        <f t="shared" si="88"/>
        <v>o</v>
      </c>
      <c r="GE18" s="338" t="str">
        <f t="shared" si="89"/>
        <v>o</v>
      </c>
      <c r="GF18" s="339" t="str">
        <f t="shared" si="90"/>
        <v>-</v>
      </c>
      <c r="GG18" s="339" t="str">
        <f t="shared" si="91"/>
        <v>-</v>
      </c>
      <c r="GH18" s="339" t="str">
        <f t="shared" si="92"/>
        <v>-</v>
      </c>
      <c r="GI18" s="340" t="str">
        <f t="shared" si="93"/>
        <v>Sa-ma</v>
      </c>
      <c r="GJ18" s="331" t="str">
        <f t="shared" si="94"/>
        <v>S</v>
      </c>
      <c r="GK18" s="332" t="str">
        <f t="shared" si="95"/>
        <v>r</v>
      </c>
      <c r="GL18" s="332" t="str">
        <f t="shared" si="96"/>
        <v/>
      </c>
      <c r="GM18" s="332" t="str">
        <f t="shared" si="97"/>
        <v>g</v>
      </c>
      <c r="GN18" s="332" t="str">
        <f t="shared" si="98"/>
        <v/>
      </c>
      <c r="GO18" s="332" t="str">
        <f t="shared" si="99"/>
        <v/>
      </c>
      <c r="GP18" s="332" t="str">
        <f t="shared" si="100"/>
        <v/>
      </c>
      <c r="GQ18" s="332" t="str">
        <f t="shared" si="101"/>
        <v>P</v>
      </c>
      <c r="GR18" s="332" t="str">
        <f t="shared" si="102"/>
        <v/>
      </c>
      <c r="GS18" s="332" t="str">
        <f t="shared" si="103"/>
        <v>D</v>
      </c>
      <c r="GT18" s="332" t="str">
        <f t="shared" si="104"/>
        <v/>
      </c>
      <c r="GU18" s="332" t="str">
        <f t="shared" si="105"/>
        <v/>
      </c>
      <c r="GV18" s="343" t="str">
        <f t="shared" si="106"/>
        <v>S</v>
      </c>
      <c r="GW18" s="331" t="str">
        <f t="shared" si="107"/>
        <v>•</v>
      </c>
      <c r="GX18" s="332" t="str">
        <f t="shared" si="108"/>
        <v>o</v>
      </c>
      <c r="GY18" s="332" t="str">
        <f t="shared" si="109"/>
        <v>o</v>
      </c>
      <c r="GZ18" s="332" t="str">
        <f t="shared" si="110"/>
        <v>•</v>
      </c>
      <c r="HA18" s="332" t="str">
        <f t="shared" si="111"/>
        <v>o</v>
      </c>
      <c r="HB18" s="332" t="str">
        <f t="shared" si="112"/>
        <v>•</v>
      </c>
      <c r="HC18" s="332" t="str">
        <f t="shared" si="113"/>
        <v>o</v>
      </c>
      <c r="HD18" s="332" t="str">
        <f t="shared" si="114"/>
        <v>o</v>
      </c>
      <c r="HE18" s="332" t="str">
        <f t="shared" si="115"/>
        <v>o</v>
      </c>
      <c r="HF18" s="332" t="str">
        <f t="shared" si="116"/>
        <v>•</v>
      </c>
      <c r="HG18" s="332" t="str">
        <f t="shared" si="117"/>
        <v>o</v>
      </c>
      <c r="HH18" s="332" t="str">
        <f t="shared" si="118"/>
        <v>•</v>
      </c>
      <c r="HI18" s="338" t="str">
        <f t="shared" si="119"/>
        <v>•</v>
      </c>
      <c r="HJ18" s="346" t="b">
        <f t="shared" si="120"/>
        <v>1</v>
      </c>
      <c r="HK18" s="347" t="b">
        <f t="shared" si="121"/>
        <v>0</v>
      </c>
      <c r="HL18" s="347" t="b">
        <f t="shared" si="122"/>
        <v>0</v>
      </c>
      <c r="HM18" s="347" t="b">
        <f t="shared" si="123"/>
        <v>1</v>
      </c>
      <c r="HN18" s="347" t="b">
        <f t="shared" si="124"/>
        <v>0</v>
      </c>
      <c r="HO18" s="347" t="b">
        <f t="shared" si="125"/>
        <v>0</v>
      </c>
      <c r="HP18" s="347" t="b">
        <f t="shared" si="126"/>
        <v>0</v>
      </c>
      <c r="HQ18" s="347" t="b">
        <f t="shared" si="127"/>
        <v>0</v>
      </c>
      <c r="HR18" s="347" t="b">
        <f t="shared" si="128"/>
        <v>0</v>
      </c>
      <c r="HS18" s="347" t="b">
        <f t="shared" si="129"/>
        <v>1</v>
      </c>
      <c r="HT18" s="347" t="b">
        <f t="shared" si="130"/>
        <v>0</v>
      </c>
      <c r="HU18" s="347" t="b">
        <f t="shared" si="131"/>
        <v>1</v>
      </c>
      <c r="HV18" s="353" t="b">
        <f t="shared" si="132"/>
        <v>1</v>
      </c>
      <c r="HW18" s="354" t="str">
        <f t="shared" si="133"/>
        <v>Sa, </v>
      </c>
      <c r="HX18" s="355" t="str">
        <f t="shared" si="134"/>
        <v/>
      </c>
      <c r="HY18" s="355" t="str">
        <f t="shared" si="135"/>
        <v/>
      </c>
      <c r="HZ18" s="355" t="str">
        <f t="shared" si="136"/>
        <v>ga, </v>
      </c>
      <c r="IA18" s="355" t="str">
        <f t="shared" si="137"/>
        <v/>
      </c>
      <c r="IB18" s="355" t="str">
        <f t="shared" si="138"/>
        <v/>
      </c>
      <c r="IC18" s="355" t="str">
        <f t="shared" si="139"/>
        <v/>
      </c>
      <c r="ID18" s="355" t="str">
        <f t="shared" si="140"/>
        <v/>
      </c>
      <c r="IE18" s="355" t="str">
        <f t="shared" si="141"/>
        <v/>
      </c>
      <c r="IF18" s="355" t="str">
        <f t="shared" si="142"/>
        <v>Dha, </v>
      </c>
      <c r="IG18" s="355" t="str">
        <f t="shared" si="143"/>
        <v/>
      </c>
      <c r="IH18" s="355" t="str">
        <f t="shared" si="144"/>
        <v>Ni, </v>
      </c>
      <c r="II18" s="359" t="str">
        <f t="shared" si="145"/>
        <v/>
      </c>
      <c r="IJ18" s="346" t="b">
        <f t="shared" si="146"/>
        <v>0</v>
      </c>
      <c r="IK18" s="347" t="b">
        <f t="shared" si="147"/>
        <v>0</v>
      </c>
      <c r="IL18" s="347" t="b">
        <f t="shared" si="148"/>
        <v>0</v>
      </c>
      <c r="IM18" s="347" t="b">
        <f t="shared" si="149"/>
        <v>1</v>
      </c>
      <c r="IN18" s="347" t="b">
        <f t="shared" si="150"/>
        <v>0</v>
      </c>
      <c r="IO18" s="347" t="b">
        <f t="shared" si="151"/>
        <v>0</v>
      </c>
      <c r="IP18" s="347" t="b">
        <f t="shared" si="152"/>
        <v>0</v>
      </c>
      <c r="IQ18" s="347" t="b">
        <f t="shared" si="153"/>
        <v>0</v>
      </c>
      <c r="IR18" s="347" t="b">
        <f t="shared" si="154"/>
        <v>0</v>
      </c>
      <c r="IS18" s="347" t="b">
        <f t="shared" si="155"/>
        <v>1</v>
      </c>
      <c r="IT18" s="347" t="b">
        <f t="shared" si="156"/>
        <v>0</v>
      </c>
      <c r="IU18" s="347" t="b">
        <f t="shared" si="157"/>
        <v>1</v>
      </c>
      <c r="IV18" s="365" t="b">
        <f t="shared" si="158"/>
        <v>0</v>
      </c>
      <c r="IW18" s="354" t="str">
        <f t="shared" si="159"/>
        <v/>
      </c>
      <c r="IX18" s="355" t="str">
        <f t="shared" si="160"/>
        <v/>
      </c>
      <c r="IY18" s="355" t="str">
        <f t="shared" si="161"/>
        <v/>
      </c>
      <c r="IZ18" s="355" t="str">
        <f t="shared" si="162"/>
        <v>ga, </v>
      </c>
      <c r="JA18" s="355" t="str">
        <f t="shared" si="163"/>
        <v/>
      </c>
      <c r="JB18" s="355" t="str">
        <f t="shared" si="164"/>
        <v/>
      </c>
      <c r="JC18" s="355" t="str">
        <f t="shared" si="165"/>
        <v/>
      </c>
      <c r="JD18" s="355" t="str">
        <f t="shared" si="166"/>
        <v/>
      </c>
      <c r="JE18" s="355" t="str">
        <f t="shared" si="167"/>
        <v/>
      </c>
      <c r="JF18" s="355" t="str">
        <f t="shared" si="168"/>
        <v>Dha, </v>
      </c>
      <c r="JG18" s="355" t="str">
        <f t="shared" si="169"/>
        <v/>
      </c>
      <c r="JH18" s="355" t="str">
        <f t="shared" si="170"/>
        <v>Ni, </v>
      </c>
      <c r="JI18" s="359"/>
      <c r="JJ18" s="321"/>
      <c r="JK18" s="368"/>
      <c r="JL18" s="369"/>
      <c r="JM18" s="369"/>
      <c r="JN18" s="369"/>
      <c r="JO18" s="369"/>
      <c r="JP18" s="369"/>
      <c r="JQ18" s="369"/>
      <c r="JR18" s="369"/>
      <c r="JS18" s="369"/>
      <c r="JT18" s="369"/>
      <c r="JU18" s="369"/>
    </row>
    <row r="19" ht="20.25" customHeight="1">
      <c r="A19" s="221" t="s">
        <v>651</v>
      </c>
      <c r="B19" s="223" t="s">
        <v>652</v>
      </c>
      <c r="C19" s="222" t="s">
        <v>275</v>
      </c>
      <c r="D19" s="222"/>
      <c r="E19" s="222" t="s">
        <v>275</v>
      </c>
      <c r="F19" s="222" t="s">
        <v>275</v>
      </c>
      <c r="G19" s="395" t="s">
        <v>275</v>
      </c>
      <c r="H19" s="222">
        <v>17.0</v>
      </c>
      <c r="I19" s="224" t="s">
        <v>1219</v>
      </c>
      <c r="J19" s="414">
        <f t="shared" si="5"/>
        <v>1</v>
      </c>
      <c r="K19" s="227">
        <f t="shared" si="6"/>
        <v>8</v>
      </c>
      <c r="L19" s="229">
        <f t="shared" si="7"/>
        <v>7</v>
      </c>
      <c r="M19" s="230">
        <f t="shared" si="8"/>
        <v>1</v>
      </c>
      <c r="N19" s="233" t="str">
        <f t="shared" si="9"/>
        <v>SRgmPdnNS</v>
      </c>
      <c r="O19" s="234" t="str">
        <f>IFERROR(__xludf.DUMMYFUNCTION("IF(REGEXMATCH(N19, ""S""), ""S"","""")"),"S")</f>
        <v>S</v>
      </c>
      <c r="P19" s="236" t="str">
        <f>IFERROR(__xludf.DUMMYFUNCTION("IF(REGEXMATCH(N19, ""r""), ""r"","""")"),"")</f>
        <v/>
      </c>
      <c r="Q19" s="237" t="str">
        <f>IFERROR(__xludf.DUMMYFUNCTION("IF(REGEXMATCH(N19, ""R""), ""R"","""")"),"R")</f>
        <v>R</v>
      </c>
      <c r="R19" s="237" t="str">
        <f>IFERROR(__xludf.DUMMYFUNCTION("IF(REGEXMATCH(N19, ""g""), ""g"","""")"),"g")</f>
        <v>g</v>
      </c>
      <c r="S19" s="236" t="str">
        <f>IFERROR(__xludf.DUMMYFUNCTION("IF(REGEXMATCH(N19, ""G""), ""G"","""")"),"")</f>
        <v/>
      </c>
      <c r="T19" s="236" t="str">
        <f>IFERROR(__xludf.DUMMYFUNCTION("IF(REGEXMATCH(N19, ""m""), ""m"","""")"),"m")</f>
        <v>m</v>
      </c>
      <c r="U19" s="237" t="str">
        <f>IFERROR(__xludf.DUMMYFUNCTION("IF(REGEXMATCH(N19, ""M""), ""M"","""")"),"")</f>
        <v/>
      </c>
      <c r="V19" s="236" t="str">
        <f>IFERROR(__xludf.DUMMYFUNCTION("IF(REGEXMATCH(N19, ""P""), ""P"","""")"),"P")</f>
        <v>P</v>
      </c>
      <c r="W19" s="237" t="str">
        <f>IFERROR(__xludf.DUMMYFUNCTION("IF(REGEXMATCH(N19, ""d""), ""d"","""")"),"d")</f>
        <v>d</v>
      </c>
      <c r="X19" s="236" t="str">
        <f>IFERROR(__xludf.DUMMYFUNCTION("IF(REGEXMATCH(N19, ""D""), ""D"","""")"),"")</f>
        <v/>
      </c>
      <c r="Y19" s="236" t="str">
        <f>IFERROR(__xludf.DUMMYFUNCTION("IF(REGEXMATCH(N19, ""n""), ""n"","""")"),"n")</f>
        <v>n</v>
      </c>
      <c r="Z19" s="237" t="str">
        <f>IFERROR(__xludf.DUMMYFUNCTION("IF(REGEXMATCH(N19, ""N""), ""N"","""")"),"N")</f>
        <v>N</v>
      </c>
      <c r="AA19" s="238" t="str">
        <f>IFERROR(__xludf.DUMMYFUNCTION("IF(REGEXMATCH(N19, ""S""), ""S"","""")"),"S")</f>
        <v>S</v>
      </c>
      <c r="AB19" s="239" t="str">
        <f>IFERROR(__xludf.DUMMYFUNCTION("SUBSTITUTE(CONCATENATE(JOIN(""-"",O19:U19)),""-"","""")"),"SRgm")</f>
        <v>SRgm</v>
      </c>
      <c r="AC19" s="229" t="str">
        <f>IFERROR(__xludf.DUMMYFUNCTION("SUBSTITUTE(CONCATENATE(JOIN(""-"",V19:AA19)),""-"","""")"),"PdnNS")</f>
        <v>PdnNS</v>
      </c>
      <c r="AD19" s="282" t="str">
        <f t="shared" si="10"/>
        <v>S-R-G-M</v>
      </c>
      <c r="AE19" s="282" t="str">
        <f t="shared" si="11"/>
        <v>P-D-N-S</v>
      </c>
      <c r="AF19" s="309" t="str">
        <f t="shared" si="12"/>
        <v>RgmdnN</v>
      </c>
      <c r="AG19" s="244" t="str">
        <f>IFERROR(__xludf.DUMMYFUNCTION("IF(REGEXMATCH(N19, ""S""), ""0"","""")"),"0")</f>
        <v>0</v>
      </c>
      <c r="AH19" s="245" t="str">
        <f>IFERROR(__xludf.DUMMYFUNCTION("IF(REGEXMATCH(N19, ""r""), ""1"","""")"),"")</f>
        <v/>
      </c>
      <c r="AI19" s="246" t="str">
        <f>IFERROR(__xludf.DUMMYFUNCTION("IF(REGEXMATCH(N19, ""R""), ""2"","""")"),"2")</f>
        <v>2</v>
      </c>
      <c r="AJ19" s="246" t="str">
        <f>IFERROR(__xludf.DUMMYFUNCTION("IF(REGEXMATCH(N19, ""g""), ""3"","""")"),"3")</f>
        <v>3</v>
      </c>
      <c r="AK19" s="245" t="str">
        <f>IFERROR(__xludf.DUMMYFUNCTION("IF(REGEXMATCH(N19, ""G""), ""4"","""")"),"")</f>
        <v/>
      </c>
      <c r="AL19" s="245" t="str">
        <f>IFERROR(__xludf.DUMMYFUNCTION("IF(REGEXMATCH(N19, ""m""), ""5"","""")"),"5")</f>
        <v>5</v>
      </c>
      <c r="AM19" s="246" t="str">
        <f>IFERROR(__xludf.DUMMYFUNCTION("IF(REGEXMATCH(N19, ""M""), ""6"","""")"),"")</f>
        <v/>
      </c>
      <c r="AN19" s="245" t="str">
        <f>IFERROR(__xludf.DUMMYFUNCTION("IF(REGEXMATCH(N19, ""P""), ""7"","""")"),"7")</f>
        <v>7</v>
      </c>
      <c r="AO19" s="246" t="str">
        <f>IFERROR(__xludf.DUMMYFUNCTION("IF(REGEXMATCH(N19, ""d""), ""8"","""")"),"8")</f>
        <v>8</v>
      </c>
      <c r="AP19" s="245" t="str">
        <f>IFERROR(__xludf.DUMMYFUNCTION("IF(REGEXMATCH(N19, ""D""), ""9"","""")"),"")</f>
        <v/>
      </c>
      <c r="AQ19" s="245" t="str">
        <f>IFERROR(__xludf.DUMMYFUNCTION("IF(REGEXMATCH(N19, ""n""), ""10"","""")"),"10")</f>
        <v>10</v>
      </c>
      <c r="AR19" s="246" t="str">
        <f>IFERROR(__xludf.DUMMYFUNCTION("IF(REGEXMATCH(N19, ""N""), ""11"","""")"),"11")</f>
        <v>11</v>
      </c>
      <c r="AS19" s="249" t="str">
        <f>IFERROR(__xludf.DUMMYFUNCTION("IF(REGEXMATCH(N19, ""S""), ""0"","""")"),"0")</f>
        <v>0</v>
      </c>
      <c r="AT19" s="250" t="str">
        <f>IFERROR(__xludf.DUMMYFUNCTION("SUBSTITUTE(SUBSTITUTE(SUBSTITUTE(SUBSTITUTE(CONCATENATE(JOIN(""-"",AG19:AS19)),""--"",""-""),""--"",""-""),""--"",""-""),""--"",""-"")"),"0-2-3-5-7-8-10-11-0")</f>
        <v>0-2-3-5-7-8-10-11-0</v>
      </c>
      <c r="AU19" s="251">
        <f t="shared" si="13"/>
        <v>1</v>
      </c>
      <c r="AV19" s="234" t="str">
        <f t="shared" si="14"/>
        <v>|</v>
      </c>
      <c r="AW19" s="236" t="str">
        <f t="shared" si="15"/>
        <v>-</v>
      </c>
      <c r="AX19" s="237" t="str">
        <f t="shared" si="16"/>
        <v>|</v>
      </c>
      <c r="AY19" s="236" t="str">
        <f t="shared" si="17"/>
        <v>|</v>
      </c>
      <c r="AZ19" s="237" t="str">
        <f t="shared" si="18"/>
        <v>-</v>
      </c>
      <c r="BA19" s="236" t="str">
        <f t="shared" si="19"/>
        <v>|</v>
      </c>
      <c r="BB19" s="237" t="str">
        <f t="shared" si="20"/>
        <v>-</v>
      </c>
      <c r="BC19" s="236" t="str">
        <f t="shared" si="21"/>
        <v>|</v>
      </c>
      <c r="BD19" s="237" t="str">
        <f t="shared" si="22"/>
        <v>|</v>
      </c>
      <c r="BE19" s="236" t="str">
        <f t="shared" si="23"/>
        <v>-</v>
      </c>
      <c r="BF19" s="237" t="str">
        <f t="shared" si="24"/>
        <v>|</v>
      </c>
      <c r="BG19" s="236" t="str">
        <f t="shared" si="25"/>
        <v>|</v>
      </c>
      <c r="BH19" s="238" t="str">
        <f t="shared" si="26"/>
        <v>|</v>
      </c>
      <c r="BI19" s="250" t="str">
        <f>IFERROR(__xludf.DUMMYFUNCTION("SUBSTITUTE(SUBSTITUTE(CONCATENATE(JOIN("""",AV19:BG19)),""|"",""x""),""-"",""o"")"),"xoxxoxoxxoxx")</f>
        <v>xoxxoxoxxoxx</v>
      </c>
      <c r="BJ19" s="323" t="str">
        <f>IFERROR(__xludf.DUMMYFUNCTION("JOIN("""",BI19,BI19)"),"xoxxoxoxxoxxxoxxoxoxxoxx")</f>
        <v>xoxxoxoxxoxxxoxxoxoxxoxx</v>
      </c>
      <c r="BK19" s="256" t="str">
        <f>IFERROR(__xludf.DUMMYFUNCTION("JOIN("""",ArrayFormula(MID(BI19,LEN(BI19)-SEQUENCE(1,LEN(BI19))+1,1)))"),"xxoxxoxoxxox")</f>
        <v>xxoxxoxoxxox</v>
      </c>
      <c r="BL19" s="256" t="str">
        <f>IFERROR(__xludf.DUMMYFUNCTION("LEFT(CONCATENATE(""x"",JOIN("""",ArrayFormula(MID(BI19,LEN(BI19)-SEQUENCE(1,LEN(BI19))+1,1)))),12)"),"xxxoxxoxoxxo")</f>
        <v>xxxoxxoxoxxo</v>
      </c>
      <c r="BM19" s="327" t="str">
        <f>IFERROR(__xludf.DUMMYFUNCTION("JOIN("""",BK19,BK19)"),"xxoxxoxoxxoxxxoxxoxoxxox")</f>
        <v>xxoxxoxoxxoxxxoxxoxoxxox</v>
      </c>
      <c r="BN19" s="239" t="str">
        <f>IFERROR(__xludf.DUMMYFUNCTION("IF(REGEXMATCH(BM19,BI19),""✔"",""-"")"),"✔")</f>
        <v>✔</v>
      </c>
      <c r="BO19" s="330" t="str">
        <f t="shared" si="27"/>
        <v>-</v>
      </c>
      <c r="BP19" s="260" t="str">
        <f t="shared" si="28"/>
        <v>-</v>
      </c>
      <c r="BQ19" s="261" t="str">
        <f>IFERROR(__xludf.DUMMYFUNCTION("IF(BT19=0,""(n/a)"",IF(BU19=2,""(PAIR)"",IF(REGEXMATCH(BJ19,""xoxoxxoxoxox""),""Bilawal"",IF(REGEXMATCH(BJ19,""xoxoxooxoxoo""),""Bhupali"",IF(REGEXMATCH(BJ19,""xoxoxxoxxoxo""),""Charukeshi"",IF(REGEXMATCH(BJ19,""xoxoooxxoxxo""),""Kameshwari"",IF(REGEXMATC"&amp;"H(BJ19,""xoxoxooxoxox""),""Shankara"",IF(REGEXMATCH(BJ19,""xxooxoxxxoox""),""Basant"",IF(REGEXMATCH(BJ19,""xoxoxxxxoxox""),""Bihag"",IF(REGEXMATCH(BJ19,""xoxxxxoxoxxx""),""Pilu"",IF(REGEXMATCH(BJ19,""xoxxoxoxxoox""),""Kirwani"",IF(REGEXMATCH(BJ19,""xoxxox"&amp;"oxoxxx""),""Mk.Malhar"",IF(REGEXMATCH(BJ19,""xxooxxoxxoox""),""Bhairav"",IF(REGEXMATCH(BJ19,""xxoxooxxxoox""),""Todi"",IF(REGEXMATCH(BJ19,""xxooxoxooxox""),""Marwa"",IF(REGEXMATCH(BJ19,""xxoooxoxxooo""),""Gunkali"",IF(REGEXMATCH(BJ19,""xoxoxxoxxoox""),""N"&amp;"at Bhairav"",IF(REGEXMATCH(BJ19,""xoxxoooxoxoo""),""Shivranjani"",IF(REGEXMATCH(BJ19,""xooxxxoxooxo""),""Jog"",IF(REGEXMATCH(BJ19,""xxooxoxoxoox""),""Hemshri"",IF(REGEXMATCH(BJ19,""xoooxooxoxxo""),""Kalavati"",IF(REGEXMATCH(BJ19,""xxoxoxxoxoox""),""Kedar"&amp;""",IF(REGEXMATCH(BJ19,""xoxxxxoxooxx""),""Gara"",IF(REGEXMATCH(BJ19,""xooxoxooxoox""),""Chandrakauns"",IF(REGEXMATCH(BJ19,""xoxxxxoxxxox""),""Mand"",IF(REGEXMATCH(BJ19,""xoxxxxoxoxox""),""Hanskinkini"",IF(REGEXMATCH(BJ19,""xxooxxoxooxo""),""Lilavati"",IF("&amp;"REGEXMATCH(BJ19,""xooxoxoooxox""),""Rajeshwari"",IF(REGEXMATCH(BJ19,""xoooxxoxoxxx""),""Khokar"",IF(REGEXMATCH(BJ19,""xxooxoxxxxox""),""Maligoura"",""-""))))))))))))))))))))))))))))))"),"(n/a)")</f>
        <v>(n/a)</v>
      </c>
      <c r="BR19" s="239">
        <f t="shared" si="29"/>
        <v>7</v>
      </c>
      <c r="BS19" s="239">
        <f>IFERROR(__xludf.DUMMYFUNCTION("COUNTUNIQUE(BW19:CG19)-1"),7.0)</f>
        <v>7</v>
      </c>
      <c r="BT19" s="239">
        <f>IFERROR(__xludf.DUMMYFUNCTION("COUNTUNIQUE(FILTER(BJ:BJ,REGEXMATCH(BJ:BJ,BI19)))-1"),0.0)</f>
        <v>0</v>
      </c>
      <c r="BU19" s="239">
        <f>IFERROR(__xludf.DUMMYFUNCTION("COUNTA(FILTER(BJ:BJ,REGEXMATCH(BJ:BJ,BI19)))"),2.0)</f>
        <v>2</v>
      </c>
      <c r="BV19" s="341">
        <f>IFERROR(__xludf.DUMMYFUNCTION("COUNTA(FILTER(BJ:BJ,REGEXMATCH(BJ:BJ,BI19)))-AU19"),1.0)</f>
        <v>1</v>
      </c>
      <c r="BW19" s="269" t="str">
        <f t="shared" si="30"/>
        <v>-</v>
      </c>
      <c r="BX19" s="269" t="str">
        <f t="shared" si="31"/>
        <v>xxoxoxxoxxx</v>
      </c>
      <c r="BY19" s="271" t="str">
        <f t="shared" si="32"/>
        <v>xoxoxxoxxxo</v>
      </c>
      <c r="BZ19" s="269" t="str">
        <f t="shared" si="33"/>
        <v>-</v>
      </c>
      <c r="CA19" s="271" t="str">
        <f t="shared" si="34"/>
        <v>xoxxoxxxoxx</v>
      </c>
      <c r="CB19" s="271" t="str">
        <f t="shared" si="35"/>
        <v>-</v>
      </c>
      <c r="CC19" s="271" t="str">
        <f t="shared" si="36"/>
        <v>xxoxxxoxxox</v>
      </c>
      <c r="CD19" s="271" t="str">
        <f t="shared" si="37"/>
        <v>xoxxxoxxoxo</v>
      </c>
      <c r="CE19" s="271" t="str">
        <f t="shared" si="38"/>
        <v>-</v>
      </c>
      <c r="CF19" s="271" t="str">
        <f t="shared" si="39"/>
        <v>xxxoxxoxoxx</v>
      </c>
      <c r="CG19" s="274" t="str">
        <f t="shared" si="40"/>
        <v>xxoxxoxoxxo</v>
      </c>
      <c r="CH19" s="276" t="str">
        <f>IFERROR(__xludf.DUMMYFUNCTION("IF(BI19=""oooooooooooo"",""-"",IF(REGEXMATCH(BJ19,""xx""), ""Hemi."", ""Anhemi.""))"),"Hemi.")</f>
        <v>Hemi.</v>
      </c>
      <c r="CI19" s="282" t="str">
        <f>IFERROR(__xludf.DUMMYFUNCTION("IF(BI19=""oooooooooooo"",""-"",IF(REGEXMATCH(BJ19,""xxx""), ""Cohem."", ""-""))"),"Cohem.")</f>
        <v>Cohem.</v>
      </c>
      <c r="CJ19" s="282" t="str">
        <f>IFERROR(__xludf.DUMMYFUNCTION("IF(BI19=""oooooooooooo"",""-"",IF(REGEXMATCH(BJ19,""xxxx""), ""Co-Co."", ""-""))"),"-")</f>
        <v>-</v>
      </c>
      <c r="CK19" s="342" t="str">
        <f>IFERROR(__xludf.DUMMYFUNCTION("IF(BI19=""oooooooooooo"",""-"",IF(REGEXMATCH(BJ19,""xxxxx""), ""CCC."", ""-""))"),"-")</f>
        <v>-</v>
      </c>
      <c r="CL19" s="344" t="str">
        <f t="shared" si="41"/>
        <v>-</v>
      </c>
      <c r="CM19" s="282" t="str">
        <f>IFERROR(__xludf.DUMMYFUNCTION("IF(REGEXMATCH(JOIN(""-"",CO19:CX19),""TRUE""),""✔"",""-"")"),"-")</f>
        <v>-</v>
      </c>
      <c r="CN19" s="225">
        <f t="shared" si="42"/>
        <v>0</v>
      </c>
      <c r="CO19" s="376" t="b">
        <f>IFERROR(__xludf.DUMMYFUNCTION("arrayformula(sum(--REGEXMATCH(""SRGMPDNS"",split(REGEXREPLACE(N19,""(.)"",""$1~""),""~""))))=len(N19)
"),FALSE)</f>
        <v>0</v>
      </c>
      <c r="CP19" s="290" t="b">
        <f>IFERROR(__xludf.DUMMYFUNCTION("arrayformula(sum(--REGEXMATCH(""SRGmPDNS"",split(REGEXREPLACE(N19,""(.)"",""$1~""),""~""))))=len(N19)"),FALSE)</f>
        <v>0</v>
      </c>
      <c r="CQ19" s="290" t="b">
        <f>IFERROR(__xludf.DUMMYFUNCTION("arrayformula(sum(--REGEXMATCH(""SRGmPDnS"",split(REGEXREPLACE(N19,""(.)"",""$1~""),""~""))))=len(N19)"),FALSE)</f>
        <v>0</v>
      </c>
      <c r="CR19" s="290" t="b">
        <f>IFERROR(__xludf.DUMMYFUNCTION("arrayformula(sum(--REGEXMATCH(""SRgmPDnS"",split(REGEXREPLACE(N19,""(.)"",""$1~""),""~""))))=len(N19)"),FALSE)</f>
        <v>0</v>
      </c>
      <c r="CS19" s="290" t="b">
        <f>IFERROR(__xludf.DUMMYFUNCTION("arrayformula(sum(--REGEXMATCH(""SRgmPdnS"",split(REGEXREPLACE(N19,""(.)"",""$1~""),""~""))))=len(N19)"),FALSE)</f>
        <v>0</v>
      </c>
      <c r="CT19" s="290" t="b">
        <f>IFERROR(__xludf.DUMMYFUNCTION("arrayformula(sum(--REGEXMATCH(""SrgmPdnS"",split(REGEXREPLACE(N19,""(.)"",""$1~""),""~""))))=len(N19)"),FALSE)</f>
        <v>0</v>
      </c>
      <c r="CU19" s="290" t="b">
        <f>IFERROR(__xludf.DUMMYFUNCTION("arrayformula(sum(--REGEXMATCH(""SrGmPdNS"",split(REGEXREPLACE(N19,""(.)"",""$1~""),""~""))))=len(N19)"),FALSE)</f>
        <v>0</v>
      </c>
      <c r="CV19" s="290" t="b">
        <f>IFERROR(__xludf.DUMMYFUNCTION("arrayformula(sum(--REGEXMATCH(""SrGMPDNS"",split(REGEXREPLACE(N19,""(.)"",""$1~""),""~""))))=len(N19)"),FALSE)</f>
        <v>0</v>
      </c>
      <c r="CW19" s="290" t="b">
        <f>IFERROR(__xludf.DUMMYFUNCTION("arrayformula(sum(--REGEXMATCH(""SrGMPdNS"",split(REGEXREPLACE(N19,""(.)"",""$1~""),""~""))))=len(N19)"),FALSE)</f>
        <v>0</v>
      </c>
      <c r="CX19" s="293" t="b">
        <f>IFERROR(__xludf.DUMMYFUNCTION("arrayformula(sum(--REGEXMATCH(""SrgMPdNS"",split(REGEXREPLACE(N19,""(.)"",""$1~""),""~""))))=len(N19)"),FALSE)</f>
        <v>0</v>
      </c>
      <c r="CY19" s="244" t="str">
        <f>IFERROR(__xludf.DUMMYFUNCTION("IF(REGEXMATCH(N19, ""S""), ""1"","""")"),"1")</f>
        <v>1</v>
      </c>
      <c r="CZ19" s="245" t="str">
        <f>IFERROR(__xludf.DUMMYFUNCTION("IF(REGEXMATCH(N19, ""r""), ""b2"","""")"),"")</f>
        <v/>
      </c>
      <c r="DA19" s="246" t="str">
        <f>IFERROR(__xludf.DUMMYFUNCTION("IF(REGEXMATCH(N19, ""R""), ""2"","""")"),"2")</f>
        <v>2</v>
      </c>
      <c r="DB19" s="246" t="str">
        <f>IFERROR(__xludf.DUMMYFUNCTION("IF(REGEXMATCH(N19, ""g""), ""b3"","""")"),"b3")</f>
        <v>b3</v>
      </c>
      <c r="DC19" s="245" t="str">
        <f>IFERROR(__xludf.DUMMYFUNCTION("IF(REGEXMATCH(N19, ""G""), ""3"","""")"),"")</f>
        <v/>
      </c>
      <c r="DD19" s="245" t="str">
        <f>IFERROR(__xludf.DUMMYFUNCTION("IF(REGEXMATCH(N19, ""m""), ""4"","""")"),"4")</f>
        <v>4</v>
      </c>
      <c r="DE19" s="246" t="str">
        <f>IFERROR(__xludf.DUMMYFUNCTION("IF(REGEXMATCH(N19, ""M""), ""#4"","""")"),"")</f>
        <v/>
      </c>
      <c r="DF19" s="245" t="str">
        <f>IFERROR(__xludf.DUMMYFUNCTION("IF(REGEXMATCH(N19, ""P""), ""5"","""")"),"5")</f>
        <v>5</v>
      </c>
      <c r="DG19" s="246" t="str">
        <f>IFERROR(__xludf.DUMMYFUNCTION("IF(REGEXMATCH(N19, ""d""), ""b6"","""")"),"b6")</f>
        <v>b6</v>
      </c>
      <c r="DH19" s="245" t="str">
        <f>IFERROR(__xludf.DUMMYFUNCTION("IF(REGEXMATCH(N19, ""D""), ""6"","""")"),"")</f>
        <v/>
      </c>
      <c r="DI19" s="245" t="str">
        <f>IFERROR(__xludf.DUMMYFUNCTION("IF(REGEXMATCH(N19, ""n""), ""b7"","""")"),"b7")</f>
        <v>b7</v>
      </c>
      <c r="DJ19" s="246" t="str">
        <f>IFERROR(__xludf.DUMMYFUNCTION("IF(REGEXMATCH(N19, ""N""), ""7"","""")"),"7")</f>
        <v>7</v>
      </c>
      <c r="DK19" s="249" t="str">
        <f>IFERROR(__xludf.DUMMYFUNCTION("IF(REGEXMATCH(N19, ""S""), ""8"","""")"),"8")</f>
        <v>8</v>
      </c>
      <c r="DL19" s="244" t="str">
        <f>IFERROR(__xludf.DUMMYFUNCTION("IF(REGEXMATCH(N19, ""S""), ""S"","""")"),"S")</f>
        <v>S</v>
      </c>
      <c r="DM19" s="294" t="str">
        <f>IFERROR(__xludf.DUMMYFUNCTION("IF(REGEXMATCH(N19, ""r""), ""R1"","""")"),"")</f>
        <v/>
      </c>
      <c r="DN19" s="295" t="str">
        <f>IFERROR(__xludf.DUMMYFUNCTION("IF(REGEXMATCH(N19, ""R""), ""R2"","""")"),"R2")</f>
        <v>R2</v>
      </c>
      <c r="DO19" s="295" t="str">
        <f>IFERROR(__xludf.DUMMYFUNCTION("IF(REGEXMATCH(N19, ""g""), ""G2"","""")"),"G2")</f>
        <v>G2</v>
      </c>
      <c r="DP19" s="294" t="str">
        <f>IFERROR(__xludf.DUMMYFUNCTION("IF(REGEXMATCH(N19, ""G""), ""G3"","""")"),"")</f>
        <v/>
      </c>
      <c r="DQ19" s="294" t="str">
        <f>IFERROR(__xludf.DUMMYFUNCTION("IF(REGEXMATCH(N19, ""m""), ""M1"","""")"),"M1")</f>
        <v>M1</v>
      </c>
      <c r="DR19" s="295" t="str">
        <f>IFERROR(__xludf.DUMMYFUNCTION("IF(REGEXMATCH(N19, ""M""), ""M2"","""")"),"")</f>
        <v/>
      </c>
      <c r="DS19" s="294" t="str">
        <f>IFERROR(__xludf.DUMMYFUNCTION("IF(REGEXMATCH(N19, ""P""), ""P"","""")"),"P")</f>
        <v>P</v>
      </c>
      <c r="DT19" s="295" t="str">
        <f>IFERROR(__xludf.DUMMYFUNCTION("IF(REGEXMATCH(N19, ""d""), ""D1"","""")"),"D1")</f>
        <v>D1</v>
      </c>
      <c r="DU19" s="294" t="str">
        <f>IFERROR(__xludf.DUMMYFUNCTION("IF(REGEXMATCH(N19, ""D""), ""D2"","""")"),"")</f>
        <v/>
      </c>
      <c r="DV19" s="294" t="str">
        <f>IFERROR(__xludf.DUMMYFUNCTION("IF(REGEXMATCH(N19, ""n""), ""N2"","""")"),"N2")</f>
        <v>N2</v>
      </c>
      <c r="DW19" s="295" t="str">
        <f>IFERROR(__xludf.DUMMYFUNCTION("IF(REGEXMATCH(N19, ""N""), ""N3"","""")"),"N3")</f>
        <v>N3</v>
      </c>
      <c r="DX19" s="249" t="str">
        <f>IFERROR(__xludf.DUMMYFUNCTION("IF(REGEXMATCH(N19, ""S""), ""S"","""")"),"S")</f>
        <v>S</v>
      </c>
      <c r="DY19" s="299" t="str">
        <f>IFERROR(__xludf.DUMMYFUNCTION("SUBSTITUTE(SUBSTITUTE(SUBSTITUTE(SUBSTITUTE(CONCATENATE(JOIN(""-"",CY19:DK19)),""--"",""-""),""--"",""-""),""--"",""-""),""--"",""-"")"),"1-2-b3-4-5-b6-b7-7-8")</f>
        <v>1-2-b3-4-5-b6-b7-7-8</v>
      </c>
      <c r="DZ19" s="299" t="str">
        <f>IFERROR(__xludf.DUMMYFUNCTION("SUBSTITUTE(SUBSTITUTE(SUBSTITUTE(SUBSTITUTE(CONCATENATE(JOIN(""-"",DL19:DX19)),""--"",""-""),""--"",""-""),""--"",""-""),""--"",""-"")"),"S-R2-G2-M1-P-D1-N2-N3-S")</f>
        <v>S-R2-G2-M1-P-D1-N2-N3-S</v>
      </c>
      <c r="EA19" s="348" t="str">
        <f t="shared" si="43"/>
        <v>C-D-Eb-F-G-Ab-Bb-B-C</v>
      </c>
      <c r="EB19" s="301">
        <f t="shared" si="44"/>
        <v>8</v>
      </c>
      <c r="EC19" s="302" t="str">
        <f t="shared" si="45"/>
        <v>Sampurna</v>
      </c>
      <c r="ED19" s="301" t="str">
        <f t="shared" ref="ED19:EE19" si="185">SUBSTITUTE(AD19,"-","")</f>
        <v>SRGM</v>
      </c>
      <c r="EE19" s="301" t="str">
        <f t="shared" si="185"/>
        <v>PDNS</v>
      </c>
      <c r="EF19" s="302" t="str">
        <f t="shared" si="47"/>
        <v>(n/a)</v>
      </c>
      <c r="EG19" s="301" t="str">
        <f t="shared" si="48"/>
        <v>Hemi.</v>
      </c>
      <c r="EH19" s="364" t="str">
        <f t="shared" si="49"/>
        <v>Cohem.</v>
      </c>
      <c r="EI19" s="306" t="str">
        <f t="shared" si="50"/>
        <v>-</v>
      </c>
      <c r="EJ19" s="366" t="str">
        <f t="shared" si="51"/>
        <v>-</v>
      </c>
      <c r="EK19" s="308" t="str">
        <f t="shared" si="52"/>
        <v>✔</v>
      </c>
      <c r="EL19" s="306" t="str">
        <f t="shared" si="53"/>
        <v>-</v>
      </c>
      <c r="EM19" s="306" t="str">
        <f t="shared" si="54"/>
        <v>-</v>
      </c>
      <c r="EN19" s="367" t="str">
        <f t="shared" si="55"/>
        <v>-</v>
      </c>
      <c r="EO19" s="310" t="str">
        <f t="shared" si="56"/>
        <v>-</v>
      </c>
      <c r="EP19" s="310" t="str">
        <f t="shared" si="57"/>
        <v>-</v>
      </c>
      <c r="EQ19" s="310" t="str">
        <f t="shared" si="58"/>
        <v>-</v>
      </c>
      <c r="ER19" s="310" t="str">
        <f t="shared" si="59"/>
        <v>-</v>
      </c>
      <c r="ES19" s="370" t="str">
        <f t="shared" si="60"/>
        <v>✔</v>
      </c>
      <c r="ET19" s="306" t="str">
        <f t="shared" si="61"/>
        <v>-</v>
      </c>
      <c r="EU19" s="306" t="str">
        <f t="shared" si="62"/>
        <v>-</v>
      </c>
      <c r="EV19" s="306" t="str">
        <f t="shared" si="63"/>
        <v>-</v>
      </c>
      <c r="EW19" s="306" t="str">
        <f t="shared" si="64"/>
        <v>-</v>
      </c>
      <c r="EX19" s="306" t="str">
        <f t="shared" si="65"/>
        <v>-</v>
      </c>
      <c r="EY19" s="367" t="str">
        <f t="shared" si="66"/>
        <v>-</v>
      </c>
      <c r="EZ19" s="310" t="str">
        <f>IFERROR(__xludf.DUMMYFUNCTION("IF(REGEXMATCH(BM19,BI19),""✔"",""-"")"),"✔")</f>
        <v>✔</v>
      </c>
      <c r="FA19" s="310" t="str">
        <f t="shared" si="67"/>
        <v>-</v>
      </c>
      <c r="FB19" s="370" t="str">
        <f t="shared" si="68"/>
        <v>-</v>
      </c>
      <c r="FC19" s="415">
        <f t="shared" si="69"/>
        <v>1</v>
      </c>
      <c r="FD19" s="317" t="str">
        <f t="shared" si="70"/>
        <v>S-R-g-m-P-d-nN-S</v>
      </c>
      <c r="FE19" s="318" t="str">
        <f>IFERROR(__xludf.DUMMYFUNCTION("CONCATENATE(JOIN("""",GJ19:GV19))"),"SrRGmPDnS")</f>
        <v>SrRGmPDnS</v>
      </c>
      <c r="FF19" s="318"/>
      <c r="FG19" s="318"/>
      <c r="FH19" s="321">
        <f t="shared" si="71"/>
        <v>2</v>
      </c>
      <c r="FI19" s="318" t="str">
        <f>IFERROR(__xludf.DUMMYFUNCTION("CONCATENATE(JOIN("""",HW19:II19))"),"Re, Ni, ")</f>
        <v>Re, Ni, </v>
      </c>
      <c r="FJ19" s="322">
        <f t="shared" si="72"/>
        <v>1</v>
      </c>
      <c r="FK19" s="324" t="str">
        <f>IFERROR(__xludf.DUMMYFUNCTION("CONCATENATE(JOIN("""",IW19:JI19))"),"Ni, ")</f>
        <v>Ni, </v>
      </c>
      <c r="FL19" s="325" t="str">
        <f t="shared" si="73"/>
        <v>S-R2-G2-M1-P-D1-N2-N3-S</v>
      </c>
      <c r="FM19" s="326" t="str">
        <f t="shared" si="74"/>
        <v>1-2-b3-4-5-b6-b7-7-8</v>
      </c>
      <c r="FN19" s="326" t="str">
        <f t="shared" si="75"/>
        <v>0-2-3-5-7-8-10-11-0</v>
      </c>
      <c r="FO19" s="318"/>
      <c r="FP19" s="328" t="str">
        <f>IFERROR(__xludf.DUMMYFUNCTION("SUBSTITUTE(SUBSTITUTE(SUBSTITUTE(SUBSTITUTE(CONCATENATE(JOIN("" "",FS19:GE19)),""  "","" ""),""  "","" ""),""  "","" ""),""  "","" "")"),"o • o o • o • o o • o o o")</f>
        <v>o • o o • o • o o • o o o</v>
      </c>
      <c r="FQ19" s="328" t="str">
        <f t="shared" si="76"/>
        <v>-</v>
      </c>
      <c r="FR19" s="329"/>
      <c r="FS19" s="331" t="str">
        <f t="shared" si="77"/>
        <v>o</v>
      </c>
      <c r="FT19" s="332" t="str">
        <f t="shared" si="78"/>
        <v>•</v>
      </c>
      <c r="FU19" s="332" t="str">
        <f t="shared" si="79"/>
        <v>o</v>
      </c>
      <c r="FV19" s="332" t="str">
        <f t="shared" si="80"/>
        <v>o</v>
      </c>
      <c r="FW19" s="332" t="str">
        <f t="shared" si="81"/>
        <v>•</v>
      </c>
      <c r="FX19" s="332" t="str">
        <f t="shared" si="82"/>
        <v>o</v>
      </c>
      <c r="FY19" s="332" t="str">
        <f t="shared" si="83"/>
        <v>•</v>
      </c>
      <c r="FZ19" s="332" t="str">
        <f t="shared" si="84"/>
        <v>o</v>
      </c>
      <c r="GA19" s="332" t="str">
        <f t="shared" si="85"/>
        <v>o</v>
      </c>
      <c r="GB19" s="332" t="str">
        <f t="shared" si="86"/>
        <v>•</v>
      </c>
      <c r="GC19" s="332" t="str">
        <f t="shared" si="87"/>
        <v>o</v>
      </c>
      <c r="GD19" s="332" t="str">
        <f t="shared" si="88"/>
        <v>o</v>
      </c>
      <c r="GE19" s="338" t="str">
        <f t="shared" si="89"/>
        <v>o</v>
      </c>
      <c r="GF19" s="339" t="str">
        <f t="shared" si="90"/>
        <v>-</v>
      </c>
      <c r="GG19" s="339" t="str">
        <f t="shared" si="91"/>
        <v>Sa-Pa</v>
      </c>
      <c r="GH19" s="339" t="str">
        <f t="shared" si="92"/>
        <v>-</v>
      </c>
      <c r="GI19" s="340" t="str">
        <f t="shared" si="93"/>
        <v>-</v>
      </c>
      <c r="GJ19" s="331" t="str">
        <f t="shared" si="94"/>
        <v>S</v>
      </c>
      <c r="GK19" s="332" t="str">
        <f t="shared" si="95"/>
        <v>r</v>
      </c>
      <c r="GL19" s="332" t="str">
        <f t="shared" si="96"/>
        <v>R</v>
      </c>
      <c r="GM19" s="332" t="str">
        <f t="shared" si="97"/>
        <v/>
      </c>
      <c r="GN19" s="332" t="str">
        <f t="shared" si="98"/>
        <v>G</v>
      </c>
      <c r="GO19" s="332" t="str">
        <f t="shared" si="99"/>
        <v>m</v>
      </c>
      <c r="GP19" s="332" t="str">
        <f t="shared" si="100"/>
        <v/>
      </c>
      <c r="GQ19" s="332" t="str">
        <f t="shared" si="101"/>
        <v>P</v>
      </c>
      <c r="GR19" s="332" t="str">
        <f t="shared" si="102"/>
        <v/>
      </c>
      <c r="GS19" s="332" t="str">
        <f t="shared" si="103"/>
        <v>D</v>
      </c>
      <c r="GT19" s="332" t="str">
        <f t="shared" si="104"/>
        <v>n</v>
      </c>
      <c r="GU19" s="332" t="str">
        <f t="shared" si="105"/>
        <v/>
      </c>
      <c r="GV19" s="343" t="str">
        <f t="shared" si="106"/>
        <v>S</v>
      </c>
      <c r="GW19" s="331" t="str">
        <f t="shared" si="107"/>
        <v>•</v>
      </c>
      <c r="GX19" s="332" t="str">
        <f t="shared" si="108"/>
        <v>o</v>
      </c>
      <c r="GY19" s="332" t="str">
        <f t="shared" si="109"/>
        <v>•</v>
      </c>
      <c r="GZ19" s="332" t="str">
        <f t="shared" si="110"/>
        <v>•</v>
      </c>
      <c r="HA19" s="332" t="str">
        <f t="shared" si="111"/>
        <v>o</v>
      </c>
      <c r="HB19" s="332" t="str">
        <f t="shared" si="112"/>
        <v>•</v>
      </c>
      <c r="HC19" s="332" t="str">
        <f t="shared" si="113"/>
        <v>o</v>
      </c>
      <c r="HD19" s="332" t="str">
        <f t="shared" si="114"/>
        <v>•</v>
      </c>
      <c r="HE19" s="332" t="str">
        <f t="shared" si="115"/>
        <v>•</v>
      </c>
      <c r="HF19" s="332" t="str">
        <f t="shared" si="116"/>
        <v>o</v>
      </c>
      <c r="HG19" s="332" t="str">
        <f t="shared" si="117"/>
        <v>•</v>
      </c>
      <c r="HH19" s="332" t="str">
        <f t="shared" si="118"/>
        <v>•</v>
      </c>
      <c r="HI19" s="338" t="str">
        <f t="shared" si="119"/>
        <v>•</v>
      </c>
      <c r="HJ19" s="346" t="b">
        <f t="shared" si="120"/>
        <v>0</v>
      </c>
      <c r="HK19" s="347" t="b">
        <f t="shared" si="121"/>
        <v>0</v>
      </c>
      <c r="HL19" s="347" t="b">
        <f t="shared" si="122"/>
        <v>1</v>
      </c>
      <c r="HM19" s="347" t="b">
        <f t="shared" si="123"/>
        <v>0</v>
      </c>
      <c r="HN19" s="347" t="b">
        <f t="shared" si="124"/>
        <v>0</v>
      </c>
      <c r="HO19" s="347" t="b">
        <f t="shared" si="125"/>
        <v>0</v>
      </c>
      <c r="HP19" s="347" t="b">
        <f t="shared" si="126"/>
        <v>0</v>
      </c>
      <c r="HQ19" s="347" t="b">
        <f t="shared" si="127"/>
        <v>0</v>
      </c>
      <c r="HR19" s="347" t="b">
        <f t="shared" si="128"/>
        <v>0</v>
      </c>
      <c r="HS19" s="347" t="b">
        <f t="shared" si="129"/>
        <v>0</v>
      </c>
      <c r="HT19" s="347" t="b">
        <f t="shared" si="130"/>
        <v>0</v>
      </c>
      <c r="HU19" s="347" t="b">
        <f t="shared" si="131"/>
        <v>1</v>
      </c>
      <c r="HV19" s="353" t="b">
        <f t="shared" si="132"/>
        <v>0</v>
      </c>
      <c r="HW19" s="354" t="str">
        <f t="shared" si="133"/>
        <v/>
      </c>
      <c r="HX19" s="355" t="str">
        <f t="shared" si="134"/>
        <v/>
      </c>
      <c r="HY19" s="355" t="str">
        <f t="shared" si="135"/>
        <v>Re, </v>
      </c>
      <c r="HZ19" s="355" t="str">
        <f t="shared" si="136"/>
        <v/>
      </c>
      <c r="IA19" s="355" t="str">
        <f t="shared" si="137"/>
        <v/>
      </c>
      <c r="IB19" s="355" t="str">
        <f t="shared" si="138"/>
        <v/>
      </c>
      <c r="IC19" s="355" t="str">
        <f t="shared" si="139"/>
        <v/>
      </c>
      <c r="ID19" s="355" t="str">
        <f t="shared" si="140"/>
        <v/>
      </c>
      <c r="IE19" s="355" t="str">
        <f t="shared" si="141"/>
        <v/>
      </c>
      <c r="IF19" s="355" t="str">
        <f t="shared" si="142"/>
        <v/>
      </c>
      <c r="IG19" s="355" t="str">
        <f t="shared" si="143"/>
        <v/>
      </c>
      <c r="IH19" s="355" t="str">
        <f t="shared" si="144"/>
        <v>Ni, </v>
      </c>
      <c r="II19" s="359" t="str">
        <f t="shared" si="145"/>
        <v/>
      </c>
      <c r="IJ19" s="346" t="b">
        <f t="shared" si="146"/>
        <v>0</v>
      </c>
      <c r="IK19" s="347" t="b">
        <f t="shared" si="147"/>
        <v>0</v>
      </c>
      <c r="IL19" s="347" t="b">
        <f t="shared" si="148"/>
        <v>0</v>
      </c>
      <c r="IM19" s="347" t="b">
        <f t="shared" si="149"/>
        <v>0</v>
      </c>
      <c r="IN19" s="347" t="b">
        <f t="shared" si="150"/>
        <v>0</v>
      </c>
      <c r="IO19" s="347" t="b">
        <f t="shared" si="151"/>
        <v>0</v>
      </c>
      <c r="IP19" s="347" t="b">
        <f t="shared" si="152"/>
        <v>0</v>
      </c>
      <c r="IQ19" s="347" t="b">
        <f t="shared" si="153"/>
        <v>0</v>
      </c>
      <c r="IR19" s="347" t="b">
        <f t="shared" si="154"/>
        <v>0</v>
      </c>
      <c r="IS19" s="347" t="b">
        <f t="shared" si="155"/>
        <v>0</v>
      </c>
      <c r="IT19" s="347" t="b">
        <f t="shared" si="156"/>
        <v>0</v>
      </c>
      <c r="IU19" s="347" t="b">
        <f t="shared" si="157"/>
        <v>1</v>
      </c>
      <c r="IV19" s="365" t="b">
        <f t="shared" si="158"/>
        <v>0</v>
      </c>
      <c r="IW19" s="354" t="str">
        <f t="shared" si="159"/>
        <v/>
      </c>
      <c r="IX19" s="355" t="str">
        <f t="shared" si="160"/>
        <v/>
      </c>
      <c r="IY19" s="355" t="str">
        <f t="shared" si="161"/>
        <v/>
      </c>
      <c r="IZ19" s="355" t="str">
        <f t="shared" si="162"/>
        <v/>
      </c>
      <c r="JA19" s="355" t="str">
        <f t="shared" si="163"/>
        <v/>
      </c>
      <c r="JB19" s="355" t="str">
        <f t="shared" si="164"/>
        <v/>
      </c>
      <c r="JC19" s="355" t="str">
        <f t="shared" si="165"/>
        <v/>
      </c>
      <c r="JD19" s="355" t="str">
        <f t="shared" si="166"/>
        <v/>
      </c>
      <c r="JE19" s="355" t="str">
        <f t="shared" si="167"/>
        <v/>
      </c>
      <c r="JF19" s="355" t="str">
        <f t="shared" si="168"/>
        <v/>
      </c>
      <c r="JG19" s="355" t="str">
        <f t="shared" si="169"/>
        <v/>
      </c>
      <c r="JH19" s="355" t="str">
        <f t="shared" si="170"/>
        <v>Ni, </v>
      </c>
      <c r="JI19" s="359"/>
      <c r="JJ19" s="321"/>
      <c r="JK19" s="368"/>
      <c r="JL19" s="369"/>
      <c r="JM19" s="369"/>
      <c r="JN19" s="369"/>
      <c r="JO19" s="369"/>
      <c r="JP19" s="369"/>
      <c r="JQ19" s="369"/>
      <c r="JR19" s="369"/>
      <c r="JS19" s="369"/>
      <c r="JT19" s="369"/>
      <c r="JU19" s="369"/>
    </row>
    <row r="20" ht="20.25" customHeight="1">
      <c r="A20" s="221" t="s">
        <v>1261</v>
      </c>
      <c r="B20" s="223" t="s">
        <v>353</v>
      </c>
      <c r="C20" s="222"/>
      <c r="D20" s="222"/>
      <c r="E20" s="222" t="s">
        <v>275</v>
      </c>
      <c r="F20" s="222"/>
      <c r="G20" s="222" t="s">
        <v>275</v>
      </c>
      <c r="H20" s="222">
        <v>18.0</v>
      </c>
      <c r="I20" s="224" t="s">
        <v>1219</v>
      </c>
      <c r="J20" s="414">
        <f t="shared" si="5"/>
        <v>1</v>
      </c>
      <c r="K20" s="227">
        <f t="shared" si="6"/>
        <v>7</v>
      </c>
      <c r="L20" s="229">
        <f t="shared" si="7"/>
        <v>7</v>
      </c>
      <c r="M20" s="230">
        <f t="shared" si="8"/>
        <v>0</v>
      </c>
      <c r="N20" s="233" t="str">
        <f t="shared" si="9"/>
        <v>SRGmPdnS</v>
      </c>
      <c r="O20" s="234" t="str">
        <f>IFERROR(__xludf.DUMMYFUNCTION("IF(REGEXMATCH(N20, ""S""), ""S"","""")"),"S")</f>
        <v>S</v>
      </c>
      <c r="P20" s="236" t="str">
        <f>IFERROR(__xludf.DUMMYFUNCTION("IF(REGEXMATCH(N20, ""r""), ""r"","""")"),"")</f>
        <v/>
      </c>
      <c r="Q20" s="237" t="str">
        <f>IFERROR(__xludf.DUMMYFUNCTION("IF(REGEXMATCH(N20, ""R""), ""R"","""")"),"R")</f>
        <v>R</v>
      </c>
      <c r="R20" s="237" t="str">
        <f>IFERROR(__xludf.DUMMYFUNCTION("IF(REGEXMATCH(N20, ""g""), ""g"","""")"),"")</f>
        <v/>
      </c>
      <c r="S20" s="236" t="str">
        <f>IFERROR(__xludf.DUMMYFUNCTION("IF(REGEXMATCH(N20, ""G""), ""G"","""")"),"G")</f>
        <v>G</v>
      </c>
      <c r="T20" s="236" t="str">
        <f>IFERROR(__xludf.DUMMYFUNCTION("IF(REGEXMATCH(N20, ""m""), ""m"","""")"),"m")</f>
        <v>m</v>
      </c>
      <c r="U20" s="237" t="str">
        <f>IFERROR(__xludf.DUMMYFUNCTION("IF(REGEXMATCH(N20, ""M""), ""M"","""")"),"")</f>
        <v/>
      </c>
      <c r="V20" s="236" t="str">
        <f>IFERROR(__xludf.DUMMYFUNCTION("IF(REGEXMATCH(N20, ""P""), ""P"","""")"),"P")</f>
        <v>P</v>
      </c>
      <c r="W20" s="237" t="str">
        <f>IFERROR(__xludf.DUMMYFUNCTION("IF(REGEXMATCH(N20, ""d""), ""d"","""")"),"d")</f>
        <v>d</v>
      </c>
      <c r="X20" s="236" t="str">
        <f>IFERROR(__xludf.DUMMYFUNCTION("IF(REGEXMATCH(N20, ""D""), ""D"","""")"),"")</f>
        <v/>
      </c>
      <c r="Y20" s="236" t="str">
        <f>IFERROR(__xludf.DUMMYFUNCTION("IF(REGEXMATCH(N20, ""n""), ""n"","""")"),"n")</f>
        <v>n</v>
      </c>
      <c r="Z20" s="237" t="str">
        <f>IFERROR(__xludf.DUMMYFUNCTION("IF(REGEXMATCH(N20, ""N""), ""N"","""")"),"")</f>
        <v/>
      </c>
      <c r="AA20" s="238" t="str">
        <f>IFERROR(__xludf.DUMMYFUNCTION("IF(REGEXMATCH(N20, ""S""), ""S"","""")"),"S")</f>
        <v>S</v>
      </c>
      <c r="AB20" s="239" t="str">
        <f>IFERROR(__xludf.DUMMYFUNCTION("SUBSTITUTE(CONCATENATE(JOIN(""-"",O20:U20)),""-"","""")"),"SRGm")</f>
        <v>SRGm</v>
      </c>
      <c r="AC20" s="229" t="str">
        <f>IFERROR(__xludf.DUMMYFUNCTION("SUBSTITUTE(CONCATENATE(JOIN(""-"",V20:AA20)),""-"","""")"),"PdnS")</f>
        <v>PdnS</v>
      </c>
      <c r="AD20" s="282" t="str">
        <f t="shared" si="10"/>
        <v>S-R-G-M</v>
      </c>
      <c r="AE20" s="282" t="str">
        <f t="shared" si="11"/>
        <v>P-D-N-S</v>
      </c>
      <c r="AF20" s="309" t="str">
        <f t="shared" si="12"/>
        <v>RGmdn</v>
      </c>
      <c r="AG20" s="244" t="str">
        <f>IFERROR(__xludf.DUMMYFUNCTION("IF(REGEXMATCH(N20, ""S""), ""0"","""")"),"0")</f>
        <v>0</v>
      </c>
      <c r="AH20" s="245" t="str">
        <f>IFERROR(__xludf.DUMMYFUNCTION("IF(REGEXMATCH(N20, ""r""), ""1"","""")"),"")</f>
        <v/>
      </c>
      <c r="AI20" s="246" t="str">
        <f>IFERROR(__xludf.DUMMYFUNCTION("IF(REGEXMATCH(N20, ""R""), ""2"","""")"),"2")</f>
        <v>2</v>
      </c>
      <c r="AJ20" s="246" t="str">
        <f>IFERROR(__xludf.DUMMYFUNCTION("IF(REGEXMATCH(N20, ""g""), ""3"","""")"),"")</f>
        <v/>
      </c>
      <c r="AK20" s="245" t="str">
        <f>IFERROR(__xludf.DUMMYFUNCTION("IF(REGEXMATCH(N20, ""G""), ""4"","""")"),"4")</f>
        <v>4</v>
      </c>
      <c r="AL20" s="245" t="str">
        <f>IFERROR(__xludf.DUMMYFUNCTION("IF(REGEXMATCH(N20, ""m""), ""5"","""")"),"5")</f>
        <v>5</v>
      </c>
      <c r="AM20" s="246" t="str">
        <f>IFERROR(__xludf.DUMMYFUNCTION("IF(REGEXMATCH(N20, ""M""), ""6"","""")"),"")</f>
        <v/>
      </c>
      <c r="AN20" s="245" t="str">
        <f>IFERROR(__xludf.DUMMYFUNCTION("IF(REGEXMATCH(N20, ""P""), ""7"","""")"),"7")</f>
        <v>7</v>
      </c>
      <c r="AO20" s="246" t="str">
        <f>IFERROR(__xludf.DUMMYFUNCTION("IF(REGEXMATCH(N20, ""d""), ""8"","""")"),"8")</f>
        <v>8</v>
      </c>
      <c r="AP20" s="245" t="str">
        <f>IFERROR(__xludf.DUMMYFUNCTION("IF(REGEXMATCH(N20, ""D""), ""9"","""")"),"")</f>
        <v/>
      </c>
      <c r="AQ20" s="245" t="str">
        <f>IFERROR(__xludf.DUMMYFUNCTION("IF(REGEXMATCH(N20, ""n""), ""10"","""")"),"10")</f>
        <v>10</v>
      </c>
      <c r="AR20" s="246" t="str">
        <f>IFERROR(__xludf.DUMMYFUNCTION("IF(REGEXMATCH(N20, ""N""), ""11"","""")"),"")</f>
        <v/>
      </c>
      <c r="AS20" s="249" t="str">
        <f>IFERROR(__xludf.DUMMYFUNCTION("IF(REGEXMATCH(N20, ""S""), ""0"","""")"),"0")</f>
        <v>0</v>
      </c>
      <c r="AT20" s="250" t="str">
        <f>IFERROR(__xludf.DUMMYFUNCTION("SUBSTITUTE(SUBSTITUTE(SUBSTITUTE(SUBSTITUTE(CONCATENATE(JOIN(""-"",AG20:AS20)),""--"",""-""),""--"",""-""),""--"",""-""),""--"",""-"")"),"0-2-4-5-7-8-10-0")</f>
        <v>0-2-4-5-7-8-10-0</v>
      </c>
      <c r="AU20" s="251">
        <f t="shared" si="13"/>
        <v>1</v>
      </c>
      <c r="AV20" s="234" t="str">
        <f t="shared" si="14"/>
        <v>|</v>
      </c>
      <c r="AW20" s="236" t="str">
        <f t="shared" si="15"/>
        <v>-</v>
      </c>
      <c r="AX20" s="237" t="str">
        <f t="shared" si="16"/>
        <v>|</v>
      </c>
      <c r="AY20" s="236" t="str">
        <f t="shared" si="17"/>
        <v>-</v>
      </c>
      <c r="AZ20" s="237" t="str">
        <f t="shared" si="18"/>
        <v>|</v>
      </c>
      <c r="BA20" s="236" t="str">
        <f t="shared" si="19"/>
        <v>|</v>
      </c>
      <c r="BB20" s="237" t="str">
        <f t="shared" si="20"/>
        <v>-</v>
      </c>
      <c r="BC20" s="236" t="str">
        <f t="shared" si="21"/>
        <v>|</v>
      </c>
      <c r="BD20" s="237" t="str">
        <f t="shared" si="22"/>
        <v>|</v>
      </c>
      <c r="BE20" s="236" t="str">
        <f t="shared" si="23"/>
        <v>-</v>
      </c>
      <c r="BF20" s="237" t="str">
        <f t="shared" si="24"/>
        <v>|</v>
      </c>
      <c r="BG20" s="236" t="str">
        <f t="shared" si="25"/>
        <v>-</v>
      </c>
      <c r="BH20" s="238" t="str">
        <f t="shared" si="26"/>
        <v>|</v>
      </c>
      <c r="BI20" s="250" t="str">
        <f>IFERROR(__xludf.DUMMYFUNCTION("SUBSTITUTE(SUBSTITUTE(CONCATENATE(JOIN("""",AV20:BG20)),""|"",""x""),""-"",""o"")"),"xoxoxxoxxoxo")</f>
        <v>xoxoxxoxxoxo</v>
      </c>
      <c r="BJ20" s="323" t="str">
        <f>IFERROR(__xludf.DUMMYFUNCTION("JOIN("""",BI20,BI20)"),"xoxoxxoxxoxoxoxoxxoxxoxo")</f>
        <v>xoxoxxoxxoxoxoxoxxoxxoxo</v>
      </c>
      <c r="BK20" s="256" t="str">
        <f>IFERROR(__xludf.DUMMYFUNCTION("JOIN("""",ArrayFormula(MID(BI20,LEN(BI20)-SEQUENCE(1,LEN(BI20))+1,1)))"),"oxoxxoxxoxox")</f>
        <v>oxoxxoxxoxox</v>
      </c>
      <c r="BL20" s="256" t="str">
        <f>IFERROR(__xludf.DUMMYFUNCTION("LEFT(CONCATENATE(""x"",JOIN("""",ArrayFormula(MID(BI20,LEN(BI20)-SEQUENCE(1,LEN(BI20))+1,1)))),12)"),"xoxoxxoxxoxo")</f>
        <v>xoxoxxoxxoxo</v>
      </c>
      <c r="BM20" s="327" t="str">
        <f>IFERROR(__xludf.DUMMYFUNCTION("JOIN("""",BK20,BK20)"),"oxoxxoxxoxoxoxoxxoxxoxox")</f>
        <v>oxoxxoxxoxoxoxoxxoxxoxox</v>
      </c>
      <c r="BN20" s="239" t="str">
        <f>IFERROR(__xludf.DUMMYFUNCTION("IF(REGEXMATCH(BM20,BI20),""✔"",""-"")"),"✔")</f>
        <v>✔</v>
      </c>
      <c r="BO20" s="330" t="str">
        <f t="shared" si="27"/>
        <v>✔</v>
      </c>
      <c r="BP20" s="260" t="str">
        <f t="shared" si="28"/>
        <v>-</v>
      </c>
      <c r="BQ20" s="261" t="str">
        <f>IFERROR(__xludf.DUMMYFUNCTION("IF(BT20=0,""(n/a)"",IF(BU20=2,""(PAIR)"",IF(REGEXMATCH(BJ20,""xoxoxxoxoxox""),""Bilawal"",IF(REGEXMATCH(BJ20,""xoxoxooxoxoo""),""Bhupali"",IF(REGEXMATCH(BJ20,""xoxoxxoxxoxo""),""Charukeshi"",IF(REGEXMATCH(BJ20,""xoxoooxxoxxo""),""Kameshwari"",IF(REGEXMATC"&amp;"H(BJ20,""xoxoxooxoxox""),""Shankara"",IF(REGEXMATCH(BJ20,""xxooxoxxxoox""),""Basant"",IF(REGEXMATCH(BJ20,""xoxoxxxxoxox""),""Bihag"",IF(REGEXMATCH(BJ20,""xoxxxxoxoxxx""),""Pilu"",IF(REGEXMATCH(BJ20,""xoxxoxoxxoox""),""Kirwani"",IF(REGEXMATCH(BJ20,""xoxxox"&amp;"oxoxxx""),""Mk.Malhar"",IF(REGEXMATCH(BJ20,""xxooxxoxxoox""),""Bhairav"",IF(REGEXMATCH(BJ20,""xxoxooxxxoox""),""Todi"",IF(REGEXMATCH(BJ20,""xxooxoxooxox""),""Marwa"",IF(REGEXMATCH(BJ20,""xxoooxoxxooo""),""Gunkali"",IF(REGEXMATCH(BJ20,""xoxoxxoxxoox""),""N"&amp;"at Bhairav"",IF(REGEXMATCH(BJ20,""xoxxoooxoxoo""),""Shivranjani"",IF(REGEXMATCH(BJ20,""xooxxxoxooxo""),""Jog"",IF(REGEXMATCH(BJ20,""xxooxoxoxoox""),""Hemshri"",IF(REGEXMATCH(BJ20,""xoooxooxoxxo""),""Kalavati"",IF(REGEXMATCH(BJ20,""xxoxoxxoxoox""),""Kedar"&amp;""",IF(REGEXMATCH(BJ20,""xoxxxxoxooxx""),""Gara"",IF(REGEXMATCH(BJ20,""xooxoxooxoox""),""Chandrakauns"",IF(REGEXMATCH(BJ20,""xoxxxxoxxxox""),""Mand"",IF(REGEXMATCH(BJ20,""xoxxxxoxoxox""),""Hanskinkini"",IF(REGEXMATCH(BJ20,""xxooxxoxooxo""),""Lilavati"",IF("&amp;"REGEXMATCH(BJ20,""xooxoxoooxox""),""Rajeshwari"",IF(REGEXMATCH(BJ20,""xoooxxoxoxxx""),""Khokar"",IF(REGEXMATCH(BJ20,""xxooxoxxxxox""),""Maligoura"",""-""))))))))))))))))))))))))))))))"),"Charukeshi")</f>
        <v>Charukeshi</v>
      </c>
      <c r="BR20" s="239">
        <f t="shared" si="29"/>
        <v>6</v>
      </c>
      <c r="BS20" s="239">
        <f>IFERROR(__xludf.DUMMYFUNCTION("COUNTUNIQUE(BW20:CG20)-1"),6.0)</f>
        <v>6</v>
      </c>
      <c r="BT20" s="239">
        <f>IFERROR(__xludf.DUMMYFUNCTION("COUNTUNIQUE(FILTER(BJ:BJ,REGEXMATCH(BJ:BJ,BI20)))-1"),1.0)</f>
        <v>1</v>
      </c>
      <c r="BU20" s="239">
        <f>IFERROR(__xludf.DUMMYFUNCTION("COUNTA(FILTER(BJ:BJ,REGEXMATCH(BJ:BJ,BI20)))"),3.0)</f>
        <v>3</v>
      </c>
      <c r="BV20" s="341">
        <f>IFERROR(__xludf.DUMMYFUNCTION("COUNTA(FILTER(BJ:BJ,REGEXMATCH(BJ:BJ,BI20)))-AU20"),2.0)</f>
        <v>2</v>
      </c>
      <c r="BW20" s="269" t="str">
        <f t="shared" si="30"/>
        <v>-</v>
      </c>
      <c r="BX20" s="269" t="str">
        <f t="shared" si="31"/>
        <v>xoxxoxxoxox</v>
      </c>
      <c r="BY20" s="271" t="str">
        <f t="shared" si="32"/>
        <v>-</v>
      </c>
      <c r="BZ20" s="269" t="str">
        <f t="shared" si="33"/>
        <v>xxoxxoxoxox</v>
      </c>
      <c r="CA20" s="271" t="str">
        <f t="shared" si="34"/>
        <v>xoxxoxoxoxo</v>
      </c>
      <c r="CB20" s="271" t="str">
        <f t="shared" si="35"/>
        <v>-</v>
      </c>
      <c r="CC20" s="271" t="str">
        <f t="shared" si="36"/>
        <v>xxoxoxoxoxx</v>
      </c>
      <c r="CD20" s="271" t="str">
        <f t="shared" si="37"/>
        <v>xoxoxoxoxxo</v>
      </c>
      <c r="CE20" s="271" t="str">
        <f t="shared" si="38"/>
        <v>-</v>
      </c>
      <c r="CF20" s="271" t="str">
        <f t="shared" si="39"/>
        <v>xoxoxoxxoxx</v>
      </c>
      <c r="CG20" s="274" t="str">
        <f t="shared" si="40"/>
        <v>-</v>
      </c>
      <c r="CH20" s="276" t="str">
        <f>IFERROR(__xludf.DUMMYFUNCTION("IF(BI20=""oooooooooooo"",""-"",IF(REGEXMATCH(BJ20,""xx""), ""Hemi."", ""Anhemi.""))"),"Hemi.")</f>
        <v>Hemi.</v>
      </c>
      <c r="CI20" s="282" t="str">
        <f>IFERROR(__xludf.DUMMYFUNCTION("IF(BI20=""oooooooooooo"",""-"",IF(REGEXMATCH(BJ20,""xxx""), ""Cohem."", ""-""))"),"-")</f>
        <v>-</v>
      </c>
      <c r="CJ20" s="282" t="str">
        <f>IFERROR(__xludf.DUMMYFUNCTION("IF(BI20=""oooooooooooo"",""-"",IF(REGEXMATCH(BJ20,""xxxx""), ""Co-Co."", ""-""))"),"-")</f>
        <v>-</v>
      </c>
      <c r="CK20" s="342" t="str">
        <f>IFERROR(__xludf.DUMMYFUNCTION("IF(BI20=""oooooooooooo"",""-"",IF(REGEXMATCH(BJ20,""xxxxx""), ""CCC."", ""-""))"),"-")</f>
        <v>-</v>
      </c>
      <c r="CL20" s="344" t="str">
        <f t="shared" si="41"/>
        <v>-</v>
      </c>
      <c r="CM20" s="282" t="str">
        <f>IFERROR(__xludf.DUMMYFUNCTION("IF(REGEXMATCH(JOIN(""-"",CO20:CX20),""TRUE""),""✔"",""-"")"),"-")</f>
        <v>-</v>
      </c>
      <c r="CN20" s="225">
        <f t="shared" si="42"/>
        <v>0</v>
      </c>
      <c r="CO20" s="376" t="b">
        <f>IFERROR(__xludf.DUMMYFUNCTION("arrayformula(sum(--REGEXMATCH(""SRGMPDNS"",split(REGEXREPLACE(N20,""(.)"",""$1~""),""~""))))=len(N20)
"),FALSE)</f>
        <v>0</v>
      </c>
      <c r="CP20" s="290" t="b">
        <f>IFERROR(__xludf.DUMMYFUNCTION("arrayformula(sum(--REGEXMATCH(""SRGmPDNS"",split(REGEXREPLACE(N20,""(.)"",""$1~""),""~""))))=len(N20)"),FALSE)</f>
        <v>0</v>
      </c>
      <c r="CQ20" s="290" t="b">
        <f>IFERROR(__xludf.DUMMYFUNCTION("arrayformula(sum(--REGEXMATCH(""SRGmPDnS"",split(REGEXREPLACE(N20,""(.)"",""$1~""),""~""))))=len(N20)"),FALSE)</f>
        <v>0</v>
      </c>
      <c r="CR20" s="290" t="b">
        <f>IFERROR(__xludf.DUMMYFUNCTION("arrayformula(sum(--REGEXMATCH(""SRgmPDnS"",split(REGEXREPLACE(N20,""(.)"",""$1~""),""~""))))=len(N20)"),FALSE)</f>
        <v>0</v>
      </c>
      <c r="CS20" s="290" t="b">
        <f>IFERROR(__xludf.DUMMYFUNCTION("arrayformula(sum(--REGEXMATCH(""SRgmPdnS"",split(REGEXREPLACE(N20,""(.)"",""$1~""),""~""))))=len(N20)"),FALSE)</f>
        <v>0</v>
      </c>
      <c r="CT20" s="290" t="b">
        <f>IFERROR(__xludf.DUMMYFUNCTION("arrayformula(sum(--REGEXMATCH(""SrgmPdnS"",split(REGEXREPLACE(N20,""(.)"",""$1~""),""~""))))=len(N20)"),FALSE)</f>
        <v>0</v>
      </c>
      <c r="CU20" s="290" t="b">
        <f>IFERROR(__xludf.DUMMYFUNCTION("arrayformula(sum(--REGEXMATCH(""SrGmPdNS"",split(REGEXREPLACE(N20,""(.)"",""$1~""),""~""))))=len(N20)"),FALSE)</f>
        <v>0</v>
      </c>
      <c r="CV20" s="290" t="b">
        <f>IFERROR(__xludf.DUMMYFUNCTION("arrayformula(sum(--REGEXMATCH(""SrGMPDNS"",split(REGEXREPLACE(N20,""(.)"",""$1~""),""~""))))=len(N20)"),FALSE)</f>
        <v>0</v>
      </c>
      <c r="CW20" s="290" t="b">
        <f>IFERROR(__xludf.DUMMYFUNCTION("arrayformula(sum(--REGEXMATCH(""SrGMPdNS"",split(REGEXREPLACE(N20,""(.)"",""$1~""),""~""))))=len(N20)"),FALSE)</f>
        <v>0</v>
      </c>
      <c r="CX20" s="293" t="b">
        <f>IFERROR(__xludf.DUMMYFUNCTION("arrayformula(sum(--REGEXMATCH(""SrgMPdNS"",split(REGEXREPLACE(N20,""(.)"",""$1~""),""~""))))=len(N20)"),FALSE)</f>
        <v>0</v>
      </c>
      <c r="CY20" s="244" t="str">
        <f>IFERROR(__xludf.DUMMYFUNCTION("IF(REGEXMATCH(N20, ""S""), ""1"","""")"),"1")</f>
        <v>1</v>
      </c>
      <c r="CZ20" s="245" t="str">
        <f>IFERROR(__xludf.DUMMYFUNCTION("IF(REGEXMATCH(N20, ""r""), ""b2"","""")"),"")</f>
        <v/>
      </c>
      <c r="DA20" s="246" t="str">
        <f>IFERROR(__xludf.DUMMYFUNCTION("IF(REGEXMATCH(N20, ""R""), ""2"","""")"),"2")</f>
        <v>2</v>
      </c>
      <c r="DB20" s="246" t="str">
        <f>IFERROR(__xludf.DUMMYFUNCTION("IF(REGEXMATCH(N20, ""g""), ""b3"","""")"),"")</f>
        <v/>
      </c>
      <c r="DC20" s="245" t="str">
        <f>IFERROR(__xludf.DUMMYFUNCTION("IF(REGEXMATCH(N20, ""G""), ""3"","""")"),"3")</f>
        <v>3</v>
      </c>
      <c r="DD20" s="245" t="str">
        <f>IFERROR(__xludf.DUMMYFUNCTION("IF(REGEXMATCH(N20, ""m""), ""4"","""")"),"4")</f>
        <v>4</v>
      </c>
      <c r="DE20" s="246" t="str">
        <f>IFERROR(__xludf.DUMMYFUNCTION("IF(REGEXMATCH(N20, ""M""), ""#4"","""")"),"")</f>
        <v/>
      </c>
      <c r="DF20" s="245" t="str">
        <f>IFERROR(__xludf.DUMMYFUNCTION("IF(REGEXMATCH(N20, ""P""), ""5"","""")"),"5")</f>
        <v>5</v>
      </c>
      <c r="DG20" s="246" t="str">
        <f>IFERROR(__xludf.DUMMYFUNCTION("IF(REGEXMATCH(N20, ""d""), ""b6"","""")"),"b6")</f>
        <v>b6</v>
      </c>
      <c r="DH20" s="245" t="str">
        <f>IFERROR(__xludf.DUMMYFUNCTION("IF(REGEXMATCH(N20, ""D""), ""6"","""")"),"")</f>
        <v/>
      </c>
      <c r="DI20" s="245" t="str">
        <f>IFERROR(__xludf.DUMMYFUNCTION("IF(REGEXMATCH(N20, ""n""), ""b7"","""")"),"b7")</f>
        <v>b7</v>
      </c>
      <c r="DJ20" s="246" t="str">
        <f>IFERROR(__xludf.DUMMYFUNCTION("IF(REGEXMATCH(N20, ""N""), ""7"","""")"),"")</f>
        <v/>
      </c>
      <c r="DK20" s="249" t="str">
        <f>IFERROR(__xludf.DUMMYFUNCTION("IF(REGEXMATCH(N20, ""S""), ""8"","""")"),"8")</f>
        <v>8</v>
      </c>
      <c r="DL20" s="244" t="str">
        <f>IFERROR(__xludf.DUMMYFUNCTION("IF(REGEXMATCH(N20, ""S""), ""S"","""")"),"S")</f>
        <v>S</v>
      </c>
      <c r="DM20" s="294" t="str">
        <f>IFERROR(__xludf.DUMMYFUNCTION("IF(REGEXMATCH(N20, ""r""), ""R1"","""")"),"")</f>
        <v/>
      </c>
      <c r="DN20" s="295" t="str">
        <f>IFERROR(__xludf.DUMMYFUNCTION("IF(REGEXMATCH(N20, ""R""), ""R2"","""")"),"R2")</f>
        <v>R2</v>
      </c>
      <c r="DO20" s="295" t="str">
        <f>IFERROR(__xludf.DUMMYFUNCTION("IF(REGEXMATCH(N20, ""g""), ""G2"","""")"),"")</f>
        <v/>
      </c>
      <c r="DP20" s="294" t="str">
        <f>IFERROR(__xludf.DUMMYFUNCTION("IF(REGEXMATCH(N20, ""G""), ""G3"","""")"),"G3")</f>
        <v>G3</v>
      </c>
      <c r="DQ20" s="294" t="str">
        <f>IFERROR(__xludf.DUMMYFUNCTION("IF(REGEXMATCH(N20, ""m""), ""M1"","""")"),"M1")</f>
        <v>M1</v>
      </c>
      <c r="DR20" s="295" t="str">
        <f>IFERROR(__xludf.DUMMYFUNCTION("IF(REGEXMATCH(N20, ""M""), ""M2"","""")"),"")</f>
        <v/>
      </c>
      <c r="DS20" s="294" t="str">
        <f>IFERROR(__xludf.DUMMYFUNCTION("IF(REGEXMATCH(N20, ""P""), ""P"","""")"),"P")</f>
        <v>P</v>
      </c>
      <c r="DT20" s="295" t="str">
        <f>IFERROR(__xludf.DUMMYFUNCTION("IF(REGEXMATCH(N20, ""d""), ""D1"","""")"),"D1")</f>
        <v>D1</v>
      </c>
      <c r="DU20" s="294" t="str">
        <f>IFERROR(__xludf.DUMMYFUNCTION("IF(REGEXMATCH(N20, ""D""), ""D2"","""")"),"")</f>
        <v/>
      </c>
      <c r="DV20" s="294" t="str">
        <f>IFERROR(__xludf.DUMMYFUNCTION("IF(REGEXMATCH(N20, ""n""), ""N2"","""")"),"N2")</f>
        <v>N2</v>
      </c>
      <c r="DW20" s="295" t="str">
        <f>IFERROR(__xludf.DUMMYFUNCTION("IF(REGEXMATCH(N20, ""N""), ""N3"","""")"),"")</f>
        <v/>
      </c>
      <c r="DX20" s="249" t="str">
        <f>IFERROR(__xludf.DUMMYFUNCTION("IF(REGEXMATCH(N20, ""S""), ""S"","""")"),"S")</f>
        <v>S</v>
      </c>
      <c r="DY20" s="299" t="str">
        <f>IFERROR(__xludf.DUMMYFUNCTION("SUBSTITUTE(SUBSTITUTE(SUBSTITUTE(SUBSTITUTE(CONCATENATE(JOIN(""-"",CY20:DK20)),""--"",""-""),""--"",""-""),""--"",""-""),""--"",""-"")"),"1-2-3-4-5-b6-b7-8")</f>
        <v>1-2-3-4-5-b6-b7-8</v>
      </c>
      <c r="DZ20" s="299" t="str">
        <f>IFERROR(__xludf.DUMMYFUNCTION("SUBSTITUTE(SUBSTITUTE(SUBSTITUTE(SUBSTITUTE(CONCATENATE(JOIN(""-"",DL20:DX20)),""--"",""-""),""--"",""-""),""--"",""-""),""--"",""-"")"),"S-R2-G3-M1-P-D1-N2-S")</f>
        <v>S-R2-G3-M1-P-D1-N2-S</v>
      </c>
      <c r="EA20" s="348" t="str">
        <f t="shared" si="43"/>
        <v>C-D-E-F-G-Ab-Bb-C</v>
      </c>
      <c r="EB20" s="301">
        <f t="shared" si="44"/>
        <v>7</v>
      </c>
      <c r="EC20" s="302" t="str">
        <f t="shared" si="45"/>
        <v>Sampurna</v>
      </c>
      <c r="ED20" s="301" t="str">
        <f t="shared" ref="ED20:EE20" si="186">SUBSTITUTE(AD20,"-","")</f>
        <v>SRGM</v>
      </c>
      <c r="EE20" s="301" t="str">
        <f t="shared" si="186"/>
        <v>PDNS</v>
      </c>
      <c r="EF20" s="302" t="str">
        <f t="shared" si="47"/>
        <v>Charukeshi</v>
      </c>
      <c r="EG20" s="301" t="str">
        <f t="shared" si="48"/>
        <v>Hemi.</v>
      </c>
      <c r="EH20" s="364" t="str">
        <f t="shared" si="49"/>
        <v>-</v>
      </c>
      <c r="EI20" s="306" t="str">
        <f t="shared" si="50"/>
        <v>-</v>
      </c>
      <c r="EJ20" s="366" t="str">
        <f t="shared" si="51"/>
        <v>-</v>
      </c>
      <c r="EK20" s="308" t="str">
        <f t="shared" si="52"/>
        <v>✔</v>
      </c>
      <c r="EL20" s="306" t="str">
        <f t="shared" si="53"/>
        <v>-</v>
      </c>
      <c r="EM20" s="306" t="str">
        <f t="shared" si="54"/>
        <v>-</v>
      </c>
      <c r="EN20" s="367" t="str">
        <f t="shared" si="55"/>
        <v>-</v>
      </c>
      <c r="EO20" s="310" t="str">
        <f t="shared" si="56"/>
        <v>-</v>
      </c>
      <c r="EP20" s="310" t="str">
        <f t="shared" si="57"/>
        <v>-</v>
      </c>
      <c r="EQ20" s="310" t="str">
        <f t="shared" si="58"/>
        <v>-</v>
      </c>
      <c r="ER20" s="310" t="str">
        <f t="shared" si="59"/>
        <v>-</v>
      </c>
      <c r="ES20" s="370" t="str">
        <f t="shared" si="60"/>
        <v>-</v>
      </c>
      <c r="ET20" s="306" t="str">
        <f t="shared" si="61"/>
        <v>-</v>
      </c>
      <c r="EU20" s="306" t="str">
        <f t="shared" si="62"/>
        <v>-</v>
      </c>
      <c r="EV20" s="306" t="str">
        <f t="shared" si="63"/>
        <v>-</v>
      </c>
      <c r="EW20" s="306" t="str">
        <f t="shared" si="64"/>
        <v>-</v>
      </c>
      <c r="EX20" s="306" t="str">
        <f t="shared" si="65"/>
        <v>-</v>
      </c>
      <c r="EY20" s="367" t="str">
        <f t="shared" si="66"/>
        <v>-</v>
      </c>
      <c r="EZ20" s="310" t="str">
        <f>IFERROR(__xludf.DUMMYFUNCTION("IF(REGEXMATCH(BM20,BI20),""✔"",""-"")"),"✔")</f>
        <v>✔</v>
      </c>
      <c r="FA20" s="310" t="str">
        <f t="shared" si="67"/>
        <v>-</v>
      </c>
      <c r="FB20" s="370" t="str">
        <f t="shared" si="68"/>
        <v>✔</v>
      </c>
      <c r="FC20" s="415">
        <f t="shared" si="69"/>
        <v>1</v>
      </c>
      <c r="FD20" s="317" t="str">
        <f t="shared" si="70"/>
        <v>S-R-G-m-P-d-n-S</v>
      </c>
      <c r="FE20" s="318" t="str">
        <f>IFERROR(__xludf.DUMMYFUNCTION("CONCATENATE(JOIN("""",GJ20:GV20))"),"SRGmPdnS")</f>
        <v>SRGmPdnS</v>
      </c>
      <c r="FF20" s="318"/>
      <c r="FG20" s="318"/>
      <c r="FH20" s="321">
        <f t="shared" si="71"/>
        <v>3</v>
      </c>
      <c r="FI20" s="318" t="str">
        <f>IFERROR(__xludf.DUMMYFUNCTION("CONCATENATE(JOIN("""",HW20:II20))"),"Re, Ga, dha, ")</f>
        <v>Re, Ga, dha, </v>
      </c>
      <c r="FJ20" s="322">
        <f t="shared" si="72"/>
        <v>2</v>
      </c>
      <c r="FK20" s="324" t="str">
        <f>IFERROR(__xludf.DUMMYFUNCTION("CONCATENATE(JOIN("""",IW20:JI20))"),"Ga, dha, ")</f>
        <v>Ga, dha, </v>
      </c>
      <c r="FL20" s="325" t="str">
        <f t="shared" si="73"/>
        <v>S-R2-G3-M1-P-D1-N2-S</v>
      </c>
      <c r="FM20" s="326" t="str">
        <f t="shared" si="74"/>
        <v>1-2-3-4-5-b6-b7-8</v>
      </c>
      <c r="FN20" s="326" t="str">
        <f t="shared" si="75"/>
        <v>0-2-4-5-7-8-10-0</v>
      </c>
      <c r="FO20" s="318"/>
      <c r="FP20" s="328" t="str">
        <f>IFERROR(__xludf.DUMMYFUNCTION("SUBSTITUTE(SUBSTITUTE(SUBSTITUTE(SUBSTITUTE(CONCATENATE(JOIN("" "",FS20:GE20)),""  "","" ""),""  "","" ""),""  "","" ""),""  "","" "")"),"o • o • o o • o o • o • o")</f>
        <v>o • o • o o • o o • o • o</v>
      </c>
      <c r="FQ20" s="328" t="str">
        <f t="shared" si="76"/>
        <v>-</v>
      </c>
      <c r="FR20" s="329"/>
      <c r="FS20" s="331" t="str">
        <f t="shared" si="77"/>
        <v>o</v>
      </c>
      <c r="FT20" s="332" t="str">
        <f t="shared" si="78"/>
        <v>•</v>
      </c>
      <c r="FU20" s="332" t="str">
        <f t="shared" si="79"/>
        <v>o</v>
      </c>
      <c r="FV20" s="332" t="str">
        <f t="shared" si="80"/>
        <v>•</v>
      </c>
      <c r="FW20" s="332" t="str">
        <f t="shared" si="81"/>
        <v>o</v>
      </c>
      <c r="FX20" s="332" t="str">
        <f t="shared" si="82"/>
        <v>o</v>
      </c>
      <c r="FY20" s="332" t="str">
        <f t="shared" si="83"/>
        <v>•</v>
      </c>
      <c r="FZ20" s="332" t="str">
        <f t="shared" si="84"/>
        <v>o</v>
      </c>
      <c r="GA20" s="332" t="str">
        <f t="shared" si="85"/>
        <v>o</v>
      </c>
      <c r="GB20" s="332" t="str">
        <f t="shared" si="86"/>
        <v>•</v>
      </c>
      <c r="GC20" s="332" t="str">
        <f t="shared" si="87"/>
        <v>o</v>
      </c>
      <c r="GD20" s="332" t="str">
        <f t="shared" si="88"/>
        <v>•</v>
      </c>
      <c r="GE20" s="338" t="str">
        <f t="shared" si="89"/>
        <v>o</v>
      </c>
      <c r="GF20" s="339" t="str">
        <f t="shared" si="90"/>
        <v>-</v>
      </c>
      <c r="GG20" s="339" t="str">
        <f t="shared" si="91"/>
        <v>Sa-Pa</v>
      </c>
      <c r="GH20" s="339" t="str">
        <f t="shared" si="92"/>
        <v>-</v>
      </c>
      <c r="GI20" s="340" t="str">
        <f t="shared" si="93"/>
        <v>-</v>
      </c>
      <c r="GJ20" s="331" t="str">
        <f t="shared" si="94"/>
        <v>S</v>
      </c>
      <c r="GK20" s="332" t="str">
        <f t="shared" si="95"/>
        <v/>
      </c>
      <c r="GL20" s="332" t="str">
        <f t="shared" si="96"/>
        <v>R</v>
      </c>
      <c r="GM20" s="332" t="str">
        <f t="shared" si="97"/>
        <v/>
      </c>
      <c r="GN20" s="332" t="str">
        <f t="shared" si="98"/>
        <v>G</v>
      </c>
      <c r="GO20" s="332" t="str">
        <f t="shared" si="99"/>
        <v>m</v>
      </c>
      <c r="GP20" s="332" t="str">
        <f t="shared" si="100"/>
        <v/>
      </c>
      <c r="GQ20" s="332" t="str">
        <f t="shared" si="101"/>
        <v>P</v>
      </c>
      <c r="GR20" s="332" t="str">
        <f t="shared" si="102"/>
        <v>d</v>
      </c>
      <c r="GS20" s="332" t="str">
        <f t="shared" si="103"/>
        <v/>
      </c>
      <c r="GT20" s="332" t="str">
        <f t="shared" si="104"/>
        <v>n</v>
      </c>
      <c r="GU20" s="332" t="str">
        <f t="shared" si="105"/>
        <v/>
      </c>
      <c r="GV20" s="343" t="str">
        <f t="shared" si="106"/>
        <v>S</v>
      </c>
      <c r="GW20" s="331" t="str">
        <f t="shared" si="107"/>
        <v>•</v>
      </c>
      <c r="GX20" s="332" t="str">
        <f t="shared" si="108"/>
        <v>o</v>
      </c>
      <c r="GY20" s="332" t="str">
        <f t="shared" si="109"/>
        <v>•</v>
      </c>
      <c r="GZ20" s="332" t="str">
        <f t="shared" si="110"/>
        <v>o</v>
      </c>
      <c r="HA20" s="332" t="str">
        <f t="shared" si="111"/>
        <v>•</v>
      </c>
      <c r="HB20" s="332" t="str">
        <f t="shared" si="112"/>
        <v>•</v>
      </c>
      <c r="HC20" s="332" t="str">
        <f t="shared" si="113"/>
        <v>o</v>
      </c>
      <c r="HD20" s="332" t="str">
        <f t="shared" si="114"/>
        <v>•</v>
      </c>
      <c r="HE20" s="332" t="str">
        <f t="shared" si="115"/>
        <v>•</v>
      </c>
      <c r="HF20" s="332" t="str">
        <f t="shared" si="116"/>
        <v>o</v>
      </c>
      <c r="HG20" s="332" t="str">
        <f t="shared" si="117"/>
        <v>•</v>
      </c>
      <c r="HH20" s="332" t="str">
        <f t="shared" si="118"/>
        <v>o</v>
      </c>
      <c r="HI20" s="338" t="str">
        <f t="shared" si="119"/>
        <v>•</v>
      </c>
      <c r="HJ20" s="346" t="b">
        <f t="shared" si="120"/>
        <v>0</v>
      </c>
      <c r="HK20" s="347" t="b">
        <f t="shared" si="121"/>
        <v>0</v>
      </c>
      <c r="HL20" s="347" t="b">
        <f t="shared" si="122"/>
        <v>1</v>
      </c>
      <c r="HM20" s="347" t="b">
        <f t="shared" si="123"/>
        <v>0</v>
      </c>
      <c r="HN20" s="347" t="b">
        <f t="shared" si="124"/>
        <v>1</v>
      </c>
      <c r="HO20" s="347" t="b">
        <f t="shared" si="125"/>
        <v>0</v>
      </c>
      <c r="HP20" s="347" t="b">
        <f t="shared" si="126"/>
        <v>0</v>
      </c>
      <c r="HQ20" s="347" t="b">
        <f t="shared" si="127"/>
        <v>0</v>
      </c>
      <c r="HR20" s="347" t="b">
        <f t="shared" si="128"/>
        <v>1</v>
      </c>
      <c r="HS20" s="347" t="b">
        <f t="shared" si="129"/>
        <v>0</v>
      </c>
      <c r="HT20" s="347" t="b">
        <f t="shared" si="130"/>
        <v>0</v>
      </c>
      <c r="HU20" s="347" t="b">
        <f t="shared" si="131"/>
        <v>0</v>
      </c>
      <c r="HV20" s="353" t="b">
        <f t="shared" si="132"/>
        <v>0</v>
      </c>
      <c r="HW20" s="354" t="str">
        <f t="shared" si="133"/>
        <v/>
      </c>
      <c r="HX20" s="355" t="str">
        <f t="shared" si="134"/>
        <v/>
      </c>
      <c r="HY20" s="355" t="str">
        <f t="shared" si="135"/>
        <v>Re, </v>
      </c>
      <c r="HZ20" s="355" t="str">
        <f t="shared" si="136"/>
        <v/>
      </c>
      <c r="IA20" s="355" t="str">
        <f t="shared" si="137"/>
        <v>Ga, </v>
      </c>
      <c r="IB20" s="355" t="str">
        <f t="shared" si="138"/>
        <v/>
      </c>
      <c r="IC20" s="355" t="str">
        <f t="shared" si="139"/>
        <v/>
      </c>
      <c r="ID20" s="355" t="str">
        <f t="shared" si="140"/>
        <v/>
      </c>
      <c r="IE20" s="355" t="str">
        <f t="shared" si="141"/>
        <v>dha, </v>
      </c>
      <c r="IF20" s="355" t="str">
        <f t="shared" si="142"/>
        <v/>
      </c>
      <c r="IG20" s="355" t="str">
        <f t="shared" si="143"/>
        <v/>
      </c>
      <c r="IH20" s="355" t="str">
        <f t="shared" si="144"/>
        <v/>
      </c>
      <c r="II20" s="359" t="str">
        <f t="shared" si="145"/>
        <v/>
      </c>
      <c r="IJ20" s="346" t="b">
        <f t="shared" si="146"/>
        <v>0</v>
      </c>
      <c r="IK20" s="347" t="b">
        <f t="shared" si="147"/>
        <v>0</v>
      </c>
      <c r="IL20" s="347" t="b">
        <f t="shared" si="148"/>
        <v>0</v>
      </c>
      <c r="IM20" s="347" t="b">
        <f t="shared" si="149"/>
        <v>0</v>
      </c>
      <c r="IN20" s="347" t="b">
        <f t="shared" si="150"/>
        <v>1</v>
      </c>
      <c r="IO20" s="347" t="b">
        <f t="shared" si="151"/>
        <v>0</v>
      </c>
      <c r="IP20" s="347" t="b">
        <f t="shared" si="152"/>
        <v>0</v>
      </c>
      <c r="IQ20" s="347" t="b">
        <f t="shared" si="153"/>
        <v>0</v>
      </c>
      <c r="IR20" s="347" t="b">
        <f t="shared" si="154"/>
        <v>1</v>
      </c>
      <c r="IS20" s="347" t="b">
        <f t="shared" si="155"/>
        <v>0</v>
      </c>
      <c r="IT20" s="347" t="b">
        <f t="shared" si="156"/>
        <v>0</v>
      </c>
      <c r="IU20" s="347" t="b">
        <f t="shared" si="157"/>
        <v>0</v>
      </c>
      <c r="IV20" s="365" t="b">
        <f t="shared" si="158"/>
        <v>0</v>
      </c>
      <c r="IW20" s="354" t="str">
        <f t="shared" si="159"/>
        <v/>
      </c>
      <c r="IX20" s="355" t="str">
        <f t="shared" si="160"/>
        <v/>
      </c>
      <c r="IY20" s="355" t="str">
        <f t="shared" si="161"/>
        <v/>
      </c>
      <c r="IZ20" s="355" t="str">
        <f t="shared" si="162"/>
        <v/>
      </c>
      <c r="JA20" s="355" t="str">
        <f t="shared" si="163"/>
        <v>Ga, </v>
      </c>
      <c r="JB20" s="355" t="str">
        <f t="shared" si="164"/>
        <v/>
      </c>
      <c r="JC20" s="355" t="str">
        <f t="shared" si="165"/>
        <v/>
      </c>
      <c r="JD20" s="355" t="str">
        <f t="shared" si="166"/>
        <v/>
      </c>
      <c r="JE20" s="355" t="str">
        <f t="shared" si="167"/>
        <v>dha, </v>
      </c>
      <c r="JF20" s="355" t="str">
        <f t="shared" si="168"/>
        <v/>
      </c>
      <c r="JG20" s="355" t="str">
        <f t="shared" si="169"/>
        <v/>
      </c>
      <c r="JH20" s="355" t="str">
        <f t="shared" si="170"/>
        <v/>
      </c>
      <c r="JI20" s="359"/>
      <c r="JJ20" s="321"/>
      <c r="JK20" s="368"/>
      <c r="JL20" s="369"/>
      <c r="JM20" s="369"/>
      <c r="JN20" s="369"/>
      <c r="JO20" s="369"/>
      <c r="JP20" s="369"/>
      <c r="JQ20" s="369"/>
      <c r="JR20" s="369"/>
      <c r="JS20" s="369"/>
      <c r="JT20" s="369"/>
      <c r="JU20" s="369"/>
    </row>
    <row r="21" ht="20.25" customHeight="1">
      <c r="A21" s="221" t="s">
        <v>1262</v>
      </c>
      <c r="B21" s="223" t="s">
        <v>671</v>
      </c>
      <c r="C21" s="222" t="s">
        <v>275</v>
      </c>
      <c r="D21" s="222"/>
      <c r="E21" s="222" t="s">
        <v>275</v>
      </c>
      <c r="F21" s="222"/>
      <c r="G21" s="395" t="s">
        <v>275</v>
      </c>
      <c r="H21" s="222">
        <v>19.0</v>
      </c>
      <c r="I21" s="224" t="s">
        <v>1219</v>
      </c>
      <c r="J21" s="414">
        <f t="shared" si="5"/>
        <v>2</v>
      </c>
      <c r="K21" s="227">
        <f t="shared" si="6"/>
        <v>6</v>
      </c>
      <c r="L21" s="229">
        <f t="shared" si="7"/>
        <v>6</v>
      </c>
      <c r="M21" s="230">
        <f t="shared" si="8"/>
        <v>0</v>
      </c>
      <c r="N21" s="233" t="str">
        <f t="shared" si="9"/>
        <v>SgmPdnS</v>
      </c>
      <c r="O21" s="234" t="str">
        <f>IFERROR(__xludf.DUMMYFUNCTION("IF(REGEXMATCH(N21, ""S""), ""S"","""")"),"S")</f>
        <v>S</v>
      </c>
      <c r="P21" s="236" t="str">
        <f>IFERROR(__xludf.DUMMYFUNCTION("IF(REGEXMATCH(N21, ""r""), ""r"","""")"),"")</f>
        <v/>
      </c>
      <c r="Q21" s="237" t="str">
        <f>IFERROR(__xludf.DUMMYFUNCTION("IF(REGEXMATCH(N21, ""R""), ""R"","""")"),"")</f>
        <v/>
      </c>
      <c r="R21" s="237" t="str">
        <f>IFERROR(__xludf.DUMMYFUNCTION("IF(REGEXMATCH(N21, ""g""), ""g"","""")"),"g")</f>
        <v>g</v>
      </c>
      <c r="S21" s="236" t="str">
        <f>IFERROR(__xludf.DUMMYFUNCTION("IF(REGEXMATCH(N21, ""G""), ""G"","""")"),"")</f>
        <v/>
      </c>
      <c r="T21" s="236" t="str">
        <f>IFERROR(__xludf.DUMMYFUNCTION("IF(REGEXMATCH(N21, ""m""), ""m"","""")"),"m")</f>
        <v>m</v>
      </c>
      <c r="U21" s="237" t="str">
        <f>IFERROR(__xludf.DUMMYFUNCTION("IF(REGEXMATCH(N21, ""M""), ""M"","""")"),"")</f>
        <v/>
      </c>
      <c r="V21" s="236" t="str">
        <f>IFERROR(__xludf.DUMMYFUNCTION("IF(REGEXMATCH(N21, ""P""), ""P"","""")"),"P")</f>
        <v>P</v>
      </c>
      <c r="W21" s="237" t="str">
        <f>IFERROR(__xludf.DUMMYFUNCTION("IF(REGEXMATCH(N21, ""d""), ""d"","""")"),"d")</f>
        <v>d</v>
      </c>
      <c r="X21" s="236" t="str">
        <f>IFERROR(__xludf.DUMMYFUNCTION("IF(REGEXMATCH(N21, ""D""), ""D"","""")"),"")</f>
        <v/>
      </c>
      <c r="Y21" s="236" t="str">
        <f>IFERROR(__xludf.DUMMYFUNCTION("IF(REGEXMATCH(N21, ""n""), ""n"","""")"),"n")</f>
        <v>n</v>
      </c>
      <c r="Z21" s="237" t="str">
        <f>IFERROR(__xludf.DUMMYFUNCTION("IF(REGEXMATCH(N21, ""N""), ""N"","""")"),"")</f>
        <v/>
      </c>
      <c r="AA21" s="238" t="str">
        <f>IFERROR(__xludf.DUMMYFUNCTION("IF(REGEXMATCH(N21, ""S""), ""S"","""")"),"S")</f>
        <v>S</v>
      </c>
      <c r="AB21" s="239" t="str">
        <f>IFERROR(__xludf.DUMMYFUNCTION("SUBSTITUTE(CONCATENATE(JOIN(""-"",O21:U21)),""-"","""")"),"Sgm")</f>
        <v>Sgm</v>
      </c>
      <c r="AC21" s="229" t="str">
        <f>IFERROR(__xludf.DUMMYFUNCTION("SUBSTITUTE(CONCATENATE(JOIN(""-"",V21:AA21)),""-"","""")"),"PdnS")</f>
        <v>PdnS</v>
      </c>
      <c r="AD21" s="282" t="str">
        <f t="shared" si="10"/>
        <v>S-G-M</v>
      </c>
      <c r="AE21" s="282" t="str">
        <f t="shared" si="11"/>
        <v>P-D-N-S</v>
      </c>
      <c r="AF21" s="309" t="str">
        <f t="shared" si="12"/>
        <v>gmdn</v>
      </c>
      <c r="AG21" s="244" t="str">
        <f>IFERROR(__xludf.DUMMYFUNCTION("IF(REGEXMATCH(N21, ""S""), ""0"","""")"),"0")</f>
        <v>0</v>
      </c>
      <c r="AH21" s="245" t="str">
        <f>IFERROR(__xludf.DUMMYFUNCTION("IF(REGEXMATCH(N21, ""r""), ""1"","""")"),"")</f>
        <v/>
      </c>
      <c r="AI21" s="246" t="str">
        <f>IFERROR(__xludf.DUMMYFUNCTION("IF(REGEXMATCH(N21, ""R""), ""2"","""")"),"")</f>
        <v/>
      </c>
      <c r="AJ21" s="246" t="str">
        <f>IFERROR(__xludf.DUMMYFUNCTION("IF(REGEXMATCH(N21, ""g""), ""3"","""")"),"3")</f>
        <v>3</v>
      </c>
      <c r="AK21" s="245" t="str">
        <f>IFERROR(__xludf.DUMMYFUNCTION("IF(REGEXMATCH(N21, ""G""), ""4"","""")"),"")</f>
        <v/>
      </c>
      <c r="AL21" s="245" t="str">
        <f>IFERROR(__xludf.DUMMYFUNCTION("IF(REGEXMATCH(N21, ""m""), ""5"","""")"),"5")</f>
        <v>5</v>
      </c>
      <c r="AM21" s="246" t="str">
        <f>IFERROR(__xludf.DUMMYFUNCTION("IF(REGEXMATCH(N21, ""M""), ""6"","""")"),"")</f>
        <v/>
      </c>
      <c r="AN21" s="245" t="str">
        <f>IFERROR(__xludf.DUMMYFUNCTION("IF(REGEXMATCH(N21, ""P""), ""7"","""")"),"7")</f>
        <v>7</v>
      </c>
      <c r="AO21" s="246" t="str">
        <f>IFERROR(__xludf.DUMMYFUNCTION("IF(REGEXMATCH(N21, ""d""), ""8"","""")"),"8")</f>
        <v>8</v>
      </c>
      <c r="AP21" s="245" t="str">
        <f>IFERROR(__xludf.DUMMYFUNCTION("IF(REGEXMATCH(N21, ""D""), ""9"","""")"),"")</f>
        <v/>
      </c>
      <c r="AQ21" s="245" t="str">
        <f>IFERROR(__xludf.DUMMYFUNCTION("IF(REGEXMATCH(N21, ""n""), ""10"","""")"),"10")</f>
        <v>10</v>
      </c>
      <c r="AR21" s="246" t="str">
        <f>IFERROR(__xludf.DUMMYFUNCTION("IF(REGEXMATCH(N21, ""N""), ""11"","""")"),"")</f>
        <v/>
      </c>
      <c r="AS21" s="249" t="str">
        <f>IFERROR(__xludf.DUMMYFUNCTION("IF(REGEXMATCH(N21, ""S""), ""0"","""")"),"0")</f>
        <v>0</v>
      </c>
      <c r="AT21" s="250" t="str">
        <f>IFERROR(__xludf.DUMMYFUNCTION("SUBSTITUTE(SUBSTITUTE(SUBSTITUTE(SUBSTITUTE(CONCATENATE(JOIN(""-"",AG21:AS21)),""--"",""-""),""--"",""-""),""--"",""-""),""--"",""-"")"),"0-3-5-7-8-10-0")</f>
        <v>0-3-5-7-8-10-0</v>
      </c>
      <c r="AU21" s="251">
        <f t="shared" si="13"/>
        <v>2</v>
      </c>
      <c r="AV21" s="234" t="str">
        <f t="shared" si="14"/>
        <v>|</v>
      </c>
      <c r="AW21" s="236" t="str">
        <f t="shared" si="15"/>
        <v>-</v>
      </c>
      <c r="AX21" s="237" t="str">
        <f t="shared" si="16"/>
        <v>-</v>
      </c>
      <c r="AY21" s="236" t="str">
        <f t="shared" si="17"/>
        <v>|</v>
      </c>
      <c r="AZ21" s="237" t="str">
        <f t="shared" si="18"/>
        <v>-</v>
      </c>
      <c r="BA21" s="236" t="str">
        <f t="shared" si="19"/>
        <v>|</v>
      </c>
      <c r="BB21" s="237" t="str">
        <f t="shared" si="20"/>
        <v>-</v>
      </c>
      <c r="BC21" s="236" t="str">
        <f t="shared" si="21"/>
        <v>|</v>
      </c>
      <c r="BD21" s="237" t="str">
        <f t="shared" si="22"/>
        <v>|</v>
      </c>
      <c r="BE21" s="236" t="str">
        <f t="shared" si="23"/>
        <v>-</v>
      </c>
      <c r="BF21" s="237" t="str">
        <f t="shared" si="24"/>
        <v>|</v>
      </c>
      <c r="BG21" s="236" t="str">
        <f t="shared" si="25"/>
        <v>-</v>
      </c>
      <c r="BH21" s="238" t="str">
        <f t="shared" si="26"/>
        <v>|</v>
      </c>
      <c r="BI21" s="250" t="str">
        <f>IFERROR(__xludf.DUMMYFUNCTION("SUBSTITUTE(SUBSTITUTE(CONCATENATE(JOIN("""",AV21:BG21)),""|"",""x""),""-"",""o"")"),"xooxoxoxxoxo")</f>
        <v>xooxoxoxxoxo</v>
      </c>
      <c r="BJ21" s="323" t="str">
        <f>IFERROR(__xludf.DUMMYFUNCTION("JOIN("""",BI21,BI21)"),"xooxoxoxxoxoxooxoxoxxoxo")</f>
        <v>xooxoxoxxoxoxooxoxoxxoxo</v>
      </c>
      <c r="BK21" s="256" t="str">
        <f>IFERROR(__xludf.DUMMYFUNCTION("JOIN("""",ArrayFormula(MID(BI21,LEN(BI21)-SEQUENCE(1,LEN(BI21))+1,1)))"),"oxoxxoxoxoox")</f>
        <v>oxoxxoxoxoox</v>
      </c>
      <c r="BL21" s="256" t="str">
        <f>IFERROR(__xludf.DUMMYFUNCTION("LEFT(CONCATENATE(""x"",JOIN("""",ArrayFormula(MID(BI21,LEN(BI21)-SEQUENCE(1,LEN(BI21))+1,1)))),12)"),"xoxoxxoxoxoo")</f>
        <v>xoxoxxoxoxoo</v>
      </c>
      <c r="BM21" s="327" t="str">
        <f>IFERROR(__xludf.DUMMYFUNCTION("JOIN("""",BK21,BK21)"),"oxoxxoxoxooxoxoxxoxoxoox")</f>
        <v>oxoxxoxoxooxoxoxxoxoxoox</v>
      </c>
      <c r="BN21" s="239" t="str">
        <f>IFERROR(__xludf.DUMMYFUNCTION("IF(REGEXMATCH(BM21,BI21),""✔"",""-"")"),"✔")</f>
        <v>✔</v>
      </c>
      <c r="BO21" s="330" t="str">
        <f t="shared" si="27"/>
        <v>-</v>
      </c>
      <c r="BP21" s="260" t="str">
        <f t="shared" si="28"/>
        <v>-</v>
      </c>
      <c r="BQ21" s="261" t="str">
        <f>IFERROR(__xludf.DUMMYFUNCTION("IF(BT21=0,""(n/a)"",IF(BU21=2,""(PAIR)"",IF(REGEXMATCH(BJ21,""xoxoxxoxoxox""),""Bilawal"",IF(REGEXMATCH(BJ21,""xoxoxooxoxoo""),""Bhupali"",IF(REGEXMATCH(BJ21,""xoxoxxoxxoxo""),""Charukeshi"",IF(REGEXMATCH(BJ21,""xoxoooxxoxxo""),""Kameshwari"",IF(REGEXMATC"&amp;"H(BJ21,""xoxoxooxoxox""),""Shankara"",IF(REGEXMATCH(BJ21,""xxooxoxxxoox""),""Basant"",IF(REGEXMATCH(BJ21,""xoxoxxxxoxox""),""Bihag"",IF(REGEXMATCH(BJ21,""xoxxxxoxoxxx""),""Pilu"",IF(REGEXMATCH(BJ21,""xoxxoxoxxoox""),""Kirwani"",IF(REGEXMATCH(BJ21,""xoxxox"&amp;"oxoxxx""),""Mk.Malhar"",IF(REGEXMATCH(BJ21,""xxooxxoxxoox""),""Bhairav"",IF(REGEXMATCH(BJ21,""xxoxooxxxoox""),""Todi"",IF(REGEXMATCH(BJ21,""xxooxoxooxox""),""Marwa"",IF(REGEXMATCH(BJ21,""xxoooxoxxooo""),""Gunkali"",IF(REGEXMATCH(BJ21,""xoxoxxoxxoox""),""N"&amp;"at Bhairav"",IF(REGEXMATCH(BJ21,""xoxxoooxoxoo""),""Shivranjani"",IF(REGEXMATCH(BJ21,""xooxxxoxooxo""),""Jog"",IF(REGEXMATCH(BJ21,""xxooxoxoxoox""),""Hemshri"",IF(REGEXMATCH(BJ21,""xoooxooxoxxo""),""Kalavati"",IF(REGEXMATCH(BJ21,""xxoxoxxoxoox""),""Kedar"&amp;""",IF(REGEXMATCH(BJ21,""xoxxxxoxooxx""),""Gara"",IF(REGEXMATCH(BJ21,""xooxoxooxoox""),""Chandrakauns"",IF(REGEXMATCH(BJ21,""xoxxxxoxxxox""),""Mand"",IF(REGEXMATCH(BJ21,""xoxxxxoxoxox""),""Hanskinkini"",IF(REGEXMATCH(BJ21,""xxooxxoxooxo""),""Lilavati"",IF("&amp;"REGEXMATCH(BJ21,""xooxoxoooxox""),""Rajeshwari"",IF(REGEXMATCH(BJ21,""xoooxxoxoxxx""),""Khokar"",IF(REGEXMATCH(BJ21,""xxooxoxxxxox""),""Maligoura"",""-""))))))))))))))))))))))))))))))"),"(n/a)")</f>
        <v>(n/a)</v>
      </c>
      <c r="BR21" s="239">
        <f t="shared" si="29"/>
        <v>5</v>
      </c>
      <c r="BS21" s="239">
        <f>IFERROR(__xludf.DUMMYFUNCTION("COUNTUNIQUE(BW21:CG21)-1"),5.0)</f>
        <v>5</v>
      </c>
      <c r="BT21" s="239">
        <f>IFERROR(__xludf.DUMMYFUNCTION("COUNTUNIQUE(FILTER(BJ:BJ,REGEXMATCH(BJ:BJ,BI21)))-1"),0.0)</f>
        <v>0</v>
      </c>
      <c r="BU21" s="239">
        <f>IFERROR(__xludf.DUMMYFUNCTION("COUNTA(FILTER(BJ:BJ,REGEXMATCH(BJ:BJ,BI21)))"),3.0)</f>
        <v>3</v>
      </c>
      <c r="BV21" s="341">
        <f>IFERROR(__xludf.DUMMYFUNCTION("COUNTA(FILTER(BJ:BJ,REGEXMATCH(BJ:BJ,BI21)))-AU21"),1.0)</f>
        <v>1</v>
      </c>
      <c r="BW21" s="269" t="str">
        <f t="shared" si="30"/>
        <v>-</v>
      </c>
      <c r="BX21" s="269" t="str">
        <f t="shared" si="31"/>
        <v>-</v>
      </c>
      <c r="BY21" s="271" t="str">
        <f t="shared" si="32"/>
        <v>xoxoxxoxoxo</v>
      </c>
      <c r="BZ21" s="269" t="str">
        <f t="shared" si="33"/>
        <v>-</v>
      </c>
      <c r="CA21" s="271" t="str">
        <f t="shared" si="34"/>
        <v>xoxxoxoxoox</v>
      </c>
      <c r="CB21" s="271" t="str">
        <f t="shared" si="35"/>
        <v>-</v>
      </c>
      <c r="CC21" s="271" t="str">
        <f t="shared" si="36"/>
        <v>xxoxoxooxox</v>
      </c>
      <c r="CD21" s="271" t="str">
        <f t="shared" si="37"/>
        <v>xoxoxooxoxo</v>
      </c>
      <c r="CE21" s="271" t="str">
        <f t="shared" si="38"/>
        <v>-</v>
      </c>
      <c r="CF21" s="271" t="str">
        <f t="shared" si="39"/>
        <v>xoxooxoxoxx</v>
      </c>
      <c r="CG21" s="274" t="str">
        <f t="shared" si="40"/>
        <v>-</v>
      </c>
      <c r="CH21" s="276" t="str">
        <f>IFERROR(__xludf.DUMMYFUNCTION("IF(BI21=""oooooooooooo"",""-"",IF(REGEXMATCH(BJ21,""xx""), ""Hemi."", ""Anhemi.""))"),"Hemi.")</f>
        <v>Hemi.</v>
      </c>
      <c r="CI21" s="282" t="str">
        <f>IFERROR(__xludf.DUMMYFUNCTION("IF(BI21=""oooooooooooo"",""-"",IF(REGEXMATCH(BJ21,""xxx""), ""Cohem."", ""-""))"),"-")</f>
        <v>-</v>
      </c>
      <c r="CJ21" s="282" t="str">
        <f>IFERROR(__xludf.DUMMYFUNCTION("IF(BI21=""oooooooooooo"",""-"",IF(REGEXMATCH(BJ21,""xxxx""), ""Co-Co."", ""-""))"),"-")</f>
        <v>-</v>
      </c>
      <c r="CK21" s="342" t="str">
        <f>IFERROR(__xludf.DUMMYFUNCTION("IF(BI21=""oooooooooooo"",""-"",IF(REGEXMATCH(BJ21,""xxxxx""), ""CCC."", ""-""))"),"-")</f>
        <v>-</v>
      </c>
      <c r="CL21" s="344" t="str">
        <f t="shared" si="41"/>
        <v>-</v>
      </c>
      <c r="CM21" s="282" t="str">
        <f>IFERROR(__xludf.DUMMYFUNCTION("IF(REGEXMATCH(JOIN(""-"",CO21:CX21),""TRUE""),""✔"",""-"")"),"✔")</f>
        <v>✔</v>
      </c>
      <c r="CN21" s="225">
        <f t="shared" si="42"/>
        <v>2</v>
      </c>
      <c r="CO21" s="376" t="b">
        <f>IFERROR(__xludf.DUMMYFUNCTION("arrayformula(sum(--REGEXMATCH(""SRGMPDNS"",split(REGEXREPLACE(N21,""(.)"",""$1~""),""~""))))=len(N21)
"),FALSE)</f>
        <v>0</v>
      </c>
      <c r="CP21" s="290" t="b">
        <f>IFERROR(__xludf.DUMMYFUNCTION("arrayformula(sum(--REGEXMATCH(""SRGmPDNS"",split(REGEXREPLACE(N21,""(.)"",""$1~""),""~""))))=len(N21)"),FALSE)</f>
        <v>0</v>
      </c>
      <c r="CQ21" s="290" t="b">
        <f>IFERROR(__xludf.DUMMYFUNCTION("arrayformula(sum(--REGEXMATCH(""SRGmPDnS"",split(REGEXREPLACE(N21,""(.)"",""$1~""),""~""))))=len(N21)"),FALSE)</f>
        <v>0</v>
      </c>
      <c r="CR21" s="290" t="b">
        <f>IFERROR(__xludf.DUMMYFUNCTION("arrayformula(sum(--REGEXMATCH(""SRgmPDnS"",split(REGEXREPLACE(N21,""(.)"",""$1~""),""~""))))=len(N21)"),FALSE)</f>
        <v>0</v>
      </c>
      <c r="CS21" s="290" t="b">
        <f>IFERROR(__xludf.DUMMYFUNCTION("arrayformula(sum(--REGEXMATCH(""SRgmPdnS"",split(REGEXREPLACE(N21,""(.)"",""$1~""),""~""))))=len(N21)"),TRUE)</f>
        <v>1</v>
      </c>
      <c r="CT21" s="290" t="b">
        <f>IFERROR(__xludf.DUMMYFUNCTION("arrayformula(sum(--REGEXMATCH(""SrgmPdnS"",split(REGEXREPLACE(N21,""(.)"",""$1~""),""~""))))=len(N21)"),TRUE)</f>
        <v>1</v>
      </c>
      <c r="CU21" s="290" t="b">
        <f>IFERROR(__xludf.DUMMYFUNCTION("arrayformula(sum(--REGEXMATCH(""SrGmPdNS"",split(REGEXREPLACE(N21,""(.)"",""$1~""),""~""))))=len(N21)"),FALSE)</f>
        <v>0</v>
      </c>
      <c r="CV21" s="290" t="b">
        <f>IFERROR(__xludf.DUMMYFUNCTION("arrayformula(sum(--REGEXMATCH(""SrGMPDNS"",split(REGEXREPLACE(N21,""(.)"",""$1~""),""~""))))=len(N21)"),FALSE)</f>
        <v>0</v>
      </c>
      <c r="CW21" s="290" t="b">
        <f>IFERROR(__xludf.DUMMYFUNCTION("arrayformula(sum(--REGEXMATCH(""SrGMPdNS"",split(REGEXREPLACE(N21,""(.)"",""$1~""),""~""))))=len(N21)"),FALSE)</f>
        <v>0</v>
      </c>
      <c r="CX21" s="293" t="b">
        <f>IFERROR(__xludf.DUMMYFUNCTION("arrayformula(sum(--REGEXMATCH(""SrgMPdNS"",split(REGEXREPLACE(N21,""(.)"",""$1~""),""~""))))=len(N21)"),FALSE)</f>
        <v>0</v>
      </c>
      <c r="CY21" s="244" t="str">
        <f>IFERROR(__xludf.DUMMYFUNCTION("IF(REGEXMATCH(N21, ""S""), ""1"","""")"),"1")</f>
        <v>1</v>
      </c>
      <c r="CZ21" s="245" t="str">
        <f>IFERROR(__xludf.DUMMYFUNCTION("IF(REGEXMATCH(N21, ""r""), ""b2"","""")"),"")</f>
        <v/>
      </c>
      <c r="DA21" s="246" t="str">
        <f>IFERROR(__xludf.DUMMYFUNCTION("IF(REGEXMATCH(N21, ""R""), ""2"","""")"),"")</f>
        <v/>
      </c>
      <c r="DB21" s="246" t="str">
        <f>IFERROR(__xludf.DUMMYFUNCTION("IF(REGEXMATCH(N21, ""g""), ""b3"","""")"),"b3")</f>
        <v>b3</v>
      </c>
      <c r="DC21" s="245" t="str">
        <f>IFERROR(__xludf.DUMMYFUNCTION("IF(REGEXMATCH(N21, ""G""), ""3"","""")"),"")</f>
        <v/>
      </c>
      <c r="DD21" s="245" t="str">
        <f>IFERROR(__xludf.DUMMYFUNCTION("IF(REGEXMATCH(N21, ""m""), ""4"","""")"),"4")</f>
        <v>4</v>
      </c>
      <c r="DE21" s="246" t="str">
        <f>IFERROR(__xludf.DUMMYFUNCTION("IF(REGEXMATCH(N21, ""M""), ""#4"","""")"),"")</f>
        <v/>
      </c>
      <c r="DF21" s="245" t="str">
        <f>IFERROR(__xludf.DUMMYFUNCTION("IF(REGEXMATCH(N21, ""P""), ""5"","""")"),"5")</f>
        <v>5</v>
      </c>
      <c r="DG21" s="246" t="str">
        <f>IFERROR(__xludf.DUMMYFUNCTION("IF(REGEXMATCH(N21, ""d""), ""b6"","""")"),"b6")</f>
        <v>b6</v>
      </c>
      <c r="DH21" s="245" t="str">
        <f>IFERROR(__xludf.DUMMYFUNCTION("IF(REGEXMATCH(N21, ""D""), ""6"","""")"),"")</f>
        <v/>
      </c>
      <c r="DI21" s="245" t="str">
        <f>IFERROR(__xludf.DUMMYFUNCTION("IF(REGEXMATCH(N21, ""n""), ""b7"","""")"),"b7")</f>
        <v>b7</v>
      </c>
      <c r="DJ21" s="246" t="str">
        <f>IFERROR(__xludf.DUMMYFUNCTION("IF(REGEXMATCH(N21, ""N""), ""7"","""")"),"")</f>
        <v/>
      </c>
      <c r="DK21" s="249" t="str">
        <f>IFERROR(__xludf.DUMMYFUNCTION("IF(REGEXMATCH(N21, ""S""), ""8"","""")"),"8")</f>
        <v>8</v>
      </c>
      <c r="DL21" s="244" t="str">
        <f>IFERROR(__xludf.DUMMYFUNCTION("IF(REGEXMATCH(N21, ""S""), ""S"","""")"),"S")</f>
        <v>S</v>
      </c>
      <c r="DM21" s="294" t="str">
        <f>IFERROR(__xludf.DUMMYFUNCTION("IF(REGEXMATCH(N21, ""r""), ""R1"","""")"),"")</f>
        <v/>
      </c>
      <c r="DN21" s="295" t="str">
        <f>IFERROR(__xludf.DUMMYFUNCTION("IF(REGEXMATCH(N21, ""R""), ""R2"","""")"),"")</f>
        <v/>
      </c>
      <c r="DO21" s="295" t="str">
        <f>IFERROR(__xludf.DUMMYFUNCTION("IF(REGEXMATCH(N21, ""g""), ""G2"","""")"),"G2")</f>
        <v>G2</v>
      </c>
      <c r="DP21" s="294" t="str">
        <f>IFERROR(__xludf.DUMMYFUNCTION("IF(REGEXMATCH(N21, ""G""), ""G3"","""")"),"")</f>
        <v/>
      </c>
      <c r="DQ21" s="294" t="str">
        <f>IFERROR(__xludf.DUMMYFUNCTION("IF(REGEXMATCH(N21, ""m""), ""M1"","""")"),"M1")</f>
        <v>M1</v>
      </c>
      <c r="DR21" s="295" t="str">
        <f>IFERROR(__xludf.DUMMYFUNCTION("IF(REGEXMATCH(N21, ""M""), ""M2"","""")"),"")</f>
        <v/>
      </c>
      <c r="DS21" s="294" t="str">
        <f>IFERROR(__xludf.DUMMYFUNCTION("IF(REGEXMATCH(N21, ""P""), ""P"","""")"),"P")</f>
        <v>P</v>
      </c>
      <c r="DT21" s="295" t="str">
        <f>IFERROR(__xludf.DUMMYFUNCTION("IF(REGEXMATCH(N21, ""d""), ""D1"","""")"),"D1")</f>
        <v>D1</v>
      </c>
      <c r="DU21" s="294" t="str">
        <f>IFERROR(__xludf.DUMMYFUNCTION("IF(REGEXMATCH(N21, ""D""), ""D2"","""")"),"")</f>
        <v/>
      </c>
      <c r="DV21" s="294" t="str">
        <f>IFERROR(__xludf.DUMMYFUNCTION("IF(REGEXMATCH(N21, ""n""), ""N2"","""")"),"N2")</f>
        <v>N2</v>
      </c>
      <c r="DW21" s="295" t="str">
        <f>IFERROR(__xludf.DUMMYFUNCTION("IF(REGEXMATCH(N21, ""N""), ""N3"","""")"),"")</f>
        <v/>
      </c>
      <c r="DX21" s="249" t="str">
        <f>IFERROR(__xludf.DUMMYFUNCTION("IF(REGEXMATCH(N21, ""S""), ""S"","""")"),"S")</f>
        <v>S</v>
      </c>
      <c r="DY21" s="299" t="str">
        <f>IFERROR(__xludf.DUMMYFUNCTION("SUBSTITUTE(SUBSTITUTE(SUBSTITUTE(SUBSTITUTE(CONCATENATE(JOIN(""-"",CY21:DK21)),""--"",""-""),""--"",""-""),""--"",""-""),""--"",""-"")"),"1-b3-4-5-b6-b7-8")</f>
        <v>1-b3-4-5-b6-b7-8</v>
      </c>
      <c r="DZ21" s="299" t="str">
        <f>IFERROR(__xludf.DUMMYFUNCTION("SUBSTITUTE(SUBSTITUTE(SUBSTITUTE(SUBSTITUTE(CONCATENATE(JOIN(""-"",DL21:DX21)),""--"",""-""),""--"",""-""),""--"",""-""),""--"",""-"")"),"S-G2-M1-P-D1-N2-S")</f>
        <v>S-G2-M1-P-D1-N2-S</v>
      </c>
      <c r="EA21" s="348" t="str">
        <f t="shared" si="43"/>
        <v>C-Eb-F-G-Ab-Bb-C</v>
      </c>
      <c r="EB21" s="301">
        <f t="shared" si="44"/>
        <v>6</v>
      </c>
      <c r="EC21" s="302" t="str">
        <f t="shared" si="45"/>
        <v>Shadav</v>
      </c>
      <c r="ED21" s="301" t="str">
        <f t="shared" ref="ED21:EE21" si="187">SUBSTITUTE(AD21,"-","")</f>
        <v>SGM</v>
      </c>
      <c r="EE21" s="301" t="str">
        <f t="shared" si="187"/>
        <v>PDNS</v>
      </c>
      <c r="EF21" s="302" t="str">
        <f t="shared" si="47"/>
        <v>(n/a)</v>
      </c>
      <c r="EG21" s="301" t="str">
        <f t="shared" si="48"/>
        <v>Hemi.</v>
      </c>
      <c r="EH21" s="364" t="str">
        <f t="shared" si="49"/>
        <v>-</v>
      </c>
      <c r="EI21" s="306" t="str">
        <f t="shared" si="50"/>
        <v>-</v>
      </c>
      <c r="EJ21" s="366" t="str">
        <f t="shared" si="51"/>
        <v>✔</v>
      </c>
      <c r="EK21" s="308" t="str">
        <f t="shared" si="52"/>
        <v>-</v>
      </c>
      <c r="EL21" s="306" t="str">
        <f t="shared" si="53"/>
        <v>-</v>
      </c>
      <c r="EM21" s="306" t="str">
        <f t="shared" si="54"/>
        <v>✔</v>
      </c>
      <c r="EN21" s="367" t="str">
        <f t="shared" si="55"/>
        <v>-</v>
      </c>
      <c r="EO21" s="310" t="str">
        <f t="shared" si="56"/>
        <v>-</v>
      </c>
      <c r="EP21" s="310" t="str">
        <f t="shared" si="57"/>
        <v>-</v>
      </c>
      <c r="EQ21" s="310" t="str">
        <f t="shared" si="58"/>
        <v>-</v>
      </c>
      <c r="ER21" s="310" t="str">
        <f t="shared" si="59"/>
        <v>-</v>
      </c>
      <c r="ES21" s="370" t="str">
        <f t="shared" si="60"/>
        <v>-</v>
      </c>
      <c r="ET21" s="306" t="str">
        <f t="shared" si="61"/>
        <v>✔</v>
      </c>
      <c r="EU21" s="306" t="str">
        <f t="shared" si="62"/>
        <v>-</v>
      </c>
      <c r="EV21" s="306" t="str">
        <f t="shared" si="63"/>
        <v>-</v>
      </c>
      <c r="EW21" s="306" t="str">
        <f t="shared" si="64"/>
        <v>-</v>
      </c>
      <c r="EX21" s="306" t="str">
        <f t="shared" si="65"/>
        <v>-</v>
      </c>
      <c r="EY21" s="367" t="str">
        <f t="shared" si="66"/>
        <v>-</v>
      </c>
      <c r="EZ21" s="310" t="str">
        <f>IFERROR(__xludf.DUMMYFUNCTION("IF(REGEXMATCH(BM21,BI21),""✔"",""-"")"),"✔")</f>
        <v>✔</v>
      </c>
      <c r="FA21" s="310" t="str">
        <f t="shared" si="67"/>
        <v>-</v>
      </c>
      <c r="FB21" s="370" t="str">
        <f t="shared" si="68"/>
        <v>-</v>
      </c>
      <c r="FC21" s="415">
        <f t="shared" si="69"/>
        <v>2</v>
      </c>
      <c r="FD21" s="317" t="str">
        <f t="shared" si="70"/>
        <v>S-g-m-P-d-n-S</v>
      </c>
      <c r="FE21" s="318" t="str">
        <f>IFERROR(__xludf.DUMMYFUNCTION("CONCATENATE(JOIN("""",GJ21:GV21))"),"SRGmPDS")</f>
        <v>SRGmPDS</v>
      </c>
      <c r="FF21" s="318"/>
      <c r="FG21" s="318"/>
      <c r="FH21" s="321">
        <f t="shared" si="71"/>
        <v>1</v>
      </c>
      <c r="FI21" s="318" t="str">
        <f>IFERROR(__xludf.DUMMYFUNCTION("CONCATENATE(JOIN("""",HW21:II21))"),"Pa, ")</f>
        <v>Pa, </v>
      </c>
      <c r="FJ21" s="322">
        <f t="shared" si="72"/>
        <v>0</v>
      </c>
      <c r="FK21" s="324" t="str">
        <f>IFERROR(__xludf.DUMMYFUNCTION("CONCATENATE(JOIN("""",IW21:JI21))"),"")</f>
        <v/>
      </c>
      <c r="FL21" s="325" t="str">
        <f t="shared" si="73"/>
        <v>S-G2-M1-P-D1-N2-S</v>
      </c>
      <c r="FM21" s="326" t="str">
        <f t="shared" si="74"/>
        <v>1-b3-4-5-b6-b7-8</v>
      </c>
      <c r="FN21" s="326" t="str">
        <f t="shared" si="75"/>
        <v>0-3-5-7-8-10-0</v>
      </c>
      <c r="FO21" s="318"/>
      <c r="FP21" s="328" t="str">
        <f>IFERROR(__xludf.DUMMYFUNCTION("SUBSTITUTE(SUBSTITUTE(SUBSTITUTE(SUBSTITUTE(CONCATENATE(JOIN("" "",FS21:GE21)),""  "","" ""),""  "","" ""),""  "","" ""),""  "","" "")"),"o • • o • o • o o • o • o")</f>
        <v>o • • o • o • o o • o • o</v>
      </c>
      <c r="FQ21" s="328" t="str">
        <f t="shared" si="76"/>
        <v>-</v>
      </c>
      <c r="FR21" s="329"/>
      <c r="FS21" s="331" t="str">
        <f t="shared" si="77"/>
        <v>o</v>
      </c>
      <c r="FT21" s="332" t="str">
        <f t="shared" si="78"/>
        <v>•</v>
      </c>
      <c r="FU21" s="332" t="str">
        <f t="shared" si="79"/>
        <v>•</v>
      </c>
      <c r="FV21" s="332" t="str">
        <f t="shared" si="80"/>
        <v>o</v>
      </c>
      <c r="FW21" s="332" t="str">
        <f t="shared" si="81"/>
        <v>•</v>
      </c>
      <c r="FX21" s="332" t="str">
        <f t="shared" si="82"/>
        <v>o</v>
      </c>
      <c r="FY21" s="332" t="str">
        <f t="shared" si="83"/>
        <v>•</v>
      </c>
      <c r="FZ21" s="332" t="str">
        <f t="shared" si="84"/>
        <v>o</v>
      </c>
      <c r="GA21" s="332" t="str">
        <f t="shared" si="85"/>
        <v>o</v>
      </c>
      <c r="GB21" s="332" t="str">
        <f t="shared" si="86"/>
        <v>•</v>
      </c>
      <c r="GC21" s="332" t="str">
        <f t="shared" si="87"/>
        <v>o</v>
      </c>
      <c r="GD21" s="332" t="str">
        <f t="shared" si="88"/>
        <v>•</v>
      </c>
      <c r="GE21" s="338" t="str">
        <f t="shared" si="89"/>
        <v>o</v>
      </c>
      <c r="GF21" s="339" t="str">
        <f t="shared" si="90"/>
        <v>-</v>
      </c>
      <c r="GG21" s="339" t="str">
        <f t="shared" si="91"/>
        <v>Sa-Pa</v>
      </c>
      <c r="GH21" s="339" t="str">
        <f t="shared" si="92"/>
        <v>-</v>
      </c>
      <c r="GI21" s="340" t="str">
        <f t="shared" si="93"/>
        <v>-</v>
      </c>
      <c r="GJ21" s="331" t="str">
        <f t="shared" si="94"/>
        <v>S</v>
      </c>
      <c r="GK21" s="332" t="str">
        <f t="shared" si="95"/>
        <v/>
      </c>
      <c r="GL21" s="332" t="str">
        <f t="shared" si="96"/>
        <v>R</v>
      </c>
      <c r="GM21" s="332" t="str">
        <f t="shared" si="97"/>
        <v/>
      </c>
      <c r="GN21" s="332" t="str">
        <f t="shared" si="98"/>
        <v>G</v>
      </c>
      <c r="GO21" s="332" t="str">
        <f t="shared" si="99"/>
        <v>m</v>
      </c>
      <c r="GP21" s="332" t="str">
        <f t="shared" si="100"/>
        <v/>
      </c>
      <c r="GQ21" s="332" t="str">
        <f t="shared" si="101"/>
        <v>P</v>
      </c>
      <c r="GR21" s="332" t="str">
        <f t="shared" si="102"/>
        <v/>
      </c>
      <c r="GS21" s="332" t="str">
        <f t="shared" si="103"/>
        <v>D</v>
      </c>
      <c r="GT21" s="332" t="str">
        <f t="shared" si="104"/>
        <v/>
      </c>
      <c r="GU21" s="332" t="str">
        <f t="shared" si="105"/>
        <v/>
      </c>
      <c r="GV21" s="343" t="str">
        <f t="shared" si="106"/>
        <v>S</v>
      </c>
      <c r="GW21" s="331" t="str">
        <f t="shared" si="107"/>
        <v>•</v>
      </c>
      <c r="GX21" s="332" t="str">
        <f t="shared" si="108"/>
        <v>o</v>
      </c>
      <c r="GY21" s="332" t="str">
        <f t="shared" si="109"/>
        <v>o</v>
      </c>
      <c r="GZ21" s="332" t="str">
        <f t="shared" si="110"/>
        <v>•</v>
      </c>
      <c r="HA21" s="332" t="str">
        <f t="shared" si="111"/>
        <v>o</v>
      </c>
      <c r="HB21" s="332" t="str">
        <f t="shared" si="112"/>
        <v>•</v>
      </c>
      <c r="HC21" s="332" t="str">
        <f t="shared" si="113"/>
        <v>o</v>
      </c>
      <c r="HD21" s="332" t="str">
        <f t="shared" si="114"/>
        <v>•</v>
      </c>
      <c r="HE21" s="332" t="str">
        <f t="shared" si="115"/>
        <v>•</v>
      </c>
      <c r="HF21" s="332" t="str">
        <f t="shared" si="116"/>
        <v>o</v>
      </c>
      <c r="HG21" s="332" t="str">
        <f t="shared" si="117"/>
        <v>•</v>
      </c>
      <c r="HH21" s="332" t="str">
        <f t="shared" si="118"/>
        <v>o</v>
      </c>
      <c r="HI21" s="338" t="str">
        <f t="shared" si="119"/>
        <v>•</v>
      </c>
      <c r="HJ21" s="346" t="b">
        <f t="shared" si="120"/>
        <v>0</v>
      </c>
      <c r="HK21" s="347" t="b">
        <f t="shared" si="121"/>
        <v>0</v>
      </c>
      <c r="HL21" s="347" t="b">
        <f t="shared" si="122"/>
        <v>0</v>
      </c>
      <c r="HM21" s="347" t="b">
        <f t="shared" si="123"/>
        <v>0</v>
      </c>
      <c r="HN21" s="347" t="b">
        <f t="shared" si="124"/>
        <v>0</v>
      </c>
      <c r="HO21" s="347" t="b">
        <f t="shared" si="125"/>
        <v>0</v>
      </c>
      <c r="HP21" s="347" t="b">
        <f t="shared" si="126"/>
        <v>0</v>
      </c>
      <c r="HQ21" s="347" t="b">
        <f t="shared" si="127"/>
        <v>1</v>
      </c>
      <c r="HR21" s="347" t="b">
        <f t="shared" si="128"/>
        <v>0</v>
      </c>
      <c r="HS21" s="347" t="b">
        <f t="shared" si="129"/>
        <v>0</v>
      </c>
      <c r="HT21" s="347" t="b">
        <f t="shared" si="130"/>
        <v>0</v>
      </c>
      <c r="HU21" s="347" t="b">
        <f t="shared" si="131"/>
        <v>0</v>
      </c>
      <c r="HV21" s="353" t="b">
        <f t="shared" si="132"/>
        <v>0</v>
      </c>
      <c r="HW21" s="354" t="str">
        <f t="shared" si="133"/>
        <v/>
      </c>
      <c r="HX21" s="355" t="str">
        <f t="shared" si="134"/>
        <v/>
      </c>
      <c r="HY21" s="355" t="str">
        <f t="shared" si="135"/>
        <v/>
      </c>
      <c r="HZ21" s="355" t="str">
        <f t="shared" si="136"/>
        <v/>
      </c>
      <c r="IA21" s="355" t="str">
        <f t="shared" si="137"/>
        <v/>
      </c>
      <c r="IB21" s="355" t="str">
        <f t="shared" si="138"/>
        <v/>
      </c>
      <c r="IC21" s="355" t="str">
        <f t="shared" si="139"/>
        <v/>
      </c>
      <c r="ID21" s="355" t="str">
        <f t="shared" si="140"/>
        <v>Pa, </v>
      </c>
      <c r="IE21" s="355" t="str">
        <f t="shared" si="141"/>
        <v/>
      </c>
      <c r="IF21" s="355" t="str">
        <f t="shared" si="142"/>
        <v/>
      </c>
      <c r="IG21" s="355" t="str">
        <f t="shared" si="143"/>
        <v/>
      </c>
      <c r="IH21" s="355" t="str">
        <f t="shared" si="144"/>
        <v/>
      </c>
      <c r="II21" s="359" t="str">
        <f t="shared" si="145"/>
        <v/>
      </c>
      <c r="IJ21" s="346" t="b">
        <f t="shared" si="146"/>
        <v>0</v>
      </c>
      <c r="IK21" s="347" t="b">
        <f t="shared" si="147"/>
        <v>0</v>
      </c>
      <c r="IL21" s="347" t="b">
        <f t="shared" si="148"/>
        <v>0</v>
      </c>
      <c r="IM21" s="347" t="b">
        <f t="shared" si="149"/>
        <v>0</v>
      </c>
      <c r="IN21" s="347" t="b">
        <f t="shared" si="150"/>
        <v>0</v>
      </c>
      <c r="IO21" s="347" t="b">
        <f t="shared" si="151"/>
        <v>0</v>
      </c>
      <c r="IP21" s="347" t="b">
        <f t="shared" si="152"/>
        <v>0</v>
      </c>
      <c r="IQ21" s="347" t="b">
        <f t="shared" si="153"/>
        <v>0</v>
      </c>
      <c r="IR21" s="347" t="b">
        <f t="shared" si="154"/>
        <v>0</v>
      </c>
      <c r="IS21" s="347" t="b">
        <f t="shared" si="155"/>
        <v>0</v>
      </c>
      <c r="IT21" s="347" t="b">
        <f t="shared" si="156"/>
        <v>0</v>
      </c>
      <c r="IU21" s="347" t="b">
        <f t="shared" si="157"/>
        <v>0</v>
      </c>
      <c r="IV21" s="365" t="b">
        <f t="shared" si="158"/>
        <v>0</v>
      </c>
      <c r="IW21" s="354" t="str">
        <f t="shared" si="159"/>
        <v/>
      </c>
      <c r="IX21" s="355" t="str">
        <f t="shared" si="160"/>
        <v/>
      </c>
      <c r="IY21" s="355" t="str">
        <f t="shared" si="161"/>
        <v/>
      </c>
      <c r="IZ21" s="355" t="str">
        <f t="shared" si="162"/>
        <v/>
      </c>
      <c r="JA21" s="355" t="str">
        <f t="shared" si="163"/>
        <v/>
      </c>
      <c r="JB21" s="355" t="str">
        <f t="shared" si="164"/>
        <v/>
      </c>
      <c r="JC21" s="355" t="str">
        <f t="shared" si="165"/>
        <v/>
      </c>
      <c r="JD21" s="355" t="str">
        <f t="shared" si="166"/>
        <v/>
      </c>
      <c r="JE21" s="355" t="str">
        <f t="shared" si="167"/>
        <v/>
      </c>
      <c r="JF21" s="355" t="str">
        <f t="shared" si="168"/>
        <v/>
      </c>
      <c r="JG21" s="355" t="str">
        <f t="shared" si="169"/>
        <v/>
      </c>
      <c r="JH21" s="355" t="str">
        <f t="shared" si="170"/>
        <v/>
      </c>
      <c r="JI21" s="359"/>
      <c r="JJ21" s="321"/>
      <c r="JK21" s="368"/>
      <c r="JL21" s="369"/>
      <c r="JM21" s="369"/>
      <c r="JN21" s="369"/>
      <c r="JO21" s="369"/>
      <c r="JP21" s="369"/>
      <c r="JQ21" s="369"/>
      <c r="JR21" s="369"/>
      <c r="JS21" s="369"/>
      <c r="JT21" s="369"/>
      <c r="JU21" s="369"/>
    </row>
    <row r="22" ht="20.25" customHeight="1">
      <c r="A22" s="221" t="s">
        <v>1266</v>
      </c>
      <c r="B22" s="223" t="s">
        <v>1267</v>
      </c>
      <c r="C22" s="222" t="s">
        <v>275</v>
      </c>
      <c r="D22" s="222"/>
      <c r="E22" s="222"/>
      <c r="F22" s="222" t="s">
        <v>275</v>
      </c>
      <c r="G22" s="395" t="s">
        <v>275</v>
      </c>
      <c r="H22" s="222">
        <v>20.0</v>
      </c>
      <c r="I22" s="224" t="s">
        <v>1219</v>
      </c>
      <c r="J22" s="225" t="str">
        <f t="shared" si="5"/>
        <v>[UQ]</v>
      </c>
      <c r="K22" s="227">
        <f t="shared" si="6"/>
        <v>6</v>
      </c>
      <c r="L22" s="229">
        <f t="shared" si="7"/>
        <v>6</v>
      </c>
      <c r="M22" s="230">
        <f t="shared" si="8"/>
        <v>0</v>
      </c>
      <c r="N22" s="233" t="str">
        <f t="shared" si="9"/>
        <v>SgmPdNS</v>
      </c>
      <c r="O22" s="234" t="str">
        <f>IFERROR(__xludf.DUMMYFUNCTION("IF(REGEXMATCH(N22, ""S""), ""S"","""")"),"S")</f>
        <v>S</v>
      </c>
      <c r="P22" s="236" t="str">
        <f>IFERROR(__xludf.DUMMYFUNCTION("IF(REGEXMATCH(N22, ""r""), ""r"","""")"),"")</f>
        <v/>
      </c>
      <c r="Q22" s="237" t="str">
        <f>IFERROR(__xludf.DUMMYFUNCTION("IF(REGEXMATCH(N22, ""R""), ""R"","""")"),"")</f>
        <v/>
      </c>
      <c r="R22" s="237" t="str">
        <f>IFERROR(__xludf.DUMMYFUNCTION("IF(REGEXMATCH(N22, ""g""), ""g"","""")"),"g")</f>
        <v>g</v>
      </c>
      <c r="S22" s="236" t="str">
        <f>IFERROR(__xludf.DUMMYFUNCTION("IF(REGEXMATCH(N22, ""G""), ""G"","""")"),"")</f>
        <v/>
      </c>
      <c r="T22" s="236" t="str">
        <f>IFERROR(__xludf.DUMMYFUNCTION("IF(REGEXMATCH(N22, ""m""), ""m"","""")"),"m")</f>
        <v>m</v>
      </c>
      <c r="U22" s="237" t="str">
        <f>IFERROR(__xludf.DUMMYFUNCTION("IF(REGEXMATCH(N22, ""M""), ""M"","""")"),"")</f>
        <v/>
      </c>
      <c r="V22" s="236" t="str">
        <f>IFERROR(__xludf.DUMMYFUNCTION("IF(REGEXMATCH(N22, ""P""), ""P"","""")"),"P")</f>
        <v>P</v>
      </c>
      <c r="W22" s="237" t="str">
        <f>IFERROR(__xludf.DUMMYFUNCTION("IF(REGEXMATCH(N22, ""d""), ""d"","""")"),"d")</f>
        <v>d</v>
      </c>
      <c r="X22" s="236" t="str">
        <f>IFERROR(__xludf.DUMMYFUNCTION("IF(REGEXMATCH(N22, ""D""), ""D"","""")"),"")</f>
        <v/>
      </c>
      <c r="Y22" s="236" t="str">
        <f>IFERROR(__xludf.DUMMYFUNCTION("IF(REGEXMATCH(N22, ""n""), ""n"","""")"),"")</f>
        <v/>
      </c>
      <c r="Z22" s="237" t="str">
        <f>IFERROR(__xludf.DUMMYFUNCTION("IF(REGEXMATCH(N22, ""N""), ""N"","""")"),"N")</f>
        <v>N</v>
      </c>
      <c r="AA22" s="238" t="str">
        <f>IFERROR(__xludf.DUMMYFUNCTION("IF(REGEXMATCH(N22, ""S""), ""S"","""")"),"S")</f>
        <v>S</v>
      </c>
      <c r="AB22" s="239" t="str">
        <f>IFERROR(__xludf.DUMMYFUNCTION("SUBSTITUTE(CONCATENATE(JOIN(""-"",O22:U22)),""-"","""")"),"Sgm")</f>
        <v>Sgm</v>
      </c>
      <c r="AC22" s="229" t="str">
        <f>IFERROR(__xludf.DUMMYFUNCTION("SUBSTITUTE(CONCATENATE(JOIN(""-"",V22:AA22)),""-"","""")"),"PdNS")</f>
        <v>PdNS</v>
      </c>
      <c r="AD22" s="282" t="str">
        <f t="shared" si="10"/>
        <v>S-G-M</v>
      </c>
      <c r="AE22" s="282" t="str">
        <f t="shared" si="11"/>
        <v>P-D-N-S</v>
      </c>
      <c r="AF22" s="309" t="str">
        <f t="shared" si="12"/>
        <v>gmdN</v>
      </c>
      <c r="AG22" s="244" t="str">
        <f>IFERROR(__xludf.DUMMYFUNCTION("IF(REGEXMATCH(N22, ""S""), ""0"","""")"),"0")</f>
        <v>0</v>
      </c>
      <c r="AH22" s="245" t="str">
        <f>IFERROR(__xludf.DUMMYFUNCTION("IF(REGEXMATCH(N22, ""r""), ""1"","""")"),"")</f>
        <v/>
      </c>
      <c r="AI22" s="246" t="str">
        <f>IFERROR(__xludf.DUMMYFUNCTION("IF(REGEXMATCH(N22, ""R""), ""2"","""")"),"")</f>
        <v/>
      </c>
      <c r="AJ22" s="246" t="str">
        <f>IFERROR(__xludf.DUMMYFUNCTION("IF(REGEXMATCH(N22, ""g""), ""3"","""")"),"3")</f>
        <v>3</v>
      </c>
      <c r="AK22" s="245" t="str">
        <f>IFERROR(__xludf.DUMMYFUNCTION("IF(REGEXMATCH(N22, ""G""), ""4"","""")"),"")</f>
        <v/>
      </c>
      <c r="AL22" s="245" t="str">
        <f>IFERROR(__xludf.DUMMYFUNCTION("IF(REGEXMATCH(N22, ""m""), ""5"","""")"),"5")</f>
        <v>5</v>
      </c>
      <c r="AM22" s="246" t="str">
        <f>IFERROR(__xludf.DUMMYFUNCTION("IF(REGEXMATCH(N22, ""M""), ""6"","""")"),"")</f>
        <v/>
      </c>
      <c r="AN22" s="245" t="str">
        <f>IFERROR(__xludf.DUMMYFUNCTION("IF(REGEXMATCH(N22, ""P""), ""7"","""")"),"7")</f>
        <v>7</v>
      </c>
      <c r="AO22" s="246" t="str">
        <f>IFERROR(__xludf.DUMMYFUNCTION("IF(REGEXMATCH(N22, ""d""), ""8"","""")"),"8")</f>
        <v>8</v>
      </c>
      <c r="AP22" s="245" t="str">
        <f>IFERROR(__xludf.DUMMYFUNCTION("IF(REGEXMATCH(N22, ""D""), ""9"","""")"),"")</f>
        <v/>
      </c>
      <c r="AQ22" s="245" t="str">
        <f>IFERROR(__xludf.DUMMYFUNCTION("IF(REGEXMATCH(N22, ""n""), ""10"","""")"),"")</f>
        <v/>
      </c>
      <c r="AR22" s="246" t="str">
        <f>IFERROR(__xludf.DUMMYFUNCTION("IF(REGEXMATCH(N22, ""N""), ""11"","""")"),"11")</f>
        <v>11</v>
      </c>
      <c r="AS22" s="249" t="str">
        <f>IFERROR(__xludf.DUMMYFUNCTION("IF(REGEXMATCH(N22, ""S""), ""0"","""")"),"0")</f>
        <v>0</v>
      </c>
      <c r="AT22" s="250" t="str">
        <f>IFERROR(__xludf.DUMMYFUNCTION("SUBSTITUTE(SUBSTITUTE(SUBSTITUTE(SUBSTITUTE(CONCATENATE(JOIN(""-"",AG22:AS22)),""--"",""-""),""--"",""-""),""--"",""-""),""--"",""-"")"),"0-3-5-7-8-11-0")</f>
        <v>0-3-5-7-8-11-0</v>
      </c>
      <c r="AU22" s="251">
        <f t="shared" si="13"/>
        <v>0</v>
      </c>
      <c r="AV22" s="234" t="str">
        <f t="shared" si="14"/>
        <v>|</v>
      </c>
      <c r="AW22" s="236" t="str">
        <f t="shared" si="15"/>
        <v>-</v>
      </c>
      <c r="AX22" s="237" t="str">
        <f t="shared" si="16"/>
        <v>-</v>
      </c>
      <c r="AY22" s="236" t="str">
        <f t="shared" si="17"/>
        <v>|</v>
      </c>
      <c r="AZ22" s="237" t="str">
        <f t="shared" si="18"/>
        <v>-</v>
      </c>
      <c r="BA22" s="236" t="str">
        <f t="shared" si="19"/>
        <v>|</v>
      </c>
      <c r="BB22" s="237" t="str">
        <f t="shared" si="20"/>
        <v>-</v>
      </c>
      <c r="BC22" s="236" t="str">
        <f t="shared" si="21"/>
        <v>|</v>
      </c>
      <c r="BD22" s="237" t="str">
        <f t="shared" si="22"/>
        <v>|</v>
      </c>
      <c r="BE22" s="236" t="str">
        <f t="shared" si="23"/>
        <v>-</v>
      </c>
      <c r="BF22" s="237" t="str">
        <f t="shared" si="24"/>
        <v>-</v>
      </c>
      <c r="BG22" s="236" t="str">
        <f t="shared" si="25"/>
        <v>|</v>
      </c>
      <c r="BH22" s="238" t="str">
        <f t="shared" si="26"/>
        <v>|</v>
      </c>
      <c r="BI22" s="250" t="str">
        <f>IFERROR(__xludf.DUMMYFUNCTION("SUBSTITUTE(SUBSTITUTE(CONCATENATE(JOIN("""",AV22:BG22)),""|"",""x""),""-"",""o"")"),"xooxoxoxxoox")</f>
        <v>xooxoxoxxoox</v>
      </c>
      <c r="BJ22" s="323" t="str">
        <f>IFERROR(__xludf.DUMMYFUNCTION("JOIN("""",BI22,BI22)"),"xooxoxoxxooxxooxoxoxxoox")</f>
        <v>xooxoxoxxooxxooxoxoxxoox</v>
      </c>
      <c r="BK22" s="256" t="str">
        <f>IFERROR(__xludf.DUMMYFUNCTION("JOIN("""",ArrayFormula(MID(BI22,LEN(BI22)-SEQUENCE(1,LEN(BI22))+1,1)))"),"xooxxoxoxoox")</f>
        <v>xooxxoxoxoox</v>
      </c>
      <c r="BL22" s="256" t="str">
        <f>IFERROR(__xludf.DUMMYFUNCTION("LEFT(CONCATENATE(""x"",JOIN("""",ArrayFormula(MID(BI22,LEN(BI22)-SEQUENCE(1,LEN(BI22))+1,1)))),12)"),"xxooxxoxoxoo")</f>
        <v>xxooxxoxoxoo</v>
      </c>
      <c r="BM22" s="327" t="str">
        <f>IFERROR(__xludf.DUMMYFUNCTION("JOIN("""",BK22,BK22)"),"xooxxoxoxooxxooxxoxoxoox")</f>
        <v>xooxxoxoxooxxooxxoxoxoox</v>
      </c>
      <c r="BN22" s="239" t="str">
        <f>IFERROR(__xludf.DUMMYFUNCTION("IF(REGEXMATCH(BM22,BI22),""✔"",""-"")"),"-")</f>
        <v>-</v>
      </c>
      <c r="BO22" s="330" t="str">
        <f t="shared" si="27"/>
        <v>-</v>
      </c>
      <c r="BP22" s="260" t="str">
        <f t="shared" si="28"/>
        <v>-</v>
      </c>
      <c r="BQ22" s="261" t="str">
        <f>IFERROR(__xludf.DUMMYFUNCTION("IF(BT22=0,""(n/a)"",IF(BU22=2,""(PAIR)"",IF(REGEXMATCH(BJ22,""xoxoxxoxoxox""),""Bilawal"",IF(REGEXMATCH(BJ22,""xoxoxooxoxoo""),""Bhupali"",IF(REGEXMATCH(BJ22,""xoxoxxoxxoxo""),""Charukeshi"",IF(REGEXMATCH(BJ22,""xoxoooxxoxxo""),""Kameshwari"",IF(REGEXMATC"&amp;"H(BJ22,""xoxoxooxoxox""),""Shankara"",IF(REGEXMATCH(BJ22,""xxooxoxxxoox""),""Basant"",IF(REGEXMATCH(BJ22,""xoxoxxxxoxox""),""Bihag"",IF(REGEXMATCH(BJ22,""xoxxxxoxoxxx""),""Pilu"",IF(REGEXMATCH(BJ22,""xoxxoxoxxoox""),""Kirwani"",IF(REGEXMATCH(BJ22,""xoxxox"&amp;"oxoxxx""),""Mk.Malhar"",IF(REGEXMATCH(BJ22,""xxooxxoxxoox""),""Bhairav"",IF(REGEXMATCH(BJ22,""xxoxooxxxoox""),""Todi"",IF(REGEXMATCH(BJ22,""xxooxoxooxox""),""Marwa"",IF(REGEXMATCH(BJ22,""xxoooxoxxooo""),""Gunkali"",IF(REGEXMATCH(BJ22,""xoxoxxoxxoox""),""N"&amp;"at Bhairav"",IF(REGEXMATCH(BJ22,""xoxxoooxoxoo""),""Shivranjani"",IF(REGEXMATCH(BJ22,""xooxxxoxooxo""),""Jog"",IF(REGEXMATCH(BJ22,""xxooxoxoxoox""),""Hemshri"",IF(REGEXMATCH(BJ22,""xoooxooxoxxo""),""Kalavati"",IF(REGEXMATCH(BJ22,""xxoxoxxoxoox""),""Kedar"&amp;""",IF(REGEXMATCH(BJ22,""xoxxxxoxooxx""),""Gara"",IF(REGEXMATCH(BJ22,""xooxoxooxoox""),""Chandrakauns"",IF(REGEXMATCH(BJ22,""xoxxxxoxxxox""),""Mand"",IF(REGEXMATCH(BJ22,""xoxxxxoxoxox""),""Hanskinkini"",IF(REGEXMATCH(BJ22,""xxooxxoxooxo""),""Lilavati"",IF("&amp;"REGEXMATCH(BJ22,""xooxoxoooxox""),""Rajeshwari"",IF(REGEXMATCH(BJ22,""xoooxxoxoxxx""),""Khokar"",IF(REGEXMATCH(BJ22,""xxooxoxxxxox""),""Maligoura"",""-""))))))))))))))))))))))))))))))"),"(n/a)")</f>
        <v>(n/a)</v>
      </c>
      <c r="BR22" s="239">
        <f t="shared" si="29"/>
        <v>5</v>
      </c>
      <c r="BS22" s="239">
        <f>IFERROR(__xludf.DUMMYFUNCTION("COUNTUNIQUE(BW22:CG22)-1"),5.0)</f>
        <v>5</v>
      </c>
      <c r="BT22" s="239">
        <f>IFERROR(__xludf.DUMMYFUNCTION("COUNTUNIQUE(FILTER(BJ:BJ,REGEXMATCH(BJ:BJ,BI22)))-1"),0.0)</f>
        <v>0</v>
      </c>
      <c r="BU22" s="239">
        <f>IFERROR(__xludf.DUMMYFUNCTION("COUNTA(FILTER(BJ:BJ,REGEXMATCH(BJ:BJ,BI22)))"),1.0)</f>
        <v>1</v>
      </c>
      <c r="BV22" s="341">
        <f>IFERROR(__xludf.DUMMYFUNCTION("COUNTA(FILTER(BJ:BJ,REGEXMATCH(BJ:BJ,BI22)))-AU22"),1.0)</f>
        <v>1</v>
      </c>
      <c r="BW22" s="269" t="str">
        <f t="shared" si="30"/>
        <v>-</v>
      </c>
      <c r="BX22" s="269" t="str">
        <f t="shared" si="31"/>
        <v>-</v>
      </c>
      <c r="BY22" s="271" t="str">
        <f t="shared" si="32"/>
        <v>xoxoxxooxxo</v>
      </c>
      <c r="BZ22" s="269" t="str">
        <f t="shared" si="33"/>
        <v>-</v>
      </c>
      <c r="CA22" s="271" t="str">
        <f t="shared" si="34"/>
        <v>xoxxooxxoox</v>
      </c>
      <c r="CB22" s="271" t="str">
        <f t="shared" si="35"/>
        <v>-</v>
      </c>
      <c r="CC22" s="271" t="str">
        <f t="shared" si="36"/>
        <v>xxooxxooxox</v>
      </c>
      <c r="CD22" s="271" t="str">
        <f t="shared" si="37"/>
        <v>xooxxooxoxo</v>
      </c>
      <c r="CE22" s="271" t="str">
        <f t="shared" si="38"/>
        <v>-</v>
      </c>
      <c r="CF22" s="271" t="str">
        <f t="shared" si="39"/>
        <v>-</v>
      </c>
      <c r="CG22" s="274" t="str">
        <f t="shared" si="40"/>
        <v>xxooxoxoxxo</v>
      </c>
      <c r="CH22" s="276" t="str">
        <f>IFERROR(__xludf.DUMMYFUNCTION("IF(BI22=""oooooooooooo"",""-"",IF(REGEXMATCH(BJ22,""xx""), ""Hemi."", ""Anhemi.""))"),"Hemi.")</f>
        <v>Hemi.</v>
      </c>
      <c r="CI22" s="282" t="str">
        <f>IFERROR(__xludf.DUMMYFUNCTION("IF(BI22=""oooooooooooo"",""-"",IF(REGEXMATCH(BJ22,""xxx""), ""Cohem."", ""-""))"),"-")</f>
        <v>-</v>
      </c>
      <c r="CJ22" s="282" t="str">
        <f>IFERROR(__xludf.DUMMYFUNCTION("IF(BI22=""oooooooooooo"",""-"",IF(REGEXMATCH(BJ22,""xxxx""), ""Co-Co."", ""-""))"),"-")</f>
        <v>-</v>
      </c>
      <c r="CK22" s="342" t="str">
        <f>IFERROR(__xludf.DUMMYFUNCTION("IF(BI22=""oooooooooooo"",""-"",IF(REGEXMATCH(BJ22,""xxxxx""), ""CCC."", ""-""))"),"-")</f>
        <v>-</v>
      </c>
      <c r="CL22" s="344" t="str">
        <f t="shared" si="41"/>
        <v>-</v>
      </c>
      <c r="CM22" s="282" t="str">
        <f>IFERROR(__xludf.DUMMYFUNCTION("IF(REGEXMATCH(JOIN(""-"",CO22:CX22),""TRUE""),""✔"",""-"")"),"-")</f>
        <v>-</v>
      </c>
      <c r="CN22" s="225">
        <f t="shared" si="42"/>
        <v>0</v>
      </c>
      <c r="CO22" s="376" t="b">
        <f>IFERROR(__xludf.DUMMYFUNCTION("arrayformula(sum(--REGEXMATCH(""SRGMPDNS"",split(REGEXREPLACE(N22,""(.)"",""$1~""),""~""))))=len(N22)
"),FALSE)</f>
        <v>0</v>
      </c>
      <c r="CP22" s="290" t="b">
        <f>IFERROR(__xludf.DUMMYFUNCTION("arrayformula(sum(--REGEXMATCH(""SRGmPDNS"",split(REGEXREPLACE(N22,""(.)"",""$1~""),""~""))))=len(N22)"),FALSE)</f>
        <v>0</v>
      </c>
      <c r="CQ22" s="290" t="b">
        <f>IFERROR(__xludf.DUMMYFUNCTION("arrayformula(sum(--REGEXMATCH(""SRGmPDnS"",split(REGEXREPLACE(N22,""(.)"",""$1~""),""~""))))=len(N22)"),FALSE)</f>
        <v>0</v>
      </c>
      <c r="CR22" s="290" t="b">
        <f>IFERROR(__xludf.DUMMYFUNCTION("arrayformula(sum(--REGEXMATCH(""SRgmPDnS"",split(REGEXREPLACE(N22,""(.)"",""$1~""),""~""))))=len(N22)"),FALSE)</f>
        <v>0</v>
      </c>
      <c r="CS22" s="290" t="b">
        <f>IFERROR(__xludf.DUMMYFUNCTION("arrayformula(sum(--REGEXMATCH(""SRgmPdnS"",split(REGEXREPLACE(N22,""(.)"",""$1~""),""~""))))=len(N22)"),FALSE)</f>
        <v>0</v>
      </c>
      <c r="CT22" s="290" t="b">
        <f>IFERROR(__xludf.DUMMYFUNCTION("arrayformula(sum(--REGEXMATCH(""SrgmPdnS"",split(REGEXREPLACE(N22,""(.)"",""$1~""),""~""))))=len(N22)"),FALSE)</f>
        <v>0</v>
      </c>
      <c r="CU22" s="290" t="b">
        <f>IFERROR(__xludf.DUMMYFUNCTION("arrayformula(sum(--REGEXMATCH(""SrGmPdNS"",split(REGEXREPLACE(N22,""(.)"",""$1~""),""~""))))=len(N22)"),FALSE)</f>
        <v>0</v>
      </c>
      <c r="CV22" s="290" t="b">
        <f>IFERROR(__xludf.DUMMYFUNCTION("arrayformula(sum(--REGEXMATCH(""SrGMPDNS"",split(REGEXREPLACE(N22,""(.)"",""$1~""),""~""))))=len(N22)"),FALSE)</f>
        <v>0</v>
      </c>
      <c r="CW22" s="290" t="b">
        <f>IFERROR(__xludf.DUMMYFUNCTION("arrayformula(sum(--REGEXMATCH(""SrGMPdNS"",split(REGEXREPLACE(N22,""(.)"",""$1~""),""~""))))=len(N22)"),FALSE)</f>
        <v>0</v>
      </c>
      <c r="CX22" s="293" t="b">
        <f>IFERROR(__xludf.DUMMYFUNCTION("arrayformula(sum(--REGEXMATCH(""SrgMPdNS"",split(REGEXREPLACE(N22,""(.)"",""$1~""),""~""))))=len(N22)"),FALSE)</f>
        <v>0</v>
      </c>
      <c r="CY22" s="244" t="str">
        <f>IFERROR(__xludf.DUMMYFUNCTION("IF(REGEXMATCH(N22, ""S""), ""1"","""")"),"1")</f>
        <v>1</v>
      </c>
      <c r="CZ22" s="245" t="str">
        <f>IFERROR(__xludf.DUMMYFUNCTION("IF(REGEXMATCH(N22, ""r""), ""b2"","""")"),"")</f>
        <v/>
      </c>
      <c r="DA22" s="246" t="str">
        <f>IFERROR(__xludf.DUMMYFUNCTION("IF(REGEXMATCH(N22, ""R""), ""2"","""")"),"")</f>
        <v/>
      </c>
      <c r="DB22" s="246" t="str">
        <f>IFERROR(__xludf.DUMMYFUNCTION("IF(REGEXMATCH(N22, ""g""), ""b3"","""")"),"b3")</f>
        <v>b3</v>
      </c>
      <c r="DC22" s="245" t="str">
        <f>IFERROR(__xludf.DUMMYFUNCTION("IF(REGEXMATCH(N22, ""G""), ""3"","""")"),"")</f>
        <v/>
      </c>
      <c r="DD22" s="245" t="str">
        <f>IFERROR(__xludf.DUMMYFUNCTION("IF(REGEXMATCH(N22, ""m""), ""4"","""")"),"4")</f>
        <v>4</v>
      </c>
      <c r="DE22" s="246" t="str">
        <f>IFERROR(__xludf.DUMMYFUNCTION("IF(REGEXMATCH(N22, ""M""), ""#4"","""")"),"")</f>
        <v/>
      </c>
      <c r="DF22" s="245" t="str">
        <f>IFERROR(__xludf.DUMMYFUNCTION("IF(REGEXMATCH(N22, ""P""), ""5"","""")"),"5")</f>
        <v>5</v>
      </c>
      <c r="DG22" s="246" t="str">
        <f>IFERROR(__xludf.DUMMYFUNCTION("IF(REGEXMATCH(N22, ""d""), ""b6"","""")"),"b6")</f>
        <v>b6</v>
      </c>
      <c r="DH22" s="245" t="str">
        <f>IFERROR(__xludf.DUMMYFUNCTION("IF(REGEXMATCH(N22, ""D""), ""6"","""")"),"")</f>
        <v/>
      </c>
      <c r="DI22" s="245" t="str">
        <f>IFERROR(__xludf.DUMMYFUNCTION("IF(REGEXMATCH(N22, ""n""), ""b7"","""")"),"")</f>
        <v/>
      </c>
      <c r="DJ22" s="246" t="str">
        <f>IFERROR(__xludf.DUMMYFUNCTION("IF(REGEXMATCH(N22, ""N""), ""7"","""")"),"7")</f>
        <v>7</v>
      </c>
      <c r="DK22" s="249" t="str">
        <f>IFERROR(__xludf.DUMMYFUNCTION("IF(REGEXMATCH(N22, ""S""), ""8"","""")"),"8")</f>
        <v>8</v>
      </c>
      <c r="DL22" s="244" t="str">
        <f>IFERROR(__xludf.DUMMYFUNCTION("IF(REGEXMATCH(N22, ""S""), ""S"","""")"),"S")</f>
        <v>S</v>
      </c>
      <c r="DM22" s="294" t="str">
        <f>IFERROR(__xludf.DUMMYFUNCTION("IF(REGEXMATCH(N22, ""r""), ""R1"","""")"),"")</f>
        <v/>
      </c>
      <c r="DN22" s="295" t="str">
        <f>IFERROR(__xludf.DUMMYFUNCTION("IF(REGEXMATCH(N22, ""R""), ""R2"","""")"),"")</f>
        <v/>
      </c>
      <c r="DO22" s="295" t="str">
        <f>IFERROR(__xludf.DUMMYFUNCTION("IF(REGEXMATCH(N22, ""g""), ""G2"","""")"),"G2")</f>
        <v>G2</v>
      </c>
      <c r="DP22" s="294" t="str">
        <f>IFERROR(__xludf.DUMMYFUNCTION("IF(REGEXMATCH(N22, ""G""), ""G3"","""")"),"")</f>
        <v/>
      </c>
      <c r="DQ22" s="294" t="str">
        <f>IFERROR(__xludf.DUMMYFUNCTION("IF(REGEXMATCH(N22, ""m""), ""M1"","""")"),"M1")</f>
        <v>M1</v>
      </c>
      <c r="DR22" s="295" t="str">
        <f>IFERROR(__xludf.DUMMYFUNCTION("IF(REGEXMATCH(N22, ""M""), ""M2"","""")"),"")</f>
        <v/>
      </c>
      <c r="DS22" s="294" t="str">
        <f>IFERROR(__xludf.DUMMYFUNCTION("IF(REGEXMATCH(N22, ""P""), ""P"","""")"),"P")</f>
        <v>P</v>
      </c>
      <c r="DT22" s="295" t="str">
        <f>IFERROR(__xludf.DUMMYFUNCTION("IF(REGEXMATCH(N22, ""d""), ""D1"","""")"),"D1")</f>
        <v>D1</v>
      </c>
      <c r="DU22" s="294" t="str">
        <f>IFERROR(__xludf.DUMMYFUNCTION("IF(REGEXMATCH(N22, ""D""), ""D2"","""")"),"")</f>
        <v/>
      </c>
      <c r="DV22" s="294" t="str">
        <f>IFERROR(__xludf.DUMMYFUNCTION("IF(REGEXMATCH(N22, ""n""), ""N2"","""")"),"")</f>
        <v/>
      </c>
      <c r="DW22" s="295" t="str">
        <f>IFERROR(__xludf.DUMMYFUNCTION("IF(REGEXMATCH(N22, ""N""), ""N3"","""")"),"N3")</f>
        <v>N3</v>
      </c>
      <c r="DX22" s="249" t="str">
        <f>IFERROR(__xludf.DUMMYFUNCTION("IF(REGEXMATCH(N22, ""S""), ""S"","""")"),"S")</f>
        <v>S</v>
      </c>
      <c r="DY22" s="299" t="str">
        <f>IFERROR(__xludf.DUMMYFUNCTION("SUBSTITUTE(SUBSTITUTE(SUBSTITUTE(SUBSTITUTE(CONCATENATE(JOIN(""-"",CY22:DK22)),""--"",""-""),""--"",""-""),""--"",""-""),""--"",""-"")"),"1-b3-4-5-b6-7-8")</f>
        <v>1-b3-4-5-b6-7-8</v>
      </c>
      <c r="DZ22" s="299" t="str">
        <f>IFERROR(__xludf.DUMMYFUNCTION("SUBSTITUTE(SUBSTITUTE(SUBSTITUTE(SUBSTITUTE(CONCATENATE(JOIN(""-"",DL22:DX22)),""--"",""-""),""--"",""-""),""--"",""-""),""--"",""-"")"),"S-G2-M1-P-D1-N3-S")</f>
        <v>S-G2-M1-P-D1-N3-S</v>
      </c>
      <c r="EA22" s="348" t="str">
        <f t="shared" si="43"/>
        <v>C-Eb-F-G-Ab-B-C</v>
      </c>
      <c r="EB22" s="301">
        <f t="shared" si="44"/>
        <v>6</v>
      </c>
      <c r="EC22" s="302" t="str">
        <f t="shared" si="45"/>
        <v>Shadav</v>
      </c>
      <c r="ED22" s="301" t="str">
        <f t="shared" ref="ED22:EE22" si="188">SUBSTITUTE(AD22,"-","")</f>
        <v>SGM</v>
      </c>
      <c r="EE22" s="301" t="str">
        <f t="shared" si="188"/>
        <v>PDNS</v>
      </c>
      <c r="EF22" s="302" t="str">
        <f t="shared" si="47"/>
        <v>(n/a)</v>
      </c>
      <c r="EG22" s="301" t="str">
        <f t="shared" si="48"/>
        <v>Hemi.</v>
      </c>
      <c r="EH22" s="364" t="str">
        <f t="shared" si="49"/>
        <v>-</v>
      </c>
      <c r="EI22" s="306" t="str">
        <f t="shared" si="50"/>
        <v>-</v>
      </c>
      <c r="EJ22" s="366" t="str">
        <f t="shared" si="51"/>
        <v>-</v>
      </c>
      <c r="EK22" s="308" t="str">
        <f t="shared" si="52"/>
        <v>✔</v>
      </c>
      <c r="EL22" s="306" t="str">
        <f t="shared" si="53"/>
        <v>-</v>
      </c>
      <c r="EM22" s="306" t="str">
        <f t="shared" si="54"/>
        <v>-</v>
      </c>
      <c r="EN22" s="367" t="str">
        <f t="shared" si="55"/>
        <v>-</v>
      </c>
      <c r="EO22" s="310" t="str">
        <f t="shared" si="56"/>
        <v>-</v>
      </c>
      <c r="EP22" s="310" t="str">
        <f t="shared" si="57"/>
        <v>-</v>
      </c>
      <c r="EQ22" s="310" t="str">
        <f t="shared" si="58"/>
        <v>-</v>
      </c>
      <c r="ER22" s="310" t="str">
        <f t="shared" si="59"/>
        <v>-</v>
      </c>
      <c r="ES22" s="370" t="str">
        <f t="shared" si="60"/>
        <v>-</v>
      </c>
      <c r="ET22" s="306" t="str">
        <f t="shared" si="61"/>
        <v>✔</v>
      </c>
      <c r="EU22" s="306" t="str">
        <f t="shared" si="62"/>
        <v>-</v>
      </c>
      <c r="EV22" s="306" t="str">
        <f t="shared" si="63"/>
        <v>-</v>
      </c>
      <c r="EW22" s="306" t="str">
        <f t="shared" si="64"/>
        <v>-</v>
      </c>
      <c r="EX22" s="306" t="str">
        <f t="shared" si="65"/>
        <v>-</v>
      </c>
      <c r="EY22" s="367" t="str">
        <f t="shared" si="66"/>
        <v>-</v>
      </c>
      <c r="EZ22" s="310" t="str">
        <f>IFERROR(__xludf.DUMMYFUNCTION("IF(REGEXMATCH(BM22,BI22),""✔"",""-"")"),"-")</f>
        <v>-</v>
      </c>
      <c r="FA22" s="310" t="str">
        <f t="shared" si="67"/>
        <v>-</v>
      </c>
      <c r="FB22" s="370" t="str">
        <f t="shared" si="68"/>
        <v>-</v>
      </c>
      <c r="FC22" s="315" t="str">
        <f t="shared" si="69"/>
        <v>[UQ]</v>
      </c>
      <c r="FD22" s="317" t="str">
        <f t="shared" si="70"/>
        <v>S-g-m-P-d-N-S</v>
      </c>
      <c r="FE22" s="318" t="str">
        <f>IFERROR(__xludf.DUMMYFUNCTION("CONCATENATE(JOIN("""",GJ22:GV22))"),"SrGmPDS")</f>
        <v>SrGmPDS</v>
      </c>
      <c r="FF22" s="318"/>
      <c r="FG22" s="318"/>
      <c r="FH22" s="321">
        <f t="shared" si="71"/>
        <v>3</v>
      </c>
      <c r="FI22" s="318" t="str">
        <f>IFERROR(__xludf.DUMMYFUNCTION("CONCATENATE(JOIN("""",HW22:II22))"),"ga, Pa, Ni, ")</f>
        <v>ga, Pa, Ni, </v>
      </c>
      <c r="FJ22" s="322">
        <f t="shared" si="72"/>
        <v>1</v>
      </c>
      <c r="FK22" s="324" t="str">
        <f>IFERROR(__xludf.DUMMYFUNCTION("CONCATENATE(JOIN("""",IW22:JI22))"),"Ni, ")</f>
        <v>Ni, </v>
      </c>
      <c r="FL22" s="325" t="str">
        <f t="shared" si="73"/>
        <v>S-G2-M1-P-D1-N3-S</v>
      </c>
      <c r="FM22" s="326" t="str">
        <f t="shared" si="74"/>
        <v>1-b3-4-5-b6-7-8</v>
      </c>
      <c r="FN22" s="326" t="str">
        <f t="shared" si="75"/>
        <v>0-3-5-7-8-11-0</v>
      </c>
      <c r="FO22" s="318"/>
      <c r="FP22" s="328" t="str">
        <f>IFERROR(__xludf.DUMMYFUNCTION("SUBSTITUTE(SUBSTITUTE(SUBSTITUTE(SUBSTITUTE(CONCATENATE(JOIN("" "",FS22:GE22)),""  "","" ""),""  "","" ""),""  "","" ""),""  "","" "")"),"o • • o • o • o o • • o o")</f>
        <v>o • • o • o • o o • • o o</v>
      </c>
      <c r="FQ22" s="328" t="str">
        <f t="shared" si="76"/>
        <v>-</v>
      </c>
      <c r="FR22" s="329"/>
      <c r="FS22" s="331" t="str">
        <f t="shared" si="77"/>
        <v>o</v>
      </c>
      <c r="FT22" s="332" t="str">
        <f t="shared" si="78"/>
        <v>•</v>
      </c>
      <c r="FU22" s="332" t="str">
        <f t="shared" si="79"/>
        <v>•</v>
      </c>
      <c r="FV22" s="332" t="str">
        <f t="shared" si="80"/>
        <v>o</v>
      </c>
      <c r="FW22" s="332" t="str">
        <f t="shared" si="81"/>
        <v>•</v>
      </c>
      <c r="FX22" s="332" t="str">
        <f t="shared" si="82"/>
        <v>o</v>
      </c>
      <c r="FY22" s="332" t="str">
        <f t="shared" si="83"/>
        <v>•</v>
      </c>
      <c r="FZ22" s="332" t="str">
        <f t="shared" si="84"/>
        <v>o</v>
      </c>
      <c r="GA22" s="332" t="str">
        <f t="shared" si="85"/>
        <v>o</v>
      </c>
      <c r="GB22" s="332" t="str">
        <f t="shared" si="86"/>
        <v>•</v>
      </c>
      <c r="GC22" s="332" t="str">
        <f t="shared" si="87"/>
        <v>•</v>
      </c>
      <c r="GD22" s="332" t="str">
        <f t="shared" si="88"/>
        <v>o</v>
      </c>
      <c r="GE22" s="338" t="str">
        <f t="shared" si="89"/>
        <v>o</v>
      </c>
      <c r="GF22" s="339" t="str">
        <f t="shared" si="90"/>
        <v>-</v>
      </c>
      <c r="GG22" s="339" t="str">
        <f t="shared" si="91"/>
        <v>Sa-Pa</v>
      </c>
      <c r="GH22" s="339" t="str">
        <f t="shared" si="92"/>
        <v>-</v>
      </c>
      <c r="GI22" s="340" t="str">
        <f t="shared" si="93"/>
        <v>-</v>
      </c>
      <c r="GJ22" s="331" t="str">
        <f t="shared" si="94"/>
        <v>S</v>
      </c>
      <c r="GK22" s="332" t="str">
        <f t="shared" si="95"/>
        <v>r</v>
      </c>
      <c r="GL22" s="332" t="str">
        <f t="shared" si="96"/>
        <v/>
      </c>
      <c r="GM22" s="332" t="str">
        <f t="shared" si="97"/>
        <v/>
      </c>
      <c r="GN22" s="332" t="str">
        <f t="shared" si="98"/>
        <v>G</v>
      </c>
      <c r="GO22" s="332" t="str">
        <f t="shared" si="99"/>
        <v>m</v>
      </c>
      <c r="GP22" s="332" t="str">
        <f t="shared" si="100"/>
        <v/>
      </c>
      <c r="GQ22" s="332" t="str">
        <f t="shared" si="101"/>
        <v>P</v>
      </c>
      <c r="GR22" s="332" t="str">
        <f t="shared" si="102"/>
        <v/>
      </c>
      <c r="GS22" s="332" t="str">
        <f t="shared" si="103"/>
        <v>D</v>
      </c>
      <c r="GT22" s="332" t="str">
        <f t="shared" si="104"/>
        <v/>
      </c>
      <c r="GU22" s="332" t="str">
        <f t="shared" si="105"/>
        <v/>
      </c>
      <c r="GV22" s="343" t="str">
        <f t="shared" si="106"/>
        <v>S</v>
      </c>
      <c r="GW22" s="331" t="str">
        <f t="shared" si="107"/>
        <v>•</v>
      </c>
      <c r="GX22" s="332" t="str">
        <f t="shared" si="108"/>
        <v>o</v>
      </c>
      <c r="GY22" s="332" t="str">
        <f t="shared" si="109"/>
        <v>o</v>
      </c>
      <c r="GZ22" s="332" t="str">
        <f t="shared" si="110"/>
        <v>•</v>
      </c>
      <c r="HA22" s="332" t="str">
        <f t="shared" si="111"/>
        <v>o</v>
      </c>
      <c r="HB22" s="332" t="str">
        <f t="shared" si="112"/>
        <v>•</v>
      </c>
      <c r="HC22" s="332" t="str">
        <f t="shared" si="113"/>
        <v>o</v>
      </c>
      <c r="HD22" s="332" t="str">
        <f t="shared" si="114"/>
        <v>•</v>
      </c>
      <c r="HE22" s="332" t="str">
        <f t="shared" si="115"/>
        <v>•</v>
      </c>
      <c r="HF22" s="332" t="str">
        <f t="shared" si="116"/>
        <v>o</v>
      </c>
      <c r="HG22" s="332" t="str">
        <f t="shared" si="117"/>
        <v>o</v>
      </c>
      <c r="HH22" s="332" t="str">
        <f t="shared" si="118"/>
        <v>•</v>
      </c>
      <c r="HI22" s="338" t="str">
        <f t="shared" si="119"/>
        <v>•</v>
      </c>
      <c r="HJ22" s="346" t="b">
        <f t="shared" si="120"/>
        <v>0</v>
      </c>
      <c r="HK22" s="347" t="b">
        <f t="shared" si="121"/>
        <v>0</v>
      </c>
      <c r="HL22" s="347" t="b">
        <f t="shared" si="122"/>
        <v>0</v>
      </c>
      <c r="HM22" s="347" t="b">
        <f t="shared" si="123"/>
        <v>1</v>
      </c>
      <c r="HN22" s="347" t="b">
        <f t="shared" si="124"/>
        <v>0</v>
      </c>
      <c r="HO22" s="347" t="b">
        <f t="shared" si="125"/>
        <v>0</v>
      </c>
      <c r="HP22" s="347" t="b">
        <f t="shared" si="126"/>
        <v>0</v>
      </c>
      <c r="HQ22" s="347" t="b">
        <f t="shared" si="127"/>
        <v>1</v>
      </c>
      <c r="HR22" s="347" t="b">
        <f t="shared" si="128"/>
        <v>0</v>
      </c>
      <c r="HS22" s="347" t="b">
        <f t="shared" si="129"/>
        <v>0</v>
      </c>
      <c r="HT22" s="347" t="b">
        <f t="shared" si="130"/>
        <v>0</v>
      </c>
      <c r="HU22" s="347" t="b">
        <f t="shared" si="131"/>
        <v>1</v>
      </c>
      <c r="HV22" s="353" t="b">
        <f t="shared" si="132"/>
        <v>0</v>
      </c>
      <c r="HW22" s="354" t="str">
        <f t="shared" si="133"/>
        <v/>
      </c>
      <c r="HX22" s="355" t="str">
        <f t="shared" si="134"/>
        <v/>
      </c>
      <c r="HY22" s="355" t="str">
        <f t="shared" si="135"/>
        <v/>
      </c>
      <c r="HZ22" s="355" t="str">
        <f t="shared" si="136"/>
        <v>ga, </v>
      </c>
      <c r="IA22" s="355" t="str">
        <f t="shared" si="137"/>
        <v/>
      </c>
      <c r="IB22" s="355" t="str">
        <f t="shared" si="138"/>
        <v/>
      </c>
      <c r="IC22" s="355" t="str">
        <f t="shared" si="139"/>
        <v/>
      </c>
      <c r="ID22" s="355" t="str">
        <f t="shared" si="140"/>
        <v>Pa, </v>
      </c>
      <c r="IE22" s="355" t="str">
        <f t="shared" si="141"/>
        <v/>
      </c>
      <c r="IF22" s="355" t="str">
        <f t="shared" si="142"/>
        <v/>
      </c>
      <c r="IG22" s="355" t="str">
        <f t="shared" si="143"/>
        <v/>
      </c>
      <c r="IH22" s="355" t="str">
        <f t="shared" si="144"/>
        <v>Ni, </v>
      </c>
      <c r="II22" s="359" t="str">
        <f t="shared" si="145"/>
        <v/>
      </c>
      <c r="IJ22" s="346" t="b">
        <f t="shared" si="146"/>
        <v>0</v>
      </c>
      <c r="IK22" s="347" t="b">
        <f t="shared" si="147"/>
        <v>0</v>
      </c>
      <c r="IL22" s="347" t="b">
        <f t="shared" si="148"/>
        <v>0</v>
      </c>
      <c r="IM22" s="347" t="b">
        <f t="shared" si="149"/>
        <v>0</v>
      </c>
      <c r="IN22" s="347" t="b">
        <f t="shared" si="150"/>
        <v>0</v>
      </c>
      <c r="IO22" s="347" t="b">
        <f t="shared" si="151"/>
        <v>0</v>
      </c>
      <c r="IP22" s="347" t="b">
        <f t="shared" si="152"/>
        <v>0</v>
      </c>
      <c r="IQ22" s="347" t="b">
        <f t="shared" si="153"/>
        <v>0</v>
      </c>
      <c r="IR22" s="347" t="b">
        <f t="shared" si="154"/>
        <v>0</v>
      </c>
      <c r="IS22" s="347" t="b">
        <f t="shared" si="155"/>
        <v>0</v>
      </c>
      <c r="IT22" s="347" t="b">
        <f t="shared" si="156"/>
        <v>0</v>
      </c>
      <c r="IU22" s="347" t="b">
        <f t="shared" si="157"/>
        <v>1</v>
      </c>
      <c r="IV22" s="365" t="b">
        <f t="shared" si="158"/>
        <v>0</v>
      </c>
      <c r="IW22" s="354" t="str">
        <f t="shared" si="159"/>
        <v/>
      </c>
      <c r="IX22" s="355" t="str">
        <f t="shared" si="160"/>
        <v/>
      </c>
      <c r="IY22" s="355" t="str">
        <f t="shared" si="161"/>
        <v/>
      </c>
      <c r="IZ22" s="355" t="str">
        <f t="shared" si="162"/>
        <v/>
      </c>
      <c r="JA22" s="355" t="str">
        <f t="shared" si="163"/>
        <v/>
      </c>
      <c r="JB22" s="355" t="str">
        <f t="shared" si="164"/>
        <v/>
      </c>
      <c r="JC22" s="355" t="str">
        <f t="shared" si="165"/>
        <v/>
      </c>
      <c r="JD22" s="355" t="str">
        <f t="shared" si="166"/>
        <v/>
      </c>
      <c r="JE22" s="355" t="str">
        <f t="shared" si="167"/>
        <v/>
      </c>
      <c r="JF22" s="355" t="str">
        <f t="shared" si="168"/>
        <v/>
      </c>
      <c r="JG22" s="355" t="str">
        <f t="shared" si="169"/>
        <v/>
      </c>
      <c r="JH22" s="355" t="str">
        <f t="shared" si="170"/>
        <v>Ni, </v>
      </c>
      <c r="JI22" s="359"/>
      <c r="JJ22" s="321"/>
      <c r="JK22" s="368"/>
      <c r="JL22" s="369"/>
      <c r="JM22" s="369"/>
      <c r="JN22" s="369"/>
      <c r="JO22" s="369"/>
      <c r="JP22" s="369"/>
      <c r="JQ22" s="369"/>
      <c r="JR22" s="369"/>
      <c r="JS22" s="369"/>
      <c r="JT22" s="369"/>
      <c r="JU22" s="369"/>
    </row>
    <row r="23" ht="20.25" customHeight="1">
      <c r="A23" s="221" t="s">
        <v>1268</v>
      </c>
      <c r="B23" s="223" t="s">
        <v>1269</v>
      </c>
      <c r="C23" s="222" t="s">
        <v>275</v>
      </c>
      <c r="D23" s="222"/>
      <c r="E23" s="222"/>
      <c r="F23" s="222"/>
      <c r="G23" s="395" t="s">
        <v>275</v>
      </c>
      <c r="H23" s="222">
        <v>21.0</v>
      </c>
      <c r="I23" s="224" t="s">
        <v>1219</v>
      </c>
      <c r="J23" s="225" t="str">
        <f t="shared" si="5"/>
        <v>[UQ]</v>
      </c>
      <c r="K23" s="227">
        <f t="shared" si="6"/>
        <v>6</v>
      </c>
      <c r="L23" s="229">
        <f t="shared" si="7"/>
        <v>6</v>
      </c>
      <c r="M23" s="230">
        <f t="shared" si="8"/>
        <v>0</v>
      </c>
      <c r="N23" s="233" t="str">
        <f t="shared" si="9"/>
        <v>SgmPDNS</v>
      </c>
      <c r="O23" s="234" t="str">
        <f>IFERROR(__xludf.DUMMYFUNCTION("IF(REGEXMATCH(N23, ""S""), ""S"","""")"),"S")</f>
        <v>S</v>
      </c>
      <c r="P23" s="236" t="str">
        <f>IFERROR(__xludf.DUMMYFUNCTION("IF(REGEXMATCH(N23, ""r""), ""r"","""")"),"")</f>
        <v/>
      </c>
      <c r="Q23" s="237" t="str">
        <f>IFERROR(__xludf.DUMMYFUNCTION("IF(REGEXMATCH(N23, ""R""), ""R"","""")"),"")</f>
        <v/>
      </c>
      <c r="R23" s="237" t="str">
        <f>IFERROR(__xludf.DUMMYFUNCTION("IF(REGEXMATCH(N23, ""g""), ""g"","""")"),"g")</f>
        <v>g</v>
      </c>
      <c r="S23" s="236" t="str">
        <f>IFERROR(__xludf.DUMMYFUNCTION("IF(REGEXMATCH(N23, ""G""), ""G"","""")"),"")</f>
        <v/>
      </c>
      <c r="T23" s="236" t="str">
        <f>IFERROR(__xludf.DUMMYFUNCTION("IF(REGEXMATCH(N23, ""m""), ""m"","""")"),"m")</f>
        <v>m</v>
      </c>
      <c r="U23" s="237" t="str">
        <f>IFERROR(__xludf.DUMMYFUNCTION("IF(REGEXMATCH(N23, ""M""), ""M"","""")"),"")</f>
        <v/>
      </c>
      <c r="V23" s="236" t="str">
        <f>IFERROR(__xludf.DUMMYFUNCTION("IF(REGEXMATCH(N23, ""P""), ""P"","""")"),"P")</f>
        <v>P</v>
      </c>
      <c r="W23" s="237" t="str">
        <f>IFERROR(__xludf.DUMMYFUNCTION("IF(REGEXMATCH(N23, ""d""), ""d"","""")"),"")</f>
        <v/>
      </c>
      <c r="X23" s="236" t="str">
        <f>IFERROR(__xludf.DUMMYFUNCTION("IF(REGEXMATCH(N23, ""D""), ""D"","""")"),"D")</f>
        <v>D</v>
      </c>
      <c r="Y23" s="236" t="str">
        <f>IFERROR(__xludf.DUMMYFUNCTION("IF(REGEXMATCH(N23, ""n""), ""n"","""")"),"")</f>
        <v/>
      </c>
      <c r="Z23" s="237" t="str">
        <f>IFERROR(__xludf.DUMMYFUNCTION("IF(REGEXMATCH(N23, ""N""), ""N"","""")"),"N")</f>
        <v>N</v>
      </c>
      <c r="AA23" s="238" t="str">
        <f>IFERROR(__xludf.DUMMYFUNCTION("IF(REGEXMATCH(N23, ""S""), ""S"","""")"),"S")</f>
        <v>S</v>
      </c>
      <c r="AB23" s="239" t="str">
        <f>IFERROR(__xludf.DUMMYFUNCTION("SUBSTITUTE(CONCATENATE(JOIN(""-"",O23:U23)),""-"","""")"),"Sgm")</f>
        <v>Sgm</v>
      </c>
      <c r="AC23" s="229" t="str">
        <f>IFERROR(__xludf.DUMMYFUNCTION("SUBSTITUTE(CONCATENATE(JOIN(""-"",V23:AA23)),""-"","""")"),"PDNS")</f>
        <v>PDNS</v>
      </c>
      <c r="AD23" s="282" t="str">
        <f t="shared" si="10"/>
        <v>S-G-M</v>
      </c>
      <c r="AE23" s="282" t="str">
        <f t="shared" si="11"/>
        <v>P-D-N-S</v>
      </c>
      <c r="AF23" s="309" t="str">
        <f t="shared" si="12"/>
        <v>gmDN</v>
      </c>
      <c r="AG23" s="244" t="str">
        <f>IFERROR(__xludf.DUMMYFUNCTION("IF(REGEXMATCH(N23, ""S""), ""0"","""")"),"0")</f>
        <v>0</v>
      </c>
      <c r="AH23" s="245" t="str">
        <f>IFERROR(__xludf.DUMMYFUNCTION("IF(REGEXMATCH(N23, ""r""), ""1"","""")"),"")</f>
        <v/>
      </c>
      <c r="AI23" s="246" t="str">
        <f>IFERROR(__xludf.DUMMYFUNCTION("IF(REGEXMATCH(N23, ""R""), ""2"","""")"),"")</f>
        <v/>
      </c>
      <c r="AJ23" s="246" t="str">
        <f>IFERROR(__xludf.DUMMYFUNCTION("IF(REGEXMATCH(N23, ""g""), ""3"","""")"),"3")</f>
        <v>3</v>
      </c>
      <c r="AK23" s="245" t="str">
        <f>IFERROR(__xludf.DUMMYFUNCTION("IF(REGEXMATCH(N23, ""G""), ""4"","""")"),"")</f>
        <v/>
      </c>
      <c r="AL23" s="245" t="str">
        <f>IFERROR(__xludf.DUMMYFUNCTION("IF(REGEXMATCH(N23, ""m""), ""5"","""")"),"5")</f>
        <v>5</v>
      </c>
      <c r="AM23" s="246" t="str">
        <f>IFERROR(__xludf.DUMMYFUNCTION("IF(REGEXMATCH(N23, ""M""), ""6"","""")"),"")</f>
        <v/>
      </c>
      <c r="AN23" s="245" t="str">
        <f>IFERROR(__xludf.DUMMYFUNCTION("IF(REGEXMATCH(N23, ""P""), ""7"","""")"),"7")</f>
        <v>7</v>
      </c>
      <c r="AO23" s="246" t="str">
        <f>IFERROR(__xludf.DUMMYFUNCTION("IF(REGEXMATCH(N23, ""d""), ""8"","""")"),"")</f>
        <v/>
      </c>
      <c r="AP23" s="245" t="str">
        <f>IFERROR(__xludf.DUMMYFUNCTION("IF(REGEXMATCH(N23, ""D""), ""9"","""")"),"9")</f>
        <v>9</v>
      </c>
      <c r="AQ23" s="245" t="str">
        <f>IFERROR(__xludf.DUMMYFUNCTION("IF(REGEXMATCH(N23, ""n""), ""10"","""")"),"")</f>
        <v/>
      </c>
      <c r="AR23" s="246" t="str">
        <f>IFERROR(__xludf.DUMMYFUNCTION("IF(REGEXMATCH(N23, ""N""), ""11"","""")"),"11")</f>
        <v>11</v>
      </c>
      <c r="AS23" s="249" t="str">
        <f>IFERROR(__xludf.DUMMYFUNCTION("IF(REGEXMATCH(N23, ""S""), ""0"","""")"),"0")</f>
        <v>0</v>
      </c>
      <c r="AT23" s="250" t="str">
        <f>IFERROR(__xludf.DUMMYFUNCTION("SUBSTITUTE(SUBSTITUTE(SUBSTITUTE(SUBSTITUTE(CONCATENATE(JOIN(""-"",AG23:AS23)),""--"",""-""),""--"",""-""),""--"",""-""),""--"",""-"")"),"0-3-5-7-9-11-0")</f>
        <v>0-3-5-7-9-11-0</v>
      </c>
      <c r="AU23" s="251">
        <f t="shared" si="13"/>
        <v>0</v>
      </c>
      <c r="AV23" s="234" t="str">
        <f t="shared" si="14"/>
        <v>|</v>
      </c>
      <c r="AW23" s="236" t="str">
        <f t="shared" si="15"/>
        <v>-</v>
      </c>
      <c r="AX23" s="237" t="str">
        <f t="shared" si="16"/>
        <v>-</v>
      </c>
      <c r="AY23" s="236" t="str">
        <f t="shared" si="17"/>
        <v>|</v>
      </c>
      <c r="AZ23" s="237" t="str">
        <f t="shared" si="18"/>
        <v>-</v>
      </c>
      <c r="BA23" s="236" t="str">
        <f t="shared" si="19"/>
        <v>|</v>
      </c>
      <c r="BB23" s="237" t="str">
        <f t="shared" si="20"/>
        <v>-</v>
      </c>
      <c r="BC23" s="236" t="str">
        <f t="shared" si="21"/>
        <v>|</v>
      </c>
      <c r="BD23" s="237" t="str">
        <f t="shared" si="22"/>
        <v>-</v>
      </c>
      <c r="BE23" s="236" t="str">
        <f t="shared" si="23"/>
        <v>|</v>
      </c>
      <c r="BF23" s="237" t="str">
        <f t="shared" si="24"/>
        <v>-</v>
      </c>
      <c r="BG23" s="236" t="str">
        <f t="shared" si="25"/>
        <v>|</v>
      </c>
      <c r="BH23" s="238" t="str">
        <f t="shared" si="26"/>
        <v>|</v>
      </c>
      <c r="BI23" s="250" t="str">
        <f>IFERROR(__xludf.DUMMYFUNCTION("SUBSTITUTE(SUBSTITUTE(CONCATENATE(JOIN("""",AV23:BG23)),""|"",""x""),""-"",""o"")"),"xooxoxoxoxox")</f>
        <v>xooxoxoxoxox</v>
      </c>
      <c r="BJ23" s="323" t="str">
        <f>IFERROR(__xludf.DUMMYFUNCTION("JOIN("""",BI23,BI23)"),"xooxoxoxoxoxxooxoxoxoxox")</f>
        <v>xooxoxoxoxoxxooxoxoxoxox</v>
      </c>
      <c r="BK23" s="256" t="str">
        <f>IFERROR(__xludf.DUMMYFUNCTION("JOIN("""",ArrayFormula(MID(BI23,LEN(BI23)-SEQUENCE(1,LEN(BI23))+1,1)))"),"xoxoxoxoxoox")</f>
        <v>xoxoxoxoxoox</v>
      </c>
      <c r="BL23" s="256" t="str">
        <f>IFERROR(__xludf.DUMMYFUNCTION("LEFT(CONCATENATE(""x"",JOIN("""",ArrayFormula(MID(BI23,LEN(BI23)-SEQUENCE(1,LEN(BI23))+1,1)))),12)"),"xxoxoxoxoxoo")</f>
        <v>xxoxoxoxoxoo</v>
      </c>
      <c r="BM23" s="327" t="str">
        <f>IFERROR(__xludf.DUMMYFUNCTION("JOIN("""",BK23,BK23)"),"xoxoxoxoxooxxoxoxoxoxoox")</f>
        <v>xoxoxoxoxooxxoxoxoxoxoox</v>
      </c>
      <c r="BN23" s="239" t="str">
        <f>IFERROR(__xludf.DUMMYFUNCTION("IF(REGEXMATCH(BM23,BI23),""✔"",""-"")"),"-")</f>
        <v>-</v>
      </c>
      <c r="BO23" s="330" t="str">
        <f t="shared" si="27"/>
        <v>-</v>
      </c>
      <c r="BP23" s="260" t="str">
        <f t="shared" si="28"/>
        <v>-</v>
      </c>
      <c r="BQ23" s="261" t="str">
        <f>IFERROR(__xludf.DUMMYFUNCTION("IF(BT23=0,""(n/a)"",IF(BU23=2,""(PAIR)"",IF(REGEXMATCH(BJ23,""xoxoxxoxoxox""),""Bilawal"",IF(REGEXMATCH(BJ23,""xoxoxooxoxoo""),""Bhupali"",IF(REGEXMATCH(BJ23,""xoxoxxoxxoxo""),""Charukeshi"",IF(REGEXMATCH(BJ23,""xoxoooxxoxxo""),""Kameshwari"",IF(REGEXMATC"&amp;"H(BJ23,""xoxoxooxoxox""),""Shankara"",IF(REGEXMATCH(BJ23,""xxooxoxxxoox""),""Basant"",IF(REGEXMATCH(BJ23,""xoxoxxxxoxox""),""Bihag"",IF(REGEXMATCH(BJ23,""xoxxxxoxoxxx""),""Pilu"",IF(REGEXMATCH(BJ23,""xoxxoxoxxoox""),""Kirwani"",IF(REGEXMATCH(BJ23,""xoxxox"&amp;"oxoxxx""),""Mk.Malhar"",IF(REGEXMATCH(BJ23,""xxooxxoxxoox""),""Bhairav"",IF(REGEXMATCH(BJ23,""xxoxooxxxoox""),""Todi"",IF(REGEXMATCH(BJ23,""xxooxoxooxox""),""Marwa"",IF(REGEXMATCH(BJ23,""xxoooxoxxooo""),""Gunkali"",IF(REGEXMATCH(BJ23,""xoxoxxoxxoox""),""N"&amp;"at Bhairav"",IF(REGEXMATCH(BJ23,""xoxxoooxoxoo""),""Shivranjani"",IF(REGEXMATCH(BJ23,""xooxxxoxooxo""),""Jog"",IF(REGEXMATCH(BJ23,""xxooxoxoxoox""),""Hemshri"",IF(REGEXMATCH(BJ23,""xoooxooxoxxo""),""Kalavati"",IF(REGEXMATCH(BJ23,""xxoxoxxoxoox""),""Kedar"&amp;""",IF(REGEXMATCH(BJ23,""xoxxxxoxooxx""),""Gara"",IF(REGEXMATCH(BJ23,""xooxoxooxoox""),""Chandrakauns"",IF(REGEXMATCH(BJ23,""xoxxxxoxxxox""),""Mand"",IF(REGEXMATCH(BJ23,""xoxxxxoxoxox""),""Hanskinkini"",IF(REGEXMATCH(BJ23,""xxooxxoxooxo""),""Lilavati"",IF("&amp;"REGEXMATCH(BJ23,""xooxoxoooxox""),""Rajeshwari"",IF(REGEXMATCH(BJ23,""xoooxxoxoxxx""),""Khokar"",IF(REGEXMATCH(BJ23,""xxooxoxxxxox""),""Maligoura"",""-""))))))))))))))))))))))))))))))"),"-")</f>
        <v>-</v>
      </c>
      <c r="BR23" s="239">
        <f t="shared" si="29"/>
        <v>5</v>
      </c>
      <c r="BS23" s="239">
        <f>IFERROR(__xludf.DUMMYFUNCTION("COUNTUNIQUE(BW23:CG23)-1"),5.0)</f>
        <v>5</v>
      </c>
      <c r="BT23" s="239">
        <f>IFERROR(__xludf.DUMMYFUNCTION("COUNTUNIQUE(FILTER(BJ:BJ,REGEXMATCH(BJ:BJ,BI23)))-1"),1.0)</f>
        <v>1</v>
      </c>
      <c r="BU23" s="239">
        <f>IFERROR(__xludf.DUMMYFUNCTION("COUNTA(FILTER(BJ:BJ,REGEXMATCH(BJ:BJ,BI23)))"),3.0)</f>
        <v>3</v>
      </c>
      <c r="BV23" s="341">
        <f>IFERROR(__xludf.DUMMYFUNCTION("COUNTA(FILTER(BJ:BJ,REGEXMATCH(BJ:BJ,BI23)))-AU23"),3.0)</f>
        <v>3</v>
      </c>
      <c r="BW23" s="269" t="str">
        <f t="shared" si="30"/>
        <v>-</v>
      </c>
      <c r="BX23" s="269" t="str">
        <f t="shared" si="31"/>
        <v>-</v>
      </c>
      <c r="BY23" s="271" t="str">
        <f t="shared" si="32"/>
        <v>xoxoxoxoxxo</v>
      </c>
      <c r="BZ23" s="269" t="str">
        <f t="shared" si="33"/>
        <v>-</v>
      </c>
      <c r="CA23" s="271" t="str">
        <f t="shared" si="34"/>
        <v>xoxoxoxxoox</v>
      </c>
      <c r="CB23" s="271" t="str">
        <f t="shared" si="35"/>
        <v>-</v>
      </c>
      <c r="CC23" s="271" t="str">
        <f t="shared" si="36"/>
        <v>xoxoxxooxox</v>
      </c>
      <c r="CD23" s="271" t="str">
        <f t="shared" si="37"/>
        <v>-</v>
      </c>
      <c r="CE23" s="271" t="str">
        <f t="shared" si="38"/>
        <v>xoxxooxoxox</v>
      </c>
      <c r="CF23" s="271" t="str">
        <f t="shared" si="39"/>
        <v>-</v>
      </c>
      <c r="CG23" s="274" t="str">
        <f t="shared" si="40"/>
        <v>xxooxoxoxox</v>
      </c>
      <c r="CH23" s="276" t="str">
        <f>IFERROR(__xludf.DUMMYFUNCTION("IF(BI23=""oooooooooooo"",""-"",IF(REGEXMATCH(BJ23,""xx""), ""Hemi."", ""Anhemi.""))"),"Hemi.")</f>
        <v>Hemi.</v>
      </c>
      <c r="CI23" s="282" t="str">
        <f>IFERROR(__xludf.DUMMYFUNCTION("IF(BI23=""oooooooooooo"",""-"",IF(REGEXMATCH(BJ23,""xxx""), ""Cohem."", ""-""))"),"-")</f>
        <v>-</v>
      </c>
      <c r="CJ23" s="282" t="str">
        <f>IFERROR(__xludf.DUMMYFUNCTION("IF(BI23=""oooooooooooo"",""-"",IF(REGEXMATCH(BJ23,""xxxx""), ""Co-Co."", ""-""))"),"-")</f>
        <v>-</v>
      </c>
      <c r="CK23" s="342" t="str">
        <f>IFERROR(__xludf.DUMMYFUNCTION("IF(BI23=""oooooooooooo"",""-"",IF(REGEXMATCH(BJ23,""xxxxx""), ""CCC."", ""-""))"),"-")</f>
        <v>-</v>
      </c>
      <c r="CL23" s="344" t="str">
        <f t="shared" si="41"/>
        <v>-</v>
      </c>
      <c r="CM23" s="282" t="str">
        <f>IFERROR(__xludf.DUMMYFUNCTION("IF(REGEXMATCH(JOIN(""-"",CO23:CX23),""TRUE""),""✔"",""-"")"),"-")</f>
        <v>-</v>
      </c>
      <c r="CN23" s="225">
        <f t="shared" si="42"/>
        <v>0</v>
      </c>
      <c r="CO23" s="376" t="b">
        <f>IFERROR(__xludf.DUMMYFUNCTION("arrayformula(sum(--REGEXMATCH(""SRGMPDNS"",split(REGEXREPLACE(N23,""(.)"",""$1~""),""~""))))=len(N23)
"),FALSE)</f>
        <v>0</v>
      </c>
      <c r="CP23" s="290" t="b">
        <f>IFERROR(__xludf.DUMMYFUNCTION("arrayformula(sum(--REGEXMATCH(""SRGmPDNS"",split(REGEXREPLACE(N23,""(.)"",""$1~""),""~""))))=len(N23)"),FALSE)</f>
        <v>0</v>
      </c>
      <c r="CQ23" s="290" t="b">
        <f>IFERROR(__xludf.DUMMYFUNCTION("arrayformula(sum(--REGEXMATCH(""SRGmPDnS"",split(REGEXREPLACE(N23,""(.)"",""$1~""),""~""))))=len(N23)"),FALSE)</f>
        <v>0</v>
      </c>
      <c r="CR23" s="290" t="b">
        <f>IFERROR(__xludf.DUMMYFUNCTION("arrayformula(sum(--REGEXMATCH(""SRgmPDnS"",split(REGEXREPLACE(N23,""(.)"",""$1~""),""~""))))=len(N23)"),FALSE)</f>
        <v>0</v>
      </c>
      <c r="CS23" s="290" t="b">
        <f>IFERROR(__xludf.DUMMYFUNCTION("arrayformula(sum(--REGEXMATCH(""SRgmPdnS"",split(REGEXREPLACE(N23,""(.)"",""$1~""),""~""))))=len(N23)"),FALSE)</f>
        <v>0</v>
      </c>
      <c r="CT23" s="290" t="b">
        <f>IFERROR(__xludf.DUMMYFUNCTION("arrayformula(sum(--REGEXMATCH(""SrgmPdnS"",split(REGEXREPLACE(N23,""(.)"",""$1~""),""~""))))=len(N23)"),FALSE)</f>
        <v>0</v>
      </c>
      <c r="CU23" s="290" t="b">
        <f>IFERROR(__xludf.DUMMYFUNCTION("arrayformula(sum(--REGEXMATCH(""SrGmPdNS"",split(REGEXREPLACE(N23,""(.)"",""$1~""),""~""))))=len(N23)"),FALSE)</f>
        <v>0</v>
      </c>
      <c r="CV23" s="290" t="b">
        <f>IFERROR(__xludf.DUMMYFUNCTION("arrayformula(sum(--REGEXMATCH(""SrGMPDNS"",split(REGEXREPLACE(N23,""(.)"",""$1~""),""~""))))=len(N23)"),FALSE)</f>
        <v>0</v>
      </c>
      <c r="CW23" s="290" t="b">
        <f>IFERROR(__xludf.DUMMYFUNCTION("arrayformula(sum(--REGEXMATCH(""SrGMPdNS"",split(REGEXREPLACE(N23,""(.)"",""$1~""),""~""))))=len(N23)"),FALSE)</f>
        <v>0</v>
      </c>
      <c r="CX23" s="293" t="b">
        <f>IFERROR(__xludf.DUMMYFUNCTION("arrayformula(sum(--REGEXMATCH(""SrgMPdNS"",split(REGEXREPLACE(N23,""(.)"",""$1~""),""~""))))=len(N23)"),FALSE)</f>
        <v>0</v>
      </c>
      <c r="CY23" s="244" t="str">
        <f>IFERROR(__xludf.DUMMYFUNCTION("IF(REGEXMATCH(N23, ""S""), ""1"","""")"),"1")</f>
        <v>1</v>
      </c>
      <c r="CZ23" s="245" t="str">
        <f>IFERROR(__xludf.DUMMYFUNCTION("IF(REGEXMATCH(N23, ""r""), ""b2"","""")"),"")</f>
        <v/>
      </c>
      <c r="DA23" s="246" t="str">
        <f>IFERROR(__xludf.DUMMYFUNCTION("IF(REGEXMATCH(N23, ""R""), ""2"","""")"),"")</f>
        <v/>
      </c>
      <c r="DB23" s="246" t="str">
        <f>IFERROR(__xludf.DUMMYFUNCTION("IF(REGEXMATCH(N23, ""g""), ""b3"","""")"),"b3")</f>
        <v>b3</v>
      </c>
      <c r="DC23" s="245" t="str">
        <f>IFERROR(__xludf.DUMMYFUNCTION("IF(REGEXMATCH(N23, ""G""), ""3"","""")"),"")</f>
        <v/>
      </c>
      <c r="DD23" s="245" t="str">
        <f>IFERROR(__xludf.DUMMYFUNCTION("IF(REGEXMATCH(N23, ""m""), ""4"","""")"),"4")</f>
        <v>4</v>
      </c>
      <c r="DE23" s="246" t="str">
        <f>IFERROR(__xludf.DUMMYFUNCTION("IF(REGEXMATCH(N23, ""M""), ""#4"","""")"),"")</f>
        <v/>
      </c>
      <c r="DF23" s="245" t="str">
        <f>IFERROR(__xludf.DUMMYFUNCTION("IF(REGEXMATCH(N23, ""P""), ""5"","""")"),"5")</f>
        <v>5</v>
      </c>
      <c r="DG23" s="246" t="str">
        <f>IFERROR(__xludf.DUMMYFUNCTION("IF(REGEXMATCH(N23, ""d""), ""b6"","""")"),"")</f>
        <v/>
      </c>
      <c r="DH23" s="245" t="str">
        <f>IFERROR(__xludf.DUMMYFUNCTION("IF(REGEXMATCH(N23, ""D""), ""6"","""")"),"6")</f>
        <v>6</v>
      </c>
      <c r="DI23" s="245" t="str">
        <f>IFERROR(__xludf.DUMMYFUNCTION("IF(REGEXMATCH(N23, ""n""), ""b7"","""")"),"")</f>
        <v/>
      </c>
      <c r="DJ23" s="246" t="str">
        <f>IFERROR(__xludf.DUMMYFUNCTION("IF(REGEXMATCH(N23, ""N""), ""7"","""")"),"7")</f>
        <v>7</v>
      </c>
      <c r="DK23" s="249" t="str">
        <f>IFERROR(__xludf.DUMMYFUNCTION("IF(REGEXMATCH(N23, ""S""), ""8"","""")"),"8")</f>
        <v>8</v>
      </c>
      <c r="DL23" s="244" t="str">
        <f>IFERROR(__xludf.DUMMYFUNCTION("IF(REGEXMATCH(N23, ""S""), ""S"","""")"),"S")</f>
        <v>S</v>
      </c>
      <c r="DM23" s="294" t="str">
        <f>IFERROR(__xludf.DUMMYFUNCTION("IF(REGEXMATCH(N23, ""r""), ""R1"","""")"),"")</f>
        <v/>
      </c>
      <c r="DN23" s="295" t="str">
        <f>IFERROR(__xludf.DUMMYFUNCTION("IF(REGEXMATCH(N23, ""R""), ""R2"","""")"),"")</f>
        <v/>
      </c>
      <c r="DO23" s="295" t="str">
        <f>IFERROR(__xludf.DUMMYFUNCTION("IF(REGEXMATCH(N23, ""g""), ""G2"","""")"),"G2")</f>
        <v>G2</v>
      </c>
      <c r="DP23" s="294" t="str">
        <f>IFERROR(__xludf.DUMMYFUNCTION("IF(REGEXMATCH(N23, ""G""), ""G3"","""")"),"")</f>
        <v/>
      </c>
      <c r="DQ23" s="294" t="str">
        <f>IFERROR(__xludf.DUMMYFUNCTION("IF(REGEXMATCH(N23, ""m""), ""M1"","""")"),"M1")</f>
        <v>M1</v>
      </c>
      <c r="DR23" s="295" t="str">
        <f>IFERROR(__xludf.DUMMYFUNCTION("IF(REGEXMATCH(N23, ""M""), ""M2"","""")"),"")</f>
        <v/>
      </c>
      <c r="DS23" s="294" t="str">
        <f>IFERROR(__xludf.DUMMYFUNCTION("IF(REGEXMATCH(N23, ""P""), ""P"","""")"),"P")</f>
        <v>P</v>
      </c>
      <c r="DT23" s="295" t="str">
        <f>IFERROR(__xludf.DUMMYFUNCTION("IF(REGEXMATCH(N23, ""d""), ""D1"","""")"),"")</f>
        <v/>
      </c>
      <c r="DU23" s="294" t="str">
        <f>IFERROR(__xludf.DUMMYFUNCTION("IF(REGEXMATCH(N23, ""D""), ""D2"","""")"),"D2")</f>
        <v>D2</v>
      </c>
      <c r="DV23" s="294" t="str">
        <f>IFERROR(__xludf.DUMMYFUNCTION("IF(REGEXMATCH(N23, ""n""), ""N2"","""")"),"")</f>
        <v/>
      </c>
      <c r="DW23" s="295" t="str">
        <f>IFERROR(__xludf.DUMMYFUNCTION("IF(REGEXMATCH(N23, ""N""), ""N3"","""")"),"N3")</f>
        <v>N3</v>
      </c>
      <c r="DX23" s="249" t="str">
        <f>IFERROR(__xludf.DUMMYFUNCTION("IF(REGEXMATCH(N23, ""S""), ""S"","""")"),"S")</f>
        <v>S</v>
      </c>
      <c r="DY23" s="299" t="str">
        <f>IFERROR(__xludf.DUMMYFUNCTION("SUBSTITUTE(SUBSTITUTE(SUBSTITUTE(SUBSTITUTE(CONCATENATE(JOIN(""-"",CY23:DK23)),""--"",""-""),""--"",""-""),""--"",""-""),""--"",""-"")"),"1-b3-4-5-6-7-8")</f>
        <v>1-b3-4-5-6-7-8</v>
      </c>
      <c r="DZ23" s="299" t="str">
        <f>IFERROR(__xludf.DUMMYFUNCTION("SUBSTITUTE(SUBSTITUTE(SUBSTITUTE(SUBSTITUTE(CONCATENATE(JOIN(""-"",DL23:DX23)),""--"",""-""),""--"",""-""),""--"",""-""),""--"",""-"")"),"S-G2-M1-P-D2-N3-S")</f>
        <v>S-G2-M1-P-D2-N3-S</v>
      </c>
      <c r="EA23" s="348" t="str">
        <f t="shared" si="43"/>
        <v>C-Eb-F-G-A-B-C</v>
      </c>
      <c r="EB23" s="301">
        <f t="shared" si="44"/>
        <v>6</v>
      </c>
      <c r="EC23" s="302" t="str">
        <f t="shared" si="45"/>
        <v>Shadav</v>
      </c>
      <c r="ED23" s="301" t="str">
        <f t="shared" ref="ED23:EE23" si="189">SUBSTITUTE(AD23,"-","")</f>
        <v>SGM</v>
      </c>
      <c r="EE23" s="301" t="str">
        <f t="shared" si="189"/>
        <v>PDNS</v>
      </c>
      <c r="EF23" s="302" t="str">
        <f t="shared" si="47"/>
        <v>-</v>
      </c>
      <c r="EG23" s="301" t="str">
        <f t="shared" si="48"/>
        <v>Hemi.</v>
      </c>
      <c r="EH23" s="364" t="str">
        <f t="shared" si="49"/>
        <v>-</v>
      </c>
      <c r="EI23" s="306" t="str">
        <f t="shared" si="50"/>
        <v>-</v>
      </c>
      <c r="EJ23" s="366" t="str">
        <f t="shared" si="51"/>
        <v>-</v>
      </c>
      <c r="EK23" s="308" t="str">
        <f t="shared" si="52"/>
        <v>✔</v>
      </c>
      <c r="EL23" s="306" t="str">
        <f t="shared" si="53"/>
        <v>-</v>
      </c>
      <c r="EM23" s="306" t="str">
        <f t="shared" si="54"/>
        <v>-</v>
      </c>
      <c r="EN23" s="367" t="str">
        <f t="shared" si="55"/>
        <v>-</v>
      </c>
      <c r="EO23" s="310" t="str">
        <f t="shared" si="56"/>
        <v>-</v>
      </c>
      <c r="EP23" s="310" t="str">
        <f t="shared" si="57"/>
        <v>-</v>
      </c>
      <c r="EQ23" s="310" t="str">
        <f t="shared" si="58"/>
        <v>-</v>
      </c>
      <c r="ER23" s="310" t="str">
        <f t="shared" si="59"/>
        <v>-</v>
      </c>
      <c r="ES23" s="370" t="str">
        <f t="shared" si="60"/>
        <v>-</v>
      </c>
      <c r="ET23" s="306" t="str">
        <f t="shared" si="61"/>
        <v>✔</v>
      </c>
      <c r="EU23" s="306" t="str">
        <f t="shared" si="62"/>
        <v>-</v>
      </c>
      <c r="EV23" s="306" t="str">
        <f t="shared" si="63"/>
        <v>-</v>
      </c>
      <c r="EW23" s="306" t="str">
        <f t="shared" si="64"/>
        <v>-</v>
      </c>
      <c r="EX23" s="306" t="str">
        <f t="shared" si="65"/>
        <v>-</v>
      </c>
      <c r="EY23" s="367" t="str">
        <f t="shared" si="66"/>
        <v>-</v>
      </c>
      <c r="EZ23" s="310" t="str">
        <f>IFERROR(__xludf.DUMMYFUNCTION("IF(REGEXMATCH(BM23,BI23),""✔"",""-"")"),"-")</f>
        <v>-</v>
      </c>
      <c r="FA23" s="310" t="str">
        <f t="shared" si="67"/>
        <v>-</v>
      </c>
      <c r="FB23" s="370" t="str">
        <f t="shared" si="68"/>
        <v>-</v>
      </c>
      <c r="FC23" s="315" t="str">
        <f t="shared" si="69"/>
        <v>[UQ]</v>
      </c>
      <c r="FD23" s="317" t="str">
        <f t="shared" si="70"/>
        <v>S-g-m-P-D-N-S</v>
      </c>
      <c r="FE23" s="318" t="str">
        <f>IFERROR(__xludf.DUMMYFUNCTION("CONCATENATE(JOIN("""",GJ23:GV23))"),"SrgmPDS")</f>
        <v>SrgmPDS</v>
      </c>
      <c r="FF23" s="318"/>
      <c r="FG23" s="318"/>
      <c r="FH23" s="321">
        <f t="shared" si="71"/>
        <v>4</v>
      </c>
      <c r="FI23" s="318" t="str">
        <f>IFERROR(__xludf.DUMMYFUNCTION("CONCATENATE(JOIN("""",HW23:II23))"),"ga, Pa, Dha, Ni, ")</f>
        <v>ga, Pa, Dha, Ni, </v>
      </c>
      <c r="FJ23" s="322">
        <f t="shared" si="72"/>
        <v>3</v>
      </c>
      <c r="FK23" s="324" t="str">
        <f>IFERROR(__xludf.DUMMYFUNCTION("CONCATENATE(JOIN("""",IW23:JI23))"),"ga, Dha, Ni, ")</f>
        <v>ga, Dha, Ni, </v>
      </c>
      <c r="FL23" s="325" t="str">
        <f t="shared" si="73"/>
        <v>S-G2-M1-P-D2-N3-S</v>
      </c>
      <c r="FM23" s="326" t="str">
        <f t="shared" si="74"/>
        <v>1-b3-4-5-6-7-8</v>
      </c>
      <c r="FN23" s="326" t="str">
        <f t="shared" si="75"/>
        <v>0-3-5-7-9-11-0</v>
      </c>
      <c r="FO23" s="318"/>
      <c r="FP23" s="328" t="str">
        <f>IFERROR(__xludf.DUMMYFUNCTION("SUBSTITUTE(SUBSTITUTE(SUBSTITUTE(SUBSTITUTE(CONCATENATE(JOIN("" "",FS23:GE23)),""  "","" ""),""  "","" ""),""  "","" ""),""  "","" "")"),"o • • o • o • o • o • o o")</f>
        <v>o • • o • o • o • o • o o</v>
      </c>
      <c r="FQ23" s="328" t="str">
        <f t="shared" si="76"/>
        <v>-</v>
      </c>
      <c r="FR23" s="329"/>
      <c r="FS23" s="331" t="str">
        <f t="shared" si="77"/>
        <v>o</v>
      </c>
      <c r="FT23" s="332" t="str">
        <f t="shared" si="78"/>
        <v>•</v>
      </c>
      <c r="FU23" s="332" t="str">
        <f t="shared" si="79"/>
        <v>•</v>
      </c>
      <c r="FV23" s="332" t="str">
        <f t="shared" si="80"/>
        <v>o</v>
      </c>
      <c r="FW23" s="332" t="str">
        <f t="shared" si="81"/>
        <v>•</v>
      </c>
      <c r="FX23" s="332" t="str">
        <f t="shared" si="82"/>
        <v>o</v>
      </c>
      <c r="FY23" s="332" t="str">
        <f t="shared" si="83"/>
        <v>•</v>
      </c>
      <c r="FZ23" s="332" t="str">
        <f t="shared" si="84"/>
        <v>o</v>
      </c>
      <c r="GA23" s="332" t="str">
        <f t="shared" si="85"/>
        <v>•</v>
      </c>
      <c r="GB23" s="332" t="str">
        <f t="shared" si="86"/>
        <v>o</v>
      </c>
      <c r="GC23" s="332" t="str">
        <f t="shared" si="87"/>
        <v>•</v>
      </c>
      <c r="GD23" s="332" t="str">
        <f t="shared" si="88"/>
        <v>o</v>
      </c>
      <c r="GE23" s="338" t="str">
        <f t="shared" si="89"/>
        <v>o</v>
      </c>
      <c r="GF23" s="339" t="str">
        <f t="shared" si="90"/>
        <v>-</v>
      </c>
      <c r="GG23" s="339" t="str">
        <f t="shared" si="91"/>
        <v>Sa-Pa</v>
      </c>
      <c r="GH23" s="339" t="str">
        <f t="shared" si="92"/>
        <v>-</v>
      </c>
      <c r="GI23" s="340" t="str">
        <f t="shared" si="93"/>
        <v>-</v>
      </c>
      <c r="GJ23" s="331" t="str">
        <f t="shared" si="94"/>
        <v>S</v>
      </c>
      <c r="GK23" s="332" t="str">
        <f t="shared" si="95"/>
        <v>r</v>
      </c>
      <c r="GL23" s="332" t="str">
        <f t="shared" si="96"/>
        <v/>
      </c>
      <c r="GM23" s="332" t="str">
        <f t="shared" si="97"/>
        <v>g</v>
      </c>
      <c r="GN23" s="332" t="str">
        <f t="shared" si="98"/>
        <v/>
      </c>
      <c r="GO23" s="332" t="str">
        <f t="shared" si="99"/>
        <v>m</v>
      </c>
      <c r="GP23" s="332" t="str">
        <f t="shared" si="100"/>
        <v/>
      </c>
      <c r="GQ23" s="332" t="str">
        <f t="shared" si="101"/>
        <v>P</v>
      </c>
      <c r="GR23" s="332" t="str">
        <f t="shared" si="102"/>
        <v/>
      </c>
      <c r="GS23" s="332" t="str">
        <f t="shared" si="103"/>
        <v>D</v>
      </c>
      <c r="GT23" s="332" t="str">
        <f t="shared" si="104"/>
        <v/>
      </c>
      <c r="GU23" s="332" t="str">
        <f t="shared" si="105"/>
        <v/>
      </c>
      <c r="GV23" s="343" t="str">
        <f t="shared" si="106"/>
        <v>S</v>
      </c>
      <c r="GW23" s="331" t="str">
        <f t="shared" si="107"/>
        <v>•</v>
      </c>
      <c r="GX23" s="332" t="str">
        <f t="shared" si="108"/>
        <v>o</v>
      </c>
      <c r="GY23" s="332" t="str">
        <f t="shared" si="109"/>
        <v>o</v>
      </c>
      <c r="GZ23" s="332" t="str">
        <f t="shared" si="110"/>
        <v>•</v>
      </c>
      <c r="HA23" s="332" t="str">
        <f t="shared" si="111"/>
        <v>o</v>
      </c>
      <c r="HB23" s="332" t="str">
        <f t="shared" si="112"/>
        <v>•</v>
      </c>
      <c r="HC23" s="332" t="str">
        <f t="shared" si="113"/>
        <v>o</v>
      </c>
      <c r="HD23" s="332" t="str">
        <f t="shared" si="114"/>
        <v>•</v>
      </c>
      <c r="HE23" s="332" t="str">
        <f t="shared" si="115"/>
        <v>o</v>
      </c>
      <c r="HF23" s="332" t="str">
        <f t="shared" si="116"/>
        <v>•</v>
      </c>
      <c r="HG23" s="332" t="str">
        <f t="shared" si="117"/>
        <v>o</v>
      </c>
      <c r="HH23" s="332" t="str">
        <f t="shared" si="118"/>
        <v>•</v>
      </c>
      <c r="HI23" s="338" t="str">
        <f t="shared" si="119"/>
        <v>•</v>
      </c>
      <c r="HJ23" s="346" t="b">
        <f t="shared" si="120"/>
        <v>0</v>
      </c>
      <c r="HK23" s="347" t="b">
        <f t="shared" si="121"/>
        <v>0</v>
      </c>
      <c r="HL23" s="347" t="b">
        <f t="shared" si="122"/>
        <v>0</v>
      </c>
      <c r="HM23" s="347" t="b">
        <f t="shared" si="123"/>
        <v>1</v>
      </c>
      <c r="HN23" s="347" t="b">
        <f t="shared" si="124"/>
        <v>0</v>
      </c>
      <c r="HO23" s="347" t="b">
        <f t="shared" si="125"/>
        <v>0</v>
      </c>
      <c r="HP23" s="347" t="b">
        <f t="shared" si="126"/>
        <v>0</v>
      </c>
      <c r="HQ23" s="347" t="b">
        <f t="shared" si="127"/>
        <v>1</v>
      </c>
      <c r="HR23" s="347" t="b">
        <f t="shared" si="128"/>
        <v>0</v>
      </c>
      <c r="HS23" s="347" t="b">
        <f t="shared" si="129"/>
        <v>1</v>
      </c>
      <c r="HT23" s="347" t="b">
        <f t="shared" si="130"/>
        <v>0</v>
      </c>
      <c r="HU23" s="347" t="b">
        <f t="shared" si="131"/>
        <v>1</v>
      </c>
      <c r="HV23" s="353" t="b">
        <f t="shared" si="132"/>
        <v>0</v>
      </c>
      <c r="HW23" s="354" t="str">
        <f t="shared" si="133"/>
        <v/>
      </c>
      <c r="HX23" s="355" t="str">
        <f t="shared" si="134"/>
        <v/>
      </c>
      <c r="HY23" s="355" t="str">
        <f t="shared" si="135"/>
        <v/>
      </c>
      <c r="HZ23" s="355" t="str">
        <f t="shared" si="136"/>
        <v>ga, </v>
      </c>
      <c r="IA23" s="355" t="str">
        <f t="shared" si="137"/>
        <v/>
      </c>
      <c r="IB23" s="355" t="str">
        <f t="shared" si="138"/>
        <v/>
      </c>
      <c r="IC23" s="355" t="str">
        <f t="shared" si="139"/>
        <v/>
      </c>
      <c r="ID23" s="355" t="str">
        <f t="shared" si="140"/>
        <v>Pa, </v>
      </c>
      <c r="IE23" s="355" t="str">
        <f t="shared" si="141"/>
        <v/>
      </c>
      <c r="IF23" s="355" t="str">
        <f t="shared" si="142"/>
        <v>Dha, </v>
      </c>
      <c r="IG23" s="355" t="str">
        <f t="shared" si="143"/>
        <v/>
      </c>
      <c r="IH23" s="355" t="str">
        <f t="shared" si="144"/>
        <v>Ni, </v>
      </c>
      <c r="II23" s="359" t="str">
        <f t="shared" si="145"/>
        <v/>
      </c>
      <c r="IJ23" s="346" t="b">
        <f t="shared" si="146"/>
        <v>0</v>
      </c>
      <c r="IK23" s="347" t="b">
        <f t="shared" si="147"/>
        <v>0</v>
      </c>
      <c r="IL23" s="347" t="b">
        <f t="shared" si="148"/>
        <v>0</v>
      </c>
      <c r="IM23" s="347" t="b">
        <f t="shared" si="149"/>
        <v>1</v>
      </c>
      <c r="IN23" s="347" t="b">
        <f t="shared" si="150"/>
        <v>0</v>
      </c>
      <c r="IO23" s="347" t="b">
        <f t="shared" si="151"/>
        <v>0</v>
      </c>
      <c r="IP23" s="347" t="b">
        <f t="shared" si="152"/>
        <v>0</v>
      </c>
      <c r="IQ23" s="347" t="b">
        <f t="shared" si="153"/>
        <v>0</v>
      </c>
      <c r="IR23" s="347" t="b">
        <f t="shared" si="154"/>
        <v>0</v>
      </c>
      <c r="IS23" s="347" t="b">
        <f t="shared" si="155"/>
        <v>1</v>
      </c>
      <c r="IT23" s="347" t="b">
        <f t="shared" si="156"/>
        <v>0</v>
      </c>
      <c r="IU23" s="347" t="b">
        <f t="shared" si="157"/>
        <v>1</v>
      </c>
      <c r="IV23" s="365" t="b">
        <f t="shared" si="158"/>
        <v>0</v>
      </c>
      <c r="IW23" s="354" t="str">
        <f t="shared" si="159"/>
        <v/>
      </c>
      <c r="IX23" s="355" t="str">
        <f t="shared" si="160"/>
        <v/>
      </c>
      <c r="IY23" s="355" t="str">
        <f t="shared" si="161"/>
        <v/>
      </c>
      <c r="IZ23" s="355" t="str">
        <f t="shared" si="162"/>
        <v>ga, </v>
      </c>
      <c r="JA23" s="355" t="str">
        <f t="shared" si="163"/>
        <v/>
      </c>
      <c r="JB23" s="355" t="str">
        <f t="shared" si="164"/>
        <v/>
      </c>
      <c r="JC23" s="355" t="str">
        <f t="shared" si="165"/>
        <v/>
      </c>
      <c r="JD23" s="355" t="str">
        <f t="shared" si="166"/>
        <v/>
      </c>
      <c r="JE23" s="355" t="str">
        <f t="shared" si="167"/>
        <v/>
      </c>
      <c r="JF23" s="355" t="str">
        <f t="shared" si="168"/>
        <v>Dha, </v>
      </c>
      <c r="JG23" s="355" t="str">
        <f t="shared" si="169"/>
        <v/>
      </c>
      <c r="JH23" s="355" t="str">
        <f t="shared" si="170"/>
        <v>Ni, </v>
      </c>
      <c r="JI23" s="359"/>
      <c r="JJ23" s="321"/>
      <c r="JK23" s="368"/>
      <c r="JL23" s="369"/>
      <c r="JM23" s="369"/>
      <c r="JN23" s="369"/>
      <c r="JO23" s="369"/>
      <c r="JP23" s="369"/>
      <c r="JQ23" s="369"/>
      <c r="JR23" s="369"/>
      <c r="JS23" s="369"/>
      <c r="JT23" s="369"/>
      <c r="JU23" s="369"/>
    </row>
    <row r="24" ht="20.25" customHeight="1">
      <c r="A24" s="221" t="s">
        <v>1270</v>
      </c>
      <c r="B24" s="223" t="s">
        <v>1097</v>
      </c>
      <c r="C24" s="222" t="s">
        <v>275</v>
      </c>
      <c r="D24" s="222"/>
      <c r="E24" s="222"/>
      <c r="F24" s="222"/>
      <c r="G24" s="395" t="s">
        <v>275</v>
      </c>
      <c r="H24" s="222">
        <v>22.0</v>
      </c>
      <c r="I24" s="224" t="s">
        <v>1219</v>
      </c>
      <c r="J24" s="225" t="str">
        <f t="shared" si="5"/>
        <v>[UQ]</v>
      </c>
      <c r="K24" s="227">
        <f t="shared" si="6"/>
        <v>6</v>
      </c>
      <c r="L24" s="229">
        <f t="shared" si="7"/>
        <v>6</v>
      </c>
      <c r="M24" s="230">
        <f t="shared" si="8"/>
        <v>0</v>
      </c>
      <c r="N24" s="233" t="str">
        <f t="shared" si="9"/>
        <v>SRgmPNS</v>
      </c>
      <c r="O24" s="234" t="str">
        <f>IFERROR(__xludf.DUMMYFUNCTION("IF(REGEXMATCH(N24, ""S""), ""S"","""")"),"S")</f>
        <v>S</v>
      </c>
      <c r="P24" s="236" t="str">
        <f>IFERROR(__xludf.DUMMYFUNCTION("IF(REGEXMATCH(N24, ""r""), ""r"","""")"),"")</f>
        <v/>
      </c>
      <c r="Q24" s="237" t="str">
        <f>IFERROR(__xludf.DUMMYFUNCTION("IF(REGEXMATCH(N24, ""R""), ""R"","""")"),"R")</f>
        <v>R</v>
      </c>
      <c r="R24" s="237" t="str">
        <f>IFERROR(__xludf.DUMMYFUNCTION("IF(REGEXMATCH(N24, ""g""), ""g"","""")"),"g")</f>
        <v>g</v>
      </c>
      <c r="S24" s="236" t="str">
        <f>IFERROR(__xludf.DUMMYFUNCTION("IF(REGEXMATCH(N24, ""G""), ""G"","""")"),"")</f>
        <v/>
      </c>
      <c r="T24" s="236" t="str">
        <f>IFERROR(__xludf.DUMMYFUNCTION("IF(REGEXMATCH(N24, ""m""), ""m"","""")"),"m")</f>
        <v>m</v>
      </c>
      <c r="U24" s="237" t="str">
        <f>IFERROR(__xludf.DUMMYFUNCTION("IF(REGEXMATCH(N24, ""M""), ""M"","""")"),"")</f>
        <v/>
      </c>
      <c r="V24" s="236" t="str">
        <f>IFERROR(__xludf.DUMMYFUNCTION("IF(REGEXMATCH(N24, ""P""), ""P"","""")"),"P")</f>
        <v>P</v>
      </c>
      <c r="W24" s="237" t="str">
        <f>IFERROR(__xludf.DUMMYFUNCTION("IF(REGEXMATCH(N24, ""d""), ""d"","""")"),"")</f>
        <v/>
      </c>
      <c r="X24" s="236" t="str">
        <f>IFERROR(__xludf.DUMMYFUNCTION("IF(REGEXMATCH(N24, ""D""), ""D"","""")"),"")</f>
        <v/>
      </c>
      <c r="Y24" s="236" t="str">
        <f>IFERROR(__xludf.DUMMYFUNCTION("IF(REGEXMATCH(N24, ""n""), ""n"","""")"),"")</f>
        <v/>
      </c>
      <c r="Z24" s="237" t="str">
        <f>IFERROR(__xludf.DUMMYFUNCTION("IF(REGEXMATCH(N24, ""N""), ""N"","""")"),"N")</f>
        <v>N</v>
      </c>
      <c r="AA24" s="238" t="str">
        <f>IFERROR(__xludf.DUMMYFUNCTION("IF(REGEXMATCH(N24, ""S""), ""S"","""")"),"S")</f>
        <v>S</v>
      </c>
      <c r="AB24" s="239" t="str">
        <f>IFERROR(__xludf.DUMMYFUNCTION("SUBSTITUTE(CONCATENATE(JOIN(""-"",O24:U24)),""-"","""")"),"SRgm")</f>
        <v>SRgm</v>
      </c>
      <c r="AC24" s="229" t="str">
        <f>IFERROR(__xludf.DUMMYFUNCTION("SUBSTITUTE(CONCATENATE(JOIN(""-"",V24:AA24)),""-"","""")"),"PNS")</f>
        <v>PNS</v>
      </c>
      <c r="AD24" s="282" t="str">
        <f t="shared" si="10"/>
        <v>S-R-G-M</v>
      </c>
      <c r="AE24" s="282" t="str">
        <f t="shared" si="11"/>
        <v>P-N-S</v>
      </c>
      <c r="AF24" s="309" t="str">
        <f t="shared" si="12"/>
        <v>RgmN</v>
      </c>
      <c r="AG24" s="244" t="str">
        <f>IFERROR(__xludf.DUMMYFUNCTION("IF(REGEXMATCH(N24, ""S""), ""0"","""")"),"0")</f>
        <v>0</v>
      </c>
      <c r="AH24" s="245" t="str">
        <f>IFERROR(__xludf.DUMMYFUNCTION("IF(REGEXMATCH(N24, ""r""), ""1"","""")"),"")</f>
        <v/>
      </c>
      <c r="AI24" s="246" t="str">
        <f>IFERROR(__xludf.DUMMYFUNCTION("IF(REGEXMATCH(N24, ""R""), ""2"","""")"),"2")</f>
        <v>2</v>
      </c>
      <c r="AJ24" s="246" t="str">
        <f>IFERROR(__xludf.DUMMYFUNCTION("IF(REGEXMATCH(N24, ""g""), ""3"","""")"),"3")</f>
        <v>3</v>
      </c>
      <c r="AK24" s="245" t="str">
        <f>IFERROR(__xludf.DUMMYFUNCTION("IF(REGEXMATCH(N24, ""G""), ""4"","""")"),"")</f>
        <v/>
      </c>
      <c r="AL24" s="245" t="str">
        <f>IFERROR(__xludf.DUMMYFUNCTION("IF(REGEXMATCH(N24, ""m""), ""5"","""")"),"5")</f>
        <v>5</v>
      </c>
      <c r="AM24" s="246" t="str">
        <f>IFERROR(__xludf.DUMMYFUNCTION("IF(REGEXMATCH(N24, ""M""), ""6"","""")"),"")</f>
        <v/>
      </c>
      <c r="AN24" s="245" t="str">
        <f>IFERROR(__xludf.DUMMYFUNCTION("IF(REGEXMATCH(N24, ""P""), ""7"","""")"),"7")</f>
        <v>7</v>
      </c>
      <c r="AO24" s="246" t="str">
        <f>IFERROR(__xludf.DUMMYFUNCTION("IF(REGEXMATCH(N24, ""d""), ""8"","""")"),"")</f>
        <v/>
      </c>
      <c r="AP24" s="245" t="str">
        <f>IFERROR(__xludf.DUMMYFUNCTION("IF(REGEXMATCH(N24, ""D""), ""9"","""")"),"")</f>
        <v/>
      </c>
      <c r="AQ24" s="245" t="str">
        <f>IFERROR(__xludf.DUMMYFUNCTION("IF(REGEXMATCH(N24, ""n""), ""10"","""")"),"")</f>
        <v/>
      </c>
      <c r="AR24" s="246" t="str">
        <f>IFERROR(__xludf.DUMMYFUNCTION("IF(REGEXMATCH(N24, ""N""), ""11"","""")"),"11")</f>
        <v>11</v>
      </c>
      <c r="AS24" s="249" t="str">
        <f>IFERROR(__xludf.DUMMYFUNCTION("IF(REGEXMATCH(N24, ""S""), ""0"","""")"),"0")</f>
        <v>0</v>
      </c>
      <c r="AT24" s="250" t="str">
        <f>IFERROR(__xludf.DUMMYFUNCTION("SUBSTITUTE(SUBSTITUTE(SUBSTITUTE(SUBSTITUTE(CONCATENATE(JOIN(""-"",AG24:AS24)),""--"",""-""),""--"",""-""),""--"",""-""),""--"",""-"")"),"0-2-3-5-7-11-0")</f>
        <v>0-2-3-5-7-11-0</v>
      </c>
      <c r="AU24" s="251">
        <f t="shared" si="13"/>
        <v>0</v>
      </c>
      <c r="AV24" s="234" t="str">
        <f t="shared" si="14"/>
        <v>|</v>
      </c>
      <c r="AW24" s="236" t="str">
        <f t="shared" si="15"/>
        <v>-</v>
      </c>
      <c r="AX24" s="237" t="str">
        <f t="shared" si="16"/>
        <v>|</v>
      </c>
      <c r="AY24" s="236" t="str">
        <f t="shared" si="17"/>
        <v>|</v>
      </c>
      <c r="AZ24" s="237" t="str">
        <f t="shared" si="18"/>
        <v>-</v>
      </c>
      <c r="BA24" s="236" t="str">
        <f t="shared" si="19"/>
        <v>|</v>
      </c>
      <c r="BB24" s="237" t="str">
        <f t="shared" si="20"/>
        <v>-</v>
      </c>
      <c r="BC24" s="236" t="str">
        <f t="shared" si="21"/>
        <v>|</v>
      </c>
      <c r="BD24" s="237" t="str">
        <f t="shared" si="22"/>
        <v>-</v>
      </c>
      <c r="BE24" s="236" t="str">
        <f t="shared" si="23"/>
        <v>-</v>
      </c>
      <c r="BF24" s="237" t="str">
        <f t="shared" si="24"/>
        <v>-</v>
      </c>
      <c r="BG24" s="236" t="str">
        <f t="shared" si="25"/>
        <v>|</v>
      </c>
      <c r="BH24" s="238" t="str">
        <f t="shared" si="26"/>
        <v>|</v>
      </c>
      <c r="BI24" s="250" t="str">
        <f>IFERROR(__xludf.DUMMYFUNCTION("SUBSTITUTE(SUBSTITUTE(CONCATENATE(JOIN("""",AV24:BG24)),""|"",""x""),""-"",""o"")"),"xoxxoxoxooox")</f>
        <v>xoxxoxoxooox</v>
      </c>
      <c r="BJ24" s="323" t="str">
        <f>IFERROR(__xludf.DUMMYFUNCTION("JOIN("""",BI24,BI24)"),"xoxxoxoxoooxxoxxoxoxooox")</f>
        <v>xoxxoxoxoooxxoxxoxoxooox</v>
      </c>
      <c r="BK24" s="256" t="str">
        <f>IFERROR(__xludf.DUMMYFUNCTION("JOIN("""",ArrayFormula(MID(BI24,LEN(BI24)-SEQUENCE(1,LEN(BI24))+1,1)))"),"xoooxoxoxxox")</f>
        <v>xoooxoxoxxox</v>
      </c>
      <c r="BL24" s="256" t="str">
        <f>IFERROR(__xludf.DUMMYFUNCTION("LEFT(CONCATENATE(""x"",JOIN("""",ArrayFormula(MID(BI24,LEN(BI24)-SEQUENCE(1,LEN(BI24))+1,1)))),12)"),"xxoooxoxoxxo")</f>
        <v>xxoooxoxoxxo</v>
      </c>
      <c r="BM24" s="327" t="str">
        <f>IFERROR(__xludf.DUMMYFUNCTION("JOIN("""",BK24,BK24)"),"xoooxoxoxxoxxoooxoxoxxox")</f>
        <v>xoooxoxoxxoxxoooxoxoxxox</v>
      </c>
      <c r="BN24" s="239" t="str">
        <f>IFERROR(__xludf.DUMMYFUNCTION("IF(REGEXMATCH(BM24,BI24),""✔"",""-"")"),"-")</f>
        <v>-</v>
      </c>
      <c r="BO24" s="330" t="str">
        <f t="shared" si="27"/>
        <v>-</v>
      </c>
      <c r="BP24" s="260" t="str">
        <f t="shared" si="28"/>
        <v>-</v>
      </c>
      <c r="BQ24" s="261" t="str">
        <f>IFERROR(__xludf.DUMMYFUNCTION("IF(BT24=0,""(n/a)"",IF(BU24=2,""(PAIR)"",IF(REGEXMATCH(BJ24,""xoxoxxoxoxox""),""Bilawal"",IF(REGEXMATCH(BJ24,""xoxoxooxoxoo""),""Bhupali"",IF(REGEXMATCH(BJ24,""xoxoxxoxxoxo""),""Charukeshi"",IF(REGEXMATCH(BJ24,""xoxoooxxoxxo""),""Kameshwari"",IF(REGEXMATC"&amp;"H(BJ24,""xoxoxooxoxox""),""Shankara"",IF(REGEXMATCH(BJ24,""xxooxoxxxoox""),""Basant"",IF(REGEXMATCH(BJ24,""xoxoxxxxoxox""),""Bihag"",IF(REGEXMATCH(BJ24,""xoxxxxoxoxxx""),""Pilu"",IF(REGEXMATCH(BJ24,""xoxxoxoxxoox""),""Kirwani"",IF(REGEXMATCH(BJ24,""xoxxox"&amp;"oxoxxx""),""Mk.Malhar"",IF(REGEXMATCH(BJ24,""xxooxxoxxoox""),""Bhairav"",IF(REGEXMATCH(BJ24,""xxoxooxxxoox""),""Todi"",IF(REGEXMATCH(BJ24,""xxooxoxooxox""),""Marwa"",IF(REGEXMATCH(BJ24,""xxoooxoxxooo""),""Gunkali"",IF(REGEXMATCH(BJ24,""xoxoxxoxxoox""),""N"&amp;"at Bhairav"",IF(REGEXMATCH(BJ24,""xoxxoooxoxoo""),""Shivranjani"",IF(REGEXMATCH(BJ24,""xooxxxoxooxo""),""Jog"",IF(REGEXMATCH(BJ24,""xxooxoxoxoox""),""Hemshri"",IF(REGEXMATCH(BJ24,""xoooxooxoxxo""),""Kalavati"",IF(REGEXMATCH(BJ24,""xxoxoxxoxoox""),""Kedar"&amp;""",IF(REGEXMATCH(BJ24,""xoxxxxoxooxx""),""Gara"",IF(REGEXMATCH(BJ24,""xooxoxooxoox""),""Chandrakauns"",IF(REGEXMATCH(BJ24,""xoxxxxoxxxox""),""Mand"",IF(REGEXMATCH(BJ24,""xoxxxxoxoxox""),""Hanskinkini"",IF(REGEXMATCH(BJ24,""xxooxxoxooxo""),""Lilavati"",IF("&amp;"REGEXMATCH(BJ24,""xooxoxoooxox""),""Rajeshwari"",IF(REGEXMATCH(BJ24,""xoooxxoxoxxx""),""Khokar"",IF(REGEXMATCH(BJ24,""xxooxoxxxxox""),""Maligoura"",""-""))))))))))))))))))))))))))))))"),"(PAIR)")</f>
        <v>(PAIR)</v>
      </c>
      <c r="BR24" s="239">
        <f t="shared" si="29"/>
        <v>5</v>
      </c>
      <c r="BS24" s="239">
        <f>IFERROR(__xludf.DUMMYFUNCTION("COUNTUNIQUE(BW24:CG24)-1"),5.0)</f>
        <v>5</v>
      </c>
      <c r="BT24" s="239">
        <f>IFERROR(__xludf.DUMMYFUNCTION("COUNTUNIQUE(FILTER(BJ:BJ,REGEXMATCH(BJ:BJ,BI24)))-1"),1.0)</f>
        <v>1</v>
      </c>
      <c r="BU24" s="239">
        <f>IFERROR(__xludf.DUMMYFUNCTION("COUNTA(FILTER(BJ:BJ,REGEXMATCH(BJ:BJ,BI24)))"),2.0)</f>
        <v>2</v>
      </c>
      <c r="BV24" s="341">
        <f>IFERROR(__xludf.DUMMYFUNCTION("COUNTA(FILTER(BJ:BJ,REGEXMATCH(BJ:BJ,BI24)))-AU24"),2.0)</f>
        <v>2</v>
      </c>
      <c r="BW24" s="269" t="str">
        <f t="shared" si="30"/>
        <v>-</v>
      </c>
      <c r="BX24" s="269" t="str">
        <f t="shared" si="31"/>
        <v>xxoxoxoooxx</v>
      </c>
      <c r="BY24" s="271" t="str">
        <f t="shared" si="32"/>
        <v>xoxoxoooxxo</v>
      </c>
      <c r="BZ24" s="269" t="str">
        <f t="shared" si="33"/>
        <v>-</v>
      </c>
      <c r="CA24" s="271" t="str">
        <f t="shared" si="34"/>
        <v>xoxoooxxoxx</v>
      </c>
      <c r="CB24" s="271" t="str">
        <f t="shared" si="35"/>
        <v>-</v>
      </c>
      <c r="CC24" s="271" t="str">
        <f t="shared" si="36"/>
        <v>xoooxxoxxox</v>
      </c>
      <c r="CD24" s="271" t="str">
        <f t="shared" si="37"/>
        <v>-</v>
      </c>
      <c r="CE24" s="271" t="str">
        <f t="shared" si="38"/>
        <v>-</v>
      </c>
      <c r="CF24" s="271" t="str">
        <f t="shared" si="39"/>
        <v>-</v>
      </c>
      <c r="CG24" s="274" t="str">
        <f t="shared" si="40"/>
        <v>xxoxxoxoxoo</v>
      </c>
      <c r="CH24" s="276" t="str">
        <f>IFERROR(__xludf.DUMMYFUNCTION("IF(BI24=""oooooooooooo"",""-"",IF(REGEXMATCH(BJ24,""xx""), ""Hemi."", ""Anhemi.""))"),"Hemi.")</f>
        <v>Hemi.</v>
      </c>
      <c r="CI24" s="282" t="str">
        <f>IFERROR(__xludf.DUMMYFUNCTION("IF(BI24=""oooooooooooo"",""-"",IF(REGEXMATCH(BJ24,""xxx""), ""Cohem."", ""-""))"),"-")</f>
        <v>-</v>
      </c>
      <c r="CJ24" s="282" t="str">
        <f>IFERROR(__xludf.DUMMYFUNCTION("IF(BI24=""oooooooooooo"",""-"",IF(REGEXMATCH(BJ24,""xxxx""), ""Co-Co."", ""-""))"),"-")</f>
        <v>-</v>
      </c>
      <c r="CK24" s="342" t="str">
        <f>IFERROR(__xludf.DUMMYFUNCTION("IF(BI24=""oooooooooooo"",""-"",IF(REGEXMATCH(BJ24,""xxxxx""), ""CCC."", ""-""))"),"-")</f>
        <v>-</v>
      </c>
      <c r="CL24" s="344" t="str">
        <f t="shared" si="41"/>
        <v>-</v>
      </c>
      <c r="CM24" s="282" t="str">
        <f>IFERROR(__xludf.DUMMYFUNCTION("IF(REGEXMATCH(JOIN(""-"",CO24:CX24),""TRUE""),""✔"",""-"")"),"-")</f>
        <v>-</v>
      </c>
      <c r="CN24" s="225">
        <f t="shared" si="42"/>
        <v>0</v>
      </c>
      <c r="CO24" s="376" t="b">
        <f>IFERROR(__xludf.DUMMYFUNCTION("arrayformula(sum(--REGEXMATCH(""SRGMPDNS"",split(REGEXREPLACE(N24,""(.)"",""$1~""),""~""))))=len(N24)
"),FALSE)</f>
        <v>0</v>
      </c>
      <c r="CP24" s="290" t="b">
        <f>IFERROR(__xludf.DUMMYFUNCTION("arrayformula(sum(--REGEXMATCH(""SRGmPDNS"",split(REGEXREPLACE(N24,""(.)"",""$1~""),""~""))))=len(N24)"),FALSE)</f>
        <v>0</v>
      </c>
      <c r="CQ24" s="290" t="b">
        <f>IFERROR(__xludf.DUMMYFUNCTION("arrayformula(sum(--REGEXMATCH(""SRGmPDnS"",split(REGEXREPLACE(N24,""(.)"",""$1~""),""~""))))=len(N24)"),FALSE)</f>
        <v>0</v>
      </c>
      <c r="CR24" s="290" t="b">
        <f>IFERROR(__xludf.DUMMYFUNCTION("arrayformula(sum(--REGEXMATCH(""SRgmPDnS"",split(REGEXREPLACE(N24,""(.)"",""$1~""),""~""))))=len(N24)"),FALSE)</f>
        <v>0</v>
      </c>
      <c r="CS24" s="290" t="b">
        <f>IFERROR(__xludf.DUMMYFUNCTION("arrayformula(sum(--REGEXMATCH(""SRgmPdnS"",split(REGEXREPLACE(N24,""(.)"",""$1~""),""~""))))=len(N24)"),FALSE)</f>
        <v>0</v>
      </c>
      <c r="CT24" s="290" t="b">
        <f>IFERROR(__xludf.DUMMYFUNCTION("arrayformula(sum(--REGEXMATCH(""SrgmPdnS"",split(REGEXREPLACE(N24,""(.)"",""$1~""),""~""))))=len(N24)"),FALSE)</f>
        <v>0</v>
      </c>
      <c r="CU24" s="290" t="b">
        <f>IFERROR(__xludf.DUMMYFUNCTION("arrayformula(sum(--REGEXMATCH(""SrGmPdNS"",split(REGEXREPLACE(N24,""(.)"",""$1~""),""~""))))=len(N24)"),FALSE)</f>
        <v>0</v>
      </c>
      <c r="CV24" s="290" t="b">
        <f>IFERROR(__xludf.DUMMYFUNCTION("arrayformula(sum(--REGEXMATCH(""SrGMPDNS"",split(REGEXREPLACE(N24,""(.)"",""$1~""),""~""))))=len(N24)"),FALSE)</f>
        <v>0</v>
      </c>
      <c r="CW24" s="290" t="b">
        <f>IFERROR(__xludf.DUMMYFUNCTION("arrayformula(sum(--REGEXMATCH(""SrGMPdNS"",split(REGEXREPLACE(N24,""(.)"",""$1~""),""~""))))=len(N24)"),FALSE)</f>
        <v>0</v>
      </c>
      <c r="CX24" s="293" t="b">
        <f>IFERROR(__xludf.DUMMYFUNCTION("arrayformula(sum(--REGEXMATCH(""SrgMPdNS"",split(REGEXREPLACE(N24,""(.)"",""$1~""),""~""))))=len(N24)"),FALSE)</f>
        <v>0</v>
      </c>
      <c r="CY24" s="244" t="str">
        <f>IFERROR(__xludf.DUMMYFUNCTION("IF(REGEXMATCH(N24, ""S""), ""1"","""")"),"1")</f>
        <v>1</v>
      </c>
      <c r="CZ24" s="245" t="str">
        <f>IFERROR(__xludf.DUMMYFUNCTION("IF(REGEXMATCH(N24, ""r""), ""b2"","""")"),"")</f>
        <v/>
      </c>
      <c r="DA24" s="246" t="str">
        <f>IFERROR(__xludf.DUMMYFUNCTION("IF(REGEXMATCH(N24, ""R""), ""2"","""")"),"2")</f>
        <v>2</v>
      </c>
      <c r="DB24" s="246" t="str">
        <f>IFERROR(__xludf.DUMMYFUNCTION("IF(REGEXMATCH(N24, ""g""), ""b3"","""")"),"b3")</f>
        <v>b3</v>
      </c>
      <c r="DC24" s="245" t="str">
        <f>IFERROR(__xludf.DUMMYFUNCTION("IF(REGEXMATCH(N24, ""G""), ""3"","""")"),"")</f>
        <v/>
      </c>
      <c r="DD24" s="245" t="str">
        <f>IFERROR(__xludf.DUMMYFUNCTION("IF(REGEXMATCH(N24, ""m""), ""4"","""")"),"4")</f>
        <v>4</v>
      </c>
      <c r="DE24" s="246" t="str">
        <f>IFERROR(__xludf.DUMMYFUNCTION("IF(REGEXMATCH(N24, ""M""), ""#4"","""")"),"")</f>
        <v/>
      </c>
      <c r="DF24" s="245" t="str">
        <f>IFERROR(__xludf.DUMMYFUNCTION("IF(REGEXMATCH(N24, ""P""), ""5"","""")"),"5")</f>
        <v>5</v>
      </c>
      <c r="DG24" s="246" t="str">
        <f>IFERROR(__xludf.DUMMYFUNCTION("IF(REGEXMATCH(N24, ""d""), ""b6"","""")"),"")</f>
        <v/>
      </c>
      <c r="DH24" s="245" t="str">
        <f>IFERROR(__xludf.DUMMYFUNCTION("IF(REGEXMATCH(N24, ""D""), ""6"","""")"),"")</f>
        <v/>
      </c>
      <c r="DI24" s="245" t="str">
        <f>IFERROR(__xludf.DUMMYFUNCTION("IF(REGEXMATCH(N24, ""n""), ""b7"","""")"),"")</f>
        <v/>
      </c>
      <c r="DJ24" s="246" t="str">
        <f>IFERROR(__xludf.DUMMYFUNCTION("IF(REGEXMATCH(N24, ""N""), ""7"","""")"),"7")</f>
        <v>7</v>
      </c>
      <c r="DK24" s="249" t="str">
        <f>IFERROR(__xludf.DUMMYFUNCTION("IF(REGEXMATCH(N24, ""S""), ""8"","""")"),"8")</f>
        <v>8</v>
      </c>
      <c r="DL24" s="244" t="str">
        <f>IFERROR(__xludf.DUMMYFUNCTION("IF(REGEXMATCH(N24, ""S""), ""S"","""")"),"S")</f>
        <v>S</v>
      </c>
      <c r="DM24" s="294" t="str">
        <f>IFERROR(__xludf.DUMMYFUNCTION("IF(REGEXMATCH(N24, ""r""), ""R1"","""")"),"")</f>
        <v/>
      </c>
      <c r="DN24" s="295" t="str">
        <f>IFERROR(__xludf.DUMMYFUNCTION("IF(REGEXMATCH(N24, ""R""), ""R2"","""")"),"R2")</f>
        <v>R2</v>
      </c>
      <c r="DO24" s="295" t="str">
        <f>IFERROR(__xludf.DUMMYFUNCTION("IF(REGEXMATCH(N24, ""g""), ""G2"","""")"),"G2")</f>
        <v>G2</v>
      </c>
      <c r="DP24" s="294" t="str">
        <f>IFERROR(__xludf.DUMMYFUNCTION("IF(REGEXMATCH(N24, ""G""), ""G3"","""")"),"")</f>
        <v/>
      </c>
      <c r="DQ24" s="294" t="str">
        <f>IFERROR(__xludf.DUMMYFUNCTION("IF(REGEXMATCH(N24, ""m""), ""M1"","""")"),"M1")</f>
        <v>M1</v>
      </c>
      <c r="DR24" s="295" t="str">
        <f>IFERROR(__xludf.DUMMYFUNCTION("IF(REGEXMATCH(N24, ""M""), ""M2"","""")"),"")</f>
        <v/>
      </c>
      <c r="DS24" s="294" t="str">
        <f>IFERROR(__xludf.DUMMYFUNCTION("IF(REGEXMATCH(N24, ""P""), ""P"","""")"),"P")</f>
        <v>P</v>
      </c>
      <c r="DT24" s="295" t="str">
        <f>IFERROR(__xludf.DUMMYFUNCTION("IF(REGEXMATCH(N24, ""d""), ""D1"","""")"),"")</f>
        <v/>
      </c>
      <c r="DU24" s="294" t="str">
        <f>IFERROR(__xludf.DUMMYFUNCTION("IF(REGEXMATCH(N24, ""D""), ""D2"","""")"),"")</f>
        <v/>
      </c>
      <c r="DV24" s="294" t="str">
        <f>IFERROR(__xludf.DUMMYFUNCTION("IF(REGEXMATCH(N24, ""n""), ""N2"","""")"),"")</f>
        <v/>
      </c>
      <c r="DW24" s="295" t="str">
        <f>IFERROR(__xludf.DUMMYFUNCTION("IF(REGEXMATCH(N24, ""N""), ""N3"","""")"),"N3")</f>
        <v>N3</v>
      </c>
      <c r="DX24" s="249" t="str">
        <f>IFERROR(__xludf.DUMMYFUNCTION("IF(REGEXMATCH(N24, ""S""), ""S"","""")"),"S")</f>
        <v>S</v>
      </c>
      <c r="DY24" s="299" t="str">
        <f>IFERROR(__xludf.DUMMYFUNCTION("SUBSTITUTE(SUBSTITUTE(SUBSTITUTE(SUBSTITUTE(CONCATENATE(JOIN(""-"",CY24:DK24)),""--"",""-""),""--"",""-""),""--"",""-""),""--"",""-"")"),"1-2-b3-4-5-7-8")</f>
        <v>1-2-b3-4-5-7-8</v>
      </c>
      <c r="DZ24" s="299" t="str">
        <f>IFERROR(__xludf.DUMMYFUNCTION("SUBSTITUTE(SUBSTITUTE(SUBSTITUTE(SUBSTITUTE(CONCATENATE(JOIN(""-"",DL24:DX24)),""--"",""-""),""--"",""-""),""--"",""-""),""--"",""-"")"),"S-R2-G2-M1-P-N3-S")</f>
        <v>S-R2-G2-M1-P-N3-S</v>
      </c>
      <c r="EA24" s="348" t="str">
        <f t="shared" si="43"/>
        <v>C-D-Eb-F-G-B-C</v>
      </c>
      <c r="EB24" s="301">
        <f t="shared" si="44"/>
        <v>6</v>
      </c>
      <c r="EC24" s="302" t="str">
        <f t="shared" si="45"/>
        <v>Shadav</v>
      </c>
      <c r="ED24" s="301" t="str">
        <f t="shared" ref="ED24:EE24" si="190">SUBSTITUTE(AD24,"-","")</f>
        <v>SRGM</v>
      </c>
      <c r="EE24" s="301" t="str">
        <f t="shared" si="190"/>
        <v>PNS</v>
      </c>
      <c r="EF24" s="302" t="str">
        <f t="shared" si="47"/>
        <v>(PAIR)</v>
      </c>
      <c r="EG24" s="301" t="str">
        <f t="shared" si="48"/>
        <v>Hemi.</v>
      </c>
      <c r="EH24" s="364" t="str">
        <f t="shared" si="49"/>
        <v>-</v>
      </c>
      <c r="EI24" s="306" t="str">
        <f t="shared" si="50"/>
        <v>-</v>
      </c>
      <c r="EJ24" s="366" t="str">
        <f t="shared" si="51"/>
        <v>-</v>
      </c>
      <c r="EK24" s="308" t="str">
        <f t="shared" si="52"/>
        <v>✔</v>
      </c>
      <c r="EL24" s="306" t="str">
        <f t="shared" si="53"/>
        <v>-</v>
      </c>
      <c r="EM24" s="306" t="str">
        <f t="shared" si="54"/>
        <v>-</v>
      </c>
      <c r="EN24" s="367" t="str">
        <f t="shared" si="55"/>
        <v>-</v>
      </c>
      <c r="EO24" s="310" t="str">
        <f t="shared" si="56"/>
        <v>-</v>
      </c>
      <c r="EP24" s="310" t="str">
        <f t="shared" si="57"/>
        <v>-</v>
      </c>
      <c r="EQ24" s="310" t="str">
        <f t="shared" si="58"/>
        <v>-</v>
      </c>
      <c r="ER24" s="310" t="str">
        <f t="shared" si="59"/>
        <v>-</v>
      </c>
      <c r="ES24" s="370" t="str">
        <f t="shared" si="60"/>
        <v>-</v>
      </c>
      <c r="ET24" s="306" t="str">
        <f t="shared" si="61"/>
        <v>-</v>
      </c>
      <c r="EU24" s="306" t="str">
        <f t="shared" si="62"/>
        <v>-</v>
      </c>
      <c r="EV24" s="306" t="str">
        <f t="shared" si="63"/>
        <v>-</v>
      </c>
      <c r="EW24" s="306" t="str">
        <f t="shared" si="64"/>
        <v>-</v>
      </c>
      <c r="EX24" s="306" t="str">
        <f t="shared" si="65"/>
        <v>✔</v>
      </c>
      <c r="EY24" s="367" t="str">
        <f t="shared" si="66"/>
        <v>-</v>
      </c>
      <c r="EZ24" s="310" t="str">
        <f>IFERROR(__xludf.DUMMYFUNCTION("IF(REGEXMATCH(BM24,BI24),""✔"",""-"")"),"-")</f>
        <v>-</v>
      </c>
      <c r="FA24" s="310" t="str">
        <f t="shared" si="67"/>
        <v>-</v>
      </c>
      <c r="FB24" s="370" t="str">
        <f t="shared" si="68"/>
        <v>-</v>
      </c>
      <c r="FC24" s="315" t="str">
        <f t="shared" si="69"/>
        <v>[UQ]</v>
      </c>
      <c r="FD24" s="317" t="str">
        <f t="shared" si="70"/>
        <v>S-R-g-m-P-N-S</v>
      </c>
      <c r="FE24" s="318" t="str">
        <f>IFERROR(__xludf.DUMMYFUNCTION("CONCATENATE(JOIN("""",GJ24:GV24))"),"SrmPDnS")</f>
        <v>SrmPDnS</v>
      </c>
      <c r="FF24" s="318"/>
      <c r="FG24" s="318"/>
      <c r="FH24" s="321">
        <f t="shared" si="71"/>
        <v>3</v>
      </c>
      <c r="FI24" s="318" t="str">
        <f>IFERROR(__xludf.DUMMYFUNCTION("CONCATENATE(JOIN("""",HW24:II24))"),"Re, ga, Ni, ")</f>
        <v>Re, ga, Ni, </v>
      </c>
      <c r="FJ24" s="322">
        <f t="shared" si="72"/>
        <v>2</v>
      </c>
      <c r="FK24" s="324" t="str">
        <f>IFERROR(__xludf.DUMMYFUNCTION("CONCATENATE(JOIN("""",IW24:JI24))"),"ga, Ni, ")</f>
        <v>ga, Ni, </v>
      </c>
      <c r="FL24" s="325" t="str">
        <f t="shared" si="73"/>
        <v>S-R2-G2-M1-P-N3-S</v>
      </c>
      <c r="FM24" s="326" t="str">
        <f t="shared" si="74"/>
        <v>1-2-b3-4-5-7-8</v>
      </c>
      <c r="FN24" s="326" t="str">
        <f t="shared" si="75"/>
        <v>0-2-3-5-7-11-0</v>
      </c>
      <c r="FO24" s="318"/>
      <c r="FP24" s="328" t="str">
        <f>IFERROR(__xludf.DUMMYFUNCTION("SUBSTITUTE(SUBSTITUTE(SUBSTITUTE(SUBSTITUTE(CONCATENATE(JOIN("" "",FS24:GE24)),""  "","" ""),""  "","" ""),""  "","" ""),""  "","" "")"),"o • o o • o • o • • • o o")</f>
        <v>o • o o • o • o • • • o o</v>
      </c>
      <c r="FQ24" s="328" t="str">
        <f t="shared" si="76"/>
        <v>-</v>
      </c>
      <c r="FR24" s="329"/>
      <c r="FS24" s="331" t="str">
        <f t="shared" si="77"/>
        <v>o</v>
      </c>
      <c r="FT24" s="332" t="str">
        <f t="shared" si="78"/>
        <v>•</v>
      </c>
      <c r="FU24" s="332" t="str">
        <f t="shared" si="79"/>
        <v>o</v>
      </c>
      <c r="FV24" s="332" t="str">
        <f t="shared" si="80"/>
        <v>o</v>
      </c>
      <c r="FW24" s="332" t="str">
        <f t="shared" si="81"/>
        <v>•</v>
      </c>
      <c r="FX24" s="332" t="str">
        <f t="shared" si="82"/>
        <v>o</v>
      </c>
      <c r="FY24" s="332" t="str">
        <f t="shared" si="83"/>
        <v>•</v>
      </c>
      <c r="FZ24" s="332" t="str">
        <f t="shared" si="84"/>
        <v>o</v>
      </c>
      <c r="GA24" s="332" t="str">
        <f t="shared" si="85"/>
        <v>•</v>
      </c>
      <c r="GB24" s="332" t="str">
        <f t="shared" si="86"/>
        <v>•</v>
      </c>
      <c r="GC24" s="332" t="str">
        <f t="shared" si="87"/>
        <v>•</v>
      </c>
      <c r="GD24" s="332" t="str">
        <f t="shared" si="88"/>
        <v>o</v>
      </c>
      <c r="GE24" s="338" t="str">
        <f t="shared" si="89"/>
        <v>o</v>
      </c>
      <c r="GF24" s="339" t="str">
        <f t="shared" si="90"/>
        <v>-</v>
      </c>
      <c r="GG24" s="339" t="str">
        <f t="shared" si="91"/>
        <v>Sa-Pa</v>
      </c>
      <c r="GH24" s="339" t="str">
        <f t="shared" si="92"/>
        <v>-</v>
      </c>
      <c r="GI24" s="340" t="str">
        <f t="shared" si="93"/>
        <v>-</v>
      </c>
      <c r="GJ24" s="331" t="str">
        <f t="shared" si="94"/>
        <v>S</v>
      </c>
      <c r="GK24" s="332" t="str">
        <f t="shared" si="95"/>
        <v>r</v>
      </c>
      <c r="GL24" s="332" t="str">
        <f t="shared" si="96"/>
        <v/>
      </c>
      <c r="GM24" s="332" t="str">
        <f t="shared" si="97"/>
        <v/>
      </c>
      <c r="GN24" s="332" t="str">
        <f t="shared" si="98"/>
        <v/>
      </c>
      <c r="GO24" s="332" t="str">
        <f t="shared" si="99"/>
        <v>m</v>
      </c>
      <c r="GP24" s="332" t="str">
        <f t="shared" si="100"/>
        <v/>
      </c>
      <c r="GQ24" s="332" t="str">
        <f t="shared" si="101"/>
        <v>P</v>
      </c>
      <c r="GR24" s="332" t="str">
        <f t="shared" si="102"/>
        <v/>
      </c>
      <c r="GS24" s="332" t="str">
        <f t="shared" si="103"/>
        <v>D</v>
      </c>
      <c r="GT24" s="332" t="str">
        <f t="shared" si="104"/>
        <v>n</v>
      </c>
      <c r="GU24" s="332" t="str">
        <f t="shared" si="105"/>
        <v/>
      </c>
      <c r="GV24" s="343" t="str">
        <f t="shared" si="106"/>
        <v>S</v>
      </c>
      <c r="GW24" s="331" t="str">
        <f t="shared" si="107"/>
        <v>•</v>
      </c>
      <c r="GX24" s="332" t="str">
        <f t="shared" si="108"/>
        <v>o</v>
      </c>
      <c r="GY24" s="332" t="str">
        <f t="shared" si="109"/>
        <v>•</v>
      </c>
      <c r="GZ24" s="332" t="str">
        <f t="shared" si="110"/>
        <v>•</v>
      </c>
      <c r="HA24" s="332" t="str">
        <f t="shared" si="111"/>
        <v>o</v>
      </c>
      <c r="HB24" s="332" t="str">
        <f t="shared" si="112"/>
        <v>•</v>
      </c>
      <c r="HC24" s="332" t="str">
        <f t="shared" si="113"/>
        <v>o</v>
      </c>
      <c r="HD24" s="332" t="str">
        <f t="shared" si="114"/>
        <v>•</v>
      </c>
      <c r="HE24" s="332" t="str">
        <f t="shared" si="115"/>
        <v>o</v>
      </c>
      <c r="HF24" s="332" t="str">
        <f t="shared" si="116"/>
        <v>o</v>
      </c>
      <c r="HG24" s="332" t="str">
        <f t="shared" si="117"/>
        <v>o</v>
      </c>
      <c r="HH24" s="332" t="str">
        <f t="shared" si="118"/>
        <v>•</v>
      </c>
      <c r="HI24" s="338" t="str">
        <f t="shared" si="119"/>
        <v>•</v>
      </c>
      <c r="HJ24" s="346" t="b">
        <f t="shared" si="120"/>
        <v>0</v>
      </c>
      <c r="HK24" s="347" t="b">
        <f t="shared" si="121"/>
        <v>0</v>
      </c>
      <c r="HL24" s="347" t="b">
        <f t="shared" si="122"/>
        <v>1</v>
      </c>
      <c r="HM24" s="347" t="b">
        <f t="shared" si="123"/>
        <v>1</v>
      </c>
      <c r="HN24" s="347" t="b">
        <f t="shared" si="124"/>
        <v>0</v>
      </c>
      <c r="HO24" s="347" t="b">
        <f t="shared" si="125"/>
        <v>0</v>
      </c>
      <c r="HP24" s="347" t="b">
        <f t="shared" si="126"/>
        <v>0</v>
      </c>
      <c r="HQ24" s="347" t="b">
        <f t="shared" si="127"/>
        <v>0</v>
      </c>
      <c r="HR24" s="347" t="b">
        <f t="shared" si="128"/>
        <v>0</v>
      </c>
      <c r="HS24" s="347" t="b">
        <f t="shared" si="129"/>
        <v>0</v>
      </c>
      <c r="HT24" s="347" t="b">
        <f t="shared" si="130"/>
        <v>0</v>
      </c>
      <c r="HU24" s="347" t="b">
        <f t="shared" si="131"/>
        <v>1</v>
      </c>
      <c r="HV24" s="353" t="b">
        <f t="shared" si="132"/>
        <v>0</v>
      </c>
      <c r="HW24" s="354" t="str">
        <f t="shared" si="133"/>
        <v/>
      </c>
      <c r="HX24" s="355" t="str">
        <f t="shared" si="134"/>
        <v/>
      </c>
      <c r="HY24" s="355" t="str">
        <f t="shared" si="135"/>
        <v>Re, </v>
      </c>
      <c r="HZ24" s="355" t="str">
        <f t="shared" si="136"/>
        <v>ga, </v>
      </c>
      <c r="IA24" s="355" t="str">
        <f t="shared" si="137"/>
        <v/>
      </c>
      <c r="IB24" s="355" t="str">
        <f t="shared" si="138"/>
        <v/>
      </c>
      <c r="IC24" s="355" t="str">
        <f t="shared" si="139"/>
        <v/>
      </c>
      <c r="ID24" s="355" t="str">
        <f t="shared" si="140"/>
        <v/>
      </c>
      <c r="IE24" s="355" t="str">
        <f t="shared" si="141"/>
        <v/>
      </c>
      <c r="IF24" s="355" t="str">
        <f t="shared" si="142"/>
        <v/>
      </c>
      <c r="IG24" s="355" t="str">
        <f t="shared" si="143"/>
        <v/>
      </c>
      <c r="IH24" s="355" t="str">
        <f t="shared" si="144"/>
        <v>Ni, </v>
      </c>
      <c r="II24" s="359" t="str">
        <f t="shared" si="145"/>
        <v/>
      </c>
      <c r="IJ24" s="346" t="b">
        <f t="shared" si="146"/>
        <v>0</v>
      </c>
      <c r="IK24" s="347" t="b">
        <f t="shared" si="147"/>
        <v>0</v>
      </c>
      <c r="IL24" s="347" t="b">
        <f t="shared" si="148"/>
        <v>0</v>
      </c>
      <c r="IM24" s="347" t="b">
        <f t="shared" si="149"/>
        <v>1</v>
      </c>
      <c r="IN24" s="347" t="b">
        <f t="shared" si="150"/>
        <v>0</v>
      </c>
      <c r="IO24" s="347" t="b">
        <f t="shared" si="151"/>
        <v>0</v>
      </c>
      <c r="IP24" s="347" t="b">
        <f t="shared" si="152"/>
        <v>0</v>
      </c>
      <c r="IQ24" s="347" t="b">
        <f t="shared" si="153"/>
        <v>0</v>
      </c>
      <c r="IR24" s="347" t="b">
        <f t="shared" si="154"/>
        <v>0</v>
      </c>
      <c r="IS24" s="347" t="b">
        <f t="shared" si="155"/>
        <v>0</v>
      </c>
      <c r="IT24" s="347" t="b">
        <f t="shared" si="156"/>
        <v>0</v>
      </c>
      <c r="IU24" s="347" t="b">
        <f t="shared" si="157"/>
        <v>1</v>
      </c>
      <c r="IV24" s="365" t="b">
        <f t="shared" si="158"/>
        <v>0</v>
      </c>
      <c r="IW24" s="354" t="str">
        <f t="shared" si="159"/>
        <v/>
      </c>
      <c r="IX24" s="355" t="str">
        <f t="shared" si="160"/>
        <v/>
      </c>
      <c r="IY24" s="355" t="str">
        <f t="shared" si="161"/>
        <v/>
      </c>
      <c r="IZ24" s="355" t="str">
        <f t="shared" si="162"/>
        <v>ga, </v>
      </c>
      <c r="JA24" s="355" t="str">
        <f t="shared" si="163"/>
        <v/>
      </c>
      <c r="JB24" s="355" t="str">
        <f t="shared" si="164"/>
        <v/>
      </c>
      <c r="JC24" s="355" t="str">
        <f t="shared" si="165"/>
        <v/>
      </c>
      <c r="JD24" s="355" t="str">
        <f t="shared" si="166"/>
        <v/>
      </c>
      <c r="JE24" s="355" t="str">
        <f t="shared" si="167"/>
        <v/>
      </c>
      <c r="JF24" s="355" t="str">
        <f t="shared" si="168"/>
        <v/>
      </c>
      <c r="JG24" s="355" t="str">
        <f t="shared" si="169"/>
        <v/>
      </c>
      <c r="JH24" s="355" t="str">
        <f t="shared" si="170"/>
        <v>Ni, </v>
      </c>
      <c r="JI24" s="359"/>
      <c r="JJ24" s="321"/>
      <c r="JK24" s="368"/>
      <c r="JL24" s="369"/>
      <c r="JM24" s="369"/>
      <c r="JN24" s="369"/>
      <c r="JO24" s="369"/>
      <c r="JP24" s="369"/>
      <c r="JQ24" s="369"/>
      <c r="JR24" s="369"/>
      <c r="JS24" s="369"/>
      <c r="JT24" s="369"/>
      <c r="JU24" s="369"/>
    </row>
    <row r="25" ht="20.25" customHeight="1">
      <c r="A25" s="221" t="s">
        <v>1271</v>
      </c>
      <c r="B25" s="223" t="s">
        <v>710</v>
      </c>
      <c r="C25" s="222" t="s">
        <v>275</v>
      </c>
      <c r="D25" s="222"/>
      <c r="E25" s="222"/>
      <c r="F25" s="222"/>
      <c r="G25" s="395" t="s">
        <v>275</v>
      </c>
      <c r="H25" s="222">
        <v>23.0</v>
      </c>
      <c r="I25" s="224" t="s">
        <v>1219</v>
      </c>
      <c r="J25" s="225" t="str">
        <f t="shared" si="5"/>
        <v>[UQ]</v>
      </c>
      <c r="K25" s="227">
        <f t="shared" si="6"/>
        <v>5</v>
      </c>
      <c r="L25" s="229">
        <f t="shared" si="7"/>
        <v>5</v>
      </c>
      <c r="M25" s="230">
        <f t="shared" si="8"/>
        <v>0</v>
      </c>
      <c r="N25" s="233" t="str">
        <f t="shared" si="9"/>
        <v>SgmPnS</v>
      </c>
      <c r="O25" s="234" t="str">
        <f>IFERROR(__xludf.DUMMYFUNCTION("IF(REGEXMATCH(N25, ""S""), ""S"","""")"),"S")</f>
        <v>S</v>
      </c>
      <c r="P25" s="236" t="str">
        <f>IFERROR(__xludf.DUMMYFUNCTION("IF(REGEXMATCH(N25, ""r""), ""r"","""")"),"")</f>
        <v/>
      </c>
      <c r="Q25" s="237" t="str">
        <f>IFERROR(__xludf.DUMMYFUNCTION("IF(REGEXMATCH(N25, ""R""), ""R"","""")"),"")</f>
        <v/>
      </c>
      <c r="R25" s="237" t="str">
        <f>IFERROR(__xludf.DUMMYFUNCTION("IF(REGEXMATCH(N25, ""g""), ""g"","""")"),"g")</f>
        <v>g</v>
      </c>
      <c r="S25" s="236" t="str">
        <f>IFERROR(__xludf.DUMMYFUNCTION("IF(REGEXMATCH(N25, ""G""), ""G"","""")"),"")</f>
        <v/>
      </c>
      <c r="T25" s="236" t="str">
        <f>IFERROR(__xludf.DUMMYFUNCTION("IF(REGEXMATCH(N25, ""m""), ""m"","""")"),"m")</f>
        <v>m</v>
      </c>
      <c r="U25" s="237" t="str">
        <f>IFERROR(__xludf.DUMMYFUNCTION("IF(REGEXMATCH(N25, ""M""), ""M"","""")"),"")</f>
        <v/>
      </c>
      <c r="V25" s="236" t="str">
        <f>IFERROR(__xludf.DUMMYFUNCTION("IF(REGEXMATCH(N25, ""P""), ""P"","""")"),"P")</f>
        <v>P</v>
      </c>
      <c r="W25" s="237" t="str">
        <f>IFERROR(__xludf.DUMMYFUNCTION("IF(REGEXMATCH(N25, ""d""), ""d"","""")"),"")</f>
        <v/>
      </c>
      <c r="X25" s="236" t="str">
        <f>IFERROR(__xludf.DUMMYFUNCTION("IF(REGEXMATCH(N25, ""D""), ""D"","""")"),"")</f>
        <v/>
      </c>
      <c r="Y25" s="236" t="str">
        <f>IFERROR(__xludf.DUMMYFUNCTION("IF(REGEXMATCH(N25, ""n""), ""n"","""")"),"n")</f>
        <v>n</v>
      </c>
      <c r="Z25" s="237" t="str">
        <f>IFERROR(__xludf.DUMMYFUNCTION("IF(REGEXMATCH(N25, ""N""), ""N"","""")"),"")</f>
        <v/>
      </c>
      <c r="AA25" s="238" t="str">
        <f>IFERROR(__xludf.DUMMYFUNCTION("IF(REGEXMATCH(N25, ""S""), ""S"","""")"),"S")</f>
        <v>S</v>
      </c>
      <c r="AB25" s="239" t="str">
        <f>IFERROR(__xludf.DUMMYFUNCTION("SUBSTITUTE(CONCATENATE(JOIN(""-"",O25:U25)),""-"","""")"),"Sgm")</f>
        <v>Sgm</v>
      </c>
      <c r="AC25" s="229" t="str">
        <f>IFERROR(__xludf.DUMMYFUNCTION("SUBSTITUTE(CONCATENATE(JOIN(""-"",V25:AA25)),""-"","""")"),"PnS")</f>
        <v>PnS</v>
      </c>
      <c r="AD25" s="282" t="str">
        <f t="shared" si="10"/>
        <v>S-G-M</v>
      </c>
      <c r="AE25" s="282" t="str">
        <f t="shared" si="11"/>
        <v>P-N-S</v>
      </c>
      <c r="AF25" s="309" t="str">
        <f t="shared" si="12"/>
        <v>gmn</v>
      </c>
      <c r="AG25" s="244" t="str">
        <f>IFERROR(__xludf.DUMMYFUNCTION("IF(REGEXMATCH(N25, ""S""), ""0"","""")"),"0")</f>
        <v>0</v>
      </c>
      <c r="AH25" s="245" t="str">
        <f>IFERROR(__xludf.DUMMYFUNCTION("IF(REGEXMATCH(N25, ""r""), ""1"","""")"),"")</f>
        <v/>
      </c>
      <c r="AI25" s="246" t="str">
        <f>IFERROR(__xludf.DUMMYFUNCTION("IF(REGEXMATCH(N25, ""R""), ""2"","""")"),"")</f>
        <v/>
      </c>
      <c r="AJ25" s="246" t="str">
        <f>IFERROR(__xludf.DUMMYFUNCTION("IF(REGEXMATCH(N25, ""g""), ""3"","""")"),"3")</f>
        <v>3</v>
      </c>
      <c r="AK25" s="245" t="str">
        <f>IFERROR(__xludf.DUMMYFUNCTION("IF(REGEXMATCH(N25, ""G""), ""4"","""")"),"")</f>
        <v/>
      </c>
      <c r="AL25" s="245" t="str">
        <f>IFERROR(__xludf.DUMMYFUNCTION("IF(REGEXMATCH(N25, ""m""), ""5"","""")"),"5")</f>
        <v>5</v>
      </c>
      <c r="AM25" s="246" t="str">
        <f>IFERROR(__xludf.DUMMYFUNCTION("IF(REGEXMATCH(N25, ""M""), ""6"","""")"),"")</f>
        <v/>
      </c>
      <c r="AN25" s="245" t="str">
        <f>IFERROR(__xludf.DUMMYFUNCTION("IF(REGEXMATCH(N25, ""P""), ""7"","""")"),"7")</f>
        <v>7</v>
      </c>
      <c r="AO25" s="246" t="str">
        <f>IFERROR(__xludf.DUMMYFUNCTION("IF(REGEXMATCH(N25, ""d""), ""8"","""")"),"")</f>
        <v/>
      </c>
      <c r="AP25" s="245" t="str">
        <f>IFERROR(__xludf.DUMMYFUNCTION("IF(REGEXMATCH(N25, ""D""), ""9"","""")"),"")</f>
        <v/>
      </c>
      <c r="AQ25" s="245" t="str">
        <f>IFERROR(__xludf.DUMMYFUNCTION("IF(REGEXMATCH(N25, ""n""), ""10"","""")"),"10")</f>
        <v>10</v>
      </c>
      <c r="AR25" s="246" t="str">
        <f>IFERROR(__xludf.DUMMYFUNCTION("IF(REGEXMATCH(N25, ""N""), ""11"","""")"),"")</f>
        <v/>
      </c>
      <c r="AS25" s="249" t="str">
        <f>IFERROR(__xludf.DUMMYFUNCTION("IF(REGEXMATCH(N25, ""S""), ""0"","""")"),"0")</f>
        <v>0</v>
      </c>
      <c r="AT25" s="250" t="str">
        <f>IFERROR(__xludf.DUMMYFUNCTION("SUBSTITUTE(SUBSTITUTE(SUBSTITUTE(SUBSTITUTE(CONCATENATE(JOIN(""-"",AG25:AS25)),""--"",""-""),""--"",""-""),""--"",""-""),""--"",""-"")"),"0-3-5-7-10-0")</f>
        <v>0-3-5-7-10-0</v>
      </c>
      <c r="AU25" s="251">
        <f t="shared" si="13"/>
        <v>0</v>
      </c>
      <c r="AV25" s="234" t="str">
        <f t="shared" si="14"/>
        <v>|</v>
      </c>
      <c r="AW25" s="236" t="str">
        <f t="shared" si="15"/>
        <v>-</v>
      </c>
      <c r="AX25" s="237" t="str">
        <f t="shared" si="16"/>
        <v>-</v>
      </c>
      <c r="AY25" s="236" t="str">
        <f t="shared" si="17"/>
        <v>|</v>
      </c>
      <c r="AZ25" s="237" t="str">
        <f t="shared" si="18"/>
        <v>-</v>
      </c>
      <c r="BA25" s="236" t="str">
        <f t="shared" si="19"/>
        <v>|</v>
      </c>
      <c r="BB25" s="237" t="str">
        <f t="shared" si="20"/>
        <v>-</v>
      </c>
      <c r="BC25" s="236" t="str">
        <f t="shared" si="21"/>
        <v>|</v>
      </c>
      <c r="BD25" s="237" t="str">
        <f t="shared" si="22"/>
        <v>-</v>
      </c>
      <c r="BE25" s="236" t="str">
        <f t="shared" si="23"/>
        <v>-</v>
      </c>
      <c r="BF25" s="237" t="str">
        <f t="shared" si="24"/>
        <v>|</v>
      </c>
      <c r="BG25" s="236" t="str">
        <f t="shared" si="25"/>
        <v>-</v>
      </c>
      <c r="BH25" s="238" t="str">
        <f t="shared" si="26"/>
        <v>|</v>
      </c>
      <c r="BI25" s="250" t="str">
        <f>IFERROR(__xludf.DUMMYFUNCTION("SUBSTITUTE(SUBSTITUTE(CONCATENATE(JOIN("""",AV25:BG25)),""|"",""x""),""-"",""o"")"),"xooxoxoxooxo")</f>
        <v>xooxoxoxooxo</v>
      </c>
      <c r="BJ25" s="323" t="str">
        <f>IFERROR(__xludf.DUMMYFUNCTION("JOIN("""",BI25,BI25)"),"xooxoxoxooxoxooxoxoxooxo")</f>
        <v>xooxoxoxooxoxooxoxoxooxo</v>
      </c>
      <c r="BK25" s="256" t="str">
        <f>IFERROR(__xludf.DUMMYFUNCTION("JOIN("""",ArrayFormula(MID(BI25,LEN(BI25)-SEQUENCE(1,LEN(BI25))+1,1)))"),"oxooxoxoxoox")</f>
        <v>oxooxoxoxoox</v>
      </c>
      <c r="BL25" s="256" t="str">
        <f>IFERROR(__xludf.DUMMYFUNCTION("LEFT(CONCATENATE(""x"",JOIN("""",ArrayFormula(MID(BI25,LEN(BI25)-SEQUENCE(1,LEN(BI25))+1,1)))),12)"),"xoxooxoxoxoo")</f>
        <v>xoxooxoxoxoo</v>
      </c>
      <c r="BM25" s="327" t="str">
        <f>IFERROR(__xludf.DUMMYFUNCTION("JOIN("""",BK25,BK25)"),"oxooxoxoxooxoxooxoxoxoox")</f>
        <v>oxooxoxoxooxoxooxoxoxoox</v>
      </c>
      <c r="BN25" s="239" t="str">
        <f>IFERROR(__xludf.DUMMYFUNCTION("IF(REGEXMATCH(BM25,BI25),""✔"",""-"")"),"✔")</f>
        <v>✔</v>
      </c>
      <c r="BO25" s="330" t="str">
        <f t="shared" si="27"/>
        <v>-</v>
      </c>
      <c r="BP25" s="260" t="str">
        <f t="shared" si="28"/>
        <v>-</v>
      </c>
      <c r="BQ25" s="261" t="str">
        <f>IFERROR(__xludf.DUMMYFUNCTION("IF(BT25=0,""(n/a)"",IF(BU25=2,""(PAIR)"",IF(REGEXMATCH(BJ25,""xoxoxxoxoxox""),""Bilawal"",IF(REGEXMATCH(BJ25,""xoxoxooxoxoo""),""Bhupali"",IF(REGEXMATCH(BJ25,""xoxoxxoxxoxo""),""Charukeshi"",IF(REGEXMATCH(BJ25,""xoxoooxxoxxo""),""Kameshwari"",IF(REGEXMATC"&amp;"H(BJ25,""xoxoxooxoxox""),""Shankara"",IF(REGEXMATCH(BJ25,""xxooxoxxxoox""),""Basant"",IF(REGEXMATCH(BJ25,""xoxoxxxxoxox""),""Bihag"",IF(REGEXMATCH(BJ25,""xoxxxxoxoxxx""),""Pilu"",IF(REGEXMATCH(BJ25,""xoxxoxoxxoox""),""Kirwani"",IF(REGEXMATCH(BJ25,""xoxxox"&amp;"oxoxxx""),""Mk.Malhar"",IF(REGEXMATCH(BJ25,""xxooxxoxxoox""),""Bhairav"",IF(REGEXMATCH(BJ25,""xxoxooxxxoox""),""Todi"",IF(REGEXMATCH(BJ25,""xxooxoxooxox""),""Marwa"",IF(REGEXMATCH(BJ25,""xxoooxoxxooo""),""Gunkali"",IF(REGEXMATCH(BJ25,""xoxoxxoxxoox""),""N"&amp;"at Bhairav"",IF(REGEXMATCH(BJ25,""xoxxoooxoxoo""),""Shivranjani"",IF(REGEXMATCH(BJ25,""xooxxxoxooxo""),""Jog"",IF(REGEXMATCH(BJ25,""xxooxoxoxoox""),""Hemshri"",IF(REGEXMATCH(BJ25,""xoooxooxoxxo""),""Kalavati"",IF(REGEXMATCH(BJ25,""xxoxoxxoxoox""),""Kedar"&amp;""",IF(REGEXMATCH(BJ25,""xoxxxxoxooxx""),""Gara"",IF(REGEXMATCH(BJ25,""xooxoxooxoox""),""Chandrakauns"",IF(REGEXMATCH(BJ25,""xoxxxxoxxxox""),""Mand"",IF(REGEXMATCH(BJ25,""xoxxxxoxoxox""),""Hanskinkini"",IF(REGEXMATCH(BJ25,""xxooxxoxooxo""),""Lilavati"",IF("&amp;"REGEXMATCH(BJ25,""xooxoxoooxox""),""Rajeshwari"",IF(REGEXMATCH(BJ25,""xoooxxoxoxxx""),""Khokar"",IF(REGEXMATCH(BJ25,""xxooxoxxxxox""),""Maligoura"",""-""))))))))))))))))))))))))))))))"),"(PAIR)")</f>
        <v>(PAIR)</v>
      </c>
      <c r="BR25" s="239">
        <f t="shared" si="29"/>
        <v>4</v>
      </c>
      <c r="BS25" s="239">
        <f>IFERROR(__xludf.DUMMYFUNCTION("COUNTUNIQUE(BW25:CG25)-1"),4.0)</f>
        <v>4</v>
      </c>
      <c r="BT25" s="239">
        <f>IFERROR(__xludf.DUMMYFUNCTION("COUNTUNIQUE(FILTER(BJ:BJ,REGEXMATCH(BJ:BJ,BI25)))-1"),1.0)</f>
        <v>1</v>
      </c>
      <c r="BU25" s="239">
        <f>IFERROR(__xludf.DUMMYFUNCTION("COUNTA(FILTER(BJ:BJ,REGEXMATCH(BJ:BJ,BI25)))"),2.0)</f>
        <v>2</v>
      </c>
      <c r="BV25" s="341">
        <f>IFERROR(__xludf.DUMMYFUNCTION("COUNTA(FILTER(BJ:BJ,REGEXMATCH(BJ:BJ,BI25)))-AU25"),2.0)</f>
        <v>2</v>
      </c>
      <c r="BW25" s="269" t="str">
        <f t="shared" si="30"/>
        <v>-</v>
      </c>
      <c r="BX25" s="269" t="str">
        <f t="shared" si="31"/>
        <v>-</v>
      </c>
      <c r="BY25" s="271" t="str">
        <f t="shared" si="32"/>
        <v>xoxoxooxoxo</v>
      </c>
      <c r="BZ25" s="269" t="str">
        <f t="shared" si="33"/>
        <v>-</v>
      </c>
      <c r="CA25" s="271" t="str">
        <f t="shared" si="34"/>
        <v>xoxooxoxoox</v>
      </c>
      <c r="CB25" s="271" t="str">
        <f t="shared" si="35"/>
        <v>-</v>
      </c>
      <c r="CC25" s="271" t="str">
        <f t="shared" si="36"/>
        <v>xooxoxooxox</v>
      </c>
      <c r="CD25" s="271" t="str">
        <f t="shared" si="37"/>
        <v>-</v>
      </c>
      <c r="CE25" s="271" t="str">
        <f t="shared" si="38"/>
        <v>-</v>
      </c>
      <c r="CF25" s="271" t="str">
        <f t="shared" si="39"/>
        <v>xoxooxoxoxo</v>
      </c>
      <c r="CG25" s="274" t="str">
        <f t="shared" si="40"/>
        <v>-</v>
      </c>
      <c r="CH25" s="276" t="str">
        <f>IFERROR(__xludf.DUMMYFUNCTION("IF(BI25=""oooooooooooo"",""-"",IF(REGEXMATCH(BJ25,""xx""), ""Hemi."", ""Anhemi.""))"),"Anhemi.")</f>
        <v>Anhemi.</v>
      </c>
      <c r="CI25" s="282" t="str">
        <f>IFERROR(__xludf.DUMMYFUNCTION("IF(BI25=""oooooooooooo"",""-"",IF(REGEXMATCH(BJ25,""xxx""), ""Cohem."", ""-""))"),"-")</f>
        <v>-</v>
      </c>
      <c r="CJ25" s="282" t="str">
        <f>IFERROR(__xludf.DUMMYFUNCTION("IF(BI25=""oooooooooooo"",""-"",IF(REGEXMATCH(BJ25,""xxxx""), ""Co-Co."", ""-""))"),"-")</f>
        <v>-</v>
      </c>
      <c r="CK25" s="342" t="str">
        <f>IFERROR(__xludf.DUMMYFUNCTION("IF(BI25=""oooooooooooo"",""-"",IF(REGEXMATCH(BJ25,""xxxxx""), ""CCC."", ""-""))"),"-")</f>
        <v>-</v>
      </c>
      <c r="CL25" s="344" t="str">
        <f t="shared" si="41"/>
        <v>-</v>
      </c>
      <c r="CM25" s="282" t="str">
        <f>IFERROR(__xludf.DUMMYFUNCTION("IF(REGEXMATCH(JOIN(""-"",CO25:CX25),""TRUE""),""✔"",""-"")"),"✔")</f>
        <v>✔</v>
      </c>
      <c r="CN25" s="225">
        <f t="shared" si="42"/>
        <v>3</v>
      </c>
      <c r="CO25" s="376" t="b">
        <f>IFERROR(__xludf.DUMMYFUNCTION("arrayformula(sum(--REGEXMATCH(""SRGMPDNS"",split(REGEXREPLACE(N25,""(.)"",""$1~""),""~""))))=len(N25)
"),FALSE)</f>
        <v>0</v>
      </c>
      <c r="CP25" s="290" t="b">
        <f>IFERROR(__xludf.DUMMYFUNCTION("arrayformula(sum(--REGEXMATCH(""SRGmPDNS"",split(REGEXREPLACE(N25,""(.)"",""$1~""),""~""))))=len(N25)"),FALSE)</f>
        <v>0</v>
      </c>
      <c r="CQ25" s="290" t="b">
        <f>IFERROR(__xludf.DUMMYFUNCTION("arrayformula(sum(--REGEXMATCH(""SRGmPDnS"",split(REGEXREPLACE(N25,""(.)"",""$1~""),""~""))))=len(N25)"),FALSE)</f>
        <v>0</v>
      </c>
      <c r="CR25" s="290" t="b">
        <f>IFERROR(__xludf.DUMMYFUNCTION("arrayformula(sum(--REGEXMATCH(""SRgmPDnS"",split(REGEXREPLACE(N25,""(.)"",""$1~""),""~""))))=len(N25)"),TRUE)</f>
        <v>1</v>
      </c>
      <c r="CS25" s="290" t="b">
        <f>IFERROR(__xludf.DUMMYFUNCTION("arrayformula(sum(--REGEXMATCH(""SRgmPdnS"",split(REGEXREPLACE(N25,""(.)"",""$1~""),""~""))))=len(N25)"),TRUE)</f>
        <v>1</v>
      </c>
      <c r="CT25" s="290" t="b">
        <f>IFERROR(__xludf.DUMMYFUNCTION("arrayformula(sum(--REGEXMATCH(""SrgmPdnS"",split(REGEXREPLACE(N25,""(.)"",""$1~""),""~""))))=len(N25)"),TRUE)</f>
        <v>1</v>
      </c>
      <c r="CU25" s="290" t="b">
        <f>IFERROR(__xludf.DUMMYFUNCTION("arrayformula(sum(--REGEXMATCH(""SrGmPdNS"",split(REGEXREPLACE(N25,""(.)"",""$1~""),""~""))))=len(N25)"),FALSE)</f>
        <v>0</v>
      </c>
      <c r="CV25" s="290" t="b">
        <f>IFERROR(__xludf.DUMMYFUNCTION("arrayformula(sum(--REGEXMATCH(""SrGMPDNS"",split(REGEXREPLACE(N25,""(.)"",""$1~""),""~""))))=len(N25)"),FALSE)</f>
        <v>0</v>
      </c>
      <c r="CW25" s="290" t="b">
        <f>IFERROR(__xludf.DUMMYFUNCTION("arrayformula(sum(--REGEXMATCH(""SrGMPdNS"",split(REGEXREPLACE(N25,""(.)"",""$1~""),""~""))))=len(N25)"),FALSE)</f>
        <v>0</v>
      </c>
      <c r="CX25" s="293" t="b">
        <f>IFERROR(__xludf.DUMMYFUNCTION("arrayformula(sum(--REGEXMATCH(""SrgMPdNS"",split(REGEXREPLACE(N25,""(.)"",""$1~""),""~""))))=len(N25)"),FALSE)</f>
        <v>0</v>
      </c>
      <c r="CY25" s="244" t="str">
        <f>IFERROR(__xludf.DUMMYFUNCTION("IF(REGEXMATCH(N25, ""S""), ""1"","""")"),"1")</f>
        <v>1</v>
      </c>
      <c r="CZ25" s="245" t="str">
        <f>IFERROR(__xludf.DUMMYFUNCTION("IF(REGEXMATCH(N25, ""r""), ""b2"","""")"),"")</f>
        <v/>
      </c>
      <c r="DA25" s="246" t="str">
        <f>IFERROR(__xludf.DUMMYFUNCTION("IF(REGEXMATCH(N25, ""R""), ""2"","""")"),"")</f>
        <v/>
      </c>
      <c r="DB25" s="246" t="str">
        <f>IFERROR(__xludf.DUMMYFUNCTION("IF(REGEXMATCH(N25, ""g""), ""b3"","""")"),"b3")</f>
        <v>b3</v>
      </c>
      <c r="DC25" s="245" t="str">
        <f>IFERROR(__xludf.DUMMYFUNCTION("IF(REGEXMATCH(N25, ""G""), ""3"","""")"),"")</f>
        <v/>
      </c>
      <c r="DD25" s="245" t="str">
        <f>IFERROR(__xludf.DUMMYFUNCTION("IF(REGEXMATCH(N25, ""m""), ""4"","""")"),"4")</f>
        <v>4</v>
      </c>
      <c r="DE25" s="246" t="str">
        <f>IFERROR(__xludf.DUMMYFUNCTION("IF(REGEXMATCH(N25, ""M""), ""#4"","""")"),"")</f>
        <v/>
      </c>
      <c r="DF25" s="245" t="str">
        <f>IFERROR(__xludf.DUMMYFUNCTION("IF(REGEXMATCH(N25, ""P""), ""5"","""")"),"5")</f>
        <v>5</v>
      </c>
      <c r="DG25" s="246" t="str">
        <f>IFERROR(__xludf.DUMMYFUNCTION("IF(REGEXMATCH(N25, ""d""), ""b6"","""")"),"")</f>
        <v/>
      </c>
      <c r="DH25" s="245" t="str">
        <f>IFERROR(__xludf.DUMMYFUNCTION("IF(REGEXMATCH(N25, ""D""), ""6"","""")"),"")</f>
        <v/>
      </c>
      <c r="DI25" s="245" t="str">
        <f>IFERROR(__xludf.DUMMYFUNCTION("IF(REGEXMATCH(N25, ""n""), ""b7"","""")"),"b7")</f>
        <v>b7</v>
      </c>
      <c r="DJ25" s="246" t="str">
        <f>IFERROR(__xludf.DUMMYFUNCTION("IF(REGEXMATCH(N25, ""N""), ""7"","""")"),"")</f>
        <v/>
      </c>
      <c r="DK25" s="249" t="str">
        <f>IFERROR(__xludf.DUMMYFUNCTION("IF(REGEXMATCH(N25, ""S""), ""8"","""")"),"8")</f>
        <v>8</v>
      </c>
      <c r="DL25" s="244" t="str">
        <f>IFERROR(__xludf.DUMMYFUNCTION("IF(REGEXMATCH(N25, ""S""), ""S"","""")"),"S")</f>
        <v>S</v>
      </c>
      <c r="DM25" s="294" t="str">
        <f>IFERROR(__xludf.DUMMYFUNCTION("IF(REGEXMATCH(N25, ""r""), ""R1"","""")"),"")</f>
        <v/>
      </c>
      <c r="DN25" s="295" t="str">
        <f>IFERROR(__xludf.DUMMYFUNCTION("IF(REGEXMATCH(N25, ""R""), ""R2"","""")"),"")</f>
        <v/>
      </c>
      <c r="DO25" s="295" t="str">
        <f>IFERROR(__xludf.DUMMYFUNCTION("IF(REGEXMATCH(N25, ""g""), ""G2"","""")"),"G2")</f>
        <v>G2</v>
      </c>
      <c r="DP25" s="294" t="str">
        <f>IFERROR(__xludf.DUMMYFUNCTION("IF(REGEXMATCH(N25, ""G""), ""G3"","""")"),"")</f>
        <v/>
      </c>
      <c r="DQ25" s="294" t="str">
        <f>IFERROR(__xludf.DUMMYFUNCTION("IF(REGEXMATCH(N25, ""m""), ""M1"","""")"),"M1")</f>
        <v>M1</v>
      </c>
      <c r="DR25" s="295" t="str">
        <f>IFERROR(__xludf.DUMMYFUNCTION("IF(REGEXMATCH(N25, ""M""), ""M2"","""")"),"")</f>
        <v/>
      </c>
      <c r="DS25" s="294" t="str">
        <f>IFERROR(__xludf.DUMMYFUNCTION("IF(REGEXMATCH(N25, ""P""), ""P"","""")"),"P")</f>
        <v>P</v>
      </c>
      <c r="DT25" s="295" t="str">
        <f>IFERROR(__xludf.DUMMYFUNCTION("IF(REGEXMATCH(N25, ""d""), ""D1"","""")"),"")</f>
        <v/>
      </c>
      <c r="DU25" s="294" t="str">
        <f>IFERROR(__xludf.DUMMYFUNCTION("IF(REGEXMATCH(N25, ""D""), ""D2"","""")"),"")</f>
        <v/>
      </c>
      <c r="DV25" s="294" t="str">
        <f>IFERROR(__xludf.DUMMYFUNCTION("IF(REGEXMATCH(N25, ""n""), ""N2"","""")"),"N2")</f>
        <v>N2</v>
      </c>
      <c r="DW25" s="295" t="str">
        <f>IFERROR(__xludf.DUMMYFUNCTION("IF(REGEXMATCH(N25, ""N""), ""N3"","""")"),"")</f>
        <v/>
      </c>
      <c r="DX25" s="249" t="str">
        <f>IFERROR(__xludf.DUMMYFUNCTION("IF(REGEXMATCH(N25, ""S""), ""S"","""")"),"S")</f>
        <v>S</v>
      </c>
      <c r="DY25" s="299" t="str">
        <f>IFERROR(__xludf.DUMMYFUNCTION("SUBSTITUTE(SUBSTITUTE(SUBSTITUTE(SUBSTITUTE(CONCATENATE(JOIN(""-"",CY25:DK25)),""--"",""-""),""--"",""-""),""--"",""-""),""--"",""-"")"),"1-b3-4-5-b7-8")</f>
        <v>1-b3-4-5-b7-8</v>
      </c>
      <c r="DZ25" s="299" t="str">
        <f>IFERROR(__xludf.DUMMYFUNCTION("SUBSTITUTE(SUBSTITUTE(SUBSTITUTE(SUBSTITUTE(CONCATENATE(JOIN(""-"",DL25:DX25)),""--"",""-""),""--"",""-""),""--"",""-""),""--"",""-"")"),"S-G2-M1-P-N2-S")</f>
        <v>S-G2-M1-P-N2-S</v>
      </c>
      <c r="EA25" s="348" t="str">
        <f t="shared" si="43"/>
        <v>C-Eb-F-G-Bb-C</v>
      </c>
      <c r="EB25" s="301">
        <f t="shared" si="44"/>
        <v>5</v>
      </c>
      <c r="EC25" s="302" t="str">
        <f t="shared" si="45"/>
        <v>Audav</v>
      </c>
      <c r="ED25" s="301" t="str">
        <f t="shared" ref="ED25:EE25" si="191">SUBSTITUTE(AD25,"-","")</f>
        <v>SGM</v>
      </c>
      <c r="EE25" s="301" t="str">
        <f t="shared" si="191"/>
        <v>PNS</v>
      </c>
      <c r="EF25" s="302" t="str">
        <f t="shared" si="47"/>
        <v>(PAIR)</v>
      </c>
      <c r="EG25" s="301" t="str">
        <f t="shared" si="48"/>
        <v>Anhemi.</v>
      </c>
      <c r="EH25" s="364" t="str">
        <f t="shared" si="49"/>
        <v>-</v>
      </c>
      <c r="EI25" s="306" t="str">
        <f t="shared" si="50"/>
        <v>-</v>
      </c>
      <c r="EJ25" s="366" t="str">
        <f t="shared" si="51"/>
        <v>✔</v>
      </c>
      <c r="EK25" s="308" t="str">
        <f t="shared" si="52"/>
        <v>-</v>
      </c>
      <c r="EL25" s="306" t="str">
        <f t="shared" si="53"/>
        <v>-</v>
      </c>
      <c r="EM25" s="306" t="str">
        <f t="shared" si="54"/>
        <v>✔</v>
      </c>
      <c r="EN25" s="367" t="str">
        <f t="shared" si="55"/>
        <v>-</v>
      </c>
      <c r="EO25" s="310" t="str">
        <f t="shared" si="56"/>
        <v>-</v>
      </c>
      <c r="EP25" s="310" t="str">
        <f t="shared" si="57"/>
        <v>-</v>
      </c>
      <c r="EQ25" s="310" t="str">
        <f t="shared" si="58"/>
        <v>-</v>
      </c>
      <c r="ER25" s="310" t="str">
        <f t="shared" si="59"/>
        <v>-</v>
      </c>
      <c r="ES25" s="370" t="str">
        <f t="shared" si="60"/>
        <v>-</v>
      </c>
      <c r="ET25" s="306" t="str">
        <f t="shared" si="61"/>
        <v>✔</v>
      </c>
      <c r="EU25" s="306" t="str">
        <f t="shared" si="62"/>
        <v>-</v>
      </c>
      <c r="EV25" s="306" t="str">
        <f t="shared" si="63"/>
        <v>-</v>
      </c>
      <c r="EW25" s="306" t="str">
        <f t="shared" si="64"/>
        <v>-</v>
      </c>
      <c r="EX25" s="306" t="str">
        <f t="shared" si="65"/>
        <v>✔</v>
      </c>
      <c r="EY25" s="367" t="str">
        <f t="shared" si="66"/>
        <v>-</v>
      </c>
      <c r="EZ25" s="310" t="str">
        <f>IFERROR(__xludf.DUMMYFUNCTION("IF(REGEXMATCH(BM25,BI25),""✔"",""-"")"),"✔")</f>
        <v>✔</v>
      </c>
      <c r="FA25" s="310" t="str">
        <f t="shared" si="67"/>
        <v>-</v>
      </c>
      <c r="FB25" s="370" t="str">
        <f t="shared" si="68"/>
        <v>-</v>
      </c>
      <c r="FC25" s="315" t="str">
        <f t="shared" si="69"/>
        <v>[UQ]</v>
      </c>
      <c r="FD25" s="317" t="str">
        <f t="shared" si="70"/>
        <v>S-g-m-P-n-S</v>
      </c>
      <c r="FE25" s="318" t="str">
        <f>IFERROR(__xludf.DUMMYFUNCTION("CONCATENATE(JOIN("""",GJ25:GV25))"),"SRmPDS")</f>
        <v>SRmPDS</v>
      </c>
      <c r="FF25" s="318"/>
      <c r="FG25" s="318"/>
      <c r="FH25" s="321">
        <f t="shared" si="71"/>
        <v>1</v>
      </c>
      <c r="FI25" s="318" t="str">
        <f>IFERROR(__xludf.DUMMYFUNCTION("CONCATENATE(JOIN("""",HW25:II25))"),"Pa, ")</f>
        <v>Pa, </v>
      </c>
      <c r="FJ25" s="322">
        <f t="shared" si="72"/>
        <v>0</v>
      </c>
      <c r="FK25" s="324" t="str">
        <f>IFERROR(__xludf.DUMMYFUNCTION("CONCATENATE(JOIN("""",IW25:JI25))"),"")</f>
        <v/>
      </c>
      <c r="FL25" s="325" t="str">
        <f t="shared" si="73"/>
        <v>S-G2-M1-P-N2-S</v>
      </c>
      <c r="FM25" s="326" t="str">
        <f t="shared" si="74"/>
        <v>1-b3-4-5-b7-8</v>
      </c>
      <c r="FN25" s="326" t="str">
        <f t="shared" si="75"/>
        <v>0-3-5-7-10-0</v>
      </c>
      <c r="FO25" s="318"/>
      <c r="FP25" s="328" t="str">
        <f>IFERROR(__xludf.DUMMYFUNCTION("SUBSTITUTE(SUBSTITUTE(SUBSTITUTE(SUBSTITUTE(CONCATENATE(JOIN("" "",FS25:GE25)),""  "","" ""),""  "","" ""),""  "","" ""),""  "","" "")"),"o • • o • o • o • • o • o")</f>
        <v>o • • o • o • o • • o • o</v>
      </c>
      <c r="FQ25" s="328" t="str">
        <f t="shared" si="76"/>
        <v>-</v>
      </c>
      <c r="FR25" s="329"/>
      <c r="FS25" s="331" t="str">
        <f t="shared" si="77"/>
        <v>o</v>
      </c>
      <c r="FT25" s="332" t="str">
        <f t="shared" si="78"/>
        <v>•</v>
      </c>
      <c r="FU25" s="332" t="str">
        <f t="shared" si="79"/>
        <v>•</v>
      </c>
      <c r="FV25" s="332" t="str">
        <f t="shared" si="80"/>
        <v>o</v>
      </c>
      <c r="FW25" s="332" t="str">
        <f t="shared" si="81"/>
        <v>•</v>
      </c>
      <c r="FX25" s="332" t="str">
        <f t="shared" si="82"/>
        <v>o</v>
      </c>
      <c r="FY25" s="332" t="str">
        <f t="shared" si="83"/>
        <v>•</v>
      </c>
      <c r="FZ25" s="332" t="str">
        <f t="shared" si="84"/>
        <v>o</v>
      </c>
      <c r="GA25" s="332" t="str">
        <f t="shared" si="85"/>
        <v>•</v>
      </c>
      <c r="GB25" s="332" t="str">
        <f t="shared" si="86"/>
        <v>•</v>
      </c>
      <c r="GC25" s="332" t="str">
        <f t="shared" si="87"/>
        <v>o</v>
      </c>
      <c r="GD25" s="332" t="str">
        <f t="shared" si="88"/>
        <v>•</v>
      </c>
      <c r="GE25" s="338" t="str">
        <f t="shared" si="89"/>
        <v>o</v>
      </c>
      <c r="GF25" s="339" t="str">
        <f t="shared" si="90"/>
        <v>-</v>
      </c>
      <c r="GG25" s="339" t="str">
        <f t="shared" si="91"/>
        <v>Sa-Pa</v>
      </c>
      <c r="GH25" s="339" t="str">
        <f t="shared" si="92"/>
        <v>-</v>
      </c>
      <c r="GI25" s="340" t="str">
        <f t="shared" si="93"/>
        <v>-</v>
      </c>
      <c r="GJ25" s="331" t="str">
        <f t="shared" si="94"/>
        <v>S</v>
      </c>
      <c r="GK25" s="332" t="str">
        <f t="shared" si="95"/>
        <v/>
      </c>
      <c r="GL25" s="332" t="str">
        <f t="shared" si="96"/>
        <v>R</v>
      </c>
      <c r="GM25" s="332" t="str">
        <f t="shared" si="97"/>
        <v/>
      </c>
      <c r="GN25" s="332" t="str">
        <f t="shared" si="98"/>
        <v/>
      </c>
      <c r="GO25" s="332" t="str">
        <f t="shared" si="99"/>
        <v>m</v>
      </c>
      <c r="GP25" s="332" t="str">
        <f t="shared" si="100"/>
        <v/>
      </c>
      <c r="GQ25" s="332" t="str">
        <f t="shared" si="101"/>
        <v>P</v>
      </c>
      <c r="GR25" s="332" t="str">
        <f t="shared" si="102"/>
        <v/>
      </c>
      <c r="GS25" s="332" t="str">
        <f t="shared" si="103"/>
        <v>D</v>
      </c>
      <c r="GT25" s="332" t="str">
        <f t="shared" si="104"/>
        <v/>
      </c>
      <c r="GU25" s="332" t="str">
        <f t="shared" si="105"/>
        <v/>
      </c>
      <c r="GV25" s="343" t="str">
        <f t="shared" si="106"/>
        <v>S</v>
      </c>
      <c r="GW25" s="331" t="str">
        <f t="shared" si="107"/>
        <v>•</v>
      </c>
      <c r="GX25" s="332" t="str">
        <f t="shared" si="108"/>
        <v>o</v>
      </c>
      <c r="GY25" s="332" t="str">
        <f t="shared" si="109"/>
        <v>o</v>
      </c>
      <c r="GZ25" s="332" t="str">
        <f t="shared" si="110"/>
        <v>•</v>
      </c>
      <c r="HA25" s="332" t="str">
        <f t="shared" si="111"/>
        <v>o</v>
      </c>
      <c r="HB25" s="332" t="str">
        <f t="shared" si="112"/>
        <v>•</v>
      </c>
      <c r="HC25" s="332" t="str">
        <f t="shared" si="113"/>
        <v>o</v>
      </c>
      <c r="HD25" s="332" t="str">
        <f t="shared" si="114"/>
        <v>•</v>
      </c>
      <c r="HE25" s="332" t="str">
        <f t="shared" si="115"/>
        <v>o</v>
      </c>
      <c r="HF25" s="332" t="str">
        <f t="shared" si="116"/>
        <v>o</v>
      </c>
      <c r="HG25" s="332" t="str">
        <f t="shared" si="117"/>
        <v>•</v>
      </c>
      <c r="HH25" s="332" t="str">
        <f t="shared" si="118"/>
        <v>o</v>
      </c>
      <c r="HI25" s="338" t="str">
        <f t="shared" si="119"/>
        <v>•</v>
      </c>
      <c r="HJ25" s="346" t="b">
        <f t="shared" si="120"/>
        <v>0</v>
      </c>
      <c r="HK25" s="347" t="b">
        <f t="shared" si="121"/>
        <v>0</v>
      </c>
      <c r="HL25" s="347" t="b">
        <f t="shared" si="122"/>
        <v>0</v>
      </c>
      <c r="HM25" s="347" t="b">
        <f t="shared" si="123"/>
        <v>0</v>
      </c>
      <c r="HN25" s="347" t="b">
        <f t="shared" si="124"/>
        <v>0</v>
      </c>
      <c r="HO25" s="347" t="b">
        <f t="shared" si="125"/>
        <v>0</v>
      </c>
      <c r="HP25" s="347" t="b">
        <f t="shared" si="126"/>
        <v>0</v>
      </c>
      <c r="HQ25" s="347" t="b">
        <f t="shared" si="127"/>
        <v>1</v>
      </c>
      <c r="HR25" s="347" t="b">
        <f t="shared" si="128"/>
        <v>0</v>
      </c>
      <c r="HS25" s="347" t="b">
        <f t="shared" si="129"/>
        <v>0</v>
      </c>
      <c r="HT25" s="347" t="b">
        <f t="shared" si="130"/>
        <v>0</v>
      </c>
      <c r="HU25" s="347" t="b">
        <f t="shared" si="131"/>
        <v>0</v>
      </c>
      <c r="HV25" s="353" t="b">
        <f t="shared" si="132"/>
        <v>0</v>
      </c>
      <c r="HW25" s="354" t="str">
        <f t="shared" si="133"/>
        <v/>
      </c>
      <c r="HX25" s="355" t="str">
        <f t="shared" si="134"/>
        <v/>
      </c>
      <c r="HY25" s="355" t="str">
        <f t="shared" si="135"/>
        <v/>
      </c>
      <c r="HZ25" s="355" t="str">
        <f t="shared" si="136"/>
        <v/>
      </c>
      <c r="IA25" s="355" t="str">
        <f t="shared" si="137"/>
        <v/>
      </c>
      <c r="IB25" s="355" t="str">
        <f t="shared" si="138"/>
        <v/>
      </c>
      <c r="IC25" s="355" t="str">
        <f t="shared" si="139"/>
        <v/>
      </c>
      <c r="ID25" s="355" t="str">
        <f t="shared" si="140"/>
        <v>Pa, </v>
      </c>
      <c r="IE25" s="355" t="str">
        <f t="shared" si="141"/>
        <v/>
      </c>
      <c r="IF25" s="355" t="str">
        <f t="shared" si="142"/>
        <v/>
      </c>
      <c r="IG25" s="355" t="str">
        <f t="shared" si="143"/>
        <v/>
      </c>
      <c r="IH25" s="355" t="str">
        <f t="shared" si="144"/>
        <v/>
      </c>
      <c r="II25" s="359" t="str">
        <f t="shared" si="145"/>
        <v/>
      </c>
      <c r="IJ25" s="346" t="b">
        <f t="shared" si="146"/>
        <v>0</v>
      </c>
      <c r="IK25" s="347" t="b">
        <f t="shared" si="147"/>
        <v>0</v>
      </c>
      <c r="IL25" s="347" t="b">
        <f t="shared" si="148"/>
        <v>0</v>
      </c>
      <c r="IM25" s="347" t="b">
        <f t="shared" si="149"/>
        <v>0</v>
      </c>
      <c r="IN25" s="347" t="b">
        <f t="shared" si="150"/>
        <v>0</v>
      </c>
      <c r="IO25" s="347" t="b">
        <f t="shared" si="151"/>
        <v>0</v>
      </c>
      <c r="IP25" s="347" t="b">
        <f t="shared" si="152"/>
        <v>0</v>
      </c>
      <c r="IQ25" s="347" t="b">
        <f t="shared" si="153"/>
        <v>0</v>
      </c>
      <c r="IR25" s="347" t="b">
        <f t="shared" si="154"/>
        <v>0</v>
      </c>
      <c r="IS25" s="347" t="b">
        <f t="shared" si="155"/>
        <v>0</v>
      </c>
      <c r="IT25" s="347" t="b">
        <f t="shared" si="156"/>
        <v>0</v>
      </c>
      <c r="IU25" s="347" t="b">
        <f t="shared" si="157"/>
        <v>0</v>
      </c>
      <c r="IV25" s="365" t="b">
        <f t="shared" si="158"/>
        <v>0</v>
      </c>
      <c r="IW25" s="354" t="str">
        <f t="shared" si="159"/>
        <v/>
      </c>
      <c r="IX25" s="355" t="str">
        <f t="shared" si="160"/>
        <v/>
      </c>
      <c r="IY25" s="355" t="str">
        <f t="shared" si="161"/>
        <v/>
      </c>
      <c r="IZ25" s="355" t="str">
        <f t="shared" si="162"/>
        <v/>
      </c>
      <c r="JA25" s="355" t="str">
        <f t="shared" si="163"/>
        <v/>
      </c>
      <c r="JB25" s="355" t="str">
        <f t="shared" si="164"/>
        <v/>
      </c>
      <c r="JC25" s="355" t="str">
        <f t="shared" si="165"/>
        <v/>
      </c>
      <c r="JD25" s="355" t="str">
        <f t="shared" si="166"/>
        <v/>
      </c>
      <c r="JE25" s="355" t="str">
        <f t="shared" si="167"/>
        <v/>
      </c>
      <c r="JF25" s="355" t="str">
        <f t="shared" si="168"/>
        <v/>
      </c>
      <c r="JG25" s="355" t="str">
        <f t="shared" si="169"/>
        <v/>
      </c>
      <c r="JH25" s="355" t="str">
        <f t="shared" si="170"/>
        <v/>
      </c>
      <c r="JI25" s="359"/>
      <c r="JJ25" s="321"/>
      <c r="JK25" s="368"/>
      <c r="JL25" s="369"/>
      <c r="JM25" s="369"/>
      <c r="JN25" s="369"/>
      <c r="JO25" s="369"/>
      <c r="JP25" s="369"/>
      <c r="JQ25" s="369"/>
      <c r="JR25" s="369"/>
      <c r="JS25" s="369"/>
      <c r="JT25" s="369"/>
      <c r="JU25" s="369"/>
    </row>
    <row r="26" ht="20.25" customHeight="1">
      <c r="A26" s="221" t="s">
        <v>723</v>
      </c>
      <c r="B26" s="223" t="s">
        <v>724</v>
      </c>
      <c r="C26" s="222" t="s">
        <v>275</v>
      </c>
      <c r="D26" s="222"/>
      <c r="E26" s="222" t="s">
        <v>275</v>
      </c>
      <c r="F26" s="222" t="s">
        <v>275</v>
      </c>
      <c r="G26" s="395" t="s">
        <v>275</v>
      </c>
      <c r="H26" s="222">
        <v>24.0</v>
      </c>
      <c r="I26" s="224" t="s">
        <v>1219</v>
      </c>
      <c r="J26" s="225" t="str">
        <f t="shared" si="5"/>
        <v>[UQ]</v>
      </c>
      <c r="K26" s="227">
        <f t="shared" si="6"/>
        <v>7</v>
      </c>
      <c r="L26" s="229">
        <f t="shared" si="7"/>
        <v>5</v>
      </c>
      <c r="M26" s="230">
        <f t="shared" si="8"/>
        <v>2</v>
      </c>
      <c r="N26" s="233" t="str">
        <f t="shared" si="9"/>
        <v>SgGmdnNS</v>
      </c>
      <c r="O26" s="234" t="str">
        <f>IFERROR(__xludf.DUMMYFUNCTION("IF(REGEXMATCH(N26, ""S""), ""S"","""")"),"S")</f>
        <v>S</v>
      </c>
      <c r="P26" s="236" t="str">
        <f>IFERROR(__xludf.DUMMYFUNCTION("IF(REGEXMATCH(N26, ""r""), ""r"","""")"),"")</f>
        <v/>
      </c>
      <c r="Q26" s="237" t="str">
        <f>IFERROR(__xludf.DUMMYFUNCTION("IF(REGEXMATCH(N26, ""R""), ""R"","""")"),"")</f>
        <v/>
      </c>
      <c r="R26" s="237" t="str">
        <f>IFERROR(__xludf.DUMMYFUNCTION("IF(REGEXMATCH(N26, ""g""), ""g"","""")"),"g")</f>
        <v>g</v>
      </c>
      <c r="S26" s="236" t="str">
        <f>IFERROR(__xludf.DUMMYFUNCTION("IF(REGEXMATCH(N26, ""G""), ""G"","""")"),"G")</f>
        <v>G</v>
      </c>
      <c r="T26" s="236" t="str">
        <f>IFERROR(__xludf.DUMMYFUNCTION("IF(REGEXMATCH(N26, ""m""), ""m"","""")"),"m")</f>
        <v>m</v>
      </c>
      <c r="U26" s="237" t="str">
        <f>IFERROR(__xludf.DUMMYFUNCTION("IF(REGEXMATCH(N26, ""M""), ""M"","""")"),"")</f>
        <v/>
      </c>
      <c r="V26" s="236" t="str">
        <f>IFERROR(__xludf.DUMMYFUNCTION("IF(REGEXMATCH(N26, ""P""), ""P"","""")"),"")</f>
        <v/>
      </c>
      <c r="W26" s="237" t="str">
        <f>IFERROR(__xludf.DUMMYFUNCTION("IF(REGEXMATCH(N26, ""d""), ""d"","""")"),"d")</f>
        <v>d</v>
      </c>
      <c r="X26" s="236" t="str">
        <f>IFERROR(__xludf.DUMMYFUNCTION("IF(REGEXMATCH(N26, ""D""), ""D"","""")"),"")</f>
        <v/>
      </c>
      <c r="Y26" s="236" t="str">
        <f>IFERROR(__xludf.DUMMYFUNCTION("IF(REGEXMATCH(N26, ""n""), ""n"","""")"),"n")</f>
        <v>n</v>
      </c>
      <c r="Z26" s="237" t="str">
        <f>IFERROR(__xludf.DUMMYFUNCTION("IF(REGEXMATCH(N26, ""N""), ""N"","""")"),"N")</f>
        <v>N</v>
      </c>
      <c r="AA26" s="238" t="str">
        <f>IFERROR(__xludf.DUMMYFUNCTION("IF(REGEXMATCH(N26, ""S""), ""S"","""")"),"S")</f>
        <v>S</v>
      </c>
      <c r="AB26" s="239" t="str">
        <f>IFERROR(__xludf.DUMMYFUNCTION("SUBSTITUTE(CONCATENATE(JOIN(""-"",O26:U26)),""-"","""")"),"SgGm")</f>
        <v>SgGm</v>
      </c>
      <c r="AC26" s="229" t="str">
        <f>IFERROR(__xludf.DUMMYFUNCTION("SUBSTITUTE(CONCATENATE(JOIN(""-"",V26:AA26)),""-"","""")"),"dnNS")</f>
        <v>dnNS</v>
      </c>
      <c r="AD26" s="282" t="str">
        <f t="shared" si="10"/>
        <v>S-G-M</v>
      </c>
      <c r="AE26" s="282" t="str">
        <f t="shared" si="11"/>
        <v>D-N-S</v>
      </c>
      <c r="AF26" s="309" t="str">
        <f t="shared" si="12"/>
        <v>gGmdnN</v>
      </c>
      <c r="AG26" s="244" t="str">
        <f>IFERROR(__xludf.DUMMYFUNCTION("IF(REGEXMATCH(N26, ""S""), ""0"","""")"),"0")</f>
        <v>0</v>
      </c>
      <c r="AH26" s="245" t="str">
        <f>IFERROR(__xludf.DUMMYFUNCTION("IF(REGEXMATCH(N26, ""r""), ""1"","""")"),"")</f>
        <v/>
      </c>
      <c r="AI26" s="246" t="str">
        <f>IFERROR(__xludf.DUMMYFUNCTION("IF(REGEXMATCH(N26, ""R""), ""2"","""")"),"")</f>
        <v/>
      </c>
      <c r="AJ26" s="246" t="str">
        <f>IFERROR(__xludf.DUMMYFUNCTION("IF(REGEXMATCH(N26, ""g""), ""3"","""")"),"3")</f>
        <v>3</v>
      </c>
      <c r="AK26" s="245" t="str">
        <f>IFERROR(__xludf.DUMMYFUNCTION("IF(REGEXMATCH(N26, ""G""), ""4"","""")"),"4")</f>
        <v>4</v>
      </c>
      <c r="AL26" s="245" t="str">
        <f>IFERROR(__xludf.DUMMYFUNCTION("IF(REGEXMATCH(N26, ""m""), ""5"","""")"),"5")</f>
        <v>5</v>
      </c>
      <c r="AM26" s="246" t="str">
        <f>IFERROR(__xludf.DUMMYFUNCTION("IF(REGEXMATCH(N26, ""M""), ""6"","""")"),"")</f>
        <v/>
      </c>
      <c r="AN26" s="245" t="str">
        <f>IFERROR(__xludf.DUMMYFUNCTION("IF(REGEXMATCH(N26, ""P""), ""7"","""")"),"")</f>
        <v/>
      </c>
      <c r="AO26" s="246" t="str">
        <f>IFERROR(__xludf.DUMMYFUNCTION("IF(REGEXMATCH(N26, ""d""), ""8"","""")"),"8")</f>
        <v>8</v>
      </c>
      <c r="AP26" s="245" t="str">
        <f>IFERROR(__xludf.DUMMYFUNCTION("IF(REGEXMATCH(N26, ""D""), ""9"","""")"),"")</f>
        <v/>
      </c>
      <c r="AQ26" s="245" t="str">
        <f>IFERROR(__xludf.DUMMYFUNCTION("IF(REGEXMATCH(N26, ""n""), ""10"","""")"),"10")</f>
        <v>10</v>
      </c>
      <c r="AR26" s="246" t="str">
        <f>IFERROR(__xludf.DUMMYFUNCTION("IF(REGEXMATCH(N26, ""N""), ""11"","""")"),"11")</f>
        <v>11</v>
      </c>
      <c r="AS26" s="249" t="str">
        <f>IFERROR(__xludf.DUMMYFUNCTION("IF(REGEXMATCH(N26, ""S""), ""0"","""")"),"0")</f>
        <v>0</v>
      </c>
      <c r="AT26" s="250" t="str">
        <f>IFERROR(__xludf.DUMMYFUNCTION("SUBSTITUTE(SUBSTITUTE(SUBSTITUTE(SUBSTITUTE(CONCATENATE(JOIN(""-"",AG26:AS26)),""--"",""-""),""--"",""-""),""--"",""-""),""--"",""-"")"),"0-3-4-5-8-10-11-0")</f>
        <v>0-3-4-5-8-10-11-0</v>
      </c>
      <c r="AU26" s="251">
        <f t="shared" si="13"/>
        <v>0</v>
      </c>
      <c r="AV26" s="234" t="str">
        <f t="shared" si="14"/>
        <v>|</v>
      </c>
      <c r="AW26" s="236" t="str">
        <f t="shared" si="15"/>
        <v>-</v>
      </c>
      <c r="AX26" s="237" t="str">
        <f t="shared" si="16"/>
        <v>-</v>
      </c>
      <c r="AY26" s="236" t="str">
        <f t="shared" si="17"/>
        <v>|</v>
      </c>
      <c r="AZ26" s="237" t="str">
        <f t="shared" si="18"/>
        <v>|</v>
      </c>
      <c r="BA26" s="236" t="str">
        <f t="shared" si="19"/>
        <v>|</v>
      </c>
      <c r="BB26" s="237" t="str">
        <f t="shared" si="20"/>
        <v>-</v>
      </c>
      <c r="BC26" s="236" t="str">
        <f t="shared" si="21"/>
        <v>-</v>
      </c>
      <c r="BD26" s="237" t="str">
        <f t="shared" si="22"/>
        <v>|</v>
      </c>
      <c r="BE26" s="236" t="str">
        <f t="shared" si="23"/>
        <v>-</v>
      </c>
      <c r="BF26" s="237" t="str">
        <f t="shared" si="24"/>
        <v>|</v>
      </c>
      <c r="BG26" s="236" t="str">
        <f t="shared" si="25"/>
        <v>|</v>
      </c>
      <c r="BH26" s="238" t="str">
        <f t="shared" si="26"/>
        <v>|</v>
      </c>
      <c r="BI26" s="250" t="str">
        <f>IFERROR(__xludf.DUMMYFUNCTION("SUBSTITUTE(SUBSTITUTE(CONCATENATE(JOIN("""",AV26:BG26)),""|"",""x""),""-"",""o"")"),"xooxxxooxoxx")</f>
        <v>xooxxxooxoxx</v>
      </c>
      <c r="BJ26" s="323" t="str">
        <f>IFERROR(__xludf.DUMMYFUNCTION("JOIN("""",BI26,BI26)"),"xooxxxooxoxxxooxxxooxoxx")</f>
        <v>xooxxxooxoxxxooxxxooxoxx</v>
      </c>
      <c r="BK26" s="256" t="str">
        <f>IFERROR(__xludf.DUMMYFUNCTION("JOIN("""",ArrayFormula(MID(BI26,LEN(BI26)-SEQUENCE(1,LEN(BI26))+1,1)))"),"xxoxooxxxoox")</f>
        <v>xxoxooxxxoox</v>
      </c>
      <c r="BL26" s="256" t="str">
        <f>IFERROR(__xludf.DUMMYFUNCTION("LEFT(CONCATENATE(""x"",JOIN("""",ArrayFormula(MID(BI26,LEN(BI26)-SEQUENCE(1,LEN(BI26))+1,1)))),12)"),"xxxoxooxxxoo")</f>
        <v>xxxoxooxxxoo</v>
      </c>
      <c r="BM26" s="327" t="str">
        <f>IFERROR(__xludf.DUMMYFUNCTION("JOIN("""",BK26,BK26)"),"xxoxooxxxooxxxoxooxxxoox")</f>
        <v>xxoxooxxxooxxxoxooxxxoox</v>
      </c>
      <c r="BN26" s="239" t="str">
        <f>IFERROR(__xludf.DUMMYFUNCTION("IF(REGEXMATCH(BM26,BI26),""✔"",""-"")"),"-")</f>
        <v>-</v>
      </c>
      <c r="BO26" s="330" t="str">
        <f t="shared" si="27"/>
        <v>-</v>
      </c>
      <c r="BP26" s="260" t="str">
        <f t="shared" si="28"/>
        <v>-</v>
      </c>
      <c r="BQ26" s="261" t="str">
        <f>IFERROR(__xludf.DUMMYFUNCTION("IF(BT26=0,""(n/a)"",IF(BU26=2,""(PAIR)"",IF(REGEXMATCH(BJ26,""xoxoxxoxoxox""),""Bilawal"",IF(REGEXMATCH(BJ26,""xoxoxooxoxoo""),""Bhupali"",IF(REGEXMATCH(BJ26,""xoxoxxoxxoxo""),""Charukeshi"",IF(REGEXMATCH(BJ26,""xoxoooxxoxxo""),""Kameshwari"",IF(REGEXMATC"&amp;"H(BJ26,""xoxoxooxoxox""),""Shankara"",IF(REGEXMATCH(BJ26,""xxooxoxxxoox""),""Basant"",IF(REGEXMATCH(BJ26,""xoxoxxxxoxox""),""Bihag"",IF(REGEXMATCH(BJ26,""xoxxxxoxoxxx""),""Pilu"",IF(REGEXMATCH(BJ26,""xoxxoxoxxoox""),""Kirwani"",IF(REGEXMATCH(BJ26,""xoxxox"&amp;"oxoxxx""),""Mk.Malhar"",IF(REGEXMATCH(BJ26,""xxooxxoxxoox""),""Bhairav"",IF(REGEXMATCH(BJ26,""xxoxooxxxoox""),""Todi"",IF(REGEXMATCH(BJ26,""xxooxoxooxox""),""Marwa"",IF(REGEXMATCH(BJ26,""xxoooxoxxooo""),""Gunkali"",IF(REGEXMATCH(BJ26,""xoxoxxoxxoox""),""N"&amp;"at Bhairav"",IF(REGEXMATCH(BJ26,""xoxxoooxoxoo""),""Shivranjani"",IF(REGEXMATCH(BJ26,""xooxxxoxooxo""),""Jog"",IF(REGEXMATCH(BJ26,""xxooxoxoxoox""),""Hemshri"",IF(REGEXMATCH(BJ26,""xoooxooxoxxo""),""Kalavati"",IF(REGEXMATCH(BJ26,""xxoxoxxoxoox""),""Kedar"&amp;""",IF(REGEXMATCH(BJ26,""xoxxxxoxooxx""),""Gara"",IF(REGEXMATCH(BJ26,""xooxoxooxoox""),""Chandrakauns"",IF(REGEXMATCH(BJ26,""xoxxxxoxxxox""),""Mand"",IF(REGEXMATCH(BJ26,""xoxxxxoxoxox""),""Hanskinkini"",IF(REGEXMATCH(BJ26,""xxooxxoxooxo""),""Lilavati"",IF("&amp;"REGEXMATCH(BJ26,""xooxoxoooxox""),""Rajeshwari"",IF(REGEXMATCH(BJ26,""xoooxxoxoxxx""),""Khokar"",IF(REGEXMATCH(BJ26,""xxooxoxxxxox""),""Maligoura"",""-""))))))))))))))))))))))))))))))"),"(n/a)")</f>
        <v>(n/a)</v>
      </c>
      <c r="BR26" s="239">
        <f t="shared" si="29"/>
        <v>6</v>
      </c>
      <c r="BS26" s="239">
        <f>IFERROR(__xludf.DUMMYFUNCTION("COUNTUNIQUE(BW26:CG26)-1"),6.0)</f>
        <v>6</v>
      </c>
      <c r="BT26" s="239">
        <f>IFERROR(__xludf.DUMMYFUNCTION("COUNTUNIQUE(FILTER(BJ:BJ,REGEXMATCH(BJ:BJ,BI26)))-1"),0.0)</f>
        <v>0</v>
      </c>
      <c r="BU26" s="239">
        <f>IFERROR(__xludf.DUMMYFUNCTION("COUNTA(FILTER(BJ:BJ,REGEXMATCH(BJ:BJ,BI26)))"),1.0)</f>
        <v>1</v>
      </c>
      <c r="BV26" s="341">
        <f>IFERROR(__xludf.DUMMYFUNCTION("COUNTA(FILTER(BJ:BJ,REGEXMATCH(BJ:BJ,BI26)))-AU26"),1.0)</f>
        <v>1</v>
      </c>
      <c r="BW26" s="269" t="str">
        <f t="shared" si="30"/>
        <v>-</v>
      </c>
      <c r="BX26" s="269" t="str">
        <f t="shared" si="31"/>
        <v>-</v>
      </c>
      <c r="BY26" s="271" t="str">
        <f t="shared" si="32"/>
        <v>xxxooxoxxxo</v>
      </c>
      <c r="BZ26" s="269" t="str">
        <f t="shared" si="33"/>
        <v>xxooxoxxxoo</v>
      </c>
      <c r="CA26" s="271" t="str">
        <f t="shared" si="34"/>
        <v>xooxoxxxoox</v>
      </c>
      <c r="CB26" s="271" t="str">
        <f t="shared" si="35"/>
        <v>-</v>
      </c>
      <c r="CC26" s="271" t="str">
        <f t="shared" si="36"/>
        <v>-</v>
      </c>
      <c r="CD26" s="271" t="str">
        <f t="shared" si="37"/>
        <v>xoxxxooxxxo</v>
      </c>
      <c r="CE26" s="271" t="str">
        <f t="shared" si="38"/>
        <v>-</v>
      </c>
      <c r="CF26" s="271" t="str">
        <f t="shared" si="39"/>
        <v>xxxooxxxoox</v>
      </c>
      <c r="CG26" s="274" t="str">
        <f t="shared" si="40"/>
        <v>xxooxxxooxo</v>
      </c>
      <c r="CH26" s="276" t="str">
        <f>IFERROR(__xludf.DUMMYFUNCTION("IF(BI26=""oooooooooooo"",""-"",IF(REGEXMATCH(BJ26,""xx""), ""Hemi."", ""Anhemi.""))"),"Hemi.")</f>
        <v>Hemi.</v>
      </c>
      <c r="CI26" s="282" t="str">
        <f>IFERROR(__xludf.DUMMYFUNCTION("IF(BI26=""oooooooooooo"",""-"",IF(REGEXMATCH(BJ26,""xxx""), ""Cohem."", ""-""))"),"Cohem.")</f>
        <v>Cohem.</v>
      </c>
      <c r="CJ26" s="282" t="str">
        <f>IFERROR(__xludf.DUMMYFUNCTION("IF(BI26=""oooooooooooo"",""-"",IF(REGEXMATCH(BJ26,""xxxx""), ""Co-Co."", ""-""))"),"-")</f>
        <v>-</v>
      </c>
      <c r="CK26" s="342" t="str">
        <f>IFERROR(__xludf.DUMMYFUNCTION("IF(BI26=""oooooooooooo"",""-"",IF(REGEXMATCH(BJ26,""xxxxx""), ""CCC."", ""-""))"),"-")</f>
        <v>-</v>
      </c>
      <c r="CL26" s="344" t="str">
        <f t="shared" si="41"/>
        <v>-</v>
      </c>
      <c r="CM26" s="282" t="str">
        <f>IFERROR(__xludf.DUMMYFUNCTION("IF(REGEXMATCH(JOIN(""-"",CO26:CX26),""TRUE""),""✔"",""-"")"),"-")</f>
        <v>-</v>
      </c>
      <c r="CN26" s="225">
        <f t="shared" si="42"/>
        <v>0</v>
      </c>
      <c r="CO26" s="376" t="b">
        <f>IFERROR(__xludf.DUMMYFUNCTION("arrayformula(sum(--REGEXMATCH(""SRGMPDNS"",split(REGEXREPLACE(N26,""(.)"",""$1~""),""~""))))=len(N26)
"),FALSE)</f>
        <v>0</v>
      </c>
      <c r="CP26" s="290" t="b">
        <f>IFERROR(__xludf.DUMMYFUNCTION("arrayformula(sum(--REGEXMATCH(""SRGmPDNS"",split(REGEXREPLACE(N26,""(.)"",""$1~""),""~""))))=len(N26)"),FALSE)</f>
        <v>0</v>
      </c>
      <c r="CQ26" s="290" t="b">
        <f>IFERROR(__xludf.DUMMYFUNCTION("arrayformula(sum(--REGEXMATCH(""SRGmPDnS"",split(REGEXREPLACE(N26,""(.)"",""$1~""),""~""))))=len(N26)"),FALSE)</f>
        <v>0</v>
      </c>
      <c r="CR26" s="290" t="b">
        <f>IFERROR(__xludf.DUMMYFUNCTION("arrayformula(sum(--REGEXMATCH(""SRgmPDnS"",split(REGEXREPLACE(N26,""(.)"",""$1~""),""~""))))=len(N26)"),FALSE)</f>
        <v>0</v>
      </c>
      <c r="CS26" s="290" t="b">
        <f>IFERROR(__xludf.DUMMYFUNCTION("arrayformula(sum(--REGEXMATCH(""SRgmPdnS"",split(REGEXREPLACE(N26,""(.)"",""$1~""),""~""))))=len(N26)"),FALSE)</f>
        <v>0</v>
      </c>
      <c r="CT26" s="290" t="b">
        <f>IFERROR(__xludf.DUMMYFUNCTION("arrayformula(sum(--REGEXMATCH(""SrgmPdnS"",split(REGEXREPLACE(N26,""(.)"",""$1~""),""~""))))=len(N26)"),FALSE)</f>
        <v>0</v>
      </c>
      <c r="CU26" s="290" t="b">
        <f>IFERROR(__xludf.DUMMYFUNCTION("arrayformula(sum(--REGEXMATCH(""SrGmPdNS"",split(REGEXREPLACE(N26,""(.)"",""$1~""),""~""))))=len(N26)"),FALSE)</f>
        <v>0</v>
      </c>
      <c r="CV26" s="290" t="b">
        <f>IFERROR(__xludf.DUMMYFUNCTION("arrayformula(sum(--REGEXMATCH(""SrGMPDNS"",split(REGEXREPLACE(N26,""(.)"",""$1~""),""~""))))=len(N26)"),FALSE)</f>
        <v>0</v>
      </c>
      <c r="CW26" s="290" t="b">
        <f>IFERROR(__xludf.DUMMYFUNCTION("arrayformula(sum(--REGEXMATCH(""SrGMPdNS"",split(REGEXREPLACE(N26,""(.)"",""$1~""),""~""))))=len(N26)"),FALSE)</f>
        <v>0</v>
      </c>
      <c r="CX26" s="293" t="b">
        <f>IFERROR(__xludf.DUMMYFUNCTION("arrayformula(sum(--REGEXMATCH(""SrgMPdNS"",split(REGEXREPLACE(N26,""(.)"",""$1~""),""~""))))=len(N26)"),FALSE)</f>
        <v>0</v>
      </c>
      <c r="CY26" s="244" t="str">
        <f>IFERROR(__xludf.DUMMYFUNCTION("IF(REGEXMATCH(N26, ""S""), ""1"","""")"),"1")</f>
        <v>1</v>
      </c>
      <c r="CZ26" s="245" t="str">
        <f>IFERROR(__xludf.DUMMYFUNCTION("IF(REGEXMATCH(N26, ""r""), ""b2"","""")"),"")</f>
        <v/>
      </c>
      <c r="DA26" s="246" t="str">
        <f>IFERROR(__xludf.DUMMYFUNCTION("IF(REGEXMATCH(N26, ""R""), ""2"","""")"),"")</f>
        <v/>
      </c>
      <c r="DB26" s="246" t="str">
        <f>IFERROR(__xludf.DUMMYFUNCTION("IF(REGEXMATCH(N26, ""g""), ""b3"","""")"),"b3")</f>
        <v>b3</v>
      </c>
      <c r="DC26" s="245" t="str">
        <f>IFERROR(__xludf.DUMMYFUNCTION("IF(REGEXMATCH(N26, ""G""), ""3"","""")"),"3")</f>
        <v>3</v>
      </c>
      <c r="DD26" s="245" t="str">
        <f>IFERROR(__xludf.DUMMYFUNCTION("IF(REGEXMATCH(N26, ""m""), ""4"","""")"),"4")</f>
        <v>4</v>
      </c>
      <c r="DE26" s="246" t="str">
        <f>IFERROR(__xludf.DUMMYFUNCTION("IF(REGEXMATCH(N26, ""M""), ""#4"","""")"),"")</f>
        <v/>
      </c>
      <c r="DF26" s="245" t="str">
        <f>IFERROR(__xludf.DUMMYFUNCTION("IF(REGEXMATCH(N26, ""P""), ""5"","""")"),"")</f>
        <v/>
      </c>
      <c r="DG26" s="246" t="str">
        <f>IFERROR(__xludf.DUMMYFUNCTION("IF(REGEXMATCH(N26, ""d""), ""b6"","""")"),"b6")</f>
        <v>b6</v>
      </c>
      <c r="DH26" s="245" t="str">
        <f>IFERROR(__xludf.DUMMYFUNCTION("IF(REGEXMATCH(N26, ""D""), ""6"","""")"),"")</f>
        <v/>
      </c>
      <c r="DI26" s="245" t="str">
        <f>IFERROR(__xludf.DUMMYFUNCTION("IF(REGEXMATCH(N26, ""n""), ""b7"","""")"),"b7")</f>
        <v>b7</v>
      </c>
      <c r="DJ26" s="246" t="str">
        <f>IFERROR(__xludf.DUMMYFUNCTION("IF(REGEXMATCH(N26, ""N""), ""7"","""")"),"7")</f>
        <v>7</v>
      </c>
      <c r="DK26" s="249" t="str">
        <f>IFERROR(__xludf.DUMMYFUNCTION("IF(REGEXMATCH(N26, ""S""), ""8"","""")"),"8")</f>
        <v>8</v>
      </c>
      <c r="DL26" s="244" t="str">
        <f>IFERROR(__xludf.DUMMYFUNCTION("IF(REGEXMATCH(N26, ""S""), ""S"","""")"),"S")</f>
        <v>S</v>
      </c>
      <c r="DM26" s="294" t="str">
        <f>IFERROR(__xludf.DUMMYFUNCTION("IF(REGEXMATCH(N26, ""r""), ""R1"","""")"),"")</f>
        <v/>
      </c>
      <c r="DN26" s="295" t="str">
        <f>IFERROR(__xludf.DUMMYFUNCTION("IF(REGEXMATCH(N26, ""R""), ""R2"","""")"),"")</f>
        <v/>
      </c>
      <c r="DO26" s="295" t="str">
        <f>IFERROR(__xludf.DUMMYFUNCTION("IF(REGEXMATCH(N26, ""g""), ""G2"","""")"),"G2")</f>
        <v>G2</v>
      </c>
      <c r="DP26" s="294" t="str">
        <f>IFERROR(__xludf.DUMMYFUNCTION("IF(REGEXMATCH(N26, ""G""), ""G3"","""")"),"G3")</f>
        <v>G3</v>
      </c>
      <c r="DQ26" s="294" t="str">
        <f>IFERROR(__xludf.DUMMYFUNCTION("IF(REGEXMATCH(N26, ""m""), ""M1"","""")"),"M1")</f>
        <v>M1</v>
      </c>
      <c r="DR26" s="295" t="str">
        <f>IFERROR(__xludf.DUMMYFUNCTION("IF(REGEXMATCH(N26, ""M""), ""M2"","""")"),"")</f>
        <v/>
      </c>
      <c r="DS26" s="294" t="str">
        <f>IFERROR(__xludf.DUMMYFUNCTION("IF(REGEXMATCH(N26, ""P""), ""P"","""")"),"")</f>
        <v/>
      </c>
      <c r="DT26" s="295" t="str">
        <f>IFERROR(__xludf.DUMMYFUNCTION("IF(REGEXMATCH(N26, ""d""), ""D1"","""")"),"D1")</f>
        <v>D1</v>
      </c>
      <c r="DU26" s="294" t="str">
        <f>IFERROR(__xludf.DUMMYFUNCTION("IF(REGEXMATCH(N26, ""D""), ""D2"","""")"),"")</f>
        <v/>
      </c>
      <c r="DV26" s="294" t="str">
        <f>IFERROR(__xludf.DUMMYFUNCTION("IF(REGEXMATCH(N26, ""n""), ""N2"","""")"),"N2")</f>
        <v>N2</v>
      </c>
      <c r="DW26" s="295" t="str">
        <f>IFERROR(__xludf.DUMMYFUNCTION("IF(REGEXMATCH(N26, ""N""), ""N3"","""")"),"N3")</f>
        <v>N3</v>
      </c>
      <c r="DX26" s="249" t="str">
        <f>IFERROR(__xludf.DUMMYFUNCTION("IF(REGEXMATCH(N26, ""S""), ""S"","""")"),"S")</f>
        <v>S</v>
      </c>
      <c r="DY26" s="299" t="str">
        <f>IFERROR(__xludf.DUMMYFUNCTION("SUBSTITUTE(SUBSTITUTE(SUBSTITUTE(SUBSTITUTE(CONCATENATE(JOIN(""-"",CY26:DK26)),""--"",""-""),""--"",""-""),""--"",""-""),""--"",""-"")"),"1-b3-3-4-b6-b7-7-8")</f>
        <v>1-b3-3-4-b6-b7-7-8</v>
      </c>
      <c r="DZ26" s="299" t="str">
        <f>IFERROR(__xludf.DUMMYFUNCTION("SUBSTITUTE(SUBSTITUTE(SUBSTITUTE(SUBSTITUTE(CONCATENATE(JOIN(""-"",DL26:DX26)),""--"",""-""),""--"",""-""),""--"",""-""),""--"",""-"")"),"S-G2-G3-M1-D1-N2-N3-S")</f>
        <v>S-G2-G3-M1-D1-N2-N3-S</v>
      </c>
      <c r="EA26" s="348" t="str">
        <f t="shared" si="43"/>
        <v>C-Eb-E-F-Ab-Bb-B-C</v>
      </c>
      <c r="EB26" s="301">
        <f t="shared" si="44"/>
        <v>7</v>
      </c>
      <c r="EC26" s="302" t="str">
        <f t="shared" si="45"/>
        <v>Audav</v>
      </c>
      <c r="ED26" s="301" t="str">
        <f t="shared" ref="ED26:EE26" si="192">SUBSTITUTE(AD26,"-","")</f>
        <v>SGM</v>
      </c>
      <c r="EE26" s="301" t="str">
        <f t="shared" si="192"/>
        <v>DNS</v>
      </c>
      <c r="EF26" s="302" t="str">
        <f t="shared" si="47"/>
        <v>(n/a)</v>
      </c>
      <c r="EG26" s="301" t="str">
        <f t="shared" si="48"/>
        <v>Hemi.</v>
      </c>
      <c r="EH26" s="364" t="str">
        <f t="shared" si="49"/>
        <v>Cohem.</v>
      </c>
      <c r="EI26" s="306" t="str">
        <f t="shared" si="50"/>
        <v>-</v>
      </c>
      <c r="EJ26" s="366" t="str">
        <f t="shared" si="51"/>
        <v>-</v>
      </c>
      <c r="EK26" s="308" t="str">
        <f t="shared" si="52"/>
        <v>✔</v>
      </c>
      <c r="EL26" s="306" t="str">
        <f t="shared" si="53"/>
        <v>-</v>
      </c>
      <c r="EM26" s="306" t="str">
        <f t="shared" si="54"/>
        <v>-</v>
      </c>
      <c r="EN26" s="367" t="str">
        <f t="shared" si="55"/>
        <v>-</v>
      </c>
      <c r="EO26" s="310" t="str">
        <f t="shared" si="56"/>
        <v>-</v>
      </c>
      <c r="EP26" s="310" t="str">
        <f t="shared" si="57"/>
        <v>✔</v>
      </c>
      <c r="EQ26" s="310" t="str">
        <f t="shared" si="58"/>
        <v>-</v>
      </c>
      <c r="ER26" s="310" t="str">
        <f t="shared" si="59"/>
        <v>-</v>
      </c>
      <c r="ES26" s="370" t="str">
        <f t="shared" si="60"/>
        <v>✔</v>
      </c>
      <c r="ET26" s="306" t="str">
        <f t="shared" si="61"/>
        <v>✔</v>
      </c>
      <c r="EU26" s="306" t="str">
        <f t="shared" si="62"/>
        <v>-</v>
      </c>
      <c r="EV26" s="306" t="str">
        <f t="shared" si="63"/>
        <v>-</v>
      </c>
      <c r="EW26" s="306" t="str">
        <f t="shared" si="64"/>
        <v>✔</v>
      </c>
      <c r="EX26" s="306" t="str">
        <f t="shared" si="65"/>
        <v>-</v>
      </c>
      <c r="EY26" s="367" t="str">
        <f t="shared" si="66"/>
        <v>-</v>
      </c>
      <c r="EZ26" s="310" t="str">
        <f>IFERROR(__xludf.DUMMYFUNCTION("IF(REGEXMATCH(BM26,BI26),""✔"",""-"")"),"-")</f>
        <v>-</v>
      </c>
      <c r="FA26" s="310" t="str">
        <f t="shared" si="67"/>
        <v>-</v>
      </c>
      <c r="FB26" s="370" t="str">
        <f t="shared" si="68"/>
        <v>-</v>
      </c>
      <c r="FC26" s="315" t="str">
        <f t="shared" si="69"/>
        <v>[UQ]</v>
      </c>
      <c r="FD26" s="317" t="str">
        <f t="shared" si="70"/>
        <v>S-gG-m-d-nN-S</v>
      </c>
      <c r="FE26" s="318" t="str">
        <f>IFERROR(__xludf.DUMMYFUNCTION("CONCATENATE(JOIN("""",GJ26:GV26))"),"SrRGPdDS")</f>
        <v>SrRGPdDS</v>
      </c>
      <c r="FF26" s="318"/>
      <c r="FG26" s="318"/>
      <c r="FH26" s="321">
        <f t="shared" si="71"/>
        <v>2</v>
      </c>
      <c r="FI26" s="318" t="str">
        <f>IFERROR(__xludf.DUMMYFUNCTION("CONCATENATE(JOIN("""",HW26:II26))"),"Sa, Ni, ")</f>
        <v>Sa, Ni, </v>
      </c>
      <c r="FJ26" s="322">
        <f t="shared" si="72"/>
        <v>0</v>
      </c>
      <c r="FK26" s="324" t="str">
        <f>IFERROR(__xludf.DUMMYFUNCTION("CONCATENATE(JOIN("""",IW26:JI26))"),"")</f>
        <v/>
      </c>
      <c r="FL26" s="325" t="str">
        <f t="shared" si="73"/>
        <v>S-G2-G3-M1-D1-N2-N3-S</v>
      </c>
      <c r="FM26" s="326" t="str">
        <f t="shared" si="74"/>
        <v>1-b3-3-4-b6-b7-7-8</v>
      </c>
      <c r="FN26" s="326" t="str">
        <f t="shared" si="75"/>
        <v>0-3-4-5-8-10-11-0</v>
      </c>
      <c r="FO26" s="318"/>
      <c r="FP26" s="328" t="str">
        <f>IFERROR(__xludf.DUMMYFUNCTION("SUBSTITUTE(SUBSTITUTE(SUBSTITUTE(SUBSTITUTE(CONCATENATE(JOIN("" "",FS26:GE26)),""  "","" ""),""  "","" ""),""  "","" ""),""  "","" "")"),"o • • o o o • • o • o o o")</f>
        <v>o • • o o o • • o • o o o</v>
      </c>
      <c r="FQ26" s="328" t="str">
        <f t="shared" si="76"/>
        <v>Sa-ma</v>
      </c>
      <c r="FR26" s="329"/>
      <c r="FS26" s="331" t="str">
        <f t="shared" si="77"/>
        <v>o</v>
      </c>
      <c r="FT26" s="332" t="str">
        <f t="shared" si="78"/>
        <v>•</v>
      </c>
      <c r="FU26" s="332" t="str">
        <f t="shared" si="79"/>
        <v>•</v>
      </c>
      <c r="FV26" s="332" t="str">
        <f t="shared" si="80"/>
        <v>o</v>
      </c>
      <c r="FW26" s="332" t="str">
        <f t="shared" si="81"/>
        <v>o</v>
      </c>
      <c r="FX26" s="332" t="str">
        <f t="shared" si="82"/>
        <v>o</v>
      </c>
      <c r="FY26" s="332" t="str">
        <f t="shared" si="83"/>
        <v>•</v>
      </c>
      <c r="FZ26" s="332" t="str">
        <f t="shared" si="84"/>
        <v>•</v>
      </c>
      <c r="GA26" s="332" t="str">
        <f t="shared" si="85"/>
        <v>o</v>
      </c>
      <c r="GB26" s="332" t="str">
        <f t="shared" si="86"/>
        <v>•</v>
      </c>
      <c r="GC26" s="332" t="str">
        <f t="shared" si="87"/>
        <v>o</v>
      </c>
      <c r="GD26" s="332" t="str">
        <f t="shared" si="88"/>
        <v>o</v>
      </c>
      <c r="GE26" s="338" t="str">
        <f t="shared" si="89"/>
        <v>o</v>
      </c>
      <c r="GF26" s="339" t="str">
        <f t="shared" si="90"/>
        <v>-</v>
      </c>
      <c r="GG26" s="339" t="str">
        <f t="shared" si="91"/>
        <v>-</v>
      </c>
      <c r="GH26" s="339" t="str">
        <f t="shared" si="92"/>
        <v>-</v>
      </c>
      <c r="GI26" s="340" t="str">
        <f t="shared" si="93"/>
        <v>Sa-ma</v>
      </c>
      <c r="GJ26" s="331" t="str">
        <f t="shared" si="94"/>
        <v>S</v>
      </c>
      <c r="GK26" s="332" t="str">
        <f t="shared" si="95"/>
        <v>r</v>
      </c>
      <c r="GL26" s="332" t="str">
        <f t="shared" si="96"/>
        <v>R</v>
      </c>
      <c r="GM26" s="332" t="str">
        <f t="shared" si="97"/>
        <v/>
      </c>
      <c r="GN26" s="332" t="str">
        <f t="shared" si="98"/>
        <v>G</v>
      </c>
      <c r="GO26" s="332" t="str">
        <f t="shared" si="99"/>
        <v/>
      </c>
      <c r="GP26" s="332" t="str">
        <f t="shared" si="100"/>
        <v/>
      </c>
      <c r="GQ26" s="332" t="str">
        <f t="shared" si="101"/>
        <v>P</v>
      </c>
      <c r="GR26" s="332" t="str">
        <f t="shared" si="102"/>
        <v>d</v>
      </c>
      <c r="GS26" s="332" t="str">
        <f t="shared" si="103"/>
        <v>D</v>
      </c>
      <c r="GT26" s="332" t="str">
        <f t="shared" si="104"/>
        <v/>
      </c>
      <c r="GU26" s="332" t="str">
        <f t="shared" si="105"/>
        <v/>
      </c>
      <c r="GV26" s="343" t="str">
        <f t="shared" si="106"/>
        <v>S</v>
      </c>
      <c r="GW26" s="331" t="str">
        <f t="shared" si="107"/>
        <v>•</v>
      </c>
      <c r="GX26" s="332" t="str">
        <f t="shared" si="108"/>
        <v>o</v>
      </c>
      <c r="GY26" s="332" t="str">
        <f t="shared" si="109"/>
        <v>o</v>
      </c>
      <c r="GZ26" s="332" t="str">
        <f t="shared" si="110"/>
        <v>•</v>
      </c>
      <c r="HA26" s="332" t="str">
        <f t="shared" si="111"/>
        <v>•</v>
      </c>
      <c r="HB26" s="332" t="str">
        <f t="shared" si="112"/>
        <v>•</v>
      </c>
      <c r="HC26" s="332" t="str">
        <f t="shared" si="113"/>
        <v>o</v>
      </c>
      <c r="HD26" s="332" t="str">
        <f t="shared" si="114"/>
        <v>o</v>
      </c>
      <c r="HE26" s="332" t="str">
        <f t="shared" si="115"/>
        <v>•</v>
      </c>
      <c r="HF26" s="332" t="str">
        <f t="shared" si="116"/>
        <v>o</v>
      </c>
      <c r="HG26" s="332" t="str">
        <f t="shared" si="117"/>
        <v>•</v>
      </c>
      <c r="HH26" s="332" t="str">
        <f t="shared" si="118"/>
        <v>•</v>
      </c>
      <c r="HI26" s="338" t="str">
        <f t="shared" si="119"/>
        <v>•</v>
      </c>
      <c r="HJ26" s="346" t="b">
        <f t="shared" si="120"/>
        <v>1</v>
      </c>
      <c r="HK26" s="347" t="b">
        <f t="shared" si="121"/>
        <v>0</v>
      </c>
      <c r="HL26" s="347" t="b">
        <f t="shared" si="122"/>
        <v>0</v>
      </c>
      <c r="HM26" s="347" t="b">
        <f t="shared" si="123"/>
        <v>0</v>
      </c>
      <c r="HN26" s="347" t="b">
        <f t="shared" si="124"/>
        <v>0</v>
      </c>
      <c r="HO26" s="347" t="b">
        <f t="shared" si="125"/>
        <v>0</v>
      </c>
      <c r="HP26" s="347" t="b">
        <f t="shared" si="126"/>
        <v>0</v>
      </c>
      <c r="HQ26" s="347" t="b">
        <f t="shared" si="127"/>
        <v>0</v>
      </c>
      <c r="HR26" s="347" t="b">
        <f t="shared" si="128"/>
        <v>0</v>
      </c>
      <c r="HS26" s="347" t="b">
        <f t="shared" si="129"/>
        <v>0</v>
      </c>
      <c r="HT26" s="347" t="b">
        <f t="shared" si="130"/>
        <v>0</v>
      </c>
      <c r="HU26" s="347" t="b">
        <f t="shared" si="131"/>
        <v>1</v>
      </c>
      <c r="HV26" s="353" t="b">
        <f t="shared" si="132"/>
        <v>1</v>
      </c>
      <c r="HW26" s="354" t="str">
        <f t="shared" si="133"/>
        <v>Sa, </v>
      </c>
      <c r="HX26" s="355" t="str">
        <f t="shared" si="134"/>
        <v/>
      </c>
      <c r="HY26" s="355" t="str">
        <f t="shared" si="135"/>
        <v/>
      </c>
      <c r="HZ26" s="355" t="str">
        <f t="shared" si="136"/>
        <v/>
      </c>
      <c r="IA26" s="355" t="str">
        <f t="shared" si="137"/>
        <v/>
      </c>
      <c r="IB26" s="355" t="str">
        <f t="shared" si="138"/>
        <v/>
      </c>
      <c r="IC26" s="355" t="str">
        <f t="shared" si="139"/>
        <v/>
      </c>
      <c r="ID26" s="355" t="str">
        <f t="shared" si="140"/>
        <v/>
      </c>
      <c r="IE26" s="355" t="str">
        <f t="shared" si="141"/>
        <v/>
      </c>
      <c r="IF26" s="355" t="str">
        <f t="shared" si="142"/>
        <v/>
      </c>
      <c r="IG26" s="355" t="str">
        <f t="shared" si="143"/>
        <v/>
      </c>
      <c r="IH26" s="355" t="str">
        <f t="shared" si="144"/>
        <v>Ni, </v>
      </c>
      <c r="II26" s="359" t="str">
        <f t="shared" si="145"/>
        <v/>
      </c>
      <c r="IJ26" s="346" t="b">
        <f t="shared" si="146"/>
        <v>0</v>
      </c>
      <c r="IK26" s="347" t="b">
        <f t="shared" si="147"/>
        <v>0</v>
      </c>
      <c r="IL26" s="347" t="b">
        <f t="shared" si="148"/>
        <v>0</v>
      </c>
      <c r="IM26" s="347" t="b">
        <f t="shared" si="149"/>
        <v>0</v>
      </c>
      <c r="IN26" s="347" t="b">
        <f t="shared" si="150"/>
        <v>0</v>
      </c>
      <c r="IO26" s="347" t="b">
        <f t="shared" si="151"/>
        <v>0</v>
      </c>
      <c r="IP26" s="347" t="b">
        <f t="shared" si="152"/>
        <v>0</v>
      </c>
      <c r="IQ26" s="347" t="b">
        <f t="shared" si="153"/>
        <v>0</v>
      </c>
      <c r="IR26" s="347" t="b">
        <f t="shared" si="154"/>
        <v>0</v>
      </c>
      <c r="IS26" s="347" t="b">
        <f t="shared" si="155"/>
        <v>0</v>
      </c>
      <c r="IT26" s="347" t="b">
        <f t="shared" si="156"/>
        <v>0</v>
      </c>
      <c r="IU26" s="347" t="b">
        <f t="shared" si="157"/>
        <v>0</v>
      </c>
      <c r="IV26" s="365" t="b">
        <f t="shared" si="158"/>
        <v>0</v>
      </c>
      <c r="IW26" s="354" t="str">
        <f t="shared" si="159"/>
        <v/>
      </c>
      <c r="IX26" s="355" t="str">
        <f t="shared" si="160"/>
        <v/>
      </c>
      <c r="IY26" s="355" t="str">
        <f t="shared" si="161"/>
        <v/>
      </c>
      <c r="IZ26" s="355" t="str">
        <f t="shared" si="162"/>
        <v/>
      </c>
      <c r="JA26" s="355" t="str">
        <f t="shared" si="163"/>
        <v/>
      </c>
      <c r="JB26" s="355" t="str">
        <f t="shared" si="164"/>
        <v/>
      </c>
      <c r="JC26" s="355" t="str">
        <f t="shared" si="165"/>
        <v/>
      </c>
      <c r="JD26" s="355" t="str">
        <f t="shared" si="166"/>
        <v/>
      </c>
      <c r="JE26" s="355" t="str">
        <f t="shared" si="167"/>
        <v/>
      </c>
      <c r="JF26" s="355" t="str">
        <f t="shared" si="168"/>
        <v/>
      </c>
      <c r="JG26" s="355" t="str">
        <f t="shared" si="169"/>
        <v/>
      </c>
      <c r="JH26" s="355" t="str">
        <f t="shared" si="170"/>
        <v/>
      </c>
      <c r="JI26" s="359"/>
      <c r="JJ26" s="321"/>
      <c r="JK26" s="368"/>
      <c r="JL26" s="369"/>
      <c r="JM26" s="369"/>
      <c r="JN26" s="369"/>
      <c r="JO26" s="369"/>
      <c r="JP26" s="369"/>
      <c r="JQ26" s="369"/>
      <c r="JR26" s="369"/>
      <c r="JS26" s="369"/>
      <c r="JT26" s="369"/>
      <c r="JU26" s="369"/>
    </row>
    <row r="27" ht="20.25" customHeight="1">
      <c r="A27" s="221" t="s">
        <v>1273</v>
      </c>
      <c r="B27" s="223" t="s">
        <v>524</v>
      </c>
      <c r="C27" s="222" t="s">
        <v>275</v>
      </c>
      <c r="D27" s="222"/>
      <c r="E27" s="222"/>
      <c r="F27" s="222"/>
      <c r="G27" s="395" t="s">
        <v>275</v>
      </c>
      <c r="H27" s="222">
        <v>25.0</v>
      </c>
      <c r="I27" s="224" t="s">
        <v>1219</v>
      </c>
      <c r="J27" s="225" t="str">
        <f t="shared" si="5"/>
        <v>[UQ]</v>
      </c>
      <c r="K27" s="227">
        <f t="shared" si="6"/>
        <v>7</v>
      </c>
      <c r="L27" s="229">
        <f t="shared" si="7"/>
        <v>7</v>
      </c>
      <c r="M27" s="230">
        <f t="shared" si="8"/>
        <v>0</v>
      </c>
      <c r="N27" s="233" t="str">
        <f t="shared" si="9"/>
        <v>SrgmPDnS</v>
      </c>
      <c r="O27" s="234" t="str">
        <f>IFERROR(__xludf.DUMMYFUNCTION("IF(REGEXMATCH(N27, ""S""), ""S"","""")"),"S")</f>
        <v>S</v>
      </c>
      <c r="P27" s="236" t="str">
        <f>IFERROR(__xludf.DUMMYFUNCTION("IF(REGEXMATCH(N27, ""r""), ""r"","""")"),"r")</f>
        <v>r</v>
      </c>
      <c r="Q27" s="237" t="str">
        <f>IFERROR(__xludf.DUMMYFUNCTION("IF(REGEXMATCH(N27, ""R""), ""R"","""")"),"")</f>
        <v/>
      </c>
      <c r="R27" s="237" t="str">
        <f>IFERROR(__xludf.DUMMYFUNCTION("IF(REGEXMATCH(N27, ""g""), ""g"","""")"),"g")</f>
        <v>g</v>
      </c>
      <c r="S27" s="236" t="str">
        <f>IFERROR(__xludf.DUMMYFUNCTION("IF(REGEXMATCH(N27, ""G""), ""G"","""")"),"")</f>
        <v/>
      </c>
      <c r="T27" s="236" t="str">
        <f>IFERROR(__xludf.DUMMYFUNCTION("IF(REGEXMATCH(N27, ""m""), ""m"","""")"),"m")</f>
        <v>m</v>
      </c>
      <c r="U27" s="237" t="str">
        <f>IFERROR(__xludf.DUMMYFUNCTION("IF(REGEXMATCH(N27, ""M""), ""M"","""")"),"")</f>
        <v/>
      </c>
      <c r="V27" s="236" t="str">
        <f>IFERROR(__xludf.DUMMYFUNCTION("IF(REGEXMATCH(N27, ""P""), ""P"","""")"),"P")</f>
        <v>P</v>
      </c>
      <c r="W27" s="237" t="str">
        <f>IFERROR(__xludf.DUMMYFUNCTION("IF(REGEXMATCH(N27, ""d""), ""d"","""")"),"")</f>
        <v/>
      </c>
      <c r="X27" s="236" t="str">
        <f>IFERROR(__xludf.DUMMYFUNCTION("IF(REGEXMATCH(N27, ""D""), ""D"","""")"),"D")</f>
        <v>D</v>
      </c>
      <c r="Y27" s="236" t="str">
        <f>IFERROR(__xludf.DUMMYFUNCTION("IF(REGEXMATCH(N27, ""n""), ""n"","""")"),"n")</f>
        <v>n</v>
      </c>
      <c r="Z27" s="237" t="str">
        <f>IFERROR(__xludf.DUMMYFUNCTION("IF(REGEXMATCH(N27, ""N""), ""N"","""")"),"")</f>
        <v/>
      </c>
      <c r="AA27" s="238" t="str">
        <f>IFERROR(__xludf.DUMMYFUNCTION("IF(REGEXMATCH(N27, ""S""), ""S"","""")"),"S")</f>
        <v>S</v>
      </c>
      <c r="AB27" s="239" t="str">
        <f>IFERROR(__xludf.DUMMYFUNCTION("SUBSTITUTE(CONCATENATE(JOIN(""-"",O27:U27)),""-"","""")"),"Srgm")</f>
        <v>Srgm</v>
      </c>
      <c r="AC27" s="229" t="str">
        <f>IFERROR(__xludf.DUMMYFUNCTION("SUBSTITUTE(CONCATENATE(JOIN(""-"",V27:AA27)),""-"","""")"),"PDnS")</f>
        <v>PDnS</v>
      </c>
      <c r="AD27" s="282" t="str">
        <f t="shared" si="10"/>
        <v>S-R-G-M</v>
      </c>
      <c r="AE27" s="282" t="str">
        <f t="shared" si="11"/>
        <v>P-D-N-S</v>
      </c>
      <c r="AF27" s="309" t="str">
        <f t="shared" si="12"/>
        <v>rgmDn</v>
      </c>
      <c r="AG27" s="244" t="str">
        <f>IFERROR(__xludf.DUMMYFUNCTION("IF(REGEXMATCH(N27, ""S""), ""0"","""")"),"0")</f>
        <v>0</v>
      </c>
      <c r="AH27" s="245" t="str">
        <f>IFERROR(__xludf.DUMMYFUNCTION("IF(REGEXMATCH(N27, ""r""), ""1"","""")"),"1")</f>
        <v>1</v>
      </c>
      <c r="AI27" s="246" t="str">
        <f>IFERROR(__xludf.DUMMYFUNCTION("IF(REGEXMATCH(N27, ""R""), ""2"","""")"),"")</f>
        <v/>
      </c>
      <c r="AJ27" s="246" t="str">
        <f>IFERROR(__xludf.DUMMYFUNCTION("IF(REGEXMATCH(N27, ""g""), ""3"","""")"),"3")</f>
        <v>3</v>
      </c>
      <c r="AK27" s="245" t="str">
        <f>IFERROR(__xludf.DUMMYFUNCTION("IF(REGEXMATCH(N27, ""G""), ""4"","""")"),"")</f>
        <v/>
      </c>
      <c r="AL27" s="245" t="str">
        <f>IFERROR(__xludf.DUMMYFUNCTION("IF(REGEXMATCH(N27, ""m""), ""5"","""")"),"5")</f>
        <v>5</v>
      </c>
      <c r="AM27" s="246" t="str">
        <f>IFERROR(__xludf.DUMMYFUNCTION("IF(REGEXMATCH(N27, ""M""), ""6"","""")"),"")</f>
        <v/>
      </c>
      <c r="AN27" s="245" t="str">
        <f>IFERROR(__xludf.DUMMYFUNCTION("IF(REGEXMATCH(N27, ""P""), ""7"","""")"),"7")</f>
        <v>7</v>
      </c>
      <c r="AO27" s="246" t="str">
        <f>IFERROR(__xludf.DUMMYFUNCTION("IF(REGEXMATCH(N27, ""d""), ""8"","""")"),"")</f>
        <v/>
      </c>
      <c r="AP27" s="245" t="str">
        <f>IFERROR(__xludf.DUMMYFUNCTION("IF(REGEXMATCH(N27, ""D""), ""9"","""")"),"9")</f>
        <v>9</v>
      </c>
      <c r="AQ27" s="245" t="str">
        <f>IFERROR(__xludf.DUMMYFUNCTION("IF(REGEXMATCH(N27, ""n""), ""10"","""")"),"10")</f>
        <v>10</v>
      </c>
      <c r="AR27" s="246" t="str">
        <f>IFERROR(__xludf.DUMMYFUNCTION("IF(REGEXMATCH(N27, ""N""), ""11"","""")"),"")</f>
        <v/>
      </c>
      <c r="AS27" s="249" t="str">
        <f>IFERROR(__xludf.DUMMYFUNCTION("IF(REGEXMATCH(N27, ""S""), ""0"","""")"),"0")</f>
        <v>0</v>
      </c>
      <c r="AT27" s="250" t="str">
        <f>IFERROR(__xludf.DUMMYFUNCTION("SUBSTITUTE(SUBSTITUTE(SUBSTITUTE(SUBSTITUTE(CONCATENATE(JOIN(""-"",AG27:AS27)),""--"",""-""),""--"",""-""),""--"",""-""),""--"",""-"")"),"0-1-3-5-7-9-10-0")</f>
        <v>0-1-3-5-7-9-10-0</v>
      </c>
      <c r="AU27" s="251">
        <f t="shared" si="13"/>
        <v>0</v>
      </c>
      <c r="AV27" s="234" t="str">
        <f t="shared" si="14"/>
        <v>|</v>
      </c>
      <c r="AW27" s="236" t="str">
        <f t="shared" si="15"/>
        <v>|</v>
      </c>
      <c r="AX27" s="237" t="str">
        <f t="shared" si="16"/>
        <v>-</v>
      </c>
      <c r="AY27" s="236" t="str">
        <f t="shared" si="17"/>
        <v>|</v>
      </c>
      <c r="AZ27" s="237" t="str">
        <f t="shared" si="18"/>
        <v>-</v>
      </c>
      <c r="BA27" s="236" t="str">
        <f t="shared" si="19"/>
        <v>|</v>
      </c>
      <c r="BB27" s="237" t="str">
        <f t="shared" si="20"/>
        <v>-</v>
      </c>
      <c r="BC27" s="236" t="str">
        <f t="shared" si="21"/>
        <v>|</v>
      </c>
      <c r="BD27" s="237" t="str">
        <f t="shared" si="22"/>
        <v>-</v>
      </c>
      <c r="BE27" s="236" t="str">
        <f t="shared" si="23"/>
        <v>|</v>
      </c>
      <c r="BF27" s="237" t="str">
        <f t="shared" si="24"/>
        <v>|</v>
      </c>
      <c r="BG27" s="236" t="str">
        <f t="shared" si="25"/>
        <v>-</v>
      </c>
      <c r="BH27" s="238" t="str">
        <f t="shared" si="26"/>
        <v>|</v>
      </c>
      <c r="BI27" s="250" t="str">
        <f>IFERROR(__xludf.DUMMYFUNCTION("SUBSTITUTE(SUBSTITUTE(CONCATENATE(JOIN("""",AV27:BG27)),""|"",""x""),""-"",""o"")"),"xxoxoxoxoxxo")</f>
        <v>xxoxoxoxoxxo</v>
      </c>
      <c r="BJ27" s="323" t="str">
        <f>IFERROR(__xludf.DUMMYFUNCTION("JOIN("""",BI27,BI27)"),"xxoxoxoxoxxoxxoxoxoxoxxo")</f>
        <v>xxoxoxoxoxxoxxoxoxoxoxxo</v>
      </c>
      <c r="BK27" s="256" t="str">
        <f>IFERROR(__xludf.DUMMYFUNCTION("JOIN("""",ArrayFormula(MID(BI27,LEN(BI27)-SEQUENCE(1,LEN(BI27))+1,1)))"),"oxxoxoxoxoxx")</f>
        <v>oxxoxoxoxoxx</v>
      </c>
      <c r="BL27" s="256" t="str">
        <f>IFERROR(__xludf.DUMMYFUNCTION("LEFT(CONCATENATE(""x"",JOIN("""",ArrayFormula(MID(BI27,LEN(BI27)-SEQUENCE(1,LEN(BI27))+1,1)))),12)"),"xoxxoxoxoxox")</f>
        <v>xoxxoxoxoxox</v>
      </c>
      <c r="BM27" s="327" t="str">
        <f>IFERROR(__xludf.DUMMYFUNCTION("JOIN("""",BK27,BK27)"),"oxxoxoxoxoxxoxxoxoxoxoxx")</f>
        <v>oxxoxoxoxoxxoxxoxoxoxoxx</v>
      </c>
      <c r="BN27" s="239" t="str">
        <f>IFERROR(__xludf.DUMMYFUNCTION("IF(REGEXMATCH(BM27,BI27),""✔"",""-"")"),"✔")</f>
        <v>✔</v>
      </c>
      <c r="BO27" s="330" t="str">
        <f t="shared" si="27"/>
        <v>-</v>
      </c>
      <c r="BP27" s="260" t="str">
        <f t="shared" si="28"/>
        <v>-</v>
      </c>
      <c r="BQ27" s="261" t="str">
        <f>IFERROR(__xludf.DUMMYFUNCTION("IF(BT27=0,""(n/a)"",IF(BU27=2,""(PAIR)"",IF(REGEXMATCH(BJ27,""xoxoxxoxoxox""),""Bilawal"",IF(REGEXMATCH(BJ27,""xoxoxooxoxoo""),""Bhupali"",IF(REGEXMATCH(BJ27,""xoxoxxoxxoxo""),""Charukeshi"",IF(REGEXMATCH(BJ27,""xoxoooxxoxxo""),""Kameshwari"",IF(REGEXMATC"&amp;"H(BJ27,""xoxoxooxoxox""),""Shankara"",IF(REGEXMATCH(BJ27,""xxooxoxxxoox""),""Basant"",IF(REGEXMATCH(BJ27,""xoxoxxxxoxox""),""Bihag"",IF(REGEXMATCH(BJ27,""xoxxxxoxoxxx""),""Pilu"",IF(REGEXMATCH(BJ27,""xoxxoxoxxoox""),""Kirwani"",IF(REGEXMATCH(BJ27,""xoxxox"&amp;"oxoxxx""),""Mk.Malhar"",IF(REGEXMATCH(BJ27,""xxooxxoxxoox""),""Bhairav"",IF(REGEXMATCH(BJ27,""xxoxooxxxoox""),""Todi"",IF(REGEXMATCH(BJ27,""xxooxoxooxox""),""Marwa"",IF(REGEXMATCH(BJ27,""xxoooxoxxooo""),""Gunkali"",IF(REGEXMATCH(BJ27,""xoxoxxoxxoox""),""N"&amp;"at Bhairav"",IF(REGEXMATCH(BJ27,""xoxxoooxoxoo""),""Shivranjani"",IF(REGEXMATCH(BJ27,""xooxxxoxooxo""),""Jog"",IF(REGEXMATCH(BJ27,""xxooxoxoxoox""),""Hemshri"",IF(REGEXMATCH(BJ27,""xoooxooxoxxo""),""Kalavati"",IF(REGEXMATCH(BJ27,""xxoxoxxoxoox""),""Kedar"&amp;""",IF(REGEXMATCH(BJ27,""xoxxxxoxooxx""),""Gara"",IF(REGEXMATCH(BJ27,""xooxoxooxoox""),""Chandrakauns"",IF(REGEXMATCH(BJ27,""xoxxxxoxxxox""),""Mand"",IF(REGEXMATCH(BJ27,""xoxxxxoxoxox""),""Hanskinkini"",IF(REGEXMATCH(BJ27,""xxooxxoxooxo""),""Lilavati"",IF("&amp;"REGEXMATCH(BJ27,""xooxoxoooxox""),""Rajeshwari"",IF(REGEXMATCH(BJ27,""xoooxxoxoxxx""),""Khokar"",IF(REGEXMATCH(BJ27,""xxooxoxxxxox""),""Maligoura"",""-""))))))))))))))))))))))))))))))"),"Charukeshi")</f>
        <v>Charukeshi</v>
      </c>
      <c r="BR27" s="239">
        <f t="shared" si="29"/>
        <v>6</v>
      </c>
      <c r="BS27" s="239">
        <f>IFERROR(__xludf.DUMMYFUNCTION("COUNTUNIQUE(BW27:CG27)-1"),6.0)</f>
        <v>6</v>
      </c>
      <c r="BT27" s="239">
        <f>IFERROR(__xludf.DUMMYFUNCTION("COUNTUNIQUE(FILTER(BJ:BJ,REGEXMATCH(BJ:BJ,BI27)))-1"),1.0)</f>
        <v>1</v>
      </c>
      <c r="BU27" s="239">
        <f>IFERROR(__xludf.DUMMYFUNCTION("COUNTA(FILTER(BJ:BJ,REGEXMATCH(BJ:BJ,BI27)))"),3.0)</f>
        <v>3</v>
      </c>
      <c r="BV27" s="341">
        <f>IFERROR(__xludf.DUMMYFUNCTION("COUNTA(FILTER(BJ:BJ,REGEXMATCH(BJ:BJ,BI27)))-AU27"),3.0)</f>
        <v>3</v>
      </c>
      <c r="BW27" s="269" t="str">
        <f t="shared" si="30"/>
        <v>xoxoxoxoxxo</v>
      </c>
      <c r="BX27" s="269" t="str">
        <f t="shared" si="31"/>
        <v>-</v>
      </c>
      <c r="BY27" s="271" t="str">
        <f t="shared" si="32"/>
        <v>xoxoxoxxoxx</v>
      </c>
      <c r="BZ27" s="269" t="str">
        <f t="shared" si="33"/>
        <v>-</v>
      </c>
      <c r="CA27" s="271" t="str">
        <f t="shared" si="34"/>
        <v>xoxoxxoxxox</v>
      </c>
      <c r="CB27" s="271" t="str">
        <f t="shared" si="35"/>
        <v>-</v>
      </c>
      <c r="CC27" s="271" t="str">
        <f t="shared" si="36"/>
        <v>xoxxoxxoxox</v>
      </c>
      <c r="CD27" s="271" t="str">
        <f t="shared" si="37"/>
        <v>-</v>
      </c>
      <c r="CE27" s="271" t="str">
        <f t="shared" si="38"/>
        <v>xxoxxoxoxox</v>
      </c>
      <c r="CF27" s="271" t="str">
        <f t="shared" si="39"/>
        <v>xoxxoxoxoxo</v>
      </c>
      <c r="CG27" s="274" t="str">
        <f t="shared" si="40"/>
        <v>-</v>
      </c>
      <c r="CH27" s="276" t="str">
        <f>IFERROR(__xludf.DUMMYFUNCTION("IF(BI27=""oooooooooooo"",""-"",IF(REGEXMATCH(BJ27,""xx""), ""Hemi."", ""Anhemi.""))"),"Hemi.")</f>
        <v>Hemi.</v>
      </c>
      <c r="CI27" s="282" t="str">
        <f>IFERROR(__xludf.DUMMYFUNCTION("IF(BI27=""oooooooooooo"",""-"",IF(REGEXMATCH(BJ27,""xxx""), ""Cohem."", ""-""))"),"-")</f>
        <v>-</v>
      </c>
      <c r="CJ27" s="282" t="str">
        <f>IFERROR(__xludf.DUMMYFUNCTION("IF(BI27=""oooooooooooo"",""-"",IF(REGEXMATCH(BJ27,""xxxx""), ""Co-Co."", ""-""))"),"-")</f>
        <v>-</v>
      </c>
      <c r="CK27" s="342" t="str">
        <f>IFERROR(__xludf.DUMMYFUNCTION("IF(BI27=""oooooooooooo"",""-"",IF(REGEXMATCH(BJ27,""xxxxx""), ""CCC."", ""-""))"),"-")</f>
        <v>-</v>
      </c>
      <c r="CL27" s="344" t="str">
        <f t="shared" si="41"/>
        <v>-</v>
      </c>
      <c r="CM27" s="282" t="str">
        <f>IFERROR(__xludf.DUMMYFUNCTION("IF(REGEXMATCH(JOIN(""-"",CO27:CX27),""TRUE""),""✔"",""-"")"),"-")</f>
        <v>-</v>
      </c>
      <c r="CN27" s="225">
        <f t="shared" si="42"/>
        <v>0</v>
      </c>
      <c r="CO27" s="376" t="b">
        <f>IFERROR(__xludf.DUMMYFUNCTION("arrayformula(sum(--REGEXMATCH(""SRGMPDNS"",split(REGEXREPLACE(N27,""(.)"",""$1~""),""~""))))=len(N27)
"),FALSE)</f>
        <v>0</v>
      </c>
      <c r="CP27" s="290" t="b">
        <f>IFERROR(__xludf.DUMMYFUNCTION("arrayformula(sum(--REGEXMATCH(""SRGmPDNS"",split(REGEXREPLACE(N27,""(.)"",""$1~""),""~""))))=len(N27)"),FALSE)</f>
        <v>0</v>
      </c>
      <c r="CQ27" s="290" t="b">
        <f>IFERROR(__xludf.DUMMYFUNCTION("arrayformula(sum(--REGEXMATCH(""SRGmPDnS"",split(REGEXREPLACE(N27,""(.)"",""$1~""),""~""))))=len(N27)"),FALSE)</f>
        <v>0</v>
      </c>
      <c r="CR27" s="290" t="b">
        <f>IFERROR(__xludf.DUMMYFUNCTION("arrayformula(sum(--REGEXMATCH(""SRgmPDnS"",split(REGEXREPLACE(N27,""(.)"",""$1~""),""~""))))=len(N27)"),FALSE)</f>
        <v>0</v>
      </c>
      <c r="CS27" s="290" t="b">
        <f>IFERROR(__xludf.DUMMYFUNCTION("arrayformula(sum(--REGEXMATCH(""SRgmPdnS"",split(REGEXREPLACE(N27,""(.)"",""$1~""),""~""))))=len(N27)"),FALSE)</f>
        <v>0</v>
      </c>
      <c r="CT27" s="290" t="b">
        <f>IFERROR(__xludf.DUMMYFUNCTION("arrayformula(sum(--REGEXMATCH(""SrgmPdnS"",split(REGEXREPLACE(N27,""(.)"",""$1~""),""~""))))=len(N27)"),FALSE)</f>
        <v>0</v>
      </c>
      <c r="CU27" s="290" t="b">
        <f>IFERROR(__xludf.DUMMYFUNCTION("arrayformula(sum(--REGEXMATCH(""SrGmPdNS"",split(REGEXREPLACE(N27,""(.)"",""$1~""),""~""))))=len(N27)"),FALSE)</f>
        <v>0</v>
      </c>
      <c r="CV27" s="290" t="b">
        <f>IFERROR(__xludf.DUMMYFUNCTION("arrayformula(sum(--REGEXMATCH(""SrGMPDNS"",split(REGEXREPLACE(N27,""(.)"",""$1~""),""~""))))=len(N27)"),FALSE)</f>
        <v>0</v>
      </c>
      <c r="CW27" s="290" t="b">
        <f>IFERROR(__xludf.DUMMYFUNCTION("arrayformula(sum(--REGEXMATCH(""SrGMPdNS"",split(REGEXREPLACE(N27,""(.)"",""$1~""),""~""))))=len(N27)"),FALSE)</f>
        <v>0</v>
      </c>
      <c r="CX27" s="293" t="b">
        <f>IFERROR(__xludf.DUMMYFUNCTION("arrayformula(sum(--REGEXMATCH(""SrgMPdNS"",split(REGEXREPLACE(N27,""(.)"",""$1~""),""~""))))=len(N27)"),FALSE)</f>
        <v>0</v>
      </c>
      <c r="CY27" s="244" t="str">
        <f>IFERROR(__xludf.DUMMYFUNCTION("IF(REGEXMATCH(N27, ""S""), ""1"","""")"),"1")</f>
        <v>1</v>
      </c>
      <c r="CZ27" s="245" t="str">
        <f>IFERROR(__xludf.DUMMYFUNCTION("IF(REGEXMATCH(N27, ""r""), ""b2"","""")"),"b2")</f>
        <v>b2</v>
      </c>
      <c r="DA27" s="246" t="str">
        <f>IFERROR(__xludf.DUMMYFUNCTION("IF(REGEXMATCH(N27, ""R""), ""2"","""")"),"")</f>
        <v/>
      </c>
      <c r="DB27" s="246" t="str">
        <f>IFERROR(__xludf.DUMMYFUNCTION("IF(REGEXMATCH(N27, ""g""), ""b3"","""")"),"b3")</f>
        <v>b3</v>
      </c>
      <c r="DC27" s="245" t="str">
        <f>IFERROR(__xludf.DUMMYFUNCTION("IF(REGEXMATCH(N27, ""G""), ""3"","""")"),"")</f>
        <v/>
      </c>
      <c r="DD27" s="245" t="str">
        <f>IFERROR(__xludf.DUMMYFUNCTION("IF(REGEXMATCH(N27, ""m""), ""4"","""")"),"4")</f>
        <v>4</v>
      </c>
      <c r="DE27" s="246" t="str">
        <f>IFERROR(__xludf.DUMMYFUNCTION("IF(REGEXMATCH(N27, ""M""), ""#4"","""")"),"")</f>
        <v/>
      </c>
      <c r="DF27" s="245" t="str">
        <f>IFERROR(__xludf.DUMMYFUNCTION("IF(REGEXMATCH(N27, ""P""), ""5"","""")"),"5")</f>
        <v>5</v>
      </c>
      <c r="DG27" s="246" t="str">
        <f>IFERROR(__xludf.DUMMYFUNCTION("IF(REGEXMATCH(N27, ""d""), ""b6"","""")"),"")</f>
        <v/>
      </c>
      <c r="DH27" s="245" t="str">
        <f>IFERROR(__xludf.DUMMYFUNCTION("IF(REGEXMATCH(N27, ""D""), ""6"","""")"),"6")</f>
        <v>6</v>
      </c>
      <c r="DI27" s="245" t="str">
        <f>IFERROR(__xludf.DUMMYFUNCTION("IF(REGEXMATCH(N27, ""n""), ""b7"","""")"),"b7")</f>
        <v>b7</v>
      </c>
      <c r="DJ27" s="246" t="str">
        <f>IFERROR(__xludf.DUMMYFUNCTION("IF(REGEXMATCH(N27, ""N""), ""7"","""")"),"")</f>
        <v/>
      </c>
      <c r="DK27" s="249" t="str">
        <f>IFERROR(__xludf.DUMMYFUNCTION("IF(REGEXMATCH(N27, ""S""), ""8"","""")"),"8")</f>
        <v>8</v>
      </c>
      <c r="DL27" s="244" t="str">
        <f>IFERROR(__xludf.DUMMYFUNCTION("IF(REGEXMATCH(N27, ""S""), ""S"","""")"),"S")</f>
        <v>S</v>
      </c>
      <c r="DM27" s="294" t="str">
        <f>IFERROR(__xludf.DUMMYFUNCTION("IF(REGEXMATCH(N27, ""r""), ""R1"","""")"),"R1")</f>
        <v>R1</v>
      </c>
      <c r="DN27" s="295" t="str">
        <f>IFERROR(__xludf.DUMMYFUNCTION("IF(REGEXMATCH(N27, ""R""), ""R2"","""")"),"")</f>
        <v/>
      </c>
      <c r="DO27" s="295" t="str">
        <f>IFERROR(__xludf.DUMMYFUNCTION("IF(REGEXMATCH(N27, ""g""), ""G2"","""")"),"G2")</f>
        <v>G2</v>
      </c>
      <c r="DP27" s="294" t="str">
        <f>IFERROR(__xludf.DUMMYFUNCTION("IF(REGEXMATCH(N27, ""G""), ""G3"","""")"),"")</f>
        <v/>
      </c>
      <c r="DQ27" s="294" t="str">
        <f>IFERROR(__xludf.DUMMYFUNCTION("IF(REGEXMATCH(N27, ""m""), ""M1"","""")"),"M1")</f>
        <v>M1</v>
      </c>
      <c r="DR27" s="295" t="str">
        <f>IFERROR(__xludf.DUMMYFUNCTION("IF(REGEXMATCH(N27, ""M""), ""M2"","""")"),"")</f>
        <v/>
      </c>
      <c r="DS27" s="294" t="str">
        <f>IFERROR(__xludf.DUMMYFUNCTION("IF(REGEXMATCH(N27, ""P""), ""P"","""")"),"P")</f>
        <v>P</v>
      </c>
      <c r="DT27" s="295" t="str">
        <f>IFERROR(__xludf.DUMMYFUNCTION("IF(REGEXMATCH(N27, ""d""), ""D1"","""")"),"")</f>
        <v/>
      </c>
      <c r="DU27" s="294" t="str">
        <f>IFERROR(__xludf.DUMMYFUNCTION("IF(REGEXMATCH(N27, ""D""), ""D2"","""")"),"D2")</f>
        <v>D2</v>
      </c>
      <c r="DV27" s="294" t="str">
        <f>IFERROR(__xludf.DUMMYFUNCTION("IF(REGEXMATCH(N27, ""n""), ""N2"","""")"),"N2")</f>
        <v>N2</v>
      </c>
      <c r="DW27" s="295" t="str">
        <f>IFERROR(__xludf.DUMMYFUNCTION("IF(REGEXMATCH(N27, ""N""), ""N3"","""")"),"")</f>
        <v/>
      </c>
      <c r="DX27" s="249" t="str">
        <f>IFERROR(__xludf.DUMMYFUNCTION("IF(REGEXMATCH(N27, ""S""), ""S"","""")"),"S")</f>
        <v>S</v>
      </c>
      <c r="DY27" s="299" t="str">
        <f>IFERROR(__xludf.DUMMYFUNCTION("SUBSTITUTE(SUBSTITUTE(SUBSTITUTE(SUBSTITUTE(CONCATENATE(JOIN(""-"",CY27:DK27)),""--"",""-""),""--"",""-""),""--"",""-""),""--"",""-"")"),"1-b2-b3-4-5-6-b7-8")</f>
        <v>1-b2-b3-4-5-6-b7-8</v>
      </c>
      <c r="DZ27" s="299" t="str">
        <f>IFERROR(__xludf.DUMMYFUNCTION("SUBSTITUTE(SUBSTITUTE(SUBSTITUTE(SUBSTITUTE(CONCATENATE(JOIN(""-"",DL27:DX27)),""--"",""-""),""--"",""-""),""--"",""-""),""--"",""-"")"),"S-R1-G2-M1-P-D2-N2-S")</f>
        <v>S-R1-G2-M1-P-D2-N2-S</v>
      </c>
      <c r="EA27" s="348" t="str">
        <f t="shared" si="43"/>
        <v>C-Db-Eb-F-G-A-Bb-C</v>
      </c>
      <c r="EB27" s="301">
        <f t="shared" si="44"/>
        <v>7</v>
      </c>
      <c r="EC27" s="302" t="str">
        <f t="shared" si="45"/>
        <v>Sampurna</v>
      </c>
      <c r="ED27" s="301" t="str">
        <f t="shared" ref="ED27:EE27" si="193">SUBSTITUTE(AD27,"-","")</f>
        <v>SRGM</v>
      </c>
      <c r="EE27" s="301" t="str">
        <f t="shared" si="193"/>
        <v>PDNS</v>
      </c>
      <c r="EF27" s="302" t="str">
        <f t="shared" si="47"/>
        <v>Charukeshi</v>
      </c>
      <c r="EG27" s="301" t="str">
        <f t="shared" si="48"/>
        <v>Hemi.</v>
      </c>
      <c r="EH27" s="364" t="str">
        <f t="shared" si="49"/>
        <v>-</v>
      </c>
      <c r="EI27" s="306" t="str">
        <f t="shared" si="50"/>
        <v>-</v>
      </c>
      <c r="EJ27" s="366" t="str">
        <f t="shared" si="51"/>
        <v>-</v>
      </c>
      <c r="EK27" s="308" t="str">
        <f t="shared" si="52"/>
        <v>✔</v>
      </c>
      <c r="EL27" s="306" t="str">
        <f t="shared" si="53"/>
        <v>-</v>
      </c>
      <c r="EM27" s="306" t="str">
        <f t="shared" si="54"/>
        <v>-</v>
      </c>
      <c r="EN27" s="367" t="str">
        <f t="shared" si="55"/>
        <v>-</v>
      </c>
      <c r="EO27" s="310" t="str">
        <f t="shared" si="56"/>
        <v>-</v>
      </c>
      <c r="EP27" s="310" t="str">
        <f t="shared" si="57"/>
        <v>-</v>
      </c>
      <c r="EQ27" s="310" t="str">
        <f t="shared" si="58"/>
        <v>-</v>
      </c>
      <c r="ER27" s="310" t="str">
        <f t="shared" si="59"/>
        <v>-</v>
      </c>
      <c r="ES27" s="370" t="str">
        <f t="shared" si="60"/>
        <v>-</v>
      </c>
      <c r="ET27" s="306" t="str">
        <f t="shared" si="61"/>
        <v>-</v>
      </c>
      <c r="EU27" s="306" t="str">
        <f t="shared" si="62"/>
        <v>-</v>
      </c>
      <c r="EV27" s="306" t="str">
        <f t="shared" si="63"/>
        <v>-</v>
      </c>
      <c r="EW27" s="306" t="str">
        <f t="shared" si="64"/>
        <v>-</v>
      </c>
      <c r="EX27" s="306" t="str">
        <f t="shared" si="65"/>
        <v>-</v>
      </c>
      <c r="EY27" s="367" t="str">
        <f t="shared" si="66"/>
        <v>-</v>
      </c>
      <c r="EZ27" s="310" t="str">
        <f>IFERROR(__xludf.DUMMYFUNCTION("IF(REGEXMATCH(BM27,BI27),""✔"",""-"")"),"✔")</f>
        <v>✔</v>
      </c>
      <c r="FA27" s="310" t="str">
        <f t="shared" si="67"/>
        <v>-</v>
      </c>
      <c r="FB27" s="370" t="str">
        <f t="shared" si="68"/>
        <v>-</v>
      </c>
      <c r="FC27" s="315" t="str">
        <f t="shared" si="69"/>
        <v>[UQ]</v>
      </c>
      <c r="FD27" s="317" t="str">
        <f t="shared" si="70"/>
        <v>S-r-g-m-P-D-n-S</v>
      </c>
      <c r="FE27" s="318" t="str">
        <f>IFERROR(__xludf.DUMMYFUNCTION("CONCATENATE(JOIN("""",GJ27:GV27))"),"SRgmPDNS")</f>
        <v>SRgmPDNS</v>
      </c>
      <c r="FF27" s="318"/>
      <c r="FG27" s="318"/>
      <c r="FH27" s="321">
        <f t="shared" si="71"/>
        <v>3</v>
      </c>
      <c r="FI27" s="318" t="str">
        <f>IFERROR(__xludf.DUMMYFUNCTION("CONCATENATE(JOIN("""",HW27:II27))"),"re, Pa, Dha, ")</f>
        <v>re, Pa, Dha, </v>
      </c>
      <c r="FJ27" s="322">
        <f t="shared" si="72"/>
        <v>2</v>
      </c>
      <c r="FK27" s="324" t="str">
        <f>IFERROR(__xludf.DUMMYFUNCTION("CONCATENATE(JOIN("""",IW27:JI27))"),"re, Dha, ")</f>
        <v>re, Dha, </v>
      </c>
      <c r="FL27" s="325" t="str">
        <f t="shared" si="73"/>
        <v>S-R1-G2-M1-P-D2-N2-S</v>
      </c>
      <c r="FM27" s="326" t="str">
        <f t="shared" si="74"/>
        <v>1-b2-b3-4-5-6-b7-8</v>
      </c>
      <c r="FN27" s="326" t="str">
        <f t="shared" si="75"/>
        <v>0-1-3-5-7-9-10-0</v>
      </c>
      <c r="FO27" s="318"/>
      <c r="FP27" s="328" t="str">
        <f>IFERROR(__xludf.DUMMYFUNCTION("SUBSTITUTE(SUBSTITUTE(SUBSTITUTE(SUBSTITUTE(CONCATENATE(JOIN("" "",FS27:GE27)),""  "","" ""),""  "","" ""),""  "","" ""),""  "","" "")"),"o o • o • o • o • o o • o")</f>
        <v>o o • o • o • o • o o • o</v>
      </c>
      <c r="FQ27" s="328" t="str">
        <f t="shared" si="76"/>
        <v>-</v>
      </c>
      <c r="FR27" s="329"/>
      <c r="FS27" s="331" t="str">
        <f t="shared" si="77"/>
        <v>o</v>
      </c>
      <c r="FT27" s="332" t="str">
        <f t="shared" si="78"/>
        <v>o</v>
      </c>
      <c r="FU27" s="332" t="str">
        <f t="shared" si="79"/>
        <v>•</v>
      </c>
      <c r="FV27" s="332" t="str">
        <f t="shared" si="80"/>
        <v>o</v>
      </c>
      <c r="FW27" s="332" t="str">
        <f t="shared" si="81"/>
        <v>•</v>
      </c>
      <c r="FX27" s="332" t="str">
        <f t="shared" si="82"/>
        <v>o</v>
      </c>
      <c r="FY27" s="332" t="str">
        <f t="shared" si="83"/>
        <v>•</v>
      </c>
      <c r="FZ27" s="332" t="str">
        <f t="shared" si="84"/>
        <v>o</v>
      </c>
      <c r="GA27" s="332" t="str">
        <f t="shared" si="85"/>
        <v>•</v>
      </c>
      <c r="GB27" s="332" t="str">
        <f t="shared" si="86"/>
        <v>o</v>
      </c>
      <c r="GC27" s="332" t="str">
        <f t="shared" si="87"/>
        <v>o</v>
      </c>
      <c r="GD27" s="332" t="str">
        <f t="shared" si="88"/>
        <v>•</v>
      </c>
      <c r="GE27" s="338" t="str">
        <f t="shared" si="89"/>
        <v>o</v>
      </c>
      <c r="GF27" s="339" t="str">
        <f t="shared" si="90"/>
        <v>-</v>
      </c>
      <c r="GG27" s="339" t="str">
        <f t="shared" si="91"/>
        <v>Sa-Pa</v>
      </c>
      <c r="GH27" s="339" t="str">
        <f t="shared" si="92"/>
        <v>-</v>
      </c>
      <c r="GI27" s="340" t="str">
        <f t="shared" si="93"/>
        <v>-</v>
      </c>
      <c r="GJ27" s="331" t="str">
        <f t="shared" si="94"/>
        <v>S</v>
      </c>
      <c r="GK27" s="332" t="str">
        <f t="shared" si="95"/>
        <v/>
      </c>
      <c r="GL27" s="332" t="str">
        <f t="shared" si="96"/>
        <v>R</v>
      </c>
      <c r="GM27" s="332" t="str">
        <f t="shared" si="97"/>
        <v>g</v>
      </c>
      <c r="GN27" s="332" t="str">
        <f t="shared" si="98"/>
        <v/>
      </c>
      <c r="GO27" s="332" t="str">
        <f t="shared" si="99"/>
        <v>m</v>
      </c>
      <c r="GP27" s="332" t="str">
        <f t="shared" si="100"/>
        <v/>
      </c>
      <c r="GQ27" s="332" t="str">
        <f t="shared" si="101"/>
        <v>P</v>
      </c>
      <c r="GR27" s="332" t="str">
        <f t="shared" si="102"/>
        <v/>
      </c>
      <c r="GS27" s="332" t="str">
        <f t="shared" si="103"/>
        <v>D</v>
      </c>
      <c r="GT27" s="332" t="str">
        <f t="shared" si="104"/>
        <v/>
      </c>
      <c r="GU27" s="332" t="str">
        <f t="shared" si="105"/>
        <v>N</v>
      </c>
      <c r="GV27" s="343" t="str">
        <f t="shared" si="106"/>
        <v>S</v>
      </c>
      <c r="GW27" s="331" t="str">
        <f t="shared" si="107"/>
        <v>•</v>
      </c>
      <c r="GX27" s="332" t="str">
        <f t="shared" si="108"/>
        <v>•</v>
      </c>
      <c r="GY27" s="332" t="str">
        <f t="shared" si="109"/>
        <v>o</v>
      </c>
      <c r="GZ27" s="332" t="str">
        <f t="shared" si="110"/>
        <v>•</v>
      </c>
      <c r="HA27" s="332" t="str">
        <f t="shared" si="111"/>
        <v>o</v>
      </c>
      <c r="HB27" s="332" t="str">
        <f t="shared" si="112"/>
        <v>•</v>
      </c>
      <c r="HC27" s="332" t="str">
        <f t="shared" si="113"/>
        <v>o</v>
      </c>
      <c r="HD27" s="332" t="str">
        <f t="shared" si="114"/>
        <v>•</v>
      </c>
      <c r="HE27" s="332" t="str">
        <f t="shared" si="115"/>
        <v>o</v>
      </c>
      <c r="HF27" s="332" t="str">
        <f t="shared" si="116"/>
        <v>•</v>
      </c>
      <c r="HG27" s="332" t="str">
        <f t="shared" si="117"/>
        <v>•</v>
      </c>
      <c r="HH27" s="332" t="str">
        <f t="shared" si="118"/>
        <v>o</v>
      </c>
      <c r="HI27" s="338" t="str">
        <f t="shared" si="119"/>
        <v>•</v>
      </c>
      <c r="HJ27" s="346" t="b">
        <f t="shared" si="120"/>
        <v>0</v>
      </c>
      <c r="HK27" s="347" t="b">
        <f t="shared" si="121"/>
        <v>1</v>
      </c>
      <c r="HL27" s="347" t="b">
        <f t="shared" si="122"/>
        <v>0</v>
      </c>
      <c r="HM27" s="347" t="b">
        <f t="shared" si="123"/>
        <v>0</v>
      </c>
      <c r="HN27" s="347" t="b">
        <f t="shared" si="124"/>
        <v>0</v>
      </c>
      <c r="HO27" s="347" t="b">
        <f t="shared" si="125"/>
        <v>0</v>
      </c>
      <c r="HP27" s="347" t="b">
        <f t="shared" si="126"/>
        <v>0</v>
      </c>
      <c r="HQ27" s="347" t="b">
        <f t="shared" si="127"/>
        <v>1</v>
      </c>
      <c r="HR27" s="347" t="b">
        <f t="shared" si="128"/>
        <v>0</v>
      </c>
      <c r="HS27" s="347" t="b">
        <f t="shared" si="129"/>
        <v>1</v>
      </c>
      <c r="HT27" s="347" t="b">
        <f t="shared" si="130"/>
        <v>0</v>
      </c>
      <c r="HU27" s="347" t="b">
        <f t="shared" si="131"/>
        <v>0</v>
      </c>
      <c r="HV27" s="353" t="b">
        <f t="shared" si="132"/>
        <v>0</v>
      </c>
      <c r="HW27" s="354" t="str">
        <f t="shared" si="133"/>
        <v/>
      </c>
      <c r="HX27" s="355" t="str">
        <f t="shared" si="134"/>
        <v>re, </v>
      </c>
      <c r="HY27" s="355" t="str">
        <f t="shared" si="135"/>
        <v/>
      </c>
      <c r="HZ27" s="355" t="str">
        <f t="shared" si="136"/>
        <v/>
      </c>
      <c r="IA27" s="355" t="str">
        <f t="shared" si="137"/>
        <v/>
      </c>
      <c r="IB27" s="355" t="str">
        <f t="shared" si="138"/>
        <v/>
      </c>
      <c r="IC27" s="355" t="str">
        <f t="shared" si="139"/>
        <v/>
      </c>
      <c r="ID27" s="355" t="str">
        <f t="shared" si="140"/>
        <v>Pa, </v>
      </c>
      <c r="IE27" s="355" t="str">
        <f t="shared" si="141"/>
        <v/>
      </c>
      <c r="IF27" s="355" t="str">
        <f t="shared" si="142"/>
        <v>Dha, </v>
      </c>
      <c r="IG27" s="355" t="str">
        <f t="shared" si="143"/>
        <v/>
      </c>
      <c r="IH27" s="355" t="str">
        <f t="shared" si="144"/>
        <v/>
      </c>
      <c r="II27" s="359" t="str">
        <f t="shared" si="145"/>
        <v/>
      </c>
      <c r="IJ27" s="346" t="b">
        <f t="shared" si="146"/>
        <v>0</v>
      </c>
      <c r="IK27" s="347" t="b">
        <f t="shared" si="147"/>
        <v>1</v>
      </c>
      <c r="IL27" s="347" t="b">
        <f t="shared" si="148"/>
        <v>0</v>
      </c>
      <c r="IM27" s="347" t="b">
        <f t="shared" si="149"/>
        <v>0</v>
      </c>
      <c r="IN27" s="347" t="b">
        <f t="shared" si="150"/>
        <v>0</v>
      </c>
      <c r="IO27" s="347" t="b">
        <f t="shared" si="151"/>
        <v>0</v>
      </c>
      <c r="IP27" s="347" t="b">
        <f t="shared" si="152"/>
        <v>0</v>
      </c>
      <c r="IQ27" s="347" t="b">
        <f t="shared" si="153"/>
        <v>0</v>
      </c>
      <c r="IR27" s="347" t="b">
        <f t="shared" si="154"/>
        <v>0</v>
      </c>
      <c r="IS27" s="347" t="b">
        <f t="shared" si="155"/>
        <v>1</v>
      </c>
      <c r="IT27" s="347" t="b">
        <f t="shared" si="156"/>
        <v>0</v>
      </c>
      <c r="IU27" s="347" t="b">
        <f t="shared" si="157"/>
        <v>0</v>
      </c>
      <c r="IV27" s="365" t="b">
        <f t="shared" si="158"/>
        <v>0</v>
      </c>
      <c r="IW27" s="354" t="str">
        <f t="shared" si="159"/>
        <v/>
      </c>
      <c r="IX27" s="355" t="str">
        <f t="shared" si="160"/>
        <v>re, </v>
      </c>
      <c r="IY27" s="355" t="str">
        <f t="shared" si="161"/>
        <v/>
      </c>
      <c r="IZ27" s="355" t="str">
        <f t="shared" si="162"/>
        <v/>
      </c>
      <c r="JA27" s="355" t="str">
        <f t="shared" si="163"/>
        <v/>
      </c>
      <c r="JB27" s="355" t="str">
        <f t="shared" si="164"/>
        <v/>
      </c>
      <c r="JC27" s="355" t="str">
        <f t="shared" si="165"/>
        <v/>
      </c>
      <c r="JD27" s="355" t="str">
        <f t="shared" si="166"/>
        <v/>
      </c>
      <c r="JE27" s="355" t="str">
        <f t="shared" si="167"/>
        <v/>
      </c>
      <c r="JF27" s="355" t="str">
        <f t="shared" si="168"/>
        <v>Dha, </v>
      </c>
      <c r="JG27" s="355" t="str">
        <f t="shared" si="169"/>
        <v/>
      </c>
      <c r="JH27" s="355" t="str">
        <f t="shared" si="170"/>
        <v/>
      </c>
      <c r="JI27" s="359"/>
      <c r="JJ27" s="321"/>
      <c r="JK27" s="368"/>
      <c r="JL27" s="369"/>
      <c r="JM27" s="369"/>
      <c r="JN27" s="369"/>
      <c r="JO27" s="369"/>
      <c r="JP27" s="369"/>
      <c r="JQ27" s="369"/>
      <c r="JR27" s="369"/>
      <c r="JS27" s="369"/>
      <c r="JT27" s="369"/>
      <c r="JU27" s="369"/>
    </row>
    <row r="28" ht="20.25" customHeight="1">
      <c r="A28" s="221" t="s">
        <v>1275</v>
      </c>
      <c r="B28" s="223" t="s">
        <v>1276</v>
      </c>
      <c r="C28" s="222"/>
      <c r="D28" s="222"/>
      <c r="E28" s="222" t="s">
        <v>275</v>
      </c>
      <c r="F28" s="222"/>
      <c r="G28" s="395" t="s">
        <v>275</v>
      </c>
      <c r="H28" s="222">
        <v>26.0</v>
      </c>
      <c r="I28" s="224" t="s">
        <v>1219</v>
      </c>
      <c r="J28" s="414">
        <f t="shared" si="5"/>
        <v>1</v>
      </c>
      <c r="K28" s="227">
        <f t="shared" si="6"/>
        <v>5</v>
      </c>
      <c r="L28" s="229">
        <f t="shared" si="7"/>
        <v>5</v>
      </c>
      <c r="M28" s="230">
        <f t="shared" si="8"/>
        <v>0</v>
      </c>
      <c r="N28" s="233" t="str">
        <f t="shared" si="9"/>
        <v>SGmdnS</v>
      </c>
      <c r="O28" s="234" t="str">
        <f>IFERROR(__xludf.DUMMYFUNCTION("IF(REGEXMATCH(N28, ""S""), ""S"","""")"),"S")</f>
        <v>S</v>
      </c>
      <c r="P28" s="236" t="str">
        <f>IFERROR(__xludf.DUMMYFUNCTION("IF(REGEXMATCH(N28, ""r""), ""r"","""")"),"")</f>
        <v/>
      </c>
      <c r="Q28" s="237" t="str">
        <f>IFERROR(__xludf.DUMMYFUNCTION("IF(REGEXMATCH(N28, ""R""), ""R"","""")"),"")</f>
        <v/>
      </c>
      <c r="R28" s="237" t="str">
        <f>IFERROR(__xludf.DUMMYFUNCTION("IF(REGEXMATCH(N28, ""g""), ""g"","""")"),"")</f>
        <v/>
      </c>
      <c r="S28" s="236" t="str">
        <f>IFERROR(__xludf.DUMMYFUNCTION("IF(REGEXMATCH(N28, ""G""), ""G"","""")"),"G")</f>
        <v>G</v>
      </c>
      <c r="T28" s="236" t="str">
        <f>IFERROR(__xludf.DUMMYFUNCTION("IF(REGEXMATCH(N28, ""m""), ""m"","""")"),"m")</f>
        <v>m</v>
      </c>
      <c r="U28" s="237" t="str">
        <f>IFERROR(__xludf.DUMMYFUNCTION("IF(REGEXMATCH(N28, ""M""), ""M"","""")"),"")</f>
        <v/>
      </c>
      <c r="V28" s="236" t="str">
        <f>IFERROR(__xludf.DUMMYFUNCTION("IF(REGEXMATCH(N28, ""P""), ""P"","""")"),"")</f>
        <v/>
      </c>
      <c r="W28" s="237" t="str">
        <f>IFERROR(__xludf.DUMMYFUNCTION("IF(REGEXMATCH(N28, ""d""), ""d"","""")"),"d")</f>
        <v>d</v>
      </c>
      <c r="X28" s="236" t="str">
        <f>IFERROR(__xludf.DUMMYFUNCTION("IF(REGEXMATCH(N28, ""D""), ""D"","""")"),"")</f>
        <v/>
      </c>
      <c r="Y28" s="236" t="str">
        <f>IFERROR(__xludf.DUMMYFUNCTION("IF(REGEXMATCH(N28, ""n""), ""n"","""")"),"n")</f>
        <v>n</v>
      </c>
      <c r="Z28" s="237" t="str">
        <f>IFERROR(__xludf.DUMMYFUNCTION("IF(REGEXMATCH(N28, ""N""), ""N"","""")"),"")</f>
        <v/>
      </c>
      <c r="AA28" s="238" t="str">
        <f>IFERROR(__xludf.DUMMYFUNCTION("IF(REGEXMATCH(N28, ""S""), ""S"","""")"),"S")</f>
        <v>S</v>
      </c>
      <c r="AB28" s="239" t="str">
        <f>IFERROR(__xludf.DUMMYFUNCTION("SUBSTITUTE(CONCATENATE(JOIN(""-"",O28:U28)),""-"","""")"),"SGm")</f>
        <v>SGm</v>
      </c>
      <c r="AC28" s="229" t="str">
        <f>IFERROR(__xludf.DUMMYFUNCTION("SUBSTITUTE(CONCATENATE(JOIN(""-"",V28:AA28)),""-"","""")"),"dnS")</f>
        <v>dnS</v>
      </c>
      <c r="AD28" s="282" t="str">
        <f t="shared" si="10"/>
        <v>S-G-M</v>
      </c>
      <c r="AE28" s="282" t="str">
        <f t="shared" si="11"/>
        <v>D-N-S</v>
      </c>
      <c r="AF28" s="309" t="str">
        <f t="shared" si="12"/>
        <v>Gmdn</v>
      </c>
      <c r="AG28" s="244" t="str">
        <f>IFERROR(__xludf.DUMMYFUNCTION("IF(REGEXMATCH(N28, ""S""), ""0"","""")"),"0")</f>
        <v>0</v>
      </c>
      <c r="AH28" s="245" t="str">
        <f>IFERROR(__xludf.DUMMYFUNCTION("IF(REGEXMATCH(N28, ""r""), ""1"","""")"),"")</f>
        <v/>
      </c>
      <c r="AI28" s="246" t="str">
        <f>IFERROR(__xludf.DUMMYFUNCTION("IF(REGEXMATCH(N28, ""R""), ""2"","""")"),"")</f>
        <v/>
      </c>
      <c r="AJ28" s="246" t="str">
        <f>IFERROR(__xludf.DUMMYFUNCTION("IF(REGEXMATCH(N28, ""g""), ""3"","""")"),"")</f>
        <v/>
      </c>
      <c r="AK28" s="245" t="str">
        <f>IFERROR(__xludf.DUMMYFUNCTION("IF(REGEXMATCH(N28, ""G""), ""4"","""")"),"4")</f>
        <v>4</v>
      </c>
      <c r="AL28" s="245" t="str">
        <f>IFERROR(__xludf.DUMMYFUNCTION("IF(REGEXMATCH(N28, ""m""), ""5"","""")"),"5")</f>
        <v>5</v>
      </c>
      <c r="AM28" s="246" t="str">
        <f>IFERROR(__xludf.DUMMYFUNCTION("IF(REGEXMATCH(N28, ""M""), ""6"","""")"),"")</f>
        <v/>
      </c>
      <c r="AN28" s="245" t="str">
        <f>IFERROR(__xludf.DUMMYFUNCTION("IF(REGEXMATCH(N28, ""P""), ""7"","""")"),"")</f>
        <v/>
      </c>
      <c r="AO28" s="246" t="str">
        <f>IFERROR(__xludf.DUMMYFUNCTION("IF(REGEXMATCH(N28, ""d""), ""8"","""")"),"8")</f>
        <v>8</v>
      </c>
      <c r="AP28" s="245" t="str">
        <f>IFERROR(__xludf.DUMMYFUNCTION("IF(REGEXMATCH(N28, ""D""), ""9"","""")"),"")</f>
        <v/>
      </c>
      <c r="AQ28" s="245" t="str">
        <f>IFERROR(__xludf.DUMMYFUNCTION("IF(REGEXMATCH(N28, ""n""), ""10"","""")"),"10")</f>
        <v>10</v>
      </c>
      <c r="AR28" s="246" t="str">
        <f>IFERROR(__xludf.DUMMYFUNCTION("IF(REGEXMATCH(N28, ""N""), ""11"","""")"),"")</f>
        <v/>
      </c>
      <c r="AS28" s="249" t="str">
        <f>IFERROR(__xludf.DUMMYFUNCTION("IF(REGEXMATCH(N28, ""S""), ""0"","""")"),"0")</f>
        <v>0</v>
      </c>
      <c r="AT28" s="250" t="str">
        <f>IFERROR(__xludf.DUMMYFUNCTION("SUBSTITUTE(SUBSTITUTE(SUBSTITUTE(SUBSTITUTE(CONCATENATE(JOIN(""-"",AG28:AS28)),""--"",""-""),""--"",""-""),""--"",""-""),""--"",""-"")"),"0-4-5-8-10-0")</f>
        <v>0-4-5-8-10-0</v>
      </c>
      <c r="AU28" s="251">
        <f t="shared" si="13"/>
        <v>1</v>
      </c>
      <c r="AV28" s="234" t="str">
        <f t="shared" si="14"/>
        <v>|</v>
      </c>
      <c r="AW28" s="236" t="str">
        <f t="shared" si="15"/>
        <v>-</v>
      </c>
      <c r="AX28" s="237" t="str">
        <f t="shared" si="16"/>
        <v>-</v>
      </c>
      <c r="AY28" s="236" t="str">
        <f t="shared" si="17"/>
        <v>-</v>
      </c>
      <c r="AZ28" s="237" t="str">
        <f t="shared" si="18"/>
        <v>|</v>
      </c>
      <c r="BA28" s="236" t="str">
        <f t="shared" si="19"/>
        <v>|</v>
      </c>
      <c r="BB28" s="237" t="str">
        <f t="shared" si="20"/>
        <v>-</v>
      </c>
      <c r="BC28" s="236" t="str">
        <f t="shared" si="21"/>
        <v>-</v>
      </c>
      <c r="BD28" s="237" t="str">
        <f t="shared" si="22"/>
        <v>|</v>
      </c>
      <c r="BE28" s="236" t="str">
        <f t="shared" si="23"/>
        <v>-</v>
      </c>
      <c r="BF28" s="237" t="str">
        <f t="shared" si="24"/>
        <v>|</v>
      </c>
      <c r="BG28" s="236" t="str">
        <f t="shared" si="25"/>
        <v>-</v>
      </c>
      <c r="BH28" s="238" t="str">
        <f t="shared" si="26"/>
        <v>|</v>
      </c>
      <c r="BI28" s="250" t="str">
        <f>IFERROR(__xludf.DUMMYFUNCTION("SUBSTITUTE(SUBSTITUTE(CONCATENATE(JOIN("""",AV28:BG28)),""|"",""x""),""-"",""o"")"),"xoooxxooxoxo")</f>
        <v>xoooxxooxoxo</v>
      </c>
      <c r="BJ28" s="323" t="str">
        <f>IFERROR(__xludf.DUMMYFUNCTION("JOIN("""",BI28,BI28)"),"xoooxxooxoxoxoooxxooxoxo")</f>
        <v>xoooxxooxoxoxoooxxooxoxo</v>
      </c>
      <c r="BK28" s="256" t="str">
        <f>IFERROR(__xludf.DUMMYFUNCTION("JOIN("""",ArrayFormula(MID(BI28,LEN(BI28)-SEQUENCE(1,LEN(BI28))+1,1)))"),"oxoxooxxooox")</f>
        <v>oxoxooxxooox</v>
      </c>
      <c r="BL28" s="256" t="str">
        <f>IFERROR(__xludf.DUMMYFUNCTION("LEFT(CONCATENATE(""x"",JOIN("""",ArrayFormula(MID(BI28,LEN(BI28)-SEQUENCE(1,LEN(BI28))+1,1)))),12)"),"xoxoxooxxooo")</f>
        <v>xoxoxooxxooo</v>
      </c>
      <c r="BM28" s="327" t="str">
        <f>IFERROR(__xludf.DUMMYFUNCTION("JOIN("""",BK28,BK28)"),"oxoxooxxoooxoxoxooxxooox")</f>
        <v>oxoxooxxoooxoxoxooxxooox</v>
      </c>
      <c r="BN28" s="239" t="str">
        <f>IFERROR(__xludf.DUMMYFUNCTION("IF(REGEXMATCH(BM28,BI28),""✔"",""-"")"),"-")</f>
        <v>-</v>
      </c>
      <c r="BO28" s="330" t="str">
        <f t="shared" si="27"/>
        <v>-</v>
      </c>
      <c r="BP28" s="260" t="str">
        <f t="shared" si="28"/>
        <v>-</v>
      </c>
      <c r="BQ28" s="261" t="str">
        <f>IFERROR(__xludf.DUMMYFUNCTION("IF(BT28=0,""(n/a)"",IF(BU28=2,""(PAIR)"",IF(REGEXMATCH(BJ28,""xoxoxxoxoxox""),""Bilawal"",IF(REGEXMATCH(BJ28,""xoxoxooxoxoo""),""Bhupali"",IF(REGEXMATCH(BJ28,""xoxoxxoxxoxo""),""Charukeshi"",IF(REGEXMATCH(BJ28,""xoxoooxxoxxo""),""Kameshwari"",IF(REGEXMATC"&amp;"H(BJ28,""xoxoxooxoxox""),""Shankara"",IF(REGEXMATCH(BJ28,""xxooxoxxxoox""),""Basant"",IF(REGEXMATCH(BJ28,""xoxoxxxxoxox""),""Bihag"",IF(REGEXMATCH(BJ28,""xoxxxxoxoxxx""),""Pilu"",IF(REGEXMATCH(BJ28,""xoxxoxoxxoox""),""Kirwani"",IF(REGEXMATCH(BJ28,""xoxxox"&amp;"oxoxxx""),""Mk.Malhar"",IF(REGEXMATCH(BJ28,""xxooxxoxxoox""),""Bhairav"",IF(REGEXMATCH(BJ28,""xxoxooxxxoox""),""Todi"",IF(REGEXMATCH(BJ28,""xxooxoxooxox""),""Marwa"",IF(REGEXMATCH(BJ28,""xxoooxoxxooo""),""Gunkali"",IF(REGEXMATCH(BJ28,""xoxoxxoxxoox""),""N"&amp;"at Bhairav"",IF(REGEXMATCH(BJ28,""xoxxoooxoxoo""),""Shivranjani"",IF(REGEXMATCH(BJ28,""xooxxxoxooxo""),""Jog"",IF(REGEXMATCH(BJ28,""xxooxoxoxoox""),""Hemshri"",IF(REGEXMATCH(BJ28,""xoooxooxoxxo""),""Kalavati"",IF(REGEXMATCH(BJ28,""xxoxoxxoxoox""),""Kedar"&amp;""",IF(REGEXMATCH(BJ28,""xoxxxxoxooxx""),""Gara"",IF(REGEXMATCH(BJ28,""xooxoxooxoox""),""Chandrakauns"",IF(REGEXMATCH(BJ28,""xoxxxxoxxxox""),""Mand"",IF(REGEXMATCH(BJ28,""xoxxxxoxoxox""),""Hanskinkini"",IF(REGEXMATCH(BJ28,""xxooxxoxooxo""),""Lilavati"",IF("&amp;"REGEXMATCH(BJ28,""xooxoxoooxox""),""Rajeshwari"",IF(REGEXMATCH(BJ28,""xoooxxoxoxxx""),""Khokar"",IF(REGEXMATCH(BJ28,""xxooxoxxxxox""),""Maligoura"",""-""))))))))))))))))))))))))))))))"),"(n/a)")</f>
        <v>(n/a)</v>
      </c>
      <c r="BR28" s="239">
        <f t="shared" si="29"/>
        <v>4</v>
      </c>
      <c r="BS28" s="239">
        <f>IFERROR(__xludf.DUMMYFUNCTION("COUNTUNIQUE(BW28:CG28)-1"),4.0)</f>
        <v>4</v>
      </c>
      <c r="BT28" s="239">
        <f>IFERROR(__xludf.DUMMYFUNCTION("COUNTUNIQUE(FILTER(BJ:BJ,REGEXMATCH(BJ:BJ,BI28)))-1"),0.0)</f>
        <v>0</v>
      </c>
      <c r="BU28" s="239">
        <f>IFERROR(__xludf.DUMMYFUNCTION("COUNTA(FILTER(BJ:BJ,REGEXMATCH(BJ:BJ,BI28)))"),2.0)</f>
        <v>2</v>
      </c>
      <c r="BV28" s="341">
        <f>IFERROR(__xludf.DUMMYFUNCTION("COUNTA(FILTER(BJ:BJ,REGEXMATCH(BJ:BJ,BI28)))-AU28"),1.0)</f>
        <v>1</v>
      </c>
      <c r="BW28" s="269" t="str">
        <f t="shared" si="30"/>
        <v>-</v>
      </c>
      <c r="BX28" s="269" t="str">
        <f t="shared" si="31"/>
        <v>-</v>
      </c>
      <c r="BY28" s="271" t="str">
        <f t="shared" si="32"/>
        <v>-</v>
      </c>
      <c r="BZ28" s="269" t="str">
        <f t="shared" si="33"/>
        <v>xxooxoxoxoo</v>
      </c>
      <c r="CA28" s="271" t="str">
        <f t="shared" si="34"/>
        <v>xooxoxoxooo</v>
      </c>
      <c r="CB28" s="271" t="str">
        <f t="shared" si="35"/>
        <v>-</v>
      </c>
      <c r="CC28" s="271" t="str">
        <f t="shared" si="36"/>
        <v>-</v>
      </c>
      <c r="CD28" s="271" t="str">
        <f t="shared" si="37"/>
        <v>xoxoxoooxxo</v>
      </c>
      <c r="CE28" s="271" t="str">
        <f t="shared" si="38"/>
        <v>-</v>
      </c>
      <c r="CF28" s="271" t="str">
        <f t="shared" si="39"/>
        <v>xoxoooxxoox</v>
      </c>
      <c r="CG28" s="274" t="str">
        <f t="shared" si="40"/>
        <v>-</v>
      </c>
      <c r="CH28" s="276" t="str">
        <f>IFERROR(__xludf.DUMMYFUNCTION("IF(BI28=""oooooooooooo"",""-"",IF(REGEXMATCH(BJ28,""xx""), ""Hemi."", ""Anhemi.""))"),"Hemi.")</f>
        <v>Hemi.</v>
      </c>
      <c r="CI28" s="282" t="str">
        <f>IFERROR(__xludf.DUMMYFUNCTION("IF(BI28=""oooooooooooo"",""-"",IF(REGEXMATCH(BJ28,""xxx""), ""Cohem."", ""-""))"),"-")</f>
        <v>-</v>
      </c>
      <c r="CJ28" s="282" t="str">
        <f>IFERROR(__xludf.DUMMYFUNCTION("IF(BI28=""oooooooooooo"",""-"",IF(REGEXMATCH(BJ28,""xxxx""), ""Co-Co."", ""-""))"),"-")</f>
        <v>-</v>
      </c>
      <c r="CK28" s="342" t="str">
        <f>IFERROR(__xludf.DUMMYFUNCTION("IF(BI28=""oooooooooooo"",""-"",IF(REGEXMATCH(BJ28,""xxxxx""), ""CCC."", ""-""))"),"-")</f>
        <v>-</v>
      </c>
      <c r="CL28" s="344" t="str">
        <f t="shared" si="41"/>
        <v>-</v>
      </c>
      <c r="CM28" s="282" t="str">
        <f>IFERROR(__xludf.DUMMYFUNCTION("IF(REGEXMATCH(JOIN(""-"",CO28:CX28),""TRUE""),""✔"",""-"")"),"-")</f>
        <v>-</v>
      </c>
      <c r="CN28" s="225">
        <f t="shared" si="42"/>
        <v>0</v>
      </c>
      <c r="CO28" s="376" t="b">
        <f>IFERROR(__xludf.DUMMYFUNCTION("arrayformula(sum(--REGEXMATCH(""SRGMPDNS"",split(REGEXREPLACE(N28,""(.)"",""$1~""),""~""))))=len(N28)
"),FALSE)</f>
        <v>0</v>
      </c>
      <c r="CP28" s="290" t="b">
        <f>IFERROR(__xludf.DUMMYFUNCTION("arrayformula(sum(--REGEXMATCH(""SRGmPDNS"",split(REGEXREPLACE(N28,""(.)"",""$1~""),""~""))))=len(N28)"),FALSE)</f>
        <v>0</v>
      </c>
      <c r="CQ28" s="290" t="b">
        <f>IFERROR(__xludf.DUMMYFUNCTION("arrayformula(sum(--REGEXMATCH(""SRGmPDnS"",split(REGEXREPLACE(N28,""(.)"",""$1~""),""~""))))=len(N28)"),FALSE)</f>
        <v>0</v>
      </c>
      <c r="CR28" s="290" t="b">
        <f>IFERROR(__xludf.DUMMYFUNCTION("arrayformula(sum(--REGEXMATCH(""SRgmPDnS"",split(REGEXREPLACE(N28,""(.)"",""$1~""),""~""))))=len(N28)"),FALSE)</f>
        <v>0</v>
      </c>
      <c r="CS28" s="290" t="b">
        <f>IFERROR(__xludf.DUMMYFUNCTION("arrayformula(sum(--REGEXMATCH(""SRgmPdnS"",split(REGEXREPLACE(N28,""(.)"",""$1~""),""~""))))=len(N28)"),FALSE)</f>
        <v>0</v>
      </c>
      <c r="CT28" s="290" t="b">
        <f>IFERROR(__xludf.DUMMYFUNCTION("arrayformula(sum(--REGEXMATCH(""SrgmPdnS"",split(REGEXREPLACE(N28,""(.)"",""$1~""),""~""))))=len(N28)"),FALSE)</f>
        <v>0</v>
      </c>
      <c r="CU28" s="290" t="b">
        <f>IFERROR(__xludf.DUMMYFUNCTION("arrayformula(sum(--REGEXMATCH(""SrGmPdNS"",split(REGEXREPLACE(N28,""(.)"",""$1~""),""~""))))=len(N28)"),FALSE)</f>
        <v>0</v>
      </c>
      <c r="CV28" s="290" t="b">
        <f>IFERROR(__xludf.DUMMYFUNCTION("arrayformula(sum(--REGEXMATCH(""SrGMPDNS"",split(REGEXREPLACE(N28,""(.)"",""$1~""),""~""))))=len(N28)"),FALSE)</f>
        <v>0</v>
      </c>
      <c r="CW28" s="290" t="b">
        <f>IFERROR(__xludf.DUMMYFUNCTION("arrayformula(sum(--REGEXMATCH(""SrGMPdNS"",split(REGEXREPLACE(N28,""(.)"",""$1~""),""~""))))=len(N28)"),FALSE)</f>
        <v>0</v>
      </c>
      <c r="CX28" s="293" t="b">
        <f>IFERROR(__xludf.DUMMYFUNCTION("arrayformula(sum(--REGEXMATCH(""SrgMPdNS"",split(REGEXREPLACE(N28,""(.)"",""$1~""),""~""))))=len(N28)"),FALSE)</f>
        <v>0</v>
      </c>
      <c r="CY28" s="244" t="str">
        <f>IFERROR(__xludf.DUMMYFUNCTION("IF(REGEXMATCH(N28, ""S""), ""1"","""")"),"1")</f>
        <v>1</v>
      </c>
      <c r="CZ28" s="245" t="str">
        <f>IFERROR(__xludf.DUMMYFUNCTION("IF(REGEXMATCH(N28, ""r""), ""b2"","""")"),"")</f>
        <v/>
      </c>
      <c r="DA28" s="246" t="str">
        <f>IFERROR(__xludf.DUMMYFUNCTION("IF(REGEXMATCH(N28, ""R""), ""2"","""")"),"")</f>
        <v/>
      </c>
      <c r="DB28" s="246" t="str">
        <f>IFERROR(__xludf.DUMMYFUNCTION("IF(REGEXMATCH(N28, ""g""), ""b3"","""")"),"")</f>
        <v/>
      </c>
      <c r="DC28" s="245" t="str">
        <f>IFERROR(__xludf.DUMMYFUNCTION("IF(REGEXMATCH(N28, ""G""), ""3"","""")"),"3")</f>
        <v>3</v>
      </c>
      <c r="DD28" s="245" t="str">
        <f>IFERROR(__xludf.DUMMYFUNCTION("IF(REGEXMATCH(N28, ""m""), ""4"","""")"),"4")</f>
        <v>4</v>
      </c>
      <c r="DE28" s="246" t="str">
        <f>IFERROR(__xludf.DUMMYFUNCTION("IF(REGEXMATCH(N28, ""M""), ""#4"","""")"),"")</f>
        <v/>
      </c>
      <c r="DF28" s="245" t="str">
        <f>IFERROR(__xludf.DUMMYFUNCTION("IF(REGEXMATCH(N28, ""P""), ""5"","""")"),"")</f>
        <v/>
      </c>
      <c r="DG28" s="246" t="str">
        <f>IFERROR(__xludf.DUMMYFUNCTION("IF(REGEXMATCH(N28, ""d""), ""b6"","""")"),"b6")</f>
        <v>b6</v>
      </c>
      <c r="DH28" s="245" t="str">
        <f>IFERROR(__xludf.DUMMYFUNCTION("IF(REGEXMATCH(N28, ""D""), ""6"","""")"),"")</f>
        <v/>
      </c>
      <c r="DI28" s="245" t="str">
        <f>IFERROR(__xludf.DUMMYFUNCTION("IF(REGEXMATCH(N28, ""n""), ""b7"","""")"),"b7")</f>
        <v>b7</v>
      </c>
      <c r="DJ28" s="246" t="str">
        <f>IFERROR(__xludf.DUMMYFUNCTION("IF(REGEXMATCH(N28, ""N""), ""7"","""")"),"")</f>
        <v/>
      </c>
      <c r="DK28" s="249" t="str">
        <f>IFERROR(__xludf.DUMMYFUNCTION("IF(REGEXMATCH(N28, ""S""), ""8"","""")"),"8")</f>
        <v>8</v>
      </c>
      <c r="DL28" s="244" t="str">
        <f>IFERROR(__xludf.DUMMYFUNCTION("IF(REGEXMATCH(N28, ""S""), ""S"","""")"),"S")</f>
        <v>S</v>
      </c>
      <c r="DM28" s="294" t="str">
        <f>IFERROR(__xludf.DUMMYFUNCTION("IF(REGEXMATCH(N28, ""r""), ""R1"","""")"),"")</f>
        <v/>
      </c>
      <c r="DN28" s="295" t="str">
        <f>IFERROR(__xludf.DUMMYFUNCTION("IF(REGEXMATCH(N28, ""R""), ""R2"","""")"),"")</f>
        <v/>
      </c>
      <c r="DO28" s="295" t="str">
        <f>IFERROR(__xludf.DUMMYFUNCTION("IF(REGEXMATCH(N28, ""g""), ""G2"","""")"),"")</f>
        <v/>
      </c>
      <c r="DP28" s="294" t="str">
        <f>IFERROR(__xludf.DUMMYFUNCTION("IF(REGEXMATCH(N28, ""G""), ""G3"","""")"),"G3")</f>
        <v>G3</v>
      </c>
      <c r="DQ28" s="294" t="str">
        <f>IFERROR(__xludf.DUMMYFUNCTION("IF(REGEXMATCH(N28, ""m""), ""M1"","""")"),"M1")</f>
        <v>M1</v>
      </c>
      <c r="DR28" s="295" t="str">
        <f>IFERROR(__xludf.DUMMYFUNCTION("IF(REGEXMATCH(N28, ""M""), ""M2"","""")"),"")</f>
        <v/>
      </c>
      <c r="DS28" s="294" t="str">
        <f>IFERROR(__xludf.DUMMYFUNCTION("IF(REGEXMATCH(N28, ""P""), ""P"","""")"),"")</f>
        <v/>
      </c>
      <c r="DT28" s="295" t="str">
        <f>IFERROR(__xludf.DUMMYFUNCTION("IF(REGEXMATCH(N28, ""d""), ""D1"","""")"),"D1")</f>
        <v>D1</v>
      </c>
      <c r="DU28" s="294" t="str">
        <f>IFERROR(__xludf.DUMMYFUNCTION("IF(REGEXMATCH(N28, ""D""), ""D2"","""")"),"")</f>
        <v/>
      </c>
      <c r="DV28" s="294" t="str">
        <f>IFERROR(__xludf.DUMMYFUNCTION("IF(REGEXMATCH(N28, ""n""), ""N2"","""")"),"N2")</f>
        <v>N2</v>
      </c>
      <c r="DW28" s="295" t="str">
        <f>IFERROR(__xludf.DUMMYFUNCTION("IF(REGEXMATCH(N28, ""N""), ""N3"","""")"),"")</f>
        <v/>
      </c>
      <c r="DX28" s="249" t="str">
        <f>IFERROR(__xludf.DUMMYFUNCTION("IF(REGEXMATCH(N28, ""S""), ""S"","""")"),"S")</f>
        <v>S</v>
      </c>
      <c r="DY28" s="299" t="str">
        <f>IFERROR(__xludf.DUMMYFUNCTION("SUBSTITUTE(SUBSTITUTE(SUBSTITUTE(SUBSTITUTE(CONCATENATE(JOIN(""-"",CY28:DK28)),""--"",""-""),""--"",""-""),""--"",""-""),""--"",""-"")"),"1-3-4-b6-b7-8")</f>
        <v>1-3-4-b6-b7-8</v>
      </c>
      <c r="DZ28" s="299" t="str">
        <f>IFERROR(__xludf.DUMMYFUNCTION("SUBSTITUTE(SUBSTITUTE(SUBSTITUTE(SUBSTITUTE(CONCATENATE(JOIN(""-"",DL28:DX28)),""--"",""-""),""--"",""-""),""--"",""-""),""--"",""-"")"),"S-G3-M1-D1-N2-S")</f>
        <v>S-G3-M1-D1-N2-S</v>
      </c>
      <c r="EA28" s="348" t="str">
        <f t="shared" si="43"/>
        <v>C-E-F-Ab-Bb-C</v>
      </c>
      <c r="EB28" s="301">
        <f t="shared" si="44"/>
        <v>5</v>
      </c>
      <c r="EC28" s="302" t="str">
        <f t="shared" si="45"/>
        <v>Audav</v>
      </c>
      <c r="ED28" s="301" t="str">
        <f t="shared" ref="ED28:EE28" si="194">SUBSTITUTE(AD28,"-","")</f>
        <v>SGM</v>
      </c>
      <c r="EE28" s="301" t="str">
        <f t="shared" si="194"/>
        <v>DNS</v>
      </c>
      <c r="EF28" s="302" t="str">
        <f t="shared" si="47"/>
        <v>(n/a)</v>
      </c>
      <c r="EG28" s="301" t="str">
        <f t="shared" si="48"/>
        <v>Hemi.</v>
      </c>
      <c r="EH28" s="364" t="str">
        <f t="shared" si="49"/>
        <v>-</v>
      </c>
      <c r="EI28" s="306" t="str">
        <f t="shared" si="50"/>
        <v>-</v>
      </c>
      <c r="EJ28" s="366" t="str">
        <f t="shared" si="51"/>
        <v>-</v>
      </c>
      <c r="EK28" s="308" t="str">
        <f t="shared" si="52"/>
        <v>✔</v>
      </c>
      <c r="EL28" s="306" t="str">
        <f t="shared" si="53"/>
        <v>-</v>
      </c>
      <c r="EM28" s="306" t="str">
        <f t="shared" si="54"/>
        <v>-</v>
      </c>
      <c r="EN28" s="367" t="str">
        <f t="shared" si="55"/>
        <v>-</v>
      </c>
      <c r="EO28" s="310" t="str">
        <f t="shared" si="56"/>
        <v>-</v>
      </c>
      <c r="EP28" s="310" t="str">
        <f t="shared" si="57"/>
        <v>-</v>
      </c>
      <c r="EQ28" s="310" t="str">
        <f t="shared" si="58"/>
        <v>-</v>
      </c>
      <c r="ER28" s="310" t="str">
        <f t="shared" si="59"/>
        <v>-</v>
      </c>
      <c r="ES28" s="370" t="str">
        <f t="shared" si="60"/>
        <v>-</v>
      </c>
      <c r="ET28" s="306" t="str">
        <f t="shared" si="61"/>
        <v>✔</v>
      </c>
      <c r="EU28" s="306" t="str">
        <f t="shared" si="62"/>
        <v>-</v>
      </c>
      <c r="EV28" s="306" t="str">
        <f t="shared" si="63"/>
        <v>-</v>
      </c>
      <c r="EW28" s="306" t="str">
        <f t="shared" si="64"/>
        <v>✔</v>
      </c>
      <c r="EX28" s="306" t="str">
        <f t="shared" si="65"/>
        <v>-</v>
      </c>
      <c r="EY28" s="367" t="str">
        <f t="shared" si="66"/>
        <v>-</v>
      </c>
      <c r="EZ28" s="310" t="str">
        <f>IFERROR(__xludf.DUMMYFUNCTION("IF(REGEXMATCH(BM28,BI28),""✔"",""-"")"),"-")</f>
        <v>-</v>
      </c>
      <c r="FA28" s="310" t="str">
        <f t="shared" si="67"/>
        <v>-</v>
      </c>
      <c r="FB28" s="370" t="str">
        <f t="shared" si="68"/>
        <v>-</v>
      </c>
      <c r="FC28" s="415">
        <f t="shared" si="69"/>
        <v>1</v>
      </c>
      <c r="FD28" s="317" t="str">
        <f t="shared" si="70"/>
        <v>S-G-m-d-n-S</v>
      </c>
      <c r="FE28" s="318" t="str">
        <f>IFERROR(__xludf.DUMMYFUNCTION("CONCATENATE(JOIN("""",GJ28:GV28))"),"SRGPdS")</f>
        <v>SRGPdS</v>
      </c>
      <c r="FF28" s="318"/>
      <c r="FG28" s="318"/>
      <c r="FH28" s="321">
        <f t="shared" si="71"/>
        <v>3</v>
      </c>
      <c r="FI28" s="318" t="str">
        <f>IFERROR(__xludf.DUMMYFUNCTION("CONCATENATE(JOIN("""",HW28:II28))"),"Sa, Ga, dha, ")</f>
        <v>Sa, Ga, dha, </v>
      </c>
      <c r="FJ28" s="322">
        <f t="shared" si="72"/>
        <v>2</v>
      </c>
      <c r="FK28" s="324" t="str">
        <f>IFERROR(__xludf.DUMMYFUNCTION("CONCATENATE(JOIN("""",IW28:JI28))"),"Ga, dha, ")</f>
        <v>Ga, dha, </v>
      </c>
      <c r="FL28" s="325" t="str">
        <f t="shared" si="73"/>
        <v>S-G3-M1-D1-N2-S</v>
      </c>
      <c r="FM28" s="326" t="str">
        <f t="shared" si="74"/>
        <v>1-3-4-b6-b7-8</v>
      </c>
      <c r="FN28" s="326" t="str">
        <f t="shared" si="75"/>
        <v>0-4-5-8-10-0</v>
      </c>
      <c r="FO28" s="318"/>
      <c r="FP28" s="328" t="str">
        <f>IFERROR(__xludf.DUMMYFUNCTION("SUBSTITUTE(SUBSTITUTE(SUBSTITUTE(SUBSTITUTE(CONCATENATE(JOIN("" "",FS28:GE28)),""  "","" ""),""  "","" ""),""  "","" ""),""  "","" "")"),"o • • • o o • • o • o • o")</f>
        <v>o • • • o o • • o • o • o</v>
      </c>
      <c r="FQ28" s="328" t="str">
        <f t="shared" si="76"/>
        <v>Sa-ma</v>
      </c>
      <c r="FR28" s="329"/>
      <c r="FS28" s="331" t="str">
        <f t="shared" si="77"/>
        <v>o</v>
      </c>
      <c r="FT28" s="332" t="str">
        <f t="shared" si="78"/>
        <v>•</v>
      </c>
      <c r="FU28" s="332" t="str">
        <f t="shared" si="79"/>
        <v>•</v>
      </c>
      <c r="FV28" s="332" t="str">
        <f t="shared" si="80"/>
        <v>•</v>
      </c>
      <c r="FW28" s="332" t="str">
        <f t="shared" si="81"/>
        <v>o</v>
      </c>
      <c r="FX28" s="332" t="str">
        <f t="shared" si="82"/>
        <v>o</v>
      </c>
      <c r="FY28" s="332" t="str">
        <f t="shared" si="83"/>
        <v>•</v>
      </c>
      <c r="FZ28" s="332" t="str">
        <f t="shared" si="84"/>
        <v>•</v>
      </c>
      <c r="GA28" s="332" t="str">
        <f t="shared" si="85"/>
        <v>o</v>
      </c>
      <c r="GB28" s="332" t="str">
        <f t="shared" si="86"/>
        <v>•</v>
      </c>
      <c r="GC28" s="332" t="str">
        <f t="shared" si="87"/>
        <v>o</v>
      </c>
      <c r="GD28" s="332" t="str">
        <f t="shared" si="88"/>
        <v>•</v>
      </c>
      <c r="GE28" s="338" t="str">
        <f t="shared" si="89"/>
        <v>o</v>
      </c>
      <c r="GF28" s="339" t="str">
        <f t="shared" si="90"/>
        <v>-</v>
      </c>
      <c r="GG28" s="339" t="str">
        <f t="shared" si="91"/>
        <v>-</v>
      </c>
      <c r="GH28" s="339" t="str">
        <f t="shared" si="92"/>
        <v>-</v>
      </c>
      <c r="GI28" s="340" t="str">
        <f t="shared" si="93"/>
        <v>Sa-ma</v>
      </c>
      <c r="GJ28" s="331" t="str">
        <f t="shared" si="94"/>
        <v>S</v>
      </c>
      <c r="GK28" s="332" t="str">
        <f t="shared" si="95"/>
        <v/>
      </c>
      <c r="GL28" s="332" t="str">
        <f t="shared" si="96"/>
        <v>R</v>
      </c>
      <c r="GM28" s="332" t="str">
        <f t="shared" si="97"/>
        <v/>
      </c>
      <c r="GN28" s="332" t="str">
        <f t="shared" si="98"/>
        <v>G</v>
      </c>
      <c r="GO28" s="332" t="str">
        <f t="shared" si="99"/>
        <v/>
      </c>
      <c r="GP28" s="332" t="str">
        <f t="shared" si="100"/>
        <v/>
      </c>
      <c r="GQ28" s="332" t="str">
        <f t="shared" si="101"/>
        <v>P</v>
      </c>
      <c r="GR28" s="332" t="str">
        <f t="shared" si="102"/>
        <v>d</v>
      </c>
      <c r="GS28" s="332" t="str">
        <f t="shared" si="103"/>
        <v/>
      </c>
      <c r="GT28" s="332" t="str">
        <f t="shared" si="104"/>
        <v/>
      </c>
      <c r="GU28" s="332" t="str">
        <f t="shared" si="105"/>
        <v/>
      </c>
      <c r="GV28" s="343" t="str">
        <f t="shared" si="106"/>
        <v>S</v>
      </c>
      <c r="GW28" s="331" t="str">
        <f t="shared" si="107"/>
        <v>•</v>
      </c>
      <c r="GX28" s="332" t="str">
        <f t="shared" si="108"/>
        <v>o</v>
      </c>
      <c r="GY28" s="332" t="str">
        <f t="shared" si="109"/>
        <v>o</v>
      </c>
      <c r="GZ28" s="332" t="str">
        <f t="shared" si="110"/>
        <v>o</v>
      </c>
      <c r="HA28" s="332" t="str">
        <f t="shared" si="111"/>
        <v>•</v>
      </c>
      <c r="HB28" s="332" t="str">
        <f t="shared" si="112"/>
        <v>•</v>
      </c>
      <c r="HC28" s="332" t="str">
        <f t="shared" si="113"/>
        <v>o</v>
      </c>
      <c r="HD28" s="332" t="str">
        <f t="shared" si="114"/>
        <v>o</v>
      </c>
      <c r="HE28" s="332" t="str">
        <f t="shared" si="115"/>
        <v>•</v>
      </c>
      <c r="HF28" s="332" t="str">
        <f t="shared" si="116"/>
        <v>o</v>
      </c>
      <c r="HG28" s="332" t="str">
        <f t="shared" si="117"/>
        <v>•</v>
      </c>
      <c r="HH28" s="332" t="str">
        <f t="shared" si="118"/>
        <v>o</v>
      </c>
      <c r="HI28" s="338" t="str">
        <f t="shared" si="119"/>
        <v>•</v>
      </c>
      <c r="HJ28" s="346" t="b">
        <f t="shared" si="120"/>
        <v>1</v>
      </c>
      <c r="HK28" s="347" t="b">
        <f t="shared" si="121"/>
        <v>0</v>
      </c>
      <c r="HL28" s="347" t="b">
        <f t="shared" si="122"/>
        <v>0</v>
      </c>
      <c r="HM28" s="347" t="b">
        <f t="shared" si="123"/>
        <v>0</v>
      </c>
      <c r="HN28" s="347" t="b">
        <f t="shared" si="124"/>
        <v>1</v>
      </c>
      <c r="HO28" s="347" t="b">
        <f t="shared" si="125"/>
        <v>0</v>
      </c>
      <c r="HP28" s="347" t="b">
        <f t="shared" si="126"/>
        <v>0</v>
      </c>
      <c r="HQ28" s="347" t="b">
        <f t="shared" si="127"/>
        <v>0</v>
      </c>
      <c r="HR28" s="347" t="b">
        <f t="shared" si="128"/>
        <v>1</v>
      </c>
      <c r="HS28" s="347" t="b">
        <f t="shared" si="129"/>
        <v>0</v>
      </c>
      <c r="HT28" s="347" t="b">
        <f t="shared" si="130"/>
        <v>0</v>
      </c>
      <c r="HU28" s="347" t="b">
        <f t="shared" si="131"/>
        <v>0</v>
      </c>
      <c r="HV28" s="353" t="b">
        <f t="shared" si="132"/>
        <v>1</v>
      </c>
      <c r="HW28" s="354" t="str">
        <f t="shared" si="133"/>
        <v>Sa, </v>
      </c>
      <c r="HX28" s="355" t="str">
        <f t="shared" si="134"/>
        <v/>
      </c>
      <c r="HY28" s="355" t="str">
        <f t="shared" si="135"/>
        <v/>
      </c>
      <c r="HZ28" s="355" t="str">
        <f t="shared" si="136"/>
        <v/>
      </c>
      <c r="IA28" s="355" t="str">
        <f t="shared" si="137"/>
        <v>Ga, </v>
      </c>
      <c r="IB28" s="355" t="str">
        <f t="shared" si="138"/>
        <v/>
      </c>
      <c r="IC28" s="355" t="str">
        <f t="shared" si="139"/>
        <v/>
      </c>
      <c r="ID28" s="355" t="str">
        <f t="shared" si="140"/>
        <v/>
      </c>
      <c r="IE28" s="355" t="str">
        <f t="shared" si="141"/>
        <v>dha, </v>
      </c>
      <c r="IF28" s="355" t="str">
        <f t="shared" si="142"/>
        <v/>
      </c>
      <c r="IG28" s="355" t="str">
        <f t="shared" si="143"/>
        <v/>
      </c>
      <c r="IH28" s="355" t="str">
        <f t="shared" si="144"/>
        <v/>
      </c>
      <c r="II28" s="359" t="str">
        <f t="shared" si="145"/>
        <v/>
      </c>
      <c r="IJ28" s="346" t="b">
        <f t="shared" si="146"/>
        <v>0</v>
      </c>
      <c r="IK28" s="347" t="b">
        <f t="shared" si="147"/>
        <v>0</v>
      </c>
      <c r="IL28" s="347" t="b">
        <f t="shared" si="148"/>
        <v>0</v>
      </c>
      <c r="IM28" s="347" t="b">
        <f t="shared" si="149"/>
        <v>0</v>
      </c>
      <c r="IN28" s="347" t="b">
        <f t="shared" si="150"/>
        <v>1</v>
      </c>
      <c r="IO28" s="347" t="b">
        <f t="shared" si="151"/>
        <v>0</v>
      </c>
      <c r="IP28" s="347" t="b">
        <f t="shared" si="152"/>
        <v>0</v>
      </c>
      <c r="IQ28" s="347" t="b">
        <f t="shared" si="153"/>
        <v>0</v>
      </c>
      <c r="IR28" s="347" t="b">
        <f t="shared" si="154"/>
        <v>1</v>
      </c>
      <c r="IS28" s="347" t="b">
        <f t="shared" si="155"/>
        <v>0</v>
      </c>
      <c r="IT28" s="347" t="b">
        <f t="shared" si="156"/>
        <v>0</v>
      </c>
      <c r="IU28" s="347" t="b">
        <f t="shared" si="157"/>
        <v>0</v>
      </c>
      <c r="IV28" s="365" t="b">
        <f t="shared" si="158"/>
        <v>0</v>
      </c>
      <c r="IW28" s="354" t="str">
        <f t="shared" si="159"/>
        <v/>
      </c>
      <c r="IX28" s="355" t="str">
        <f t="shared" si="160"/>
        <v/>
      </c>
      <c r="IY28" s="355" t="str">
        <f t="shared" si="161"/>
        <v/>
      </c>
      <c r="IZ28" s="355" t="str">
        <f t="shared" si="162"/>
        <v/>
      </c>
      <c r="JA28" s="355" t="str">
        <f t="shared" si="163"/>
        <v>Ga, </v>
      </c>
      <c r="JB28" s="355" t="str">
        <f t="shared" si="164"/>
        <v/>
      </c>
      <c r="JC28" s="355" t="str">
        <f t="shared" si="165"/>
        <v/>
      </c>
      <c r="JD28" s="355" t="str">
        <f t="shared" si="166"/>
        <v/>
      </c>
      <c r="JE28" s="355" t="str">
        <f t="shared" si="167"/>
        <v>dha, </v>
      </c>
      <c r="JF28" s="355" t="str">
        <f t="shared" si="168"/>
        <v/>
      </c>
      <c r="JG28" s="355" t="str">
        <f t="shared" si="169"/>
        <v/>
      </c>
      <c r="JH28" s="355" t="str">
        <f t="shared" si="170"/>
        <v/>
      </c>
      <c r="JI28" s="359"/>
      <c r="JJ28" s="321"/>
      <c r="JK28" s="368"/>
      <c r="JL28" s="369"/>
      <c r="JM28" s="369"/>
      <c r="JN28" s="369"/>
      <c r="JO28" s="369"/>
      <c r="JP28" s="369"/>
      <c r="JQ28" s="369"/>
      <c r="JR28" s="369"/>
      <c r="JS28" s="369"/>
      <c r="JT28" s="369"/>
      <c r="JU28" s="369"/>
    </row>
    <row r="29" ht="20.25" customHeight="1">
      <c r="A29" s="221" t="s">
        <v>1280</v>
      </c>
      <c r="B29" s="223" t="s">
        <v>353</v>
      </c>
      <c r="C29" s="222"/>
      <c r="D29" s="222"/>
      <c r="E29" s="222" t="s">
        <v>275</v>
      </c>
      <c r="F29" s="222"/>
      <c r="G29" s="395" t="s">
        <v>275</v>
      </c>
      <c r="H29" s="222">
        <v>27.0</v>
      </c>
      <c r="I29" s="224" t="s">
        <v>1219</v>
      </c>
      <c r="J29" s="414">
        <f t="shared" si="5"/>
        <v>1</v>
      </c>
      <c r="K29" s="227">
        <f t="shared" si="6"/>
        <v>7</v>
      </c>
      <c r="L29" s="229">
        <f t="shared" si="7"/>
        <v>7</v>
      </c>
      <c r="M29" s="230">
        <f t="shared" si="8"/>
        <v>0</v>
      </c>
      <c r="N29" s="233" t="str">
        <f t="shared" si="9"/>
        <v>SRGmPdnS</v>
      </c>
      <c r="O29" s="234" t="str">
        <f>IFERROR(__xludf.DUMMYFUNCTION("IF(REGEXMATCH(N29, ""S""), ""S"","""")"),"S")</f>
        <v>S</v>
      </c>
      <c r="P29" s="236" t="str">
        <f>IFERROR(__xludf.DUMMYFUNCTION("IF(REGEXMATCH(N29, ""r""), ""r"","""")"),"")</f>
        <v/>
      </c>
      <c r="Q29" s="237" t="str">
        <f>IFERROR(__xludf.DUMMYFUNCTION("IF(REGEXMATCH(N29, ""R""), ""R"","""")"),"R")</f>
        <v>R</v>
      </c>
      <c r="R29" s="237" t="str">
        <f>IFERROR(__xludf.DUMMYFUNCTION("IF(REGEXMATCH(N29, ""g""), ""g"","""")"),"")</f>
        <v/>
      </c>
      <c r="S29" s="236" t="str">
        <f>IFERROR(__xludf.DUMMYFUNCTION("IF(REGEXMATCH(N29, ""G""), ""G"","""")"),"G")</f>
        <v>G</v>
      </c>
      <c r="T29" s="236" t="str">
        <f>IFERROR(__xludf.DUMMYFUNCTION("IF(REGEXMATCH(N29, ""m""), ""m"","""")"),"m")</f>
        <v>m</v>
      </c>
      <c r="U29" s="237" t="str">
        <f>IFERROR(__xludf.DUMMYFUNCTION("IF(REGEXMATCH(N29, ""M""), ""M"","""")"),"")</f>
        <v/>
      </c>
      <c r="V29" s="236" t="str">
        <f>IFERROR(__xludf.DUMMYFUNCTION("IF(REGEXMATCH(N29, ""P""), ""P"","""")"),"P")</f>
        <v>P</v>
      </c>
      <c r="W29" s="237" t="str">
        <f>IFERROR(__xludf.DUMMYFUNCTION("IF(REGEXMATCH(N29, ""d""), ""d"","""")"),"d")</f>
        <v>d</v>
      </c>
      <c r="X29" s="236" t="str">
        <f>IFERROR(__xludf.DUMMYFUNCTION("IF(REGEXMATCH(N29, ""D""), ""D"","""")"),"")</f>
        <v/>
      </c>
      <c r="Y29" s="236" t="str">
        <f>IFERROR(__xludf.DUMMYFUNCTION("IF(REGEXMATCH(N29, ""n""), ""n"","""")"),"n")</f>
        <v>n</v>
      </c>
      <c r="Z29" s="237" t="str">
        <f>IFERROR(__xludf.DUMMYFUNCTION("IF(REGEXMATCH(N29, ""N""), ""N"","""")"),"")</f>
        <v/>
      </c>
      <c r="AA29" s="238" t="str">
        <f>IFERROR(__xludf.DUMMYFUNCTION("IF(REGEXMATCH(N29, ""S""), ""S"","""")"),"S")</f>
        <v>S</v>
      </c>
      <c r="AB29" s="239" t="str">
        <f>IFERROR(__xludf.DUMMYFUNCTION("SUBSTITUTE(CONCATENATE(JOIN(""-"",O29:U29)),""-"","""")"),"SRGm")</f>
        <v>SRGm</v>
      </c>
      <c r="AC29" s="229" t="str">
        <f>IFERROR(__xludf.DUMMYFUNCTION("SUBSTITUTE(CONCATENATE(JOIN(""-"",V29:AA29)),""-"","""")"),"PdnS")</f>
        <v>PdnS</v>
      </c>
      <c r="AD29" s="282" t="str">
        <f t="shared" si="10"/>
        <v>S-R-G-M</v>
      </c>
      <c r="AE29" s="282" t="str">
        <f t="shared" si="11"/>
        <v>P-D-N-S</v>
      </c>
      <c r="AF29" s="309" t="str">
        <f t="shared" si="12"/>
        <v>RGmdn</v>
      </c>
      <c r="AG29" s="244" t="str">
        <f>IFERROR(__xludf.DUMMYFUNCTION("IF(REGEXMATCH(N29, ""S""), ""0"","""")"),"0")</f>
        <v>0</v>
      </c>
      <c r="AH29" s="245" t="str">
        <f>IFERROR(__xludf.DUMMYFUNCTION("IF(REGEXMATCH(N29, ""r""), ""1"","""")"),"")</f>
        <v/>
      </c>
      <c r="AI29" s="246" t="str">
        <f>IFERROR(__xludf.DUMMYFUNCTION("IF(REGEXMATCH(N29, ""R""), ""2"","""")"),"2")</f>
        <v>2</v>
      </c>
      <c r="AJ29" s="246" t="str">
        <f>IFERROR(__xludf.DUMMYFUNCTION("IF(REGEXMATCH(N29, ""g""), ""3"","""")"),"")</f>
        <v/>
      </c>
      <c r="AK29" s="245" t="str">
        <f>IFERROR(__xludf.DUMMYFUNCTION("IF(REGEXMATCH(N29, ""G""), ""4"","""")"),"4")</f>
        <v>4</v>
      </c>
      <c r="AL29" s="245" t="str">
        <f>IFERROR(__xludf.DUMMYFUNCTION("IF(REGEXMATCH(N29, ""m""), ""5"","""")"),"5")</f>
        <v>5</v>
      </c>
      <c r="AM29" s="246" t="str">
        <f>IFERROR(__xludf.DUMMYFUNCTION("IF(REGEXMATCH(N29, ""M""), ""6"","""")"),"")</f>
        <v/>
      </c>
      <c r="AN29" s="245" t="str">
        <f>IFERROR(__xludf.DUMMYFUNCTION("IF(REGEXMATCH(N29, ""P""), ""7"","""")"),"7")</f>
        <v>7</v>
      </c>
      <c r="AO29" s="246" t="str">
        <f>IFERROR(__xludf.DUMMYFUNCTION("IF(REGEXMATCH(N29, ""d""), ""8"","""")"),"8")</f>
        <v>8</v>
      </c>
      <c r="AP29" s="245" t="str">
        <f>IFERROR(__xludf.DUMMYFUNCTION("IF(REGEXMATCH(N29, ""D""), ""9"","""")"),"")</f>
        <v/>
      </c>
      <c r="AQ29" s="245" t="str">
        <f>IFERROR(__xludf.DUMMYFUNCTION("IF(REGEXMATCH(N29, ""n""), ""10"","""")"),"10")</f>
        <v>10</v>
      </c>
      <c r="AR29" s="246" t="str">
        <f>IFERROR(__xludf.DUMMYFUNCTION("IF(REGEXMATCH(N29, ""N""), ""11"","""")"),"")</f>
        <v/>
      </c>
      <c r="AS29" s="249" t="str">
        <f>IFERROR(__xludf.DUMMYFUNCTION("IF(REGEXMATCH(N29, ""S""), ""0"","""")"),"0")</f>
        <v>0</v>
      </c>
      <c r="AT29" s="250" t="str">
        <f>IFERROR(__xludf.DUMMYFUNCTION("SUBSTITUTE(SUBSTITUTE(SUBSTITUTE(SUBSTITUTE(CONCATENATE(JOIN(""-"",AG29:AS29)),""--"",""-""),""--"",""-""),""--"",""-""),""--"",""-"")"),"0-2-4-5-7-8-10-0")</f>
        <v>0-2-4-5-7-8-10-0</v>
      </c>
      <c r="AU29" s="251">
        <f t="shared" si="13"/>
        <v>1</v>
      </c>
      <c r="AV29" s="234" t="str">
        <f t="shared" si="14"/>
        <v>|</v>
      </c>
      <c r="AW29" s="236" t="str">
        <f t="shared" si="15"/>
        <v>-</v>
      </c>
      <c r="AX29" s="237" t="str">
        <f t="shared" si="16"/>
        <v>|</v>
      </c>
      <c r="AY29" s="236" t="str">
        <f t="shared" si="17"/>
        <v>-</v>
      </c>
      <c r="AZ29" s="237" t="str">
        <f t="shared" si="18"/>
        <v>|</v>
      </c>
      <c r="BA29" s="236" t="str">
        <f t="shared" si="19"/>
        <v>|</v>
      </c>
      <c r="BB29" s="237" t="str">
        <f t="shared" si="20"/>
        <v>-</v>
      </c>
      <c r="BC29" s="236" t="str">
        <f t="shared" si="21"/>
        <v>|</v>
      </c>
      <c r="BD29" s="237" t="str">
        <f t="shared" si="22"/>
        <v>|</v>
      </c>
      <c r="BE29" s="236" t="str">
        <f t="shared" si="23"/>
        <v>-</v>
      </c>
      <c r="BF29" s="237" t="str">
        <f t="shared" si="24"/>
        <v>|</v>
      </c>
      <c r="BG29" s="236" t="str">
        <f t="shared" si="25"/>
        <v>-</v>
      </c>
      <c r="BH29" s="238" t="str">
        <f t="shared" si="26"/>
        <v>|</v>
      </c>
      <c r="BI29" s="250" t="str">
        <f>IFERROR(__xludf.DUMMYFUNCTION("SUBSTITUTE(SUBSTITUTE(CONCATENATE(JOIN("""",AV29:BG29)),""|"",""x""),""-"",""o"")"),"xoxoxxoxxoxo")</f>
        <v>xoxoxxoxxoxo</v>
      </c>
      <c r="BJ29" s="323" t="str">
        <f>IFERROR(__xludf.DUMMYFUNCTION("JOIN("""",BI29,BI29)"),"xoxoxxoxxoxoxoxoxxoxxoxo")</f>
        <v>xoxoxxoxxoxoxoxoxxoxxoxo</v>
      </c>
      <c r="BK29" s="256" t="str">
        <f>IFERROR(__xludf.DUMMYFUNCTION("JOIN("""",ArrayFormula(MID(BI29,LEN(BI29)-SEQUENCE(1,LEN(BI29))+1,1)))"),"oxoxxoxxoxox")</f>
        <v>oxoxxoxxoxox</v>
      </c>
      <c r="BL29" s="256" t="str">
        <f>IFERROR(__xludf.DUMMYFUNCTION("LEFT(CONCATENATE(""x"",JOIN("""",ArrayFormula(MID(BI29,LEN(BI29)-SEQUENCE(1,LEN(BI29))+1,1)))),12)"),"xoxoxxoxxoxo")</f>
        <v>xoxoxxoxxoxo</v>
      </c>
      <c r="BM29" s="327" t="str">
        <f>IFERROR(__xludf.DUMMYFUNCTION("JOIN("""",BK29,BK29)"),"oxoxxoxxoxoxoxoxxoxxoxox")</f>
        <v>oxoxxoxxoxoxoxoxxoxxoxox</v>
      </c>
      <c r="BN29" s="239" t="str">
        <f>IFERROR(__xludf.DUMMYFUNCTION("IF(REGEXMATCH(BM29,BI29),""✔"",""-"")"),"✔")</f>
        <v>✔</v>
      </c>
      <c r="BO29" s="330" t="str">
        <f t="shared" si="27"/>
        <v>✔</v>
      </c>
      <c r="BP29" s="260" t="str">
        <f t="shared" si="28"/>
        <v>-</v>
      </c>
      <c r="BQ29" s="261" t="str">
        <f>IFERROR(__xludf.DUMMYFUNCTION("IF(BT29=0,""(n/a)"",IF(BU29=2,""(PAIR)"",IF(REGEXMATCH(BJ29,""xoxoxxoxoxox""),""Bilawal"",IF(REGEXMATCH(BJ29,""xoxoxooxoxoo""),""Bhupali"",IF(REGEXMATCH(BJ29,""xoxoxxoxxoxo""),""Charukeshi"",IF(REGEXMATCH(BJ29,""xoxoooxxoxxo""),""Kameshwari"",IF(REGEXMATC"&amp;"H(BJ29,""xoxoxooxoxox""),""Shankara"",IF(REGEXMATCH(BJ29,""xxooxoxxxoox""),""Basant"",IF(REGEXMATCH(BJ29,""xoxoxxxxoxox""),""Bihag"",IF(REGEXMATCH(BJ29,""xoxxxxoxoxxx""),""Pilu"",IF(REGEXMATCH(BJ29,""xoxxoxoxxoox""),""Kirwani"",IF(REGEXMATCH(BJ29,""xoxxox"&amp;"oxoxxx""),""Mk.Malhar"",IF(REGEXMATCH(BJ29,""xxooxxoxxoox""),""Bhairav"",IF(REGEXMATCH(BJ29,""xxoxooxxxoox""),""Todi"",IF(REGEXMATCH(BJ29,""xxooxoxooxox""),""Marwa"",IF(REGEXMATCH(BJ29,""xxoooxoxxooo""),""Gunkali"",IF(REGEXMATCH(BJ29,""xoxoxxoxxoox""),""N"&amp;"at Bhairav"",IF(REGEXMATCH(BJ29,""xoxxoooxoxoo""),""Shivranjani"",IF(REGEXMATCH(BJ29,""xooxxxoxooxo""),""Jog"",IF(REGEXMATCH(BJ29,""xxooxoxoxoox""),""Hemshri"",IF(REGEXMATCH(BJ29,""xoooxooxoxxo""),""Kalavati"",IF(REGEXMATCH(BJ29,""xxoxoxxoxoox""),""Kedar"&amp;""",IF(REGEXMATCH(BJ29,""xoxxxxoxooxx""),""Gara"",IF(REGEXMATCH(BJ29,""xooxoxooxoox""),""Chandrakauns"",IF(REGEXMATCH(BJ29,""xoxxxxoxxxox""),""Mand"",IF(REGEXMATCH(BJ29,""xoxxxxoxoxox""),""Hanskinkini"",IF(REGEXMATCH(BJ29,""xxooxxoxooxo""),""Lilavati"",IF("&amp;"REGEXMATCH(BJ29,""xooxoxoooxox""),""Rajeshwari"",IF(REGEXMATCH(BJ29,""xoooxxoxoxxx""),""Khokar"",IF(REGEXMATCH(BJ29,""xxooxoxxxxox""),""Maligoura"",""-""))))))))))))))))))))))))))))))"),"Charukeshi")</f>
        <v>Charukeshi</v>
      </c>
      <c r="BR29" s="239">
        <f t="shared" si="29"/>
        <v>6</v>
      </c>
      <c r="BS29" s="239">
        <f>IFERROR(__xludf.DUMMYFUNCTION("COUNTUNIQUE(BW29:CG29)-1"),6.0)</f>
        <v>6</v>
      </c>
      <c r="BT29" s="239">
        <f>IFERROR(__xludf.DUMMYFUNCTION("COUNTUNIQUE(FILTER(BJ:BJ,REGEXMATCH(BJ:BJ,BI29)))-1"),1.0)</f>
        <v>1</v>
      </c>
      <c r="BU29" s="239">
        <f>IFERROR(__xludf.DUMMYFUNCTION("COUNTA(FILTER(BJ:BJ,REGEXMATCH(BJ:BJ,BI29)))"),3.0)</f>
        <v>3</v>
      </c>
      <c r="BV29" s="341">
        <f>IFERROR(__xludf.DUMMYFUNCTION("COUNTA(FILTER(BJ:BJ,REGEXMATCH(BJ:BJ,BI29)))-AU29"),2.0)</f>
        <v>2</v>
      </c>
      <c r="BW29" s="269" t="str">
        <f t="shared" si="30"/>
        <v>-</v>
      </c>
      <c r="BX29" s="269" t="str">
        <f t="shared" si="31"/>
        <v>xoxxoxxoxox</v>
      </c>
      <c r="BY29" s="271" t="str">
        <f t="shared" si="32"/>
        <v>-</v>
      </c>
      <c r="BZ29" s="269" t="str">
        <f t="shared" si="33"/>
        <v>xxoxxoxoxox</v>
      </c>
      <c r="CA29" s="271" t="str">
        <f t="shared" si="34"/>
        <v>xoxxoxoxoxo</v>
      </c>
      <c r="CB29" s="271" t="str">
        <f t="shared" si="35"/>
        <v>-</v>
      </c>
      <c r="CC29" s="271" t="str">
        <f t="shared" si="36"/>
        <v>xxoxoxoxoxx</v>
      </c>
      <c r="CD29" s="271" t="str">
        <f t="shared" si="37"/>
        <v>xoxoxoxoxxo</v>
      </c>
      <c r="CE29" s="271" t="str">
        <f t="shared" si="38"/>
        <v>-</v>
      </c>
      <c r="CF29" s="271" t="str">
        <f t="shared" si="39"/>
        <v>xoxoxoxxoxx</v>
      </c>
      <c r="CG29" s="274" t="str">
        <f t="shared" si="40"/>
        <v>-</v>
      </c>
      <c r="CH29" s="276" t="str">
        <f>IFERROR(__xludf.DUMMYFUNCTION("IF(BI29=""oooooooooooo"",""-"",IF(REGEXMATCH(BJ29,""xx""), ""Hemi."", ""Anhemi.""))"),"Hemi.")</f>
        <v>Hemi.</v>
      </c>
      <c r="CI29" s="282" t="str">
        <f>IFERROR(__xludf.DUMMYFUNCTION("IF(BI29=""oooooooooooo"",""-"",IF(REGEXMATCH(BJ29,""xxx""), ""Cohem."", ""-""))"),"-")</f>
        <v>-</v>
      </c>
      <c r="CJ29" s="282" t="str">
        <f>IFERROR(__xludf.DUMMYFUNCTION("IF(BI29=""oooooooooooo"",""-"",IF(REGEXMATCH(BJ29,""xxxx""), ""Co-Co."", ""-""))"),"-")</f>
        <v>-</v>
      </c>
      <c r="CK29" s="342" t="str">
        <f>IFERROR(__xludf.DUMMYFUNCTION("IF(BI29=""oooooooooooo"",""-"",IF(REGEXMATCH(BJ29,""xxxxx""), ""CCC."", ""-""))"),"-")</f>
        <v>-</v>
      </c>
      <c r="CL29" s="344" t="str">
        <f t="shared" si="41"/>
        <v>-</v>
      </c>
      <c r="CM29" s="282" t="str">
        <f>IFERROR(__xludf.DUMMYFUNCTION("IF(REGEXMATCH(JOIN(""-"",CO29:CX29),""TRUE""),""✔"",""-"")"),"-")</f>
        <v>-</v>
      </c>
      <c r="CN29" s="225">
        <f t="shared" si="42"/>
        <v>0</v>
      </c>
      <c r="CO29" s="376" t="b">
        <f>IFERROR(__xludf.DUMMYFUNCTION("arrayformula(sum(--REGEXMATCH(""SRGMPDNS"",split(REGEXREPLACE(N29,""(.)"",""$1~""),""~""))))=len(N29)
"),FALSE)</f>
        <v>0</v>
      </c>
      <c r="CP29" s="290" t="b">
        <f>IFERROR(__xludf.DUMMYFUNCTION("arrayformula(sum(--REGEXMATCH(""SRGmPDNS"",split(REGEXREPLACE(N29,""(.)"",""$1~""),""~""))))=len(N29)"),FALSE)</f>
        <v>0</v>
      </c>
      <c r="CQ29" s="290" t="b">
        <f>IFERROR(__xludf.DUMMYFUNCTION("arrayformula(sum(--REGEXMATCH(""SRGmPDnS"",split(REGEXREPLACE(N29,""(.)"",""$1~""),""~""))))=len(N29)"),FALSE)</f>
        <v>0</v>
      </c>
      <c r="CR29" s="290" t="b">
        <f>IFERROR(__xludf.DUMMYFUNCTION("arrayformula(sum(--REGEXMATCH(""SRgmPDnS"",split(REGEXREPLACE(N29,""(.)"",""$1~""),""~""))))=len(N29)"),FALSE)</f>
        <v>0</v>
      </c>
      <c r="CS29" s="290" t="b">
        <f>IFERROR(__xludf.DUMMYFUNCTION("arrayformula(sum(--REGEXMATCH(""SRgmPdnS"",split(REGEXREPLACE(N29,""(.)"",""$1~""),""~""))))=len(N29)"),FALSE)</f>
        <v>0</v>
      </c>
      <c r="CT29" s="290" t="b">
        <f>IFERROR(__xludf.DUMMYFUNCTION("arrayformula(sum(--REGEXMATCH(""SrgmPdnS"",split(REGEXREPLACE(N29,""(.)"",""$1~""),""~""))))=len(N29)"),FALSE)</f>
        <v>0</v>
      </c>
      <c r="CU29" s="290" t="b">
        <f>IFERROR(__xludf.DUMMYFUNCTION("arrayformula(sum(--REGEXMATCH(""SrGmPdNS"",split(REGEXREPLACE(N29,""(.)"",""$1~""),""~""))))=len(N29)"),FALSE)</f>
        <v>0</v>
      </c>
      <c r="CV29" s="290" t="b">
        <f>IFERROR(__xludf.DUMMYFUNCTION("arrayformula(sum(--REGEXMATCH(""SrGMPDNS"",split(REGEXREPLACE(N29,""(.)"",""$1~""),""~""))))=len(N29)"),FALSE)</f>
        <v>0</v>
      </c>
      <c r="CW29" s="290" t="b">
        <f>IFERROR(__xludf.DUMMYFUNCTION("arrayformula(sum(--REGEXMATCH(""SrGMPdNS"",split(REGEXREPLACE(N29,""(.)"",""$1~""),""~""))))=len(N29)"),FALSE)</f>
        <v>0</v>
      </c>
      <c r="CX29" s="293" t="b">
        <f>IFERROR(__xludf.DUMMYFUNCTION("arrayformula(sum(--REGEXMATCH(""SrgMPdNS"",split(REGEXREPLACE(N29,""(.)"",""$1~""),""~""))))=len(N29)"),FALSE)</f>
        <v>0</v>
      </c>
      <c r="CY29" s="244" t="str">
        <f>IFERROR(__xludf.DUMMYFUNCTION("IF(REGEXMATCH(N29, ""S""), ""1"","""")"),"1")</f>
        <v>1</v>
      </c>
      <c r="CZ29" s="245" t="str">
        <f>IFERROR(__xludf.DUMMYFUNCTION("IF(REGEXMATCH(N29, ""r""), ""b2"","""")"),"")</f>
        <v/>
      </c>
      <c r="DA29" s="246" t="str">
        <f>IFERROR(__xludf.DUMMYFUNCTION("IF(REGEXMATCH(N29, ""R""), ""2"","""")"),"2")</f>
        <v>2</v>
      </c>
      <c r="DB29" s="246" t="str">
        <f>IFERROR(__xludf.DUMMYFUNCTION("IF(REGEXMATCH(N29, ""g""), ""b3"","""")"),"")</f>
        <v/>
      </c>
      <c r="DC29" s="245" t="str">
        <f>IFERROR(__xludf.DUMMYFUNCTION("IF(REGEXMATCH(N29, ""G""), ""3"","""")"),"3")</f>
        <v>3</v>
      </c>
      <c r="DD29" s="245" t="str">
        <f>IFERROR(__xludf.DUMMYFUNCTION("IF(REGEXMATCH(N29, ""m""), ""4"","""")"),"4")</f>
        <v>4</v>
      </c>
      <c r="DE29" s="246" t="str">
        <f>IFERROR(__xludf.DUMMYFUNCTION("IF(REGEXMATCH(N29, ""M""), ""#4"","""")"),"")</f>
        <v/>
      </c>
      <c r="DF29" s="245" t="str">
        <f>IFERROR(__xludf.DUMMYFUNCTION("IF(REGEXMATCH(N29, ""P""), ""5"","""")"),"5")</f>
        <v>5</v>
      </c>
      <c r="DG29" s="246" t="str">
        <f>IFERROR(__xludf.DUMMYFUNCTION("IF(REGEXMATCH(N29, ""d""), ""b6"","""")"),"b6")</f>
        <v>b6</v>
      </c>
      <c r="DH29" s="245" t="str">
        <f>IFERROR(__xludf.DUMMYFUNCTION("IF(REGEXMATCH(N29, ""D""), ""6"","""")"),"")</f>
        <v/>
      </c>
      <c r="DI29" s="245" t="str">
        <f>IFERROR(__xludf.DUMMYFUNCTION("IF(REGEXMATCH(N29, ""n""), ""b7"","""")"),"b7")</f>
        <v>b7</v>
      </c>
      <c r="DJ29" s="246" t="str">
        <f>IFERROR(__xludf.DUMMYFUNCTION("IF(REGEXMATCH(N29, ""N""), ""7"","""")"),"")</f>
        <v/>
      </c>
      <c r="DK29" s="249" t="str">
        <f>IFERROR(__xludf.DUMMYFUNCTION("IF(REGEXMATCH(N29, ""S""), ""8"","""")"),"8")</f>
        <v>8</v>
      </c>
      <c r="DL29" s="244" t="str">
        <f>IFERROR(__xludf.DUMMYFUNCTION("IF(REGEXMATCH(N29, ""S""), ""S"","""")"),"S")</f>
        <v>S</v>
      </c>
      <c r="DM29" s="294" t="str">
        <f>IFERROR(__xludf.DUMMYFUNCTION("IF(REGEXMATCH(N29, ""r""), ""R1"","""")"),"")</f>
        <v/>
      </c>
      <c r="DN29" s="295" t="str">
        <f>IFERROR(__xludf.DUMMYFUNCTION("IF(REGEXMATCH(N29, ""R""), ""R2"","""")"),"R2")</f>
        <v>R2</v>
      </c>
      <c r="DO29" s="295" t="str">
        <f>IFERROR(__xludf.DUMMYFUNCTION("IF(REGEXMATCH(N29, ""g""), ""G2"","""")"),"")</f>
        <v/>
      </c>
      <c r="DP29" s="294" t="str">
        <f>IFERROR(__xludf.DUMMYFUNCTION("IF(REGEXMATCH(N29, ""G""), ""G3"","""")"),"G3")</f>
        <v>G3</v>
      </c>
      <c r="DQ29" s="294" t="str">
        <f>IFERROR(__xludf.DUMMYFUNCTION("IF(REGEXMATCH(N29, ""m""), ""M1"","""")"),"M1")</f>
        <v>M1</v>
      </c>
      <c r="DR29" s="295" t="str">
        <f>IFERROR(__xludf.DUMMYFUNCTION("IF(REGEXMATCH(N29, ""M""), ""M2"","""")"),"")</f>
        <v/>
      </c>
      <c r="DS29" s="294" t="str">
        <f>IFERROR(__xludf.DUMMYFUNCTION("IF(REGEXMATCH(N29, ""P""), ""P"","""")"),"P")</f>
        <v>P</v>
      </c>
      <c r="DT29" s="295" t="str">
        <f>IFERROR(__xludf.DUMMYFUNCTION("IF(REGEXMATCH(N29, ""d""), ""D1"","""")"),"D1")</f>
        <v>D1</v>
      </c>
      <c r="DU29" s="294" t="str">
        <f>IFERROR(__xludf.DUMMYFUNCTION("IF(REGEXMATCH(N29, ""D""), ""D2"","""")"),"")</f>
        <v/>
      </c>
      <c r="DV29" s="294" t="str">
        <f>IFERROR(__xludf.DUMMYFUNCTION("IF(REGEXMATCH(N29, ""n""), ""N2"","""")"),"N2")</f>
        <v>N2</v>
      </c>
      <c r="DW29" s="295" t="str">
        <f>IFERROR(__xludf.DUMMYFUNCTION("IF(REGEXMATCH(N29, ""N""), ""N3"","""")"),"")</f>
        <v/>
      </c>
      <c r="DX29" s="249" t="str">
        <f>IFERROR(__xludf.DUMMYFUNCTION("IF(REGEXMATCH(N29, ""S""), ""S"","""")"),"S")</f>
        <v>S</v>
      </c>
      <c r="DY29" s="299" t="str">
        <f>IFERROR(__xludf.DUMMYFUNCTION("SUBSTITUTE(SUBSTITUTE(SUBSTITUTE(SUBSTITUTE(CONCATENATE(JOIN(""-"",CY29:DK29)),""--"",""-""),""--"",""-""),""--"",""-""),""--"",""-"")"),"1-2-3-4-5-b6-b7-8")</f>
        <v>1-2-3-4-5-b6-b7-8</v>
      </c>
      <c r="DZ29" s="299" t="str">
        <f>IFERROR(__xludf.DUMMYFUNCTION("SUBSTITUTE(SUBSTITUTE(SUBSTITUTE(SUBSTITUTE(CONCATENATE(JOIN(""-"",DL29:DX29)),""--"",""-""),""--"",""-""),""--"",""-""),""--"",""-"")"),"S-R2-G3-M1-P-D1-N2-S")</f>
        <v>S-R2-G3-M1-P-D1-N2-S</v>
      </c>
      <c r="EA29" s="348" t="str">
        <f t="shared" si="43"/>
        <v>C-D-E-F-G-Ab-Bb-C</v>
      </c>
      <c r="EB29" s="301">
        <f t="shared" si="44"/>
        <v>7</v>
      </c>
      <c r="EC29" s="302" t="str">
        <f t="shared" si="45"/>
        <v>Sampurna</v>
      </c>
      <c r="ED29" s="301" t="str">
        <f t="shared" ref="ED29:EE29" si="195">SUBSTITUTE(AD29,"-","")</f>
        <v>SRGM</v>
      </c>
      <c r="EE29" s="301" t="str">
        <f t="shared" si="195"/>
        <v>PDNS</v>
      </c>
      <c r="EF29" s="302" t="str">
        <f t="shared" si="47"/>
        <v>Charukeshi</v>
      </c>
      <c r="EG29" s="301" t="str">
        <f t="shared" si="48"/>
        <v>Hemi.</v>
      </c>
      <c r="EH29" s="364" t="str">
        <f t="shared" si="49"/>
        <v>-</v>
      </c>
      <c r="EI29" s="306" t="str">
        <f t="shared" si="50"/>
        <v>-</v>
      </c>
      <c r="EJ29" s="366" t="str">
        <f t="shared" si="51"/>
        <v>-</v>
      </c>
      <c r="EK29" s="308" t="str">
        <f t="shared" si="52"/>
        <v>✔</v>
      </c>
      <c r="EL29" s="306" t="str">
        <f t="shared" si="53"/>
        <v>-</v>
      </c>
      <c r="EM29" s="306" t="str">
        <f t="shared" si="54"/>
        <v>-</v>
      </c>
      <c r="EN29" s="367" t="str">
        <f t="shared" si="55"/>
        <v>-</v>
      </c>
      <c r="EO29" s="310" t="str">
        <f t="shared" si="56"/>
        <v>-</v>
      </c>
      <c r="EP29" s="310" t="str">
        <f t="shared" si="57"/>
        <v>-</v>
      </c>
      <c r="EQ29" s="310" t="str">
        <f t="shared" si="58"/>
        <v>-</v>
      </c>
      <c r="ER29" s="310" t="str">
        <f t="shared" si="59"/>
        <v>-</v>
      </c>
      <c r="ES29" s="370" t="str">
        <f t="shared" si="60"/>
        <v>-</v>
      </c>
      <c r="ET29" s="306" t="str">
        <f t="shared" si="61"/>
        <v>-</v>
      </c>
      <c r="EU29" s="306" t="str">
        <f t="shared" si="62"/>
        <v>-</v>
      </c>
      <c r="EV29" s="306" t="str">
        <f t="shared" si="63"/>
        <v>-</v>
      </c>
      <c r="EW29" s="306" t="str">
        <f t="shared" si="64"/>
        <v>-</v>
      </c>
      <c r="EX29" s="306" t="str">
        <f t="shared" si="65"/>
        <v>-</v>
      </c>
      <c r="EY29" s="367" t="str">
        <f t="shared" si="66"/>
        <v>-</v>
      </c>
      <c r="EZ29" s="310" t="str">
        <f>IFERROR(__xludf.DUMMYFUNCTION("IF(REGEXMATCH(BM29,BI29),""✔"",""-"")"),"✔")</f>
        <v>✔</v>
      </c>
      <c r="FA29" s="310" t="str">
        <f t="shared" si="67"/>
        <v>-</v>
      </c>
      <c r="FB29" s="370" t="str">
        <f t="shared" si="68"/>
        <v>✔</v>
      </c>
      <c r="FC29" s="415">
        <f t="shared" si="69"/>
        <v>1</v>
      </c>
      <c r="FD29" s="317" t="str">
        <f t="shared" si="70"/>
        <v>S-R-G-m-P-d-n-S</v>
      </c>
      <c r="FE29" s="318" t="str">
        <f>IFERROR(__xludf.DUMMYFUNCTION("CONCATENATE(JOIN("""",GJ29:GV29))"),"SRGmPdnS")</f>
        <v>SRGmPdnS</v>
      </c>
      <c r="FF29" s="318"/>
      <c r="FG29" s="318"/>
      <c r="FH29" s="321">
        <f t="shared" si="71"/>
        <v>3</v>
      </c>
      <c r="FI29" s="318" t="str">
        <f>IFERROR(__xludf.DUMMYFUNCTION("CONCATENATE(JOIN("""",HW29:II29))"),"Re, Ga, dha, ")</f>
        <v>Re, Ga, dha, </v>
      </c>
      <c r="FJ29" s="322">
        <f t="shared" si="72"/>
        <v>2</v>
      </c>
      <c r="FK29" s="324" t="str">
        <f>IFERROR(__xludf.DUMMYFUNCTION("CONCATENATE(JOIN("""",IW29:JI29))"),"Ga, dha, ")</f>
        <v>Ga, dha, </v>
      </c>
      <c r="FL29" s="325" t="str">
        <f t="shared" si="73"/>
        <v>S-R2-G3-M1-P-D1-N2-S</v>
      </c>
      <c r="FM29" s="326" t="str">
        <f t="shared" si="74"/>
        <v>1-2-3-4-5-b6-b7-8</v>
      </c>
      <c r="FN29" s="326" t="str">
        <f t="shared" si="75"/>
        <v>0-2-4-5-7-8-10-0</v>
      </c>
      <c r="FO29" s="318"/>
      <c r="FP29" s="328" t="str">
        <f>IFERROR(__xludf.DUMMYFUNCTION("SUBSTITUTE(SUBSTITUTE(SUBSTITUTE(SUBSTITUTE(CONCATENATE(JOIN("" "",FS29:GE29)),""  "","" ""),""  "","" ""),""  "","" ""),""  "","" "")"),"o • o • o o • o o • o • o")</f>
        <v>o • o • o o • o o • o • o</v>
      </c>
      <c r="FQ29" s="328" t="str">
        <f t="shared" si="76"/>
        <v>-</v>
      </c>
      <c r="FR29" s="329"/>
      <c r="FS29" s="331" t="str">
        <f t="shared" si="77"/>
        <v>o</v>
      </c>
      <c r="FT29" s="332" t="str">
        <f t="shared" si="78"/>
        <v>•</v>
      </c>
      <c r="FU29" s="332" t="str">
        <f t="shared" si="79"/>
        <v>o</v>
      </c>
      <c r="FV29" s="332" t="str">
        <f t="shared" si="80"/>
        <v>•</v>
      </c>
      <c r="FW29" s="332" t="str">
        <f t="shared" si="81"/>
        <v>o</v>
      </c>
      <c r="FX29" s="332" t="str">
        <f t="shared" si="82"/>
        <v>o</v>
      </c>
      <c r="FY29" s="332" t="str">
        <f t="shared" si="83"/>
        <v>•</v>
      </c>
      <c r="FZ29" s="332" t="str">
        <f t="shared" si="84"/>
        <v>o</v>
      </c>
      <c r="GA29" s="332" t="str">
        <f t="shared" si="85"/>
        <v>o</v>
      </c>
      <c r="GB29" s="332" t="str">
        <f t="shared" si="86"/>
        <v>•</v>
      </c>
      <c r="GC29" s="332" t="str">
        <f t="shared" si="87"/>
        <v>o</v>
      </c>
      <c r="GD29" s="332" t="str">
        <f t="shared" si="88"/>
        <v>•</v>
      </c>
      <c r="GE29" s="338" t="str">
        <f t="shared" si="89"/>
        <v>o</v>
      </c>
      <c r="GF29" s="339" t="str">
        <f t="shared" si="90"/>
        <v>-</v>
      </c>
      <c r="GG29" s="339" t="str">
        <f t="shared" si="91"/>
        <v>Sa-Pa</v>
      </c>
      <c r="GH29" s="339" t="str">
        <f t="shared" si="92"/>
        <v>-</v>
      </c>
      <c r="GI29" s="340" t="str">
        <f t="shared" si="93"/>
        <v>-</v>
      </c>
      <c r="GJ29" s="331" t="str">
        <f t="shared" si="94"/>
        <v>S</v>
      </c>
      <c r="GK29" s="332" t="str">
        <f t="shared" si="95"/>
        <v/>
      </c>
      <c r="GL29" s="332" t="str">
        <f t="shared" si="96"/>
        <v>R</v>
      </c>
      <c r="GM29" s="332" t="str">
        <f t="shared" si="97"/>
        <v/>
      </c>
      <c r="GN29" s="332" t="str">
        <f t="shared" si="98"/>
        <v>G</v>
      </c>
      <c r="GO29" s="332" t="str">
        <f t="shared" si="99"/>
        <v>m</v>
      </c>
      <c r="GP29" s="332" t="str">
        <f t="shared" si="100"/>
        <v/>
      </c>
      <c r="GQ29" s="332" t="str">
        <f t="shared" si="101"/>
        <v>P</v>
      </c>
      <c r="GR29" s="332" t="str">
        <f t="shared" si="102"/>
        <v>d</v>
      </c>
      <c r="GS29" s="332" t="str">
        <f t="shared" si="103"/>
        <v/>
      </c>
      <c r="GT29" s="332" t="str">
        <f t="shared" si="104"/>
        <v>n</v>
      </c>
      <c r="GU29" s="332" t="str">
        <f t="shared" si="105"/>
        <v/>
      </c>
      <c r="GV29" s="343" t="str">
        <f t="shared" si="106"/>
        <v>S</v>
      </c>
      <c r="GW29" s="331" t="str">
        <f t="shared" si="107"/>
        <v>•</v>
      </c>
      <c r="GX29" s="332" t="str">
        <f t="shared" si="108"/>
        <v>o</v>
      </c>
      <c r="GY29" s="332" t="str">
        <f t="shared" si="109"/>
        <v>•</v>
      </c>
      <c r="GZ29" s="332" t="str">
        <f t="shared" si="110"/>
        <v>o</v>
      </c>
      <c r="HA29" s="332" t="str">
        <f t="shared" si="111"/>
        <v>•</v>
      </c>
      <c r="HB29" s="332" t="str">
        <f t="shared" si="112"/>
        <v>•</v>
      </c>
      <c r="HC29" s="332" t="str">
        <f t="shared" si="113"/>
        <v>o</v>
      </c>
      <c r="HD29" s="332" t="str">
        <f t="shared" si="114"/>
        <v>•</v>
      </c>
      <c r="HE29" s="332" t="str">
        <f t="shared" si="115"/>
        <v>•</v>
      </c>
      <c r="HF29" s="332" t="str">
        <f t="shared" si="116"/>
        <v>o</v>
      </c>
      <c r="HG29" s="332" t="str">
        <f t="shared" si="117"/>
        <v>•</v>
      </c>
      <c r="HH29" s="332" t="str">
        <f t="shared" si="118"/>
        <v>o</v>
      </c>
      <c r="HI29" s="338" t="str">
        <f t="shared" si="119"/>
        <v>•</v>
      </c>
      <c r="HJ29" s="346" t="b">
        <f t="shared" si="120"/>
        <v>0</v>
      </c>
      <c r="HK29" s="347" t="b">
        <f t="shared" si="121"/>
        <v>0</v>
      </c>
      <c r="HL29" s="347" t="b">
        <f t="shared" si="122"/>
        <v>1</v>
      </c>
      <c r="HM29" s="347" t="b">
        <f t="shared" si="123"/>
        <v>0</v>
      </c>
      <c r="HN29" s="347" t="b">
        <f t="shared" si="124"/>
        <v>1</v>
      </c>
      <c r="HO29" s="347" t="b">
        <f t="shared" si="125"/>
        <v>0</v>
      </c>
      <c r="HP29" s="347" t="b">
        <f t="shared" si="126"/>
        <v>0</v>
      </c>
      <c r="HQ29" s="347" t="b">
        <f t="shared" si="127"/>
        <v>0</v>
      </c>
      <c r="HR29" s="347" t="b">
        <f t="shared" si="128"/>
        <v>1</v>
      </c>
      <c r="HS29" s="347" t="b">
        <f t="shared" si="129"/>
        <v>0</v>
      </c>
      <c r="HT29" s="347" t="b">
        <f t="shared" si="130"/>
        <v>0</v>
      </c>
      <c r="HU29" s="347" t="b">
        <f t="shared" si="131"/>
        <v>0</v>
      </c>
      <c r="HV29" s="353" t="b">
        <f t="shared" si="132"/>
        <v>0</v>
      </c>
      <c r="HW29" s="354" t="str">
        <f t="shared" si="133"/>
        <v/>
      </c>
      <c r="HX29" s="355" t="str">
        <f t="shared" si="134"/>
        <v/>
      </c>
      <c r="HY29" s="355" t="str">
        <f t="shared" si="135"/>
        <v>Re, </v>
      </c>
      <c r="HZ29" s="355" t="str">
        <f t="shared" si="136"/>
        <v/>
      </c>
      <c r="IA29" s="355" t="str">
        <f t="shared" si="137"/>
        <v>Ga, </v>
      </c>
      <c r="IB29" s="355" t="str">
        <f t="shared" si="138"/>
        <v/>
      </c>
      <c r="IC29" s="355" t="str">
        <f t="shared" si="139"/>
        <v/>
      </c>
      <c r="ID29" s="355" t="str">
        <f t="shared" si="140"/>
        <v/>
      </c>
      <c r="IE29" s="355" t="str">
        <f t="shared" si="141"/>
        <v>dha, </v>
      </c>
      <c r="IF29" s="355" t="str">
        <f t="shared" si="142"/>
        <v/>
      </c>
      <c r="IG29" s="355" t="str">
        <f t="shared" si="143"/>
        <v/>
      </c>
      <c r="IH29" s="355" t="str">
        <f t="shared" si="144"/>
        <v/>
      </c>
      <c r="II29" s="359" t="str">
        <f t="shared" si="145"/>
        <v/>
      </c>
      <c r="IJ29" s="346" t="b">
        <f t="shared" si="146"/>
        <v>0</v>
      </c>
      <c r="IK29" s="347" t="b">
        <f t="shared" si="147"/>
        <v>0</v>
      </c>
      <c r="IL29" s="347" t="b">
        <f t="shared" si="148"/>
        <v>0</v>
      </c>
      <c r="IM29" s="347" t="b">
        <f t="shared" si="149"/>
        <v>0</v>
      </c>
      <c r="IN29" s="347" t="b">
        <f t="shared" si="150"/>
        <v>1</v>
      </c>
      <c r="IO29" s="347" t="b">
        <f t="shared" si="151"/>
        <v>0</v>
      </c>
      <c r="IP29" s="347" t="b">
        <f t="shared" si="152"/>
        <v>0</v>
      </c>
      <c r="IQ29" s="347" t="b">
        <f t="shared" si="153"/>
        <v>0</v>
      </c>
      <c r="IR29" s="347" t="b">
        <f t="shared" si="154"/>
        <v>1</v>
      </c>
      <c r="IS29" s="347" t="b">
        <f t="shared" si="155"/>
        <v>0</v>
      </c>
      <c r="IT29" s="347" t="b">
        <f t="shared" si="156"/>
        <v>0</v>
      </c>
      <c r="IU29" s="347" t="b">
        <f t="shared" si="157"/>
        <v>0</v>
      </c>
      <c r="IV29" s="365" t="b">
        <f t="shared" si="158"/>
        <v>0</v>
      </c>
      <c r="IW29" s="354" t="str">
        <f t="shared" si="159"/>
        <v/>
      </c>
      <c r="IX29" s="355" t="str">
        <f t="shared" si="160"/>
        <v/>
      </c>
      <c r="IY29" s="355" t="str">
        <f t="shared" si="161"/>
        <v/>
      </c>
      <c r="IZ29" s="355" t="str">
        <f t="shared" si="162"/>
        <v/>
      </c>
      <c r="JA29" s="355" t="str">
        <f t="shared" si="163"/>
        <v>Ga, </v>
      </c>
      <c r="JB29" s="355" t="str">
        <f t="shared" si="164"/>
        <v/>
      </c>
      <c r="JC29" s="355" t="str">
        <f t="shared" si="165"/>
        <v/>
      </c>
      <c r="JD29" s="355" t="str">
        <f t="shared" si="166"/>
        <v/>
      </c>
      <c r="JE29" s="355" t="str">
        <f t="shared" si="167"/>
        <v>dha, </v>
      </c>
      <c r="JF29" s="355" t="str">
        <f t="shared" si="168"/>
        <v/>
      </c>
      <c r="JG29" s="355" t="str">
        <f t="shared" si="169"/>
        <v/>
      </c>
      <c r="JH29" s="355" t="str">
        <f t="shared" si="170"/>
        <v/>
      </c>
      <c r="JI29" s="359"/>
      <c r="JJ29" s="321"/>
      <c r="JK29" s="368"/>
      <c r="JL29" s="369"/>
      <c r="JM29" s="369"/>
      <c r="JN29" s="369"/>
      <c r="JO29" s="369"/>
      <c r="JP29" s="369"/>
      <c r="JQ29" s="369"/>
      <c r="JR29" s="369"/>
      <c r="JS29" s="369"/>
      <c r="JT29" s="369"/>
      <c r="JU29" s="369"/>
    </row>
    <row r="30" ht="20.25" customHeight="1">
      <c r="A30" s="221" t="s">
        <v>1281</v>
      </c>
      <c r="B30" s="223" t="s">
        <v>688</v>
      </c>
      <c r="C30" s="222" t="s">
        <v>275</v>
      </c>
      <c r="D30" s="222"/>
      <c r="E30" s="222" t="s">
        <v>275</v>
      </c>
      <c r="F30" s="222"/>
      <c r="G30" s="395" t="s">
        <v>275</v>
      </c>
      <c r="H30" s="222">
        <v>28.0</v>
      </c>
      <c r="I30" s="224" t="s">
        <v>1219</v>
      </c>
      <c r="J30" s="225" t="str">
        <f t="shared" si="5"/>
        <v>[UQ]</v>
      </c>
      <c r="K30" s="227">
        <f t="shared" si="6"/>
        <v>8</v>
      </c>
      <c r="L30" s="229">
        <f t="shared" si="7"/>
        <v>7</v>
      </c>
      <c r="M30" s="230">
        <f t="shared" si="8"/>
        <v>1</v>
      </c>
      <c r="N30" s="233" t="str">
        <f t="shared" si="9"/>
        <v>SRgGmPdnS</v>
      </c>
      <c r="O30" s="234" t="str">
        <f>IFERROR(__xludf.DUMMYFUNCTION("IF(REGEXMATCH(N30, ""S""), ""S"","""")"),"S")</f>
        <v>S</v>
      </c>
      <c r="P30" s="236" t="str">
        <f>IFERROR(__xludf.DUMMYFUNCTION("IF(REGEXMATCH(N30, ""r""), ""r"","""")"),"")</f>
        <v/>
      </c>
      <c r="Q30" s="237" t="str">
        <f>IFERROR(__xludf.DUMMYFUNCTION("IF(REGEXMATCH(N30, ""R""), ""R"","""")"),"R")</f>
        <v>R</v>
      </c>
      <c r="R30" s="237" t="str">
        <f>IFERROR(__xludf.DUMMYFUNCTION("IF(REGEXMATCH(N30, ""g""), ""g"","""")"),"g")</f>
        <v>g</v>
      </c>
      <c r="S30" s="236" t="str">
        <f>IFERROR(__xludf.DUMMYFUNCTION("IF(REGEXMATCH(N30, ""G""), ""G"","""")"),"G")</f>
        <v>G</v>
      </c>
      <c r="T30" s="236" t="str">
        <f>IFERROR(__xludf.DUMMYFUNCTION("IF(REGEXMATCH(N30, ""m""), ""m"","""")"),"m")</f>
        <v>m</v>
      </c>
      <c r="U30" s="237" t="str">
        <f>IFERROR(__xludf.DUMMYFUNCTION("IF(REGEXMATCH(N30, ""M""), ""M"","""")"),"")</f>
        <v/>
      </c>
      <c r="V30" s="236" t="str">
        <f>IFERROR(__xludf.DUMMYFUNCTION("IF(REGEXMATCH(N30, ""P""), ""P"","""")"),"P")</f>
        <v>P</v>
      </c>
      <c r="W30" s="237" t="str">
        <f>IFERROR(__xludf.DUMMYFUNCTION("IF(REGEXMATCH(N30, ""d""), ""d"","""")"),"d")</f>
        <v>d</v>
      </c>
      <c r="X30" s="236" t="str">
        <f>IFERROR(__xludf.DUMMYFUNCTION("IF(REGEXMATCH(N30, ""D""), ""D"","""")"),"")</f>
        <v/>
      </c>
      <c r="Y30" s="236" t="str">
        <f>IFERROR(__xludf.DUMMYFUNCTION("IF(REGEXMATCH(N30, ""n""), ""n"","""")"),"n")</f>
        <v>n</v>
      </c>
      <c r="Z30" s="237" t="str">
        <f>IFERROR(__xludf.DUMMYFUNCTION("IF(REGEXMATCH(N30, ""N""), ""N"","""")"),"")</f>
        <v/>
      </c>
      <c r="AA30" s="238" t="str">
        <f>IFERROR(__xludf.DUMMYFUNCTION("IF(REGEXMATCH(N30, ""S""), ""S"","""")"),"S")</f>
        <v>S</v>
      </c>
      <c r="AB30" s="239" t="str">
        <f>IFERROR(__xludf.DUMMYFUNCTION("SUBSTITUTE(CONCATENATE(JOIN(""-"",O30:U30)),""-"","""")"),"SRgGm")</f>
        <v>SRgGm</v>
      </c>
      <c r="AC30" s="229" t="str">
        <f>IFERROR(__xludf.DUMMYFUNCTION("SUBSTITUTE(CONCATENATE(JOIN(""-"",V30:AA30)),""-"","""")"),"PdnS")</f>
        <v>PdnS</v>
      </c>
      <c r="AD30" s="282" t="str">
        <f t="shared" si="10"/>
        <v>S-R-G-M</v>
      </c>
      <c r="AE30" s="282" t="str">
        <f t="shared" si="11"/>
        <v>P-D-N-S</v>
      </c>
      <c r="AF30" s="309" t="str">
        <f t="shared" si="12"/>
        <v>RgGmdn</v>
      </c>
      <c r="AG30" s="244" t="str">
        <f>IFERROR(__xludf.DUMMYFUNCTION("IF(REGEXMATCH(N30, ""S""), ""0"","""")"),"0")</f>
        <v>0</v>
      </c>
      <c r="AH30" s="245" t="str">
        <f>IFERROR(__xludf.DUMMYFUNCTION("IF(REGEXMATCH(N30, ""r""), ""1"","""")"),"")</f>
        <v/>
      </c>
      <c r="AI30" s="246" t="str">
        <f>IFERROR(__xludf.DUMMYFUNCTION("IF(REGEXMATCH(N30, ""R""), ""2"","""")"),"2")</f>
        <v>2</v>
      </c>
      <c r="AJ30" s="246" t="str">
        <f>IFERROR(__xludf.DUMMYFUNCTION("IF(REGEXMATCH(N30, ""g""), ""3"","""")"),"3")</f>
        <v>3</v>
      </c>
      <c r="AK30" s="245" t="str">
        <f>IFERROR(__xludf.DUMMYFUNCTION("IF(REGEXMATCH(N30, ""G""), ""4"","""")"),"4")</f>
        <v>4</v>
      </c>
      <c r="AL30" s="245" t="str">
        <f>IFERROR(__xludf.DUMMYFUNCTION("IF(REGEXMATCH(N30, ""m""), ""5"","""")"),"5")</f>
        <v>5</v>
      </c>
      <c r="AM30" s="246" t="str">
        <f>IFERROR(__xludf.DUMMYFUNCTION("IF(REGEXMATCH(N30, ""M""), ""6"","""")"),"")</f>
        <v/>
      </c>
      <c r="AN30" s="245" t="str">
        <f>IFERROR(__xludf.DUMMYFUNCTION("IF(REGEXMATCH(N30, ""P""), ""7"","""")"),"7")</f>
        <v>7</v>
      </c>
      <c r="AO30" s="246" t="str">
        <f>IFERROR(__xludf.DUMMYFUNCTION("IF(REGEXMATCH(N30, ""d""), ""8"","""")"),"8")</f>
        <v>8</v>
      </c>
      <c r="AP30" s="245" t="str">
        <f>IFERROR(__xludf.DUMMYFUNCTION("IF(REGEXMATCH(N30, ""D""), ""9"","""")"),"")</f>
        <v/>
      </c>
      <c r="AQ30" s="245" t="str">
        <f>IFERROR(__xludf.DUMMYFUNCTION("IF(REGEXMATCH(N30, ""n""), ""10"","""")"),"10")</f>
        <v>10</v>
      </c>
      <c r="AR30" s="246" t="str">
        <f>IFERROR(__xludf.DUMMYFUNCTION("IF(REGEXMATCH(N30, ""N""), ""11"","""")"),"")</f>
        <v/>
      </c>
      <c r="AS30" s="249" t="str">
        <f>IFERROR(__xludf.DUMMYFUNCTION("IF(REGEXMATCH(N30, ""S""), ""0"","""")"),"0")</f>
        <v>0</v>
      </c>
      <c r="AT30" s="250" t="str">
        <f>IFERROR(__xludf.DUMMYFUNCTION("SUBSTITUTE(SUBSTITUTE(SUBSTITUTE(SUBSTITUTE(CONCATENATE(JOIN(""-"",AG30:AS30)),""--"",""-""),""--"",""-""),""--"",""-""),""--"",""-"")"),"0-2-3-4-5-7-8-10-0")</f>
        <v>0-2-3-4-5-7-8-10-0</v>
      </c>
      <c r="AU30" s="251">
        <f t="shared" si="13"/>
        <v>0</v>
      </c>
      <c r="AV30" s="234" t="str">
        <f t="shared" si="14"/>
        <v>|</v>
      </c>
      <c r="AW30" s="236" t="str">
        <f t="shared" si="15"/>
        <v>-</v>
      </c>
      <c r="AX30" s="237" t="str">
        <f t="shared" si="16"/>
        <v>|</v>
      </c>
      <c r="AY30" s="236" t="str">
        <f t="shared" si="17"/>
        <v>|</v>
      </c>
      <c r="AZ30" s="237" t="str">
        <f t="shared" si="18"/>
        <v>|</v>
      </c>
      <c r="BA30" s="236" t="str">
        <f t="shared" si="19"/>
        <v>|</v>
      </c>
      <c r="BB30" s="237" t="str">
        <f t="shared" si="20"/>
        <v>-</v>
      </c>
      <c r="BC30" s="236" t="str">
        <f t="shared" si="21"/>
        <v>|</v>
      </c>
      <c r="BD30" s="237" t="str">
        <f t="shared" si="22"/>
        <v>|</v>
      </c>
      <c r="BE30" s="236" t="str">
        <f t="shared" si="23"/>
        <v>-</v>
      </c>
      <c r="BF30" s="237" t="str">
        <f t="shared" si="24"/>
        <v>|</v>
      </c>
      <c r="BG30" s="236" t="str">
        <f t="shared" si="25"/>
        <v>-</v>
      </c>
      <c r="BH30" s="238" t="str">
        <f t="shared" si="26"/>
        <v>|</v>
      </c>
      <c r="BI30" s="250" t="str">
        <f>IFERROR(__xludf.DUMMYFUNCTION("SUBSTITUTE(SUBSTITUTE(CONCATENATE(JOIN("""",AV30:BG30)),""|"",""x""),""-"",""o"")"),"xoxxxxoxxoxo")</f>
        <v>xoxxxxoxxoxo</v>
      </c>
      <c r="BJ30" s="323" t="str">
        <f>IFERROR(__xludf.DUMMYFUNCTION("JOIN("""",BI30,BI30)"),"xoxxxxoxxoxoxoxxxxoxxoxo")</f>
        <v>xoxxxxoxxoxoxoxxxxoxxoxo</v>
      </c>
      <c r="BK30" s="256" t="str">
        <f>IFERROR(__xludf.DUMMYFUNCTION("JOIN("""",ArrayFormula(MID(BI30,LEN(BI30)-SEQUENCE(1,LEN(BI30))+1,1)))"),"oxoxxoxxxxox")</f>
        <v>oxoxxoxxxxox</v>
      </c>
      <c r="BL30" s="256" t="str">
        <f>IFERROR(__xludf.DUMMYFUNCTION("LEFT(CONCATENATE(""x"",JOIN("""",ArrayFormula(MID(BI30,LEN(BI30)-SEQUENCE(1,LEN(BI30))+1,1)))),12)"),"xoxoxxoxxxxo")</f>
        <v>xoxoxxoxxxxo</v>
      </c>
      <c r="BM30" s="327" t="str">
        <f>IFERROR(__xludf.DUMMYFUNCTION("JOIN("""",BK30,BK30)"),"oxoxxoxxxxoxoxoxxoxxxxox")</f>
        <v>oxoxxoxxxxoxoxoxxoxxxxox</v>
      </c>
      <c r="BN30" s="239" t="str">
        <f>IFERROR(__xludf.DUMMYFUNCTION("IF(REGEXMATCH(BM30,BI30),""✔"",""-"")"),"-")</f>
        <v>-</v>
      </c>
      <c r="BO30" s="330" t="str">
        <f t="shared" si="27"/>
        <v>-</v>
      </c>
      <c r="BP30" s="260" t="str">
        <f t="shared" si="28"/>
        <v>-</v>
      </c>
      <c r="BQ30" s="261" t="str">
        <f>IFERROR(__xludf.DUMMYFUNCTION("IF(BT30=0,""(n/a)"",IF(BU30=2,""(PAIR)"",IF(REGEXMATCH(BJ30,""xoxoxxoxoxox""),""Bilawal"",IF(REGEXMATCH(BJ30,""xoxoxooxoxoo""),""Bhupali"",IF(REGEXMATCH(BJ30,""xoxoxxoxxoxo""),""Charukeshi"",IF(REGEXMATCH(BJ30,""xoxoooxxoxxo""),""Kameshwari"",IF(REGEXMATC"&amp;"H(BJ30,""xoxoxooxoxox""),""Shankara"",IF(REGEXMATCH(BJ30,""xxooxoxxxoox""),""Basant"",IF(REGEXMATCH(BJ30,""xoxoxxxxoxox""),""Bihag"",IF(REGEXMATCH(BJ30,""xoxxxxoxoxxx""),""Pilu"",IF(REGEXMATCH(BJ30,""xoxxoxoxxoox""),""Kirwani"",IF(REGEXMATCH(BJ30,""xoxxox"&amp;"oxoxxx""),""Mk.Malhar"",IF(REGEXMATCH(BJ30,""xxooxxoxxoox""),""Bhairav"",IF(REGEXMATCH(BJ30,""xxoxooxxxoox""),""Todi"",IF(REGEXMATCH(BJ30,""xxooxoxooxox""),""Marwa"",IF(REGEXMATCH(BJ30,""xxoooxoxxooo""),""Gunkali"",IF(REGEXMATCH(BJ30,""xoxoxxoxxoox""),""N"&amp;"at Bhairav"",IF(REGEXMATCH(BJ30,""xoxxoooxoxoo""),""Shivranjani"",IF(REGEXMATCH(BJ30,""xooxxxoxooxo""),""Jog"",IF(REGEXMATCH(BJ30,""xxooxoxoxoox""),""Hemshri"",IF(REGEXMATCH(BJ30,""xoooxooxoxxo""),""Kalavati"",IF(REGEXMATCH(BJ30,""xxoxoxxoxoox""),""Kedar"&amp;""",IF(REGEXMATCH(BJ30,""xoxxxxoxooxx""),""Gara"",IF(REGEXMATCH(BJ30,""xooxoxooxoox""),""Chandrakauns"",IF(REGEXMATCH(BJ30,""xoxxxxoxxxox""),""Mand"",IF(REGEXMATCH(BJ30,""xoxxxxoxoxox""),""Hanskinkini"",IF(REGEXMATCH(BJ30,""xxooxxoxooxo""),""Lilavati"",IF("&amp;"REGEXMATCH(BJ30,""xooxoxoooxox""),""Rajeshwari"",IF(REGEXMATCH(BJ30,""xoooxxoxoxxx""),""Khokar"",IF(REGEXMATCH(BJ30,""xxooxoxxxxox""),""Maligoura"",""-""))))))))))))))))))))))))))))))"),"(n/a)")</f>
        <v>(n/a)</v>
      </c>
      <c r="BR30" s="239">
        <f t="shared" si="29"/>
        <v>7</v>
      </c>
      <c r="BS30" s="239">
        <f>IFERROR(__xludf.DUMMYFUNCTION("COUNTUNIQUE(BW30:CG30)-1"),7.0)</f>
        <v>7</v>
      </c>
      <c r="BT30" s="239">
        <f>IFERROR(__xludf.DUMMYFUNCTION("COUNTUNIQUE(FILTER(BJ:BJ,REGEXMATCH(BJ:BJ,BI30)))-1"),0.0)</f>
        <v>0</v>
      </c>
      <c r="BU30" s="239">
        <f>IFERROR(__xludf.DUMMYFUNCTION("COUNTA(FILTER(BJ:BJ,REGEXMATCH(BJ:BJ,BI30)))"),1.0)</f>
        <v>1</v>
      </c>
      <c r="BV30" s="341">
        <f>IFERROR(__xludf.DUMMYFUNCTION("COUNTA(FILTER(BJ:BJ,REGEXMATCH(BJ:BJ,BI30)))-AU30"),1.0)</f>
        <v>1</v>
      </c>
      <c r="BW30" s="269" t="str">
        <f t="shared" si="30"/>
        <v>-</v>
      </c>
      <c r="BX30" s="269" t="str">
        <f t="shared" si="31"/>
        <v>xxxxoxxoxox</v>
      </c>
      <c r="BY30" s="271" t="str">
        <f t="shared" si="32"/>
        <v>xxxoxxoxoxo</v>
      </c>
      <c r="BZ30" s="269" t="str">
        <f t="shared" si="33"/>
        <v>xxoxxoxoxox</v>
      </c>
      <c r="CA30" s="271" t="str">
        <f t="shared" si="34"/>
        <v>xoxxoxoxoxx</v>
      </c>
      <c r="CB30" s="271" t="str">
        <f t="shared" si="35"/>
        <v>-</v>
      </c>
      <c r="CC30" s="271" t="str">
        <f t="shared" si="36"/>
        <v>xxoxoxoxxxx</v>
      </c>
      <c r="CD30" s="271" t="str">
        <f t="shared" si="37"/>
        <v>xoxoxoxxxxo</v>
      </c>
      <c r="CE30" s="271" t="str">
        <f t="shared" si="38"/>
        <v>-</v>
      </c>
      <c r="CF30" s="271" t="str">
        <f t="shared" si="39"/>
        <v>xoxoxxxxoxx</v>
      </c>
      <c r="CG30" s="274" t="str">
        <f t="shared" si="40"/>
        <v>-</v>
      </c>
      <c r="CH30" s="276" t="str">
        <f>IFERROR(__xludf.DUMMYFUNCTION("IF(BI30=""oooooooooooo"",""-"",IF(REGEXMATCH(BJ30,""xx""), ""Hemi."", ""Anhemi.""))"),"Hemi.")</f>
        <v>Hemi.</v>
      </c>
      <c r="CI30" s="282" t="str">
        <f>IFERROR(__xludf.DUMMYFUNCTION("IF(BI30=""oooooooooooo"",""-"",IF(REGEXMATCH(BJ30,""xxx""), ""Cohem."", ""-""))"),"Cohem.")</f>
        <v>Cohem.</v>
      </c>
      <c r="CJ30" s="282" t="str">
        <f>IFERROR(__xludf.DUMMYFUNCTION("IF(BI30=""oooooooooooo"",""-"",IF(REGEXMATCH(BJ30,""xxxx""), ""Co-Co."", ""-""))"),"Co-Co.")</f>
        <v>Co-Co.</v>
      </c>
      <c r="CK30" s="342" t="str">
        <f>IFERROR(__xludf.DUMMYFUNCTION("IF(BI30=""oooooooooooo"",""-"",IF(REGEXMATCH(BJ30,""xxxxx""), ""CCC."", ""-""))"),"-")</f>
        <v>-</v>
      </c>
      <c r="CL30" s="344" t="str">
        <f t="shared" si="41"/>
        <v>-</v>
      </c>
      <c r="CM30" s="282" t="str">
        <f>IFERROR(__xludf.DUMMYFUNCTION("IF(REGEXMATCH(JOIN(""-"",CO30:CX30),""TRUE""),""✔"",""-"")"),"-")</f>
        <v>-</v>
      </c>
      <c r="CN30" s="225">
        <f t="shared" si="42"/>
        <v>0</v>
      </c>
      <c r="CO30" s="376" t="b">
        <f>IFERROR(__xludf.DUMMYFUNCTION("arrayformula(sum(--REGEXMATCH(""SRGMPDNS"",split(REGEXREPLACE(N30,""(.)"",""$1~""),""~""))))=len(N30)
"),FALSE)</f>
        <v>0</v>
      </c>
      <c r="CP30" s="290" t="b">
        <f>IFERROR(__xludf.DUMMYFUNCTION("arrayformula(sum(--REGEXMATCH(""SRGmPDNS"",split(REGEXREPLACE(N30,""(.)"",""$1~""),""~""))))=len(N30)"),FALSE)</f>
        <v>0</v>
      </c>
      <c r="CQ30" s="290" t="b">
        <f>IFERROR(__xludf.DUMMYFUNCTION("arrayformula(sum(--REGEXMATCH(""SRGmPDnS"",split(REGEXREPLACE(N30,""(.)"",""$1~""),""~""))))=len(N30)"),FALSE)</f>
        <v>0</v>
      </c>
      <c r="CR30" s="290" t="b">
        <f>IFERROR(__xludf.DUMMYFUNCTION("arrayformula(sum(--REGEXMATCH(""SRgmPDnS"",split(REGEXREPLACE(N30,""(.)"",""$1~""),""~""))))=len(N30)"),FALSE)</f>
        <v>0</v>
      </c>
      <c r="CS30" s="290" t="b">
        <f>IFERROR(__xludf.DUMMYFUNCTION("arrayformula(sum(--REGEXMATCH(""SRgmPdnS"",split(REGEXREPLACE(N30,""(.)"",""$1~""),""~""))))=len(N30)"),FALSE)</f>
        <v>0</v>
      </c>
      <c r="CT30" s="290" t="b">
        <f>IFERROR(__xludf.DUMMYFUNCTION("arrayformula(sum(--REGEXMATCH(""SrgmPdnS"",split(REGEXREPLACE(N30,""(.)"",""$1~""),""~""))))=len(N30)"),FALSE)</f>
        <v>0</v>
      </c>
      <c r="CU30" s="290" t="b">
        <f>IFERROR(__xludf.DUMMYFUNCTION("arrayformula(sum(--REGEXMATCH(""SrGmPdNS"",split(REGEXREPLACE(N30,""(.)"",""$1~""),""~""))))=len(N30)"),FALSE)</f>
        <v>0</v>
      </c>
      <c r="CV30" s="290" t="b">
        <f>IFERROR(__xludf.DUMMYFUNCTION("arrayformula(sum(--REGEXMATCH(""SrGMPDNS"",split(REGEXREPLACE(N30,""(.)"",""$1~""),""~""))))=len(N30)"),FALSE)</f>
        <v>0</v>
      </c>
      <c r="CW30" s="290" t="b">
        <f>IFERROR(__xludf.DUMMYFUNCTION("arrayformula(sum(--REGEXMATCH(""SrGMPdNS"",split(REGEXREPLACE(N30,""(.)"",""$1~""),""~""))))=len(N30)"),FALSE)</f>
        <v>0</v>
      </c>
      <c r="CX30" s="293" t="b">
        <f>IFERROR(__xludf.DUMMYFUNCTION("arrayformula(sum(--REGEXMATCH(""SrgMPdNS"",split(REGEXREPLACE(N30,""(.)"",""$1~""),""~""))))=len(N30)"),FALSE)</f>
        <v>0</v>
      </c>
      <c r="CY30" s="244" t="str">
        <f>IFERROR(__xludf.DUMMYFUNCTION("IF(REGEXMATCH(N30, ""S""), ""1"","""")"),"1")</f>
        <v>1</v>
      </c>
      <c r="CZ30" s="245" t="str">
        <f>IFERROR(__xludf.DUMMYFUNCTION("IF(REGEXMATCH(N30, ""r""), ""b2"","""")"),"")</f>
        <v/>
      </c>
      <c r="DA30" s="246" t="str">
        <f>IFERROR(__xludf.DUMMYFUNCTION("IF(REGEXMATCH(N30, ""R""), ""2"","""")"),"2")</f>
        <v>2</v>
      </c>
      <c r="DB30" s="246" t="str">
        <f>IFERROR(__xludf.DUMMYFUNCTION("IF(REGEXMATCH(N30, ""g""), ""b3"","""")"),"b3")</f>
        <v>b3</v>
      </c>
      <c r="DC30" s="245" t="str">
        <f>IFERROR(__xludf.DUMMYFUNCTION("IF(REGEXMATCH(N30, ""G""), ""3"","""")"),"3")</f>
        <v>3</v>
      </c>
      <c r="DD30" s="245" t="str">
        <f>IFERROR(__xludf.DUMMYFUNCTION("IF(REGEXMATCH(N30, ""m""), ""4"","""")"),"4")</f>
        <v>4</v>
      </c>
      <c r="DE30" s="246" t="str">
        <f>IFERROR(__xludf.DUMMYFUNCTION("IF(REGEXMATCH(N30, ""M""), ""#4"","""")"),"")</f>
        <v/>
      </c>
      <c r="DF30" s="245" t="str">
        <f>IFERROR(__xludf.DUMMYFUNCTION("IF(REGEXMATCH(N30, ""P""), ""5"","""")"),"5")</f>
        <v>5</v>
      </c>
      <c r="DG30" s="246" t="str">
        <f>IFERROR(__xludf.DUMMYFUNCTION("IF(REGEXMATCH(N30, ""d""), ""b6"","""")"),"b6")</f>
        <v>b6</v>
      </c>
      <c r="DH30" s="245" t="str">
        <f>IFERROR(__xludf.DUMMYFUNCTION("IF(REGEXMATCH(N30, ""D""), ""6"","""")"),"")</f>
        <v/>
      </c>
      <c r="DI30" s="245" t="str">
        <f>IFERROR(__xludf.DUMMYFUNCTION("IF(REGEXMATCH(N30, ""n""), ""b7"","""")"),"b7")</f>
        <v>b7</v>
      </c>
      <c r="DJ30" s="246" t="str">
        <f>IFERROR(__xludf.DUMMYFUNCTION("IF(REGEXMATCH(N30, ""N""), ""7"","""")"),"")</f>
        <v/>
      </c>
      <c r="DK30" s="249" t="str">
        <f>IFERROR(__xludf.DUMMYFUNCTION("IF(REGEXMATCH(N30, ""S""), ""8"","""")"),"8")</f>
        <v>8</v>
      </c>
      <c r="DL30" s="244" t="str">
        <f>IFERROR(__xludf.DUMMYFUNCTION("IF(REGEXMATCH(N30, ""S""), ""S"","""")"),"S")</f>
        <v>S</v>
      </c>
      <c r="DM30" s="294" t="str">
        <f>IFERROR(__xludf.DUMMYFUNCTION("IF(REGEXMATCH(N30, ""r""), ""R1"","""")"),"")</f>
        <v/>
      </c>
      <c r="DN30" s="295" t="str">
        <f>IFERROR(__xludf.DUMMYFUNCTION("IF(REGEXMATCH(N30, ""R""), ""R2"","""")"),"R2")</f>
        <v>R2</v>
      </c>
      <c r="DO30" s="295" t="str">
        <f>IFERROR(__xludf.DUMMYFUNCTION("IF(REGEXMATCH(N30, ""g""), ""G2"","""")"),"G2")</f>
        <v>G2</v>
      </c>
      <c r="DP30" s="294" t="str">
        <f>IFERROR(__xludf.DUMMYFUNCTION("IF(REGEXMATCH(N30, ""G""), ""G3"","""")"),"G3")</f>
        <v>G3</v>
      </c>
      <c r="DQ30" s="294" t="str">
        <f>IFERROR(__xludf.DUMMYFUNCTION("IF(REGEXMATCH(N30, ""m""), ""M1"","""")"),"M1")</f>
        <v>M1</v>
      </c>
      <c r="DR30" s="295" t="str">
        <f>IFERROR(__xludf.DUMMYFUNCTION("IF(REGEXMATCH(N30, ""M""), ""M2"","""")"),"")</f>
        <v/>
      </c>
      <c r="DS30" s="294" t="str">
        <f>IFERROR(__xludf.DUMMYFUNCTION("IF(REGEXMATCH(N30, ""P""), ""P"","""")"),"P")</f>
        <v>P</v>
      </c>
      <c r="DT30" s="295" t="str">
        <f>IFERROR(__xludf.DUMMYFUNCTION("IF(REGEXMATCH(N30, ""d""), ""D1"","""")"),"D1")</f>
        <v>D1</v>
      </c>
      <c r="DU30" s="294" t="str">
        <f>IFERROR(__xludf.DUMMYFUNCTION("IF(REGEXMATCH(N30, ""D""), ""D2"","""")"),"")</f>
        <v/>
      </c>
      <c r="DV30" s="294" t="str">
        <f>IFERROR(__xludf.DUMMYFUNCTION("IF(REGEXMATCH(N30, ""n""), ""N2"","""")"),"N2")</f>
        <v>N2</v>
      </c>
      <c r="DW30" s="295" t="str">
        <f>IFERROR(__xludf.DUMMYFUNCTION("IF(REGEXMATCH(N30, ""N""), ""N3"","""")"),"")</f>
        <v/>
      </c>
      <c r="DX30" s="249" t="str">
        <f>IFERROR(__xludf.DUMMYFUNCTION("IF(REGEXMATCH(N30, ""S""), ""S"","""")"),"S")</f>
        <v>S</v>
      </c>
      <c r="DY30" s="299" t="str">
        <f>IFERROR(__xludf.DUMMYFUNCTION("SUBSTITUTE(SUBSTITUTE(SUBSTITUTE(SUBSTITUTE(CONCATENATE(JOIN(""-"",CY30:DK30)),""--"",""-""),""--"",""-""),""--"",""-""),""--"",""-"")"),"1-2-b3-3-4-5-b6-b7-8")</f>
        <v>1-2-b3-3-4-5-b6-b7-8</v>
      </c>
      <c r="DZ30" s="299" t="str">
        <f>IFERROR(__xludf.DUMMYFUNCTION("SUBSTITUTE(SUBSTITUTE(SUBSTITUTE(SUBSTITUTE(CONCATENATE(JOIN(""-"",DL30:DX30)),""--"",""-""),""--"",""-""),""--"",""-""),""--"",""-"")"),"S-R2-G2-G3-M1-P-D1-N2-S")</f>
        <v>S-R2-G2-G3-M1-P-D1-N2-S</v>
      </c>
      <c r="EA30" s="348" t="str">
        <f t="shared" si="43"/>
        <v>C-D-Eb-E-F-G-Ab-Bb-C</v>
      </c>
      <c r="EB30" s="301">
        <f t="shared" si="44"/>
        <v>8</v>
      </c>
      <c r="EC30" s="302" t="str">
        <f t="shared" si="45"/>
        <v>Sampurna</v>
      </c>
      <c r="ED30" s="301" t="str">
        <f t="shared" ref="ED30:EE30" si="196">SUBSTITUTE(AD30,"-","")</f>
        <v>SRGM</v>
      </c>
      <c r="EE30" s="301" t="str">
        <f t="shared" si="196"/>
        <v>PDNS</v>
      </c>
      <c r="EF30" s="302" t="str">
        <f t="shared" si="47"/>
        <v>(n/a)</v>
      </c>
      <c r="EG30" s="301" t="str">
        <f t="shared" si="48"/>
        <v>Hemi.</v>
      </c>
      <c r="EH30" s="364" t="str">
        <f t="shared" si="49"/>
        <v>Co-Co.</v>
      </c>
      <c r="EI30" s="306" t="str">
        <f t="shared" si="50"/>
        <v>-</v>
      </c>
      <c r="EJ30" s="366" t="str">
        <f t="shared" si="51"/>
        <v>-</v>
      </c>
      <c r="EK30" s="308" t="str">
        <f t="shared" si="52"/>
        <v>✔</v>
      </c>
      <c r="EL30" s="306" t="str">
        <f t="shared" si="53"/>
        <v>-</v>
      </c>
      <c r="EM30" s="306" t="str">
        <f t="shared" si="54"/>
        <v>-</v>
      </c>
      <c r="EN30" s="367" t="str">
        <f t="shared" si="55"/>
        <v>-</v>
      </c>
      <c r="EO30" s="310" t="str">
        <f t="shared" si="56"/>
        <v>-</v>
      </c>
      <c r="EP30" s="310" t="str">
        <f t="shared" si="57"/>
        <v>✔</v>
      </c>
      <c r="EQ30" s="310" t="str">
        <f t="shared" si="58"/>
        <v>-</v>
      </c>
      <c r="ER30" s="310" t="str">
        <f t="shared" si="59"/>
        <v>-</v>
      </c>
      <c r="ES30" s="370" t="str">
        <f t="shared" si="60"/>
        <v>-</v>
      </c>
      <c r="ET30" s="306" t="str">
        <f t="shared" si="61"/>
        <v>-</v>
      </c>
      <c r="EU30" s="306" t="str">
        <f t="shared" si="62"/>
        <v>-</v>
      </c>
      <c r="EV30" s="306" t="str">
        <f t="shared" si="63"/>
        <v>-</v>
      </c>
      <c r="EW30" s="306" t="str">
        <f t="shared" si="64"/>
        <v>-</v>
      </c>
      <c r="EX30" s="306" t="str">
        <f t="shared" si="65"/>
        <v>-</v>
      </c>
      <c r="EY30" s="367" t="str">
        <f t="shared" si="66"/>
        <v>-</v>
      </c>
      <c r="EZ30" s="310" t="str">
        <f>IFERROR(__xludf.DUMMYFUNCTION("IF(REGEXMATCH(BM30,BI30),""✔"",""-"")"),"-")</f>
        <v>-</v>
      </c>
      <c r="FA30" s="310" t="str">
        <f t="shared" si="67"/>
        <v>-</v>
      </c>
      <c r="FB30" s="370" t="str">
        <f t="shared" si="68"/>
        <v>-</v>
      </c>
      <c r="FC30" s="315" t="str">
        <f t="shared" si="69"/>
        <v>[UQ]</v>
      </c>
      <c r="FD30" s="317" t="str">
        <f t="shared" si="70"/>
        <v>S-R-gG-m-P-d-n-S</v>
      </c>
      <c r="FE30" s="318" t="str">
        <f>IFERROR(__xludf.DUMMYFUNCTION("CONCATENATE(JOIN("""",GJ30:GV30))"),"SRGmPdDnS")</f>
        <v>SRGmPdDnS</v>
      </c>
      <c r="FF30" s="318"/>
      <c r="FG30" s="318"/>
      <c r="FH30" s="321">
        <f t="shared" si="71"/>
        <v>2</v>
      </c>
      <c r="FI30" s="318" t="str">
        <f>IFERROR(__xludf.DUMMYFUNCTION("CONCATENATE(JOIN("""",HW30:II30))"),"Re, Ga, ")</f>
        <v>Re, Ga, </v>
      </c>
      <c r="FJ30" s="322">
        <f t="shared" si="72"/>
        <v>1</v>
      </c>
      <c r="FK30" s="324" t="str">
        <f>IFERROR(__xludf.DUMMYFUNCTION("CONCATENATE(JOIN("""",IW30:JI30))"),"Ga, ")</f>
        <v>Ga, </v>
      </c>
      <c r="FL30" s="325" t="str">
        <f t="shared" si="73"/>
        <v>S-R2-G2-G3-M1-P-D1-N2-S</v>
      </c>
      <c r="FM30" s="326" t="str">
        <f t="shared" si="74"/>
        <v>1-2-b3-3-4-5-b6-b7-8</v>
      </c>
      <c r="FN30" s="326" t="str">
        <f t="shared" si="75"/>
        <v>0-2-3-4-5-7-8-10-0</v>
      </c>
      <c r="FO30" s="318"/>
      <c r="FP30" s="328" t="str">
        <f>IFERROR(__xludf.DUMMYFUNCTION("SUBSTITUTE(SUBSTITUTE(SUBSTITUTE(SUBSTITUTE(CONCATENATE(JOIN("" "",FS30:GE30)),""  "","" ""),""  "","" ""),""  "","" ""),""  "","" "")"),"o • o o o o • o o • o • o")</f>
        <v>o • o o o o • o o • o • o</v>
      </c>
      <c r="FQ30" s="328" t="str">
        <f t="shared" si="76"/>
        <v>-</v>
      </c>
      <c r="FR30" s="329"/>
      <c r="FS30" s="331" t="str">
        <f t="shared" si="77"/>
        <v>o</v>
      </c>
      <c r="FT30" s="332" t="str">
        <f t="shared" si="78"/>
        <v>•</v>
      </c>
      <c r="FU30" s="332" t="str">
        <f t="shared" si="79"/>
        <v>o</v>
      </c>
      <c r="FV30" s="332" t="str">
        <f t="shared" si="80"/>
        <v>o</v>
      </c>
      <c r="FW30" s="332" t="str">
        <f t="shared" si="81"/>
        <v>o</v>
      </c>
      <c r="FX30" s="332" t="str">
        <f t="shared" si="82"/>
        <v>o</v>
      </c>
      <c r="FY30" s="332" t="str">
        <f t="shared" si="83"/>
        <v>•</v>
      </c>
      <c r="FZ30" s="332" t="str">
        <f t="shared" si="84"/>
        <v>o</v>
      </c>
      <c r="GA30" s="332" t="str">
        <f t="shared" si="85"/>
        <v>o</v>
      </c>
      <c r="GB30" s="332" t="str">
        <f t="shared" si="86"/>
        <v>•</v>
      </c>
      <c r="GC30" s="332" t="str">
        <f t="shared" si="87"/>
        <v>o</v>
      </c>
      <c r="GD30" s="332" t="str">
        <f t="shared" si="88"/>
        <v>•</v>
      </c>
      <c r="GE30" s="338" t="str">
        <f t="shared" si="89"/>
        <v>o</v>
      </c>
      <c r="GF30" s="339" t="str">
        <f t="shared" si="90"/>
        <v>-</v>
      </c>
      <c r="GG30" s="339" t="str">
        <f t="shared" si="91"/>
        <v>Sa-Pa</v>
      </c>
      <c r="GH30" s="339" t="str">
        <f t="shared" si="92"/>
        <v>-</v>
      </c>
      <c r="GI30" s="340" t="str">
        <f t="shared" si="93"/>
        <v>-</v>
      </c>
      <c r="GJ30" s="331" t="str">
        <f t="shared" si="94"/>
        <v>S</v>
      </c>
      <c r="GK30" s="332" t="str">
        <f t="shared" si="95"/>
        <v/>
      </c>
      <c r="GL30" s="332" t="str">
        <f t="shared" si="96"/>
        <v>R</v>
      </c>
      <c r="GM30" s="332" t="str">
        <f t="shared" si="97"/>
        <v/>
      </c>
      <c r="GN30" s="332" t="str">
        <f t="shared" si="98"/>
        <v>G</v>
      </c>
      <c r="GO30" s="332" t="str">
        <f t="shared" si="99"/>
        <v>m</v>
      </c>
      <c r="GP30" s="332" t="str">
        <f t="shared" si="100"/>
        <v/>
      </c>
      <c r="GQ30" s="332" t="str">
        <f t="shared" si="101"/>
        <v>P</v>
      </c>
      <c r="GR30" s="332" t="str">
        <f t="shared" si="102"/>
        <v>d</v>
      </c>
      <c r="GS30" s="332" t="str">
        <f t="shared" si="103"/>
        <v>D</v>
      </c>
      <c r="GT30" s="332" t="str">
        <f t="shared" si="104"/>
        <v>n</v>
      </c>
      <c r="GU30" s="332" t="str">
        <f t="shared" si="105"/>
        <v/>
      </c>
      <c r="GV30" s="343" t="str">
        <f t="shared" si="106"/>
        <v>S</v>
      </c>
      <c r="GW30" s="331" t="str">
        <f t="shared" si="107"/>
        <v>•</v>
      </c>
      <c r="GX30" s="332" t="str">
        <f t="shared" si="108"/>
        <v>o</v>
      </c>
      <c r="GY30" s="332" t="str">
        <f t="shared" si="109"/>
        <v>•</v>
      </c>
      <c r="GZ30" s="332" t="str">
        <f t="shared" si="110"/>
        <v>•</v>
      </c>
      <c r="HA30" s="332" t="str">
        <f t="shared" si="111"/>
        <v>•</v>
      </c>
      <c r="HB30" s="332" t="str">
        <f t="shared" si="112"/>
        <v>•</v>
      </c>
      <c r="HC30" s="332" t="str">
        <f t="shared" si="113"/>
        <v>o</v>
      </c>
      <c r="HD30" s="332" t="str">
        <f t="shared" si="114"/>
        <v>•</v>
      </c>
      <c r="HE30" s="332" t="str">
        <f t="shared" si="115"/>
        <v>•</v>
      </c>
      <c r="HF30" s="332" t="str">
        <f t="shared" si="116"/>
        <v>o</v>
      </c>
      <c r="HG30" s="332" t="str">
        <f t="shared" si="117"/>
        <v>•</v>
      </c>
      <c r="HH30" s="332" t="str">
        <f t="shared" si="118"/>
        <v>o</v>
      </c>
      <c r="HI30" s="338" t="str">
        <f t="shared" si="119"/>
        <v>•</v>
      </c>
      <c r="HJ30" s="346" t="b">
        <f t="shared" si="120"/>
        <v>0</v>
      </c>
      <c r="HK30" s="347" t="b">
        <f t="shared" si="121"/>
        <v>0</v>
      </c>
      <c r="HL30" s="347" t="b">
        <f t="shared" si="122"/>
        <v>1</v>
      </c>
      <c r="HM30" s="347" t="b">
        <f t="shared" si="123"/>
        <v>0</v>
      </c>
      <c r="HN30" s="347" t="b">
        <f t="shared" si="124"/>
        <v>1</v>
      </c>
      <c r="HO30" s="347" t="b">
        <f t="shared" si="125"/>
        <v>0</v>
      </c>
      <c r="HP30" s="347" t="b">
        <f t="shared" si="126"/>
        <v>0</v>
      </c>
      <c r="HQ30" s="347" t="b">
        <f t="shared" si="127"/>
        <v>0</v>
      </c>
      <c r="HR30" s="347" t="b">
        <f t="shared" si="128"/>
        <v>0</v>
      </c>
      <c r="HS30" s="347" t="b">
        <f t="shared" si="129"/>
        <v>0</v>
      </c>
      <c r="HT30" s="347" t="b">
        <f t="shared" si="130"/>
        <v>0</v>
      </c>
      <c r="HU30" s="347" t="b">
        <f t="shared" si="131"/>
        <v>0</v>
      </c>
      <c r="HV30" s="353" t="b">
        <f t="shared" si="132"/>
        <v>0</v>
      </c>
      <c r="HW30" s="354" t="str">
        <f t="shared" si="133"/>
        <v/>
      </c>
      <c r="HX30" s="355" t="str">
        <f t="shared" si="134"/>
        <v/>
      </c>
      <c r="HY30" s="355" t="str">
        <f t="shared" si="135"/>
        <v>Re, </v>
      </c>
      <c r="HZ30" s="355" t="str">
        <f t="shared" si="136"/>
        <v/>
      </c>
      <c r="IA30" s="355" t="str">
        <f t="shared" si="137"/>
        <v>Ga, </v>
      </c>
      <c r="IB30" s="355" t="str">
        <f t="shared" si="138"/>
        <v/>
      </c>
      <c r="IC30" s="355" t="str">
        <f t="shared" si="139"/>
        <v/>
      </c>
      <c r="ID30" s="355" t="str">
        <f t="shared" si="140"/>
        <v/>
      </c>
      <c r="IE30" s="355" t="str">
        <f t="shared" si="141"/>
        <v/>
      </c>
      <c r="IF30" s="355" t="str">
        <f t="shared" si="142"/>
        <v/>
      </c>
      <c r="IG30" s="355" t="str">
        <f t="shared" si="143"/>
        <v/>
      </c>
      <c r="IH30" s="355" t="str">
        <f t="shared" si="144"/>
        <v/>
      </c>
      <c r="II30" s="359" t="str">
        <f t="shared" si="145"/>
        <v/>
      </c>
      <c r="IJ30" s="346" t="b">
        <f t="shared" si="146"/>
        <v>0</v>
      </c>
      <c r="IK30" s="347" t="b">
        <f t="shared" si="147"/>
        <v>0</v>
      </c>
      <c r="IL30" s="347" t="b">
        <f t="shared" si="148"/>
        <v>0</v>
      </c>
      <c r="IM30" s="347" t="b">
        <f t="shared" si="149"/>
        <v>0</v>
      </c>
      <c r="IN30" s="347" t="b">
        <f t="shared" si="150"/>
        <v>1</v>
      </c>
      <c r="IO30" s="347" t="b">
        <f t="shared" si="151"/>
        <v>0</v>
      </c>
      <c r="IP30" s="347" t="b">
        <f t="shared" si="152"/>
        <v>0</v>
      </c>
      <c r="IQ30" s="347" t="b">
        <f t="shared" si="153"/>
        <v>0</v>
      </c>
      <c r="IR30" s="347" t="b">
        <f t="shared" si="154"/>
        <v>0</v>
      </c>
      <c r="IS30" s="347" t="b">
        <f t="shared" si="155"/>
        <v>0</v>
      </c>
      <c r="IT30" s="347" t="b">
        <f t="shared" si="156"/>
        <v>0</v>
      </c>
      <c r="IU30" s="347" t="b">
        <f t="shared" si="157"/>
        <v>0</v>
      </c>
      <c r="IV30" s="365" t="b">
        <f t="shared" si="158"/>
        <v>0</v>
      </c>
      <c r="IW30" s="354" t="str">
        <f t="shared" si="159"/>
        <v/>
      </c>
      <c r="IX30" s="355" t="str">
        <f t="shared" si="160"/>
        <v/>
      </c>
      <c r="IY30" s="355" t="str">
        <f t="shared" si="161"/>
        <v/>
      </c>
      <c r="IZ30" s="355" t="str">
        <f t="shared" si="162"/>
        <v/>
      </c>
      <c r="JA30" s="355" t="str">
        <f t="shared" si="163"/>
        <v>Ga, </v>
      </c>
      <c r="JB30" s="355" t="str">
        <f t="shared" si="164"/>
        <v/>
      </c>
      <c r="JC30" s="355" t="str">
        <f t="shared" si="165"/>
        <v/>
      </c>
      <c r="JD30" s="355" t="str">
        <f t="shared" si="166"/>
        <v/>
      </c>
      <c r="JE30" s="355" t="str">
        <f t="shared" si="167"/>
        <v/>
      </c>
      <c r="JF30" s="355" t="str">
        <f t="shared" si="168"/>
        <v/>
      </c>
      <c r="JG30" s="355" t="str">
        <f t="shared" si="169"/>
        <v/>
      </c>
      <c r="JH30" s="355" t="str">
        <f t="shared" si="170"/>
        <v/>
      </c>
      <c r="JI30" s="359"/>
      <c r="JJ30" s="321"/>
      <c r="JK30" s="368"/>
      <c r="JL30" s="369"/>
      <c r="JM30" s="369"/>
      <c r="JN30" s="369"/>
      <c r="JO30" s="369"/>
      <c r="JP30" s="369"/>
      <c r="JQ30" s="369"/>
      <c r="JR30" s="369"/>
      <c r="JS30" s="369"/>
      <c r="JT30" s="369"/>
      <c r="JU30" s="369"/>
    </row>
    <row r="31" ht="20.25" customHeight="1">
      <c r="A31" s="221" t="s">
        <v>1282</v>
      </c>
      <c r="B31" s="223" t="s">
        <v>1283</v>
      </c>
      <c r="C31" s="222" t="s">
        <v>275</v>
      </c>
      <c r="D31" s="222"/>
      <c r="E31" s="222" t="s">
        <v>275</v>
      </c>
      <c r="F31" s="222"/>
      <c r="G31" s="395" t="s">
        <v>275</v>
      </c>
      <c r="H31" s="222">
        <v>29.0</v>
      </c>
      <c r="I31" s="224" t="s">
        <v>1219</v>
      </c>
      <c r="J31" s="225" t="str">
        <f t="shared" si="5"/>
        <v>[UQ]</v>
      </c>
      <c r="K31" s="227">
        <f t="shared" si="6"/>
        <v>8</v>
      </c>
      <c r="L31" s="229">
        <f t="shared" si="7"/>
        <v>6</v>
      </c>
      <c r="M31" s="230">
        <f t="shared" si="8"/>
        <v>2</v>
      </c>
      <c r="N31" s="233" t="str">
        <f t="shared" si="9"/>
        <v>SgGmPdDnS</v>
      </c>
      <c r="O31" s="234" t="str">
        <f>IFERROR(__xludf.DUMMYFUNCTION("IF(REGEXMATCH(N31, ""S""), ""S"","""")"),"S")</f>
        <v>S</v>
      </c>
      <c r="P31" s="236" t="str">
        <f>IFERROR(__xludf.DUMMYFUNCTION("IF(REGEXMATCH(N31, ""r""), ""r"","""")"),"")</f>
        <v/>
      </c>
      <c r="Q31" s="237" t="str">
        <f>IFERROR(__xludf.DUMMYFUNCTION("IF(REGEXMATCH(N31, ""R""), ""R"","""")"),"")</f>
        <v/>
      </c>
      <c r="R31" s="237" t="str">
        <f>IFERROR(__xludf.DUMMYFUNCTION("IF(REGEXMATCH(N31, ""g""), ""g"","""")"),"g")</f>
        <v>g</v>
      </c>
      <c r="S31" s="236" t="str">
        <f>IFERROR(__xludf.DUMMYFUNCTION("IF(REGEXMATCH(N31, ""G""), ""G"","""")"),"G")</f>
        <v>G</v>
      </c>
      <c r="T31" s="236" t="str">
        <f>IFERROR(__xludf.DUMMYFUNCTION("IF(REGEXMATCH(N31, ""m""), ""m"","""")"),"m")</f>
        <v>m</v>
      </c>
      <c r="U31" s="237" t="str">
        <f>IFERROR(__xludf.DUMMYFUNCTION("IF(REGEXMATCH(N31, ""M""), ""M"","""")"),"")</f>
        <v/>
      </c>
      <c r="V31" s="236" t="str">
        <f>IFERROR(__xludf.DUMMYFUNCTION("IF(REGEXMATCH(N31, ""P""), ""P"","""")"),"P")</f>
        <v>P</v>
      </c>
      <c r="W31" s="237" t="str">
        <f>IFERROR(__xludf.DUMMYFUNCTION("IF(REGEXMATCH(N31, ""d""), ""d"","""")"),"d")</f>
        <v>d</v>
      </c>
      <c r="X31" s="236" t="str">
        <f>IFERROR(__xludf.DUMMYFUNCTION("IF(REGEXMATCH(N31, ""D""), ""D"","""")"),"D")</f>
        <v>D</v>
      </c>
      <c r="Y31" s="236" t="str">
        <f>IFERROR(__xludf.DUMMYFUNCTION("IF(REGEXMATCH(N31, ""n""), ""n"","""")"),"n")</f>
        <v>n</v>
      </c>
      <c r="Z31" s="237" t="str">
        <f>IFERROR(__xludf.DUMMYFUNCTION("IF(REGEXMATCH(N31, ""N""), ""N"","""")"),"")</f>
        <v/>
      </c>
      <c r="AA31" s="238" t="str">
        <f>IFERROR(__xludf.DUMMYFUNCTION("IF(REGEXMATCH(N31, ""S""), ""S"","""")"),"S")</f>
        <v>S</v>
      </c>
      <c r="AB31" s="239" t="str">
        <f>IFERROR(__xludf.DUMMYFUNCTION("SUBSTITUTE(CONCATENATE(JOIN(""-"",O31:U31)),""-"","""")"),"SgGm")</f>
        <v>SgGm</v>
      </c>
      <c r="AC31" s="229" t="str">
        <f>IFERROR(__xludf.DUMMYFUNCTION("SUBSTITUTE(CONCATENATE(JOIN(""-"",V31:AA31)),""-"","""")"),"PdDnS")</f>
        <v>PdDnS</v>
      </c>
      <c r="AD31" s="282" t="str">
        <f t="shared" si="10"/>
        <v>S-G-M</v>
      </c>
      <c r="AE31" s="282" t="str">
        <f t="shared" si="11"/>
        <v>P-D-N-S</v>
      </c>
      <c r="AF31" s="309" t="str">
        <f t="shared" si="12"/>
        <v>gGmdDn</v>
      </c>
      <c r="AG31" s="244" t="str">
        <f>IFERROR(__xludf.DUMMYFUNCTION("IF(REGEXMATCH(N31, ""S""), ""0"","""")"),"0")</f>
        <v>0</v>
      </c>
      <c r="AH31" s="245" t="str">
        <f>IFERROR(__xludf.DUMMYFUNCTION("IF(REGEXMATCH(N31, ""r""), ""1"","""")"),"")</f>
        <v/>
      </c>
      <c r="AI31" s="246" t="str">
        <f>IFERROR(__xludf.DUMMYFUNCTION("IF(REGEXMATCH(N31, ""R""), ""2"","""")"),"")</f>
        <v/>
      </c>
      <c r="AJ31" s="246" t="str">
        <f>IFERROR(__xludf.DUMMYFUNCTION("IF(REGEXMATCH(N31, ""g""), ""3"","""")"),"3")</f>
        <v>3</v>
      </c>
      <c r="AK31" s="245" t="str">
        <f>IFERROR(__xludf.DUMMYFUNCTION("IF(REGEXMATCH(N31, ""G""), ""4"","""")"),"4")</f>
        <v>4</v>
      </c>
      <c r="AL31" s="245" t="str">
        <f>IFERROR(__xludf.DUMMYFUNCTION("IF(REGEXMATCH(N31, ""m""), ""5"","""")"),"5")</f>
        <v>5</v>
      </c>
      <c r="AM31" s="246" t="str">
        <f>IFERROR(__xludf.DUMMYFUNCTION("IF(REGEXMATCH(N31, ""M""), ""6"","""")"),"")</f>
        <v/>
      </c>
      <c r="AN31" s="245" t="str">
        <f>IFERROR(__xludf.DUMMYFUNCTION("IF(REGEXMATCH(N31, ""P""), ""7"","""")"),"7")</f>
        <v>7</v>
      </c>
      <c r="AO31" s="246" t="str">
        <f>IFERROR(__xludf.DUMMYFUNCTION("IF(REGEXMATCH(N31, ""d""), ""8"","""")"),"8")</f>
        <v>8</v>
      </c>
      <c r="AP31" s="245" t="str">
        <f>IFERROR(__xludf.DUMMYFUNCTION("IF(REGEXMATCH(N31, ""D""), ""9"","""")"),"9")</f>
        <v>9</v>
      </c>
      <c r="AQ31" s="245" t="str">
        <f>IFERROR(__xludf.DUMMYFUNCTION("IF(REGEXMATCH(N31, ""n""), ""10"","""")"),"10")</f>
        <v>10</v>
      </c>
      <c r="AR31" s="246" t="str">
        <f>IFERROR(__xludf.DUMMYFUNCTION("IF(REGEXMATCH(N31, ""N""), ""11"","""")"),"")</f>
        <v/>
      </c>
      <c r="AS31" s="249" t="str">
        <f>IFERROR(__xludf.DUMMYFUNCTION("IF(REGEXMATCH(N31, ""S""), ""0"","""")"),"0")</f>
        <v>0</v>
      </c>
      <c r="AT31" s="250" t="str">
        <f>IFERROR(__xludf.DUMMYFUNCTION("SUBSTITUTE(SUBSTITUTE(SUBSTITUTE(SUBSTITUTE(CONCATENATE(JOIN(""-"",AG31:AS31)),""--"",""-""),""--"",""-""),""--"",""-""),""--"",""-"")"),"0-3-4-5-7-8-9-10-0")</f>
        <v>0-3-4-5-7-8-9-10-0</v>
      </c>
      <c r="AU31" s="251">
        <f t="shared" si="13"/>
        <v>0</v>
      </c>
      <c r="AV31" s="234" t="str">
        <f t="shared" si="14"/>
        <v>|</v>
      </c>
      <c r="AW31" s="236" t="str">
        <f t="shared" si="15"/>
        <v>-</v>
      </c>
      <c r="AX31" s="237" t="str">
        <f t="shared" si="16"/>
        <v>-</v>
      </c>
      <c r="AY31" s="236" t="str">
        <f t="shared" si="17"/>
        <v>|</v>
      </c>
      <c r="AZ31" s="237" t="str">
        <f t="shared" si="18"/>
        <v>|</v>
      </c>
      <c r="BA31" s="236" t="str">
        <f t="shared" si="19"/>
        <v>|</v>
      </c>
      <c r="BB31" s="237" t="str">
        <f t="shared" si="20"/>
        <v>-</v>
      </c>
      <c r="BC31" s="236" t="str">
        <f t="shared" si="21"/>
        <v>|</v>
      </c>
      <c r="BD31" s="237" t="str">
        <f t="shared" si="22"/>
        <v>|</v>
      </c>
      <c r="BE31" s="236" t="str">
        <f t="shared" si="23"/>
        <v>|</v>
      </c>
      <c r="BF31" s="237" t="str">
        <f t="shared" si="24"/>
        <v>|</v>
      </c>
      <c r="BG31" s="236" t="str">
        <f t="shared" si="25"/>
        <v>-</v>
      </c>
      <c r="BH31" s="238" t="str">
        <f t="shared" si="26"/>
        <v>|</v>
      </c>
      <c r="BI31" s="250" t="str">
        <f>IFERROR(__xludf.DUMMYFUNCTION("SUBSTITUTE(SUBSTITUTE(CONCATENATE(JOIN("""",AV31:BG31)),""|"",""x""),""-"",""o"")"),"xooxxxoxxxxo")</f>
        <v>xooxxxoxxxxo</v>
      </c>
      <c r="BJ31" s="323" t="str">
        <f>IFERROR(__xludf.DUMMYFUNCTION("JOIN("""",BI31,BI31)"),"xooxxxoxxxxoxooxxxoxxxxo")</f>
        <v>xooxxxoxxxxoxooxxxoxxxxo</v>
      </c>
      <c r="BK31" s="256" t="str">
        <f>IFERROR(__xludf.DUMMYFUNCTION("JOIN("""",ArrayFormula(MID(BI31,LEN(BI31)-SEQUENCE(1,LEN(BI31))+1,1)))"),"oxxxxoxxxoox")</f>
        <v>oxxxxoxxxoox</v>
      </c>
      <c r="BL31" s="256" t="str">
        <f>IFERROR(__xludf.DUMMYFUNCTION("LEFT(CONCATENATE(""x"",JOIN("""",ArrayFormula(MID(BI31,LEN(BI31)-SEQUENCE(1,LEN(BI31))+1,1)))),12)"),"xoxxxxoxxxoo")</f>
        <v>xoxxxxoxxxoo</v>
      </c>
      <c r="BM31" s="327" t="str">
        <f>IFERROR(__xludf.DUMMYFUNCTION("JOIN("""",BK31,BK31)"),"oxxxxoxxxooxoxxxxoxxxoox")</f>
        <v>oxxxxoxxxooxoxxxxoxxxoox</v>
      </c>
      <c r="BN31" s="239" t="str">
        <f>IFERROR(__xludf.DUMMYFUNCTION("IF(REGEXMATCH(BM31,BI31),""✔"",""-"")"),"-")</f>
        <v>-</v>
      </c>
      <c r="BO31" s="330" t="str">
        <f t="shared" si="27"/>
        <v>-</v>
      </c>
      <c r="BP31" s="260" t="str">
        <f t="shared" si="28"/>
        <v>-</v>
      </c>
      <c r="BQ31" s="261" t="str">
        <f>IFERROR(__xludf.DUMMYFUNCTION("IF(BT31=0,""(n/a)"",IF(BU31=2,""(PAIR)"",IF(REGEXMATCH(BJ31,""xoxoxxoxoxox""),""Bilawal"",IF(REGEXMATCH(BJ31,""xoxoxooxoxoo""),""Bhupali"",IF(REGEXMATCH(BJ31,""xoxoxxoxxoxo""),""Charukeshi"",IF(REGEXMATCH(BJ31,""xoxoooxxoxxo""),""Kameshwari"",IF(REGEXMATC"&amp;"H(BJ31,""xoxoxooxoxox""),""Shankara"",IF(REGEXMATCH(BJ31,""xxooxoxxxoox""),""Basant"",IF(REGEXMATCH(BJ31,""xoxoxxxxoxox""),""Bihag"",IF(REGEXMATCH(BJ31,""xoxxxxoxoxxx""),""Pilu"",IF(REGEXMATCH(BJ31,""xoxxoxoxxoox""),""Kirwani"",IF(REGEXMATCH(BJ31,""xoxxox"&amp;"oxoxxx""),""Mk.Malhar"",IF(REGEXMATCH(BJ31,""xxooxxoxxoox""),""Bhairav"",IF(REGEXMATCH(BJ31,""xxoxooxxxoox""),""Todi"",IF(REGEXMATCH(BJ31,""xxooxoxooxox""),""Marwa"",IF(REGEXMATCH(BJ31,""xxoooxoxxooo""),""Gunkali"",IF(REGEXMATCH(BJ31,""xoxoxxoxxoox""),""N"&amp;"at Bhairav"",IF(REGEXMATCH(BJ31,""xoxxoooxoxoo""),""Shivranjani"",IF(REGEXMATCH(BJ31,""xooxxxoxooxo""),""Jog"",IF(REGEXMATCH(BJ31,""xxooxoxoxoox""),""Hemshri"",IF(REGEXMATCH(BJ31,""xoooxooxoxxo""),""Kalavati"",IF(REGEXMATCH(BJ31,""xxoxoxxoxoox""),""Kedar"&amp;""",IF(REGEXMATCH(BJ31,""xoxxxxoxooxx""),""Gara"",IF(REGEXMATCH(BJ31,""xooxoxooxoox""),""Chandrakauns"",IF(REGEXMATCH(BJ31,""xoxxxxoxxxox""),""Mand"",IF(REGEXMATCH(BJ31,""xoxxxxoxoxox""),""Hanskinkini"",IF(REGEXMATCH(BJ31,""xxooxxoxooxo""),""Lilavati"",IF("&amp;"REGEXMATCH(BJ31,""xooxoxoooxox""),""Rajeshwari"",IF(REGEXMATCH(BJ31,""xoooxxoxoxxx""),""Khokar"",IF(REGEXMATCH(BJ31,""xxooxoxxxxox""),""Maligoura"",""-""))))))))))))))))))))))))))))))"),"(n/a)")</f>
        <v>(n/a)</v>
      </c>
      <c r="BR31" s="239">
        <f t="shared" si="29"/>
        <v>7</v>
      </c>
      <c r="BS31" s="239">
        <f>IFERROR(__xludf.DUMMYFUNCTION("COUNTUNIQUE(BW31:CG31)-1"),7.0)</f>
        <v>7</v>
      </c>
      <c r="BT31" s="239">
        <f>IFERROR(__xludf.DUMMYFUNCTION("COUNTUNIQUE(FILTER(BJ:BJ,REGEXMATCH(BJ:BJ,BI31)))-1"),0.0)</f>
        <v>0</v>
      </c>
      <c r="BU31" s="239">
        <f>IFERROR(__xludf.DUMMYFUNCTION("COUNTA(FILTER(BJ:BJ,REGEXMATCH(BJ:BJ,BI31)))"),1.0)</f>
        <v>1</v>
      </c>
      <c r="BV31" s="341">
        <f>IFERROR(__xludf.DUMMYFUNCTION("COUNTA(FILTER(BJ:BJ,REGEXMATCH(BJ:BJ,BI31)))-AU31"),1.0)</f>
        <v>1</v>
      </c>
      <c r="BW31" s="269" t="str">
        <f t="shared" si="30"/>
        <v>-</v>
      </c>
      <c r="BX31" s="269" t="str">
        <f t="shared" si="31"/>
        <v>-</v>
      </c>
      <c r="BY31" s="271" t="str">
        <f t="shared" si="32"/>
        <v>xxxoxxxxoxo</v>
      </c>
      <c r="BZ31" s="269" t="str">
        <f t="shared" si="33"/>
        <v>xxoxxxxoxoo</v>
      </c>
      <c r="CA31" s="271" t="str">
        <f t="shared" si="34"/>
        <v>xoxxxxoxoox</v>
      </c>
      <c r="CB31" s="271" t="str">
        <f t="shared" si="35"/>
        <v>-</v>
      </c>
      <c r="CC31" s="271" t="str">
        <f t="shared" si="36"/>
        <v>xxxxoxooxxx</v>
      </c>
      <c r="CD31" s="271" t="str">
        <f t="shared" si="37"/>
        <v>xxxoxooxxxo</v>
      </c>
      <c r="CE31" s="271" t="str">
        <f t="shared" si="38"/>
        <v>xxoxooxxxox</v>
      </c>
      <c r="CF31" s="271" t="str">
        <f t="shared" si="39"/>
        <v>xoxooxxxoxx</v>
      </c>
      <c r="CG31" s="274" t="str">
        <f t="shared" si="40"/>
        <v>-</v>
      </c>
      <c r="CH31" s="276" t="str">
        <f>IFERROR(__xludf.DUMMYFUNCTION("IF(BI31=""oooooooooooo"",""-"",IF(REGEXMATCH(BJ31,""xx""), ""Hemi."", ""Anhemi.""))"),"Hemi.")</f>
        <v>Hemi.</v>
      </c>
      <c r="CI31" s="282" t="str">
        <f>IFERROR(__xludf.DUMMYFUNCTION("IF(BI31=""oooooooooooo"",""-"",IF(REGEXMATCH(BJ31,""xxx""), ""Cohem."", ""-""))"),"Cohem.")</f>
        <v>Cohem.</v>
      </c>
      <c r="CJ31" s="282" t="str">
        <f>IFERROR(__xludf.DUMMYFUNCTION("IF(BI31=""oooooooooooo"",""-"",IF(REGEXMATCH(BJ31,""xxxx""), ""Co-Co."", ""-""))"),"Co-Co.")</f>
        <v>Co-Co.</v>
      </c>
      <c r="CK31" s="342" t="str">
        <f>IFERROR(__xludf.DUMMYFUNCTION("IF(BI31=""oooooooooooo"",""-"",IF(REGEXMATCH(BJ31,""xxxxx""), ""CCC."", ""-""))"),"-")</f>
        <v>-</v>
      </c>
      <c r="CL31" s="344" t="str">
        <f t="shared" si="41"/>
        <v>-</v>
      </c>
      <c r="CM31" s="282" t="str">
        <f>IFERROR(__xludf.DUMMYFUNCTION("IF(REGEXMATCH(JOIN(""-"",CO31:CX31),""TRUE""),""✔"",""-"")"),"-")</f>
        <v>-</v>
      </c>
      <c r="CN31" s="225">
        <f t="shared" si="42"/>
        <v>0</v>
      </c>
      <c r="CO31" s="376" t="b">
        <f>IFERROR(__xludf.DUMMYFUNCTION("arrayformula(sum(--REGEXMATCH(""SRGMPDNS"",split(REGEXREPLACE(N31,""(.)"",""$1~""),""~""))))=len(N31)
"),FALSE)</f>
        <v>0</v>
      </c>
      <c r="CP31" s="290" t="b">
        <f>IFERROR(__xludf.DUMMYFUNCTION("arrayformula(sum(--REGEXMATCH(""SRGmPDNS"",split(REGEXREPLACE(N31,""(.)"",""$1~""),""~""))))=len(N31)"),FALSE)</f>
        <v>0</v>
      </c>
      <c r="CQ31" s="290" t="b">
        <f>IFERROR(__xludf.DUMMYFUNCTION("arrayformula(sum(--REGEXMATCH(""SRGmPDnS"",split(REGEXREPLACE(N31,""(.)"",""$1~""),""~""))))=len(N31)"),FALSE)</f>
        <v>0</v>
      </c>
      <c r="CR31" s="290" t="b">
        <f>IFERROR(__xludf.DUMMYFUNCTION("arrayformula(sum(--REGEXMATCH(""SRgmPDnS"",split(REGEXREPLACE(N31,""(.)"",""$1~""),""~""))))=len(N31)"),FALSE)</f>
        <v>0</v>
      </c>
      <c r="CS31" s="290" t="b">
        <f>IFERROR(__xludf.DUMMYFUNCTION("arrayformula(sum(--REGEXMATCH(""SRgmPdnS"",split(REGEXREPLACE(N31,""(.)"",""$1~""),""~""))))=len(N31)"),FALSE)</f>
        <v>0</v>
      </c>
      <c r="CT31" s="290" t="b">
        <f>IFERROR(__xludf.DUMMYFUNCTION("arrayformula(sum(--REGEXMATCH(""SrgmPdnS"",split(REGEXREPLACE(N31,""(.)"",""$1~""),""~""))))=len(N31)"),FALSE)</f>
        <v>0</v>
      </c>
      <c r="CU31" s="290" t="b">
        <f>IFERROR(__xludf.DUMMYFUNCTION("arrayformula(sum(--REGEXMATCH(""SrGmPdNS"",split(REGEXREPLACE(N31,""(.)"",""$1~""),""~""))))=len(N31)"),FALSE)</f>
        <v>0</v>
      </c>
      <c r="CV31" s="290" t="b">
        <f>IFERROR(__xludf.DUMMYFUNCTION("arrayformula(sum(--REGEXMATCH(""SrGMPDNS"",split(REGEXREPLACE(N31,""(.)"",""$1~""),""~""))))=len(N31)"),FALSE)</f>
        <v>0</v>
      </c>
      <c r="CW31" s="290" t="b">
        <f>IFERROR(__xludf.DUMMYFUNCTION("arrayformula(sum(--REGEXMATCH(""SrGMPdNS"",split(REGEXREPLACE(N31,""(.)"",""$1~""),""~""))))=len(N31)"),FALSE)</f>
        <v>0</v>
      </c>
      <c r="CX31" s="293" t="b">
        <f>IFERROR(__xludf.DUMMYFUNCTION("arrayformula(sum(--REGEXMATCH(""SrgMPdNS"",split(REGEXREPLACE(N31,""(.)"",""$1~""),""~""))))=len(N31)"),FALSE)</f>
        <v>0</v>
      </c>
      <c r="CY31" s="244" t="str">
        <f>IFERROR(__xludf.DUMMYFUNCTION("IF(REGEXMATCH(N31, ""S""), ""1"","""")"),"1")</f>
        <v>1</v>
      </c>
      <c r="CZ31" s="245" t="str">
        <f>IFERROR(__xludf.DUMMYFUNCTION("IF(REGEXMATCH(N31, ""r""), ""b2"","""")"),"")</f>
        <v/>
      </c>
      <c r="DA31" s="246" t="str">
        <f>IFERROR(__xludf.DUMMYFUNCTION("IF(REGEXMATCH(N31, ""R""), ""2"","""")"),"")</f>
        <v/>
      </c>
      <c r="DB31" s="246" t="str">
        <f>IFERROR(__xludf.DUMMYFUNCTION("IF(REGEXMATCH(N31, ""g""), ""b3"","""")"),"b3")</f>
        <v>b3</v>
      </c>
      <c r="DC31" s="245" t="str">
        <f>IFERROR(__xludf.DUMMYFUNCTION("IF(REGEXMATCH(N31, ""G""), ""3"","""")"),"3")</f>
        <v>3</v>
      </c>
      <c r="DD31" s="245" t="str">
        <f>IFERROR(__xludf.DUMMYFUNCTION("IF(REGEXMATCH(N31, ""m""), ""4"","""")"),"4")</f>
        <v>4</v>
      </c>
      <c r="DE31" s="246" t="str">
        <f>IFERROR(__xludf.DUMMYFUNCTION("IF(REGEXMATCH(N31, ""M""), ""#4"","""")"),"")</f>
        <v/>
      </c>
      <c r="DF31" s="245" t="str">
        <f>IFERROR(__xludf.DUMMYFUNCTION("IF(REGEXMATCH(N31, ""P""), ""5"","""")"),"5")</f>
        <v>5</v>
      </c>
      <c r="DG31" s="246" t="str">
        <f>IFERROR(__xludf.DUMMYFUNCTION("IF(REGEXMATCH(N31, ""d""), ""b6"","""")"),"b6")</f>
        <v>b6</v>
      </c>
      <c r="DH31" s="245" t="str">
        <f>IFERROR(__xludf.DUMMYFUNCTION("IF(REGEXMATCH(N31, ""D""), ""6"","""")"),"6")</f>
        <v>6</v>
      </c>
      <c r="DI31" s="245" t="str">
        <f>IFERROR(__xludf.DUMMYFUNCTION("IF(REGEXMATCH(N31, ""n""), ""b7"","""")"),"b7")</f>
        <v>b7</v>
      </c>
      <c r="DJ31" s="246" t="str">
        <f>IFERROR(__xludf.DUMMYFUNCTION("IF(REGEXMATCH(N31, ""N""), ""7"","""")"),"")</f>
        <v/>
      </c>
      <c r="DK31" s="249" t="str">
        <f>IFERROR(__xludf.DUMMYFUNCTION("IF(REGEXMATCH(N31, ""S""), ""8"","""")"),"8")</f>
        <v>8</v>
      </c>
      <c r="DL31" s="244" t="str">
        <f>IFERROR(__xludf.DUMMYFUNCTION("IF(REGEXMATCH(N31, ""S""), ""S"","""")"),"S")</f>
        <v>S</v>
      </c>
      <c r="DM31" s="294" t="str">
        <f>IFERROR(__xludf.DUMMYFUNCTION("IF(REGEXMATCH(N31, ""r""), ""R1"","""")"),"")</f>
        <v/>
      </c>
      <c r="DN31" s="295" t="str">
        <f>IFERROR(__xludf.DUMMYFUNCTION("IF(REGEXMATCH(N31, ""R""), ""R2"","""")"),"")</f>
        <v/>
      </c>
      <c r="DO31" s="295" t="str">
        <f>IFERROR(__xludf.DUMMYFUNCTION("IF(REGEXMATCH(N31, ""g""), ""G2"","""")"),"G2")</f>
        <v>G2</v>
      </c>
      <c r="DP31" s="294" t="str">
        <f>IFERROR(__xludf.DUMMYFUNCTION("IF(REGEXMATCH(N31, ""G""), ""G3"","""")"),"G3")</f>
        <v>G3</v>
      </c>
      <c r="DQ31" s="294" t="str">
        <f>IFERROR(__xludf.DUMMYFUNCTION("IF(REGEXMATCH(N31, ""m""), ""M1"","""")"),"M1")</f>
        <v>M1</v>
      </c>
      <c r="DR31" s="295" t="str">
        <f>IFERROR(__xludf.DUMMYFUNCTION("IF(REGEXMATCH(N31, ""M""), ""M2"","""")"),"")</f>
        <v/>
      </c>
      <c r="DS31" s="294" t="str">
        <f>IFERROR(__xludf.DUMMYFUNCTION("IF(REGEXMATCH(N31, ""P""), ""P"","""")"),"P")</f>
        <v>P</v>
      </c>
      <c r="DT31" s="295" t="str">
        <f>IFERROR(__xludf.DUMMYFUNCTION("IF(REGEXMATCH(N31, ""d""), ""D1"","""")"),"D1")</f>
        <v>D1</v>
      </c>
      <c r="DU31" s="294" t="str">
        <f>IFERROR(__xludf.DUMMYFUNCTION("IF(REGEXMATCH(N31, ""D""), ""D2"","""")"),"D2")</f>
        <v>D2</v>
      </c>
      <c r="DV31" s="294" t="str">
        <f>IFERROR(__xludf.DUMMYFUNCTION("IF(REGEXMATCH(N31, ""n""), ""N2"","""")"),"N2")</f>
        <v>N2</v>
      </c>
      <c r="DW31" s="295" t="str">
        <f>IFERROR(__xludf.DUMMYFUNCTION("IF(REGEXMATCH(N31, ""N""), ""N3"","""")"),"")</f>
        <v/>
      </c>
      <c r="DX31" s="249" t="str">
        <f>IFERROR(__xludf.DUMMYFUNCTION("IF(REGEXMATCH(N31, ""S""), ""S"","""")"),"S")</f>
        <v>S</v>
      </c>
      <c r="DY31" s="299" t="str">
        <f>IFERROR(__xludf.DUMMYFUNCTION("SUBSTITUTE(SUBSTITUTE(SUBSTITUTE(SUBSTITUTE(CONCATENATE(JOIN(""-"",CY31:DK31)),""--"",""-""),""--"",""-""),""--"",""-""),""--"",""-"")"),"1-b3-3-4-5-b6-6-b7-8")</f>
        <v>1-b3-3-4-5-b6-6-b7-8</v>
      </c>
      <c r="DZ31" s="299" t="str">
        <f>IFERROR(__xludf.DUMMYFUNCTION("SUBSTITUTE(SUBSTITUTE(SUBSTITUTE(SUBSTITUTE(CONCATENATE(JOIN(""-"",DL31:DX31)),""--"",""-""),""--"",""-""),""--"",""-""),""--"",""-"")"),"S-G2-G3-M1-P-D1-D2-N2-S")</f>
        <v>S-G2-G3-M1-P-D1-D2-N2-S</v>
      </c>
      <c r="EA31" s="348" t="str">
        <f t="shared" si="43"/>
        <v>C-Eb-E-F-G-Ab-A-Bb-C</v>
      </c>
      <c r="EB31" s="301">
        <f t="shared" si="44"/>
        <v>8</v>
      </c>
      <c r="EC31" s="302" t="str">
        <f t="shared" si="45"/>
        <v>Shadav</v>
      </c>
      <c r="ED31" s="301" t="str">
        <f t="shared" ref="ED31:EE31" si="197">SUBSTITUTE(AD31,"-","")</f>
        <v>SGM</v>
      </c>
      <c r="EE31" s="301" t="str">
        <f t="shared" si="197"/>
        <v>PDNS</v>
      </c>
      <c r="EF31" s="302" t="str">
        <f t="shared" si="47"/>
        <v>(n/a)</v>
      </c>
      <c r="EG31" s="301" t="str">
        <f t="shared" si="48"/>
        <v>Hemi.</v>
      </c>
      <c r="EH31" s="364" t="str">
        <f t="shared" si="49"/>
        <v>Co-Co.</v>
      </c>
      <c r="EI31" s="306" t="str">
        <f t="shared" si="50"/>
        <v>-</v>
      </c>
      <c r="EJ31" s="366" t="str">
        <f t="shared" si="51"/>
        <v>-</v>
      </c>
      <c r="EK31" s="308" t="str">
        <f t="shared" si="52"/>
        <v>✔</v>
      </c>
      <c r="EL31" s="306" t="str">
        <f t="shared" si="53"/>
        <v>-</v>
      </c>
      <c r="EM31" s="306" t="str">
        <f t="shared" si="54"/>
        <v>-</v>
      </c>
      <c r="EN31" s="367" t="str">
        <f t="shared" si="55"/>
        <v>-</v>
      </c>
      <c r="EO31" s="310" t="str">
        <f t="shared" si="56"/>
        <v>-</v>
      </c>
      <c r="EP31" s="310" t="str">
        <f t="shared" si="57"/>
        <v>✔</v>
      </c>
      <c r="EQ31" s="310" t="str">
        <f t="shared" si="58"/>
        <v>-</v>
      </c>
      <c r="ER31" s="310" t="str">
        <f t="shared" si="59"/>
        <v>✔</v>
      </c>
      <c r="ES31" s="370" t="str">
        <f t="shared" si="60"/>
        <v>-</v>
      </c>
      <c r="ET31" s="306" t="str">
        <f t="shared" si="61"/>
        <v>✔</v>
      </c>
      <c r="EU31" s="306" t="str">
        <f t="shared" si="62"/>
        <v>-</v>
      </c>
      <c r="EV31" s="306" t="str">
        <f t="shared" si="63"/>
        <v>-</v>
      </c>
      <c r="EW31" s="306" t="str">
        <f t="shared" si="64"/>
        <v>-</v>
      </c>
      <c r="EX31" s="306" t="str">
        <f t="shared" si="65"/>
        <v>-</v>
      </c>
      <c r="EY31" s="367" t="str">
        <f t="shared" si="66"/>
        <v>-</v>
      </c>
      <c r="EZ31" s="310" t="str">
        <f>IFERROR(__xludf.DUMMYFUNCTION("IF(REGEXMATCH(BM31,BI31),""✔"",""-"")"),"-")</f>
        <v>-</v>
      </c>
      <c r="FA31" s="310" t="str">
        <f t="shared" si="67"/>
        <v>-</v>
      </c>
      <c r="FB31" s="370" t="str">
        <f t="shared" si="68"/>
        <v>-</v>
      </c>
      <c r="FC31" s="315" t="str">
        <f t="shared" si="69"/>
        <v>[UQ]</v>
      </c>
      <c r="FD31" s="317" t="str">
        <f t="shared" si="70"/>
        <v>S-gG-m-P-dD-n-S</v>
      </c>
      <c r="FE31" s="318" t="str">
        <f>IFERROR(__xludf.DUMMYFUNCTION("CONCATENATE(JOIN("""",GJ31:GV31))"),"SRgGmPdDS")</f>
        <v>SRgGmPdDS</v>
      </c>
      <c r="FF31" s="318"/>
      <c r="FG31" s="318"/>
      <c r="FH31" s="321">
        <f t="shared" si="71"/>
        <v>2</v>
      </c>
      <c r="FI31" s="318" t="str">
        <f>IFERROR(__xludf.DUMMYFUNCTION("CONCATENATE(JOIN("""",HW31:II31))"),"Ga, Pa, ")</f>
        <v>Ga, Pa, </v>
      </c>
      <c r="FJ31" s="322">
        <f t="shared" si="72"/>
        <v>0</v>
      </c>
      <c r="FK31" s="324" t="str">
        <f>IFERROR(__xludf.DUMMYFUNCTION("CONCATENATE(JOIN("""",IW31:JI31))"),"")</f>
        <v/>
      </c>
      <c r="FL31" s="325" t="str">
        <f t="shared" si="73"/>
        <v>S-G2-G3-M1-P-D1-D2-N2-S</v>
      </c>
      <c r="FM31" s="326" t="str">
        <f t="shared" si="74"/>
        <v>1-b3-3-4-5-b6-6-b7-8</v>
      </c>
      <c r="FN31" s="326" t="str">
        <f t="shared" si="75"/>
        <v>0-3-4-5-7-8-9-10-0</v>
      </c>
      <c r="FO31" s="318"/>
      <c r="FP31" s="328" t="str">
        <f>IFERROR(__xludf.DUMMYFUNCTION("SUBSTITUTE(SUBSTITUTE(SUBSTITUTE(SUBSTITUTE(CONCATENATE(JOIN("" "",FS31:GE31)),""  "","" ""),""  "","" ""),""  "","" ""),""  "","" "")"),"o • • o o o • o o o o • o")</f>
        <v>o • • o o o • o o o o • o</v>
      </c>
      <c r="FQ31" s="328" t="str">
        <f t="shared" si="76"/>
        <v>-</v>
      </c>
      <c r="FR31" s="329"/>
      <c r="FS31" s="331" t="str">
        <f t="shared" si="77"/>
        <v>o</v>
      </c>
      <c r="FT31" s="332" t="str">
        <f t="shared" si="78"/>
        <v>•</v>
      </c>
      <c r="FU31" s="332" t="str">
        <f t="shared" si="79"/>
        <v>•</v>
      </c>
      <c r="FV31" s="332" t="str">
        <f t="shared" si="80"/>
        <v>o</v>
      </c>
      <c r="FW31" s="332" t="str">
        <f t="shared" si="81"/>
        <v>o</v>
      </c>
      <c r="FX31" s="332" t="str">
        <f t="shared" si="82"/>
        <v>o</v>
      </c>
      <c r="FY31" s="332" t="str">
        <f t="shared" si="83"/>
        <v>•</v>
      </c>
      <c r="FZ31" s="332" t="str">
        <f t="shared" si="84"/>
        <v>o</v>
      </c>
      <c r="GA31" s="332" t="str">
        <f t="shared" si="85"/>
        <v>o</v>
      </c>
      <c r="GB31" s="332" t="str">
        <f t="shared" si="86"/>
        <v>o</v>
      </c>
      <c r="GC31" s="332" t="str">
        <f t="shared" si="87"/>
        <v>o</v>
      </c>
      <c r="GD31" s="332" t="str">
        <f t="shared" si="88"/>
        <v>•</v>
      </c>
      <c r="GE31" s="338" t="str">
        <f t="shared" si="89"/>
        <v>o</v>
      </c>
      <c r="GF31" s="339" t="str">
        <f t="shared" si="90"/>
        <v>-</v>
      </c>
      <c r="GG31" s="339" t="str">
        <f t="shared" si="91"/>
        <v>Sa-Pa</v>
      </c>
      <c r="GH31" s="339" t="str">
        <f t="shared" si="92"/>
        <v>-</v>
      </c>
      <c r="GI31" s="340" t="str">
        <f t="shared" si="93"/>
        <v>-</v>
      </c>
      <c r="GJ31" s="331" t="str">
        <f t="shared" si="94"/>
        <v>S</v>
      </c>
      <c r="GK31" s="332" t="str">
        <f t="shared" si="95"/>
        <v/>
      </c>
      <c r="GL31" s="332" t="str">
        <f t="shared" si="96"/>
        <v>R</v>
      </c>
      <c r="GM31" s="332" t="str">
        <f t="shared" si="97"/>
        <v>g</v>
      </c>
      <c r="GN31" s="332" t="str">
        <f t="shared" si="98"/>
        <v>G</v>
      </c>
      <c r="GO31" s="332" t="str">
        <f t="shared" si="99"/>
        <v>m</v>
      </c>
      <c r="GP31" s="332" t="str">
        <f t="shared" si="100"/>
        <v/>
      </c>
      <c r="GQ31" s="332" t="str">
        <f t="shared" si="101"/>
        <v>P</v>
      </c>
      <c r="GR31" s="332" t="str">
        <f t="shared" si="102"/>
        <v>d</v>
      </c>
      <c r="GS31" s="332" t="str">
        <f t="shared" si="103"/>
        <v>D</v>
      </c>
      <c r="GT31" s="332" t="str">
        <f t="shared" si="104"/>
        <v/>
      </c>
      <c r="GU31" s="332" t="str">
        <f t="shared" si="105"/>
        <v/>
      </c>
      <c r="GV31" s="343" t="str">
        <f t="shared" si="106"/>
        <v>S</v>
      </c>
      <c r="GW31" s="331" t="str">
        <f t="shared" si="107"/>
        <v>•</v>
      </c>
      <c r="GX31" s="332" t="str">
        <f t="shared" si="108"/>
        <v>o</v>
      </c>
      <c r="GY31" s="332" t="str">
        <f t="shared" si="109"/>
        <v>o</v>
      </c>
      <c r="GZ31" s="332" t="str">
        <f t="shared" si="110"/>
        <v>•</v>
      </c>
      <c r="HA31" s="332" t="str">
        <f t="shared" si="111"/>
        <v>•</v>
      </c>
      <c r="HB31" s="332" t="str">
        <f t="shared" si="112"/>
        <v>•</v>
      </c>
      <c r="HC31" s="332" t="str">
        <f t="shared" si="113"/>
        <v>o</v>
      </c>
      <c r="HD31" s="332" t="str">
        <f t="shared" si="114"/>
        <v>•</v>
      </c>
      <c r="HE31" s="332" t="str">
        <f t="shared" si="115"/>
        <v>•</v>
      </c>
      <c r="HF31" s="332" t="str">
        <f t="shared" si="116"/>
        <v>•</v>
      </c>
      <c r="HG31" s="332" t="str">
        <f t="shared" si="117"/>
        <v>•</v>
      </c>
      <c r="HH31" s="332" t="str">
        <f t="shared" si="118"/>
        <v>o</v>
      </c>
      <c r="HI31" s="338" t="str">
        <f t="shared" si="119"/>
        <v>•</v>
      </c>
      <c r="HJ31" s="346" t="b">
        <f t="shared" si="120"/>
        <v>0</v>
      </c>
      <c r="HK31" s="347" t="b">
        <f t="shared" si="121"/>
        <v>0</v>
      </c>
      <c r="HL31" s="347" t="b">
        <f t="shared" si="122"/>
        <v>0</v>
      </c>
      <c r="HM31" s="347" t="b">
        <f t="shared" si="123"/>
        <v>0</v>
      </c>
      <c r="HN31" s="347" t="b">
        <f t="shared" si="124"/>
        <v>1</v>
      </c>
      <c r="HO31" s="347" t="b">
        <f t="shared" si="125"/>
        <v>0</v>
      </c>
      <c r="HP31" s="347" t="b">
        <f t="shared" si="126"/>
        <v>0</v>
      </c>
      <c r="HQ31" s="347" t="b">
        <f t="shared" si="127"/>
        <v>1</v>
      </c>
      <c r="HR31" s="347" t="b">
        <f t="shared" si="128"/>
        <v>0</v>
      </c>
      <c r="HS31" s="347" t="b">
        <f t="shared" si="129"/>
        <v>0</v>
      </c>
      <c r="HT31" s="347" t="b">
        <f t="shared" si="130"/>
        <v>0</v>
      </c>
      <c r="HU31" s="347" t="b">
        <f t="shared" si="131"/>
        <v>0</v>
      </c>
      <c r="HV31" s="353" t="b">
        <f t="shared" si="132"/>
        <v>0</v>
      </c>
      <c r="HW31" s="354" t="str">
        <f t="shared" si="133"/>
        <v/>
      </c>
      <c r="HX31" s="355" t="str">
        <f t="shared" si="134"/>
        <v/>
      </c>
      <c r="HY31" s="355" t="str">
        <f t="shared" si="135"/>
        <v/>
      </c>
      <c r="HZ31" s="355" t="str">
        <f t="shared" si="136"/>
        <v/>
      </c>
      <c r="IA31" s="355" t="str">
        <f t="shared" si="137"/>
        <v>Ga, </v>
      </c>
      <c r="IB31" s="355" t="str">
        <f t="shared" si="138"/>
        <v/>
      </c>
      <c r="IC31" s="355" t="str">
        <f t="shared" si="139"/>
        <v/>
      </c>
      <c r="ID31" s="355" t="str">
        <f t="shared" si="140"/>
        <v>Pa, </v>
      </c>
      <c r="IE31" s="355" t="str">
        <f t="shared" si="141"/>
        <v/>
      </c>
      <c r="IF31" s="355" t="str">
        <f t="shared" si="142"/>
        <v/>
      </c>
      <c r="IG31" s="355" t="str">
        <f t="shared" si="143"/>
        <v/>
      </c>
      <c r="IH31" s="355" t="str">
        <f t="shared" si="144"/>
        <v/>
      </c>
      <c r="II31" s="359" t="str">
        <f t="shared" si="145"/>
        <v/>
      </c>
      <c r="IJ31" s="346" t="b">
        <f t="shared" si="146"/>
        <v>0</v>
      </c>
      <c r="IK31" s="347" t="b">
        <f t="shared" si="147"/>
        <v>0</v>
      </c>
      <c r="IL31" s="347" t="b">
        <f t="shared" si="148"/>
        <v>0</v>
      </c>
      <c r="IM31" s="347" t="b">
        <f t="shared" si="149"/>
        <v>0</v>
      </c>
      <c r="IN31" s="347" t="b">
        <f t="shared" si="150"/>
        <v>0</v>
      </c>
      <c r="IO31" s="347" t="b">
        <f t="shared" si="151"/>
        <v>0</v>
      </c>
      <c r="IP31" s="347" t="b">
        <f t="shared" si="152"/>
        <v>0</v>
      </c>
      <c r="IQ31" s="347" t="b">
        <f t="shared" si="153"/>
        <v>0</v>
      </c>
      <c r="IR31" s="347" t="b">
        <f t="shared" si="154"/>
        <v>0</v>
      </c>
      <c r="IS31" s="347" t="b">
        <f t="shared" si="155"/>
        <v>0</v>
      </c>
      <c r="IT31" s="347" t="b">
        <f t="shared" si="156"/>
        <v>0</v>
      </c>
      <c r="IU31" s="347" t="b">
        <f t="shared" si="157"/>
        <v>0</v>
      </c>
      <c r="IV31" s="365" t="b">
        <f t="shared" si="158"/>
        <v>0</v>
      </c>
      <c r="IW31" s="354" t="str">
        <f t="shared" si="159"/>
        <v/>
      </c>
      <c r="IX31" s="355" t="str">
        <f t="shared" si="160"/>
        <v/>
      </c>
      <c r="IY31" s="355" t="str">
        <f t="shared" si="161"/>
        <v/>
      </c>
      <c r="IZ31" s="355" t="str">
        <f t="shared" si="162"/>
        <v/>
      </c>
      <c r="JA31" s="355" t="str">
        <f t="shared" si="163"/>
        <v/>
      </c>
      <c r="JB31" s="355" t="str">
        <f t="shared" si="164"/>
        <v/>
      </c>
      <c r="JC31" s="355" t="str">
        <f t="shared" si="165"/>
        <v/>
      </c>
      <c r="JD31" s="355" t="str">
        <f t="shared" si="166"/>
        <v/>
      </c>
      <c r="JE31" s="355" t="str">
        <f t="shared" si="167"/>
        <v/>
      </c>
      <c r="JF31" s="355" t="str">
        <f t="shared" si="168"/>
        <v/>
      </c>
      <c r="JG31" s="355" t="str">
        <f t="shared" si="169"/>
        <v/>
      </c>
      <c r="JH31" s="355" t="str">
        <f t="shared" si="170"/>
        <v/>
      </c>
      <c r="JI31" s="359"/>
      <c r="JJ31" s="321"/>
      <c r="JK31" s="368"/>
      <c r="JL31" s="369"/>
      <c r="JM31" s="369"/>
      <c r="JN31" s="369"/>
      <c r="JO31" s="369"/>
      <c r="JP31" s="369"/>
      <c r="JQ31" s="369"/>
      <c r="JR31" s="369"/>
      <c r="JS31" s="369"/>
      <c r="JT31" s="369"/>
      <c r="JU31" s="369"/>
    </row>
    <row r="32" ht="20.25" customHeight="1">
      <c r="A32" s="221" t="s">
        <v>1286</v>
      </c>
      <c r="B32" s="223" t="s">
        <v>727</v>
      </c>
      <c r="C32" s="222" t="s">
        <v>275</v>
      </c>
      <c r="D32" s="222"/>
      <c r="E32" s="222" t="s">
        <v>275</v>
      </c>
      <c r="F32" s="222" t="s">
        <v>275</v>
      </c>
      <c r="G32" s="395" t="s">
        <v>275</v>
      </c>
      <c r="H32" s="222">
        <v>30.0</v>
      </c>
      <c r="I32" s="224" t="s">
        <v>1219</v>
      </c>
      <c r="J32" s="225" t="str">
        <f t="shared" si="5"/>
        <v>[UQ]</v>
      </c>
      <c r="K32" s="227">
        <f t="shared" si="6"/>
        <v>9</v>
      </c>
      <c r="L32" s="229">
        <f t="shared" si="7"/>
        <v>7</v>
      </c>
      <c r="M32" s="230">
        <f t="shared" si="8"/>
        <v>2</v>
      </c>
      <c r="N32" s="233" t="str">
        <f t="shared" si="9"/>
        <v>SRgGmPdnNS</v>
      </c>
      <c r="O32" s="234" t="str">
        <f>IFERROR(__xludf.DUMMYFUNCTION("IF(REGEXMATCH(N32, ""S""), ""S"","""")"),"S")</f>
        <v>S</v>
      </c>
      <c r="P32" s="236" t="str">
        <f>IFERROR(__xludf.DUMMYFUNCTION("IF(REGEXMATCH(N32, ""r""), ""r"","""")"),"")</f>
        <v/>
      </c>
      <c r="Q32" s="237" t="str">
        <f>IFERROR(__xludf.DUMMYFUNCTION("IF(REGEXMATCH(N32, ""R""), ""R"","""")"),"R")</f>
        <v>R</v>
      </c>
      <c r="R32" s="237" t="str">
        <f>IFERROR(__xludf.DUMMYFUNCTION("IF(REGEXMATCH(N32, ""g""), ""g"","""")"),"g")</f>
        <v>g</v>
      </c>
      <c r="S32" s="236" t="str">
        <f>IFERROR(__xludf.DUMMYFUNCTION("IF(REGEXMATCH(N32, ""G""), ""G"","""")"),"G")</f>
        <v>G</v>
      </c>
      <c r="T32" s="236" t="str">
        <f>IFERROR(__xludf.DUMMYFUNCTION("IF(REGEXMATCH(N32, ""m""), ""m"","""")"),"m")</f>
        <v>m</v>
      </c>
      <c r="U32" s="237" t="str">
        <f>IFERROR(__xludf.DUMMYFUNCTION("IF(REGEXMATCH(N32, ""M""), ""M"","""")"),"")</f>
        <v/>
      </c>
      <c r="V32" s="236" t="str">
        <f>IFERROR(__xludf.DUMMYFUNCTION("IF(REGEXMATCH(N32, ""P""), ""P"","""")"),"P")</f>
        <v>P</v>
      </c>
      <c r="W32" s="237" t="str">
        <f>IFERROR(__xludf.DUMMYFUNCTION("IF(REGEXMATCH(N32, ""d""), ""d"","""")"),"d")</f>
        <v>d</v>
      </c>
      <c r="X32" s="236" t="str">
        <f>IFERROR(__xludf.DUMMYFUNCTION("IF(REGEXMATCH(N32, ""D""), ""D"","""")"),"")</f>
        <v/>
      </c>
      <c r="Y32" s="236" t="str">
        <f>IFERROR(__xludf.DUMMYFUNCTION("IF(REGEXMATCH(N32, ""n""), ""n"","""")"),"n")</f>
        <v>n</v>
      </c>
      <c r="Z32" s="237" t="str">
        <f>IFERROR(__xludf.DUMMYFUNCTION("IF(REGEXMATCH(N32, ""N""), ""N"","""")"),"N")</f>
        <v>N</v>
      </c>
      <c r="AA32" s="238" t="str">
        <f>IFERROR(__xludf.DUMMYFUNCTION("IF(REGEXMATCH(N32, ""S""), ""S"","""")"),"S")</f>
        <v>S</v>
      </c>
      <c r="AB32" s="239" t="str">
        <f>IFERROR(__xludf.DUMMYFUNCTION("SUBSTITUTE(CONCATENATE(JOIN(""-"",O32:U32)),""-"","""")"),"SRgGm")</f>
        <v>SRgGm</v>
      </c>
      <c r="AC32" s="229" t="str">
        <f>IFERROR(__xludf.DUMMYFUNCTION("SUBSTITUTE(CONCATENATE(JOIN(""-"",V32:AA32)),""-"","""")"),"PdnNS")</f>
        <v>PdnNS</v>
      </c>
      <c r="AD32" s="282" t="str">
        <f t="shared" si="10"/>
        <v>S-R-G-M</v>
      </c>
      <c r="AE32" s="282" t="str">
        <f t="shared" si="11"/>
        <v>P-D-N-S</v>
      </c>
      <c r="AF32" s="309" t="str">
        <f t="shared" si="12"/>
        <v>RgGmdnN</v>
      </c>
      <c r="AG32" s="244" t="str">
        <f>IFERROR(__xludf.DUMMYFUNCTION("IF(REGEXMATCH(N32, ""S""), ""0"","""")"),"0")</f>
        <v>0</v>
      </c>
      <c r="AH32" s="245" t="str">
        <f>IFERROR(__xludf.DUMMYFUNCTION("IF(REGEXMATCH(N32, ""r""), ""1"","""")"),"")</f>
        <v/>
      </c>
      <c r="AI32" s="246" t="str">
        <f>IFERROR(__xludf.DUMMYFUNCTION("IF(REGEXMATCH(N32, ""R""), ""2"","""")"),"2")</f>
        <v>2</v>
      </c>
      <c r="AJ32" s="246" t="str">
        <f>IFERROR(__xludf.DUMMYFUNCTION("IF(REGEXMATCH(N32, ""g""), ""3"","""")"),"3")</f>
        <v>3</v>
      </c>
      <c r="AK32" s="245" t="str">
        <f>IFERROR(__xludf.DUMMYFUNCTION("IF(REGEXMATCH(N32, ""G""), ""4"","""")"),"4")</f>
        <v>4</v>
      </c>
      <c r="AL32" s="245" t="str">
        <f>IFERROR(__xludf.DUMMYFUNCTION("IF(REGEXMATCH(N32, ""m""), ""5"","""")"),"5")</f>
        <v>5</v>
      </c>
      <c r="AM32" s="246" t="str">
        <f>IFERROR(__xludf.DUMMYFUNCTION("IF(REGEXMATCH(N32, ""M""), ""6"","""")"),"")</f>
        <v/>
      </c>
      <c r="AN32" s="245" t="str">
        <f>IFERROR(__xludf.DUMMYFUNCTION("IF(REGEXMATCH(N32, ""P""), ""7"","""")"),"7")</f>
        <v>7</v>
      </c>
      <c r="AO32" s="246" t="str">
        <f>IFERROR(__xludf.DUMMYFUNCTION("IF(REGEXMATCH(N32, ""d""), ""8"","""")"),"8")</f>
        <v>8</v>
      </c>
      <c r="AP32" s="245" t="str">
        <f>IFERROR(__xludf.DUMMYFUNCTION("IF(REGEXMATCH(N32, ""D""), ""9"","""")"),"")</f>
        <v/>
      </c>
      <c r="AQ32" s="245" t="str">
        <f>IFERROR(__xludf.DUMMYFUNCTION("IF(REGEXMATCH(N32, ""n""), ""10"","""")"),"10")</f>
        <v>10</v>
      </c>
      <c r="AR32" s="246" t="str">
        <f>IFERROR(__xludf.DUMMYFUNCTION("IF(REGEXMATCH(N32, ""N""), ""11"","""")"),"11")</f>
        <v>11</v>
      </c>
      <c r="AS32" s="249" t="str">
        <f>IFERROR(__xludf.DUMMYFUNCTION("IF(REGEXMATCH(N32, ""S""), ""0"","""")"),"0")</f>
        <v>0</v>
      </c>
      <c r="AT32" s="250" t="str">
        <f>IFERROR(__xludf.DUMMYFUNCTION("SUBSTITUTE(SUBSTITUTE(SUBSTITUTE(SUBSTITUTE(CONCATENATE(JOIN(""-"",AG32:AS32)),""--"",""-""),""--"",""-""),""--"",""-""),""--"",""-"")"),"0-2-3-4-5-7-8-10-11-0")</f>
        <v>0-2-3-4-5-7-8-10-11-0</v>
      </c>
      <c r="AU32" s="251">
        <f t="shared" si="13"/>
        <v>0</v>
      </c>
      <c r="AV32" s="234" t="str">
        <f t="shared" si="14"/>
        <v>|</v>
      </c>
      <c r="AW32" s="236" t="str">
        <f t="shared" si="15"/>
        <v>-</v>
      </c>
      <c r="AX32" s="237" t="str">
        <f t="shared" si="16"/>
        <v>|</v>
      </c>
      <c r="AY32" s="236" t="str">
        <f t="shared" si="17"/>
        <v>|</v>
      </c>
      <c r="AZ32" s="237" t="str">
        <f t="shared" si="18"/>
        <v>|</v>
      </c>
      <c r="BA32" s="236" t="str">
        <f t="shared" si="19"/>
        <v>|</v>
      </c>
      <c r="BB32" s="237" t="str">
        <f t="shared" si="20"/>
        <v>-</v>
      </c>
      <c r="BC32" s="236" t="str">
        <f t="shared" si="21"/>
        <v>|</v>
      </c>
      <c r="BD32" s="237" t="str">
        <f t="shared" si="22"/>
        <v>|</v>
      </c>
      <c r="BE32" s="236" t="str">
        <f t="shared" si="23"/>
        <v>-</v>
      </c>
      <c r="BF32" s="237" t="str">
        <f t="shared" si="24"/>
        <v>|</v>
      </c>
      <c r="BG32" s="236" t="str">
        <f t="shared" si="25"/>
        <v>|</v>
      </c>
      <c r="BH32" s="238" t="str">
        <f t="shared" si="26"/>
        <v>|</v>
      </c>
      <c r="BI32" s="250" t="str">
        <f>IFERROR(__xludf.DUMMYFUNCTION("SUBSTITUTE(SUBSTITUTE(CONCATENATE(JOIN("""",AV32:BG32)),""|"",""x""),""-"",""o"")"),"xoxxxxoxxoxx")</f>
        <v>xoxxxxoxxoxx</v>
      </c>
      <c r="BJ32" s="323" t="str">
        <f>IFERROR(__xludf.DUMMYFUNCTION("JOIN("""",BI32,BI32)"),"xoxxxxoxxoxxxoxxxxoxxoxx")</f>
        <v>xoxxxxoxxoxxxoxxxxoxxoxx</v>
      </c>
      <c r="BK32" s="256" t="str">
        <f>IFERROR(__xludf.DUMMYFUNCTION("JOIN("""",ArrayFormula(MID(BI32,LEN(BI32)-SEQUENCE(1,LEN(BI32))+1,1)))"),"xxoxxoxxxxox")</f>
        <v>xxoxxoxxxxox</v>
      </c>
      <c r="BL32" s="256" t="str">
        <f>IFERROR(__xludf.DUMMYFUNCTION("LEFT(CONCATENATE(""x"",JOIN("""",ArrayFormula(MID(BI32,LEN(BI32)-SEQUENCE(1,LEN(BI32))+1,1)))),12)"),"xxxoxxoxxxxo")</f>
        <v>xxxoxxoxxxxo</v>
      </c>
      <c r="BM32" s="327" t="str">
        <f>IFERROR(__xludf.DUMMYFUNCTION("JOIN("""",BK32,BK32)"),"xxoxxoxxxxoxxxoxxoxxxxox")</f>
        <v>xxoxxoxxxxoxxxoxxoxxxxox</v>
      </c>
      <c r="BN32" s="239" t="str">
        <f>IFERROR(__xludf.DUMMYFUNCTION("IF(REGEXMATCH(BM32,BI32),""✔"",""-"")"),"-")</f>
        <v>-</v>
      </c>
      <c r="BO32" s="330" t="str">
        <f t="shared" si="27"/>
        <v>-</v>
      </c>
      <c r="BP32" s="260" t="str">
        <f t="shared" si="28"/>
        <v>-</v>
      </c>
      <c r="BQ32" s="261" t="str">
        <f>IFERROR(__xludf.DUMMYFUNCTION("IF(BT32=0,""(n/a)"",IF(BU32=2,""(PAIR)"",IF(REGEXMATCH(BJ32,""xoxoxxoxoxox""),""Bilawal"",IF(REGEXMATCH(BJ32,""xoxoxooxoxoo""),""Bhupali"",IF(REGEXMATCH(BJ32,""xoxoxxoxxoxo""),""Charukeshi"",IF(REGEXMATCH(BJ32,""xoxoooxxoxxo""),""Kameshwari"",IF(REGEXMATC"&amp;"H(BJ32,""xoxoxooxoxox""),""Shankara"",IF(REGEXMATCH(BJ32,""xxooxoxxxoox""),""Basant"",IF(REGEXMATCH(BJ32,""xoxoxxxxoxox""),""Bihag"",IF(REGEXMATCH(BJ32,""xoxxxxoxoxxx""),""Pilu"",IF(REGEXMATCH(BJ32,""xoxxoxoxxoox""),""Kirwani"",IF(REGEXMATCH(BJ32,""xoxxox"&amp;"oxoxxx""),""Mk.Malhar"",IF(REGEXMATCH(BJ32,""xxooxxoxxoox""),""Bhairav"",IF(REGEXMATCH(BJ32,""xxoxooxxxoox""),""Todi"",IF(REGEXMATCH(BJ32,""xxooxoxooxox""),""Marwa"",IF(REGEXMATCH(BJ32,""xxoooxoxxooo""),""Gunkali"",IF(REGEXMATCH(BJ32,""xoxoxxoxxoox""),""N"&amp;"at Bhairav"",IF(REGEXMATCH(BJ32,""xoxxoooxoxoo""),""Shivranjani"",IF(REGEXMATCH(BJ32,""xooxxxoxooxo""),""Jog"",IF(REGEXMATCH(BJ32,""xxooxoxoxoox""),""Hemshri"",IF(REGEXMATCH(BJ32,""xoooxooxoxxo""),""Kalavati"",IF(REGEXMATCH(BJ32,""xxoxoxxoxoox""),""Kedar"&amp;""",IF(REGEXMATCH(BJ32,""xoxxxxoxooxx""),""Gara"",IF(REGEXMATCH(BJ32,""xooxoxooxoox""),""Chandrakauns"",IF(REGEXMATCH(BJ32,""xoxxxxoxxxox""),""Mand"",IF(REGEXMATCH(BJ32,""xoxxxxoxoxox""),""Hanskinkini"",IF(REGEXMATCH(BJ32,""xxooxxoxooxo""),""Lilavati"",IF("&amp;"REGEXMATCH(BJ32,""xooxoxoooxox""),""Rajeshwari"",IF(REGEXMATCH(BJ32,""xoooxxoxoxxx""),""Khokar"",IF(REGEXMATCH(BJ32,""xxooxoxxxxox""),""Maligoura"",""-""))))))))))))))))))))))))))))))"),"(n/a)")</f>
        <v>(n/a)</v>
      </c>
      <c r="BR32" s="239">
        <f t="shared" si="29"/>
        <v>8</v>
      </c>
      <c r="BS32" s="239">
        <f>IFERROR(__xludf.DUMMYFUNCTION("COUNTUNIQUE(BW32:CG32)-1"),8.0)</f>
        <v>8</v>
      </c>
      <c r="BT32" s="239">
        <f>IFERROR(__xludf.DUMMYFUNCTION("COUNTUNIQUE(FILTER(BJ:BJ,REGEXMATCH(BJ:BJ,BI32)))-1"),0.0)</f>
        <v>0</v>
      </c>
      <c r="BU32" s="239">
        <f>IFERROR(__xludf.DUMMYFUNCTION("COUNTA(FILTER(BJ:BJ,REGEXMATCH(BJ:BJ,BI32)))"),1.0)</f>
        <v>1</v>
      </c>
      <c r="BV32" s="341">
        <f>IFERROR(__xludf.DUMMYFUNCTION("COUNTA(FILTER(BJ:BJ,REGEXMATCH(BJ:BJ,BI32)))-AU32"),1.0)</f>
        <v>1</v>
      </c>
      <c r="BW32" s="269" t="str">
        <f t="shared" si="30"/>
        <v>-</v>
      </c>
      <c r="BX32" s="269" t="str">
        <f t="shared" si="31"/>
        <v>xxxxoxxoxxx</v>
      </c>
      <c r="BY32" s="271" t="str">
        <f t="shared" si="32"/>
        <v>xxxoxxoxxxo</v>
      </c>
      <c r="BZ32" s="269" t="str">
        <f t="shared" si="33"/>
        <v>xxoxxoxxxox</v>
      </c>
      <c r="CA32" s="271" t="str">
        <f t="shared" si="34"/>
        <v>xoxxoxxxoxx</v>
      </c>
      <c r="CB32" s="271" t="str">
        <f t="shared" si="35"/>
        <v>-</v>
      </c>
      <c r="CC32" s="271" t="str">
        <f t="shared" si="36"/>
        <v>xxoxxxoxxxx</v>
      </c>
      <c r="CD32" s="271" t="str">
        <f t="shared" si="37"/>
        <v>xoxxxoxxxxo</v>
      </c>
      <c r="CE32" s="271" t="str">
        <f t="shared" si="38"/>
        <v>-</v>
      </c>
      <c r="CF32" s="271" t="str">
        <f t="shared" si="39"/>
        <v>xxxoxxxxoxx</v>
      </c>
      <c r="CG32" s="274" t="str">
        <f t="shared" si="40"/>
        <v>xxoxxxxoxxo</v>
      </c>
      <c r="CH32" s="276" t="str">
        <f>IFERROR(__xludf.DUMMYFUNCTION("IF(BI32=""oooooooooooo"",""-"",IF(REGEXMATCH(BJ32,""xx""), ""Hemi."", ""Anhemi.""))"),"Hemi.")</f>
        <v>Hemi.</v>
      </c>
      <c r="CI32" s="282" t="str">
        <f>IFERROR(__xludf.DUMMYFUNCTION("IF(BI32=""oooooooooooo"",""-"",IF(REGEXMATCH(BJ32,""xxx""), ""Cohem."", ""-""))"),"Cohem.")</f>
        <v>Cohem.</v>
      </c>
      <c r="CJ32" s="282" t="str">
        <f>IFERROR(__xludf.DUMMYFUNCTION("IF(BI32=""oooooooooooo"",""-"",IF(REGEXMATCH(BJ32,""xxxx""), ""Co-Co."", ""-""))"),"Co-Co.")</f>
        <v>Co-Co.</v>
      </c>
      <c r="CK32" s="342" t="str">
        <f>IFERROR(__xludf.DUMMYFUNCTION("IF(BI32=""oooooooooooo"",""-"",IF(REGEXMATCH(BJ32,""xxxxx""), ""CCC."", ""-""))"),"-")</f>
        <v>-</v>
      </c>
      <c r="CL32" s="344" t="str">
        <f t="shared" si="41"/>
        <v>-</v>
      </c>
      <c r="CM32" s="282" t="str">
        <f>IFERROR(__xludf.DUMMYFUNCTION("IF(REGEXMATCH(JOIN(""-"",CO32:CX32),""TRUE""),""✔"",""-"")"),"-")</f>
        <v>-</v>
      </c>
      <c r="CN32" s="225">
        <f t="shared" si="42"/>
        <v>0</v>
      </c>
      <c r="CO32" s="376" t="b">
        <f>IFERROR(__xludf.DUMMYFUNCTION("arrayformula(sum(--REGEXMATCH(""SRGMPDNS"",split(REGEXREPLACE(N32,""(.)"",""$1~""),""~""))))=len(N32)
"),FALSE)</f>
        <v>0</v>
      </c>
      <c r="CP32" s="290" t="b">
        <f>IFERROR(__xludf.DUMMYFUNCTION("arrayformula(sum(--REGEXMATCH(""SRGmPDNS"",split(REGEXREPLACE(N32,""(.)"",""$1~""),""~""))))=len(N32)"),FALSE)</f>
        <v>0</v>
      </c>
      <c r="CQ32" s="290" t="b">
        <f>IFERROR(__xludf.DUMMYFUNCTION("arrayformula(sum(--REGEXMATCH(""SRGmPDnS"",split(REGEXREPLACE(N32,""(.)"",""$1~""),""~""))))=len(N32)"),FALSE)</f>
        <v>0</v>
      </c>
      <c r="CR32" s="290" t="b">
        <f>IFERROR(__xludf.DUMMYFUNCTION("arrayformula(sum(--REGEXMATCH(""SRgmPDnS"",split(REGEXREPLACE(N32,""(.)"",""$1~""),""~""))))=len(N32)"),FALSE)</f>
        <v>0</v>
      </c>
      <c r="CS32" s="290" t="b">
        <f>IFERROR(__xludf.DUMMYFUNCTION("arrayformula(sum(--REGEXMATCH(""SRgmPdnS"",split(REGEXREPLACE(N32,""(.)"",""$1~""),""~""))))=len(N32)"),FALSE)</f>
        <v>0</v>
      </c>
      <c r="CT32" s="290" t="b">
        <f>IFERROR(__xludf.DUMMYFUNCTION("arrayformula(sum(--REGEXMATCH(""SrgmPdnS"",split(REGEXREPLACE(N32,""(.)"",""$1~""),""~""))))=len(N32)"),FALSE)</f>
        <v>0</v>
      </c>
      <c r="CU32" s="290" t="b">
        <f>IFERROR(__xludf.DUMMYFUNCTION("arrayformula(sum(--REGEXMATCH(""SrGmPdNS"",split(REGEXREPLACE(N32,""(.)"",""$1~""),""~""))))=len(N32)"),FALSE)</f>
        <v>0</v>
      </c>
      <c r="CV32" s="290" t="b">
        <f>IFERROR(__xludf.DUMMYFUNCTION("arrayformula(sum(--REGEXMATCH(""SrGMPDNS"",split(REGEXREPLACE(N32,""(.)"",""$1~""),""~""))))=len(N32)"),FALSE)</f>
        <v>0</v>
      </c>
      <c r="CW32" s="290" t="b">
        <f>IFERROR(__xludf.DUMMYFUNCTION("arrayformula(sum(--REGEXMATCH(""SrGMPdNS"",split(REGEXREPLACE(N32,""(.)"",""$1~""),""~""))))=len(N32)"),FALSE)</f>
        <v>0</v>
      </c>
      <c r="CX32" s="293" t="b">
        <f>IFERROR(__xludf.DUMMYFUNCTION("arrayformula(sum(--REGEXMATCH(""SrgMPdNS"",split(REGEXREPLACE(N32,""(.)"",""$1~""),""~""))))=len(N32)"),FALSE)</f>
        <v>0</v>
      </c>
      <c r="CY32" s="244" t="str">
        <f>IFERROR(__xludf.DUMMYFUNCTION("IF(REGEXMATCH(N32, ""S""), ""1"","""")"),"1")</f>
        <v>1</v>
      </c>
      <c r="CZ32" s="245" t="str">
        <f>IFERROR(__xludf.DUMMYFUNCTION("IF(REGEXMATCH(N32, ""r""), ""b2"","""")"),"")</f>
        <v/>
      </c>
      <c r="DA32" s="246" t="str">
        <f>IFERROR(__xludf.DUMMYFUNCTION("IF(REGEXMATCH(N32, ""R""), ""2"","""")"),"2")</f>
        <v>2</v>
      </c>
      <c r="DB32" s="246" t="str">
        <f>IFERROR(__xludf.DUMMYFUNCTION("IF(REGEXMATCH(N32, ""g""), ""b3"","""")"),"b3")</f>
        <v>b3</v>
      </c>
      <c r="DC32" s="245" t="str">
        <f>IFERROR(__xludf.DUMMYFUNCTION("IF(REGEXMATCH(N32, ""G""), ""3"","""")"),"3")</f>
        <v>3</v>
      </c>
      <c r="DD32" s="245" t="str">
        <f>IFERROR(__xludf.DUMMYFUNCTION("IF(REGEXMATCH(N32, ""m""), ""4"","""")"),"4")</f>
        <v>4</v>
      </c>
      <c r="DE32" s="246" t="str">
        <f>IFERROR(__xludf.DUMMYFUNCTION("IF(REGEXMATCH(N32, ""M""), ""#4"","""")"),"")</f>
        <v/>
      </c>
      <c r="DF32" s="245" t="str">
        <f>IFERROR(__xludf.DUMMYFUNCTION("IF(REGEXMATCH(N32, ""P""), ""5"","""")"),"5")</f>
        <v>5</v>
      </c>
      <c r="DG32" s="246" t="str">
        <f>IFERROR(__xludf.DUMMYFUNCTION("IF(REGEXMATCH(N32, ""d""), ""b6"","""")"),"b6")</f>
        <v>b6</v>
      </c>
      <c r="DH32" s="245" t="str">
        <f>IFERROR(__xludf.DUMMYFUNCTION("IF(REGEXMATCH(N32, ""D""), ""6"","""")"),"")</f>
        <v/>
      </c>
      <c r="DI32" s="245" t="str">
        <f>IFERROR(__xludf.DUMMYFUNCTION("IF(REGEXMATCH(N32, ""n""), ""b7"","""")"),"b7")</f>
        <v>b7</v>
      </c>
      <c r="DJ32" s="246" t="str">
        <f>IFERROR(__xludf.DUMMYFUNCTION("IF(REGEXMATCH(N32, ""N""), ""7"","""")"),"7")</f>
        <v>7</v>
      </c>
      <c r="DK32" s="249" t="str">
        <f>IFERROR(__xludf.DUMMYFUNCTION("IF(REGEXMATCH(N32, ""S""), ""8"","""")"),"8")</f>
        <v>8</v>
      </c>
      <c r="DL32" s="244" t="str">
        <f>IFERROR(__xludf.DUMMYFUNCTION("IF(REGEXMATCH(N32, ""S""), ""S"","""")"),"S")</f>
        <v>S</v>
      </c>
      <c r="DM32" s="294" t="str">
        <f>IFERROR(__xludf.DUMMYFUNCTION("IF(REGEXMATCH(N32, ""r""), ""R1"","""")"),"")</f>
        <v/>
      </c>
      <c r="DN32" s="295" t="str">
        <f>IFERROR(__xludf.DUMMYFUNCTION("IF(REGEXMATCH(N32, ""R""), ""R2"","""")"),"R2")</f>
        <v>R2</v>
      </c>
      <c r="DO32" s="295" t="str">
        <f>IFERROR(__xludf.DUMMYFUNCTION("IF(REGEXMATCH(N32, ""g""), ""G2"","""")"),"G2")</f>
        <v>G2</v>
      </c>
      <c r="DP32" s="294" t="str">
        <f>IFERROR(__xludf.DUMMYFUNCTION("IF(REGEXMATCH(N32, ""G""), ""G3"","""")"),"G3")</f>
        <v>G3</v>
      </c>
      <c r="DQ32" s="294" t="str">
        <f>IFERROR(__xludf.DUMMYFUNCTION("IF(REGEXMATCH(N32, ""m""), ""M1"","""")"),"M1")</f>
        <v>M1</v>
      </c>
      <c r="DR32" s="295" t="str">
        <f>IFERROR(__xludf.DUMMYFUNCTION("IF(REGEXMATCH(N32, ""M""), ""M2"","""")"),"")</f>
        <v/>
      </c>
      <c r="DS32" s="294" t="str">
        <f>IFERROR(__xludf.DUMMYFUNCTION("IF(REGEXMATCH(N32, ""P""), ""P"","""")"),"P")</f>
        <v>P</v>
      </c>
      <c r="DT32" s="295" t="str">
        <f>IFERROR(__xludf.DUMMYFUNCTION("IF(REGEXMATCH(N32, ""d""), ""D1"","""")"),"D1")</f>
        <v>D1</v>
      </c>
      <c r="DU32" s="294" t="str">
        <f>IFERROR(__xludf.DUMMYFUNCTION("IF(REGEXMATCH(N32, ""D""), ""D2"","""")"),"")</f>
        <v/>
      </c>
      <c r="DV32" s="294" t="str">
        <f>IFERROR(__xludf.DUMMYFUNCTION("IF(REGEXMATCH(N32, ""n""), ""N2"","""")"),"N2")</f>
        <v>N2</v>
      </c>
      <c r="DW32" s="295" t="str">
        <f>IFERROR(__xludf.DUMMYFUNCTION("IF(REGEXMATCH(N32, ""N""), ""N3"","""")"),"N3")</f>
        <v>N3</v>
      </c>
      <c r="DX32" s="249" t="str">
        <f>IFERROR(__xludf.DUMMYFUNCTION("IF(REGEXMATCH(N32, ""S""), ""S"","""")"),"S")</f>
        <v>S</v>
      </c>
      <c r="DY32" s="299" t="str">
        <f>IFERROR(__xludf.DUMMYFUNCTION("SUBSTITUTE(SUBSTITUTE(SUBSTITUTE(SUBSTITUTE(CONCATENATE(JOIN(""-"",CY32:DK32)),""--"",""-""),""--"",""-""),""--"",""-""),""--"",""-"")"),"1-2-b3-3-4-5-b6-b7-7-8")</f>
        <v>1-2-b3-3-4-5-b6-b7-7-8</v>
      </c>
      <c r="DZ32" s="299" t="str">
        <f>IFERROR(__xludf.DUMMYFUNCTION("SUBSTITUTE(SUBSTITUTE(SUBSTITUTE(SUBSTITUTE(CONCATENATE(JOIN(""-"",DL32:DX32)),""--"",""-""),""--"",""-""),""--"",""-""),""--"",""-"")"),"S-R2-G2-G3-M1-P-D1-N2-N3-S")</f>
        <v>S-R2-G2-G3-M1-P-D1-N2-N3-S</v>
      </c>
      <c r="EA32" s="348" t="str">
        <f t="shared" si="43"/>
        <v>C-D-Eb-E-F-G-Ab-Bb-B-C</v>
      </c>
      <c r="EB32" s="301">
        <f t="shared" si="44"/>
        <v>9</v>
      </c>
      <c r="EC32" s="302" t="str">
        <f t="shared" si="45"/>
        <v>Sampurna</v>
      </c>
      <c r="ED32" s="301" t="str">
        <f t="shared" ref="ED32:EE32" si="198">SUBSTITUTE(AD32,"-","")</f>
        <v>SRGM</v>
      </c>
      <c r="EE32" s="301" t="str">
        <f t="shared" si="198"/>
        <v>PDNS</v>
      </c>
      <c r="EF32" s="302" t="str">
        <f t="shared" si="47"/>
        <v>(n/a)</v>
      </c>
      <c r="EG32" s="301" t="str">
        <f t="shared" si="48"/>
        <v>Hemi.</v>
      </c>
      <c r="EH32" s="364" t="str">
        <f t="shared" si="49"/>
        <v>Co-Co.</v>
      </c>
      <c r="EI32" s="306" t="str">
        <f t="shared" si="50"/>
        <v>-</v>
      </c>
      <c r="EJ32" s="366" t="str">
        <f t="shared" si="51"/>
        <v>-</v>
      </c>
      <c r="EK32" s="308" t="str">
        <f t="shared" si="52"/>
        <v>✔</v>
      </c>
      <c r="EL32" s="306" t="str">
        <f t="shared" si="53"/>
        <v>-</v>
      </c>
      <c r="EM32" s="306" t="str">
        <f t="shared" si="54"/>
        <v>-</v>
      </c>
      <c r="EN32" s="367" t="str">
        <f t="shared" si="55"/>
        <v>-</v>
      </c>
      <c r="EO32" s="310" t="str">
        <f t="shared" si="56"/>
        <v>-</v>
      </c>
      <c r="EP32" s="310" t="str">
        <f t="shared" si="57"/>
        <v>✔</v>
      </c>
      <c r="EQ32" s="310" t="str">
        <f t="shared" si="58"/>
        <v>-</v>
      </c>
      <c r="ER32" s="310" t="str">
        <f t="shared" si="59"/>
        <v>-</v>
      </c>
      <c r="ES32" s="370" t="str">
        <f t="shared" si="60"/>
        <v>✔</v>
      </c>
      <c r="ET32" s="306" t="str">
        <f t="shared" si="61"/>
        <v>-</v>
      </c>
      <c r="EU32" s="306" t="str">
        <f t="shared" si="62"/>
        <v>-</v>
      </c>
      <c r="EV32" s="306" t="str">
        <f t="shared" si="63"/>
        <v>-</v>
      </c>
      <c r="EW32" s="306" t="str">
        <f t="shared" si="64"/>
        <v>-</v>
      </c>
      <c r="EX32" s="306" t="str">
        <f t="shared" si="65"/>
        <v>-</v>
      </c>
      <c r="EY32" s="367" t="str">
        <f t="shared" si="66"/>
        <v>-</v>
      </c>
      <c r="EZ32" s="310" t="str">
        <f>IFERROR(__xludf.DUMMYFUNCTION("IF(REGEXMATCH(BM32,BI32),""✔"",""-"")"),"-")</f>
        <v>-</v>
      </c>
      <c r="FA32" s="310" t="str">
        <f t="shared" si="67"/>
        <v>-</v>
      </c>
      <c r="FB32" s="370" t="str">
        <f t="shared" si="68"/>
        <v>-</v>
      </c>
      <c r="FC32" s="315" t="str">
        <f t="shared" si="69"/>
        <v>[UQ]</v>
      </c>
      <c r="FD32" s="317" t="str">
        <f t="shared" si="70"/>
        <v>S-R-gG-m-P-d-nN-S</v>
      </c>
      <c r="FE32" s="318" t="str">
        <f>IFERROR(__xludf.DUMMYFUNCTION("CONCATENATE(JOIN("""",GJ32:GV32))"),"SrRGmPdDnS")</f>
        <v>SrRGmPdDnS</v>
      </c>
      <c r="FF32" s="318"/>
      <c r="FG32" s="318"/>
      <c r="FH32" s="321">
        <f t="shared" si="71"/>
        <v>2</v>
      </c>
      <c r="FI32" s="318" t="str">
        <f>IFERROR(__xludf.DUMMYFUNCTION("CONCATENATE(JOIN("""",HW32:II32))"),"Re, Ni, ")</f>
        <v>Re, Ni, </v>
      </c>
      <c r="FJ32" s="322">
        <f t="shared" si="72"/>
        <v>0</v>
      </c>
      <c r="FK32" s="324" t="str">
        <f>IFERROR(__xludf.DUMMYFUNCTION("CONCATENATE(JOIN("""",IW32:JI32))"),"")</f>
        <v/>
      </c>
      <c r="FL32" s="325" t="str">
        <f t="shared" si="73"/>
        <v>S-R2-G2-G3-M1-P-D1-N2-N3-S</v>
      </c>
      <c r="FM32" s="326" t="str">
        <f t="shared" si="74"/>
        <v>1-2-b3-3-4-5-b6-b7-7-8</v>
      </c>
      <c r="FN32" s="326" t="str">
        <f t="shared" si="75"/>
        <v>0-2-3-4-5-7-8-10-11-0</v>
      </c>
      <c r="FO32" s="318"/>
      <c r="FP32" s="328" t="str">
        <f>IFERROR(__xludf.DUMMYFUNCTION("SUBSTITUTE(SUBSTITUTE(SUBSTITUTE(SUBSTITUTE(CONCATENATE(JOIN("" "",FS32:GE32)),""  "","" ""),""  "","" ""),""  "","" ""),""  "","" "")"),"o • o o o o • o o • o o o")</f>
        <v>o • o o o o • o o • o o o</v>
      </c>
      <c r="FQ32" s="328" t="str">
        <f t="shared" si="76"/>
        <v>-</v>
      </c>
      <c r="FR32" s="329"/>
      <c r="FS32" s="331" t="str">
        <f t="shared" si="77"/>
        <v>o</v>
      </c>
      <c r="FT32" s="332" t="str">
        <f t="shared" si="78"/>
        <v>•</v>
      </c>
      <c r="FU32" s="332" t="str">
        <f t="shared" si="79"/>
        <v>o</v>
      </c>
      <c r="FV32" s="332" t="str">
        <f t="shared" si="80"/>
        <v>o</v>
      </c>
      <c r="FW32" s="332" t="str">
        <f t="shared" si="81"/>
        <v>o</v>
      </c>
      <c r="FX32" s="332" t="str">
        <f t="shared" si="82"/>
        <v>o</v>
      </c>
      <c r="FY32" s="332" t="str">
        <f t="shared" si="83"/>
        <v>•</v>
      </c>
      <c r="FZ32" s="332" t="str">
        <f t="shared" si="84"/>
        <v>o</v>
      </c>
      <c r="GA32" s="332" t="str">
        <f t="shared" si="85"/>
        <v>o</v>
      </c>
      <c r="GB32" s="332" t="str">
        <f t="shared" si="86"/>
        <v>•</v>
      </c>
      <c r="GC32" s="332" t="str">
        <f t="shared" si="87"/>
        <v>o</v>
      </c>
      <c r="GD32" s="332" t="str">
        <f t="shared" si="88"/>
        <v>o</v>
      </c>
      <c r="GE32" s="338" t="str">
        <f t="shared" si="89"/>
        <v>o</v>
      </c>
      <c r="GF32" s="339" t="str">
        <f t="shared" si="90"/>
        <v>-</v>
      </c>
      <c r="GG32" s="339" t="str">
        <f t="shared" si="91"/>
        <v>Sa-Pa</v>
      </c>
      <c r="GH32" s="339" t="str">
        <f t="shared" si="92"/>
        <v>-</v>
      </c>
      <c r="GI32" s="340" t="str">
        <f t="shared" si="93"/>
        <v>-</v>
      </c>
      <c r="GJ32" s="331" t="str">
        <f t="shared" si="94"/>
        <v>S</v>
      </c>
      <c r="GK32" s="332" t="str">
        <f t="shared" si="95"/>
        <v>r</v>
      </c>
      <c r="GL32" s="332" t="str">
        <f t="shared" si="96"/>
        <v>R</v>
      </c>
      <c r="GM32" s="332" t="str">
        <f t="shared" si="97"/>
        <v/>
      </c>
      <c r="GN32" s="332" t="str">
        <f t="shared" si="98"/>
        <v>G</v>
      </c>
      <c r="GO32" s="332" t="str">
        <f t="shared" si="99"/>
        <v>m</v>
      </c>
      <c r="GP32" s="332" t="str">
        <f t="shared" si="100"/>
        <v/>
      </c>
      <c r="GQ32" s="332" t="str">
        <f t="shared" si="101"/>
        <v>P</v>
      </c>
      <c r="GR32" s="332" t="str">
        <f t="shared" si="102"/>
        <v>d</v>
      </c>
      <c r="GS32" s="332" t="str">
        <f t="shared" si="103"/>
        <v>D</v>
      </c>
      <c r="GT32" s="332" t="str">
        <f t="shared" si="104"/>
        <v>n</v>
      </c>
      <c r="GU32" s="332" t="str">
        <f t="shared" si="105"/>
        <v/>
      </c>
      <c r="GV32" s="343" t="str">
        <f t="shared" si="106"/>
        <v>S</v>
      </c>
      <c r="GW32" s="331" t="str">
        <f t="shared" si="107"/>
        <v>•</v>
      </c>
      <c r="GX32" s="332" t="str">
        <f t="shared" si="108"/>
        <v>o</v>
      </c>
      <c r="GY32" s="332" t="str">
        <f t="shared" si="109"/>
        <v>•</v>
      </c>
      <c r="GZ32" s="332" t="str">
        <f t="shared" si="110"/>
        <v>•</v>
      </c>
      <c r="HA32" s="332" t="str">
        <f t="shared" si="111"/>
        <v>•</v>
      </c>
      <c r="HB32" s="332" t="str">
        <f t="shared" si="112"/>
        <v>•</v>
      </c>
      <c r="HC32" s="332" t="str">
        <f t="shared" si="113"/>
        <v>o</v>
      </c>
      <c r="HD32" s="332" t="str">
        <f t="shared" si="114"/>
        <v>•</v>
      </c>
      <c r="HE32" s="332" t="str">
        <f t="shared" si="115"/>
        <v>•</v>
      </c>
      <c r="HF32" s="332" t="str">
        <f t="shared" si="116"/>
        <v>o</v>
      </c>
      <c r="HG32" s="332" t="str">
        <f t="shared" si="117"/>
        <v>•</v>
      </c>
      <c r="HH32" s="332" t="str">
        <f t="shared" si="118"/>
        <v>•</v>
      </c>
      <c r="HI32" s="338" t="str">
        <f t="shared" si="119"/>
        <v>•</v>
      </c>
      <c r="HJ32" s="346" t="b">
        <f t="shared" si="120"/>
        <v>0</v>
      </c>
      <c r="HK32" s="347" t="b">
        <f t="shared" si="121"/>
        <v>0</v>
      </c>
      <c r="HL32" s="347" t="b">
        <f t="shared" si="122"/>
        <v>1</v>
      </c>
      <c r="HM32" s="347" t="b">
        <f t="shared" si="123"/>
        <v>0</v>
      </c>
      <c r="HN32" s="347" t="b">
        <f t="shared" si="124"/>
        <v>0</v>
      </c>
      <c r="HO32" s="347" t="b">
        <f t="shared" si="125"/>
        <v>0</v>
      </c>
      <c r="HP32" s="347" t="b">
        <f t="shared" si="126"/>
        <v>0</v>
      </c>
      <c r="HQ32" s="347" t="b">
        <f t="shared" si="127"/>
        <v>0</v>
      </c>
      <c r="HR32" s="347" t="b">
        <f t="shared" si="128"/>
        <v>0</v>
      </c>
      <c r="HS32" s="347" t="b">
        <f t="shared" si="129"/>
        <v>0</v>
      </c>
      <c r="HT32" s="347" t="b">
        <f t="shared" si="130"/>
        <v>0</v>
      </c>
      <c r="HU32" s="347" t="b">
        <f t="shared" si="131"/>
        <v>1</v>
      </c>
      <c r="HV32" s="353" t="b">
        <f t="shared" si="132"/>
        <v>0</v>
      </c>
      <c r="HW32" s="354" t="str">
        <f t="shared" si="133"/>
        <v/>
      </c>
      <c r="HX32" s="355" t="str">
        <f t="shared" si="134"/>
        <v/>
      </c>
      <c r="HY32" s="355" t="str">
        <f t="shared" si="135"/>
        <v>Re, </v>
      </c>
      <c r="HZ32" s="355" t="str">
        <f t="shared" si="136"/>
        <v/>
      </c>
      <c r="IA32" s="355" t="str">
        <f t="shared" si="137"/>
        <v/>
      </c>
      <c r="IB32" s="355" t="str">
        <f t="shared" si="138"/>
        <v/>
      </c>
      <c r="IC32" s="355" t="str">
        <f t="shared" si="139"/>
        <v/>
      </c>
      <c r="ID32" s="355" t="str">
        <f t="shared" si="140"/>
        <v/>
      </c>
      <c r="IE32" s="355" t="str">
        <f t="shared" si="141"/>
        <v/>
      </c>
      <c r="IF32" s="355" t="str">
        <f t="shared" si="142"/>
        <v/>
      </c>
      <c r="IG32" s="355" t="str">
        <f t="shared" si="143"/>
        <v/>
      </c>
      <c r="IH32" s="355" t="str">
        <f t="shared" si="144"/>
        <v>Ni, </v>
      </c>
      <c r="II32" s="359" t="str">
        <f t="shared" si="145"/>
        <v/>
      </c>
      <c r="IJ32" s="346" t="b">
        <f t="shared" si="146"/>
        <v>0</v>
      </c>
      <c r="IK32" s="347" t="b">
        <f t="shared" si="147"/>
        <v>0</v>
      </c>
      <c r="IL32" s="347" t="b">
        <f t="shared" si="148"/>
        <v>0</v>
      </c>
      <c r="IM32" s="347" t="b">
        <f t="shared" si="149"/>
        <v>0</v>
      </c>
      <c r="IN32" s="347" t="b">
        <f t="shared" si="150"/>
        <v>0</v>
      </c>
      <c r="IO32" s="347" t="b">
        <f t="shared" si="151"/>
        <v>0</v>
      </c>
      <c r="IP32" s="347" t="b">
        <f t="shared" si="152"/>
        <v>0</v>
      </c>
      <c r="IQ32" s="347" t="b">
        <f t="shared" si="153"/>
        <v>0</v>
      </c>
      <c r="IR32" s="347" t="b">
        <f t="shared" si="154"/>
        <v>0</v>
      </c>
      <c r="IS32" s="347" t="b">
        <f t="shared" si="155"/>
        <v>0</v>
      </c>
      <c r="IT32" s="347" t="b">
        <f t="shared" si="156"/>
        <v>0</v>
      </c>
      <c r="IU32" s="347" t="b">
        <f t="shared" si="157"/>
        <v>0</v>
      </c>
      <c r="IV32" s="365" t="b">
        <f t="shared" si="158"/>
        <v>0</v>
      </c>
      <c r="IW32" s="354" t="str">
        <f t="shared" si="159"/>
        <v/>
      </c>
      <c r="IX32" s="355" t="str">
        <f t="shared" si="160"/>
        <v/>
      </c>
      <c r="IY32" s="355" t="str">
        <f t="shared" si="161"/>
        <v/>
      </c>
      <c r="IZ32" s="355" t="str">
        <f t="shared" si="162"/>
        <v/>
      </c>
      <c r="JA32" s="355" t="str">
        <f t="shared" si="163"/>
        <v/>
      </c>
      <c r="JB32" s="355" t="str">
        <f t="shared" si="164"/>
        <v/>
      </c>
      <c r="JC32" s="355" t="str">
        <f t="shared" si="165"/>
        <v/>
      </c>
      <c r="JD32" s="355" t="str">
        <f t="shared" si="166"/>
        <v/>
      </c>
      <c r="JE32" s="355" t="str">
        <f t="shared" si="167"/>
        <v/>
      </c>
      <c r="JF32" s="355" t="str">
        <f t="shared" si="168"/>
        <v/>
      </c>
      <c r="JG32" s="355" t="str">
        <f t="shared" si="169"/>
        <v/>
      </c>
      <c r="JH32" s="355" t="str">
        <f t="shared" si="170"/>
        <v/>
      </c>
      <c r="JI32" s="359"/>
      <c r="JJ32" s="321"/>
      <c r="JK32" s="368"/>
      <c r="JL32" s="369"/>
      <c r="JM32" s="369"/>
      <c r="JN32" s="369"/>
      <c r="JO32" s="369"/>
      <c r="JP32" s="369"/>
      <c r="JQ32" s="369"/>
      <c r="JR32" s="369"/>
      <c r="JS32" s="369"/>
      <c r="JT32" s="369"/>
      <c r="JU32" s="369"/>
    </row>
    <row r="33" ht="20.25" customHeight="1">
      <c r="A33" s="221" t="s">
        <v>804</v>
      </c>
      <c r="B33" s="223" t="s">
        <v>805</v>
      </c>
      <c r="C33" s="222"/>
      <c r="D33" s="222"/>
      <c r="E33" s="222" t="s">
        <v>275</v>
      </c>
      <c r="F33" s="222"/>
      <c r="G33" s="395" t="s">
        <v>275</v>
      </c>
      <c r="H33" s="222">
        <v>31.0</v>
      </c>
      <c r="I33" s="224" t="s">
        <v>1219</v>
      </c>
      <c r="J33" s="414">
        <f t="shared" si="5"/>
        <v>1</v>
      </c>
      <c r="K33" s="227">
        <f t="shared" si="6"/>
        <v>6</v>
      </c>
      <c r="L33" s="229">
        <f t="shared" si="7"/>
        <v>6</v>
      </c>
      <c r="M33" s="230">
        <f t="shared" si="8"/>
        <v>0</v>
      </c>
      <c r="N33" s="233" t="str">
        <f t="shared" si="9"/>
        <v>SRGmdnS</v>
      </c>
      <c r="O33" s="234" t="str">
        <f>IFERROR(__xludf.DUMMYFUNCTION("IF(REGEXMATCH(N33, ""S""), ""S"","""")"),"S")</f>
        <v>S</v>
      </c>
      <c r="P33" s="236" t="str">
        <f>IFERROR(__xludf.DUMMYFUNCTION("IF(REGEXMATCH(N33, ""r""), ""r"","""")"),"")</f>
        <v/>
      </c>
      <c r="Q33" s="237" t="str">
        <f>IFERROR(__xludf.DUMMYFUNCTION("IF(REGEXMATCH(N33, ""R""), ""R"","""")"),"R")</f>
        <v>R</v>
      </c>
      <c r="R33" s="237" t="str">
        <f>IFERROR(__xludf.DUMMYFUNCTION("IF(REGEXMATCH(N33, ""g""), ""g"","""")"),"")</f>
        <v/>
      </c>
      <c r="S33" s="236" t="str">
        <f>IFERROR(__xludf.DUMMYFUNCTION("IF(REGEXMATCH(N33, ""G""), ""G"","""")"),"G")</f>
        <v>G</v>
      </c>
      <c r="T33" s="236" t="str">
        <f>IFERROR(__xludf.DUMMYFUNCTION("IF(REGEXMATCH(N33, ""m""), ""m"","""")"),"m")</f>
        <v>m</v>
      </c>
      <c r="U33" s="237" t="str">
        <f>IFERROR(__xludf.DUMMYFUNCTION("IF(REGEXMATCH(N33, ""M""), ""M"","""")"),"")</f>
        <v/>
      </c>
      <c r="V33" s="236" t="str">
        <f>IFERROR(__xludf.DUMMYFUNCTION("IF(REGEXMATCH(N33, ""P""), ""P"","""")"),"")</f>
        <v/>
      </c>
      <c r="W33" s="237" t="str">
        <f>IFERROR(__xludf.DUMMYFUNCTION("IF(REGEXMATCH(N33, ""d""), ""d"","""")"),"d")</f>
        <v>d</v>
      </c>
      <c r="X33" s="236" t="str">
        <f>IFERROR(__xludf.DUMMYFUNCTION("IF(REGEXMATCH(N33, ""D""), ""D"","""")"),"")</f>
        <v/>
      </c>
      <c r="Y33" s="236" t="str">
        <f>IFERROR(__xludf.DUMMYFUNCTION("IF(REGEXMATCH(N33, ""n""), ""n"","""")"),"n")</f>
        <v>n</v>
      </c>
      <c r="Z33" s="237" t="str">
        <f>IFERROR(__xludf.DUMMYFUNCTION("IF(REGEXMATCH(N33, ""N""), ""N"","""")"),"")</f>
        <v/>
      </c>
      <c r="AA33" s="238" t="str">
        <f>IFERROR(__xludf.DUMMYFUNCTION("IF(REGEXMATCH(N33, ""S""), ""S"","""")"),"S")</f>
        <v>S</v>
      </c>
      <c r="AB33" s="239" t="str">
        <f>IFERROR(__xludf.DUMMYFUNCTION("SUBSTITUTE(CONCATENATE(JOIN(""-"",O33:U33)),""-"","""")"),"SRGm")</f>
        <v>SRGm</v>
      </c>
      <c r="AC33" s="229" t="str">
        <f>IFERROR(__xludf.DUMMYFUNCTION("SUBSTITUTE(CONCATENATE(JOIN(""-"",V33:AA33)),""-"","""")"),"dnS")</f>
        <v>dnS</v>
      </c>
      <c r="AD33" s="282" t="str">
        <f t="shared" si="10"/>
        <v>S-R-G-M</v>
      </c>
      <c r="AE33" s="282" t="str">
        <f t="shared" si="11"/>
        <v>D-N-S</v>
      </c>
      <c r="AF33" s="309" t="str">
        <f t="shared" si="12"/>
        <v>RGmdn</v>
      </c>
      <c r="AG33" s="244" t="str">
        <f>IFERROR(__xludf.DUMMYFUNCTION("IF(REGEXMATCH(N33, ""S""), ""0"","""")"),"0")</f>
        <v>0</v>
      </c>
      <c r="AH33" s="245" t="str">
        <f>IFERROR(__xludf.DUMMYFUNCTION("IF(REGEXMATCH(N33, ""r""), ""1"","""")"),"")</f>
        <v/>
      </c>
      <c r="AI33" s="246" t="str">
        <f>IFERROR(__xludf.DUMMYFUNCTION("IF(REGEXMATCH(N33, ""R""), ""2"","""")"),"2")</f>
        <v>2</v>
      </c>
      <c r="AJ33" s="246" t="str">
        <f>IFERROR(__xludf.DUMMYFUNCTION("IF(REGEXMATCH(N33, ""g""), ""3"","""")"),"")</f>
        <v/>
      </c>
      <c r="AK33" s="245" t="str">
        <f>IFERROR(__xludf.DUMMYFUNCTION("IF(REGEXMATCH(N33, ""G""), ""4"","""")"),"4")</f>
        <v>4</v>
      </c>
      <c r="AL33" s="245" t="str">
        <f>IFERROR(__xludf.DUMMYFUNCTION("IF(REGEXMATCH(N33, ""m""), ""5"","""")"),"5")</f>
        <v>5</v>
      </c>
      <c r="AM33" s="246" t="str">
        <f>IFERROR(__xludf.DUMMYFUNCTION("IF(REGEXMATCH(N33, ""M""), ""6"","""")"),"")</f>
        <v/>
      </c>
      <c r="AN33" s="245" t="str">
        <f>IFERROR(__xludf.DUMMYFUNCTION("IF(REGEXMATCH(N33, ""P""), ""7"","""")"),"")</f>
        <v/>
      </c>
      <c r="AO33" s="246" t="str">
        <f>IFERROR(__xludf.DUMMYFUNCTION("IF(REGEXMATCH(N33, ""d""), ""8"","""")"),"8")</f>
        <v>8</v>
      </c>
      <c r="AP33" s="245" t="str">
        <f>IFERROR(__xludf.DUMMYFUNCTION("IF(REGEXMATCH(N33, ""D""), ""9"","""")"),"")</f>
        <v/>
      </c>
      <c r="AQ33" s="245" t="str">
        <f>IFERROR(__xludf.DUMMYFUNCTION("IF(REGEXMATCH(N33, ""n""), ""10"","""")"),"10")</f>
        <v>10</v>
      </c>
      <c r="AR33" s="246" t="str">
        <f>IFERROR(__xludf.DUMMYFUNCTION("IF(REGEXMATCH(N33, ""N""), ""11"","""")"),"")</f>
        <v/>
      </c>
      <c r="AS33" s="249" t="str">
        <f>IFERROR(__xludf.DUMMYFUNCTION("IF(REGEXMATCH(N33, ""S""), ""0"","""")"),"0")</f>
        <v>0</v>
      </c>
      <c r="AT33" s="250" t="str">
        <f>IFERROR(__xludf.DUMMYFUNCTION("SUBSTITUTE(SUBSTITUTE(SUBSTITUTE(SUBSTITUTE(CONCATENATE(JOIN(""-"",AG33:AS33)),""--"",""-""),""--"",""-""),""--"",""-""),""--"",""-"")"),"0-2-4-5-8-10-0")</f>
        <v>0-2-4-5-8-10-0</v>
      </c>
      <c r="AU33" s="251">
        <f t="shared" si="13"/>
        <v>1</v>
      </c>
      <c r="AV33" s="234" t="str">
        <f t="shared" si="14"/>
        <v>|</v>
      </c>
      <c r="AW33" s="236" t="str">
        <f t="shared" si="15"/>
        <v>-</v>
      </c>
      <c r="AX33" s="237" t="str">
        <f t="shared" si="16"/>
        <v>|</v>
      </c>
      <c r="AY33" s="236" t="str">
        <f t="shared" si="17"/>
        <v>-</v>
      </c>
      <c r="AZ33" s="237" t="str">
        <f t="shared" si="18"/>
        <v>|</v>
      </c>
      <c r="BA33" s="236" t="str">
        <f t="shared" si="19"/>
        <v>|</v>
      </c>
      <c r="BB33" s="237" t="str">
        <f t="shared" si="20"/>
        <v>-</v>
      </c>
      <c r="BC33" s="236" t="str">
        <f t="shared" si="21"/>
        <v>-</v>
      </c>
      <c r="BD33" s="237" t="str">
        <f t="shared" si="22"/>
        <v>|</v>
      </c>
      <c r="BE33" s="236" t="str">
        <f t="shared" si="23"/>
        <v>-</v>
      </c>
      <c r="BF33" s="237" t="str">
        <f t="shared" si="24"/>
        <v>|</v>
      </c>
      <c r="BG33" s="236" t="str">
        <f t="shared" si="25"/>
        <v>-</v>
      </c>
      <c r="BH33" s="238" t="str">
        <f t="shared" si="26"/>
        <v>|</v>
      </c>
      <c r="BI33" s="250" t="str">
        <f>IFERROR(__xludf.DUMMYFUNCTION("SUBSTITUTE(SUBSTITUTE(CONCATENATE(JOIN("""",AV33:BG33)),""|"",""x""),""-"",""o"")"),"xoxoxxooxoxo")</f>
        <v>xoxoxxooxoxo</v>
      </c>
      <c r="BJ33" s="323" t="str">
        <f>IFERROR(__xludf.DUMMYFUNCTION("JOIN("""",BI33,BI33)"),"xoxoxxooxoxoxoxoxxooxoxo")</f>
        <v>xoxoxxooxoxoxoxoxxooxoxo</v>
      </c>
      <c r="BK33" s="256" t="str">
        <f>IFERROR(__xludf.DUMMYFUNCTION("JOIN("""",ArrayFormula(MID(BI33,LEN(BI33)-SEQUENCE(1,LEN(BI33))+1,1)))"),"oxoxooxxoxox")</f>
        <v>oxoxooxxoxox</v>
      </c>
      <c r="BL33" s="256" t="str">
        <f>IFERROR(__xludf.DUMMYFUNCTION("LEFT(CONCATENATE(""x"",JOIN("""",ArrayFormula(MID(BI33,LEN(BI33)-SEQUENCE(1,LEN(BI33))+1,1)))),12)"),"xoxoxooxxoxo")</f>
        <v>xoxoxooxxoxo</v>
      </c>
      <c r="BM33" s="327" t="str">
        <f>IFERROR(__xludf.DUMMYFUNCTION("JOIN("""",BK33,BK33)"),"oxoxooxxoxoxoxoxooxxoxox")</f>
        <v>oxoxooxxoxoxoxoxooxxoxox</v>
      </c>
      <c r="BN33" s="239" t="str">
        <f>IFERROR(__xludf.DUMMYFUNCTION("IF(REGEXMATCH(BM33,BI33),""✔"",""-"")"),"-")</f>
        <v>-</v>
      </c>
      <c r="BO33" s="330" t="str">
        <f t="shared" si="27"/>
        <v>-</v>
      </c>
      <c r="BP33" s="260" t="str">
        <f t="shared" si="28"/>
        <v>-</v>
      </c>
      <c r="BQ33" s="261" t="str">
        <f>IFERROR(__xludf.DUMMYFUNCTION("IF(BT33=0,""(n/a)"",IF(BU33=2,""(PAIR)"",IF(REGEXMATCH(BJ33,""xoxoxxoxoxox""),""Bilawal"",IF(REGEXMATCH(BJ33,""xoxoxooxoxoo""),""Bhupali"",IF(REGEXMATCH(BJ33,""xoxoxxoxxoxo""),""Charukeshi"",IF(REGEXMATCH(BJ33,""xoxoooxxoxxo""),""Kameshwari"",IF(REGEXMATC"&amp;"H(BJ33,""xoxoxooxoxox""),""Shankara"",IF(REGEXMATCH(BJ33,""xxooxoxxxoox""),""Basant"",IF(REGEXMATCH(BJ33,""xoxoxxxxoxox""),""Bihag"",IF(REGEXMATCH(BJ33,""xoxxxxoxoxxx""),""Pilu"",IF(REGEXMATCH(BJ33,""xoxxoxoxxoox""),""Kirwani"",IF(REGEXMATCH(BJ33,""xoxxox"&amp;"oxoxxx""),""Mk.Malhar"",IF(REGEXMATCH(BJ33,""xxooxxoxxoox""),""Bhairav"",IF(REGEXMATCH(BJ33,""xxoxooxxxoox""),""Todi"",IF(REGEXMATCH(BJ33,""xxooxoxooxox""),""Marwa"",IF(REGEXMATCH(BJ33,""xxoooxoxxooo""),""Gunkali"",IF(REGEXMATCH(BJ33,""xoxoxxoxxoox""),""N"&amp;"at Bhairav"",IF(REGEXMATCH(BJ33,""xoxxoooxoxoo""),""Shivranjani"",IF(REGEXMATCH(BJ33,""xooxxxoxooxo""),""Jog"",IF(REGEXMATCH(BJ33,""xxooxoxoxoox""),""Hemshri"",IF(REGEXMATCH(BJ33,""xoooxooxoxxo""),""Kalavati"",IF(REGEXMATCH(BJ33,""xxoxoxxoxoox""),""Kedar"&amp;""",IF(REGEXMATCH(BJ33,""xoxxxxoxooxx""),""Gara"",IF(REGEXMATCH(BJ33,""xooxoxooxoox""),""Chandrakauns"",IF(REGEXMATCH(BJ33,""xoxxxxoxxxox""),""Mand"",IF(REGEXMATCH(BJ33,""xoxxxxoxoxox""),""Hanskinkini"",IF(REGEXMATCH(BJ33,""xxooxxoxooxo""),""Lilavati"",IF("&amp;"REGEXMATCH(BJ33,""xooxoxoooxox""),""Rajeshwari"",IF(REGEXMATCH(BJ33,""xoooxxoxoxxx""),""Khokar"",IF(REGEXMATCH(BJ33,""xxooxoxxxxox""),""Maligoura"",""-""))))))))))))))))))))))))))))))"),"-")</f>
        <v>-</v>
      </c>
      <c r="BR33" s="239">
        <f t="shared" si="29"/>
        <v>5</v>
      </c>
      <c r="BS33" s="239">
        <f>IFERROR(__xludf.DUMMYFUNCTION("COUNTUNIQUE(BW33:CG33)-1"),5.0)</f>
        <v>5</v>
      </c>
      <c r="BT33" s="239">
        <f>IFERROR(__xludf.DUMMYFUNCTION("COUNTUNIQUE(FILTER(BJ:BJ,REGEXMATCH(BJ:BJ,BI33)))-1"),1.0)</f>
        <v>1</v>
      </c>
      <c r="BU33" s="239">
        <f>IFERROR(__xludf.DUMMYFUNCTION("COUNTA(FILTER(BJ:BJ,REGEXMATCH(BJ:BJ,BI33)))"),3.0)</f>
        <v>3</v>
      </c>
      <c r="BV33" s="341">
        <f>IFERROR(__xludf.DUMMYFUNCTION("COUNTA(FILTER(BJ:BJ,REGEXMATCH(BJ:BJ,BI33)))-AU33"),2.0)</f>
        <v>2</v>
      </c>
      <c r="BW33" s="269" t="str">
        <f t="shared" si="30"/>
        <v>-</v>
      </c>
      <c r="BX33" s="269" t="str">
        <f t="shared" si="31"/>
        <v>xoxxooxoxox</v>
      </c>
      <c r="BY33" s="271" t="str">
        <f t="shared" si="32"/>
        <v>-</v>
      </c>
      <c r="BZ33" s="269" t="str">
        <f t="shared" si="33"/>
        <v>xxooxoxoxox</v>
      </c>
      <c r="CA33" s="271" t="str">
        <f t="shared" si="34"/>
        <v>xooxoxoxoxo</v>
      </c>
      <c r="CB33" s="271" t="str">
        <f t="shared" si="35"/>
        <v>-</v>
      </c>
      <c r="CC33" s="271" t="str">
        <f t="shared" si="36"/>
        <v>-</v>
      </c>
      <c r="CD33" s="271" t="str">
        <f t="shared" si="37"/>
        <v>xoxoxoxoxxo</v>
      </c>
      <c r="CE33" s="271" t="str">
        <f t="shared" si="38"/>
        <v>-</v>
      </c>
      <c r="CF33" s="271" t="str">
        <f t="shared" si="39"/>
        <v>xoxoxoxxoox</v>
      </c>
      <c r="CG33" s="274" t="str">
        <f t="shared" si="40"/>
        <v>-</v>
      </c>
      <c r="CH33" s="276" t="str">
        <f>IFERROR(__xludf.DUMMYFUNCTION("IF(BI33=""oooooooooooo"",""-"",IF(REGEXMATCH(BJ33,""xx""), ""Hemi."", ""Anhemi.""))"),"Hemi.")</f>
        <v>Hemi.</v>
      </c>
      <c r="CI33" s="282" t="str">
        <f>IFERROR(__xludf.DUMMYFUNCTION("IF(BI33=""oooooooooooo"",""-"",IF(REGEXMATCH(BJ33,""xxx""), ""Cohem."", ""-""))"),"-")</f>
        <v>-</v>
      </c>
      <c r="CJ33" s="282" t="str">
        <f>IFERROR(__xludf.DUMMYFUNCTION("IF(BI33=""oooooooooooo"",""-"",IF(REGEXMATCH(BJ33,""xxxx""), ""Co-Co."", ""-""))"),"-")</f>
        <v>-</v>
      </c>
      <c r="CK33" s="342" t="str">
        <f>IFERROR(__xludf.DUMMYFUNCTION("IF(BI33=""oooooooooooo"",""-"",IF(REGEXMATCH(BJ33,""xxxxx""), ""CCC."", ""-""))"),"-")</f>
        <v>-</v>
      </c>
      <c r="CL33" s="344" t="str">
        <f t="shared" si="41"/>
        <v>-</v>
      </c>
      <c r="CM33" s="282" t="str">
        <f>IFERROR(__xludf.DUMMYFUNCTION("IF(REGEXMATCH(JOIN(""-"",CO33:CX33),""TRUE""),""✔"",""-"")"),"-")</f>
        <v>-</v>
      </c>
      <c r="CN33" s="225">
        <f t="shared" si="42"/>
        <v>0</v>
      </c>
      <c r="CO33" s="376" t="b">
        <f>IFERROR(__xludf.DUMMYFUNCTION("arrayformula(sum(--REGEXMATCH(""SRGMPDNS"",split(REGEXREPLACE(N33,""(.)"",""$1~""),""~""))))=len(N33)
"),FALSE)</f>
        <v>0</v>
      </c>
      <c r="CP33" s="290" t="b">
        <f>IFERROR(__xludf.DUMMYFUNCTION("arrayformula(sum(--REGEXMATCH(""SRGmPDNS"",split(REGEXREPLACE(N33,""(.)"",""$1~""),""~""))))=len(N33)"),FALSE)</f>
        <v>0</v>
      </c>
      <c r="CQ33" s="290" t="b">
        <f>IFERROR(__xludf.DUMMYFUNCTION("arrayformula(sum(--REGEXMATCH(""SRGmPDnS"",split(REGEXREPLACE(N33,""(.)"",""$1~""),""~""))))=len(N33)"),FALSE)</f>
        <v>0</v>
      </c>
      <c r="CR33" s="290" t="b">
        <f>IFERROR(__xludf.DUMMYFUNCTION("arrayformula(sum(--REGEXMATCH(""SRgmPDnS"",split(REGEXREPLACE(N33,""(.)"",""$1~""),""~""))))=len(N33)"),FALSE)</f>
        <v>0</v>
      </c>
      <c r="CS33" s="290" t="b">
        <f>IFERROR(__xludf.DUMMYFUNCTION("arrayformula(sum(--REGEXMATCH(""SRgmPdnS"",split(REGEXREPLACE(N33,""(.)"",""$1~""),""~""))))=len(N33)"),FALSE)</f>
        <v>0</v>
      </c>
      <c r="CT33" s="290" t="b">
        <f>IFERROR(__xludf.DUMMYFUNCTION("arrayformula(sum(--REGEXMATCH(""SrgmPdnS"",split(REGEXREPLACE(N33,""(.)"",""$1~""),""~""))))=len(N33)"),FALSE)</f>
        <v>0</v>
      </c>
      <c r="CU33" s="290" t="b">
        <f>IFERROR(__xludf.DUMMYFUNCTION("arrayformula(sum(--REGEXMATCH(""SrGmPdNS"",split(REGEXREPLACE(N33,""(.)"",""$1~""),""~""))))=len(N33)"),FALSE)</f>
        <v>0</v>
      </c>
      <c r="CV33" s="290" t="b">
        <f>IFERROR(__xludf.DUMMYFUNCTION("arrayformula(sum(--REGEXMATCH(""SrGMPDNS"",split(REGEXREPLACE(N33,""(.)"",""$1~""),""~""))))=len(N33)"),FALSE)</f>
        <v>0</v>
      </c>
      <c r="CW33" s="290" t="b">
        <f>IFERROR(__xludf.DUMMYFUNCTION("arrayformula(sum(--REGEXMATCH(""SrGMPdNS"",split(REGEXREPLACE(N33,""(.)"",""$1~""),""~""))))=len(N33)"),FALSE)</f>
        <v>0</v>
      </c>
      <c r="CX33" s="293" t="b">
        <f>IFERROR(__xludf.DUMMYFUNCTION("arrayformula(sum(--REGEXMATCH(""SrgMPdNS"",split(REGEXREPLACE(N33,""(.)"",""$1~""),""~""))))=len(N33)"),FALSE)</f>
        <v>0</v>
      </c>
      <c r="CY33" s="244" t="str">
        <f>IFERROR(__xludf.DUMMYFUNCTION("IF(REGEXMATCH(N33, ""S""), ""1"","""")"),"1")</f>
        <v>1</v>
      </c>
      <c r="CZ33" s="245" t="str">
        <f>IFERROR(__xludf.DUMMYFUNCTION("IF(REGEXMATCH(N33, ""r""), ""b2"","""")"),"")</f>
        <v/>
      </c>
      <c r="DA33" s="246" t="str">
        <f>IFERROR(__xludf.DUMMYFUNCTION("IF(REGEXMATCH(N33, ""R""), ""2"","""")"),"2")</f>
        <v>2</v>
      </c>
      <c r="DB33" s="246" t="str">
        <f>IFERROR(__xludf.DUMMYFUNCTION("IF(REGEXMATCH(N33, ""g""), ""b3"","""")"),"")</f>
        <v/>
      </c>
      <c r="DC33" s="245" t="str">
        <f>IFERROR(__xludf.DUMMYFUNCTION("IF(REGEXMATCH(N33, ""G""), ""3"","""")"),"3")</f>
        <v>3</v>
      </c>
      <c r="DD33" s="245" t="str">
        <f>IFERROR(__xludf.DUMMYFUNCTION("IF(REGEXMATCH(N33, ""m""), ""4"","""")"),"4")</f>
        <v>4</v>
      </c>
      <c r="DE33" s="246" t="str">
        <f>IFERROR(__xludf.DUMMYFUNCTION("IF(REGEXMATCH(N33, ""M""), ""#4"","""")"),"")</f>
        <v/>
      </c>
      <c r="DF33" s="245" t="str">
        <f>IFERROR(__xludf.DUMMYFUNCTION("IF(REGEXMATCH(N33, ""P""), ""5"","""")"),"")</f>
        <v/>
      </c>
      <c r="DG33" s="246" t="str">
        <f>IFERROR(__xludf.DUMMYFUNCTION("IF(REGEXMATCH(N33, ""d""), ""b6"","""")"),"b6")</f>
        <v>b6</v>
      </c>
      <c r="DH33" s="245" t="str">
        <f>IFERROR(__xludf.DUMMYFUNCTION("IF(REGEXMATCH(N33, ""D""), ""6"","""")"),"")</f>
        <v/>
      </c>
      <c r="DI33" s="245" t="str">
        <f>IFERROR(__xludf.DUMMYFUNCTION("IF(REGEXMATCH(N33, ""n""), ""b7"","""")"),"b7")</f>
        <v>b7</v>
      </c>
      <c r="DJ33" s="246" t="str">
        <f>IFERROR(__xludf.DUMMYFUNCTION("IF(REGEXMATCH(N33, ""N""), ""7"","""")"),"")</f>
        <v/>
      </c>
      <c r="DK33" s="249" t="str">
        <f>IFERROR(__xludf.DUMMYFUNCTION("IF(REGEXMATCH(N33, ""S""), ""8"","""")"),"8")</f>
        <v>8</v>
      </c>
      <c r="DL33" s="244" t="str">
        <f>IFERROR(__xludf.DUMMYFUNCTION("IF(REGEXMATCH(N33, ""S""), ""S"","""")"),"S")</f>
        <v>S</v>
      </c>
      <c r="DM33" s="294" t="str">
        <f>IFERROR(__xludf.DUMMYFUNCTION("IF(REGEXMATCH(N33, ""r""), ""R1"","""")"),"")</f>
        <v/>
      </c>
      <c r="DN33" s="295" t="str">
        <f>IFERROR(__xludf.DUMMYFUNCTION("IF(REGEXMATCH(N33, ""R""), ""R2"","""")"),"R2")</f>
        <v>R2</v>
      </c>
      <c r="DO33" s="295" t="str">
        <f>IFERROR(__xludf.DUMMYFUNCTION("IF(REGEXMATCH(N33, ""g""), ""G2"","""")"),"")</f>
        <v/>
      </c>
      <c r="DP33" s="294" t="str">
        <f>IFERROR(__xludf.DUMMYFUNCTION("IF(REGEXMATCH(N33, ""G""), ""G3"","""")"),"G3")</f>
        <v>G3</v>
      </c>
      <c r="DQ33" s="294" t="str">
        <f>IFERROR(__xludf.DUMMYFUNCTION("IF(REGEXMATCH(N33, ""m""), ""M1"","""")"),"M1")</f>
        <v>M1</v>
      </c>
      <c r="DR33" s="295" t="str">
        <f>IFERROR(__xludf.DUMMYFUNCTION("IF(REGEXMATCH(N33, ""M""), ""M2"","""")"),"")</f>
        <v/>
      </c>
      <c r="DS33" s="294" t="str">
        <f>IFERROR(__xludf.DUMMYFUNCTION("IF(REGEXMATCH(N33, ""P""), ""P"","""")"),"")</f>
        <v/>
      </c>
      <c r="DT33" s="295" t="str">
        <f>IFERROR(__xludf.DUMMYFUNCTION("IF(REGEXMATCH(N33, ""d""), ""D1"","""")"),"D1")</f>
        <v>D1</v>
      </c>
      <c r="DU33" s="294" t="str">
        <f>IFERROR(__xludf.DUMMYFUNCTION("IF(REGEXMATCH(N33, ""D""), ""D2"","""")"),"")</f>
        <v/>
      </c>
      <c r="DV33" s="294" t="str">
        <f>IFERROR(__xludf.DUMMYFUNCTION("IF(REGEXMATCH(N33, ""n""), ""N2"","""")"),"N2")</f>
        <v>N2</v>
      </c>
      <c r="DW33" s="295" t="str">
        <f>IFERROR(__xludf.DUMMYFUNCTION("IF(REGEXMATCH(N33, ""N""), ""N3"","""")"),"")</f>
        <v/>
      </c>
      <c r="DX33" s="249" t="str">
        <f>IFERROR(__xludf.DUMMYFUNCTION("IF(REGEXMATCH(N33, ""S""), ""S"","""")"),"S")</f>
        <v>S</v>
      </c>
      <c r="DY33" s="299" t="str">
        <f>IFERROR(__xludf.DUMMYFUNCTION("SUBSTITUTE(SUBSTITUTE(SUBSTITUTE(SUBSTITUTE(CONCATENATE(JOIN(""-"",CY33:DK33)),""--"",""-""),""--"",""-""),""--"",""-""),""--"",""-"")"),"1-2-3-4-b6-b7-8")</f>
        <v>1-2-3-4-b6-b7-8</v>
      </c>
      <c r="DZ33" s="299" t="str">
        <f>IFERROR(__xludf.DUMMYFUNCTION("SUBSTITUTE(SUBSTITUTE(SUBSTITUTE(SUBSTITUTE(CONCATENATE(JOIN(""-"",DL33:DX33)),""--"",""-""),""--"",""-""),""--"",""-""),""--"",""-"")"),"S-R2-G3-M1-D1-N2-S")</f>
        <v>S-R2-G3-M1-D1-N2-S</v>
      </c>
      <c r="EA33" s="348" t="str">
        <f t="shared" si="43"/>
        <v>C-D-E-F-Ab-Bb-C</v>
      </c>
      <c r="EB33" s="301">
        <f t="shared" si="44"/>
        <v>6</v>
      </c>
      <c r="EC33" s="302" t="str">
        <f t="shared" si="45"/>
        <v>Shadav</v>
      </c>
      <c r="ED33" s="301" t="str">
        <f t="shared" ref="ED33:EE33" si="199">SUBSTITUTE(AD33,"-","")</f>
        <v>SRGM</v>
      </c>
      <c r="EE33" s="301" t="str">
        <f t="shared" si="199"/>
        <v>DNS</v>
      </c>
      <c r="EF33" s="302" t="str">
        <f t="shared" si="47"/>
        <v>-</v>
      </c>
      <c r="EG33" s="301" t="str">
        <f t="shared" si="48"/>
        <v>Hemi.</v>
      </c>
      <c r="EH33" s="364" t="str">
        <f t="shared" si="49"/>
        <v>-</v>
      </c>
      <c r="EI33" s="306" t="str">
        <f t="shared" si="50"/>
        <v>-</v>
      </c>
      <c r="EJ33" s="366" t="str">
        <f t="shared" si="51"/>
        <v>-</v>
      </c>
      <c r="EK33" s="308" t="str">
        <f t="shared" si="52"/>
        <v>✔</v>
      </c>
      <c r="EL33" s="306" t="str">
        <f t="shared" si="53"/>
        <v>-</v>
      </c>
      <c r="EM33" s="306" t="str">
        <f t="shared" si="54"/>
        <v>-</v>
      </c>
      <c r="EN33" s="367" t="str">
        <f t="shared" si="55"/>
        <v>-</v>
      </c>
      <c r="EO33" s="310" t="str">
        <f t="shared" si="56"/>
        <v>-</v>
      </c>
      <c r="EP33" s="310" t="str">
        <f t="shared" si="57"/>
        <v>-</v>
      </c>
      <c r="EQ33" s="310" t="str">
        <f t="shared" si="58"/>
        <v>-</v>
      </c>
      <c r="ER33" s="310" t="str">
        <f t="shared" si="59"/>
        <v>-</v>
      </c>
      <c r="ES33" s="370" t="str">
        <f t="shared" si="60"/>
        <v>-</v>
      </c>
      <c r="ET33" s="306" t="str">
        <f t="shared" si="61"/>
        <v>-</v>
      </c>
      <c r="EU33" s="306" t="str">
        <f t="shared" si="62"/>
        <v>-</v>
      </c>
      <c r="EV33" s="306" t="str">
        <f t="shared" si="63"/>
        <v>-</v>
      </c>
      <c r="EW33" s="306" t="str">
        <f t="shared" si="64"/>
        <v>✔</v>
      </c>
      <c r="EX33" s="306" t="str">
        <f t="shared" si="65"/>
        <v>-</v>
      </c>
      <c r="EY33" s="367" t="str">
        <f t="shared" si="66"/>
        <v>-</v>
      </c>
      <c r="EZ33" s="310" t="str">
        <f>IFERROR(__xludf.DUMMYFUNCTION("IF(REGEXMATCH(BM33,BI33),""✔"",""-"")"),"-")</f>
        <v>-</v>
      </c>
      <c r="FA33" s="310" t="str">
        <f t="shared" si="67"/>
        <v>-</v>
      </c>
      <c r="FB33" s="370" t="str">
        <f t="shared" si="68"/>
        <v>-</v>
      </c>
      <c r="FC33" s="415">
        <f t="shared" si="69"/>
        <v>1</v>
      </c>
      <c r="FD33" s="317" t="str">
        <f t="shared" si="70"/>
        <v>S-R-G-m-d-n-S</v>
      </c>
      <c r="FE33" s="318" t="str">
        <f>IFERROR(__xludf.DUMMYFUNCTION("CONCATENATE(JOIN("""",GJ33:GV33))"),"SRGPdnS")</f>
        <v>SRGPdnS</v>
      </c>
      <c r="FF33" s="318"/>
      <c r="FG33" s="318"/>
      <c r="FH33" s="321">
        <f t="shared" si="71"/>
        <v>4</v>
      </c>
      <c r="FI33" s="318" t="str">
        <f>IFERROR(__xludf.DUMMYFUNCTION("CONCATENATE(JOIN("""",HW33:II33))"),"Sa, Re, Ga, dha, ")</f>
        <v>Sa, Re, Ga, dha, </v>
      </c>
      <c r="FJ33" s="322">
        <f t="shared" si="72"/>
        <v>3</v>
      </c>
      <c r="FK33" s="324" t="str">
        <f>IFERROR(__xludf.DUMMYFUNCTION("CONCATENATE(JOIN("""",IW33:JI33))"),"Re, Ga, dha, ")</f>
        <v>Re, Ga, dha, </v>
      </c>
      <c r="FL33" s="325" t="str">
        <f t="shared" si="73"/>
        <v>S-R2-G3-M1-D1-N2-S</v>
      </c>
      <c r="FM33" s="326" t="str">
        <f t="shared" si="74"/>
        <v>1-2-3-4-b6-b7-8</v>
      </c>
      <c r="FN33" s="326" t="str">
        <f t="shared" si="75"/>
        <v>0-2-4-5-8-10-0</v>
      </c>
      <c r="FO33" s="318"/>
      <c r="FP33" s="328" t="str">
        <f>IFERROR(__xludf.DUMMYFUNCTION("SUBSTITUTE(SUBSTITUTE(SUBSTITUTE(SUBSTITUTE(CONCATENATE(JOIN("" "",FS33:GE33)),""  "","" ""),""  "","" ""),""  "","" ""),""  "","" "")"),"o • o • o o • • o • o • o")</f>
        <v>o • o • o o • • o • o • o</v>
      </c>
      <c r="FQ33" s="328" t="str">
        <f t="shared" si="76"/>
        <v>Sa-ma</v>
      </c>
      <c r="FR33" s="329"/>
      <c r="FS33" s="331" t="str">
        <f t="shared" si="77"/>
        <v>o</v>
      </c>
      <c r="FT33" s="332" t="str">
        <f t="shared" si="78"/>
        <v>•</v>
      </c>
      <c r="FU33" s="332" t="str">
        <f t="shared" si="79"/>
        <v>o</v>
      </c>
      <c r="FV33" s="332" t="str">
        <f t="shared" si="80"/>
        <v>•</v>
      </c>
      <c r="FW33" s="332" t="str">
        <f t="shared" si="81"/>
        <v>o</v>
      </c>
      <c r="FX33" s="332" t="str">
        <f t="shared" si="82"/>
        <v>o</v>
      </c>
      <c r="FY33" s="332" t="str">
        <f t="shared" si="83"/>
        <v>•</v>
      </c>
      <c r="FZ33" s="332" t="str">
        <f t="shared" si="84"/>
        <v>•</v>
      </c>
      <c r="GA33" s="332" t="str">
        <f t="shared" si="85"/>
        <v>o</v>
      </c>
      <c r="GB33" s="332" t="str">
        <f t="shared" si="86"/>
        <v>•</v>
      </c>
      <c r="GC33" s="332" t="str">
        <f t="shared" si="87"/>
        <v>o</v>
      </c>
      <c r="GD33" s="332" t="str">
        <f t="shared" si="88"/>
        <v>•</v>
      </c>
      <c r="GE33" s="338" t="str">
        <f t="shared" si="89"/>
        <v>o</v>
      </c>
      <c r="GF33" s="339" t="str">
        <f t="shared" si="90"/>
        <v>-</v>
      </c>
      <c r="GG33" s="339" t="str">
        <f t="shared" si="91"/>
        <v>-</v>
      </c>
      <c r="GH33" s="339" t="str">
        <f t="shared" si="92"/>
        <v>-</v>
      </c>
      <c r="GI33" s="340" t="str">
        <f t="shared" si="93"/>
        <v>Sa-ma</v>
      </c>
      <c r="GJ33" s="331" t="str">
        <f t="shared" si="94"/>
        <v>S</v>
      </c>
      <c r="GK33" s="332" t="str">
        <f t="shared" si="95"/>
        <v/>
      </c>
      <c r="GL33" s="332" t="str">
        <f t="shared" si="96"/>
        <v>R</v>
      </c>
      <c r="GM33" s="332" t="str">
        <f t="shared" si="97"/>
        <v/>
      </c>
      <c r="GN33" s="332" t="str">
        <f t="shared" si="98"/>
        <v>G</v>
      </c>
      <c r="GO33" s="332" t="str">
        <f t="shared" si="99"/>
        <v/>
      </c>
      <c r="GP33" s="332" t="str">
        <f t="shared" si="100"/>
        <v/>
      </c>
      <c r="GQ33" s="332" t="str">
        <f t="shared" si="101"/>
        <v>P</v>
      </c>
      <c r="GR33" s="332" t="str">
        <f t="shared" si="102"/>
        <v>d</v>
      </c>
      <c r="GS33" s="332" t="str">
        <f t="shared" si="103"/>
        <v/>
      </c>
      <c r="GT33" s="332" t="str">
        <f t="shared" si="104"/>
        <v>n</v>
      </c>
      <c r="GU33" s="332" t="str">
        <f t="shared" si="105"/>
        <v/>
      </c>
      <c r="GV33" s="343" t="str">
        <f t="shared" si="106"/>
        <v>S</v>
      </c>
      <c r="GW33" s="331" t="str">
        <f t="shared" si="107"/>
        <v>•</v>
      </c>
      <c r="GX33" s="332" t="str">
        <f t="shared" si="108"/>
        <v>o</v>
      </c>
      <c r="GY33" s="332" t="str">
        <f t="shared" si="109"/>
        <v>•</v>
      </c>
      <c r="GZ33" s="332" t="str">
        <f t="shared" si="110"/>
        <v>o</v>
      </c>
      <c r="HA33" s="332" t="str">
        <f t="shared" si="111"/>
        <v>•</v>
      </c>
      <c r="HB33" s="332" t="str">
        <f t="shared" si="112"/>
        <v>•</v>
      </c>
      <c r="HC33" s="332" t="str">
        <f t="shared" si="113"/>
        <v>o</v>
      </c>
      <c r="HD33" s="332" t="str">
        <f t="shared" si="114"/>
        <v>o</v>
      </c>
      <c r="HE33" s="332" t="str">
        <f t="shared" si="115"/>
        <v>•</v>
      </c>
      <c r="HF33" s="332" t="str">
        <f t="shared" si="116"/>
        <v>o</v>
      </c>
      <c r="HG33" s="332" t="str">
        <f t="shared" si="117"/>
        <v>•</v>
      </c>
      <c r="HH33" s="332" t="str">
        <f t="shared" si="118"/>
        <v>o</v>
      </c>
      <c r="HI33" s="338" t="str">
        <f t="shared" si="119"/>
        <v>•</v>
      </c>
      <c r="HJ33" s="346" t="b">
        <f t="shared" si="120"/>
        <v>1</v>
      </c>
      <c r="HK33" s="347" t="b">
        <f t="shared" si="121"/>
        <v>0</v>
      </c>
      <c r="HL33" s="347" t="b">
        <f t="shared" si="122"/>
        <v>1</v>
      </c>
      <c r="HM33" s="347" t="b">
        <f t="shared" si="123"/>
        <v>0</v>
      </c>
      <c r="HN33" s="347" t="b">
        <f t="shared" si="124"/>
        <v>1</v>
      </c>
      <c r="HO33" s="347" t="b">
        <f t="shared" si="125"/>
        <v>0</v>
      </c>
      <c r="HP33" s="347" t="b">
        <f t="shared" si="126"/>
        <v>0</v>
      </c>
      <c r="HQ33" s="347" t="b">
        <f t="shared" si="127"/>
        <v>0</v>
      </c>
      <c r="HR33" s="347" t="b">
        <f t="shared" si="128"/>
        <v>1</v>
      </c>
      <c r="HS33" s="347" t="b">
        <f t="shared" si="129"/>
        <v>0</v>
      </c>
      <c r="HT33" s="347" t="b">
        <f t="shared" si="130"/>
        <v>0</v>
      </c>
      <c r="HU33" s="347" t="b">
        <f t="shared" si="131"/>
        <v>0</v>
      </c>
      <c r="HV33" s="353" t="b">
        <f t="shared" si="132"/>
        <v>1</v>
      </c>
      <c r="HW33" s="354" t="str">
        <f t="shared" si="133"/>
        <v>Sa, </v>
      </c>
      <c r="HX33" s="355" t="str">
        <f t="shared" si="134"/>
        <v/>
      </c>
      <c r="HY33" s="355" t="str">
        <f t="shared" si="135"/>
        <v>Re, </v>
      </c>
      <c r="HZ33" s="355" t="str">
        <f t="shared" si="136"/>
        <v/>
      </c>
      <c r="IA33" s="355" t="str">
        <f t="shared" si="137"/>
        <v>Ga, </v>
      </c>
      <c r="IB33" s="355" t="str">
        <f t="shared" si="138"/>
        <v/>
      </c>
      <c r="IC33" s="355" t="str">
        <f t="shared" si="139"/>
        <v/>
      </c>
      <c r="ID33" s="355" t="str">
        <f t="shared" si="140"/>
        <v/>
      </c>
      <c r="IE33" s="355" t="str">
        <f t="shared" si="141"/>
        <v>dha, </v>
      </c>
      <c r="IF33" s="355" t="str">
        <f t="shared" si="142"/>
        <v/>
      </c>
      <c r="IG33" s="355" t="str">
        <f t="shared" si="143"/>
        <v/>
      </c>
      <c r="IH33" s="355" t="str">
        <f t="shared" si="144"/>
        <v/>
      </c>
      <c r="II33" s="359" t="str">
        <f t="shared" si="145"/>
        <v/>
      </c>
      <c r="IJ33" s="346" t="b">
        <f t="shared" si="146"/>
        <v>0</v>
      </c>
      <c r="IK33" s="347" t="b">
        <f t="shared" si="147"/>
        <v>0</v>
      </c>
      <c r="IL33" s="347" t="b">
        <f t="shared" si="148"/>
        <v>1</v>
      </c>
      <c r="IM33" s="347" t="b">
        <f t="shared" si="149"/>
        <v>0</v>
      </c>
      <c r="IN33" s="347" t="b">
        <f t="shared" si="150"/>
        <v>1</v>
      </c>
      <c r="IO33" s="347" t="b">
        <f t="shared" si="151"/>
        <v>0</v>
      </c>
      <c r="IP33" s="347" t="b">
        <f t="shared" si="152"/>
        <v>0</v>
      </c>
      <c r="IQ33" s="347" t="b">
        <f t="shared" si="153"/>
        <v>0</v>
      </c>
      <c r="IR33" s="347" t="b">
        <f t="shared" si="154"/>
        <v>1</v>
      </c>
      <c r="IS33" s="347" t="b">
        <f t="shared" si="155"/>
        <v>0</v>
      </c>
      <c r="IT33" s="347" t="b">
        <f t="shared" si="156"/>
        <v>0</v>
      </c>
      <c r="IU33" s="347" t="b">
        <f t="shared" si="157"/>
        <v>0</v>
      </c>
      <c r="IV33" s="365" t="b">
        <f t="shared" si="158"/>
        <v>0</v>
      </c>
      <c r="IW33" s="354" t="str">
        <f t="shared" si="159"/>
        <v/>
      </c>
      <c r="IX33" s="355" t="str">
        <f t="shared" si="160"/>
        <v/>
      </c>
      <c r="IY33" s="355" t="str">
        <f t="shared" si="161"/>
        <v>Re, </v>
      </c>
      <c r="IZ33" s="355" t="str">
        <f t="shared" si="162"/>
        <v/>
      </c>
      <c r="JA33" s="355" t="str">
        <f t="shared" si="163"/>
        <v>Ga, </v>
      </c>
      <c r="JB33" s="355" t="str">
        <f t="shared" si="164"/>
        <v/>
      </c>
      <c r="JC33" s="355" t="str">
        <f t="shared" si="165"/>
        <v/>
      </c>
      <c r="JD33" s="355" t="str">
        <f t="shared" si="166"/>
        <v/>
      </c>
      <c r="JE33" s="355" t="str">
        <f t="shared" si="167"/>
        <v>dha, </v>
      </c>
      <c r="JF33" s="355" t="str">
        <f t="shared" si="168"/>
        <v/>
      </c>
      <c r="JG33" s="355" t="str">
        <f t="shared" si="169"/>
        <v/>
      </c>
      <c r="JH33" s="355" t="str">
        <f t="shared" si="170"/>
        <v/>
      </c>
      <c r="JI33" s="359"/>
      <c r="JJ33" s="321"/>
      <c r="JK33" s="368"/>
      <c r="JL33" s="369"/>
      <c r="JM33" s="369"/>
      <c r="JN33" s="369"/>
      <c r="JO33" s="369"/>
      <c r="JP33" s="369"/>
      <c r="JQ33" s="369"/>
      <c r="JR33" s="369"/>
      <c r="JS33" s="369"/>
      <c r="JT33" s="369"/>
      <c r="JU33" s="369"/>
    </row>
    <row r="34" ht="20.25" customHeight="1">
      <c r="A34" s="221" t="s">
        <v>1292</v>
      </c>
      <c r="B34" s="223" t="s">
        <v>1293</v>
      </c>
      <c r="C34" s="222" t="s">
        <v>275</v>
      </c>
      <c r="D34" s="222" t="s">
        <v>275</v>
      </c>
      <c r="E34" s="222"/>
      <c r="F34" s="222"/>
      <c r="G34" s="395" t="s">
        <v>275</v>
      </c>
      <c r="H34" s="222">
        <v>32.0</v>
      </c>
      <c r="I34" s="224" t="s">
        <v>1219</v>
      </c>
      <c r="J34" s="225" t="str">
        <f t="shared" si="5"/>
        <v>[UQ]</v>
      </c>
      <c r="K34" s="227">
        <f t="shared" si="6"/>
        <v>6</v>
      </c>
      <c r="L34" s="229">
        <f t="shared" si="7"/>
        <v>5</v>
      </c>
      <c r="M34" s="230">
        <f t="shared" si="8"/>
        <v>1</v>
      </c>
      <c r="N34" s="233" t="str">
        <f t="shared" si="9"/>
        <v>SgmMDNS</v>
      </c>
      <c r="O34" s="234" t="str">
        <f>IFERROR(__xludf.DUMMYFUNCTION("IF(REGEXMATCH(N34, ""S""), ""S"","""")"),"S")</f>
        <v>S</v>
      </c>
      <c r="P34" s="236" t="str">
        <f>IFERROR(__xludf.DUMMYFUNCTION("IF(REGEXMATCH(N34, ""r""), ""r"","""")"),"")</f>
        <v/>
      </c>
      <c r="Q34" s="237" t="str">
        <f>IFERROR(__xludf.DUMMYFUNCTION("IF(REGEXMATCH(N34, ""R""), ""R"","""")"),"")</f>
        <v/>
      </c>
      <c r="R34" s="237" t="str">
        <f>IFERROR(__xludf.DUMMYFUNCTION("IF(REGEXMATCH(N34, ""g""), ""g"","""")"),"g")</f>
        <v>g</v>
      </c>
      <c r="S34" s="236" t="str">
        <f>IFERROR(__xludf.DUMMYFUNCTION("IF(REGEXMATCH(N34, ""G""), ""G"","""")"),"")</f>
        <v/>
      </c>
      <c r="T34" s="236" t="str">
        <f>IFERROR(__xludf.DUMMYFUNCTION("IF(REGEXMATCH(N34, ""m""), ""m"","""")"),"m")</f>
        <v>m</v>
      </c>
      <c r="U34" s="237" t="str">
        <f>IFERROR(__xludf.DUMMYFUNCTION("IF(REGEXMATCH(N34, ""M""), ""M"","""")"),"M")</f>
        <v>M</v>
      </c>
      <c r="V34" s="236" t="str">
        <f>IFERROR(__xludf.DUMMYFUNCTION("IF(REGEXMATCH(N34, ""P""), ""P"","""")"),"")</f>
        <v/>
      </c>
      <c r="W34" s="237" t="str">
        <f>IFERROR(__xludf.DUMMYFUNCTION("IF(REGEXMATCH(N34, ""d""), ""d"","""")"),"")</f>
        <v/>
      </c>
      <c r="X34" s="236" t="str">
        <f>IFERROR(__xludf.DUMMYFUNCTION("IF(REGEXMATCH(N34, ""D""), ""D"","""")"),"D")</f>
        <v>D</v>
      </c>
      <c r="Y34" s="236" t="str">
        <f>IFERROR(__xludf.DUMMYFUNCTION("IF(REGEXMATCH(N34, ""n""), ""n"","""")"),"")</f>
        <v/>
      </c>
      <c r="Z34" s="237" t="str">
        <f>IFERROR(__xludf.DUMMYFUNCTION("IF(REGEXMATCH(N34, ""N""), ""N"","""")"),"N")</f>
        <v>N</v>
      </c>
      <c r="AA34" s="238" t="str">
        <f>IFERROR(__xludf.DUMMYFUNCTION("IF(REGEXMATCH(N34, ""S""), ""S"","""")"),"S")</f>
        <v>S</v>
      </c>
      <c r="AB34" s="239" t="str">
        <f>IFERROR(__xludf.DUMMYFUNCTION("SUBSTITUTE(CONCATENATE(JOIN(""-"",O34:U34)),""-"","""")"),"SgmM")</f>
        <v>SgmM</v>
      </c>
      <c r="AC34" s="229" t="str">
        <f>IFERROR(__xludf.DUMMYFUNCTION("SUBSTITUTE(CONCATENATE(JOIN(""-"",V34:AA34)),""-"","""")"),"DNS")</f>
        <v>DNS</v>
      </c>
      <c r="AD34" s="282" t="str">
        <f t="shared" si="10"/>
        <v>S-G-M</v>
      </c>
      <c r="AE34" s="282" t="str">
        <f t="shared" si="11"/>
        <v>D-N-S</v>
      </c>
      <c r="AF34" s="309" t="str">
        <f t="shared" si="12"/>
        <v>gmMDN</v>
      </c>
      <c r="AG34" s="244" t="str">
        <f>IFERROR(__xludf.DUMMYFUNCTION("IF(REGEXMATCH(N34, ""S""), ""0"","""")"),"0")</f>
        <v>0</v>
      </c>
      <c r="AH34" s="245" t="str">
        <f>IFERROR(__xludf.DUMMYFUNCTION("IF(REGEXMATCH(N34, ""r""), ""1"","""")"),"")</f>
        <v/>
      </c>
      <c r="AI34" s="246" t="str">
        <f>IFERROR(__xludf.DUMMYFUNCTION("IF(REGEXMATCH(N34, ""R""), ""2"","""")"),"")</f>
        <v/>
      </c>
      <c r="AJ34" s="246" t="str">
        <f>IFERROR(__xludf.DUMMYFUNCTION("IF(REGEXMATCH(N34, ""g""), ""3"","""")"),"3")</f>
        <v>3</v>
      </c>
      <c r="AK34" s="245" t="str">
        <f>IFERROR(__xludf.DUMMYFUNCTION("IF(REGEXMATCH(N34, ""G""), ""4"","""")"),"")</f>
        <v/>
      </c>
      <c r="AL34" s="245" t="str">
        <f>IFERROR(__xludf.DUMMYFUNCTION("IF(REGEXMATCH(N34, ""m""), ""5"","""")"),"5")</f>
        <v>5</v>
      </c>
      <c r="AM34" s="246" t="str">
        <f>IFERROR(__xludf.DUMMYFUNCTION("IF(REGEXMATCH(N34, ""M""), ""6"","""")"),"6")</f>
        <v>6</v>
      </c>
      <c r="AN34" s="245" t="str">
        <f>IFERROR(__xludf.DUMMYFUNCTION("IF(REGEXMATCH(N34, ""P""), ""7"","""")"),"")</f>
        <v/>
      </c>
      <c r="AO34" s="246" t="str">
        <f>IFERROR(__xludf.DUMMYFUNCTION("IF(REGEXMATCH(N34, ""d""), ""8"","""")"),"")</f>
        <v/>
      </c>
      <c r="AP34" s="245" t="str">
        <f>IFERROR(__xludf.DUMMYFUNCTION("IF(REGEXMATCH(N34, ""D""), ""9"","""")"),"9")</f>
        <v>9</v>
      </c>
      <c r="AQ34" s="245" t="str">
        <f>IFERROR(__xludf.DUMMYFUNCTION("IF(REGEXMATCH(N34, ""n""), ""10"","""")"),"")</f>
        <v/>
      </c>
      <c r="AR34" s="246" t="str">
        <f>IFERROR(__xludf.DUMMYFUNCTION("IF(REGEXMATCH(N34, ""N""), ""11"","""")"),"11")</f>
        <v>11</v>
      </c>
      <c r="AS34" s="249" t="str">
        <f>IFERROR(__xludf.DUMMYFUNCTION("IF(REGEXMATCH(N34, ""S""), ""0"","""")"),"0")</f>
        <v>0</v>
      </c>
      <c r="AT34" s="250" t="str">
        <f>IFERROR(__xludf.DUMMYFUNCTION("SUBSTITUTE(SUBSTITUTE(SUBSTITUTE(SUBSTITUTE(CONCATENATE(JOIN(""-"",AG34:AS34)),""--"",""-""),""--"",""-""),""--"",""-""),""--"",""-"")"),"0-3-5-6-9-11-0")</f>
        <v>0-3-5-6-9-11-0</v>
      </c>
      <c r="AU34" s="251">
        <f t="shared" si="13"/>
        <v>0</v>
      </c>
      <c r="AV34" s="234" t="str">
        <f t="shared" si="14"/>
        <v>|</v>
      </c>
      <c r="AW34" s="236" t="str">
        <f t="shared" si="15"/>
        <v>-</v>
      </c>
      <c r="AX34" s="237" t="str">
        <f t="shared" si="16"/>
        <v>-</v>
      </c>
      <c r="AY34" s="236" t="str">
        <f t="shared" si="17"/>
        <v>|</v>
      </c>
      <c r="AZ34" s="237" t="str">
        <f t="shared" si="18"/>
        <v>-</v>
      </c>
      <c r="BA34" s="236" t="str">
        <f t="shared" si="19"/>
        <v>|</v>
      </c>
      <c r="BB34" s="237" t="str">
        <f t="shared" si="20"/>
        <v>|</v>
      </c>
      <c r="BC34" s="236" t="str">
        <f t="shared" si="21"/>
        <v>-</v>
      </c>
      <c r="BD34" s="237" t="str">
        <f t="shared" si="22"/>
        <v>-</v>
      </c>
      <c r="BE34" s="236" t="str">
        <f t="shared" si="23"/>
        <v>|</v>
      </c>
      <c r="BF34" s="237" t="str">
        <f t="shared" si="24"/>
        <v>-</v>
      </c>
      <c r="BG34" s="236" t="str">
        <f t="shared" si="25"/>
        <v>|</v>
      </c>
      <c r="BH34" s="238" t="str">
        <f t="shared" si="26"/>
        <v>|</v>
      </c>
      <c r="BI34" s="250" t="str">
        <f>IFERROR(__xludf.DUMMYFUNCTION("SUBSTITUTE(SUBSTITUTE(CONCATENATE(JOIN("""",AV34:BG34)),""|"",""x""),""-"",""o"")"),"xooxoxxooxox")</f>
        <v>xooxoxxooxox</v>
      </c>
      <c r="BJ34" s="323" t="str">
        <f>IFERROR(__xludf.DUMMYFUNCTION("JOIN("""",BI34,BI34)"),"xooxoxxooxoxxooxoxxooxox")</f>
        <v>xooxoxxooxoxxooxoxxooxox</v>
      </c>
      <c r="BK34" s="256" t="str">
        <f>IFERROR(__xludf.DUMMYFUNCTION("JOIN("""",ArrayFormula(MID(BI34,LEN(BI34)-SEQUENCE(1,LEN(BI34))+1,1)))"),"xoxooxxoxoox")</f>
        <v>xoxooxxoxoox</v>
      </c>
      <c r="BL34" s="256" t="str">
        <f>IFERROR(__xludf.DUMMYFUNCTION("LEFT(CONCATENATE(""x"",JOIN("""",ArrayFormula(MID(BI34,LEN(BI34)-SEQUENCE(1,LEN(BI34))+1,1)))),12)"),"xxoxooxxoxoo")</f>
        <v>xxoxooxxoxoo</v>
      </c>
      <c r="BM34" s="327" t="str">
        <f>IFERROR(__xludf.DUMMYFUNCTION("JOIN("""",BK34,BK34)"),"xoxooxxoxooxxoxooxxoxoox")</f>
        <v>xoxooxxoxooxxoxooxxoxoox</v>
      </c>
      <c r="BN34" s="239" t="str">
        <f>IFERROR(__xludf.DUMMYFUNCTION("IF(REGEXMATCH(BM34,BI34),""✔"",""-"")"),"-")</f>
        <v>-</v>
      </c>
      <c r="BO34" s="330" t="str">
        <f t="shared" si="27"/>
        <v>-</v>
      </c>
      <c r="BP34" s="260" t="str">
        <f t="shared" si="28"/>
        <v>✔</v>
      </c>
      <c r="BQ34" s="261" t="str">
        <f>IFERROR(__xludf.DUMMYFUNCTION("IF(BT34=0,""(n/a)"",IF(BU34=2,""(PAIR)"",IF(REGEXMATCH(BJ34,""xoxoxxoxoxox""),""Bilawal"",IF(REGEXMATCH(BJ34,""xoxoxooxoxoo""),""Bhupali"",IF(REGEXMATCH(BJ34,""xoxoxxoxxoxo""),""Charukeshi"",IF(REGEXMATCH(BJ34,""xoxoooxxoxxo""),""Kameshwari"",IF(REGEXMATC"&amp;"H(BJ34,""xoxoxooxoxox""),""Shankara"",IF(REGEXMATCH(BJ34,""xxooxoxxxoox""),""Basant"",IF(REGEXMATCH(BJ34,""xoxoxxxxoxox""),""Bihag"",IF(REGEXMATCH(BJ34,""xoxxxxoxoxxx""),""Pilu"",IF(REGEXMATCH(BJ34,""xoxxoxoxxoox""),""Kirwani"",IF(REGEXMATCH(BJ34,""xoxxox"&amp;"oxoxxx""),""Mk.Malhar"",IF(REGEXMATCH(BJ34,""xxooxxoxxoox""),""Bhairav"",IF(REGEXMATCH(BJ34,""xxoxooxxxoox""),""Todi"",IF(REGEXMATCH(BJ34,""xxooxoxooxox""),""Marwa"",IF(REGEXMATCH(BJ34,""xxoooxoxxooo""),""Gunkali"",IF(REGEXMATCH(BJ34,""xoxoxxoxxoox""),""N"&amp;"at Bhairav"",IF(REGEXMATCH(BJ34,""xoxxoooxoxoo""),""Shivranjani"",IF(REGEXMATCH(BJ34,""xooxxxoxooxo""),""Jog"",IF(REGEXMATCH(BJ34,""xxooxoxoxoox""),""Hemshri"",IF(REGEXMATCH(BJ34,""xoooxooxoxxo""),""Kalavati"",IF(REGEXMATCH(BJ34,""xxoxoxxoxoox""),""Kedar"&amp;""",IF(REGEXMATCH(BJ34,""xoxxxxoxooxx""),""Gara"",IF(REGEXMATCH(BJ34,""xooxoxooxoox""),""Chandrakauns"",IF(REGEXMATCH(BJ34,""xoxxxxoxxxox""),""Mand"",IF(REGEXMATCH(BJ34,""xoxxxxoxoxox""),""Hanskinkini"",IF(REGEXMATCH(BJ34,""xxooxxoxooxo""),""Lilavati"",IF("&amp;"REGEXMATCH(BJ34,""xooxoxoooxox""),""Rajeshwari"",IF(REGEXMATCH(BJ34,""xoooxxoxoxxx""),""Khokar"",IF(REGEXMATCH(BJ34,""xxooxoxxxxox""),""Maligoura"",""-""))))))))))))))))))))))))))))))"),"(n/a)")</f>
        <v>(n/a)</v>
      </c>
      <c r="BR34" s="239">
        <f t="shared" si="29"/>
        <v>5</v>
      </c>
      <c r="BS34" s="239">
        <f>IFERROR(__xludf.DUMMYFUNCTION("COUNTUNIQUE(BW34:CG34)-1"),3.0)</f>
        <v>3</v>
      </c>
      <c r="BT34" s="239">
        <f>IFERROR(__xludf.DUMMYFUNCTION("COUNTUNIQUE(FILTER(BJ:BJ,REGEXMATCH(BJ:BJ,BI34)))-1"),0.0)</f>
        <v>0</v>
      </c>
      <c r="BU34" s="239">
        <f>IFERROR(__xludf.DUMMYFUNCTION("COUNTA(FILTER(BJ:BJ,REGEXMATCH(BJ:BJ,BI34)))"),1.0)</f>
        <v>1</v>
      </c>
      <c r="BV34" s="341">
        <f>IFERROR(__xludf.DUMMYFUNCTION("COUNTA(FILTER(BJ:BJ,REGEXMATCH(BJ:BJ,BI34)))-AU34"),1.0)</f>
        <v>1</v>
      </c>
      <c r="BW34" s="269" t="str">
        <f t="shared" si="30"/>
        <v>-</v>
      </c>
      <c r="BX34" s="269" t="str">
        <f t="shared" si="31"/>
        <v>-</v>
      </c>
      <c r="BY34" s="271" t="str">
        <f t="shared" si="32"/>
        <v>xoxxooxoxxo</v>
      </c>
      <c r="BZ34" s="269" t="str">
        <f t="shared" si="33"/>
        <v>-</v>
      </c>
      <c r="CA34" s="271" t="str">
        <f t="shared" si="34"/>
        <v>xxooxoxxoox</v>
      </c>
      <c r="CB34" s="271" t="str">
        <f t="shared" si="35"/>
        <v>xooxoxxooxo</v>
      </c>
      <c r="CC34" s="271" t="str">
        <f t="shared" si="36"/>
        <v>-</v>
      </c>
      <c r="CD34" s="271" t="str">
        <f t="shared" si="37"/>
        <v>-</v>
      </c>
      <c r="CE34" s="271" t="str">
        <f t="shared" si="38"/>
        <v>xoxxooxoxxo</v>
      </c>
      <c r="CF34" s="271" t="str">
        <f t="shared" si="39"/>
        <v>-</v>
      </c>
      <c r="CG34" s="274" t="str">
        <f t="shared" si="40"/>
        <v>xxooxoxxoox</v>
      </c>
      <c r="CH34" s="276" t="str">
        <f>IFERROR(__xludf.DUMMYFUNCTION("IF(BI34=""oooooooooooo"",""-"",IF(REGEXMATCH(BJ34,""xx""), ""Hemi."", ""Anhemi.""))"),"Hemi.")</f>
        <v>Hemi.</v>
      </c>
      <c r="CI34" s="282" t="str">
        <f>IFERROR(__xludf.DUMMYFUNCTION("IF(BI34=""oooooooooooo"",""-"",IF(REGEXMATCH(BJ34,""xxx""), ""Cohem."", ""-""))"),"-")</f>
        <v>-</v>
      </c>
      <c r="CJ34" s="282" t="str">
        <f>IFERROR(__xludf.DUMMYFUNCTION("IF(BI34=""oooooooooooo"",""-"",IF(REGEXMATCH(BJ34,""xxxx""), ""Co-Co."", ""-""))"),"-")</f>
        <v>-</v>
      </c>
      <c r="CK34" s="342" t="str">
        <f>IFERROR(__xludf.DUMMYFUNCTION("IF(BI34=""oooooooooooo"",""-"",IF(REGEXMATCH(BJ34,""xxxxx""), ""CCC."", ""-""))"),"-")</f>
        <v>-</v>
      </c>
      <c r="CL34" s="344" t="str">
        <f t="shared" si="41"/>
        <v>-</v>
      </c>
      <c r="CM34" s="282" t="str">
        <f>IFERROR(__xludf.DUMMYFUNCTION("IF(REGEXMATCH(JOIN(""-"",CO34:CX34),""TRUE""),""✔"",""-"")"),"-")</f>
        <v>-</v>
      </c>
      <c r="CN34" s="225">
        <f t="shared" si="42"/>
        <v>0</v>
      </c>
      <c r="CO34" s="376" t="b">
        <f>IFERROR(__xludf.DUMMYFUNCTION("arrayformula(sum(--REGEXMATCH(""SRGMPDNS"",split(REGEXREPLACE(N34,""(.)"",""$1~""),""~""))))=len(N34)
"),FALSE)</f>
        <v>0</v>
      </c>
      <c r="CP34" s="290" t="b">
        <f>IFERROR(__xludf.DUMMYFUNCTION("arrayformula(sum(--REGEXMATCH(""SRGmPDNS"",split(REGEXREPLACE(N34,""(.)"",""$1~""),""~""))))=len(N34)"),FALSE)</f>
        <v>0</v>
      </c>
      <c r="CQ34" s="290" t="b">
        <f>IFERROR(__xludf.DUMMYFUNCTION("arrayformula(sum(--REGEXMATCH(""SRGmPDnS"",split(REGEXREPLACE(N34,""(.)"",""$1~""),""~""))))=len(N34)"),FALSE)</f>
        <v>0</v>
      </c>
      <c r="CR34" s="290" t="b">
        <f>IFERROR(__xludf.DUMMYFUNCTION("arrayformula(sum(--REGEXMATCH(""SRgmPDnS"",split(REGEXREPLACE(N34,""(.)"",""$1~""),""~""))))=len(N34)"),FALSE)</f>
        <v>0</v>
      </c>
      <c r="CS34" s="290" t="b">
        <f>IFERROR(__xludf.DUMMYFUNCTION("arrayformula(sum(--REGEXMATCH(""SRgmPdnS"",split(REGEXREPLACE(N34,""(.)"",""$1~""),""~""))))=len(N34)"),FALSE)</f>
        <v>0</v>
      </c>
      <c r="CT34" s="290" t="b">
        <f>IFERROR(__xludf.DUMMYFUNCTION("arrayformula(sum(--REGEXMATCH(""SrgmPdnS"",split(REGEXREPLACE(N34,""(.)"",""$1~""),""~""))))=len(N34)"),FALSE)</f>
        <v>0</v>
      </c>
      <c r="CU34" s="290" t="b">
        <f>IFERROR(__xludf.DUMMYFUNCTION("arrayformula(sum(--REGEXMATCH(""SrGmPdNS"",split(REGEXREPLACE(N34,""(.)"",""$1~""),""~""))))=len(N34)"),FALSE)</f>
        <v>0</v>
      </c>
      <c r="CV34" s="290" t="b">
        <f>IFERROR(__xludf.DUMMYFUNCTION("arrayformula(sum(--REGEXMATCH(""SrGMPDNS"",split(REGEXREPLACE(N34,""(.)"",""$1~""),""~""))))=len(N34)"),FALSE)</f>
        <v>0</v>
      </c>
      <c r="CW34" s="290" t="b">
        <f>IFERROR(__xludf.DUMMYFUNCTION("arrayformula(sum(--REGEXMATCH(""SrGMPdNS"",split(REGEXREPLACE(N34,""(.)"",""$1~""),""~""))))=len(N34)"),FALSE)</f>
        <v>0</v>
      </c>
      <c r="CX34" s="293" t="b">
        <f>IFERROR(__xludf.DUMMYFUNCTION("arrayformula(sum(--REGEXMATCH(""SrgMPdNS"",split(REGEXREPLACE(N34,""(.)"",""$1~""),""~""))))=len(N34)"),FALSE)</f>
        <v>0</v>
      </c>
      <c r="CY34" s="244" t="str">
        <f>IFERROR(__xludf.DUMMYFUNCTION("IF(REGEXMATCH(N34, ""S""), ""1"","""")"),"1")</f>
        <v>1</v>
      </c>
      <c r="CZ34" s="245" t="str">
        <f>IFERROR(__xludf.DUMMYFUNCTION("IF(REGEXMATCH(N34, ""r""), ""b2"","""")"),"")</f>
        <v/>
      </c>
      <c r="DA34" s="246" t="str">
        <f>IFERROR(__xludf.DUMMYFUNCTION("IF(REGEXMATCH(N34, ""R""), ""2"","""")"),"")</f>
        <v/>
      </c>
      <c r="DB34" s="246" t="str">
        <f>IFERROR(__xludf.DUMMYFUNCTION("IF(REGEXMATCH(N34, ""g""), ""b3"","""")"),"b3")</f>
        <v>b3</v>
      </c>
      <c r="DC34" s="245" t="str">
        <f>IFERROR(__xludf.DUMMYFUNCTION("IF(REGEXMATCH(N34, ""G""), ""3"","""")"),"")</f>
        <v/>
      </c>
      <c r="DD34" s="245" t="str">
        <f>IFERROR(__xludf.DUMMYFUNCTION("IF(REGEXMATCH(N34, ""m""), ""4"","""")"),"4")</f>
        <v>4</v>
      </c>
      <c r="DE34" s="246" t="str">
        <f>IFERROR(__xludf.DUMMYFUNCTION("IF(REGEXMATCH(N34, ""M""), ""#4"","""")"),"#4")</f>
        <v>#4</v>
      </c>
      <c r="DF34" s="245" t="str">
        <f>IFERROR(__xludf.DUMMYFUNCTION("IF(REGEXMATCH(N34, ""P""), ""5"","""")"),"")</f>
        <v/>
      </c>
      <c r="DG34" s="246" t="str">
        <f>IFERROR(__xludf.DUMMYFUNCTION("IF(REGEXMATCH(N34, ""d""), ""b6"","""")"),"")</f>
        <v/>
      </c>
      <c r="DH34" s="245" t="str">
        <f>IFERROR(__xludf.DUMMYFUNCTION("IF(REGEXMATCH(N34, ""D""), ""6"","""")"),"6")</f>
        <v>6</v>
      </c>
      <c r="DI34" s="245" t="str">
        <f>IFERROR(__xludf.DUMMYFUNCTION("IF(REGEXMATCH(N34, ""n""), ""b7"","""")"),"")</f>
        <v/>
      </c>
      <c r="DJ34" s="246" t="str">
        <f>IFERROR(__xludf.DUMMYFUNCTION("IF(REGEXMATCH(N34, ""N""), ""7"","""")"),"7")</f>
        <v>7</v>
      </c>
      <c r="DK34" s="249" t="str">
        <f>IFERROR(__xludf.DUMMYFUNCTION("IF(REGEXMATCH(N34, ""S""), ""8"","""")"),"8")</f>
        <v>8</v>
      </c>
      <c r="DL34" s="244" t="str">
        <f>IFERROR(__xludf.DUMMYFUNCTION("IF(REGEXMATCH(N34, ""S""), ""S"","""")"),"S")</f>
        <v>S</v>
      </c>
      <c r="DM34" s="294" t="str">
        <f>IFERROR(__xludf.DUMMYFUNCTION("IF(REGEXMATCH(N34, ""r""), ""R1"","""")"),"")</f>
        <v/>
      </c>
      <c r="DN34" s="295" t="str">
        <f>IFERROR(__xludf.DUMMYFUNCTION("IF(REGEXMATCH(N34, ""R""), ""R2"","""")"),"")</f>
        <v/>
      </c>
      <c r="DO34" s="295" t="str">
        <f>IFERROR(__xludf.DUMMYFUNCTION("IF(REGEXMATCH(N34, ""g""), ""G2"","""")"),"G2")</f>
        <v>G2</v>
      </c>
      <c r="DP34" s="294" t="str">
        <f>IFERROR(__xludf.DUMMYFUNCTION("IF(REGEXMATCH(N34, ""G""), ""G3"","""")"),"")</f>
        <v/>
      </c>
      <c r="DQ34" s="294" t="str">
        <f>IFERROR(__xludf.DUMMYFUNCTION("IF(REGEXMATCH(N34, ""m""), ""M1"","""")"),"M1")</f>
        <v>M1</v>
      </c>
      <c r="DR34" s="295" t="str">
        <f>IFERROR(__xludf.DUMMYFUNCTION("IF(REGEXMATCH(N34, ""M""), ""M2"","""")"),"M2")</f>
        <v>M2</v>
      </c>
      <c r="DS34" s="294" t="str">
        <f>IFERROR(__xludf.DUMMYFUNCTION("IF(REGEXMATCH(N34, ""P""), ""P"","""")"),"")</f>
        <v/>
      </c>
      <c r="DT34" s="295" t="str">
        <f>IFERROR(__xludf.DUMMYFUNCTION("IF(REGEXMATCH(N34, ""d""), ""D1"","""")"),"")</f>
        <v/>
      </c>
      <c r="DU34" s="294" t="str">
        <f>IFERROR(__xludf.DUMMYFUNCTION("IF(REGEXMATCH(N34, ""D""), ""D2"","""")"),"D2")</f>
        <v>D2</v>
      </c>
      <c r="DV34" s="294" t="str">
        <f>IFERROR(__xludf.DUMMYFUNCTION("IF(REGEXMATCH(N34, ""n""), ""N2"","""")"),"")</f>
        <v/>
      </c>
      <c r="DW34" s="295" t="str">
        <f>IFERROR(__xludf.DUMMYFUNCTION("IF(REGEXMATCH(N34, ""N""), ""N3"","""")"),"N3")</f>
        <v>N3</v>
      </c>
      <c r="DX34" s="249" t="str">
        <f>IFERROR(__xludf.DUMMYFUNCTION("IF(REGEXMATCH(N34, ""S""), ""S"","""")"),"S")</f>
        <v>S</v>
      </c>
      <c r="DY34" s="299" t="str">
        <f>IFERROR(__xludf.DUMMYFUNCTION("SUBSTITUTE(SUBSTITUTE(SUBSTITUTE(SUBSTITUTE(CONCATENATE(JOIN(""-"",CY34:DK34)),""--"",""-""),""--"",""-""),""--"",""-""),""--"",""-"")"),"1-b3-4-#4-6-7-8")</f>
        <v>1-b3-4-#4-6-7-8</v>
      </c>
      <c r="DZ34" s="299" t="str">
        <f>IFERROR(__xludf.DUMMYFUNCTION("SUBSTITUTE(SUBSTITUTE(SUBSTITUTE(SUBSTITUTE(CONCATENATE(JOIN(""-"",DL34:DX34)),""--"",""-""),""--"",""-""),""--"",""-""),""--"",""-"")"),"S-G2-M1-M2-D2-N3-S")</f>
        <v>S-G2-M1-M2-D2-N3-S</v>
      </c>
      <c r="EA34" s="348" t="str">
        <f t="shared" si="43"/>
        <v>C-Eb-F-F#-A-B-C</v>
      </c>
      <c r="EB34" s="301">
        <f t="shared" si="44"/>
        <v>6</v>
      </c>
      <c r="EC34" s="302" t="str">
        <f t="shared" si="45"/>
        <v>Audav</v>
      </c>
      <c r="ED34" s="301" t="str">
        <f t="shared" ref="ED34:EE34" si="200">SUBSTITUTE(AD34,"-","")</f>
        <v>SGM</v>
      </c>
      <c r="EE34" s="301" t="str">
        <f t="shared" si="200"/>
        <v>DNS</v>
      </c>
      <c r="EF34" s="302" t="str">
        <f t="shared" si="47"/>
        <v>(n/a)</v>
      </c>
      <c r="EG34" s="301" t="str">
        <f t="shared" si="48"/>
        <v>Hemi.</v>
      </c>
      <c r="EH34" s="364" t="str">
        <f t="shared" si="49"/>
        <v>-</v>
      </c>
      <c r="EI34" s="306" t="str">
        <f t="shared" si="50"/>
        <v>-</v>
      </c>
      <c r="EJ34" s="366" t="str">
        <f t="shared" si="51"/>
        <v>-</v>
      </c>
      <c r="EK34" s="308" t="str">
        <f t="shared" si="52"/>
        <v>✔</v>
      </c>
      <c r="EL34" s="306" t="str">
        <f t="shared" si="53"/>
        <v>-</v>
      </c>
      <c r="EM34" s="306" t="str">
        <f t="shared" si="54"/>
        <v>-</v>
      </c>
      <c r="EN34" s="367" t="str">
        <f t="shared" si="55"/>
        <v>-</v>
      </c>
      <c r="EO34" s="310" t="str">
        <f t="shared" si="56"/>
        <v>-</v>
      </c>
      <c r="EP34" s="310" t="str">
        <f t="shared" si="57"/>
        <v>-</v>
      </c>
      <c r="EQ34" s="310" t="str">
        <f t="shared" si="58"/>
        <v>✔</v>
      </c>
      <c r="ER34" s="310" t="str">
        <f t="shared" si="59"/>
        <v>-</v>
      </c>
      <c r="ES34" s="370" t="str">
        <f t="shared" si="60"/>
        <v>-</v>
      </c>
      <c r="ET34" s="306" t="str">
        <f t="shared" si="61"/>
        <v>✔</v>
      </c>
      <c r="EU34" s="306" t="str">
        <f t="shared" si="62"/>
        <v>-</v>
      </c>
      <c r="EV34" s="306" t="str">
        <f t="shared" si="63"/>
        <v>-</v>
      </c>
      <c r="EW34" s="306" t="str">
        <f t="shared" si="64"/>
        <v>✔</v>
      </c>
      <c r="EX34" s="306" t="str">
        <f t="shared" si="65"/>
        <v>-</v>
      </c>
      <c r="EY34" s="367" t="str">
        <f t="shared" si="66"/>
        <v>-</v>
      </c>
      <c r="EZ34" s="310" t="str">
        <f>IFERROR(__xludf.DUMMYFUNCTION("IF(REGEXMATCH(BM34,BI34),""✔"",""-"")"),"-")</f>
        <v>-</v>
      </c>
      <c r="FA34" s="310" t="str">
        <f t="shared" si="67"/>
        <v>✔</v>
      </c>
      <c r="FB34" s="370" t="str">
        <f t="shared" si="68"/>
        <v>-</v>
      </c>
      <c r="FC34" s="315" t="str">
        <f t="shared" si="69"/>
        <v>[UQ]</v>
      </c>
      <c r="FD34" s="317" t="str">
        <f t="shared" si="70"/>
        <v>S-g-mM-D-N-S</v>
      </c>
      <c r="FE34" s="318" t="str">
        <f>IFERROR(__xludf.DUMMYFUNCTION("CONCATENATE(JOIN("""",GJ34:GV34))"),"SrgMPDS")</f>
        <v>SrgMPDS</v>
      </c>
      <c r="FF34" s="318"/>
      <c r="FG34" s="318"/>
      <c r="FH34" s="321">
        <f t="shared" si="71"/>
        <v>4</v>
      </c>
      <c r="FI34" s="318" t="str">
        <f>IFERROR(__xludf.DUMMYFUNCTION("CONCATENATE(JOIN("""",HW34:II34))"),"Sa, ga, Ma, Dha, ")</f>
        <v>Sa, ga, Ma, Dha, </v>
      </c>
      <c r="FJ34" s="322">
        <f t="shared" si="72"/>
        <v>2</v>
      </c>
      <c r="FK34" s="324" t="str">
        <f>IFERROR(__xludf.DUMMYFUNCTION("CONCATENATE(JOIN("""",IW34:JI34))"),"ga, Dha, ")</f>
        <v>ga, Dha, </v>
      </c>
      <c r="FL34" s="325" t="str">
        <f t="shared" si="73"/>
        <v>S-G2-M1-M2-D2-N3-S</v>
      </c>
      <c r="FM34" s="326" t="str">
        <f t="shared" si="74"/>
        <v>1-b3-4-#4-6-7-8</v>
      </c>
      <c r="FN34" s="326" t="str">
        <f t="shared" si="75"/>
        <v>0-3-5-6-9-11-0</v>
      </c>
      <c r="FO34" s="318"/>
      <c r="FP34" s="328" t="str">
        <f>IFERROR(__xludf.DUMMYFUNCTION("SUBSTITUTE(SUBSTITUTE(SUBSTITUTE(SUBSTITUTE(CONCATENATE(JOIN("" "",FS34:GE34)),""  "","" ""),""  "","" ""),""  "","" ""),""  "","" "")"),"o • • o • o o • • o • o o")</f>
        <v>o • • o • o o • • o • o o</v>
      </c>
      <c r="FQ34" s="328" t="str">
        <f t="shared" si="76"/>
        <v>-</v>
      </c>
      <c r="FR34" s="329"/>
      <c r="FS34" s="331" t="str">
        <f t="shared" si="77"/>
        <v>o</v>
      </c>
      <c r="FT34" s="332" t="str">
        <f t="shared" si="78"/>
        <v>•</v>
      </c>
      <c r="FU34" s="332" t="str">
        <f t="shared" si="79"/>
        <v>•</v>
      </c>
      <c r="FV34" s="332" t="str">
        <f t="shared" si="80"/>
        <v>o</v>
      </c>
      <c r="FW34" s="332" t="str">
        <f t="shared" si="81"/>
        <v>•</v>
      </c>
      <c r="FX34" s="332" t="str">
        <f t="shared" si="82"/>
        <v>o</v>
      </c>
      <c r="FY34" s="332" t="str">
        <f t="shared" si="83"/>
        <v>o</v>
      </c>
      <c r="FZ34" s="332" t="str">
        <f t="shared" si="84"/>
        <v>•</v>
      </c>
      <c r="GA34" s="332" t="str">
        <f t="shared" si="85"/>
        <v>•</v>
      </c>
      <c r="GB34" s="332" t="str">
        <f t="shared" si="86"/>
        <v>o</v>
      </c>
      <c r="GC34" s="332" t="str">
        <f t="shared" si="87"/>
        <v>•</v>
      </c>
      <c r="GD34" s="332" t="str">
        <f t="shared" si="88"/>
        <v>o</v>
      </c>
      <c r="GE34" s="338" t="str">
        <f t="shared" si="89"/>
        <v>o</v>
      </c>
      <c r="GF34" s="339" t="str">
        <f t="shared" si="90"/>
        <v>-</v>
      </c>
      <c r="GG34" s="339" t="str">
        <f t="shared" si="91"/>
        <v>-</v>
      </c>
      <c r="GH34" s="339" t="str">
        <f t="shared" si="92"/>
        <v>-</v>
      </c>
      <c r="GI34" s="340" t="str">
        <f t="shared" si="93"/>
        <v>-</v>
      </c>
      <c r="GJ34" s="331" t="str">
        <f t="shared" si="94"/>
        <v>S</v>
      </c>
      <c r="GK34" s="332" t="str">
        <f t="shared" si="95"/>
        <v>r</v>
      </c>
      <c r="GL34" s="332" t="str">
        <f t="shared" si="96"/>
        <v/>
      </c>
      <c r="GM34" s="332" t="str">
        <f t="shared" si="97"/>
        <v>g</v>
      </c>
      <c r="GN34" s="332" t="str">
        <f t="shared" si="98"/>
        <v/>
      </c>
      <c r="GO34" s="332" t="str">
        <f t="shared" si="99"/>
        <v/>
      </c>
      <c r="GP34" s="332" t="str">
        <f t="shared" si="100"/>
        <v>M</v>
      </c>
      <c r="GQ34" s="332" t="str">
        <f t="shared" si="101"/>
        <v>P</v>
      </c>
      <c r="GR34" s="332" t="str">
        <f t="shared" si="102"/>
        <v/>
      </c>
      <c r="GS34" s="332" t="str">
        <f t="shared" si="103"/>
        <v>D</v>
      </c>
      <c r="GT34" s="332" t="str">
        <f t="shared" si="104"/>
        <v/>
      </c>
      <c r="GU34" s="332" t="str">
        <f t="shared" si="105"/>
        <v/>
      </c>
      <c r="GV34" s="343" t="str">
        <f t="shared" si="106"/>
        <v>S</v>
      </c>
      <c r="GW34" s="331" t="str">
        <f t="shared" si="107"/>
        <v>•</v>
      </c>
      <c r="GX34" s="332" t="str">
        <f t="shared" si="108"/>
        <v>o</v>
      </c>
      <c r="GY34" s="332" t="str">
        <f t="shared" si="109"/>
        <v>o</v>
      </c>
      <c r="GZ34" s="332" t="str">
        <f t="shared" si="110"/>
        <v>•</v>
      </c>
      <c r="HA34" s="332" t="str">
        <f t="shared" si="111"/>
        <v>o</v>
      </c>
      <c r="HB34" s="332" t="str">
        <f t="shared" si="112"/>
        <v>•</v>
      </c>
      <c r="HC34" s="332" t="str">
        <f t="shared" si="113"/>
        <v>•</v>
      </c>
      <c r="HD34" s="332" t="str">
        <f t="shared" si="114"/>
        <v>o</v>
      </c>
      <c r="HE34" s="332" t="str">
        <f t="shared" si="115"/>
        <v>o</v>
      </c>
      <c r="HF34" s="332" t="str">
        <f t="shared" si="116"/>
        <v>•</v>
      </c>
      <c r="HG34" s="332" t="str">
        <f t="shared" si="117"/>
        <v>o</v>
      </c>
      <c r="HH34" s="332" t="str">
        <f t="shared" si="118"/>
        <v>•</v>
      </c>
      <c r="HI34" s="338" t="str">
        <f t="shared" si="119"/>
        <v>•</v>
      </c>
      <c r="HJ34" s="346" t="b">
        <f t="shared" si="120"/>
        <v>1</v>
      </c>
      <c r="HK34" s="347" t="b">
        <f t="shared" si="121"/>
        <v>0</v>
      </c>
      <c r="HL34" s="347" t="b">
        <f t="shared" si="122"/>
        <v>0</v>
      </c>
      <c r="HM34" s="347" t="b">
        <f t="shared" si="123"/>
        <v>1</v>
      </c>
      <c r="HN34" s="347" t="b">
        <f t="shared" si="124"/>
        <v>0</v>
      </c>
      <c r="HO34" s="347" t="b">
        <f t="shared" si="125"/>
        <v>0</v>
      </c>
      <c r="HP34" s="347" t="b">
        <f t="shared" si="126"/>
        <v>1</v>
      </c>
      <c r="HQ34" s="347" t="b">
        <f t="shared" si="127"/>
        <v>0</v>
      </c>
      <c r="HR34" s="347" t="b">
        <f t="shared" si="128"/>
        <v>0</v>
      </c>
      <c r="HS34" s="347" t="b">
        <f t="shared" si="129"/>
        <v>1</v>
      </c>
      <c r="HT34" s="347" t="b">
        <f t="shared" si="130"/>
        <v>0</v>
      </c>
      <c r="HU34" s="347" t="b">
        <f t="shared" si="131"/>
        <v>0</v>
      </c>
      <c r="HV34" s="353" t="b">
        <f t="shared" si="132"/>
        <v>1</v>
      </c>
      <c r="HW34" s="354" t="str">
        <f t="shared" si="133"/>
        <v>Sa, </v>
      </c>
      <c r="HX34" s="355" t="str">
        <f t="shared" si="134"/>
        <v/>
      </c>
      <c r="HY34" s="355" t="str">
        <f t="shared" si="135"/>
        <v/>
      </c>
      <c r="HZ34" s="355" t="str">
        <f t="shared" si="136"/>
        <v>ga, </v>
      </c>
      <c r="IA34" s="355" t="str">
        <f t="shared" si="137"/>
        <v/>
      </c>
      <c r="IB34" s="355" t="str">
        <f t="shared" si="138"/>
        <v/>
      </c>
      <c r="IC34" s="355" t="str">
        <f t="shared" si="139"/>
        <v>Ma, </v>
      </c>
      <c r="ID34" s="355" t="str">
        <f t="shared" si="140"/>
        <v/>
      </c>
      <c r="IE34" s="355" t="str">
        <f t="shared" si="141"/>
        <v/>
      </c>
      <c r="IF34" s="355" t="str">
        <f t="shared" si="142"/>
        <v>Dha, </v>
      </c>
      <c r="IG34" s="355" t="str">
        <f t="shared" si="143"/>
        <v/>
      </c>
      <c r="IH34" s="355" t="str">
        <f t="shared" si="144"/>
        <v/>
      </c>
      <c r="II34" s="359" t="str">
        <f t="shared" si="145"/>
        <v/>
      </c>
      <c r="IJ34" s="346" t="b">
        <f t="shared" si="146"/>
        <v>0</v>
      </c>
      <c r="IK34" s="347" t="b">
        <f t="shared" si="147"/>
        <v>0</v>
      </c>
      <c r="IL34" s="347" t="b">
        <f t="shared" si="148"/>
        <v>0</v>
      </c>
      <c r="IM34" s="347" t="b">
        <f t="shared" si="149"/>
        <v>1</v>
      </c>
      <c r="IN34" s="347" t="b">
        <f t="shared" si="150"/>
        <v>0</v>
      </c>
      <c r="IO34" s="347" t="b">
        <f t="shared" si="151"/>
        <v>0</v>
      </c>
      <c r="IP34" s="347" t="b">
        <f t="shared" si="152"/>
        <v>0</v>
      </c>
      <c r="IQ34" s="347" t="b">
        <f t="shared" si="153"/>
        <v>0</v>
      </c>
      <c r="IR34" s="347" t="b">
        <f t="shared" si="154"/>
        <v>0</v>
      </c>
      <c r="IS34" s="347" t="b">
        <f t="shared" si="155"/>
        <v>1</v>
      </c>
      <c r="IT34" s="347" t="b">
        <f t="shared" si="156"/>
        <v>0</v>
      </c>
      <c r="IU34" s="347" t="b">
        <f t="shared" si="157"/>
        <v>0</v>
      </c>
      <c r="IV34" s="365" t="b">
        <f t="shared" si="158"/>
        <v>0</v>
      </c>
      <c r="IW34" s="354" t="str">
        <f t="shared" si="159"/>
        <v/>
      </c>
      <c r="IX34" s="355" t="str">
        <f t="shared" si="160"/>
        <v/>
      </c>
      <c r="IY34" s="355" t="str">
        <f t="shared" si="161"/>
        <v/>
      </c>
      <c r="IZ34" s="355" t="str">
        <f t="shared" si="162"/>
        <v>ga, </v>
      </c>
      <c r="JA34" s="355" t="str">
        <f t="shared" si="163"/>
        <v/>
      </c>
      <c r="JB34" s="355" t="str">
        <f t="shared" si="164"/>
        <v/>
      </c>
      <c r="JC34" s="355" t="str">
        <f t="shared" si="165"/>
        <v/>
      </c>
      <c r="JD34" s="355" t="str">
        <f t="shared" si="166"/>
        <v/>
      </c>
      <c r="JE34" s="355" t="str">
        <f t="shared" si="167"/>
        <v/>
      </c>
      <c r="JF34" s="355" t="str">
        <f t="shared" si="168"/>
        <v>Dha, </v>
      </c>
      <c r="JG34" s="355" t="str">
        <f t="shared" si="169"/>
        <v/>
      </c>
      <c r="JH34" s="355" t="str">
        <f t="shared" si="170"/>
        <v/>
      </c>
      <c r="JI34" s="359"/>
      <c r="JJ34" s="321"/>
      <c r="JK34" s="368"/>
      <c r="JL34" s="369"/>
      <c r="JM34" s="369"/>
      <c r="JN34" s="369"/>
      <c r="JO34" s="369"/>
      <c r="JP34" s="369"/>
      <c r="JQ34" s="369"/>
      <c r="JR34" s="369"/>
      <c r="JS34" s="369"/>
      <c r="JT34" s="369"/>
      <c r="JU34" s="369"/>
    </row>
    <row r="35" ht="20.25" customHeight="1">
      <c r="A35" s="221" t="s">
        <v>1295</v>
      </c>
      <c r="B35" s="223" t="s">
        <v>1255</v>
      </c>
      <c r="C35" s="222"/>
      <c r="D35" s="222"/>
      <c r="E35" s="222"/>
      <c r="F35" s="222" t="s">
        <v>275</v>
      </c>
      <c r="G35" s="395" t="s">
        <v>275</v>
      </c>
      <c r="H35" s="222">
        <v>33.0</v>
      </c>
      <c r="I35" s="224" t="s">
        <v>1219</v>
      </c>
      <c r="J35" s="414">
        <f t="shared" si="5"/>
        <v>1</v>
      </c>
      <c r="K35" s="227">
        <f t="shared" si="6"/>
        <v>5</v>
      </c>
      <c r="L35" s="229">
        <f t="shared" si="7"/>
        <v>5</v>
      </c>
      <c r="M35" s="230">
        <f t="shared" si="8"/>
        <v>0</v>
      </c>
      <c r="N35" s="233" t="str">
        <f t="shared" si="9"/>
        <v>SGmdNS</v>
      </c>
      <c r="O35" s="234" t="str">
        <f>IFERROR(__xludf.DUMMYFUNCTION("IF(REGEXMATCH(N35, ""S""), ""S"","""")"),"S")</f>
        <v>S</v>
      </c>
      <c r="P35" s="236" t="str">
        <f>IFERROR(__xludf.DUMMYFUNCTION("IF(REGEXMATCH(N35, ""r""), ""r"","""")"),"")</f>
        <v/>
      </c>
      <c r="Q35" s="237" t="str">
        <f>IFERROR(__xludf.DUMMYFUNCTION("IF(REGEXMATCH(N35, ""R""), ""R"","""")"),"")</f>
        <v/>
      </c>
      <c r="R35" s="237" t="str">
        <f>IFERROR(__xludf.DUMMYFUNCTION("IF(REGEXMATCH(N35, ""g""), ""g"","""")"),"")</f>
        <v/>
      </c>
      <c r="S35" s="236" t="str">
        <f>IFERROR(__xludf.DUMMYFUNCTION("IF(REGEXMATCH(N35, ""G""), ""G"","""")"),"G")</f>
        <v>G</v>
      </c>
      <c r="T35" s="236" t="str">
        <f>IFERROR(__xludf.DUMMYFUNCTION("IF(REGEXMATCH(N35, ""m""), ""m"","""")"),"m")</f>
        <v>m</v>
      </c>
      <c r="U35" s="237" t="str">
        <f>IFERROR(__xludf.DUMMYFUNCTION("IF(REGEXMATCH(N35, ""M""), ""M"","""")"),"")</f>
        <v/>
      </c>
      <c r="V35" s="236" t="str">
        <f>IFERROR(__xludf.DUMMYFUNCTION("IF(REGEXMATCH(N35, ""P""), ""P"","""")"),"")</f>
        <v/>
      </c>
      <c r="W35" s="237" t="str">
        <f>IFERROR(__xludf.DUMMYFUNCTION("IF(REGEXMATCH(N35, ""d""), ""d"","""")"),"d")</f>
        <v>d</v>
      </c>
      <c r="X35" s="236" t="str">
        <f>IFERROR(__xludf.DUMMYFUNCTION("IF(REGEXMATCH(N35, ""D""), ""D"","""")"),"")</f>
        <v/>
      </c>
      <c r="Y35" s="236" t="str">
        <f>IFERROR(__xludf.DUMMYFUNCTION("IF(REGEXMATCH(N35, ""n""), ""n"","""")"),"")</f>
        <v/>
      </c>
      <c r="Z35" s="237" t="str">
        <f>IFERROR(__xludf.DUMMYFUNCTION("IF(REGEXMATCH(N35, ""N""), ""N"","""")"),"N")</f>
        <v>N</v>
      </c>
      <c r="AA35" s="238" t="str">
        <f>IFERROR(__xludf.DUMMYFUNCTION("IF(REGEXMATCH(N35, ""S""), ""S"","""")"),"S")</f>
        <v>S</v>
      </c>
      <c r="AB35" s="239" t="str">
        <f>IFERROR(__xludf.DUMMYFUNCTION("SUBSTITUTE(CONCATENATE(JOIN(""-"",O35:U35)),""-"","""")"),"SGm")</f>
        <v>SGm</v>
      </c>
      <c r="AC35" s="229" t="str">
        <f>IFERROR(__xludf.DUMMYFUNCTION("SUBSTITUTE(CONCATENATE(JOIN(""-"",V35:AA35)),""-"","""")"),"dNS")</f>
        <v>dNS</v>
      </c>
      <c r="AD35" s="282" t="str">
        <f t="shared" si="10"/>
        <v>S-G-M</v>
      </c>
      <c r="AE35" s="282" t="str">
        <f t="shared" si="11"/>
        <v>D-N-S</v>
      </c>
      <c r="AF35" s="309" t="str">
        <f t="shared" si="12"/>
        <v>GmdN</v>
      </c>
      <c r="AG35" s="244" t="str">
        <f>IFERROR(__xludf.DUMMYFUNCTION("IF(REGEXMATCH(N35, ""S""), ""0"","""")"),"0")</f>
        <v>0</v>
      </c>
      <c r="AH35" s="245" t="str">
        <f>IFERROR(__xludf.DUMMYFUNCTION("IF(REGEXMATCH(N35, ""r""), ""1"","""")"),"")</f>
        <v/>
      </c>
      <c r="AI35" s="246" t="str">
        <f>IFERROR(__xludf.DUMMYFUNCTION("IF(REGEXMATCH(N35, ""R""), ""2"","""")"),"")</f>
        <v/>
      </c>
      <c r="AJ35" s="246" t="str">
        <f>IFERROR(__xludf.DUMMYFUNCTION("IF(REGEXMATCH(N35, ""g""), ""3"","""")"),"")</f>
        <v/>
      </c>
      <c r="AK35" s="245" t="str">
        <f>IFERROR(__xludf.DUMMYFUNCTION("IF(REGEXMATCH(N35, ""G""), ""4"","""")"),"4")</f>
        <v>4</v>
      </c>
      <c r="AL35" s="245" t="str">
        <f>IFERROR(__xludf.DUMMYFUNCTION("IF(REGEXMATCH(N35, ""m""), ""5"","""")"),"5")</f>
        <v>5</v>
      </c>
      <c r="AM35" s="246" t="str">
        <f>IFERROR(__xludf.DUMMYFUNCTION("IF(REGEXMATCH(N35, ""M""), ""6"","""")"),"")</f>
        <v/>
      </c>
      <c r="AN35" s="245" t="str">
        <f>IFERROR(__xludf.DUMMYFUNCTION("IF(REGEXMATCH(N35, ""P""), ""7"","""")"),"")</f>
        <v/>
      </c>
      <c r="AO35" s="246" t="str">
        <f>IFERROR(__xludf.DUMMYFUNCTION("IF(REGEXMATCH(N35, ""d""), ""8"","""")"),"8")</f>
        <v>8</v>
      </c>
      <c r="AP35" s="245" t="str">
        <f>IFERROR(__xludf.DUMMYFUNCTION("IF(REGEXMATCH(N35, ""D""), ""9"","""")"),"")</f>
        <v/>
      </c>
      <c r="AQ35" s="245" t="str">
        <f>IFERROR(__xludf.DUMMYFUNCTION("IF(REGEXMATCH(N35, ""n""), ""10"","""")"),"")</f>
        <v/>
      </c>
      <c r="AR35" s="246" t="str">
        <f>IFERROR(__xludf.DUMMYFUNCTION("IF(REGEXMATCH(N35, ""N""), ""11"","""")"),"11")</f>
        <v>11</v>
      </c>
      <c r="AS35" s="249" t="str">
        <f>IFERROR(__xludf.DUMMYFUNCTION("IF(REGEXMATCH(N35, ""S""), ""0"","""")"),"0")</f>
        <v>0</v>
      </c>
      <c r="AT35" s="250" t="str">
        <f>IFERROR(__xludf.DUMMYFUNCTION("SUBSTITUTE(SUBSTITUTE(SUBSTITUTE(SUBSTITUTE(CONCATENATE(JOIN(""-"",AG35:AS35)),""--"",""-""),""--"",""-""),""--"",""-""),""--"",""-"")"),"0-4-5-8-11-0")</f>
        <v>0-4-5-8-11-0</v>
      </c>
      <c r="AU35" s="251">
        <f t="shared" si="13"/>
        <v>1</v>
      </c>
      <c r="AV35" s="234" t="str">
        <f t="shared" si="14"/>
        <v>|</v>
      </c>
      <c r="AW35" s="236" t="str">
        <f t="shared" si="15"/>
        <v>-</v>
      </c>
      <c r="AX35" s="237" t="str">
        <f t="shared" si="16"/>
        <v>-</v>
      </c>
      <c r="AY35" s="236" t="str">
        <f t="shared" si="17"/>
        <v>-</v>
      </c>
      <c r="AZ35" s="237" t="str">
        <f t="shared" si="18"/>
        <v>|</v>
      </c>
      <c r="BA35" s="236" t="str">
        <f t="shared" si="19"/>
        <v>|</v>
      </c>
      <c r="BB35" s="237" t="str">
        <f t="shared" si="20"/>
        <v>-</v>
      </c>
      <c r="BC35" s="236" t="str">
        <f t="shared" si="21"/>
        <v>-</v>
      </c>
      <c r="BD35" s="237" t="str">
        <f t="shared" si="22"/>
        <v>|</v>
      </c>
      <c r="BE35" s="236" t="str">
        <f t="shared" si="23"/>
        <v>-</v>
      </c>
      <c r="BF35" s="237" t="str">
        <f t="shared" si="24"/>
        <v>-</v>
      </c>
      <c r="BG35" s="236" t="str">
        <f t="shared" si="25"/>
        <v>|</v>
      </c>
      <c r="BH35" s="238" t="str">
        <f t="shared" si="26"/>
        <v>|</v>
      </c>
      <c r="BI35" s="250" t="str">
        <f>IFERROR(__xludf.DUMMYFUNCTION("SUBSTITUTE(SUBSTITUTE(CONCATENATE(JOIN("""",AV35:BG35)),""|"",""x""),""-"",""o"")"),"xoooxxooxoox")</f>
        <v>xoooxxooxoox</v>
      </c>
      <c r="BJ35" s="323" t="str">
        <f>IFERROR(__xludf.DUMMYFUNCTION("JOIN("""",BI35,BI35)"),"xoooxxooxooxxoooxxooxoox")</f>
        <v>xoooxxooxooxxoooxxooxoox</v>
      </c>
      <c r="BK35" s="256" t="str">
        <f>IFERROR(__xludf.DUMMYFUNCTION("JOIN("""",ArrayFormula(MID(BI35,LEN(BI35)-SEQUENCE(1,LEN(BI35))+1,1)))"),"xooxooxxooox")</f>
        <v>xooxooxxooox</v>
      </c>
      <c r="BL35" s="256" t="str">
        <f>IFERROR(__xludf.DUMMYFUNCTION("LEFT(CONCATENATE(""x"",JOIN("""",ArrayFormula(MID(BI35,LEN(BI35)-SEQUENCE(1,LEN(BI35))+1,1)))),12)"),"xxooxooxxooo")</f>
        <v>xxooxooxxooo</v>
      </c>
      <c r="BM35" s="327" t="str">
        <f>IFERROR(__xludf.DUMMYFUNCTION("JOIN("""",BK35,BK35)"),"xooxooxxoooxxooxooxxooox")</f>
        <v>xooxooxxoooxxooxooxxooox</v>
      </c>
      <c r="BN35" s="239" t="str">
        <f>IFERROR(__xludf.DUMMYFUNCTION("IF(REGEXMATCH(BM35,BI35),""✔"",""-"")"),"✔")</f>
        <v>✔</v>
      </c>
      <c r="BO35" s="330" t="str">
        <f t="shared" si="27"/>
        <v>-</v>
      </c>
      <c r="BP35" s="260" t="str">
        <f t="shared" si="28"/>
        <v>-</v>
      </c>
      <c r="BQ35" s="261" t="str">
        <f>IFERROR(__xludf.DUMMYFUNCTION("IF(BT35=0,""(n/a)"",IF(BU35=2,""(PAIR)"",IF(REGEXMATCH(BJ35,""xoxoxxoxoxox""),""Bilawal"",IF(REGEXMATCH(BJ35,""xoxoxooxoxoo""),""Bhupali"",IF(REGEXMATCH(BJ35,""xoxoxxoxxoxo""),""Charukeshi"",IF(REGEXMATCH(BJ35,""xoxoooxxoxxo""),""Kameshwari"",IF(REGEXMATC"&amp;"H(BJ35,""xoxoxooxoxox""),""Shankara"",IF(REGEXMATCH(BJ35,""xxooxoxxxoox""),""Basant"",IF(REGEXMATCH(BJ35,""xoxoxxxxoxox""),""Bihag"",IF(REGEXMATCH(BJ35,""xoxxxxoxoxxx""),""Pilu"",IF(REGEXMATCH(BJ35,""xoxxoxoxxoox""),""Kirwani"",IF(REGEXMATCH(BJ35,""xoxxox"&amp;"oxoxxx""),""Mk.Malhar"",IF(REGEXMATCH(BJ35,""xxooxxoxxoox""),""Bhairav"",IF(REGEXMATCH(BJ35,""xxoxooxxxoox""),""Todi"",IF(REGEXMATCH(BJ35,""xxooxoxooxox""),""Marwa"",IF(REGEXMATCH(BJ35,""xxoooxoxxooo""),""Gunkali"",IF(REGEXMATCH(BJ35,""xoxoxxoxxoox""),""N"&amp;"at Bhairav"",IF(REGEXMATCH(BJ35,""xoxxoooxoxoo""),""Shivranjani"",IF(REGEXMATCH(BJ35,""xooxxxoxooxo""),""Jog"",IF(REGEXMATCH(BJ35,""xxooxoxoxoox""),""Hemshri"",IF(REGEXMATCH(BJ35,""xoooxooxoxxo""),""Kalavati"",IF(REGEXMATCH(BJ35,""xxoxoxxoxoox""),""Kedar"&amp;""",IF(REGEXMATCH(BJ35,""xoxxxxoxooxx""),""Gara"",IF(REGEXMATCH(BJ35,""xooxoxooxoox""),""Chandrakauns"",IF(REGEXMATCH(BJ35,""xoxxxxoxxxox""),""Mand"",IF(REGEXMATCH(BJ35,""xoxxxxoxoxox""),""Hanskinkini"",IF(REGEXMATCH(BJ35,""xxooxxoxooxo""),""Lilavati"",IF("&amp;"REGEXMATCH(BJ35,""xooxoxoooxox""),""Rajeshwari"",IF(REGEXMATCH(BJ35,""xoooxxoxoxxx""),""Khokar"",IF(REGEXMATCH(BJ35,""xxooxoxxxxox""),""Maligoura"",""-""))))))))))))))))))))))))))))))"),"(n/a)")</f>
        <v>(n/a)</v>
      </c>
      <c r="BR35" s="239">
        <f t="shared" si="29"/>
        <v>4</v>
      </c>
      <c r="BS35" s="239">
        <f>IFERROR(__xludf.DUMMYFUNCTION("COUNTUNIQUE(BW35:CG35)-1"),4.0)</f>
        <v>4</v>
      </c>
      <c r="BT35" s="239">
        <f>IFERROR(__xludf.DUMMYFUNCTION("COUNTUNIQUE(FILTER(BJ:BJ,REGEXMATCH(BJ:BJ,BI35)))-1"),0.0)</f>
        <v>0</v>
      </c>
      <c r="BU35" s="239">
        <f>IFERROR(__xludf.DUMMYFUNCTION("COUNTA(FILTER(BJ:BJ,REGEXMATCH(BJ:BJ,BI35)))"),2.0)</f>
        <v>2</v>
      </c>
      <c r="BV35" s="341">
        <f>IFERROR(__xludf.DUMMYFUNCTION("COUNTA(FILTER(BJ:BJ,REGEXMATCH(BJ:BJ,BI35)))-AU35"),1.0)</f>
        <v>1</v>
      </c>
      <c r="BW35" s="269" t="str">
        <f t="shared" si="30"/>
        <v>-</v>
      </c>
      <c r="BX35" s="269" t="str">
        <f t="shared" si="31"/>
        <v>-</v>
      </c>
      <c r="BY35" s="271" t="str">
        <f t="shared" si="32"/>
        <v>-</v>
      </c>
      <c r="BZ35" s="269" t="str">
        <f t="shared" si="33"/>
        <v>xxooxooxxoo</v>
      </c>
      <c r="CA35" s="271" t="str">
        <f t="shared" si="34"/>
        <v>xooxooxxooo</v>
      </c>
      <c r="CB35" s="271" t="str">
        <f t="shared" si="35"/>
        <v>-</v>
      </c>
      <c r="CC35" s="271" t="str">
        <f t="shared" si="36"/>
        <v>-</v>
      </c>
      <c r="CD35" s="271" t="str">
        <f t="shared" si="37"/>
        <v>xooxxoooxxo</v>
      </c>
      <c r="CE35" s="271" t="str">
        <f t="shared" si="38"/>
        <v>-</v>
      </c>
      <c r="CF35" s="271" t="str">
        <f t="shared" si="39"/>
        <v>-</v>
      </c>
      <c r="CG35" s="274" t="str">
        <f t="shared" si="40"/>
        <v>xxoooxxooxo</v>
      </c>
      <c r="CH35" s="276" t="str">
        <f>IFERROR(__xludf.DUMMYFUNCTION("IF(BI35=""oooooooooooo"",""-"",IF(REGEXMATCH(BJ35,""xx""), ""Hemi."", ""Anhemi.""))"),"Hemi.")</f>
        <v>Hemi.</v>
      </c>
      <c r="CI35" s="282" t="str">
        <f>IFERROR(__xludf.DUMMYFUNCTION("IF(BI35=""oooooooooooo"",""-"",IF(REGEXMATCH(BJ35,""xxx""), ""Cohem."", ""-""))"),"-")</f>
        <v>-</v>
      </c>
      <c r="CJ35" s="282" t="str">
        <f>IFERROR(__xludf.DUMMYFUNCTION("IF(BI35=""oooooooooooo"",""-"",IF(REGEXMATCH(BJ35,""xxxx""), ""Co-Co."", ""-""))"),"-")</f>
        <v>-</v>
      </c>
      <c r="CK35" s="342" t="str">
        <f>IFERROR(__xludf.DUMMYFUNCTION("IF(BI35=""oooooooooooo"",""-"",IF(REGEXMATCH(BJ35,""xxxxx""), ""CCC."", ""-""))"),"-")</f>
        <v>-</v>
      </c>
      <c r="CL35" s="344" t="str">
        <f t="shared" si="41"/>
        <v>-</v>
      </c>
      <c r="CM35" s="282" t="str">
        <f>IFERROR(__xludf.DUMMYFUNCTION("IF(REGEXMATCH(JOIN(""-"",CO35:CX35),""TRUE""),""✔"",""-"")"),"✔")</f>
        <v>✔</v>
      </c>
      <c r="CN35" s="225">
        <f t="shared" si="42"/>
        <v>1</v>
      </c>
      <c r="CO35" s="376" t="b">
        <f>IFERROR(__xludf.DUMMYFUNCTION("arrayformula(sum(--REGEXMATCH(""SRGMPDNS"",split(REGEXREPLACE(N35,""(.)"",""$1~""),""~""))))=len(N35)
"),FALSE)</f>
        <v>0</v>
      </c>
      <c r="CP35" s="290" t="b">
        <f>IFERROR(__xludf.DUMMYFUNCTION("arrayformula(sum(--REGEXMATCH(""SRGmPDNS"",split(REGEXREPLACE(N35,""(.)"",""$1~""),""~""))))=len(N35)"),FALSE)</f>
        <v>0</v>
      </c>
      <c r="CQ35" s="290" t="b">
        <f>IFERROR(__xludf.DUMMYFUNCTION("arrayformula(sum(--REGEXMATCH(""SRGmPDnS"",split(REGEXREPLACE(N35,""(.)"",""$1~""),""~""))))=len(N35)"),FALSE)</f>
        <v>0</v>
      </c>
      <c r="CR35" s="290" t="b">
        <f>IFERROR(__xludf.DUMMYFUNCTION("arrayformula(sum(--REGEXMATCH(""SRgmPDnS"",split(REGEXREPLACE(N35,""(.)"",""$1~""),""~""))))=len(N35)"),FALSE)</f>
        <v>0</v>
      </c>
      <c r="CS35" s="290" t="b">
        <f>IFERROR(__xludf.DUMMYFUNCTION("arrayformula(sum(--REGEXMATCH(""SRgmPdnS"",split(REGEXREPLACE(N35,""(.)"",""$1~""),""~""))))=len(N35)"),FALSE)</f>
        <v>0</v>
      </c>
      <c r="CT35" s="290" t="b">
        <f>IFERROR(__xludf.DUMMYFUNCTION("arrayformula(sum(--REGEXMATCH(""SrgmPdnS"",split(REGEXREPLACE(N35,""(.)"",""$1~""),""~""))))=len(N35)"),FALSE)</f>
        <v>0</v>
      </c>
      <c r="CU35" s="290" t="b">
        <f>IFERROR(__xludf.DUMMYFUNCTION("arrayformula(sum(--REGEXMATCH(""SrGmPdNS"",split(REGEXREPLACE(N35,""(.)"",""$1~""),""~""))))=len(N35)"),TRUE)</f>
        <v>1</v>
      </c>
      <c r="CV35" s="290" t="b">
        <f>IFERROR(__xludf.DUMMYFUNCTION("arrayformula(sum(--REGEXMATCH(""SrGMPDNS"",split(REGEXREPLACE(N35,""(.)"",""$1~""),""~""))))=len(N35)"),FALSE)</f>
        <v>0</v>
      </c>
      <c r="CW35" s="290" t="b">
        <f>IFERROR(__xludf.DUMMYFUNCTION("arrayformula(sum(--REGEXMATCH(""SrGMPdNS"",split(REGEXREPLACE(N35,""(.)"",""$1~""),""~""))))=len(N35)"),FALSE)</f>
        <v>0</v>
      </c>
      <c r="CX35" s="293" t="b">
        <f>IFERROR(__xludf.DUMMYFUNCTION("arrayformula(sum(--REGEXMATCH(""SrgMPdNS"",split(REGEXREPLACE(N35,""(.)"",""$1~""),""~""))))=len(N35)"),FALSE)</f>
        <v>0</v>
      </c>
      <c r="CY35" s="244" t="str">
        <f>IFERROR(__xludf.DUMMYFUNCTION("IF(REGEXMATCH(N35, ""S""), ""1"","""")"),"1")</f>
        <v>1</v>
      </c>
      <c r="CZ35" s="245" t="str">
        <f>IFERROR(__xludf.DUMMYFUNCTION("IF(REGEXMATCH(N35, ""r""), ""b2"","""")"),"")</f>
        <v/>
      </c>
      <c r="DA35" s="246" t="str">
        <f>IFERROR(__xludf.DUMMYFUNCTION("IF(REGEXMATCH(N35, ""R""), ""2"","""")"),"")</f>
        <v/>
      </c>
      <c r="DB35" s="246" t="str">
        <f>IFERROR(__xludf.DUMMYFUNCTION("IF(REGEXMATCH(N35, ""g""), ""b3"","""")"),"")</f>
        <v/>
      </c>
      <c r="DC35" s="245" t="str">
        <f>IFERROR(__xludf.DUMMYFUNCTION("IF(REGEXMATCH(N35, ""G""), ""3"","""")"),"3")</f>
        <v>3</v>
      </c>
      <c r="DD35" s="245" t="str">
        <f>IFERROR(__xludf.DUMMYFUNCTION("IF(REGEXMATCH(N35, ""m""), ""4"","""")"),"4")</f>
        <v>4</v>
      </c>
      <c r="DE35" s="246" t="str">
        <f>IFERROR(__xludf.DUMMYFUNCTION("IF(REGEXMATCH(N35, ""M""), ""#4"","""")"),"")</f>
        <v/>
      </c>
      <c r="DF35" s="245" t="str">
        <f>IFERROR(__xludf.DUMMYFUNCTION("IF(REGEXMATCH(N35, ""P""), ""5"","""")"),"")</f>
        <v/>
      </c>
      <c r="DG35" s="246" t="str">
        <f>IFERROR(__xludf.DUMMYFUNCTION("IF(REGEXMATCH(N35, ""d""), ""b6"","""")"),"b6")</f>
        <v>b6</v>
      </c>
      <c r="DH35" s="245" t="str">
        <f>IFERROR(__xludf.DUMMYFUNCTION("IF(REGEXMATCH(N35, ""D""), ""6"","""")"),"")</f>
        <v/>
      </c>
      <c r="DI35" s="245" t="str">
        <f>IFERROR(__xludf.DUMMYFUNCTION("IF(REGEXMATCH(N35, ""n""), ""b7"","""")"),"")</f>
        <v/>
      </c>
      <c r="DJ35" s="246" t="str">
        <f>IFERROR(__xludf.DUMMYFUNCTION("IF(REGEXMATCH(N35, ""N""), ""7"","""")"),"7")</f>
        <v>7</v>
      </c>
      <c r="DK35" s="249" t="str">
        <f>IFERROR(__xludf.DUMMYFUNCTION("IF(REGEXMATCH(N35, ""S""), ""8"","""")"),"8")</f>
        <v>8</v>
      </c>
      <c r="DL35" s="244" t="str">
        <f>IFERROR(__xludf.DUMMYFUNCTION("IF(REGEXMATCH(N35, ""S""), ""S"","""")"),"S")</f>
        <v>S</v>
      </c>
      <c r="DM35" s="294" t="str">
        <f>IFERROR(__xludf.DUMMYFUNCTION("IF(REGEXMATCH(N35, ""r""), ""R1"","""")"),"")</f>
        <v/>
      </c>
      <c r="DN35" s="295" t="str">
        <f>IFERROR(__xludf.DUMMYFUNCTION("IF(REGEXMATCH(N35, ""R""), ""R2"","""")"),"")</f>
        <v/>
      </c>
      <c r="DO35" s="295" t="str">
        <f>IFERROR(__xludf.DUMMYFUNCTION("IF(REGEXMATCH(N35, ""g""), ""G2"","""")"),"")</f>
        <v/>
      </c>
      <c r="DP35" s="294" t="str">
        <f>IFERROR(__xludf.DUMMYFUNCTION("IF(REGEXMATCH(N35, ""G""), ""G3"","""")"),"G3")</f>
        <v>G3</v>
      </c>
      <c r="DQ35" s="294" t="str">
        <f>IFERROR(__xludf.DUMMYFUNCTION("IF(REGEXMATCH(N35, ""m""), ""M1"","""")"),"M1")</f>
        <v>M1</v>
      </c>
      <c r="DR35" s="295" t="str">
        <f>IFERROR(__xludf.DUMMYFUNCTION("IF(REGEXMATCH(N35, ""M""), ""M2"","""")"),"")</f>
        <v/>
      </c>
      <c r="DS35" s="294" t="str">
        <f>IFERROR(__xludf.DUMMYFUNCTION("IF(REGEXMATCH(N35, ""P""), ""P"","""")"),"")</f>
        <v/>
      </c>
      <c r="DT35" s="295" t="str">
        <f>IFERROR(__xludf.DUMMYFUNCTION("IF(REGEXMATCH(N35, ""d""), ""D1"","""")"),"D1")</f>
        <v>D1</v>
      </c>
      <c r="DU35" s="294" t="str">
        <f>IFERROR(__xludf.DUMMYFUNCTION("IF(REGEXMATCH(N35, ""D""), ""D2"","""")"),"")</f>
        <v/>
      </c>
      <c r="DV35" s="294" t="str">
        <f>IFERROR(__xludf.DUMMYFUNCTION("IF(REGEXMATCH(N35, ""n""), ""N2"","""")"),"")</f>
        <v/>
      </c>
      <c r="DW35" s="295" t="str">
        <f>IFERROR(__xludf.DUMMYFUNCTION("IF(REGEXMATCH(N35, ""N""), ""N3"","""")"),"N3")</f>
        <v>N3</v>
      </c>
      <c r="DX35" s="249" t="str">
        <f>IFERROR(__xludf.DUMMYFUNCTION("IF(REGEXMATCH(N35, ""S""), ""S"","""")"),"S")</f>
        <v>S</v>
      </c>
      <c r="DY35" s="299" t="str">
        <f>IFERROR(__xludf.DUMMYFUNCTION("SUBSTITUTE(SUBSTITUTE(SUBSTITUTE(SUBSTITUTE(CONCATENATE(JOIN(""-"",CY35:DK35)),""--"",""-""),""--"",""-""),""--"",""-""),""--"",""-"")"),"1-3-4-b6-7-8")</f>
        <v>1-3-4-b6-7-8</v>
      </c>
      <c r="DZ35" s="299" t="str">
        <f>IFERROR(__xludf.DUMMYFUNCTION("SUBSTITUTE(SUBSTITUTE(SUBSTITUTE(SUBSTITUTE(CONCATENATE(JOIN(""-"",DL35:DX35)),""--"",""-""),""--"",""-""),""--"",""-""),""--"",""-"")"),"S-G3-M1-D1-N3-S")</f>
        <v>S-G3-M1-D1-N3-S</v>
      </c>
      <c r="EA35" s="348" t="str">
        <f t="shared" si="43"/>
        <v>C-E-F-Ab-B-C</v>
      </c>
      <c r="EB35" s="301">
        <f t="shared" si="44"/>
        <v>5</v>
      </c>
      <c r="EC35" s="302" t="str">
        <f t="shared" si="45"/>
        <v>Audav</v>
      </c>
      <c r="ED35" s="301" t="str">
        <f t="shared" ref="ED35:EE35" si="201">SUBSTITUTE(AD35,"-","")</f>
        <v>SGM</v>
      </c>
      <c r="EE35" s="301" t="str">
        <f t="shared" si="201"/>
        <v>DNS</v>
      </c>
      <c r="EF35" s="302" t="str">
        <f t="shared" si="47"/>
        <v>(n/a)</v>
      </c>
      <c r="EG35" s="301" t="str">
        <f t="shared" si="48"/>
        <v>Hemi.</v>
      </c>
      <c r="EH35" s="364" t="str">
        <f t="shared" si="49"/>
        <v>-</v>
      </c>
      <c r="EI35" s="306" t="str">
        <f t="shared" si="50"/>
        <v>-</v>
      </c>
      <c r="EJ35" s="366" t="str">
        <f t="shared" si="51"/>
        <v>✔</v>
      </c>
      <c r="EK35" s="308" t="str">
        <f t="shared" si="52"/>
        <v>-</v>
      </c>
      <c r="EL35" s="306" t="str">
        <f t="shared" si="53"/>
        <v>-</v>
      </c>
      <c r="EM35" s="306" t="str">
        <f t="shared" si="54"/>
        <v>-</v>
      </c>
      <c r="EN35" s="367" t="str">
        <f t="shared" si="55"/>
        <v>-</v>
      </c>
      <c r="EO35" s="310" t="str">
        <f t="shared" si="56"/>
        <v>-</v>
      </c>
      <c r="EP35" s="310" t="str">
        <f t="shared" si="57"/>
        <v>-</v>
      </c>
      <c r="EQ35" s="310" t="str">
        <f t="shared" si="58"/>
        <v>-</v>
      </c>
      <c r="ER35" s="310" t="str">
        <f t="shared" si="59"/>
        <v>-</v>
      </c>
      <c r="ES35" s="370" t="str">
        <f t="shared" si="60"/>
        <v>-</v>
      </c>
      <c r="ET35" s="306" t="str">
        <f t="shared" si="61"/>
        <v>✔</v>
      </c>
      <c r="EU35" s="306" t="str">
        <f t="shared" si="62"/>
        <v>-</v>
      </c>
      <c r="EV35" s="306" t="str">
        <f t="shared" si="63"/>
        <v>-</v>
      </c>
      <c r="EW35" s="306" t="str">
        <f t="shared" si="64"/>
        <v>✔</v>
      </c>
      <c r="EX35" s="306" t="str">
        <f t="shared" si="65"/>
        <v>-</v>
      </c>
      <c r="EY35" s="367" t="str">
        <f t="shared" si="66"/>
        <v>-</v>
      </c>
      <c r="EZ35" s="310" t="str">
        <f>IFERROR(__xludf.DUMMYFUNCTION("IF(REGEXMATCH(BM35,BI35),""✔"",""-"")"),"✔")</f>
        <v>✔</v>
      </c>
      <c r="FA35" s="310" t="str">
        <f t="shared" si="67"/>
        <v>-</v>
      </c>
      <c r="FB35" s="370" t="str">
        <f t="shared" si="68"/>
        <v>-</v>
      </c>
      <c r="FC35" s="415">
        <f t="shared" si="69"/>
        <v>1</v>
      </c>
      <c r="FD35" s="317" t="str">
        <f t="shared" si="70"/>
        <v>S-G-m-d-N-S</v>
      </c>
      <c r="FE35" s="318" t="str">
        <f>IFERROR(__xludf.DUMMYFUNCTION("CONCATENATE(JOIN("""",GJ35:GV35))"),"SrGPdS")</f>
        <v>SrGPdS</v>
      </c>
      <c r="FF35" s="318"/>
      <c r="FG35" s="318"/>
      <c r="FH35" s="321">
        <f t="shared" si="71"/>
        <v>3</v>
      </c>
      <c r="FI35" s="318" t="str">
        <f>IFERROR(__xludf.DUMMYFUNCTION("CONCATENATE(JOIN("""",HW35:II35))"),"Sa, dha, Ni, ")</f>
        <v>Sa, dha, Ni, </v>
      </c>
      <c r="FJ35" s="322">
        <f t="shared" si="72"/>
        <v>1</v>
      </c>
      <c r="FK35" s="324" t="str">
        <f>IFERROR(__xludf.DUMMYFUNCTION("CONCATENATE(JOIN("""",IW35:JI35))"),"dha, ")</f>
        <v>dha, </v>
      </c>
      <c r="FL35" s="325" t="str">
        <f t="shared" si="73"/>
        <v>S-G3-M1-D1-N3-S</v>
      </c>
      <c r="FM35" s="326" t="str">
        <f t="shared" si="74"/>
        <v>1-3-4-b6-7-8</v>
      </c>
      <c r="FN35" s="326" t="str">
        <f t="shared" si="75"/>
        <v>0-4-5-8-11-0</v>
      </c>
      <c r="FO35" s="318"/>
      <c r="FP35" s="328" t="str">
        <f>IFERROR(__xludf.DUMMYFUNCTION("SUBSTITUTE(SUBSTITUTE(SUBSTITUTE(SUBSTITUTE(CONCATENATE(JOIN("" "",FS35:GE35)),""  "","" ""),""  "","" ""),""  "","" ""),""  "","" "")"),"o • • • o o • • o • • o o")</f>
        <v>o • • • o o • • o • • o o</v>
      </c>
      <c r="FQ35" s="328" t="str">
        <f t="shared" si="76"/>
        <v>Sa-ma</v>
      </c>
      <c r="FR35" s="329"/>
      <c r="FS35" s="331" t="str">
        <f t="shared" si="77"/>
        <v>o</v>
      </c>
      <c r="FT35" s="332" t="str">
        <f t="shared" si="78"/>
        <v>•</v>
      </c>
      <c r="FU35" s="332" t="str">
        <f t="shared" si="79"/>
        <v>•</v>
      </c>
      <c r="FV35" s="332" t="str">
        <f t="shared" si="80"/>
        <v>•</v>
      </c>
      <c r="FW35" s="332" t="str">
        <f t="shared" si="81"/>
        <v>o</v>
      </c>
      <c r="FX35" s="332" t="str">
        <f t="shared" si="82"/>
        <v>o</v>
      </c>
      <c r="FY35" s="332" t="str">
        <f t="shared" si="83"/>
        <v>•</v>
      </c>
      <c r="FZ35" s="332" t="str">
        <f t="shared" si="84"/>
        <v>•</v>
      </c>
      <c r="GA35" s="332" t="str">
        <f t="shared" si="85"/>
        <v>o</v>
      </c>
      <c r="GB35" s="332" t="str">
        <f t="shared" si="86"/>
        <v>•</v>
      </c>
      <c r="GC35" s="332" t="str">
        <f t="shared" si="87"/>
        <v>•</v>
      </c>
      <c r="GD35" s="332" t="str">
        <f t="shared" si="88"/>
        <v>o</v>
      </c>
      <c r="GE35" s="338" t="str">
        <f t="shared" si="89"/>
        <v>o</v>
      </c>
      <c r="GF35" s="339" t="str">
        <f t="shared" si="90"/>
        <v>-</v>
      </c>
      <c r="GG35" s="339" t="str">
        <f t="shared" si="91"/>
        <v>-</v>
      </c>
      <c r="GH35" s="339" t="str">
        <f t="shared" si="92"/>
        <v>-</v>
      </c>
      <c r="GI35" s="340" t="str">
        <f t="shared" si="93"/>
        <v>Sa-ma</v>
      </c>
      <c r="GJ35" s="331" t="str">
        <f t="shared" si="94"/>
        <v>S</v>
      </c>
      <c r="GK35" s="332" t="str">
        <f t="shared" si="95"/>
        <v>r</v>
      </c>
      <c r="GL35" s="332" t="str">
        <f t="shared" si="96"/>
        <v/>
      </c>
      <c r="GM35" s="332" t="str">
        <f t="shared" si="97"/>
        <v/>
      </c>
      <c r="GN35" s="332" t="str">
        <f t="shared" si="98"/>
        <v>G</v>
      </c>
      <c r="GO35" s="332" t="str">
        <f t="shared" si="99"/>
        <v/>
      </c>
      <c r="GP35" s="332" t="str">
        <f t="shared" si="100"/>
        <v/>
      </c>
      <c r="GQ35" s="332" t="str">
        <f t="shared" si="101"/>
        <v>P</v>
      </c>
      <c r="GR35" s="332" t="str">
        <f t="shared" si="102"/>
        <v>d</v>
      </c>
      <c r="GS35" s="332" t="str">
        <f t="shared" si="103"/>
        <v/>
      </c>
      <c r="GT35" s="332" t="str">
        <f t="shared" si="104"/>
        <v/>
      </c>
      <c r="GU35" s="332" t="str">
        <f t="shared" si="105"/>
        <v/>
      </c>
      <c r="GV35" s="343" t="str">
        <f t="shared" si="106"/>
        <v>S</v>
      </c>
      <c r="GW35" s="331" t="str">
        <f t="shared" si="107"/>
        <v>•</v>
      </c>
      <c r="GX35" s="332" t="str">
        <f t="shared" si="108"/>
        <v>o</v>
      </c>
      <c r="GY35" s="332" t="str">
        <f t="shared" si="109"/>
        <v>o</v>
      </c>
      <c r="GZ35" s="332" t="str">
        <f t="shared" si="110"/>
        <v>o</v>
      </c>
      <c r="HA35" s="332" t="str">
        <f t="shared" si="111"/>
        <v>•</v>
      </c>
      <c r="HB35" s="332" t="str">
        <f t="shared" si="112"/>
        <v>•</v>
      </c>
      <c r="HC35" s="332" t="str">
        <f t="shared" si="113"/>
        <v>o</v>
      </c>
      <c r="HD35" s="332" t="str">
        <f t="shared" si="114"/>
        <v>o</v>
      </c>
      <c r="HE35" s="332" t="str">
        <f t="shared" si="115"/>
        <v>•</v>
      </c>
      <c r="HF35" s="332" t="str">
        <f t="shared" si="116"/>
        <v>o</v>
      </c>
      <c r="HG35" s="332" t="str">
        <f t="shared" si="117"/>
        <v>o</v>
      </c>
      <c r="HH35" s="332" t="str">
        <f t="shared" si="118"/>
        <v>•</v>
      </c>
      <c r="HI35" s="338" t="str">
        <f t="shared" si="119"/>
        <v>•</v>
      </c>
      <c r="HJ35" s="346" t="b">
        <f t="shared" si="120"/>
        <v>1</v>
      </c>
      <c r="HK35" s="347" t="b">
        <f t="shared" si="121"/>
        <v>0</v>
      </c>
      <c r="HL35" s="347" t="b">
        <f t="shared" si="122"/>
        <v>0</v>
      </c>
      <c r="HM35" s="347" t="b">
        <f t="shared" si="123"/>
        <v>0</v>
      </c>
      <c r="HN35" s="347" t="b">
        <f t="shared" si="124"/>
        <v>0</v>
      </c>
      <c r="HO35" s="347" t="b">
        <f t="shared" si="125"/>
        <v>0</v>
      </c>
      <c r="HP35" s="347" t="b">
        <f t="shared" si="126"/>
        <v>0</v>
      </c>
      <c r="HQ35" s="347" t="b">
        <f t="shared" si="127"/>
        <v>0</v>
      </c>
      <c r="HR35" s="347" t="b">
        <f t="shared" si="128"/>
        <v>1</v>
      </c>
      <c r="HS35" s="347" t="b">
        <f t="shared" si="129"/>
        <v>0</v>
      </c>
      <c r="HT35" s="347" t="b">
        <f t="shared" si="130"/>
        <v>0</v>
      </c>
      <c r="HU35" s="347" t="b">
        <f t="shared" si="131"/>
        <v>1</v>
      </c>
      <c r="HV35" s="353" t="b">
        <f t="shared" si="132"/>
        <v>1</v>
      </c>
      <c r="HW35" s="354" t="str">
        <f t="shared" si="133"/>
        <v>Sa, </v>
      </c>
      <c r="HX35" s="355" t="str">
        <f t="shared" si="134"/>
        <v/>
      </c>
      <c r="HY35" s="355" t="str">
        <f t="shared" si="135"/>
        <v/>
      </c>
      <c r="HZ35" s="355" t="str">
        <f t="shared" si="136"/>
        <v/>
      </c>
      <c r="IA35" s="355" t="str">
        <f t="shared" si="137"/>
        <v/>
      </c>
      <c r="IB35" s="355" t="str">
        <f t="shared" si="138"/>
        <v/>
      </c>
      <c r="IC35" s="355" t="str">
        <f t="shared" si="139"/>
        <v/>
      </c>
      <c r="ID35" s="355" t="str">
        <f t="shared" si="140"/>
        <v/>
      </c>
      <c r="IE35" s="355" t="str">
        <f t="shared" si="141"/>
        <v>dha, </v>
      </c>
      <c r="IF35" s="355" t="str">
        <f t="shared" si="142"/>
        <v/>
      </c>
      <c r="IG35" s="355" t="str">
        <f t="shared" si="143"/>
        <v/>
      </c>
      <c r="IH35" s="355" t="str">
        <f t="shared" si="144"/>
        <v>Ni, </v>
      </c>
      <c r="II35" s="359" t="str">
        <f t="shared" si="145"/>
        <v/>
      </c>
      <c r="IJ35" s="346" t="b">
        <f t="shared" si="146"/>
        <v>0</v>
      </c>
      <c r="IK35" s="347" t="b">
        <f t="shared" si="147"/>
        <v>0</v>
      </c>
      <c r="IL35" s="347" t="b">
        <f t="shared" si="148"/>
        <v>0</v>
      </c>
      <c r="IM35" s="347" t="b">
        <f t="shared" si="149"/>
        <v>0</v>
      </c>
      <c r="IN35" s="347" t="b">
        <f t="shared" si="150"/>
        <v>0</v>
      </c>
      <c r="IO35" s="347" t="b">
        <f t="shared" si="151"/>
        <v>0</v>
      </c>
      <c r="IP35" s="347" t="b">
        <f t="shared" si="152"/>
        <v>0</v>
      </c>
      <c r="IQ35" s="347" t="b">
        <f t="shared" si="153"/>
        <v>0</v>
      </c>
      <c r="IR35" s="347" t="b">
        <f t="shared" si="154"/>
        <v>1</v>
      </c>
      <c r="IS35" s="347" t="b">
        <f t="shared" si="155"/>
        <v>0</v>
      </c>
      <c r="IT35" s="347" t="b">
        <f t="shared" si="156"/>
        <v>0</v>
      </c>
      <c r="IU35" s="347" t="b">
        <f t="shared" si="157"/>
        <v>0</v>
      </c>
      <c r="IV35" s="365" t="b">
        <f t="shared" si="158"/>
        <v>0</v>
      </c>
      <c r="IW35" s="354" t="str">
        <f t="shared" si="159"/>
        <v/>
      </c>
      <c r="IX35" s="355" t="str">
        <f t="shared" si="160"/>
        <v/>
      </c>
      <c r="IY35" s="355" t="str">
        <f t="shared" si="161"/>
        <v/>
      </c>
      <c r="IZ35" s="355" t="str">
        <f t="shared" si="162"/>
        <v/>
      </c>
      <c r="JA35" s="355" t="str">
        <f t="shared" si="163"/>
        <v/>
      </c>
      <c r="JB35" s="355" t="str">
        <f t="shared" si="164"/>
        <v/>
      </c>
      <c r="JC35" s="355" t="str">
        <f t="shared" si="165"/>
        <v/>
      </c>
      <c r="JD35" s="355" t="str">
        <f t="shared" si="166"/>
        <v/>
      </c>
      <c r="JE35" s="355" t="str">
        <f t="shared" si="167"/>
        <v>dha, </v>
      </c>
      <c r="JF35" s="355" t="str">
        <f t="shared" si="168"/>
        <v/>
      </c>
      <c r="JG35" s="355" t="str">
        <f t="shared" si="169"/>
        <v/>
      </c>
      <c r="JH35" s="355" t="str">
        <f t="shared" si="170"/>
        <v/>
      </c>
      <c r="JI35" s="359"/>
      <c r="JJ35" s="321"/>
      <c r="JK35" s="368"/>
      <c r="JL35" s="369"/>
      <c r="JM35" s="369"/>
      <c r="JN35" s="369"/>
      <c r="JO35" s="369"/>
      <c r="JP35" s="369"/>
      <c r="JQ35" s="369"/>
      <c r="JR35" s="369"/>
      <c r="JS35" s="369"/>
      <c r="JT35" s="369"/>
      <c r="JU35" s="369"/>
    </row>
    <row r="36" ht="20.25" customHeight="1">
      <c r="A36" s="221" t="s">
        <v>1298</v>
      </c>
      <c r="B36" s="223" t="s">
        <v>595</v>
      </c>
      <c r="C36" s="222" t="s">
        <v>275</v>
      </c>
      <c r="D36" s="222"/>
      <c r="E36" s="222" t="s">
        <v>275</v>
      </c>
      <c r="F36" s="222"/>
      <c r="G36" s="395" t="s">
        <v>275</v>
      </c>
      <c r="H36" s="222">
        <v>34.0</v>
      </c>
      <c r="I36" s="224" t="s">
        <v>1219</v>
      </c>
      <c r="J36" s="225" t="str">
        <f t="shared" si="5"/>
        <v>[UQ]</v>
      </c>
      <c r="K36" s="227">
        <f t="shared" si="6"/>
        <v>7</v>
      </c>
      <c r="L36" s="229">
        <f t="shared" si="7"/>
        <v>7</v>
      </c>
      <c r="M36" s="230">
        <f t="shared" si="8"/>
        <v>0</v>
      </c>
      <c r="N36" s="233" t="str">
        <f t="shared" si="9"/>
        <v>SrgmPdnS</v>
      </c>
      <c r="O36" s="234" t="str">
        <f>IFERROR(__xludf.DUMMYFUNCTION("IF(REGEXMATCH(N36, ""S""), ""S"","""")"),"S")</f>
        <v>S</v>
      </c>
      <c r="P36" s="236" t="str">
        <f>IFERROR(__xludf.DUMMYFUNCTION("IF(REGEXMATCH(N36, ""r""), ""r"","""")"),"r")</f>
        <v>r</v>
      </c>
      <c r="Q36" s="237" t="str">
        <f>IFERROR(__xludf.DUMMYFUNCTION("IF(REGEXMATCH(N36, ""R""), ""R"","""")"),"")</f>
        <v/>
      </c>
      <c r="R36" s="237" t="str">
        <f>IFERROR(__xludf.DUMMYFUNCTION("IF(REGEXMATCH(N36, ""g""), ""g"","""")"),"g")</f>
        <v>g</v>
      </c>
      <c r="S36" s="236" t="str">
        <f>IFERROR(__xludf.DUMMYFUNCTION("IF(REGEXMATCH(N36, ""G""), ""G"","""")"),"")</f>
        <v/>
      </c>
      <c r="T36" s="236" t="str">
        <f>IFERROR(__xludf.DUMMYFUNCTION("IF(REGEXMATCH(N36, ""m""), ""m"","""")"),"m")</f>
        <v>m</v>
      </c>
      <c r="U36" s="237" t="str">
        <f>IFERROR(__xludf.DUMMYFUNCTION("IF(REGEXMATCH(N36, ""M""), ""M"","""")"),"")</f>
        <v/>
      </c>
      <c r="V36" s="236" t="str">
        <f>IFERROR(__xludf.DUMMYFUNCTION("IF(REGEXMATCH(N36, ""P""), ""P"","""")"),"P")</f>
        <v>P</v>
      </c>
      <c r="W36" s="237" t="str">
        <f>IFERROR(__xludf.DUMMYFUNCTION("IF(REGEXMATCH(N36, ""d""), ""d"","""")"),"d")</f>
        <v>d</v>
      </c>
      <c r="X36" s="236" t="str">
        <f>IFERROR(__xludf.DUMMYFUNCTION("IF(REGEXMATCH(N36, ""D""), ""D"","""")"),"")</f>
        <v/>
      </c>
      <c r="Y36" s="236" t="str">
        <f>IFERROR(__xludf.DUMMYFUNCTION("IF(REGEXMATCH(N36, ""n""), ""n"","""")"),"n")</f>
        <v>n</v>
      </c>
      <c r="Z36" s="237" t="str">
        <f>IFERROR(__xludf.DUMMYFUNCTION("IF(REGEXMATCH(N36, ""N""), ""N"","""")"),"")</f>
        <v/>
      </c>
      <c r="AA36" s="238" t="str">
        <f>IFERROR(__xludf.DUMMYFUNCTION("IF(REGEXMATCH(N36, ""S""), ""S"","""")"),"S")</f>
        <v>S</v>
      </c>
      <c r="AB36" s="239" t="str">
        <f>IFERROR(__xludf.DUMMYFUNCTION("SUBSTITUTE(CONCATENATE(JOIN(""-"",O36:U36)),""-"","""")"),"Srgm")</f>
        <v>Srgm</v>
      </c>
      <c r="AC36" s="229" t="str">
        <f>IFERROR(__xludf.DUMMYFUNCTION("SUBSTITUTE(CONCATENATE(JOIN(""-"",V36:AA36)),""-"","""")"),"PdnS")</f>
        <v>PdnS</v>
      </c>
      <c r="AD36" s="282" t="str">
        <f t="shared" si="10"/>
        <v>S-R-G-M</v>
      </c>
      <c r="AE36" s="282" t="str">
        <f t="shared" si="11"/>
        <v>P-D-N-S</v>
      </c>
      <c r="AF36" s="309" t="str">
        <f t="shared" si="12"/>
        <v>rgmdn</v>
      </c>
      <c r="AG36" s="244" t="str">
        <f>IFERROR(__xludf.DUMMYFUNCTION("IF(REGEXMATCH(N36, ""S""), ""0"","""")"),"0")</f>
        <v>0</v>
      </c>
      <c r="AH36" s="245" t="str">
        <f>IFERROR(__xludf.DUMMYFUNCTION("IF(REGEXMATCH(N36, ""r""), ""1"","""")"),"1")</f>
        <v>1</v>
      </c>
      <c r="AI36" s="246" t="str">
        <f>IFERROR(__xludf.DUMMYFUNCTION("IF(REGEXMATCH(N36, ""R""), ""2"","""")"),"")</f>
        <v/>
      </c>
      <c r="AJ36" s="246" t="str">
        <f>IFERROR(__xludf.DUMMYFUNCTION("IF(REGEXMATCH(N36, ""g""), ""3"","""")"),"3")</f>
        <v>3</v>
      </c>
      <c r="AK36" s="245" t="str">
        <f>IFERROR(__xludf.DUMMYFUNCTION("IF(REGEXMATCH(N36, ""G""), ""4"","""")"),"")</f>
        <v/>
      </c>
      <c r="AL36" s="245" t="str">
        <f>IFERROR(__xludf.DUMMYFUNCTION("IF(REGEXMATCH(N36, ""m""), ""5"","""")"),"5")</f>
        <v>5</v>
      </c>
      <c r="AM36" s="246" t="str">
        <f>IFERROR(__xludf.DUMMYFUNCTION("IF(REGEXMATCH(N36, ""M""), ""6"","""")"),"")</f>
        <v/>
      </c>
      <c r="AN36" s="245" t="str">
        <f>IFERROR(__xludf.DUMMYFUNCTION("IF(REGEXMATCH(N36, ""P""), ""7"","""")"),"7")</f>
        <v>7</v>
      </c>
      <c r="AO36" s="246" t="str">
        <f>IFERROR(__xludf.DUMMYFUNCTION("IF(REGEXMATCH(N36, ""d""), ""8"","""")"),"8")</f>
        <v>8</v>
      </c>
      <c r="AP36" s="245" t="str">
        <f>IFERROR(__xludf.DUMMYFUNCTION("IF(REGEXMATCH(N36, ""D""), ""9"","""")"),"")</f>
        <v/>
      </c>
      <c r="AQ36" s="245" t="str">
        <f>IFERROR(__xludf.DUMMYFUNCTION("IF(REGEXMATCH(N36, ""n""), ""10"","""")"),"10")</f>
        <v>10</v>
      </c>
      <c r="AR36" s="246" t="str">
        <f>IFERROR(__xludf.DUMMYFUNCTION("IF(REGEXMATCH(N36, ""N""), ""11"","""")"),"")</f>
        <v/>
      </c>
      <c r="AS36" s="249" t="str">
        <f>IFERROR(__xludf.DUMMYFUNCTION("IF(REGEXMATCH(N36, ""S""), ""0"","""")"),"0")</f>
        <v>0</v>
      </c>
      <c r="AT36" s="250" t="str">
        <f>IFERROR(__xludf.DUMMYFUNCTION("SUBSTITUTE(SUBSTITUTE(SUBSTITUTE(SUBSTITUTE(CONCATENATE(JOIN(""-"",AG36:AS36)),""--"",""-""),""--"",""-""),""--"",""-""),""--"",""-"")"),"0-1-3-5-7-8-10-0")</f>
        <v>0-1-3-5-7-8-10-0</v>
      </c>
      <c r="AU36" s="251">
        <f t="shared" si="13"/>
        <v>0</v>
      </c>
      <c r="AV36" s="234" t="str">
        <f t="shared" si="14"/>
        <v>|</v>
      </c>
      <c r="AW36" s="236" t="str">
        <f t="shared" si="15"/>
        <v>|</v>
      </c>
      <c r="AX36" s="237" t="str">
        <f t="shared" si="16"/>
        <v>-</v>
      </c>
      <c r="AY36" s="236" t="str">
        <f t="shared" si="17"/>
        <v>|</v>
      </c>
      <c r="AZ36" s="237" t="str">
        <f t="shared" si="18"/>
        <v>-</v>
      </c>
      <c r="BA36" s="236" t="str">
        <f t="shared" si="19"/>
        <v>|</v>
      </c>
      <c r="BB36" s="237" t="str">
        <f t="shared" si="20"/>
        <v>-</v>
      </c>
      <c r="BC36" s="236" t="str">
        <f t="shared" si="21"/>
        <v>|</v>
      </c>
      <c r="BD36" s="237" t="str">
        <f t="shared" si="22"/>
        <v>|</v>
      </c>
      <c r="BE36" s="236" t="str">
        <f t="shared" si="23"/>
        <v>-</v>
      </c>
      <c r="BF36" s="237" t="str">
        <f t="shared" si="24"/>
        <v>|</v>
      </c>
      <c r="BG36" s="236" t="str">
        <f t="shared" si="25"/>
        <v>-</v>
      </c>
      <c r="BH36" s="238" t="str">
        <f t="shared" si="26"/>
        <v>|</v>
      </c>
      <c r="BI36" s="250" t="str">
        <f>IFERROR(__xludf.DUMMYFUNCTION("SUBSTITUTE(SUBSTITUTE(CONCATENATE(JOIN("""",AV36:BG36)),""|"",""x""),""-"",""o"")"),"xxoxoxoxxoxo")</f>
        <v>xxoxoxoxxoxo</v>
      </c>
      <c r="BJ36" s="323" t="str">
        <f>IFERROR(__xludf.DUMMYFUNCTION("JOIN("""",BI36,BI36)"),"xxoxoxoxxoxoxxoxoxoxxoxo")</f>
        <v>xxoxoxoxxoxoxxoxoxoxxoxo</v>
      </c>
      <c r="BK36" s="256" t="str">
        <f>IFERROR(__xludf.DUMMYFUNCTION("JOIN("""",ArrayFormula(MID(BI36,LEN(BI36)-SEQUENCE(1,LEN(BI36))+1,1)))"),"oxoxxoxoxoxx")</f>
        <v>oxoxxoxoxoxx</v>
      </c>
      <c r="BL36" s="256" t="str">
        <f>IFERROR(__xludf.DUMMYFUNCTION("LEFT(CONCATENATE(""x"",JOIN("""",ArrayFormula(MID(BI36,LEN(BI36)-SEQUENCE(1,LEN(BI36))+1,1)))),12)"),"xoxoxxoxoxox")</f>
        <v>xoxoxxoxoxox</v>
      </c>
      <c r="BM36" s="327" t="str">
        <f>IFERROR(__xludf.DUMMYFUNCTION("JOIN("""",BK36,BK36)"),"oxoxxoxoxoxxoxoxxoxoxoxx")</f>
        <v>oxoxxoxoxoxxoxoxxoxoxoxx</v>
      </c>
      <c r="BN36" s="239" t="str">
        <f>IFERROR(__xludf.DUMMYFUNCTION("IF(REGEXMATCH(BM36,BI36),""✔"",""-"")"),"✔")</f>
        <v>✔</v>
      </c>
      <c r="BO36" s="330" t="str">
        <f t="shared" si="27"/>
        <v>-</v>
      </c>
      <c r="BP36" s="260" t="str">
        <f t="shared" si="28"/>
        <v>-</v>
      </c>
      <c r="BQ36" s="261" t="str">
        <f>IFERROR(__xludf.DUMMYFUNCTION("IF(BT36=0,""(n/a)"",IF(BU36=2,""(PAIR)"",IF(REGEXMATCH(BJ36,""xoxoxxoxoxox""),""Bilawal"",IF(REGEXMATCH(BJ36,""xoxoxooxoxoo""),""Bhupali"",IF(REGEXMATCH(BJ36,""xoxoxxoxxoxo""),""Charukeshi"",IF(REGEXMATCH(BJ36,""xoxoooxxoxxo""),""Kameshwari"",IF(REGEXMATC"&amp;"H(BJ36,""xoxoxooxoxox""),""Shankara"",IF(REGEXMATCH(BJ36,""xxooxoxxxoox""),""Basant"",IF(REGEXMATCH(BJ36,""xoxoxxxxoxox""),""Bihag"",IF(REGEXMATCH(BJ36,""xoxxxxoxoxxx""),""Pilu"",IF(REGEXMATCH(BJ36,""xoxxoxoxxoox""),""Kirwani"",IF(REGEXMATCH(BJ36,""xoxxox"&amp;"oxoxxx""),""Mk.Malhar"",IF(REGEXMATCH(BJ36,""xxooxxoxxoox""),""Bhairav"",IF(REGEXMATCH(BJ36,""xxoxooxxxoox""),""Todi"",IF(REGEXMATCH(BJ36,""xxooxoxooxox""),""Marwa"",IF(REGEXMATCH(BJ36,""xxoooxoxxooo""),""Gunkali"",IF(REGEXMATCH(BJ36,""xoxoxxoxxoox""),""N"&amp;"at Bhairav"",IF(REGEXMATCH(BJ36,""xoxxoooxoxoo""),""Shivranjani"",IF(REGEXMATCH(BJ36,""xooxxxoxooxo""),""Jog"",IF(REGEXMATCH(BJ36,""xxooxoxoxoox""),""Hemshri"",IF(REGEXMATCH(BJ36,""xoooxooxoxxo""),""Kalavati"",IF(REGEXMATCH(BJ36,""xxoxoxxoxoox""),""Kedar"&amp;""",IF(REGEXMATCH(BJ36,""xoxxxxoxooxx""),""Gara"",IF(REGEXMATCH(BJ36,""xooxoxooxoox""),""Chandrakauns"",IF(REGEXMATCH(BJ36,""xoxxxxoxxxox""),""Mand"",IF(REGEXMATCH(BJ36,""xoxxxxoxoxox""),""Hanskinkini"",IF(REGEXMATCH(BJ36,""xxooxxoxooxo""),""Lilavati"",IF("&amp;"REGEXMATCH(BJ36,""xooxoxoooxox""),""Rajeshwari"",IF(REGEXMATCH(BJ36,""xoooxxoxoxxx""),""Khokar"",IF(REGEXMATCH(BJ36,""xxooxoxxxxox""),""Maligoura"",""-""))))))))))))))))))))))))))))))"),"Bilawal")</f>
        <v>Bilawal</v>
      </c>
      <c r="BR36" s="239">
        <f t="shared" si="29"/>
        <v>6</v>
      </c>
      <c r="BS36" s="239">
        <f>IFERROR(__xludf.DUMMYFUNCTION("COUNTUNIQUE(BW36:CG36)-1"),6.0)</f>
        <v>6</v>
      </c>
      <c r="BT36" s="239">
        <f>IFERROR(__xludf.DUMMYFUNCTION("COUNTUNIQUE(FILTER(BJ:BJ,REGEXMATCH(BJ:BJ,BI36)))-1"),1.0)</f>
        <v>1</v>
      </c>
      <c r="BU36" s="239">
        <f>IFERROR(__xludf.DUMMYFUNCTION("COUNTA(FILTER(BJ:BJ,REGEXMATCH(BJ:BJ,BI36)))"),4.0)</f>
        <v>4</v>
      </c>
      <c r="BV36" s="341">
        <f>IFERROR(__xludf.DUMMYFUNCTION("COUNTA(FILTER(BJ:BJ,REGEXMATCH(BJ:BJ,BI36)))-AU36"),4.0)</f>
        <v>4</v>
      </c>
      <c r="BW36" s="269" t="str">
        <f t="shared" si="30"/>
        <v>xoxoxoxxoxo</v>
      </c>
      <c r="BX36" s="269" t="str">
        <f t="shared" si="31"/>
        <v>-</v>
      </c>
      <c r="BY36" s="271" t="str">
        <f t="shared" si="32"/>
        <v>xoxoxxoxoxx</v>
      </c>
      <c r="BZ36" s="269" t="str">
        <f t="shared" si="33"/>
        <v>-</v>
      </c>
      <c r="CA36" s="271" t="str">
        <f t="shared" si="34"/>
        <v>xoxxoxoxxox</v>
      </c>
      <c r="CB36" s="271" t="str">
        <f t="shared" si="35"/>
        <v>-</v>
      </c>
      <c r="CC36" s="271" t="str">
        <f t="shared" si="36"/>
        <v>xxoxoxxoxox</v>
      </c>
      <c r="CD36" s="271" t="str">
        <f t="shared" si="37"/>
        <v>xoxoxxoxoxo</v>
      </c>
      <c r="CE36" s="271" t="str">
        <f t="shared" si="38"/>
        <v>-</v>
      </c>
      <c r="CF36" s="271" t="str">
        <f t="shared" si="39"/>
        <v>xoxxoxoxoxx</v>
      </c>
      <c r="CG36" s="274" t="str">
        <f t="shared" si="40"/>
        <v>-</v>
      </c>
      <c r="CH36" s="276" t="str">
        <f>IFERROR(__xludf.DUMMYFUNCTION("IF(BI36=""oooooooooooo"",""-"",IF(REGEXMATCH(BJ36,""xx""), ""Hemi."", ""Anhemi.""))"),"Hemi.")</f>
        <v>Hemi.</v>
      </c>
      <c r="CI36" s="282" t="str">
        <f>IFERROR(__xludf.DUMMYFUNCTION("IF(BI36=""oooooooooooo"",""-"",IF(REGEXMATCH(BJ36,""xxx""), ""Cohem."", ""-""))"),"-")</f>
        <v>-</v>
      </c>
      <c r="CJ36" s="282" t="str">
        <f>IFERROR(__xludf.DUMMYFUNCTION("IF(BI36=""oooooooooooo"",""-"",IF(REGEXMATCH(BJ36,""xxxx""), ""Co-Co."", ""-""))"),"-")</f>
        <v>-</v>
      </c>
      <c r="CK36" s="342" t="str">
        <f>IFERROR(__xludf.DUMMYFUNCTION("IF(BI36=""oooooooooooo"",""-"",IF(REGEXMATCH(BJ36,""xxxxx""), ""CCC."", ""-""))"),"-")</f>
        <v>-</v>
      </c>
      <c r="CL36" s="344" t="str">
        <f t="shared" si="41"/>
        <v>Bhairavi</v>
      </c>
      <c r="CM36" s="282" t="str">
        <f>IFERROR(__xludf.DUMMYFUNCTION("IF(REGEXMATCH(JOIN(""-"",CO36:CX36),""TRUE""),""✔"",""-"")"),"✔")</f>
        <v>✔</v>
      </c>
      <c r="CN36" s="225">
        <f t="shared" si="42"/>
        <v>1</v>
      </c>
      <c r="CO36" s="376" t="b">
        <f>IFERROR(__xludf.DUMMYFUNCTION("arrayformula(sum(--REGEXMATCH(""SRGMPDNS"",split(REGEXREPLACE(N36,""(.)"",""$1~""),""~""))))=len(N36)
"),FALSE)</f>
        <v>0</v>
      </c>
      <c r="CP36" s="290" t="b">
        <f>IFERROR(__xludf.DUMMYFUNCTION("arrayformula(sum(--REGEXMATCH(""SRGmPDNS"",split(REGEXREPLACE(N36,""(.)"",""$1~""),""~""))))=len(N36)"),FALSE)</f>
        <v>0</v>
      </c>
      <c r="CQ36" s="290" t="b">
        <f>IFERROR(__xludf.DUMMYFUNCTION("arrayformula(sum(--REGEXMATCH(""SRGmPDnS"",split(REGEXREPLACE(N36,""(.)"",""$1~""),""~""))))=len(N36)"),FALSE)</f>
        <v>0</v>
      </c>
      <c r="CR36" s="290" t="b">
        <f>IFERROR(__xludf.DUMMYFUNCTION("arrayformula(sum(--REGEXMATCH(""SRgmPDnS"",split(REGEXREPLACE(N36,""(.)"",""$1~""),""~""))))=len(N36)"),FALSE)</f>
        <v>0</v>
      </c>
      <c r="CS36" s="290" t="b">
        <f>IFERROR(__xludf.DUMMYFUNCTION("arrayformula(sum(--REGEXMATCH(""SRgmPdnS"",split(REGEXREPLACE(N36,""(.)"",""$1~""),""~""))))=len(N36)"),FALSE)</f>
        <v>0</v>
      </c>
      <c r="CT36" s="290" t="b">
        <f>IFERROR(__xludf.DUMMYFUNCTION("arrayformula(sum(--REGEXMATCH(""SrgmPdnS"",split(REGEXREPLACE(N36,""(.)"",""$1~""),""~""))))=len(N36)"),TRUE)</f>
        <v>1</v>
      </c>
      <c r="CU36" s="290" t="b">
        <f>IFERROR(__xludf.DUMMYFUNCTION("arrayformula(sum(--REGEXMATCH(""SrGmPdNS"",split(REGEXREPLACE(N36,""(.)"",""$1~""),""~""))))=len(N36)"),FALSE)</f>
        <v>0</v>
      </c>
      <c r="CV36" s="290" t="b">
        <f>IFERROR(__xludf.DUMMYFUNCTION("arrayformula(sum(--REGEXMATCH(""SrGMPDNS"",split(REGEXREPLACE(N36,""(.)"",""$1~""),""~""))))=len(N36)"),FALSE)</f>
        <v>0</v>
      </c>
      <c r="CW36" s="290" t="b">
        <f>IFERROR(__xludf.DUMMYFUNCTION("arrayformula(sum(--REGEXMATCH(""SrGMPdNS"",split(REGEXREPLACE(N36,""(.)"",""$1~""),""~""))))=len(N36)"),FALSE)</f>
        <v>0</v>
      </c>
      <c r="CX36" s="293" t="b">
        <f>IFERROR(__xludf.DUMMYFUNCTION("arrayformula(sum(--REGEXMATCH(""SrgMPdNS"",split(REGEXREPLACE(N36,""(.)"",""$1~""),""~""))))=len(N36)"),FALSE)</f>
        <v>0</v>
      </c>
      <c r="CY36" s="244" t="str">
        <f>IFERROR(__xludf.DUMMYFUNCTION("IF(REGEXMATCH(N36, ""S""), ""1"","""")"),"1")</f>
        <v>1</v>
      </c>
      <c r="CZ36" s="245" t="str">
        <f>IFERROR(__xludf.DUMMYFUNCTION("IF(REGEXMATCH(N36, ""r""), ""b2"","""")"),"b2")</f>
        <v>b2</v>
      </c>
      <c r="DA36" s="246" t="str">
        <f>IFERROR(__xludf.DUMMYFUNCTION("IF(REGEXMATCH(N36, ""R""), ""2"","""")"),"")</f>
        <v/>
      </c>
      <c r="DB36" s="246" t="str">
        <f>IFERROR(__xludf.DUMMYFUNCTION("IF(REGEXMATCH(N36, ""g""), ""b3"","""")"),"b3")</f>
        <v>b3</v>
      </c>
      <c r="DC36" s="245" t="str">
        <f>IFERROR(__xludf.DUMMYFUNCTION("IF(REGEXMATCH(N36, ""G""), ""3"","""")"),"")</f>
        <v/>
      </c>
      <c r="DD36" s="245" t="str">
        <f>IFERROR(__xludf.DUMMYFUNCTION("IF(REGEXMATCH(N36, ""m""), ""4"","""")"),"4")</f>
        <v>4</v>
      </c>
      <c r="DE36" s="246" t="str">
        <f>IFERROR(__xludf.DUMMYFUNCTION("IF(REGEXMATCH(N36, ""M""), ""#4"","""")"),"")</f>
        <v/>
      </c>
      <c r="DF36" s="245" t="str">
        <f>IFERROR(__xludf.DUMMYFUNCTION("IF(REGEXMATCH(N36, ""P""), ""5"","""")"),"5")</f>
        <v>5</v>
      </c>
      <c r="DG36" s="246" t="str">
        <f>IFERROR(__xludf.DUMMYFUNCTION("IF(REGEXMATCH(N36, ""d""), ""b6"","""")"),"b6")</f>
        <v>b6</v>
      </c>
      <c r="DH36" s="245" t="str">
        <f>IFERROR(__xludf.DUMMYFUNCTION("IF(REGEXMATCH(N36, ""D""), ""6"","""")"),"")</f>
        <v/>
      </c>
      <c r="DI36" s="245" t="str">
        <f>IFERROR(__xludf.DUMMYFUNCTION("IF(REGEXMATCH(N36, ""n""), ""b7"","""")"),"b7")</f>
        <v>b7</v>
      </c>
      <c r="DJ36" s="246" t="str">
        <f>IFERROR(__xludf.DUMMYFUNCTION("IF(REGEXMATCH(N36, ""N""), ""7"","""")"),"")</f>
        <v/>
      </c>
      <c r="DK36" s="249" t="str">
        <f>IFERROR(__xludf.DUMMYFUNCTION("IF(REGEXMATCH(N36, ""S""), ""8"","""")"),"8")</f>
        <v>8</v>
      </c>
      <c r="DL36" s="244" t="str">
        <f>IFERROR(__xludf.DUMMYFUNCTION("IF(REGEXMATCH(N36, ""S""), ""S"","""")"),"S")</f>
        <v>S</v>
      </c>
      <c r="DM36" s="294" t="str">
        <f>IFERROR(__xludf.DUMMYFUNCTION("IF(REGEXMATCH(N36, ""r""), ""R1"","""")"),"R1")</f>
        <v>R1</v>
      </c>
      <c r="DN36" s="295" t="str">
        <f>IFERROR(__xludf.DUMMYFUNCTION("IF(REGEXMATCH(N36, ""R""), ""R2"","""")"),"")</f>
        <v/>
      </c>
      <c r="DO36" s="295" t="str">
        <f>IFERROR(__xludf.DUMMYFUNCTION("IF(REGEXMATCH(N36, ""g""), ""G2"","""")"),"G2")</f>
        <v>G2</v>
      </c>
      <c r="DP36" s="294" t="str">
        <f>IFERROR(__xludf.DUMMYFUNCTION("IF(REGEXMATCH(N36, ""G""), ""G3"","""")"),"")</f>
        <v/>
      </c>
      <c r="DQ36" s="294" t="str">
        <f>IFERROR(__xludf.DUMMYFUNCTION("IF(REGEXMATCH(N36, ""m""), ""M1"","""")"),"M1")</f>
        <v>M1</v>
      </c>
      <c r="DR36" s="295" t="str">
        <f>IFERROR(__xludf.DUMMYFUNCTION("IF(REGEXMATCH(N36, ""M""), ""M2"","""")"),"")</f>
        <v/>
      </c>
      <c r="DS36" s="294" t="str">
        <f>IFERROR(__xludf.DUMMYFUNCTION("IF(REGEXMATCH(N36, ""P""), ""P"","""")"),"P")</f>
        <v>P</v>
      </c>
      <c r="DT36" s="295" t="str">
        <f>IFERROR(__xludf.DUMMYFUNCTION("IF(REGEXMATCH(N36, ""d""), ""D1"","""")"),"D1")</f>
        <v>D1</v>
      </c>
      <c r="DU36" s="294" t="str">
        <f>IFERROR(__xludf.DUMMYFUNCTION("IF(REGEXMATCH(N36, ""D""), ""D2"","""")"),"")</f>
        <v/>
      </c>
      <c r="DV36" s="294" t="str">
        <f>IFERROR(__xludf.DUMMYFUNCTION("IF(REGEXMATCH(N36, ""n""), ""N2"","""")"),"N2")</f>
        <v>N2</v>
      </c>
      <c r="DW36" s="295" t="str">
        <f>IFERROR(__xludf.DUMMYFUNCTION("IF(REGEXMATCH(N36, ""N""), ""N3"","""")"),"")</f>
        <v/>
      </c>
      <c r="DX36" s="249" t="str">
        <f>IFERROR(__xludf.DUMMYFUNCTION("IF(REGEXMATCH(N36, ""S""), ""S"","""")"),"S")</f>
        <v>S</v>
      </c>
      <c r="DY36" s="299" t="str">
        <f>IFERROR(__xludf.DUMMYFUNCTION("SUBSTITUTE(SUBSTITUTE(SUBSTITUTE(SUBSTITUTE(CONCATENATE(JOIN(""-"",CY36:DK36)),""--"",""-""),""--"",""-""),""--"",""-""),""--"",""-"")"),"1-b2-b3-4-5-b6-b7-8")</f>
        <v>1-b2-b3-4-5-b6-b7-8</v>
      </c>
      <c r="DZ36" s="299" t="str">
        <f>IFERROR(__xludf.DUMMYFUNCTION("SUBSTITUTE(SUBSTITUTE(SUBSTITUTE(SUBSTITUTE(CONCATENATE(JOIN(""-"",DL36:DX36)),""--"",""-""),""--"",""-""),""--"",""-""),""--"",""-"")"),"S-R1-G2-M1-P-D1-N2-S")</f>
        <v>S-R1-G2-M1-P-D1-N2-S</v>
      </c>
      <c r="EA36" s="348" t="str">
        <f t="shared" si="43"/>
        <v>C-Db-Eb-F-G-Ab-Bb-C</v>
      </c>
      <c r="EB36" s="301">
        <f t="shared" si="44"/>
        <v>7</v>
      </c>
      <c r="EC36" s="302" t="str">
        <f t="shared" si="45"/>
        <v>Sampurna</v>
      </c>
      <c r="ED36" s="301" t="str">
        <f t="shared" ref="ED36:EE36" si="202">SUBSTITUTE(AD36,"-","")</f>
        <v>SRGM</v>
      </c>
      <c r="EE36" s="301" t="str">
        <f t="shared" si="202"/>
        <v>PDNS</v>
      </c>
      <c r="EF36" s="302" t="str">
        <f t="shared" si="47"/>
        <v>Bilawal</v>
      </c>
      <c r="EG36" s="301" t="str">
        <f t="shared" si="48"/>
        <v>Hemi.</v>
      </c>
      <c r="EH36" s="364" t="str">
        <f t="shared" si="49"/>
        <v>-</v>
      </c>
      <c r="EI36" s="306" t="str">
        <f t="shared" si="50"/>
        <v>Bhairavi</v>
      </c>
      <c r="EJ36" s="366" t="str">
        <f t="shared" si="51"/>
        <v>-</v>
      </c>
      <c r="EK36" s="308" t="str">
        <f t="shared" si="52"/>
        <v>-</v>
      </c>
      <c r="EL36" s="306" t="str">
        <f t="shared" si="53"/>
        <v>-</v>
      </c>
      <c r="EM36" s="306" t="str">
        <f t="shared" si="54"/>
        <v>✔</v>
      </c>
      <c r="EN36" s="367" t="str">
        <f t="shared" si="55"/>
        <v>-</v>
      </c>
      <c r="EO36" s="310" t="str">
        <f t="shared" si="56"/>
        <v>-</v>
      </c>
      <c r="EP36" s="310" t="str">
        <f t="shared" si="57"/>
        <v>-</v>
      </c>
      <c r="EQ36" s="310" t="str">
        <f t="shared" si="58"/>
        <v>-</v>
      </c>
      <c r="ER36" s="310" t="str">
        <f t="shared" si="59"/>
        <v>-</v>
      </c>
      <c r="ES36" s="370" t="str">
        <f t="shared" si="60"/>
        <v>-</v>
      </c>
      <c r="ET36" s="306" t="str">
        <f t="shared" si="61"/>
        <v>-</v>
      </c>
      <c r="EU36" s="306" t="str">
        <f t="shared" si="62"/>
        <v>-</v>
      </c>
      <c r="EV36" s="306" t="str">
        <f t="shared" si="63"/>
        <v>-</v>
      </c>
      <c r="EW36" s="306" t="str">
        <f t="shared" si="64"/>
        <v>-</v>
      </c>
      <c r="EX36" s="306" t="str">
        <f t="shared" si="65"/>
        <v>-</v>
      </c>
      <c r="EY36" s="367" t="str">
        <f t="shared" si="66"/>
        <v>-</v>
      </c>
      <c r="EZ36" s="310" t="str">
        <f>IFERROR(__xludf.DUMMYFUNCTION("IF(REGEXMATCH(BM36,BI36),""✔"",""-"")"),"✔")</f>
        <v>✔</v>
      </c>
      <c r="FA36" s="310" t="str">
        <f t="shared" si="67"/>
        <v>-</v>
      </c>
      <c r="FB36" s="370" t="str">
        <f t="shared" si="68"/>
        <v>-</v>
      </c>
      <c r="FC36" s="315" t="str">
        <f t="shared" si="69"/>
        <v>[UQ]</v>
      </c>
      <c r="FD36" s="317" t="str">
        <f t="shared" si="70"/>
        <v>S-r-g-m-P-d-n-S</v>
      </c>
      <c r="FE36" s="318" t="str">
        <f>IFERROR(__xludf.DUMMYFUNCTION("CONCATENATE(JOIN("""",GJ36:GV36))"),"SRGmPDNS")</f>
        <v>SRGmPDNS</v>
      </c>
      <c r="FF36" s="318"/>
      <c r="FG36" s="318"/>
      <c r="FH36" s="321">
        <f t="shared" si="71"/>
        <v>1</v>
      </c>
      <c r="FI36" s="318" t="str">
        <f>IFERROR(__xludf.DUMMYFUNCTION("CONCATENATE(JOIN("""",HW36:II36))"),"Pa, ")</f>
        <v>Pa, </v>
      </c>
      <c r="FJ36" s="322">
        <f t="shared" si="72"/>
        <v>0</v>
      </c>
      <c r="FK36" s="324" t="str">
        <f>IFERROR(__xludf.DUMMYFUNCTION("CONCATENATE(JOIN("""",IW36:JI36))"),"")</f>
        <v/>
      </c>
      <c r="FL36" s="325" t="str">
        <f t="shared" si="73"/>
        <v>S-R1-G2-M1-P-D1-N2-S</v>
      </c>
      <c r="FM36" s="326" t="str">
        <f t="shared" si="74"/>
        <v>1-b2-b3-4-5-b6-b7-8</v>
      </c>
      <c r="FN36" s="326" t="str">
        <f t="shared" si="75"/>
        <v>0-1-3-5-7-8-10-0</v>
      </c>
      <c r="FO36" s="318"/>
      <c r="FP36" s="328" t="str">
        <f>IFERROR(__xludf.DUMMYFUNCTION("SUBSTITUTE(SUBSTITUTE(SUBSTITUTE(SUBSTITUTE(CONCATENATE(JOIN("" "",FS36:GE36)),""  "","" ""),""  "","" ""),""  "","" ""),""  "","" "")"),"o o • o • o • o o • o • o")</f>
        <v>o o • o • o • o o • o • o</v>
      </c>
      <c r="FQ36" s="328" t="str">
        <f t="shared" si="76"/>
        <v>-</v>
      </c>
      <c r="FR36" s="329"/>
      <c r="FS36" s="331" t="str">
        <f t="shared" si="77"/>
        <v>o</v>
      </c>
      <c r="FT36" s="332" t="str">
        <f t="shared" si="78"/>
        <v>o</v>
      </c>
      <c r="FU36" s="332" t="str">
        <f t="shared" si="79"/>
        <v>•</v>
      </c>
      <c r="FV36" s="332" t="str">
        <f t="shared" si="80"/>
        <v>o</v>
      </c>
      <c r="FW36" s="332" t="str">
        <f t="shared" si="81"/>
        <v>•</v>
      </c>
      <c r="FX36" s="332" t="str">
        <f t="shared" si="82"/>
        <v>o</v>
      </c>
      <c r="FY36" s="332" t="str">
        <f t="shared" si="83"/>
        <v>•</v>
      </c>
      <c r="FZ36" s="332" t="str">
        <f t="shared" si="84"/>
        <v>o</v>
      </c>
      <c r="GA36" s="332" t="str">
        <f t="shared" si="85"/>
        <v>o</v>
      </c>
      <c r="GB36" s="332" t="str">
        <f t="shared" si="86"/>
        <v>•</v>
      </c>
      <c r="GC36" s="332" t="str">
        <f t="shared" si="87"/>
        <v>o</v>
      </c>
      <c r="GD36" s="332" t="str">
        <f t="shared" si="88"/>
        <v>•</v>
      </c>
      <c r="GE36" s="338" t="str">
        <f t="shared" si="89"/>
        <v>o</v>
      </c>
      <c r="GF36" s="339" t="str">
        <f t="shared" si="90"/>
        <v>-</v>
      </c>
      <c r="GG36" s="339" t="str">
        <f t="shared" si="91"/>
        <v>Sa-Pa</v>
      </c>
      <c r="GH36" s="339" t="str">
        <f t="shared" si="92"/>
        <v>-</v>
      </c>
      <c r="GI36" s="340" t="str">
        <f t="shared" si="93"/>
        <v>-</v>
      </c>
      <c r="GJ36" s="331" t="str">
        <f t="shared" si="94"/>
        <v>S</v>
      </c>
      <c r="GK36" s="332" t="str">
        <f t="shared" si="95"/>
        <v/>
      </c>
      <c r="GL36" s="332" t="str">
        <f t="shared" si="96"/>
        <v>R</v>
      </c>
      <c r="GM36" s="332" t="str">
        <f t="shared" si="97"/>
        <v/>
      </c>
      <c r="GN36" s="332" t="str">
        <f t="shared" si="98"/>
        <v>G</v>
      </c>
      <c r="GO36" s="332" t="str">
        <f t="shared" si="99"/>
        <v>m</v>
      </c>
      <c r="GP36" s="332" t="str">
        <f t="shared" si="100"/>
        <v/>
      </c>
      <c r="GQ36" s="332" t="str">
        <f t="shared" si="101"/>
        <v>P</v>
      </c>
      <c r="GR36" s="332" t="str">
        <f t="shared" si="102"/>
        <v/>
      </c>
      <c r="GS36" s="332" t="str">
        <f t="shared" si="103"/>
        <v>D</v>
      </c>
      <c r="GT36" s="332" t="str">
        <f t="shared" si="104"/>
        <v/>
      </c>
      <c r="GU36" s="332" t="str">
        <f t="shared" si="105"/>
        <v>N</v>
      </c>
      <c r="GV36" s="343" t="str">
        <f t="shared" si="106"/>
        <v>S</v>
      </c>
      <c r="GW36" s="331" t="str">
        <f t="shared" si="107"/>
        <v>•</v>
      </c>
      <c r="GX36" s="332" t="str">
        <f t="shared" si="108"/>
        <v>•</v>
      </c>
      <c r="GY36" s="332" t="str">
        <f t="shared" si="109"/>
        <v>o</v>
      </c>
      <c r="GZ36" s="332" t="str">
        <f t="shared" si="110"/>
        <v>•</v>
      </c>
      <c r="HA36" s="332" t="str">
        <f t="shared" si="111"/>
        <v>o</v>
      </c>
      <c r="HB36" s="332" t="str">
        <f t="shared" si="112"/>
        <v>•</v>
      </c>
      <c r="HC36" s="332" t="str">
        <f t="shared" si="113"/>
        <v>o</v>
      </c>
      <c r="HD36" s="332" t="str">
        <f t="shared" si="114"/>
        <v>•</v>
      </c>
      <c r="HE36" s="332" t="str">
        <f t="shared" si="115"/>
        <v>•</v>
      </c>
      <c r="HF36" s="332" t="str">
        <f t="shared" si="116"/>
        <v>o</v>
      </c>
      <c r="HG36" s="332" t="str">
        <f t="shared" si="117"/>
        <v>•</v>
      </c>
      <c r="HH36" s="332" t="str">
        <f t="shared" si="118"/>
        <v>o</v>
      </c>
      <c r="HI36" s="338" t="str">
        <f t="shared" si="119"/>
        <v>•</v>
      </c>
      <c r="HJ36" s="346" t="b">
        <f t="shared" si="120"/>
        <v>0</v>
      </c>
      <c r="HK36" s="347" t="b">
        <f t="shared" si="121"/>
        <v>0</v>
      </c>
      <c r="HL36" s="347" t="b">
        <f t="shared" si="122"/>
        <v>0</v>
      </c>
      <c r="HM36" s="347" t="b">
        <f t="shared" si="123"/>
        <v>0</v>
      </c>
      <c r="HN36" s="347" t="b">
        <f t="shared" si="124"/>
        <v>0</v>
      </c>
      <c r="HO36" s="347" t="b">
        <f t="shared" si="125"/>
        <v>0</v>
      </c>
      <c r="HP36" s="347" t="b">
        <f t="shared" si="126"/>
        <v>0</v>
      </c>
      <c r="HQ36" s="347" t="b">
        <f t="shared" si="127"/>
        <v>1</v>
      </c>
      <c r="HR36" s="347" t="b">
        <f t="shared" si="128"/>
        <v>0</v>
      </c>
      <c r="HS36" s="347" t="b">
        <f t="shared" si="129"/>
        <v>0</v>
      </c>
      <c r="HT36" s="347" t="b">
        <f t="shared" si="130"/>
        <v>0</v>
      </c>
      <c r="HU36" s="347" t="b">
        <f t="shared" si="131"/>
        <v>0</v>
      </c>
      <c r="HV36" s="353" t="b">
        <f t="shared" si="132"/>
        <v>0</v>
      </c>
      <c r="HW36" s="354" t="str">
        <f t="shared" si="133"/>
        <v/>
      </c>
      <c r="HX36" s="355" t="str">
        <f t="shared" si="134"/>
        <v/>
      </c>
      <c r="HY36" s="355" t="str">
        <f t="shared" si="135"/>
        <v/>
      </c>
      <c r="HZ36" s="355" t="str">
        <f t="shared" si="136"/>
        <v/>
      </c>
      <c r="IA36" s="355" t="str">
        <f t="shared" si="137"/>
        <v/>
      </c>
      <c r="IB36" s="355" t="str">
        <f t="shared" si="138"/>
        <v/>
      </c>
      <c r="IC36" s="355" t="str">
        <f t="shared" si="139"/>
        <v/>
      </c>
      <c r="ID36" s="355" t="str">
        <f t="shared" si="140"/>
        <v>Pa, </v>
      </c>
      <c r="IE36" s="355" t="str">
        <f t="shared" si="141"/>
        <v/>
      </c>
      <c r="IF36" s="355" t="str">
        <f t="shared" si="142"/>
        <v/>
      </c>
      <c r="IG36" s="355" t="str">
        <f t="shared" si="143"/>
        <v/>
      </c>
      <c r="IH36" s="355" t="str">
        <f t="shared" si="144"/>
        <v/>
      </c>
      <c r="II36" s="359" t="str">
        <f t="shared" si="145"/>
        <v/>
      </c>
      <c r="IJ36" s="346" t="b">
        <f t="shared" si="146"/>
        <v>0</v>
      </c>
      <c r="IK36" s="347" t="b">
        <f t="shared" si="147"/>
        <v>0</v>
      </c>
      <c r="IL36" s="347" t="b">
        <f t="shared" si="148"/>
        <v>0</v>
      </c>
      <c r="IM36" s="347" t="b">
        <f t="shared" si="149"/>
        <v>0</v>
      </c>
      <c r="IN36" s="347" t="b">
        <f t="shared" si="150"/>
        <v>0</v>
      </c>
      <c r="IO36" s="347" t="b">
        <f t="shared" si="151"/>
        <v>0</v>
      </c>
      <c r="IP36" s="347" t="b">
        <f t="shared" si="152"/>
        <v>0</v>
      </c>
      <c r="IQ36" s="347" t="b">
        <f t="shared" si="153"/>
        <v>0</v>
      </c>
      <c r="IR36" s="347" t="b">
        <f t="shared" si="154"/>
        <v>0</v>
      </c>
      <c r="IS36" s="347" t="b">
        <f t="shared" si="155"/>
        <v>0</v>
      </c>
      <c r="IT36" s="347" t="b">
        <f t="shared" si="156"/>
        <v>0</v>
      </c>
      <c r="IU36" s="347" t="b">
        <f t="shared" si="157"/>
        <v>0</v>
      </c>
      <c r="IV36" s="365" t="b">
        <f t="shared" si="158"/>
        <v>0</v>
      </c>
      <c r="IW36" s="354" t="str">
        <f t="shared" si="159"/>
        <v/>
      </c>
      <c r="IX36" s="355" t="str">
        <f t="shared" si="160"/>
        <v/>
      </c>
      <c r="IY36" s="355" t="str">
        <f t="shared" si="161"/>
        <v/>
      </c>
      <c r="IZ36" s="355" t="str">
        <f t="shared" si="162"/>
        <v/>
      </c>
      <c r="JA36" s="355" t="str">
        <f t="shared" si="163"/>
        <v/>
      </c>
      <c r="JB36" s="355" t="str">
        <f t="shared" si="164"/>
        <v/>
      </c>
      <c r="JC36" s="355" t="str">
        <f t="shared" si="165"/>
        <v/>
      </c>
      <c r="JD36" s="355" t="str">
        <f t="shared" si="166"/>
        <v/>
      </c>
      <c r="JE36" s="355" t="str">
        <f t="shared" si="167"/>
        <v/>
      </c>
      <c r="JF36" s="355" t="str">
        <f t="shared" si="168"/>
        <v/>
      </c>
      <c r="JG36" s="355" t="str">
        <f t="shared" si="169"/>
        <v/>
      </c>
      <c r="JH36" s="355" t="str">
        <f t="shared" si="170"/>
        <v/>
      </c>
      <c r="JI36" s="359"/>
      <c r="JJ36" s="321"/>
      <c r="JK36" s="368"/>
      <c r="JL36" s="369"/>
      <c r="JM36" s="369"/>
      <c r="JN36" s="369"/>
      <c r="JO36" s="369"/>
      <c r="JP36" s="369"/>
      <c r="JQ36" s="369"/>
      <c r="JR36" s="369"/>
      <c r="JS36" s="369"/>
      <c r="JT36" s="369"/>
      <c r="JU36" s="369"/>
    </row>
    <row r="37" ht="20.25" customHeight="1">
      <c r="A37" s="221" t="s">
        <v>1299</v>
      </c>
      <c r="B37" s="223" t="s">
        <v>1300</v>
      </c>
      <c r="C37" s="222" t="s">
        <v>275</v>
      </c>
      <c r="D37" s="222"/>
      <c r="E37" s="222" t="s">
        <v>275</v>
      </c>
      <c r="F37" s="222"/>
      <c r="G37" s="395" t="s">
        <v>275</v>
      </c>
      <c r="H37" s="222">
        <v>35.0</v>
      </c>
      <c r="I37" s="224" t="s">
        <v>1219</v>
      </c>
      <c r="J37" s="414">
        <f t="shared" si="5"/>
        <v>1</v>
      </c>
      <c r="K37" s="227">
        <f t="shared" si="6"/>
        <v>6</v>
      </c>
      <c r="L37" s="229">
        <f t="shared" si="7"/>
        <v>6</v>
      </c>
      <c r="M37" s="230">
        <f t="shared" si="8"/>
        <v>0</v>
      </c>
      <c r="N37" s="233" t="str">
        <f t="shared" si="9"/>
        <v>SRgmdnS</v>
      </c>
      <c r="O37" s="234" t="str">
        <f>IFERROR(__xludf.DUMMYFUNCTION("IF(REGEXMATCH(N37, ""S""), ""S"","""")"),"S")</f>
        <v>S</v>
      </c>
      <c r="P37" s="236" t="str">
        <f>IFERROR(__xludf.DUMMYFUNCTION("IF(REGEXMATCH(N37, ""r""), ""r"","""")"),"")</f>
        <v/>
      </c>
      <c r="Q37" s="237" t="str">
        <f>IFERROR(__xludf.DUMMYFUNCTION("IF(REGEXMATCH(N37, ""R""), ""R"","""")"),"R")</f>
        <v>R</v>
      </c>
      <c r="R37" s="237" t="str">
        <f>IFERROR(__xludf.DUMMYFUNCTION("IF(REGEXMATCH(N37, ""g""), ""g"","""")"),"g")</f>
        <v>g</v>
      </c>
      <c r="S37" s="236" t="str">
        <f>IFERROR(__xludf.DUMMYFUNCTION("IF(REGEXMATCH(N37, ""G""), ""G"","""")"),"")</f>
        <v/>
      </c>
      <c r="T37" s="236" t="str">
        <f>IFERROR(__xludf.DUMMYFUNCTION("IF(REGEXMATCH(N37, ""m""), ""m"","""")"),"m")</f>
        <v>m</v>
      </c>
      <c r="U37" s="237" t="str">
        <f>IFERROR(__xludf.DUMMYFUNCTION("IF(REGEXMATCH(N37, ""M""), ""M"","""")"),"")</f>
        <v/>
      </c>
      <c r="V37" s="236" t="str">
        <f>IFERROR(__xludf.DUMMYFUNCTION("IF(REGEXMATCH(N37, ""P""), ""P"","""")"),"")</f>
        <v/>
      </c>
      <c r="W37" s="237" t="str">
        <f>IFERROR(__xludf.DUMMYFUNCTION("IF(REGEXMATCH(N37, ""d""), ""d"","""")"),"d")</f>
        <v>d</v>
      </c>
      <c r="X37" s="236" t="str">
        <f>IFERROR(__xludf.DUMMYFUNCTION("IF(REGEXMATCH(N37, ""D""), ""D"","""")"),"")</f>
        <v/>
      </c>
      <c r="Y37" s="236" t="str">
        <f>IFERROR(__xludf.DUMMYFUNCTION("IF(REGEXMATCH(N37, ""n""), ""n"","""")"),"n")</f>
        <v>n</v>
      </c>
      <c r="Z37" s="237" t="str">
        <f>IFERROR(__xludf.DUMMYFUNCTION("IF(REGEXMATCH(N37, ""N""), ""N"","""")"),"")</f>
        <v/>
      </c>
      <c r="AA37" s="238" t="str">
        <f>IFERROR(__xludf.DUMMYFUNCTION("IF(REGEXMATCH(N37, ""S""), ""S"","""")"),"S")</f>
        <v>S</v>
      </c>
      <c r="AB37" s="239" t="str">
        <f>IFERROR(__xludf.DUMMYFUNCTION("SUBSTITUTE(CONCATENATE(JOIN(""-"",O37:U37)),""-"","""")"),"SRgm")</f>
        <v>SRgm</v>
      </c>
      <c r="AC37" s="229" t="str">
        <f>IFERROR(__xludf.DUMMYFUNCTION("SUBSTITUTE(CONCATENATE(JOIN(""-"",V37:AA37)),""-"","""")"),"dnS")</f>
        <v>dnS</v>
      </c>
      <c r="AD37" s="282" t="str">
        <f t="shared" si="10"/>
        <v>S-R-G-M</v>
      </c>
      <c r="AE37" s="282" t="str">
        <f t="shared" si="11"/>
        <v>D-N-S</v>
      </c>
      <c r="AF37" s="309" t="str">
        <f t="shared" si="12"/>
        <v>Rgmdn</v>
      </c>
      <c r="AG37" s="244" t="str">
        <f>IFERROR(__xludf.DUMMYFUNCTION("IF(REGEXMATCH(N37, ""S""), ""0"","""")"),"0")</f>
        <v>0</v>
      </c>
      <c r="AH37" s="245" t="str">
        <f>IFERROR(__xludf.DUMMYFUNCTION("IF(REGEXMATCH(N37, ""r""), ""1"","""")"),"")</f>
        <v/>
      </c>
      <c r="AI37" s="246" t="str">
        <f>IFERROR(__xludf.DUMMYFUNCTION("IF(REGEXMATCH(N37, ""R""), ""2"","""")"),"2")</f>
        <v>2</v>
      </c>
      <c r="AJ37" s="246" t="str">
        <f>IFERROR(__xludf.DUMMYFUNCTION("IF(REGEXMATCH(N37, ""g""), ""3"","""")"),"3")</f>
        <v>3</v>
      </c>
      <c r="AK37" s="245" t="str">
        <f>IFERROR(__xludf.DUMMYFUNCTION("IF(REGEXMATCH(N37, ""G""), ""4"","""")"),"")</f>
        <v/>
      </c>
      <c r="AL37" s="245" t="str">
        <f>IFERROR(__xludf.DUMMYFUNCTION("IF(REGEXMATCH(N37, ""m""), ""5"","""")"),"5")</f>
        <v>5</v>
      </c>
      <c r="AM37" s="246" t="str">
        <f>IFERROR(__xludf.DUMMYFUNCTION("IF(REGEXMATCH(N37, ""M""), ""6"","""")"),"")</f>
        <v/>
      </c>
      <c r="AN37" s="245" t="str">
        <f>IFERROR(__xludf.DUMMYFUNCTION("IF(REGEXMATCH(N37, ""P""), ""7"","""")"),"")</f>
        <v/>
      </c>
      <c r="AO37" s="246" t="str">
        <f>IFERROR(__xludf.DUMMYFUNCTION("IF(REGEXMATCH(N37, ""d""), ""8"","""")"),"8")</f>
        <v>8</v>
      </c>
      <c r="AP37" s="245" t="str">
        <f>IFERROR(__xludf.DUMMYFUNCTION("IF(REGEXMATCH(N37, ""D""), ""9"","""")"),"")</f>
        <v/>
      </c>
      <c r="AQ37" s="245" t="str">
        <f>IFERROR(__xludf.DUMMYFUNCTION("IF(REGEXMATCH(N37, ""n""), ""10"","""")"),"10")</f>
        <v>10</v>
      </c>
      <c r="AR37" s="246" t="str">
        <f>IFERROR(__xludf.DUMMYFUNCTION("IF(REGEXMATCH(N37, ""N""), ""11"","""")"),"")</f>
        <v/>
      </c>
      <c r="AS37" s="249" t="str">
        <f>IFERROR(__xludf.DUMMYFUNCTION("IF(REGEXMATCH(N37, ""S""), ""0"","""")"),"0")</f>
        <v>0</v>
      </c>
      <c r="AT37" s="250" t="str">
        <f>IFERROR(__xludf.DUMMYFUNCTION("SUBSTITUTE(SUBSTITUTE(SUBSTITUTE(SUBSTITUTE(CONCATENATE(JOIN(""-"",AG37:AS37)),""--"",""-""),""--"",""-""),""--"",""-""),""--"",""-"")"),"0-2-3-5-8-10-0")</f>
        <v>0-2-3-5-8-10-0</v>
      </c>
      <c r="AU37" s="251">
        <f t="shared" si="13"/>
        <v>1</v>
      </c>
      <c r="AV37" s="234" t="str">
        <f t="shared" si="14"/>
        <v>|</v>
      </c>
      <c r="AW37" s="236" t="str">
        <f t="shared" si="15"/>
        <v>-</v>
      </c>
      <c r="AX37" s="237" t="str">
        <f t="shared" si="16"/>
        <v>|</v>
      </c>
      <c r="AY37" s="236" t="str">
        <f t="shared" si="17"/>
        <v>|</v>
      </c>
      <c r="AZ37" s="237" t="str">
        <f t="shared" si="18"/>
        <v>-</v>
      </c>
      <c r="BA37" s="236" t="str">
        <f t="shared" si="19"/>
        <v>|</v>
      </c>
      <c r="BB37" s="237" t="str">
        <f t="shared" si="20"/>
        <v>-</v>
      </c>
      <c r="BC37" s="236" t="str">
        <f t="shared" si="21"/>
        <v>-</v>
      </c>
      <c r="BD37" s="237" t="str">
        <f t="shared" si="22"/>
        <v>|</v>
      </c>
      <c r="BE37" s="236" t="str">
        <f t="shared" si="23"/>
        <v>-</v>
      </c>
      <c r="BF37" s="237" t="str">
        <f t="shared" si="24"/>
        <v>|</v>
      </c>
      <c r="BG37" s="236" t="str">
        <f t="shared" si="25"/>
        <v>-</v>
      </c>
      <c r="BH37" s="238" t="str">
        <f t="shared" si="26"/>
        <v>|</v>
      </c>
      <c r="BI37" s="250" t="str">
        <f>IFERROR(__xludf.DUMMYFUNCTION("SUBSTITUTE(SUBSTITUTE(CONCATENATE(JOIN("""",AV37:BG37)),""|"",""x""),""-"",""o"")"),"xoxxoxooxoxo")</f>
        <v>xoxxoxooxoxo</v>
      </c>
      <c r="BJ37" s="323" t="str">
        <f>IFERROR(__xludf.DUMMYFUNCTION("JOIN("""",BI37,BI37)"),"xoxxoxooxoxoxoxxoxooxoxo")</f>
        <v>xoxxoxooxoxoxoxxoxooxoxo</v>
      </c>
      <c r="BK37" s="256" t="str">
        <f>IFERROR(__xludf.DUMMYFUNCTION("JOIN("""",ArrayFormula(MID(BI37,LEN(BI37)-SEQUENCE(1,LEN(BI37))+1,1)))"),"oxoxooxoxxox")</f>
        <v>oxoxooxoxxox</v>
      </c>
      <c r="BL37" s="256" t="str">
        <f>IFERROR(__xludf.DUMMYFUNCTION("LEFT(CONCATENATE(""x"",JOIN("""",ArrayFormula(MID(BI37,LEN(BI37)-SEQUENCE(1,LEN(BI37))+1,1)))),12)"),"xoxoxooxoxxo")</f>
        <v>xoxoxooxoxxo</v>
      </c>
      <c r="BM37" s="327" t="str">
        <f>IFERROR(__xludf.DUMMYFUNCTION("JOIN("""",BK37,BK37)"),"oxoxooxoxxoxoxoxooxoxxox")</f>
        <v>oxoxooxoxxoxoxoxooxoxxox</v>
      </c>
      <c r="BN37" s="239" t="str">
        <f>IFERROR(__xludf.DUMMYFUNCTION("IF(REGEXMATCH(BM37,BI37),""✔"",""-"")"),"-")</f>
        <v>-</v>
      </c>
      <c r="BO37" s="330" t="str">
        <f t="shared" si="27"/>
        <v>-</v>
      </c>
      <c r="BP37" s="260" t="str">
        <f t="shared" si="28"/>
        <v>-</v>
      </c>
      <c r="BQ37" s="261" t="str">
        <f>IFERROR(__xludf.DUMMYFUNCTION("IF(BT37=0,""(n/a)"",IF(BU37=2,""(PAIR)"",IF(REGEXMATCH(BJ37,""xoxoxxoxoxox""),""Bilawal"",IF(REGEXMATCH(BJ37,""xoxoxooxoxoo""),""Bhupali"",IF(REGEXMATCH(BJ37,""xoxoxxoxxoxo""),""Charukeshi"",IF(REGEXMATCH(BJ37,""xoxoooxxoxxo""),""Kameshwari"",IF(REGEXMATC"&amp;"H(BJ37,""xoxoxooxoxox""),""Shankara"",IF(REGEXMATCH(BJ37,""xxooxoxxxoox""),""Basant"",IF(REGEXMATCH(BJ37,""xoxoxxxxoxox""),""Bihag"",IF(REGEXMATCH(BJ37,""xoxxxxoxoxxx""),""Pilu"",IF(REGEXMATCH(BJ37,""xoxxoxoxxoox""),""Kirwani"",IF(REGEXMATCH(BJ37,""xoxxox"&amp;"oxoxxx""),""Mk.Malhar"",IF(REGEXMATCH(BJ37,""xxooxxoxxoox""),""Bhairav"",IF(REGEXMATCH(BJ37,""xxoxooxxxoox""),""Todi"",IF(REGEXMATCH(BJ37,""xxooxoxooxox""),""Marwa"",IF(REGEXMATCH(BJ37,""xxoooxoxxooo""),""Gunkali"",IF(REGEXMATCH(BJ37,""xoxoxxoxxoox""),""N"&amp;"at Bhairav"",IF(REGEXMATCH(BJ37,""xoxxoooxoxoo""),""Shivranjani"",IF(REGEXMATCH(BJ37,""xooxxxoxooxo""),""Jog"",IF(REGEXMATCH(BJ37,""xxooxoxoxoox""),""Hemshri"",IF(REGEXMATCH(BJ37,""xoooxooxoxxo""),""Kalavati"",IF(REGEXMATCH(BJ37,""xxoxoxxoxoox""),""Kedar"&amp;""",IF(REGEXMATCH(BJ37,""xoxxxxoxooxx""),""Gara"",IF(REGEXMATCH(BJ37,""xooxoxooxoox""),""Chandrakauns"",IF(REGEXMATCH(BJ37,""xoxxxxoxxxox""),""Mand"",IF(REGEXMATCH(BJ37,""xoxxxxoxoxox""),""Hanskinkini"",IF(REGEXMATCH(BJ37,""xxooxxoxooxo""),""Lilavati"",IF("&amp;"REGEXMATCH(BJ37,""xooxoxoooxox""),""Rajeshwari"",IF(REGEXMATCH(BJ37,""xoooxxoxoxxx""),""Khokar"",IF(REGEXMATCH(BJ37,""xxooxoxxxxox""),""Maligoura"",""-""))))))))))))))))))))))))))))))"),"(n/a)")</f>
        <v>(n/a)</v>
      </c>
      <c r="BR37" s="239">
        <f t="shared" si="29"/>
        <v>5</v>
      </c>
      <c r="BS37" s="239">
        <f>IFERROR(__xludf.DUMMYFUNCTION("COUNTUNIQUE(BW37:CG37)-1"),5.0)</f>
        <v>5</v>
      </c>
      <c r="BT37" s="239">
        <f>IFERROR(__xludf.DUMMYFUNCTION("COUNTUNIQUE(FILTER(BJ:BJ,REGEXMATCH(BJ:BJ,BI37)))-1"),0.0)</f>
        <v>0</v>
      </c>
      <c r="BU37" s="239">
        <f>IFERROR(__xludf.DUMMYFUNCTION("COUNTA(FILTER(BJ:BJ,REGEXMATCH(BJ:BJ,BI37)))"),2.0)</f>
        <v>2</v>
      </c>
      <c r="BV37" s="341">
        <f>IFERROR(__xludf.DUMMYFUNCTION("COUNTA(FILTER(BJ:BJ,REGEXMATCH(BJ:BJ,BI37)))-AU37"),1.0)</f>
        <v>1</v>
      </c>
      <c r="BW37" s="269" t="str">
        <f t="shared" si="30"/>
        <v>-</v>
      </c>
      <c r="BX37" s="269" t="str">
        <f t="shared" si="31"/>
        <v>xxoxooxoxox</v>
      </c>
      <c r="BY37" s="271" t="str">
        <f t="shared" si="32"/>
        <v>xoxooxoxoxo</v>
      </c>
      <c r="BZ37" s="269" t="str">
        <f t="shared" si="33"/>
        <v>-</v>
      </c>
      <c r="CA37" s="271" t="str">
        <f t="shared" si="34"/>
        <v>xooxoxoxoxx</v>
      </c>
      <c r="CB37" s="271" t="str">
        <f t="shared" si="35"/>
        <v>-</v>
      </c>
      <c r="CC37" s="271" t="str">
        <f t="shared" si="36"/>
        <v>-</v>
      </c>
      <c r="CD37" s="271" t="str">
        <f t="shared" si="37"/>
        <v>xoxoxoxxoxo</v>
      </c>
      <c r="CE37" s="271" t="str">
        <f t="shared" si="38"/>
        <v>-</v>
      </c>
      <c r="CF37" s="271" t="str">
        <f t="shared" si="39"/>
        <v>xoxoxxoxoox</v>
      </c>
      <c r="CG37" s="274" t="str">
        <f t="shared" si="40"/>
        <v>-</v>
      </c>
      <c r="CH37" s="276" t="str">
        <f>IFERROR(__xludf.DUMMYFUNCTION("IF(BI37=""oooooooooooo"",""-"",IF(REGEXMATCH(BJ37,""xx""), ""Hemi."", ""Anhemi.""))"),"Hemi.")</f>
        <v>Hemi.</v>
      </c>
      <c r="CI37" s="282" t="str">
        <f>IFERROR(__xludf.DUMMYFUNCTION("IF(BI37=""oooooooooooo"",""-"",IF(REGEXMATCH(BJ37,""xxx""), ""Cohem."", ""-""))"),"-")</f>
        <v>-</v>
      </c>
      <c r="CJ37" s="282" t="str">
        <f>IFERROR(__xludf.DUMMYFUNCTION("IF(BI37=""oooooooooooo"",""-"",IF(REGEXMATCH(BJ37,""xxxx""), ""Co-Co."", ""-""))"),"-")</f>
        <v>-</v>
      </c>
      <c r="CK37" s="342" t="str">
        <f>IFERROR(__xludf.DUMMYFUNCTION("IF(BI37=""oooooooooooo"",""-"",IF(REGEXMATCH(BJ37,""xxxxx""), ""CCC."", ""-""))"),"-")</f>
        <v>-</v>
      </c>
      <c r="CL37" s="344" t="str">
        <f t="shared" si="41"/>
        <v>-</v>
      </c>
      <c r="CM37" s="282" t="str">
        <f>IFERROR(__xludf.DUMMYFUNCTION("IF(REGEXMATCH(JOIN(""-"",CO37:CX37),""TRUE""),""✔"",""-"")"),"✔")</f>
        <v>✔</v>
      </c>
      <c r="CN37" s="225">
        <f t="shared" si="42"/>
        <v>1</v>
      </c>
      <c r="CO37" s="376" t="b">
        <f>IFERROR(__xludf.DUMMYFUNCTION("arrayformula(sum(--REGEXMATCH(""SRGMPDNS"",split(REGEXREPLACE(N37,""(.)"",""$1~""),""~""))))=len(N37)
"),FALSE)</f>
        <v>0</v>
      </c>
      <c r="CP37" s="290" t="b">
        <f>IFERROR(__xludf.DUMMYFUNCTION("arrayformula(sum(--REGEXMATCH(""SRGmPDNS"",split(REGEXREPLACE(N37,""(.)"",""$1~""),""~""))))=len(N37)"),FALSE)</f>
        <v>0</v>
      </c>
      <c r="CQ37" s="290" t="b">
        <f>IFERROR(__xludf.DUMMYFUNCTION("arrayformula(sum(--REGEXMATCH(""SRGmPDnS"",split(REGEXREPLACE(N37,""(.)"",""$1~""),""~""))))=len(N37)"),FALSE)</f>
        <v>0</v>
      </c>
      <c r="CR37" s="290" t="b">
        <f>IFERROR(__xludf.DUMMYFUNCTION("arrayformula(sum(--REGEXMATCH(""SRgmPDnS"",split(REGEXREPLACE(N37,""(.)"",""$1~""),""~""))))=len(N37)"),FALSE)</f>
        <v>0</v>
      </c>
      <c r="CS37" s="290" t="b">
        <f>IFERROR(__xludf.DUMMYFUNCTION("arrayformula(sum(--REGEXMATCH(""SRgmPdnS"",split(REGEXREPLACE(N37,""(.)"",""$1~""),""~""))))=len(N37)"),TRUE)</f>
        <v>1</v>
      </c>
      <c r="CT37" s="290" t="b">
        <f>IFERROR(__xludf.DUMMYFUNCTION("arrayformula(sum(--REGEXMATCH(""SrgmPdnS"",split(REGEXREPLACE(N37,""(.)"",""$1~""),""~""))))=len(N37)"),FALSE)</f>
        <v>0</v>
      </c>
      <c r="CU37" s="290" t="b">
        <f>IFERROR(__xludf.DUMMYFUNCTION("arrayformula(sum(--REGEXMATCH(""SrGmPdNS"",split(REGEXREPLACE(N37,""(.)"",""$1~""),""~""))))=len(N37)"),FALSE)</f>
        <v>0</v>
      </c>
      <c r="CV37" s="290" t="b">
        <f>IFERROR(__xludf.DUMMYFUNCTION("arrayformula(sum(--REGEXMATCH(""SrGMPDNS"",split(REGEXREPLACE(N37,""(.)"",""$1~""),""~""))))=len(N37)"),FALSE)</f>
        <v>0</v>
      </c>
      <c r="CW37" s="290" t="b">
        <f>IFERROR(__xludf.DUMMYFUNCTION("arrayformula(sum(--REGEXMATCH(""SrGMPdNS"",split(REGEXREPLACE(N37,""(.)"",""$1~""),""~""))))=len(N37)"),FALSE)</f>
        <v>0</v>
      </c>
      <c r="CX37" s="293" t="b">
        <f>IFERROR(__xludf.DUMMYFUNCTION("arrayformula(sum(--REGEXMATCH(""SrgMPdNS"",split(REGEXREPLACE(N37,""(.)"",""$1~""),""~""))))=len(N37)"),FALSE)</f>
        <v>0</v>
      </c>
      <c r="CY37" s="244" t="str">
        <f>IFERROR(__xludf.DUMMYFUNCTION("IF(REGEXMATCH(N37, ""S""), ""1"","""")"),"1")</f>
        <v>1</v>
      </c>
      <c r="CZ37" s="245" t="str">
        <f>IFERROR(__xludf.DUMMYFUNCTION("IF(REGEXMATCH(N37, ""r""), ""b2"","""")"),"")</f>
        <v/>
      </c>
      <c r="DA37" s="246" t="str">
        <f>IFERROR(__xludf.DUMMYFUNCTION("IF(REGEXMATCH(N37, ""R""), ""2"","""")"),"2")</f>
        <v>2</v>
      </c>
      <c r="DB37" s="246" t="str">
        <f>IFERROR(__xludf.DUMMYFUNCTION("IF(REGEXMATCH(N37, ""g""), ""b3"","""")"),"b3")</f>
        <v>b3</v>
      </c>
      <c r="DC37" s="245" t="str">
        <f>IFERROR(__xludf.DUMMYFUNCTION("IF(REGEXMATCH(N37, ""G""), ""3"","""")"),"")</f>
        <v/>
      </c>
      <c r="DD37" s="245" t="str">
        <f>IFERROR(__xludf.DUMMYFUNCTION("IF(REGEXMATCH(N37, ""m""), ""4"","""")"),"4")</f>
        <v>4</v>
      </c>
      <c r="DE37" s="246" t="str">
        <f>IFERROR(__xludf.DUMMYFUNCTION("IF(REGEXMATCH(N37, ""M""), ""#4"","""")"),"")</f>
        <v/>
      </c>
      <c r="DF37" s="245" t="str">
        <f>IFERROR(__xludf.DUMMYFUNCTION("IF(REGEXMATCH(N37, ""P""), ""5"","""")"),"")</f>
        <v/>
      </c>
      <c r="DG37" s="246" t="str">
        <f>IFERROR(__xludf.DUMMYFUNCTION("IF(REGEXMATCH(N37, ""d""), ""b6"","""")"),"b6")</f>
        <v>b6</v>
      </c>
      <c r="DH37" s="245" t="str">
        <f>IFERROR(__xludf.DUMMYFUNCTION("IF(REGEXMATCH(N37, ""D""), ""6"","""")"),"")</f>
        <v/>
      </c>
      <c r="DI37" s="245" t="str">
        <f>IFERROR(__xludf.DUMMYFUNCTION("IF(REGEXMATCH(N37, ""n""), ""b7"","""")"),"b7")</f>
        <v>b7</v>
      </c>
      <c r="DJ37" s="246" t="str">
        <f>IFERROR(__xludf.DUMMYFUNCTION("IF(REGEXMATCH(N37, ""N""), ""7"","""")"),"")</f>
        <v/>
      </c>
      <c r="DK37" s="249" t="str">
        <f>IFERROR(__xludf.DUMMYFUNCTION("IF(REGEXMATCH(N37, ""S""), ""8"","""")"),"8")</f>
        <v>8</v>
      </c>
      <c r="DL37" s="244" t="str">
        <f>IFERROR(__xludf.DUMMYFUNCTION("IF(REGEXMATCH(N37, ""S""), ""S"","""")"),"S")</f>
        <v>S</v>
      </c>
      <c r="DM37" s="294" t="str">
        <f>IFERROR(__xludf.DUMMYFUNCTION("IF(REGEXMATCH(N37, ""r""), ""R1"","""")"),"")</f>
        <v/>
      </c>
      <c r="DN37" s="295" t="str">
        <f>IFERROR(__xludf.DUMMYFUNCTION("IF(REGEXMATCH(N37, ""R""), ""R2"","""")"),"R2")</f>
        <v>R2</v>
      </c>
      <c r="DO37" s="295" t="str">
        <f>IFERROR(__xludf.DUMMYFUNCTION("IF(REGEXMATCH(N37, ""g""), ""G2"","""")"),"G2")</f>
        <v>G2</v>
      </c>
      <c r="DP37" s="294" t="str">
        <f>IFERROR(__xludf.DUMMYFUNCTION("IF(REGEXMATCH(N37, ""G""), ""G3"","""")"),"")</f>
        <v/>
      </c>
      <c r="DQ37" s="294" t="str">
        <f>IFERROR(__xludf.DUMMYFUNCTION("IF(REGEXMATCH(N37, ""m""), ""M1"","""")"),"M1")</f>
        <v>M1</v>
      </c>
      <c r="DR37" s="295" t="str">
        <f>IFERROR(__xludf.DUMMYFUNCTION("IF(REGEXMATCH(N37, ""M""), ""M2"","""")"),"")</f>
        <v/>
      </c>
      <c r="DS37" s="294" t="str">
        <f>IFERROR(__xludf.DUMMYFUNCTION("IF(REGEXMATCH(N37, ""P""), ""P"","""")"),"")</f>
        <v/>
      </c>
      <c r="DT37" s="295" t="str">
        <f>IFERROR(__xludf.DUMMYFUNCTION("IF(REGEXMATCH(N37, ""d""), ""D1"","""")"),"D1")</f>
        <v>D1</v>
      </c>
      <c r="DU37" s="294" t="str">
        <f>IFERROR(__xludf.DUMMYFUNCTION("IF(REGEXMATCH(N37, ""D""), ""D2"","""")"),"")</f>
        <v/>
      </c>
      <c r="DV37" s="294" t="str">
        <f>IFERROR(__xludf.DUMMYFUNCTION("IF(REGEXMATCH(N37, ""n""), ""N2"","""")"),"N2")</f>
        <v>N2</v>
      </c>
      <c r="DW37" s="295" t="str">
        <f>IFERROR(__xludf.DUMMYFUNCTION("IF(REGEXMATCH(N37, ""N""), ""N3"","""")"),"")</f>
        <v/>
      </c>
      <c r="DX37" s="249" t="str">
        <f>IFERROR(__xludf.DUMMYFUNCTION("IF(REGEXMATCH(N37, ""S""), ""S"","""")"),"S")</f>
        <v>S</v>
      </c>
      <c r="DY37" s="299" t="str">
        <f>IFERROR(__xludf.DUMMYFUNCTION("SUBSTITUTE(SUBSTITUTE(SUBSTITUTE(SUBSTITUTE(CONCATENATE(JOIN(""-"",CY37:DK37)),""--"",""-""),""--"",""-""),""--"",""-""),""--"",""-"")"),"1-2-b3-4-b6-b7-8")</f>
        <v>1-2-b3-4-b6-b7-8</v>
      </c>
      <c r="DZ37" s="299" t="str">
        <f>IFERROR(__xludf.DUMMYFUNCTION("SUBSTITUTE(SUBSTITUTE(SUBSTITUTE(SUBSTITUTE(CONCATENATE(JOIN(""-"",DL37:DX37)),""--"",""-""),""--"",""-""),""--"",""-""),""--"",""-"")"),"S-R2-G2-M1-D1-N2-S")</f>
        <v>S-R2-G2-M1-D1-N2-S</v>
      </c>
      <c r="EA37" s="348" t="str">
        <f t="shared" si="43"/>
        <v>C-D-Eb-F-Ab-Bb-C</v>
      </c>
      <c r="EB37" s="301">
        <f t="shared" si="44"/>
        <v>6</v>
      </c>
      <c r="EC37" s="302" t="str">
        <f t="shared" si="45"/>
        <v>Shadav</v>
      </c>
      <c r="ED37" s="301" t="str">
        <f t="shared" ref="ED37:EE37" si="203">SUBSTITUTE(AD37,"-","")</f>
        <v>SRGM</v>
      </c>
      <c r="EE37" s="301" t="str">
        <f t="shared" si="203"/>
        <v>DNS</v>
      </c>
      <c r="EF37" s="302" t="str">
        <f t="shared" si="47"/>
        <v>(n/a)</v>
      </c>
      <c r="EG37" s="301" t="str">
        <f t="shared" si="48"/>
        <v>Hemi.</v>
      </c>
      <c r="EH37" s="364" t="str">
        <f t="shared" si="49"/>
        <v>-</v>
      </c>
      <c r="EI37" s="306" t="str">
        <f t="shared" si="50"/>
        <v>-</v>
      </c>
      <c r="EJ37" s="366" t="str">
        <f t="shared" si="51"/>
        <v>✔</v>
      </c>
      <c r="EK37" s="308" t="str">
        <f t="shared" si="52"/>
        <v>-</v>
      </c>
      <c r="EL37" s="306" t="str">
        <f t="shared" si="53"/>
        <v>-</v>
      </c>
      <c r="EM37" s="306" t="str">
        <f t="shared" si="54"/>
        <v>-</v>
      </c>
      <c r="EN37" s="367" t="str">
        <f t="shared" si="55"/>
        <v>-</v>
      </c>
      <c r="EO37" s="310" t="str">
        <f t="shared" si="56"/>
        <v>-</v>
      </c>
      <c r="EP37" s="310" t="str">
        <f t="shared" si="57"/>
        <v>-</v>
      </c>
      <c r="EQ37" s="310" t="str">
        <f t="shared" si="58"/>
        <v>-</v>
      </c>
      <c r="ER37" s="310" t="str">
        <f t="shared" si="59"/>
        <v>-</v>
      </c>
      <c r="ES37" s="370" t="str">
        <f t="shared" si="60"/>
        <v>-</v>
      </c>
      <c r="ET37" s="306" t="str">
        <f t="shared" si="61"/>
        <v>-</v>
      </c>
      <c r="EU37" s="306" t="str">
        <f t="shared" si="62"/>
        <v>-</v>
      </c>
      <c r="EV37" s="306" t="str">
        <f t="shared" si="63"/>
        <v>-</v>
      </c>
      <c r="EW37" s="306" t="str">
        <f t="shared" si="64"/>
        <v>✔</v>
      </c>
      <c r="EX37" s="306" t="str">
        <f t="shared" si="65"/>
        <v>-</v>
      </c>
      <c r="EY37" s="367" t="str">
        <f t="shared" si="66"/>
        <v>-</v>
      </c>
      <c r="EZ37" s="310" t="str">
        <f>IFERROR(__xludf.DUMMYFUNCTION("IF(REGEXMATCH(BM37,BI37),""✔"",""-"")"),"-")</f>
        <v>-</v>
      </c>
      <c r="FA37" s="310" t="str">
        <f t="shared" si="67"/>
        <v>-</v>
      </c>
      <c r="FB37" s="370" t="str">
        <f t="shared" si="68"/>
        <v>-</v>
      </c>
      <c r="FC37" s="415">
        <f t="shared" si="69"/>
        <v>1</v>
      </c>
      <c r="FD37" s="317" t="str">
        <f t="shared" si="70"/>
        <v>S-R-g-m-d-n-S</v>
      </c>
      <c r="FE37" s="318" t="str">
        <f>IFERROR(__xludf.DUMMYFUNCTION("CONCATENATE(JOIN("""",GJ37:GV37))"),"SRGPDnS")</f>
        <v>SRGPDnS</v>
      </c>
      <c r="FF37" s="318"/>
      <c r="FG37" s="318"/>
      <c r="FH37" s="321">
        <f t="shared" si="71"/>
        <v>2</v>
      </c>
      <c r="FI37" s="318" t="str">
        <f>IFERROR(__xludf.DUMMYFUNCTION("CONCATENATE(JOIN("""",HW37:II37))"),"Sa, Re, ")</f>
        <v>Sa, Re, </v>
      </c>
      <c r="FJ37" s="322">
        <f t="shared" si="72"/>
        <v>1</v>
      </c>
      <c r="FK37" s="324" t="str">
        <f>IFERROR(__xludf.DUMMYFUNCTION("CONCATENATE(JOIN("""",IW37:JI37))"),"Re, ")</f>
        <v>Re, </v>
      </c>
      <c r="FL37" s="325" t="str">
        <f t="shared" si="73"/>
        <v>S-R2-G2-M1-D1-N2-S</v>
      </c>
      <c r="FM37" s="326" t="str">
        <f t="shared" si="74"/>
        <v>1-2-b3-4-b6-b7-8</v>
      </c>
      <c r="FN37" s="326" t="str">
        <f t="shared" si="75"/>
        <v>0-2-3-5-8-10-0</v>
      </c>
      <c r="FO37" s="318"/>
      <c r="FP37" s="328" t="str">
        <f>IFERROR(__xludf.DUMMYFUNCTION("SUBSTITUTE(SUBSTITUTE(SUBSTITUTE(SUBSTITUTE(CONCATENATE(JOIN("" "",FS37:GE37)),""  "","" ""),""  "","" ""),""  "","" ""),""  "","" "")"),"o • o o • o • • o • o • o")</f>
        <v>o • o o • o • • o • o • o</v>
      </c>
      <c r="FQ37" s="328" t="str">
        <f t="shared" si="76"/>
        <v>Sa-ma</v>
      </c>
      <c r="FR37" s="329"/>
      <c r="FS37" s="331" t="str">
        <f t="shared" si="77"/>
        <v>o</v>
      </c>
      <c r="FT37" s="332" t="str">
        <f t="shared" si="78"/>
        <v>•</v>
      </c>
      <c r="FU37" s="332" t="str">
        <f t="shared" si="79"/>
        <v>o</v>
      </c>
      <c r="FV37" s="332" t="str">
        <f t="shared" si="80"/>
        <v>o</v>
      </c>
      <c r="FW37" s="332" t="str">
        <f t="shared" si="81"/>
        <v>•</v>
      </c>
      <c r="FX37" s="332" t="str">
        <f t="shared" si="82"/>
        <v>o</v>
      </c>
      <c r="FY37" s="332" t="str">
        <f t="shared" si="83"/>
        <v>•</v>
      </c>
      <c r="FZ37" s="332" t="str">
        <f t="shared" si="84"/>
        <v>•</v>
      </c>
      <c r="GA37" s="332" t="str">
        <f t="shared" si="85"/>
        <v>o</v>
      </c>
      <c r="GB37" s="332" t="str">
        <f t="shared" si="86"/>
        <v>•</v>
      </c>
      <c r="GC37" s="332" t="str">
        <f t="shared" si="87"/>
        <v>o</v>
      </c>
      <c r="GD37" s="332" t="str">
        <f t="shared" si="88"/>
        <v>•</v>
      </c>
      <c r="GE37" s="338" t="str">
        <f t="shared" si="89"/>
        <v>o</v>
      </c>
      <c r="GF37" s="339" t="str">
        <f t="shared" si="90"/>
        <v>-</v>
      </c>
      <c r="GG37" s="339" t="str">
        <f t="shared" si="91"/>
        <v>-</v>
      </c>
      <c r="GH37" s="339" t="str">
        <f t="shared" si="92"/>
        <v>-</v>
      </c>
      <c r="GI37" s="340" t="str">
        <f t="shared" si="93"/>
        <v>Sa-ma</v>
      </c>
      <c r="GJ37" s="331" t="str">
        <f t="shared" si="94"/>
        <v>S</v>
      </c>
      <c r="GK37" s="332" t="str">
        <f t="shared" si="95"/>
        <v/>
      </c>
      <c r="GL37" s="332" t="str">
        <f t="shared" si="96"/>
        <v>R</v>
      </c>
      <c r="GM37" s="332" t="str">
        <f t="shared" si="97"/>
        <v/>
      </c>
      <c r="GN37" s="332" t="str">
        <f t="shared" si="98"/>
        <v>G</v>
      </c>
      <c r="GO37" s="332" t="str">
        <f t="shared" si="99"/>
        <v/>
      </c>
      <c r="GP37" s="332" t="str">
        <f t="shared" si="100"/>
        <v/>
      </c>
      <c r="GQ37" s="332" t="str">
        <f t="shared" si="101"/>
        <v>P</v>
      </c>
      <c r="GR37" s="332" t="str">
        <f t="shared" si="102"/>
        <v/>
      </c>
      <c r="GS37" s="332" t="str">
        <f t="shared" si="103"/>
        <v>D</v>
      </c>
      <c r="GT37" s="332" t="str">
        <f t="shared" si="104"/>
        <v>n</v>
      </c>
      <c r="GU37" s="332" t="str">
        <f t="shared" si="105"/>
        <v/>
      </c>
      <c r="GV37" s="343" t="str">
        <f t="shared" si="106"/>
        <v>S</v>
      </c>
      <c r="GW37" s="331" t="str">
        <f t="shared" si="107"/>
        <v>•</v>
      </c>
      <c r="GX37" s="332" t="str">
        <f t="shared" si="108"/>
        <v>o</v>
      </c>
      <c r="GY37" s="332" t="str">
        <f t="shared" si="109"/>
        <v>•</v>
      </c>
      <c r="GZ37" s="332" t="str">
        <f t="shared" si="110"/>
        <v>•</v>
      </c>
      <c r="HA37" s="332" t="str">
        <f t="shared" si="111"/>
        <v>o</v>
      </c>
      <c r="HB37" s="332" t="str">
        <f t="shared" si="112"/>
        <v>•</v>
      </c>
      <c r="HC37" s="332" t="str">
        <f t="shared" si="113"/>
        <v>o</v>
      </c>
      <c r="HD37" s="332" t="str">
        <f t="shared" si="114"/>
        <v>o</v>
      </c>
      <c r="HE37" s="332" t="str">
        <f t="shared" si="115"/>
        <v>•</v>
      </c>
      <c r="HF37" s="332" t="str">
        <f t="shared" si="116"/>
        <v>o</v>
      </c>
      <c r="HG37" s="332" t="str">
        <f t="shared" si="117"/>
        <v>•</v>
      </c>
      <c r="HH37" s="332" t="str">
        <f t="shared" si="118"/>
        <v>o</v>
      </c>
      <c r="HI37" s="338" t="str">
        <f t="shared" si="119"/>
        <v>•</v>
      </c>
      <c r="HJ37" s="346" t="b">
        <f t="shared" si="120"/>
        <v>1</v>
      </c>
      <c r="HK37" s="347" t="b">
        <f t="shared" si="121"/>
        <v>0</v>
      </c>
      <c r="HL37" s="347" t="b">
        <f t="shared" si="122"/>
        <v>1</v>
      </c>
      <c r="HM37" s="347" t="b">
        <f t="shared" si="123"/>
        <v>0</v>
      </c>
      <c r="HN37" s="347" t="b">
        <f t="shared" si="124"/>
        <v>0</v>
      </c>
      <c r="HO37" s="347" t="b">
        <f t="shared" si="125"/>
        <v>0</v>
      </c>
      <c r="HP37" s="347" t="b">
        <f t="shared" si="126"/>
        <v>0</v>
      </c>
      <c r="HQ37" s="347" t="b">
        <f t="shared" si="127"/>
        <v>0</v>
      </c>
      <c r="HR37" s="347" t="b">
        <f t="shared" si="128"/>
        <v>0</v>
      </c>
      <c r="HS37" s="347" t="b">
        <f t="shared" si="129"/>
        <v>0</v>
      </c>
      <c r="HT37" s="347" t="b">
        <f t="shared" si="130"/>
        <v>0</v>
      </c>
      <c r="HU37" s="347" t="b">
        <f t="shared" si="131"/>
        <v>0</v>
      </c>
      <c r="HV37" s="353" t="b">
        <f t="shared" si="132"/>
        <v>1</v>
      </c>
      <c r="HW37" s="354" t="str">
        <f t="shared" si="133"/>
        <v>Sa, </v>
      </c>
      <c r="HX37" s="355" t="str">
        <f t="shared" si="134"/>
        <v/>
      </c>
      <c r="HY37" s="355" t="str">
        <f t="shared" si="135"/>
        <v>Re, </v>
      </c>
      <c r="HZ37" s="355" t="str">
        <f t="shared" si="136"/>
        <v/>
      </c>
      <c r="IA37" s="355" t="str">
        <f t="shared" si="137"/>
        <v/>
      </c>
      <c r="IB37" s="355" t="str">
        <f t="shared" si="138"/>
        <v/>
      </c>
      <c r="IC37" s="355" t="str">
        <f t="shared" si="139"/>
        <v/>
      </c>
      <c r="ID37" s="355" t="str">
        <f t="shared" si="140"/>
        <v/>
      </c>
      <c r="IE37" s="355" t="str">
        <f t="shared" si="141"/>
        <v/>
      </c>
      <c r="IF37" s="355" t="str">
        <f t="shared" si="142"/>
        <v/>
      </c>
      <c r="IG37" s="355" t="str">
        <f t="shared" si="143"/>
        <v/>
      </c>
      <c r="IH37" s="355" t="str">
        <f t="shared" si="144"/>
        <v/>
      </c>
      <c r="II37" s="359" t="str">
        <f t="shared" si="145"/>
        <v/>
      </c>
      <c r="IJ37" s="346" t="b">
        <f t="shared" si="146"/>
        <v>0</v>
      </c>
      <c r="IK37" s="347" t="b">
        <f t="shared" si="147"/>
        <v>0</v>
      </c>
      <c r="IL37" s="347" t="b">
        <f t="shared" si="148"/>
        <v>1</v>
      </c>
      <c r="IM37" s="347" t="b">
        <f t="shared" si="149"/>
        <v>0</v>
      </c>
      <c r="IN37" s="347" t="b">
        <f t="shared" si="150"/>
        <v>0</v>
      </c>
      <c r="IO37" s="347" t="b">
        <f t="shared" si="151"/>
        <v>0</v>
      </c>
      <c r="IP37" s="347" t="b">
        <f t="shared" si="152"/>
        <v>0</v>
      </c>
      <c r="IQ37" s="347" t="b">
        <f t="shared" si="153"/>
        <v>0</v>
      </c>
      <c r="IR37" s="347" t="b">
        <f t="shared" si="154"/>
        <v>0</v>
      </c>
      <c r="IS37" s="347" t="b">
        <f t="shared" si="155"/>
        <v>0</v>
      </c>
      <c r="IT37" s="347" t="b">
        <f t="shared" si="156"/>
        <v>0</v>
      </c>
      <c r="IU37" s="347" t="b">
        <f t="shared" si="157"/>
        <v>0</v>
      </c>
      <c r="IV37" s="365" t="b">
        <f t="shared" si="158"/>
        <v>0</v>
      </c>
      <c r="IW37" s="354" t="str">
        <f t="shared" si="159"/>
        <v/>
      </c>
      <c r="IX37" s="355" t="str">
        <f t="shared" si="160"/>
        <v/>
      </c>
      <c r="IY37" s="355" t="str">
        <f t="shared" si="161"/>
        <v>Re, </v>
      </c>
      <c r="IZ37" s="355" t="str">
        <f t="shared" si="162"/>
        <v/>
      </c>
      <c r="JA37" s="355" t="str">
        <f t="shared" si="163"/>
        <v/>
      </c>
      <c r="JB37" s="355" t="str">
        <f t="shared" si="164"/>
        <v/>
      </c>
      <c r="JC37" s="355" t="str">
        <f t="shared" si="165"/>
        <v/>
      </c>
      <c r="JD37" s="355" t="str">
        <f t="shared" si="166"/>
        <v/>
      </c>
      <c r="JE37" s="355" t="str">
        <f t="shared" si="167"/>
        <v/>
      </c>
      <c r="JF37" s="355" t="str">
        <f t="shared" si="168"/>
        <v/>
      </c>
      <c r="JG37" s="355" t="str">
        <f t="shared" si="169"/>
        <v/>
      </c>
      <c r="JH37" s="355" t="str">
        <f t="shared" si="170"/>
        <v/>
      </c>
      <c r="JI37" s="359"/>
      <c r="JJ37" s="321"/>
      <c r="JK37" s="368"/>
      <c r="JL37" s="369"/>
      <c r="JM37" s="369"/>
      <c r="JN37" s="369"/>
      <c r="JO37" s="369"/>
      <c r="JP37" s="369"/>
      <c r="JQ37" s="369"/>
      <c r="JR37" s="369"/>
      <c r="JS37" s="369"/>
      <c r="JT37" s="369"/>
      <c r="JU37" s="369"/>
    </row>
    <row r="38" ht="20.25" customHeight="1">
      <c r="A38" s="221" t="s">
        <v>1301</v>
      </c>
      <c r="B38" s="223" t="s">
        <v>1302</v>
      </c>
      <c r="C38" s="222" t="s">
        <v>275</v>
      </c>
      <c r="D38" s="222"/>
      <c r="E38" s="222" t="s">
        <v>275</v>
      </c>
      <c r="F38" s="222"/>
      <c r="G38" s="395" t="s">
        <v>275</v>
      </c>
      <c r="H38" s="222">
        <v>36.0</v>
      </c>
      <c r="I38" s="224" t="s">
        <v>1219</v>
      </c>
      <c r="J38" s="225" t="str">
        <f t="shared" si="5"/>
        <v>[UQ]</v>
      </c>
      <c r="K38" s="227">
        <f t="shared" si="6"/>
        <v>8</v>
      </c>
      <c r="L38" s="229">
        <f t="shared" si="7"/>
        <v>7</v>
      </c>
      <c r="M38" s="230">
        <f t="shared" si="8"/>
        <v>1</v>
      </c>
      <c r="N38" s="233" t="str">
        <f t="shared" si="9"/>
        <v>SRgmPdDnS</v>
      </c>
      <c r="O38" s="234" t="str">
        <f>IFERROR(__xludf.DUMMYFUNCTION("IF(REGEXMATCH(N38, ""S""), ""S"","""")"),"S")</f>
        <v>S</v>
      </c>
      <c r="P38" s="236" t="str">
        <f>IFERROR(__xludf.DUMMYFUNCTION("IF(REGEXMATCH(N38, ""r""), ""r"","""")"),"")</f>
        <v/>
      </c>
      <c r="Q38" s="237" t="str">
        <f>IFERROR(__xludf.DUMMYFUNCTION("IF(REGEXMATCH(N38, ""R""), ""R"","""")"),"R")</f>
        <v>R</v>
      </c>
      <c r="R38" s="237" t="str">
        <f>IFERROR(__xludf.DUMMYFUNCTION("IF(REGEXMATCH(N38, ""g""), ""g"","""")"),"g")</f>
        <v>g</v>
      </c>
      <c r="S38" s="236" t="str">
        <f>IFERROR(__xludf.DUMMYFUNCTION("IF(REGEXMATCH(N38, ""G""), ""G"","""")"),"")</f>
        <v/>
      </c>
      <c r="T38" s="236" t="str">
        <f>IFERROR(__xludf.DUMMYFUNCTION("IF(REGEXMATCH(N38, ""m""), ""m"","""")"),"m")</f>
        <v>m</v>
      </c>
      <c r="U38" s="237" t="str">
        <f>IFERROR(__xludf.DUMMYFUNCTION("IF(REGEXMATCH(N38, ""M""), ""M"","""")"),"")</f>
        <v/>
      </c>
      <c r="V38" s="236" t="str">
        <f>IFERROR(__xludf.DUMMYFUNCTION("IF(REGEXMATCH(N38, ""P""), ""P"","""")"),"P")</f>
        <v>P</v>
      </c>
      <c r="W38" s="237" t="str">
        <f>IFERROR(__xludf.DUMMYFUNCTION("IF(REGEXMATCH(N38, ""d""), ""d"","""")"),"d")</f>
        <v>d</v>
      </c>
      <c r="X38" s="236" t="str">
        <f>IFERROR(__xludf.DUMMYFUNCTION("IF(REGEXMATCH(N38, ""D""), ""D"","""")"),"D")</f>
        <v>D</v>
      </c>
      <c r="Y38" s="236" t="str">
        <f>IFERROR(__xludf.DUMMYFUNCTION("IF(REGEXMATCH(N38, ""n""), ""n"","""")"),"n")</f>
        <v>n</v>
      </c>
      <c r="Z38" s="237" t="str">
        <f>IFERROR(__xludf.DUMMYFUNCTION("IF(REGEXMATCH(N38, ""N""), ""N"","""")"),"")</f>
        <v/>
      </c>
      <c r="AA38" s="238" t="str">
        <f>IFERROR(__xludf.DUMMYFUNCTION("IF(REGEXMATCH(N38, ""S""), ""S"","""")"),"S")</f>
        <v>S</v>
      </c>
      <c r="AB38" s="239" t="str">
        <f>IFERROR(__xludf.DUMMYFUNCTION("SUBSTITUTE(CONCATENATE(JOIN(""-"",O38:U38)),""-"","""")"),"SRgm")</f>
        <v>SRgm</v>
      </c>
      <c r="AC38" s="229" t="str">
        <f>IFERROR(__xludf.DUMMYFUNCTION("SUBSTITUTE(CONCATENATE(JOIN(""-"",V38:AA38)),""-"","""")"),"PdDnS")</f>
        <v>PdDnS</v>
      </c>
      <c r="AD38" s="282" t="str">
        <f t="shared" si="10"/>
        <v>S-R-G-M</v>
      </c>
      <c r="AE38" s="282" t="str">
        <f t="shared" si="11"/>
        <v>P-D-N-S</v>
      </c>
      <c r="AF38" s="309" t="str">
        <f t="shared" si="12"/>
        <v>RgmdDn</v>
      </c>
      <c r="AG38" s="244" t="str">
        <f>IFERROR(__xludf.DUMMYFUNCTION("IF(REGEXMATCH(N38, ""S""), ""0"","""")"),"0")</f>
        <v>0</v>
      </c>
      <c r="AH38" s="245" t="str">
        <f>IFERROR(__xludf.DUMMYFUNCTION("IF(REGEXMATCH(N38, ""r""), ""1"","""")"),"")</f>
        <v/>
      </c>
      <c r="AI38" s="246" t="str">
        <f>IFERROR(__xludf.DUMMYFUNCTION("IF(REGEXMATCH(N38, ""R""), ""2"","""")"),"2")</f>
        <v>2</v>
      </c>
      <c r="AJ38" s="246" t="str">
        <f>IFERROR(__xludf.DUMMYFUNCTION("IF(REGEXMATCH(N38, ""g""), ""3"","""")"),"3")</f>
        <v>3</v>
      </c>
      <c r="AK38" s="245" t="str">
        <f>IFERROR(__xludf.DUMMYFUNCTION("IF(REGEXMATCH(N38, ""G""), ""4"","""")"),"")</f>
        <v/>
      </c>
      <c r="AL38" s="245" t="str">
        <f>IFERROR(__xludf.DUMMYFUNCTION("IF(REGEXMATCH(N38, ""m""), ""5"","""")"),"5")</f>
        <v>5</v>
      </c>
      <c r="AM38" s="246" t="str">
        <f>IFERROR(__xludf.DUMMYFUNCTION("IF(REGEXMATCH(N38, ""M""), ""6"","""")"),"")</f>
        <v/>
      </c>
      <c r="AN38" s="245" t="str">
        <f>IFERROR(__xludf.DUMMYFUNCTION("IF(REGEXMATCH(N38, ""P""), ""7"","""")"),"7")</f>
        <v>7</v>
      </c>
      <c r="AO38" s="246" t="str">
        <f>IFERROR(__xludf.DUMMYFUNCTION("IF(REGEXMATCH(N38, ""d""), ""8"","""")"),"8")</f>
        <v>8</v>
      </c>
      <c r="AP38" s="245" t="str">
        <f>IFERROR(__xludf.DUMMYFUNCTION("IF(REGEXMATCH(N38, ""D""), ""9"","""")"),"9")</f>
        <v>9</v>
      </c>
      <c r="AQ38" s="245" t="str">
        <f>IFERROR(__xludf.DUMMYFUNCTION("IF(REGEXMATCH(N38, ""n""), ""10"","""")"),"10")</f>
        <v>10</v>
      </c>
      <c r="AR38" s="246" t="str">
        <f>IFERROR(__xludf.DUMMYFUNCTION("IF(REGEXMATCH(N38, ""N""), ""11"","""")"),"")</f>
        <v/>
      </c>
      <c r="AS38" s="249" t="str">
        <f>IFERROR(__xludf.DUMMYFUNCTION("IF(REGEXMATCH(N38, ""S""), ""0"","""")"),"0")</f>
        <v>0</v>
      </c>
      <c r="AT38" s="250" t="str">
        <f>IFERROR(__xludf.DUMMYFUNCTION("SUBSTITUTE(SUBSTITUTE(SUBSTITUTE(SUBSTITUTE(CONCATENATE(JOIN(""-"",AG38:AS38)),""--"",""-""),""--"",""-""),""--"",""-""),""--"",""-"")"),"0-2-3-5-7-8-9-10-0")</f>
        <v>0-2-3-5-7-8-9-10-0</v>
      </c>
      <c r="AU38" s="251">
        <f t="shared" si="13"/>
        <v>0</v>
      </c>
      <c r="AV38" s="234" t="str">
        <f t="shared" si="14"/>
        <v>|</v>
      </c>
      <c r="AW38" s="236" t="str">
        <f t="shared" si="15"/>
        <v>-</v>
      </c>
      <c r="AX38" s="237" t="str">
        <f t="shared" si="16"/>
        <v>|</v>
      </c>
      <c r="AY38" s="236" t="str">
        <f t="shared" si="17"/>
        <v>|</v>
      </c>
      <c r="AZ38" s="237" t="str">
        <f t="shared" si="18"/>
        <v>-</v>
      </c>
      <c r="BA38" s="236" t="str">
        <f t="shared" si="19"/>
        <v>|</v>
      </c>
      <c r="BB38" s="237" t="str">
        <f t="shared" si="20"/>
        <v>-</v>
      </c>
      <c r="BC38" s="236" t="str">
        <f t="shared" si="21"/>
        <v>|</v>
      </c>
      <c r="BD38" s="237" t="str">
        <f t="shared" si="22"/>
        <v>|</v>
      </c>
      <c r="BE38" s="236" t="str">
        <f t="shared" si="23"/>
        <v>|</v>
      </c>
      <c r="BF38" s="237" t="str">
        <f t="shared" si="24"/>
        <v>|</v>
      </c>
      <c r="BG38" s="236" t="str">
        <f t="shared" si="25"/>
        <v>-</v>
      </c>
      <c r="BH38" s="238" t="str">
        <f t="shared" si="26"/>
        <v>|</v>
      </c>
      <c r="BI38" s="250" t="str">
        <f>IFERROR(__xludf.DUMMYFUNCTION("SUBSTITUTE(SUBSTITUTE(CONCATENATE(JOIN("""",AV38:BG38)),""|"",""x""),""-"",""o"")"),"xoxxoxoxxxxo")</f>
        <v>xoxxoxoxxxxo</v>
      </c>
      <c r="BJ38" s="323" t="str">
        <f>IFERROR(__xludf.DUMMYFUNCTION("JOIN("""",BI38,BI38)"),"xoxxoxoxxxxoxoxxoxoxxxxo")</f>
        <v>xoxxoxoxxxxoxoxxoxoxxxxo</v>
      </c>
      <c r="BK38" s="256" t="str">
        <f>IFERROR(__xludf.DUMMYFUNCTION("JOIN("""",ArrayFormula(MID(BI38,LEN(BI38)-SEQUENCE(1,LEN(BI38))+1,1)))"),"oxxxxoxoxxox")</f>
        <v>oxxxxoxoxxox</v>
      </c>
      <c r="BL38" s="256" t="str">
        <f>IFERROR(__xludf.DUMMYFUNCTION("LEFT(CONCATENATE(""x"",JOIN("""",ArrayFormula(MID(BI38,LEN(BI38)-SEQUENCE(1,LEN(BI38))+1,1)))),12)"),"xoxxxxoxoxxo")</f>
        <v>xoxxxxoxoxxo</v>
      </c>
      <c r="BM38" s="327" t="str">
        <f>IFERROR(__xludf.DUMMYFUNCTION("JOIN("""",BK38,BK38)"),"oxxxxoxoxxoxoxxxxoxoxxox")</f>
        <v>oxxxxoxoxxoxoxxxxoxoxxox</v>
      </c>
      <c r="BN38" s="239" t="str">
        <f>IFERROR(__xludf.DUMMYFUNCTION("IF(REGEXMATCH(BM38,BI38),""✔"",""-"")"),"✔")</f>
        <v>✔</v>
      </c>
      <c r="BO38" s="330" t="str">
        <f t="shared" si="27"/>
        <v>-</v>
      </c>
      <c r="BP38" s="260" t="str">
        <f t="shared" si="28"/>
        <v>-</v>
      </c>
      <c r="BQ38" s="261" t="str">
        <f>IFERROR(__xludf.DUMMYFUNCTION("IF(BT38=0,""(n/a)"",IF(BU38=2,""(PAIR)"",IF(REGEXMATCH(BJ38,""xoxoxxoxoxox""),""Bilawal"",IF(REGEXMATCH(BJ38,""xoxoxooxoxoo""),""Bhupali"",IF(REGEXMATCH(BJ38,""xoxoxxoxxoxo""),""Charukeshi"",IF(REGEXMATCH(BJ38,""xoxoooxxoxxo""),""Kameshwari"",IF(REGEXMATC"&amp;"H(BJ38,""xoxoxooxoxox""),""Shankara"",IF(REGEXMATCH(BJ38,""xxooxoxxxoox""),""Basant"",IF(REGEXMATCH(BJ38,""xoxoxxxxoxox""),""Bihag"",IF(REGEXMATCH(BJ38,""xoxxxxoxoxxx""),""Pilu"",IF(REGEXMATCH(BJ38,""xoxxoxoxxoox""),""Kirwani"",IF(REGEXMATCH(BJ38,""xoxxox"&amp;"oxoxxx""),""Mk.Malhar"",IF(REGEXMATCH(BJ38,""xxooxxoxxoox""),""Bhairav"",IF(REGEXMATCH(BJ38,""xxoxooxxxoox""),""Todi"",IF(REGEXMATCH(BJ38,""xxooxoxooxox""),""Marwa"",IF(REGEXMATCH(BJ38,""xxoooxoxxooo""),""Gunkali"",IF(REGEXMATCH(BJ38,""xoxoxxoxxoox""),""N"&amp;"at Bhairav"",IF(REGEXMATCH(BJ38,""xoxxoooxoxoo""),""Shivranjani"",IF(REGEXMATCH(BJ38,""xooxxxoxooxo""),""Jog"",IF(REGEXMATCH(BJ38,""xxooxoxoxoox""),""Hemshri"",IF(REGEXMATCH(BJ38,""xoooxooxoxxo""),""Kalavati"",IF(REGEXMATCH(BJ38,""xxoxoxxoxoox""),""Kedar"&amp;""",IF(REGEXMATCH(BJ38,""xoxxxxoxooxx""),""Gara"",IF(REGEXMATCH(BJ38,""xooxoxooxoox""),""Chandrakauns"",IF(REGEXMATCH(BJ38,""xoxxxxoxxxox""),""Mand"",IF(REGEXMATCH(BJ38,""xoxxxxoxoxox""),""Hanskinkini"",IF(REGEXMATCH(BJ38,""xxooxxoxooxo""),""Lilavati"",IF("&amp;"REGEXMATCH(BJ38,""xooxoxoooxox""),""Rajeshwari"",IF(REGEXMATCH(BJ38,""xoooxxoxoxxx""),""Khokar"",IF(REGEXMATCH(BJ38,""xxooxoxxxxox""),""Maligoura"",""-""))))))))))))))))))))))))))))))"),"(n/a)")</f>
        <v>(n/a)</v>
      </c>
      <c r="BR38" s="239">
        <f t="shared" si="29"/>
        <v>7</v>
      </c>
      <c r="BS38" s="239">
        <f>IFERROR(__xludf.DUMMYFUNCTION("COUNTUNIQUE(BW38:CG38)-1"),7.0)</f>
        <v>7</v>
      </c>
      <c r="BT38" s="239">
        <f>IFERROR(__xludf.DUMMYFUNCTION("COUNTUNIQUE(FILTER(BJ:BJ,REGEXMATCH(BJ:BJ,BI38)))-1"),0.0)</f>
        <v>0</v>
      </c>
      <c r="BU38" s="239">
        <f>IFERROR(__xludf.DUMMYFUNCTION("COUNTA(FILTER(BJ:BJ,REGEXMATCH(BJ:BJ,BI38)))"),1.0)</f>
        <v>1</v>
      </c>
      <c r="BV38" s="341">
        <f>IFERROR(__xludf.DUMMYFUNCTION("COUNTA(FILTER(BJ:BJ,REGEXMATCH(BJ:BJ,BI38)))-AU38"),1.0)</f>
        <v>1</v>
      </c>
      <c r="BW38" s="269" t="str">
        <f t="shared" si="30"/>
        <v>-</v>
      </c>
      <c r="BX38" s="269" t="str">
        <f t="shared" si="31"/>
        <v>xxoxoxxxxox</v>
      </c>
      <c r="BY38" s="271" t="str">
        <f t="shared" si="32"/>
        <v>xoxoxxxxoxo</v>
      </c>
      <c r="BZ38" s="269" t="str">
        <f t="shared" si="33"/>
        <v>-</v>
      </c>
      <c r="CA38" s="271" t="str">
        <f t="shared" si="34"/>
        <v>xoxxxxoxoxx</v>
      </c>
      <c r="CB38" s="271" t="str">
        <f t="shared" si="35"/>
        <v>-</v>
      </c>
      <c r="CC38" s="271" t="str">
        <f t="shared" si="36"/>
        <v>xxxxoxoxxox</v>
      </c>
      <c r="CD38" s="271" t="str">
        <f t="shared" si="37"/>
        <v>xxxoxoxxoxo</v>
      </c>
      <c r="CE38" s="271" t="str">
        <f t="shared" si="38"/>
        <v>xxoxoxxoxox</v>
      </c>
      <c r="CF38" s="271" t="str">
        <f t="shared" si="39"/>
        <v>xoxoxxoxoxx</v>
      </c>
      <c r="CG38" s="274" t="str">
        <f t="shared" si="40"/>
        <v>-</v>
      </c>
      <c r="CH38" s="276" t="str">
        <f>IFERROR(__xludf.DUMMYFUNCTION("IF(BI38=""oooooooooooo"",""-"",IF(REGEXMATCH(BJ38,""xx""), ""Hemi."", ""Anhemi.""))"),"Hemi.")</f>
        <v>Hemi.</v>
      </c>
      <c r="CI38" s="282" t="str">
        <f>IFERROR(__xludf.DUMMYFUNCTION("IF(BI38=""oooooooooooo"",""-"",IF(REGEXMATCH(BJ38,""xxx""), ""Cohem."", ""-""))"),"Cohem.")</f>
        <v>Cohem.</v>
      </c>
      <c r="CJ38" s="282" t="str">
        <f>IFERROR(__xludf.DUMMYFUNCTION("IF(BI38=""oooooooooooo"",""-"",IF(REGEXMATCH(BJ38,""xxxx""), ""Co-Co."", ""-""))"),"Co-Co.")</f>
        <v>Co-Co.</v>
      </c>
      <c r="CK38" s="342" t="str">
        <f>IFERROR(__xludf.DUMMYFUNCTION("IF(BI38=""oooooooooooo"",""-"",IF(REGEXMATCH(BJ38,""xxxxx""), ""CCC."", ""-""))"),"-")</f>
        <v>-</v>
      </c>
      <c r="CL38" s="344" t="str">
        <f t="shared" si="41"/>
        <v>-</v>
      </c>
      <c r="CM38" s="282" t="str">
        <f>IFERROR(__xludf.DUMMYFUNCTION("IF(REGEXMATCH(JOIN(""-"",CO38:CX38),""TRUE""),""✔"",""-"")"),"-")</f>
        <v>-</v>
      </c>
      <c r="CN38" s="225">
        <f t="shared" si="42"/>
        <v>0</v>
      </c>
      <c r="CO38" s="376" t="b">
        <f>IFERROR(__xludf.DUMMYFUNCTION("arrayformula(sum(--REGEXMATCH(""SRGMPDNS"",split(REGEXREPLACE(N38,""(.)"",""$1~""),""~""))))=len(N38)
"),FALSE)</f>
        <v>0</v>
      </c>
      <c r="CP38" s="290" t="b">
        <f>IFERROR(__xludf.DUMMYFUNCTION("arrayformula(sum(--REGEXMATCH(""SRGmPDNS"",split(REGEXREPLACE(N38,""(.)"",""$1~""),""~""))))=len(N38)"),FALSE)</f>
        <v>0</v>
      </c>
      <c r="CQ38" s="290" t="b">
        <f>IFERROR(__xludf.DUMMYFUNCTION("arrayformula(sum(--REGEXMATCH(""SRGmPDnS"",split(REGEXREPLACE(N38,""(.)"",""$1~""),""~""))))=len(N38)"),FALSE)</f>
        <v>0</v>
      </c>
      <c r="CR38" s="290" t="b">
        <f>IFERROR(__xludf.DUMMYFUNCTION("arrayformula(sum(--REGEXMATCH(""SRgmPDnS"",split(REGEXREPLACE(N38,""(.)"",""$1~""),""~""))))=len(N38)"),FALSE)</f>
        <v>0</v>
      </c>
      <c r="CS38" s="290" t="b">
        <f>IFERROR(__xludf.DUMMYFUNCTION("arrayformula(sum(--REGEXMATCH(""SRgmPdnS"",split(REGEXREPLACE(N38,""(.)"",""$1~""),""~""))))=len(N38)"),FALSE)</f>
        <v>0</v>
      </c>
      <c r="CT38" s="290" t="b">
        <f>IFERROR(__xludf.DUMMYFUNCTION("arrayformula(sum(--REGEXMATCH(""SrgmPdnS"",split(REGEXREPLACE(N38,""(.)"",""$1~""),""~""))))=len(N38)"),FALSE)</f>
        <v>0</v>
      </c>
      <c r="CU38" s="290" t="b">
        <f>IFERROR(__xludf.DUMMYFUNCTION("arrayformula(sum(--REGEXMATCH(""SrGmPdNS"",split(REGEXREPLACE(N38,""(.)"",""$1~""),""~""))))=len(N38)"),FALSE)</f>
        <v>0</v>
      </c>
      <c r="CV38" s="290" t="b">
        <f>IFERROR(__xludf.DUMMYFUNCTION("arrayformula(sum(--REGEXMATCH(""SrGMPDNS"",split(REGEXREPLACE(N38,""(.)"",""$1~""),""~""))))=len(N38)"),FALSE)</f>
        <v>0</v>
      </c>
      <c r="CW38" s="290" t="b">
        <f>IFERROR(__xludf.DUMMYFUNCTION("arrayformula(sum(--REGEXMATCH(""SrGMPdNS"",split(REGEXREPLACE(N38,""(.)"",""$1~""),""~""))))=len(N38)"),FALSE)</f>
        <v>0</v>
      </c>
      <c r="CX38" s="293" t="b">
        <f>IFERROR(__xludf.DUMMYFUNCTION("arrayformula(sum(--REGEXMATCH(""SrgMPdNS"",split(REGEXREPLACE(N38,""(.)"",""$1~""),""~""))))=len(N38)"),FALSE)</f>
        <v>0</v>
      </c>
      <c r="CY38" s="244" t="str">
        <f>IFERROR(__xludf.DUMMYFUNCTION("IF(REGEXMATCH(N38, ""S""), ""1"","""")"),"1")</f>
        <v>1</v>
      </c>
      <c r="CZ38" s="245" t="str">
        <f>IFERROR(__xludf.DUMMYFUNCTION("IF(REGEXMATCH(N38, ""r""), ""b2"","""")"),"")</f>
        <v/>
      </c>
      <c r="DA38" s="246" t="str">
        <f>IFERROR(__xludf.DUMMYFUNCTION("IF(REGEXMATCH(N38, ""R""), ""2"","""")"),"2")</f>
        <v>2</v>
      </c>
      <c r="DB38" s="246" t="str">
        <f>IFERROR(__xludf.DUMMYFUNCTION("IF(REGEXMATCH(N38, ""g""), ""b3"","""")"),"b3")</f>
        <v>b3</v>
      </c>
      <c r="DC38" s="245" t="str">
        <f>IFERROR(__xludf.DUMMYFUNCTION("IF(REGEXMATCH(N38, ""G""), ""3"","""")"),"")</f>
        <v/>
      </c>
      <c r="DD38" s="245" t="str">
        <f>IFERROR(__xludf.DUMMYFUNCTION("IF(REGEXMATCH(N38, ""m""), ""4"","""")"),"4")</f>
        <v>4</v>
      </c>
      <c r="DE38" s="246" t="str">
        <f>IFERROR(__xludf.DUMMYFUNCTION("IF(REGEXMATCH(N38, ""M""), ""#4"","""")"),"")</f>
        <v/>
      </c>
      <c r="DF38" s="245" t="str">
        <f>IFERROR(__xludf.DUMMYFUNCTION("IF(REGEXMATCH(N38, ""P""), ""5"","""")"),"5")</f>
        <v>5</v>
      </c>
      <c r="DG38" s="246" t="str">
        <f>IFERROR(__xludf.DUMMYFUNCTION("IF(REGEXMATCH(N38, ""d""), ""b6"","""")"),"b6")</f>
        <v>b6</v>
      </c>
      <c r="DH38" s="245" t="str">
        <f>IFERROR(__xludf.DUMMYFUNCTION("IF(REGEXMATCH(N38, ""D""), ""6"","""")"),"6")</f>
        <v>6</v>
      </c>
      <c r="DI38" s="245" t="str">
        <f>IFERROR(__xludf.DUMMYFUNCTION("IF(REGEXMATCH(N38, ""n""), ""b7"","""")"),"b7")</f>
        <v>b7</v>
      </c>
      <c r="DJ38" s="246" t="str">
        <f>IFERROR(__xludf.DUMMYFUNCTION("IF(REGEXMATCH(N38, ""N""), ""7"","""")"),"")</f>
        <v/>
      </c>
      <c r="DK38" s="249" t="str">
        <f>IFERROR(__xludf.DUMMYFUNCTION("IF(REGEXMATCH(N38, ""S""), ""8"","""")"),"8")</f>
        <v>8</v>
      </c>
      <c r="DL38" s="244" t="str">
        <f>IFERROR(__xludf.DUMMYFUNCTION("IF(REGEXMATCH(N38, ""S""), ""S"","""")"),"S")</f>
        <v>S</v>
      </c>
      <c r="DM38" s="294" t="str">
        <f>IFERROR(__xludf.DUMMYFUNCTION("IF(REGEXMATCH(N38, ""r""), ""R1"","""")"),"")</f>
        <v/>
      </c>
      <c r="DN38" s="295" t="str">
        <f>IFERROR(__xludf.DUMMYFUNCTION("IF(REGEXMATCH(N38, ""R""), ""R2"","""")"),"R2")</f>
        <v>R2</v>
      </c>
      <c r="DO38" s="295" t="str">
        <f>IFERROR(__xludf.DUMMYFUNCTION("IF(REGEXMATCH(N38, ""g""), ""G2"","""")"),"G2")</f>
        <v>G2</v>
      </c>
      <c r="DP38" s="294" t="str">
        <f>IFERROR(__xludf.DUMMYFUNCTION("IF(REGEXMATCH(N38, ""G""), ""G3"","""")"),"")</f>
        <v/>
      </c>
      <c r="DQ38" s="294" t="str">
        <f>IFERROR(__xludf.DUMMYFUNCTION("IF(REGEXMATCH(N38, ""m""), ""M1"","""")"),"M1")</f>
        <v>M1</v>
      </c>
      <c r="DR38" s="295" t="str">
        <f>IFERROR(__xludf.DUMMYFUNCTION("IF(REGEXMATCH(N38, ""M""), ""M2"","""")"),"")</f>
        <v/>
      </c>
      <c r="DS38" s="294" t="str">
        <f>IFERROR(__xludf.DUMMYFUNCTION("IF(REGEXMATCH(N38, ""P""), ""P"","""")"),"P")</f>
        <v>P</v>
      </c>
      <c r="DT38" s="295" t="str">
        <f>IFERROR(__xludf.DUMMYFUNCTION("IF(REGEXMATCH(N38, ""d""), ""D1"","""")"),"D1")</f>
        <v>D1</v>
      </c>
      <c r="DU38" s="294" t="str">
        <f>IFERROR(__xludf.DUMMYFUNCTION("IF(REGEXMATCH(N38, ""D""), ""D2"","""")"),"D2")</f>
        <v>D2</v>
      </c>
      <c r="DV38" s="294" t="str">
        <f>IFERROR(__xludf.DUMMYFUNCTION("IF(REGEXMATCH(N38, ""n""), ""N2"","""")"),"N2")</f>
        <v>N2</v>
      </c>
      <c r="DW38" s="295" t="str">
        <f>IFERROR(__xludf.DUMMYFUNCTION("IF(REGEXMATCH(N38, ""N""), ""N3"","""")"),"")</f>
        <v/>
      </c>
      <c r="DX38" s="249" t="str">
        <f>IFERROR(__xludf.DUMMYFUNCTION("IF(REGEXMATCH(N38, ""S""), ""S"","""")"),"S")</f>
        <v>S</v>
      </c>
      <c r="DY38" s="299" t="str">
        <f>IFERROR(__xludf.DUMMYFUNCTION("SUBSTITUTE(SUBSTITUTE(SUBSTITUTE(SUBSTITUTE(CONCATENATE(JOIN(""-"",CY38:DK38)),""--"",""-""),""--"",""-""),""--"",""-""),""--"",""-"")"),"1-2-b3-4-5-b6-6-b7-8")</f>
        <v>1-2-b3-4-5-b6-6-b7-8</v>
      </c>
      <c r="DZ38" s="299" t="str">
        <f>IFERROR(__xludf.DUMMYFUNCTION("SUBSTITUTE(SUBSTITUTE(SUBSTITUTE(SUBSTITUTE(CONCATENATE(JOIN(""-"",DL38:DX38)),""--"",""-""),""--"",""-""),""--"",""-""),""--"",""-"")"),"S-R2-G2-M1-P-D1-D2-N2-S")</f>
        <v>S-R2-G2-M1-P-D1-D2-N2-S</v>
      </c>
      <c r="EA38" s="348" t="str">
        <f t="shared" si="43"/>
        <v>C-D-Eb-F-G-Ab-A-Bb-C</v>
      </c>
      <c r="EB38" s="301">
        <f t="shared" si="44"/>
        <v>8</v>
      </c>
      <c r="EC38" s="302" t="str">
        <f t="shared" si="45"/>
        <v>Sampurna</v>
      </c>
      <c r="ED38" s="301" t="str">
        <f t="shared" ref="ED38:EE38" si="204">SUBSTITUTE(AD38,"-","")</f>
        <v>SRGM</v>
      </c>
      <c r="EE38" s="301" t="str">
        <f t="shared" si="204"/>
        <v>PDNS</v>
      </c>
      <c r="EF38" s="302" t="str">
        <f t="shared" si="47"/>
        <v>(n/a)</v>
      </c>
      <c r="EG38" s="301" t="str">
        <f t="shared" si="48"/>
        <v>Hemi.</v>
      </c>
      <c r="EH38" s="364" t="str">
        <f t="shared" si="49"/>
        <v>Co-Co.</v>
      </c>
      <c r="EI38" s="306" t="str">
        <f t="shared" si="50"/>
        <v>-</v>
      </c>
      <c r="EJ38" s="366" t="str">
        <f t="shared" si="51"/>
        <v>-</v>
      </c>
      <c r="EK38" s="308" t="str">
        <f t="shared" si="52"/>
        <v>✔</v>
      </c>
      <c r="EL38" s="306" t="str">
        <f t="shared" si="53"/>
        <v>-</v>
      </c>
      <c r="EM38" s="306" t="str">
        <f t="shared" si="54"/>
        <v>-</v>
      </c>
      <c r="EN38" s="367" t="str">
        <f t="shared" si="55"/>
        <v>-</v>
      </c>
      <c r="EO38" s="310" t="str">
        <f t="shared" si="56"/>
        <v>-</v>
      </c>
      <c r="EP38" s="310" t="str">
        <f t="shared" si="57"/>
        <v>-</v>
      </c>
      <c r="EQ38" s="310" t="str">
        <f t="shared" si="58"/>
        <v>-</v>
      </c>
      <c r="ER38" s="310" t="str">
        <f t="shared" si="59"/>
        <v>✔</v>
      </c>
      <c r="ES38" s="370" t="str">
        <f t="shared" si="60"/>
        <v>-</v>
      </c>
      <c r="ET38" s="306" t="str">
        <f t="shared" si="61"/>
        <v>-</v>
      </c>
      <c r="EU38" s="306" t="str">
        <f t="shared" si="62"/>
        <v>-</v>
      </c>
      <c r="EV38" s="306" t="str">
        <f t="shared" si="63"/>
        <v>-</v>
      </c>
      <c r="EW38" s="306" t="str">
        <f t="shared" si="64"/>
        <v>-</v>
      </c>
      <c r="EX38" s="306" t="str">
        <f t="shared" si="65"/>
        <v>-</v>
      </c>
      <c r="EY38" s="367" t="str">
        <f t="shared" si="66"/>
        <v>-</v>
      </c>
      <c r="EZ38" s="310" t="str">
        <f>IFERROR(__xludf.DUMMYFUNCTION("IF(REGEXMATCH(BM38,BI38),""✔"",""-"")"),"✔")</f>
        <v>✔</v>
      </c>
      <c r="FA38" s="310" t="str">
        <f t="shared" si="67"/>
        <v>-</v>
      </c>
      <c r="FB38" s="370" t="str">
        <f t="shared" si="68"/>
        <v>-</v>
      </c>
      <c r="FC38" s="315" t="str">
        <f t="shared" si="69"/>
        <v>[UQ]</v>
      </c>
      <c r="FD38" s="317" t="str">
        <f t="shared" si="70"/>
        <v>S-R-g-m-P-dD-n-S</v>
      </c>
      <c r="FE38" s="318" t="str">
        <f>IFERROR(__xludf.DUMMYFUNCTION("CONCATENATE(JOIN("""",GJ38:GV38))"),"SRgGmPDnS")</f>
        <v>SRgGmPDnS</v>
      </c>
      <c r="FF38" s="318"/>
      <c r="FG38" s="318"/>
      <c r="FH38" s="321">
        <f t="shared" si="71"/>
        <v>1</v>
      </c>
      <c r="FI38" s="318" t="str">
        <f>IFERROR(__xludf.DUMMYFUNCTION("CONCATENATE(JOIN("""",HW38:II38))"),"Dha, ")</f>
        <v>Dha, </v>
      </c>
      <c r="FJ38" s="322">
        <f t="shared" si="72"/>
        <v>0</v>
      </c>
      <c r="FK38" s="324" t="str">
        <f>IFERROR(__xludf.DUMMYFUNCTION("CONCATENATE(JOIN("""",IW38:JI38))"),"")</f>
        <v/>
      </c>
      <c r="FL38" s="325" t="str">
        <f t="shared" si="73"/>
        <v>S-R2-G2-M1-P-D1-D2-N2-S</v>
      </c>
      <c r="FM38" s="326" t="str">
        <f t="shared" si="74"/>
        <v>1-2-b3-4-5-b6-6-b7-8</v>
      </c>
      <c r="FN38" s="326" t="str">
        <f t="shared" si="75"/>
        <v>0-2-3-5-7-8-9-10-0</v>
      </c>
      <c r="FO38" s="318"/>
      <c r="FP38" s="328" t="str">
        <f>IFERROR(__xludf.DUMMYFUNCTION("SUBSTITUTE(SUBSTITUTE(SUBSTITUTE(SUBSTITUTE(CONCATENATE(JOIN("" "",FS38:GE38)),""  "","" ""),""  "","" ""),""  "","" ""),""  "","" "")"),"o • o o • o • o o o o • o")</f>
        <v>o • o o • o • o o o o • o</v>
      </c>
      <c r="FQ38" s="328" t="str">
        <f t="shared" si="76"/>
        <v>-</v>
      </c>
      <c r="FR38" s="329"/>
      <c r="FS38" s="331" t="str">
        <f t="shared" si="77"/>
        <v>o</v>
      </c>
      <c r="FT38" s="332" t="str">
        <f t="shared" si="78"/>
        <v>•</v>
      </c>
      <c r="FU38" s="332" t="str">
        <f t="shared" si="79"/>
        <v>o</v>
      </c>
      <c r="FV38" s="332" t="str">
        <f t="shared" si="80"/>
        <v>o</v>
      </c>
      <c r="FW38" s="332" t="str">
        <f t="shared" si="81"/>
        <v>•</v>
      </c>
      <c r="FX38" s="332" t="str">
        <f t="shared" si="82"/>
        <v>o</v>
      </c>
      <c r="FY38" s="332" t="str">
        <f t="shared" si="83"/>
        <v>•</v>
      </c>
      <c r="FZ38" s="332" t="str">
        <f t="shared" si="84"/>
        <v>o</v>
      </c>
      <c r="GA38" s="332" t="str">
        <f t="shared" si="85"/>
        <v>o</v>
      </c>
      <c r="GB38" s="332" t="str">
        <f t="shared" si="86"/>
        <v>o</v>
      </c>
      <c r="GC38" s="332" t="str">
        <f t="shared" si="87"/>
        <v>o</v>
      </c>
      <c r="GD38" s="332" t="str">
        <f t="shared" si="88"/>
        <v>•</v>
      </c>
      <c r="GE38" s="338" t="str">
        <f t="shared" si="89"/>
        <v>o</v>
      </c>
      <c r="GF38" s="339" t="str">
        <f t="shared" si="90"/>
        <v>-</v>
      </c>
      <c r="GG38" s="339" t="str">
        <f t="shared" si="91"/>
        <v>Sa-Pa</v>
      </c>
      <c r="GH38" s="339" t="str">
        <f t="shared" si="92"/>
        <v>-</v>
      </c>
      <c r="GI38" s="340" t="str">
        <f t="shared" si="93"/>
        <v>-</v>
      </c>
      <c r="GJ38" s="331" t="str">
        <f t="shared" si="94"/>
        <v>S</v>
      </c>
      <c r="GK38" s="332" t="str">
        <f t="shared" si="95"/>
        <v/>
      </c>
      <c r="GL38" s="332" t="str">
        <f t="shared" si="96"/>
        <v>R</v>
      </c>
      <c r="GM38" s="332" t="str">
        <f t="shared" si="97"/>
        <v>g</v>
      </c>
      <c r="GN38" s="332" t="str">
        <f t="shared" si="98"/>
        <v>G</v>
      </c>
      <c r="GO38" s="332" t="str">
        <f t="shared" si="99"/>
        <v>m</v>
      </c>
      <c r="GP38" s="332" t="str">
        <f t="shared" si="100"/>
        <v/>
      </c>
      <c r="GQ38" s="332" t="str">
        <f t="shared" si="101"/>
        <v>P</v>
      </c>
      <c r="GR38" s="332" t="str">
        <f t="shared" si="102"/>
        <v/>
      </c>
      <c r="GS38" s="332" t="str">
        <f t="shared" si="103"/>
        <v>D</v>
      </c>
      <c r="GT38" s="332" t="str">
        <f t="shared" si="104"/>
        <v>n</v>
      </c>
      <c r="GU38" s="332" t="str">
        <f t="shared" si="105"/>
        <v/>
      </c>
      <c r="GV38" s="343" t="str">
        <f t="shared" si="106"/>
        <v>S</v>
      </c>
      <c r="GW38" s="331" t="str">
        <f t="shared" si="107"/>
        <v>•</v>
      </c>
      <c r="GX38" s="332" t="str">
        <f t="shared" si="108"/>
        <v>o</v>
      </c>
      <c r="GY38" s="332" t="str">
        <f t="shared" si="109"/>
        <v>•</v>
      </c>
      <c r="GZ38" s="332" t="str">
        <f t="shared" si="110"/>
        <v>•</v>
      </c>
      <c r="HA38" s="332" t="str">
        <f t="shared" si="111"/>
        <v>o</v>
      </c>
      <c r="HB38" s="332" t="str">
        <f t="shared" si="112"/>
        <v>•</v>
      </c>
      <c r="HC38" s="332" t="str">
        <f t="shared" si="113"/>
        <v>o</v>
      </c>
      <c r="HD38" s="332" t="str">
        <f t="shared" si="114"/>
        <v>•</v>
      </c>
      <c r="HE38" s="332" t="str">
        <f t="shared" si="115"/>
        <v>•</v>
      </c>
      <c r="HF38" s="332" t="str">
        <f t="shared" si="116"/>
        <v>•</v>
      </c>
      <c r="HG38" s="332" t="str">
        <f t="shared" si="117"/>
        <v>•</v>
      </c>
      <c r="HH38" s="332" t="str">
        <f t="shared" si="118"/>
        <v>o</v>
      </c>
      <c r="HI38" s="338" t="str">
        <f t="shared" si="119"/>
        <v>•</v>
      </c>
      <c r="HJ38" s="346" t="b">
        <f t="shared" si="120"/>
        <v>0</v>
      </c>
      <c r="HK38" s="347" t="b">
        <f t="shared" si="121"/>
        <v>0</v>
      </c>
      <c r="HL38" s="347" t="b">
        <f t="shared" si="122"/>
        <v>0</v>
      </c>
      <c r="HM38" s="347" t="b">
        <f t="shared" si="123"/>
        <v>0</v>
      </c>
      <c r="HN38" s="347" t="b">
        <f t="shared" si="124"/>
        <v>0</v>
      </c>
      <c r="HO38" s="347" t="b">
        <f t="shared" si="125"/>
        <v>0</v>
      </c>
      <c r="HP38" s="347" t="b">
        <f t="shared" si="126"/>
        <v>0</v>
      </c>
      <c r="HQ38" s="347" t="b">
        <f t="shared" si="127"/>
        <v>0</v>
      </c>
      <c r="HR38" s="347" t="b">
        <f t="shared" si="128"/>
        <v>0</v>
      </c>
      <c r="HS38" s="347" t="b">
        <f t="shared" si="129"/>
        <v>1</v>
      </c>
      <c r="HT38" s="347" t="b">
        <f t="shared" si="130"/>
        <v>0</v>
      </c>
      <c r="HU38" s="347" t="b">
        <f t="shared" si="131"/>
        <v>0</v>
      </c>
      <c r="HV38" s="353" t="b">
        <f t="shared" si="132"/>
        <v>0</v>
      </c>
      <c r="HW38" s="354" t="str">
        <f t="shared" si="133"/>
        <v/>
      </c>
      <c r="HX38" s="355" t="str">
        <f t="shared" si="134"/>
        <v/>
      </c>
      <c r="HY38" s="355" t="str">
        <f t="shared" si="135"/>
        <v/>
      </c>
      <c r="HZ38" s="355" t="str">
        <f t="shared" si="136"/>
        <v/>
      </c>
      <c r="IA38" s="355" t="str">
        <f t="shared" si="137"/>
        <v/>
      </c>
      <c r="IB38" s="355" t="str">
        <f t="shared" si="138"/>
        <v/>
      </c>
      <c r="IC38" s="355" t="str">
        <f t="shared" si="139"/>
        <v/>
      </c>
      <c r="ID38" s="355" t="str">
        <f t="shared" si="140"/>
        <v/>
      </c>
      <c r="IE38" s="355" t="str">
        <f t="shared" si="141"/>
        <v/>
      </c>
      <c r="IF38" s="355" t="str">
        <f t="shared" si="142"/>
        <v>Dha, </v>
      </c>
      <c r="IG38" s="355" t="str">
        <f t="shared" si="143"/>
        <v/>
      </c>
      <c r="IH38" s="355" t="str">
        <f t="shared" si="144"/>
        <v/>
      </c>
      <c r="II38" s="359" t="str">
        <f t="shared" si="145"/>
        <v/>
      </c>
      <c r="IJ38" s="346" t="b">
        <f t="shared" si="146"/>
        <v>0</v>
      </c>
      <c r="IK38" s="347" t="b">
        <f t="shared" si="147"/>
        <v>0</v>
      </c>
      <c r="IL38" s="347" t="b">
        <f t="shared" si="148"/>
        <v>0</v>
      </c>
      <c r="IM38" s="347" t="b">
        <f t="shared" si="149"/>
        <v>0</v>
      </c>
      <c r="IN38" s="347" t="b">
        <f t="shared" si="150"/>
        <v>0</v>
      </c>
      <c r="IO38" s="347" t="b">
        <f t="shared" si="151"/>
        <v>0</v>
      </c>
      <c r="IP38" s="347" t="b">
        <f t="shared" si="152"/>
        <v>0</v>
      </c>
      <c r="IQ38" s="347" t="b">
        <f t="shared" si="153"/>
        <v>0</v>
      </c>
      <c r="IR38" s="347" t="b">
        <f t="shared" si="154"/>
        <v>0</v>
      </c>
      <c r="IS38" s="347" t="b">
        <f t="shared" si="155"/>
        <v>0</v>
      </c>
      <c r="IT38" s="347" t="b">
        <f t="shared" si="156"/>
        <v>0</v>
      </c>
      <c r="IU38" s="347" t="b">
        <f t="shared" si="157"/>
        <v>0</v>
      </c>
      <c r="IV38" s="365" t="b">
        <f t="shared" si="158"/>
        <v>0</v>
      </c>
      <c r="IW38" s="354" t="str">
        <f t="shared" si="159"/>
        <v/>
      </c>
      <c r="IX38" s="355" t="str">
        <f t="shared" si="160"/>
        <v/>
      </c>
      <c r="IY38" s="355" t="str">
        <f t="shared" si="161"/>
        <v/>
      </c>
      <c r="IZ38" s="355" t="str">
        <f t="shared" si="162"/>
        <v/>
      </c>
      <c r="JA38" s="355" t="str">
        <f t="shared" si="163"/>
        <v/>
      </c>
      <c r="JB38" s="355" t="str">
        <f t="shared" si="164"/>
        <v/>
      </c>
      <c r="JC38" s="355" t="str">
        <f t="shared" si="165"/>
        <v/>
      </c>
      <c r="JD38" s="355" t="str">
        <f t="shared" si="166"/>
        <v/>
      </c>
      <c r="JE38" s="355" t="str">
        <f t="shared" si="167"/>
        <v/>
      </c>
      <c r="JF38" s="355" t="str">
        <f t="shared" si="168"/>
        <v/>
      </c>
      <c r="JG38" s="355" t="str">
        <f t="shared" si="169"/>
        <v/>
      </c>
      <c r="JH38" s="355" t="str">
        <f t="shared" si="170"/>
        <v/>
      </c>
      <c r="JI38" s="359"/>
      <c r="JJ38" s="321"/>
      <c r="JK38" s="368"/>
      <c r="JL38" s="369"/>
      <c r="JM38" s="369"/>
      <c r="JN38" s="369"/>
      <c r="JO38" s="369"/>
      <c r="JP38" s="369"/>
      <c r="JQ38" s="369"/>
      <c r="JR38" s="369"/>
      <c r="JS38" s="369"/>
      <c r="JT38" s="369"/>
      <c r="JU38" s="369"/>
    </row>
    <row r="39" ht="20.25" customHeight="1">
      <c r="A39" s="221" t="s">
        <v>1304</v>
      </c>
      <c r="B39" s="223" t="s">
        <v>586</v>
      </c>
      <c r="C39" s="222"/>
      <c r="D39" s="222"/>
      <c r="E39" s="222" t="s">
        <v>275</v>
      </c>
      <c r="F39" s="222"/>
      <c r="G39" s="395" t="s">
        <v>275</v>
      </c>
      <c r="H39" s="222">
        <v>37.0</v>
      </c>
      <c r="I39" s="224" t="s">
        <v>1219</v>
      </c>
      <c r="J39" s="225" t="str">
        <f t="shared" si="5"/>
        <v>[UQ]</v>
      </c>
      <c r="K39" s="227">
        <f t="shared" si="6"/>
        <v>7</v>
      </c>
      <c r="L39" s="229">
        <f t="shared" si="7"/>
        <v>7</v>
      </c>
      <c r="M39" s="230">
        <f t="shared" si="8"/>
        <v>0</v>
      </c>
      <c r="N39" s="233" t="str">
        <f t="shared" si="9"/>
        <v>SrGmPdnS</v>
      </c>
      <c r="O39" s="234" t="str">
        <f>IFERROR(__xludf.DUMMYFUNCTION("IF(REGEXMATCH(N39, ""S""), ""S"","""")"),"S")</f>
        <v>S</v>
      </c>
      <c r="P39" s="236" t="str">
        <f>IFERROR(__xludf.DUMMYFUNCTION("IF(REGEXMATCH(N39, ""r""), ""r"","""")"),"r")</f>
        <v>r</v>
      </c>
      <c r="Q39" s="237" t="str">
        <f>IFERROR(__xludf.DUMMYFUNCTION("IF(REGEXMATCH(N39, ""R""), ""R"","""")"),"")</f>
        <v/>
      </c>
      <c r="R39" s="237" t="str">
        <f>IFERROR(__xludf.DUMMYFUNCTION("IF(REGEXMATCH(N39, ""g""), ""g"","""")"),"")</f>
        <v/>
      </c>
      <c r="S39" s="236" t="str">
        <f>IFERROR(__xludf.DUMMYFUNCTION("IF(REGEXMATCH(N39, ""G""), ""G"","""")"),"G")</f>
        <v>G</v>
      </c>
      <c r="T39" s="236" t="str">
        <f>IFERROR(__xludf.DUMMYFUNCTION("IF(REGEXMATCH(N39, ""m""), ""m"","""")"),"m")</f>
        <v>m</v>
      </c>
      <c r="U39" s="237" t="str">
        <f>IFERROR(__xludf.DUMMYFUNCTION("IF(REGEXMATCH(N39, ""M""), ""M"","""")"),"")</f>
        <v/>
      </c>
      <c r="V39" s="236" t="str">
        <f>IFERROR(__xludf.DUMMYFUNCTION("IF(REGEXMATCH(N39, ""P""), ""P"","""")"),"P")</f>
        <v>P</v>
      </c>
      <c r="W39" s="237" t="str">
        <f>IFERROR(__xludf.DUMMYFUNCTION("IF(REGEXMATCH(N39, ""d""), ""d"","""")"),"d")</f>
        <v>d</v>
      </c>
      <c r="X39" s="236" t="str">
        <f>IFERROR(__xludf.DUMMYFUNCTION("IF(REGEXMATCH(N39, ""D""), ""D"","""")"),"")</f>
        <v/>
      </c>
      <c r="Y39" s="236" t="str">
        <f>IFERROR(__xludf.DUMMYFUNCTION("IF(REGEXMATCH(N39, ""n""), ""n"","""")"),"n")</f>
        <v>n</v>
      </c>
      <c r="Z39" s="237" t="str">
        <f>IFERROR(__xludf.DUMMYFUNCTION("IF(REGEXMATCH(N39, ""N""), ""N"","""")"),"")</f>
        <v/>
      </c>
      <c r="AA39" s="238" t="str">
        <f>IFERROR(__xludf.DUMMYFUNCTION("IF(REGEXMATCH(N39, ""S""), ""S"","""")"),"S")</f>
        <v>S</v>
      </c>
      <c r="AB39" s="239" t="str">
        <f>IFERROR(__xludf.DUMMYFUNCTION("SUBSTITUTE(CONCATENATE(JOIN(""-"",O39:U39)),""-"","""")"),"SrGm")</f>
        <v>SrGm</v>
      </c>
      <c r="AC39" s="229" t="str">
        <f>IFERROR(__xludf.DUMMYFUNCTION("SUBSTITUTE(CONCATENATE(JOIN(""-"",V39:AA39)),""-"","""")"),"PdnS")</f>
        <v>PdnS</v>
      </c>
      <c r="AD39" s="282" t="str">
        <f t="shared" si="10"/>
        <v>S-R-G-M</v>
      </c>
      <c r="AE39" s="282" t="str">
        <f t="shared" si="11"/>
        <v>P-D-N-S</v>
      </c>
      <c r="AF39" s="309" t="str">
        <f t="shared" si="12"/>
        <v>rGmdn</v>
      </c>
      <c r="AG39" s="244" t="str">
        <f>IFERROR(__xludf.DUMMYFUNCTION("IF(REGEXMATCH(N39, ""S""), ""0"","""")"),"0")</f>
        <v>0</v>
      </c>
      <c r="AH39" s="245" t="str">
        <f>IFERROR(__xludf.DUMMYFUNCTION("IF(REGEXMATCH(N39, ""r""), ""1"","""")"),"1")</f>
        <v>1</v>
      </c>
      <c r="AI39" s="246" t="str">
        <f>IFERROR(__xludf.DUMMYFUNCTION("IF(REGEXMATCH(N39, ""R""), ""2"","""")"),"")</f>
        <v/>
      </c>
      <c r="AJ39" s="246" t="str">
        <f>IFERROR(__xludf.DUMMYFUNCTION("IF(REGEXMATCH(N39, ""g""), ""3"","""")"),"")</f>
        <v/>
      </c>
      <c r="AK39" s="245" t="str">
        <f>IFERROR(__xludf.DUMMYFUNCTION("IF(REGEXMATCH(N39, ""G""), ""4"","""")"),"4")</f>
        <v>4</v>
      </c>
      <c r="AL39" s="245" t="str">
        <f>IFERROR(__xludf.DUMMYFUNCTION("IF(REGEXMATCH(N39, ""m""), ""5"","""")"),"5")</f>
        <v>5</v>
      </c>
      <c r="AM39" s="246" t="str">
        <f>IFERROR(__xludf.DUMMYFUNCTION("IF(REGEXMATCH(N39, ""M""), ""6"","""")"),"")</f>
        <v/>
      </c>
      <c r="AN39" s="245" t="str">
        <f>IFERROR(__xludf.DUMMYFUNCTION("IF(REGEXMATCH(N39, ""P""), ""7"","""")"),"7")</f>
        <v>7</v>
      </c>
      <c r="AO39" s="246" t="str">
        <f>IFERROR(__xludf.DUMMYFUNCTION("IF(REGEXMATCH(N39, ""d""), ""8"","""")"),"8")</f>
        <v>8</v>
      </c>
      <c r="AP39" s="245" t="str">
        <f>IFERROR(__xludf.DUMMYFUNCTION("IF(REGEXMATCH(N39, ""D""), ""9"","""")"),"")</f>
        <v/>
      </c>
      <c r="AQ39" s="245" t="str">
        <f>IFERROR(__xludf.DUMMYFUNCTION("IF(REGEXMATCH(N39, ""n""), ""10"","""")"),"10")</f>
        <v>10</v>
      </c>
      <c r="AR39" s="246" t="str">
        <f>IFERROR(__xludf.DUMMYFUNCTION("IF(REGEXMATCH(N39, ""N""), ""11"","""")"),"")</f>
        <v/>
      </c>
      <c r="AS39" s="249" t="str">
        <f>IFERROR(__xludf.DUMMYFUNCTION("IF(REGEXMATCH(N39, ""S""), ""0"","""")"),"0")</f>
        <v>0</v>
      </c>
      <c r="AT39" s="250" t="str">
        <f>IFERROR(__xludf.DUMMYFUNCTION("SUBSTITUTE(SUBSTITUTE(SUBSTITUTE(SUBSTITUTE(CONCATENATE(JOIN(""-"",AG39:AS39)),""--"",""-""),""--"",""-""),""--"",""-""),""--"",""-"")"),"0-1-4-5-7-8-10-0")</f>
        <v>0-1-4-5-7-8-10-0</v>
      </c>
      <c r="AU39" s="251">
        <f t="shared" si="13"/>
        <v>0</v>
      </c>
      <c r="AV39" s="234" t="str">
        <f t="shared" si="14"/>
        <v>|</v>
      </c>
      <c r="AW39" s="236" t="str">
        <f t="shared" si="15"/>
        <v>|</v>
      </c>
      <c r="AX39" s="237" t="str">
        <f t="shared" si="16"/>
        <v>-</v>
      </c>
      <c r="AY39" s="236" t="str">
        <f t="shared" si="17"/>
        <v>-</v>
      </c>
      <c r="AZ39" s="237" t="str">
        <f t="shared" si="18"/>
        <v>|</v>
      </c>
      <c r="BA39" s="236" t="str">
        <f t="shared" si="19"/>
        <v>|</v>
      </c>
      <c r="BB39" s="237" t="str">
        <f t="shared" si="20"/>
        <v>-</v>
      </c>
      <c r="BC39" s="236" t="str">
        <f t="shared" si="21"/>
        <v>|</v>
      </c>
      <c r="BD39" s="237" t="str">
        <f t="shared" si="22"/>
        <v>|</v>
      </c>
      <c r="BE39" s="236" t="str">
        <f t="shared" si="23"/>
        <v>-</v>
      </c>
      <c r="BF39" s="237" t="str">
        <f t="shared" si="24"/>
        <v>|</v>
      </c>
      <c r="BG39" s="236" t="str">
        <f t="shared" si="25"/>
        <v>-</v>
      </c>
      <c r="BH39" s="238" t="str">
        <f t="shared" si="26"/>
        <v>|</v>
      </c>
      <c r="BI39" s="250" t="str">
        <f>IFERROR(__xludf.DUMMYFUNCTION("SUBSTITUTE(SUBSTITUTE(CONCATENATE(JOIN("""",AV39:BG39)),""|"",""x""),""-"",""o"")"),"xxooxxoxxoxo")</f>
        <v>xxooxxoxxoxo</v>
      </c>
      <c r="BJ39" s="323" t="str">
        <f>IFERROR(__xludf.DUMMYFUNCTION("JOIN("""",BI39,BI39)"),"xxooxxoxxoxoxxooxxoxxoxo")</f>
        <v>xxooxxoxxoxoxxooxxoxxoxo</v>
      </c>
      <c r="BK39" s="256" t="str">
        <f>IFERROR(__xludf.DUMMYFUNCTION("JOIN("""",ArrayFormula(MID(BI39,LEN(BI39)-SEQUENCE(1,LEN(BI39))+1,1)))"),"oxoxxoxxooxx")</f>
        <v>oxoxxoxxooxx</v>
      </c>
      <c r="BL39" s="256" t="str">
        <f>IFERROR(__xludf.DUMMYFUNCTION("LEFT(CONCATENATE(""x"",JOIN("""",ArrayFormula(MID(BI39,LEN(BI39)-SEQUENCE(1,LEN(BI39))+1,1)))),12)"),"xoxoxxoxxoox")</f>
        <v>xoxoxxoxxoox</v>
      </c>
      <c r="BM39" s="327" t="str">
        <f>IFERROR(__xludf.DUMMYFUNCTION("JOIN("""",BK39,BK39)"),"oxoxxoxxooxxoxoxxoxxooxx")</f>
        <v>oxoxxoxxooxxoxoxxoxxooxx</v>
      </c>
      <c r="BN39" s="239" t="str">
        <f>IFERROR(__xludf.DUMMYFUNCTION("IF(REGEXMATCH(BM39,BI39),""✔"",""-"")"),"-")</f>
        <v>-</v>
      </c>
      <c r="BO39" s="330" t="str">
        <f t="shared" si="27"/>
        <v>-</v>
      </c>
      <c r="BP39" s="260" t="str">
        <f t="shared" si="28"/>
        <v>-</v>
      </c>
      <c r="BQ39" s="261" t="str">
        <f>IFERROR(__xludf.DUMMYFUNCTION("IF(BT39=0,""(n/a)"",IF(BU39=2,""(PAIR)"",IF(REGEXMATCH(BJ39,""xoxoxxoxoxox""),""Bilawal"",IF(REGEXMATCH(BJ39,""xoxoxooxoxoo""),""Bhupali"",IF(REGEXMATCH(BJ39,""xoxoxxoxxoxo""),""Charukeshi"",IF(REGEXMATCH(BJ39,""xoxoooxxoxxo""),""Kameshwari"",IF(REGEXMATC"&amp;"H(BJ39,""xoxoxooxoxox""),""Shankara"",IF(REGEXMATCH(BJ39,""xxooxoxxxoox""),""Basant"",IF(REGEXMATCH(BJ39,""xoxoxxxxoxox""),""Bihag"",IF(REGEXMATCH(BJ39,""xoxxxxoxoxxx""),""Pilu"",IF(REGEXMATCH(BJ39,""xoxxoxoxxoox""),""Kirwani"",IF(REGEXMATCH(BJ39,""xoxxox"&amp;"oxoxxx""),""Mk.Malhar"",IF(REGEXMATCH(BJ39,""xxooxxoxxoox""),""Bhairav"",IF(REGEXMATCH(BJ39,""xxoxooxxxoox""),""Todi"",IF(REGEXMATCH(BJ39,""xxooxoxooxox""),""Marwa"",IF(REGEXMATCH(BJ39,""xxoooxoxxooo""),""Gunkali"",IF(REGEXMATCH(BJ39,""xoxoxxoxxoox""),""N"&amp;"at Bhairav"",IF(REGEXMATCH(BJ39,""xoxxoooxoxoo""),""Shivranjani"",IF(REGEXMATCH(BJ39,""xooxxxoxooxo""),""Jog"",IF(REGEXMATCH(BJ39,""xxooxoxoxoox""),""Hemshri"",IF(REGEXMATCH(BJ39,""xoooxooxoxxo""),""Kalavati"",IF(REGEXMATCH(BJ39,""xxoxoxxoxoox""),""Kedar"&amp;""",IF(REGEXMATCH(BJ39,""xoxxxxoxooxx""),""Gara"",IF(REGEXMATCH(BJ39,""xooxoxooxoox""),""Chandrakauns"",IF(REGEXMATCH(BJ39,""xoxxxxoxxxox""),""Mand"",IF(REGEXMATCH(BJ39,""xoxxxxoxoxox""),""Hanskinkini"",IF(REGEXMATCH(BJ39,""xxooxxoxooxo""),""Lilavati"",IF("&amp;"REGEXMATCH(BJ39,""xooxoxoooxox""),""Rajeshwari"",IF(REGEXMATCH(BJ39,""xoooxxoxoxxx""),""Khokar"",IF(REGEXMATCH(BJ39,""xxooxoxxxxox""),""Maligoura"",""-""))))))))))))))))))))))))))))))"),"Kirwani")</f>
        <v>Kirwani</v>
      </c>
      <c r="BR39" s="239">
        <f t="shared" si="29"/>
        <v>6</v>
      </c>
      <c r="BS39" s="239">
        <f>IFERROR(__xludf.DUMMYFUNCTION("COUNTUNIQUE(BW39:CG39)-1"),6.0)</f>
        <v>6</v>
      </c>
      <c r="BT39" s="239">
        <f>IFERROR(__xludf.DUMMYFUNCTION("COUNTUNIQUE(FILTER(BJ:BJ,REGEXMATCH(BJ:BJ,BI39)))-1"),2.0)</f>
        <v>2</v>
      </c>
      <c r="BU39" s="239">
        <f>IFERROR(__xludf.DUMMYFUNCTION("COUNTA(FILTER(BJ:BJ,REGEXMATCH(BJ:BJ,BI39)))"),4.0)</f>
        <v>4</v>
      </c>
      <c r="BV39" s="341">
        <f>IFERROR(__xludf.DUMMYFUNCTION("COUNTA(FILTER(BJ:BJ,REGEXMATCH(BJ:BJ,BI39)))-AU39"),4.0)</f>
        <v>4</v>
      </c>
      <c r="BW39" s="269" t="str">
        <f t="shared" si="30"/>
        <v>xooxxoxxoxo</v>
      </c>
      <c r="BX39" s="269" t="str">
        <f t="shared" si="31"/>
        <v>-</v>
      </c>
      <c r="BY39" s="271" t="str">
        <f t="shared" si="32"/>
        <v>-</v>
      </c>
      <c r="BZ39" s="269" t="str">
        <f t="shared" si="33"/>
        <v>xxoxxoxoxxo</v>
      </c>
      <c r="CA39" s="271" t="str">
        <f t="shared" si="34"/>
        <v>xoxxoxoxxoo</v>
      </c>
      <c r="CB39" s="271" t="str">
        <f t="shared" si="35"/>
        <v>-</v>
      </c>
      <c r="CC39" s="271" t="str">
        <f t="shared" si="36"/>
        <v>xxoxoxxooxx</v>
      </c>
      <c r="CD39" s="271" t="str">
        <f t="shared" si="37"/>
        <v>xoxoxxooxxo</v>
      </c>
      <c r="CE39" s="271" t="str">
        <f t="shared" si="38"/>
        <v>-</v>
      </c>
      <c r="CF39" s="271" t="str">
        <f t="shared" si="39"/>
        <v>xoxxooxxoxx</v>
      </c>
      <c r="CG39" s="274" t="str">
        <f t="shared" si="40"/>
        <v>-</v>
      </c>
      <c r="CH39" s="276" t="str">
        <f>IFERROR(__xludf.DUMMYFUNCTION("IF(BI39=""oooooooooooo"",""-"",IF(REGEXMATCH(BJ39,""xx""), ""Hemi."", ""Anhemi.""))"),"Hemi.")</f>
        <v>Hemi.</v>
      </c>
      <c r="CI39" s="282" t="str">
        <f>IFERROR(__xludf.DUMMYFUNCTION("IF(BI39=""oooooooooooo"",""-"",IF(REGEXMATCH(BJ39,""xxx""), ""Cohem."", ""-""))"),"-")</f>
        <v>-</v>
      </c>
      <c r="CJ39" s="282" t="str">
        <f>IFERROR(__xludf.DUMMYFUNCTION("IF(BI39=""oooooooooooo"",""-"",IF(REGEXMATCH(BJ39,""xxxx""), ""Co-Co."", ""-""))"),"-")</f>
        <v>-</v>
      </c>
      <c r="CK39" s="342" t="str">
        <f>IFERROR(__xludf.DUMMYFUNCTION("IF(BI39=""oooooooooooo"",""-"",IF(REGEXMATCH(BJ39,""xxxxx""), ""CCC."", ""-""))"),"-")</f>
        <v>-</v>
      </c>
      <c r="CL39" s="344" t="str">
        <f t="shared" si="41"/>
        <v>-</v>
      </c>
      <c r="CM39" s="282" t="str">
        <f>IFERROR(__xludf.DUMMYFUNCTION("IF(REGEXMATCH(JOIN(""-"",CO39:CX39),""TRUE""),""✔"",""-"")"),"-")</f>
        <v>-</v>
      </c>
      <c r="CN39" s="225">
        <f t="shared" si="42"/>
        <v>0</v>
      </c>
      <c r="CO39" s="376" t="b">
        <f>IFERROR(__xludf.DUMMYFUNCTION("arrayformula(sum(--REGEXMATCH(""SRGMPDNS"",split(REGEXREPLACE(N39,""(.)"",""$1~""),""~""))))=len(N39)
"),FALSE)</f>
        <v>0</v>
      </c>
      <c r="CP39" s="290" t="b">
        <f>IFERROR(__xludf.DUMMYFUNCTION("arrayformula(sum(--REGEXMATCH(""SRGmPDNS"",split(REGEXREPLACE(N39,""(.)"",""$1~""),""~""))))=len(N39)"),FALSE)</f>
        <v>0</v>
      </c>
      <c r="CQ39" s="290" t="b">
        <f>IFERROR(__xludf.DUMMYFUNCTION("arrayformula(sum(--REGEXMATCH(""SRGmPDnS"",split(REGEXREPLACE(N39,""(.)"",""$1~""),""~""))))=len(N39)"),FALSE)</f>
        <v>0</v>
      </c>
      <c r="CR39" s="290" t="b">
        <f>IFERROR(__xludf.DUMMYFUNCTION("arrayformula(sum(--REGEXMATCH(""SRgmPDnS"",split(REGEXREPLACE(N39,""(.)"",""$1~""),""~""))))=len(N39)"),FALSE)</f>
        <v>0</v>
      </c>
      <c r="CS39" s="290" t="b">
        <f>IFERROR(__xludf.DUMMYFUNCTION("arrayformula(sum(--REGEXMATCH(""SRgmPdnS"",split(REGEXREPLACE(N39,""(.)"",""$1~""),""~""))))=len(N39)"),FALSE)</f>
        <v>0</v>
      </c>
      <c r="CT39" s="290" t="b">
        <f>IFERROR(__xludf.DUMMYFUNCTION("arrayformula(sum(--REGEXMATCH(""SrgmPdnS"",split(REGEXREPLACE(N39,""(.)"",""$1~""),""~""))))=len(N39)"),FALSE)</f>
        <v>0</v>
      </c>
      <c r="CU39" s="290" t="b">
        <f>IFERROR(__xludf.DUMMYFUNCTION("arrayformula(sum(--REGEXMATCH(""SrGmPdNS"",split(REGEXREPLACE(N39,""(.)"",""$1~""),""~""))))=len(N39)"),FALSE)</f>
        <v>0</v>
      </c>
      <c r="CV39" s="290" t="b">
        <f>IFERROR(__xludf.DUMMYFUNCTION("arrayformula(sum(--REGEXMATCH(""SrGMPDNS"",split(REGEXREPLACE(N39,""(.)"",""$1~""),""~""))))=len(N39)"),FALSE)</f>
        <v>0</v>
      </c>
      <c r="CW39" s="290" t="b">
        <f>IFERROR(__xludf.DUMMYFUNCTION("arrayformula(sum(--REGEXMATCH(""SrGMPdNS"",split(REGEXREPLACE(N39,""(.)"",""$1~""),""~""))))=len(N39)"),FALSE)</f>
        <v>0</v>
      </c>
      <c r="CX39" s="293" t="b">
        <f>IFERROR(__xludf.DUMMYFUNCTION("arrayformula(sum(--REGEXMATCH(""SrgMPdNS"",split(REGEXREPLACE(N39,""(.)"",""$1~""),""~""))))=len(N39)"),FALSE)</f>
        <v>0</v>
      </c>
      <c r="CY39" s="244" t="str">
        <f>IFERROR(__xludf.DUMMYFUNCTION("IF(REGEXMATCH(N39, ""S""), ""1"","""")"),"1")</f>
        <v>1</v>
      </c>
      <c r="CZ39" s="245" t="str">
        <f>IFERROR(__xludf.DUMMYFUNCTION("IF(REGEXMATCH(N39, ""r""), ""b2"","""")"),"b2")</f>
        <v>b2</v>
      </c>
      <c r="DA39" s="246" t="str">
        <f>IFERROR(__xludf.DUMMYFUNCTION("IF(REGEXMATCH(N39, ""R""), ""2"","""")"),"")</f>
        <v/>
      </c>
      <c r="DB39" s="246" t="str">
        <f>IFERROR(__xludf.DUMMYFUNCTION("IF(REGEXMATCH(N39, ""g""), ""b3"","""")"),"")</f>
        <v/>
      </c>
      <c r="DC39" s="245" t="str">
        <f>IFERROR(__xludf.DUMMYFUNCTION("IF(REGEXMATCH(N39, ""G""), ""3"","""")"),"3")</f>
        <v>3</v>
      </c>
      <c r="DD39" s="245" t="str">
        <f>IFERROR(__xludf.DUMMYFUNCTION("IF(REGEXMATCH(N39, ""m""), ""4"","""")"),"4")</f>
        <v>4</v>
      </c>
      <c r="DE39" s="246" t="str">
        <f>IFERROR(__xludf.DUMMYFUNCTION("IF(REGEXMATCH(N39, ""M""), ""#4"","""")"),"")</f>
        <v/>
      </c>
      <c r="DF39" s="245" t="str">
        <f>IFERROR(__xludf.DUMMYFUNCTION("IF(REGEXMATCH(N39, ""P""), ""5"","""")"),"5")</f>
        <v>5</v>
      </c>
      <c r="DG39" s="246" t="str">
        <f>IFERROR(__xludf.DUMMYFUNCTION("IF(REGEXMATCH(N39, ""d""), ""b6"","""")"),"b6")</f>
        <v>b6</v>
      </c>
      <c r="DH39" s="245" t="str">
        <f>IFERROR(__xludf.DUMMYFUNCTION("IF(REGEXMATCH(N39, ""D""), ""6"","""")"),"")</f>
        <v/>
      </c>
      <c r="DI39" s="245" t="str">
        <f>IFERROR(__xludf.DUMMYFUNCTION("IF(REGEXMATCH(N39, ""n""), ""b7"","""")"),"b7")</f>
        <v>b7</v>
      </c>
      <c r="DJ39" s="246" t="str">
        <f>IFERROR(__xludf.DUMMYFUNCTION("IF(REGEXMATCH(N39, ""N""), ""7"","""")"),"")</f>
        <v/>
      </c>
      <c r="DK39" s="249" t="str">
        <f>IFERROR(__xludf.DUMMYFUNCTION("IF(REGEXMATCH(N39, ""S""), ""8"","""")"),"8")</f>
        <v>8</v>
      </c>
      <c r="DL39" s="244" t="str">
        <f>IFERROR(__xludf.DUMMYFUNCTION("IF(REGEXMATCH(N39, ""S""), ""S"","""")"),"S")</f>
        <v>S</v>
      </c>
      <c r="DM39" s="294" t="str">
        <f>IFERROR(__xludf.DUMMYFUNCTION("IF(REGEXMATCH(N39, ""r""), ""R1"","""")"),"R1")</f>
        <v>R1</v>
      </c>
      <c r="DN39" s="295" t="str">
        <f>IFERROR(__xludf.DUMMYFUNCTION("IF(REGEXMATCH(N39, ""R""), ""R2"","""")"),"")</f>
        <v/>
      </c>
      <c r="DO39" s="295" t="str">
        <f>IFERROR(__xludf.DUMMYFUNCTION("IF(REGEXMATCH(N39, ""g""), ""G2"","""")"),"")</f>
        <v/>
      </c>
      <c r="DP39" s="294" t="str">
        <f>IFERROR(__xludf.DUMMYFUNCTION("IF(REGEXMATCH(N39, ""G""), ""G3"","""")"),"G3")</f>
        <v>G3</v>
      </c>
      <c r="DQ39" s="294" t="str">
        <f>IFERROR(__xludf.DUMMYFUNCTION("IF(REGEXMATCH(N39, ""m""), ""M1"","""")"),"M1")</f>
        <v>M1</v>
      </c>
      <c r="DR39" s="295" t="str">
        <f>IFERROR(__xludf.DUMMYFUNCTION("IF(REGEXMATCH(N39, ""M""), ""M2"","""")"),"")</f>
        <v/>
      </c>
      <c r="DS39" s="294" t="str">
        <f>IFERROR(__xludf.DUMMYFUNCTION("IF(REGEXMATCH(N39, ""P""), ""P"","""")"),"P")</f>
        <v>P</v>
      </c>
      <c r="DT39" s="295" t="str">
        <f>IFERROR(__xludf.DUMMYFUNCTION("IF(REGEXMATCH(N39, ""d""), ""D1"","""")"),"D1")</f>
        <v>D1</v>
      </c>
      <c r="DU39" s="294" t="str">
        <f>IFERROR(__xludf.DUMMYFUNCTION("IF(REGEXMATCH(N39, ""D""), ""D2"","""")"),"")</f>
        <v/>
      </c>
      <c r="DV39" s="294" t="str">
        <f>IFERROR(__xludf.DUMMYFUNCTION("IF(REGEXMATCH(N39, ""n""), ""N2"","""")"),"N2")</f>
        <v>N2</v>
      </c>
      <c r="DW39" s="295" t="str">
        <f>IFERROR(__xludf.DUMMYFUNCTION("IF(REGEXMATCH(N39, ""N""), ""N3"","""")"),"")</f>
        <v/>
      </c>
      <c r="DX39" s="249" t="str">
        <f>IFERROR(__xludf.DUMMYFUNCTION("IF(REGEXMATCH(N39, ""S""), ""S"","""")"),"S")</f>
        <v>S</v>
      </c>
      <c r="DY39" s="299" t="str">
        <f>IFERROR(__xludf.DUMMYFUNCTION("SUBSTITUTE(SUBSTITUTE(SUBSTITUTE(SUBSTITUTE(CONCATENATE(JOIN(""-"",CY39:DK39)),""--"",""-""),""--"",""-""),""--"",""-""),""--"",""-"")"),"1-b2-3-4-5-b6-b7-8")</f>
        <v>1-b2-3-4-5-b6-b7-8</v>
      </c>
      <c r="DZ39" s="299" t="str">
        <f>IFERROR(__xludf.DUMMYFUNCTION("SUBSTITUTE(SUBSTITUTE(SUBSTITUTE(SUBSTITUTE(CONCATENATE(JOIN(""-"",DL39:DX39)),""--"",""-""),""--"",""-""),""--"",""-""),""--"",""-"")"),"S-R1-G3-M1-P-D1-N2-S")</f>
        <v>S-R1-G3-M1-P-D1-N2-S</v>
      </c>
      <c r="EA39" s="348" t="str">
        <f t="shared" si="43"/>
        <v>C-Db-E-F-G-Ab-Bb-C</v>
      </c>
      <c r="EB39" s="301">
        <f t="shared" si="44"/>
        <v>7</v>
      </c>
      <c r="EC39" s="302" t="str">
        <f t="shared" si="45"/>
        <v>Sampurna</v>
      </c>
      <c r="ED39" s="301" t="str">
        <f t="shared" ref="ED39:EE39" si="205">SUBSTITUTE(AD39,"-","")</f>
        <v>SRGM</v>
      </c>
      <c r="EE39" s="301" t="str">
        <f t="shared" si="205"/>
        <v>PDNS</v>
      </c>
      <c r="EF39" s="302" t="str">
        <f t="shared" si="47"/>
        <v>Kirwani</v>
      </c>
      <c r="EG39" s="301" t="str">
        <f t="shared" si="48"/>
        <v>Hemi.</v>
      </c>
      <c r="EH39" s="364" t="str">
        <f t="shared" si="49"/>
        <v>-</v>
      </c>
      <c r="EI39" s="306" t="str">
        <f t="shared" si="50"/>
        <v>-</v>
      </c>
      <c r="EJ39" s="366" t="str">
        <f t="shared" si="51"/>
        <v>-</v>
      </c>
      <c r="EK39" s="308" t="str">
        <f t="shared" si="52"/>
        <v>✔</v>
      </c>
      <c r="EL39" s="306" t="str">
        <f t="shared" si="53"/>
        <v>-</v>
      </c>
      <c r="EM39" s="306" t="str">
        <f t="shared" si="54"/>
        <v>-</v>
      </c>
      <c r="EN39" s="367" t="str">
        <f t="shared" si="55"/>
        <v>-</v>
      </c>
      <c r="EO39" s="310" t="str">
        <f t="shared" si="56"/>
        <v>-</v>
      </c>
      <c r="EP39" s="310" t="str">
        <f t="shared" si="57"/>
        <v>-</v>
      </c>
      <c r="EQ39" s="310" t="str">
        <f t="shared" si="58"/>
        <v>-</v>
      </c>
      <c r="ER39" s="310" t="str">
        <f t="shared" si="59"/>
        <v>-</v>
      </c>
      <c r="ES39" s="370" t="str">
        <f t="shared" si="60"/>
        <v>-</v>
      </c>
      <c r="ET39" s="306" t="str">
        <f t="shared" si="61"/>
        <v>-</v>
      </c>
      <c r="EU39" s="306" t="str">
        <f t="shared" si="62"/>
        <v>-</v>
      </c>
      <c r="EV39" s="306" t="str">
        <f t="shared" si="63"/>
        <v>-</v>
      </c>
      <c r="EW39" s="306" t="str">
        <f t="shared" si="64"/>
        <v>-</v>
      </c>
      <c r="EX39" s="306" t="str">
        <f t="shared" si="65"/>
        <v>-</v>
      </c>
      <c r="EY39" s="367" t="str">
        <f t="shared" si="66"/>
        <v>-</v>
      </c>
      <c r="EZ39" s="310" t="str">
        <f>IFERROR(__xludf.DUMMYFUNCTION("IF(REGEXMATCH(BM39,BI39),""✔"",""-"")"),"-")</f>
        <v>-</v>
      </c>
      <c r="FA39" s="310" t="str">
        <f t="shared" si="67"/>
        <v>-</v>
      </c>
      <c r="FB39" s="370" t="str">
        <f t="shared" si="68"/>
        <v>-</v>
      </c>
      <c r="FC39" s="315" t="str">
        <f t="shared" si="69"/>
        <v>[UQ]</v>
      </c>
      <c r="FD39" s="317" t="str">
        <f t="shared" si="70"/>
        <v>S-r-G-m-P-d-n-S</v>
      </c>
      <c r="FE39" s="318" t="str">
        <f>IFERROR(__xludf.DUMMYFUNCTION("CONCATENATE(JOIN("""",GJ39:GV39))"),"SRGmPdNS")</f>
        <v>SRGmPdNS</v>
      </c>
      <c r="FF39" s="318"/>
      <c r="FG39" s="318"/>
      <c r="FH39" s="321">
        <f t="shared" si="71"/>
        <v>3</v>
      </c>
      <c r="FI39" s="318" t="str">
        <f>IFERROR(__xludf.DUMMYFUNCTION("CONCATENATE(JOIN("""",HW39:II39))"),"Ga, Pa, dha, ")</f>
        <v>Ga, Pa, dha, </v>
      </c>
      <c r="FJ39" s="322">
        <f t="shared" si="72"/>
        <v>1</v>
      </c>
      <c r="FK39" s="324" t="str">
        <f>IFERROR(__xludf.DUMMYFUNCTION("CONCATENATE(JOIN("""",IW39:JI39))"),"Ga, ")</f>
        <v>Ga, </v>
      </c>
      <c r="FL39" s="325" t="str">
        <f t="shared" si="73"/>
        <v>S-R1-G3-M1-P-D1-N2-S</v>
      </c>
      <c r="FM39" s="326" t="str">
        <f t="shared" si="74"/>
        <v>1-b2-3-4-5-b6-b7-8</v>
      </c>
      <c r="FN39" s="326" t="str">
        <f t="shared" si="75"/>
        <v>0-1-4-5-7-8-10-0</v>
      </c>
      <c r="FO39" s="318"/>
      <c r="FP39" s="328" t="str">
        <f>IFERROR(__xludf.DUMMYFUNCTION("SUBSTITUTE(SUBSTITUTE(SUBSTITUTE(SUBSTITUTE(CONCATENATE(JOIN("" "",FS39:GE39)),""  "","" ""),""  "","" ""),""  "","" ""),""  "","" "")"),"o o • • o o • o o • o • o")</f>
        <v>o o • • o o • o o • o • o</v>
      </c>
      <c r="FQ39" s="328" t="str">
        <f t="shared" si="76"/>
        <v>-</v>
      </c>
      <c r="FR39" s="329"/>
      <c r="FS39" s="331" t="str">
        <f t="shared" si="77"/>
        <v>o</v>
      </c>
      <c r="FT39" s="332" t="str">
        <f t="shared" si="78"/>
        <v>o</v>
      </c>
      <c r="FU39" s="332" t="str">
        <f t="shared" si="79"/>
        <v>•</v>
      </c>
      <c r="FV39" s="332" t="str">
        <f t="shared" si="80"/>
        <v>•</v>
      </c>
      <c r="FW39" s="332" t="str">
        <f t="shared" si="81"/>
        <v>o</v>
      </c>
      <c r="FX39" s="332" t="str">
        <f t="shared" si="82"/>
        <v>o</v>
      </c>
      <c r="FY39" s="332" t="str">
        <f t="shared" si="83"/>
        <v>•</v>
      </c>
      <c r="FZ39" s="332" t="str">
        <f t="shared" si="84"/>
        <v>o</v>
      </c>
      <c r="GA39" s="332" t="str">
        <f t="shared" si="85"/>
        <v>o</v>
      </c>
      <c r="GB39" s="332" t="str">
        <f t="shared" si="86"/>
        <v>•</v>
      </c>
      <c r="GC39" s="332" t="str">
        <f t="shared" si="87"/>
        <v>o</v>
      </c>
      <c r="GD39" s="332" t="str">
        <f t="shared" si="88"/>
        <v>•</v>
      </c>
      <c r="GE39" s="338" t="str">
        <f t="shared" si="89"/>
        <v>o</v>
      </c>
      <c r="GF39" s="339" t="str">
        <f t="shared" si="90"/>
        <v>-</v>
      </c>
      <c r="GG39" s="339" t="str">
        <f t="shared" si="91"/>
        <v>Sa-Pa</v>
      </c>
      <c r="GH39" s="339" t="str">
        <f t="shared" si="92"/>
        <v>-</v>
      </c>
      <c r="GI39" s="340" t="str">
        <f t="shared" si="93"/>
        <v>-</v>
      </c>
      <c r="GJ39" s="331" t="str">
        <f t="shared" si="94"/>
        <v>S</v>
      </c>
      <c r="GK39" s="332" t="str">
        <f t="shared" si="95"/>
        <v/>
      </c>
      <c r="GL39" s="332" t="str">
        <f t="shared" si="96"/>
        <v>R</v>
      </c>
      <c r="GM39" s="332" t="str">
        <f t="shared" si="97"/>
        <v/>
      </c>
      <c r="GN39" s="332" t="str">
        <f t="shared" si="98"/>
        <v>G</v>
      </c>
      <c r="GO39" s="332" t="str">
        <f t="shared" si="99"/>
        <v>m</v>
      </c>
      <c r="GP39" s="332" t="str">
        <f t="shared" si="100"/>
        <v/>
      </c>
      <c r="GQ39" s="332" t="str">
        <f t="shared" si="101"/>
        <v>P</v>
      </c>
      <c r="GR39" s="332" t="str">
        <f t="shared" si="102"/>
        <v>d</v>
      </c>
      <c r="GS39" s="332" t="str">
        <f t="shared" si="103"/>
        <v/>
      </c>
      <c r="GT39" s="332" t="str">
        <f t="shared" si="104"/>
        <v/>
      </c>
      <c r="GU39" s="332" t="str">
        <f t="shared" si="105"/>
        <v>N</v>
      </c>
      <c r="GV39" s="343" t="str">
        <f t="shared" si="106"/>
        <v>S</v>
      </c>
      <c r="GW39" s="331" t="str">
        <f t="shared" si="107"/>
        <v>•</v>
      </c>
      <c r="GX39" s="332" t="str">
        <f t="shared" si="108"/>
        <v>•</v>
      </c>
      <c r="GY39" s="332" t="str">
        <f t="shared" si="109"/>
        <v>o</v>
      </c>
      <c r="GZ39" s="332" t="str">
        <f t="shared" si="110"/>
        <v>o</v>
      </c>
      <c r="HA39" s="332" t="str">
        <f t="shared" si="111"/>
        <v>•</v>
      </c>
      <c r="HB39" s="332" t="str">
        <f t="shared" si="112"/>
        <v>•</v>
      </c>
      <c r="HC39" s="332" t="str">
        <f t="shared" si="113"/>
        <v>o</v>
      </c>
      <c r="HD39" s="332" t="str">
        <f t="shared" si="114"/>
        <v>•</v>
      </c>
      <c r="HE39" s="332" t="str">
        <f t="shared" si="115"/>
        <v>•</v>
      </c>
      <c r="HF39" s="332" t="str">
        <f t="shared" si="116"/>
        <v>o</v>
      </c>
      <c r="HG39" s="332" t="str">
        <f t="shared" si="117"/>
        <v>•</v>
      </c>
      <c r="HH39" s="332" t="str">
        <f t="shared" si="118"/>
        <v>o</v>
      </c>
      <c r="HI39" s="338" t="str">
        <f t="shared" si="119"/>
        <v>•</v>
      </c>
      <c r="HJ39" s="346" t="b">
        <f t="shared" si="120"/>
        <v>0</v>
      </c>
      <c r="HK39" s="347" t="b">
        <f t="shared" si="121"/>
        <v>0</v>
      </c>
      <c r="HL39" s="347" t="b">
        <f t="shared" si="122"/>
        <v>0</v>
      </c>
      <c r="HM39" s="347" t="b">
        <f t="shared" si="123"/>
        <v>0</v>
      </c>
      <c r="HN39" s="347" t="b">
        <f t="shared" si="124"/>
        <v>1</v>
      </c>
      <c r="HO39" s="347" t="b">
        <f t="shared" si="125"/>
        <v>0</v>
      </c>
      <c r="HP39" s="347" t="b">
        <f t="shared" si="126"/>
        <v>0</v>
      </c>
      <c r="HQ39" s="347" t="b">
        <f t="shared" si="127"/>
        <v>1</v>
      </c>
      <c r="HR39" s="347" t="b">
        <f t="shared" si="128"/>
        <v>1</v>
      </c>
      <c r="HS39" s="347" t="b">
        <f t="shared" si="129"/>
        <v>0</v>
      </c>
      <c r="HT39" s="347" t="b">
        <f t="shared" si="130"/>
        <v>0</v>
      </c>
      <c r="HU39" s="347" t="b">
        <f t="shared" si="131"/>
        <v>0</v>
      </c>
      <c r="HV39" s="353" t="b">
        <f t="shared" si="132"/>
        <v>0</v>
      </c>
      <c r="HW39" s="354" t="str">
        <f t="shared" si="133"/>
        <v/>
      </c>
      <c r="HX39" s="355" t="str">
        <f t="shared" si="134"/>
        <v/>
      </c>
      <c r="HY39" s="355" t="str">
        <f t="shared" si="135"/>
        <v/>
      </c>
      <c r="HZ39" s="355" t="str">
        <f t="shared" si="136"/>
        <v/>
      </c>
      <c r="IA39" s="355" t="str">
        <f t="shared" si="137"/>
        <v>Ga, </v>
      </c>
      <c r="IB39" s="355" t="str">
        <f t="shared" si="138"/>
        <v/>
      </c>
      <c r="IC39" s="355" t="str">
        <f t="shared" si="139"/>
        <v/>
      </c>
      <c r="ID39" s="355" t="str">
        <f t="shared" si="140"/>
        <v>Pa, </v>
      </c>
      <c r="IE39" s="355" t="str">
        <f t="shared" si="141"/>
        <v>dha, </v>
      </c>
      <c r="IF39" s="355" t="str">
        <f t="shared" si="142"/>
        <v/>
      </c>
      <c r="IG39" s="355" t="str">
        <f t="shared" si="143"/>
        <v/>
      </c>
      <c r="IH39" s="355" t="str">
        <f t="shared" si="144"/>
        <v/>
      </c>
      <c r="II39" s="359" t="str">
        <f t="shared" si="145"/>
        <v/>
      </c>
      <c r="IJ39" s="346" t="b">
        <f t="shared" si="146"/>
        <v>0</v>
      </c>
      <c r="IK39" s="347" t="b">
        <f t="shared" si="147"/>
        <v>0</v>
      </c>
      <c r="IL39" s="347" t="b">
        <f t="shared" si="148"/>
        <v>0</v>
      </c>
      <c r="IM39" s="347" t="b">
        <f t="shared" si="149"/>
        <v>0</v>
      </c>
      <c r="IN39" s="347" t="b">
        <f t="shared" si="150"/>
        <v>1</v>
      </c>
      <c r="IO39" s="347" t="b">
        <f t="shared" si="151"/>
        <v>0</v>
      </c>
      <c r="IP39" s="347" t="b">
        <f t="shared" si="152"/>
        <v>0</v>
      </c>
      <c r="IQ39" s="347" t="b">
        <f t="shared" si="153"/>
        <v>0</v>
      </c>
      <c r="IR39" s="347" t="b">
        <f t="shared" si="154"/>
        <v>0</v>
      </c>
      <c r="IS39" s="347" t="b">
        <f t="shared" si="155"/>
        <v>0</v>
      </c>
      <c r="IT39" s="347" t="b">
        <f t="shared" si="156"/>
        <v>0</v>
      </c>
      <c r="IU39" s="347" t="b">
        <f t="shared" si="157"/>
        <v>0</v>
      </c>
      <c r="IV39" s="365" t="b">
        <f t="shared" si="158"/>
        <v>0</v>
      </c>
      <c r="IW39" s="354" t="str">
        <f t="shared" si="159"/>
        <v/>
      </c>
      <c r="IX39" s="355" t="str">
        <f t="shared" si="160"/>
        <v/>
      </c>
      <c r="IY39" s="355" t="str">
        <f t="shared" si="161"/>
        <v/>
      </c>
      <c r="IZ39" s="355" t="str">
        <f t="shared" si="162"/>
        <v/>
      </c>
      <c r="JA39" s="355" t="str">
        <f t="shared" si="163"/>
        <v>Ga, </v>
      </c>
      <c r="JB39" s="355" t="str">
        <f t="shared" si="164"/>
        <v/>
      </c>
      <c r="JC39" s="355" t="str">
        <f t="shared" si="165"/>
        <v/>
      </c>
      <c r="JD39" s="355" t="str">
        <f t="shared" si="166"/>
        <v/>
      </c>
      <c r="JE39" s="355" t="str">
        <f t="shared" si="167"/>
        <v/>
      </c>
      <c r="JF39" s="355" t="str">
        <f t="shared" si="168"/>
        <v/>
      </c>
      <c r="JG39" s="355" t="str">
        <f t="shared" si="169"/>
        <v/>
      </c>
      <c r="JH39" s="355" t="str">
        <f t="shared" si="170"/>
        <v/>
      </c>
      <c r="JI39" s="359"/>
      <c r="JJ39" s="321"/>
      <c r="JK39" s="368"/>
      <c r="JL39" s="369"/>
      <c r="JM39" s="369"/>
      <c r="JN39" s="369"/>
      <c r="JO39" s="369"/>
      <c r="JP39" s="369"/>
      <c r="JQ39" s="369"/>
      <c r="JR39" s="369"/>
      <c r="JS39" s="369"/>
      <c r="JT39" s="369"/>
      <c r="JU39" s="369"/>
    </row>
    <row r="40" ht="20.25" customHeight="1">
      <c r="A40" s="221" t="s">
        <v>1306</v>
      </c>
      <c r="B40" s="223" t="s">
        <v>1258</v>
      </c>
      <c r="C40" s="222" t="s">
        <v>275</v>
      </c>
      <c r="D40" s="222"/>
      <c r="E40" s="222"/>
      <c r="F40" s="222" t="s">
        <v>275</v>
      </c>
      <c r="G40" s="395" t="s">
        <v>275</v>
      </c>
      <c r="H40" s="222">
        <v>38.0</v>
      </c>
      <c r="I40" s="224" t="s">
        <v>1219</v>
      </c>
      <c r="J40" s="414">
        <f t="shared" si="5"/>
        <v>2</v>
      </c>
      <c r="K40" s="227">
        <f t="shared" si="6"/>
        <v>6</v>
      </c>
      <c r="L40" s="229">
        <f t="shared" si="7"/>
        <v>6</v>
      </c>
      <c r="M40" s="230">
        <f t="shared" si="8"/>
        <v>0</v>
      </c>
      <c r="N40" s="233" t="str">
        <f t="shared" si="9"/>
        <v>SRgmdNS</v>
      </c>
      <c r="O40" s="234" t="str">
        <f>IFERROR(__xludf.DUMMYFUNCTION("IF(REGEXMATCH(N40, ""S""), ""S"","""")"),"S")</f>
        <v>S</v>
      </c>
      <c r="P40" s="236" t="str">
        <f>IFERROR(__xludf.DUMMYFUNCTION("IF(REGEXMATCH(N40, ""r""), ""r"","""")"),"")</f>
        <v/>
      </c>
      <c r="Q40" s="237" t="str">
        <f>IFERROR(__xludf.DUMMYFUNCTION("IF(REGEXMATCH(N40, ""R""), ""R"","""")"),"R")</f>
        <v>R</v>
      </c>
      <c r="R40" s="237" t="str">
        <f>IFERROR(__xludf.DUMMYFUNCTION("IF(REGEXMATCH(N40, ""g""), ""g"","""")"),"g")</f>
        <v>g</v>
      </c>
      <c r="S40" s="236" t="str">
        <f>IFERROR(__xludf.DUMMYFUNCTION("IF(REGEXMATCH(N40, ""G""), ""G"","""")"),"")</f>
        <v/>
      </c>
      <c r="T40" s="236" t="str">
        <f>IFERROR(__xludf.DUMMYFUNCTION("IF(REGEXMATCH(N40, ""m""), ""m"","""")"),"m")</f>
        <v>m</v>
      </c>
      <c r="U40" s="237" t="str">
        <f>IFERROR(__xludf.DUMMYFUNCTION("IF(REGEXMATCH(N40, ""M""), ""M"","""")"),"")</f>
        <v/>
      </c>
      <c r="V40" s="236" t="str">
        <f>IFERROR(__xludf.DUMMYFUNCTION("IF(REGEXMATCH(N40, ""P""), ""P"","""")"),"")</f>
        <v/>
      </c>
      <c r="W40" s="237" t="str">
        <f>IFERROR(__xludf.DUMMYFUNCTION("IF(REGEXMATCH(N40, ""d""), ""d"","""")"),"d")</f>
        <v>d</v>
      </c>
      <c r="X40" s="236" t="str">
        <f>IFERROR(__xludf.DUMMYFUNCTION("IF(REGEXMATCH(N40, ""D""), ""D"","""")"),"")</f>
        <v/>
      </c>
      <c r="Y40" s="236" t="str">
        <f>IFERROR(__xludf.DUMMYFUNCTION("IF(REGEXMATCH(N40, ""n""), ""n"","""")"),"")</f>
        <v/>
      </c>
      <c r="Z40" s="237" t="str">
        <f>IFERROR(__xludf.DUMMYFUNCTION("IF(REGEXMATCH(N40, ""N""), ""N"","""")"),"N")</f>
        <v>N</v>
      </c>
      <c r="AA40" s="238" t="str">
        <f>IFERROR(__xludf.DUMMYFUNCTION("IF(REGEXMATCH(N40, ""S""), ""S"","""")"),"S")</f>
        <v>S</v>
      </c>
      <c r="AB40" s="239" t="str">
        <f>IFERROR(__xludf.DUMMYFUNCTION("SUBSTITUTE(CONCATENATE(JOIN(""-"",O40:U40)),""-"","""")"),"SRgm")</f>
        <v>SRgm</v>
      </c>
      <c r="AC40" s="229" t="str">
        <f>IFERROR(__xludf.DUMMYFUNCTION("SUBSTITUTE(CONCATENATE(JOIN(""-"",V40:AA40)),""-"","""")"),"dNS")</f>
        <v>dNS</v>
      </c>
      <c r="AD40" s="282" t="str">
        <f t="shared" si="10"/>
        <v>S-R-G-M</v>
      </c>
      <c r="AE40" s="282" t="str">
        <f t="shared" si="11"/>
        <v>D-N-S</v>
      </c>
      <c r="AF40" s="309" t="str">
        <f t="shared" si="12"/>
        <v>RgmdN</v>
      </c>
      <c r="AG40" s="244" t="str">
        <f>IFERROR(__xludf.DUMMYFUNCTION("IF(REGEXMATCH(N40, ""S""), ""0"","""")"),"0")</f>
        <v>0</v>
      </c>
      <c r="AH40" s="245" t="str">
        <f>IFERROR(__xludf.DUMMYFUNCTION("IF(REGEXMATCH(N40, ""r""), ""1"","""")"),"")</f>
        <v/>
      </c>
      <c r="AI40" s="246" t="str">
        <f>IFERROR(__xludf.DUMMYFUNCTION("IF(REGEXMATCH(N40, ""R""), ""2"","""")"),"2")</f>
        <v>2</v>
      </c>
      <c r="AJ40" s="246" t="str">
        <f>IFERROR(__xludf.DUMMYFUNCTION("IF(REGEXMATCH(N40, ""g""), ""3"","""")"),"3")</f>
        <v>3</v>
      </c>
      <c r="AK40" s="245" t="str">
        <f>IFERROR(__xludf.DUMMYFUNCTION("IF(REGEXMATCH(N40, ""G""), ""4"","""")"),"")</f>
        <v/>
      </c>
      <c r="AL40" s="245" t="str">
        <f>IFERROR(__xludf.DUMMYFUNCTION("IF(REGEXMATCH(N40, ""m""), ""5"","""")"),"5")</f>
        <v>5</v>
      </c>
      <c r="AM40" s="246" t="str">
        <f>IFERROR(__xludf.DUMMYFUNCTION("IF(REGEXMATCH(N40, ""M""), ""6"","""")"),"")</f>
        <v/>
      </c>
      <c r="AN40" s="245" t="str">
        <f>IFERROR(__xludf.DUMMYFUNCTION("IF(REGEXMATCH(N40, ""P""), ""7"","""")"),"")</f>
        <v/>
      </c>
      <c r="AO40" s="246" t="str">
        <f>IFERROR(__xludf.DUMMYFUNCTION("IF(REGEXMATCH(N40, ""d""), ""8"","""")"),"8")</f>
        <v>8</v>
      </c>
      <c r="AP40" s="245" t="str">
        <f>IFERROR(__xludf.DUMMYFUNCTION("IF(REGEXMATCH(N40, ""D""), ""9"","""")"),"")</f>
        <v/>
      </c>
      <c r="AQ40" s="245" t="str">
        <f>IFERROR(__xludf.DUMMYFUNCTION("IF(REGEXMATCH(N40, ""n""), ""10"","""")"),"")</f>
        <v/>
      </c>
      <c r="AR40" s="246" t="str">
        <f>IFERROR(__xludf.DUMMYFUNCTION("IF(REGEXMATCH(N40, ""N""), ""11"","""")"),"11")</f>
        <v>11</v>
      </c>
      <c r="AS40" s="249" t="str">
        <f>IFERROR(__xludf.DUMMYFUNCTION("IF(REGEXMATCH(N40, ""S""), ""0"","""")"),"0")</f>
        <v>0</v>
      </c>
      <c r="AT40" s="250" t="str">
        <f>IFERROR(__xludf.DUMMYFUNCTION("SUBSTITUTE(SUBSTITUTE(SUBSTITUTE(SUBSTITUTE(CONCATENATE(JOIN(""-"",AG40:AS40)),""--"",""-""),""--"",""-""),""--"",""-""),""--"",""-"")"),"0-2-3-5-8-11-0")</f>
        <v>0-2-3-5-8-11-0</v>
      </c>
      <c r="AU40" s="251">
        <f t="shared" si="13"/>
        <v>2</v>
      </c>
      <c r="AV40" s="234" t="str">
        <f t="shared" si="14"/>
        <v>|</v>
      </c>
      <c r="AW40" s="236" t="str">
        <f t="shared" si="15"/>
        <v>-</v>
      </c>
      <c r="AX40" s="237" t="str">
        <f t="shared" si="16"/>
        <v>|</v>
      </c>
      <c r="AY40" s="236" t="str">
        <f t="shared" si="17"/>
        <v>|</v>
      </c>
      <c r="AZ40" s="237" t="str">
        <f t="shared" si="18"/>
        <v>-</v>
      </c>
      <c r="BA40" s="236" t="str">
        <f t="shared" si="19"/>
        <v>|</v>
      </c>
      <c r="BB40" s="237" t="str">
        <f t="shared" si="20"/>
        <v>-</v>
      </c>
      <c r="BC40" s="236" t="str">
        <f t="shared" si="21"/>
        <v>-</v>
      </c>
      <c r="BD40" s="237" t="str">
        <f t="shared" si="22"/>
        <v>|</v>
      </c>
      <c r="BE40" s="236" t="str">
        <f t="shared" si="23"/>
        <v>-</v>
      </c>
      <c r="BF40" s="237" t="str">
        <f t="shared" si="24"/>
        <v>-</v>
      </c>
      <c r="BG40" s="236" t="str">
        <f t="shared" si="25"/>
        <v>|</v>
      </c>
      <c r="BH40" s="238" t="str">
        <f t="shared" si="26"/>
        <v>|</v>
      </c>
      <c r="BI40" s="250" t="str">
        <f>IFERROR(__xludf.DUMMYFUNCTION("SUBSTITUTE(SUBSTITUTE(CONCATENATE(JOIN("""",AV40:BG40)),""|"",""x""),""-"",""o"")"),"xoxxoxooxoox")</f>
        <v>xoxxoxooxoox</v>
      </c>
      <c r="BJ40" s="323" t="str">
        <f>IFERROR(__xludf.DUMMYFUNCTION("JOIN("""",BI40,BI40)"),"xoxxoxooxooxxoxxoxooxoox")</f>
        <v>xoxxoxooxooxxoxxoxooxoox</v>
      </c>
      <c r="BK40" s="256" t="str">
        <f>IFERROR(__xludf.DUMMYFUNCTION("JOIN("""",ArrayFormula(MID(BI40,LEN(BI40)-SEQUENCE(1,LEN(BI40))+1,1)))"),"xooxooxoxxox")</f>
        <v>xooxooxoxxox</v>
      </c>
      <c r="BL40" s="256" t="str">
        <f>IFERROR(__xludf.DUMMYFUNCTION("LEFT(CONCATENATE(""x"",JOIN("""",ArrayFormula(MID(BI40,LEN(BI40)-SEQUENCE(1,LEN(BI40))+1,1)))),12)"),"xxooxooxoxxo")</f>
        <v>xxooxooxoxxo</v>
      </c>
      <c r="BM40" s="327" t="str">
        <f>IFERROR(__xludf.DUMMYFUNCTION("JOIN("""",BK40,BK40)"),"xooxooxoxxoxxooxooxoxxox")</f>
        <v>xooxooxoxxoxxooxooxoxxox</v>
      </c>
      <c r="BN40" s="239" t="str">
        <f>IFERROR(__xludf.DUMMYFUNCTION("IF(REGEXMATCH(BM40,BI40),""✔"",""-"")"),"-")</f>
        <v>-</v>
      </c>
      <c r="BO40" s="330" t="str">
        <f t="shared" si="27"/>
        <v>-</v>
      </c>
      <c r="BP40" s="260" t="str">
        <f t="shared" si="28"/>
        <v>-</v>
      </c>
      <c r="BQ40" s="261" t="str">
        <f>IFERROR(__xludf.DUMMYFUNCTION("IF(BT40=0,""(n/a)"",IF(BU40=2,""(PAIR)"",IF(REGEXMATCH(BJ40,""xoxoxxoxoxox""),""Bilawal"",IF(REGEXMATCH(BJ40,""xoxoxooxoxoo""),""Bhupali"",IF(REGEXMATCH(BJ40,""xoxoxxoxxoxo""),""Charukeshi"",IF(REGEXMATCH(BJ40,""xoxoooxxoxxo""),""Kameshwari"",IF(REGEXMATC"&amp;"H(BJ40,""xoxoxooxoxox""),""Shankara"",IF(REGEXMATCH(BJ40,""xxooxoxxxoox""),""Basant"",IF(REGEXMATCH(BJ40,""xoxoxxxxoxox""),""Bihag"",IF(REGEXMATCH(BJ40,""xoxxxxoxoxxx""),""Pilu"",IF(REGEXMATCH(BJ40,""xoxxoxoxxoox""),""Kirwani"",IF(REGEXMATCH(BJ40,""xoxxox"&amp;"oxoxxx""),""Mk.Malhar"",IF(REGEXMATCH(BJ40,""xxooxxoxxoox""),""Bhairav"",IF(REGEXMATCH(BJ40,""xxoxooxxxoox""),""Todi"",IF(REGEXMATCH(BJ40,""xxooxoxooxox""),""Marwa"",IF(REGEXMATCH(BJ40,""xxoooxoxxooo""),""Gunkali"",IF(REGEXMATCH(BJ40,""xoxoxxoxxoox""),""N"&amp;"at Bhairav"",IF(REGEXMATCH(BJ40,""xoxxoooxoxoo""),""Shivranjani"",IF(REGEXMATCH(BJ40,""xooxxxoxooxo""),""Jog"",IF(REGEXMATCH(BJ40,""xxooxoxoxoox""),""Hemshri"",IF(REGEXMATCH(BJ40,""xoooxooxoxxo""),""Kalavati"",IF(REGEXMATCH(BJ40,""xxoxoxxoxoox""),""Kedar"&amp;""",IF(REGEXMATCH(BJ40,""xoxxxxoxooxx""),""Gara"",IF(REGEXMATCH(BJ40,""xooxoxooxoox""),""Chandrakauns"",IF(REGEXMATCH(BJ40,""xoxxxxoxxxox""),""Mand"",IF(REGEXMATCH(BJ40,""xoxxxxoxoxox""),""Hanskinkini"",IF(REGEXMATCH(BJ40,""xxooxxoxooxo""),""Lilavati"",IF("&amp;"REGEXMATCH(BJ40,""xooxoxoooxox""),""Rajeshwari"",IF(REGEXMATCH(BJ40,""xoooxxoxoxxx""),""Khokar"",IF(REGEXMATCH(BJ40,""xxooxoxxxxox""),""Maligoura"",""-""))))))))))))))))))))))))))))))"),"(n/a)")</f>
        <v>(n/a)</v>
      </c>
      <c r="BR40" s="239">
        <f t="shared" si="29"/>
        <v>5</v>
      </c>
      <c r="BS40" s="239">
        <f>IFERROR(__xludf.DUMMYFUNCTION("COUNTUNIQUE(BW40:CG40)-1"),5.0)</f>
        <v>5</v>
      </c>
      <c r="BT40" s="239">
        <f>IFERROR(__xludf.DUMMYFUNCTION("COUNTUNIQUE(FILTER(BJ:BJ,REGEXMATCH(BJ:BJ,BI40)))-1"),0.0)</f>
        <v>0</v>
      </c>
      <c r="BU40" s="239">
        <f>IFERROR(__xludf.DUMMYFUNCTION("COUNTA(FILTER(BJ:BJ,REGEXMATCH(BJ:BJ,BI40)))"),3.0)</f>
        <v>3</v>
      </c>
      <c r="BV40" s="341">
        <f>IFERROR(__xludf.DUMMYFUNCTION("COUNTA(FILTER(BJ:BJ,REGEXMATCH(BJ:BJ,BI40)))-AU40"),1.0)</f>
        <v>1</v>
      </c>
      <c r="BW40" s="269" t="str">
        <f t="shared" si="30"/>
        <v>-</v>
      </c>
      <c r="BX40" s="269" t="str">
        <f t="shared" si="31"/>
        <v>xxoxooxooxx</v>
      </c>
      <c r="BY40" s="271" t="str">
        <f t="shared" si="32"/>
        <v>xoxooxooxxo</v>
      </c>
      <c r="BZ40" s="269" t="str">
        <f t="shared" si="33"/>
        <v>-</v>
      </c>
      <c r="CA40" s="271" t="str">
        <f t="shared" si="34"/>
        <v>xooxooxxoxx</v>
      </c>
      <c r="CB40" s="271" t="str">
        <f t="shared" si="35"/>
        <v>-</v>
      </c>
      <c r="CC40" s="271" t="str">
        <f t="shared" si="36"/>
        <v>-</v>
      </c>
      <c r="CD40" s="271" t="str">
        <f t="shared" si="37"/>
        <v>xooxxoxxoxo</v>
      </c>
      <c r="CE40" s="271" t="str">
        <f t="shared" si="38"/>
        <v>-</v>
      </c>
      <c r="CF40" s="271" t="str">
        <f t="shared" si="39"/>
        <v>-</v>
      </c>
      <c r="CG40" s="274" t="str">
        <f t="shared" si="40"/>
        <v>xxoxxoxooxo</v>
      </c>
      <c r="CH40" s="276" t="str">
        <f>IFERROR(__xludf.DUMMYFUNCTION("IF(BI40=""oooooooooooo"",""-"",IF(REGEXMATCH(BJ40,""xx""), ""Hemi."", ""Anhemi.""))"),"Hemi.")</f>
        <v>Hemi.</v>
      </c>
      <c r="CI40" s="282" t="str">
        <f>IFERROR(__xludf.DUMMYFUNCTION("IF(BI40=""oooooooooooo"",""-"",IF(REGEXMATCH(BJ40,""xxx""), ""Cohem."", ""-""))"),"-")</f>
        <v>-</v>
      </c>
      <c r="CJ40" s="282" t="str">
        <f>IFERROR(__xludf.DUMMYFUNCTION("IF(BI40=""oooooooooooo"",""-"",IF(REGEXMATCH(BJ40,""xxxx""), ""Co-Co."", ""-""))"),"-")</f>
        <v>-</v>
      </c>
      <c r="CK40" s="342" t="str">
        <f>IFERROR(__xludf.DUMMYFUNCTION("IF(BI40=""oooooooooooo"",""-"",IF(REGEXMATCH(BJ40,""xxxxx""), ""CCC."", ""-""))"),"-")</f>
        <v>-</v>
      </c>
      <c r="CL40" s="344" t="str">
        <f t="shared" si="41"/>
        <v>-</v>
      </c>
      <c r="CM40" s="282" t="str">
        <f>IFERROR(__xludf.DUMMYFUNCTION("IF(REGEXMATCH(JOIN(""-"",CO40:CX40),""TRUE""),""✔"",""-"")"),"-")</f>
        <v>-</v>
      </c>
      <c r="CN40" s="225">
        <f t="shared" si="42"/>
        <v>0</v>
      </c>
      <c r="CO40" s="376" t="b">
        <f>IFERROR(__xludf.DUMMYFUNCTION("arrayformula(sum(--REGEXMATCH(""SRGMPDNS"",split(REGEXREPLACE(N40,""(.)"",""$1~""),""~""))))=len(N40)
"),FALSE)</f>
        <v>0</v>
      </c>
      <c r="CP40" s="290" t="b">
        <f>IFERROR(__xludf.DUMMYFUNCTION("arrayformula(sum(--REGEXMATCH(""SRGmPDNS"",split(REGEXREPLACE(N40,""(.)"",""$1~""),""~""))))=len(N40)"),FALSE)</f>
        <v>0</v>
      </c>
      <c r="CQ40" s="290" t="b">
        <f>IFERROR(__xludf.DUMMYFUNCTION("arrayformula(sum(--REGEXMATCH(""SRGmPDnS"",split(REGEXREPLACE(N40,""(.)"",""$1~""),""~""))))=len(N40)"),FALSE)</f>
        <v>0</v>
      </c>
      <c r="CR40" s="290" t="b">
        <f>IFERROR(__xludf.DUMMYFUNCTION("arrayformula(sum(--REGEXMATCH(""SRgmPDnS"",split(REGEXREPLACE(N40,""(.)"",""$1~""),""~""))))=len(N40)"),FALSE)</f>
        <v>0</v>
      </c>
      <c r="CS40" s="290" t="b">
        <f>IFERROR(__xludf.DUMMYFUNCTION("arrayformula(sum(--REGEXMATCH(""SRgmPdnS"",split(REGEXREPLACE(N40,""(.)"",""$1~""),""~""))))=len(N40)"),FALSE)</f>
        <v>0</v>
      </c>
      <c r="CT40" s="290" t="b">
        <f>IFERROR(__xludf.DUMMYFUNCTION("arrayformula(sum(--REGEXMATCH(""SrgmPdnS"",split(REGEXREPLACE(N40,""(.)"",""$1~""),""~""))))=len(N40)"),FALSE)</f>
        <v>0</v>
      </c>
      <c r="CU40" s="290" t="b">
        <f>IFERROR(__xludf.DUMMYFUNCTION("arrayformula(sum(--REGEXMATCH(""SrGmPdNS"",split(REGEXREPLACE(N40,""(.)"",""$1~""),""~""))))=len(N40)"),FALSE)</f>
        <v>0</v>
      </c>
      <c r="CV40" s="290" t="b">
        <f>IFERROR(__xludf.DUMMYFUNCTION("arrayformula(sum(--REGEXMATCH(""SrGMPDNS"",split(REGEXREPLACE(N40,""(.)"",""$1~""),""~""))))=len(N40)"),FALSE)</f>
        <v>0</v>
      </c>
      <c r="CW40" s="290" t="b">
        <f>IFERROR(__xludf.DUMMYFUNCTION("arrayformula(sum(--REGEXMATCH(""SrGMPdNS"",split(REGEXREPLACE(N40,""(.)"",""$1~""),""~""))))=len(N40)"),FALSE)</f>
        <v>0</v>
      </c>
      <c r="CX40" s="293" t="b">
        <f>IFERROR(__xludf.DUMMYFUNCTION("arrayformula(sum(--REGEXMATCH(""SrgMPdNS"",split(REGEXREPLACE(N40,""(.)"",""$1~""),""~""))))=len(N40)"),FALSE)</f>
        <v>0</v>
      </c>
      <c r="CY40" s="244" t="str">
        <f>IFERROR(__xludf.DUMMYFUNCTION("IF(REGEXMATCH(N40, ""S""), ""1"","""")"),"1")</f>
        <v>1</v>
      </c>
      <c r="CZ40" s="245" t="str">
        <f>IFERROR(__xludf.DUMMYFUNCTION("IF(REGEXMATCH(N40, ""r""), ""b2"","""")"),"")</f>
        <v/>
      </c>
      <c r="DA40" s="246" t="str">
        <f>IFERROR(__xludf.DUMMYFUNCTION("IF(REGEXMATCH(N40, ""R""), ""2"","""")"),"2")</f>
        <v>2</v>
      </c>
      <c r="DB40" s="246" t="str">
        <f>IFERROR(__xludf.DUMMYFUNCTION("IF(REGEXMATCH(N40, ""g""), ""b3"","""")"),"b3")</f>
        <v>b3</v>
      </c>
      <c r="DC40" s="245" t="str">
        <f>IFERROR(__xludf.DUMMYFUNCTION("IF(REGEXMATCH(N40, ""G""), ""3"","""")"),"")</f>
        <v/>
      </c>
      <c r="DD40" s="245" t="str">
        <f>IFERROR(__xludf.DUMMYFUNCTION("IF(REGEXMATCH(N40, ""m""), ""4"","""")"),"4")</f>
        <v>4</v>
      </c>
      <c r="DE40" s="246" t="str">
        <f>IFERROR(__xludf.DUMMYFUNCTION("IF(REGEXMATCH(N40, ""M""), ""#4"","""")"),"")</f>
        <v/>
      </c>
      <c r="DF40" s="245" t="str">
        <f>IFERROR(__xludf.DUMMYFUNCTION("IF(REGEXMATCH(N40, ""P""), ""5"","""")"),"")</f>
        <v/>
      </c>
      <c r="DG40" s="246" t="str">
        <f>IFERROR(__xludf.DUMMYFUNCTION("IF(REGEXMATCH(N40, ""d""), ""b6"","""")"),"b6")</f>
        <v>b6</v>
      </c>
      <c r="DH40" s="245" t="str">
        <f>IFERROR(__xludf.DUMMYFUNCTION("IF(REGEXMATCH(N40, ""D""), ""6"","""")"),"")</f>
        <v/>
      </c>
      <c r="DI40" s="245" t="str">
        <f>IFERROR(__xludf.DUMMYFUNCTION("IF(REGEXMATCH(N40, ""n""), ""b7"","""")"),"")</f>
        <v/>
      </c>
      <c r="DJ40" s="246" t="str">
        <f>IFERROR(__xludf.DUMMYFUNCTION("IF(REGEXMATCH(N40, ""N""), ""7"","""")"),"7")</f>
        <v>7</v>
      </c>
      <c r="DK40" s="249" t="str">
        <f>IFERROR(__xludf.DUMMYFUNCTION("IF(REGEXMATCH(N40, ""S""), ""8"","""")"),"8")</f>
        <v>8</v>
      </c>
      <c r="DL40" s="244" t="str">
        <f>IFERROR(__xludf.DUMMYFUNCTION("IF(REGEXMATCH(N40, ""S""), ""S"","""")"),"S")</f>
        <v>S</v>
      </c>
      <c r="DM40" s="294" t="str">
        <f>IFERROR(__xludf.DUMMYFUNCTION("IF(REGEXMATCH(N40, ""r""), ""R1"","""")"),"")</f>
        <v/>
      </c>
      <c r="DN40" s="295" t="str">
        <f>IFERROR(__xludf.DUMMYFUNCTION("IF(REGEXMATCH(N40, ""R""), ""R2"","""")"),"R2")</f>
        <v>R2</v>
      </c>
      <c r="DO40" s="295" t="str">
        <f>IFERROR(__xludf.DUMMYFUNCTION("IF(REGEXMATCH(N40, ""g""), ""G2"","""")"),"G2")</f>
        <v>G2</v>
      </c>
      <c r="DP40" s="294" t="str">
        <f>IFERROR(__xludf.DUMMYFUNCTION("IF(REGEXMATCH(N40, ""G""), ""G3"","""")"),"")</f>
        <v/>
      </c>
      <c r="DQ40" s="294" t="str">
        <f>IFERROR(__xludf.DUMMYFUNCTION("IF(REGEXMATCH(N40, ""m""), ""M1"","""")"),"M1")</f>
        <v>M1</v>
      </c>
      <c r="DR40" s="295" t="str">
        <f>IFERROR(__xludf.DUMMYFUNCTION("IF(REGEXMATCH(N40, ""M""), ""M2"","""")"),"")</f>
        <v/>
      </c>
      <c r="DS40" s="294" t="str">
        <f>IFERROR(__xludf.DUMMYFUNCTION("IF(REGEXMATCH(N40, ""P""), ""P"","""")"),"")</f>
        <v/>
      </c>
      <c r="DT40" s="295" t="str">
        <f>IFERROR(__xludf.DUMMYFUNCTION("IF(REGEXMATCH(N40, ""d""), ""D1"","""")"),"D1")</f>
        <v>D1</v>
      </c>
      <c r="DU40" s="294" t="str">
        <f>IFERROR(__xludf.DUMMYFUNCTION("IF(REGEXMATCH(N40, ""D""), ""D2"","""")"),"")</f>
        <v/>
      </c>
      <c r="DV40" s="294" t="str">
        <f>IFERROR(__xludf.DUMMYFUNCTION("IF(REGEXMATCH(N40, ""n""), ""N2"","""")"),"")</f>
        <v/>
      </c>
      <c r="DW40" s="295" t="str">
        <f>IFERROR(__xludf.DUMMYFUNCTION("IF(REGEXMATCH(N40, ""N""), ""N3"","""")"),"N3")</f>
        <v>N3</v>
      </c>
      <c r="DX40" s="249" t="str">
        <f>IFERROR(__xludf.DUMMYFUNCTION("IF(REGEXMATCH(N40, ""S""), ""S"","""")"),"S")</f>
        <v>S</v>
      </c>
      <c r="DY40" s="299" t="str">
        <f>IFERROR(__xludf.DUMMYFUNCTION("SUBSTITUTE(SUBSTITUTE(SUBSTITUTE(SUBSTITUTE(CONCATENATE(JOIN(""-"",CY40:DK40)),""--"",""-""),""--"",""-""),""--"",""-""),""--"",""-"")"),"1-2-b3-4-b6-7-8")</f>
        <v>1-2-b3-4-b6-7-8</v>
      </c>
      <c r="DZ40" s="299" t="str">
        <f>IFERROR(__xludf.DUMMYFUNCTION("SUBSTITUTE(SUBSTITUTE(SUBSTITUTE(SUBSTITUTE(CONCATENATE(JOIN(""-"",DL40:DX40)),""--"",""-""),""--"",""-""),""--"",""-""),""--"",""-"")"),"S-R2-G2-M1-D1-N3-S")</f>
        <v>S-R2-G2-M1-D1-N3-S</v>
      </c>
      <c r="EA40" s="348" t="str">
        <f t="shared" si="43"/>
        <v>C-D-Eb-F-Ab-B-C</v>
      </c>
      <c r="EB40" s="301">
        <f t="shared" si="44"/>
        <v>6</v>
      </c>
      <c r="EC40" s="302" t="str">
        <f t="shared" si="45"/>
        <v>Shadav</v>
      </c>
      <c r="ED40" s="301" t="str">
        <f t="shared" ref="ED40:EE40" si="206">SUBSTITUTE(AD40,"-","")</f>
        <v>SRGM</v>
      </c>
      <c r="EE40" s="301" t="str">
        <f t="shared" si="206"/>
        <v>DNS</v>
      </c>
      <c r="EF40" s="302" t="str">
        <f t="shared" si="47"/>
        <v>(n/a)</v>
      </c>
      <c r="EG40" s="301" t="str">
        <f t="shared" si="48"/>
        <v>Hemi.</v>
      </c>
      <c r="EH40" s="364" t="str">
        <f t="shared" si="49"/>
        <v>-</v>
      </c>
      <c r="EI40" s="306" t="str">
        <f t="shared" si="50"/>
        <v>-</v>
      </c>
      <c r="EJ40" s="366" t="str">
        <f t="shared" si="51"/>
        <v>-</v>
      </c>
      <c r="EK40" s="308" t="str">
        <f t="shared" si="52"/>
        <v>✔</v>
      </c>
      <c r="EL40" s="306" t="str">
        <f t="shared" si="53"/>
        <v>-</v>
      </c>
      <c r="EM40" s="306" t="str">
        <f t="shared" si="54"/>
        <v>-</v>
      </c>
      <c r="EN40" s="367" t="str">
        <f t="shared" si="55"/>
        <v>-</v>
      </c>
      <c r="EO40" s="310" t="str">
        <f t="shared" si="56"/>
        <v>-</v>
      </c>
      <c r="EP40" s="310" t="str">
        <f t="shared" si="57"/>
        <v>-</v>
      </c>
      <c r="EQ40" s="310" t="str">
        <f t="shared" si="58"/>
        <v>-</v>
      </c>
      <c r="ER40" s="310" t="str">
        <f t="shared" si="59"/>
        <v>-</v>
      </c>
      <c r="ES40" s="370" t="str">
        <f t="shared" si="60"/>
        <v>-</v>
      </c>
      <c r="ET40" s="306" t="str">
        <f t="shared" si="61"/>
        <v>-</v>
      </c>
      <c r="EU40" s="306" t="str">
        <f t="shared" si="62"/>
        <v>-</v>
      </c>
      <c r="EV40" s="306" t="str">
        <f t="shared" si="63"/>
        <v>-</v>
      </c>
      <c r="EW40" s="306" t="str">
        <f t="shared" si="64"/>
        <v>✔</v>
      </c>
      <c r="EX40" s="306" t="str">
        <f t="shared" si="65"/>
        <v>-</v>
      </c>
      <c r="EY40" s="367" t="str">
        <f t="shared" si="66"/>
        <v>-</v>
      </c>
      <c r="EZ40" s="310" t="str">
        <f>IFERROR(__xludf.DUMMYFUNCTION("IF(REGEXMATCH(BM40,BI40),""✔"",""-"")"),"-")</f>
        <v>-</v>
      </c>
      <c r="FA40" s="310" t="str">
        <f t="shared" si="67"/>
        <v>-</v>
      </c>
      <c r="FB40" s="370" t="str">
        <f t="shared" si="68"/>
        <v>-</v>
      </c>
      <c r="FC40" s="415">
        <f t="shared" si="69"/>
        <v>2</v>
      </c>
      <c r="FD40" s="317" t="str">
        <f t="shared" si="70"/>
        <v>S-R-g-m-d-N-S</v>
      </c>
      <c r="FE40" s="318" t="str">
        <f>IFERROR(__xludf.DUMMYFUNCTION("CONCATENATE(JOIN("""",GJ40:GV40))"),"SrGPDnS")</f>
        <v>SrGPDnS</v>
      </c>
      <c r="FF40" s="318"/>
      <c r="FG40" s="318"/>
      <c r="FH40" s="321">
        <f t="shared" si="71"/>
        <v>4</v>
      </c>
      <c r="FI40" s="318" t="str">
        <f>IFERROR(__xludf.DUMMYFUNCTION("CONCATENATE(JOIN("""",HW40:II40))"),"Sa, Re, ga, Ni, ")</f>
        <v>Sa, Re, ga, Ni, </v>
      </c>
      <c r="FJ40" s="322">
        <f t="shared" si="72"/>
        <v>2</v>
      </c>
      <c r="FK40" s="324" t="str">
        <f>IFERROR(__xludf.DUMMYFUNCTION("CONCATENATE(JOIN("""",IW40:JI40))"),"Re, Ni, ")</f>
        <v>Re, Ni, </v>
      </c>
      <c r="FL40" s="325" t="str">
        <f t="shared" si="73"/>
        <v>S-R2-G2-M1-D1-N3-S</v>
      </c>
      <c r="FM40" s="326" t="str">
        <f t="shared" si="74"/>
        <v>1-2-b3-4-b6-7-8</v>
      </c>
      <c r="FN40" s="326" t="str">
        <f t="shared" si="75"/>
        <v>0-2-3-5-8-11-0</v>
      </c>
      <c r="FO40" s="318"/>
      <c r="FP40" s="328" t="str">
        <f>IFERROR(__xludf.DUMMYFUNCTION("SUBSTITUTE(SUBSTITUTE(SUBSTITUTE(SUBSTITUTE(CONCATENATE(JOIN("" "",FS40:GE40)),""  "","" ""),""  "","" ""),""  "","" ""),""  "","" "")"),"o • o o • o • • o • • o o")</f>
        <v>o • o o • o • • o • • o o</v>
      </c>
      <c r="FQ40" s="328" t="str">
        <f t="shared" si="76"/>
        <v>Sa-ma</v>
      </c>
      <c r="FR40" s="329"/>
      <c r="FS40" s="331" t="str">
        <f t="shared" si="77"/>
        <v>o</v>
      </c>
      <c r="FT40" s="332" t="str">
        <f t="shared" si="78"/>
        <v>•</v>
      </c>
      <c r="FU40" s="332" t="str">
        <f t="shared" si="79"/>
        <v>o</v>
      </c>
      <c r="FV40" s="332" t="str">
        <f t="shared" si="80"/>
        <v>o</v>
      </c>
      <c r="FW40" s="332" t="str">
        <f t="shared" si="81"/>
        <v>•</v>
      </c>
      <c r="FX40" s="332" t="str">
        <f t="shared" si="82"/>
        <v>o</v>
      </c>
      <c r="FY40" s="332" t="str">
        <f t="shared" si="83"/>
        <v>•</v>
      </c>
      <c r="FZ40" s="332" t="str">
        <f t="shared" si="84"/>
        <v>•</v>
      </c>
      <c r="GA40" s="332" t="str">
        <f t="shared" si="85"/>
        <v>o</v>
      </c>
      <c r="GB40" s="332" t="str">
        <f t="shared" si="86"/>
        <v>•</v>
      </c>
      <c r="GC40" s="332" t="str">
        <f t="shared" si="87"/>
        <v>•</v>
      </c>
      <c r="GD40" s="332" t="str">
        <f t="shared" si="88"/>
        <v>o</v>
      </c>
      <c r="GE40" s="338" t="str">
        <f t="shared" si="89"/>
        <v>o</v>
      </c>
      <c r="GF40" s="339" t="str">
        <f t="shared" si="90"/>
        <v>-</v>
      </c>
      <c r="GG40" s="339" t="str">
        <f t="shared" si="91"/>
        <v>-</v>
      </c>
      <c r="GH40" s="339" t="str">
        <f t="shared" si="92"/>
        <v>-</v>
      </c>
      <c r="GI40" s="340" t="str">
        <f t="shared" si="93"/>
        <v>Sa-ma</v>
      </c>
      <c r="GJ40" s="331" t="str">
        <f t="shared" si="94"/>
        <v>S</v>
      </c>
      <c r="GK40" s="332" t="str">
        <f t="shared" si="95"/>
        <v>r</v>
      </c>
      <c r="GL40" s="332" t="str">
        <f t="shared" si="96"/>
        <v/>
      </c>
      <c r="GM40" s="332" t="str">
        <f t="shared" si="97"/>
        <v/>
      </c>
      <c r="GN40" s="332" t="str">
        <f t="shared" si="98"/>
        <v>G</v>
      </c>
      <c r="GO40" s="332" t="str">
        <f t="shared" si="99"/>
        <v/>
      </c>
      <c r="GP40" s="332" t="str">
        <f t="shared" si="100"/>
        <v/>
      </c>
      <c r="GQ40" s="332" t="str">
        <f t="shared" si="101"/>
        <v>P</v>
      </c>
      <c r="GR40" s="332" t="str">
        <f t="shared" si="102"/>
        <v/>
      </c>
      <c r="GS40" s="332" t="str">
        <f t="shared" si="103"/>
        <v>D</v>
      </c>
      <c r="GT40" s="332" t="str">
        <f t="shared" si="104"/>
        <v>n</v>
      </c>
      <c r="GU40" s="332" t="str">
        <f t="shared" si="105"/>
        <v/>
      </c>
      <c r="GV40" s="343" t="str">
        <f t="shared" si="106"/>
        <v>S</v>
      </c>
      <c r="GW40" s="331" t="str">
        <f t="shared" si="107"/>
        <v>•</v>
      </c>
      <c r="GX40" s="332" t="str">
        <f t="shared" si="108"/>
        <v>o</v>
      </c>
      <c r="GY40" s="332" t="str">
        <f t="shared" si="109"/>
        <v>•</v>
      </c>
      <c r="GZ40" s="332" t="str">
        <f t="shared" si="110"/>
        <v>•</v>
      </c>
      <c r="HA40" s="332" t="str">
        <f t="shared" si="111"/>
        <v>o</v>
      </c>
      <c r="HB40" s="332" t="str">
        <f t="shared" si="112"/>
        <v>•</v>
      </c>
      <c r="HC40" s="332" t="str">
        <f t="shared" si="113"/>
        <v>o</v>
      </c>
      <c r="HD40" s="332" t="str">
        <f t="shared" si="114"/>
        <v>o</v>
      </c>
      <c r="HE40" s="332" t="str">
        <f t="shared" si="115"/>
        <v>•</v>
      </c>
      <c r="HF40" s="332" t="str">
        <f t="shared" si="116"/>
        <v>o</v>
      </c>
      <c r="HG40" s="332" t="str">
        <f t="shared" si="117"/>
        <v>o</v>
      </c>
      <c r="HH40" s="332" t="str">
        <f t="shared" si="118"/>
        <v>•</v>
      </c>
      <c r="HI40" s="338" t="str">
        <f t="shared" si="119"/>
        <v>•</v>
      </c>
      <c r="HJ40" s="346" t="b">
        <f t="shared" si="120"/>
        <v>1</v>
      </c>
      <c r="HK40" s="347" t="b">
        <f t="shared" si="121"/>
        <v>0</v>
      </c>
      <c r="HL40" s="347" t="b">
        <f t="shared" si="122"/>
        <v>1</v>
      </c>
      <c r="HM40" s="347" t="b">
        <f t="shared" si="123"/>
        <v>1</v>
      </c>
      <c r="HN40" s="347" t="b">
        <f t="shared" si="124"/>
        <v>0</v>
      </c>
      <c r="HO40" s="347" t="b">
        <f t="shared" si="125"/>
        <v>0</v>
      </c>
      <c r="HP40" s="347" t="b">
        <f t="shared" si="126"/>
        <v>0</v>
      </c>
      <c r="HQ40" s="347" t="b">
        <f t="shared" si="127"/>
        <v>0</v>
      </c>
      <c r="HR40" s="347" t="b">
        <f t="shared" si="128"/>
        <v>0</v>
      </c>
      <c r="HS40" s="347" t="b">
        <f t="shared" si="129"/>
        <v>0</v>
      </c>
      <c r="HT40" s="347" t="b">
        <f t="shared" si="130"/>
        <v>0</v>
      </c>
      <c r="HU40" s="347" t="b">
        <f t="shared" si="131"/>
        <v>1</v>
      </c>
      <c r="HV40" s="353" t="b">
        <f t="shared" si="132"/>
        <v>1</v>
      </c>
      <c r="HW40" s="354" t="str">
        <f t="shared" si="133"/>
        <v>Sa, </v>
      </c>
      <c r="HX40" s="355" t="str">
        <f t="shared" si="134"/>
        <v/>
      </c>
      <c r="HY40" s="355" t="str">
        <f t="shared" si="135"/>
        <v>Re, </v>
      </c>
      <c r="HZ40" s="355" t="str">
        <f t="shared" si="136"/>
        <v>ga, </v>
      </c>
      <c r="IA40" s="355" t="str">
        <f t="shared" si="137"/>
        <v/>
      </c>
      <c r="IB40" s="355" t="str">
        <f t="shared" si="138"/>
        <v/>
      </c>
      <c r="IC40" s="355" t="str">
        <f t="shared" si="139"/>
        <v/>
      </c>
      <c r="ID40" s="355" t="str">
        <f t="shared" si="140"/>
        <v/>
      </c>
      <c r="IE40" s="355" t="str">
        <f t="shared" si="141"/>
        <v/>
      </c>
      <c r="IF40" s="355" t="str">
        <f t="shared" si="142"/>
        <v/>
      </c>
      <c r="IG40" s="355" t="str">
        <f t="shared" si="143"/>
        <v/>
      </c>
      <c r="IH40" s="355" t="str">
        <f t="shared" si="144"/>
        <v>Ni, </v>
      </c>
      <c r="II40" s="359" t="str">
        <f t="shared" si="145"/>
        <v/>
      </c>
      <c r="IJ40" s="346" t="b">
        <f t="shared" si="146"/>
        <v>0</v>
      </c>
      <c r="IK40" s="347" t="b">
        <f t="shared" si="147"/>
        <v>0</v>
      </c>
      <c r="IL40" s="347" t="b">
        <f t="shared" si="148"/>
        <v>1</v>
      </c>
      <c r="IM40" s="347" t="b">
        <f t="shared" si="149"/>
        <v>0</v>
      </c>
      <c r="IN40" s="347" t="b">
        <f t="shared" si="150"/>
        <v>0</v>
      </c>
      <c r="IO40" s="347" t="b">
        <f t="shared" si="151"/>
        <v>0</v>
      </c>
      <c r="IP40" s="347" t="b">
        <f t="shared" si="152"/>
        <v>0</v>
      </c>
      <c r="IQ40" s="347" t="b">
        <f t="shared" si="153"/>
        <v>0</v>
      </c>
      <c r="IR40" s="347" t="b">
        <f t="shared" si="154"/>
        <v>0</v>
      </c>
      <c r="IS40" s="347" t="b">
        <f t="shared" si="155"/>
        <v>0</v>
      </c>
      <c r="IT40" s="347" t="b">
        <f t="shared" si="156"/>
        <v>0</v>
      </c>
      <c r="IU40" s="347" t="b">
        <f t="shared" si="157"/>
        <v>1</v>
      </c>
      <c r="IV40" s="365" t="b">
        <f t="shared" si="158"/>
        <v>0</v>
      </c>
      <c r="IW40" s="354" t="str">
        <f t="shared" si="159"/>
        <v/>
      </c>
      <c r="IX40" s="355" t="str">
        <f t="shared" si="160"/>
        <v/>
      </c>
      <c r="IY40" s="355" t="str">
        <f t="shared" si="161"/>
        <v>Re, </v>
      </c>
      <c r="IZ40" s="355" t="str">
        <f t="shared" si="162"/>
        <v/>
      </c>
      <c r="JA40" s="355" t="str">
        <f t="shared" si="163"/>
        <v/>
      </c>
      <c r="JB40" s="355" t="str">
        <f t="shared" si="164"/>
        <v/>
      </c>
      <c r="JC40" s="355" t="str">
        <f t="shared" si="165"/>
        <v/>
      </c>
      <c r="JD40" s="355" t="str">
        <f t="shared" si="166"/>
        <v/>
      </c>
      <c r="JE40" s="355" t="str">
        <f t="shared" si="167"/>
        <v/>
      </c>
      <c r="JF40" s="355" t="str">
        <f t="shared" si="168"/>
        <v/>
      </c>
      <c r="JG40" s="355" t="str">
        <f t="shared" si="169"/>
        <v/>
      </c>
      <c r="JH40" s="355" t="str">
        <f t="shared" si="170"/>
        <v>Ni, </v>
      </c>
      <c r="JI40" s="359"/>
      <c r="JJ40" s="321"/>
      <c r="JK40" s="368"/>
      <c r="JL40" s="369"/>
      <c r="JM40" s="369"/>
      <c r="JN40" s="369"/>
      <c r="JO40" s="369"/>
      <c r="JP40" s="369"/>
      <c r="JQ40" s="369"/>
      <c r="JR40" s="369"/>
      <c r="JS40" s="369"/>
      <c r="JT40" s="369"/>
      <c r="JU40" s="369"/>
    </row>
    <row r="41" ht="20.25" customHeight="1">
      <c r="A41" s="221" t="s">
        <v>1309</v>
      </c>
      <c r="B41" s="223" t="s">
        <v>1310</v>
      </c>
      <c r="C41" s="222" t="s">
        <v>275</v>
      </c>
      <c r="D41" s="222" t="s">
        <v>275</v>
      </c>
      <c r="E41" s="222"/>
      <c r="F41" s="222"/>
      <c r="G41" s="395" t="s">
        <v>275</v>
      </c>
      <c r="H41" s="222">
        <v>39.0</v>
      </c>
      <c r="I41" s="224" t="s">
        <v>1219</v>
      </c>
      <c r="J41" s="225" t="str">
        <f t="shared" si="5"/>
        <v>[UQ]</v>
      </c>
      <c r="K41" s="227">
        <f t="shared" si="6"/>
        <v>5</v>
      </c>
      <c r="L41" s="229">
        <f t="shared" si="7"/>
        <v>4</v>
      </c>
      <c r="M41" s="230">
        <f t="shared" si="8"/>
        <v>1</v>
      </c>
      <c r="N41" s="233" t="str">
        <f t="shared" si="9"/>
        <v>SgmMdS</v>
      </c>
      <c r="O41" s="234" t="str">
        <f>IFERROR(__xludf.DUMMYFUNCTION("IF(REGEXMATCH(N41, ""S""), ""S"","""")"),"S")</f>
        <v>S</v>
      </c>
      <c r="P41" s="236" t="str">
        <f>IFERROR(__xludf.DUMMYFUNCTION("IF(REGEXMATCH(N41, ""r""), ""r"","""")"),"")</f>
        <v/>
      </c>
      <c r="Q41" s="237" t="str">
        <f>IFERROR(__xludf.DUMMYFUNCTION("IF(REGEXMATCH(N41, ""R""), ""R"","""")"),"")</f>
        <v/>
      </c>
      <c r="R41" s="237" t="str">
        <f>IFERROR(__xludf.DUMMYFUNCTION("IF(REGEXMATCH(N41, ""g""), ""g"","""")"),"g")</f>
        <v>g</v>
      </c>
      <c r="S41" s="236" t="str">
        <f>IFERROR(__xludf.DUMMYFUNCTION("IF(REGEXMATCH(N41, ""G""), ""G"","""")"),"")</f>
        <v/>
      </c>
      <c r="T41" s="236" t="str">
        <f>IFERROR(__xludf.DUMMYFUNCTION("IF(REGEXMATCH(N41, ""m""), ""m"","""")"),"m")</f>
        <v>m</v>
      </c>
      <c r="U41" s="237" t="str">
        <f>IFERROR(__xludf.DUMMYFUNCTION("IF(REGEXMATCH(N41, ""M""), ""M"","""")"),"M")</f>
        <v>M</v>
      </c>
      <c r="V41" s="236" t="str">
        <f>IFERROR(__xludf.DUMMYFUNCTION("IF(REGEXMATCH(N41, ""P""), ""P"","""")"),"")</f>
        <v/>
      </c>
      <c r="W41" s="237" t="str">
        <f>IFERROR(__xludf.DUMMYFUNCTION("IF(REGEXMATCH(N41, ""d""), ""d"","""")"),"d")</f>
        <v>d</v>
      </c>
      <c r="X41" s="236" t="str">
        <f>IFERROR(__xludf.DUMMYFUNCTION("IF(REGEXMATCH(N41, ""D""), ""D"","""")"),"")</f>
        <v/>
      </c>
      <c r="Y41" s="236" t="str">
        <f>IFERROR(__xludf.DUMMYFUNCTION("IF(REGEXMATCH(N41, ""n""), ""n"","""")"),"")</f>
        <v/>
      </c>
      <c r="Z41" s="237" t="str">
        <f>IFERROR(__xludf.DUMMYFUNCTION("IF(REGEXMATCH(N41, ""N""), ""N"","""")"),"")</f>
        <v/>
      </c>
      <c r="AA41" s="238" t="str">
        <f>IFERROR(__xludf.DUMMYFUNCTION("IF(REGEXMATCH(N41, ""S""), ""S"","""")"),"S")</f>
        <v>S</v>
      </c>
      <c r="AB41" s="239" t="str">
        <f>IFERROR(__xludf.DUMMYFUNCTION("SUBSTITUTE(CONCATENATE(JOIN(""-"",O41:U41)),""-"","""")"),"SgmM")</f>
        <v>SgmM</v>
      </c>
      <c r="AC41" s="229" t="str">
        <f>IFERROR(__xludf.DUMMYFUNCTION("SUBSTITUTE(CONCATENATE(JOIN(""-"",V41:AA41)),""-"","""")"),"dS")</f>
        <v>dS</v>
      </c>
      <c r="AD41" s="282" t="str">
        <f t="shared" si="10"/>
        <v>S-G-M</v>
      </c>
      <c r="AE41" s="282" t="str">
        <f t="shared" si="11"/>
        <v>D-S</v>
      </c>
      <c r="AF41" s="309" t="str">
        <f t="shared" si="12"/>
        <v>gmMd</v>
      </c>
      <c r="AG41" s="244" t="str">
        <f>IFERROR(__xludf.DUMMYFUNCTION("IF(REGEXMATCH(N41, ""S""), ""0"","""")"),"0")</f>
        <v>0</v>
      </c>
      <c r="AH41" s="245" t="str">
        <f>IFERROR(__xludf.DUMMYFUNCTION("IF(REGEXMATCH(N41, ""r""), ""1"","""")"),"")</f>
        <v/>
      </c>
      <c r="AI41" s="246" t="str">
        <f>IFERROR(__xludf.DUMMYFUNCTION("IF(REGEXMATCH(N41, ""R""), ""2"","""")"),"")</f>
        <v/>
      </c>
      <c r="AJ41" s="246" t="str">
        <f>IFERROR(__xludf.DUMMYFUNCTION("IF(REGEXMATCH(N41, ""g""), ""3"","""")"),"3")</f>
        <v>3</v>
      </c>
      <c r="AK41" s="245" t="str">
        <f>IFERROR(__xludf.DUMMYFUNCTION("IF(REGEXMATCH(N41, ""G""), ""4"","""")"),"")</f>
        <v/>
      </c>
      <c r="AL41" s="245" t="str">
        <f>IFERROR(__xludf.DUMMYFUNCTION("IF(REGEXMATCH(N41, ""m""), ""5"","""")"),"5")</f>
        <v>5</v>
      </c>
      <c r="AM41" s="246" t="str">
        <f>IFERROR(__xludf.DUMMYFUNCTION("IF(REGEXMATCH(N41, ""M""), ""6"","""")"),"6")</f>
        <v>6</v>
      </c>
      <c r="AN41" s="245" t="str">
        <f>IFERROR(__xludf.DUMMYFUNCTION("IF(REGEXMATCH(N41, ""P""), ""7"","""")"),"")</f>
        <v/>
      </c>
      <c r="AO41" s="246" t="str">
        <f>IFERROR(__xludf.DUMMYFUNCTION("IF(REGEXMATCH(N41, ""d""), ""8"","""")"),"8")</f>
        <v>8</v>
      </c>
      <c r="AP41" s="245" t="str">
        <f>IFERROR(__xludf.DUMMYFUNCTION("IF(REGEXMATCH(N41, ""D""), ""9"","""")"),"")</f>
        <v/>
      </c>
      <c r="AQ41" s="245" t="str">
        <f>IFERROR(__xludf.DUMMYFUNCTION("IF(REGEXMATCH(N41, ""n""), ""10"","""")"),"")</f>
        <v/>
      </c>
      <c r="AR41" s="246" t="str">
        <f>IFERROR(__xludf.DUMMYFUNCTION("IF(REGEXMATCH(N41, ""N""), ""11"","""")"),"")</f>
        <v/>
      </c>
      <c r="AS41" s="249" t="str">
        <f>IFERROR(__xludf.DUMMYFUNCTION("IF(REGEXMATCH(N41, ""S""), ""0"","""")"),"0")</f>
        <v>0</v>
      </c>
      <c r="AT41" s="250" t="str">
        <f>IFERROR(__xludf.DUMMYFUNCTION("SUBSTITUTE(SUBSTITUTE(SUBSTITUTE(SUBSTITUTE(CONCATENATE(JOIN(""-"",AG41:AS41)),""--"",""-""),""--"",""-""),""--"",""-""),""--"",""-"")"),"0-3-5-6-8-0")</f>
        <v>0-3-5-6-8-0</v>
      </c>
      <c r="AU41" s="251">
        <f t="shared" si="13"/>
        <v>0</v>
      </c>
      <c r="AV41" s="234" t="str">
        <f t="shared" si="14"/>
        <v>|</v>
      </c>
      <c r="AW41" s="236" t="str">
        <f t="shared" si="15"/>
        <v>-</v>
      </c>
      <c r="AX41" s="237" t="str">
        <f t="shared" si="16"/>
        <v>-</v>
      </c>
      <c r="AY41" s="236" t="str">
        <f t="shared" si="17"/>
        <v>|</v>
      </c>
      <c r="AZ41" s="237" t="str">
        <f t="shared" si="18"/>
        <v>-</v>
      </c>
      <c r="BA41" s="236" t="str">
        <f t="shared" si="19"/>
        <v>|</v>
      </c>
      <c r="BB41" s="237" t="str">
        <f t="shared" si="20"/>
        <v>|</v>
      </c>
      <c r="BC41" s="236" t="str">
        <f t="shared" si="21"/>
        <v>-</v>
      </c>
      <c r="BD41" s="237" t="str">
        <f t="shared" si="22"/>
        <v>|</v>
      </c>
      <c r="BE41" s="236" t="str">
        <f t="shared" si="23"/>
        <v>-</v>
      </c>
      <c r="BF41" s="237" t="str">
        <f t="shared" si="24"/>
        <v>-</v>
      </c>
      <c r="BG41" s="236" t="str">
        <f t="shared" si="25"/>
        <v>-</v>
      </c>
      <c r="BH41" s="238" t="str">
        <f t="shared" si="26"/>
        <v>|</v>
      </c>
      <c r="BI41" s="250" t="str">
        <f>IFERROR(__xludf.DUMMYFUNCTION("SUBSTITUTE(SUBSTITUTE(CONCATENATE(JOIN("""",AV41:BG41)),""|"",""x""),""-"",""o"")"),"xooxoxxoxooo")</f>
        <v>xooxoxxoxooo</v>
      </c>
      <c r="BJ41" s="323" t="str">
        <f>IFERROR(__xludf.DUMMYFUNCTION("JOIN("""",BI41,BI41)"),"xooxoxxoxoooxooxoxxoxooo")</f>
        <v>xooxoxxoxoooxooxoxxoxooo</v>
      </c>
      <c r="BK41" s="256" t="str">
        <f>IFERROR(__xludf.DUMMYFUNCTION("JOIN("""",ArrayFormula(MID(BI41,LEN(BI41)-SEQUENCE(1,LEN(BI41))+1,1)))"),"oooxoxxoxoox")</f>
        <v>oooxoxxoxoox</v>
      </c>
      <c r="BL41" s="256" t="str">
        <f>IFERROR(__xludf.DUMMYFUNCTION("LEFT(CONCATENATE(""x"",JOIN("""",ArrayFormula(MID(BI41,LEN(BI41)-SEQUENCE(1,LEN(BI41))+1,1)))),12)"),"xoooxoxxoxoo")</f>
        <v>xoooxoxxoxoo</v>
      </c>
      <c r="BM41" s="327" t="str">
        <f>IFERROR(__xludf.DUMMYFUNCTION("JOIN("""",BK41,BK41)"),"oooxoxxoxooxoooxoxxoxoox")</f>
        <v>oooxoxxoxooxoooxoxxoxoox</v>
      </c>
      <c r="BN41" s="239" t="str">
        <f>IFERROR(__xludf.DUMMYFUNCTION("IF(REGEXMATCH(BM41,BI41),""✔"",""-"")"),"-")</f>
        <v>-</v>
      </c>
      <c r="BO41" s="330" t="str">
        <f t="shared" si="27"/>
        <v>-</v>
      </c>
      <c r="BP41" s="260" t="str">
        <f t="shared" si="28"/>
        <v>-</v>
      </c>
      <c r="BQ41" s="261" t="str">
        <f>IFERROR(__xludf.DUMMYFUNCTION("IF(BT41=0,""(n/a)"",IF(BU41=2,""(PAIR)"",IF(REGEXMATCH(BJ41,""xoxoxxoxoxox""),""Bilawal"",IF(REGEXMATCH(BJ41,""xoxoxooxoxoo""),""Bhupali"",IF(REGEXMATCH(BJ41,""xoxoxxoxxoxo""),""Charukeshi"",IF(REGEXMATCH(BJ41,""xoxoooxxoxxo""),""Kameshwari"",IF(REGEXMATC"&amp;"H(BJ41,""xoxoxooxoxox""),""Shankara"",IF(REGEXMATCH(BJ41,""xxooxoxxxoox""),""Basant"",IF(REGEXMATCH(BJ41,""xoxoxxxxoxox""),""Bihag"",IF(REGEXMATCH(BJ41,""xoxxxxoxoxxx""),""Pilu"",IF(REGEXMATCH(BJ41,""xoxxoxoxxoox""),""Kirwani"",IF(REGEXMATCH(BJ41,""xoxxox"&amp;"oxoxxx""),""Mk.Malhar"",IF(REGEXMATCH(BJ41,""xxooxxoxxoox""),""Bhairav"",IF(REGEXMATCH(BJ41,""xxoxooxxxoox""),""Todi"",IF(REGEXMATCH(BJ41,""xxooxoxooxox""),""Marwa"",IF(REGEXMATCH(BJ41,""xxoooxoxxooo""),""Gunkali"",IF(REGEXMATCH(BJ41,""xoxoxxoxxoox""),""N"&amp;"at Bhairav"",IF(REGEXMATCH(BJ41,""xoxxoooxoxoo""),""Shivranjani"",IF(REGEXMATCH(BJ41,""xooxxxoxooxo""),""Jog"",IF(REGEXMATCH(BJ41,""xxooxoxoxoox""),""Hemshri"",IF(REGEXMATCH(BJ41,""xoooxooxoxxo""),""Kalavati"",IF(REGEXMATCH(BJ41,""xxoxoxxoxoox""),""Kedar"&amp;""",IF(REGEXMATCH(BJ41,""xoxxxxoxooxx""),""Gara"",IF(REGEXMATCH(BJ41,""xooxoxooxoox""),""Chandrakauns"",IF(REGEXMATCH(BJ41,""xoxxxxoxxxox""),""Mand"",IF(REGEXMATCH(BJ41,""xoxxxxoxoxox""),""Hanskinkini"",IF(REGEXMATCH(BJ41,""xxooxxoxooxo""),""Lilavati"",IF("&amp;"REGEXMATCH(BJ41,""xooxoxoooxox""),""Rajeshwari"",IF(REGEXMATCH(BJ41,""xoooxxoxoxxx""),""Khokar"",IF(REGEXMATCH(BJ41,""xxooxoxxxxox""),""Maligoura"",""-""))))))))))))))))))))))))))))))"),"(n/a)")</f>
        <v>(n/a)</v>
      </c>
      <c r="BR41" s="239">
        <f t="shared" si="29"/>
        <v>4</v>
      </c>
      <c r="BS41" s="239">
        <f>IFERROR(__xludf.DUMMYFUNCTION("COUNTUNIQUE(BW41:CG41)-1"),4.0)</f>
        <v>4</v>
      </c>
      <c r="BT41" s="239">
        <f>IFERROR(__xludf.DUMMYFUNCTION("COUNTUNIQUE(FILTER(BJ:BJ,REGEXMATCH(BJ:BJ,BI41)))-1"),0.0)</f>
        <v>0</v>
      </c>
      <c r="BU41" s="239">
        <f>IFERROR(__xludf.DUMMYFUNCTION("COUNTA(FILTER(BJ:BJ,REGEXMATCH(BJ:BJ,BI41)))"),1.0)</f>
        <v>1</v>
      </c>
      <c r="BV41" s="341">
        <f>IFERROR(__xludf.DUMMYFUNCTION("COUNTA(FILTER(BJ:BJ,REGEXMATCH(BJ:BJ,BI41)))-AU41"),1.0)</f>
        <v>1</v>
      </c>
      <c r="BW41" s="269" t="str">
        <f t="shared" si="30"/>
        <v>-</v>
      </c>
      <c r="BX41" s="269" t="str">
        <f t="shared" si="31"/>
        <v>-</v>
      </c>
      <c r="BY41" s="271" t="str">
        <f t="shared" si="32"/>
        <v>xoxxoxoooxo</v>
      </c>
      <c r="BZ41" s="269" t="str">
        <f t="shared" si="33"/>
        <v>-</v>
      </c>
      <c r="CA41" s="271" t="str">
        <f t="shared" si="34"/>
        <v>xxoxoooxoox</v>
      </c>
      <c r="CB41" s="271" t="str">
        <f t="shared" si="35"/>
        <v>xoxoooxooxo</v>
      </c>
      <c r="CC41" s="271" t="str">
        <f t="shared" si="36"/>
        <v>-</v>
      </c>
      <c r="CD41" s="271" t="str">
        <f t="shared" si="37"/>
        <v>xoooxooxoxx</v>
      </c>
      <c r="CE41" s="271" t="str">
        <f t="shared" si="38"/>
        <v>-</v>
      </c>
      <c r="CF41" s="271" t="str">
        <f t="shared" si="39"/>
        <v>-</v>
      </c>
      <c r="CG41" s="274" t="str">
        <f t="shared" si="40"/>
        <v>-</v>
      </c>
      <c r="CH41" s="276" t="str">
        <f>IFERROR(__xludf.DUMMYFUNCTION("IF(BI41=""oooooooooooo"",""-"",IF(REGEXMATCH(BJ41,""xx""), ""Hemi."", ""Anhemi.""))"),"Hemi.")</f>
        <v>Hemi.</v>
      </c>
      <c r="CI41" s="282" t="str">
        <f>IFERROR(__xludf.DUMMYFUNCTION("IF(BI41=""oooooooooooo"",""-"",IF(REGEXMATCH(BJ41,""xxx""), ""Cohem."", ""-""))"),"-")</f>
        <v>-</v>
      </c>
      <c r="CJ41" s="282" t="str">
        <f>IFERROR(__xludf.DUMMYFUNCTION("IF(BI41=""oooooooooooo"",""-"",IF(REGEXMATCH(BJ41,""xxxx""), ""Co-Co."", ""-""))"),"-")</f>
        <v>-</v>
      </c>
      <c r="CK41" s="342" t="str">
        <f>IFERROR(__xludf.DUMMYFUNCTION("IF(BI41=""oooooooooooo"",""-"",IF(REGEXMATCH(BJ41,""xxxxx""), ""CCC."", ""-""))"),"-")</f>
        <v>-</v>
      </c>
      <c r="CL41" s="344" t="str">
        <f t="shared" si="41"/>
        <v>-</v>
      </c>
      <c r="CM41" s="282" t="str">
        <f>IFERROR(__xludf.DUMMYFUNCTION("IF(REGEXMATCH(JOIN(""-"",CO41:CX41),""TRUE""),""✔"",""-"")"),"-")</f>
        <v>-</v>
      </c>
      <c r="CN41" s="225">
        <f t="shared" si="42"/>
        <v>0</v>
      </c>
      <c r="CO41" s="376" t="b">
        <f>IFERROR(__xludf.DUMMYFUNCTION("arrayformula(sum(--REGEXMATCH(""SRGMPDNS"",split(REGEXREPLACE(N41,""(.)"",""$1~""),""~""))))=len(N41)
"),FALSE)</f>
        <v>0</v>
      </c>
      <c r="CP41" s="290" t="b">
        <f>IFERROR(__xludf.DUMMYFUNCTION("arrayformula(sum(--REGEXMATCH(""SRGmPDNS"",split(REGEXREPLACE(N41,""(.)"",""$1~""),""~""))))=len(N41)"),FALSE)</f>
        <v>0</v>
      </c>
      <c r="CQ41" s="290" t="b">
        <f>IFERROR(__xludf.DUMMYFUNCTION("arrayformula(sum(--REGEXMATCH(""SRGmPDnS"",split(REGEXREPLACE(N41,""(.)"",""$1~""),""~""))))=len(N41)"),FALSE)</f>
        <v>0</v>
      </c>
      <c r="CR41" s="290" t="b">
        <f>IFERROR(__xludf.DUMMYFUNCTION("arrayformula(sum(--REGEXMATCH(""SRgmPDnS"",split(REGEXREPLACE(N41,""(.)"",""$1~""),""~""))))=len(N41)"),FALSE)</f>
        <v>0</v>
      </c>
      <c r="CS41" s="290" t="b">
        <f>IFERROR(__xludf.DUMMYFUNCTION("arrayformula(sum(--REGEXMATCH(""SRgmPdnS"",split(REGEXREPLACE(N41,""(.)"",""$1~""),""~""))))=len(N41)"),FALSE)</f>
        <v>0</v>
      </c>
      <c r="CT41" s="290" t="b">
        <f>IFERROR(__xludf.DUMMYFUNCTION("arrayformula(sum(--REGEXMATCH(""SrgmPdnS"",split(REGEXREPLACE(N41,""(.)"",""$1~""),""~""))))=len(N41)"),FALSE)</f>
        <v>0</v>
      </c>
      <c r="CU41" s="290" t="b">
        <f>IFERROR(__xludf.DUMMYFUNCTION("arrayformula(sum(--REGEXMATCH(""SrGmPdNS"",split(REGEXREPLACE(N41,""(.)"",""$1~""),""~""))))=len(N41)"),FALSE)</f>
        <v>0</v>
      </c>
      <c r="CV41" s="290" t="b">
        <f>IFERROR(__xludf.DUMMYFUNCTION("arrayformula(sum(--REGEXMATCH(""SrGMPDNS"",split(REGEXREPLACE(N41,""(.)"",""$1~""),""~""))))=len(N41)"),FALSE)</f>
        <v>0</v>
      </c>
      <c r="CW41" s="290" t="b">
        <f>IFERROR(__xludf.DUMMYFUNCTION("arrayformula(sum(--REGEXMATCH(""SrGMPdNS"",split(REGEXREPLACE(N41,""(.)"",""$1~""),""~""))))=len(N41)"),FALSE)</f>
        <v>0</v>
      </c>
      <c r="CX41" s="293" t="b">
        <f>IFERROR(__xludf.DUMMYFUNCTION("arrayformula(sum(--REGEXMATCH(""SrgMPdNS"",split(REGEXREPLACE(N41,""(.)"",""$1~""),""~""))))=len(N41)"),FALSE)</f>
        <v>0</v>
      </c>
      <c r="CY41" s="244" t="str">
        <f>IFERROR(__xludf.DUMMYFUNCTION("IF(REGEXMATCH(N41, ""S""), ""1"","""")"),"1")</f>
        <v>1</v>
      </c>
      <c r="CZ41" s="245" t="str">
        <f>IFERROR(__xludf.DUMMYFUNCTION("IF(REGEXMATCH(N41, ""r""), ""b2"","""")"),"")</f>
        <v/>
      </c>
      <c r="DA41" s="246" t="str">
        <f>IFERROR(__xludf.DUMMYFUNCTION("IF(REGEXMATCH(N41, ""R""), ""2"","""")"),"")</f>
        <v/>
      </c>
      <c r="DB41" s="246" t="str">
        <f>IFERROR(__xludf.DUMMYFUNCTION("IF(REGEXMATCH(N41, ""g""), ""b3"","""")"),"b3")</f>
        <v>b3</v>
      </c>
      <c r="DC41" s="245" t="str">
        <f>IFERROR(__xludf.DUMMYFUNCTION("IF(REGEXMATCH(N41, ""G""), ""3"","""")"),"")</f>
        <v/>
      </c>
      <c r="DD41" s="245" t="str">
        <f>IFERROR(__xludf.DUMMYFUNCTION("IF(REGEXMATCH(N41, ""m""), ""4"","""")"),"4")</f>
        <v>4</v>
      </c>
      <c r="DE41" s="246" t="str">
        <f>IFERROR(__xludf.DUMMYFUNCTION("IF(REGEXMATCH(N41, ""M""), ""#4"","""")"),"#4")</f>
        <v>#4</v>
      </c>
      <c r="DF41" s="245" t="str">
        <f>IFERROR(__xludf.DUMMYFUNCTION("IF(REGEXMATCH(N41, ""P""), ""5"","""")"),"")</f>
        <v/>
      </c>
      <c r="DG41" s="246" t="str">
        <f>IFERROR(__xludf.DUMMYFUNCTION("IF(REGEXMATCH(N41, ""d""), ""b6"","""")"),"b6")</f>
        <v>b6</v>
      </c>
      <c r="DH41" s="245" t="str">
        <f>IFERROR(__xludf.DUMMYFUNCTION("IF(REGEXMATCH(N41, ""D""), ""6"","""")"),"")</f>
        <v/>
      </c>
      <c r="DI41" s="245" t="str">
        <f>IFERROR(__xludf.DUMMYFUNCTION("IF(REGEXMATCH(N41, ""n""), ""b7"","""")"),"")</f>
        <v/>
      </c>
      <c r="DJ41" s="246" t="str">
        <f>IFERROR(__xludf.DUMMYFUNCTION("IF(REGEXMATCH(N41, ""N""), ""7"","""")"),"")</f>
        <v/>
      </c>
      <c r="DK41" s="249" t="str">
        <f>IFERROR(__xludf.DUMMYFUNCTION("IF(REGEXMATCH(N41, ""S""), ""8"","""")"),"8")</f>
        <v>8</v>
      </c>
      <c r="DL41" s="244" t="str">
        <f>IFERROR(__xludf.DUMMYFUNCTION("IF(REGEXMATCH(N41, ""S""), ""S"","""")"),"S")</f>
        <v>S</v>
      </c>
      <c r="DM41" s="294" t="str">
        <f>IFERROR(__xludf.DUMMYFUNCTION("IF(REGEXMATCH(N41, ""r""), ""R1"","""")"),"")</f>
        <v/>
      </c>
      <c r="DN41" s="295" t="str">
        <f>IFERROR(__xludf.DUMMYFUNCTION("IF(REGEXMATCH(N41, ""R""), ""R2"","""")"),"")</f>
        <v/>
      </c>
      <c r="DO41" s="295" t="str">
        <f>IFERROR(__xludf.DUMMYFUNCTION("IF(REGEXMATCH(N41, ""g""), ""G2"","""")"),"G2")</f>
        <v>G2</v>
      </c>
      <c r="DP41" s="294" t="str">
        <f>IFERROR(__xludf.DUMMYFUNCTION("IF(REGEXMATCH(N41, ""G""), ""G3"","""")"),"")</f>
        <v/>
      </c>
      <c r="DQ41" s="294" t="str">
        <f>IFERROR(__xludf.DUMMYFUNCTION("IF(REGEXMATCH(N41, ""m""), ""M1"","""")"),"M1")</f>
        <v>M1</v>
      </c>
      <c r="DR41" s="295" t="str">
        <f>IFERROR(__xludf.DUMMYFUNCTION("IF(REGEXMATCH(N41, ""M""), ""M2"","""")"),"M2")</f>
        <v>M2</v>
      </c>
      <c r="DS41" s="294" t="str">
        <f>IFERROR(__xludf.DUMMYFUNCTION("IF(REGEXMATCH(N41, ""P""), ""P"","""")"),"")</f>
        <v/>
      </c>
      <c r="DT41" s="295" t="str">
        <f>IFERROR(__xludf.DUMMYFUNCTION("IF(REGEXMATCH(N41, ""d""), ""D1"","""")"),"D1")</f>
        <v>D1</v>
      </c>
      <c r="DU41" s="294" t="str">
        <f>IFERROR(__xludf.DUMMYFUNCTION("IF(REGEXMATCH(N41, ""D""), ""D2"","""")"),"")</f>
        <v/>
      </c>
      <c r="DV41" s="294" t="str">
        <f>IFERROR(__xludf.DUMMYFUNCTION("IF(REGEXMATCH(N41, ""n""), ""N2"","""")"),"")</f>
        <v/>
      </c>
      <c r="DW41" s="295" t="str">
        <f>IFERROR(__xludf.DUMMYFUNCTION("IF(REGEXMATCH(N41, ""N""), ""N3"","""")"),"")</f>
        <v/>
      </c>
      <c r="DX41" s="249" t="str">
        <f>IFERROR(__xludf.DUMMYFUNCTION("IF(REGEXMATCH(N41, ""S""), ""S"","""")"),"S")</f>
        <v>S</v>
      </c>
      <c r="DY41" s="299" t="str">
        <f>IFERROR(__xludf.DUMMYFUNCTION("SUBSTITUTE(SUBSTITUTE(SUBSTITUTE(SUBSTITUTE(CONCATENATE(JOIN(""-"",CY41:DK41)),""--"",""-""),""--"",""-""),""--"",""-""),""--"",""-"")"),"1-b3-4-#4-b6-8")</f>
        <v>1-b3-4-#4-b6-8</v>
      </c>
      <c r="DZ41" s="299" t="str">
        <f>IFERROR(__xludf.DUMMYFUNCTION("SUBSTITUTE(SUBSTITUTE(SUBSTITUTE(SUBSTITUTE(CONCATENATE(JOIN(""-"",DL41:DX41)),""--"",""-""),""--"",""-""),""--"",""-""),""--"",""-"")"),"S-G2-M1-M2-D1-S")</f>
        <v>S-G2-M1-M2-D1-S</v>
      </c>
      <c r="EA41" s="348" t="str">
        <f t="shared" si="43"/>
        <v>C-Eb-F-F#-Ab-C</v>
      </c>
      <c r="EB41" s="301">
        <f t="shared" si="44"/>
        <v>5</v>
      </c>
      <c r="EC41" s="302" t="str">
        <f t="shared" si="45"/>
        <v>-</v>
      </c>
      <c r="ED41" s="301" t="str">
        <f t="shared" ref="ED41:EE41" si="207">SUBSTITUTE(AD41,"-","")</f>
        <v>SGM</v>
      </c>
      <c r="EE41" s="301" t="str">
        <f t="shared" si="207"/>
        <v>DS</v>
      </c>
      <c r="EF41" s="302" t="str">
        <f t="shared" si="47"/>
        <v>(n/a)</v>
      </c>
      <c r="EG41" s="301" t="str">
        <f t="shared" si="48"/>
        <v>Hemi.</v>
      </c>
      <c r="EH41" s="364" t="str">
        <f t="shared" si="49"/>
        <v>-</v>
      </c>
      <c r="EI41" s="306" t="str">
        <f t="shared" si="50"/>
        <v>-</v>
      </c>
      <c r="EJ41" s="366" t="str">
        <f t="shared" si="51"/>
        <v>-</v>
      </c>
      <c r="EK41" s="308" t="str">
        <f t="shared" si="52"/>
        <v>✔</v>
      </c>
      <c r="EL41" s="306" t="str">
        <f t="shared" si="53"/>
        <v>-</v>
      </c>
      <c r="EM41" s="306" t="str">
        <f t="shared" si="54"/>
        <v>✔</v>
      </c>
      <c r="EN41" s="367" t="str">
        <f t="shared" si="55"/>
        <v>-</v>
      </c>
      <c r="EO41" s="310" t="str">
        <f t="shared" si="56"/>
        <v>-</v>
      </c>
      <c r="EP41" s="310" t="str">
        <f t="shared" si="57"/>
        <v>-</v>
      </c>
      <c r="EQ41" s="310" t="str">
        <f t="shared" si="58"/>
        <v>✔</v>
      </c>
      <c r="ER41" s="310" t="str">
        <f t="shared" si="59"/>
        <v>-</v>
      </c>
      <c r="ES41" s="370" t="str">
        <f t="shared" si="60"/>
        <v>-</v>
      </c>
      <c r="ET41" s="306" t="str">
        <f t="shared" si="61"/>
        <v>✔</v>
      </c>
      <c r="EU41" s="306" t="str">
        <f t="shared" si="62"/>
        <v>-</v>
      </c>
      <c r="EV41" s="306" t="str">
        <f t="shared" si="63"/>
        <v>-</v>
      </c>
      <c r="EW41" s="306" t="str">
        <f t="shared" si="64"/>
        <v>✔</v>
      </c>
      <c r="EX41" s="306" t="str">
        <f t="shared" si="65"/>
        <v>-</v>
      </c>
      <c r="EY41" s="367" t="str">
        <f t="shared" si="66"/>
        <v>✔</v>
      </c>
      <c r="EZ41" s="310" t="str">
        <f>IFERROR(__xludf.DUMMYFUNCTION("IF(REGEXMATCH(BM41,BI41),""✔"",""-"")"),"-")</f>
        <v>-</v>
      </c>
      <c r="FA41" s="310" t="str">
        <f t="shared" si="67"/>
        <v>-</v>
      </c>
      <c r="FB41" s="370" t="str">
        <f t="shared" si="68"/>
        <v>-</v>
      </c>
      <c r="FC41" s="315" t="str">
        <f t="shared" si="69"/>
        <v>[UQ]</v>
      </c>
      <c r="FD41" s="317" t="str">
        <f t="shared" si="70"/>
        <v>S-g-mM-d-S</v>
      </c>
      <c r="FE41" s="318" t="str">
        <f>IFERROR(__xludf.DUMMYFUNCTION("CONCATENATE(JOIN("""",GJ41:GV41))"),"SGMPDS")</f>
        <v>SGMPDS</v>
      </c>
      <c r="FF41" s="318"/>
      <c r="FG41" s="318"/>
      <c r="FH41" s="321">
        <f t="shared" si="71"/>
        <v>3</v>
      </c>
      <c r="FI41" s="318" t="str">
        <f>IFERROR(__xludf.DUMMYFUNCTION("CONCATENATE(JOIN("""",HW41:II41))"),"Sa, ga, Ma, ")</f>
        <v>Sa, ga, Ma, </v>
      </c>
      <c r="FJ41" s="322">
        <f t="shared" si="72"/>
        <v>1</v>
      </c>
      <c r="FK41" s="324" t="str">
        <f>IFERROR(__xludf.DUMMYFUNCTION("CONCATENATE(JOIN("""",IW41:JI41))"),"Ma, ")</f>
        <v>Ma, </v>
      </c>
      <c r="FL41" s="325" t="str">
        <f t="shared" si="73"/>
        <v>S-G2-M1-M2-D1-S</v>
      </c>
      <c r="FM41" s="326" t="str">
        <f t="shared" si="74"/>
        <v>1-b3-4-#4-b6-8</v>
      </c>
      <c r="FN41" s="326" t="str">
        <f t="shared" si="75"/>
        <v>0-3-5-6-8-0</v>
      </c>
      <c r="FO41" s="318"/>
      <c r="FP41" s="328" t="str">
        <f>IFERROR(__xludf.DUMMYFUNCTION("SUBSTITUTE(SUBSTITUTE(SUBSTITUTE(SUBSTITUTE(CONCATENATE(JOIN("" "",FS41:GE41)),""  "","" ""),""  "","" ""),""  "","" ""),""  "","" "")"),"o • • o • o o • o • • • o")</f>
        <v>o • • o • o o • o • • • o</v>
      </c>
      <c r="FQ41" s="328" t="str">
        <f t="shared" si="76"/>
        <v>-</v>
      </c>
      <c r="FR41" s="329"/>
      <c r="FS41" s="331" t="str">
        <f t="shared" si="77"/>
        <v>o</v>
      </c>
      <c r="FT41" s="332" t="str">
        <f t="shared" si="78"/>
        <v>•</v>
      </c>
      <c r="FU41" s="332" t="str">
        <f t="shared" si="79"/>
        <v>•</v>
      </c>
      <c r="FV41" s="332" t="str">
        <f t="shared" si="80"/>
        <v>o</v>
      </c>
      <c r="FW41" s="332" t="str">
        <f t="shared" si="81"/>
        <v>•</v>
      </c>
      <c r="FX41" s="332" t="str">
        <f t="shared" si="82"/>
        <v>o</v>
      </c>
      <c r="FY41" s="332" t="str">
        <f t="shared" si="83"/>
        <v>o</v>
      </c>
      <c r="FZ41" s="332" t="str">
        <f t="shared" si="84"/>
        <v>•</v>
      </c>
      <c r="GA41" s="332" t="str">
        <f t="shared" si="85"/>
        <v>o</v>
      </c>
      <c r="GB41" s="332" t="str">
        <f t="shared" si="86"/>
        <v>•</v>
      </c>
      <c r="GC41" s="332" t="str">
        <f t="shared" si="87"/>
        <v>•</v>
      </c>
      <c r="GD41" s="332" t="str">
        <f t="shared" si="88"/>
        <v>•</v>
      </c>
      <c r="GE41" s="338" t="str">
        <f t="shared" si="89"/>
        <v>o</v>
      </c>
      <c r="GF41" s="339" t="str">
        <f t="shared" si="90"/>
        <v>-</v>
      </c>
      <c r="GG41" s="339" t="str">
        <f t="shared" si="91"/>
        <v>-</v>
      </c>
      <c r="GH41" s="339" t="str">
        <f t="shared" si="92"/>
        <v>-</v>
      </c>
      <c r="GI41" s="340" t="str">
        <f t="shared" si="93"/>
        <v>-</v>
      </c>
      <c r="GJ41" s="331" t="str">
        <f t="shared" si="94"/>
        <v>S</v>
      </c>
      <c r="GK41" s="332" t="str">
        <f t="shared" si="95"/>
        <v/>
      </c>
      <c r="GL41" s="332" t="str">
        <f t="shared" si="96"/>
        <v/>
      </c>
      <c r="GM41" s="332" t="str">
        <f t="shared" si="97"/>
        <v/>
      </c>
      <c r="GN41" s="332" t="str">
        <f t="shared" si="98"/>
        <v>G</v>
      </c>
      <c r="GO41" s="332" t="str">
        <f t="shared" si="99"/>
        <v/>
      </c>
      <c r="GP41" s="332" t="str">
        <f t="shared" si="100"/>
        <v>M</v>
      </c>
      <c r="GQ41" s="332" t="str">
        <f t="shared" si="101"/>
        <v>P</v>
      </c>
      <c r="GR41" s="332" t="str">
        <f t="shared" si="102"/>
        <v/>
      </c>
      <c r="GS41" s="332" t="str">
        <f t="shared" si="103"/>
        <v>D</v>
      </c>
      <c r="GT41" s="332" t="str">
        <f t="shared" si="104"/>
        <v/>
      </c>
      <c r="GU41" s="332" t="str">
        <f t="shared" si="105"/>
        <v/>
      </c>
      <c r="GV41" s="343" t="str">
        <f t="shared" si="106"/>
        <v>S</v>
      </c>
      <c r="GW41" s="331" t="str">
        <f t="shared" si="107"/>
        <v>•</v>
      </c>
      <c r="GX41" s="332" t="str">
        <f t="shared" si="108"/>
        <v>o</v>
      </c>
      <c r="GY41" s="332" t="str">
        <f t="shared" si="109"/>
        <v>o</v>
      </c>
      <c r="GZ41" s="332" t="str">
        <f t="shared" si="110"/>
        <v>•</v>
      </c>
      <c r="HA41" s="332" t="str">
        <f t="shared" si="111"/>
        <v>o</v>
      </c>
      <c r="HB41" s="332" t="str">
        <f t="shared" si="112"/>
        <v>•</v>
      </c>
      <c r="HC41" s="332" t="str">
        <f t="shared" si="113"/>
        <v>•</v>
      </c>
      <c r="HD41" s="332" t="str">
        <f t="shared" si="114"/>
        <v>o</v>
      </c>
      <c r="HE41" s="332" t="str">
        <f t="shared" si="115"/>
        <v>•</v>
      </c>
      <c r="HF41" s="332" t="str">
        <f t="shared" si="116"/>
        <v>o</v>
      </c>
      <c r="HG41" s="332" t="str">
        <f t="shared" si="117"/>
        <v>o</v>
      </c>
      <c r="HH41" s="332" t="str">
        <f t="shared" si="118"/>
        <v>o</v>
      </c>
      <c r="HI41" s="338" t="str">
        <f t="shared" si="119"/>
        <v>•</v>
      </c>
      <c r="HJ41" s="346" t="b">
        <f t="shared" si="120"/>
        <v>1</v>
      </c>
      <c r="HK41" s="347" t="b">
        <f t="shared" si="121"/>
        <v>0</v>
      </c>
      <c r="HL41" s="347" t="b">
        <f t="shared" si="122"/>
        <v>0</v>
      </c>
      <c r="HM41" s="347" t="b">
        <f t="shared" si="123"/>
        <v>1</v>
      </c>
      <c r="HN41" s="347" t="b">
        <f t="shared" si="124"/>
        <v>0</v>
      </c>
      <c r="HO41" s="347" t="b">
        <f t="shared" si="125"/>
        <v>0</v>
      </c>
      <c r="HP41" s="347" t="b">
        <f t="shared" si="126"/>
        <v>1</v>
      </c>
      <c r="HQ41" s="347" t="b">
        <f t="shared" si="127"/>
        <v>0</v>
      </c>
      <c r="HR41" s="347" t="b">
        <f t="shared" si="128"/>
        <v>0</v>
      </c>
      <c r="HS41" s="347" t="b">
        <f t="shared" si="129"/>
        <v>0</v>
      </c>
      <c r="HT41" s="347" t="b">
        <f t="shared" si="130"/>
        <v>0</v>
      </c>
      <c r="HU41" s="347" t="b">
        <f t="shared" si="131"/>
        <v>0</v>
      </c>
      <c r="HV41" s="353" t="b">
        <f t="shared" si="132"/>
        <v>1</v>
      </c>
      <c r="HW41" s="354" t="str">
        <f t="shared" si="133"/>
        <v>Sa, </v>
      </c>
      <c r="HX41" s="355" t="str">
        <f t="shared" si="134"/>
        <v/>
      </c>
      <c r="HY41" s="355" t="str">
        <f t="shared" si="135"/>
        <v/>
      </c>
      <c r="HZ41" s="355" t="str">
        <f t="shared" si="136"/>
        <v>ga, </v>
      </c>
      <c r="IA41" s="355" t="str">
        <f t="shared" si="137"/>
        <v/>
      </c>
      <c r="IB41" s="355" t="str">
        <f t="shared" si="138"/>
        <v/>
      </c>
      <c r="IC41" s="355" t="str">
        <f t="shared" si="139"/>
        <v>Ma, </v>
      </c>
      <c r="ID41" s="355" t="str">
        <f t="shared" si="140"/>
        <v/>
      </c>
      <c r="IE41" s="355" t="str">
        <f t="shared" si="141"/>
        <v/>
      </c>
      <c r="IF41" s="355" t="str">
        <f t="shared" si="142"/>
        <v/>
      </c>
      <c r="IG41" s="355" t="str">
        <f t="shared" si="143"/>
        <v/>
      </c>
      <c r="IH41" s="355" t="str">
        <f t="shared" si="144"/>
        <v/>
      </c>
      <c r="II41" s="359" t="str">
        <f t="shared" si="145"/>
        <v/>
      </c>
      <c r="IJ41" s="346" t="b">
        <f t="shared" si="146"/>
        <v>0</v>
      </c>
      <c r="IK41" s="347" t="b">
        <f t="shared" si="147"/>
        <v>0</v>
      </c>
      <c r="IL41" s="347" t="b">
        <f t="shared" si="148"/>
        <v>0</v>
      </c>
      <c r="IM41" s="347" t="b">
        <f t="shared" si="149"/>
        <v>0</v>
      </c>
      <c r="IN41" s="347" t="b">
        <f t="shared" si="150"/>
        <v>0</v>
      </c>
      <c r="IO41" s="347" t="b">
        <f t="shared" si="151"/>
        <v>0</v>
      </c>
      <c r="IP41" s="347" t="b">
        <f t="shared" si="152"/>
        <v>1</v>
      </c>
      <c r="IQ41" s="347" t="b">
        <f t="shared" si="153"/>
        <v>0</v>
      </c>
      <c r="IR41" s="347" t="b">
        <f t="shared" si="154"/>
        <v>0</v>
      </c>
      <c r="IS41" s="347" t="b">
        <f t="shared" si="155"/>
        <v>0</v>
      </c>
      <c r="IT41" s="347" t="b">
        <f t="shared" si="156"/>
        <v>0</v>
      </c>
      <c r="IU41" s="347" t="b">
        <f t="shared" si="157"/>
        <v>0</v>
      </c>
      <c r="IV41" s="365" t="b">
        <f t="shared" si="158"/>
        <v>0</v>
      </c>
      <c r="IW41" s="354" t="str">
        <f t="shared" si="159"/>
        <v/>
      </c>
      <c r="IX41" s="355" t="str">
        <f t="shared" si="160"/>
        <v/>
      </c>
      <c r="IY41" s="355" t="str">
        <f t="shared" si="161"/>
        <v/>
      </c>
      <c r="IZ41" s="355" t="str">
        <f t="shared" si="162"/>
        <v/>
      </c>
      <c r="JA41" s="355" t="str">
        <f t="shared" si="163"/>
        <v/>
      </c>
      <c r="JB41" s="355" t="str">
        <f t="shared" si="164"/>
        <v/>
      </c>
      <c r="JC41" s="355" t="str">
        <f t="shared" si="165"/>
        <v>Ma, </v>
      </c>
      <c r="JD41" s="355" t="str">
        <f t="shared" si="166"/>
        <v/>
      </c>
      <c r="JE41" s="355" t="str">
        <f t="shared" si="167"/>
        <v/>
      </c>
      <c r="JF41" s="355" t="str">
        <f t="shared" si="168"/>
        <v/>
      </c>
      <c r="JG41" s="355" t="str">
        <f t="shared" si="169"/>
        <v/>
      </c>
      <c r="JH41" s="355" t="str">
        <f t="shared" si="170"/>
        <v/>
      </c>
      <c r="JI41" s="359"/>
      <c r="JJ41" s="321"/>
      <c r="JK41" s="368"/>
      <c r="JL41" s="369"/>
      <c r="JM41" s="369"/>
      <c r="JN41" s="369"/>
      <c r="JO41" s="369"/>
      <c r="JP41" s="369"/>
      <c r="JQ41" s="369"/>
      <c r="JR41" s="369"/>
      <c r="JS41" s="369"/>
      <c r="JT41" s="369"/>
      <c r="JU41" s="369"/>
    </row>
    <row r="42" ht="20.25" customHeight="1">
      <c r="A42" s="221" t="s">
        <v>1312</v>
      </c>
      <c r="B42" s="223" t="s">
        <v>405</v>
      </c>
      <c r="C42" s="222" t="s">
        <v>275</v>
      </c>
      <c r="D42" s="222"/>
      <c r="E42" s="222" t="s">
        <v>275</v>
      </c>
      <c r="F42" s="222"/>
      <c r="G42" s="395" t="s">
        <v>275</v>
      </c>
      <c r="H42" s="222">
        <v>40.0</v>
      </c>
      <c r="I42" s="224" t="s">
        <v>1219</v>
      </c>
      <c r="J42" s="414">
        <f t="shared" si="5"/>
        <v>2</v>
      </c>
      <c r="K42" s="227">
        <f t="shared" si="6"/>
        <v>7</v>
      </c>
      <c r="L42" s="229">
        <f t="shared" si="7"/>
        <v>7</v>
      </c>
      <c r="M42" s="230">
        <f t="shared" si="8"/>
        <v>0</v>
      </c>
      <c r="N42" s="233" t="str">
        <f t="shared" si="9"/>
        <v>SRgmPdnS</v>
      </c>
      <c r="O42" s="234" t="str">
        <f>IFERROR(__xludf.DUMMYFUNCTION("IF(REGEXMATCH(N42, ""S""), ""S"","""")"),"S")</f>
        <v>S</v>
      </c>
      <c r="P42" s="236" t="str">
        <f>IFERROR(__xludf.DUMMYFUNCTION("IF(REGEXMATCH(N42, ""r""), ""r"","""")"),"")</f>
        <v/>
      </c>
      <c r="Q42" s="237" t="str">
        <f>IFERROR(__xludf.DUMMYFUNCTION("IF(REGEXMATCH(N42, ""R""), ""R"","""")"),"R")</f>
        <v>R</v>
      </c>
      <c r="R42" s="237" t="str">
        <f>IFERROR(__xludf.DUMMYFUNCTION("IF(REGEXMATCH(N42, ""g""), ""g"","""")"),"g")</f>
        <v>g</v>
      </c>
      <c r="S42" s="236" t="str">
        <f>IFERROR(__xludf.DUMMYFUNCTION("IF(REGEXMATCH(N42, ""G""), ""G"","""")"),"")</f>
        <v/>
      </c>
      <c r="T42" s="236" t="str">
        <f>IFERROR(__xludf.DUMMYFUNCTION("IF(REGEXMATCH(N42, ""m""), ""m"","""")"),"m")</f>
        <v>m</v>
      </c>
      <c r="U42" s="237" t="str">
        <f>IFERROR(__xludf.DUMMYFUNCTION("IF(REGEXMATCH(N42, ""M""), ""M"","""")"),"")</f>
        <v/>
      </c>
      <c r="V42" s="236" t="str">
        <f>IFERROR(__xludf.DUMMYFUNCTION("IF(REGEXMATCH(N42, ""P""), ""P"","""")"),"P")</f>
        <v>P</v>
      </c>
      <c r="W42" s="237" t="str">
        <f>IFERROR(__xludf.DUMMYFUNCTION("IF(REGEXMATCH(N42, ""d""), ""d"","""")"),"d")</f>
        <v>d</v>
      </c>
      <c r="X42" s="236" t="str">
        <f>IFERROR(__xludf.DUMMYFUNCTION("IF(REGEXMATCH(N42, ""D""), ""D"","""")"),"")</f>
        <v/>
      </c>
      <c r="Y42" s="236" t="str">
        <f>IFERROR(__xludf.DUMMYFUNCTION("IF(REGEXMATCH(N42, ""n""), ""n"","""")"),"n")</f>
        <v>n</v>
      </c>
      <c r="Z42" s="237" t="str">
        <f>IFERROR(__xludf.DUMMYFUNCTION("IF(REGEXMATCH(N42, ""N""), ""N"","""")"),"")</f>
        <v/>
      </c>
      <c r="AA42" s="238" t="str">
        <f>IFERROR(__xludf.DUMMYFUNCTION("IF(REGEXMATCH(N42, ""S""), ""S"","""")"),"S")</f>
        <v>S</v>
      </c>
      <c r="AB42" s="239" t="str">
        <f>IFERROR(__xludf.DUMMYFUNCTION("SUBSTITUTE(CONCATENATE(JOIN(""-"",O42:U42)),""-"","""")"),"SRgm")</f>
        <v>SRgm</v>
      </c>
      <c r="AC42" s="229" t="str">
        <f>IFERROR(__xludf.DUMMYFUNCTION("SUBSTITUTE(CONCATENATE(JOIN(""-"",V42:AA42)),""-"","""")"),"PdnS")</f>
        <v>PdnS</v>
      </c>
      <c r="AD42" s="282" t="str">
        <f t="shared" si="10"/>
        <v>S-R-G-M</v>
      </c>
      <c r="AE42" s="282" t="str">
        <f t="shared" si="11"/>
        <v>P-D-N-S</v>
      </c>
      <c r="AF42" s="309" t="str">
        <f t="shared" si="12"/>
        <v>Rgmdn</v>
      </c>
      <c r="AG42" s="244" t="str">
        <f>IFERROR(__xludf.DUMMYFUNCTION("IF(REGEXMATCH(N42, ""S""), ""0"","""")"),"0")</f>
        <v>0</v>
      </c>
      <c r="AH42" s="245" t="str">
        <f>IFERROR(__xludf.DUMMYFUNCTION("IF(REGEXMATCH(N42, ""r""), ""1"","""")"),"")</f>
        <v/>
      </c>
      <c r="AI42" s="246" t="str">
        <f>IFERROR(__xludf.DUMMYFUNCTION("IF(REGEXMATCH(N42, ""R""), ""2"","""")"),"2")</f>
        <v>2</v>
      </c>
      <c r="AJ42" s="246" t="str">
        <f>IFERROR(__xludf.DUMMYFUNCTION("IF(REGEXMATCH(N42, ""g""), ""3"","""")"),"3")</f>
        <v>3</v>
      </c>
      <c r="AK42" s="245" t="str">
        <f>IFERROR(__xludf.DUMMYFUNCTION("IF(REGEXMATCH(N42, ""G""), ""4"","""")"),"")</f>
        <v/>
      </c>
      <c r="AL42" s="245" t="str">
        <f>IFERROR(__xludf.DUMMYFUNCTION("IF(REGEXMATCH(N42, ""m""), ""5"","""")"),"5")</f>
        <v>5</v>
      </c>
      <c r="AM42" s="246" t="str">
        <f>IFERROR(__xludf.DUMMYFUNCTION("IF(REGEXMATCH(N42, ""M""), ""6"","""")"),"")</f>
        <v/>
      </c>
      <c r="AN42" s="245" t="str">
        <f>IFERROR(__xludf.DUMMYFUNCTION("IF(REGEXMATCH(N42, ""P""), ""7"","""")"),"7")</f>
        <v>7</v>
      </c>
      <c r="AO42" s="246" t="str">
        <f>IFERROR(__xludf.DUMMYFUNCTION("IF(REGEXMATCH(N42, ""d""), ""8"","""")"),"8")</f>
        <v>8</v>
      </c>
      <c r="AP42" s="245" t="str">
        <f>IFERROR(__xludf.DUMMYFUNCTION("IF(REGEXMATCH(N42, ""D""), ""9"","""")"),"")</f>
        <v/>
      </c>
      <c r="AQ42" s="245" t="str">
        <f>IFERROR(__xludf.DUMMYFUNCTION("IF(REGEXMATCH(N42, ""n""), ""10"","""")"),"10")</f>
        <v>10</v>
      </c>
      <c r="AR42" s="246" t="str">
        <f>IFERROR(__xludf.DUMMYFUNCTION("IF(REGEXMATCH(N42, ""N""), ""11"","""")"),"")</f>
        <v/>
      </c>
      <c r="AS42" s="249" t="str">
        <f>IFERROR(__xludf.DUMMYFUNCTION("IF(REGEXMATCH(N42, ""S""), ""0"","""")"),"0")</f>
        <v>0</v>
      </c>
      <c r="AT42" s="250" t="str">
        <f>IFERROR(__xludf.DUMMYFUNCTION("SUBSTITUTE(SUBSTITUTE(SUBSTITUTE(SUBSTITUTE(CONCATENATE(JOIN(""-"",AG42:AS42)),""--"",""-""),""--"",""-""),""--"",""-""),""--"",""-"")"),"0-2-3-5-7-8-10-0")</f>
        <v>0-2-3-5-7-8-10-0</v>
      </c>
      <c r="AU42" s="251">
        <f t="shared" si="13"/>
        <v>2</v>
      </c>
      <c r="AV42" s="234" t="str">
        <f t="shared" si="14"/>
        <v>|</v>
      </c>
      <c r="AW42" s="236" t="str">
        <f t="shared" si="15"/>
        <v>-</v>
      </c>
      <c r="AX42" s="237" t="str">
        <f t="shared" si="16"/>
        <v>|</v>
      </c>
      <c r="AY42" s="236" t="str">
        <f t="shared" si="17"/>
        <v>|</v>
      </c>
      <c r="AZ42" s="237" t="str">
        <f t="shared" si="18"/>
        <v>-</v>
      </c>
      <c r="BA42" s="236" t="str">
        <f t="shared" si="19"/>
        <v>|</v>
      </c>
      <c r="BB42" s="237" t="str">
        <f t="shared" si="20"/>
        <v>-</v>
      </c>
      <c r="BC42" s="236" t="str">
        <f t="shared" si="21"/>
        <v>|</v>
      </c>
      <c r="BD42" s="237" t="str">
        <f t="shared" si="22"/>
        <v>|</v>
      </c>
      <c r="BE42" s="236" t="str">
        <f t="shared" si="23"/>
        <v>-</v>
      </c>
      <c r="BF42" s="237" t="str">
        <f t="shared" si="24"/>
        <v>|</v>
      </c>
      <c r="BG42" s="236" t="str">
        <f t="shared" si="25"/>
        <v>-</v>
      </c>
      <c r="BH42" s="238" t="str">
        <f t="shared" si="26"/>
        <v>|</v>
      </c>
      <c r="BI42" s="250" t="str">
        <f>IFERROR(__xludf.DUMMYFUNCTION("SUBSTITUTE(SUBSTITUTE(CONCATENATE(JOIN("""",AV42:BG42)),""|"",""x""),""-"",""o"")"),"xoxxoxoxxoxo")</f>
        <v>xoxxoxoxxoxo</v>
      </c>
      <c r="BJ42" s="323" t="str">
        <f>IFERROR(__xludf.DUMMYFUNCTION("JOIN("""",BI42,BI42)"),"xoxxoxoxxoxoxoxxoxoxxoxo")</f>
        <v>xoxxoxoxxoxoxoxxoxoxxoxo</v>
      </c>
      <c r="BK42" s="256" t="str">
        <f>IFERROR(__xludf.DUMMYFUNCTION("JOIN("""",ArrayFormula(MID(BI42,LEN(BI42)-SEQUENCE(1,LEN(BI42))+1,1)))"),"oxoxxoxoxxox")</f>
        <v>oxoxxoxoxxox</v>
      </c>
      <c r="BL42" s="256" t="str">
        <f>IFERROR(__xludf.DUMMYFUNCTION("LEFT(CONCATENATE(""x"",JOIN("""",ArrayFormula(MID(BI42,LEN(BI42)-SEQUENCE(1,LEN(BI42))+1,1)))),12)"),"xoxoxxoxoxxo")</f>
        <v>xoxoxxoxoxxo</v>
      </c>
      <c r="BM42" s="327" t="str">
        <f>IFERROR(__xludf.DUMMYFUNCTION("JOIN("""",BK42,BK42)"),"oxoxxoxoxxoxoxoxxoxoxxox")</f>
        <v>oxoxxoxoxxoxoxoxxoxoxxox</v>
      </c>
      <c r="BN42" s="239" t="str">
        <f>IFERROR(__xludf.DUMMYFUNCTION("IF(REGEXMATCH(BM42,BI42),""✔"",""-"")"),"✔")</f>
        <v>✔</v>
      </c>
      <c r="BO42" s="330" t="str">
        <f t="shared" si="27"/>
        <v>-</v>
      </c>
      <c r="BP42" s="260" t="str">
        <f t="shared" si="28"/>
        <v>-</v>
      </c>
      <c r="BQ42" s="261" t="str">
        <f>IFERROR(__xludf.DUMMYFUNCTION("IF(BT42=0,""(n/a)"",IF(BU42=2,""(PAIR)"",IF(REGEXMATCH(BJ42,""xoxoxxoxoxox""),""Bilawal"",IF(REGEXMATCH(BJ42,""xoxoxooxoxoo""),""Bhupali"",IF(REGEXMATCH(BJ42,""xoxoxxoxxoxo""),""Charukeshi"",IF(REGEXMATCH(BJ42,""xoxoooxxoxxo""),""Kameshwari"",IF(REGEXMATC"&amp;"H(BJ42,""xoxoxooxoxox""),""Shankara"",IF(REGEXMATCH(BJ42,""xxooxoxxxoox""),""Basant"",IF(REGEXMATCH(BJ42,""xoxoxxxxoxox""),""Bihag"",IF(REGEXMATCH(BJ42,""xoxxxxoxoxxx""),""Pilu"",IF(REGEXMATCH(BJ42,""xoxxoxoxxoox""),""Kirwani"",IF(REGEXMATCH(BJ42,""xoxxox"&amp;"oxoxxx""),""Mk.Malhar"",IF(REGEXMATCH(BJ42,""xxooxxoxxoox""),""Bhairav"",IF(REGEXMATCH(BJ42,""xxoxooxxxoox""),""Todi"",IF(REGEXMATCH(BJ42,""xxooxoxooxox""),""Marwa"",IF(REGEXMATCH(BJ42,""xxoooxoxxooo""),""Gunkali"",IF(REGEXMATCH(BJ42,""xoxoxxoxxoox""),""N"&amp;"at Bhairav"",IF(REGEXMATCH(BJ42,""xoxxoooxoxoo""),""Shivranjani"",IF(REGEXMATCH(BJ42,""xooxxxoxooxo""),""Jog"",IF(REGEXMATCH(BJ42,""xxooxoxoxoox""),""Hemshri"",IF(REGEXMATCH(BJ42,""xoooxooxoxxo""),""Kalavati"",IF(REGEXMATCH(BJ42,""xxoxoxxoxoox""),""Kedar"&amp;""",IF(REGEXMATCH(BJ42,""xoxxxxoxooxx""),""Gara"",IF(REGEXMATCH(BJ42,""xooxoxooxoox""),""Chandrakauns"",IF(REGEXMATCH(BJ42,""xoxxxxoxxxox""),""Mand"",IF(REGEXMATCH(BJ42,""xoxxxxoxoxox""),""Hanskinkini"",IF(REGEXMATCH(BJ42,""xxooxxoxooxo""),""Lilavati"",IF("&amp;"REGEXMATCH(BJ42,""xooxoxoooxox""),""Rajeshwari"",IF(REGEXMATCH(BJ42,""xoooxxoxoxxx""),""Khokar"",IF(REGEXMATCH(BJ42,""xxooxoxxxxox""),""Maligoura"",""-""))))))))))))))))))))))))))))))"),"Bilawal")</f>
        <v>Bilawal</v>
      </c>
      <c r="BR42" s="239">
        <f t="shared" si="29"/>
        <v>6</v>
      </c>
      <c r="BS42" s="239">
        <f>IFERROR(__xludf.DUMMYFUNCTION("COUNTUNIQUE(BW42:CG42)-1"),6.0)</f>
        <v>6</v>
      </c>
      <c r="BT42" s="239">
        <f>IFERROR(__xludf.DUMMYFUNCTION("COUNTUNIQUE(FILTER(BJ:BJ,REGEXMATCH(BJ:BJ,BI42)))-1"),1.0)</f>
        <v>1</v>
      </c>
      <c r="BU42" s="239">
        <f>IFERROR(__xludf.DUMMYFUNCTION("COUNTA(FILTER(BJ:BJ,REGEXMATCH(BJ:BJ,BI42)))"),4.0)</f>
        <v>4</v>
      </c>
      <c r="BV42" s="341">
        <f>IFERROR(__xludf.DUMMYFUNCTION("COUNTA(FILTER(BJ:BJ,REGEXMATCH(BJ:BJ,BI42)))-AU42"),2.0)</f>
        <v>2</v>
      </c>
      <c r="BW42" s="269" t="str">
        <f t="shared" si="30"/>
        <v>-</v>
      </c>
      <c r="BX42" s="269" t="str">
        <f t="shared" si="31"/>
        <v>xxoxoxxoxox</v>
      </c>
      <c r="BY42" s="271" t="str">
        <f t="shared" si="32"/>
        <v>xoxoxxoxoxo</v>
      </c>
      <c r="BZ42" s="269" t="str">
        <f t="shared" si="33"/>
        <v>-</v>
      </c>
      <c r="CA42" s="271" t="str">
        <f t="shared" si="34"/>
        <v>xoxxoxoxoxx</v>
      </c>
      <c r="CB42" s="271" t="str">
        <f t="shared" si="35"/>
        <v>-</v>
      </c>
      <c r="CC42" s="271" t="str">
        <f t="shared" si="36"/>
        <v>xxoxoxoxxox</v>
      </c>
      <c r="CD42" s="271" t="str">
        <f t="shared" si="37"/>
        <v>xoxoxoxxoxo</v>
      </c>
      <c r="CE42" s="271" t="str">
        <f t="shared" si="38"/>
        <v>-</v>
      </c>
      <c r="CF42" s="271" t="str">
        <f t="shared" si="39"/>
        <v>xoxoxxoxoxx</v>
      </c>
      <c r="CG42" s="274" t="str">
        <f t="shared" si="40"/>
        <v>-</v>
      </c>
      <c r="CH42" s="276" t="str">
        <f>IFERROR(__xludf.DUMMYFUNCTION("IF(BI42=""oooooooooooo"",""-"",IF(REGEXMATCH(BJ42,""xx""), ""Hemi."", ""Anhemi.""))"),"Hemi.")</f>
        <v>Hemi.</v>
      </c>
      <c r="CI42" s="282" t="str">
        <f>IFERROR(__xludf.DUMMYFUNCTION("IF(BI42=""oooooooooooo"",""-"",IF(REGEXMATCH(BJ42,""xxx""), ""Cohem."", ""-""))"),"-")</f>
        <v>-</v>
      </c>
      <c r="CJ42" s="282" t="str">
        <f>IFERROR(__xludf.DUMMYFUNCTION("IF(BI42=""oooooooooooo"",""-"",IF(REGEXMATCH(BJ42,""xxxx""), ""Co-Co."", ""-""))"),"-")</f>
        <v>-</v>
      </c>
      <c r="CK42" s="342" t="str">
        <f>IFERROR(__xludf.DUMMYFUNCTION("IF(BI42=""oooooooooooo"",""-"",IF(REGEXMATCH(BJ42,""xxxxx""), ""CCC."", ""-""))"),"-")</f>
        <v>-</v>
      </c>
      <c r="CL42" s="344" t="str">
        <f t="shared" si="41"/>
        <v>Asavari</v>
      </c>
      <c r="CM42" s="282" t="str">
        <f>IFERROR(__xludf.DUMMYFUNCTION("IF(REGEXMATCH(JOIN(""-"",CO42:CX42),""TRUE""),""✔"",""-"")"),"✔")</f>
        <v>✔</v>
      </c>
      <c r="CN42" s="225">
        <f t="shared" si="42"/>
        <v>1</v>
      </c>
      <c r="CO42" s="376" t="b">
        <f>IFERROR(__xludf.DUMMYFUNCTION("arrayformula(sum(--REGEXMATCH(""SRGMPDNS"",split(REGEXREPLACE(N42,""(.)"",""$1~""),""~""))))=len(N42)
"),FALSE)</f>
        <v>0</v>
      </c>
      <c r="CP42" s="290" t="b">
        <f>IFERROR(__xludf.DUMMYFUNCTION("arrayformula(sum(--REGEXMATCH(""SRGmPDNS"",split(REGEXREPLACE(N42,""(.)"",""$1~""),""~""))))=len(N42)"),FALSE)</f>
        <v>0</v>
      </c>
      <c r="CQ42" s="290" t="b">
        <f>IFERROR(__xludf.DUMMYFUNCTION("arrayformula(sum(--REGEXMATCH(""SRGmPDnS"",split(REGEXREPLACE(N42,""(.)"",""$1~""),""~""))))=len(N42)"),FALSE)</f>
        <v>0</v>
      </c>
      <c r="CR42" s="290" t="b">
        <f>IFERROR(__xludf.DUMMYFUNCTION("arrayformula(sum(--REGEXMATCH(""SRgmPDnS"",split(REGEXREPLACE(N42,""(.)"",""$1~""),""~""))))=len(N42)"),FALSE)</f>
        <v>0</v>
      </c>
      <c r="CS42" s="290" t="b">
        <f>IFERROR(__xludf.DUMMYFUNCTION("arrayformula(sum(--REGEXMATCH(""SRgmPdnS"",split(REGEXREPLACE(N42,""(.)"",""$1~""),""~""))))=len(N42)"),TRUE)</f>
        <v>1</v>
      </c>
      <c r="CT42" s="290" t="b">
        <f>IFERROR(__xludf.DUMMYFUNCTION("arrayformula(sum(--REGEXMATCH(""SrgmPdnS"",split(REGEXREPLACE(N42,""(.)"",""$1~""),""~""))))=len(N42)"),FALSE)</f>
        <v>0</v>
      </c>
      <c r="CU42" s="290" t="b">
        <f>IFERROR(__xludf.DUMMYFUNCTION("arrayformula(sum(--REGEXMATCH(""SrGmPdNS"",split(REGEXREPLACE(N42,""(.)"",""$1~""),""~""))))=len(N42)"),FALSE)</f>
        <v>0</v>
      </c>
      <c r="CV42" s="290" t="b">
        <f>IFERROR(__xludf.DUMMYFUNCTION("arrayformula(sum(--REGEXMATCH(""SrGMPDNS"",split(REGEXREPLACE(N42,""(.)"",""$1~""),""~""))))=len(N42)"),FALSE)</f>
        <v>0</v>
      </c>
      <c r="CW42" s="290" t="b">
        <f>IFERROR(__xludf.DUMMYFUNCTION("arrayformula(sum(--REGEXMATCH(""SrGMPdNS"",split(REGEXREPLACE(N42,""(.)"",""$1~""),""~""))))=len(N42)"),FALSE)</f>
        <v>0</v>
      </c>
      <c r="CX42" s="293" t="b">
        <f>IFERROR(__xludf.DUMMYFUNCTION("arrayformula(sum(--REGEXMATCH(""SrgMPdNS"",split(REGEXREPLACE(N42,""(.)"",""$1~""),""~""))))=len(N42)"),FALSE)</f>
        <v>0</v>
      </c>
      <c r="CY42" s="244" t="str">
        <f>IFERROR(__xludf.DUMMYFUNCTION("IF(REGEXMATCH(N42, ""S""), ""1"","""")"),"1")</f>
        <v>1</v>
      </c>
      <c r="CZ42" s="245" t="str">
        <f>IFERROR(__xludf.DUMMYFUNCTION("IF(REGEXMATCH(N42, ""r""), ""b2"","""")"),"")</f>
        <v/>
      </c>
      <c r="DA42" s="246" t="str">
        <f>IFERROR(__xludf.DUMMYFUNCTION("IF(REGEXMATCH(N42, ""R""), ""2"","""")"),"2")</f>
        <v>2</v>
      </c>
      <c r="DB42" s="246" t="str">
        <f>IFERROR(__xludf.DUMMYFUNCTION("IF(REGEXMATCH(N42, ""g""), ""b3"","""")"),"b3")</f>
        <v>b3</v>
      </c>
      <c r="DC42" s="245" t="str">
        <f>IFERROR(__xludf.DUMMYFUNCTION("IF(REGEXMATCH(N42, ""G""), ""3"","""")"),"")</f>
        <v/>
      </c>
      <c r="DD42" s="245" t="str">
        <f>IFERROR(__xludf.DUMMYFUNCTION("IF(REGEXMATCH(N42, ""m""), ""4"","""")"),"4")</f>
        <v>4</v>
      </c>
      <c r="DE42" s="246" t="str">
        <f>IFERROR(__xludf.DUMMYFUNCTION("IF(REGEXMATCH(N42, ""M""), ""#4"","""")"),"")</f>
        <v/>
      </c>
      <c r="DF42" s="245" t="str">
        <f>IFERROR(__xludf.DUMMYFUNCTION("IF(REGEXMATCH(N42, ""P""), ""5"","""")"),"5")</f>
        <v>5</v>
      </c>
      <c r="DG42" s="246" t="str">
        <f>IFERROR(__xludf.DUMMYFUNCTION("IF(REGEXMATCH(N42, ""d""), ""b6"","""")"),"b6")</f>
        <v>b6</v>
      </c>
      <c r="DH42" s="245" t="str">
        <f>IFERROR(__xludf.DUMMYFUNCTION("IF(REGEXMATCH(N42, ""D""), ""6"","""")"),"")</f>
        <v/>
      </c>
      <c r="DI42" s="245" t="str">
        <f>IFERROR(__xludf.DUMMYFUNCTION("IF(REGEXMATCH(N42, ""n""), ""b7"","""")"),"b7")</f>
        <v>b7</v>
      </c>
      <c r="DJ42" s="246" t="str">
        <f>IFERROR(__xludf.DUMMYFUNCTION("IF(REGEXMATCH(N42, ""N""), ""7"","""")"),"")</f>
        <v/>
      </c>
      <c r="DK42" s="249" t="str">
        <f>IFERROR(__xludf.DUMMYFUNCTION("IF(REGEXMATCH(N42, ""S""), ""8"","""")"),"8")</f>
        <v>8</v>
      </c>
      <c r="DL42" s="244" t="str">
        <f>IFERROR(__xludf.DUMMYFUNCTION("IF(REGEXMATCH(N42, ""S""), ""S"","""")"),"S")</f>
        <v>S</v>
      </c>
      <c r="DM42" s="294" t="str">
        <f>IFERROR(__xludf.DUMMYFUNCTION("IF(REGEXMATCH(N42, ""r""), ""R1"","""")"),"")</f>
        <v/>
      </c>
      <c r="DN42" s="295" t="str">
        <f>IFERROR(__xludf.DUMMYFUNCTION("IF(REGEXMATCH(N42, ""R""), ""R2"","""")"),"R2")</f>
        <v>R2</v>
      </c>
      <c r="DO42" s="295" t="str">
        <f>IFERROR(__xludf.DUMMYFUNCTION("IF(REGEXMATCH(N42, ""g""), ""G2"","""")"),"G2")</f>
        <v>G2</v>
      </c>
      <c r="DP42" s="294" t="str">
        <f>IFERROR(__xludf.DUMMYFUNCTION("IF(REGEXMATCH(N42, ""G""), ""G3"","""")"),"")</f>
        <v/>
      </c>
      <c r="DQ42" s="294" t="str">
        <f>IFERROR(__xludf.DUMMYFUNCTION("IF(REGEXMATCH(N42, ""m""), ""M1"","""")"),"M1")</f>
        <v>M1</v>
      </c>
      <c r="DR42" s="295" t="str">
        <f>IFERROR(__xludf.DUMMYFUNCTION("IF(REGEXMATCH(N42, ""M""), ""M2"","""")"),"")</f>
        <v/>
      </c>
      <c r="DS42" s="294" t="str">
        <f>IFERROR(__xludf.DUMMYFUNCTION("IF(REGEXMATCH(N42, ""P""), ""P"","""")"),"P")</f>
        <v>P</v>
      </c>
      <c r="DT42" s="295" t="str">
        <f>IFERROR(__xludf.DUMMYFUNCTION("IF(REGEXMATCH(N42, ""d""), ""D1"","""")"),"D1")</f>
        <v>D1</v>
      </c>
      <c r="DU42" s="294" t="str">
        <f>IFERROR(__xludf.DUMMYFUNCTION("IF(REGEXMATCH(N42, ""D""), ""D2"","""")"),"")</f>
        <v/>
      </c>
      <c r="DV42" s="294" t="str">
        <f>IFERROR(__xludf.DUMMYFUNCTION("IF(REGEXMATCH(N42, ""n""), ""N2"","""")"),"N2")</f>
        <v>N2</v>
      </c>
      <c r="DW42" s="295" t="str">
        <f>IFERROR(__xludf.DUMMYFUNCTION("IF(REGEXMATCH(N42, ""N""), ""N3"","""")"),"")</f>
        <v/>
      </c>
      <c r="DX42" s="249" t="str">
        <f>IFERROR(__xludf.DUMMYFUNCTION("IF(REGEXMATCH(N42, ""S""), ""S"","""")"),"S")</f>
        <v>S</v>
      </c>
      <c r="DY42" s="299" t="str">
        <f>IFERROR(__xludf.DUMMYFUNCTION("SUBSTITUTE(SUBSTITUTE(SUBSTITUTE(SUBSTITUTE(CONCATENATE(JOIN(""-"",CY42:DK42)),""--"",""-""),""--"",""-""),""--"",""-""),""--"",""-"")"),"1-2-b3-4-5-b6-b7-8")</f>
        <v>1-2-b3-4-5-b6-b7-8</v>
      </c>
      <c r="DZ42" s="299" t="str">
        <f>IFERROR(__xludf.DUMMYFUNCTION("SUBSTITUTE(SUBSTITUTE(SUBSTITUTE(SUBSTITUTE(CONCATENATE(JOIN(""-"",DL42:DX42)),""--"",""-""),""--"",""-""),""--"",""-""),""--"",""-"")"),"S-R2-G2-M1-P-D1-N2-S")</f>
        <v>S-R2-G2-M1-P-D1-N2-S</v>
      </c>
      <c r="EA42" s="348" t="str">
        <f t="shared" si="43"/>
        <v>C-D-Eb-F-G-Ab-Bb-C</v>
      </c>
      <c r="EB42" s="301">
        <f t="shared" si="44"/>
        <v>7</v>
      </c>
      <c r="EC42" s="302" t="str">
        <f t="shared" si="45"/>
        <v>Sampurna</v>
      </c>
      <c r="ED42" s="301" t="str">
        <f t="shared" ref="ED42:EE42" si="208">SUBSTITUTE(AD42,"-","")</f>
        <v>SRGM</v>
      </c>
      <c r="EE42" s="301" t="str">
        <f t="shared" si="208"/>
        <v>PDNS</v>
      </c>
      <c r="EF42" s="302" t="str">
        <f t="shared" si="47"/>
        <v>Bilawal</v>
      </c>
      <c r="EG42" s="301" t="str">
        <f t="shared" si="48"/>
        <v>Hemi.</v>
      </c>
      <c r="EH42" s="364" t="str">
        <f t="shared" si="49"/>
        <v>-</v>
      </c>
      <c r="EI42" s="306" t="str">
        <f t="shared" si="50"/>
        <v>Asavari</v>
      </c>
      <c r="EJ42" s="366" t="str">
        <f t="shared" si="51"/>
        <v>-</v>
      </c>
      <c r="EK42" s="308" t="str">
        <f t="shared" si="52"/>
        <v>-</v>
      </c>
      <c r="EL42" s="306" t="str">
        <f t="shared" si="53"/>
        <v>-</v>
      </c>
      <c r="EM42" s="306" t="str">
        <f t="shared" si="54"/>
        <v>-</v>
      </c>
      <c r="EN42" s="367" t="str">
        <f t="shared" si="55"/>
        <v>-</v>
      </c>
      <c r="EO42" s="310" t="str">
        <f t="shared" si="56"/>
        <v>-</v>
      </c>
      <c r="EP42" s="310" t="str">
        <f t="shared" si="57"/>
        <v>-</v>
      </c>
      <c r="EQ42" s="310" t="str">
        <f t="shared" si="58"/>
        <v>-</v>
      </c>
      <c r="ER42" s="310" t="str">
        <f t="shared" si="59"/>
        <v>-</v>
      </c>
      <c r="ES42" s="370" t="str">
        <f t="shared" si="60"/>
        <v>-</v>
      </c>
      <c r="ET42" s="306" t="str">
        <f t="shared" si="61"/>
        <v>-</v>
      </c>
      <c r="EU42" s="306" t="str">
        <f t="shared" si="62"/>
        <v>-</v>
      </c>
      <c r="EV42" s="306" t="str">
        <f t="shared" si="63"/>
        <v>-</v>
      </c>
      <c r="EW42" s="306" t="str">
        <f t="shared" si="64"/>
        <v>-</v>
      </c>
      <c r="EX42" s="306" t="str">
        <f t="shared" si="65"/>
        <v>-</v>
      </c>
      <c r="EY42" s="367" t="str">
        <f t="shared" si="66"/>
        <v>-</v>
      </c>
      <c r="EZ42" s="310" t="str">
        <f>IFERROR(__xludf.DUMMYFUNCTION("IF(REGEXMATCH(BM42,BI42),""✔"",""-"")"),"✔")</f>
        <v>✔</v>
      </c>
      <c r="FA42" s="310" t="str">
        <f t="shared" si="67"/>
        <v>-</v>
      </c>
      <c r="FB42" s="370" t="str">
        <f t="shared" si="68"/>
        <v>-</v>
      </c>
      <c r="FC42" s="415">
        <f t="shared" si="69"/>
        <v>2</v>
      </c>
      <c r="FD42" s="317" t="str">
        <f t="shared" si="70"/>
        <v>S-R-g-m-P-d-n-S</v>
      </c>
      <c r="FE42" s="318" t="str">
        <f>IFERROR(__xludf.DUMMYFUNCTION("CONCATENATE(JOIN("""",GJ42:GV42))"),"SRGmPDnS")</f>
        <v>SRGmPDnS</v>
      </c>
      <c r="FF42" s="318"/>
      <c r="FG42" s="318"/>
      <c r="FH42" s="321">
        <f t="shared" si="71"/>
        <v>1</v>
      </c>
      <c r="FI42" s="318" t="str">
        <f>IFERROR(__xludf.DUMMYFUNCTION("CONCATENATE(JOIN("""",HW42:II42))"),"Re, ")</f>
        <v>Re, </v>
      </c>
      <c r="FJ42" s="322">
        <f t="shared" si="72"/>
        <v>0</v>
      </c>
      <c r="FK42" s="324" t="str">
        <f>IFERROR(__xludf.DUMMYFUNCTION("CONCATENATE(JOIN("""",IW42:JI42))"),"")</f>
        <v/>
      </c>
      <c r="FL42" s="325" t="str">
        <f t="shared" si="73"/>
        <v>S-R2-G2-M1-P-D1-N2-S</v>
      </c>
      <c r="FM42" s="326" t="str">
        <f t="shared" si="74"/>
        <v>1-2-b3-4-5-b6-b7-8</v>
      </c>
      <c r="FN42" s="326" t="str">
        <f t="shared" si="75"/>
        <v>0-2-3-5-7-8-10-0</v>
      </c>
      <c r="FO42" s="318"/>
      <c r="FP42" s="328" t="str">
        <f>IFERROR(__xludf.DUMMYFUNCTION("SUBSTITUTE(SUBSTITUTE(SUBSTITUTE(SUBSTITUTE(CONCATENATE(JOIN("" "",FS42:GE42)),""  "","" ""),""  "","" ""),""  "","" ""),""  "","" "")"),"o • o o • o • o o • o • o")</f>
        <v>o • o o • o • o o • o • o</v>
      </c>
      <c r="FQ42" s="328" t="str">
        <f t="shared" si="76"/>
        <v>-</v>
      </c>
      <c r="FR42" s="329"/>
      <c r="FS42" s="331" t="str">
        <f t="shared" si="77"/>
        <v>o</v>
      </c>
      <c r="FT42" s="332" t="str">
        <f t="shared" si="78"/>
        <v>•</v>
      </c>
      <c r="FU42" s="332" t="str">
        <f t="shared" si="79"/>
        <v>o</v>
      </c>
      <c r="FV42" s="332" t="str">
        <f t="shared" si="80"/>
        <v>o</v>
      </c>
      <c r="FW42" s="332" t="str">
        <f t="shared" si="81"/>
        <v>•</v>
      </c>
      <c r="FX42" s="332" t="str">
        <f t="shared" si="82"/>
        <v>o</v>
      </c>
      <c r="FY42" s="332" t="str">
        <f t="shared" si="83"/>
        <v>•</v>
      </c>
      <c r="FZ42" s="332" t="str">
        <f t="shared" si="84"/>
        <v>o</v>
      </c>
      <c r="GA42" s="332" t="str">
        <f t="shared" si="85"/>
        <v>o</v>
      </c>
      <c r="GB42" s="332" t="str">
        <f t="shared" si="86"/>
        <v>•</v>
      </c>
      <c r="GC42" s="332" t="str">
        <f t="shared" si="87"/>
        <v>o</v>
      </c>
      <c r="GD42" s="332" t="str">
        <f t="shared" si="88"/>
        <v>•</v>
      </c>
      <c r="GE42" s="338" t="str">
        <f t="shared" si="89"/>
        <v>o</v>
      </c>
      <c r="GF42" s="339" t="str">
        <f t="shared" si="90"/>
        <v>-</v>
      </c>
      <c r="GG42" s="339" t="str">
        <f t="shared" si="91"/>
        <v>Sa-Pa</v>
      </c>
      <c r="GH42" s="339" t="str">
        <f t="shared" si="92"/>
        <v>-</v>
      </c>
      <c r="GI42" s="340" t="str">
        <f t="shared" si="93"/>
        <v>-</v>
      </c>
      <c r="GJ42" s="331" t="str">
        <f t="shared" si="94"/>
        <v>S</v>
      </c>
      <c r="GK42" s="332" t="str">
        <f t="shared" si="95"/>
        <v/>
      </c>
      <c r="GL42" s="332" t="str">
        <f t="shared" si="96"/>
        <v>R</v>
      </c>
      <c r="GM42" s="332" t="str">
        <f t="shared" si="97"/>
        <v/>
      </c>
      <c r="GN42" s="332" t="str">
        <f t="shared" si="98"/>
        <v>G</v>
      </c>
      <c r="GO42" s="332" t="str">
        <f t="shared" si="99"/>
        <v>m</v>
      </c>
      <c r="GP42" s="332" t="str">
        <f t="shared" si="100"/>
        <v/>
      </c>
      <c r="GQ42" s="332" t="str">
        <f t="shared" si="101"/>
        <v>P</v>
      </c>
      <c r="GR42" s="332" t="str">
        <f t="shared" si="102"/>
        <v/>
      </c>
      <c r="GS42" s="332" t="str">
        <f t="shared" si="103"/>
        <v>D</v>
      </c>
      <c r="GT42" s="332" t="str">
        <f t="shared" si="104"/>
        <v>n</v>
      </c>
      <c r="GU42" s="332" t="str">
        <f t="shared" si="105"/>
        <v/>
      </c>
      <c r="GV42" s="343" t="str">
        <f t="shared" si="106"/>
        <v>S</v>
      </c>
      <c r="GW42" s="331" t="str">
        <f t="shared" si="107"/>
        <v>•</v>
      </c>
      <c r="GX42" s="332" t="str">
        <f t="shared" si="108"/>
        <v>o</v>
      </c>
      <c r="GY42" s="332" t="str">
        <f t="shared" si="109"/>
        <v>•</v>
      </c>
      <c r="GZ42" s="332" t="str">
        <f t="shared" si="110"/>
        <v>•</v>
      </c>
      <c r="HA42" s="332" t="str">
        <f t="shared" si="111"/>
        <v>o</v>
      </c>
      <c r="HB42" s="332" t="str">
        <f t="shared" si="112"/>
        <v>•</v>
      </c>
      <c r="HC42" s="332" t="str">
        <f t="shared" si="113"/>
        <v>o</v>
      </c>
      <c r="HD42" s="332" t="str">
        <f t="shared" si="114"/>
        <v>•</v>
      </c>
      <c r="HE42" s="332" t="str">
        <f t="shared" si="115"/>
        <v>•</v>
      </c>
      <c r="HF42" s="332" t="str">
        <f t="shared" si="116"/>
        <v>o</v>
      </c>
      <c r="HG42" s="332" t="str">
        <f t="shared" si="117"/>
        <v>•</v>
      </c>
      <c r="HH42" s="332" t="str">
        <f t="shared" si="118"/>
        <v>o</v>
      </c>
      <c r="HI42" s="338" t="str">
        <f t="shared" si="119"/>
        <v>•</v>
      </c>
      <c r="HJ42" s="346" t="b">
        <f t="shared" si="120"/>
        <v>0</v>
      </c>
      <c r="HK42" s="347" t="b">
        <f t="shared" si="121"/>
        <v>0</v>
      </c>
      <c r="HL42" s="347" t="b">
        <f t="shared" si="122"/>
        <v>1</v>
      </c>
      <c r="HM42" s="347" t="b">
        <f t="shared" si="123"/>
        <v>0</v>
      </c>
      <c r="HN42" s="347" t="b">
        <f t="shared" si="124"/>
        <v>0</v>
      </c>
      <c r="HO42" s="347" t="b">
        <f t="shared" si="125"/>
        <v>0</v>
      </c>
      <c r="HP42" s="347" t="b">
        <f t="shared" si="126"/>
        <v>0</v>
      </c>
      <c r="HQ42" s="347" t="b">
        <f t="shared" si="127"/>
        <v>0</v>
      </c>
      <c r="HR42" s="347" t="b">
        <f t="shared" si="128"/>
        <v>0</v>
      </c>
      <c r="HS42" s="347" t="b">
        <f t="shared" si="129"/>
        <v>0</v>
      </c>
      <c r="HT42" s="347" t="b">
        <f t="shared" si="130"/>
        <v>0</v>
      </c>
      <c r="HU42" s="347" t="b">
        <f t="shared" si="131"/>
        <v>0</v>
      </c>
      <c r="HV42" s="353" t="b">
        <f t="shared" si="132"/>
        <v>0</v>
      </c>
      <c r="HW42" s="354" t="str">
        <f t="shared" si="133"/>
        <v/>
      </c>
      <c r="HX42" s="355" t="str">
        <f t="shared" si="134"/>
        <v/>
      </c>
      <c r="HY42" s="355" t="str">
        <f t="shared" si="135"/>
        <v>Re, </v>
      </c>
      <c r="HZ42" s="355" t="str">
        <f t="shared" si="136"/>
        <v/>
      </c>
      <c r="IA42" s="355" t="str">
        <f t="shared" si="137"/>
        <v/>
      </c>
      <c r="IB42" s="355" t="str">
        <f t="shared" si="138"/>
        <v/>
      </c>
      <c r="IC42" s="355" t="str">
        <f t="shared" si="139"/>
        <v/>
      </c>
      <c r="ID42" s="355" t="str">
        <f t="shared" si="140"/>
        <v/>
      </c>
      <c r="IE42" s="355" t="str">
        <f t="shared" si="141"/>
        <v/>
      </c>
      <c r="IF42" s="355" t="str">
        <f t="shared" si="142"/>
        <v/>
      </c>
      <c r="IG42" s="355" t="str">
        <f t="shared" si="143"/>
        <v/>
      </c>
      <c r="IH42" s="355" t="str">
        <f t="shared" si="144"/>
        <v/>
      </c>
      <c r="II42" s="359" t="str">
        <f t="shared" si="145"/>
        <v/>
      </c>
      <c r="IJ42" s="346" t="b">
        <f t="shared" si="146"/>
        <v>0</v>
      </c>
      <c r="IK42" s="347" t="b">
        <f t="shared" si="147"/>
        <v>0</v>
      </c>
      <c r="IL42" s="347" t="b">
        <f t="shared" si="148"/>
        <v>0</v>
      </c>
      <c r="IM42" s="347" t="b">
        <f t="shared" si="149"/>
        <v>0</v>
      </c>
      <c r="IN42" s="347" t="b">
        <f t="shared" si="150"/>
        <v>0</v>
      </c>
      <c r="IO42" s="347" t="b">
        <f t="shared" si="151"/>
        <v>0</v>
      </c>
      <c r="IP42" s="347" t="b">
        <f t="shared" si="152"/>
        <v>0</v>
      </c>
      <c r="IQ42" s="347" t="b">
        <f t="shared" si="153"/>
        <v>0</v>
      </c>
      <c r="IR42" s="347" t="b">
        <f t="shared" si="154"/>
        <v>0</v>
      </c>
      <c r="IS42" s="347" t="b">
        <f t="shared" si="155"/>
        <v>0</v>
      </c>
      <c r="IT42" s="347" t="b">
        <f t="shared" si="156"/>
        <v>0</v>
      </c>
      <c r="IU42" s="347" t="b">
        <f t="shared" si="157"/>
        <v>0</v>
      </c>
      <c r="IV42" s="365" t="b">
        <f t="shared" si="158"/>
        <v>0</v>
      </c>
      <c r="IW42" s="354" t="str">
        <f t="shared" si="159"/>
        <v/>
      </c>
      <c r="IX42" s="355" t="str">
        <f t="shared" si="160"/>
        <v/>
      </c>
      <c r="IY42" s="355" t="str">
        <f t="shared" si="161"/>
        <v/>
      </c>
      <c r="IZ42" s="355" t="str">
        <f t="shared" si="162"/>
        <v/>
      </c>
      <c r="JA42" s="355" t="str">
        <f t="shared" si="163"/>
        <v/>
      </c>
      <c r="JB42" s="355" t="str">
        <f t="shared" si="164"/>
        <v/>
      </c>
      <c r="JC42" s="355" t="str">
        <f t="shared" si="165"/>
        <v/>
      </c>
      <c r="JD42" s="355" t="str">
        <f t="shared" si="166"/>
        <v/>
      </c>
      <c r="JE42" s="355" t="str">
        <f t="shared" si="167"/>
        <v/>
      </c>
      <c r="JF42" s="355" t="str">
        <f t="shared" si="168"/>
        <v/>
      </c>
      <c r="JG42" s="355" t="str">
        <f t="shared" si="169"/>
        <v/>
      </c>
      <c r="JH42" s="355" t="str">
        <f t="shared" si="170"/>
        <v/>
      </c>
      <c r="JI42" s="359"/>
      <c r="JJ42" s="321"/>
      <c r="JK42" s="368"/>
      <c r="JL42" s="369"/>
      <c r="JM42" s="369"/>
      <c r="JN42" s="369"/>
      <c r="JO42" s="369"/>
      <c r="JP42" s="369"/>
      <c r="JQ42" s="369"/>
      <c r="JR42" s="369"/>
      <c r="JS42" s="369"/>
      <c r="JT42" s="369"/>
      <c r="JU42" s="369"/>
    </row>
    <row r="43" ht="20.25" customHeight="1">
      <c r="A43" s="221" t="s">
        <v>1313</v>
      </c>
      <c r="B43" s="223" t="s">
        <v>938</v>
      </c>
      <c r="C43" s="222" t="s">
        <v>275</v>
      </c>
      <c r="D43" s="222"/>
      <c r="E43" s="222" t="s">
        <v>275</v>
      </c>
      <c r="F43" s="222"/>
      <c r="G43" s="395" t="s">
        <v>275</v>
      </c>
      <c r="H43" s="222">
        <v>41.0</v>
      </c>
      <c r="I43" s="224" t="s">
        <v>1219</v>
      </c>
      <c r="J43" s="414">
        <f t="shared" si="5"/>
        <v>2</v>
      </c>
      <c r="K43" s="227">
        <f t="shared" si="6"/>
        <v>6</v>
      </c>
      <c r="L43" s="229">
        <f t="shared" si="7"/>
        <v>5</v>
      </c>
      <c r="M43" s="230">
        <f t="shared" si="8"/>
        <v>1</v>
      </c>
      <c r="N43" s="233" t="str">
        <f t="shared" si="9"/>
        <v>SgGmdnS</v>
      </c>
      <c r="O43" s="234" t="str">
        <f>IFERROR(__xludf.DUMMYFUNCTION("IF(REGEXMATCH(N43, ""S""), ""S"","""")"),"S")</f>
        <v>S</v>
      </c>
      <c r="P43" s="236" t="str">
        <f>IFERROR(__xludf.DUMMYFUNCTION("IF(REGEXMATCH(N43, ""r""), ""r"","""")"),"")</f>
        <v/>
      </c>
      <c r="Q43" s="237" t="str">
        <f>IFERROR(__xludf.DUMMYFUNCTION("IF(REGEXMATCH(N43, ""R""), ""R"","""")"),"")</f>
        <v/>
      </c>
      <c r="R43" s="237" t="str">
        <f>IFERROR(__xludf.DUMMYFUNCTION("IF(REGEXMATCH(N43, ""g""), ""g"","""")"),"g")</f>
        <v>g</v>
      </c>
      <c r="S43" s="236" t="str">
        <f>IFERROR(__xludf.DUMMYFUNCTION("IF(REGEXMATCH(N43, ""G""), ""G"","""")"),"G")</f>
        <v>G</v>
      </c>
      <c r="T43" s="236" t="str">
        <f>IFERROR(__xludf.DUMMYFUNCTION("IF(REGEXMATCH(N43, ""m""), ""m"","""")"),"m")</f>
        <v>m</v>
      </c>
      <c r="U43" s="237" t="str">
        <f>IFERROR(__xludf.DUMMYFUNCTION("IF(REGEXMATCH(N43, ""M""), ""M"","""")"),"")</f>
        <v/>
      </c>
      <c r="V43" s="236" t="str">
        <f>IFERROR(__xludf.DUMMYFUNCTION("IF(REGEXMATCH(N43, ""P""), ""P"","""")"),"")</f>
        <v/>
      </c>
      <c r="W43" s="237" t="str">
        <f>IFERROR(__xludf.DUMMYFUNCTION("IF(REGEXMATCH(N43, ""d""), ""d"","""")"),"d")</f>
        <v>d</v>
      </c>
      <c r="X43" s="236" t="str">
        <f>IFERROR(__xludf.DUMMYFUNCTION("IF(REGEXMATCH(N43, ""D""), ""D"","""")"),"")</f>
        <v/>
      </c>
      <c r="Y43" s="236" t="str">
        <f>IFERROR(__xludf.DUMMYFUNCTION("IF(REGEXMATCH(N43, ""n""), ""n"","""")"),"n")</f>
        <v>n</v>
      </c>
      <c r="Z43" s="237" t="str">
        <f>IFERROR(__xludf.DUMMYFUNCTION("IF(REGEXMATCH(N43, ""N""), ""N"","""")"),"")</f>
        <v/>
      </c>
      <c r="AA43" s="238" t="str">
        <f>IFERROR(__xludf.DUMMYFUNCTION("IF(REGEXMATCH(N43, ""S""), ""S"","""")"),"S")</f>
        <v>S</v>
      </c>
      <c r="AB43" s="239" t="str">
        <f>IFERROR(__xludf.DUMMYFUNCTION("SUBSTITUTE(CONCATENATE(JOIN(""-"",O43:U43)),""-"","""")"),"SgGm")</f>
        <v>SgGm</v>
      </c>
      <c r="AC43" s="229" t="str">
        <f>IFERROR(__xludf.DUMMYFUNCTION("SUBSTITUTE(CONCATENATE(JOIN(""-"",V43:AA43)),""-"","""")"),"dnS")</f>
        <v>dnS</v>
      </c>
      <c r="AD43" s="282" t="str">
        <f t="shared" si="10"/>
        <v>S-G-M</v>
      </c>
      <c r="AE43" s="282" t="str">
        <f t="shared" si="11"/>
        <v>D-N-S</v>
      </c>
      <c r="AF43" s="309" t="str">
        <f t="shared" si="12"/>
        <v>gGmdn</v>
      </c>
      <c r="AG43" s="244" t="str">
        <f>IFERROR(__xludf.DUMMYFUNCTION("IF(REGEXMATCH(N43, ""S""), ""0"","""")"),"0")</f>
        <v>0</v>
      </c>
      <c r="AH43" s="245" t="str">
        <f>IFERROR(__xludf.DUMMYFUNCTION("IF(REGEXMATCH(N43, ""r""), ""1"","""")"),"")</f>
        <v/>
      </c>
      <c r="AI43" s="246" t="str">
        <f>IFERROR(__xludf.DUMMYFUNCTION("IF(REGEXMATCH(N43, ""R""), ""2"","""")"),"")</f>
        <v/>
      </c>
      <c r="AJ43" s="246" t="str">
        <f>IFERROR(__xludf.DUMMYFUNCTION("IF(REGEXMATCH(N43, ""g""), ""3"","""")"),"3")</f>
        <v>3</v>
      </c>
      <c r="AK43" s="245" t="str">
        <f>IFERROR(__xludf.DUMMYFUNCTION("IF(REGEXMATCH(N43, ""G""), ""4"","""")"),"4")</f>
        <v>4</v>
      </c>
      <c r="AL43" s="245" t="str">
        <f>IFERROR(__xludf.DUMMYFUNCTION("IF(REGEXMATCH(N43, ""m""), ""5"","""")"),"5")</f>
        <v>5</v>
      </c>
      <c r="AM43" s="246" t="str">
        <f>IFERROR(__xludf.DUMMYFUNCTION("IF(REGEXMATCH(N43, ""M""), ""6"","""")"),"")</f>
        <v/>
      </c>
      <c r="AN43" s="245" t="str">
        <f>IFERROR(__xludf.DUMMYFUNCTION("IF(REGEXMATCH(N43, ""P""), ""7"","""")"),"")</f>
        <v/>
      </c>
      <c r="AO43" s="246" t="str">
        <f>IFERROR(__xludf.DUMMYFUNCTION("IF(REGEXMATCH(N43, ""d""), ""8"","""")"),"8")</f>
        <v>8</v>
      </c>
      <c r="AP43" s="245" t="str">
        <f>IFERROR(__xludf.DUMMYFUNCTION("IF(REGEXMATCH(N43, ""D""), ""9"","""")"),"")</f>
        <v/>
      </c>
      <c r="AQ43" s="245" t="str">
        <f>IFERROR(__xludf.DUMMYFUNCTION("IF(REGEXMATCH(N43, ""n""), ""10"","""")"),"10")</f>
        <v>10</v>
      </c>
      <c r="AR43" s="246" t="str">
        <f>IFERROR(__xludf.DUMMYFUNCTION("IF(REGEXMATCH(N43, ""N""), ""11"","""")"),"")</f>
        <v/>
      </c>
      <c r="AS43" s="249" t="str">
        <f>IFERROR(__xludf.DUMMYFUNCTION("IF(REGEXMATCH(N43, ""S""), ""0"","""")"),"0")</f>
        <v>0</v>
      </c>
      <c r="AT43" s="250" t="str">
        <f>IFERROR(__xludf.DUMMYFUNCTION("SUBSTITUTE(SUBSTITUTE(SUBSTITUTE(SUBSTITUTE(CONCATENATE(JOIN(""-"",AG43:AS43)),""--"",""-""),""--"",""-""),""--"",""-""),""--"",""-"")"),"0-3-4-5-8-10-0")</f>
        <v>0-3-4-5-8-10-0</v>
      </c>
      <c r="AU43" s="251">
        <f t="shared" si="13"/>
        <v>2</v>
      </c>
      <c r="AV43" s="234" t="str">
        <f t="shared" si="14"/>
        <v>|</v>
      </c>
      <c r="AW43" s="236" t="str">
        <f t="shared" si="15"/>
        <v>-</v>
      </c>
      <c r="AX43" s="237" t="str">
        <f t="shared" si="16"/>
        <v>-</v>
      </c>
      <c r="AY43" s="236" t="str">
        <f t="shared" si="17"/>
        <v>|</v>
      </c>
      <c r="AZ43" s="237" t="str">
        <f t="shared" si="18"/>
        <v>|</v>
      </c>
      <c r="BA43" s="236" t="str">
        <f t="shared" si="19"/>
        <v>|</v>
      </c>
      <c r="BB43" s="237" t="str">
        <f t="shared" si="20"/>
        <v>-</v>
      </c>
      <c r="BC43" s="236" t="str">
        <f t="shared" si="21"/>
        <v>-</v>
      </c>
      <c r="BD43" s="237" t="str">
        <f t="shared" si="22"/>
        <v>|</v>
      </c>
      <c r="BE43" s="236" t="str">
        <f t="shared" si="23"/>
        <v>-</v>
      </c>
      <c r="BF43" s="237" t="str">
        <f t="shared" si="24"/>
        <v>|</v>
      </c>
      <c r="BG43" s="236" t="str">
        <f t="shared" si="25"/>
        <v>-</v>
      </c>
      <c r="BH43" s="238" t="str">
        <f t="shared" si="26"/>
        <v>|</v>
      </c>
      <c r="BI43" s="250" t="str">
        <f>IFERROR(__xludf.DUMMYFUNCTION("SUBSTITUTE(SUBSTITUTE(CONCATENATE(JOIN("""",AV43:BG43)),""|"",""x""),""-"",""o"")"),"xooxxxooxoxo")</f>
        <v>xooxxxooxoxo</v>
      </c>
      <c r="BJ43" s="323" t="str">
        <f>IFERROR(__xludf.DUMMYFUNCTION("JOIN("""",BI43,BI43)"),"xooxxxooxoxoxooxxxooxoxo")</f>
        <v>xooxxxooxoxoxooxxxooxoxo</v>
      </c>
      <c r="BK43" s="256" t="str">
        <f>IFERROR(__xludf.DUMMYFUNCTION("JOIN("""",ArrayFormula(MID(BI43,LEN(BI43)-SEQUENCE(1,LEN(BI43))+1,1)))"),"oxoxooxxxoox")</f>
        <v>oxoxooxxxoox</v>
      </c>
      <c r="BL43" s="256" t="str">
        <f>IFERROR(__xludf.DUMMYFUNCTION("LEFT(CONCATENATE(""x"",JOIN("""",ArrayFormula(MID(BI43,LEN(BI43)-SEQUENCE(1,LEN(BI43))+1,1)))),12)"),"xoxoxooxxxoo")</f>
        <v>xoxoxooxxxoo</v>
      </c>
      <c r="BM43" s="327" t="str">
        <f>IFERROR(__xludf.DUMMYFUNCTION("JOIN("""",BK43,BK43)"),"oxoxooxxxooxoxoxooxxxoox")</f>
        <v>oxoxooxxxooxoxoxooxxxoox</v>
      </c>
      <c r="BN43" s="239" t="str">
        <f>IFERROR(__xludf.DUMMYFUNCTION("IF(REGEXMATCH(BM43,BI43),""✔"",""-"")"),"✔")</f>
        <v>✔</v>
      </c>
      <c r="BO43" s="330" t="str">
        <f t="shared" si="27"/>
        <v>-</v>
      </c>
      <c r="BP43" s="260" t="str">
        <f t="shared" si="28"/>
        <v>-</v>
      </c>
      <c r="BQ43" s="261" t="str">
        <f>IFERROR(__xludf.DUMMYFUNCTION("IF(BT43=0,""(n/a)"",IF(BU43=2,""(PAIR)"",IF(REGEXMATCH(BJ43,""xoxoxxoxoxox""),""Bilawal"",IF(REGEXMATCH(BJ43,""xoxoxooxoxoo""),""Bhupali"",IF(REGEXMATCH(BJ43,""xoxoxxoxxoxo""),""Charukeshi"",IF(REGEXMATCH(BJ43,""xoxoooxxoxxo""),""Kameshwari"",IF(REGEXMATC"&amp;"H(BJ43,""xoxoxooxoxox""),""Shankara"",IF(REGEXMATCH(BJ43,""xxooxoxxxoox""),""Basant"",IF(REGEXMATCH(BJ43,""xoxoxxxxoxox""),""Bihag"",IF(REGEXMATCH(BJ43,""xoxxxxoxoxxx""),""Pilu"",IF(REGEXMATCH(BJ43,""xoxxoxoxxoox""),""Kirwani"",IF(REGEXMATCH(BJ43,""xoxxox"&amp;"oxoxxx""),""Mk.Malhar"",IF(REGEXMATCH(BJ43,""xxooxxoxxoox""),""Bhairav"",IF(REGEXMATCH(BJ43,""xxoxooxxxoox""),""Todi"",IF(REGEXMATCH(BJ43,""xxooxoxooxox""),""Marwa"",IF(REGEXMATCH(BJ43,""xxoooxoxxooo""),""Gunkali"",IF(REGEXMATCH(BJ43,""xoxoxxoxxoox""),""N"&amp;"at Bhairav"",IF(REGEXMATCH(BJ43,""xoxxoooxoxoo""),""Shivranjani"",IF(REGEXMATCH(BJ43,""xooxxxoxooxo""),""Jog"",IF(REGEXMATCH(BJ43,""xxooxoxoxoox""),""Hemshri"",IF(REGEXMATCH(BJ43,""xoooxooxoxxo""),""Kalavati"",IF(REGEXMATCH(BJ43,""xxoxoxxoxoox""),""Kedar"&amp;""",IF(REGEXMATCH(BJ43,""xoxxxxoxooxx""),""Gara"",IF(REGEXMATCH(BJ43,""xooxoxooxoox""),""Chandrakauns"",IF(REGEXMATCH(BJ43,""xoxxxxoxxxox""),""Mand"",IF(REGEXMATCH(BJ43,""xoxxxxoxoxox""),""Hanskinkini"",IF(REGEXMATCH(BJ43,""xxooxxoxooxo""),""Lilavati"",IF("&amp;"REGEXMATCH(BJ43,""xooxoxoooxox""),""Rajeshwari"",IF(REGEXMATCH(BJ43,""xoooxxoxoxxx""),""Khokar"",IF(REGEXMATCH(BJ43,""xxooxoxxxxox""),""Maligoura"",""-""))))))))))))))))))))))))))))))"),"(n/a)")</f>
        <v>(n/a)</v>
      </c>
      <c r="BR43" s="239">
        <f t="shared" si="29"/>
        <v>5</v>
      </c>
      <c r="BS43" s="239">
        <f>IFERROR(__xludf.DUMMYFUNCTION("COUNTUNIQUE(BW43:CG43)-1"),5.0)</f>
        <v>5</v>
      </c>
      <c r="BT43" s="239">
        <f>IFERROR(__xludf.DUMMYFUNCTION("COUNTUNIQUE(FILTER(BJ:BJ,REGEXMATCH(BJ:BJ,BI43)))-1"),0.0)</f>
        <v>0</v>
      </c>
      <c r="BU43" s="239">
        <f>IFERROR(__xludf.DUMMYFUNCTION("COUNTA(FILTER(BJ:BJ,REGEXMATCH(BJ:BJ,BI43)))"),3.0)</f>
        <v>3</v>
      </c>
      <c r="BV43" s="341">
        <f>IFERROR(__xludf.DUMMYFUNCTION("COUNTA(FILTER(BJ:BJ,REGEXMATCH(BJ:BJ,BI43)))-AU43"),1.0)</f>
        <v>1</v>
      </c>
      <c r="BW43" s="269" t="str">
        <f t="shared" si="30"/>
        <v>-</v>
      </c>
      <c r="BX43" s="269" t="str">
        <f t="shared" si="31"/>
        <v>-</v>
      </c>
      <c r="BY43" s="271" t="str">
        <f t="shared" si="32"/>
        <v>xxxooxoxoxo</v>
      </c>
      <c r="BZ43" s="269" t="str">
        <f t="shared" si="33"/>
        <v>xxooxoxoxoo</v>
      </c>
      <c r="CA43" s="271" t="str">
        <f t="shared" si="34"/>
        <v>xooxoxoxoox</v>
      </c>
      <c r="CB43" s="271" t="str">
        <f t="shared" si="35"/>
        <v>-</v>
      </c>
      <c r="CC43" s="271" t="str">
        <f t="shared" si="36"/>
        <v>-</v>
      </c>
      <c r="CD43" s="271" t="str">
        <f t="shared" si="37"/>
        <v>xoxoxooxxxo</v>
      </c>
      <c r="CE43" s="271" t="str">
        <f t="shared" si="38"/>
        <v>-</v>
      </c>
      <c r="CF43" s="271" t="str">
        <f t="shared" si="39"/>
        <v>xoxooxxxoox</v>
      </c>
      <c r="CG43" s="274" t="str">
        <f t="shared" si="40"/>
        <v>-</v>
      </c>
      <c r="CH43" s="276" t="str">
        <f>IFERROR(__xludf.DUMMYFUNCTION("IF(BI43=""oooooooooooo"",""-"",IF(REGEXMATCH(BJ43,""xx""), ""Hemi."", ""Anhemi.""))"),"Hemi.")</f>
        <v>Hemi.</v>
      </c>
      <c r="CI43" s="282" t="str">
        <f>IFERROR(__xludf.DUMMYFUNCTION("IF(BI43=""oooooooooooo"",""-"",IF(REGEXMATCH(BJ43,""xxx""), ""Cohem."", ""-""))"),"Cohem.")</f>
        <v>Cohem.</v>
      </c>
      <c r="CJ43" s="282" t="str">
        <f>IFERROR(__xludf.DUMMYFUNCTION("IF(BI43=""oooooooooooo"",""-"",IF(REGEXMATCH(BJ43,""xxxx""), ""Co-Co."", ""-""))"),"-")</f>
        <v>-</v>
      </c>
      <c r="CK43" s="342" t="str">
        <f>IFERROR(__xludf.DUMMYFUNCTION("IF(BI43=""oooooooooooo"",""-"",IF(REGEXMATCH(BJ43,""xxxxx""), ""CCC."", ""-""))"),"-")</f>
        <v>-</v>
      </c>
      <c r="CL43" s="344" t="str">
        <f t="shared" si="41"/>
        <v>-</v>
      </c>
      <c r="CM43" s="282" t="str">
        <f>IFERROR(__xludf.DUMMYFUNCTION("IF(REGEXMATCH(JOIN(""-"",CO43:CX43),""TRUE""),""✔"",""-"")"),"-")</f>
        <v>-</v>
      </c>
      <c r="CN43" s="225">
        <f t="shared" si="42"/>
        <v>0</v>
      </c>
      <c r="CO43" s="376" t="b">
        <f>IFERROR(__xludf.DUMMYFUNCTION("arrayformula(sum(--REGEXMATCH(""SRGMPDNS"",split(REGEXREPLACE(N43,""(.)"",""$1~""),""~""))))=len(N43)
"),FALSE)</f>
        <v>0</v>
      </c>
      <c r="CP43" s="290" t="b">
        <f>IFERROR(__xludf.DUMMYFUNCTION("arrayformula(sum(--REGEXMATCH(""SRGmPDNS"",split(REGEXREPLACE(N43,""(.)"",""$1~""),""~""))))=len(N43)"),FALSE)</f>
        <v>0</v>
      </c>
      <c r="CQ43" s="290" t="b">
        <f>IFERROR(__xludf.DUMMYFUNCTION("arrayformula(sum(--REGEXMATCH(""SRGmPDnS"",split(REGEXREPLACE(N43,""(.)"",""$1~""),""~""))))=len(N43)"),FALSE)</f>
        <v>0</v>
      </c>
      <c r="CR43" s="290" t="b">
        <f>IFERROR(__xludf.DUMMYFUNCTION("arrayformula(sum(--REGEXMATCH(""SRgmPDnS"",split(REGEXREPLACE(N43,""(.)"",""$1~""),""~""))))=len(N43)"),FALSE)</f>
        <v>0</v>
      </c>
      <c r="CS43" s="290" t="b">
        <f>IFERROR(__xludf.DUMMYFUNCTION("arrayformula(sum(--REGEXMATCH(""SRgmPdnS"",split(REGEXREPLACE(N43,""(.)"",""$1~""),""~""))))=len(N43)"),FALSE)</f>
        <v>0</v>
      </c>
      <c r="CT43" s="290" t="b">
        <f>IFERROR(__xludf.DUMMYFUNCTION("arrayformula(sum(--REGEXMATCH(""SrgmPdnS"",split(REGEXREPLACE(N43,""(.)"",""$1~""),""~""))))=len(N43)"),FALSE)</f>
        <v>0</v>
      </c>
      <c r="CU43" s="290" t="b">
        <f>IFERROR(__xludf.DUMMYFUNCTION("arrayformula(sum(--REGEXMATCH(""SrGmPdNS"",split(REGEXREPLACE(N43,""(.)"",""$1~""),""~""))))=len(N43)"),FALSE)</f>
        <v>0</v>
      </c>
      <c r="CV43" s="290" t="b">
        <f>IFERROR(__xludf.DUMMYFUNCTION("arrayformula(sum(--REGEXMATCH(""SrGMPDNS"",split(REGEXREPLACE(N43,""(.)"",""$1~""),""~""))))=len(N43)"),FALSE)</f>
        <v>0</v>
      </c>
      <c r="CW43" s="290" t="b">
        <f>IFERROR(__xludf.DUMMYFUNCTION("arrayformula(sum(--REGEXMATCH(""SrGMPdNS"",split(REGEXREPLACE(N43,""(.)"",""$1~""),""~""))))=len(N43)"),FALSE)</f>
        <v>0</v>
      </c>
      <c r="CX43" s="293" t="b">
        <f>IFERROR(__xludf.DUMMYFUNCTION("arrayformula(sum(--REGEXMATCH(""SrgMPdNS"",split(REGEXREPLACE(N43,""(.)"",""$1~""),""~""))))=len(N43)"),FALSE)</f>
        <v>0</v>
      </c>
      <c r="CY43" s="244" t="str">
        <f>IFERROR(__xludf.DUMMYFUNCTION("IF(REGEXMATCH(N43, ""S""), ""1"","""")"),"1")</f>
        <v>1</v>
      </c>
      <c r="CZ43" s="245" t="str">
        <f>IFERROR(__xludf.DUMMYFUNCTION("IF(REGEXMATCH(N43, ""r""), ""b2"","""")"),"")</f>
        <v/>
      </c>
      <c r="DA43" s="246" t="str">
        <f>IFERROR(__xludf.DUMMYFUNCTION("IF(REGEXMATCH(N43, ""R""), ""2"","""")"),"")</f>
        <v/>
      </c>
      <c r="DB43" s="246" t="str">
        <f>IFERROR(__xludf.DUMMYFUNCTION("IF(REGEXMATCH(N43, ""g""), ""b3"","""")"),"b3")</f>
        <v>b3</v>
      </c>
      <c r="DC43" s="245" t="str">
        <f>IFERROR(__xludf.DUMMYFUNCTION("IF(REGEXMATCH(N43, ""G""), ""3"","""")"),"3")</f>
        <v>3</v>
      </c>
      <c r="DD43" s="245" t="str">
        <f>IFERROR(__xludf.DUMMYFUNCTION("IF(REGEXMATCH(N43, ""m""), ""4"","""")"),"4")</f>
        <v>4</v>
      </c>
      <c r="DE43" s="246" t="str">
        <f>IFERROR(__xludf.DUMMYFUNCTION("IF(REGEXMATCH(N43, ""M""), ""#4"","""")"),"")</f>
        <v/>
      </c>
      <c r="DF43" s="245" t="str">
        <f>IFERROR(__xludf.DUMMYFUNCTION("IF(REGEXMATCH(N43, ""P""), ""5"","""")"),"")</f>
        <v/>
      </c>
      <c r="DG43" s="246" t="str">
        <f>IFERROR(__xludf.DUMMYFUNCTION("IF(REGEXMATCH(N43, ""d""), ""b6"","""")"),"b6")</f>
        <v>b6</v>
      </c>
      <c r="DH43" s="245" t="str">
        <f>IFERROR(__xludf.DUMMYFUNCTION("IF(REGEXMATCH(N43, ""D""), ""6"","""")"),"")</f>
        <v/>
      </c>
      <c r="DI43" s="245" t="str">
        <f>IFERROR(__xludf.DUMMYFUNCTION("IF(REGEXMATCH(N43, ""n""), ""b7"","""")"),"b7")</f>
        <v>b7</v>
      </c>
      <c r="DJ43" s="246" t="str">
        <f>IFERROR(__xludf.DUMMYFUNCTION("IF(REGEXMATCH(N43, ""N""), ""7"","""")"),"")</f>
        <v/>
      </c>
      <c r="DK43" s="249" t="str">
        <f>IFERROR(__xludf.DUMMYFUNCTION("IF(REGEXMATCH(N43, ""S""), ""8"","""")"),"8")</f>
        <v>8</v>
      </c>
      <c r="DL43" s="244" t="str">
        <f>IFERROR(__xludf.DUMMYFUNCTION("IF(REGEXMATCH(N43, ""S""), ""S"","""")"),"S")</f>
        <v>S</v>
      </c>
      <c r="DM43" s="294" t="str">
        <f>IFERROR(__xludf.DUMMYFUNCTION("IF(REGEXMATCH(N43, ""r""), ""R1"","""")"),"")</f>
        <v/>
      </c>
      <c r="DN43" s="295" t="str">
        <f>IFERROR(__xludf.DUMMYFUNCTION("IF(REGEXMATCH(N43, ""R""), ""R2"","""")"),"")</f>
        <v/>
      </c>
      <c r="DO43" s="295" t="str">
        <f>IFERROR(__xludf.DUMMYFUNCTION("IF(REGEXMATCH(N43, ""g""), ""G2"","""")"),"G2")</f>
        <v>G2</v>
      </c>
      <c r="DP43" s="294" t="str">
        <f>IFERROR(__xludf.DUMMYFUNCTION("IF(REGEXMATCH(N43, ""G""), ""G3"","""")"),"G3")</f>
        <v>G3</v>
      </c>
      <c r="DQ43" s="294" t="str">
        <f>IFERROR(__xludf.DUMMYFUNCTION("IF(REGEXMATCH(N43, ""m""), ""M1"","""")"),"M1")</f>
        <v>M1</v>
      </c>
      <c r="DR43" s="295" t="str">
        <f>IFERROR(__xludf.DUMMYFUNCTION("IF(REGEXMATCH(N43, ""M""), ""M2"","""")"),"")</f>
        <v/>
      </c>
      <c r="DS43" s="294" t="str">
        <f>IFERROR(__xludf.DUMMYFUNCTION("IF(REGEXMATCH(N43, ""P""), ""P"","""")"),"")</f>
        <v/>
      </c>
      <c r="DT43" s="295" t="str">
        <f>IFERROR(__xludf.DUMMYFUNCTION("IF(REGEXMATCH(N43, ""d""), ""D1"","""")"),"D1")</f>
        <v>D1</v>
      </c>
      <c r="DU43" s="294" t="str">
        <f>IFERROR(__xludf.DUMMYFUNCTION("IF(REGEXMATCH(N43, ""D""), ""D2"","""")"),"")</f>
        <v/>
      </c>
      <c r="DV43" s="294" t="str">
        <f>IFERROR(__xludf.DUMMYFUNCTION("IF(REGEXMATCH(N43, ""n""), ""N2"","""")"),"N2")</f>
        <v>N2</v>
      </c>
      <c r="DW43" s="295" t="str">
        <f>IFERROR(__xludf.DUMMYFUNCTION("IF(REGEXMATCH(N43, ""N""), ""N3"","""")"),"")</f>
        <v/>
      </c>
      <c r="DX43" s="249" t="str">
        <f>IFERROR(__xludf.DUMMYFUNCTION("IF(REGEXMATCH(N43, ""S""), ""S"","""")"),"S")</f>
        <v>S</v>
      </c>
      <c r="DY43" s="299" t="str">
        <f>IFERROR(__xludf.DUMMYFUNCTION("SUBSTITUTE(SUBSTITUTE(SUBSTITUTE(SUBSTITUTE(CONCATENATE(JOIN(""-"",CY43:DK43)),""--"",""-""),""--"",""-""),""--"",""-""),""--"",""-"")"),"1-b3-3-4-b6-b7-8")</f>
        <v>1-b3-3-4-b6-b7-8</v>
      </c>
      <c r="DZ43" s="299" t="str">
        <f>IFERROR(__xludf.DUMMYFUNCTION("SUBSTITUTE(SUBSTITUTE(SUBSTITUTE(SUBSTITUTE(CONCATENATE(JOIN(""-"",DL43:DX43)),""--"",""-""),""--"",""-""),""--"",""-""),""--"",""-"")"),"S-G2-G3-M1-D1-N2-S")</f>
        <v>S-G2-G3-M1-D1-N2-S</v>
      </c>
      <c r="EA43" s="348" t="str">
        <f t="shared" si="43"/>
        <v>C-Eb-E-F-Ab-Bb-C</v>
      </c>
      <c r="EB43" s="301">
        <f t="shared" si="44"/>
        <v>6</v>
      </c>
      <c r="EC43" s="302" t="str">
        <f t="shared" si="45"/>
        <v>Audav</v>
      </c>
      <c r="ED43" s="301" t="str">
        <f t="shared" ref="ED43:EE43" si="209">SUBSTITUTE(AD43,"-","")</f>
        <v>SGM</v>
      </c>
      <c r="EE43" s="301" t="str">
        <f t="shared" si="209"/>
        <v>DNS</v>
      </c>
      <c r="EF43" s="302" t="str">
        <f t="shared" si="47"/>
        <v>(n/a)</v>
      </c>
      <c r="EG43" s="301" t="str">
        <f t="shared" si="48"/>
        <v>Hemi.</v>
      </c>
      <c r="EH43" s="364" t="str">
        <f t="shared" si="49"/>
        <v>Cohem.</v>
      </c>
      <c r="EI43" s="306" t="str">
        <f t="shared" si="50"/>
        <v>-</v>
      </c>
      <c r="EJ43" s="366" t="str">
        <f t="shared" si="51"/>
        <v>-</v>
      </c>
      <c r="EK43" s="308" t="str">
        <f t="shared" si="52"/>
        <v>✔</v>
      </c>
      <c r="EL43" s="306" t="str">
        <f t="shared" si="53"/>
        <v>-</v>
      </c>
      <c r="EM43" s="306" t="str">
        <f t="shared" si="54"/>
        <v>-</v>
      </c>
      <c r="EN43" s="367" t="str">
        <f t="shared" si="55"/>
        <v>-</v>
      </c>
      <c r="EO43" s="310" t="str">
        <f t="shared" si="56"/>
        <v>-</v>
      </c>
      <c r="EP43" s="310" t="str">
        <f t="shared" si="57"/>
        <v>✔</v>
      </c>
      <c r="EQ43" s="310" t="str">
        <f t="shared" si="58"/>
        <v>-</v>
      </c>
      <c r="ER43" s="310" t="str">
        <f t="shared" si="59"/>
        <v>-</v>
      </c>
      <c r="ES43" s="370" t="str">
        <f t="shared" si="60"/>
        <v>-</v>
      </c>
      <c r="ET43" s="306" t="str">
        <f t="shared" si="61"/>
        <v>✔</v>
      </c>
      <c r="EU43" s="306" t="str">
        <f t="shared" si="62"/>
        <v>-</v>
      </c>
      <c r="EV43" s="306" t="str">
        <f t="shared" si="63"/>
        <v>-</v>
      </c>
      <c r="EW43" s="306" t="str">
        <f t="shared" si="64"/>
        <v>✔</v>
      </c>
      <c r="EX43" s="306" t="str">
        <f t="shared" si="65"/>
        <v>-</v>
      </c>
      <c r="EY43" s="367" t="str">
        <f t="shared" si="66"/>
        <v>-</v>
      </c>
      <c r="EZ43" s="310" t="str">
        <f>IFERROR(__xludf.DUMMYFUNCTION("IF(REGEXMATCH(BM43,BI43),""✔"",""-"")"),"✔")</f>
        <v>✔</v>
      </c>
      <c r="FA43" s="310" t="str">
        <f t="shared" si="67"/>
        <v>-</v>
      </c>
      <c r="FB43" s="370" t="str">
        <f t="shared" si="68"/>
        <v>-</v>
      </c>
      <c r="FC43" s="415">
        <f t="shared" si="69"/>
        <v>2</v>
      </c>
      <c r="FD43" s="317" t="str">
        <f t="shared" si="70"/>
        <v>S-gG-m-d-n-S</v>
      </c>
      <c r="FE43" s="318" t="str">
        <f>IFERROR(__xludf.DUMMYFUNCTION("CONCATENATE(JOIN("""",GJ43:GV43))"),"SRGPdDS")</f>
        <v>SRGPdDS</v>
      </c>
      <c r="FF43" s="318"/>
      <c r="FG43" s="318"/>
      <c r="FH43" s="321">
        <f t="shared" si="71"/>
        <v>2</v>
      </c>
      <c r="FI43" s="318" t="str">
        <f>IFERROR(__xludf.DUMMYFUNCTION("CONCATENATE(JOIN("""",HW43:II43))"),"Sa, Ga, ")</f>
        <v>Sa, Ga, </v>
      </c>
      <c r="FJ43" s="322">
        <f t="shared" si="72"/>
        <v>1</v>
      </c>
      <c r="FK43" s="324" t="str">
        <f>IFERROR(__xludf.DUMMYFUNCTION("CONCATENATE(JOIN("""",IW43:JI43))"),"Ga, ")</f>
        <v>Ga, </v>
      </c>
      <c r="FL43" s="325" t="str">
        <f t="shared" si="73"/>
        <v>S-G2-G3-M1-D1-N2-S</v>
      </c>
      <c r="FM43" s="326" t="str">
        <f t="shared" si="74"/>
        <v>1-b3-3-4-b6-b7-8</v>
      </c>
      <c r="FN43" s="326" t="str">
        <f t="shared" si="75"/>
        <v>0-3-4-5-8-10-0</v>
      </c>
      <c r="FO43" s="318"/>
      <c r="FP43" s="328" t="str">
        <f>IFERROR(__xludf.DUMMYFUNCTION("SUBSTITUTE(SUBSTITUTE(SUBSTITUTE(SUBSTITUTE(CONCATENATE(JOIN("" "",FS43:GE43)),""  "","" ""),""  "","" ""),""  "","" ""),""  "","" "")"),"o • • o o o • • o • o • o")</f>
        <v>o • • o o o • • o • o • o</v>
      </c>
      <c r="FQ43" s="328" t="str">
        <f t="shared" si="76"/>
        <v>Sa-ma</v>
      </c>
      <c r="FR43" s="329"/>
      <c r="FS43" s="331" t="str">
        <f t="shared" si="77"/>
        <v>o</v>
      </c>
      <c r="FT43" s="332" t="str">
        <f t="shared" si="78"/>
        <v>•</v>
      </c>
      <c r="FU43" s="332" t="str">
        <f t="shared" si="79"/>
        <v>•</v>
      </c>
      <c r="FV43" s="332" t="str">
        <f t="shared" si="80"/>
        <v>o</v>
      </c>
      <c r="FW43" s="332" t="str">
        <f t="shared" si="81"/>
        <v>o</v>
      </c>
      <c r="FX43" s="332" t="str">
        <f t="shared" si="82"/>
        <v>o</v>
      </c>
      <c r="FY43" s="332" t="str">
        <f t="shared" si="83"/>
        <v>•</v>
      </c>
      <c r="FZ43" s="332" t="str">
        <f t="shared" si="84"/>
        <v>•</v>
      </c>
      <c r="GA43" s="332" t="str">
        <f t="shared" si="85"/>
        <v>o</v>
      </c>
      <c r="GB43" s="332" t="str">
        <f t="shared" si="86"/>
        <v>•</v>
      </c>
      <c r="GC43" s="332" t="str">
        <f t="shared" si="87"/>
        <v>o</v>
      </c>
      <c r="GD43" s="332" t="str">
        <f t="shared" si="88"/>
        <v>•</v>
      </c>
      <c r="GE43" s="338" t="str">
        <f t="shared" si="89"/>
        <v>o</v>
      </c>
      <c r="GF43" s="339" t="str">
        <f t="shared" si="90"/>
        <v>-</v>
      </c>
      <c r="GG43" s="339" t="str">
        <f t="shared" si="91"/>
        <v>-</v>
      </c>
      <c r="GH43" s="339" t="str">
        <f t="shared" si="92"/>
        <v>-</v>
      </c>
      <c r="GI43" s="340" t="str">
        <f t="shared" si="93"/>
        <v>Sa-ma</v>
      </c>
      <c r="GJ43" s="331" t="str">
        <f t="shared" si="94"/>
        <v>S</v>
      </c>
      <c r="GK43" s="332" t="str">
        <f t="shared" si="95"/>
        <v/>
      </c>
      <c r="GL43" s="332" t="str">
        <f t="shared" si="96"/>
        <v>R</v>
      </c>
      <c r="GM43" s="332" t="str">
        <f t="shared" si="97"/>
        <v/>
      </c>
      <c r="GN43" s="332" t="str">
        <f t="shared" si="98"/>
        <v>G</v>
      </c>
      <c r="GO43" s="332" t="str">
        <f t="shared" si="99"/>
        <v/>
      </c>
      <c r="GP43" s="332" t="str">
        <f t="shared" si="100"/>
        <v/>
      </c>
      <c r="GQ43" s="332" t="str">
        <f t="shared" si="101"/>
        <v>P</v>
      </c>
      <c r="GR43" s="332" t="str">
        <f t="shared" si="102"/>
        <v>d</v>
      </c>
      <c r="GS43" s="332" t="str">
        <f t="shared" si="103"/>
        <v>D</v>
      </c>
      <c r="GT43" s="332" t="str">
        <f t="shared" si="104"/>
        <v/>
      </c>
      <c r="GU43" s="332" t="str">
        <f t="shared" si="105"/>
        <v/>
      </c>
      <c r="GV43" s="343" t="str">
        <f t="shared" si="106"/>
        <v>S</v>
      </c>
      <c r="GW43" s="331" t="str">
        <f t="shared" si="107"/>
        <v>•</v>
      </c>
      <c r="GX43" s="332" t="str">
        <f t="shared" si="108"/>
        <v>o</v>
      </c>
      <c r="GY43" s="332" t="str">
        <f t="shared" si="109"/>
        <v>o</v>
      </c>
      <c r="GZ43" s="332" t="str">
        <f t="shared" si="110"/>
        <v>•</v>
      </c>
      <c r="HA43" s="332" t="str">
        <f t="shared" si="111"/>
        <v>•</v>
      </c>
      <c r="HB43" s="332" t="str">
        <f t="shared" si="112"/>
        <v>•</v>
      </c>
      <c r="HC43" s="332" t="str">
        <f t="shared" si="113"/>
        <v>o</v>
      </c>
      <c r="HD43" s="332" t="str">
        <f t="shared" si="114"/>
        <v>o</v>
      </c>
      <c r="HE43" s="332" t="str">
        <f t="shared" si="115"/>
        <v>•</v>
      </c>
      <c r="HF43" s="332" t="str">
        <f t="shared" si="116"/>
        <v>o</v>
      </c>
      <c r="HG43" s="332" t="str">
        <f t="shared" si="117"/>
        <v>•</v>
      </c>
      <c r="HH43" s="332" t="str">
        <f t="shared" si="118"/>
        <v>o</v>
      </c>
      <c r="HI43" s="338" t="str">
        <f t="shared" si="119"/>
        <v>•</v>
      </c>
      <c r="HJ43" s="346" t="b">
        <f t="shared" si="120"/>
        <v>1</v>
      </c>
      <c r="HK43" s="347" t="b">
        <f t="shared" si="121"/>
        <v>0</v>
      </c>
      <c r="HL43" s="347" t="b">
        <f t="shared" si="122"/>
        <v>0</v>
      </c>
      <c r="HM43" s="347" t="b">
        <f t="shared" si="123"/>
        <v>0</v>
      </c>
      <c r="HN43" s="347" t="b">
        <f t="shared" si="124"/>
        <v>1</v>
      </c>
      <c r="HO43" s="347" t="b">
        <f t="shared" si="125"/>
        <v>0</v>
      </c>
      <c r="HP43" s="347" t="b">
        <f t="shared" si="126"/>
        <v>0</v>
      </c>
      <c r="HQ43" s="347" t="b">
        <f t="shared" si="127"/>
        <v>0</v>
      </c>
      <c r="HR43" s="347" t="b">
        <f t="shared" si="128"/>
        <v>0</v>
      </c>
      <c r="HS43" s="347" t="b">
        <f t="shared" si="129"/>
        <v>0</v>
      </c>
      <c r="HT43" s="347" t="b">
        <f t="shared" si="130"/>
        <v>0</v>
      </c>
      <c r="HU43" s="347" t="b">
        <f t="shared" si="131"/>
        <v>0</v>
      </c>
      <c r="HV43" s="353" t="b">
        <f t="shared" si="132"/>
        <v>1</v>
      </c>
      <c r="HW43" s="354" t="str">
        <f t="shared" si="133"/>
        <v>Sa, </v>
      </c>
      <c r="HX43" s="355" t="str">
        <f t="shared" si="134"/>
        <v/>
      </c>
      <c r="HY43" s="355" t="str">
        <f t="shared" si="135"/>
        <v/>
      </c>
      <c r="HZ43" s="355" t="str">
        <f t="shared" si="136"/>
        <v/>
      </c>
      <c r="IA43" s="355" t="str">
        <f t="shared" si="137"/>
        <v>Ga, </v>
      </c>
      <c r="IB43" s="355" t="str">
        <f t="shared" si="138"/>
        <v/>
      </c>
      <c r="IC43" s="355" t="str">
        <f t="shared" si="139"/>
        <v/>
      </c>
      <c r="ID43" s="355" t="str">
        <f t="shared" si="140"/>
        <v/>
      </c>
      <c r="IE43" s="355" t="str">
        <f t="shared" si="141"/>
        <v/>
      </c>
      <c r="IF43" s="355" t="str">
        <f t="shared" si="142"/>
        <v/>
      </c>
      <c r="IG43" s="355" t="str">
        <f t="shared" si="143"/>
        <v/>
      </c>
      <c r="IH43" s="355" t="str">
        <f t="shared" si="144"/>
        <v/>
      </c>
      <c r="II43" s="359" t="str">
        <f t="shared" si="145"/>
        <v/>
      </c>
      <c r="IJ43" s="346" t="b">
        <f t="shared" si="146"/>
        <v>0</v>
      </c>
      <c r="IK43" s="347" t="b">
        <f t="shared" si="147"/>
        <v>0</v>
      </c>
      <c r="IL43" s="347" t="b">
        <f t="shared" si="148"/>
        <v>0</v>
      </c>
      <c r="IM43" s="347" t="b">
        <f t="shared" si="149"/>
        <v>0</v>
      </c>
      <c r="IN43" s="347" t="b">
        <f t="shared" si="150"/>
        <v>1</v>
      </c>
      <c r="IO43" s="347" t="b">
        <f t="shared" si="151"/>
        <v>0</v>
      </c>
      <c r="IP43" s="347" t="b">
        <f t="shared" si="152"/>
        <v>0</v>
      </c>
      <c r="IQ43" s="347" t="b">
        <f t="shared" si="153"/>
        <v>0</v>
      </c>
      <c r="IR43" s="347" t="b">
        <f t="shared" si="154"/>
        <v>0</v>
      </c>
      <c r="IS43" s="347" t="b">
        <f t="shared" si="155"/>
        <v>0</v>
      </c>
      <c r="IT43" s="347" t="b">
        <f t="shared" si="156"/>
        <v>0</v>
      </c>
      <c r="IU43" s="347" t="b">
        <f t="shared" si="157"/>
        <v>0</v>
      </c>
      <c r="IV43" s="365" t="b">
        <f t="shared" si="158"/>
        <v>0</v>
      </c>
      <c r="IW43" s="354" t="str">
        <f t="shared" si="159"/>
        <v/>
      </c>
      <c r="IX43" s="355" t="str">
        <f t="shared" si="160"/>
        <v/>
      </c>
      <c r="IY43" s="355" t="str">
        <f t="shared" si="161"/>
        <v/>
      </c>
      <c r="IZ43" s="355" t="str">
        <f t="shared" si="162"/>
        <v/>
      </c>
      <c r="JA43" s="355" t="str">
        <f t="shared" si="163"/>
        <v>Ga, </v>
      </c>
      <c r="JB43" s="355" t="str">
        <f t="shared" si="164"/>
        <v/>
      </c>
      <c r="JC43" s="355" t="str">
        <f t="shared" si="165"/>
        <v/>
      </c>
      <c r="JD43" s="355" t="str">
        <f t="shared" si="166"/>
        <v/>
      </c>
      <c r="JE43" s="355" t="str">
        <f t="shared" si="167"/>
        <v/>
      </c>
      <c r="JF43" s="355" t="str">
        <f t="shared" si="168"/>
        <v/>
      </c>
      <c r="JG43" s="355" t="str">
        <f t="shared" si="169"/>
        <v/>
      </c>
      <c r="JH43" s="355" t="str">
        <f t="shared" si="170"/>
        <v/>
      </c>
      <c r="JI43" s="359"/>
      <c r="JJ43" s="321"/>
      <c r="JK43" s="368"/>
      <c r="JL43" s="369"/>
      <c r="JM43" s="369"/>
      <c r="JN43" s="369"/>
      <c r="JO43" s="369"/>
      <c r="JP43" s="369"/>
      <c r="JQ43" s="369"/>
      <c r="JR43" s="369"/>
      <c r="JS43" s="369"/>
      <c r="JT43" s="369"/>
      <c r="JU43" s="369"/>
    </row>
    <row r="44" ht="20.25" customHeight="1">
      <c r="A44" s="221" t="s">
        <v>937</v>
      </c>
      <c r="B44" s="223" t="s">
        <v>938</v>
      </c>
      <c r="C44" s="222" t="s">
        <v>275</v>
      </c>
      <c r="D44" s="222"/>
      <c r="E44" s="222" t="s">
        <v>275</v>
      </c>
      <c r="F44" s="222"/>
      <c r="G44" s="395" t="s">
        <v>275</v>
      </c>
      <c r="H44" s="222">
        <v>42.0</v>
      </c>
      <c r="I44" s="224" t="s">
        <v>1219</v>
      </c>
      <c r="J44" s="414">
        <f t="shared" si="5"/>
        <v>2</v>
      </c>
      <c r="K44" s="227">
        <f t="shared" si="6"/>
        <v>6</v>
      </c>
      <c r="L44" s="229">
        <f t="shared" si="7"/>
        <v>5</v>
      </c>
      <c r="M44" s="230">
        <f t="shared" si="8"/>
        <v>1</v>
      </c>
      <c r="N44" s="233" t="str">
        <f t="shared" si="9"/>
        <v>SgGmdnS</v>
      </c>
      <c r="O44" s="234" t="str">
        <f>IFERROR(__xludf.DUMMYFUNCTION("IF(REGEXMATCH(N44, ""S""), ""S"","""")"),"S")</f>
        <v>S</v>
      </c>
      <c r="P44" s="236" t="str">
        <f>IFERROR(__xludf.DUMMYFUNCTION("IF(REGEXMATCH(N44, ""r""), ""r"","""")"),"")</f>
        <v/>
      </c>
      <c r="Q44" s="237" t="str">
        <f>IFERROR(__xludf.DUMMYFUNCTION("IF(REGEXMATCH(N44, ""R""), ""R"","""")"),"")</f>
        <v/>
      </c>
      <c r="R44" s="237" t="str">
        <f>IFERROR(__xludf.DUMMYFUNCTION("IF(REGEXMATCH(N44, ""g""), ""g"","""")"),"g")</f>
        <v>g</v>
      </c>
      <c r="S44" s="236" t="str">
        <f>IFERROR(__xludf.DUMMYFUNCTION("IF(REGEXMATCH(N44, ""G""), ""G"","""")"),"G")</f>
        <v>G</v>
      </c>
      <c r="T44" s="236" t="str">
        <f>IFERROR(__xludf.DUMMYFUNCTION("IF(REGEXMATCH(N44, ""m""), ""m"","""")"),"m")</f>
        <v>m</v>
      </c>
      <c r="U44" s="237" t="str">
        <f>IFERROR(__xludf.DUMMYFUNCTION("IF(REGEXMATCH(N44, ""M""), ""M"","""")"),"")</f>
        <v/>
      </c>
      <c r="V44" s="236" t="str">
        <f>IFERROR(__xludf.DUMMYFUNCTION("IF(REGEXMATCH(N44, ""P""), ""P"","""")"),"")</f>
        <v/>
      </c>
      <c r="W44" s="237" t="str">
        <f>IFERROR(__xludf.DUMMYFUNCTION("IF(REGEXMATCH(N44, ""d""), ""d"","""")"),"d")</f>
        <v>d</v>
      </c>
      <c r="X44" s="236" t="str">
        <f>IFERROR(__xludf.DUMMYFUNCTION("IF(REGEXMATCH(N44, ""D""), ""D"","""")"),"")</f>
        <v/>
      </c>
      <c r="Y44" s="236" t="str">
        <f>IFERROR(__xludf.DUMMYFUNCTION("IF(REGEXMATCH(N44, ""n""), ""n"","""")"),"n")</f>
        <v>n</v>
      </c>
      <c r="Z44" s="237" t="str">
        <f>IFERROR(__xludf.DUMMYFUNCTION("IF(REGEXMATCH(N44, ""N""), ""N"","""")"),"")</f>
        <v/>
      </c>
      <c r="AA44" s="238" t="str">
        <f>IFERROR(__xludf.DUMMYFUNCTION("IF(REGEXMATCH(N44, ""S""), ""S"","""")"),"S")</f>
        <v>S</v>
      </c>
      <c r="AB44" s="239" t="str">
        <f>IFERROR(__xludf.DUMMYFUNCTION("SUBSTITUTE(CONCATENATE(JOIN(""-"",O44:U44)),""-"","""")"),"SgGm")</f>
        <v>SgGm</v>
      </c>
      <c r="AC44" s="229" t="str">
        <f>IFERROR(__xludf.DUMMYFUNCTION("SUBSTITUTE(CONCATENATE(JOIN(""-"",V44:AA44)),""-"","""")"),"dnS")</f>
        <v>dnS</v>
      </c>
      <c r="AD44" s="282" t="str">
        <f t="shared" si="10"/>
        <v>S-G-M</v>
      </c>
      <c r="AE44" s="282" t="str">
        <f t="shared" si="11"/>
        <v>D-N-S</v>
      </c>
      <c r="AF44" s="309" t="str">
        <f t="shared" si="12"/>
        <v>gGmdn</v>
      </c>
      <c r="AG44" s="244" t="str">
        <f>IFERROR(__xludf.DUMMYFUNCTION("IF(REGEXMATCH(N44, ""S""), ""0"","""")"),"0")</f>
        <v>0</v>
      </c>
      <c r="AH44" s="245" t="str">
        <f>IFERROR(__xludf.DUMMYFUNCTION("IF(REGEXMATCH(N44, ""r""), ""1"","""")"),"")</f>
        <v/>
      </c>
      <c r="AI44" s="246" t="str">
        <f>IFERROR(__xludf.DUMMYFUNCTION("IF(REGEXMATCH(N44, ""R""), ""2"","""")"),"")</f>
        <v/>
      </c>
      <c r="AJ44" s="246" t="str">
        <f>IFERROR(__xludf.DUMMYFUNCTION("IF(REGEXMATCH(N44, ""g""), ""3"","""")"),"3")</f>
        <v>3</v>
      </c>
      <c r="AK44" s="245" t="str">
        <f>IFERROR(__xludf.DUMMYFUNCTION("IF(REGEXMATCH(N44, ""G""), ""4"","""")"),"4")</f>
        <v>4</v>
      </c>
      <c r="AL44" s="245" t="str">
        <f>IFERROR(__xludf.DUMMYFUNCTION("IF(REGEXMATCH(N44, ""m""), ""5"","""")"),"5")</f>
        <v>5</v>
      </c>
      <c r="AM44" s="246" t="str">
        <f>IFERROR(__xludf.DUMMYFUNCTION("IF(REGEXMATCH(N44, ""M""), ""6"","""")"),"")</f>
        <v/>
      </c>
      <c r="AN44" s="245" t="str">
        <f>IFERROR(__xludf.DUMMYFUNCTION("IF(REGEXMATCH(N44, ""P""), ""7"","""")"),"")</f>
        <v/>
      </c>
      <c r="AO44" s="246" t="str">
        <f>IFERROR(__xludf.DUMMYFUNCTION("IF(REGEXMATCH(N44, ""d""), ""8"","""")"),"8")</f>
        <v>8</v>
      </c>
      <c r="AP44" s="245" t="str">
        <f>IFERROR(__xludf.DUMMYFUNCTION("IF(REGEXMATCH(N44, ""D""), ""9"","""")"),"")</f>
        <v/>
      </c>
      <c r="AQ44" s="245" t="str">
        <f>IFERROR(__xludf.DUMMYFUNCTION("IF(REGEXMATCH(N44, ""n""), ""10"","""")"),"10")</f>
        <v>10</v>
      </c>
      <c r="AR44" s="246" t="str">
        <f>IFERROR(__xludf.DUMMYFUNCTION("IF(REGEXMATCH(N44, ""N""), ""11"","""")"),"")</f>
        <v/>
      </c>
      <c r="AS44" s="249" t="str">
        <f>IFERROR(__xludf.DUMMYFUNCTION("IF(REGEXMATCH(N44, ""S""), ""0"","""")"),"0")</f>
        <v>0</v>
      </c>
      <c r="AT44" s="250" t="str">
        <f>IFERROR(__xludf.DUMMYFUNCTION("SUBSTITUTE(SUBSTITUTE(SUBSTITUTE(SUBSTITUTE(CONCATENATE(JOIN(""-"",AG44:AS44)),""--"",""-""),""--"",""-""),""--"",""-""),""--"",""-"")"),"0-3-4-5-8-10-0")</f>
        <v>0-3-4-5-8-10-0</v>
      </c>
      <c r="AU44" s="251">
        <f t="shared" si="13"/>
        <v>2</v>
      </c>
      <c r="AV44" s="234" t="str">
        <f t="shared" si="14"/>
        <v>|</v>
      </c>
      <c r="AW44" s="236" t="str">
        <f t="shared" si="15"/>
        <v>-</v>
      </c>
      <c r="AX44" s="237" t="str">
        <f t="shared" si="16"/>
        <v>-</v>
      </c>
      <c r="AY44" s="236" t="str">
        <f t="shared" si="17"/>
        <v>|</v>
      </c>
      <c r="AZ44" s="237" t="str">
        <f t="shared" si="18"/>
        <v>|</v>
      </c>
      <c r="BA44" s="236" t="str">
        <f t="shared" si="19"/>
        <v>|</v>
      </c>
      <c r="BB44" s="237" t="str">
        <f t="shared" si="20"/>
        <v>-</v>
      </c>
      <c r="BC44" s="236" t="str">
        <f t="shared" si="21"/>
        <v>-</v>
      </c>
      <c r="BD44" s="237" t="str">
        <f t="shared" si="22"/>
        <v>|</v>
      </c>
      <c r="BE44" s="236" t="str">
        <f t="shared" si="23"/>
        <v>-</v>
      </c>
      <c r="BF44" s="237" t="str">
        <f t="shared" si="24"/>
        <v>|</v>
      </c>
      <c r="BG44" s="236" t="str">
        <f t="shared" si="25"/>
        <v>-</v>
      </c>
      <c r="BH44" s="238" t="str">
        <f t="shared" si="26"/>
        <v>|</v>
      </c>
      <c r="BI44" s="250" t="str">
        <f>IFERROR(__xludf.DUMMYFUNCTION("SUBSTITUTE(SUBSTITUTE(CONCATENATE(JOIN("""",AV44:BG44)),""|"",""x""),""-"",""o"")"),"xooxxxooxoxo")</f>
        <v>xooxxxooxoxo</v>
      </c>
      <c r="BJ44" s="323" t="str">
        <f>IFERROR(__xludf.DUMMYFUNCTION("JOIN("""",BI44,BI44)"),"xooxxxooxoxoxooxxxooxoxo")</f>
        <v>xooxxxooxoxoxooxxxooxoxo</v>
      </c>
      <c r="BK44" s="256" t="str">
        <f>IFERROR(__xludf.DUMMYFUNCTION("JOIN("""",ArrayFormula(MID(BI44,LEN(BI44)-SEQUENCE(1,LEN(BI44))+1,1)))"),"oxoxooxxxoox")</f>
        <v>oxoxooxxxoox</v>
      </c>
      <c r="BL44" s="256" t="str">
        <f>IFERROR(__xludf.DUMMYFUNCTION("LEFT(CONCATENATE(""x"",JOIN("""",ArrayFormula(MID(BI44,LEN(BI44)-SEQUENCE(1,LEN(BI44))+1,1)))),12)"),"xoxoxooxxxoo")</f>
        <v>xoxoxooxxxoo</v>
      </c>
      <c r="BM44" s="327" t="str">
        <f>IFERROR(__xludf.DUMMYFUNCTION("JOIN("""",BK44,BK44)"),"oxoxooxxxooxoxoxooxxxoox")</f>
        <v>oxoxooxxxooxoxoxooxxxoox</v>
      </c>
      <c r="BN44" s="239" t="str">
        <f>IFERROR(__xludf.DUMMYFUNCTION("IF(REGEXMATCH(BM44,BI44),""✔"",""-"")"),"✔")</f>
        <v>✔</v>
      </c>
      <c r="BO44" s="330" t="str">
        <f t="shared" si="27"/>
        <v>-</v>
      </c>
      <c r="BP44" s="260" t="str">
        <f t="shared" si="28"/>
        <v>-</v>
      </c>
      <c r="BQ44" s="261" t="str">
        <f>IFERROR(__xludf.DUMMYFUNCTION("IF(BT44=0,""(n/a)"",IF(BU44=2,""(PAIR)"",IF(REGEXMATCH(BJ44,""xoxoxxoxoxox""),""Bilawal"",IF(REGEXMATCH(BJ44,""xoxoxooxoxoo""),""Bhupali"",IF(REGEXMATCH(BJ44,""xoxoxxoxxoxo""),""Charukeshi"",IF(REGEXMATCH(BJ44,""xoxoooxxoxxo""),""Kameshwari"",IF(REGEXMATC"&amp;"H(BJ44,""xoxoxooxoxox""),""Shankara"",IF(REGEXMATCH(BJ44,""xxooxoxxxoox""),""Basant"",IF(REGEXMATCH(BJ44,""xoxoxxxxoxox""),""Bihag"",IF(REGEXMATCH(BJ44,""xoxxxxoxoxxx""),""Pilu"",IF(REGEXMATCH(BJ44,""xoxxoxoxxoox""),""Kirwani"",IF(REGEXMATCH(BJ44,""xoxxox"&amp;"oxoxxx""),""Mk.Malhar"",IF(REGEXMATCH(BJ44,""xxooxxoxxoox""),""Bhairav"",IF(REGEXMATCH(BJ44,""xxoxooxxxoox""),""Todi"",IF(REGEXMATCH(BJ44,""xxooxoxooxox""),""Marwa"",IF(REGEXMATCH(BJ44,""xxoooxoxxooo""),""Gunkali"",IF(REGEXMATCH(BJ44,""xoxoxxoxxoox""),""N"&amp;"at Bhairav"",IF(REGEXMATCH(BJ44,""xoxxoooxoxoo""),""Shivranjani"",IF(REGEXMATCH(BJ44,""xooxxxoxooxo""),""Jog"",IF(REGEXMATCH(BJ44,""xxooxoxoxoox""),""Hemshri"",IF(REGEXMATCH(BJ44,""xoooxooxoxxo""),""Kalavati"",IF(REGEXMATCH(BJ44,""xxoxoxxoxoox""),""Kedar"&amp;""",IF(REGEXMATCH(BJ44,""xoxxxxoxooxx""),""Gara"",IF(REGEXMATCH(BJ44,""xooxoxooxoox""),""Chandrakauns"",IF(REGEXMATCH(BJ44,""xoxxxxoxxxox""),""Mand"",IF(REGEXMATCH(BJ44,""xoxxxxoxoxox""),""Hanskinkini"",IF(REGEXMATCH(BJ44,""xxooxxoxooxo""),""Lilavati"",IF("&amp;"REGEXMATCH(BJ44,""xooxoxoooxox""),""Rajeshwari"",IF(REGEXMATCH(BJ44,""xoooxxoxoxxx""),""Khokar"",IF(REGEXMATCH(BJ44,""xxooxoxxxxox""),""Maligoura"",""-""))))))))))))))))))))))))))))))"),"(n/a)")</f>
        <v>(n/a)</v>
      </c>
      <c r="BR44" s="239">
        <f t="shared" si="29"/>
        <v>5</v>
      </c>
      <c r="BS44" s="239">
        <f>IFERROR(__xludf.DUMMYFUNCTION("COUNTUNIQUE(BW44:CG44)-1"),5.0)</f>
        <v>5</v>
      </c>
      <c r="BT44" s="239">
        <f>IFERROR(__xludf.DUMMYFUNCTION("COUNTUNIQUE(FILTER(BJ:BJ,REGEXMATCH(BJ:BJ,BI44)))-1"),0.0)</f>
        <v>0</v>
      </c>
      <c r="BU44" s="239">
        <f>IFERROR(__xludf.DUMMYFUNCTION("COUNTA(FILTER(BJ:BJ,REGEXMATCH(BJ:BJ,BI44)))"),3.0)</f>
        <v>3</v>
      </c>
      <c r="BV44" s="341">
        <f>IFERROR(__xludf.DUMMYFUNCTION("COUNTA(FILTER(BJ:BJ,REGEXMATCH(BJ:BJ,BI44)))-AU44"),1.0)</f>
        <v>1</v>
      </c>
      <c r="BW44" s="269" t="str">
        <f t="shared" si="30"/>
        <v>-</v>
      </c>
      <c r="BX44" s="269" t="str">
        <f t="shared" si="31"/>
        <v>-</v>
      </c>
      <c r="BY44" s="271" t="str">
        <f t="shared" si="32"/>
        <v>xxxooxoxoxo</v>
      </c>
      <c r="BZ44" s="269" t="str">
        <f t="shared" si="33"/>
        <v>xxooxoxoxoo</v>
      </c>
      <c r="CA44" s="271" t="str">
        <f t="shared" si="34"/>
        <v>xooxoxoxoox</v>
      </c>
      <c r="CB44" s="271" t="str">
        <f t="shared" si="35"/>
        <v>-</v>
      </c>
      <c r="CC44" s="271" t="str">
        <f t="shared" si="36"/>
        <v>-</v>
      </c>
      <c r="CD44" s="271" t="str">
        <f t="shared" si="37"/>
        <v>xoxoxooxxxo</v>
      </c>
      <c r="CE44" s="271" t="str">
        <f t="shared" si="38"/>
        <v>-</v>
      </c>
      <c r="CF44" s="271" t="str">
        <f t="shared" si="39"/>
        <v>xoxooxxxoox</v>
      </c>
      <c r="CG44" s="274" t="str">
        <f t="shared" si="40"/>
        <v>-</v>
      </c>
      <c r="CH44" s="276" t="str">
        <f>IFERROR(__xludf.DUMMYFUNCTION("IF(BI44=""oooooooooooo"",""-"",IF(REGEXMATCH(BJ44,""xx""), ""Hemi."", ""Anhemi.""))"),"Hemi.")</f>
        <v>Hemi.</v>
      </c>
      <c r="CI44" s="282" t="str">
        <f>IFERROR(__xludf.DUMMYFUNCTION("IF(BI44=""oooooooooooo"",""-"",IF(REGEXMATCH(BJ44,""xxx""), ""Cohem."", ""-""))"),"Cohem.")</f>
        <v>Cohem.</v>
      </c>
      <c r="CJ44" s="282" t="str">
        <f>IFERROR(__xludf.DUMMYFUNCTION("IF(BI44=""oooooooooooo"",""-"",IF(REGEXMATCH(BJ44,""xxxx""), ""Co-Co."", ""-""))"),"-")</f>
        <v>-</v>
      </c>
      <c r="CK44" s="342" t="str">
        <f>IFERROR(__xludf.DUMMYFUNCTION("IF(BI44=""oooooooooooo"",""-"",IF(REGEXMATCH(BJ44,""xxxxx""), ""CCC."", ""-""))"),"-")</f>
        <v>-</v>
      </c>
      <c r="CL44" s="344" t="str">
        <f t="shared" si="41"/>
        <v>-</v>
      </c>
      <c r="CM44" s="282" t="str">
        <f>IFERROR(__xludf.DUMMYFUNCTION("IF(REGEXMATCH(JOIN(""-"",CO44:CX44),""TRUE""),""✔"",""-"")"),"-")</f>
        <v>-</v>
      </c>
      <c r="CN44" s="225">
        <f t="shared" si="42"/>
        <v>0</v>
      </c>
      <c r="CO44" s="376" t="b">
        <f>IFERROR(__xludf.DUMMYFUNCTION("arrayformula(sum(--REGEXMATCH(""SRGMPDNS"",split(REGEXREPLACE(N44,""(.)"",""$1~""),""~""))))=len(N44)
"),FALSE)</f>
        <v>0</v>
      </c>
      <c r="CP44" s="290" t="b">
        <f>IFERROR(__xludf.DUMMYFUNCTION("arrayformula(sum(--REGEXMATCH(""SRGmPDNS"",split(REGEXREPLACE(N44,""(.)"",""$1~""),""~""))))=len(N44)"),FALSE)</f>
        <v>0</v>
      </c>
      <c r="CQ44" s="290" t="b">
        <f>IFERROR(__xludf.DUMMYFUNCTION("arrayformula(sum(--REGEXMATCH(""SRGmPDnS"",split(REGEXREPLACE(N44,""(.)"",""$1~""),""~""))))=len(N44)"),FALSE)</f>
        <v>0</v>
      </c>
      <c r="CR44" s="290" t="b">
        <f>IFERROR(__xludf.DUMMYFUNCTION("arrayformula(sum(--REGEXMATCH(""SRgmPDnS"",split(REGEXREPLACE(N44,""(.)"",""$1~""),""~""))))=len(N44)"),FALSE)</f>
        <v>0</v>
      </c>
      <c r="CS44" s="290" t="b">
        <f>IFERROR(__xludf.DUMMYFUNCTION("arrayformula(sum(--REGEXMATCH(""SRgmPdnS"",split(REGEXREPLACE(N44,""(.)"",""$1~""),""~""))))=len(N44)"),FALSE)</f>
        <v>0</v>
      </c>
      <c r="CT44" s="290" t="b">
        <f>IFERROR(__xludf.DUMMYFUNCTION("arrayformula(sum(--REGEXMATCH(""SrgmPdnS"",split(REGEXREPLACE(N44,""(.)"",""$1~""),""~""))))=len(N44)"),FALSE)</f>
        <v>0</v>
      </c>
      <c r="CU44" s="290" t="b">
        <f>IFERROR(__xludf.DUMMYFUNCTION("arrayformula(sum(--REGEXMATCH(""SrGmPdNS"",split(REGEXREPLACE(N44,""(.)"",""$1~""),""~""))))=len(N44)"),FALSE)</f>
        <v>0</v>
      </c>
      <c r="CV44" s="290" t="b">
        <f>IFERROR(__xludf.DUMMYFUNCTION("arrayformula(sum(--REGEXMATCH(""SrGMPDNS"",split(REGEXREPLACE(N44,""(.)"",""$1~""),""~""))))=len(N44)"),FALSE)</f>
        <v>0</v>
      </c>
      <c r="CW44" s="290" t="b">
        <f>IFERROR(__xludf.DUMMYFUNCTION("arrayformula(sum(--REGEXMATCH(""SrGMPdNS"",split(REGEXREPLACE(N44,""(.)"",""$1~""),""~""))))=len(N44)"),FALSE)</f>
        <v>0</v>
      </c>
      <c r="CX44" s="293" t="b">
        <f>IFERROR(__xludf.DUMMYFUNCTION("arrayformula(sum(--REGEXMATCH(""SrgMPdNS"",split(REGEXREPLACE(N44,""(.)"",""$1~""),""~""))))=len(N44)"),FALSE)</f>
        <v>0</v>
      </c>
      <c r="CY44" s="244" t="str">
        <f>IFERROR(__xludf.DUMMYFUNCTION("IF(REGEXMATCH(N44, ""S""), ""1"","""")"),"1")</f>
        <v>1</v>
      </c>
      <c r="CZ44" s="245" t="str">
        <f>IFERROR(__xludf.DUMMYFUNCTION("IF(REGEXMATCH(N44, ""r""), ""b2"","""")"),"")</f>
        <v/>
      </c>
      <c r="DA44" s="246" t="str">
        <f>IFERROR(__xludf.DUMMYFUNCTION("IF(REGEXMATCH(N44, ""R""), ""2"","""")"),"")</f>
        <v/>
      </c>
      <c r="DB44" s="246" t="str">
        <f>IFERROR(__xludf.DUMMYFUNCTION("IF(REGEXMATCH(N44, ""g""), ""b3"","""")"),"b3")</f>
        <v>b3</v>
      </c>
      <c r="DC44" s="245" t="str">
        <f>IFERROR(__xludf.DUMMYFUNCTION("IF(REGEXMATCH(N44, ""G""), ""3"","""")"),"3")</f>
        <v>3</v>
      </c>
      <c r="DD44" s="245" t="str">
        <f>IFERROR(__xludf.DUMMYFUNCTION("IF(REGEXMATCH(N44, ""m""), ""4"","""")"),"4")</f>
        <v>4</v>
      </c>
      <c r="DE44" s="246" t="str">
        <f>IFERROR(__xludf.DUMMYFUNCTION("IF(REGEXMATCH(N44, ""M""), ""#4"","""")"),"")</f>
        <v/>
      </c>
      <c r="DF44" s="245" t="str">
        <f>IFERROR(__xludf.DUMMYFUNCTION("IF(REGEXMATCH(N44, ""P""), ""5"","""")"),"")</f>
        <v/>
      </c>
      <c r="DG44" s="246" t="str">
        <f>IFERROR(__xludf.DUMMYFUNCTION("IF(REGEXMATCH(N44, ""d""), ""b6"","""")"),"b6")</f>
        <v>b6</v>
      </c>
      <c r="DH44" s="245" t="str">
        <f>IFERROR(__xludf.DUMMYFUNCTION("IF(REGEXMATCH(N44, ""D""), ""6"","""")"),"")</f>
        <v/>
      </c>
      <c r="DI44" s="245" t="str">
        <f>IFERROR(__xludf.DUMMYFUNCTION("IF(REGEXMATCH(N44, ""n""), ""b7"","""")"),"b7")</f>
        <v>b7</v>
      </c>
      <c r="DJ44" s="246" t="str">
        <f>IFERROR(__xludf.DUMMYFUNCTION("IF(REGEXMATCH(N44, ""N""), ""7"","""")"),"")</f>
        <v/>
      </c>
      <c r="DK44" s="249" t="str">
        <f>IFERROR(__xludf.DUMMYFUNCTION("IF(REGEXMATCH(N44, ""S""), ""8"","""")"),"8")</f>
        <v>8</v>
      </c>
      <c r="DL44" s="244" t="str">
        <f>IFERROR(__xludf.DUMMYFUNCTION("IF(REGEXMATCH(N44, ""S""), ""S"","""")"),"S")</f>
        <v>S</v>
      </c>
      <c r="DM44" s="294" t="str">
        <f>IFERROR(__xludf.DUMMYFUNCTION("IF(REGEXMATCH(N44, ""r""), ""R1"","""")"),"")</f>
        <v/>
      </c>
      <c r="DN44" s="295" t="str">
        <f>IFERROR(__xludf.DUMMYFUNCTION("IF(REGEXMATCH(N44, ""R""), ""R2"","""")"),"")</f>
        <v/>
      </c>
      <c r="DO44" s="295" t="str">
        <f>IFERROR(__xludf.DUMMYFUNCTION("IF(REGEXMATCH(N44, ""g""), ""G2"","""")"),"G2")</f>
        <v>G2</v>
      </c>
      <c r="DP44" s="294" t="str">
        <f>IFERROR(__xludf.DUMMYFUNCTION("IF(REGEXMATCH(N44, ""G""), ""G3"","""")"),"G3")</f>
        <v>G3</v>
      </c>
      <c r="DQ44" s="294" t="str">
        <f>IFERROR(__xludf.DUMMYFUNCTION("IF(REGEXMATCH(N44, ""m""), ""M1"","""")"),"M1")</f>
        <v>M1</v>
      </c>
      <c r="DR44" s="295" t="str">
        <f>IFERROR(__xludf.DUMMYFUNCTION("IF(REGEXMATCH(N44, ""M""), ""M2"","""")"),"")</f>
        <v/>
      </c>
      <c r="DS44" s="294" t="str">
        <f>IFERROR(__xludf.DUMMYFUNCTION("IF(REGEXMATCH(N44, ""P""), ""P"","""")"),"")</f>
        <v/>
      </c>
      <c r="DT44" s="295" t="str">
        <f>IFERROR(__xludf.DUMMYFUNCTION("IF(REGEXMATCH(N44, ""d""), ""D1"","""")"),"D1")</f>
        <v>D1</v>
      </c>
      <c r="DU44" s="294" t="str">
        <f>IFERROR(__xludf.DUMMYFUNCTION("IF(REGEXMATCH(N44, ""D""), ""D2"","""")"),"")</f>
        <v/>
      </c>
      <c r="DV44" s="294" t="str">
        <f>IFERROR(__xludf.DUMMYFUNCTION("IF(REGEXMATCH(N44, ""n""), ""N2"","""")"),"N2")</f>
        <v>N2</v>
      </c>
      <c r="DW44" s="295" t="str">
        <f>IFERROR(__xludf.DUMMYFUNCTION("IF(REGEXMATCH(N44, ""N""), ""N3"","""")"),"")</f>
        <v/>
      </c>
      <c r="DX44" s="249" t="str">
        <f>IFERROR(__xludf.DUMMYFUNCTION("IF(REGEXMATCH(N44, ""S""), ""S"","""")"),"S")</f>
        <v>S</v>
      </c>
      <c r="DY44" s="299" t="str">
        <f>IFERROR(__xludf.DUMMYFUNCTION("SUBSTITUTE(SUBSTITUTE(SUBSTITUTE(SUBSTITUTE(CONCATENATE(JOIN(""-"",CY44:DK44)),""--"",""-""),""--"",""-""),""--"",""-""),""--"",""-"")"),"1-b3-3-4-b6-b7-8")</f>
        <v>1-b3-3-4-b6-b7-8</v>
      </c>
      <c r="DZ44" s="299" t="str">
        <f>IFERROR(__xludf.DUMMYFUNCTION("SUBSTITUTE(SUBSTITUTE(SUBSTITUTE(SUBSTITUTE(CONCATENATE(JOIN(""-"",DL44:DX44)),""--"",""-""),""--"",""-""),""--"",""-""),""--"",""-"")"),"S-G2-G3-M1-D1-N2-S")</f>
        <v>S-G2-G3-M1-D1-N2-S</v>
      </c>
      <c r="EA44" s="348" t="str">
        <f t="shared" si="43"/>
        <v>C-Eb-E-F-Ab-Bb-C</v>
      </c>
      <c r="EB44" s="301">
        <f t="shared" si="44"/>
        <v>6</v>
      </c>
      <c r="EC44" s="302" t="str">
        <f t="shared" si="45"/>
        <v>Audav</v>
      </c>
      <c r="ED44" s="301" t="str">
        <f t="shared" ref="ED44:EE44" si="210">SUBSTITUTE(AD44,"-","")</f>
        <v>SGM</v>
      </c>
      <c r="EE44" s="301" t="str">
        <f t="shared" si="210"/>
        <v>DNS</v>
      </c>
      <c r="EF44" s="302" t="str">
        <f t="shared" si="47"/>
        <v>(n/a)</v>
      </c>
      <c r="EG44" s="301" t="str">
        <f t="shared" si="48"/>
        <v>Hemi.</v>
      </c>
      <c r="EH44" s="364" t="str">
        <f t="shared" si="49"/>
        <v>Cohem.</v>
      </c>
      <c r="EI44" s="306" t="str">
        <f t="shared" si="50"/>
        <v>-</v>
      </c>
      <c r="EJ44" s="366" t="str">
        <f t="shared" si="51"/>
        <v>-</v>
      </c>
      <c r="EK44" s="308" t="str">
        <f t="shared" si="52"/>
        <v>✔</v>
      </c>
      <c r="EL44" s="306" t="str">
        <f t="shared" si="53"/>
        <v>-</v>
      </c>
      <c r="EM44" s="306" t="str">
        <f t="shared" si="54"/>
        <v>-</v>
      </c>
      <c r="EN44" s="367" t="str">
        <f t="shared" si="55"/>
        <v>-</v>
      </c>
      <c r="EO44" s="310" t="str">
        <f t="shared" si="56"/>
        <v>-</v>
      </c>
      <c r="EP44" s="310" t="str">
        <f t="shared" si="57"/>
        <v>✔</v>
      </c>
      <c r="EQ44" s="310" t="str">
        <f t="shared" si="58"/>
        <v>-</v>
      </c>
      <c r="ER44" s="310" t="str">
        <f t="shared" si="59"/>
        <v>-</v>
      </c>
      <c r="ES44" s="370" t="str">
        <f t="shared" si="60"/>
        <v>-</v>
      </c>
      <c r="ET44" s="306" t="str">
        <f t="shared" si="61"/>
        <v>✔</v>
      </c>
      <c r="EU44" s="306" t="str">
        <f t="shared" si="62"/>
        <v>-</v>
      </c>
      <c r="EV44" s="306" t="str">
        <f t="shared" si="63"/>
        <v>-</v>
      </c>
      <c r="EW44" s="306" t="str">
        <f t="shared" si="64"/>
        <v>✔</v>
      </c>
      <c r="EX44" s="306" t="str">
        <f t="shared" si="65"/>
        <v>-</v>
      </c>
      <c r="EY44" s="367" t="str">
        <f t="shared" si="66"/>
        <v>-</v>
      </c>
      <c r="EZ44" s="310" t="str">
        <f>IFERROR(__xludf.DUMMYFUNCTION("IF(REGEXMATCH(BM44,BI44),""✔"",""-"")"),"✔")</f>
        <v>✔</v>
      </c>
      <c r="FA44" s="310" t="str">
        <f t="shared" si="67"/>
        <v>-</v>
      </c>
      <c r="FB44" s="370" t="str">
        <f t="shared" si="68"/>
        <v>-</v>
      </c>
      <c r="FC44" s="415">
        <f t="shared" si="69"/>
        <v>2</v>
      </c>
      <c r="FD44" s="317" t="str">
        <f t="shared" si="70"/>
        <v>S-gG-m-d-n-S</v>
      </c>
      <c r="FE44" s="318" t="str">
        <f>IFERROR(__xludf.DUMMYFUNCTION("CONCATENATE(JOIN("""",GJ44:GV44))"),"SRGPdDS")</f>
        <v>SRGPdDS</v>
      </c>
      <c r="FF44" s="318"/>
      <c r="FG44" s="318"/>
      <c r="FH44" s="321">
        <f t="shared" si="71"/>
        <v>2</v>
      </c>
      <c r="FI44" s="318" t="str">
        <f>IFERROR(__xludf.DUMMYFUNCTION("CONCATENATE(JOIN("""",HW44:II44))"),"Sa, Ga, ")</f>
        <v>Sa, Ga, </v>
      </c>
      <c r="FJ44" s="322">
        <f t="shared" si="72"/>
        <v>1</v>
      </c>
      <c r="FK44" s="324" t="str">
        <f>IFERROR(__xludf.DUMMYFUNCTION("CONCATENATE(JOIN("""",IW44:JI44))"),"Ga, ")</f>
        <v>Ga, </v>
      </c>
      <c r="FL44" s="325" t="str">
        <f t="shared" si="73"/>
        <v>S-G2-G3-M1-D1-N2-S</v>
      </c>
      <c r="FM44" s="326" t="str">
        <f t="shared" si="74"/>
        <v>1-b3-3-4-b6-b7-8</v>
      </c>
      <c r="FN44" s="326" t="str">
        <f t="shared" si="75"/>
        <v>0-3-4-5-8-10-0</v>
      </c>
      <c r="FO44" s="318"/>
      <c r="FP44" s="328" t="str">
        <f>IFERROR(__xludf.DUMMYFUNCTION("SUBSTITUTE(SUBSTITUTE(SUBSTITUTE(SUBSTITUTE(CONCATENATE(JOIN("" "",FS44:GE44)),""  "","" ""),""  "","" ""),""  "","" ""),""  "","" "")"),"o • • o o o • • o • o • o")</f>
        <v>o • • o o o • • o • o • o</v>
      </c>
      <c r="FQ44" s="328" t="str">
        <f t="shared" si="76"/>
        <v>Sa-ma</v>
      </c>
      <c r="FR44" s="329"/>
      <c r="FS44" s="331" t="str">
        <f t="shared" si="77"/>
        <v>o</v>
      </c>
      <c r="FT44" s="332" t="str">
        <f t="shared" si="78"/>
        <v>•</v>
      </c>
      <c r="FU44" s="332" t="str">
        <f t="shared" si="79"/>
        <v>•</v>
      </c>
      <c r="FV44" s="332" t="str">
        <f t="shared" si="80"/>
        <v>o</v>
      </c>
      <c r="FW44" s="332" t="str">
        <f t="shared" si="81"/>
        <v>o</v>
      </c>
      <c r="FX44" s="332" t="str">
        <f t="shared" si="82"/>
        <v>o</v>
      </c>
      <c r="FY44" s="332" t="str">
        <f t="shared" si="83"/>
        <v>•</v>
      </c>
      <c r="FZ44" s="332" t="str">
        <f t="shared" si="84"/>
        <v>•</v>
      </c>
      <c r="GA44" s="332" t="str">
        <f t="shared" si="85"/>
        <v>o</v>
      </c>
      <c r="GB44" s="332" t="str">
        <f t="shared" si="86"/>
        <v>•</v>
      </c>
      <c r="GC44" s="332" t="str">
        <f t="shared" si="87"/>
        <v>o</v>
      </c>
      <c r="GD44" s="332" t="str">
        <f t="shared" si="88"/>
        <v>•</v>
      </c>
      <c r="GE44" s="338" t="str">
        <f t="shared" si="89"/>
        <v>o</v>
      </c>
      <c r="GF44" s="339" t="str">
        <f t="shared" si="90"/>
        <v>-</v>
      </c>
      <c r="GG44" s="339" t="str">
        <f t="shared" si="91"/>
        <v>-</v>
      </c>
      <c r="GH44" s="339" t="str">
        <f t="shared" si="92"/>
        <v>-</v>
      </c>
      <c r="GI44" s="340" t="str">
        <f t="shared" si="93"/>
        <v>Sa-ma</v>
      </c>
      <c r="GJ44" s="331" t="str">
        <f t="shared" si="94"/>
        <v>S</v>
      </c>
      <c r="GK44" s="332" t="str">
        <f t="shared" si="95"/>
        <v/>
      </c>
      <c r="GL44" s="332" t="str">
        <f t="shared" si="96"/>
        <v>R</v>
      </c>
      <c r="GM44" s="332" t="str">
        <f t="shared" si="97"/>
        <v/>
      </c>
      <c r="GN44" s="332" t="str">
        <f t="shared" si="98"/>
        <v>G</v>
      </c>
      <c r="GO44" s="332" t="str">
        <f t="shared" si="99"/>
        <v/>
      </c>
      <c r="GP44" s="332" t="str">
        <f t="shared" si="100"/>
        <v/>
      </c>
      <c r="GQ44" s="332" t="str">
        <f t="shared" si="101"/>
        <v>P</v>
      </c>
      <c r="GR44" s="332" t="str">
        <f t="shared" si="102"/>
        <v>d</v>
      </c>
      <c r="GS44" s="332" t="str">
        <f t="shared" si="103"/>
        <v>D</v>
      </c>
      <c r="GT44" s="332" t="str">
        <f t="shared" si="104"/>
        <v/>
      </c>
      <c r="GU44" s="332" t="str">
        <f t="shared" si="105"/>
        <v/>
      </c>
      <c r="GV44" s="343" t="str">
        <f t="shared" si="106"/>
        <v>S</v>
      </c>
      <c r="GW44" s="331" t="str">
        <f t="shared" si="107"/>
        <v>•</v>
      </c>
      <c r="GX44" s="332" t="str">
        <f t="shared" si="108"/>
        <v>o</v>
      </c>
      <c r="GY44" s="332" t="str">
        <f t="shared" si="109"/>
        <v>o</v>
      </c>
      <c r="GZ44" s="332" t="str">
        <f t="shared" si="110"/>
        <v>•</v>
      </c>
      <c r="HA44" s="332" t="str">
        <f t="shared" si="111"/>
        <v>•</v>
      </c>
      <c r="HB44" s="332" t="str">
        <f t="shared" si="112"/>
        <v>•</v>
      </c>
      <c r="HC44" s="332" t="str">
        <f t="shared" si="113"/>
        <v>o</v>
      </c>
      <c r="HD44" s="332" t="str">
        <f t="shared" si="114"/>
        <v>o</v>
      </c>
      <c r="HE44" s="332" t="str">
        <f t="shared" si="115"/>
        <v>•</v>
      </c>
      <c r="HF44" s="332" t="str">
        <f t="shared" si="116"/>
        <v>o</v>
      </c>
      <c r="HG44" s="332" t="str">
        <f t="shared" si="117"/>
        <v>•</v>
      </c>
      <c r="HH44" s="332" t="str">
        <f t="shared" si="118"/>
        <v>o</v>
      </c>
      <c r="HI44" s="338" t="str">
        <f t="shared" si="119"/>
        <v>•</v>
      </c>
      <c r="HJ44" s="346" t="b">
        <f t="shared" si="120"/>
        <v>1</v>
      </c>
      <c r="HK44" s="347" t="b">
        <f t="shared" si="121"/>
        <v>0</v>
      </c>
      <c r="HL44" s="347" t="b">
        <f t="shared" si="122"/>
        <v>0</v>
      </c>
      <c r="HM44" s="347" t="b">
        <f t="shared" si="123"/>
        <v>0</v>
      </c>
      <c r="HN44" s="347" t="b">
        <f t="shared" si="124"/>
        <v>1</v>
      </c>
      <c r="HO44" s="347" t="b">
        <f t="shared" si="125"/>
        <v>0</v>
      </c>
      <c r="HP44" s="347" t="b">
        <f t="shared" si="126"/>
        <v>0</v>
      </c>
      <c r="HQ44" s="347" t="b">
        <f t="shared" si="127"/>
        <v>0</v>
      </c>
      <c r="HR44" s="347" t="b">
        <f t="shared" si="128"/>
        <v>0</v>
      </c>
      <c r="HS44" s="347" t="b">
        <f t="shared" si="129"/>
        <v>0</v>
      </c>
      <c r="HT44" s="347" t="b">
        <f t="shared" si="130"/>
        <v>0</v>
      </c>
      <c r="HU44" s="347" t="b">
        <f t="shared" si="131"/>
        <v>0</v>
      </c>
      <c r="HV44" s="353" t="b">
        <f t="shared" si="132"/>
        <v>1</v>
      </c>
      <c r="HW44" s="354" t="str">
        <f t="shared" si="133"/>
        <v>Sa, </v>
      </c>
      <c r="HX44" s="355" t="str">
        <f t="shared" si="134"/>
        <v/>
      </c>
      <c r="HY44" s="355" t="str">
        <f t="shared" si="135"/>
        <v/>
      </c>
      <c r="HZ44" s="355" t="str">
        <f t="shared" si="136"/>
        <v/>
      </c>
      <c r="IA44" s="355" t="str">
        <f t="shared" si="137"/>
        <v>Ga, </v>
      </c>
      <c r="IB44" s="355" t="str">
        <f t="shared" si="138"/>
        <v/>
      </c>
      <c r="IC44" s="355" t="str">
        <f t="shared" si="139"/>
        <v/>
      </c>
      <c r="ID44" s="355" t="str">
        <f t="shared" si="140"/>
        <v/>
      </c>
      <c r="IE44" s="355" t="str">
        <f t="shared" si="141"/>
        <v/>
      </c>
      <c r="IF44" s="355" t="str">
        <f t="shared" si="142"/>
        <v/>
      </c>
      <c r="IG44" s="355" t="str">
        <f t="shared" si="143"/>
        <v/>
      </c>
      <c r="IH44" s="355" t="str">
        <f t="shared" si="144"/>
        <v/>
      </c>
      <c r="II44" s="359" t="str">
        <f t="shared" si="145"/>
        <v/>
      </c>
      <c r="IJ44" s="346" t="b">
        <f t="shared" si="146"/>
        <v>0</v>
      </c>
      <c r="IK44" s="347" t="b">
        <f t="shared" si="147"/>
        <v>0</v>
      </c>
      <c r="IL44" s="347" t="b">
        <f t="shared" si="148"/>
        <v>0</v>
      </c>
      <c r="IM44" s="347" t="b">
        <f t="shared" si="149"/>
        <v>0</v>
      </c>
      <c r="IN44" s="347" t="b">
        <f t="shared" si="150"/>
        <v>1</v>
      </c>
      <c r="IO44" s="347" t="b">
        <f t="shared" si="151"/>
        <v>0</v>
      </c>
      <c r="IP44" s="347" t="b">
        <f t="shared" si="152"/>
        <v>0</v>
      </c>
      <c r="IQ44" s="347" t="b">
        <f t="shared" si="153"/>
        <v>0</v>
      </c>
      <c r="IR44" s="347" t="b">
        <f t="shared" si="154"/>
        <v>0</v>
      </c>
      <c r="IS44" s="347" t="b">
        <f t="shared" si="155"/>
        <v>0</v>
      </c>
      <c r="IT44" s="347" t="b">
        <f t="shared" si="156"/>
        <v>0</v>
      </c>
      <c r="IU44" s="347" t="b">
        <f t="shared" si="157"/>
        <v>0</v>
      </c>
      <c r="IV44" s="365" t="b">
        <f t="shared" si="158"/>
        <v>0</v>
      </c>
      <c r="IW44" s="354" t="str">
        <f t="shared" si="159"/>
        <v/>
      </c>
      <c r="IX44" s="355" t="str">
        <f t="shared" si="160"/>
        <v/>
      </c>
      <c r="IY44" s="355" t="str">
        <f t="shared" si="161"/>
        <v/>
      </c>
      <c r="IZ44" s="355" t="str">
        <f t="shared" si="162"/>
        <v/>
      </c>
      <c r="JA44" s="355" t="str">
        <f t="shared" si="163"/>
        <v>Ga, </v>
      </c>
      <c r="JB44" s="355" t="str">
        <f t="shared" si="164"/>
        <v/>
      </c>
      <c r="JC44" s="355" t="str">
        <f t="shared" si="165"/>
        <v/>
      </c>
      <c r="JD44" s="355" t="str">
        <f t="shared" si="166"/>
        <v/>
      </c>
      <c r="JE44" s="355" t="str">
        <f t="shared" si="167"/>
        <v/>
      </c>
      <c r="JF44" s="355" t="str">
        <f t="shared" si="168"/>
        <v/>
      </c>
      <c r="JG44" s="355" t="str">
        <f t="shared" si="169"/>
        <v/>
      </c>
      <c r="JH44" s="355" t="str">
        <f t="shared" si="170"/>
        <v/>
      </c>
      <c r="JI44" s="359"/>
      <c r="JJ44" s="321"/>
      <c r="JK44" s="368"/>
      <c r="JL44" s="369"/>
      <c r="JM44" s="369"/>
      <c r="JN44" s="369"/>
      <c r="JO44" s="369"/>
      <c r="JP44" s="369"/>
      <c r="JQ44" s="369"/>
      <c r="JR44" s="369"/>
      <c r="JS44" s="369"/>
      <c r="JT44" s="369"/>
      <c r="JU44" s="369"/>
    </row>
    <row r="45" ht="20.25" customHeight="1">
      <c r="A45" s="221" t="s">
        <v>1318</v>
      </c>
      <c r="B45" s="223" t="s">
        <v>652</v>
      </c>
      <c r="C45" s="222" t="s">
        <v>275</v>
      </c>
      <c r="D45" s="222"/>
      <c r="E45" s="222" t="s">
        <v>275</v>
      </c>
      <c r="F45" s="222" t="s">
        <v>275</v>
      </c>
      <c r="G45" s="395" t="s">
        <v>275</v>
      </c>
      <c r="H45" s="222">
        <v>43.0</v>
      </c>
      <c r="I45" s="224" t="s">
        <v>1219</v>
      </c>
      <c r="J45" s="414">
        <f t="shared" si="5"/>
        <v>1</v>
      </c>
      <c r="K45" s="227">
        <f t="shared" si="6"/>
        <v>8</v>
      </c>
      <c r="L45" s="229">
        <f t="shared" si="7"/>
        <v>7</v>
      </c>
      <c r="M45" s="230">
        <f t="shared" si="8"/>
        <v>1</v>
      </c>
      <c r="N45" s="233" t="str">
        <f t="shared" si="9"/>
        <v>SRgmPdnNS</v>
      </c>
      <c r="O45" s="234" t="str">
        <f>IFERROR(__xludf.DUMMYFUNCTION("IF(REGEXMATCH(N45, ""S""), ""S"","""")"),"S")</f>
        <v>S</v>
      </c>
      <c r="P45" s="236" t="str">
        <f>IFERROR(__xludf.DUMMYFUNCTION("IF(REGEXMATCH(N45, ""r""), ""r"","""")"),"")</f>
        <v/>
      </c>
      <c r="Q45" s="237" t="str">
        <f>IFERROR(__xludf.DUMMYFUNCTION("IF(REGEXMATCH(N45, ""R""), ""R"","""")"),"R")</f>
        <v>R</v>
      </c>
      <c r="R45" s="237" t="str">
        <f>IFERROR(__xludf.DUMMYFUNCTION("IF(REGEXMATCH(N45, ""g""), ""g"","""")"),"g")</f>
        <v>g</v>
      </c>
      <c r="S45" s="236" t="str">
        <f>IFERROR(__xludf.DUMMYFUNCTION("IF(REGEXMATCH(N45, ""G""), ""G"","""")"),"")</f>
        <v/>
      </c>
      <c r="T45" s="236" t="str">
        <f>IFERROR(__xludf.DUMMYFUNCTION("IF(REGEXMATCH(N45, ""m""), ""m"","""")"),"m")</f>
        <v>m</v>
      </c>
      <c r="U45" s="237" t="str">
        <f>IFERROR(__xludf.DUMMYFUNCTION("IF(REGEXMATCH(N45, ""M""), ""M"","""")"),"")</f>
        <v/>
      </c>
      <c r="V45" s="236" t="str">
        <f>IFERROR(__xludf.DUMMYFUNCTION("IF(REGEXMATCH(N45, ""P""), ""P"","""")"),"P")</f>
        <v>P</v>
      </c>
      <c r="W45" s="237" t="str">
        <f>IFERROR(__xludf.DUMMYFUNCTION("IF(REGEXMATCH(N45, ""d""), ""d"","""")"),"d")</f>
        <v>d</v>
      </c>
      <c r="X45" s="236" t="str">
        <f>IFERROR(__xludf.DUMMYFUNCTION("IF(REGEXMATCH(N45, ""D""), ""D"","""")"),"")</f>
        <v/>
      </c>
      <c r="Y45" s="236" t="str">
        <f>IFERROR(__xludf.DUMMYFUNCTION("IF(REGEXMATCH(N45, ""n""), ""n"","""")"),"n")</f>
        <v>n</v>
      </c>
      <c r="Z45" s="237" t="str">
        <f>IFERROR(__xludf.DUMMYFUNCTION("IF(REGEXMATCH(N45, ""N""), ""N"","""")"),"N")</f>
        <v>N</v>
      </c>
      <c r="AA45" s="238" t="str">
        <f>IFERROR(__xludf.DUMMYFUNCTION("IF(REGEXMATCH(N45, ""S""), ""S"","""")"),"S")</f>
        <v>S</v>
      </c>
      <c r="AB45" s="239" t="str">
        <f>IFERROR(__xludf.DUMMYFUNCTION("SUBSTITUTE(CONCATENATE(JOIN(""-"",O45:U45)),""-"","""")"),"SRgm")</f>
        <v>SRgm</v>
      </c>
      <c r="AC45" s="229" t="str">
        <f>IFERROR(__xludf.DUMMYFUNCTION("SUBSTITUTE(CONCATENATE(JOIN(""-"",V45:AA45)),""-"","""")"),"PdnNS")</f>
        <v>PdnNS</v>
      </c>
      <c r="AD45" s="282" t="str">
        <f t="shared" si="10"/>
        <v>S-R-G-M</v>
      </c>
      <c r="AE45" s="282" t="str">
        <f t="shared" si="11"/>
        <v>P-D-N-S</v>
      </c>
      <c r="AF45" s="309" t="str">
        <f t="shared" si="12"/>
        <v>RgmdnN</v>
      </c>
      <c r="AG45" s="244" t="str">
        <f>IFERROR(__xludf.DUMMYFUNCTION("IF(REGEXMATCH(N45, ""S""), ""0"","""")"),"0")</f>
        <v>0</v>
      </c>
      <c r="AH45" s="245" t="str">
        <f>IFERROR(__xludf.DUMMYFUNCTION("IF(REGEXMATCH(N45, ""r""), ""1"","""")"),"")</f>
        <v/>
      </c>
      <c r="AI45" s="246" t="str">
        <f>IFERROR(__xludf.DUMMYFUNCTION("IF(REGEXMATCH(N45, ""R""), ""2"","""")"),"2")</f>
        <v>2</v>
      </c>
      <c r="AJ45" s="246" t="str">
        <f>IFERROR(__xludf.DUMMYFUNCTION("IF(REGEXMATCH(N45, ""g""), ""3"","""")"),"3")</f>
        <v>3</v>
      </c>
      <c r="AK45" s="245" t="str">
        <f>IFERROR(__xludf.DUMMYFUNCTION("IF(REGEXMATCH(N45, ""G""), ""4"","""")"),"")</f>
        <v/>
      </c>
      <c r="AL45" s="245" t="str">
        <f>IFERROR(__xludf.DUMMYFUNCTION("IF(REGEXMATCH(N45, ""m""), ""5"","""")"),"5")</f>
        <v>5</v>
      </c>
      <c r="AM45" s="246" t="str">
        <f>IFERROR(__xludf.DUMMYFUNCTION("IF(REGEXMATCH(N45, ""M""), ""6"","""")"),"")</f>
        <v/>
      </c>
      <c r="AN45" s="245" t="str">
        <f>IFERROR(__xludf.DUMMYFUNCTION("IF(REGEXMATCH(N45, ""P""), ""7"","""")"),"7")</f>
        <v>7</v>
      </c>
      <c r="AO45" s="246" t="str">
        <f>IFERROR(__xludf.DUMMYFUNCTION("IF(REGEXMATCH(N45, ""d""), ""8"","""")"),"8")</f>
        <v>8</v>
      </c>
      <c r="AP45" s="245" t="str">
        <f>IFERROR(__xludf.DUMMYFUNCTION("IF(REGEXMATCH(N45, ""D""), ""9"","""")"),"")</f>
        <v/>
      </c>
      <c r="AQ45" s="245" t="str">
        <f>IFERROR(__xludf.DUMMYFUNCTION("IF(REGEXMATCH(N45, ""n""), ""10"","""")"),"10")</f>
        <v>10</v>
      </c>
      <c r="AR45" s="246" t="str">
        <f>IFERROR(__xludf.DUMMYFUNCTION("IF(REGEXMATCH(N45, ""N""), ""11"","""")"),"11")</f>
        <v>11</v>
      </c>
      <c r="AS45" s="249" t="str">
        <f>IFERROR(__xludf.DUMMYFUNCTION("IF(REGEXMATCH(N45, ""S""), ""0"","""")"),"0")</f>
        <v>0</v>
      </c>
      <c r="AT45" s="250" t="str">
        <f>IFERROR(__xludf.DUMMYFUNCTION("SUBSTITUTE(SUBSTITUTE(SUBSTITUTE(SUBSTITUTE(CONCATENATE(JOIN(""-"",AG45:AS45)),""--"",""-""),""--"",""-""),""--"",""-""),""--"",""-"")"),"0-2-3-5-7-8-10-11-0")</f>
        <v>0-2-3-5-7-8-10-11-0</v>
      </c>
      <c r="AU45" s="251">
        <f t="shared" si="13"/>
        <v>1</v>
      </c>
      <c r="AV45" s="234" t="str">
        <f t="shared" si="14"/>
        <v>|</v>
      </c>
      <c r="AW45" s="236" t="str">
        <f t="shared" si="15"/>
        <v>-</v>
      </c>
      <c r="AX45" s="237" t="str">
        <f t="shared" si="16"/>
        <v>|</v>
      </c>
      <c r="AY45" s="236" t="str">
        <f t="shared" si="17"/>
        <v>|</v>
      </c>
      <c r="AZ45" s="237" t="str">
        <f t="shared" si="18"/>
        <v>-</v>
      </c>
      <c r="BA45" s="236" t="str">
        <f t="shared" si="19"/>
        <v>|</v>
      </c>
      <c r="BB45" s="237" t="str">
        <f t="shared" si="20"/>
        <v>-</v>
      </c>
      <c r="BC45" s="236" t="str">
        <f t="shared" si="21"/>
        <v>|</v>
      </c>
      <c r="BD45" s="237" t="str">
        <f t="shared" si="22"/>
        <v>|</v>
      </c>
      <c r="BE45" s="236" t="str">
        <f t="shared" si="23"/>
        <v>-</v>
      </c>
      <c r="BF45" s="237" t="str">
        <f t="shared" si="24"/>
        <v>|</v>
      </c>
      <c r="BG45" s="236" t="str">
        <f t="shared" si="25"/>
        <v>|</v>
      </c>
      <c r="BH45" s="238" t="str">
        <f t="shared" si="26"/>
        <v>|</v>
      </c>
      <c r="BI45" s="250" t="str">
        <f>IFERROR(__xludf.DUMMYFUNCTION("SUBSTITUTE(SUBSTITUTE(CONCATENATE(JOIN("""",AV45:BG45)),""|"",""x""),""-"",""o"")"),"xoxxoxoxxoxx")</f>
        <v>xoxxoxoxxoxx</v>
      </c>
      <c r="BJ45" s="323" t="str">
        <f>IFERROR(__xludf.DUMMYFUNCTION("JOIN("""",BI45,BI45)"),"xoxxoxoxxoxxxoxxoxoxxoxx")</f>
        <v>xoxxoxoxxoxxxoxxoxoxxoxx</v>
      </c>
      <c r="BK45" s="256" t="str">
        <f>IFERROR(__xludf.DUMMYFUNCTION("JOIN("""",ArrayFormula(MID(BI45,LEN(BI45)-SEQUENCE(1,LEN(BI45))+1,1)))"),"xxoxxoxoxxox")</f>
        <v>xxoxxoxoxxox</v>
      </c>
      <c r="BL45" s="256" t="str">
        <f>IFERROR(__xludf.DUMMYFUNCTION("LEFT(CONCATENATE(""x"",JOIN("""",ArrayFormula(MID(BI45,LEN(BI45)-SEQUENCE(1,LEN(BI45))+1,1)))),12)"),"xxxoxxoxoxxo")</f>
        <v>xxxoxxoxoxxo</v>
      </c>
      <c r="BM45" s="327" t="str">
        <f>IFERROR(__xludf.DUMMYFUNCTION("JOIN("""",BK45,BK45)"),"xxoxxoxoxxoxxxoxxoxoxxox")</f>
        <v>xxoxxoxoxxoxxxoxxoxoxxox</v>
      </c>
      <c r="BN45" s="239" t="str">
        <f>IFERROR(__xludf.DUMMYFUNCTION("IF(REGEXMATCH(BM45,BI45),""✔"",""-"")"),"✔")</f>
        <v>✔</v>
      </c>
      <c r="BO45" s="330" t="str">
        <f t="shared" si="27"/>
        <v>-</v>
      </c>
      <c r="BP45" s="260" t="str">
        <f t="shared" si="28"/>
        <v>-</v>
      </c>
      <c r="BQ45" s="261" t="str">
        <f>IFERROR(__xludf.DUMMYFUNCTION("IF(BT45=0,""(n/a)"",IF(BU45=2,""(PAIR)"",IF(REGEXMATCH(BJ45,""xoxoxxoxoxox""),""Bilawal"",IF(REGEXMATCH(BJ45,""xoxoxooxoxoo""),""Bhupali"",IF(REGEXMATCH(BJ45,""xoxoxxoxxoxo""),""Charukeshi"",IF(REGEXMATCH(BJ45,""xoxoooxxoxxo""),""Kameshwari"",IF(REGEXMATC"&amp;"H(BJ45,""xoxoxooxoxox""),""Shankara"",IF(REGEXMATCH(BJ45,""xxooxoxxxoox""),""Basant"",IF(REGEXMATCH(BJ45,""xoxoxxxxoxox""),""Bihag"",IF(REGEXMATCH(BJ45,""xoxxxxoxoxxx""),""Pilu"",IF(REGEXMATCH(BJ45,""xoxxoxoxxoox""),""Kirwani"",IF(REGEXMATCH(BJ45,""xoxxox"&amp;"oxoxxx""),""Mk.Malhar"",IF(REGEXMATCH(BJ45,""xxooxxoxxoox""),""Bhairav"",IF(REGEXMATCH(BJ45,""xxoxooxxxoox""),""Todi"",IF(REGEXMATCH(BJ45,""xxooxoxooxox""),""Marwa"",IF(REGEXMATCH(BJ45,""xxoooxoxxooo""),""Gunkali"",IF(REGEXMATCH(BJ45,""xoxoxxoxxoox""),""N"&amp;"at Bhairav"",IF(REGEXMATCH(BJ45,""xoxxoooxoxoo""),""Shivranjani"",IF(REGEXMATCH(BJ45,""xooxxxoxooxo""),""Jog"",IF(REGEXMATCH(BJ45,""xxooxoxoxoox""),""Hemshri"",IF(REGEXMATCH(BJ45,""xoooxooxoxxo""),""Kalavati"",IF(REGEXMATCH(BJ45,""xxoxoxxoxoox""),""Kedar"&amp;""",IF(REGEXMATCH(BJ45,""xoxxxxoxooxx""),""Gara"",IF(REGEXMATCH(BJ45,""xooxoxooxoox""),""Chandrakauns"",IF(REGEXMATCH(BJ45,""xoxxxxoxxxox""),""Mand"",IF(REGEXMATCH(BJ45,""xoxxxxoxoxox""),""Hanskinkini"",IF(REGEXMATCH(BJ45,""xxooxxoxooxo""),""Lilavati"",IF("&amp;"REGEXMATCH(BJ45,""xooxoxoooxox""),""Rajeshwari"",IF(REGEXMATCH(BJ45,""xoooxxoxoxxx""),""Khokar"",IF(REGEXMATCH(BJ45,""xxooxoxxxxox""),""Maligoura"",""-""))))))))))))))))))))))))))))))"),"(n/a)")</f>
        <v>(n/a)</v>
      </c>
      <c r="BR45" s="239">
        <f t="shared" si="29"/>
        <v>7</v>
      </c>
      <c r="BS45" s="239">
        <f>IFERROR(__xludf.DUMMYFUNCTION("COUNTUNIQUE(BW45:CG45)-1"),7.0)</f>
        <v>7</v>
      </c>
      <c r="BT45" s="239">
        <f>IFERROR(__xludf.DUMMYFUNCTION("COUNTUNIQUE(FILTER(BJ:BJ,REGEXMATCH(BJ:BJ,BI45)))-1"),0.0)</f>
        <v>0</v>
      </c>
      <c r="BU45" s="239">
        <f>IFERROR(__xludf.DUMMYFUNCTION("COUNTA(FILTER(BJ:BJ,REGEXMATCH(BJ:BJ,BI45)))"),2.0)</f>
        <v>2</v>
      </c>
      <c r="BV45" s="341">
        <f>IFERROR(__xludf.DUMMYFUNCTION("COUNTA(FILTER(BJ:BJ,REGEXMATCH(BJ:BJ,BI45)))-AU45"),1.0)</f>
        <v>1</v>
      </c>
      <c r="BW45" s="269" t="str">
        <f t="shared" si="30"/>
        <v>-</v>
      </c>
      <c r="BX45" s="269" t="str">
        <f t="shared" si="31"/>
        <v>xxoxoxxoxxx</v>
      </c>
      <c r="BY45" s="271" t="str">
        <f t="shared" si="32"/>
        <v>xoxoxxoxxxo</v>
      </c>
      <c r="BZ45" s="269" t="str">
        <f t="shared" si="33"/>
        <v>-</v>
      </c>
      <c r="CA45" s="271" t="str">
        <f t="shared" si="34"/>
        <v>xoxxoxxxoxx</v>
      </c>
      <c r="CB45" s="271" t="str">
        <f t="shared" si="35"/>
        <v>-</v>
      </c>
      <c r="CC45" s="271" t="str">
        <f t="shared" si="36"/>
        <v>xxoxxxoxxox</v>
      </c>
      <c r="CD45" s="271" t="str">
        <f t="shared" si="37"/>
        <v>xoxxxoxxoxo</v>
      </c>
      <c r="CE45" s="271" t="str">
        <f t="shared" si="38"/>
        <v>-</v>
      </c>
      <c r="CF45" s="271" t="str">
        <f t="shared" si="39"/>
        <v>xxxoxxoxoxx</v>
      </c>
      <c r="CG45" s="274" t="str">
        <f t="shared" si="40"/>
        <v>xxoxxoxoxxo</v>
      </c>
      <c r="CH45" s="276" t="str">
        <f>IFERROR(__xludf.DUMMYFUNCTION("IF(BI45=""oooooooooooo"",""-"",IF(REGEXMATCH(BJ45,""xx""), ""Hemi."", ""Anhemi.""))"),"Hemi.")</f>
        <v>Hemi.</v>
      </c>
      <c r="CI45" s="282" t="str">
        <f>IFERROR(__xludf.DUMMYFUNCTION("IF(BI45=""oooooooooooo"",""-"",IF(REGEXMATCH(BJ45,""xxx""), ""Cohem."", ""-""))"),"Cohem.")</f>
        <v>Cohem.</v>
      </c>
      <c r="CJ45" s="282" t="str">
        <f>IFERROR(__xludf.DUMMYFUNCTION("IF(BI45=""oooooooooooo"",""-"",IF(REGEXMATCH(BJ45,""xxxx""), ""Co-Co."", ""-""))"),"-")</f>
        <v>-</v>
      </c>
      <c r="CK45" s="342" t="str">
        <f>IFERROR(__xludf.DUMMYFUNCTION("IF(BI45=""oooooooooooo"",""-"",IF(REGEXMATCH(BJ45,""xxxxx""), ""CCC."", ""-""))"),"-")</f>
        <v>-</v>
      </c>
      <c r="CL45" s="344" t="str">
        <f t="shared" si="41"/>
        <v>-</v>
      </c>
      <c r="CM45" s="282" t="str">
        <f>IFERROR(__xludf.DUMMYFUNCTION("IF(REGEXMATCH(JOIN(""-"",CO45:CX45),""TRUE""),""✔"",""-"")"),"-")</f>
        <v>-</v>
      </c>
      <c r="CN45" s="225">
        <f t="shared" si="42"/>
        <v>0</v>
      </c>
      <c r="CO45" s="376" t="b">
        <f>IFERROR(__xludf.DUMMYFUNCTION("arrayformula(sum(--REGEXMATCH(""SRGMPDNS"",split(REGEXREPLACE(N45,""(.)"",""$1~""),""~""))))=len(N45)
"),FALSE)</f>
        <v>0</v>
      </c>
      <c r="CP45" s="290" t="b">
        <f>IFERROR(__xludf.DUMMYFUNCTION("arrayformula(sum(--REGEXMATCH(""SRGmPDNS"",split(REGEXREPLACE(N45,""(.)"",""$1~""),""~""))))=len(N45)"),FALSE)</f>
        <v>0</v>
      </c>
      <c r="CQ45" s="290" t="b">
        <f>IFERROR(__xludf.DUMMYFUNCTION("arrayformula(sum(--REGEXMATCH(""SRGmPDnS"",split(REGEXREPLACE(N45,""(.)"",""$1~""),""~""))))=len(N45)"),FALSE)</f>
        <v>0</v>
      </c>
      <c r="CR45" s="290" t="b">
        <f>IFERROR(__xludf.DUMMYFUNCTION("arrayformula(sum(--REGEXMATCH(""SRgmPDnS"",split(REGEXREPLACE(N45,""(.)"",""$1~""),""~""))))=len(N45)"),FALSE)</f>
        <v>0</v>
      </c>
      <c r="CS45" s="290" t="b">
        <f>IFERROR(__xludf.DUMMYFUNCTION("arrayformula(sum(--REGEXMATCH(""SRgmPdnS"",split(REGEXREPLACE(N45,""(.)"",""$1~""),""~""))))=len(N45)"),FALSE)</f>
        <v>0</v>
      </c>
      <c r="CT45" s="290" t="b">
        <f>IFERROR(__xludf.DUMMYFUNCTION("arrayformula(sum(--REGEXMATCH(""SrgmPdnS"",split(REGEXREPLACE(N45,""(.)"",""$1~""),""~""))))=len(N45)"),FALSE)</f>
        <v>0</v>
      </c>
      <c r="CU45" s="290" t="b">
        <f>IFERROR(__xludf.DUMMYFUNCTION("arrayformula(sum(--REGEXMATCH(""SrGmPdNS"",split(REGEXREPLACE(N45,""(.)"",""$1~""),""~""))))=len(N45)"),FALSE)</f>
        <v>0</v>
      </c>
      <c r="CV45" s="290" t="b">
        <f>IFERROR(__xludf.DUMMYFUNCTION("arrayformula(sum(--REGEXMATCH(""SrGMPDNS"",split(REGEXREPLACE(N45,""(.)"",""$1~""),""~""))))=len(N45)"),FALSE)</f>
        <v>0</v>
      </c>
      <c r="CW45" s="290" t="b">
        <f>IFERROR(__xludf.DUMMYFUNCTION("arrayformula(sum(--REGEXMATCH(""SrGMPdNS"",split(REGEXREPLACE(N45,""(.)"",""$1~""),""~""))))=len(N45)"),FALSE)</f>
        <v>0</v>
      </c>
      <c r="CX45" s="293" t="b">
        <f>IFERROR(__xludf.DUMMYFUNCTION("arrayformula(sum(--REGEXMATCH(""SrgMPdNS"",split(REGEXREPLACE(N45,""(.)"",""$1~""),""~""))))=len(N45)"),FALSE)</f>
        <v>0</v>
      </c>
      <c r="CY45" s="244" t="str">
        <f>IFERROR(__xludf.DUMMYFUNCTION("IF(REGEXMATCH(N45, ""S""), ""1"","""")"),"1")</f>
        <v>1</v>
      </c>
      <c r="CZ45" s="245" t="str">
        <f>IFERROR(__xludf.DUMMYFUNCTION("IF(REGEXMATCH(N45, ""r""), ""b2"","""")"),"")</f>
        <v/>
      </c>
      <c r="DA45" s="246" t="str">
        <f>IFERROR(__xludf.DUMMYFUNCTION("IF(REGEXMATCH(N45, ""R""), ""2"","""")"),"2")</f>
        <v>2</v>
      </c>
      <c r="DB45" s="246" t="str">
        <f>IFERROR(__xludf.DUMMYFUNCTION("IF(REGEXMATCH(N45, ""g""), ""b3"","""")"),"b3")</f>
        <v>b3</v>
      </c>
      <c r="DC45" s="245" t="str">
        <f>IFERROR(__xludf.DUMMYFUNCTION("IF(REGEXMATCH(N45, ""G""), ""3"","""")"),"")</f>
        <v/>
      </c>
      <c r="DD45" s="245" t="str">
        <f>IFERROR(__xludf.DUMMYFUNCTION("IF(REGEXMATCH(N45, ""m""), ""4"","""")"),"4")</f>
        <v>4</v>
      </c>
      <c r="DE45" s="246" t="str">
        <f>IFERROR(__xludf.DUMMYFUNCTION("IF(REGEXMATCH(N45, ""M""), ""#4"","""")"),"")</f>
        <v/>
      </c>
      <c r="DF45" s="245" t="str">
        <f>IFERROR(__xludf.DUMMYFUNCTION("IF(REGEXMATCH(N45, ""P""), ""5"","""")"),"5")</f>
        <v>5</v>
      </c>
      <c r="DG45" s="246" t="str">
        <f>IFERROR(__xludf.DUMMYFUNCTION("IF(REGEXMATCH(N45, ""d""), ""b6"","""")"),"b6")</f>
        <v>b6</v>
      </c>
      <c r="DH45" s="245" t="str">
        <f>IFERROR(__xludf.DUMMYFUNCTION("IF(REGEXMATCH(N45, ""D""), ""6"","""")"),"")</f>
        <v/>
      </c>
      <c r="DI45" s="245" t="str">
        <f>IFERROR(__xludf.DUMMYFUNCTION("IF(REGEXMATCH(N45, ""n""), ""b7"","""")"),"b7")</f>
        <v>b7</v>
      </c>
      <c r="DJ45" s="246" t="str">
        <f>IFERROR(__xludf.DUMMYFUNCTION("IF(REGEXMATCH(N45, ""N""), ""7"","""")"),"7")</f>
        <v>7</v>
      </c>
      <c r="DK45" s="249" t="str">
        <f>IFERROR(__xludf.DUMMYFUNCTION("IF(REGEXMATCH(N45, ""S""), ""8"","""")"),"8")</f>
        <v>8</v>
      </c>
      <c r="DL45" s="244" t="str">
        <f>IFERROR(__xludf.DUMMYFUNCTION("IF(REGEXMATCH(N45, ""S""), ""S"","""")"),"S")</f>
        <v>S</v>
      </c>
      <c r="DM45" s="294" t="str">
        <f>IFERROR(__xludf.DUMMYFUNCTION("IF(REGEXMATCH(N45, ""r""), ""R1"","""")"),"")</f>
        <v/>
      </c>
      <c r="DN45" s="295" t="str">
        <f>IFERROR(__xludf.DUMMYFUNCTION("IF(REGEXMATCH(N45, ""R""), ""R2"","""")"),"R2")</f>
        <v>R2</v>
      </c>
      <c r="DO45" s="295" t="str">
        <f>IFERROR(__xludf.DUMMYFUNCTION("IF(REGEXMATCH(N45, ""g""), ""G2"","""")"),"G2")</f>
        <v>G2</v>
      </c>
      <c r="DP45" s="294" t="str">
        <f>IFERROR(__xludf.DUMMYFUNCTION("IF(REGEXMATCH(N45, ""G""), ""G3"","""")"),"")</f>
        <v/>
      </c>
      <c r="DQ45" s="294" t="str">
        <f>IFERROR(__xludf.DUMMYFUNCTION("IF(REGEXMATCH(N45, ""m""), ""M1"","""")"),"M1")</f>
        <v>M1</v>
      </c>
      <c r="DR45" s="295" t="str">
        <f>IFERROR(__xludf.DUMMYFUNCTION("IF(REGEXMATCH(N45, ""M""), ""M2"","""")"),"")</f>
        <v/>
      </c>
      <c r="DS45" s="294" t="str">
        <f>IFERROR(__xludf.DUMMYFUNCTION("IF(REGEXMATCH(N45, ""P""), ""P"","""")"),"P")</f>
        <v>P</v>
      </c>
      <c r="DT45" s="295" t="str">
        <f>IFERROR(__xludf.DUMMYFUNCTION("IF(REGEXMATCH(N45, ""d""), ""D1"","""")"),"D1")</f>
        <v>D1</v>
      </c>
      <c r="DU45" s="294" t="str">
        <f>IFERROR(__xludf.DUMMYFUNCTION("IF(REGEXMATCH(N45, ""D""), ""D2"","""")"),"")</f>
        <v/>
      </c>
      <c r="DV45" s="294" t="str">
        <f>IFERROR(__xludf.DUMMYFUNCTION("IF(REGEXMATCH(N45, ""n""), ""N2"","""")"),"N2")</f>
        <v>N2</v>
      </c>
      <c r="DW45" s="295" t="str">
        <f>IFERROR(__xludf.DUMMYFUNCTION("IF(REGEXMATCH(N45, ""N""), ""N3"","""")"),"N3")</f>
        <v>N3</v>
      </c>
      <c r="DX45" s="249" t="str">
        <f>IFERROR(__xludf.DUMMYFUNCTION("IF(REGEXMATCH(N45, ""S""), ""S"","""")"),"S")</f>
        <v>S</v>
      </c>
      <c r="DY45" s="299" t="str">
        <f>IFERROR(__xludf.DUMMYFUNCTION("SUBSTITUTE(SUBSTITUTE(SUBSTITUTE(SUBSTITUTE(CONCATENATE(JOIN(""-"",CY45:DK45)),""--"",""-""),""--"",""-""),""--"",""-""),""--"",""-"")"),"1-2-b3-4-5-b6-b7-7-8")</f>
        <v>1-2-b3-4-5-b6-b7-7-8</v>
      </c>
      <c r="DZ45" s="299" t="str">
        <f>IFERROR(__xludf.DUMMYFUNCTION("SUBSTITUTE(SUBSTITUTE(SUBSTITUTE(SUBSTITUTE(CONCATENATE(JOIN(""-"",DL45:DX45)),""--"",""-""),""--"",""-""),""--"",""-""),""--"",""-"")"),"S-R2-G2-M1-P-D1-N2-N3-S")</f>
        <v>S-R2-G2-M1-P-D1-N2-N3-S</v>
      </c>
      <c r="EA45" s="348" t="str">
        <f t="shared" si="43"/>
        <v>C-D-Eb-F-G-Ab-Bb-B-C</v>
      </c>
      <c r="EB45" s="301">
        <f t="shared" si="44"/>
        <v>8</v>
      </c>
      <c r="EC45" s="302" t="str">
        <f t="shared" si="45"/>
        <v>Sampurna</v>
      </c>
      <c r="ED45" s="301" t="str">
        <f t="shared" ref="ED45:EE45" si="211">SUBSTITUTE(AD45,"-","")</f>
        <v>SRGM</v>
      </c>
      <c r="EE45" s="301" t="str">
        <f t="shared" si="211"/>
        <v>PDNS</v>
      </c>
      <c r="EF45" s="302" t="str">
        <f t="shared" si="47"/>
        <v>(n/a)</v>
      </c>
      <c r="EG45" s="301" t="str">
        <f t="shared" si="48"/>
        <v>Hemi.</v>
      </c>
      <c r="EH45" s="364" t="str">
        <f t="shared" si="49"/>
        <v>Cohem.</v>
      </c>
      <c r="EI45" s="306" t="str">
        <f t="shared" si="50"/>
        <v>-</v>
      </c>
      <c r="EJ45" s="366" t="str">
        <f t="shared" si="51"/>
        <v>-</v>
      </c>
      <c r="EK45" s="308" t="str">
        <f t="shared" si="52"/>
        <v>✔</v>
      </c>
      <c r="EL45" s="306" t="str">
        <f t="shared" si="53"/>
        <v>-</v>
      </c>
      <c r="EM45" s="306" t="str">
        <f t="shared" si="54"/>
        <v>-</v>
      </c>
      <c r="EN45" s="367" t="str">
        <f t="shared" si="55"/>
        <v>-</v>
      </c>
      <c r="EO45" s="310" t="str">
        <f t="shared" si="56"/>
        <v>-</v>
      </c>
      <c r="EP45" s="310" t="str">
        <f t="shared" si="57"/>
        <v>-</v>
      </c>
      <c r="EQ45" s="310" t="str">
        <f t="shared" si="58"/>
        <v>-</v>
      </c>
      <c r="ER45" s="310" t="str">
        <f t="shared" si="59"/>
        <v>-</v>
      </c>
      <c r="ES45" s="370" t="str">
        <f t="shared" si="60"/>
        <v>✔</v>
      </c>
      <c r="ET45" s="306" t="str">
        <f t="shared" si="61"/>
        <v>-</v>
      </c>
      <c r="EU45" s="306" t="str">
        <f t="shared" si="62"/>
        <v>-</v>
      </c>
      <c r="EV45" s="306" t="str">
        <f t="shared" si="63"/>
        <v>-</v>
      </c>
      <c r="EW45" s="306" t="str">
        <f t="shared" si="64"/>
        <v>-</v>
      </c>
      <c r="EX45" s="306" t="str">
        <f t="shared" si="65"/>
        <v>-</v>
      </c>
      <c r="EY45" s="367" t="str">
        <f t="shared" si="66"/>
        <v>-</v>
      </c>
      <c r="EZ45" s="310" t="str">
        <f>IFERROR(__xludf.DUMMYFUNCTION("IF(REGEXMATCH(BM45,BI45),""✔"",""-"")"),"✔")</f>
        <v>✔</v>
      </c>
      <c r="FA45" s="310" t="str">
        <f t="shared" si="67"/>
        <v>-</v>
      </c>
      <c r="FB45" s="370" t="str">
        <f t="shared" si="68"/>
        <v>-</v>
      </c>
      <c r="FC45" s="415">
        <f t="shared" si="69"/>
        <v>1</v>
      </c>
      <c r="FD45" s="317" t="str">
        <f t="shared" si="70"/>
        <v>S-R-g-m-P-d-nN-S</v>
      </c>
      <c r="FE45" s="318" t="str">
        <f>IFERROR(__xludf.DUMMYFUNCTION("CONCATENATE(JOIN("""",GJ45:GV45))"),"SrRGmPDnS")</f>
        <v>SrRGmPDnS</v>
      </c>
      <c r="FF45" s="318"/>
      <c r="FG45" s="318"/>
      <c r="FH45" s="321">
        <f t="shared" si="71"/>
        <v>2</v>
      </c>
      <c r="FI45" s="318" t="str">
        <f>IFERROR(__xludf.DUMMYFUNCTION("CONCATENATE(JOIN("""",HW45:II45))"),"Re, Ni, ")</f>
        <v>Re, Ni, </v>
      </c>
      <c r="FJ45" s="322">
        <f t="shared" si="72"/>
        <v>1</v>
      </c>
      <c r="FK45" s="324" t="str">
        <f>IFERROR(__xludf.DUMMYFUNCTION("CONCATENATE(JOIN("""",IW45:JI45))"),"Ni, ")</f>
        <v>Ni, </v>
      </c>
      <c r="FL45" s="325" t="str">
        <f t="shared" si="73"/>
        <v>S-R2-G2-M1-P-D1-N2-N3-S</v>
      </c>
      <c r="FM45" s="326" t="str">
        <f t="shared" si="74"/>
        <v>1-2-b3-4-5-b6-b7-7-8</v>
      </c>
      <c r="FN45" s="326" t="str">
        <f t="shared" si="75"/>
        <v>0-2-3-5-7-8-10-11-0</v>
      </c>
      <c r="FO45" s="318"/>
      <c r="FP45" s="328" t="str">
        <f>IFERROR(__xludf.DUMMYFUNCTION("SUBSTITUTE(SUBSTITUTE(SUBSTITUTE(SUBSTITUTE(CONCATENATE(JOIN("" "",FS45:GE45)),""  "","" ""),""  "","" ""),""  "","" ""),""  "","" "")"),"o • o o • o • o o • o o o")</f>
        <v>o • o o • o • o o • o o o</v>
      </c>
      <c r="FQ45" s="328" t="str">
        <f t="shared" si="76"/>
        <v>-</v>
      </c>
      <c r="FR45" s="329"/>
      <c r="FS45" s="331" t="str">
        <f t="shared" si="77"/>
        <v>o</v>
      </c>
      <c r="FT45" s="332" t="str">
        <f t="shared" si="78"/>
        <v>•</v>
      </c>
      <c r="FU45" s="332" t="str">
        <f t="shared" si="79"/>
        <v>o</v>
      </c>
      <c r="FV45" s="332" t="str">
        <f t="shared" si="80"/>
        <v>o</v>
      </c>
      <c r="FW45" s="332" t="str">
        <f t="shared" si="81"/>
        <v>•</v>
      </c>
      <c r="FX45" s="332" t="str">
        <f t="shared" si="82"/>
        <v>o</v>
      </c>
      <c r="FY45" s="332" t="str">
        <f t="shared" si="83"/>
        <v>•</v>
      </c>
      <c r="FZ45" s="332" t="str">
        <f t="shared" si="84"/>
        <v>o</v>
      </c>
      <c r="GA45" s="332" t="str">
        <f t="shared" si="85"/>
        <v>o</v>
      </c>
      <c r="GB45" s="332" t="str">
        <f t="shared" si="86"/>
        <v>•</v>
      </c>
      <c r="GC45" s="332" t="str">
        <f t="shared" si="87"/>
        <v>o</v>
      </c>
      <c r="GD45" s="332" t="str">
        <f t="shared" si="88"/>
        <v>o</v>
      </c>
      <c r="GE45" s="338" t="str">
        <f t="shared" si="89"/>
        <v>o</v>
      </c>
      <c r="GF45" s="339" t="str">
        <f t="shared" si="90"/>
        <v>-</v>
      </c>
      <c r="GG45" s="339" t="str">
        <f t="shared" si="91"/>
        <v>Sa-Pa</v>
      </c>
      <c r="GH45" s="339" t="str">
        <f t="shared" si="92"/>
        <v>-</v>
      </c>
      <c r="GI45" s="340" t="str">
        <f t="shared" si="93"/>
        <v>-</v>
      </c>
      <c r="GJ45" s="331" t="str">
        <f t="shared" si="94"/>
        <v>S</v>
      </c>
      <c r="GK45" s="332" t="str">
        <f t="shared" si="95"/>
        <v>r</v>
      </c>
      <c r="GL45" s="332" t="str">
        <f t="shared" si="96"/>
        <v>R</v>
      </c>
      <c r="GM45" s="332" t="str">
        <f t="shared" si="97"/>
        <v/>
      </c>
      <c r="GN45" s="332" t="str">
        <f t="shared" si="98"/>
        <v>G</v>
      </c>
      <c r="GO45" s="332" t="str">
        <f t="shared" si="99"/>
        <v>m</v>
      </c>
      <c r="GP45" s="332" t="str">
        <f t="shared" si="100"/>
        <v/>
      </c>
      <c r="GQ45" s="332" t="str">
        <f t="shared" si="101"/>
        <v>P</v>
      </c>
      <c r="GR45" s="332" t="str">
        <f t="shared" si="102"/>
        <v/>
      </c>
      <c r="GS45" s="332" t="str">
        <f t="shared" si="103"/>
        <v>D</v>
      </c>
      <c r="GT45" s="332" t="str">
        <f t="shared" si="104"/>
        <v>n</v>
      </c>
      <c r="GU45" s="332" t="str">
        <f t="shared" si="105"/>
        <v/>
      </c>
      <c r="GV45" s="343" t="str">
        <f t="shared" si="106"/>
        <v>S</v>
      </c>
      <c r="GW45" s="331" t="str">
        <f t="shared" si="107"/>
        <v>•</v>
      </c>
      <c r="GX45" s="332" t="str">
        <f t="shared" si="108"/>
        <v>o</v>
      </c>
      <c r="GY45" s="332" t="str">
        <f t="shared" si="109"/>
        <v>•</v>
      </c>
      <c r="GZ45" s="332" t="str">
        <f t="shared" si="110"/>
        <v>•</v>
      </c>
      <c r="HA45" s="332" t="str">
        <f t="shared" si="111"/>
        <v>o</v>
      </c>
      <c r="HB45" s="332" t="str">
        <f t="shared" si="112"/>
        <v>•</v>
      </c>
      <c r="HC45" s="332" t="str">
        <f t="shared" si="113"/>
        <v>o</v>
      </c>
      <c r="HD45" s="332" t="str">
        <f t="shared" si="114"/>
        <v>•</v>
      </c>
      <c r="HE45" s="332" t="str">
        <f t="shared" si="115"/>
        <v>•</v>
      </c>
      <c r="HF45" s="332" t="str">
        <f t="shared" si="116"/>
        <v>o</v>
      </c>
      <c r="HG45" s="332" t="str">
        <f t="shared" si="117"/>
        <v>•</v>
      </c>
      <c r="HH45" s="332" t="str">
        <f t="shared" si="118"/>
        <v>•</v>
      </c>
      <c r="HI45" s="338" t="str">
        <f t="shared" si="119"/>
        <v>•</v>
      </c>
      <c r="HJ45" s="346" t="b">
        <f t="shared" si="120"/>
        <v>0</v>
      </c>
      <c r="HK45" s="347" t="b">
        <f t="shared" si="121"/>
        <v>0</v>
      </c>
      <c r="HL45" s="347" t="b">
        <f t="shared" si="122"/>
        <v>1</v>
      </c>
      <c r="HM45" s="347" t="b">
        <f t="shared" si="123"/>
        <v>0</v>
      </c>
      <c r="HN45" s="347" t="b">
        <f t="shared" si="124"/>
        <v>0</v>
      </c>
      <c r="HO45" s="347" t="b">
        <f t="shared" si="125"/>
        <v>0</v>
      </c>
      <c r="HP45" s="347" t="b">
        <f t="shared" si="126"/>
        <v>0</v>
      </c>
      <c r="HQ45" s="347" t="b">
        <f t="shared" si="127"/>
        <v>0</v>
      </c>
      <c r="HR45" s="347" t="b">
        <f t="shared" si="128"/>
        <v>0</v>
      </c>
      <c r="HS45" s="347" t="b">
        <f t="shared" si="129"/>
        <v>0</v>
      </c>
      <c r="HT45" s="347" t="b">
        <f t="shared" si="130"/>
        <v>0</v>
      </c>
      <c r="HU45" s="347" t="b">
        <f t="shared" si="131"/>
        <v>1</v>
      </c>
      <c r="HV45" s="353" t="b">
        <f t="shared" si="132"/>
        <v>0</v>
      </c>
      <c r="HW45" s="354" t="str">
        <f t="shared" si="133"/>
        <v/>
      </c>
      <c r="HX45" s="355" t="str">
        <f t="shared" si="134"/>
        <v/>
      </c>
      <c r="HY45" s="355" t="str">
        <f t="shared" si="135"/>
        <v>Re, </v>
      </c>
      <c r="HZ45" s="355" t="str">
        <f t="shared" si="136"/>
        <v/>
      </c>
      <c r="IA45" s="355" t="str">
        <f t="shared" si="137"/>
        <v/>
      </c>
      <c r="IB45" s="355" t="str">
        <f t="shared" si="138"/>
        <v/>
      </c>
      <c r="IC45" s="355" t="str">
        <f t="shared" si="139"/>
        <v/>
      </c>
      <c r="ID45" s="355" t="str">
        <f t="shared" si="140"/>
        <v/>
      </c>
      <c r="IE45" s="355" t="str">
        <f t="shared" si="141"/>
        <v/>
      </c>
      <c r="IF45" s="355" t="str">
        <f t="shared" si="142"/>
        <v/>
      </c>
      <c r="IG45" s="355" t="str">
        <f t="shared" si="143"/>
        <v/>
      </c>
      <c r="IH45" s="355" t="str">
        <f t="shared" si="144"/>
        <v>Ni, </v>
      </c>
      <c r="II45" s="359" t="str">
        <f t="shared" si="145"/>
        <v/>
      </c>
      <c r="IJ45" s="346" t="b">
        <f t="shared" si="146"/>
        <v>0</v>
      </c>
      <c r="IK45" s="347" t="b">
        <f t="shared" si="147"/>
        <v>0</v>
      </c>
      <c r="IL45" s="347" t="b">
        <f t="shared" si="148"/>
        <v>0</v>
      </c>
      <c r="IM45" s="347" t="b">
        <f t="shared" si="149"/>
        <v>0</v>
      </c>
      <c r="IN45" s="347" t="b">
        <f t="shared" si="150"/>
        <v>0</v>
      </c>
      <c r="IO45" s="347" t="b">
        <f t="shared" si="151"/>
        <v>0</v>
      </c>
      <c r="IP45" s="347" t="b">
        <f t="shared" si="152"/>
        <v>0</v>
      </c>
      <c r="IQ45" s="347" t="b">
        <f t="shared" si="153"/>
        <v>0</v>
      </c>
      <c r="IR45" s="347" t="b">
        <f t="shared" si="154"/>
        <v>0</v>
      </c>
      <c r="IS45" s="347" t="b">
        <f t="shared" si="155"/>
        <v>0</v>
      </c>
      <c r="IT45" s="347" t="b">
        <f t="shared" si="156"/>
        <v>0</v>
      </c>
      <c r="IU45" s="347" t="b">
        <f t="shared" si="157"/>
        <v>1</v>
      </c>
      <c r="IV45" s="365" t="b">
        <f t="shared" si="158"/>
        <v>0</v>
      </c>
      <c r="IW45" s="354" t="str">
        <f t="shared" si="159"/>
        <v/>
      </c>
      <c r="IX45" s="355" t="str">
        <f t="shared" si="160"/>
        <v/>
      </c>
      <c r="IY45" s="355" t="str">
        <f t="shared" si="161"/>
        <v/>
      </c>
      <c r="IZ45" s="355" t="str">
        <f t="shared" si="162"/>
        <v/>
      </c>
      <c r="JA45" s="355" t="str">
        <f t="shared" si="163"/>
        <v/>
      </c>
      <c r="JB45" s="355" t="str">
        <f t="shared" si="164"/>
        <v/>
      </c>
      <c r="JC45" s="355" t="str">
        <f t="shared" si="165"/>
        <v/>
      </c>
      <c r="JD45" s="355" t="str">
        <f t="shared" si="166"/>
        <v/>
      </c>
      <c r="JE45" s="355" t="str">
        <f t="shared" si="167"/>
        <v/>
      </c>
      <c r="JF45" s="355" t="str">
        <f t="shared" si="168"/>
        <v/>
      </c>
      <c r="JG45" s="355" t="str">
        <f t="shared" si="169"/>
        <v/>
      </c>
      <c r="JH45" s="355" t="str">
        <f t="shared" si="170"/>
        <v>Ni, </v>
      </c>
      <c r="JI45" s="359"/>
      <c r="JJ45" s="321"/>
      <c r="JK45" s="368"/>
      <c r="JL45" s="369"/>
      <c r="JM45" s="369"/>
      <c r="JN45" s="369"/>
      <c r="JO45" s="369"/>
      <c r="JP45" s="369"/>
      <c r="JQ45" s="369"/>
      <c r="JR45" s="369"/>
      <c r="JS45" s="369"/>
      <c r="JT45" s="369"/>
      <c r="JU45" s="369"/>
    </row>
    <row r="46" ht="20.25" customHeight="1">
      <c r="A46" s="221" t="s">
        <v>1320</v>
      </c>
      <c r="B46" s="223" t="s">
        <v>1234</v>
      </c>
      <c r="C46" s="222" t="s">
        <v>275</v>
      </c>
      <c r="D46" s="222"/>
      <c r="E46" s="222" t="s">
        <v>275</v>
      </c>
      <c r="F46" s="222" t="s">
        <v>275</v>
      </c>
      <c r="G46" s="395" t="s">
        <v>275</v>
      </c>
      <c r="H46" s="222">
        <v>44.0</v>
      </c>
      <c r="I46" s="224" t="s">
        <v>1219</v>
      </c>
      <c r="J46" s="414">
        <f t="shared" si="5"/>
        <v>2</v>
      </c>
      <c r="K46" s="227">
        <f t="shared" si="6"/>
        <v>6</v>
      </c>
      <c r="L46" s="229">
        <f t="shared" si="7"/>
        <v>5</v>
      </c>
      <c r="M46" s="230">
        <f t="shared" si="8"/>
        <v>1</v>
      </c>
      <c r="N46" s="233" t="str">
        <f t="shared" si="9"/>
        <v>SgmdnNS</v>
      </c>
      <c r="O46" s="234" t="str">
        <f>IFERROR(__xludf.DUMMYFUNCTION("IF(REGEXMATCH(N46, ""S""), ""S"","""")"),"S")</f>
        <v>S</v>
      </c>
      <c r="P46" s="236" t="str">
        <f>IFERROR(__xludf.DUMMYFUNCTION("IF(REGEXMATCH(N46, ""r""), ""r"","""")"),"")</f>
        <v/>
      </c>
      <c r="Q46" s="237" t="str">
        <f>IFERROR(__xludf.DUMMYFUNCTION("IF(REGEXMATCH(N46, ""R""), ""R"","""")"),"")</f>
        <v/>
      </c>
      <c r="R46" s="237" t="str">
        <f>IFERROR(__xludf.DUMMYFUNCTION("IF(REGEXMATCH(N46, ""g""), ""g"","""")"),"g")</f>
        <v>g</v>
      </c>
      <c r="S46" s="236" t="str">
        <f>IFERROR(__xludf.DUMMYFUNCTION("IF(REGEXMATCH(N46, ""G""), ""G"","""")"),"")</f>
        <v/>
      </c>
      <c r="T46" s="236" t="str">
        <f>IFERROR(__xludf.DUMMYFUNCTION("IF(REGEXMATCH(N46, ""m""), ""m"","""")"),"m")</f>
        <v>m</v>
      </c>
      <c r="U46" s="237" t="str">
        <f>IFERROR(__xludf.DUMMYFUNCTION("IF(REGEXMATCH(N46, ""M""), ""M"","""")"),"")</f>
        <v/>
      </c>
      <c r="V46" s="236" t="str">
        <f>IFERROR(__xludf.DUMMYFUNCTION("IF(REGEXMATCH(N46, ""P""), ""P"","""")"),"")</f>
        <v/>
      </c>
      <c r="W46" s="237" t="str">
        <f>IFERROR(__xludf.DUMMYFUNCTION("IF(REGEXMATCH(N46, ""d""), ""d"","""")"),"d")</f>
        <v>d</v>
      </c>
      <c r="X46" s="236" t="str">
        <f>IFERROR(__xludf.DUMMYFUNCTION("IF(REGEXMATCH(N46, ""D""), ""D"","""")"),"")</f>
        <v/>
      </c>
      <c r="Y46" s="236" t="str">
        <f>IFERROR(__xludf.DUMMYFUNCTION("IF(REGEXMATCH(N46, ""n""), ""n"","""")"),"n")</f>
        <v>n</v>
      </c>
      <c r="Z46" s="237" t="str">
        <f>IFERROR(__xludf.DUMMYFUNCTION("IF(REGEXMATCH(N46, ""N""), ""N"","""")"),"N")</f>
        <v>N</v>
      </c>
      <c r="AA46" s="238" t="str">
        <f>IFERROR(__xludf.DUMMYFUNCTION("IF(REGEXMATCH(N46, ""S""), ""S"","""")"),"S")</f>
        <v>S</v>
      </c>
      <c r="AB46" s="239" t="str">
        <f>IFERROR(__xludf.DUMMYFUNCTION("SUBSTITUTE(CONCATENATE(JOIN(""-"",O46:U46)),""-"","""")"),"Sgm")</f>
        <v>Sgm</v>
      </c>
      <c r="AC46" s="229" t="str">
        <f>IFERROR(__xludf.DUMMYFUNCTION("SUBSTITUTE(CONCATENATE(JOIN(""-"",V46:AA46)),""-"","""")"),"dnNS")</f>
        <v>dnNS</v>
      </c>
      <c r="AD46" s="282" t="str">
        <f t="shared" si="10"/>
        <v>S-G-M</v>
      </c>
      <c r="AE46" s="282" t="str">
        <f t="shared" si="11"/>
        <v>D-N-S</v>
      </c>
      <c r="AF46" s="309" t="str">
        <f t="shared" si="12"/>
        <v>gmdnN</v>
      </c>
      <c r="AG46" s="244" t="str">
        <f>IFERROR(__xludf.DUMMYFUNCTION("IF(REGEXMATCH(N46, ""S""), ""0"","""")"),"0")</f>
        <v>0</v>
      </c>
      <c r="AH46" s="245" t="str">
        <f>IFERROR(__xludf.DUMMYFUNCTION("IF(REGEXMATCH(N46, ""r""), ""1"","""")"),"")</f>
        <v/>
      </c>
      <c r="AI46" s="246" t="str">
        <f>IFERROR(__xludf.DUMMYFUNCTION("IF(REGEXMATCH(N46, ""R""), ""2"","""")"),"")</f>
        <v/>
      </c>
      <c r="AJ46" s="246" t="str">
        <f>IFERROR(__xludf.DUMMYFUNCTION("IF(REGEXMATCH(N46, ""g""), ""3"","""")"),"3")</f>
        <v>3</v>
      </c>
      <c r="AK46" s="245" t="str">
        <f>IFERROR(__xludf.DUMMYFUNCTION("IF(REGEXMATCH(N46, ""G""), ""4"","""")"),"")</f>
        <v/>
      </c>
      <c r="AL46" s="245" t="str">
        <f>IFERROR(__xludf.DUMMYFUNCTION("IF(REGEXMATCH(N46, ""m""), ""5"","""")"),"5")</f>
        <v>5</v>
      </c>
      <c r="AM46" s="246" t="str">
        <f>IFERROR(__xludf.DUMMYFUNCTION("IF(REGEXMATCH(N46, ""M""), ""6"","""")"),"")</f>
        <v/>
      </c>
      <c r="AN46" s="245" t="str">
        <f>IFERROR(__xludf.DUMMYFUNCTION("IF(REGEXMATCH(N46, ""P""), ""7"","""")"),"")</f>
        <v/>
      </c>
      <c r="AO46" s="246" t="str">
        <f>IFERROR(__xludf.DUMMYFUNCTION("IF(REGEXMATCH(N46, ""d""), ""8"","""")"),"8")</f>
        <v>8</v>
      </c>
      <c r="AP46" s="245" t="str">
        <f>IFERROR(__xludf.DUMMYFUNCTION("IF(REGEXMATCH(N46, ""D""), ""9"","""")"),"")</f>
        <v/>
      </c>
      <c r="AQ46" s="245" t="str">
        <f>IFERROR(__xludf.DUMMYFUNCTION("IF(REGEXMATCH(N46, ""n""), ""10"","""")"),"10")</f>
        <v>10</v>
      </c>
      <c r="AR46" s="246" t="str">
        <f>IFERROR(__xludf.DUMMYFUNCTION("IF(REGEXMATCH(N46, ""N""), ""11"","""")"),"11")</f>
        <v>11</v>
      </c>
      <c r="AS46" s="249" t="str">
        <f>IFERROR(__xludf.DUMMYFUNCTION("IF(REGEXMATCH(N46, ""S""), ""0"","""")"),"0")</f>
        <v>0</v>
      </c>
      <c r="AT46" s="250" t="str">
        <f>IFERROR(__xludf.DUMMYFUNCTION("SUBSTITUTE(SUBSTITUTE(SUBSTITUTE(SUBSTITUTE(CONCATENATE(JOIN(""-"",AG46:AS46)),""--"",""-""),""--"",""-""),""--"",""-""),""--"",""-"")"),"0-3-5-8-10-11-0")</f>
        <v>0-3-5-8-10-11-0</v>
      </c>
      <c r="AU46" s="251">
        <f t="shared" si="13"/>
        <v>2</v>
      </c>
      <c r="AV46" s="234" t="str">
        <f t="shared" si="14"/>
        <v>|</v>
      </c>
      <c r="AW46" s="236" t="str">
        <f t="shared" si="15"/>
        <v>-</v>
      </c>
      <c r="AX46" s="237" t="str">
        <f t="shared" si="16"/>
        <v>-</v>
      </c>
      <c r="AY46" s="236" t="str">
        <f t="shared" si="17"/>
        <v>|</v>
      </c>
      <c r="AZ46" s="237" t="str">
        <f t="shared" si="18"/>
        <v>-</v>
      </c>
      <c r="BA46" s="236" t="str">
        <f t="shared" si="19"/>
        <v>|</v>
      </c>
      <c r="BB46" s="237" t="str">
        <f t="shared" si="20"/>
        <v>-</v>
      </c>
      <c r="BC46" s="236" t="str">
        <f t="shared" si="21"/>
        <v>-</v>
      </c>
      <c r="BD46" s="237" t="str">
        <f t="shared" si="22"/>
        <v>|</v>
      </c>
      <c r="BE46" s="236" t="str">
        <f t="shared" si="23"/>
        <v>-</v>
      </c>
      <c r="BF46" s="237" t="str">
        <f t="shared" si="24"/>
        <v>|</v>
      </c>
      <c r="BG46" s="236" t="str">
        <f t="shared" si="25"/>
        <v>|</v>
      </c>
      <c r="BH46" s="238" t="str">
        <f t="shared" si="26"/>
        <v>|</v>
      </c>
      <c r="BI46" s="250" t="str">
        <f>IFERROR(__xludf.DUMMYFUNCTION("SUBSTITUTE(SUBSTITUTE(CONCATENATE(JOIN("""",AV46:BG46)),""|"",""x""),""-"",""o"")"),"xooxoxooxoxx")</f>
        <v>xooxoxooxoxx</v>
      </c>
      <c r="BJ46" s="323" t="str">
        <f>IFERROR(__xludf.DUMMYFUNCTION("JOIN("""",BI46,BI46)"),"xooxoxooxoxxxooxoxooxoxx")</f>
        <v>xooxoxooxoxxxooxoxooxoxx</v>
      </c>
      <c r="BK46" s="256" t="str">
        <f>IFERROR(__xludf.DUMMYFUNCTION("JOIN("""",ArrayFormula(MID(BI46,LEN(BI46)-SEQUENCE(1,LEN(BI46))+1,1)))"),"xxoxooxoxoox")</f>
        <v>xxoxooxoxoox</v>
      </c>
      <c r="BL46" s="256" t="str">
        <f>IFERROR(__xludf.DUMMYFUNCTION("LEFT(CONCATENATE(""x"",JOIN("""",ArrayFormula(MID(BI46,LEN(BI46)-SEQUENCE(1,LEN(BI46))+1,1)))),12)"),"xxxoxooxoxoo")</f>
        <v>xxxoxooxoxoo</v>
      </c>
      <c r="BM46" s="327" t="str">
        <f>IFERROR(__xludf.DUMMYFUNCTION("JOIN("""",BK46,BK46)"),"xxoxooxoxooxxxoxooxoxoox")</f>
        <v>xxoxooxoxooxxxoxooxoxoox</v>
      </c>
      <c r="BN46" s="239" t="str">
        <f>IFERROR(__xludf.DUMMYFUNCTION("IF(REGEXMATCH(BM46,BI46),""✔"",""-"")"),"-")</f>
        <v>-</v>
      </c>
      <c r="BO46" s="330" t="str">
        <f t="shared" si="27"/>
        <v>-</v>
      </c>
      <c r="BP46" s="260" t="str">
        <f t="shared" si="28"/>
        <v>-</v>
      </c>
      <c r="BQ46" s="261" t="str">
        <f>IFERROR(__xludf.DUMMYFUNCTION("IF(BT46=0,""(n/a)"",IF(BU46=2,""(PAIR)"",IF(REGEXMATCH(BJ46,""xoxoxxoxoxox""),""Bilawal"",IF(REGEXMATCH(BJ46,""xoxoxooxoxoo""),""Bhupali"",IF(REGEXMATCH(BJ46,""xoxoxxoxxoxo""),""Charukeshi"",IF(REGEXMATCH(BJ46,""xoxoooxxoxxo""),""Kameshwari"",IF(REGEXMATC"&amp;"H(BJ46,""xoxoxooxoxox""),""Shankara"",IF(REGEXMATCH(BJ46,""xxooxoxxxoox""),""Basant"",IF(REGEXMATCH(BJ46,""xoxoxxxxoxox""),""Bihag"",IF(REGEXMATCH(BJ46,""xoxxxxoxoxxx""),""Pilu"",IF(REGEXMATCH(BJ46,""xoxxoxoxxoox""),""Kirwani"",IF(REGEXMATCH(BJ46,""xoxxox"&amp;"oxoxxx""),""Mk.Malhar"",IF(REGEXMATCH(BJ46,""xxooxxoxxoox""),""Bhairav"",IF(REGEXMATCH(BJ46,""xxoxooxxxoox""),""Todi"",IF(REGEXMATCH(BJ46,""xxooxoxooxox""),""Marwa"",IF(REGEXMATCH(BJ46,""xxoooxoxxooo""),""Gunkali"",IF(REGEXMATCH(BJ46,""xoxoxxoxxoox""),""N"&amp;"at Bhairav"",IF(REGEXMATCH(BJ46,""xoxxoooxoxoo""),""Shivranjani"",IF(REGEXMATCH(BJ46,""xooxxxoxooxo""),""Jog"",IF(REGEXMATCH(BJ46,""xxooxoxoxoox""),""Hemshri"",IF(REGEXMATCH(BJ46,""xoooxooxoxxo""),""Kalavati"",IF(REGEXMATCH(BJ46,""xxoxoxxoxoox""),""Kedar"&amp;""",IF(REGEXMATCH(BJ46,""xoxxxxoxooxx""),""Gara"",IF(REGEXMATCH(BJ46,""xooxoxooxoox""),""Chandrakauns"",IF(REGEXMATCH(BJ46,""xoxxxxoxxxox""),""Mand"",IF(REGEXMATCH(BJ46,""xoxxxxoxoxox""),""Hanskinkini"",IF(REGEXMATCH(BJ46,""xxooxxoxooxo""),""Lilavati"",IF("&amp;"REGEXMATCH(BJ46,""xooxoxoooxox""),""Rajeshwari"",IF(REGEXMATCH(BJ46,""xoooxxoxoxxx""),""Khokar"",IF(REGEXMATCH(BJ46,""xxooxoxxxxox""),""Maligoura"",""-""))))))))))))))))))))))))))))))"),"(n/a)")</f>
        <v>(n/a)</v>
      </c>
      <c r="BR46" s="239">
        <f t="shared" si="29"/>
        <v>5</v>
      </c>
      <c r="BS46" s="239">
        <f>IFERROR(__xludf.DUMMYFUNCTION("COUNTUNIQUE(BW46:CG46)-1"),5.0)</f>
        <v>5</v>
      </c>
      <c r="BT46" s="239">
        <f>IFERROR(__xludf.DUMMYFUNCTION("COUNTUNIQUE(FILTER(BJ:BJ,REGEXMATCH(BJ:BJ,BI46)))-1"),0.0)</f>
        <v>0</v>
      </c>
      <c r="BU46" s="239">
        <f>IFERROR(__xludf.DUMMYFUNCTION("COUNTA(FILTER(BJ:BJ,REGEXMATCH(BJ:BJ,BI46)))"),3.0)</f>
        <v>3</v>
      </c>
      <c r="BV46" s="341">
        <f>IFERROR(__xludf.DUMMYFUNCTION("COUNTA(FILTER(BJ:BJ,REGEXMATCH(BJ:BJ,BI46)))-AU46"),1.0)</f>
        <v>1</v>
      </c>
      <c r="BW46" s="269" t="str">
        <f t="shared" si="30"/>
        <v>-</v>
      </c>
      <c r="BX46" s="269" t="str">
        <f t="shared" si="31"/>
        <v>-</v>
      </c>
      <c r="BY46" s="271" t="str">
        <f t="shared" si="32"/>
        <v>xoxooxoxxxo</v>
      </c>
      <c r="BZ46" s="269" t="str">
        <f t="shared" si="33"/>
        <v>-</v>
      </c>
      <c r="CA46" s="271" t="str">
        <f t="shared" si="34"/>
        <v>xooxoxxxoox</v>
      </c>
      <c r="CB46" s="271" t="str">
        <f t="shared" si="35"/>
        <v>-</v>
      </c>
      <c r="CC46" s="271" t="str">
        <f t="shared" si="36"/>
        <v>-</v>
      </c>
      <c r="CD46" s="271" t="str">
        <f t="shared" si="37"/>
        <v>xoxxxooxoxo</v>
      </c>
      <c r="CE46" s="271" t="str">
        <f t="shared" si="38"/>
        <v>-</v>
      </c>
      <c r="CF46" s="271" t="str">
        <f t="shared" si="39"/>
        <v>xxxooxoxoox</v>
      </c>
      <c r="CG46" s="274" t="str">
        <f t="shared" si="40"/>
        <v>xxooxoxooxo</v>
      </c>
      <c r="CH46" s="276" t="str">
        <f>IFERROR(__xludf.DUMMYFUNCTION("IF(BI46=""oooooooooooo"",""-"",IF(REGEXMATCH(BJ46,""xx""), ""Hemi."", ""Anhemi.""))"),"Hemi.")</f>
        <v>Hemi.</v>
      </c>
      <c r="CI46" s="282" t="str">
        <f>IFERROR(__xludf.DUMMYFUNCTION("IF(BI46=""oooooooooooo"",""-"",IF(REGEXMATCH(BJ46,""xxx""), ""Cohem."", ""-""))"),"Cohem.")</f>
        <v>Cohem.</v>
      </c>
      <c r="CJ46" s="282" t="str">
        <f>IFERROR(__xludf.DUMMYFUNCTION("IF(BI46=""oooooooooooo"",""-"",IF(REGEXMATCH(BJ46,""xxxx""), ""Co-Co."", ""-""))"),"-")</f>
        <v>-</v>
      </c>
      <c r="CK46" s="342" t="str">
        <f>IFERROR(__xludf.DUMMYFUNCTION("IF(BI46=""oooooooooooo"",""-"",IF(REGEXMATCH(BJ46,""xxxxx""), ""CCC."", ""-""))"),"-")</f>
        <v>-</v>
      </c>
      <c r="CL46" s="344" t="str">
        <f t="shared" si="41"/>
        <v>-</v>
      </c>
      <c r="CM46" s="282" t="str">
        <f>IFERROR(__xludf.DUMMYFUNCTION("IF(REGEXMATCH(JOIN(""-"",CO46:CX46),""TRUE""),""✔"",""-"")"),"-")</f>
        <v>-</v>
      </c>
      <c r="CN46" s="225">
        <f t="shared" si="42"/>
        <v>0</v>
      </c>
      <c r="CO46" s="376" t="b">
        <f>IFERROR(__xludf.DUMMYFUNCTION("arrayformula(sum(--REGEXMATCH(""SRGMPDNS"",split(REGEXREPLACE(N46,""(.)"",""$1~""),""~""))))=len(N46)
"),FALSE)</f>
        <v>0</v>
      </c>
      <c r="CP46" s="290" t="b">
        <f>IFERROR(__xludf.DUMMYFUNCTION("arrayformula(sum(--REGEXMATCH(""SRGmPDNS"",split(REGEXREPLACE(N46,""(.)"",""$1~""),""~""))))=len(N46)"),FALSE)</f>
        <v>0</v>
      </c>
      <c r="CQ46" s="290" t="b">
        <f>IFERROR(__xludf.DUMMYFUNCTION("arrayformula(sum(--REGEXMATCH(""SRGmPDnS"",split(REGEXREPLACE(N46,""(.)"",""$1~""),""~""))))=len(N46)"),FALSE)</f>
        <v>0</v>
      </c>
      <c r="CR46" s="290" t="b">
        <f>IFERROR(__xludf.DUMMYFUNCTION("arrayformula(sum(--REGEXMATCH(""SRgmPDnS"",split(REGEXREPLACE(N46,""(.)"",""$1~""),""~""))))=len(N46)"),FALSE)</f>
        <v>0</v>
      </c>
      <c r="CS46" s="290" t="b">
        <f>IFERROR(__xludf.DUMMYFUNCTION("arrayformula(sum(--REGEXMATCH(""SRgmPdnS"",split(REGEXREPLACE(N46,""(.)"",""$1~""),""~""))))=len(N46)"),FALSE)</f>
        <v>0</v>
      </c>
      <c r="CT46" s="290" t="b">
        <f>IFERROR(__xludf.DUMMYFUNCTION("arrayformula(sum(--REGEXMATCH(""SrgmPdnS"",split(REGEXREPLACE(N46,""(.)"",""$1~""),""~""))))=len(N46)"),FALSE)</f>
        <v>0</v>
      </c>
      <c r="CU46" s="290" t="b">
        <f>IFERROR(__xludf.DUMMYFUNCTION("arrayformula(sum(--REGEXMATCH(""SrGmPdNS"",split(REGEXREPLACE(N46,""(.)"",""$1~""),""~""))))=len(N46)"),FALSE)</f>
        <v>0</v>
      </c>
      <c r="CV46" s="290" t="b">
        <f>IFERROR(__xludf.DUMMYFUNCTION("arrayformula(sum(--REGEXMATCH(""SrGMPDNS"",split(REGEXREPLACE(N46,""(.)"",""$1~""),""~""))))=len(N46)"),FALSE)</f>
        <v>0</v>
      </c>
      <c r="CW46" s="290" t="b">
        <f>IFERROR(__xludf.DUMMYFUNCTION("arrayformula(sum(--REGEXMATCH(""SrGMPdNS"",split(REGEXREPLACE(N46,""(.)"",""$1~""),""~""))))=len(N46)"),FALSE)</f>
        <v>0</v>
      </c>
      <c r="CX46" s="293" t="b">
        <f>IFERROR(__xludf.DUMMYFUNCTION("arrayformula(sum(--REGEXMATCH(""SrgMPdNS"",split(REGEXREPLACE(N46,""(.)"",""$1~""),""~""))))=len(N46)"),FALSE)</f>
        <v>0</v>
      </c>
      <c r="CY46" s="244" t="str">
        <f>IFERROR(__xludf.DUMMYFUNCTION("IF(REGEXMATCH(N46, ""S""), ""1"","""")"),"1")</f>
        <v>1</v>
      </c>
      <c r="CZ46" s="245" t="str">
        <f>IFERROR(__xludf.DUMMYFUNCTION("IF(REGEXMATCH(N46, ""r""), ""b2"","""")"),"")</f>
        <v/>
      </c>
      <c r="DA46" s="246" t="str">
        <f>IFERROR(__xludf.DUMMYFUNCTION("IF(REGEXMATCH(N46, ""R""), ""2"","""")"),"")</f>
        <v/>
      </c>
      <c r="DB46" s="246" t="str">
        <f>IFERROR(__xludf.DUMMYFUNCTION("IF(REGEXMATCH(N46, ""g""), ""b3"","""")"),"b3")</f>
        <v>b3</v>
      </c>
      <c r="DC46" s="245" t="str">
        <f>IFERROR(__xludf.DUMMYFUNCTION("IF(REGEXMATCH(N46, ""G""), ""3"","""")"),"")</f>
        <v/>
      </c>
      <c r="DD46" s="245" t="str">
        <f>IFERROR(__xludf.DUMMYFUNCTION("IF(REGEXMATCH(N46, ""m""), ""4"","""")"),"4")</f>
        <v>4</v>
      </c>
      <c r="DE46" s="246" t="str">
        <f>IFERROR(__xludf.DUMMYFUNCTION("IF(REGEXMATCH(N46, ""M""), ""#4"","""")"),"")</f>
        <v/>
      </c>
      <c r="DF46" s="245" t="str">
        <f>IFERROR(__xludf.DUMMYFUNCTION("IF(REGEXMATCH(N46, ""P""), ""5"","""")"),"")</f>
        <v/>
      </c>
      <c r="DG46" s="246" t="str">
        <f>IFERROR(__xludf.DUMMYFUNCTION("IF(REGEXMATCH(N46, ""d""), ""b6"","""")"),"b6")</f>
        <v>b6</v>
      </c>
      <c r="DH46" s="245" t="str">
        <f>IFERROR(__xludf.DUMMYFUNCTION("IF(REGEXMATCH(N46, ""D""), ""6"","""")"),"")</f>
        <v/>
      </c>
      <c r="DI46" s="245" t="str">
        <f>IFERROR(__xludf.DUMMYFUNCTION("IF(REGEXMATCH(N46, ""n""), ""b7"","""")"),"b7")</f>
        <v>b7</v>
      </c>
      <c r="DJ46" s="246" t="str">
        <f>IFERROR(__xludf.DUMMYFUNCTION("IF(REGEXMATCH(N46, ""N""), ""7"","""")"),"7")</f>
        <v>7</v>
      </c>
      <c r="DK46" s="249" t="str">
        <f>IFERROR(__xludf.DUMMYFUNCTION("IF(REGEXMATCH(N46, ""S""), ""8"","""")"),"8")</f>
        <v>8</v>
      </c>
      <c r="DL46" s="244" t="str">
        <f>IFERROR(__xludf.DUMMYFUNCTION("IF(REGEXMATCH(N46, ""S""), ""S"","""")"),"S")</f>
        <v>S</v>
      </c>
      <c r="DM46" s="294" t="str">
        <f>IFERROR(__xludf.DUMMYFUNCTION("IF(REGEXMATCH(N46, ""r""), ""R1"","""")"),"")</f>
        <v/>
      </c>
      <c r="DN46" s="295" t="str">
        <f>IFERROR(__xludf.DUMMYFUNCTION("IF(REGEXMATCH(N46, ""R""), ""R2"","""")"),"")</f>
        <v/>
      </c>
      <c r="DO46" s="295" t="str">
        <f>IFERROR(__xludf.DUMMYFUNCTION("IF(REGEXMATCH(N46, ""g""), ""G2"","""")"),"G2")</f>
        <v>G2</v>
      </c>
      <c r="DP46" s="294" t="str">
        <f>IFERROR(__xludf.DUMMYFUNCTION("IF(REGEXMATCH(N46, ""G""), ""G3"","""")"),"")</f>
        <v/>
      </c>
      <c r="DQ46" s="294" t="str">
        <f>IFERROR(__xludf.DUMMYFUNCTION("IF(REGEXMATCH(N46, ""m""), ""M1"","""")"),"M1")</f>
        <v>M1</v>
      </c>
      <c r="DR46" s="295" t="str">
        <f>IFERROR(__xludf.DUMMYFUNCTION("IF(REGEXMATCH(N46, ""M""), ""M2"","""")"),"")</f>
        <v/>
      </c>
      <c r="DS46" s="294" t="str">
        <f>IFERROR(__xludf.DUMMYFUNCTION("IF(REGEXMATCH(N46, ""P""), ""P"","""")"),"")</f>
        <v/>
      </c>
      <c r="DT46" s="295" t="str">
        <f>IFERROR(__xludf.DUMMYFUNCTION("IF(REGEXMATCH(N46, ""d""), ""D1"","""")"),"D1")</f>
        <v>D1</v>
      </c>
      <c r="DU46" s="294" t="str">
        <f>IFERROR(__xludf.DUMMYFUNCTION("IF(REGEXMATCH(N46, ""D""), ""D2"","""")"),"")</f>
        <v/>
      </c>
      <c r="DV46" s="294" t="str">
        <f>IFERROR(__xludf.DUMMYFUNCTION("IF(REGEXMATCH(N46, ""n""), ""N2"","""")"),"N2")</f>
        <v>N2</v>
      </c>
      <c r="DW46" s="295" t="str">
        <f>IFERROR(__xludf.DUMMYFUNCTION("IF(REGEXMATCH(N46, ""N""), ""N3"","""")"),"N3")</f>
        <v>N3</v>
      </c>
      <c r="DX46" s="249" t="str">
        <f>IFERROR(__xludf.DUMMYFUNCTION("IF(REGEXMATCH(N46, ""S""), ""S"","""")"),"S")</f>
        <v>S</v>
      </c>
      <c r="DY46" s="299" t="str">
        <f>IFERROR(__xludf.DUMMYFUNCTION("SUBSTITUTE(SUBSTITUTE(SUBSTITUTE(SUBSTITUTE(CONCATENATE(JOIN(""-"",CY46:DK46)),""--"",""-""),""--"",""-""),""--"",""-""),""--"",""-"")"),"1-b3-4-b6-b7-7-8")</f>
        <v>1-b3-4-b6-b7-7-8</v>
      </c>
      <c r="DZ46" s="299" t="str">
        <f>IFERROR(__xludf.DUMMYFUNCTION("SUBSTITUTE(SUBSTITUTE(SUBSTITUTE(SUBSTITUTE(CONCATENATE(JOIN(""-"",DL46:DX46)),""--"",""-""),""--"",""-""),""--"",""-""),""--"",""-"")"),"S-G2-M1-D1-N2-N3-S")</f>
        <v>S-G2-M1-D1-N2-N3-S</v>
      </c>
      <c r="EA46" s="348" t="str">
        <f t="shared" si="43"/>
        <v>C-Eb-F-Ab-Bb-B-C</v>
      </c>
      <c r="EB46" s="301">
        <f t="shared" si="44"/>
        <v>6</v>
      </c>
      <c r="EC46" s="302" t="str">
        <f t="shared" si="45"/>
        <v>Audav</v>
      </c>
      <c r="ED46" s="301" t="str">
        <f t="shared" ref="ED46:EE46" si="212">SUBSTITUTE(AD46,"-","")</f>
        <v>SGM</v>
      </c>
      <c r="EE46" s="301" t="str">
        <f t="shared" si="212"/>
        <v>DNS</v>
      </c>
      <c r="EF46" s="302" t="str">
        <f t="shared" si="47"/>
        <v>(n/a)</v>
      </c>
      <c r="EG46" s="301" t="str">
        <f t="shared" si="48"/>
        <v>Hemi.</v>
      </c>
      <c r="EH46" s="364" t="str">
        <f t="shared" si="49"/>
        <v>Cohem.</v>
      </c>
      <c r="EI46" s="306" t="str">
        <f t="shared" si="50"/>
        <v>-</v>
      </c>
      <c r="EJ46" s="366" t="str">
        <f t="shared" si="51"/>
        <v>-</v>
      </c>
      <c r="EK46" s="308" t="str">
        <f t="shared" si="52"/>
        <v>✔</v>
      </c>
      <c r="EL46" s="306" t="str">
        <f t="shared" si="53"/>
        <v>-</v>
      </c>
      <c r="EM46" s="306" t="str">
        <f t="shared" si="54"/>
        <v>-</v>
      </c>
      <c r="EN46" s="367" t="str">
        <f t="shared" si="55"/>
        <v>-</v>
      </c>
      <c r="EO46" s="310" t="str">
        <f t="shared" si="56"/>
        <v>-</v>
      </c>
      <c r="EP46" s="310" t="str">
        <f t="shared" si="57"/>
        <v>-</v>
      </c>
      <c r="EQ46" s="310" t="str">
        <f t="shared" si="58"/>
        <v>-</v>
      </c>
      <c r="ER46" s="310" t="str">
        <f t="shared" si="59"/>
        <v>-</v>
      </c>
      <c r="ES46" s="370" t="str">
        <f t="shared" si="60"/>
        <v>✔</v>
      </c>
      <c r="ET46" s="306" t="str">
        <f t="shared" si="61"/>
        <v>✔</v>
      </c>
      <c r="EU46" s="306" t="str">
        <f t="shared" si="62"/>
        <v>-</v>
      </c>
      <c r="EV46" s="306" t="str">
        <f t="shared" si="63"/>
        <v>-</v>
      </c>
      <c r="EW46" s="306" t="str">
        <f t="shared" si="64"/>
        <v>✔</v>
      </c>
      <c r="EX46" s="306" t="str">
        <f t="shared" si="65"/>
        <v>-</v>
      </c>
      <c r="EY46" s="367" t="str">
        <f t="shared" si="66"/>
        <v>-</v>
      </c>
      <c r="EZ46" s="310" t="str">
        <f>IFERROR(__xludf.DUMMYFUNCTION("IF(REGEXMATCH(BM46,BI46),""✔"",""-"")"),"-")</f>
        <v>-</v>
      </c>
      <c r="FA46" s="310" t="str">
        <f t="shared" si="67"/>
        <v>-</v>
      </c>
      <c r="FB46" s="370" t="str">
        <f t="shared" si="68"/>
        <v>-</v>
      </c>
      <c r="FC46" s="415">
        <f t="shared" si="69"/>
        <v>2</v>
      </c>
      <c r="FD46" s="317" t="str">
        <f t="shared" si="70"/>
        <v>S-g-m-d-nN-S</v>
      </c>
      <c r="FE46" s="318" t="str">
        <f>IFERROR(__xludf.DUMMYFUNCTION("CONCATENATE(JOIN("""",GJ46:GV46))"),"SrRGPDS")</f>
        <v>SrRGPDS</v>
      </c>
      <c r="FF46" s="318"/>
      <c r="FG46" s="318"/>
      <c r="FH46" s="321">
        <f t="shared" si="71"/>
        <v>2</v>
      </c>
      <c r="FI46" s="318" t="str">
        <f>IFERROR(__xludf.DUMMYFUNCTION("CONCATENATE(JOIN("""",HW46:II46))"),"Sa, Ni, ")</f>
        <v>Sa, Ni, </v>
      </c>
      <c r="FJ46" s="322">
        <f t="shared" si="72"/>
        <v>1</v>
      </c>
      <c r="FK46" s="324" t="str">
        <f>IFERROR(__xludf.DUMMYFUNCTION("CONCATENATE(JOIN("""",IW46:JI46))"),"Ni, ")</f>
        <v>Ni, </v>
      </c>
      <c r="FL46" s="325" t="str">
        <f t="shared" si="73"/>
        <v>S-G2-M1-D1-N2-N3-S</v>
      </c>
      <c r="FM46" s="326" t="str">
        <f t="shared" si="74"/>
        <v>1-b3-4-b6-b7-7-8</v>
      </c>
      <c r="FN46" s="326" t="str">
        <f t="shared" si="75"/>
        <v>0-3-5-8-10-11-0</v>
      </c>
      <c r="FO46" s="318"/>
      <c r="FP46" s="328" t="str">
        <f>IFERROR(__xludf.DUMMYFUNCTION("SUBSTITUTE(SUBSTITUTE(SUBSTITUTE(SUBSTITUTE(CONCATENATE(JOIN("" "",FS46:GE46)),""  "","" ""),""  "","" ""),""  "","" ""),""  "","" "")"),"o • • o • o • • o • o o o")</f>
        <v>o • • o • o • • o • o o o</v>
      </c>
      <c r="FQ46" s="328" t="str">
        <f t="shared" si="76"/>
        <v>Sa-ma</v>
      </c>
      <c r="FR46" s="329"/>
      <c r="FS46" s="331" t="str">
        <f t="shared" si="77"/>
        <v>o</v>
      </c>
      <c r="FT46" s="332" t="str">
        <f t="shared" si="78"/>
        <v>•</v>
      </c>
      <c r="FU46" s="332" t="str">
        <f t="shared" si="79"/>
        <v>•</v>
      </c>
      <c r="FV46" s="332" t="str">
        <f t="shared" si="80"/>
        <v>o</v>
      </c>
      <c r="FW46" s="332" t="str">
        <f t="shared" si="81"/>
        <v>•</v>
      </c>
      <c r="FX46" s="332" t="str">
        <f t="shared" si="82"/>
        <v>o</v>
      </c>
      <c r="FY46" s="332" t="str">
        <f t="shared" si="83"/>
        <v>•</v>
      </c>
      <c r="FZ46" s="332" t="str">
        <f t="shared" si="84"/>
        <v>•</v>
      </c>
      <c r="GA46" s="332" t="str">
        <f t="shared" si="85"/>
        <v>o</v>
      </c>
      <c r="GB46" s="332" t="str">
        <f t="shared" si="86"/>
        <v>•</v>
      </c>
      <c r="GC46" s="332" t="str">
        <f t="shared" si="87"/>
        <v>o</v>
      </c>
      <c r="GD46" s="332" t="str">
        <f t="shared" si="88"/>
        <v>o</v>
      </c>
      <c r="GE46" s="338" t="str">
        <f t="shared" si="89"/>
        <v>o</v>
      </c>
      <c r="GF46" s="339" t="str">
        <f t="shared" si="90"/>
        <v>-</v>
      </c>
      <c r="GG46" s="339" t="str">
        <f t="shared" si="91"/>
        <v>-</v>
      </c>
      <c r="GH46" s="339" t="str">
        <f t="shared" si="92"/>
        <v>-</v>
      </c>
      <c r="GI46" s="340" t="str">
        <f t="shared" si="93"/>
        <v>Sa-ma</v>
      </c>
      <c r="GJ46" s="331" t="str">
        <f t="shared" si="94"/>
        <v>S</v>
      </c>
      <c r="GK46" s="332" t="str">
        <f t="shared" si="95"/>
        <v>r</v>
      </c>
      <c r="GL46" s="332" t="str">
        <f t="shared" si="96"/>
        <v>R</v>
      </c>
      <c r="GM46" s="332" t="str">
        <f t="shared" si="97"/>
        <v/>
      </c>
      <c r="GN46" s="332" t="str">
        <f t="shared" si="98"/>
        <v>G</v>
      </c>
      <c r="GO46" s="332" t="str">
        <f t="shared" si="99"/>
        <v/>
      </c>
      <c r="GP46" s="332" t="str">
        <f t="shared" si="100"/>
        <v/>
      </c>
      <c r="GQ46" s="332" t="str">
        <f t="shared" si="101"/>
        <v>P</v>
      </c>
      <c r="GR46" s="332" t="str">
        <f t="shared" si="102"/>
        <v/>
      </c>
      <c r="GS46" s="332" t="str">
        <f t="shared" si="103"/>
        <v>D</v>
      </c>
      <c r="GT46" s="332" t="str">
        <f t="shared" si="104"/>
        <v/>
      </c>
      <c r="GU46" s="332" t="str">
        <f t="shared" si="105"/>
        <v/>
      </c>
      <c r="GV46" s="343" t="str">
        <f t="shared" si="106"/>
        <v>S</v>
      </c>
      <c r="GW46" s="331" t="str">
        <f t="shared" si="107"/>
        <v>•</v>
      </c>
      <c r="GX46" s="332" t="str">
        <f t="shared" si="108"/>
        <v>o</v>
      </c>
      <c r="GY46" s="332" t="str">
        <f t="shared" si="109"/>
        <v>o</v>
      </c>
      <c r="GZ46" s="332" t="str">
        <f t="shared" si="110"/>
        <v>•</v>
      </c>
      <c r="HA46" s="332" t="str">
        <f t="shared" si="111"/>
        <v>o</v>
      </c>
      <c r="HB46" s="332" t="str">
        <f t="shared" si="112"/>
        <v>•</v>
      </c>
      <c r="HC46" s="332" t="str">
        <f t="shared" si="113"/>
        <v>o</v>
      </c>
      <c r="HD46" s="332" t="str">
        <f t="shared" si="114"/>
        <v>o</v>
      </c>
      <c r="HE46" s="332" t="str">
        <f t="shared" si="115"/>
        <v>•</v>
      </c>
      <c r="HF46" s="332" t="str">
        <f t="shared" si="116"/>
        <v>o</v>
      </c>
      <c r="HG46" s="332" t="str">
        <f t="shared" si="117"/>
        <v>•</v>
      </c>
      <c r="HH46" s="332" t="str">
        <f t="shared" si="118"/>
        <v>•</v>
      </c>
      <c r="HI46" s="338" t="str">
        <f t="shared" si="119"/>
        <v>•</v>
      </c>
      <c r="HJ46" s="346" t="b">
        <f t="shared" si="120"/>
        <v>1</v>
      </c>
      <c r="HK46" s="347" t="b">
        <f t="shared" si="121"/>
        <v>0</v>
      </c>
      <c r="HL46" s="347" t="b">
        <f t="shared" si="122"/>
        <v>0</v>
      </c>
      <c r="HM46" s="347" t="b">
        <f t="shared" si="123"/>
        <v>0</v>
      </c>
      <c r="HN46" s="347" t="b">
        <f t="shared" si="124"/>
        <v>0</v>
      </c>
      <c r="HO46" s="347" t="b">
        <f t="shared" si="125"/>
        <v>0</v>
      </c>
      <c r="HP46" s="347" t="b">
        <f t="shared" si="126"/>
        <v>0</v>
      </c>
      <c r="HQ46" s="347" t="b">
        <f t="shared" si="127"/>
        <v>0</v>
      </c>
      <c r="HR46" s="347" t="b">
        <f t="shared" si="128"/>
        <v>0</v>
      </c>
      <c r="HS46" s="347" t="b">
        <f t="shared" si="129"/>
        <v>0</v>
      </c>
      <c r="HT46" s="347" t="b">
        <f t="shared" si="130"/>
        <v>0</v>
      </c>
      <c r="HU46" s="347" t="b">
        <f t="shared" si="131"/>
        <v>1</v>
      </c>
      <c r="HV46" s="353" t="b">
        <f t="shared" si="132"/>
        <v>1</v>
      </c>
      <c r="HW46" s="354" t="str">
        <f t="shared" si="133"/>
        <v>Sa, </v>
      </c>
      <c r="HX46" s="355" t="str">
        <f t="shared" si="134"/>
        <v/>
      </c>
      <c r="HY46" s="355" t="str">
        <f t="shared" si="135"/>
        <v/>
      </c>
      <c r="HZ46" s="355" t="str">
        <f t="shared" si="136"/>
        <v/>
      </c>
      <c r="IA46" s="355" t="str">
        <f t="shared" si="137"/>
        <v/>
      </c>
      <c r="IB46" s="355" t="str">
        <f t="shared" si="138"/>
        <v/>
      </c>
      <c r="IC46" s="355" t="str">
        <f t="shared" si="139"/>
        <v/>
      </c>
      <c r="ID46" s="355" t="str">
        <f t="shared" si="140"/>
        <v/>
      </c>
      <c r="IE46" s="355" t="str">
        <f t="shared" si="141"/>
        <v/>
      </c>
      <c r="IF46" s="355" t="str">
        <f t="shared" si="142"/>
        <v/>
      </c>
      <c r="IG46" s="355" t="str">
        <f t="shared" si="143"/>
        <v/>
      </c>
      <c r="IH46" s="355" t="str">
        <f t="shared" si="144"/>
        <v>Ni, </v>
      </c>
      <c r="II46" s="359" t="str">
        <f t="shared" si="145"/>
        <v/>
      </c>
      <c r="IJ46" s="346" t="b">
        <f t="shared" si="146"/>
        <v>0</v>
      </c>
      <c r="IK46" s="347" t="b">
        <f t="shared" si="147"/>
        <v>0</v>
      </c>
      <c r="IL46" s="347" t="b">
        <f t="shared" si="148"/>
        <v>0</v>
      </c>
      <c r="IM46" s="347" t="b">
        <f t="shared" si="149"/>
        <v>0</v>
      </c>
      <c r="IN46" s="347" t="b">
        <f t="shared" si="150"/>
        <v>0</v>
      </c>
      <c r="IO46" s="347" t="b">
        <f t="shared" si="151"/>
        <v>0</v>
      </c>
      <c r="IP46" s="347" t="b">
        <f t="shared" si="152"/>
        <v>0</v>
      </c>
      <c r="IQ46" s="347" t="b">
        <f t="shared" si="153"/>
        <v>0</v>
      </c>
      <c r="IR46" s="347" t="b">
        <f t="shared" si="154"/>
        <v>0</v>
      </c>
      <c r="IS46" s="347" t="b">
        <f t="shared" si="155"/>
        <v>0</v>
      </c>
      <c r="IT46" s="347" t="b">
        <f t="shared" si="156"/>
        <v>0</v>
      </c>
      <c r="IU46" s="347" t="b">
        <f t="shared" si="157"/>
        <v>1</v>
      </c>
      <c r="IV46" s="365" t="b">
        <f t="shared" si="158"/>
        <v>0</v>
      </c>
      <c r="IW46" s="354" t="str">
        <f t="shared" si="159"/>
        <v/>
      </c>
      <c r="IX46" s="355" t="str">
        <f t="shared" si="160"/>
        <v/>
      </c>
      <c r="IY46" s="355" t="str">
        <f t="shared" si="161"/>
        <v/>
      </c>
      <c r="IZ46" s="355" t="str">
        <f t="shared" si="162"/>
        <v/>
      </c>
      <c r="JA46" s="355" t="str">
        <f t="shared" si="163"/>
        <v/>
      </c>
      <c r="JB46" s="355" t="str">
        <f t="shared" si="164"/>
        <v/>
      </c>
      <c r="JC46" s="355" t="str">
        <f t="shared" si="165"/>
        <v/>
      </c>
      <c r="JD46" s="355" t="str">
        <f t="shared" si="166"/>
        <v/>
      </c>
      <c r="JE46" s="355" t="str">
        <f t="shared" si="167"/>
        <v/>
      </c>
      <c r="JF46" s="355" t="str">
        <f t="shared" si="168"/>
        <v/>
      </c>
      <c r="JG46" s="355" t="str">
        <f t="shared" si="169"/>
        <v/>
      </c>
      <c r="JH46" s="355" t="str">
        <f t="shared" si="170"/>
        <v>Ni, </v>
      </c>
      <c r="JI46" s="359"/>
      <c r="JJ46" s="321"/>
      <c r="JK46" s="368"/>
      <c r="JL46" s="369"/>
      <c r="JM46" s="369"/>
      <c r="JN46" s="369"/>
      <c r="JO46" s="369"/>
      <c r="JP46" s="369"/>
      <c r="JQ46" s="369"/>
      <c r="JR46" s="369"/>
      <c r="JS46" s="369"/>
      <c r="JT46" s="369"/>
      <c r="JU46" s="369"/>
    </row>
    <row r="47" ht="20.25" customHeight="1">
      <c r="A47" s="221" t="s">
        <v>1321</v>
      </c>
      <c r="B47" s="223" t="s">
        <v>1234</v>
      </c>
      <c r="C47" s="222" t="s">
        <v>275</v>
      </c>
      <c r="D47" s="222"/>
      <c r="E47" s="222" t="s">
        <v>275</v>
      </c>
      <c r="F47" s="222" t="s">
        <v>275</v>
      </c>
      <c r="G47" s="395" t="s">
        <v>275</v>
      </c>
      <c r="H47" s="222">
        <v>45.0</v>
      </c>
      <c r="I47" s="224" t="s">
        <v>1219</v>
      </c>
      <c r="J47" s="414">
        <f t="shared" si="5"/>
        <v>2</v>
      </c>
      <c r="K47" s="227">
        <f t="shared" si="6"/>
        <v>6</v>
      </c>
      <c r="L47" s="229">
        <f t="shared" si="7"/>
        <v>5</v>
      </c>
      <c r="M47" s="230">
        <f t="shared" si="8"/>
        <v>1</v>
      </c>
      <c r="N47" s="233" t="str">
        <f t="shared" si="9"/>
        <v>SgmdnNS</v>
      </c>
      <c r="O47" s="234" t="str">
        <f>IFERROR(__xludf.DUMMYFUNCTION("IF(REGEXMATCH(N47, ""S""), ""S"","""")"),"S")</f>
        <v>S</v>
      </c>
      <c r="P47" s="236" t="str">
        <f>IFERROR(__xludf.DUMMYFUNCTION("IF(REGEXMATCH(N47, ""r""), ""r"","""")"),"")</f>
        <v/>
      </c>
      <c r="Q47" s="237" t="str">
        <f>IFERROR(__xludf.DUMMYFUNCTION("IF(REGEXMATCH(N47, ""R""), ""R"","""")"),"")</f>
        <v/>
      </c>
      <c r="R47" s="237" t="str">
        <f>IFERROR(__xludf.DUMMYFUNCTION("IF(REGEXMATCH(N47, ""g""), ""g"","""")"),"g")</f>
        <v>g</v>
      </c>
      <c r="S47" s="236" t="str">
        <f>IFERROR(__xludf.DUMMYFUNCTION("IF(REGEXMATCH(N47, ""G""), ""G"","""")"),"")</f>
        <v/>
      </c>
      <c r="T47" s="236" t="str">
        <f>IFERROR(__xludf.DUMMYFUNCTION("IF(REGEXMATCH(N47, ""m""), ""m"","""")"),"m")</f>
        <v>m</v>
      </c>
      <c r="U47" s="237" t="str">
        <f>IFERROR(__xludf.DUMMYFUNCTION("IF(REGEXMATCH(N47, ""M""), ""M"","""")"),"")</f>
        <v/>
      </c>
      <c r="V47" s="236" t="str">
        <f>IFERROR(__xludf.DUMMYFUNCTION("IF(REGEXMATCH(N47, ""P""), ""P"","""")"),"")</f>
        <v/>
      </c>
      <c r="W47" s="237" t="str">
        <f>IFERROR(__xludf.DUMMYFUNCTION("IF(REGEXMATCH(N47, ""d""), ""d"","""")"),"d")</f>
        <v>d</v>
      </c>
      <c r="X47" s="236" t="str">
        <f>IFERROR(__xludf.DUMMYFUNCTION("IF(REGEXMATCH(N47, ""D""), ""D"","""")"),"")</f>
        <v/>
      </c>
      <c r="Y47" s="236" t="str">
        <f>IFERROR(__xludf.DUMMYFUNCTION("IF(REGEXMATCH(N47, ""n""), ""n"","""")"),"n")</f>
        <v>n</v>
      </c>
      <c r="Z47" s="237" t="str">
        <f>IFERROR(__xludf.DUMMYFUNCTION("IF(REGEXMATCH(N47, ""N""), ""N"","""")"),"N")</f>
        <v>N</v>
      </c>
      <c r="AA47" s="238" t="str">
        <f>IFERROR(__xludf.DUMMYFUNCTION("IF(REGEXMATCH(N47, ""S""), ""S"","""")"),"S")</f>
        <v>S</v>
      </c>
      <c r="AB47" s="239" t="str">
        <f>IFERROR(__xludf.DUMMYFUNCTION("SUBSTITUTE(CONCATENATE(JOIN(""-"",O47:U47)),""-"","""")"),"Sgm")</f>
        <v>Sgm</v>
      </c>
      <c r="AC47" s="229" t="str">
        <f>IFERROR(__xludf.DUMMYFUNCTION("SUBSTITUTE(CONCATENATE(JOIN(""-"",V47:AA47)),""-"","""")"),"dnNS")</f>
        <v>dnNS</v>
      </c>
      <c r="AD47" s="282" t="str">
        <f t="shared" si="10"/>
        <v>S-G-M</v>
      </c>
      <c r="AE47" s="282" t="str">
        <f t="shared" si="11"/>
        <v>D-N-S</v>
      </c>
      <c r="AF47" s="309" t="str">
        <f t="shared" si="12"/>
        <v>gmdnN</v>
      </c>
      <c r="AG47" s="244" t="str">
        <f>IFERROR(__xludf.DUMMYFUNCTION("IF(REGEXMATCH(N47, ""S""), ""0"","""")"),"0")</f>
        <v>0</v>
      </c>
      <c r="AH47" s="245" t="str">
        <f>IFERROR(__xludf.DUMMYFUNCTION("IF(REGEXMATCH(N47, ""r""), ""1"","""")"),"")</f>
        <v/>
      </c>
      <c r="AI47" s="246" t="str">
        <f>IFERROR(__xludf.DUMMYFUNCTION("IF(REGEXMATCH(N47, ""R""), ""2"","""")"),"")</f>
        <v/>
      </c>
      <c r="AJ47" s="246" t="str">
        <f>IFERROR(__xludf.DUMMYFUNCTION("IF(REGEXMATCH(N47, ""g""), ""3"","""")"),"3")</f>
        <v>3</v>
      </c>
      <c r="AK47" s="245" t="str">
        <f>IFERROR(__xludf.DUMMYFUNCTION("IF(REGEXMATCH(N47, ""G""), ""4"","""")"),"")</f>
        <v/>
      </c>
      <c r="AL47" s="245" t="str">
        <f>IFERROR(__xludf.DUMMYFUNCTION("IF(REGEXMATCH(N47, ""m""), ""5"","""")"),"5")</f>
        <v>5</v>
      </c>
      <c r="AM47" s="246" t="str">
        <f>IFERROR(__xludf.DUMMYFUNCTION("IF(REGEXMATCH(N47, ""M""), ""6"","""")"),"")</f>
        <v/>
      </c>
      <c r="AN47" s="245" t="str">
        <f>IFERROR(__xludf.DUMMYFUNCTION("IF(REGEXMATCH(N47, ""P""), ""7"","""")"),"")</f>
        <v/>
      </c>
      <c r="AO47" s="246" t="str">
        <f>IFERROR(__xludf.DUMMYFUNCTION("IF(REGEXMATCH(N47, ""d""), ""8"","""")"),"8")</f>
        <v>8</v>
      </c>
      <c r="AP47" s="245" t="str">
        <f>IFERROR(__xludf.DUMMYFUNCTION("IF(REGEXMATCH(N47, ""D""), ""9"","""")"),"")</f>
        <v/>
      </c>
      <c r="AQ47" s="245" t="str">
        <f>IFERROR(__xludf.DUMMYFUNCTION("IF(REGEXMATCH(N47, ""n""), ""10"","""")"),"10")</f>
        <v>10</v>
      </c>
      <c r="AR47" s="246" t="str">
        <f>IFERROR(__xludf.DUMMYFUNCTION("IF(REGEXMATCH(N47, ""N""), ""11"","""")"),"11")</f>
        <v>11</v>
      </c>
      <c r="AS47" s="249" t="str">
        <f>IFERROR(__xludf.DUMMYFUNCTION("IF(REGEXMATCH(N47, ""S""), ""0"","""")"),"0")</f>
        <v>0</v>
      </c>
      <c r="AT47" s="250" t="str">
        <f>IFERROR(__xludf.DUMMYFUNCTION("SUBSTITUTE(SUBSTITUTE(SUBSTITUTE(SUBSTITUTE(CONCATENATE(JOIN(""-"",AG47:AS47)),""--"",""-""),""--"",""-""),""--"",""-""),""--"",""-"")"),"0-3-5-8-10-11-0")</f>
        <v>0-3-5-8-10-11-0</v>
      </c>
      <c r="AU47" s="251">
        <f t="shared" si="13"/>
        <v>2</v>
      </c>
      <c r="AV47" s="234" t="str">
        <f t="shared" si="14"/>
        <v>|</v>
      </c>
      <c r="AW47" s="236" t="str">
        <f t="shared" si="15"/>
        <v>-</v>
      </c>
      <c r="AX47" s="237" t="str">
        <f t="shared" si="16"/>
        <v>-</v>
      </c>
      <c r="AY47" s="236" t="str">
        <f t="shared" si="17"/>
        <v>|</v>
      </c>
      <c r="AZ47" s="237" t="str">
        <f t="shared" si="18"/>
        <v>-</v>
      </c>
      <c r="BA47" s="236" t="str">
        <f t="shared" si="19"/>
        <v>|</v>
      </c>
      <c r="BB47" s="237" t="str">
        <f t="shared" si="20"/>
        <v>-</v>
      </c>
      <c r="BC47" s="236" t="str">
        <f t="shared" si="21"/>
        <v>-</v>
      </c>
      <c r="BD47" s="237" t="str">
        <f t="shared" si="22"/>
        <v>|</v>
      </c>
      <c r="BE47" s="236" t="str">
        <f t="shared" si="23"/>
        <v>-</v>
      </c>
      <c r="BF47" s="237" t="str">
        <f t="shared" si="24"/>
        <v>|</v>
      </c>
      <c r="BG47" s="236" t="str">
        <f t="shared" si="25"/>
        <v>|</v>
      </c>
      <c r="BH47" s="238" t="str">
        <f t="shared" si="26"/>
        <v>|</v>
      </c>
      <c r="BI47" s="250" t="str">
        <f>IFERROR(__xludf.DUMMYFUNCTION("SUBSTITUTE(SUBSTITUTE(CONCATENATE(JOIN("""",AV47:BG47)),""|"",""x""),""-"",""o"")"),"xooxoxooxoxx")</f>
        <v>xooxoxooxoxx</v>
      </c>
      <c r="BJ47" s="323" t="str">
        <f>IFERROR(__xludf.DUMMYFUNCTION("JOIN("""",BI47,BI47)"),"xooxoxooxoxxxooxoxooxoxx")</f>
        <v>xooxoxooxoxxxooxoxooxoxx</v>
      </c>
      <c r="BK47" s="256" t="str">
        <f>IFERROR(__xludf.DUMMYFUNCTION("JOIN("""",ArrayFormula(MID(BI47,LEN(BI47)-SEQUENCE(1,LEN(BI47))+1,1)))"),"xxoxooxoxoox")</f>
        <v>xxoxooxoxoox</v>
      </c>
      <c r="BL47" s="256" t="str">
        <f>IFERROR(__xludf.DUMMYFUNCTION("LEFT(CONCATENATE(""x"",JOIN("""",ArrayFormula(MID(BI47,LEN(BI47)-SEQUENCE(1,LEN(BI47))+1,1)))),12)"),"xxxoxooxoxoo")</f>
        <v>xxxoxooxoxoo</v>
      </c>
      <c r="BM47" s="327" t="str">
        <f>IFERROR(__xludf.DUMMYFUNCTION("JOIN("""",BK47,BK47)"),"xxoxooxoxooxxxoxooxoxoox")</f>
        <v>xxoxooxoxooxxxoxooxoxoox</v>
      </c>
      <c r="BN47" s="239" t="str">
        <f>IFERROR(__xludf.DUMMYFUNCTION("IF(REGEXMATCH(BM47,BI47),""✔"",""-"")"),"-")</f>
        <v>-</v>
      </c>
      <c r="BO47" s="330" t="str">
        <f t="shared" si="27"/>
        <v>-</v>
      </c>
      <c r="BP47" s="260" t="str">
        <f t="shared" si="28"/>
        <v>-</v>
      </c>
      <c r="BQ47" s="261" t="str">
        <f>IFERROR(__xludf.DUMMYFUNCTION("IF(BT47=0,""(n/a)"",IF(BU47=2,""(PAIR)"",IF(REGEXMATCH(BJ47,""xoxoxxoxoxox""),""Bilawal"",IF(REGEXMATCH(BJ47,""xoxoxooxoxoo""),""Bhupali"",IF(REGEXMATCH(BJ47,""xoxoxxoxxoxo""),""Charukeshi"",IF(REGEXMATCH(BJ47,""xoxoooxxoxxo""),""Kameshwari"",IF(REGEXMATC"&amp;"H(BJ47,""xoxoxooxoxox""),""Shankara"",IF(REGEXMATCH(BJ47,""xxooxoxxxoox""),""Basant"",IF(REGEXMATCH(BJ47,""xoxoxxxxoxox""),""Bihag"",IF(REGEXMATCH(BJ47,""xoxxxxoxoxxx""),""Pilu"",IF(REGEXMATCH(BJ47,""xoxxoxoxxoox""),""Kirwani"",IF(REGEXMATCH(BJ47,""xoxxox"&amp;"oxoxxx""),""Mk.Malhar"",IF(REGEXMATCH(BJ47,""xxooxxoxxoox""),""Bhairav"",IF(REGEXMATCH(BJ47,""xxoxooxxxoox""),""Todi"",IF(REGEXMATCH(BJ47,""xxooxoxooxox""),""Marwa"",IF(REGEXMATCH(BJ47,""xxoooxoxxooo""),""Gunkali"",IF(REGEXMATCH(BJ47,""xoxoxxoxxoox""),""N"&amp;"at Bhairav"",IF(REGEXMATCH(BJ47,""xoxxoooxoxoo""),""Shivranjani"",IF(REGEXMATCH(BJ47,""xooxxxoxooxo""),""Jog"",IF(REGEXMATCH(BJ47,""xxooxoxoxoox""),""Hemshri"",IF(REGEXMATCH(BJ47,""xoooxooxoxxo""),""Kalavati"",IF(REGEXMATCH(BJ47,""xxoxoxxoxoox""),""Kedar"&amp;""",IF(REGEXMATCH(BJ47,""xoxxxxoxooxx""),""Gara"",IF(REGEXMATCH(BJ47,""xooxoxooxoox""),""Chandrakauns"",IF(REGEXMATCH(BJ47,""xoxxxxoxxxox""),""Mand"",IF(REGEXMATCH(BJ47,""xoxxxxoxoxox""),""Hanskinkini"",IF(REGEXMATCH(BJ47,""xxooxxoxooxo""),""Lilavati"",IF("&amp;"REGEXMATCH(BJ47,""xooxoxoooxox""),""Rajeshwari"",IF(REGEXMATCH(BJ47,""xoooxxoxoxxx""),""Khokar"",IF(REGEXMATCH(BJ47,""xxooxoxxxxox""),""Maligoura"",""-""))))))))))))))))))))))))))))))"),"(n/a)")</f>
        <v>(n/a)</v>
      </c>
      <c r="BR47" s="239">
        <f t="shared" si="29"/>
        <v>5</v>
      </c>
      <c r="BS47" s="239">
        <f>IFERROR(__xludf.DUMMYFUNCTION("COUNTUNIQUE(BW47:CG47)-1"),5.0)</f>
        <v>5</v>
      </c>
      <c r="BT47" s="239">
        <f>IFERROR(__xludf.DUMMYFUNCTION("COUNTUNIQUE(FILTER(BJ:BJ,REGEXMATCH(BJ:BJ,BI47)))-1"),0.0)</f>
        <v>0</v>
      </c>
      <c r="BU47" s="239">
        <f>IFERROR(__xludf.DUMMYFUNCTION("COUNTA(FILTER(BJ:BJ,REGEXMATCH(BJ:BJ,BI47)))"),3.0)</f>
        <v>3</v>
      </c>
      <c r="BV47" s="341">
        <f>IFERROR(__xludf.DUMMYFUNCTION("COUNTA(FILTER(BJ:BJ,REGEXMATCH(BJ:BJ,BI47)))-AU47"),1.0)</f>
        <v>1</v>
      </c>
      <c r="BW47" s="269" t="str">
        <f t="shared" si="30"/>
        <v>-</v>
      </c>
      <c r="BX47" s="269" t="str">
        <f t="shared" si="31"/>
        <v>-</v>
      </c>
      <c r="BY47" s="271" t="str">
        <f t="shared" si="32"/>
        <v>xoxooxoxxxo</v>
      </c>
      <c r="BZ47" s="269" t="str">
        <f t="shared" si="33"/>
        <v>-</v>
      </c>
      <c r="CA47" s="271" t="str">
        <f t="shared" si="34"/>
        <v>xooxoxxxoox</v>
      </c>
      <c r="CB47" s="271" t="str">
        <f t="shared" si="35"/>
        <v>-</v>
      </c>
      <c r="CC47" s="271" t="str">
        <f t="shared" si="36"/>
        <v>-</v>
      </c>
      <c r="CD47" s="271" t="str">
        <f t="shared" si="37"/>
        <v>xoxxxooxoxo</v>
      </c>
      <c r="CE47" s="271" t="str">
        <f t="shared" si="38"/>
        <v>-</v>
      </c>
      <c r="CF47" s="271" t="str">
        <f t="shared" si="39"/>
        <v>xxxooxoxoox</v>
      </c>
      <c r="CG47" s="274" t="str">
        <f t="shared" si="40"/>
        <v>xxooxoxooxo</v>
      </c>
      <c r="CH47" s="276" t="str">
        <f>IFERROR(__xludf.DUMMYFUNCTION("IF(BI47=""oooooooooooo"",""-"",IF(REGEXMATCH(BJ47,""xx""), ""Hemi."", ""Anhemi.""))"),"Hemi.")</f>
        <v>Hemi.</v>
      </c>
      <c r="CI47" s="282" t="str">
        <f>IFERROR(__xludf.DUMMYFUNCTION("IF(BI47=""oooooooooooo"",""-"",IF(REGEXMATCH(BJ47,""xxx""), ""Cohem."", ""-""))"),"Cohem.")</f>
        <v>Cohem.</v>
      </c>
      <c r="CJ47" s="282" t="str">
        <f>IFERROR(__xludf.DUMMYFUNCTION("IF(BI47=""oooooooooooo"",""-"",IF(REGEXMATCH(BJ47,""xxxx""), ""Co-Co."", ""-""))"),"-")</f>
        <v>-</v>
      </c>
      <c r="CK47" s="342" t="str">
        <f>IFERROR(__xludf.DUMMYFUNCTION("IF(BI47=""oooooooooooo"",""-"",IF(REGEXMATCH(BJ47,""xxxxx""), ""CCC."", ""-""))"),"-")</f>
        <v>-</v>
      </c>
      <c r="CL47" s="344" t="str">
        <f t="shared" si="41"/>
        <v>-</v>
      </c>
      <c r="CM47" s="282" t="str">
        <f>IFERROR(__xludf.DUMMYFUNCTION("IF(REGEXMATCH(JOIN(""-"",CO47:CX47),""TRUE""),""✔"",""-"")"),"-")</f>
        <v>-</v>
      </c>
      <c r="CN47" s="225">
        <f t="shared" si="42"/>
        <v>0</v>
      </c>
      <c r="CO47" s="376" t="b">
        <f>IFERROR(__xludf.DUMMYFUNCTION("arrayformula(sum(--REGEXMATCH(""SRGMPDNS"",split(REGEXREPLACE(N47,""(.)"",""$1~""),""~""))))=len(N47)
"),FALSE)</f>
        <v>0</v>
      </c>
      <c r="CP47" s="290" t="b">
        <f>IFERROR(__xludf.DUMMYFUNCTION("arrayformula(sum(--REGEXMATCH(""SRGmPDNS"",split(REGEXREPLACE(N47,""(.)"",""$1~""),""~""))))=len(N47)"),FALSE)</f>
        <v>0</v>
      </c>
      <c r="CQ47" s="290" t="b">
        <f>IFERROR(__xludf.DUMMYFUNCTION("arrayformula(sum(--REGEXMATCH(""SRGmPDnS"",split(REGEXREPLACE(N47,""(.)"",""$1~""),""~""))))=len(N47)"),FALSE)</f>
        <v>0</v>
      </c>
      <c r="CR47" s="290" t="b">
        <f>IFERROR(__xludf.DUMMYFUNCTION("arrayformula(sum(--REGEXMATCH(""SRgmPDnS"",split(REGEXREPLACE(N47,""(.)"",""$1~""),""~""))))=len(N47)"),FALSE)</f>
        <v>0</v>
      </c>
      <c r="CS47" s="290" t="b">
        <f>IFERROR(__xludf.DUMMYFUNCTION("arrayformula(sum(--REGEXMATCH(""SRgmPdnS"",split(REGEXREPLACE(N47,""(.)"",""$1~""),""~""))))=len(N47)"),FALSE)</f>
        <v>0</v>
      </c>
      <c r="CT47" s="290" t="b">
        <f>IFERROR(__xludf.DUMMYFUNCTION("arrayformula(sum(--REGEXMATCH(""SrgmPdnS"",split(REGEXREPLACE(N47,""(.)"",""$1~""),""~""))))=len(N47)"),FALSE)</f>
        <v>0</v>
      </c>
      <c r="CU47" s="290" t="b">
        <f>IFERROR(__xludf.DUMMYFUNCTION("arrayformula(sum(--REGEXMATCH(""SrGmPdNS"",split(REGEXREPLACE(N47,""(.)"",""$1~""),""~""))))=len(N47)"),FALSE)</f>
        <v>0</v>
      </c>
      <c r="CV47" s="290" t="b">
        <f>IFERROR(__xludf.DUMMYFUNCTION("arrayformula(sum(--REGEXMATCH(""SrGMPDNS"",split(REGEXREPLACE(N47,""(.)"",""$1~""),""~""))))=len(N47)"),FALSE)</f>
        <v>0</v>
      </c>
      <c r="CW47" s="290" t="b">
        <f>IFERROR(__xludf.DUMMYFUNCTION("arrayformula(sum(--REGEXMATCH(""SrGMPdNS"",split(REGEXREPLACE(N47,""(.)"",""$1~""),""~""))))=len(N47)"),FALSE)</f>
        <v>0</v>
      </c>
      <c r="CX47" s="293" t="b">
        <f>IFERROR(__xludf.DUMMYFUNCTION("arrayformula(sum(--REGEXMATCH(""SrgMPdNS"",split(REGEXREPLACE(N47,""(.)"",""$1~""),""~""))))=len(N47)"),FALSE)</f>
        <v>0</v>
      </c>
      <c r="CY47" s="244" t="str">
        <f>IFERROR(__xludf.DUMMYFUNCTION("IF(REGEXMATCH(N47, ""S""), ""1"","""")"),"1")</f>
        <v>1</v>
      </c>
      <c r="CZ47" s="245" t="str">
        <f>IFERROR(__xludf.DUMMYFUNCTION("IF(REGEXMATCH(N47, ""r""), ""b2"","""")"),"")</f>
        <v/>
      </c>
      <c r="DA47" s="246" t="str">
        <f>IFERROR(__xludf.DUMMYFUNCTION("IF(REGEXMATCH(N47, ""R""), ""2"","""")"),"")</f>
        <v/>
      </c>
      <c r="DB47" s="246" t="str">
        <f>IFERROR(__xludf.DUMMYFUNCTION("IF(REGEXMATCH(N47, ""g""), ""b3"","""")"),"b3")</f>
        <v>b3</v>
      </c>
      <c r="DC47" s="245" t="str">
        <f>IFERROR(__xludf.DUMMYFUNCTION("IF(REGEXMATCH(N47, ""G""), ""3"","""")"),"")</f>
        <v/>
      </c>
      <c r="DD47" s="245" t="str">
        <f>IFERROR(__xludf.DUMMYFUNCTION("IF(REGEXMATCH(N47, ""m""), ""4"","""")"),"4")</f>
        <v>4</v>
      </c>
      <c r="DE47" s="246" t="str">
        <f>IFERROR(__xludf.DUMMYFUNCTION("IF(REGEXMATCH(N47, ""M""), ""#4"","""")"),"")</f>
        <v/>
      </c>
      <c r="DF47" s="245" t="str">
        <f>IFERROR(__xludf.DUMMYFUNCTION("IF(REGEXMATCH(N47, ""P""), ""5"","""")"),"")</f>
        <v/>
      </c>
      <c r="DG47" s="246" t="str">
        <f>IFERROR(__xludf.DUMMYFUNCTION("IF(REGEXMATCH(N47, ""d""), ""b6"","""")"),"b6")</f>
        <v>b6</v>
      </c>
      <c r="DH47" s="245" t="str">
        <f>IFERROR(__xludf.DUMMYFUNCTION("IF(REGEXMATCH(N47, ""D""), ""6"","""")"),"")</f>
        <v/>
      </c>
      <c r="DI47" s="245" t="str">
        <f>IFERROR(__xludf.DUMMYFUNCTION("IF(REGEXMATCH(N47, ""n""), ""b7"","""")"),"b7")</f>
        <v>b7</v>
      </c>
      <c r="DJ47" s="246" t="str">
        <f>IFERROR(__xludf.DUMMYFUNCTION("IF(REGEXMATCH(N47, ""N""), ""7"","""")"),"7")</f>
        <v>7</v>
      </c>
      <c r="DK47" s="249" t="str">
        <f>IFERROR(__xludf.DUMMYFUNCTION("IF(REGEXMATCH(N47, ""S""), ""8"","""")"),"8")</f>
        <v>8</v>
      </c>
      <c r="DL47" s="244" t="str">
        <f>IFERROR(__xludf.DUMMYFUNCTION("IF(REGEXMATCH(N47, ""S""), ""S"","""")"),"S")</f>
        <v>S</v>
      </c>
      <c r="DM47" s="294" t="str">
        <f>IFERROR(__xludf.DUMMYFUNCTION("IF(REGEXMATCH(N47, ""r""), ""R1"","""")"),"")</f>
        <v/>
      </c>
      <c r="DN47" s="295" t="str">
        <f>IFERROR(__xludf.DUMMYFUNCTION("IF(REGEXMATCH(N47, ""R""), ""R2"","""")"),"")</f>
        <v/>
      </c>
      <c r="DO47" s="295" t="str">
        <f>IFERROR(__xludf.DUMMYFUNCTION("IF(REGEXMATCH(N47, ""g""), ""G2"","""")"),"G2")</f>
        <v>G2</v>
      </c>
      <c r="DP47" s="294" t="str">
        <f>IFERROR(__xludf.DUMMYFUNCTION("IF(REGEXMATCH(N47, ""G""), ""G3"","""")"),"")</f>
        <v/>
      </c>
      <c r="DQ47" s="294" t="str">
        <f>IFERROR(__xludf.DUMMYFUNCTION("IF(REGEXMATCH(N47, ""m""), ""M1"","""")"),"M1")</f>
        <v>M1</v>
      </c>
      <c r="DR47" s="295" t="str">
        <f>IFERROR(__xludf.DUMMYFUNCTION("IF(REGEXMATCH(N47, ""M""), ""M2"","""")"),"")</f>
        <v/>
      </c>
      <c r="DS47" s="294" t="str">
        <f>IFERROR(__xludf.DUMMYFUNCTION("IF(REGEXMATCH(N47, ""P""), ""P"","""")"),"")</f>
        <v/>
      </c>
      <c r="DT47" s="295" t="str">
        <f>IFERROR(__xludf.DUMMYFUNCTION("IF(REGEXMATCH(N47, ""d""), ""D1"","""")"),"D1")</f>
        <v>D1</v>
      </c>
      <c r="DU47" s="294" t="str">
        <f>IFERROR(__xludf.DUMMYFUNCTION("IF(REGEXMATCH(N47, ""D""), ""D2"","""")"),"")</f>
        <v/>
      </c>
      <c r="DV47" s="294" t="str">
        <f>IFERROR(__xludf.DUMMYFUNCTION("IF(REGEXMATCH(N47, ""n""), ""N2"","""")"),"N2")</f>
        <v>N2</v>
      </c>
      <c r="DW47" s="295" t="str">
        <f>IFERROR(__xludf.DUMMYFUNCTION("IF(REGEXMATCH(N47, ""N""), ""N3"","""")"),"N3")</f>
        <v>N3</v>
      </c>
      <c r="DX47" s="249" t="str">
        <f>IFERROR(__xludf.DUMMYFUNCTION("IF(REGEXMATCH(N47, ""S""), ""S"","""")"),"S")</f>
        <v>S</v>
      </c>
      <c r="DY47" s="299" t="str">
        <f>IFERROR(__xludf.DUMMYFUNCTION("SUBSTITUTE(SUBSTITUTE(SUBSTITUTE(SUBSTITUTE(CONCATENATE(JOIN(""-"",CY47:DK47)),""--"",""-""),""--"",""-""),""--"",""-""),""--"",""-"")"),"1-b3-4-b6-b7-7-8")</f>
        <v>1-b3-4-b6-b7-7-8</v>
      </c>
      <c r="DZ47" s="299" t="str">
        <f>IFERROR(__xludf.DUMMYFUNCTION("SUBSTITUTE(SUBSTITUTE(SUBSTITUTE(SUBSTITUTE(CONCATENATE(JOIN(""-"",DL47:DX47)),""--"",""-""),""--"",""-""),""--"",""-""),""--"",""-"")"),"S-G2-M1-D1-N2-N3-S")</f>
        <v>S-G2-M1-D1-N2-N3-S</v>
      </c>
      <c r="EA47" s="348" t="str">
        <f t="shared" si="43"/>
        <v>C-Eb-F-Ab-Bb-B-C</v>
      </c>
      <c r="EB47" s="301">
        <f t="shared" si="44"/>
        <v>6</v>
      </c>
      <c r="EC47" s="302" t="str">
        <f t="shared" si="45"/>
        <v>Audav</v>
      </c>
      <c r="ED47" s="301" t="str">
        <f t="shared" ref="ED47:EE47" si="213">SUBSTITUTE(AD47,"-","")</f>
        <v>SGM</v>
      </c>
      <c r="EE47" s="301" t="str">
        <f t="shared" si="213"/>
        <v>DNS</v>
      </c>
      <c r="EF47" s="302" t="str">
        <f t="shared" si="47"/>
        <v>(n/a)</v>
      </c>
      <c r="EG47" s="301" t="str">
        <f t="shared" si="48"/>
        <v>Hemi.</v>
      </c>
      <c r="EH47" s="364" t="str">
        <f t="shared" si="49"/>
        <v>Cohem.</v>
      </c>
      <c r="EI47" s="306" t="str">
        <f t="shared" si="50"/>
        <v>-</v>
      </c>
      <c r="EJ47" s="366" t="str">
        <f t="shared" si="51"/>
        <v>-</v>
      </c>
      <c r="EK47" s="308" t="str">
        <f t="shared" si="52"/>
        <v>✔</v>
      </c>
      <c r="EL47" s="306" t="str">
        <f t="shared" si="53"/>
        <v>-</v>
      </c>
      <c r="EM47" s="306" t="str">
        <f t="shared" si="54"/>
        <v>-</v>
      </c>
      <c r="EN47" s="367" t="str">
        <f t="shared" si="55"/>
        <v>-</v>
      </c>
      <c r="EO47" s="310" t="str">
        <f t="shared" si="56"/>
        <v>-</v>
      </c>
      <c r="EP47" s="310" t="str">
        <f t="shared" si="57"/>
        <v>-</v>
      </c>
      <c r="EQ47" s="310" t="str">
        <f t="shared" si="58"/>
        <v>-</v>
      </c>
      <c r="ER47" s="310" t="str">
        <f t="shared" si="59"/>
        <v>-</v>
      </c>
      <c r="ES47" s="370" t="str">
        <f t="shared" si="60"/>
        <v>✔</v>
      </c>
      <c r="ET47" s="306" t="str">
        <f t="shared" si="61"/>
        <v>✔</v>
      </c>
      <c r="EU47" s="306" t="str">
        <f t="shared" si="62"/>
        <v>-</v>
      </c>
      <c r="EV47" s="306" t="str">
        <f t="shared" si="63"/>
        <v>-</v>
      </c>
      <c r="EW47" s="306" t="str">
        <f t="shared" si="64"/>
        <v>✔</v>
      </c>
      <c r="EX47" s="306" t="str">
        <f t="shared" si="65"/>
        <v>-</v>
      </c>
      <c r="EY47" s="367" t="str">
        <f t="shared" si="66"/>
        <v>-</v>
      </c>
      <c r="EZ47" s="310" t="str">
        <f>IFERROR(__xludf.DUMMYFUNCTION("IF(REGEXMATCH(BM47,BI47),""✔"",""-"")"),"-")</f>
        <v>-</v>
      </c>
      <c r="FA47" s="310" t="str">
        <f t="shared" si="67"/>
        <v>-</v>
      </c>
      <c r="FB47" s="370" t="str">
        <f t="shared" si="68"/>
        <v>-</v>
      </c>
      <c r="FC47" s="415">
        <f t="shared" si="69"/>
        <v>2</v>
      </c>
      <c r="FD47" s="317" t="str">
        <f t="shared" si="70"/>
        <v>S-g-m-d-nN-S</v>
      </c>
      <c r="FE47" s="318" t="str">
        <f>IFERROR(__xludf.DUMMYFUNCTION("CONCATENATE(JOIN("""",GJ47:GV47))"),"SrRGPDS")</f>
        <v>SrRGPDS</v>
      </c>
      <c r="FF47" s="318"/>
      <c r="FG47" s="318"/>
      <c r="FH47" s="321">
        <f t="shared" si="71"/>
        <v>2</v>
      </c>
      <c r="FI47" s="318" t="str">
        <f>IFERROR(__xludf.DUMMYFUNCTION("CONCATENATE(JOIN("""",HW47:II47))"),"Sa, Ni, ")</f>
        <v>Sa, Ni, </v>
      </c>
      <c r="FJ47" s="322">
        <f t="shared" si="72"/>
        <v>1</v>
      </c>
      <c r="FK47" s="324" t="str">
        <f>IFERROR(__xludf.DUMMYFUNCTION("CONCATENATE(JOIN("""",IW47:JI47))"),"Ni, ")</f>
        <v>Ni, </v>
      </c>
      <c r="FL47" s="325" t="str">
        <f t="shared" si="73"/>
        <v>S-G2-M1-D1-N2-N3-S</v>
      </c>
      <c r="FM47" s="326" t="str">
        <f t="shared" si="74"/>
        <v>1-b3-4-b6-b7-7-8</v>
      </c>
      <c r="FN47" s="326" t="str">
        <f t="shared" si="75"/>
        <v>0-3-5-8-10-11-0</v>
      </c>
      <c r="FO47" s="318"/>
      <c r="FP47" s="328" t="str">
        <f>IFERROR(__xludf.DUMMYFUNCTION("SUBSTITUTE(SUBSTITUTE(SUBSTITUTE(SUBSTITUTE(CONCATENATE(JOIN("" "",FS47:GE47)),""  "","" ""),""  "","" ""),""  "","" ""),""  "","" "")"),"o • • o • o • • o • o o o")</f>
        <v>o • • o • o • • o • o o o</v>
      </c>
      <c r="FQ47" s="328" t="str">
        <f t="shared" si="76"/>
        <v>Sa-ma</v>
      </c>
      <c r="FR47" s="329"/>
      <c r="FS47" s="331" t="str">
        <f t="shared" si="77"/>
        <v>o</v>
      </c>
      <c r="FT47" s="332" t="str">
        <f t="shared" si="78"/>
        <v>•</v>
      </c>
      <c r="FU47" s="332" t="str">
        <f t="shared" si="79"/>
        <v>•</v>
      </c>
      <c r="FV47" s="332" t="str">
        <f t="shared" si="80"/>
        <v>o</v>
      </c>
      <c r="FW47" s="332" t="str">
        <f t="shared" si="81"/>
        <v>•</v>
      </c>
      <c r="FX47" s="332" t="str">
        <f t="shared" si="82"/>
        <v>o</v>
      </c>
      <c r="FY47" s="332" t="str">
        <f t="shared" si="83"/>
        <v>•</v>
      </c>
      <c r="FZ47" s="332" t="str">
        <f t="shared" si="84"/>
        <v>•</v>
      </c>
      <c r="GA47" s="332" t="str">
        <f t="shared" si="85"/>
        <v>o</v>
      </c>
      <c r="GB47" s="332" t="str">
        <f t="shared" si="86"/>
        <v>•</v>
      </c>
      <c r="GC47" s="332" t="str">
        <f t="shared" si="87"/>
        <v>o</v>
      </c>
      <c r="GD47" s="332" t="str">
        <f t="shared" si="88"/>
        <v>o</v>
      </c>
      <c r="GE47" s="338" t="str">
        <f t="shared" si="89"/>
        <v>o</v>
      </c>
      <c r="GF47" s="339" t="str">
        <f t="shared" si="90"/>
        <v>-</v>
      </c>
      <c r="GG47" s="339" t="str">
        <f t="shared" si="91"/>
        <v>-</v>
      </c>
      <c r="GH47" s="339" t="str">
        <f t="shared" si="92"/>
        <v>-</v>
      </c>
      <c r="GI47" s="340" t="str">
        <f t="shared" si="93"/>
        <v>Sa-ma</v>
      </c>
      <c r="GJ47" s="331" t="str">
        <f t="shared" si="94"/>
        <v>S</v>
      </c>
      <c r="GK47" s="332" t="str">
        <f t="shared" si="95"/>
        <v>r</v>
      </c>
      <c r="GL47" s="332" t="str">
        <f t="shared" si="96"/>
        <v>R</v>
      </c>
      <c r="GM47" s="332" t="str">
        <f t="shared" si="97"/>
        <v/>
      </c>
      <c r="GN47" s="332" t="str">
        <f t="shared" si="98"/>
        <v>G</v>
      </c>
      <c r="GO47" s="332" t="str">
        <f t="shared" si="99"/>
        <v/>
      </c>
      <c r="GP47" s="332" t="str">
        <f t="shared" si="100"/>
        <v/>
      </c>
      <c r="GQ47" s="332" t="str">
        <f t="shared" si="101"/>
        <v>P</v>
      </c>
      <c r="GR47" s="332" t="str">
        <f t="shared" si="102"/>
        <v/>
      </c>
      <c r="GS47" s="332" t="str">
        <f t="shared" si="103"/>
        <v>D</v>
      </c>
      <c r="GT47" s="332" t="str">
        <f t="shared" si="104"/>
        <v/>
      </c>
      <c r="GU47" s="332" t="str">
        <f t="shared" si="105"/>
        <v/>
      </c>
      <c r="GV47" s="343" t="str">
        <f t="shared" si="106"/>
        <v>S</v>
      </c>
      <c r="GW47" s="331" t="str">
        <f t="shared" si="107"/>
        <v>•</v>
      </c>
      <c r="GX47" s="332" t="str">
        <f t="shared" si="108"/>
        <v>o</v>
      </c>
      <c r="GY47" s="332" t="str">
        <f t="shared" si="109"/>
        <v>o</v>
      </c>
      <c r="GZ47" s="332" t="str">
        <f t="shared" si="110"/>
        <v>•</v>
      </c>
      <c r="HA47" s="332" t="str">
        <f t="shared" si="111"/>
        <v>o</v>
      </c>
      <c r="HB47" s="332" t="str">
        <f t="shared" si="112"/>
        <v>•</v>
      </c>
      <c r="HC47" s="332" t="str">
        <f t="shared" si="113"/>
        <v>o</v>
      </c>
      <c r="HD47" s="332" t="str">
        <f t="shared" si="114"/>
        <v>o</v>
      </c>
      <c r="HE47" s="332" t="str">
        <f t="shared" si="115"/>
        <v>•</v>
      </c>
      <c r="HF47" s="332" t="str">
        <f t="shared" si="116"/>
        <v>o</v>
      </c>
      <c r="HG47" s="332" t="str">
        <f t="shared" si="117"/>
        <v>•</v>
      </c>
      <c r="HH47" s="332" t="str">
        <f t="shared" si="118"/>
        <v>•</v>
      </c>
      <c r="HI47" s="338" t="str">
        <f t="shared" si="119"/>
        <v>•</v>
      </c>
      <c r="HJ47" s="346" t="b">
        <f t="shared" si="120"/>
        <v>1</v>
      </c>
      <c r="HK47" s="347" t="b">
        <f t="shared" si="121"/>
        <v>0</v>
      </c>
      <c r="HL47" s="347" t="b">
        <f t="shared" si="122"/>
        <v>0</v>
      </c>
      <c r="HM47" s="347" t="b">
        <f t="shared" si="123"/>
        <v>0</v>
      </c>
      <c r="HN47" s="347" t="b">
        <f t="shared" si="124"/>
        <v>0</v>
      </c>
      <c r="HO47" s="347" t="b">
        <f t="shared" si="125"/>
        <v>0</v>
      </c>
      <c r="HP47" s="347" t="b">
        <f t="shared" si="126"/>
        <v>0</v>
      </c>
      <c r="HQ47" s="347" t="b">
        <f t="shared" si="127"/>
        <v>0</v>
      </c>
      <c r="HR47" s="347" t="b">
        <f t="shared" si="128"/>
        <v>0</v>
      </c>
      <c r="HS47" s="347" t="b">
        <f t="shared" si="129"/>
        <v>0</v>
      </c>
      <c r="HT47" s="347" t="b">
        <f t="shared" si="130"/>
        <v>0</v>
      </c>
      <c r="HU47" s="347" t="b">
        <f t="shared" si="131"/>
        <v>1</v>
      </c>
      <c r="HV47" s="353" t="b">
        <f t="shared" si="132"/>
        <v>1</v>
      </c>
      <c r="HW47" s="354" t="str">
        <f t="shared" si="133"/>
        <v>Sa, </v>
      </c>
      <c r="HX47" s="355" t="str">
        <f t="shared" si="134"/>
        <v/>
      </c>
      <c r="HY47" s="355" t="str">
        <f t="shared" si="135"/>
        <v/>
      </c>
      <c r="HZ47" s="355" t="str">
        <f t="shared" si="136"/>
        <v/>
      </c>
      <c r="IA47" s="355" t="str">
        <f t="shared" si="137"/>
        <v/>
      </c>
      <c r="IB47" s="355" t="str">
        <f t="shared" si="138"/>
        <v/>
      </c>
      <c r="IC47" s="355" t="str">
        <f t="shared" si="139"/>
        <v/>
      </c>
      <c r="ID47" s="355" t="str">
        <f t="shared" si="140"/>
        <v/>
      </c>
      <c r="IE47" s="355" t="str">
        <f t="shared" si="141"/>
        <v/>
      </c>
      <c r="IF47" s="355" t="str">
        <f t="shared" si="142"/>
        <v/>
      </c>
      <c r="IG47" s="355" t="str">
        <f t="shared" si="143"/>
        <v/>
      </c>
      <c r="IH47" s="355" t="str">
        <f t="shared" si="144"/>
        <v>Ni, </v>
      </c>
      <c r="II47" s="359" t="str">
        <f t="shared" si="145"/>
        <v/>
      </c>
      <c r="IJ47" s="346" t="b">
        <f t="shared" si="146"/>
        <v>0</v>
      </c>
      <c r="IK47" s="347" t="b">
        <f t="shared" si="147"/>
        <v>0</v>
      </c>
      <c r="IL47" s="347" t="b">
        <f t="shared" si="148"/>
        <v>0</v>
      </c>
      <c r="IM47" s="347" t="b">
        <f t="shared" si="149"/>
        <v>0</v>
      </c>
      <c r="IN47" s="347" t="b">
        <f t="shared" si="150"/>
        <v>0</v>
      </c>
      <c r="IO47" s="347" t="b">
        <f t="shared" si="151"/>
        <v>0</v>
      </c>
      <c r="IP47" s="347" t="b">
        <f t="shared" si="152"/>
        <v>0</v>
      </c>
      <c r="IQ47" s="347" t="b">
        <f t="shared" si="153"/>
        <v>0</v>
      </c>
      <c r="IR47" s="347" t="b">
        <f t="shared" si="154"/>
        <v>0</v>
      </c>
      <c r="IS47" s="347" t="b">
        <f t="shared" si="155"/>
        <v>0</v>
      </c>
      <c r="IT47" s="347" t="b">
        <f t="shared" si="156"/>
        <v>0</v>
      </c>
      <c r="IU47" s="347" t="b">
        <f t="shared" si="157"/>
        <v>1</v>
      </c>
      <c r="IV47" s="365" t="b">
        <f t="shared" si="158"/>
        <v>0</v>
      </c>
      <c r="IW47" s="354" t="str">
        <f t="shared" si="159"/>
        <v/>
      </c>
      <c r="IX47" s="355" t="str">
        <f t="shared" si="160"/>
        <v/>
      </c>
      <c r="IY47" s="355" t="str">
        <f t="shared" si="161"/>
        <v/>
      </c>
      <c r="IZ47" s="355" t="str">
        <f t="shared" si="162"/>
        <v/>
      </c>
      <c r="JA47" s="355" t="str">
        <f t="shared" si="163"/>
        <v/>
      </c>
      <c r="JB47" s="355" t="str">
        <f t="shared" si="164"/>
        <v/>
      </c>
      <c r="JC47" s="355" t="str">
        <f t="shared" si="165"/>
        <v/>
      </c>
      <c r="JD47" s="355" t="str">
        <f t="shared" si="166"/>
        <v/>
      </c>
      <c r="JE47" s="355" t="str">
        <f t="shared" si="167"/>
        <v/>
      </c>
      <c r="JF47" s="355" t="str">
        <f t="shared" si="168"/>
        <v/>
      </c>
      <c r="JG47" s="355" t="str">
        <f t="shared" si="169"/>
        <v/>
      </c>
      <c r="JH47" s="355" t="str">
        <f t="shared" si="170"/>
        <v>Ni, </v>
      </c>
      <c r="JI47" s="359"/>
      <c r="JJ47" s="321"/>
      <c r="JK47" s="368"/>
      <c r="JL47" s="369"/>
      <c r="JM47" s="369"/>
      <c r="JN47" s="369"/>
      <c r="JO47" s="369"/>
      <c r="JP47" s="369"/>
      <c r="JQ47" s="369"/>
      <c r="JR47" s="369"/>
      <c r="JS47" s="369"/>
      <c r="JT47" s="369"/>
      <c r="JU47" s="369"/>
    </row>
    <row r="48" ht="20.25" customHeight="1">
      <c r="A48" s="221" t="s">
        <v>1323</v>
      </c>
      <c r="B48" s="223" t="s">
        <v>462</v>
      </c>
      <c r="C48" s="222"/>
      <c r="D48" s="222" t="s">
        <v>275</v>
      </c>
      <c r="E48" s="222"/>
      <c r="F48" s="222"/>
      <c r="G48" s="222" t="s">
        <v>275</v>
      </c>
      <c r="H48" s="222">
        <v>46.0</v>
      </c>
      <c r="I48" s="224" t="s">
        <v>1219</v>
      </c>
      <c r="J48" s="225" t="str">
        <f t="shared" si="5"/>
        <v>[UQ]</v>
      </c>
      <c r="K48" s="227">
        <f t="shared" si="6"/>
        <v>7</v>
      </c>
      <c r="L48" s="229">
        <f t="shared" si="7"/>
        <v>7</v>
      </c>
      <c r="M48" s="230">
        <f t="shared" si="8"/>
        <v>0</v>
      </c>
      <c r="N48" s="233" t="str">
        <f t="shared" si="9"/>
        <v>SRgMPDnS</v>
      </c>
      <c r="O48" s="234" t="str">
        <f>IFERROR(__xludf.DUMMYFUNCTION("IF(REGEXMATCH(N48, ""S""), ""S"","""")"),"S")</f>
        <v>S</v>
      </c>
      <c r="P48" s="236" t="str">
        <f>IFERROR(__xludf.DUMMYFUNCTION("IF(REGEXMATCH(N48, ""r""), ""r"","""")"),"")</f>
        <v/>
      </c>
      <c r="Q48" s="237" t="str">
        <f>IFERROR(__xludf.DUMMYFUNCTION("IF(REGEXMATCH(N48, ""R""), ""R"","""")"),"R")</f>
        <v>R</v>
      </c>
      <c r="R48" s="237" t="str">
        <f>IFERROR(__xludf.DUMMYFUNCTION("IF(REGEXMATCH(N48, ""g""), ""g"","""")"),"g")</f>
        <v>g</v>
      </c>
      <c r="S48" s="236" t="str">
        <f>IFERROR(__xludf.DUMMYFUNCTION("IF(REGEXMATCH(N48, ""G""), ""G"","""")"),"")</f>
        <v/>
      </c>
      <c r="T48" s="236" t="str">
        <f>IFERROR(__xludf.DUMMYFUNCTION("IF(REGEXMATCH(N48, ""m""), ""m"","""")"),"")</f>
        <v/>
      </c>
      <c r="U48" s="237" t="str">
        <f>IFERROR(__xludf.DUMMYFUNCTION("IF(REGEXMATCH(N48, ""M""), ""M"","""")"),"M")</f>
        <v>M</v>
      </c>
      <c r="V48" s="236" t="str">
        <f>IFERROR(__xludf.DUMMYFUNCTION("IF(REGEXMATCH(N48, ""P""), ""P"","""")"),"P")</f>
        <v>P</v>
      </c>
      <c r="W48" s="237" t="str">
        <f>IFERROR(__xludf.DUMMYFUNCTION("IF(REGEXMATCH(N48, ""d""), ""d"","""")"),"")</f>
        <v/>
      </c>
      <c r="X48" s="236" t="str">
        <f>IFERROR(__xludf.DUMMYFUNCTION("IF(REGEXMATCH(N48, ""D""), ""D"","""")"),"D")</f>
        <v>D</v>
      </c>
      <c r="Y48" s="236" t="str">
        <f>IFERROR(__xludf.DUMMYFUNCTION("IF(REGEXMATCH(N48, ""n""), ""n"","""")"),"n")</f>
        <v>n</v>
      </c>
      <c r="Z48" s="237" t="str">
        <f>IFERROR(__xludf.DUMMYFUNCTION("IF(REGEXMATCH(N48, ""N""), ""N"","""")"),"")</f>
        <v/>
      </c>
      <c r="AA48" s="238" t="str">
        <f>IFERROR(__xludf.DUMMYFUNCTION("IF(REGEXMATCH(N48, ""S""), ""S"","""")"),"S")</f>
        <v>S</v>
      </c>
      <c r="AB48" s="239" t="str">
        <f>IFERROR(__xludf.DUMMYFUNCTION("SUBSTITUTE(CONCATENATE(JOIN(""-"",O48:U48)),""-"","""")"),"SRgM")</f>
        <v>SRgM</v>
      </c>
      <c r="AC48" s="229" t="str">
        <f>IFERROR(__xludf.DUMMYFUNCTION("SUBSTITUTE(CONCATENATE(JOIN(""-"",V48:AA48)),""-"","""")"),"PDnS")</f>
        <v>PDnS</v>
      </c>
      <c r="AD48" s="282" t="str">
        <f t="shared" si="10"/>
        <v>S-R-G-M</v>
      </c>
      <c r="AE48" s="282" t="str">
        <f t="shared" si="11"/>
        <v>P-D-N-S</v>
      </c>
      <c r="AF48" s="309" t="str">
        <f t="shared" si="12"/>
        <v>RgMDn</v>
      </c>
      <c r="AG48" s="244" t="str">
        <f>IFERROR(__xludf.DUMMYFUNCTION("IF(REGEXMATCH(N48, ""S""), ""0"","""")"),"0")</f>
        <v>0</v>
      </c>
      <c r="AH48" s="245" t="str">
        <f>IFERROR(__xludf.DUMMYFUNCTION("IF(REGEXMATCH(N48, ""r""), ""1"","""")"),"")</f>
        <v/>
      </c>
      <c r="AI48" s="246" t="str">
        <f>IFERROR(__xludf.DUMMYFUNCTION("IF(REGEXMATCH(N48, ""R""), ""2"","""")"),"2")</f>
        <v>2</v>
      </c>
      <c r="AJ48" s="246" t="str">
        <f>IFERROR(__xludf.DUMMYFUNCTION("IF(REGEXMATCH(N48, ""g""), ""3"","""")"),"3")</f>
        <v>3</v>
      </c>
      <c r="AK48" s="245" t="str">
        <f>IFERROR(__xludf.DUMMYFUNCTION("IF(REGEXMATCH(N48, ""G""), ""4"","""")"),"")</f>
        <v/>
      </c>
      <c r="AL48" s="245" t="str">
        <f>IFERROR(__xludf.DUMMYFUNCTION("IF(REGEXMATCH(N48, ""m""), ""5"","""")"),"")</f>
        <v/>
      </c>
      <c r="AM48" s="246" t="str">
        <f>IFERROR(__xludf.DUMMYFUNCTION("IF(REGEXMATCH(N48, ""M""), ""6"","""")"),"6")</f>
        <v>6</v>
      </c>
      <c r="AN48" s="245" t="str">
        <f>IFERROR(__xludf.DUMMYFUNCTION("IF(REGEXMATCH(N48, ""P""), ""7"","""")"),"7")</f>
        <v>7</v>
      </c>
      <c r="AO48" s="246" t="str">
        <f>IFERROR(__xludf.DUMMYFUNCTION("IF(REGEXMATCH(N48, ""d""), ""8"","""")"),"")</f>
        <v/>
      </c>
      <c r="AP48" s="245" t="str">
        <f>IFERROR(__xludf.DUMMYFUNCTION("IF(REGEXMATCH(N48, ""D""), ""9"","""")"),"9")</f>
        <v>9</v>
      </c>
      <c r="AQ48" s="245" t="str">
        <f>IFERROR(__xludf.DUMMYFUNCTION("IF(REGEXMATCH(N48, ""n""), ""10"","""")"),"10")</f>
        <v>10</v>
      </c>
      <c r="AR48" s="246" t="str">
        <f>IFERROR(__xludf.DUMMYFUNCTION("IF(REGEXMATCH(N48, ""N""), ""11"","""")"),"")</f>
        <v/>
      </c>
      <c r="AS48" s="249" t="str">
        <f>IFERROR(__xludf.DUMMYFUNCTION("IF(REGEXMATCH(N48, ""S""), ""0"","""")"),"0")</f>
        <v>0</v>
      </c>
      <c r="AT48" s="250" t="str">
        <f>IFERROR(__xludf.DUMMYFUNCTION("SUBSTITUTE(SUBSTITUTE(SUBSTITUTE(SUBSTITUTE(CONCATENATE(JOIN(""-"",AG48:AS48)),""--"",""-""),""--"",""-""),""--"",""-""),""--"",""-"")"),"0-2-3-6-7-9-10-0")</f>
        <v>0-2-3-6-7-9-10-0</v>
      </c>
      <c r="AU48" s="251">
        <f t="shared" si="13"/>
        <v>0</v>
      </c>
      <c r="AV48" s="234" t="str">
        <f t="shared" si="14"/>
        <v>|</v>
      </c>
      <c r="AW48" s="236" t="str">
        <f t="shared" si="15"/>
        <v>-</v>
      </c>
      <c r="AX48" s="237" t="str">
        <f t="shared" si="16"/>
        <v>|</v>
      </c>
      <c r="AY48" s="236" t="str">
        <f t="shared" si="17"/>
        <v>|</v>
      </c>
      <c r="AZ48" s="237" t="str">
        <f t="shared" si="18"/>
        <v>-</v>
      </c>
      <c r="BA48" s="236" t="str">
        <f t="shared" si="19"/>
        <v>-</v>
      </c>
      <c r="BB48" s="237" t="str">
        <f t="shared" si="20"/>
        <v>|</v>
      </c>
      <c r="BC48" s="236" t="str">
        <f t="shared" si="21"/>
        <v>|</v>
      </c>
      <c r="BD48" s="237" t="str">
        <f t="shared" si="22"/>
        <v>-</v>
      </c>
      <c r="BE48" s="236" t="str">
        <f t="shared" si="23"/>
        <v>|</v>
      </c>
      <c r="BF48" s="237" t="str">
        <f t="shared" si="24"/>
        <v>|</v>
      </c>
      <c r="BG48" s="236" t="str">
        <f t="shared" si="25"/>
        <v>-</v>
      </c>
      <c r="BH48" s="238" t="str">
        <f t="shared" si="26"/>
        <v>|</v>
      </c>
      <c r="BI48" s="250" t="str">
        <f>IFERROR(__xludf.DUMMYFUNCTION("SUBSTITUTE(SUBSTITUTE(CONCATENATE(JOIN("""",AV48:BG48)),""|"",""x""),""-"",""o"")"),"xoxxooxxoxxo")</f>
        <v>xoxxooxxoxxo</v>
      </c>
      <c r="BJ48" s="323" t="str">
        <f>IFERROR(__xludf.DUMMYFUNCTION("JOIN("""",BI48,BI48)"),"xoxxooxxoxxoxoxxooxxoxxo")</f>
        <v>xoxxooxxoxxoxoxxooxxoxxo</v>
      </c>
      <c r="BK48" s="256" t="str">
        <f>IFERROR(__xludf.DUMMYFUNCTION("JOIN("""",ArrayFormula(MID(BI48,LEN(BI48)-SEQUENCE(1,LEN(BI48))+1,1)))"),"oxxoxxooxxox")</f>
        <v>oxxoxxooxxox</v>
      </c>
      <c r="BL48" s="256" t="str">
        <f>IFERROR(__xludf.DUMMYFUNCTION("LEFT(CONCATENATE(""x"",JOIN("""",ArrayFormula(MID(BI48,LEN(BI48)-SEQUENCE(1,LEN(BI48))+1,1)))),12)"),"xoxxoxxooxxo")</f>
        <v>xoxxoxxooxxo</v>
      </c>
      <c r="BM48" s="327" t="str">
        <f>IFERROR(__xludf.DUMMYFUNCTION("JOIN("""",BK48,BK48)"),"oxxoxxooxxoxoxxoxxooxxox")</f>
        <v>oxxoxxooxxoxoxxoxxooxxox</v>
      </c>
      <c r="BN48" s="239" t="str">
        <f>IFERROR(__xludf.DUMMYFUNCTION("IF(REGEXMATCH(BM48,BI48),""✔"",""-"")"),"-")</f>
        <v>-</v>
      </c>
      <c r="BO48" s="330" t="str">
        <f t="shared" si="27"/>
        <v>-</v>
      </c>
      <c r="BP48" s="260" t="str">
        <f t="shared" si="28"/>
        <v>-</v>
      </c>
      <c r="BQ48" s="261" t="str">
        <f>IFERROR(__xludf.DUMMYFUNCTION("IF(BT48=0,""(n/a)"",IF(BU48=2,""(PAIR)"",IF(REGEXMATCH(BJ48,""xoxoxxoxoxox""),""Bilawal"",IF(REGEXMATCH(BJ48,""xoxoxooxoxoo""),""Bhupali"",IF(REGEXMATCH(BJ48,""xoxoxxoxxoxo""),""Charukeshi"",IF(REGEXMATCH(BJ48,""xoxoooxxoxxo""),""Kameshwari"",IF(REGEXMATC"&amp;"H(BJ48,""xoxoxooxoxox""),""Shankara"",IF(REGEXMATCH(BJ48,""xxooxoxxxoox""),""Basant"",IF(REGEXMATCH(BJ48,""xoxoxxxxoxox""),""Bihag"",IF(REGEXMATCH(BJ48,""xoxxxxoxoxxx""),""Pilu"",IF(REGEXMATCH(BJ48,""xoxxoxoxxoox""),""Kirwani"",IF(REGEXMATCH(BJ48,""xoxxox"&amp;"oxoxxx""),""Mk.Malhar"",IF(REGEXMATCH(BJ48,""xxooxxoxxoox""),""Bhairav"",IF(REGEXMATCH(BJ48,""xxoxooxxxoox""),""Todi"",IF(REGEXMATCH(BJ48,""xxooxoxooxox""),""Marwa"",IF(REGEXMATCH(BJ48,""xxoooxoxxooo""),""Gunkali"",IF(REGEXMATCH(BJ48,""xoxoxxoxxoox""),""N"&amp;"at Bhairav"",IF(REGEXMATCH(BJ48,""xoxxoooxoxoo""),""Shivranjani"",IF(REGEXMATCH(BJ48,""xooxxxoxooxo""),""Jog"",IF(REGEXMATCH(BJ48,""xxooxoxoxoox""),""Hemshri"",IF(REGEXMATCH(BJ48,""xoooxooxoxxo""),""Kalavati"",IF(REGEXMATCH(BJ48,""xxoxoxxoxoox""),""Kedar"&amp;""",IF(REGEXMATCH(BJ48,""xoxxxxoxooxx""),""Gara"",IF(REGEXMATCH(BJ48,""xooxoxooxoox""),""Chandrakauns"",IF(REGEXMATCH(BJ48,""xoxxxxoxxxox""),""Mand"",IF(REGEXMATCH(BJ48,""xoxxxxoxoxox""),""Hanskinkini"",IF(REGEXMATCH(BJ48,""xxooxxoxooxo""),""Lilavati"",IF("&amp;"REGEXMATCH(BJ48,""xooxoxoooxox""),""Rajeshwari"",IF(REGEXMATCH(BJ48,""xoooxxoxoxxx""),""Khokar"",IF(REGEXMATCH(BJ48,""xxooxoxxxxox""),""Maligoura"",""-""))))))))))))))))))))))))))))))"),"Kirwani")</f>
        <v>Kirwani</v>
      </c>
      <c r="BR48" s="239">
        <f t="shared" si="29"/>
        <v>6</v>
      </c>
      <c r="BS48" s="239">
        <f>IFERROR(__xludf.DUMMYFUNCTION("COUNTUNIQUE(BW48:CG48)-1"),6.0)</f>
        <v>6</v>
      </c>
      <c r="BT48" s="239">
        <f>IFERROR(__xludf.DUMMYFUNCTION("COUNTUNIQUE(FILTER(BJ:BJ,REGEXMATCH(BJ:BJ,BI48)))-1"),2.0)</f>
        <v>2</v>
      </c>
      <c r="BU48" s="239">
        <f>IFERROR(__xludf.DUMMYFUNCTION("COUNTA(FILTER(BJ:BJ,REGEXMATCH(BJ:BJ,BI48)))"),4.0)</f>
        <v>4</v>
      </c>
      <c r="BV48" s="341">
        <f>IFERROR(__xludf.DUMMYFUNCTION("COUNTA(FILTER(BJ:BJ,REGEXMATCH(BJ:BJ,BI48)))-AU48"),4.0)</f>
        <v>4</v>
      </c>
      <c r="BW48" s="269" t="str">
        <f t="shared" si="30"/>
        <v>-</v>
      </c>
      <c r="BX48" s="269" t="str">
        <f t="shared" si="31"/>
        <v>xxooxxoxxox</v>
      </c>
      <c r="BY48" s="271" t="str">
        <f t="shared" si="32"/>
        <v>xooxxoxxoxo</v>
      </c>
      <c r="BZ48" s="269" t="str">
        <f t="shared" si="33"/>
        <v>-</v>
      </c>
      <c r="CA48" s="271" t="str">
        <f t="shared" si="34"/>
        <v>-</v>
      </c>
      <c r="CB48" s="271" t="str">
        <f t="shared" si="35"/>
        <v>xxoxxoxoxxo</v>
      </c>
      <c r="CC48" s="271" t="str">
        <f t="shared" si="36"/>
        <v>xoxxoxoxxoo</v>
      </c>
      <c r="CD48" s="271" t="str">
        <f t="shared" si="37"/>
        <v>-</v>
      </c>
      <c r="CE48" s="271" t="str">
        <f t="shared" si="38"/>
        <v>xxoxoxxooxx</v>
      </c>
      <c r="CF48" s="271" t="str">
        <f t="shared" si="39"/>
        <v>xoxoxxooxxo</v>
      </c>
      <c r="CG48" s="274" t="str">
        <f t="shared" si="40"/>
        <v>-</v>
      </c>
      <c r="CH48" s="276" t="str">
        <f>IFERROR(__xludf.DUMMYFUNCTION("IF(BI48=""oooooooooooo"",""-"",IF(REGEXMATCH(BJ48,""xx""), ""Hemi."", ""Anhemi.""))"),"Hemi.")</f>
        <v>Hemi.</v>
      </c>
      <c r="CI48" s="282" t="str">
        <f>IFERROR(__xludf.DUMMYFUNCTION("IF(BI48=""oooooooooooo"",""-"",IF(REGEXMATCH(BJ48,""xxx""), ""Cohem."", ""-""))"),"-")</f>
        <v>-</v>
      </c>
      <c r="CJ48" s="282" t="str">
        <f>IFERROR(__xludf.DUMMYFUNCTION("IF(BI48=""oooooooooooo"",""-"",IF(REGEXMATCH(BJ48,""xxxx""), ""Co-Co."", ""-""))"),"-")</f>
        <v>-</v>
      </c>
      <c r="CK48" s="342" t="str">
        <f>IFERROR(__xludf.DUMMYFUNCTION("IF(BI48=""oooooooooooo"",""-"",IF(REGEXMATCH(BJ48,""xxxxx""), ""CCC."", ""-""))"),"-")</f>
        <v>-</v>
      </c>
      <c r="CL48" s="344" t="str">
        <f t="shared" si="41"/>
        <v>-</v>
      </c>
      <c r="CM48" s="282" t="str">
        <f>IFERROR(__xludf.DUMMYFUNCTION("IF(REGEXMATCH(JOIN(""-"",CO48:CX48),""TRUE""),""✔"",""-"")"),"-")</f>
        <v>-</v>
      </c>
      <c r="CN48" s="225">
        <f t="shared" si="42"/>
        <v>0</v>
      </c>
      <c r="CO48" s="376" t="b">
        <f>IFERROR(__xludf.DUMMYFUNCTION("arrayformula(sum(--REGEXMATCH(""SRGMPDNS"",split(REGEXREPLACE(N48,""(.)"",""$1~""),""~""))))=len(N48)
"),FALSE)</f>
        <v>0</v>
      </c>
      <c r="CP48" s="290" t="b">
        <f>IFERROR(__xludf.DUMMYFUNCTION("arrayformula(sum(--REGEXMATCH(""SRGmPDNS"",split(REGEXREPLACE(N48,""(.)"",""$1~""),""~""))))=len(N48)"),FALSE)</f>
        <v>0</v>
      </c>
      <c r="CQ48" s="290" t="b">
        <f>IFERROR(__xludf.DUMMYFUNCTION("arrayformula(sum(--REGEXMATCH(""SRGmPDnS"",split(REGEXREPLACE(N48,""(.)"",""$1~""),""~""))))=len(N48)"),FALSE)</f>
        <v>0</v>
      </c>
      <c r="CR48" s="290" t="b">
        <f>IFERROR(__xludf.DUMMYFUNCTION("arrayformula(sum(--REGEXMATCH(""SRgmPDnS"",split(REGEXREPLACE(N48,""(.)"",""$1~""),""~""))))=len(N48)"),FALSE)</f>
        <v>0</v>
      </c>
      <c r="CS48" s="290" t="b">
        <f>IFERROR(__xludf.DUMMYFUNCTION("arrayformula(sum(--REGEXMATCH(""SRgmPdnS"",split(REGEXREPLACE(N48,""(.)"",""$1~""),""~""))))=len(N48)"),FALSE)</f>
        <v>0</v>
      </c>
      <c r="CT48" s="290" t="b">
        <f>IFERROR(__xludf.DUMMYFUNCTION("arrayformula(sum(--REGEXMATCH(""SrgmPdnS"",split(REGEXREPLACE(N48,""(.)"",""$1~""),""~""))))=len(N48)"),FALSE)</f>
        <v>0</v>
      </c>
      <c r="CU48" s="290" t="b">
        <f>IFERROR(__xludf.DUMMYFUNCTION("arrayformula(sum(--REGEXMATCH(""SrGmPdNS"",split(REGEXREPLACE(N48,""(.)"",""$1~""),""~""))))=len(N48)"),FALSE)</f>
        <v>0</v>
      </c>
      <c r="CV48" s="290" t="b">
        <f>IFERROR(__xludf.DUMMYFUNCTION("arrayformula(sum(--REGEXMATCH(""SrGMPDNS"",split(REGEXREPLACE(N48,""(.)"",""$1~""),""~""))))=len(N48)"),FALSE)</f>
        <v>0</v>
      </c>
      <c r="CW48" s="290" t="b">
        <f>IFERROR(__xludf.DUMMYFUNCTION("arrayformula(sum(--REGEXMATCH(""SrGMPdNS"",split(REGEXREPLACE(N48,""(.)"",""$1~""),""~""))))=len(N48)"),FALSE)</f>
        <v>0</v>
      </c>
      <c r="CX48" s="293" t="b">
        <f>IFERROR(__xludf.DUMMYFUNCTION("arrayformula(sum(--REGEXMATCH(""SrgMPdNS"",split(REGEXREPLACE(N48,""(.)"",""$1~""),""~""))))=len(N48)"),FALSE)</f>
        <v>0</v>
      </c>
      <c r="CY48" s="244" t="str">
        <f>IFERROR(__xludf.DUMMYFUNCTION("IF(REGEXMATCH(N48, ""S""), ""1"","""")"),"1")</f>
        <v>1</v>
      </c>
      <c r="CZ48" s="245" t="str">
        <f>IFERROR(__xludf.DUMMYFUNCTION("IF(REGEXMATCH(N48, ""r""), ""b2"","""")"),"")</f>
        <v/>
      </c>
      <c r="DA48" s="246" t="str">
        <f>IFERROR(__xludf.DUMMYFUNCTION("IF(REGEXMATCH(N48, ""R""), ""2"","""")"),"2")</f>
        <v>2</v>
      </c>
      <c r="DB48" s="246" t="str">
        <f>IFERROR(__xludf.DUMMYFUNCTION("IF(REGEXMATCH(N48, ""g""), ""b3"","""")"),"b3")</f>
        <v>b3</v>
      </c>
      <c r="DC48" s="245" t="str">
        <f>IFERROR(__xludf.DUMMYFUNCTION("IF(REGEXMATCH(N48, ""G""), ""3"","""")"),"")</f>
        <v/>
      </c>
      <c r="DD48" s="245" t="str">
        <f>IFERROR(__xludf.DUMMYFUNCTION("IF(REGEXMATCH(N48, ""m""), ""4"","""")"),"")</f>
        <v/>
      </c>
      <c r="DE48" s="246" t="str">
        <f>IFERROR(__xludf.DUMMYFUNCTION("IF(REGEXMATCH(N48, ""M""), ""#4"","""")"),"#4")</f>
        <v>#4</v>
      </c>
      <c r="DF48" s="245" t="str">
        <f>IFERROR(__xludf.DUMMYFUNCTION("IF(REGEXMATCH(N48, ""P""), ""5"","""")"),"5")</f>
        <v>5</v>
      </c>
      <c r="DG48" s="246" t="str">
        <f>IFERROR(__xludf.DUMMYFUNCTION("IF(REGEXMATCH(N48, ""d""), ""b6"","""")"),"")</f>
        <v/>
      </c>
      <c r="DH48" s="245" t="str">
        <f>IFERROR(__xludf.DUMMYFUNCTION("IF(REGEXMATCH(N48, ""D""), ""6"","""")"),"6")</f>
        <v>6</v>
      </c>
      <c r="DI48" s="245" t="str">
        <f>IFERROR(__xludf.DUMMYFUNCTION("IF(REGEXMATCH(N48, ""n""), ""b7"","""")"),"b7")</f>
        <v>b7</v>
      </c>
      <c r="DJ48" s="246" t="str">
        <f>IFERROR(__xludf.DUMMYFUNCTION("IF(REGEXMATCH(N48, ""N""), ""7"","""")"),"")</f>
        <v/>
      </c>
      <c r="DK48" s="249" t="str">
        <f>IFERROR(__xludf.DUMMYFUNCTION("IF(REGEXMATCH(N48, ""S""), ""8"","""")"),"8")</f>
        <v>8</v>
      </c>
      <c r="DL48" s="244" t="str">
        <f>IFERROR(__xludf.DUMMYFUNCTION("IF(REGEXMATCH(N48, ""S""), ""S"","""")"),"S")</f>
        <v>S</v>
      </c>
      <c r="DM48" s="294" t="str">
        <f>IFERROR(__xludf.DUMMYFUNCTION("IF(REGEXMATCH(N48, ""r""), ""R1"","""")"),"")</f>
        <v/>
      </c>
      <c r="DN48" s="295" t="str">
        <f>IFERROR(__xludf.DUMMYFUNCTION("IF(REGEXMATCH(N48, ""R""), ""R2"","""")"),"R2")</f>
        <v>R2</v>
      </c>
      <c r="DO48" s="295" t="str">
        <f>IFERROR(__xludf.DUMMYFUNCTION("IF(REGEXMATCH(N48, ""g""), ""G2"","""")"),"G2")</f>
        <v>G2</v>
      </c>
      <c r="DP48" s="294" t="str">
        <f>IFERROR(__xludf.DUMMYFUNCTION("IF(REGEXMATCH(N48, ""G""), ""G3"","""")"),"")</f>
        <v/>
      </c>
      <c r="DQ48" s="294" t="str">
        <f>IFERROR(__xludf.DUMMYFUNCTION("IF(REGEXMATCH(N48, ""m""), ""M1"","""")"),"")</f>
        <v/>
      </c>
      <c r="DR48" s="295" t="str">
        <f>IFERROR(__xludf.DUMMYFUNCTION("IF(REGEXMATCH(N48, ""M""), ""M2"","""")"),"M2")</f>
        <v>M2</v>
      </c>
      <c r="DS48" s="294" t="str">
        <f>IFERROR(__xludf.DUMMYFUNCTION("IF(REGEXMATCH(N48, ""P""), ""P"","""")"),"P")</f>
        <v>P</v>
      </c>
      <c r="DT48" s="295" t="str">
        <f>IFERROR(__xludf.DUMMYFUNCTION("IF(REGEXMATCH(N48, ""d""), ""D1"","""")"),"")</f>
        <v/>
      </c>
      <c r="DU48" s="294" t="str">
        <f>IFERROR(__xludf.DUMMYFUNCTION("IF(REGEXMATCH(N48, ""D""), ""D2"","""")"),"D2")</f>
        <v>D2</v>
      </c>
      <c r="DV48" s="294" t="str">
        <f>IFERROR(__xludf.DUMMYFUNCTION("IF(REGEXMATCH(N48, ""n""), ""N2"","""")"),"N2")</f>
        <v>N2</v>
      </c>
      <c r="DW48" s="295" t="str">
        <f>IFERROR(__xludf.DUMMYFUNCTION("IF(REGEXMATCH(N48, ""N""), ""N3"","""")"),"")</f>
        <v/>
      </c>
      <c r="DX48" s="249" t="str">
        <f>IFERROR(__xludf.DUMMYFUNCTION("IF(REGEXMATCH(N48, ""S""), ""S"","""")"),"S")</f>
        <v>S</v>
      </c>
      <c r="DY48" s="299" t="str">
        <f>IFERROR(__xludf.DUMMYFUNCTION("SUBSTITUTE(SUBSTITUTE(SUBSTITUTE(SUBSTITUTE(CONCATENATE(JOIN(""-"",CY48:DK48)),""--"",""-""),""--"",""-""),""--"",""-""),""--"",""-"")"),"1-2-b3-#4-5-6-b7-8")</f>
        <v>1-2-b3-#4-5-6-b7-8</v>
      </c>
      <c r="DZ48" s="299" t="str">
        <f>IFERROR(__xludf.DUMMYFUNCTION("SUBSTITUTE(SUBSTITUTE(SUBSTITUTE(SUBSTITUTE(CONCATENATE(JOIN(""-"",DL48:DX48)),""--"",""-""),""--"",""-""),""--"",""-""),""--"",""-"")"),"S-R2-G2-M2-P-D2-N2-S")</f>
        <v>S-R2-G2-M2-P-D2-N2-S</v>
      </c>
      <c r="EA48" s="348" t="str">
        <f t="shared" si="43"/>
        <v>C-D-Eb-F#-G-A-Bb-C</v>
      </c>
      <c r="EB48" s="301">
        <f t="shared" si="44"/>
        <v>7</v>
      </c>
      <c r="EC48" s="302" t="str">
        <f t="shared" si="45"/>
        <v>Sampurna</v>
      </c>
      <c r="ED48" s="301" t="str">
        <f t="shared" ref="ED48:EE48" si="214">SUBSTITUTE(AD48,"-","")</f>
        <v>SRGM</v>
      </c>
      <c r="EE48" s="301" t="str">
        <f t="shared" si="214"/>
        <v>PDNS</v>
      </c>
      <c r="EF48" s="302" t="str">
        <f t="shared" si="47"/>
        <v>Kirwani</v>
      </c>
      <c r="EG48" s="301" t="str">
        <f t="shared" si="48"/>
        <v>Hemi.</v>
      </c>
      <c r="EH48" s="364" t="str">
        <f t="shared" si="49"/>
        <v>-</v>
      </c>
      <c r="EI48" s="306" t="str">
        <f t="shared" si="50"/>
        <v>-</v>
      </c>
      <c r="EJ48" s="366" t="str">
        <f t="shared" si="51"/>
        <v>-</v>
      </c>
      <c r="EK48" s="308" t="str">
        <f t="shared" si="52"/>
        <v>✔</v>
      </c>
      <c r="EL48" s="306" t="str">
        <f t="shared" si="53"/>
        <v>-</v>
      </c>
      <c r="EM48" s="306" t="str">
        <f t="shared" si="54"/>
        <v>-</v>
      </c>
      <c r="EN48" s="367" t="str">
        <f t="shared" si="55"/>
        <v>✔</v>
      </c>
      <c r="EO48" s="310" t="str">
        <f t="shared" si="56"/>
        <v>-</v>
      </c>
      <c r="EP48" s="310" t="str">
        <f t="shared" si="57"/>
        <v>-</v>
      </c>
      <c r="EQ48" s="310" t="str">
        <f t="shared" si="58"/>
        <v>-</v>
      </c>
      <c r="ER48" s="310" t="str">
        <f t="shared" si="59"/>
        <v>-</v>
      </c>
      <c r="ES48" s="370" t="str">
        <f t="shared" si="60"/>
        <v>-</v>
      </c>
      <c r="ET48" s="306" t="str">
        <f t="shared" si="61"/>
        <v>-</v>
      </c>
      <c r="EU48" s="306" t="str">
        <f t="shared" si="62"/>
        <v>-</v>
      </c>
      <c r="EV48" s="306" t="str">
        <f t="shared" si="63"/>
        <v>-</v>
      </c>
      <c r="EW48" s="306" t="str">
        <f t="shared" si="64"/>
        <v>-</v>
      </c>
      <c r="EX48" s="306" t="str">
        <f t="shared" si="65"/>
        <v>-</v>
      </c>
      <c r="EY48" s="367" t="str">
        <f t="shared" si="66"/>
        <v>-</v>
      </c>
      <c r="EZ48" s="310" t="str">
        <f>IFERROR(__xludf.DUMMYFUNCTION("IF(REGEXMATCH(BM48,BI48),""✔"",""-"")"),"-")</f>
        <v>-</v>
      </c>
      <c r="FA48" s="310" t="str">
        <f t="shared" si="67"/>
        <v>-</v>
      </c>
      <c r="FB48" s="370" t="str">
        <f t="shared" si="68"/>
        <v>-</v>
      </c>
      <c r="FC48" s="315" t="str">
        <f t="shared" si="69"/>
        <v>[UQ]</v>
      </c>
      <c r="FD48" s="317" t="str">
        <f t="shared" si="70"/>
        <v>S-R-g-M-P-D-n-S</v>
      </c>
      <c r="FE48" s="318" t="str">
        <f>IFERROR(__xludf.DUMMYFUNCTION("CONCATENATE(JOIN("""",GJ48:GV48))"),"SRgmMDnS")</f>
        <v>SRgmMDnS</v>
      </c>
      <c r="FF48" s="318"/>
      <c r="FG48" s="318"/>
      <c r="FH48" s="321">
        <f t="shared" si="71"/>
        <v>3</v>
      </c>
      <c r="FI48" s="318" t="str">
        <f>IFERROR(__xludf.DUMMYFUNCTION("CONCATENATE(JOIN("""",HW48:II48))"),"Ma, Dha, ni, ")</f>
        <v>Ma, Dha, ni, </v>
      </c>
      <c r="FJ48" s="322">
        <f t="shared" si="72"/>
        <v>1</v>
      </c>
      <c r="FK48" s="324" t="str">
        <f>IFERROR(__xludf.DUMMYFUNCTION("CONCATENATE(JOIN("""",IW48:JI48))"),"Ma, ")</f>
        <v>Ma, </v>
      </c>
      <c r="FL48" s="325" t="str">
        <f t="shared" si="73"/>
        <v>S-R2-G2-M2-P-D2-N2-S</v>
      </c>
      <c r="FM48" s="326" t="str">
        <f t="shared" si="74"/>
        <v>1-2-b3-#4-5-6-b7-8</v>
      </c>
      <c r="FN48" s="326" t="str">
        <f t="shared" si="75"/>
        <v>0-2-3-6-7-9-10-0</v>
      </c>
      <c r="FO48" s="318"/>
      <c r="FP48" s="328" t="str">
        <f>IFERROR(__xludf.DUMMYFUNCTION("SUBSTITUTE(SUBSTITUTE(SUBSTITUTE(SUBSTITUTE(CONCATENATE(JOIN("" "",FS48:GE48)),""  "","" ""),""  "","" ""),""  "","" ""),""  "","" "")"),"o • o o • • o o • o o • o")</f>
        <v>o • o o • • o o • o o • o</v>
      </c>
      <c r="FQ48" s="328" t="str">
        <f t="shared" si="76"/>
        <v>Sa-Pa</v>
      </c>
      <c r="FR48" s="329"/>
      <c r="FS48" s="331" t="str">
        <f t="shared" si="77"/>
        <v>o</v>
      </c>
      <c r="FT48" s="332" t="str">
        <f t="shared" si="78"/>
        <v>•</v>
      </c>
      <c r="FU48" s="332" t="str">
        <f t="shared" si="79"/>
        <v>o</v>
      </c>
      <c r="FV48" s="332" t="str">
        <f t="shared" si="80"/>
        <v>o</v>
      </c>
      <c r="FW48" s="332" t="str">
        <f t="shared" si="81"/>
        <v>•</v>
      </c>
      <c r="FX48" s="332" t="str">
        <f t="shared" si="82"/>
        <v>•</v>
      </c>
      <c r="FY48" s="332" t="str">
        <f t="shared" si="83"/>
        <v>o</v>
      </c>
      <c r="FZ48" s="332" t="str">
        <f t="shared" si="84"/>
        <v>o</v>
      </c>
      <c r="GA48" s="332" t="str">
        <f t="shared" si="85"/>
        <v>•</v>
      </c>
      <c r="GB48" s="332" t="str">
        <f t="shared" si="86"/>
        <v>o</v>
      </c>
      <c r="GC48" s="332" t="str">
        <f t="shared" si="87"/>
        <v>o</v>
      </c>
      <c r="GD48" s="332" t="str">
        <f t="shared" si="88"/>
        <v>•</v>
      </c>
      <c r="GE48" s="338" t="str">
        <f t="shared" si="89"/>
        <v>o</v>
      </c>
      <c r="GF48" s="339" t="str">
        <f t="shared" si="90"/>
        <v>Sa-Pa</v>
      </c>
      <c r="GG48" s="339" t="str">
        <f t="shared" si="91"/>
        <v>Sa-Pa</v>
      </c>
      <c r="GH48" s="339" t="str">
        <f t="shared" si="92"/>
        <v>-</v>
      </c>
      <c r="GI48" s="340" t="str">
        <f t="shared" si="93"/>
        <v>-</v>
      </c>
      <c r="GJ48" s="331" t="str">
        <f t="shared" si="94"/>
        <v>S</v>
      </c>
      <c r="GK48" s="332" t="str">
        <f t="shared" si="95"/>
        <v/>
      </c>
      <c r="GL48" s="332" t="str">
        <f t="shared" si="96"/>
        <v>R</v>
      </c>
      <c r="GM48" s="332" t="str">
        <f t="shared" si="97"/>
        <v>g</v>
      </c>
      <c r="GN48" s="332" t="str">
        <f t="shared" si="98"/>
        <v/>
      </c>
      <c r="GO48" s="332" t="str">
        <f t="shared" si="99"/>
        <v>m</v>
      </c>
      <c r="GP48" s="332" t="str">
        <f t="shared" si="100"/>
        <v>M</v>
      </c>
      <c r="GQ48" s="332" t="str">
        <f t="shared" si="101"/>
        <v/>
      </c>
      <c r="GR48" s="332" t="str">
        <f t="shared" si="102"/>
        <v/>
      </c>
      <c r="GS48" s="332" t="str">
        <f t="shared" si="103"/>
        <v>D</v>
      </c>
      <c r="GT48" s="332" t="str">
        <f t="shared" si="104"/>
        <v>n</v>
      </c>
      <c r="GU48" s="332" t="str">
        <f t="shared" si="105"/>
        <v/>
      </c>
      <c r="GV48" s="343" t="str">
        <f t="shared" si="106"/>
        <v>S</v>
      </c>
      <c r="GW48" s="331" t="str">
        <f t="shared" si="107"/>
        <v>•</v>
      </c>
      <c r="GX48" s="332" t="str">
        <f t="shared" si="108"/>
        <v>o</v>
      </c>
      <c r="GY48" s="332" t="str">
        <f t="shared" si="109"/>
        <v>•</v>
      </c>
      <c r="GZ48" s="332" t="str">
        <f t="shared" si="110"/>
        <v>•</v>
      </c>
      <c r="HA48" s="332" t="str">
        <f t="shared" si="111"/>
        <v>o</v>
      </c>
      <c r="HB48" s="332" t="str">
        <f t="shared" si="112"/>
        <v>o</v>
      </c>
      <c r="HC48" s="332" t="str">
        <f t="shared" si="113"/>
        <v>•</v>
      </c>
      <c r="HD48" s="332" t="str">
        <f t="shared" si="114"/>
        <v>•</v>
      </c>
      <c r="HE48" s="332" t="str">
        <f t="shared" si="115"/>
        <v>o</v>
      </c>
      <c r="HF48" s="332" t="str">
        <f t="shared" si="116"/>
        <v>•</v>
      </c>
      <c r="HG48" s="332" t="str">
        <f t="shared" si="117"/>
        <v>•</v>
      </c>
      <c r="HH48" s="332" t="str">
        <f t="shared" si="118"/>
        <v>o</v>
      </c>
      <c r="HI48" s="338" t="str">
        <f t="shared" si="119"/>
        <v>•</v>
      </c>
      <c r="HJ48" s="346" t="b">
        <f t="shared" si="120"/>
        <v>0</v>
      </c>
      <c r="HK48" s="347" t="b">
        <f t="shared" si="121"/>
        <v>0</v>
      </c>
      <c r="HL48" s="347" t="b">
        <f t="shared" si="122"/>
        <v>0</v>
      </c>
      <c r="HM48" s="347" t="b">
        <f t="shared" si="123"/>
        <v>0</v>
      </c>
      <c r="HN48" s="347" t="b">
        <f t="shared" si="124"/>
        <v>0</v>
      </c>
      <c r="HO48" s="347" t="b">
        <f t="shared" si="125"/>
        <v>0</v>
      </c>
      <c r="HP48" s="347" t="b">
        <f t="shared" si="126"/>
        <v>1</v>
      </c>
      <c r="HQ48" s="347" t="b">
        <f t="shared" si="127"/>
        <v>0</v>
      </c>
      <c r="HR48" s="347" t="b">
        <f t="shared" si="128"/>
        <v>0</v>
      </c>
      <c r="HS48" s="347" t="b">
        <f t="shared" si="129"/>
        <v>1</v>
      </c>
      <c r="HT48" s="347" t="b">
        <f t="shared" si="130"/>
        <v>1</v>
      </c>
      <c r="HU48" s="347" t="b">
        <f t="shared" si="131"/>
        <v>0</v>
      </c>
      <c r="HV48" s="353" t="b">
        <f t="shared" si="132"/>
        <v>0</v>
      </c>
      <c r="HW48" s="354" t="str">
        <f t="shared" si="133"/>
        <v/>
      </c>
      <c r="HX48" s="355" t="str">
        <f t="shared" si="134"/>
        <v/>
      </c>
      <c r="HY48" s="355" t="str">
        <f t="shared" si="135"/>
        <v/>
      </c>
      <c r="HZ48" s="355" t="str">
        <f t="shared" si="136"/>
        <v/>
      </c>
      <c r="IA48" s="355" t="str">
        <f t="shared" si="137"/>
        <v/>
      </c>
      <c r="IB48" s="355" t="str">
        <f t="shared" si="138"/>
        <v/>
      </c>
      <c r="IC48" s="355" t="str">
        <f t="shared" si="139"/>
        <v>Ma, </v>
      </c>
      <c r="ID48" s="355" t="str">
        <f t="shared" si="140"/>
        <v/>
      </c>
      <c r="IE48" s="355" t="str">
        <f t="shared" si="141"/>
        <v/>
      </c>
      <c r="IF48" s="355" t="str">
        <f t="shared" si="142"/>
        <v>Dha, </v>
      </c>
      <c r="IG48" s="355" t="str">
        <f t="shared" si="143"/>
        <v>ni, </v>
      </c>
      <c r="IH48" s="355" t="str">
        <f t="shared" si="144"/>
        <v/>
      </c>
      <c r="II48" s="359" t="str">
        <f t="shared" si="145"/>
        <v/>
      </c>
      <c r="IJ48" s="346" t="b">
        <f t="shared" si="146"/>
        <v>0</v>
      </c>
      <c r="IK48" s="347" t="b">
        <f t="shared" si="147"/>
        <v>0</v>
      </c>
      <c r="IL48" s="347" t="b">
        <f t="shared" si="148"/>
        <v>0</v>
      </c>
      <c r="IM48" s="347" t="b">
        <f t="shared" si="149"/>
        <v>0</v>
      </c>
      <c r="IN48" s="347" t="b">
        <f t="shared" si="150"/>
        <v>0</v>
      </c>
      <c r="IO48" s="347" t="b">
        <f t="shared" si="151"/>
        <v>0</v>
      </c>
      <c r="IP48" s="347" t="b">
        <f t="shared" si="152"/>
        <v>1</v>
      </c>
      <c r="IQ48" s="347" t="b">
        <f t="shared" si="153"/>
        <v>0</v>
      </c>
      <c r="IR48" s="347" t="b">
        <f t="shared" si="154"/>
        <v>0</v>
      </c>
      <c r="IS48" s="347" t="b">
        <f t="shared" si="155"/>
        <v>0</v>
      </c>
      <c r="IT48" s="347" t="b">
        <f t="shared" si="156"/>
        <v>0</v>
      </c>
      <c r="IU48" s="347" t="b">
        <f t="shared" si="157"/>
        <v>0</v>
      </c>
      <c r="IV48" s="365" t="b">
        <f t="shared" si="158"/>
        <v>0</v>
      </c>
      <c r="IW48" s="354" t="str">
        <f t="shared" si="159"/>
        <v/>
      </c>
      <c r="IX48" s="355" t="str">
        <f t="shared" si="160"/>
        <v/>
      </c>
      <c r="IY48" s="355" t="str">
        <f t="shared" si="161"/>
        <v/>
      </c>
      <c r="IZ48" s="355" t="str">
        <f t="shared" si="162"/>
        <v/>
      </c>
      <c r="JA48" s="355" t="str">
        <f t="shared" si="163"/>
        <v/>
      </c>
      <c r="JB48" s="355" t="str">
        <f t="shared" si="164"/>
        <v/>
      </c>
      <c r="JC48" s="355" t="str">
        <f t="shared" si="165"/>
        <v>Ma, </v>
      </c>
      <c r="JD48" s="355" t="str">
        <f t="shared" si="166"/>
        <v/>
      </c>
      <c r="JE48" s="355" t="str">
        <f t="shared" si="167"/>
        <v/>
      </c>
      <c r="JF48" s="355" t="str">
        <f t="shared" si="168"/>
        <v/>
      </c>
      <c r="JG48" s="355" t="str">
        <f t="shared" si="169"/>
        <v/>
      </c>
      <c r="JH48" s="355" t="str">
        <f t="shared" si="170"/>
        <v/>
      </c>
      <c r="JI48" s="359"/>
      <c r="JJ48" s="321"/>
      <c r="JK48" s="368"/>
      <c r="JL48" s="369"/>
      <c r="JM48" s="369"/>
      <c r="JN48" s="369"/>
      <c r="JO48" s="369"/>
      <c r="JP48" s="369"/>
      <c r="JQ48" s="369"/>
      <c r="JR48" s="369"/>
      <c r="JS48" s="369"/>
      <c r="JT48" s="369"/>
      <c r="JU48" s="369"/>
    </row>
    <row r="49" ht="20.25" customHeight="1">
      <c r="A49" s="221" t="s">
        <v>1324</v>
      </c>
      <c r="B49" s="223" t="s">
        <v>1202</v>
      </c>
      <c r="C49" s="222" t="s">
        <v>275</v>
      </c>
      <c r="D49" s="222"/>
      <c r="E49" s="222"/>
      <c r="F49" s="222"/>
      <c r="G49" s="395" t="s">
        <v>275</v>
      </c>
      <c r="H49" s="222">
        <v>47.0</v>
      </c>
      <c r="I49" s="224" t="s">
        <v>1219</v>
      </c>
      <c r="J49" s="414">
        <f t="shared" si="5"/>
        <v>2</v>
      </c>
      <c r="K49" s="227">
        <f t="shared" si="6"/>
        <v>5</v>
      </c>
      <c r="L49" s="229">
        <f t="shared" si="7"/>
        <v>5</v>
      </c>
      <c r="M49" s="230">
        <f t="shared" si="8"/>
        <v>0</v>
      </c>
      <c r="N49" s="233" t="str">
        <f t="shared" si="9"/>
        <v>SgmDnS</v>
      </c>
      <c r="O49" s="234" t="str">
        <f>IFERROR(__xludf.DUMMYFUNCTION("IF(REGEXMATCH(N49, ""S""), ""S"","""")"),"S")</f>
        <v>S</v>
      </c>
      <c r="P49" s="236" t="str">
        <f>IFERROR(__xludf.DUMMYFUNCTION("IF(REGEXMATCH(N49, ""r""), ""r"","""")"),"")</f>
        <v/>
      </c>
      <c r="Q49" s="237" t="str">
        <f>IFERROR(__xludf.DUMMYFUNCTION("IF(REGEXMATCH(N49, ""R""), ""R"","""")"),"")</f>
        <v/>
      </c>
      <c r="R49" s="237" t="str">
        <f>IFERROR(__xludf.DUMMYFUNCTION("IF(REGEXMATCH(N49, ""g""), ""g"","""")"),"g")</f>
        <v>g</v>
      </c>
      <c r="S49" s="236" t="str">
        <f>IFERROR(__xludf.DUMMYFUNCTION("IF(REGEXMATCH(N49, ""G""), ""G"","""")"),"")</f>
        <v/>
      </c>
      <c r="T49" s="236" t="str">
        <f>IFERROR(__xludf.DUMMYFUNCTION("IF(REGEXMATCH(N49, ""m""), ""m"","""")"),"m")</f>
        <v>m</v>
      </c>
      <c r="U49" s="237" t="str">
        <f>IFERROR(__xludf.DUMMYFUNCTION("IF(REGEXMATCH(N49, ""M""), ""M"","""")"),"")</f>
        <v/>
      </c>
      <c r="V49" s="236" t="str">
        <f>IFERROR(__xludf.DUMMYFUNCTION("IF(REGEXMATCH(N49, ""P""), ""P"","""")"),"")</f>
        <v/>
      </c>
      <c r="W49" s="237" t="str">
        <f>IFERROR(__xludf.DUMMYFUNCTION("IF(REGEXMATCH(N49, ""d""), ""d"","""")"),"")</f>
        <v/>
      </c>
      <c r="X49" s="236" t="str">
        <f>IFERROR(__xludf.DUMMYFUNCTION("IF(REGEXMATCH(N49, ""D""), ""D"","""")"),"D")</f>
        <v>D</v>
      </c>
      <c r="Y49" s="236" t="str">
        <f>IFERROR(__xludf.DUMMYFUNCTION("IF(REGEXMATCH(N49, ""n""), ""n"","""")"),"n")</f>
        <v>n</v>
      </c>
      <c r="Z49" s="237" t="str">
        <f>IFERROR(__xludf.DUMMYFUNCTION("IF(REGEXMATCH(N49, ""N""), ""N"","""")"),"")</f>
        <v/>
      </c>
      <c r="AA49" s="238" t="str">
        <f>IFERROR(__xludf.DUMMYFUNCTION("IF(REGEXMATCH(N49, ""S""), ""S"","""")"),"S")</f>
        <v>S</v>
      </c>
      <c r="AB49" s="239" t="str">
        <f>IFERROR(__xludf.DUMMYFUNCTION("SUBSTITUTE(CONCATENATE(JOIN(""-"",O49:U49)),""-"","""")"),"Sgm")</f>
        <v>Sgm</v>
      </c>
      <c r="AC49" s="229" t="str">
        <f>IFERROR(__xludf.DUMMYFUNCTION("SUBSTITUTE(CONCATENATE(JOIN(""-"",V49:AA49)),""-"","""")"),"DnS")</f>
        <v>DnS</v>
      </c>
      <c r="AD49" s="282" t="str">
        <f t="shared" si="10"/>
        <v>S-G-M</v>
      </c>
      <c r="AE49" s="282" t="str">
        <f t="shared" si="11"/>
        <v>D-N-S</v>
      </c>
      <c r="AF49" s="309" t="str">
        <f t="shared" si="12"/>
        <v>gmDn</v>
      </c>
      <c r="AG49" s="244" t="str">
        <f>IFERROR(__xludf.DUMMYFUNCTION("IF(REGEXMATCH(N49, ""S""), ""0"","""")"),"0")</f>
        <v>0</v>
      </c>
      <c r="AH49" s="245" t="str">
        <f>IFERROR(__xludf.DUMMYFUNCTION("IF(REGEXMATCH(N49, ""r""), ""1"","""")"),"")</f>
        <v/>
      </c>
      <c r="AI49" s="246" t="str">
        <f>IFERROR(__xludf.DUMMYFUNCTION("IF(REGEXMATCH(N49, ""R""), ""2"","""")"),"")</f>
        <v/>
      </c>
      <c r="AJ49" s="246" t="str">
        <f>IFERROR(__xludf.DUMMYFUNCTION("IF(REGEXMATCH(N49, ""g""), ""3"","""")"),"3")</f>
        <v>3</v>
      </c>
      <c r="AK49" s="245" t="str">
        <f>IFERROR(__xludf.DUMMYFUNCTION("IF(REGEXMATCH(N49, ""G""), ""4"","""")"),"")</f>
        <v/>
      </c>
      <c r="AL49" s="245" t="str">
        <f>IFERROR(__xludf.DUMMYFUNCTION("IF(REGEXMATCH(N49, ""m""), ""5"","""")"),"5")</f>
        <v>5</v>
      </c>
      <c r="AM49" s="246" t="str">
        <f>IFERROR(__xludf.DUMMYFUNCTION("IF(REGEXMATCH(N49, ""M""), ""6"","""")"),"")</f>
        <v/>
      </c>
      <c r="AN49" s="245" t="str">
        <f>IFERROR(__xludf.DUMMYFUNCTION("IF(REGEXMATCH(N49, ""P""), ""7"","""")"),"")</f>
        <v/>
      </c>
      <c r="AO49" s="246" t="str">
        <f>IFERROR(__xludf.DUMMYFUNCTION("IF(REGEXMATCH(N49, ""d""), ""8"","""")"),"")</f>
        <v/>
      </c>
      <c r="AP49" s="245" t="str">
        <f>IFERROR(__xludf.DUMMYFUNCTION("IF(REGEXMATCH(N49, ""D""), ""9"","""")"),"9")</f>
        <v>9</v>
      </c>
      <c r="AQ49" s="245" t="str">
        <f>IFERROR(__xludf.DUMMYFUNCTION("IF(REGEXMATCH(N49, ""n""), ""10"","""")"),"10")</f>
        <v>10</v>
      </c>
      <c r="AR49" s="246" t="str">
        <f>IFERROR(__xludf.DUMMYFUNCTION("IF(REGEXMATCH(N49, ""N""), ""11"","""")"),"")</f>
        <v/>
      </c>
      <c r="AS49" s="249" t="str">
        <f>IFERROR(__xludf.DUMMYFUNCTION("IF(REGEXMATCH(N49, ""S""), ""0"","""")"),"0")</f>
        <v>0</v>
      </c>
      <c r="AT49" s="250" t="str">
        <f>IFERROR(__xludf.DUMMYFUNCTION("SUBSTITUTE(SUBSTITUTE(SUBSTITUTE(SUBSTITUTE(CONCATENATE(JOIN(""-"",AG49:AS49)),""--"",""-""),""--"",""-""),""--"",""-""),""--"",""-"")"),"0-3-5-9-10-0")</f>
        <v>0-3-5-9-10-0</v>
      </c>
      <c r="AU49" s="251">
        <f t="shared" si="13"/>
        <v>2</v>
      </c>
      <c r="AV49" s="234" t="str">
        <f t="shared" si="14"/>
        <v>|</v>
      </c>
      <c r="AW49" s="236" t="str">
        <f t="shared" si="15"/>
        <v>-</v>
      </c>
      <c r="AX49" s="237" t="str">
        <f t="shared" si="16"/>
        <v>-</v>
      </c>
      <c r="AY49" s="236" t="str">
        <f t="shared" si="17"/>
        <v>|</v>
      </c>
      <c r="AZ49" s="237" t="str">
        <f t="shared" si="18"/>
        <v>-</v>
      </c>
      <c r="BA49" s="236" t="str">
        <f t="shared" si="19"/>
        <v>|</v>
      </c>
      <c r="BB49" s="237" t="str">
        <f t="shared" si="20"/>
        <v>-</v>
      </c>
      <c r="BC49" s="236" t="str">
        <f t="shared" si="21"/>
        <v>-</v>
      </c>
      <c r="BD49" s="237" t="str">
        <f t="shared" si="22"/>
        <v>-</v>
      </c>
      <c r="BE49" s="236" t="str">
        <f t="shared" si="23"/>
        <v>|</v>
      </c>
      <c r="BF49" s="237" t="str">
        <f t="shared" si="24"/>
        <v>|</v>
      </c>
      <c r="BG49" s="236" t="str">
        <f t="shared" si="25"/>
        <v>-</v>
      </c>
      <c r="BH49" s="238" t="str">
        <f t="shared" si="26"/>
        <v>|</v>
      </c>
      <c r="BI49" s="250" t="str">
        <f>IFERROR(__xludf.DUMMYFUNCTION("SUBSTITUTE(SUBSTITUTE(CONCATENATE(JOIN("""",AV49:BG49)),""|"",""x""),""-"",""o"")"),"xooxoxoooxxo")</f>
        <v>xooxoxoooxxo</v>
      </c>
      <c r="BJ49" s="323" t="str">
        <f>IFERROR(__xludf.DUMMYFUNCTION("JOIN("""",BI49,BI49)"),"xooxoxoooxxoxooxoxoooxxo")</f>
        <v>xooxoxoooxxoxooxoxoooxxo</v>
      </c>
      <c r="BK49" s="256" t="str">
        <f>IFERROR(__xludf.DUMMYFUNCTION("JOIN("""",ArrayFormula(MID(BI49,LEN(BI49)-SEQUENCE(1,LEN(BI49))+1,1)))"),"oxxoooxoxoox")</f>
        <v>oxxoooxoxoox</v>
      </c>
      <c r="BL49" s="256" t="str">
        <f>IFERROR(__xludf.DUMMYFUNCTION("LEFT(CONCATENATE(""x"",JOIN("""",ArrayFormula(MID(BI49,LEN(BI49)-SEQUENCE(1,LEN(BI49))+1,1)))),12)"),"xoxxoooxoxoo")</f>
        <v>xoxxoooxoxoo</v>
      </c>
      <c r="BM49" s="327" t="str">
        <f>IFERROR(__xludf.DUMMYFUNCTION("JOIN("""",BK49,BK49)"),"oxxoooxoxooxoxxoooxoxoox")</f>
        <v>oxxoooxoxooxoxxoooxoxoox</v>
      </c>
      <c r="BN49" s="239" t="str">
        <f>IFERROR(__xludf.DUMMYFUNCTION("IF(REGEXMATCH(BM49,BI49),""✔"",""-"")"),"-")</f>
        <v>-</v>
      </c>
      <c r="BO49" s="330" t="str">
        <f t="shared" si="27"/>
        <v>-</v>
      </c>
      <c r="BP49" s="260" t="str">
        <f t="shared" si="28"/>
        <v>-</v>
      </c>
      <c r="BQ49" s="261" t="str">
        <f>IFERROR(__xludf.DUMMYFUNCTION("IF(BT49=0,""(n/a)"",IF(BU49=2,""(PAIR)"",IF(REGEXMATCH(BJ49,""xoxoxxoxoxox""),""Bilawal"",IF(REGEXMATCH(BJ49,""xoxoxooxoxoo""),""Bhupali"",IF(REGEXMATCH(BJ49,""xoxoxxoxxoxo""),""Charukeshi"",IF(REGEXMATCH(BJ49,""xoxoooxxoxxo""),""Kameshwari"",IF(REGEXMATC"&amp;"H(BJ49,""xoxoxooxoxox""),""Shankara"",IF(REGEXMATCH(BJ49,""xxooxoxxxoox""),""Basant"",IF(REGEXMATCH(BJ49,""xoxoxxxxoxox""),""Bihag"",IF(REGEXMATCH(BJ49,""xoxxxxoxoxxx""),""Pilu"",IF(REGEXMATCH(BJ49,""xoxxoxoxxoox""),""Kirwani"",IF(REGEXMATCH(BJ49,""xoxxox"&amp;"oxoxxx""),""Mk.Malhar"",IF(REGEXMATCH(BJ49,""xxooxxoxxoox""),""Bhairav"",IF(REGEXMATCH(BJ49,""xxoxooxxxoox""),""Todi"",IF(REGEXMATCH(BJ49,""xxooxoxooxox""),""Marwa"",IF(REGEXMATCH(BJ49,""xxoooxoxxooo""),""Gunkali"",IF(REGEXMATCH(BJ49,""xoxoxxoxxoox""),""N"&amp;"at Bhairav"",IF(REGEXMATCH(BJ49,""xoxxoooxoxoo""),""Shivranjani"",IF(REGEXMATCH(BJ49,""xooxxxoxooxo""),""Jog"",IF(REGEXMATCH(BJ49,""xxooxoxoxoox""),""Hemshri"",IF(REGEXMATCH(BJ49,""xoooxooxoxxo""),""Kalavati"",IF(REGEXMATCH(BJ49,""xxoxoxxoxoox""),""Kedar"&amp;""",IF(REGEXMATCH(BJ49,""xoxxxxoxooxx""),""Gara"",IF(REGEXMATCH(BJ49,""xooxoxooxoox""),""Chandrakauns"",IF(REGEXMATCH(BJ49,""xoxxxxoxxxox""),""Mand"",IF(REGEXMATCH(BJ49,""xoxxxxoxoxox""),""Hanskinkini"",IF(REGEXMATCH(BJ49,""xxooxxoxooxo""),""Lilavati"",IF("&amp;"REGEXMATCH(BJ49,""xooxoxoooxox""),""Rajeshwari"",IF(REGEXMATCH(BJ49,""xoooxxoxoxxx""),""Khokar"",IF(REGEXMATCH(BJ49,""xxooxoxxxxox""),""Maligoura"",""-""))))))))))))))))))))))))))))))"),"(n/a)")</f>
        <v>(n/a)</v>
      </c>
      <c r="BR49" s="239">
        <f t="shared" si="29"/>
        <v>4</v>
      </c>
      <c r="BS49" s="239">
        <f>IFERROR(__xludf.DUMMYFUNCTION("COUNTUNIQUE(BW49:CG49)-1"),4.0)</f>
        <v>4</v>
      </c>
      <c r="BT49" s="239">
        <f>IFERROR(__xludf.DUMMYFUNCTION("COUNTUNIQUE(FILTER(BJ:BJ,REGEXMATCH(BJ:BJ,BI49)))-1"),0.0)</f>
        <v>0</v>
      </c>
      <c r="BU49" s="239">
        <f>IFERROR(__xludf.DUMMYFUNCTION("COUNTA(FILTER(BJ:BJ,REGEXMATCH(BJ:BJ,BI49)))"),3.0)</f>
        <v>3</v>
      </c>
      <c r="BV49" s="341">
        <f>IFERROR(__xludf.DUMMYFUNCTION("COUNTA(FILTER(BJ:BJ,REGEXMATCH(BJ:BJ,BI49)))-AU49"),1.0)</f>
        <v>1</v>
      </c>
      <c r="BW49" s="269" t="str">
        <f t="shared" si="30"/>
        <v>-</v>
      </c>
      <c r="BX49" s="269" t="str">
        <f t="shared" si="31"/>
        <v>-</v>
      </c>
      <c r="BY49" s="271" t="str">
        <f t="shared" si="32"/>
        <v>xoxoooxxoxo</v>
      </c>
      <c r="BZ49" s="269" t="str">
        <f t="shared" si="33"/>
        <v>-</v>
      </c>
      <c r="CA49" s="271" t="str">
        <f t="shared" si="34"/>
        <v>xoooxxoxoox</v>
      </c>
      <c r="CB49" s="271" t="str">
        <f t="shared" si="35"/>
        <v>-</v>
      </c>
      <c r="CC49" s="271" t="str">
        <f t="shared" si="36"/>
        <v>-</v>
      </c>
      <c r="CD49" s="271" t="str">
        <f t="shared" si="37"/>
        <v>-</v>
      </c>
      <c r="CE49" s="271" t="str">
        <f t="shared" si="38"/>
        <v>xxoxooxoxoo</v>
      </c>
      <c r="CF49" s="271" t="str">
        <f t="shared" si="39"/>
        <v>xoxooxoxooo</v>
      </c>
      <c r="CG49" s="274" t="str">
        <f t="shared" si="40"/>
        <v>-</v>
      </c>
      <c r="CH49" s="276" t="str">
        <f>IFERROR(__xludf.DUMMYFUNCTION("IF(BI49=""oooooooooooo"",""-"",IF(REGEXMATCH(BJ49,""xx""), ""Hemi."", ""Anhemi.""))"),"Hemi.")</f>
        <v>Hemi.</v>
      </c>
      <c r="CI49" s="282" t="str">
        <f>IFERROR(__xludf.DUMMYFUNCTION("IF(BI49=""oooooooooooo"",""-"",IF(REGEXMATCH(BJ49,""xxx""), ""Cohem."", ""-""))"),"-")</f>
        <v>-</v>
      </c>
      <c r="CJ49" s="282" t="str">
        <f>IFERROR(__xludf.DUMMYFUNCTION("IF(BI49=""oooooooooooo"",""-"",IF(REGEXMATCH(BJ49,""xxxx""), ""Co-Co."", ""-""))"),"-")</f>
        <v>-</v>
      </c>
      <c r="CK49" s="342" t="str">
        <f>IFERROR(__xludf.DUMMYFUNCTION("IF(BI49=""oooooooooooo"",""-"",IF(REGEXMATCH(BJ49,""xxxxx""), ""CCC."", ""-""))"),"-")</f>
        <v>-</v>
      </c>
      <c r="CL49" s="344" t="str">
        <f t="shared" si="41"/>
        <v>-</v>
      </c>
      <c r="CM49" s="282" t="str">
        <f>IFERROR(__xludf.DUMMYFUNCTION("IF(REGEXMATCH(JOIN(""-"",CO49:CX49),""TRUE""),""✔"",""-"")"),"✔")</f>
        <v>✔</v>
      </c>
      <c r="CN49" s="225">
        <f t="shared" si="42"/>
        <v>1</v>
      </c>
      <c r="CO49" s="376" t="b">
        <f>IFERROR(__xludf.DUMMYFUNCTION("arrayformula(sum(--REGEXMATCH(""SRGMPDNS"",split(REGEXREPLACE(N49,""(.)"",""$1~""),""~""))))=len(N49)
"),FALSE)</f>
        <v>0</v>
      </c>
      <c r="CP49" s="290" t="b">
        <f>IFERROR(__xludf.DUMMYFUNCTION("arrayformula(sum(--REGEXMATCH(""SRGmPDNS"",split(REGEXREPLACE(N49,""(.)"",""$1~""),""~""))))=len(N49)"),FALSE)</f>
        <v>0</v>
      </c>
      <c r="CQ49" s="290" t="b">
        <f>IFERROR(__xludf.DUMMYFUNCTION("arrayformula(sum(--REGEXMATCH(""SRGmPDnS"",split(REGEXREPLACE(N49,""(.)"",""$1~""),""~""))))=len(N49)"),FALSE)</f>
        <v>0</v>
      </c>
      <c r="CR49" s="290" t="b">
        <f>IFERROR(__xludf.DUMMYFUNCTION("arrayformula(sum(--REGEXMATCH(""SRgmPDnS"",split(REGEXREPLACE(N49,""(.)"",""$1~""),""~""))))=len(N49)"),TRUE)</f>
        <v>1</v>
      </c>
      <c r="CS49" s="290" t="b">
        <f>IFERROR(__xludf.DUMMYFUNCTION("arrayformula(sum(--REGEXMATCH(""SRgmPdnS"",split(REGEXREPLACE(N49,""(.)"",""$1~""),""~""))))=len(N49)"),FALSE)</f>
        <v>0</v>
      </c>
      <c r="CT49" s="290" t="b">
        <f>IFERROR(__xludf.DUMMYFUNCTION("arrayformula(sum(--REGEXMATCH(""SrgmPdnS"",split(REGEXREPLACE(N49,""(.)"",""$1~""),""~""))))=len(N49)"),FALSE)</f>
        <v>0</v>
      </c>
      <c r="CU49" s="290" t="b">
        <f>IFERROR(__xludf.DUMMYFUNCTION("arrayformula(sum(--REGEXMATCH(""SrGmPdNS"",split(REGEXREPLACE(N49,""(.)"",""$1~""),""~""))))=len(N49)"),FALSE)</f>
        <v>0</v>
      </c>
      <c r="CV49" s="290" t="b">
        <f>IFERROR(__xludf.DUMMYFUNCTION("arrayformula(sum(--REGEXMATCH(""SrGMPDNS"",split(REGEXREPLACE(N49,""(.)"",""$1~""),""~""))))=len(N49)"),FALSE)</f>
        <v>0</v>
      </c>
      <c r="CW49" s="290" t="b">
        <f>IFERROR(__xludf.DUMMYFUNCTION("arrayformula(sum(--REGEXMATCH(""SrGMPdNS"",split(REGEXREPLACE(N49,""(.)"",""$1~""),""~""))))=len(N49)"),FALSE)</f>
        <v>0</v>
      </c>
      <c r="CX49" s="293" t="b">
        <f>IFERROR(__xludf.DUMMYFUNCTION("arrayformula(sum(--REGEXMATCH(""SrgMPdNS"",split(REGEXREPLACE(N49,""(.)"",""$1~""),""~""))))=len(N49)"),FALSE)</f>
        <v>0</v>
      </c>
      <c r="CY49" s="244" t="str">
        <f>IFERROR(__xludf.DUMMYFUNCTION("IF(REGEXMATCH(N49, ""S""), ""1"","""")"),"1")</f>
        <v>1</v>
      </c>
      <c r="CZ49" s="245" t="str">
        <f>IFERROR(__xludf.DUMMYFUNCTION("IF(REGEXMATCH(N49, ""r""), ""b2"","""")"),"")</f>
        <v/>
      </c>
      <c r="DA49" s="246" t="str">
        <f>IFERROR(__xludf.DUMMYFUNCTION("IF(REGEXMATCH(N49, ""R""), ""2"","""")"),"")</f>
        <v/>
      </c>
      <c r="DB49" s="246" t="str">
        <f>IFERROR(__xludf.DUMMYFUNCTION("IF(REGEXMATCH(N49, ""g""), ""b3"","""")"),"b3")</f>
        <v>b3</v>
      </c>
      <c r="DC49" s="245" t="str">
        <f>IFERROR(__xludf.DUMMYFUNCTION("IF(REGEXMATCH(N49, ""G""), ""3"","""")"),"")</f>
        <v/>
      </c>
      <c r="DD49" s="245" t="str">
        <f>IFERROR(__xludf.DUMMYFUNCTION("IF(REGEXMATCH(N49, ""m""), ""4"","""")"),"4")</f>
        <v>4</v>
      </c>
      <c r="DE49" s="246" t="str">
        <f>IFERROR(__xludf.DUMMYFUNCTION("IF(REGEXMATCH(N49, ""M""), ""#4"","""")"),"")</f>
        <v/>
      </c>
      <c r="DF49" s="245" t="str">
        <f>IFERROR(__xludf.DUMMYFUNCTION("IF(REGEXMATCH(N49, ""P""), ""5"","""")"),"")</f>
        <v/>
      </c>
      <c r="DG49" s="246" t="str">
        <f>IFERROR(__xludf.DUMMYFUNCTION("IF(REGEXMATCH(N49, ""d""), ""b6"","""")"),"")</f>
        <v/>
      </c>
      <c r="DH49" s="245" t="str">
        <f>IFERROR(__xludf.DUMMYFUNCTION("IF(REGEXMATCH(N49, ""D""), ""6"","""")"),"6")</f>
        <v>6</v>
      </c>
      <c r="DI49" s="245" t="str">
        <f>IFERROR(__xludf.DUMMYFUNCTION("IF(REGEXMATCH(N49, ""n""), ""b7"","""")"),"b7")</f>
        <v>b7</v>
      </c>
      <c r="DJ49" s="246" t="str">
        <f>IFERROR(__xludf.DUMMYFUNCTION("IF(REGEXMATCH(N49, ""N""), ""7"","""")"),"")</f>
        <v/>
      </c>
      <c r="DK49" s="249" t="str">
        <f>IFERROR(__xludf.DUMMYFUNCTION("IF(REGEXMATCH(N49, ""S""), ""8"","""")"),"8")</f>
        <v>8</v>
      </c>
      <c r="DL49" s="244" t="str">
        <f>IFERROR(__xludf.DUMMYFUNCTION("IF(REGEXMATCH(N49, ""S""), ""S"","""")"),"S")</f>
        <v>S</v>
      </c>
      <c r="DM49" s="294" t="str">
        <f>IFERROR(__xludf.DUMMYFUNCTION("IF(REGEXMATCH(N49, ""r""), ""R1"","""")"),"")</f>
        <v/>
      </c>
      <c r="DN49" s="295" t="str">
        <f>IFERROR(__xludf.DUMMYFUNCTION("IF(REGEXMATCH(N49, ""R""), ""R2"","""")"),"")</f>
        <v/>
      </c>
      <c r="DO49" s="295" t="str">
        <f>IFERROR(__xludf.DUMMYFUNCTION("IF(REGEXMATCH(N49, ""g""), ""G2"","""")"),"G2")</f>
        <v>G2</v>
      </c>
      <c r="DP49" s="294" t="str">
        <f>IFERROR(__xludf.DUMMYFUNCTION("IF(REGEXMATCH(N49, ""G""), ""G3"","""")"),"")</f>
        <v/>
      </c>
      <c r="DQ49" s="294" t="str">
        <f>IFERROR(__xludf.DUMMYFUNCTION("IF(REGEXMATCH(N49, ""m""), ""M1"","""")"),"M1")</f>
        <v>M1</v>
      </c>
      <c r="DR49" s="295" t="str">
        <f>IFERROR(__xludf.DUMMYFUNCTION("IF(REGEXMATCH(N49, ""M""), ""M2"","""")"),"")</f>
        <v/>
      </c>
      <c r="DS49" s="294" t="str">
        <f>IFERROR(__xludf.DUMMYFUNCTION("IF(REGEXMATCH(N49, ""P""), ""P"","""")"),"")</f>
        <v/>
      </c>
      <c r="DT49" s="295" t="str">
        <f>IFERROR(__xludf.DUMMYFUNCTION("IF(REGEXMATCH(N49, ""d""), ""D1"","""")"),"")</f>
        <v/>
      </c>
      <c r="DU49" s="294" t="str">
        <f>IFERROR(__xludf.DUMMYFUNCTION("IF(REGEXMATCH(N49, ""D""), ""D2"","""")"),"D2")</f>
        <v>D2</v>
      </c>
      <c r="DV49" s="294" t="str">
        <f>IFERROR(__xludf.DUMMYFUNCTION("IF(REGEXMATCH(N49, ""n""), ""N2"","""")"),"N2")</f>
        <v>N2</v>
      </c>
      <c r="DW49" s="295" t="str">
        <f>IFERROR(__xludf.DUMMYFUNCTION("IF(REGEXMATCH(N49, ""N""), ""N3"","""")"),"")</f>
        <v/>
      </c>
      <c r="DX49" s="249" t="str">
        <f>IFERROR(__xludf.DUMMYFUNCTION("IF(REGEXMATCH(N49, ""S""), ""S"","""")"),"S")</f>
        <v>S</v>
      </c>
      <c r="DY49" s="299" t="str">
        <f>IFERROR(__xludf.DUMMYFUNCTION("SUBSTITUTE(SUBSTITUTE(SUBSTITUTE(SUBSTITUTE(CONCATENATE(JOIN(""-"",CY49:DK49)),""--"",""-""),""--"",""-""),""--"",""-""),""--"",""-"")"),"1-b3-4-6-b7-8")</f>
        <v>1-b3-4-6-b7-8</v>
      </c>
      <c r="DZ49" s="299" t="str">
        <f>IFERROR(__xludf.DUMMYFUNCTION("SUBSTITUTE(SUBSTITUTE(SUBSTITUTE(SUBSTITUTE(CONCATENATE(JOIN(""-"",DL49:DX49)),""--"",""-""),""--"",""-""),""--"",""-""),""--"",""-"")"),"S-G2-M1-D2-N2-S")</f>
        <v>S-G2-M1-D2-N2-S</v>
      </c>
      <c r="EA49" s="348" t="str">
        <f t="shared" si="43"/>
        <v>C-Eb-F-A-Bb-C</v>
      </c>
      <c r="EB49" s="301">
        <f t="shared" si="44"/>
        <v>5</v>
      </c>
      <c r="EC49" s="302" t="str">
        <f t="shared" si="45"/>
        <v>Audav</v>
      </c>
      <c r="ED49" s="301" t="str">
        <f t="shared" ref="ED49:EE49" si="215">SUBSTITUTE(AD49,"-","")</f>
        <v>SGM</v>
      </c>
      <c r="EE49" s="301" t="str">
        <f t="shared" si="215"/>
        <v>DNS</v>
      </c>
      <c r="EF49" s="302" t="str">
        <f t="shared" si="47"/>
        <v>(n/a)</v>
      </c>
      <c r="EG49" s="301" t="str">
        <f t="shared" si="48"/>
        <v>Hemi.</v>
      </c>
      <c r="EH49" s="364" t="str">
        <f t="shared" si="49"/>
        <v>-</v>
      </c>
      <c r="EI49" s="306" t="str">
        <f t="shared" si="50"/>
        <v>-</v>
      </c>
      <c r="EJ49" s="366" t="str">
        <f t="shared" si="51"/>
        <v>✔</v>
      </c>
      <c r="EK49" s="308" t="str">
        <f t="shared" si="52"/>
        <v>-</v>
      </c>
      <c r="EL49" s="306" t="str">
        <f t="shared" si="53"/>
        <v>-</v>
      </c>
      <c r="EM49" s="306" t="str">
        <f t="shared" si="54"/>
        <v>-</v>
      </c>
      <c r="EN49" s="367" t="str">
        <f t="shared" si="55"/>
        <v>-</v>
      </c>
      <c r="EO49" s="310" t="str">
        <f t="shared" si="56"/>
        <v>-</v>
      </c>
      <c r="EP49" s="310" t="str">
        <f t="shared" si="57"/>
        <v>-</v>
      </c>
      <c r="EQ49" s="310" t="str">
        <f t="shared" si="58"/>
        <v>-</v>
      </c>
      <c r="ER49" s="310" t="str">
        <f t="shared" si="59"/>
        <v>-</v>
      </c>
      <c r="ES49" s="370" t="str">
        <f t="shared" si="60"/>
        <v>-</v>
      </c>
      <c r="ET49" s="306" t="str">
        <f t="shared" si="61"/>
        <v>✔</v>
      </c>
      <c r="EU49" s="306" t="str">
        <f t="shared" si="62"/>
        <v>-</v>
      </c>
      <c r="EV49" s="306" t="str">
        <f t="shared" si="63"/>
        <v>-</v>
      </c>
      <c r="EW49" s="306" t="str">
        <f t="shared" si="64"/>
        <v>✔</v>
      </c>
      <c r="EX49" s="306" t="str">
        <f t="shared" si="65"/>
        <v>-</v>
      </c>
      <c r="EY49" s="367" t="str">
        <f t="shared" si="66"/>
        <v>-</v>
      </c>
      <c r="EZ49" s="310" t="str">
        <f>IFERROR(__xludf.DUMMYFUNCTION("IF(REGEXMATCH(BM49,BI49),""✔"",""-"")"),"-")</f>
        <v>-</v>
      </c>
      <c r="FA49" s="310" t="str">
        <f t="shared" si="67"/>
        <v>-</v>
      </c>
      <c r="FB49" s="370" t="str">
        <f t="shared" si="68"/>
        <v>-</v>
      </c>
      <c r="FC49" s="415">
        <f t="shared" si="69"/>
        <v>2</v>
      </c>
      <c r="FD49" s="317" t="str">
        <f t="shared" si="70"/>
        <v>S-g-m-D-n-S</v>
      </c>
      <c r="FE49" s="318" t="str">
        <f>IFERROR(__xludf.DUMMYFUNCTION("CONCATENATE(JOIN("""",GJ49:GV49))"),"SRgPDS")</f>
        <v>SRgPDS</v>
      </c>
      <c r="FF49" s="318"/>
      <c r="FG49" s="318"/>
      <c r="FH49" s="321">
        <f t="shared" si="71"/>
        <v>2</v>
      </c>
      <c r="FI49" s="318" t="str">
        <f>IFERROR(__xludf.DUMMYFUNCTION("CONCATENATE(JOIN("""",HW49:II49))"),"Sa, Dha, ")</f>
        <v>Sa, Dha, </v>
      </c>
      <c r="FJ49" s="322">
        <f t="shared" si="72"/>
        <v>1</v>
      </c>
      <c r="FK49" s="324" t="str">
        <f>IFERROR(__xludf.DUMMYFUNCTION("CONCATENATE(JOIN("""",IW49:JI49))"),"Dha, ")</f>
        <v>Dha, </v>
      </c>
      <c r="FL49" s="325" t="str">
        <f t="shared" si="73"/>
        <v>S-G2-M1-D2-N2-S</v>
      </c>
      <c r="FM49" s="326" t="str">
        <f t="shared" si="74"/>
        <v>1-b3-4-6-b7-8</v>
      </c>
      <c r="FN49" s="326" t="str">
        <f t="shared" si="75"/>
        <v>0-3-5-9-10-0</v>
      </c>
      <c r="FO49" s="318"/>
      <c r="FP49" s="328" t="str">
        <f>IFERROR(__xludf.DUMMYFUNCTION("SUBSTITUTE(SUBSTITUTE(SUBSTITUTE(SUBSTITUTE(CONCATENATE(JOIN("" "",FS49:GE49)),""  "","" ""),""  "","" ""),""  "","" ""),""  "","" "")"),"o • • o • o • • • o o • o")</f>
        <v>o • • o • o • • • o o • o</v>
      </c>
      <c r="FQ49" s="328" t="str">
        <f t="shared" si="76"/>
        <v>Sa-ma</v>
      </c>
      <c r="FR49" s="329"/>
      <c r="FS49" s="331" t="str">
        <f t="shared" si="77"/>
        <v>o</v>
      </c>
      <c r="FT49" s="332" t="str">
        <f t="shared" si="78"/>
        <v>•</v>
      </c>
      <c r="FU49" s="332" t="str">
        <f t="shared" si="79"/>
        <v>•</v>
      </c>
      <c r="FV49" s="332" t="str">
        <f t="shared" si="80"/>
        <v>o</v>
      </c>
      <c r="FW49" s="332" t="str">
        <f t="shared" si="81"/>
        <v>•</v>
      </c>
      <c r="FX49" s="332" t="str">
        <f t="shared" si="82"/>
        <v>o</v>
      </c>
      <c r="FY49" s="332" t="str">
        <f t="shared" si="83"/>
        <v>•</v>
      </c>
      <c r="FZ49" s="332" t="str">
        <f t="shared" si="84"/>
        <v>•</v>
      </c>
      <c r="GA49" s="332" t="str">
        <f t="shared" si="85"/>
        <v>•</v>
      </c>
      <c r="GB49" s="332" t="str">
        <f t="shared" si="86"/>
        <v>o</v>
      </c>
      <c r="GC49" s="332" t="str">
        <f t="shared" si="87"/>
        <v>o</v>
      </c>
      <c r="GD49" s="332" t="str">
        <f t="shared" si="88"/>
        <v>•</v>
      </c>
      <c r="GE49" s="338" t="str">
        <f t="shared" si="89"/>
        <v>o</v>
      </c>
      <c r="GF49" s="339" t="str">
        <f t="shared" si="90"/>
        <v>-</v>
      </c>
      <c r="GG49" s="339" t="str">
        <f t="shared" si="91"/>
        <v>-</v>
      </c>
      <c r="GH49" s="339" t="str">
        <f t="shared" si="92"/>
        <v>-</v>
      </c>
      <c r="GI49" s="340" t="str">
        <f t="shared" si="93"/>
        <v>Sa-ma</v>
      </c>
      <c r="GJ49" s="331" t="str">
        <f t="shared" si="94"/>
        <v>S</v>
      </c>
      <c r="GK49" s="332" t="str">
        <f t="shared" si="95"/>
        <v/>
      </c>
      <c r="GL49" s="332" t="str">
        <f t="shared" si="96"/>
        <v>R</v>
      </c>
      <c r="GM49" s="332" t="str">
        <f t="shared" si="97"/>
        <v>g</v>
      </c>
      <c r="GN49" s="332" t="str">
        <f t="shared" si="98"/>
        <v/>
      </c>
      <c r="GO49" s="332" t="str">
        <f t="shared" si="99"/>
        <v/>
      </c>
      <c r="GP49" s="332" t="str">
        <f t="shared" si="100"/>
        <v/>
      </c>
      <c r="GQ49" s="332" t="str">
        <f t="shared" si="101"/>
        <v>P</v>
      </c>
      <c r="GR49" s="332" t="str">
        <f t="shared" si="102"/>
        <v/>
      </c>
      <c r="GS49" s="332" t="str">
        <f t="shared" si="103"/>
        <v>D</v>
      </c>
      <c r="GT49" s="332" t="str">
        <f t="shared" si="104"/>
        <v/>
      </c>
      <c r="GU49" s="332" t="str">
        <f t="shared" si="105"/>
        <v/>
      </c>
      <c r="GV49" s="343" t="str">
        <f t="shared" si="106"/>
        <v>S</v>
      </c>
      <c r="GW49" s="331" t="str">
        <f t="shared" si="107"/>
        <v>•</v>
      </c>
      <c r="GX49" s="332" t="str">
        <f t="shared" si="108"/>
        <v>o</v>
      </c>
      <c r="GY49" s="332" t="str">
        <f t="shared" si="109"/>
        <v>o</v>
      </c>
      <c r="GZ49" s="332" t="str">
        <f t="shared" si="110"/>
        <v>•</v>
      </c>
      <c r="HA49" s="332" t="str">
        <f t="shared" si="111"/>
        <v>o</v>
      </c>
      <c r="HB49" s="332" t="str">
        <f t="shared" si="112"/>
        <v>•</v>
      </c>
      <c r="HC49" s="332" t="str">
        <f t="shared" si="113"/>
        <v>o</v>
      </c>
      <c r="HD49" s="332" t="str">
        <f t="shared" si="114"/>
        <v>o</v>
      </c>
      <c r="HE49" s="332" t="str">
        <f t="shared" si="115"/>
        <v>o</v>
      </c>
      <c r="HF49" s="332" t="str">
        <f t="shared" si="116"/>
        <v>•</v>
      </c>
      <c r="HG49" s="332" t="str">
        <f t="shared" si="117"/>
        <v>•</v>
      </c>
      <c r="HH49" s="332" t="str">
        <f t="shared" si="118"/>
        <v>o</v>
      </c>
      <c r="HI49" s="338" t="str">
        <f t="shared" si="119"/>
        <v>•</v>
      </c>
      <c r="HJ49" s="346" t="b">
        <f t="shared" si="120"/>
        <v>1</v>
      </c>
      <c r="HK49" s="347" t="b">
        <f t="shared" si="121"/>
        <v>0</v>
      </c>
      <c r="HL49" s="347" t="b">
        <f t="shared" si="122"/>
        <v>0</v>
      </c>
      <c r="HM49" s="347" t="b">
        <f t="shared" si="123"/>
        <v>0</v>
      </c>
      <c r="HN49" s="347" t="b">
        <f t="shared" si="124"/>
        <v>0</v>
      </c>
      <c r="HO49" s="347" t="b">
        <f t="shared" si="125"/>
        <v>0</v>
      </c>
      <c r="HP49" s="347" t="b">
        <f t="shared" si="126"/>
        <v>0</v>
      </c>
      <c r="HQ49" s="347" t="b">
        <f t="shared" si="127"/>
        <v>0</v>
      </c>
      <c r="HR49" s="347" t="b">
        <f t="shared" si="128"/>
        <v>0</v>
      </c>
      <c r="HS49" s="347" t="b">
        <f t="shared" si="129"/>
        <v>1</v>
      </c>
      <c r="HT49" s="347" t="b">
        <f t="shared" si="130"/>
        <v>0</v>
      </c>
      <c r="HU49" s="347" t="b">
        <f t="shared" si="131"/>
        <v>0</v>
      </c>
      <c r="HV49" s="353" t="b">
        <f t="shared" si="132"/>
        <v>1</v>
      </c>
      <c r="HW49" s="354" t="str">
        <f t="shared" si="133"/>
        <v>Sa, </v>
      </c>
      <c r="HX49" s="355" t="str">
        <f t="shared" si="134"/>
        <v/>
      </c>
      <c r="HY49" s="355" t="str">
        <f t="shared" si="135"/>
        <v/>
      </c>
      <c r="HZ49" s="355" t="str">
        <f t="shared" si="136"/>
        <v/>
      </c>
      <c r="IA49" s="355" t="str">
        <f t="shared" si="137"/>
        <v/>
      </c>
      <c r="IB49" s="355" t="str">
        <f t="shared" si="138"/>
        <v/>
      </c>
      <c r="IC49" s="355" t="str">
        <f t="shared" si="139"/>
        <v/>
      </c>
      <c r="ID49" s="355" t="str">
        <f t="shared" si="140"/>
        <v/>
      </c>
      <c r="IE49" s="355" t="str">
        <f t="shared" si="141"/>
        <v/>
      </c>
      <c r="IF49" s="355" t="str">
        <f t="shared" si="142"/>
        <v>Dha, </v>
      </c>
      <c r="IG49" s="355" t="str">
        <f t="shared" si="143"/>
        <v/>
      </c>
      <c r="IH49" s="355" t="str">
        <f t="shared" si="144"/>
        <v/>
      </c>
      <c r="II49" s="359" t="str">
        <f t="shared" si="145"/>
        <v/>
      </c>
      <c r="IJ49" s="346" t="b">
        <f t="shared" si="146"/>
        <v>0</v>
      </c>
      <c r="IK49" s="347" t="b">
        <f t="shared" si="147"/>
        <v>0</v>
      </c>
      <c r="IL49" s="347" t="b">
        <f t="shared" si="148"/>
        <v>0</v>
      </c>
      <c r="IM49" s="347" t="b">
        <f t="shared" si="149"/>
        <v>0</v>
      </c>
      <c r="IN49" s="347" t="b">
        <f t="shared" si="150"/>
        <v>0</v>
      </c>
      <c r="IO49" s="347" t="b">
        <f t="shared" si="151"/>
        <v>0</v>
      </c>
      <c r="IP49" s="347" t="b">
        <f t="shared" si="152"/>
        <v>0</v>
      </c>
      <c r="IQ49" s="347" t="b">
        <f t="shared" si="153"/>
        <v>0</v>
      </c>
      <c r="IR49" s="347" t="b">
        <f t="shared" si="154"/>
        <v>0</v>
      </c>
      <c r="IS49" s="347" t="b">
        <f t="shared" si="155"/>
        <v>1</v>
      </c>
      <c r="IT49" s="347" t="b">
        <f t="shared" si="156"/>
        <v>0</v>
      </c>
      <c r="IU49" s="347" t="b">
        <f t="shared" si="157"/>
        <v>0</v>
      </c>
      <c r="IV49" s="365" t="b">
        <f t="shared" si="158"/>
        <v>0</v>
      </c>
      <c r="IW49" s="354" t="str">
        <f t="shared" si="159"/>
        <v/>
      </c>
      <c r="IX49" s="355" t="str">
        <f t="shared" si="160"/>
        <v/>
      </c>
      <c r="IY49" s="355" t="str">
        <f t="shared" si="161"/>
        <v/>
      </c>
      <c r="IZ49" s="355" t="str">
        <f t="shared" si="162"/>
        <v/>
      </c>
      <c r="JA49" s="355" t="str">
        <f t="shared" si="163"/>
        <v/>
      </c>
      <c r="JB49" s="355" t="str">
        <f t="shared" si="164"/>
        <v/>
      </c>
      <c r="JC49" s="355" t="str">
        <f t="shared" si="165"/>
        <v/>
      </c>
      <c r="JD49" s="355" t="str">
        <f t="shared" si="166"/>
        <v/>
      </c>
      <c r="JE49" s="355" t="str">
        <f t="shared" si="167"/>
        <v/>
      </c>
      <c r="JF49" s="355" t="str">
        <f t="shared" si="168"/>
        <v>Dha, </v>
      </c>
      <c r="JG49" s="355" t="str">
        <f t="shared" si="169"/>
        <v/>
      </c>
      <c r="JH49" s="355" t="str">
        <f t="shared" si="170"/>
        <v/>
      </c>
      <c r="JI49" s="359"/>
      <c r="JJ49" s="321"/>
      <c r="JK49" s="368"/>
      <c r="JL49" s="369"/>
      <c r="JM49" s="369"/>
      <c r="JN49" s="369"/>
      <c r="JO49" s="369"/>
      <c r="JP49" s="369"/>
      <c r="JQ49" s="369"/>
      <c r="JR49" s="369"/>
      <c r="JS49" s="369"/>
      <c r="JT49" s="369"/>
      <c r="JU49" s="369"/>
    </row>
    <row r="50" ht="20.25" customHeight="1">
      <c r="A50" s="221" t="s">
        <v>1327</v>
      </c>
      <c r="B50" s="223" t="s">
        <v>1328</v>
      </c>
      <c r="C50" s="222"/>
      <c r="D50" s="222"/>
      <c r="E50" s="222" t="s">
        <v>275</v>
      </c>
      <c r="F50" s="222" t="s">
        <v>275</v>
      </c>
      <c r="G50" s="395" t="s">
        <v>275</v>
      </c>
      <c r="H50" s="222">
        <v>48.0</v>
      </c>
      <c r="I50" s="224" t="s">
        <v>1219</v>
      </c>
      <c r="J50" s="225" t="str">
        <f t="shared" si="5"/>
        <v>[UQ]</v>
      </c>
      <c r="K50" s="227">
        <f t="shared" si="6"/>
        <v>6</v>
      </c>
      <c r="L50" s="229">
        <f t="shared" si="7"/>
        <v>5</v>
      </c>
      <c r="M50" s="230">
        <f t="shared" si="8"/>
        <v>1</v>
      </c>
      <c r="N50" s="233" t="str">
        <f t="shared" si="9"/>
        <v>SGmdnNS</v>
      </c>
      <c r="O50" s="234" t="str">
        <f>IFERROR(__xludf.DUMMYFUNCTION("IF(REGEXMATCH(N50, ""S""), ""S"","""")"),"S")</f>
        <v>S</v>
      </c>
      <c r="P50" s="236" t="str">
        <f>IFERROR(__xludf.DUMMYFUNCTION("IF(REGEXMATCH(N50, ""r""), ""r"","""")"),"")</f>
        <v/>
      </c>
      <c r="Q50" s="237" t="str">
        <f>IFERROR(__xludf.DUMMYFUNCTION("IF(REGEXMATCH(N50, ""R""), ""R"","""")"),"")</f>
        <v/>
      </c>
      <c r="R50" s="237" t="str">
        <f>IFERROR(__xludf.DUMMYFUNCTION("IF(REGEXMATCH(N50, ""g""), ""g"","""")"),"")</f>
        <v/>
      </c>
      <c r="S50" s="236" t="str">
        <f>IFERROR(__xludf.DUMMYFUNCTION("IF(REGEXMATCH(N50, ""G""), ""G"","""")"),"G")</f>
        <v>G</v>
      </c>
      <c r="T50" s="236" t="str">
        <f>IFERROR(__xludf.DUMMYFUNCTION("IF(REGEXMATCH(N50, ""m""), ""m"","""")"),"m")</f>
        <v>m</v>
      </c>
      <c r="U50" s="237" t="str">
        <f>IFERROR(__xludf.DUMMYFUNCTION("IF(REGEXMATCH(N50, ""M""), ""M"","""")"),"")</f>
        <v/>
      </c>
      <c r="V50" s="236" t="str">
        <f>IFERROR(__xludf.DUMMYFUNCTION("IF(REGEXMATCH(N50, ""P""), ""P"","""")"),"")</f>
        <v/>
      </c>
      <c r="W50" s="237" t="str">
        <f>IFERROR(__xludf.DUMMYFUNCTION("IF(REGEXMATCH(N50, ""d""), ""d"","""")"),"d")</f>
        <v>d</v>
      </c>
      <c r="X50" s="236" t="str">
        <f>IFERROR(__xludf.DUMMYFUNCTION("IF(REGEXMATCH(N50, ""D""), ""D"","""")"),"")</f>
        <v/>
      </c>
      <c r="Y50" s="236" t="str">
        <f>IFERROR(__xludf.DUMMYFUNCTION("IF(REGEXMATCH(N50, ""n""), ""n"","""")"),"n")</f>
        <v>n</v>
      </c>
      <c r="Z50" s="237" t="str">
        <f>IFERROR(__xludf.DUMMYFUNCTION("IF(REGEXMATCH(N50, ""N""), ""N"","""")"),"N")</f>
        <v>N</v>
      </c>
      <c r="AA50" s="238" t="str">
        <f>IFERROR(__xludf.DUMMYFUNCTION("IF(REGEXMATCH(N50, ""S""), ""S"","""")"),"S")</f>
        <v>S</v>
      </c>
      <c r="AB50" s="239" t="str">
        <f>IFERROR(__xludf.DUMMYFUNCTION("SUBSTITUTE(CONCATENATE(JOIN(""-"",O50:U50)),""-"","""")"),"SGm")</f>
        <v>SGm</v>
      </c>
      <c r="AC50" s="229" t="str">
        <f>IFERROR(__xludf.DUMMYFUNCTION("SUBSTITUTE(CONCATENATE(JOIN(""-"",V50:AA50)),""-"","""")"),"dnNS")</f>
        <v>dnNS</v>
      </c>
      <c r="AD50" s="282" t="str">
        <f t="shared" si="10"/>
        <v>S-G-M</v>
      </c>
      <c r="AE50" s="282" t="str">
        <f t="shared" si="11"/>
        <v>D-N-S</v>
      </c>
      <c r="AF50" s="309" t="str">
        <f t="shared" si="12"/>
        <v>GmdnN</v>
      </c>
      <c r="AG50" s="244" t="str">
        <f>IFERROR(__xludf.DUMMYFUNCTION("IF(REGEXMATCH(N50, ""S""), ""0"","""")"),"0")</f>
        <v>0</v>
      </c>
      <c r="AH50" s="245" t="str">
        <f>IFERROR(__xludf.DUMMYFUNCTION("IF(REGEXMATCH(N50, ""r""), ""1"","""")"),"")</f>
        <v/>
      </c>
      <c r="AI50" s="246" t="str">
        <f>IFERROR(__xludf.DUMMYFUNCTION("IF(REGEXMATCH(N50, ""R""), ""2"","""")"),"")</f>
        <v/>
      </c>
      <c r="AJ50" s="246" t="str">
        <f>IFERROR(__xludf.DUMMYFUNCTION("IF(REGEXMATCH(N50, ""g""), ""3"","""")"),"")</f>
        <v/>
      </c>
      <c r="AK50" s="245" t="str">
        <f>IFERROR(__xludf.DUMMYFUNCTION("IF(REGEXMATCH(N50, ""G""), ""4"","""")"),"4")</f>
        <v>4</v>
      </c>
      <c r="AL50" s="245" t="str">
        <f>IFERROR(__xludf.DUMMYFUNCTION("IF(REGEXMATCH(N50, ""m""), ""5"","""")"),"5")</f>
        <v>5</v>
      </c>
      <c r="AM50" s="246" t="str">
        <f>IFERROR(__xludf.DUMMYFUNCTION("IF(REGEXMATCH(N50, ""M""), ""6"","""")"),"")</f>
        <v/>
      </c>
      <c r="AN50" s="245" t="str">
        <f>IFERROR(__xludf.DUMMYFUNCTION("IF(REGEXMATCH(N50, ""P""), ""7"","""")"),"")</f>
        <v/>
      </c>
      <c r="AO50" s="246" t="str">
        <f>IFERROR(__xludf.DUMMYFUNCTION("IF(REGEXMATCH(N50, ""d""), ""8"","""")"),"8")</f>
        <v>8</v>
      </c>
      <c r="AP50" s="245" t="str">
        <f>IFERROR(__xludf.DUMMYFUNCTION("IF(REGEXMATCH(N50, ""D""), ""9"","""")"),"")</f>
        <v/>
      </c>
      <c r="AQ50" s="245" t="str">
        <f>IFERROR(__xludf.DUMMYFUNCTION("IF(REGEXMATCH(N50, ""n""), ""10"","""")"),"10")</f>
        <v>10</v>
      </c>
      <c r="AR50" s="246" t="str">
        <f>IFERROR(__xludf.DUMMYFUNCTION("IF(REGEXMATCH(N50, ""N""), ""11"","""")"),"11")</f>
        <v>11</v>
      </c>
      <c r="AS50" s="249" t="str">
        <f>IFERROR(__xludf.DUMMYFUNCTION("IF(REGEXMATCH(N50, ""S""), ""0"","""")"),"0")</f>
        <v>0</v>
      </c>
      <c r="AT50" s="250" t="str">
        <f>IFERROR(__xludf.DUMMYFUNCTION("SUBSTITUTE(SUBSTITUTE(SUBSTITUTE(SUBSTITUTE(CONCATENATE(JOIN(""-"",AG50:AS50)),""--"",""-""),""--"",""-""),""--"",""-""),""--"",""-"")"),"0-4-5-8-10-11-0")</f>
        <v>0-4-5-8-10-11-0</v>
      </c>
      <c r="AU50" s="251">
        <f t="shared" si="13"/>
        <v>0</v>
      </c>
      <c r="AV50" s="234" t="str">
        <f t="shared" si="14"/>
        <v>|</v>
      </c>
      <c r="AW50" s="236" t="str">
        <f t="shared" si="15"/>
        <v>-</v>
      </c>
      <c r="AX50" s="237" t="str">
        <f t="shared" si="16"/>
        <v>-</v>
      </c>
      <c r="AY50" s="236" t="str">
        <f t="shared" si="17"/>
        <v>-</v>
      </c>
      <c r="AZ50" s="237" t="str">
        <f t="shared" si="18"/>
        <v>|</v>
      </c>
      <c r="BA50" s="236" t="str">
        <f t="shared" si="19"/>
        <v>|</v>
      </c>
      <c r="BB50" s="237" t="str">
        <f t="shared" si="20"/>
        <v>-</v>
      </c>
      <c r="BC50" s="236" t="str">
        <f t="shared" si="21"/>
        <v>-</v>
      </c>
      <c r="BD50" s="237" t="str">
        <f t="shared" si="22"/>
        <v>|</v>
      </c>
      <c r="BE50" s="236" t="str">
        <f t="shared" si="23"/>
        <v>-</v>
      </c>
      <c r="BF50" s="237" t="str">
        <f t="shared" si="24"/>
        <v>|</v>
      </c>
      <c r="BG50" s="236" t="str">
        <f t="shared" si="25"/>
        <v>|</v>
      </c>
      <c r="BH50" s="238" t="str">
        <f t="shared" si="26"/>
        <v>|</v>
      </c>
      <c r="BI50" s="250" t="str">
        <f>IFERROR(__xludf.DUMMYFUNCTION("SUBSTITUTE(SUBSTITUTE(CONCATENATE(JOIN("""",AV50:BG50)),""|"",""x""),""-"",""o"")"),"xoooxxooxoxx")</f>
        <v>xoooxxooxoxx</v>
      </c>
      <c r="BJ50" s="323" t="str">
        <f>IFERROR(__xludf.DUMMYFUNCTION("JOIN("""",BI50,BI50)"),"xoooxxooxoxxxoooxxooxoxx")</f>
        <v>xoooxxooxoxxxoooxxooxoxx</v>
      </c>
      <c r="BK50" s="256" t="str">
        <f>IFERROR(__xludf.DUMMYFUNCTION("JOIN("""",ArrayFormula(MID(BI50,LEN(BI50)-SEQUENCE(1,LEN(BI50))+1,1)))"),"xxoxooxxooox")</f>
        <v>xxoxooxxooox</v>
      </c>
      <c r="BL50" s="256" t="str">
        <f>IFERROR(__xludf.DUMMYFUNCTION("LEFT(CONCATENATE(""x"",JOIN("""",ArrayFormula(MID(BI50,LEN(BI50)-SEQUENCE(1,LEN(BI50))+1,1)))),12)"),"xxxoxooxxooo")</f>
        <v>xxxoxooxxooo</v>
      </c>
      <c r="BM50" s="327" t="str">
        <f>IFERROR(__xludf.DUMMYFUNCTION("JOIN("""",BK50,BK50)"),"xxoxooxxoooxxxoxooxxooox")</f>
        <v>xxoxooxxoooxxxoxooxxooox</v>
      </c>
      <c r="BN50" s="239" t="str">
        <f>IFERROR(__xludf.DUMMYFUNCTION("IF(REGEXMATCH(BM50,BI50),""✔"",""-"")"),"-")</f>
        <v>-</v>
      </c>
      <c r="BO50" s="330" t="str">
        <f t="shared" si="27"/>
        <v>-</v>
      </c>
      <c r="BP50" s="260" t="str">
        <f t="shared" si="28"/>
        <v>-</v>
      </c>
      <c r="BQ50" s="261" t="str">
        <f>IFERROR(__xludf.DUMMYFUNCTION("IF(BT50=0,""(n/a)"",IF(BU50=2,""(PAIR)"",IF(REGEXMATCH(BJ50,""xoxoxxoxoxox""),""Bilawal"",IF(REGEXMATCH(BJ50,""xoxoxooxoxoo""),""Bhupali"",IF(REGEXMATCH(BJ50,""xoxoxxoxxoxo""),""Charukeshi"",IF(REGEXMATCH(BJ50,""xoxoooxxoxxo""),""Kameshwari"",IF(REGEXMATC"&amp;"H(BJ50,""xoxoxooxoxox""),""Shankara"",IF(REGEXMATCH(BJ50,""xxooxoxxxoox""),""Basant"",IF(REGEXMATCH(BJ50,""xoxoxxxxoxox""),""Bihag"",IF(REGEXMATCH(BJ50,""xoxxxxoxoxxx""),""Pilu"",IF(REGEXMATCH(BJ50,""xoxxoxoxxoox""),""Kirwani"",IF(REGEXMATCH(BJ50,""xoxxox"&amp;"oxoxxx""),""Mk.Malhar"",IF(REGEXMATCH(BJ50,""xxooxxoxxoox""),""Bhairav"",IF(REGEXMATCH(BJ50,""xxoxooxxxoox""),""Todi"",IF(REGEXMATCH(BJ50,""xxooxoxooxox""),""Marwa"",IF(REGEXMATCH(BJ50,""xxoooxoxxooo""),""Gunkali"",IF(REGEXMATCH(BJ50,""xoxoxxoxxoox""),""N"&amp;"at Bhairav"",IF(REGEXMATCH(BJ50,""xoxxoooxoxoo""),""Shivranjani"",IF(REGEXMATCH(BJ50,""xooxxxoxooxo""),""Jog"",IF(REGEXMATCH(BJ50,""xxooxoxoxoox""),""Hemshri"",IF(REGEXMATCH(BJ50,""xoooxooxoxxo""),""Kalavati"",IF(REGEXMATCH(BJ50,""xxoxoxxoxoox""),""Kedar"&amp;""",IF(REGEXMATCH(BJ50,""xoxxxxoxooxx""),""Gara"",IF(REGEXMATCH(BJ50,""xooxoxooxoox""),""Chandrakauns"",IF(REGEXMATCH(BJ50,""xoxxxxoxxxox""),""Mand"",IF(REGEXMATCH(BJ50,""xoxxxxoxoxox""),""Hanskinkini"",IF(REGEXMATCH(BJ50,""xxooxxoxooxo""),""Lilavati"",IF("&amp;"REGEXMATCH(BJ50,""xooxoxoooxox""),""Rajeshwari"",IF(REGEXMATCH(BJ50,""xoooxxoxoxxx""),""Khokar"",IF(REGEXMATCH(BJ50,""xxooxoxxxxox""),""Maligoura"",""-""))))))))))))))))))))))))))))))"),"(n/a)")</f>
        <v>(n/a)</v>
      </c>
      <c r="BR50" s="239">
        <f t="shared" si="29"/>
        <v>5</v>
      </c>
      <c r="BS50" s="239">
        <f>IFERROR(__xludf.DUMMYFUNCTION("COUNTUNIQUE(BW50:CG50)-1"),5.0)</f>
        <v>5</v>
      </c>
      <c r="BT50" s="239">
        <f>IFERROR(__xludf.DUMMYFUNCTION("COUNTUNIQUE(FILTER(BJ:BJ,REGEXMATCH(BJ:BJ,BI50)))-1"),0.0)</f>
        <v>0</v>
      </c>
      <c r="BU50" s="239">
        <f>IFERROR(__xludf.DUMMYFUNCTION("COUNTA(FILTER(BJ:BJ,REGEXMATCH(BJ:BJ,BI50)))"),1.0)</f>
        <v>1</v>
      </c>
      <c r="BV50" s="341">
        <f>IFERROR(__xludf.DUMMYFUNCTION("COUNTA(FILTER(BJ:BJ,REGEXMATCH(BJ:BJ,BI50)))-AU50"),1.0)</f>
        <v>1</v>
      </c>
      <c r="BW50" s="269" t="str">
        <f t="shared" si="30"/>
        <v>-</v>
      </c>
      <c r="BX50" s="269" t="str">
        <f t="shared" si="31"/>
        <v>-</v>
      </c>
      <c r="BY50" s="271" t="str">
        <f t="shared" si="32"/>
        <v>-</v>
      </c>
      <c r="BZ50" s="269" t="str">
        <f t="shared" si="33"/>
        <v>xxooxoxxxoo</v>
      </c>
      <c r="CA50" s="271" t="str">
        <f t="shared" si="34"/>
        <v>xooxoxxxooo</v>
      </c>
      <c r="CB50" s="271" t="str">
        <f t="shared" si="35"/>
        <v>-</v>
      </c>
      <c r="CC50" s="271" t="str">
        <f t="shared" si="36"/>
        <v>-</v>
      </c>
      <c r="CD50" s="271" t="str">
        <f t="shared" si="37"/>
        <v>xoxxxoooxxo</v>
      </c>
      <c r="CE50" s="271" t="str">
        <f t="shared" si="38"/>
        <v>-</v>
      </c>
      <c r="CF50" s="271" t="str">
        <f t="shared" si="39"/>
        <v>xxxoooxxoox</v>
      </c>
      <c r="CG50" s="274" t="str">
        <f t="shared" si="40"/>
        <v>xxoooxxooxo</v>
      </c>
      <c r="CH50" s="276" t="str">
        <f>IFERROR(__xludf.DUMMYFUNCTION("IF(BI50=""oooooooooooo"",""-"",IF(REGEXMATCH(BJ50,""xx""), ""Hemi."", ""Anhemi.""))"),"Hemi.")</f>
        <v>Hemi.</v>
      </c>
      <c r="CI50" s="282" t="str">
        <f>IFERROR(__xludf.DUMMYFUNCTION("IF(BI50=""oooooooooooo"",""-"",IF(REGEXMATCH(BJ50,""xxx""), ""Cohem."", ""-""))"),"Cohem.")</f>
        <v>Cohem.</v>
      </c>
      <c r="CJ50" s="282" t="str">
        <f>IFERROR(__xludf.DUMMYFUNCTION("IF(BI50=""oooooooooooo"",""-"",IF(REGEXMATCH(BJ50,""xxxx""), ""Co-Co."", ""-""))"),"-")</f>
        <v>-</v>
      </c>
      <c r="CK50" s="342" t="str">
        <f>IFERROR(__xludf.DUMMYFUNCTION("IF(BI50=""oooooooooooo"",""-"",IF(REGEXMATCH(BJ50,""xxxxx""), ""CCC."", ""-""))"),"-")</f>
        <v>-</v>
      </c>
      <c r="CL50" s="344" t="str">
        <f t="shared" si="41"/>
        <v>-</v>
      </c>
      <c r="CM50" s="282" t="str">
        <f>IFERROR(__xludf.DUMMYFUNCTION("IF(REGEXMATCH(JOIN(""-"",CO50:CX50),""TRUE""),""✔"",""-"")"),"-")</f>
        <v>-</v>
      </c>
      <c r="CN50" s="225">
        <f t="shared" si="42"/>
        <v>0</v>
      </c>
      <c r="CO50" s="376" t="b">
        <f>IFERROR(__xludf.DUMMYFUNCTION("arrayformula(sum(--REGEXMATCH(""SRGMPDNS"",split(REGEXREPLACE(N50,""(.)"",""$1~""),""~""))))=len(N50)
"),FALSE)</f>
        <v>0</v>
      </c>
      <c r="CP50" s="290" t="b">
        <f>IFERROR(__xludf.DUMMYFUNCTION("arrayformula(sum(--REGEXMATCH(""SRGmPDNS"",split(REGEXREPLACE(N50,""(.)"",""$1~""),""~""))))=len(N50)"),FALSE)</f>
        <v>0</v>
      </c>
      <c r="CQ50" s="290" t="b">
        <f>IFERROR(__xludf.DUMMYFUNCTION("arrayformula(sum(--REGEXMATCH(""SRGmPDnS"",split(REGEXREPLACE(N50,""(.)"",""$1~""),""~""))))=len(N50)"),FALSE)</f>
        <v>0</v>
      </c>
      <c r="CR50" s="290" t="b">
        <f>IFERROR(__xludf.DUMMYFUNCTION("arrayformula(sum(--REGEXMATCH(""SRgmPDnS"",split(REGEXREPLACE(N50,""(.)"",""$1~""),""~""))))=len(N50)"),FALSE)</f>
        <v>0</v>
      </c>
      <c r="CS50" s="290" t="b">
        <f>IFERROR(__xludf.DUMMYFUNCTION("arrayformula(sum(--REGEXMATCH(""SRgmPdnS"",split(REGEXREPLACE(N50,""(.)"",""$1~""),""~""))))=len(N50)"),FALSE)</f>
        <v>0</v>
      </c>
      <c r="CT50" s="290" t="b">
        <f>IFERROR(__xludf.DUMMYFUNCTION("arrayformula(sum(--REGEXMATCH(""SrgmPdnS"",split(REGEXREPLACE(N50,""(.)"",""$1~""),""~""))))=len(N50)"),FALSE)</f>
        <v>0</v>
      </c>
      <c r="CU50" s="290" t="b">
        <f>IFERROR(__xludf.DUMMYFUNCTION("arrayformula(sum(--REGEXMATCH(""SrGmPdNS"",split(REGEXREPLACE(N50,""(.)"",""$1~""),""~""))))=len(N50)"),FALSE)</f>
        <v>0</v>
      </c>
      <c r="CV50" s="290" t="b">
        <f>IFERROR(__xludf.DUMMYFUNCTION("arrayformula(sum(--REGEXMATCH(""SrGMPDNS"",split(REGEXREPLACE(N50,""(.)"",""$1~""),""~""))))=len(N50)"),FALSE)</f>
        <v>0</v>
      </c>
      <c r="CW50" s="290" t="b">
        <f>IFERROR(__xludf.DUMMYFUNCTION("arrayformula(sum(--REGEXMATCH(""SrGMPdNS"",split(REGEXREPLACE(N50,""(.)"",""$1~""),""~""))))=len(N50)"),FALSE)</f>
        <v>0</v>
      </c>
      <c r="CX50" s="293" t="b">
        <f>IFERROR(__xludf.DUMMYFUNCTION("arrayformula(sum(--REGEXMATCH(""SrgMPdNS"",split(REGEXREPLACE(N50,""(.)"",""$1~""),""~""))))=len(N50)"),FALSE)</f>
        <v>0</v>
      </c>
      <c r="CY50" s="244" t="str">
        <f>IFERROR(__xludf.DUMMYFUNCTION("IF(REGEXMATCH(N50, ""S""), ""1"","""")"),"1")</f>
        <v>1</v>
      </c>
      <c r="CZ50" s="245" t="str">
        <f>IFERROR(__xludf.DUMMYFUNCTION("IF(REGEXMATCH(N50, ""r""), ""b2"","""")"),"")</f>
        <v/>
      </c>
      <c r="DA50" s="246" t="str">
        <f>IFERROR(__xludf.DUMMYFUNCTION("IF(REGEXMATCH(N50, ""R""), ""2"","""")"),"")</f>
        <v/>
      </c>
      <c r="DB50" s="246" t="str">
        <f>IFERROR(__xludf.DUMMYFUNCTION("IF(REGEXMATCH(N50, ""g""), ""b3"","""")"),"")</f>
        <v/>
      </c>
      <c r="DC50" s="245" t="str">
        <f>IFERROR(__xludf.DUMMYFUNCTION("IF(REGEXMATCH(N50, ""G""), ""3"","""")"),"3")</f>
        <v>3</v>
      </c>
      <c r="DD50" s="245" t="str">
        <f>IFERROR(__xludf.DUMMYFUNCTION("IF(REGEXMATCH(N50, ""m""), ""4"","""")"),"4")</f>
        <v>4</v>
      </c>
      <c r="DE50" s="246" t="str">
        <f>IFERROR(__xludf.DUMMYFUNCTION("IF(REGEXMATCH(N50, ""M""), ""#4"","""")"),"")</f>
        <v/>
      </c>
      <c r="DF50" s="245" t="str">
        <f>IFERROR(__xludf.DUMMYFUNCTION("IF(REGEXMATCH(N50, ""P""), ""5"","""")"),"")</f>
        <v/>
      </c>
      <c r="DG50" s="246" t="str">
        <f>IFERROR(__xludf.DUMMYFUNCTION("IF(REGEXMATCH(N50, ""d""), ""b6"","""")"),"b6")</f>
        <v>b6</v>
      </c>
      <c r="DH50" s="245" t="str">
        <f>IFERROR(__xludf.DUMMYFUNCTION("IF(REGEXMATCH(N50, ""D""), ""6"","""")"),"")</f>
        <v/>
      </c>
      <c r="DI50" s="245" t="str">
        <f>IFERROR(__xludf.DUMMYFUNCTION("IF(REGEXMATCH(N50, ""n""), ""b7"","""")"),"b7")</f>
        <v>b7</v>
      </c>
      <c r="DJ50" s="246" t="str">
        <f>IFERROR(__xludf.DUMMYFUNCTION("IF(REGEXMATCH(N50, ""N""), ""7"","""")"),"7")</f>
        <v>7</v>
      </c>
      <c r="DK50" s="249" t="str">
        <f>IFERROR(__xludf.DUMMYFUNCTION("IF(REGEXMATCH(N50, ""S""), ""8"","""")"),"8")</f>
        <v>8</v>
      </c>
      <c r="DL50" s="244" t="str">
        <f>IFERROR(__xludf.DUMMYFUNCTION("IF(REGEXMATCH(N50, ""S""), ""S"","""")"),"S")</f>
        <v>S</v>
      </c>
      <c r="DM50" s="294" t="str">
        <f>IFERROR(__xludf.DUMMYFUNCTION("IF(REGEXMATCH(N50, ""r""), ""R1"","""")"),"")</f>
        <v/>
      </c>
      <c r="DN50" s="295" t="str">
        <f>IFERROR(__xludf.DUMMYFUNCTION("IF(REGEXMATCH(N50, ""R""), ""R2"","""")"),"")</f>
        <v/>
      </c>
      <c r="DO50" s="295" t="str">
        <f>IFERROR(__xludf.DUMMYFUNCTION("IF(REGEXMATCH(N50, ""g""), ""G2"","""")"),"")</f>
        <v/>
      </c>
      <c r="DP50" s="294" t="str">
        <f>IFERROR(__xludf.DUMMYFUNCTION("IF(REGEXMATCH(N50, ""G""), ""G3"","""")"),"G3")</f>
        <v>G3</v>
      </c>
      <c r="DQ50" s="294" t="str">
        <f>IFERROR(__xludf.DUMMYFUNCTION("IF(REGEXMATCH(N50, ""m""), ""M1"","""")"),"M1")</f>
        <v>M1</v>
      </c>
      <c r="DR50" s="295" t="str">
        <f>IFERROR(__xludf.DUMMYFUNCTION("IF(REGEXMATCH(N50, ""M""), ""M2"","""")"),"")</f>
        <v/>
      </c>
      <c r="DS50" s="294" t="str">
        <f>IFERROR(__xludf.DUMMYFUNCTION("IF(REGEXMATCH(N50, ""P""), ""P"","""")"),"")</f>
        <v/>
      </c>
      <c r="DT50" s="295" t="str">
        <f>IFERROR(__xludf.DUMMYFUNCTION("IF(REGEXMATCH(N50, ""d""), ""D1"","""")"),"D1")</f>
        <v>D1</v>
      </c>
      <c r="DU50" s="294" t="str">
        <f>IFERROR(__xludf.DUMMYFUNCTION("IF(REGEXMATCH(N50, ""D""), ""D2"","""")"),"")</f>
        <v/>
      </c>
      <c r="DV50" s="294" t="str">
        <f>IFERROR(__xludf.DUMMYFUNCTION("IF(REGEXMATCH(N50, ""n""), ""N2"","""")"),"N2")</f>
        <v>N2</v>
      </c>
      <c r="DW50" s="295" t="str">
        <f>IFERROR(__xludf.DUMMYFUNCTION("IF(REGEXMATCH(N50, ""N""), ""N3"","""")"),"N3")</f>
        <v>N3</v>
      </c>
      <c r="DX50" s="249" t="str">
        <f>IFERROR(__xludf.DUMMYFUNCTION("IF(REGEXMATCH(N50, ""S""), ""S"","""")"),"S")</f>
        <v>S</v>
      </c>
      <c r="DY50" s="299" t="str">
        <f>IFERROR(__xludf.DUMMYFUNCTION("SUBSTITUTE(SUBSTITUTE(SUBSTITUTE(SUBSTITUTE(CONCATENATE(JOIN(""-"",CY50:DK50)),""--"",""-""),""--"",""-""),""--"",""-""),""--"",""-"")"),"1-3-4-b6-b7-7-8")</f>
        <v>1-3-4-b6-b7-7-8</v>
      </c>
      <c r="DZ50" s="299" t="str">
        <f>IFERROR(__xludf.DUMMYFUNCTION("SUBSTITUTE(SUBSTITUTE(SUBSTITUTE(SUBSTITUTE(CONCATENATE(JOIN(""-"",DL50:DX50)),""--"",""-""),""--"",""-""),""--"",""-""),""--"",""-"")"),"S-G3-M1-D1-N2-N3-S")</f>
        <v>S-G3-M1-D1-N2-N3-S</v>
      </c>
      <c r="EA50" s="348" t="str">
        <f t="shared" si="43"/>
        <v>C-E-F-Ab-Bb-B-C</v>
      </c>
      <c r="EB50" s="301">
        <f t="shared" si="44"/>
        <v>6</v>
      </c>
      <c r="EC50" s="302" t="str">
        <f t="shared" si="45"/>
        <v>Audav</v>
      </c>
      <c r="ED50" s="301" t="str">
        <f t="shared" ref="ED50:EE50" si="216">SUBSTITUTE(AD50,"-","")</f>
        <v>SGM</v>
      </c>
      <c r="EE50" s="301" t="str">
        <f t="shared" si="216"/>
        <v>DNS</v>
      </c>
      <c r="EF50" s="302" t="str">
        <f t="shared" si="47"/>
        <v>(n/a)</v>
      </c>
      <c r="EG50" s="301" t="str">
        <f t="shared" si="48"/>
        <v>Hemi.</v>
      </c>
      <c r="EH50" s="364" t="str">
        <f t="shared" si="49"/>
        <v>Cohem.</v>
      </c>
      <c r="EI50" s="306" t="str">
        <f t="shared" si="50"/>
        <v>-</v>
      </c>
      <c r="EJ50" s="366" t="str">
        <f t="shared" si="51"/>
        <v>-</v>
      </c>
      <c r="EK50" s="308" t="str">
        <f t="shared" si="52"/>
        <v>✔</v>
      </c>
      <c r="EL50" s="306" t="str">
        <f t="shared" si="53"/>
        <v>-</v>
      </c>
      <c r="EM50" s="306" t="str">
        <f t="shared" si="54"/>
        <v>-</v>
      </c>
      <c r="EN50" s="367" t="str">
        <f t="shared" si="55"/>
        <v>-</v>
      </c>
      <c r="EO50" s="310" t="str">
        <f t="shared" si="56"/>
        <v>-</v>
      </c>
      <c r="EP50" s="310" t="str">
        <f t="shared" si="57"/>
        <v>-</v>
      </c>
      <c r="EQ50" s="310" t="str">
        <f t="shared" si="58"/>
        <v>-</v>
      </c>
      <c r="ER50" s="310" t="str">
        <f t="shared" si="59"/>
        <v>-</v>
      </c>
      <c r="ES50" s="370" t="str">
        <f t="shared" si="60"/>
        <v>✔</v>
      </c>
      <c r="ET50" s="306" t="str">
        <f t="shared" si="61"/>
        <v>✔</v>
      </c>
      <c r="EU50" s="306" t="str">
        <f t="shared" si="62"/>
        <v>-</v>
      </c>
      <c r="EV50" s="306" t="str">
        <f t="shared" si="63"/>
        <v>-</v>
      </c>
      <c r="EW50" s="306" t="str">
        <f t="shared" si="64"/>
        <v>✔</v>
      </c>
      <c r="EX50" s="306" t="str">
        <f t="shared" si="65"/>
        <v>-</v>
      </c>
      <c r="EY50" s="367" t="str">
        <f t="shared" si="66"/>
        <v>-</v>
      </c>
      <c r="EZ50" s="310" t="str">
        <f>IFERROR(__xludf.DUMMYFUNCTION("IF(REGEXMATCH(BM50,BI50),""✔"",""-"")"),"-")</f>
        <v>-</v>
      </c>
      <c r="FA50" s="310" t="str">
        <f t="shared" si="67"/>
        <v>-</v>
      </c>
      <c r="FB50" s="370" t="str">
        <f t="shared" si="68"/>
        <v>-</v>
      </c>
      <c r="FC50" s="315" t="str">
        <f t="shared" si="69"/>
        <v>[UQ]</v>
      </c>
      <c r="FD50" s="317" t="str">
        <f t="shared" si="70"/>
        <v>S-G-m-d-nN-S</v>
      </c>
      <c r="FE50" s="318" t="str">
        <f>IFERROR(__xludf.DUMMYFUNCTION("CONCATENATE(JOIN("""",GJ50:GV50))"),"SrRGPdS")</f>
        <v>SrRGPdS</v>
      </c>
      <c r="FF50" s="318"/>
      <c r="FG50" s="318"/>
      <c r="FH50" s="321">
        <f t="shared" si="71"/>
        <v>3</v>
      </c>
      <c r="FI50" s="318" t="str">
        <f>IFERROR(__xludf.DUMMYFUNCTION("CONCATENATE(JOIN("""",HW50:II50))"),"Sa, dha, Ni, ")</f>
        <v>Sa, dha, Ni, </v>
      </c>
      <c r="FJ50" s="322">
        <f t="shared" si="72"/>
        <v>1</v>
      </c>
      <c r="FK50" s="324" t="str">
        <f>IFERROR(__xludf.DUMMYFUNCTION("CONCATENATE(JOIN("""",IW50:JI50))"),"dha, ")</f>
        <v>dha, </v>
      </c>
      <c r="FL50" s="325" t="str">
        <f t="shared" si="73"/>
        <v>S-G3-M1-D1-N2-N3-S</v>
      </c>
      <c r="FM50" s="326" t="str">
        <f t="shared" si="74"/>
        <v>1-3-4-b6-b7-7-8</v>
      </c>
      <c r="FN50" s="326" t="str">
        <f t="shared" si="75"/>
        <v>0-4-5-8-10-11-0</v>
      </c>
      <c r="FO50" s="318"/>
      <c r="FP50" s="328" t="str">
        <f>IFERROR(__xludf.DUMMYFUNCTION("SUBSTITUTE(SUBSTITUTE(SUBSTITUTE(SUBSTITUTE(CONCATENATE(JOIN("" "",FS50:GE50)),""  "","" ""),""  "","" ""),""  "","" ""),""  "","" "")"),"o • • • o o • • o • o o o")</f>
        <v>o • • • o o • • o • o o o</v>
      </c>
      <c r="FQ50" s="328" t="str">
        <f t="shared" si="76"/>
        <v>Sa-ma</v>
      </c>
      <c r="FR50" s="329"/>
      <c r="FS50" s="331" t="str">
        <f t="shared" si="77"/>
        <v>o</v>
      </c>
      <c r="FT50" s="332" t="str">
        <f t="shared" si="78"/>
        <v>•</v>
      </c>
      <c r="FU50" s="332" t="str">
        <f t="shared" si="79"/>
        <v>•</v>
      </c>
      <c r="FV50" s="332" t="str">
        <f t="shared" si="80"/>
        <v>•</v>
      </c>
      <c r="FW50" s="332" t="str">
        <f t="shared" si="81"/>
        <v>o</v>
      </c>
      <c r="FX50" s="332" t="str">
        <f t="shared" si="82"/>
        <v>o</v>
      </c>
      <c r="FY50" s="332" t="str">
        <f t="shared" si="83"/>
        <v>•</v>
      </c>
      <c r="FZ50" s="332" t="str">
        <f t="shared" si="84"/>
        <v>•</v>
      </c>
      <c r="GA50" s="332" t="str">
        <f t="shared" si="85"/>
        <v>o</v>
      </c>
      <c r="GB50" s="332" t="str">
        <f t="shared" si="86"/>
        <v>•</v>
      </c>
      <c r="GC50" s="332" t="str">
        <f t="shared" si="87"/>
        <v>o</v>
      </c>
      <c r="GD50" s="332" t="str">
        <f t="shared" si="88"/>
        <v>o</v>
      </c>
      <c r="GE50" s="338" t="str">
        <f t="shared" si="89"/>
        <v>o</v>
      </c>
      <c r="GF50" s="339" t="str">
        <f t="shared" si="90"/>
        <v>-</v>
      </c>
      <c r="GG50" s="339" t="str">
        <f t="shared" si="91"/>
        <v>-</v>
      </c>
      <c r="GH50" s="339" t="str">
        <f t="shared" si="92"/>
        <v>-</v>
      </c>
      <c r="GI50" s="340" t="str">
        <f t="shared" si="93"/>
        <v>Sa-ma</v>
      </c>
      <c r="GJ50" s="331" t="str">
        <f t="shared" si="94"/>
        <v>S</v>
      </c>
      <c r="GK50" s="332" t="str">
        <f t="shared" si="95"/>
        <v>r</v>
      </c>
      <c r="GL50" s="332" t="str">
        <f t="shared" si="96"/>
        <v>R</v>
      </c>
      <c r="GM50" s="332" t="str">
        <f t="shared" si="97"/>
        <v/>
      </c>
      <c r="GN50" s="332" t="str">
        <f t="shared" si="98"/>
        <v>G</v>
      </c>
      <c r="GO50" s="332" t="str">
        <f t="shared" si="99"/>
        <v/>
      </c>
      <c r="GP50" s="332" t="str">
        <f t="shared" si="100"/>
        <v/>
      </c>
      <c r="GQ50" s="332" t="str">
        <f t="shared" si="101"/>
        <v>P</v>
      </c>
      <c r="GR50" s="332" t="str">
        <f t="shared" si="102"/>
        <v>d</v>
      </c>
      <c r="GS50" s="332" t="str">
        <f t="shared" si="103"/>
        <v/>
      </c>
      <c r="GT50" s="332" t="str">
        <f t="shared" si="104"/>
        <v/>
      </c>
      <c r="GU50" s="332" t="str">
        <f t="shared" si="105"/>
        <v/>
      </c>
      <c r="GV50" s="343" t="str">
        <f t="shared" si="106"/>
        <v>S</v>
      </c>
      <c r="GW50" s="331" t="str">
        <f t="shared" si="107"/>
        <v>•</v>
      </c>
      <c r="GX50" s="332" t="str">
        <f t="shared" si="108"/>
        <v>o</v>
      </c>
      <c r="GY50" s="332" t="str">
        <f t="shared" si="109"/>
        <v>o</v>
      </c>
      <c r="GZ50" s="332" t="str">
        <f t="shared" si="110"/>
        <v>o</v>
      </c>
      <c r="HA50" s="332" t="str">
        <f t="shared" si="111"/>
        <v>•</v>
      </c>
      <c r="HB50" s="332" t="str">
        <f t="shared" si="112"/>
        <v>•</v>
      </c>
      <c r="HC50" s="332" t="str">
        <f t="shared" si="113"/>
        <v>o</v>
      </c>
      <c r="HD50" s="332" t="str">
        <f t="shared" si="114"/>
        <v>o</v>
      </c>
      <c r="HE50" s="332" t="str">
        <f t="shared" si="115"/>
        <v>•</v>
      </c>
      <c r="HF50" s="332" t="str">
        <f t="shared" si="116"/>
        <v>o</v>
      </c>
      <c r="HG50" s="332" t="str">
        <f t="shared" si="117"/>
        <v>•</v>
      </c>
      <c r="HH50" s="332" t="str">
        <f t="shared" si="118"/>
        <v>•</v>
      </c>
      <c r="HI50" s="338" t="str">
        <f t="shared" si="119"/>
        <v>•</v>
      </c>
      <c r="HJ50" s="346" t="b">
        <f t="shared" si="120"/>
        <v>1</v>
      </c>
      <c r="HK50" s="347" t="b">
        <f t="shared" si="121"/>
        <v>0</v>
      </c>
      <c r="HL50" s="347" t="b">
        <f t="shared" si="122"/>
        <v>0</v>
      </c>
      <c r="HM50" s="347" t="b">
        <f t="shared" si="123"/>
        <v>0</v>
      </c>
      <c r="HN50" s="347" t="b">
        <f t="shared" si="124"/>
        <v>0</v>
      </c>
      <c r="HO50" s="347" t="b">
        <f t="shared" si="125"/>
        <v>0</v>
      </c>
      <c r="HP50" s="347" t="b">
        <f t="shared" si="126"/>
        <v>0</v>
      </c>
      <c r="HQ50" s="347" t="b">
        <f t="shared" si="127"/>
        <v>0</v>
      </c>
      <c r="HR50" s="347" t="b">
        <f t="shared" si="128"/>
        <v>1</v>
      </c>
      <c r="HS50" s="347" t="b">
        <f t="shared" si="129"/>
        <v>0</v>
      </c>
      <c r="HT50" s="347" t="b">
        <f t="shared" si="130"/>
        <v>0</v>
      </c>
      <c r="HU50" s="347" t="b">
        <f t="shared" si="131"/>
        <v>1</v>
      </c>
      <c r="HV50" s="353" t="b">
        <f t="shared" si="132"/>
        <v>1</v>
      </c>
      <c r="HW50" s="354" t="str">
        <f t="shared" si="133"/>
        <v>Sa, </v>
      </c>
      <c r="HX50" s="355" t="str">
        <f t="shared" si="134"/>
        <v/>
      </c>
      <c r="HY50" s="355" t="str">
        <f t="shared" si="135"/>
        <v/>
      </c>
      <c r="HZ50" s="355" t="str">
        <f t="shared" si="136"/>
        <v/>
      </c>
      <c r="IA50" s="355" t="str">
        <f t="shared" si="137"/>
        <v/>
      </c>
      <c r="IB50" s="355" t="str">
        <f t="shared" si="138"/>
        <v/>
      </c>
      <c r="IC50" s="355" t="str">
        <f t="shared" si="139"/>
        <v/>
      </c>
      <c r="ID50" s="355" t="str">
        <f t="shared" si="140"/>
        <v/>
      </c>
      <c r="IE50" s="355" t="str">
        <f t="shared" si="141"/>
        <v>dha, </v>
      </c>
      <c r="IF50" s="355" t="str">
        <f t="shared" si="142"/>
        <v/>
      </c>
      <c r="IG50" s="355" t="str">
        <f t="shared" si="143"/>
        <v/>
      </c>
      <c r="IH50" s="355" t="str">
        <f t="shared" si="144"/>
        <v>Ni, </v>
      </c>
      <c r="II50" s="359" t="str">
        <f t="shared" si="145"/>
        <v/>
      </c>
      <c r="IJ50" s="346" t="b">
        <f t="shared" si="146"/>
        <v>0</v>
      </c>
      <c r="IK50" s="347" t="b">
        <f t="shared" si="147"/>
        <v>0</v>
      </c>
      <c r="IL50" s="347" t="b">
        <f t="shared" si="148"/>
        <v>0</v>
      </c>
      <c r="IM50" s="347" t="b">
        <f t="shared" si="149"/>
        <v>0</v>
      </c>
      <c r="IN50" s="347" t="b">
        <f t="shared" si="150"/>
        <v>0</v>
      </c>
      <c r="IO50" s="347" t="b">
        <f t="shared" si="151"/>
        <v>0</v>
      </c>
      <c r="IP50" s="347" t="b">
        <f t="shared" si="152"/>
        <v>0</v>
      </c>
      <c r="IQ50" s="347" t="b">
        <f t="shared" si="153"/>
        <v>0</v>
      </c>
      <c r="IR50" s="347" t="b">
        <f t="shared" si="154"/>
        <v>1</v>
      </c>
      <c r="IS50" s="347" t="b">
        <f t="shared" si="155"/>
        <v>0</v>
      </c>
      <c r="IT50" s="347" t="b">
        <f t="shared" si="156"/>
        <v>0</v>
      </c>
      <c r="IU50" s="347" t="b">
        <f t="shared" si="157"/>
        <v>0</v>
      </c>
      <c r="IV50" s="365" t="b">
        <f t="shared" si="158"/>
        <v>0</v>
      </c>
      <c r="IW50" s="354" t="str">
        <f t="shared" si="159"/>
        <v/>
      </c>
      <c r="IX50" s="355" t="str">
        <f t="shared" si="160"/>
        <v/>
      </c>
      <c r="IY50" s="355" t="str">
        <f t="shared" si="161"/>
        <v/>
      </c>
      <c r="IZ50" s="355" t="str">
        <f t="shared" si="162"/>
        <v/>
      </c>
      <c r="JA50" s="355" t="str">
        <f t="shared" si="163"/>
        <v/>
      </c>
      <c r="JB50" s="355" t="str">
        <f t="shared" si="164"/>
        <v/>
      </c>
      <c r="JC50" s="355" t="str">
        <f t="shared" si="165"/>
        <v/>
      </c>
      <c r="JD50" s="355" t="str">
        <f t="shared" si="166"/>
        <v/>
      </c>
      <c r="JE50" s="355" t="str">
        <f t="shared" si="167"/>
        <v>dha, </v>
      </c>
      <c r="JF50" s="355" t="str">
        <f t="shared" si="168"/>
        <v/>
      </c>
      <c r="JG50" s="355" t="str">
        <f t="shared" si="169"/>
        <v/>
      </c>
      <c r="JH50" s="355" t="str">
        <f t="shared" si="170"/>
        <v/>
      </c>
      <c r="JI50" s="359"/>
      <c r="JJ50" s="321"/>
      <c r="JK50" s="368"/>
      <c r="JL50" s="369"/>
      <c r="JM50" s="369"/>
      <c r="JN50" s="369"/>
      <c r="JO50" s="369"/>
      <c r="JP50" s="369"/>
      <c r="JQ50" s="369"/>
      <c r="JR50" s="369"/>
      <c r="JS50" s="369"/>
      <c r="JT50" s="369"/>
      <c r="JU50" s="369"/>
    </row>
    <row r="51" ht="20.25" customHeight="1">
      <c r="A51" s="221" t="s">
        <v>1329</v>
      </c>
      <c r="B51" s="223" t="s">
        <v>805</v>
      </c>
      <c r="C51" s="222"/>
      <c r="D51" s="222"/>
      <c r="E51" s="222" t="s">
        <v>275</v>
      </c>
      <c r="F51" s="222"/>
      <c r="G51" s="395" t="s">
        <v>275</v>
      </c>
      <c r="H51" s="222">
        <v>49.0</v>
      </c>
      <c r="I51" s="224" t="s">
        <v>1219</v>
      </c>
      <c r="J51" s="414">
        <f t="shared" si="5"/>
        <v>1</v>
      </c>
      <c r="K51" s="227">
        <f t="shared" si="6"/>
        <v>6</v>
      </c>
      <c r="L51" s="229">
        <f t="shared" si="7"/>
        <v>6</v>
      </c>
      <c r="M51" s="230">
        <f t="shared" si="8"/>
        <v>0</v>
      </c>
      <c r="N51" s="233" t="str">
        <f t="shared" si="9"/>
        <v>SRGmdnS</v>
      </c>
      <c r="O51" s="234" t="str">
        <f>IFERROR(__xludf.DUMMYFUNCTION("IF(REGEXMATCH(N51, ""S""), ""S"","""")"),"S")</f>
        <v>S</v>
      </c>
      <c r="P51" s="236" t="str">
        <f>IFERROR(__xludf.DUMMYFUNCTION("IF(REGEXMATCH(N51, ""r""), ""r"","""")"),"")</f>
        <v/>
      </c>
      <c r="Q51" s="237" t="str">
        <f>IFERROR(__xludf.DUMMYFUNCTION("IF(REGEXMATCH(N51, ""R""), ""R"","""")"),"R")</f>
        <v>R</v>
      </c>
      <c r="R51" s="237" t="str">
        <f>IFERROR(__xludf.DUMMYFUNCTION("IF(REGEXMATCH(N51, ""g""), ""g"","""")"),"")</f>
        <v/>
      </c>
      <c r="S51" s="236" t="str">
        <f>IFERROR(__xludf.DUMMYFUNCTION("IF(REGEXMATCH(N51, ""G""), ""G"","""")"),"G")</f>
        <v>G</v>
      </c>
      <c r="T51" s="236" t="str">
        <f>IFERROR(__xludf.DUMMYFUNCTION("IF(REGEXMATCH(N51, ""m""), ""m"","""")"),"m")</f>
        <v>m</v>
      </c>
      <c r="U51" s="237" t="str">
        <f>IFERROR(__xludf.DUMMYFUNCTION("IF(REGEXMATCH(N51, ""M""), ""M"","""")"),"")</f>
        <v/>
      </c>
      <c r="V51" s="236" t="str">
        <f>IFERROR(__xludf.DUMMYFUNCTION("IF(REGEXMATCH(N51, ""P""), ""P"","""")"),"")</f>
        <v/>
      </c>
      <c r="W51" s="237" t="str">
        <f>IFERROR(__xludf.DUMMYFUNCTION("IF(REGEXMATCH(N51, ""d""), ""d"","""")"),"d")</f>
        <v>d</v>
      </c>
      <c r="X51" s="236" t="str">
        <f>IFERROR(__xludf.DUMMYFUNCTION("IF(REGEXMATCH(N51, ""D""), ""D"","""")"),"")</f>
        <v/>
      </c>
      <c r="Y51" s="236" t="str">
        <f>IFERROR(__xludf.DUMMYFUNCTION("IF(REGEXMATCH(N51, ""n""), ""n"","""")"),"n")</f>
        <v>n</v>
      </c>
      <c r="Z51" s="237" t="str">
        <f>IFERROR(__xludf.DUMMYFUNCTION("IF(REGEXMATCH(N51, ""N""), ""N"","""")"),"")</f>
        <v/>
      </c>
      <c r="AA51" s="238" t="str">
        <f>IFERROR(__xludf.DUMMYFUNCTION("IF(REGEXMATCH(N51, ""S""), ""S"","""")"),"S")</f>
        <v>S</v>
      </c>
      <c r="AB51" s="239" t="str">
        <f>IFERROR(__xludf.DUMMYFUNCTION("SUBSTITUTE(CONCATENATE(JOIN(""-"",O51:U51)),""-"","""")"),"SRGm")</f>
        <v>SRGm</v>
      </c>
      <c r="AC51" s="229" t="str">
        <f>IFERROR(__xludf.DUMMYFUNCTION("SUBSTITUTE(CONCATENATE(JOIN(""-"",V51:AA51)),""-"","""")"),"dnS")</f>
        <v>dnS</v>
      </c>
      <c r="AD51" s="282" t="str">
        <f t="shared" si="10"/>
        <v>S-R-G-M</v>
      </c>
      <c r="AE51" s="282" t="str">
        <f t="shared" si="11"/>
        <v>D-N-S</v>
      </c>
      <c r="AF51" s="309" t="str">
        <f t="shared" si="12"/>
        <v>RGmdn</v>
      </c>
      <c r="AG51" s="244" t="str">
        <f>IFERROR(__xludf.DUMMYFUNCTION("IF(REGEXMATCH(N51, ""S""), ""0"","""")"),"0")</f>
        <v>0</v>
      </c>
      <c r="AH51" s="245" t="str">
        <f>IFERROR(__xludf.DUMMYFUNCTION("IF(REGEXMATCH(N51, ""r""), ""1"","""")"),"")</f>
        <v/>
      </c>
      <c r="AI51" s="246" t="str">
        <f>IFERROR(__xludf.DUMMYFUNCTION("IF(REGEXMATCH(N51, ""R""), ""2"","""")"),"2")</f>
        <v>2</v>
      </c>
      <c r="AJ51" s="246" t="str">
        <f>IFERROR(__xludf.DUMMYFUNCTION("IF(REGEXMATCH(N51, ""g""), ""3"","""")"),"")</f>
        <v/>
      </c>
      <c r="AK51" s="245" t="str">
        <f>IFERROR(__xludf.DUMMYFUNCTION("IF(REGEXMATCH(N51, ""G""), ""4"","""")"),"4")</f>
        <v>4</v>
      </c>
      <c r="AL51" s="245" t="str">
        <f>IFERROR(__xludf.DUMMYFUNCTION("IF(REGEXMATCH(N51, ""m""), ""5"","""")"),"5")</f>
        <v>5</v>
      </c>
      <c r="AM51" s="246" t="str">
        <f>IFERROR(__xludf.DUMMYFUNCTION("IF(REGEXMATCH(N51, ""M""), ""6"","""")"),"")</f>
        <v/>
      </c>
      <c r="AN51" s="245" t="str">
        <f>IFERROR(__xludf.DUMMYFUNCTION("IF(REGEXMATCH(N51, ""P""), ""7"","""")"),"")</f>
        <v/>
      </c>
      <c r="AO51" s="246" t="str">
        <f>IFERROR(__xludf.DUMMYFUNCTION("IF(REGEXMATCH(N51, ""d""), ""8"","""")"),"8")</f>
        <v>8</v>
      </c>
      <c r="AP51" s="245" t="str">
        <f>IFERROR(__xludf.DUMMYFUNCTION("IF(REGEXMATCH(N51, ""D""), ""9"","""")"),"")</f>
        <v/>
      </c>
      <c r="AQ51" s="245" t="str">
        <f>IFERROR(__xludf.DUMMYFUNCTION("IF(REGEXMATCH(N51, ""n""), ""10"","""")"),"10")</f>
        <v>10</v>
      </c>
      <c r="AR51" s="246" t="str">
        <f>IFERROR(__xludf.DUMMYFUNCTION("IF(REGEXMATCH(N51, ""N""), ""11"","""")"),"")</f>
        <v/>
      </c>
      <c r="AS51" s="249" t="str">
        <f>IFERROR(__xludf.DUMMYFUNCTION("IF(REGEXMATCH(N51, ""S""), ""0"","""")"),"0")</f>
        <v>0</v>
      </c>
      <c r="AT51" s="250" t="str">
        <f>IFERROR(__xludf.DUMMYFUNCTION("SUBSTITUTE(SUBSTITUTE(SUBSTITUTE(SUBSTITUTE(CONCATENATE(JOIN(""-"",AG51:AS51)),""--"",""-""),""--"",""-""),""--"",""-""),""--"",""-"")"),"0-2-4-5-8-10-0")</f>
        <v>0-2-4-5-8-10-0</v>
      </c>
      <c r="AU51" s="251">
        <f t="shared" si="13"/>
        <v>1</v>
      </c>
      <c r="AV51" s="234" t="str">
        <f t="shared" si="14"/>
        <v>|</v>
      </c>
      <c r="AW51" s="236" t="str">
        <f t="shared" si="15"/>
        <v>-</v>
      </c>
      <c r="AX51" s="237" t="str">
        <f t="shared" si="16"/>
        <v>|</v>
      </c>
      <c r="AY51" s="236" t="str">
        <f t="shared" si="17"/>
        <v>-</v>
      </c>
      <c r="AZ51" s="237" t="str">
        <f t="shared" si="18"/>
        <v>|</v>
      </c>
      <c r="BA51" s="236" t="str">
        <f t="shared" si="19"/>
        <v>|</v>
      </c>
      <c r="BB51" s="237" t="str">
        <f t="shared" si="20"/>
        <v>-</v>
      </c>
      <c r="BC51" s="236" t="str">
        <f t="shared" si="21"/>
        <v>-</v>
      </c>
      <c r="BD51" s="237" t="str">
        <f t="shared" si="22"/>
        <v>|</v>
      </c>
      <c r="BE51" s="236" t="str">
        <f t="shared" si="23"/>
        <v>-</v>
      </c>
      <c r="BF51" s="237" t="str">
        <f t="shared" si="24"/>
        <v>|</v>
      </c>
      <c r="BG51" s="236" t="str">
        <f t="shared" si="25"/>
        <v>-</v>
      </c>
      <c r="BH51" s="238" t="str">
        <f t="shared" si="26"/>
        <v>|</v>
      </c>
      <c r="BI51" s="250" t="str">
        <f>IFERROR(__xludf.DUMMYFUNCTION("SUBSTITUTE(SUBSTITUTE(CONCATENATE(JOIN("""",AV51:BG51)),""|"",""x""),""-"",""o"")"),"xoxoxxooxoxo")</f>
        <v>xoxoxxooxoxo</v>
      </c>
      <c r="BJ51" s="323" t="str">
        <f>IFERROR(__xludf.DUMMYFUNCTION("JOIN("""",BI51,BI51)"),"xoxoxxooxoxoxoxoxxooxoxo")</f>
        <v>xoxoxxooxoxoxoxoxxooxoxo</v>
      </c>
      <c r="BK51" s="256" t="str">
        <f>IFERROR(__xludf.DUMMYFUNCTION("JOIN("""",ArrayFormula(MID(BI51,LEN(BI51)-SEQUENCE(1,LEN(BI51))+1,1)))"),"oxoxooxxoxox")</f>
        <v>oxoxooxxoxox</v>
      </c>
      <c r="BL51" s="256" t="str">
        <f>IFERROR(__xludf.DUMMYFUNCTION("LEFT(CONCATENATE(""x"",JOIN("""",ArrayFormula(MID(BI51,LEN(BI51)-SEQUENCE(1,LEN(BI51))+1,1)))),12)"),"xoxoxooxxoxo")</f>
        <v>xoxoxooxxoxo</v>
      </c>
      <c r="BM51" s="327" t="str">
        <f>IFERROR(__xludf.DUMMYFUNCTION("JOIN("""",BK51,BK51)"),"oxoxooxxoxoxoxoxooxxoxox")</f>
        <v>oxoxooxxoxoxoxoxooxxoxox</v>
      </c>
      <c r="BN51" s="239" t="str">
        <f>IFERROR(__xludf.DUMMYFUNCTION("IF(REGEXMATCH(BM51,BI51),""✔"",""-"")"),"-")</f>
        <v>-</v>
      </c>
      <c r="BO51" s="330" t="str">
        <f t="shared" si="27"/>
        <v>-</v>
      </c>
      <c r="BP51" s="260" t="str">
        <f t="shared" si="28"/>
        <v>-</v>
      </c>
      <c r="BQ51" s="261" t="str">
        <f>IFERROR(__xludf.DUMMYFUNCTION("IF(BT51=0,""(n/a)"",IF(BU51=2,""(PAIR)"",IF(REGEXMATCH(BJ51,""xoxoxxoxoxox""),""Bilawal"",IF(REGEXMATCH(BJ51,""xoxoxooxoxoo""),""Bhupali"",IF(REGEXMATCH(BJ51,""xoxoxxoxxoxo""),""Charukeshi"",IF(REGEXMATCH(BJ51,""xoxoooxxoxxo""),""Kameshwari"",IF(REGEXMATC"&amp;"H(BJ51,""xoxoxooxoxox""),""Shankara"",IF(REGEXMATCH(BJ51,""xxooxoxxxoox""),""Basant"",IF(REGEXMATCH(BJ51,""xoxoxxxxoxox""),""Bihag"",IF(REGEXMATCH(BJ51,""xoxxxxoxoxxx""),""Pilu"",IF(REGEXMATCH(BJ51,""xoxxoxoxxoox""),""Kirwani"",IF(REGEXMATCH(BJ51,""xoxxox"&amp;"oxoxxx""),""Mk.Malhar"",IF(REGEXMATCH(BJ51,""xxooxxoxxoox""),""Bhairav"",IF(REGEXMATCH(BJ51,""xxoxooxxxoox""),""Todi"",IF(REGEXMATCH(BJ51,""xxooxoxooxox""),""Marwa"",IF(REGEXMATCH(BJ51,""xxoooxoxxooo""),""Gunkali"",IF(REGEXMATCH(BJ51,""xoxoxxoxxoox""),""N"&amp;"at Bhairav"",IF(REGEXMATCH(BJ51,""xoxxoooxoxoo""),""Shivranjani"",IF(REGEXMATCH(BJ51,""xooxxxoxooxo""),""Jog"",IF(REGEXMATCH(BJ51,""xxooxoxoxoox""),""Hemshri"",IF(REGEXMATCH(BJ51,""xoooxooxoxxo""),""Kalavati"",IF(REGEXMATCH(BJ51,""xxoxoxxoxoox""),""Kedar"&amp;""",IF(REGEXMATCH(BJ51,""xoxxxxoxooxx""),""Gara"",IF(REGEXMATCH(BJ51,""xooxoxooxoox""),""Chandrakauns"",IF(REGEXMATCH(BJ51,""xoxxxxoxxxox""),""Mand"",IF(REGEXMATCH(BJ51,""xoxxxxoxoxox""),""Hanskinkini"",IF(REGEXMATCH(BJ51,""xxooxxoxooxo""),""Lilavati"",IF("&amp;"REGEXMATCH(BJ51,""xooxoxoooxox""),""Rajeshwari"",IF(REGEXMATCH(BJ51,""xoooxxoxoxxx""),""Khokar"",IF(REGEXMATCH(BJ51,""xxooxoxxxxox""),""Maligoura"",""-""))))))))))))))))))))))))))))))"),"-")</f>
        <v>-</v>
      </c>
      <c r="BR51" s="239">
        <f t="shared" si="29"/>
        <v>5</v>
      </c>
      <c r="BS51" s="239">
        <f>IFERROR(__xludf.DUMMYFUNCTION("COUNTUNIQUE(BW51:CG51)-1"),5.0)</f>
        <v>5</v>
      </c>
      <c r="BT51" s="239">
        <f>IFERROR(__xludf.DUMMYFUNCTION("COUNTUNIQUE(FILTER(BJ:BJ,REGEXMATCH(BJ:BJ,BI51)))-1"),1.0)</f>
        <v>1</v>
      </c>
      <c r="BU51" s="239">
        <f>IFERROR(__xludf.DUMMYFUNCTION("COUNTA(FILTER(BJ:BJ,REGEXMATCH(BJ:BJ,BI51)))"),3.0)</f>
        <v>3</v>
      </c>
      <c r="BV51" s="341">
        <f>IFERROR(__xludf.DUMMYFUNCTION("COUNTA(FILTER(BJ:BJ,REGEXMATCH(BJ:BJ,BI51)))-AU51"),2.0)</f>
        <v>2</v>
      </c>
      <c r="BW51" s="269" t="str">
        <f t="shared" si="30"/>
        <v>-</v>
      </c>
      <c r="BX51" s="269" t="str">
        <f t="shared" si="31"/>
        <v>xoxxooxoxox</v>
      </c>
      <c r="BY51" s="271" t="str">
        <f t="shared" si="32"/>
        <v>-</v>
      </c>
      <c r="BZ51" s="269" t="str">
        <f t="shared" si="33"/>
        <v>xxooxoxoxox</v>
      </c>
      <c r="CA51" s="271" t="str">
        <f t="shared" si="34"/>
        <v>xooxoxoxoxo</v>
      </c>
      <c r="CB51" s="271" t="str">
        <f t="shared" si="35"/>
        <v>-</v>
      </c>
      <c r="CC51" s="271" t="str">
        <f t="shared" si="36"/>
        <v>-</v>
      </c>
      <c r="CD51" s="271" t="str">
        <f t="shared" si="37"/>
        <v>xoxoxoxoxxo</v>
      </c>
      <c r="CE51" s="271" t="str">
        <f t="shared" si="38"/>
        <v>-</v>
      </c>
      <c r="CF51" s="271" t="str">
        <f t="shared" si="39"/>
        <v>xoxoxoxxoox</v>
      </c>
      <c r="CG51" s="274" t="str">
        <f t="shared" si="40"/>
        <v>-</v>
      </c>
      <c r="CH51" s="276" t="str">
        <f>IFERROR(__xludf.DUMMYFUNCTION("IF(BI51=""oooooooooooo"",""-"",IF(REGEXMATCH(BJ51,""xx""), ""Hemi."", ""Anhemi.""))"),"Hemi.")</f>
        <v>Hemi.</v>
      </c>
      <c r="CI51" s="282" t="str">
        <f>IFERROR(__xludf.DUMMYFUNCTION("IF(BI51=""oooooooooooo"",""-"",IF(REGEXMATCH(BJ51,""xxx""), ""Cohem."", ""-""))"),"-")</f>
        <v>-</v>
      </c>
      <c r="CJ51" s="282" t="str">
        <f>IFERROR(__xludf.DUMMYFUNCTION("IF(BI51=""oooooooooooo"",""-"",IF(REGEXMATCH(BJ51,""xxxx""), ""Co-Co."", ""-""))"),"-")</f>
        <v>-</v>
      </c>
      <c r="CK51" s="342" t="str">
        <f>IFERROR(__xludf.DUMMYFUNCTION("IF(BI51=""oooooooooooo"",""-"",IF(REGEXMATCH(BJ51,""xxxxx""), ""CCC."", ""-""))"),"-")</f>
        <v>-</v>
      </c>
      <c r="CL51" s="344" t="str">
        <f t="shared" si="41"/>
        <v>-</v>
      </c>
      <c r="CM51" s="282" t="str">
        <f>IFERROR(__xludf.DUMMYFUNCTION("IF(REGEXMATCH(JOIN(""-"",CO51:CX51),""TRUE""),""✔"",""-"")"),"-")</f>
        <v>-</v>
      </c>
      <c r="CN51" s="225">
        <f t="shared" si="42"/>
        <v>0</v>
      </c>
      <c r="CO51" s="376" t="b">
        <f>IFERROR(__xludf.DUMMYFUNCTION("arrayformula(sum(--REGEXMATCH(""SRGMPDNS"",split(REGEXREPLACE(N51,""(.)"",""$1~""),""~""))))=len(N51)
"),FALSE)</f>
        <v>0</v>
      </c>
      <c r="CP51" s="290" t="b">
        <f>IFERROR(__xludf.DUMMYFUNCTION("arrayformula(sum(--REGEXMATCH(""SRGmPDNS"",split(REGEXREPLACE(N51,""(.)"",""$1~""),""~""))))=len(N51)"),FALSE)</f>
        <v>0</v>
      </c>
      <c r="CQ51" s="290" t="b">
        <f>IFERROR(__xludf.DUMMYFUNCTION("arrayformula(sum(--REGEXMATCH(""SRGmPDnS"",split(REGEXREPLACE(N51,""(.)"",""$1~""),""~""))))=len(N51)"),FALSE)</f>
        <v>0</v>
      </c>
      <c r="CR51" s="290" t="b">
        <f>IFERROR(__xludf.DUMMYFUNCTION("arrayformula(sum(--REGEXMATCH(""SRgmPDnS"",split(REGEXREPLACE(N51,""(.)"",""$1~""),""~""))))=len(N51)"),FALSE)</f>
        <v>0</v>
      </c>
      <c r="CS51" s="290" t="b">
        <f>IFERROR(__xludf.DUMMYFUNCTION("arrayformula(sum(--REGEXMATCH(""SRgmPdnS"",split(REGEXREPLACE(N51,""(.)"",""$1~""),""~""))))=len(N51)"),FALSE)</f>
        <v>0</v>
      </c>
      <c r="CT51" s="290" t="b">
        <f>IFERROR(__xludf.DUMMYFUNCTION("arrayformula(sum(--REGEXMATCH(""SrgmPdnS"",split(REGEXREPLACE(N51,""(.)"",""$1~""),""~""))))=len(N51)"),FALSE)</f>
        <v>0</v>
      </c>
      <c r="CU51" s="290" t="b">
        <f>IFERROR(__xludf.DUMMYFUNCTION("arrayformula(sum(--REGEXMATCH(""SrGmPdNS"",split(REGEXREPLACE(N51,""(.)"",""$1~""),""~""))))=len(N51)"),FALSE)</f>
        <v>0</v>
      </c>
      <c r="CV51" s="290" t="b">
        <f>IFERROR(__xludf.DUMMYFUNCTION("arrayformula(sum(--REGEXMATCH(""SrGMPDNS"",split(REGEXREPLACE(N51,""(.)"",""$1~""),""~""))))=len(N51)"),FALSE)</f>
        <v>0</v>
      </c>
      <c r="CW51" s="290" t="b">
        <f>IFERROR(__xludf.DUMMYFUNCTION("arrayformula(sum(--REGEXMATCH(""SrGMPdNS"",split(REGEXREPLACE(N51,""(.)"",""$1~""),""~""))))=len(N51)"),FALSE)</f>
        <v>0</v>
      </c>
      <c r="CX51" s="293" t="b">
        <f>IFERROR(__xludf.DUMMYFUNCTION("arrayformula(sum(--REGEXMATCH(""SrgMPdNS"",split(REGEXREPLACE(N51,""(.)"",""$1~""),""~""))))=len(N51)"),FALSE)</f>
        <v>0</v>
      </c>
      <c r="CY51" s="244" t="str">
        <f>IFERROR(__xludf.DUMMYFUNCTION("IF(REGEXMATCH(N51, ""S""), ""1"","""")"),"1")</f>
        <v>1</v>
      </c>
      <c r="CZ51" s="245" t="str">
        <f>IFERROR(__xludf.DUMMYFUNCTION("IF(REGEXMATCH(N51, ""r""), ""b2"","""")"),"")</f>
        <v/>
      </c>
      <c r="DA51" s="246" t="str">
        <f>IFERROR(__xludf.DUMMYFUNCTION("IF(REGEXMATCH(N51, ""R""), ""2"","""")"),"2")</f>
        <v>2</v>
      </c>
      <c r="DB51" s="246" t="str">
        <f>IFERROR(__xludf.DUMMYFUNCTION("IF(REGEXMATCH(N51, ""g""), ""b3"","""")"),"")</f>
        <v/>
      </c>
      <c r="DC51" s="245" t="str">
        <f>IFERROR(__xludf.DUMMYFUNCTION("IF(REGEXMATCH(N51, ""G""), ""3"","""")"),"3")</f>
        <v>3</v>
      </c>
      <c r="DD51" s="245" t="str">
        <f>IFERROR(__xludf.DUMMYFUNCTION("IF(REGEXMATCH(N51, ""m""), ""4"","""")"),"4")</f>
        <v>4</v>
      </c>
      <c r="DE51" s="246" t="str">
        <f>IFERROR(__xludf.DUMMYFUNCTION("IF(REGEXMATCH(N51, ""M""), ""#4"","""")"),"")</f>
        <v/>
      </c>
      <c r="DF51" s="245" t="str">
        <f>IFERROR(__xludf.DUMMYFUNCTION("IF(REGEXMATCH(N51, ""P""), ""5"","""")"),"")</f>
        <v/>
      </c>
      <c r="DG51" s="246" t="str">
        <f>IFERROR(__xludf.DUMMYFUNCTION("IF(REGEXMATCH(N51, ""d""), ""b6"","""")"),"b6")</f>
        <v>b6</v>
      </c>
      <c r="DH51" s="245" t="str">
        <f>IFERROR(__xludf.DUMMYFUNCTION("IF(REGEXMATCH(N51, ""D""), ""6"","""")"),"")</f>
        <v/>
      </c>
      <c r="DI51" s="245" t="str">
        <f>IFERROR(__xludf.DUMMYFUNCTION("IF(REGEXMATCH(N51, ""n""), ""b7"","""")"),"b7")</f>
        <v>b7</v>
      </c>
      <c r="DJ51" s="246" t="str">
        <f>IFERROR(__xludf.DUMMYFUNCTION("IF(REGEXMATCH(N51, ""N""), ""7"","""")"),"")</f>
        <v/>
      </c>
      <c r="DK51" s="249" t="str">
        <f>IFERROR(__xludf.DUMMYFUNCTION("IF(REGEXMATCH(N51, ""S""), ""8"","""")"),"8")</f>
        <v>8</v>
      </c>
      <c r="DL51" s="244" t="str">
        <f>IFERROR(__xludf.DUMMYFUNCTION("IF(REGEXMATCH(N51, ""S""), ""S"","""")"),"S")</f>
        <v>S</v>
      </c>
      <c r="DM51" s="294" t="str">
        <f>IFERROR(__xludf.DUMMYFUNCTION("IF(REGEXMATCH(N51, ""r""), ""R1"","""")"),"")</f>
        <v/>
      </c>
      <c r="DN51" s="295" t="str">
        <f>IFERROR(__xludf.DUMMYFUNCTION("IF(REGEXMATCH(N51, ""R""), ""R2"","""")"),"R2")</f>
        <v>R2</v>
      </c>
      <c r="DO51" s="295" t="str">
        <f>IFERROR(__xludf.DUMMYFUNCTION("IF(REGEXMATCH(N51, ""g""), ""G2"","""")"),"")</f>
        <v/>
      </c>
      <c r="DP51" s="294" t="str">
        <f>IFERROR(__xludf.DUMMYFUNCTION("IF(REGEXMATCH(N51, ""G""), ""G3"","""")"),"G3")</f>
        <v>G3</v>
      </c>
      <c r="DQ51" s="294" t="str">
        <f>IFERROR(__xludf.DUMMYFUNCTION("IF(REGEXMATCH(N51, ""m""), ""M1"","""")"),"M1")</f>
        <v>M1</v>
      </c>
      <c r="DR51" s="295" t="str">
        <f>IFERROR(__xludf.DUMMYFUNCTION("IF(REGEXMATCH(N51, ""M""), ""M2"","""")"),"")</f>
        <v/>
      </c>
      <c r="DS51" s="294" t="str">
        <f>IFERROR(__xludf.DUMMYFUNCTION("IF(REGEXMATCH(N51, ""P""), ""P"","""")"),"")</f>
        <v/>
      </c>
      <c r="DT51" s="295" t="str">
        <f>IFERROR(__xludf.DUMMYFUNCTION("IF(REGEXMATCH(N51, ""d""), ""D1"","""")"),"D1")</f>
        <v>D1</v>
      </c>
      <c r="DU51" s="294" t="str">
        <f>IFERROR(__xludf.DUMMYFUNCTION("IF(REGEXMATCH(N51, ""D""), ""D2"","""")"),"")</f>
        <v/>
      </c>
      <c r="DV51" s="294" t="str">
        <f>IFERROR(__xludf.DUMMYFUNCTION("IF(REGEXMATCH(N51, ""n""), ""N2"","""")"),"N2")</f>
        <v>N2</v>
      </c>
      <c r="DW51" s="295" t="str">
        <f>IFERROR(__xludf.DUMMYFUNCTION("IF(REGEXMATCH(N51, ""N""), ""N3"","""")"),"")</f>
        <v/>
      </c>
      <c r="DX51" s="249" t="str">
        <f>IFERROR(__xludf.DUMMYFUNCTION("IF(REGEXMATCH(N51, ""S""), ""S"","""")"),"S")</f>
        <v>S</v>
      </c>
      <c r="DY51" s="299" t="str">
        <f>IFERROR(__xludf.DUMMYFUNCTION("SUBSTITUTE(SUBSTITUTE(SUBSTITUTE(SUBSTITUTE(CONCATENATE(JOIN(""-"",CY51:DK51)),""--"",""-""),""--"",""-""),""--"",""-""),""--"",""-"")"),"1-2-3-4-b6-b7-8")</f>
        <v>1-2-3-4-b6-b7-8</v>
      </c>
      <c r="DZ51" s="299" t="str">
        <f>IFERROR(__xludf.DUMMYFUNCTION("SUBSTITUTE(SUBSTITUTE(SUBSTITUTE(SUBSTITUTE(CONCATENATE(JOIN(""-"",DL51:DX51)),""--"",""-""),""--"",""-""),""--"",""-""),""--"",""-"")"),"S-R2-G3-M1-D1-N2-S")</f>
        <v>S-R2-G3-M1-D1-N2-S</v>
      </c>
      <c r="EA51" s="348" t="str">
        <f t="shared" si="43"/>
        <v>C-D-E-F-Ab-Bb-C</v>
      </c>
      <c r="EB51" s="301">
        <f t="shared" si="44"/>
        <v>6</v>
      </c>
      <c r="EC51" s="302" t="str">
        <f t="shared" si="45"/>
        <v>Shadav</v>
      </c>
      <c r="ED51" s="301" t="str">
        <f t="shared" ref="ED51:EE51" si="217">SUBSTITUTE(AD51,"-","")</f>
        <v>SRGM</v>
      </c>
      <c r="EE51" s="301" t="str">
        <f t="shared" si="217"/>
        <v>DNS</v>
      </c>
      <c r="EF51" s="302" t="str">
        <f t="shared" si="47"/>
        <v>-</v>
      </c>
      <c r="EG51" s="301" t="str">
        <f t="shared" si="48"/>
        <v>Hemi.</v>
      </c>
      <c r="EH51" s="364" t="str">
        <f t="shared" si="49"/>
        <v>-</v>
      </c>
      <c r="EI51" s="306" t="str">
        <f t="shared" si="50"/>
        <v>-</v>
      </c>
      <c r="EJ51" s="366" t="str">
        <f t="shared" si="51"/>
        <v>-</v>
      </c>
      <c r="EK51" s="308" t="str">
        <f t="shared" si="52"/>
        <v>✔</v>
      </c>
      <c r="EL51" s="306" t="str">
        <f t="shared" si="53"/>
        <v>-</v>
      </c>
      <c r="EM51" s="306" t="str">
        <f t="shared" si="54"/>
        <v>-</v>
      </c>
      <c r="EN51" s="367" t="str">
        <f t="shared" si="55"/>
        <v>-</v>
      </c>
      <c r="EO51" s="310" t="str">
        <f t="shared" si="56"/>
        <v>-</v>
      </c>
      <c r="EP51" s="310" t="str">
        <f t="shared" si="57"/>
        <v>-</v>
      </c>
      <c r="EQ51" s="310" t="str">
        <f t="shared" si="58"/>
        <v>-</v>
      </c>
      <c r="ER51" s="310" t="str">
        <f t="shared" si="59"/>
        <v>-</v>
      </c>
      <c r="ES51" s="370" t="str">
        <f t="shared" si="60"/>
        <v>-</v>
      </c>
      <c r="ET51" s="306" t="str">
        <f t="shared" si="61"/>
        <v>-</v>
      </c>
      <c r="EU51" s="306" t="str">
        <f t="shared" si="62"/>
        <v>-</v>
      </c>
      <c r="EV51" s="306" t="str">
        <f t="shared" si="63"/>
        <v>-</v>
      </c>
      <c r="EW51" s="306" t="str">
        <f t="shared" si="64"/>
        <v>✔</v>
      </c>
      <c r="EX51" s="306" t="str">
        <f t="shared" si="65"/>
        <v>-</v>
      </c>
      <c r="EY51" s="367" t="str">
        <f t="shared" si="66"/>
        <v>-</v>
      </c>
      <c r="EZ51" s="310" t="str">
        <f>IFERROR(__xludf.DUMMYFUNCTION("IF(REGEXMATCH(BM51,BI51),""✔"",""-"")"),"-")</f>
        <v>-</v>
      </c>
      <c r="FA51" s="310" t="str">
        <f t="shared" si="67"/>
        <v>-</v>
      </c>
      <c r="FB51" s="370" t="str">
        <f t="shared" si="68"/>
        <v>-</v>
      </c>
      <c r="FC51" s="415">
        <f t="shared" si="69"/>
        <v>1</v>
      </c>
      <c r="FD51" s="317" t="str">
        <f t="shared" si="70"/>
        <v>S-R-G-m-d-n-S</v>
      </c>
      <c r="FE51" s="318" t="str">
        <f>IFERROR(__xludf.DUMMYFUNCTION("CONCATENATE(JOIN("""",GJ51:GV51))"),"SRGPdnS")</f>
        <v>SRGPdnS</v>
      </c>
      <c r="FF51" s="318"/>
      <c r="FG51" s="318"/>
      <c r="FH51" s="321">
        <f t="shared" si="71"/>
        <v>4</v>
      </c>
      <c r="FI51" s="318" t="str">
        <f>IFERROR(__xludf.DUMMYFUNCTION("CONCATENATE(JOIN("""",HW51:II51))"),"Sa, Re, Ga, dha, ")</f>
        <v>Sa, Re, Ga, dha, </v>
      </c>
      <c r="FJ51" s="322">
        <f t="shared" si="72"/>
        <v>3</v>
      </c>
      <c r="FK51" s="324" t="str">
        <f>IFERROR(__xludf.DUMMYFUNCTION("CONCATENATE(JOIN("""",IW51:JI51))"),"Re, Ga, dha, ")</f>
        <v>Re, Ga, dha, </v>
      </c>
      <c r="FL51" s="325" t="str">
        <f t="shared" si="73"/>
        <v>S-R2-G3-M1-D1-N2-S</v>
      </c>
      <c r="FM51" s="326" t="str">
        <f t="shared" si="74"/>
        <v>1-2-3-4-b6-b7-8</v>
      </c>
      <c r="FN51" s="326" t="str">
        <f t="shared" si="75"/>
        <v>0-2-4-5-8-10-0</v>
      </c>
      <c r="FO51" s="318"/>
      <c r="FP51" s="328" t="str">
        <f>IFERROR(__xludf.DUMMYFUNCTION("SUBSTITUTE(SUBSTITUTE(SUBSTITUTE(SUBSTITUTE(CONCATENATE(JOIN("" "",FS51:GE51)),""  "","" ""),""  "","" ""),""  "","" ""),""  "","" "")"),"o • o • o o • • o • o • o")</f>
        <v>o • o • o o • • o • o • o</v>
      </c>
      <c r="FQ51" s="328" t="str">
        <f t="shared" si="76"/>
        <v>Sa-ma</v>
      </c>
      <c r="FR51" s="329"/>
      <c r="FS51" s="331" t="str">
        <f t="shared" si="77"/>
        <v>o</v>
      </c>
      <c r="FT51" s="332" t="str">
        <f t="shared" si="78"/>
        <v>•</v>
      </c>
      <c r="FU51" s="332" t="str">
        <f t="shared" si="79"/>
        <v>o</v>
      </c>
      <c r="FV51" s="332" t="str">
        <f t="shared" si="80"/>
        <v>•</v>
      </c>
      <c r="FW51" s="332" t="str">
        <f t="shared" si="81"/>
        <v>o</v>
      </c>
      <c r="FX51" s="332" t="str">
        <f t="shared" si="82"/>
        <v>o</v>
      </c>
      <c r="FY51" s="332" t="str">
        <f t="shared" si="83"/>
        <v>•</v>
      </c>
      <c r="FZ51" s="332" t="str">
        <f t="shared" si="84"/>
        <v>•</v>
      </c>
      <c r="GA51" s="332" t="str">
        <f t="shared" si="85"/>
        <v>o</v>
      </c>
      <c r="GB51" s="332" t="str">
        <f t="shared" si="86"/>
        <v>•</v>
      </c>
      <c r="GC51" s="332" t="str">
        <f t="shared" si="87"/>
        <v>o</v>
      </c>
      <c r="GD51" s="332" t="str">
        <f t="shared" si="88"/>
        <v>•</v>
      </c>
      <c r="GE51" s="338" t="str">
        <f t="shared" si="89"/>
        <v>o</v>
      </c>
      <c r="GF51" s="339" t="str">
        <f t="shared" si="90"/>
        <v>-</v>
      </c>
      <c r="GG51" s="339" t="str">
        <f t="shared" si="91"/>
        <v>-</v>
      </c>
      <c r="GH51" s="339" t="str">
        <f t="shared" si="92"/>
        <v>-</v>
      </c>
      <c r="GI51" s="340" t="str">
        <f t="shared" si="93"/>
        <v>Sa-ma</v>
      </c>
      <c r="GJ51" s="331" t="str">
        <f t="shared" si="94"/>
        <v>S</v>
      </c>
      <c r="GK51" s="332" t="str">
        <f t="shared" si="95"/>
        <v/>
      </c>
      <c r="GL51" s="332" t="str">
        <f t="shared" si="96"/>
        <v>R</v>
      </c>
      <c r="GM51" s="332" t="str">
        <f t="shared" si="97"/>
        <v/>
      </c>
      <c r="GN51" s="332" t="str">
        <f t="shared" si="98"/>
        <v>G</v>
      </c>
      <c r="GO51" s="332" t="str">
        <f t="shared" si="99"/>
        <v/>
      </c>
      <c r="GP51" s="332" t="str">
        <f t="shared" si="100"/>
        <v/>
      </c>
      <c r="GQ51" s="332" t="str">
        <f t="shared" si="101"/>
        <v>P</v>
      </c>
      <c r="GR51" s="332" t="str">
        <f t="shared" si="102"/>
        <v>d</v>
      </c>
      <c r="GS51" s="332" t="str">
        <f t="shared" si="103"/>
        <v/>
      </c>
      <c r="GT51" s="332" t="str">
        <f t="shared" si="104"/>
        <v>n</v>
      </c>
      <c r="GU51" s="332" t="str">
        <f t="shared" si="105"/>
        <v/>
      </c>
      <c r="GV51" s="343" t="str">
        <f t="shared" si="106"/>
        <v>S</v>
      </c>
      <c r="GW51" s="331" t="str">
        <f t="shared" si="107"/>
        <v>•</v>
      </c>
      <c r="GX51" s="332" t="str">
        <f t="shared" si="108"/>
        <v>o</v>
      </c>
      <c r="GY51" s="332" t="str">
        <f t="shared" si="109"/>
        <v>•</v>
      </c>
      <c r="GZ51" s="332" t="str">
        <f t="shared" si="110"/>
        <v>o</v>
      </c>
      <c r="HA51" s="332" t="str">
        <f t="shared" si="111"/>
        <v>•</v>
      </c>
      <c r="HB51" s="332" t="str">
        <f t="shared" si="112"/>
        <v>•</v>
      </c>
      <c r="HC51" s="332" t="str">
        <f t="shared" si="113"/>
        <v>o</v>
      </c>
      <c r="HD51" s="332" t="str">
        <f t="shared" si="114"/>
        <v>o</v>
      </c>
      <c r="HE51" s="332" t="str">
        <f t="shared" si="115"/>
        <v>•</v>
      </c>
      <c r="HF51" s="332" t="str">
        <f t="shared" si="116"/>
        <v>o</v>
      </c>
      <c r="HG51" s="332" t="str">
        <f t="shared" si="117"/>
        <v>•</v>
      </c>
      <c r="HH51" s="332" t="str">
        <f t="shared" si="118"/>
        <v>o</v>
      </c>
      <c r="HI51" s="338" t="str">
        <f t="shared" si="119"/>
        <v>•</v>
      </c>
      <c r="HJ51" s="346" t="b">
        <f t="shared" si="120"/>
        <v>1</v>
      </c>
      <c r="HK51" s="347" t="b">
        <f t="shared" si="121"/>
        <v>0</v>
      </c>
      <c r="HL51" s="347" t="b">
        <f t="shared" si="122"/>
        <v>1</v>
      </c>
      <c r="HM51" s="347" t="b">
        <f t="shared" si="123"/>
        <v>0</v>
      </c>
      <c r="HN51" s="347" t="b">
        <f t="shared" si="124"/>
        <v>1</v>
      </c>
      <c r="HO51" s="347" t="b">
        <f t="shared" si="125"/>
        <v>0</v>
      </c>
      <c r="HP51" s="347" t="b">
        <f t="shared" si="126"/>
        <v>0</v>
      </c>
      <c r="HQ51" s="347" t="b">
        <f t="shared" si="127"/>
        <v>0</v>
      </c>
      <c r="HR51" s="347" t="b">
        <f t="shared" si="128"/>
        <v>1</v>
      </c>
      <c r="HS51" s="347" t="b">
        <f t="shared" si="129"/>
        <v>0</v>
      </c>
      <c r="HT51" s="347" t="b">
        <f t="shared" si="130"/>
        <v>0</v>
      </c>
      <c r="HU51" s="347" t="b">
        <f t="shared" si="131"/>
        <v>0</v>
      </c>
      <c r="HV51" s="353" t="b">
        <f t="shared" si="132"/>
        <v>1</v>
      </c>
      <c r="HW51" s="354" t="str">
        <f t="shared" si="133"/>
        <v>Sa, </v>
      </c>
      <c r="HX51" s="355" t="str">
        <f t="shared" si="134"/>
        <v/>
      </c>
      <c r="HY51" s="355" t="str">
        <f t="shared" si="135"/>
        <v>Re, </v>
      </c>
      <c r="HZ51" s="355" t="str">
        <f t="shared" si="136"/>
        <v/>
      </c>
      <c r="IA51" s="355" t="str">
        <f t="shared" si="137"/>
        <v>Ga, </v>
      </c>
      <c r="IB51" s="355" t="str">
        <f t="shared" si="138"/>
        <v/>
      </c>
      <c r="IC51" s="355" t="str">
        <f t="shared" si="139"/>
        <v/>
      </c>
      <c r="ID51" s="355" t="str">
        <f t="shared" si="140"/>
        <v/>
      </c>
      <c r="IE51" s="355" t="str">
        <f t="shared" si="141"/>
        <v>dha, </v>
      </c>
      <c r="IF51" s="355" t="str">
        <f t="shared" si="142"/>
        <v/>
      </c>
      <c r="IG51" s="355" t="str">
        <f t="shared" si="143"/>
        <v/>
      </c>
      <c r="IH51" s="355" t="str">
        <f t="shared" si="144"/>
        <v/>
      </c>
      <c r="II51" s="359" t="str">
        <f t="shared" si="145"/>
        <v/>
      </c>
      <c r="IJ51" s="346" t="b">
        <f t="shared" si="146"/>
        <v>0</v>
      </c>
      <c r="IK51" s="347" t="b">
        <f t="shared" si="147"/>
        <v>0</v>
      </c>
      <c r="IL51" s="347" t="b">
        <f t="shared" si="148"/>
        <v>1</v>
      </c>
      <c r="IM51" s="347" t="b">
        <f t="shared" si="149"/>
        <v>0</v>
      </c>
      <c r="IN51" s="347" t="b">
        <f t="shared" si="150"/>
        <v>1</v>
      </c>
      <c r="IO51" s="347" t="b">
        <f t="shared" si="151"/>
        <v>0</v>
      </c>
      <c r="IP51" s="347" t="b">
        <f t="shared" si="152"/>
        <v>0</v>
      </c>
      <c r="IQ51" s="347" t="b">
        <f t="shared" si="153"/>
        <v>0</v>
      </c>
      <c r="IR51" s="347" t="b">
        <f t="shared" si="154"/>
        <v>1</v>
      </c>
      <c r="IS51" s="347" t="b">
        <f t="shared" si="155"/>
        <v>0</v>
      </c>
      <c r="IT51" s="347" t="b">
        <f t="shared" si="156"/>
        <v>0</v>
      </c>
      <c r="IU51" s="347" t="b">
        <f t="shared" si="157"/>
        <v>0</v>
      </c>
      <c r="IV51" s="365" t="b">
        <f t="shared" si="158"/>
        <v>0</v>
      </c>
      <c r="IW51" s="354" t="str">
        <f t="shared" si="159"/>
        <v/>
      </c>
      <c r="IX51" s="355" t="str">
        <f t="shared" si="160"/>
        <v/>
      </c>
      <c r="IY51" s="355" t="str">
        <f t="shared" si="161"/>
        <v>Re, </v>
      </c>
      <c r="IZ51" s="355" t="str">
        <f t="shared" si="162"/>
        <v/>
      </c>
      <c r="JA51" s="355" t="str">
        <f t="shared" si="163"/>
        <v>Ga, </v>
      </c>
      <c r="JB51" s="355" t="str">
        <f t="shared" si="164"/>
        <v/>
      </c>
      <c r="JC51" s="355" t="str">
        <f t="shared" si="165"/>
        <v/>
      </c>
      <c r="JD51" s="355" t="str">
        <f t="shared" si="166"/>
        <v/>
      </c>
      <c r="JE51" s="355" t="str">
        <f t="shared" si="167"/>
        <v>dha, </v>
      </c>
      <c r="JF51" s="355" t="str">
        <f t="shared" si="168"/>
        <v/>
      </c>
      <c r="JG51" s="355" t="str">
        <f t="shared" si="169"/>
        <v/>
      </c>
      <c r="JH51" s="355" t="str">
        <f t="shared" si="170"/>
        <v/>
      </c>
      <c r="JI51" s="359"/>
      <c r="JJ51" s="321"/>
      <c r="JK51" s="368"/>
      <c r="JL51" s="369"/>
      <c r="JM51" s="369"/>
      <c r="JN51" s="369"/>
      <c r="JO51" s="369"/>
      <c r="JP51" s="369"/>
      <c r="JQ51" s="369"/>
      <c r="JR51" s="369"/>
      <c r="JS51" s="369"/>
      <c r="JT51" s="369"/>
      <c r="JU51" s="369"/>
    </row>
    <row r="52" ht="20.25" customHeight="1">
      <c r="A52" s="221" t="s">
        <v>1331</v>
      </c>
      <c r="B52" s="223" t="s">
        <v>1332</v>
      </c>
      <c r="C52" s="222" t="s">
        <v>275</v>
      </c>
      <c r="D52" s="222"/>
      <c r="E52" s="222" t="s">
        <v>275</v>
      </c>
      <c r="F52" s="222"/>
      <c r="G52" s="395" t="s">
        <v>275</v>
      </c>
      <c r="H52" s="222">
        <v>50.0</v>
      </c>
      <c r="I52" s="224" t="s">
        <v>1219</v>
      </c>
      <c r="J52" s="225" t="str">
        <f t="shared" si="5"/>
        <v>[UQ]</v>
      </c>
      <c r="K52" s="227">
        <f t="shared" si="6"/>
        <v>6</v>
      </c>
      <c r="L52" s="229">
        <f t="shared" si="7"/>
        <v>5</v>
      </c>
      <c r="M52" s="230">
        <f t="shared" si="8"/>
        <v>1</v>
      </c>
      <c r="N52" s="233" t="str">
        <f t="shared" si="9"/>
        <v>SgmdDnS</v>
      </c>
      <c r="O52" s="234" t="str">
        <f>IFERROR(__xludf.DUMMYFUNCTION("IF(REGEXMATCH(N52, ""S""), ""S"","""")"),"S")</f>
        <v>S</v>
      </c>
      <c r="P52" s="236" t="str">
        <f>IFERROR(__xludf.DUMMYFUNCTION("IF(REGEXMATCH(N52, ""r""), ""r"","""")"),"")</f>
        <v/>
      </c>
      <c r="Q52" s="237" t="str">
        <f>IFERROR(__xludf.DUMMYFUNCTION("IF(REGEXMATCH(N52, ""R""), ""R"","""")"),"")</f>
        <v/>
      </c>
      <c r="R52" s="237" t="str">
        <f>IFERROR(__xludf.DUMMYFUNCTION("IF(REGEXMATCH(N52, ""g""), ""g"","""")"),"g")</f>
        <v>g</v>
      </c>
      <c r="S52" s="236" t="str">
        <f>IFERROR(__xludf.DUMMYFUNCTION("IF(REGEXMATCH(N52, ""G""), ""G"","""")"),"")</f>
        <v/>
      </c>
      <c r="T52" s="236" t="str">
        <f>IFERROR(__xludf.DUMMYFUNCTION("IF(REGEXMATCH(N52, ""m""), ""m"","""")"),"m")</f>
        <v>m</v>
      </c>
      <c r="U52" s="237" t="str">
        <f>IFERROR(__xludf.DUMMYFUNCTION("IF(REGEXMATCH(N52, ""M""), ""M"","""")"),"")</f>
        <v/>
      </c>
      <c r="V52" s="236" t="str">
        <f>IFERROR(__xludf.DUMMYFUNCTION("IF(REGEXMATCH(N52, ""P""), ""P"","""")"),"")</f>
        <v/>
      </c>
      <c r="W52" s="237" t="str">
        <f>IFERROR(__xludf.DUMMYFUNCTION("IF(REGEXMATCH(N52, ""d""), ""d"","""")"),"d")</f>
        <v>d</v>
      </c>
      <c r="X52" s="236" t="str">
        <f>IFERROR(__xludf.DUMMYFUNCTION("IF(REGEXMATCH(N52, ""D""), ""D"","""")"),"D")</f>
        <v>D</v>
      </c>
      <c r="Y52" s="236" t="str">
        <f>IFERROR(__xludf.DUMMYFUNCTION("IF(REGEXMATCH(N52, ""n""), ""n"","""")"),"n")</f>
        <v>n</v>
      </c>
      <c r="Z52" s="237" t="str">
        <f>IFERROR(__xludf.DUMMYFUNCTION("IF(REGEXMATCH(N52, ""N""), ""N"","""")"),"")</f>
        <v/>
      </c>
      <c r="AA52" s="238" t="str">
        <f>IFERROR(__xludf.DUMMYFUNCTION("IF(REGEXMATCH(N52, ""S""), ""S"","""")"),"S")</f>
        <v>S</v>
      </c>
      <c r="AB52" s="239" t="str">
        <f>IFERROR(__xludf.DUMMYFUNCTION("SUBSTITUTE(CONCATENATE(JOIN(""-"",O52:U52)),""-"","""")"),"Sgm")</f>
        <v>Sgm</v>
      </c>
      <c r="AC52" s="229" t="str">
        <f>IFERROR(__xludf.DUMMYFUNCTION("SUBSTITUTE(CONCATENATE(JOIN(""-"",V52:AA52)),""-"","""")"),"dDnS")</f>
        <v>dDnS</v>
      </c>
      <c r="AD52" s="282" t="str">
        <f t="shared" si="10"/>
        <v>S-G-M</v>
      </c>
      <c r="AE52" s="282" t="str">
        <f t="shared" si="11"/>
        <v>D-N-S</v>
      </c>
      <c r="AF52" s="309" t="str">
        <f t="shared" si="12"/>
        <v>gmdDn</v>
      </c>
      <c r="AG52" s="244" t="str">
        <f>IFERROR(__xludf.DUMMYFUNCTION("IF(REGEXMATCH(N52, ""S""), ""0"","""")"),"0")</f>
        <v>0</v>
      </c>
      <c r="AH52" s="245" t="str">
        <f>IFERROR(__xludf.DUMMYFUNCTION("IF(REGEXMATCH(N52, ""r""), ""1"","""")"),"")</f>
        <v/>
      </c>
      <c r="AI52" s="246" t="str">
        <f>IFERROR(__xludf.DUMMYFUNCTION("IF(REGEXMATCH(N52, ""R""), ""2"","""")"),"")</f>
        <v/>
      </c>
      <c r="AJ52" s="246" t="str">
        <f>IFERROR(__xludf.DUMMYFUNCTION("IF(REGEXMATCH(N52, ""g""), ""3"","""")"),"3")</f>
        <v>3</v>
      </c>
      <c r="AK52" s="245" t="str">
        <f>IFERROR(__xludf.DUMMYFUNCTION("IF(REGEXMATCH(N52, ""G""), ""4"","""")"),"")</f>
        <v/>
      </c>
      <c r="AL52" s="245" t="str">
        <f>IFERROR(__xludf.DUMMYFUNCTION("IF(REGEXMATCH(N52, ""m""), ""5"","""")"),"5")</f>
        <v>5</v>
      </c>
      <c r="AM52" s="246" t="str">
        <f>IFERROR(__xludf.DUMMYFUNCTION("IF(REGEXMATCH(N52, ""M""), ""6"","""")"),"")</f>
        <v/>
      </c>
      <c r="AN52" s="245" t="str">
        <f>IFERROR(__xludf.DUMMYFUNCTION("IF(REGEXMATCH(N52, ""P""), ""7"","""")"),"")</f>
        <v/>
      </c>
      <c r="AO52" s="246" t="str">
        <f>IFERROR(__xludf.DUMMYFUNCTION("IF(REGEXMATCH(N52, ""d""), ""8"","""")"),"8")</f>
        <v>8</v>
      </c>
      <c r="AP52" s="245" t="str">
        <f>IFERROR(__xludf.DUMMYFUNCTION("IF(REGEXMATCH(N52, ""D""), ""9"","""")"),"9")</f>
        <v>9</v>
      </c>
      <c r="AQ52" s="245" t="str">
        <f>IFERROR(__xludf.DUMMYFUNCTION("IF(REGEXMATCH(N52, ""n""), ""10"","""")"),"10")</f>
        <v>10</v>
      </c>
      <c r="AR52" s="246" t="str">
        <f>IFERROR(__xludf.DUMMYFUNCTION("IF(REGEXMATCH(N52, ""N""), ""11"","""")"),"")</f>
        <v/>
      </c>
      <c r="AS52" s="249" t="str">
        <f>IFERROR(__xludf.DUMMYFUNCTION("IF(REGEXMATCH(N52, ""S""), ""0"","""")"),"0")</f>
        <v>0</v>
      </c>
      <c r="AT52" s="250" t="str">
        <f>IFERROR(__xludf.DUMMYFUNCTION("SUBSTITUTE(SUBSTITUTE(SUBSTITUTE(SUBSTITUTE(CONCATENATE(JOIN(""-"",AG52:AS52)),""--"",""-""),""--"",""-""),""--"",""-""),""--"",""-"")"),"0-3-5-8-9-10-0")</f>
        <v>0-3-5-8-9-10-0</v>
      </c>
      <c r="AU52" s="251">
        <f t="shared" si="13"/>
        <v>0</v>
      </c>
      <c r="AV52" s="234" t="str">
        <f t="shared" si="14"/>
        <v>|</v>
      </c>
      <c r="AW52" s="236" t="str">
        <f t="shared" si="15"/>
        <v>-</v>
      </c>
      <c r="AX52" s="237" t="str">
        <f t="shared" si="16"/>
        <v>-</v>
      </c>
      <c r="AY52" s="236" t="str">
        <f t="shared" si="17"/>
        <v>|</v>
      </c>
      <c r="AZ52" s="237" t="str">
        <f t="shared" si="18"/>
        <v>-</v>
      </c>
      <c r="BA52" s="236" t="str">
        <f t="shared" si="19"/>
        <v>|</v>
      </c>
      <c r="BB52" s="237" t="str">
        <f t="shared" si="20"/>
        <v>-</v>
      </c>
      <c r="BC52" s="236" t="str">
        <f t="shared" si="21"/>
        <v>-</v>
      </c>
      <c r="BD52" s="237" t="str">
        <f t="shared" si="22"/>
        <v>|</v>
      </c>
      <c r="BE52" s="236" t="str">
        <f t="shared" si="23"/>
        <v>|</v>
      </c>
      <c r="BF52" s="237" t="str">
        <f t="shared" si="24"/>
        <v>|</v>
      </c>
      <c r="BG52" s="236" t="str">
        <f t="shared" si="25"/>
        <v>-</v>
      </c>
      <c r="BH52" s="238" t="str">
        <f t="shared" si="26"/>
        <v>|</v>
      </c>
      <c r="BI52" s="250" t="str">
        <f>IFERROR(__xludf.DUMMYFUNCTION("SUBSTITUTE(SUBSTITUTE(CONCATENATE(JOIN("""",AV52:BG52)),""|"",""x""),""-"",""o"")"),"xooxoxooxxxo")</f>
        <v>xooxoxooxxxo</v>
      </c>
      <c r="BJ52" s="323" t="str">
        <f>IFERROR(__xludf.DUMMYFUNCTION("JOIN("""",BI52,BI52)"),"xooxoxooxxxoxooxoxooxxxo")</f>
        <v>xooxoxooxxxoxooxoxooxxxo</v>
      </c>
      <c r="BK52" s="256" t="str">
        <f>IFERROR(__xludf.DUMMYFUNCTION("JOIN("""",ArrayFormula(MID(BI52,LEN(BI52)-SEQUENCE(1,LEN(BI52))+1,1)))"),"oxxxooxoxoox")</f>
        <v>oxxxooxoxoox</v>
      </c>
      <c r="BL52" s="256" t="str">
        <f>IFERROR(__xludf.DUMMYFUNCTION("LEFT(CONCATENATE(""x"",JOIN("""",ArrayFormula(MID(BI52,LEN(BI52)-SEQUENCE(1,LEN(BI52))+1,1)))),12)"),"xoxxxooxoxoo")</f>
        <v>xoxxxooxoxoo</v>
      </c>
      <c r="BM52" s="327" t="str">
        <f>IFERROR(__xludf.DUMMYFUNCTION("JOIN("""",BK52,BK52)"),"oxxxooxoxooxoxxxooxoxoox")</f>
        <v>oxxxooxoxooxoxxxooxoxoox</v>
      </c>
      <c r="BN52" s="239" t="str">
        <f>IFERROR(__xludf.DUMMYFUNCTION("IF(REGEXMATCH(BM52,BI52),""✔"",""-"")"),"-")</f>
        <v>-</v>
      </c>
      <c r="BO52" s="330" t="str">
        <f t="shared" si="27"/>
        <v>-</v>
      </c>
      <c r="BP52" s="260" t="str">
        <f t="shared" si="28"/>
        <v>-</v>
      </c>
      <c r="BQ52" s="261" t="str">
        <f>IFERROR(__xludf.DUMMYFUNCTION("IF(BT52=0,""(n/a)"",IF(BU52=2,""(PAIR)"",IF(REGEXMATCH(BJ52,""xoxoxxoxoxox""),""Bilawal"",IF(REGEXMATCH(BJ52,""xoxoxooxoxoo""),""Bhupali"",IF(REGEXMATCH(BJ52,""xoxoxxoxxoxo""),""Charukeshi"",IF(REGEXMATCH(BJ52,""xoxoooxxoxxo""),""Kameshwari"",IF(REGEXMATC"&amp;"H(BJ52,""xoxoxooxoxox""),""Shankara"",IF(REGEXMATCH(BJ52,""xxooxoxxxoox""),""Basant"",IF(REGEXMATCH(BJ52,""xoxoxxxxoxox""),""Bihag"",IF(REGEXMATCH(BJ52,""xoxxxxoxoxxx""),""Pilu"",IF(REGEXMATCH(BJ52,""xoxxoxoxxoox""),""Kirwani"",IF(REGEXMATCH(BJ52,""xoxxox"&amp;"oxoxxx""),""Mk.Malhar"",IF(REGEXMATCH(BJ52,""xxooxxoxxoox""),""Bhairav"",IF(REGEXMATCH(BJ52,""xxoxooxxxoox""),""Todi"",IF(REGEXMATCH(BJ52,""xxooxoxooxox""),""Marwa"",IF(REGEXMATCH(BJ52,""xxoooxoxxooo""),""Gunkali"",IF(REGEXMATCH(BJ52,""xoxoxxoxxoox""),""N"&amp;"at Bhairav"",IF(REGEXMATCH(BJ52,""xoxxoooxoxoo""),""Shivranjani"",IF(REGEXMATCH(BJ52,""xooxxxoxooxo""),""Jog"",IF(REGEXMATCH(BJ52,""xxooxoxoxoox""),""Hemshri"",IF(REGEXMATCH(BJ52,""xoooxooxoxxo""),""Kalavati"",IF(REGEXMATCH(BJ52,""xxoxoxxoxoox""),""Kedar"&amp;""",IF(REGEXMATCH(BJ52,""xoxxxxoxooxx""),""Gara"",IF(REGEXMATCH(BJ52,""xooxoxooxoox""),""Chandrakauns"",IF(REGEXMATCH(BJ52,""xoxxxxoxxxox""),""Mand"",IF(REGEXMATCH(BJ52,""xoxxxxoxoxox""),""Hanskinkini"",IF(REGEXMATCH(BJ52,""xxooxxoxooxo""),""Lilavati"",IF("&amp;"REGEXMATCH(BJ52,""xooxoxoooxox""),""Rajeshwari"",IF(REGEXMATCH(BJ52,""xoooxxoxoxxx""),""Khokar"",IF(REGEXMATCH(BJ52,""xxooxoxxxxox""),""Maligoura"",""-""))))))))))))))))))))))))))))))"),"(n/a)")</f>
        <v>(n/a)</v>
      </c>
      <c r="BR52" s="239">
        <f t="shared" si="29"/>
        <v>5</v>
      </c>
      <c r="BS52" s="239">
        <f>IFERROR(__xludf.DUMMYFUNCTION("COUNTUNIQUE(BW52:CG52)-1"),5.0)</f>
        <v>5</v>
      </c>
      <c r="BT52" s="239">
        <f>IFERROR(__xludf.DUMMYFUNCTION("COUNTUNIQUE(FILTER(BJ:BJ,REGEXMATCH(BJ:BJ,BI52)))-1"),0.0)</f>
        <v>0</v>
      </c>
      <c r="BU52" s="239">
        <f>IFERROR(__xludf.DUMMYFUNCTION("COUNTA(FILTER(BJ:BJ,REGEXMATCH(BJ:BJ,BI52)))"),1.0)</f>
        <v>1</v>
      </c>
      <c r="BV52" s="341">
        <f>IFERROR(__xludf.DUMMYFUNCTION("COUNTA(FILTER(BJ:BJ,REGEXMATCH(BJ:BJ,BI52)))-AU52"),1.0)</f>
        <v>1</v>
      </c>
      <c r="BW52" s="269" t="str">
        <f t="shared" si="30"/>
        <v>-</v>
      </c>
      <c r="BX52" s="269" t="str">
        <f t="shared" si="31"/>
        <v>-</v>
      </c>
      <c r="BY52" s="271" t="str">
        <f t="shared" si="32"/>
        <v>xoxooxxxoxo</v>
      </c>
      <c r="BZ52" s="269" t="str">
        <f t="shared" si="33"/>
        <v>-</v>
      </c>
      <c r="CA52" s="271" t="str">
        <f t="shared" si="34"/>
        <v>xooxxxoxoox</v>
      </c>
      <c r="CB52" s="271" t="str">
        <f t="shared" si="35"/>
        <v>-</v>
      </c>
      <c r="CC52" s="271" t="str">
        <f t="shared" si="36"/>
        <v>-</v>
      </c>
      <c r="CD52" s="271" t="str">
        <f t="shared" si="37"/>
        <v>xxxoxooxoxo</v>
      </c>
      <c r="CE52" s="271" t="str">
        <f t="shared" si="38"/>
        <v>xxoxooxoxoo</v>
      </c>
      <c r="CF52" s="271" t="str">
        <f t="shared" si="39"/>
        <v>xoxooxoxoox</v>
      </c>
      <c r="CG52" s="274" t="str">
        <f t="shared" si="40"/>
        <v>-</v>
      </c>
      <c r="CH52" s="276" t="str">
        <f>IFERROR(__xludf.DUMMYFUNCTION("IF(BI52=""oooooooooooo"",""-"",IF(REGEXMATCH(BJ52,""xx""), ""Hemi."", ""Anhemi.""))"),"Hemi.")</f>
        <v>Hemi.</v>
      </c>
      <c r="CI52" s="282" t="str">
        <f>IFERROR(__xludf.DUMMYFUNCTION("IF(BI52=""oooooooooooo"",""-"",IF(REGEXMATCH(BJ52,""xxx""), ""Cohem."", ""-""))"),"Cohem.")</f>
        <v>Cohem.</v>
      </c>
      <c r="CJ52" s="282" t="str">
        <f>IFERROR(__xludf.DUMMYFUNCTION("IF(BI52=""oooooooooooo"",""-"",IF(REGEXMATCH(BJ52,""xxxx""), ""Co-Co."", ""-""))"),"-")</f>
        <v>-</v>
      </c>
      <c r="CK52" s="342" t="str">
        <f>IFERROR(__xludf.DUMMYFUNCTION("IF(BI52=""oooooooooooo"",""-"",IF(REGEXMATCH(BJ52,""xxxxx""), ""CCC."", ""-""))"),"-")</f>
        <v>-</v>
      </c>
      <c r="CL52" s="344" t="str">
        <f t="shared" si="41"/>
        <v>-</v>
      </c>
      <c r="CM52" s="282" t="str">
        <f>IFERROR(__xludf.DUMMYFUNCTION("IF(REGEXMATCH(JOIN(""-"",CO52:CX52),""TRUE""),""✔"",""-"")"),"-")</f>
        <v>-</v>
      </c>
      <c r="CN52" s="225">
        <f t="shared" si="42"/>
        <v>0</v>
      </c>
      <c r="CO52" s="376" t="b">
        <f>IFERROR(__xludf.DUMMYFUNCTION("arrayformula(sum(--REGEXMATCH(""SRGMPDNS"",split(REGEXREPLACE(N52,""(.)"",""$1~""),""~""))))=len(N52)
"),FALSE)</f>
        <v>0</v>
      </c>
      <c r="CP52" s="290" t="b">
        <f>IFERROR(__xludf.DUMMYFUNCTION("arrayformula(sum(--REGEXMATCH(""SRGmPDNS"",split(REGEXREPLACE(N52,""(.)"",""$1~""),""~""))))=len(N52)"),FALSE)</f>
        <v>0</v>
      </c>
      <c r="CQ52" s="290" t="b">
        <f>IFERROR(__xludf.DUMMYFUNCTION("arrayformula(sum(--REGEXMATCH(""SRGmPDnS"",split(REGEXREPLACE(N52,""(.)"",""$1~""),""~""))))=len(N52)"),FALSE)</f>
        <v>0</v>
      </c>
      <c r="CR52" s="290" t="b">
        <f>IFERROR(__xludf.DUMMYFUNCTION("arrayformula(sum(--REGEXMATCH(""SRgmPDnS"",split(REGEXREPLACE(N52,""(.)"",""$1~""),""~""))))=len(N52)"),FALSE)</f>
        <v>0</v>
      </c>
      <c r="CS52" s="290" t="b">
        <f>IFERROR(__xludf.DUMMYFUNCTION("arrayformula(sum(--REGEXMATCH(""SRgmPdnS"",split(REGEXREPLACE(N52,""(.)"",""$1~""),""~""))))=len(N52)"),FALSE)</f>
        <v>0</v>
      </c>
      <c r="CT52" s="290" t="b">
        <f>IFERROR(__xludf.DUMMYFUNCTION("arrayformula(sum(--REGEXMATCH(""SrgmPdnS"",split(REGEXREPLACE(N52,""(.)"",""$1~""),""~""))))=len(N52)"),FALSE)</f>
        <v>0</v>
      </c>
      <c r="CU52" s="290" t="b">
        <f>IFERROR(__xludf.DUMMYFUNCTION("arrayformula(sum(--REGEXMATCH(""SrGmPdNS"",split(REGEXREPLACE(N52,""(.)"",""$1~""),""~""))))=len(N52)"),FALSE)</f>
        <v>0</v>
      </c>
      <c r="CV52" s="290" t="b">
        <f>IFERROR(__xludf.DUMMYFUNCTION("arrayformula(sum(--REGEXMATCH(""SrGMPDNS"",split(REGEXREPLACE(N52,""(.)"",""$1~""),""~""))))=len(N52)"),FALSE)</f>
        <v>0</v>
      </c>
      <c r="CW52" s="290" t="b">
        <f>IFERROR(__xludf.DUMMYFUNCTION("arrayformula(sum(--REGEXMATCH(""SrGMPdNS"",split(REGEXREPLACE(N52,""(.)"",""$1~""),""~""))))=len(N52)"),FALSE)</f>
        <v>0</v>
      </c>
      <c r="CX52" s="293" t="b">
        <f>IFERROR(__xludf.DUMMYFUNCTION("arrayformula(sum(--REGEXMATCH(""SrgMPdNS"",split(REGEXREPLACE(N52,""(.)"",""$1~""),""~""))))=len(N52)"),FALSE)</f>
        <v>0</v>
      </c>
      <c r="CY52" s="244" t="str">
        <f>IFERROR(__xludf.DUMMYFUNCTION("IF(REGEXMATCH(N52, ""S""), ""1"","""")"),"1")</f>
        <v>1</v>
      </c>
      <c r="CZ52" s="245" t="str">
        <f>IFERROR(__xludf.DUMMYFUNCTION("IF(REGEXMATCH(N52, ""r""), ""b2"","""")"),"")</f>
        <v/>
      </c>
      <c r="DA52" s="246" t="str">
        <f>IFERROR(__xludf.DUMMYFUNCTION("IF(REGEXMATCH(N52, ""R""), ""2"","""")"),"")</f>
        <v/>
      </c>
      <c r="DB52" s="246" t="str">
        <f>IFERROR(__xludf.DUMMYFUNCTION("IF(REGEXMATCH(N52, ""g""), ""b3"","""")"),"b3")</f>
        <v>b3</v>
      </c>
      <c r="DC52" s="245" t="str">
        <f>IFERROR(__xludf.DUMMYFUNCTION("IF(REGEXMATCH(N52, ""G""), ""3"","""")"),"")</f>
        <v/>
      </c>
      <c r="DD52" s="245" t="str">
        <f>IFERROR(__xludf.DUMMYFUNCTION("IF(REGEXMATCH(N52, ""m""), ""4"","""")"),"4")</f>
        <v>4</v>
      </c>
      <c r="DE52" s="246" t="str">
        <f>IFERROR(__xludf.DUMMYFUNCTION("IF(REGEXMATCH(N52, ""M""), ""#4"","""")"),"")</f>
        <v/>
      </c>
      <c r="DF52" s="245" t="str">
        <f>IFERROR(__xludf.DUMMYFUNCTION("IF(REGEXMATCH(N52, ""P""), ""5"","""")"),"")</f>
        <v/>
      </c>
      <c r="DG52" s="246" t="str">
        <f>IFERROR(__xludf.DUMMYFUNCTION("IF(REGEXMATCH(N52, ""d""), ""b6"","""")"),"b6")</f>
        <v>b6</v>
      </c>
      <c r="DH52" s="245" t="str">
        <f>IFERROR(__xludf.DUMMYFUNCTION("IF(REGEXMATCH(N52, ""D""), ""6"","""")"),"6")</f>
        <v>6</v>
      </c>
      <c r="DI52" s="245" t="str">
        <f>IFERROR(__xludf.DUMMYFUNCTION("IF(REGEXMATCH(N52, ""n""), ""b7"","""")"),"b7")</f>
        <v>b7</v>
      </c>
      <c r="DJ52" s="246" t="str">
        <f>IFERROR(__xludf.DUMMYFUNCTION("IF(REGEXMATCH(N52, ""N""), ""7"","""")"),"")</f>
        <v/>
      </c>
      <c r="DK52" s="249" t="str">
        <f>IFERROR(__xludf.DUMMYFUNCTION("IF(REGEXMATCH(N52, ""S""), ""8"","""")"),"8")</f>
        <v>8</v>
      </c>
      <c r="DL52" s="244" t="str">
        <f>IFERROR(__xludf.DUMMYFUNCTION("IF(REGEXMATCH(N52, ""S""), ""S"","""")"),"S")</f>
        <v>S</v>
      </c>
      <c r="DM52" s="294" t="str">
        <f>IFERROR(__xludf.DUMMYFUNCTION("IF(REGEXMATCH(N52, ""r""), ""R1"","""")"),"")</f>
        <v/>
      </c>
      <c r="DN52" s="295" t="str">
        <f>IFERROR(__xludf.DUMMYFUNCTION("IF(REGEXMATCH(N52, ""R""), ""R2"","""")"),"")</f>
        <v/>
      </c>
      <c r="DO52" s="295" t="str">
        <f>IFERROR(__xludf.DUMMYFUNCTION("IF(REGEXMATCH(N52, ""g""), ""G2"","""")"),"G2")</f>
        <v>G2</v>
      </c>
      <c r="DP52" s="294" t="str">
        <f>IFERROR(__xludf.DUMMYFUNCTION("IF(REGEXMATCH(N52, ""G""), ""G3"","""")"),"")</f>
        <v/>
      </c>
      <c r="DQ52" s="294" t="str">
        <f>IFERROR(__xludf.DUMMYFUNCTION("IF(REGEXMATCH(N52, ""m""), ""M1"","""")"),"M1")</f>
        <v>M1</v>
      </c>
      <c r="DR52" s="295" t="str">
        <f>IFERROR(__xludf.DUMMYFUNCTION("IF(REGEXMATCH(N52, ""M""), ""M2"","""")"),"")</f>
        <v/>
      </c>
      <c r="DS52" s="294" t="str">
        <f>IFERROR(__xludf.DUMMYFUNCTION("IF(REGEXMATCH(N52, ""P""), ""P"","""")"),"")</f>
        <v/>
      </c>
      <c r="DT52" s="295" t="str">
        <f>IFERROR(__xludf.DUMMYFUNCTION("IF(REGEXMATCH(N52, ""d""), ""D1"","""")"),"D1")</f>
        <v>D1</v>
      </c>
      <c r="DU52" s="294" t="str">
        <f>IFERROR(__xludf.DUMMYFUNCTION("IF(REGEXMATCH(N52, ""D""), ""D2"","""")"),"D2")</f>
        <v>D2</v>
      </c>
      <c r="DV52" s="294" t="str">
        <f>IFERROR(__xludf.DUMMYFUNCTION("IF(REGEXMATCH(N52, ""n""), ""N2"","""")"),"N2")</f>
        <v>N2</v>
      </c>
      <c r="DW52" s="295" t="str">
        <f>IFERROR(__xludf.DUMMYFUNCTION("IF(REGEXMATCH(N52, ""N""), ""N3"","""")"),"")</f>
        <v/>
      </c>
      <c r="DX52" s="249" t="str">
        <f>IFERROR(__xludf.DUMMYFUNCTION("IF(REGEXMATCH(N52, ""S""), ""S"","""")"),"S")</f>
        <v>S</v>
      </c>
      <c r="DY52" s="299" t="str">
        <f>IFERROR(__xludf.DUMMYFUNCTION("SUBSTITUTE(SUBSTITUTE(SUBSTITUTE(SUBSTITUTE(CONCATENATE(JOIN(""-"",CY52:DK52)),""--"",""-""),""--"",""-""),""--"",""-""),""--"",""-"")"),"1-b3-4-b6-6-b7-8")</f>
        <v>1-b3-4-b6-6-b7-8</v>
      </c>
      <c r="DZ52" s="299" t="str">
        <f>IFERROR(__xludf.DUMMYFUNCTION("SUBSTITUTE(SUBSTITUTE(SUBSTITUTE(SUBSTITUTE(CONCATENATE(JOIN(""-"",DL52:DX52)),""--"",""-""),""--"",""-""),""--"",""-""),""--"",""-"")"),"S-G2-M1-D1-D2-N2-S")</f>
        <v>S-G2-M1-D1-D2-N2-S</v>
      </c>
      <c r="EA52" s="348" t="str">
        <f t="shared" si="43"/>
        <v>C-Eb-F-Ab-A-Bb-C</v>
      </c>
      <c r="EB52" s="301">
        <f t="shared" si="44"/>
        <v>6</v>
      </c>
      <c r="EC52" s="302" t="str">
        <f t="shared" si="45"/>
        <v>Audav</v>
      </c>
      <c r="ED52" s="301" t="str">
        <f t="shared" ref="ED52:EE52" si="218">SUBSTITUTE(AD52,"-","")</f>
        <v>SGM</v>
      </c>
      <c r="EE52" s="301" t="str">
        <f t="shared" si="218"/>
        <v>DNS</v>
      </c>
      <c r="EF52" s="302" t="str">
        <f t="shared" si="47"/>
        <v>(n/a)</v>
      </c>
      <c r="EG52" s="301" t="str">
        <f t="shared" si="48"/>
        <v>Hemi.</v>
      </c>
      <c r="EH52" s="364" t="str">
        <f t="shared" si="49"/>
        <v>Cohem.</v>
      </c>
      <c r="EI52" s="306" t="str">
        <f t="shared" si="50"/>
        <v>-</v>
      </c>
      <c r="EJ52" s="366" t="str">
        <f t="shared" si="51"/>
        <v>-</v>
      </c>
      <c r="EK52" s="308" t="str">
        <f t="shared" si="52"/>
        <v>✔</v>
      </c>
      <c r="EL52" s="306" t="str">
        <f t="shared" si="53"/>
        <v>-</v>
      </c>
      <c r="EM52" s="306" t="str">
        <f t="shared" si="54"/>
        <v>-</v>
      </c>
      <c r="EN52" s="367" t="str">
        <f t="shared" si="55"/>
        <v>-</v>
      </c>
      <c r="EO52" s="310" t="str">
        <f t="shared" si="56"/>
        <v>-</v>
      </c>
      <c r="EP52" s="310" t="str">
        <f t="shared" si="57"/>
        <v>-</v>
      </c>
      <c r="EQ52" s="310" t="str">
        <f t="shared" si="58"/>
        <v>-</v>
      </c>
      <c r="ER52" s="310" t="str">
        <f t="shared" si="59"/>
        <v>✔</v>
      </c>
      <c r="ES52" s="370" t="str">
        <f t="shared" si="60"/>
        <v>-</v>
      </c>
      <c r="ET52" s="306" t="str">
        <f t="shared" si="61"/>
        <v>✔</v>
      </c>
      <c r="EU52" s="306" t="str">
        <f t="shared" si="62"/>
        <v>-</v>
      </c>
      <c r="EV52" s="306" t="str">
        <f t="shared" si="63"/>
        <v>-</v>
      </c>
      <c r="EW52" s="306" t="str">
        <f t="shared" si="64"/>
        <v>✔</v>
      </c>
      <c r="EX52" s="306" t="str">
        <f t="shared" si="65"/>
        <v>-</v>
      </c>
      <c r="EY52" s="367" t="str">
        <f t="shared" si="66"/>
        <v>-</v>
      </c>
      <c r="EZ52" s="310" t="str">
        <f>IFERROR(__xludf.DUMMYFUNCTION("IF(REGEXMATCH(BM52,BI52),""✔"",""-"")"),"-")</f>
        <v>-</v>
      </c>
      <c r="FA52" s="310" t="str">
        <f t="shared" si="67"/>
        <v>-</v>
      </c>
      <c r="FB52" s="370" t="str">
        <f t="shared" si="68"/>
        <v>-</v>
      </c>
      <c r="FC52" s="315" t="str">
        <f t="shared" si="69"/>
        <v>[UQ]</v>
      </c>
      <c r="FD52" s="317" t="str">
        <f t="shared" si="70"/>
        <v>S-g-m-dD-n-S</v>
      </c>
      <c r="FE52" s="318" t="str">
        <f>IFERROR(__xludf.DUMMYFUNCTION("CONCATENATE(JOIN("""",GJ52:GV52))"),"SRgGPDS")</f>
        <v>SRgGPDS</v>
      </c>
      <c r="FF52" s="318"/>
      <c r="FG52" s="318"/>
      <c r="FH52" s="321">
        <f t="shared" si="71"/>
        <v>2</v>
      </c>
      <c r="FI52" s="318" t="str">
        <f>IFERROR(__xludf.DUMMYFUNCTION("CONCATENATE(JOIN("""",HW52:II52))"),"Sa, Dha, ")</f>
        <v>Sa, Dha, </v>
      </c>
      <c r="FJ52" s="322">
        <f t="shared" si="72"/>
        <v>1</v>
      </c>
      <c r="FK52" s="324" t="str">
        <f>IFERROR(__xludf.DUMMYFUNCTION("CONCATENATE(JOIN("""",IW52:JI52))"),"Dha, ")</f>
        <v>Dha, </v>
      </c>
      <c r="FL52" s="325" t="str">
        <f t="shared" si="73"/>
        <v>S-G2-M1-D1-D2-N2-S</v>
      </c>
      <c r="FM52" s="326" t="str">
        <f t="shared" si="74"/>
        <v>1-b3-4-b6-6-b7-8</v>
      </c>
      <c r="FN52" s="326" t="str">
        <f t="shared" si="75"/>
        <v>0-3-5-8-9-10-0</v>
      </c>
      <c r="FO52" s="318"/>
      <c r="FP52" s="328" t="str">
        <f>IFERROR(__xludf.DUMMYFUNCTION("SUBSTITUTE(SUBSTITUTE(SUBSTITUTE(SUBSTITUTE(CONCATENATE(JOIN("" "",FS52:GE52)),""  "","" ""),""  "","" ""),""  "","" ""),""  "","" "")"),"o • • o • o • • o o o • o")</f>
        <v>o • • o • o • • o o o • o</v>
      </c>
      <c r="FQ52" s="328" t="str">
        <f t="shared" si="76"/>
        <v>Sa-ma</v>
      </c>
      <c r="FR52" s="329"/>
      <c r="FS52" s="331" t="str">
        <f t="shared" si="77"/>
        <v>o</v>
      </c>
      <c r="FT52" s="332" t="str">
        <f t="shared" si="78"/>
        <v>•</v>
      </c>
      <c r="FU52" s="332" t="str">
        <f t="shared" si="79"/>
        <v>•</v>
      </c>
      <c r="FV52" s="332" t="str">
        <f t="shared" si="80"/>
        <v>o</v>
      </c>
      <c r="FW52" s="332" t="str">
        <f t="shared" si="81"/>
        <v>•</v>
      </c>
      <c r="FX52" s="332" t="str">
        <f t="shared" si="82"/>
        <v>o</v>
      </c>
      <c r="FY52" s="332" t="str">
        <f t="shared" si="83"/>
        <v>•</v>
      </c>
      <c r="FZ52" s="332" t="str">
        <f t="shared" si="84"/>
        <v>•</v>
      </c>
      <c r="GA52" s="332" t="str">
        <f t="shared" si="85"/>
        <v>o</v>
      </c>
      <c r="GB52" s="332" t="str">
        <f t="shared" si="86"/>
        <v>o</v>
      </c>
      <c r="GC52" s="332" t="str">
        <f t="shared" si="87"/>
        <v>o</v>
      </c>
      <c r="GD52" s="332" t="str">
        <f t="shared" si="88"/>
        <v>•</v>
      </c>
      <c r="GE52" s="338" t="str">
        <f t="shared" si="89"/>
        <v>o</v>
      </c>
      <c r="GF52" s="339" t="str">
        <f t="shared" si="90"/>
        <v>-</v>
      </c>
      <c r="GG52" s="339" t="str">
        <f t="shared" si="91"/>
        <v>-</v>
      </c>
      <c r="GH52" s="339" t="str">
        <f t="shared" si="92"/>
        <v>-</v>
      </c>
      <c r="GI52" s="340" t="str">
        <f t="shared" si="93"/>
        <v>Sa-ma</v>
      </c>
      <c r="GJ52" s="331" t="str">
        <f t="shared" si="94"/>
        <v>S</v>
      </c>
      <c r="GK52" s="332" t="str">
        <f t="shared" si="95"/>
        <v/>
      </c>
      <c r="GL52" s="332" t="str">
        <f t="shared" si="96"/>
        <v>R</v>
      </c>
      <c r="GM52" s="332" t="str">
        <f t="shared" si="97"/>
        <v>g</v>
      </c>
      <c r="GN52" s="332" t="str">
        <f t="shared" si="98"/>
        <v>G</v>
      </c>
      <c r="GO52" s="332" t="str">
        <f t="shared" si="99"/>
        <v/>
      </c>
      <c r="GP52" s="332" t="str">
        <f t="shared" si="100"/>
        <v/>
      </c>
      <c r="GQ52" s="332" t="str">
        <f t="shared" si="101"/>
        <v>P</v>
      </c>
      <c r="GR52" s="332" t="str">
        <f t="shared" si="102"/>
        <v/>
      </c>
      <c r="GS52" s="332" t="str">
        <f t="shared" si="103"/>
        <v>D</v>
      </c>
      <c r="GT52" s="332" t="str">
        <f t="shared" si="104"/>
        <v/>
      </c>
      <c r="GU52" s="332" t="str">
        <f t="shared" si="105"/>
        <v/>
      </c>
      <c r="GV52" s="343" t="str">
        <f t="shared" si="106"/>
        <v>S</v>
      </c>
      <c r="GW52" s="331" t="str">
        <f t="shared" si="107"/>
        <v>•</v>
      </c>
      <c r="GX52" s="332" t="str">
        <f t="shared" si="108"/>
        <v>o</v>
      </c>
      <c r="GY52" s="332" t="str">
        <f t="shared" si="109"/>
        <v>o</v>
      </c>
      <c r="GZ52" s="332" t="str">
        <f t="shared" si="110"/>
        <v>•</v>
      </c>
      <c r="HA52" s="332" t="str">
        <f t="shared" si="111"/>
        <v>o</v>
      </c>
      <c r="HB52" s="332" t="str">
        <f t="shared" si="112"/>
        <v>•</v>
      </c>
      <c r="HC52" s="332" t="str">
        <f t="shared" si="113"/>
        <v>o</v>
      </c>
      <c r="HD52" s="332" t="str">
        <f t="shared" si="114"/>
        <v>o</v>
      </c>
      <c r="HE52" s="332" t="str">
        <f t="shared" si="115"/>
        <v>•</v>
      </c>
      <c r="HF52" s="332" t="str">
        <f t="shared" si="116"/>
        <v>•</v>
      </c>
      <c r="HG52" s="332" t="str">
        <f t="shared" si="117"/>
        <v>•</v>
      </c>
      <c r="HH52" s="332" t="str">
        <f t="shared" si="118"/>
        <v>o</v>
      </c>
      <c r="HI52" s="338" t="str">
        <f t="shared" si="119"/>
        <v>•</v>
      </c>
      <c r="HJ52" s="346" t="b">
        <f t="shared" si="120"/>
        <v>1</v>
      </c>
      <c r="HK52" s="347" t="b">
        <f t="shared" si="121"/>
        <v>0</v>
      </c>
      <c r="HL52" s="347" t="b">
        <f t="shared" si="122"/>
        <v>0</v>
      </c>
      <c r="HM52" s="347" t="b">
        <f t="shared" si="123"/>
        <v>0</v>
      </c>
      <c r="HN52" s="347" t="b">
        <f t="shared" si="124"/>
        <v>0</v>
      </c>
      <c r="HO52" s="347" t="b">
        <f t="shared" si="125"/>
        <v>0</v>
      </c>
      <c r="HP52" s="347" t="b">
        <f t="shared" si="126"/>
        <v>0</v>
      </c>
      <c r="HQ52" s="347" t="b">
        <f t="shared" si="127"/>
        <v>0</v>
      </c>
      <c r="HR52" s="347" t="b">
        <f t="shared" si="128"/>
        <v>0</v>
      </c>
      <c r="HS52" s="347" t="b">
        <f t="shared" si="129"/>
        <v>1</v>
      </c>
      <c r="HT52" s="347" t="b">
        <f t="shared" si="130"/>
        <v>0</v>
      </c>
      <c r="HU52" s="347" t="b">
        <f t="shared" si="131"/>
        <v>0</v>
      </c>
      <c r="HV52" s="353" t="b">
        <f t="shared" si="132"/>
        <v>1</v>
      </c>
      <c r="HW52" s="354" t="str">
        <f t="shared" si="133"/>
        <v>Sa, </v>
      </c>
      <c r="HX52" s="355" t="str">
        <f t="shared" si="134"/>
        <v/>
      </c>
      <c r="HY52" s="355" t="str">
        <f t="shared" si="135"/>
        <v/>
      </c>
      <c r="HZ52" s="355" t="str">
        <f t="shared" si="136"/>
        <v/>
      </c>
      <c r="IA52" s="355" t="str">
        <f t="shared" si="137"/>
        <v/>
      </c>
      <c r="IB52" s="355" t="str">
        <f t="shared" si="138"/>
        <v/>
      </c>
      <c r="IC52" s="355" t="str">
        <f t="shared" si="139"/>
        <v/>
      </c>
      <c r="ID52" s="355" t="str">
        <f t="shared" si="140"/>
        <v/>
      </c>
      <c r="IE52" s="355" t="str">
        <f t="shared" si="141"/>
        <v/>
      </c>
      <c r="IF52" s="355" t="str">
        <f t="shared" si="142"/>
        <v>Dha, </v>
      </c>
      <c r="IG52" s="355" t="str">
        <f t="shared" si="143"/>
        <v/>
      </c>
      <c r="IH52" s="355" t="str">
        <f t="shared" si="144"/>
        <v/>
      </c>
      <c r="II52" s="359" t="str">
        <f t="shared" si="145"/>
        <v/>
      </c>
      <c r="IJ52" s="346" t="b">
        <f t="shared" si="146"/>
        <v>0</v>
      </c>
      <c r="IK52" s="347" t="b">
        <f t="shared" si="147"/>
        <v>0</v>
      </c>
      <c r="IL52" s="347" t="b">
        <f t="shared" si="148"/>
        <v>0</v>
      </c>
      <c r="IM52" s="347" t="b">
        <f t="shared" si="149"/>
        <v>0</v>
      </c>
      <c r="IN52" s="347" t="b">
        <f t="shared" si="150"/>
        <v>0</v>
      </c>
      <c r="IO52" s="347" t="b">
        <f t="shared" si="151"/>
        <v>0</v>
      </c>
      <c r="IP52" s="347" t="b">
        <f t="shared" si="152"/>
        <v>0</v>
      </c>
      <c r="IQ52" s="347" t="b">
        <f t="shared" si="153"/>
        <v>0</v>
      </c>
      <c r="IR52" s="347" t="b">
        <f t="shared" si="154"/>
        <v>0</v>
      </c>
      <c r="IS52" s="347" t="b">
        <f t="shared" si="155"/>
        <v>1</v>
      </c>
      <c r="IT52" s="347" t="b">
        <f t="shared" si="156"/>
        <v>0</v>
      </c>
      <c r="IU52" s="347" t="b">
        <f t="shared" si="157"/>
        <v>0</v>
      </c>
      <c r="IV52" s="365" t="b">
        <f t="shared" si="158"/>
        <v>0</v>
      </c>
      <c r="IW52" s="354" t="str">
        <f t="shared" si="159"/>
        <v/>
      </c>
      <c r="IX52" s="355" t="str">
        <f t="shared" si="160"/>
        <v/>
      </c>
      <c r="IY52" s="355" t="str">
        <f t="shared" si="161"/>
        <v/>
      </c>
      <c r="IZ52" s="355" t="str">
        <f t="shared" si="162"/>
        <v/>
      </c>
      <c r="JA52" s="355" t="str">
        <f t="shared" si="163"/>
        <v/>
      </c>
      <c r="JB52" s="355" t="str">
        <f t="shared" si="164"/>
        <v/>
      </c>
      <c r="JC52" s="355" t="str">
        <f t="shared" si="165"/>
        <v/>
      </c>
      <c r="JD52" s="355" t="str">
        <f t="shared" si="166"/>
        <v/>
      </c>
      <c r="JE52" s="355" t="str">
        <f t="shared" si="167"/>
        <v/>
      </c>
      <c r="JF52" s="355" t="str">
        <f t="shared" si="168"/>
        <v>Dha, </v>
      </c>
      <c r="JG52" s="355" t="str">
        <f t="shared" si="169"/>
        <v/>
      </c>
      <c r="JH52" s="355" t="str">
        <f t="shared" si="170"/>
        <v/>
      </c>
      <c r="JI52" s="359"/>
      <c r="JJ52" s="321"/>
      <c r="JK52" s="368"/>
      <c r="JL52" s="369"/>
      <c r="JM52" s="369"/>
      <c r="JN52" s="369"/>
      <c r="JO52" s="369"/>
      <c r="JP52" s="369"/>
      <c r="JQ52" s="369"/>
      <c r="JR52" s="369"/>
      <c r="JS52" s="369"/>
      <c r="JT52" s="369"/>
      <c r="JU52" s="369"/>
    </row>
    <row r="53" ht="20.25" customHeight="1">
      <c r="A53" s="221" t="s">
        <v>1333</v>
      </c>
      <c r="B53" s="223" t="s">
        <v>1258</v>
      </c>
      <c r="C53" s="222" t="s">
        <v>275</v>
      </c>
      <c r="D53" s="222"/>
      <c r="E53" s="222"/>
      <c r="F53" s="222" t="s">
        <v>275</v>
      </c>
      <c r="G53" s="395" t="s">
        <v>275</v>
      </c>
      <c r="H53" s="222">
        <v>51.0</v>
      </c>
      <c r="I53" s="224" t="s">
        <v>1219</v>
      </c>
      <c r="J53" s="414">
        <f t="shared" si="5"/>
        <v>2</v>
      </c>
      <c r="K53" s="227">
        <f t="shared" si="6"/>
        <v>6</v>
      </c>
      <c r="L53" s="229">
        <f t="shared" si="7"/>
        <v>6</v>
      </c>
      <c r="M53" s="230">
        <f t="shared" si="8"/>
        <v>0</v>
      </c>
      <c r="N53" s="233" t="str">
        <f t="shared" si="9"/>
        <v>SRgmdNS</v>
      </c>
      <c r="O53" s="234" t="str">
        <f>IFERROR(__xludf.DUMMYFUNCTION("IF(REGEXMATCH(N53, ""S""), ""S"","""")"),"S")</f>
        <v>S</v>
      </c>
      <c r="P53" s="236" t="str">
        <f>IFERROR(__xludf.DUMMYFUNCTION("IF(REGEXMATCH(N53, ""r""), ""r"","""")"),"")</f>
        <v/>
      </c>
      <c r="Q53" s="237" t="str">
        <f>IFERROR(__xludf.DUMMYFUNCTION("IF(REGEXMATCH(N53, ""R""), ""R"","""")"),"R")</f>
        <v>R</v>
      </c>
      <c r="R53" s="237" t="str">
        <f>IFERROR(__xludf.DUMMYFUNCTION("IF(REGEXMATCH(N53, ""g""), ""g"","""")"),"g")</f>
        <v>g</v>
      </c>
      <c r="S53" s="236" t="str">
        <f>IFERROR(__xludf.DUMMYFUNCTION("IF(REGEXMATCH(N53, ""G""), ""G"","""")"),"")</f>
        <v/>
      </c>
      <c r="T53" s="236" t="str">
        <f>IFERROR(__xludf.DUMMYFUNCTION("IF(REGEXMATCH(N53, ""m""), ""m"","""")"),"m")</f>
        <v>m</v>
      </c>
      <c r="U53" s="237" t="str">
        <f>IFERROR(__xludf.DUMMYFUNCTION("IF(REGEXMATCH(N53, ""M""), ""M"","""")"),"")</f>
        <v/>
      </c>
      <c r="V53" s="236" t="str">
        <f>IFERROR(__xludf.DUMMYFUNCTION("IF(REGEXMATCH(N53, ""P""), ""P"","""")"),"")</f>
        <v/>
      </c>
      <c r="W53" s="237" t="str">
        <f>IFERROR(__xludf.DUMMYFUNCTION("IF(REGEXMATCH(N53, ""d""), ""d"","""")"),"d")</f>
        <v>d</v>
      </c>
      <c r="X53" s="236" t="str">
        <f>IFERROR(__xludf.DUMMYFUNCTION("IF(REGEXMATCH(N53, ""D""), ""D"","""")"),"")</f>
        <v/>
      </c>
      <c r="Y53" s="236" t="str">
        <f>IFERROR(__xludf.DUMMYFUNCTION("IF(REGEXMATCH(N53, ""n""), ""n"","""")"),"")</f>
        <v/>
      </c>
      <c r="Z53" s="237" t="str">
        <f>IFERROR(__xludf.DUMMYFUNCTION("IF(REGEXMATCH(N53, ""N""), ""N"","""")"),"N")</f>
        <v>N</v>
      </c>
      <c r="AA53" s="238" t="str">
        <f>IFERROR(__xludf.DUMMYFUNCTION("IF(REGEXMATCH(N53, ""S""), ""S"","""")"),"S")</f>
        <v>S</v>
      </c>
      <c r="AB53" s="239" t="str">
        <f>IFERROR(__xludf.DUMMYFUNCTION("SUBSTITUTE(CONCATENATE(JOIN(""-"",O53:U53)),""-"","""")"),"SRgm")</f>
        <v>SRgm</v>
      </c>
      <c r="AC53" s="229" t="str">
        <f>IFERROR(__xludf.DUMMYFUNCTION("SUBSTITUTE(CONCATENATE(JOIN(""-"",V53:AA53)),""-"","""")"),"dNS")</f>
        <v>dNS</v>
      </c>
      <c r="AD53" s="282" t="str">
        <f t="shared" si="10"/>
        <v>S-R-G-M</v>
      </c>
      <c r="AE53" s="282" t="str">
        <f t="shared" si="11"/>
        <v>D-N-S</v>
      </c>
      <c r="AF53" s="309" t="str">
        <f t="shared" si="12"/>
        <v>RgmdN</v>
      </c>
      <c r="AG53" s="244" t="str">
        <f>IFERROR(__xludf.DUMMYFUNCTION("IF(REGEXMATCH(N53, ""S""), ""0"","""")"),"0")</f>
        <v>0</v>
      </c>
      <c r="AH53" s="245" t="str">
        <f>IFERROR(__xludf.DUMMYFUNCTION("IF(REGEXMATCH(N53, ""r""), ""1"","""")"),"")</f>
        <v/>
      </c>
      <c r="AI53" s="246" t="str">
        <f>IFERROR(__xludf.DUMMYFUNCTION("IF(REGEXMATCH(N53, ""R""), ""2"","""")"),"2")</f>
        <v>2</v>
      </c>
      <c r="AJ53" s="246" t="str">
        <f>IFERROR(__xludf.DUMMYFUNCTION("IF(REGEXMATCH(N53, ""g""), ""3"","""")"),"3")</f>
        <v>3</v>
      </c>
      <c r="AK53" s="245" t="str">
        <f>IFERROR(__xludf.DUMMYFUNCTION("IF(REGEXMATCH(N53, ""G""), ""4"","""")"),"")</f>
        <v/>
      </c>
      <c r="AL53" s="245" t="str">
        <f>IFERROR(__xludf.DUMMYFUNCTION("IF(REGEXMATCH(N53, ""m""), ""5"","""")"),"5")</f>
        <v>5</v>
      </c>
      <c r="AM53" s="246" t="str">
        <f>IFERROR(__xludf.DUMMYFUNCTION("IF(REGEXMATCH(N53, ""M""), ""6"","""")"),"")</f>
        <v/>
      </c>
      <c r="AN53" s="245" t="str">
        <f>IFERROR(__xludf.DUMMYFUNCTION("IF(REGEXMATCH(N53, ""P""), ""7"","""")"),"")</f>
        <v/>
      </c>
      <c r="AO53" s="246" t="str">
        <f>IFERROR(__xludf.DUMMYFUNCTION("IF(REGEXMATCH(N53, ""d""), ""8"","""")"),"8")</f>
        <v>8</v>
      </c>
      <c r="AP53" s="245" t="str">
        <f>IFERROR(__xludf.DUMMYFUNCTION("IF(REGEXMATCH(N53, ""D""), ""9"","""")"),"")</f>
        <v/>
      </c>
      <c r="AQ53" s="245" t="str">
        <f>IFERROR(__xludf.DUMMYFUNCTION("IF(REGEXMATCH(N53, ""n""), ""10"","""")"),"")</f>
        <v/>
      </c>
      <c r="AR53" s="246" t="str">
        <f>IFERROR(__xludf.DUMMYFUNCTION("IF(REGEXMATCH(N53, ""N""), ""11"","""")"),"11")</f>
        <v>11</v>
      </c>
      <c r="AS53" s="249" t="str">
        <f>IFERROR(__xludf.DUMMYFUNCTION("IF(REGEXMATCH(N53, ""S""), ""0"","""")"),"0")</f>
        <v>0</v>
      </c>
      <c r="AT53" s="250" t="str">
        <f>IFERROR(__xludf.DUMMYFUNCTION("SUBSTITUTE(SUBSTITUTE(SUBSTITUTE(SUBSTITUTE(CONCATENATE(JOIN(""-"",AG53:AS53)),""--"",""-""),""--"",""-""),""--"",""-""),""--"",""-"")"),"0-2-3-5-8-11-0")</f>
        <v>0-2-3-5-8-11-0</v>
      </c>
      <c r="AU53" s="251">
        <f t="shared" si="13"/>
        <v>2</v>
      </c>
      <c r="AV53" s="234" t="str">
        <f t="shared" si="14"/>
        <v>|</v>
      </c>
      <c r="AW53" s="236" t="str">
        <f t="shared" si="15"/>
        <v>-</v>
      </c>
      <c r="AX53" s="237" t="str">
        <f t="shared" si="16"/>
        <v>|</v>
      </c>
      <c r="AY53" s="236" t="str">
        <f t="shared" si="17"/>
        <v>|</v>
      </c>
      <c r="AZ53" s="237" t="str">
        <f t="shared" si="18"/>
        <v>-</v>
      </c>
      <c r="BA53" s="236" t="str">
        <f t="shared" si="19"/>
        <v>|</v>
      </c>
      <c r="BB53" s="237" t="str">
        <f t="shared" si="20"/>
        <v>-</v>
      </c>
      <c r="BC53" s="236" t="str">
        <f t="shared" si="21"/>
        <v>-</v>
      </c>
      <c r="BD53" s="237" t="str">
        <f t="shared" si="22"/>
        <v>|</v>
      </c>
      <c r="BE53" s="236" t="str">
        <f t="shared" si="23"/>
        <v>-</v>
      </c>
      <c r="BF53" s="237" t="str">
        <f t="shared" si="24"/>
        <v>-</v>
      </c>
      <c r="BG53" s="236" t="str">
        <f t="shared" si="25"/>
        <v>|</v>
      </c>
      <c r="BH53" s="238" t="str">
        <f t="shared" si="26"/>
        <v>|</v>
      </c>
      <c r="BI53" s="250" t="str">
        <f>IFERROR(__xludf.DUMMYFUNCTION("SUBSTITUTE(SUBSTITUTE(CONCATENATE(JOIN("""",AV53:BG53)),""|"",""x""),""-"",""o"")"),"xoxxoxooxoox")</f>
        <v>xoxxoxooxoox</v>
      </c>
      <c r="BJ53" s="323" t="str">
        <f>IFERROR(__xludf.DUMMYFUNCTION("JOIN("""",BI53,BI53)"),"xoxxoxooxooxxoxxoxooxoox")</f>
        <v>xoxxoxooxooxxoxxoxooxoox</v>
      </c>
      <c r="BK53" s="256" t="str">
        <f>IFERROR(__xludf.DUMMYFUNCTION("JOIN("""",ArrayFormula(MID(BI53,LEN(BI53)-SEQUENCE(1,LEN(BI53))+1,1)))"),"xooxooxoxxox")</f>
        <v>xooxooxoxxox</v>
      </c>
      <c r="BL53" s="256" t="str">
        <f>IFERROR(__xludf.DUMMYFUNCTION("LEFT(CONCATENATE(""x"",JOIN("""",ArrayFormula(MID(BI53,LEN(BI53)-SEQUENCE(1,LEN(BI53))+1,1)))),12)"),"xxooxooxoxxo")</f>
        <v>xxooxooxoxxo</v>
      </c>
      <c r="BM53" s="327" t="str">
        <f>IFERROR(__xludf.DUMMYFUNCTION("JOIN("""",BK53,BK53)"),"xooxooxoxxoxxooxooxoxxox")</f>
        <v>xooxooxoxxoxxooxooxoxxox</v>
      </c>
      <c r="BN53" s="239" t="str">
        <f>IFERROR(__xludf.DUMMYFUNCTION("IF(REGEXMATCH(BM53,BI53),""✔"",""-"")"),"-")</f>
        <v>-</v>
      </c>
      <c r="BO53" s="330" t="str">
        <f t="shared" si="27"/>
        <v>-</v>
      </c>
      <c r="BP53" s="260" t="str">
        <f t="shared" si="28"/>
        <v>-</v>
      </c>
      <c r="BQ53" s="261" t="str">
        <f>IFERROR(__xludf.DUMMYFUNCTION("IF(BT53=0,""(n/a)"",IF(BU53=2,""(PAIR)"",IF(REGEXMATCH(BJ53,""xoxoxxoxoxox""),""Bilawal"",IF(REGEXMATCH(BJ53,""xoxoxooxoxoo""),""Bhupali"",IF(REGEXMATCH(BJ53,""xoxoxxoxxoxo""),""Charukeshi"",IF(REGEXMATCH(BJ53,""xoxoooxxoxxo""),""Kameshwari"",IF(REGEXMATC"&amp;"H(BJ53,""xoxoxooxoxox""),""Shankara"",IF(REGEXMATCH(BJ53,""xxooxoxxxoox""),""Basant"",IF(REGEXMATCH(BJ53,""xoxoxxxxoxox""),""Bihag"",IF(REGEXMATCH(BJ53,""xoxxxxoxoxxx""),""Pilu"",IF(REGEXMATCH(BJ53,""xoxxoxoxxoox""),""Kirwani"",IF(REGEXMATCH(BJ53,""xoxxox"&amp;"oxoxxx""),""Mk.Malhar"",IF(REGEXMATCH(BJ53,""xxooxxoxxoox""),""Bhairav"",IF(REGEXMATCH(BJ53,""xxoxooxxxoox""),""Todi"",IF(REGEXMATCH(BJ53,""xxooxoxooxox""),""Marwa"",IF(REGEXMATCH(BJ53,""xxoooxoxxooo""),""Gunkali"",IF(REGEXMATCH(BJ53,""xoxoxxoxxoox""),""N"&amp;"at Bhairav"",IF(REGEXMATCH(BJ53,""xoxxoooxoxoo""),""Shivranjani"",IF(REGEXMATCH(BJ53,""xooxxxoxooxo""),""Jog"",IF(REGEXMATCH(BJ53,""xxooxoxoxoox""),""Hemshri"",IF(REGEXMATCH(BJ53,""xoooxooxoxxo""),""Kalavati"",IF(REGEXMATCH(BJ53,""xxoxoxxoxoox""),""Kedar"&amp;""",IF(REGEXMATCH(BJ53,""xoxxxxoxooxx""),""Gara"",IF(REGEXMATCH(BJ53,""xooxoxooxoox""),""Chandrakauns"",IF(REGEXMATCH(BJ53,""xoxxxxoxxxox""),""Mand"",IF(REGEXMATCH(BJ53,""xoxxxxoxoxox""),""Hanskinkini"",IF(REGEXMATCH(BJ53,""xxooxxoxooxo""),""Lilavati"",IF("&amp;"REGEXMATCH(BJ53,""xooxoxoooxox""),""Rajeshwari"",IF(REGEXMATCH(BJ53,""xoooxxoxoxxx""),""Khokar"",IF(REGEXMATCH(BJ53,""xxooxoxxxxox""),""Maligoura"",""-""))))))))))))))))))))))))))))))"),"(n/a)")</f>
        <v>(n/a)</v>
      </c>
      <c r="BR53" s="239">
        <f t="shared" si="29"/>
        <v>5</v>
      </c>
      <c r="BS53" s="239">
        <f>IFERROR(__xludf.DUMMYFUNCTION("COUNTUNIQUE(BW53:CG53)-1"),5.0)</f>
        <v>5</v>
      </c>
      <c r="BT53" s="239">
        <f>IFERROR(__xludf.DUMMYFUNCTION("COUNTUNIQUE(FILTER(BJ:BJ,REGEXMATCH(BJ:BJ,BI53)))-1"),0.0)</f>
        <v>0</v>
      </c>
      <c r="BU53" s="239">
        <f>IFERROR(__xludf.DUMMYFUNCTION("COUNTA(FILTER(BJ:BJ,REGEXMATCH(BJ:BJ,BI53)))"),3.0)</f>
        <v>3</v>
      </c>
      <c r="BV53" s="341">
        <f>IFERROR(__xludf.DUMMYFUNCTION("COUNTA(FILTER(BJ:BJ,REGEXMATCH(BJ:BJ,BI53)))-AU53"),1.0)</f>
        <v>1</v>
      </c>
      <c r="BW53" s="269" t="str">
        <f t="shared" si="30"/>
        <v>-</v>
      </c>
      <c r="BX53" s="269" t="str">
        <f t="shared" si="31"/>
        <v>xxoxooxooxx</v>
      </c>
      <c r="BY53" s="271" t="str">
        <f t="shared" si="32"/>
        <v>xoxooxooxxo</v>
      </c>
      <c r="BZ53" s="269" t="str">
        <f t="shared" si="33"/>
        <v>-</v>
      </c>
      <c r="CA53" s="271" t="str">
        <f t="shared" si="34"/>
        <v>xooxooxxoxx</v>
      </c>
      <c r="CB53" s="271" t="str">
        <f t="shared" si="35"/>
        <v>-</v>
      </c>
      <c r="CC53" s="271" t="str">
        <f t="shared" si="36"/>
        <v>-</v>
      </c>
      <c r="CD53" s="271" t="str">
        <f t="shared" si="37"/>
        <v>xooxxoxxoxo</v>
      </c>
      <c r="CE53" s="271" t="str">
        <f t="shared" si="38"/>
        <v>-</v>
      </c>
      <c r="CF53" s="271" t="str">
        <f t="shared" si="39"/>
        <v>-</v>
      </c>
      <c r="CG53" s="274" t="str">
        <f t="shared" si="40"/>
        <v>xxoxxoxooxo</v>
      </c>
      <c r="CH53" s="276" t="str">
        <f>IFERROR(__xludf.DUMMYFUNCTION("IF(BI53=""oooooooooooo"",""-"",IF(REGEXMATCH(BJ53,""xx""), ""Hemi."", ""Anhemi.""))"),"Hemi.")</f>
        <v>Hemi.</v>
      </c>
      <c r="CI53" s="282" t="str">
        <f>IFERROR(__xludf.DUMMYFUNCTION("IF(BI53=""oooooooooooo"",""-"",IF(REGEXMATCH(BJ53,""xxx""), ""Cohem."", ""-""))"),"-")</f>
        <v>-</v>
      </c>
      <c r="CJ53" s="282" t="str">
        <f>IFERROR(__xludf.DUMMYFUNCTION("IF(BI53=""oooooooooooo"",""-"",IF(REGEXMATCH(BJ53,""xxxx""), ""Co-Co."", ""-""))"),"-")</f>
        <v>-</v>
      </c>
      <c r="CK53" s="342" t="str">
        <f>IFERROR(__xludf.DUMMYFUNCTION("IF(BI53=""oooooooooooo"",""-"",IF(REGEXMATCH(BJ53,""xxxxx""), ""CCC."", ""-""))"),"-")</f>
        <v>-</v>
      </c>
      <c r="CL53" s="344" t="str">
        <f t="shared" si="41"/>
        <v>-</v>
      </c>
      <c r="CM53" s="282" t="str">
        <f>IFERROR(__xludf.DUMMYFUNCTION("IF(REGEXMATCH(JOIN(""-"",CO53:CX53),""TRUE""),""✔"",""-"")"),"-")</f>
        <v>-</v>
      </c>
      <c r="CN53" s="225">
        <f t="shared" si="42"/>
        <v>0</v>
      </c>
      <c r="CO53" s="376" t="b">
        <f>IFERROR(__xludf.DUMMYFUNCTION("arrayformula(sum(--REGEXMATCH(""SRGMPDNS"",split(REGEXREPLACE(N53,""(.)"",""$1~""),""~""))))=len(N53)
"),FALSE)</f>
        <v>0</v>
      </c>
      <c r="CP53" s="290" t="b">
        <f>IFERROR(__xludf.DUMMYFUNCTION("arrayformula(sum(--REGEXMATCH(""SRGmPDNS"",split(REGEXREPLACE(N53,""(.)"",""$1~""),""~""))))=len(N53)"),FALSE)</f>
        <v>0</v>
      </c>
      <c r="CQ53" s="290" t="b">
        <f>IFERROR(__xludf.DUMMYFUNCTION("arrayformula(sum(--REGEXMATCH(""SRGmPDnS"",split(REGEXREPLACE(N53,""(.)"",""$1~""),""~""))))=len(N53)"),FALSE)</f>
        <v>0</v>
      </c>
      <c r="CR53" s="290" t="b">
        <f>IFERROR(__xludf.DUMMYFUNCTION("arrayformula(sum(--REGEXMATCH(""SRgmPDnS"",split(REGEXREPLACE(N53,""(.)"",""$1~""),""~""))))=len(N53)"),FALSE)</f>
        <v>0</v>
      </c>
      <c r="CS53" s="290" t="b">
        <f>IFERROR(__xludf.DUMMYFUNCTION("arrayformula(sum(--REGEXMATCH(""SRgmPdnS"",split(REGEXREPLACE(N53,""(.)"",""$1~""),""~""))))=len(N53)"),FALSE)</f>
        <v>0</v>
      </c>
      <c r="CT53" s="290" t="b">
        <f>IFERROR(__xludf.DUMMYFUNCTION("arrayformula(sum(--REGEXMATCH(""SrgmPdnS"",split(REGEXREPLACE(N53,""(.)"",""$1~""),""~""))))=len(N53)"),FALSE)</f>
        <v>0</v>
      </c>
      <c r="CU53" s="290" t="b">
        <f>IFERROR(__xludf.DUMMYFUNCTION("arrayformula(sum(--REGEXMATCH(""SrGmPdNS"",split(REGEXREPLACE(N53,""(.)"",""$1~""),""~""))))=len(N53)"),FALSE)</f>
        <v>0</v>
      </c>
      <c r="CV53" s="290" t="b">
        <f>IFERROR(__xludf.DUMMYFUNCTION("arrayformula(sum(--REGEXMATCH(""SrGMPDNS"",split(REGEXREPLACE(N53,""(.)"",""$1~""),""~""))))=len(N53)"),FALSE)</f>
        <v>0</v>
      </c>
      <c r="CW53" s="290" t="b">
        <f>IFERROR(__xludf.DUMMYFUNCTION("arrayformula(sum(--REGEXMATCH(""SrGMPdNS"",split(REGEXREPLACE(N53,""(.)"",""$1~""),""~""))))=len(N53)"),FALSE)</f>
        <v>0</v>
      </c>
      <c r="CX53" s="293" t="b">
        <f>IFERROR(__xludf.DUMMYFUNCTION("arrayformula(sum(--REGEXMATCH(""SrgMPdNS"",split(REGEXREPLACE(N53,""(.)"",""$1~""),""~""))))=len(N53)"),FALSE)</f>
        <v>0</v>
      </c>
      <c r="CY53" s="244" t="str">
        <f>IFERROR(__xludf.DUMMYFUNCTION("IF(REGEXMATCH(N53, ""S""), ""1"","""")"),"1")</f>
        <v>1</v>
      </c>
      <c r="CZ53" s="245" t="str">
        <f>IFERROR(__xludf.DUMMYFUNCTION("IF(REGEXMATCH(N53, ""r""), ""b2"","""")"),"")</f>
        <v/>
      </c>
      <c r="DA53" s="246" t="str">
        <f>IFERROR(__xludf.DUMMYFUNCTION("IF(REGEXMATCH(N53, ""R""), ""2"","""")"),"2")</f>
        <v>2</v>
      </c>
      <c r="DB53" s="246" t="str">
        <f>IFERROR(__xludf.DUMMYFUNCTION("IF(REGEXMATCH(N53, ""g""), ""b3"","""")"),"b3")</f>
        <v>b3</v>
      </c>
      <c r="DC53" s="245" t="str">
        <f>IFERROR(__xludf.DUMMYFUNCTION("IF(REGEXMATCH(N53, ""G""), ""3"","""")"),"")</f>
        <v/>
      </c>
      <c r="DD53" s="245" t="str">
        <f>IFERROR(__xludf.DUMMYFUNCTION("IF(REGEXMATCH(N53, ""m""), ""4"","""")"),"4")</f>
        <v>4</v>
      </c>
      <c r="DE53" s="246" t="str">
        <f>IFERROR(__xludf.DUMMYFUNCTION("IF(REGEXMATCH(N53, ""M""), ""#4"","""")"),"")</f>
        <v/>
      </c>
      <c r="DF53" s="245" t="str">
        <f>IFERROR(__xludf.DUMMYFUNCTION("IF(REGEXMATCH(N53, ""P""), ""5"","""")"),"")</f>
        <v/>
      </c>
      <c r="DG53" s="246" t="str">
        <f>IFERROR(__xludf.DUMMYFUNCTION("IF(REGEXMATCH(N53, ""d""), ""b6"","""")"),"b6")</f>
        <v>b6</v>
      </c>
      <c r="DH53" s="245" t="str">
        <f>IFERROR(__xludf.DUMMYFUNCTION("IF(REGEXMATCH(N53, ""D""), ""6"","""")"),"")</f>
        <v/>
      </c>
      <c r="DI53" s="245" t="str">
        <f>IFERROR(__xludf.DUMMYFUNCTION("IF(REGEXMATCH(N53, ""n""), ""b7"","""")"),"")</f>
        <v/>
      </c>
      <c r="DJ53" s="246" t="str">
        <f>IFERROR(__xludf.DUMMYFUNCTION("IF(REGEXMATCH(N53, ""N""), ""7"","""")"),"7")</f>
        <v>7</v>
      </c>
      <c r="DK53" s="249" t="str">
        <f>IFERROR(__xludf.DUMMYFUNCTION("IF(REGEXMATCH(N53, ""S""), ""8"","""")"),"8")</f>
        <v>8</v>
      </c>
      <c r="DL53" s="244" t="str">
        <f>IFERROR(__xludf.DUMMYFUNCTION("IF(REGEXMATCH(N53, ""S""), ""S"","""")"),"S")</f>
        <v>S</v>
      </c>
      <c r="DM53" s="294" t="str">
        <f>IFERROR(__xludf.DUMMYFUNCTION("IF(REGEXMATCH(N53, ""r""), ""R1"","""")"),"")</f>
        <v/>
      </c>
      <c r="DN53" s="295" t="str">
        <f>IFERROR(__xludf.DUMMYFUNCTION("IF(REGEXMATCH(N53, ""R""), ""R2"","""")"),"R2")</f>
        <v>R2</v>
      </c>
      <c r="DO53" s="295" t="str">
        <f>IFERROR(__xludf.DUMMYFUNCTION("IF(REGEXMATCH(N53, ""g""), ""G2"","""")"),"G2")</f>
        <v>G2</v>
      </c>
      <c r="DP53" s="294" t="str">
        <f>IFERROR(__xludf.DUMMYFUNCTION("IF(REGEXMATCH(N53, ""G""), ""G3"","""")"),"")</f>
        <v/>
      </c>
      <c r="DQ53" s="294" t="str">
        <f>IFERROR(__xludf.DUMMYFUNCTION("IF(REGEXMATCH(N53, ""m""), ""M1"","""")"),"M1")</f>
        <v>M1</v>
      </c>
      <c r="DR53" s="295" t="str">
        <f>IFERROR(__xludf.DUMMYFUNCTION("IF(REGEXMATCH(N53, ""M""), ""M2"","""")"),"")</f>
        <v/>
      </c>
      <c r="DS53" s="294" t="str">
        <f>IFERROR(__xludf.DUMMYFUNCTION("IF(REGEXMATCH(N53, ""P""), ""P"","""")"),"")</f>
        <v/>
      </c>
      <c r="DT53" s="295" t="str">
        <f>IFERROR(__xludf.DUMMYFUNCTION("IF(REGEXMATCH(N53, ""d""), ""D1"","""")"),"D1")</f>
        <v>D1</v>
      </c>
      <c r="DU53" s="294" t="str">
        <f>IFERROR(__xludf.DUMMYFUNCTION("IF(REGEXMATCH(N53, ""D""), ""D2"","""")"),"")</f>
        <v/>
      </c>
      <c r="DV53" s="294" t="str">
        <f>IFERROR(__xludf.DUMMYFUNCTION("IF(REGEXMATCH(N53, ""n""), ""N2"","""")"),"")</f>
        <v/>
      </c>
      <c r="DW53" s="295" t="str">
        <f>IFERROR(__xludf.DUMMYFUNCTION("IF(REGEXMATCH(N53, ""N""), ""N3"","""")"),"N3")</f>
        <v>N3</v>
      </c>
      <c r="DX53" s="249" t="str">
        <f>IFERROR(__xludf.DUMMYFUNCTION("IF(REGEXMATCH(N53, ""S""), ""S"","""")"),"S")</f>
        <v>S</v>
      </c>
      <c r="DY53" s="299" t="str">
        <f>IFERROR(__xludf.DUMMYFUNCTION("SUBSTITUTE(SUBSTITUTE(SUBSTITUTE(SUBSTITUTE(CONCATENATE(JOIN(""-"",CY53:DK53)),""--"",""-""),""--"",""-""),""--"",""-""),""--"",""-"")"),"1-2-b3-4-b6-7-8")</f>
        <v>1-2-b3-4-b6-7-8</v>
      </c>
      <c r="DZ53" s="299" t="str">
        <f>IFERROR(__xludf.DUMMYFUNCTION("SUBSTITUTE(SUBSTITUTE(SUBSTITUTE(SUBSTITUTE(CONCATENATE(JOIN(""-"",DL53:DX53)),""--"",""-""),""--"",""-""),""--"",""-""),""--"",""-"")"),"S-R2-G2-M1-D1-N3-S")</f>
        <v>S-R2-G2-M1-D1-N3-S</v>
      </c>
      <c r="EA53" s="348" t="str">
        <f t="shared" si="43"/>
        <v>C-D-Eb-F-Ab-B-C</v>
      </c>
      <c r="EB53" s="301">
        <f t="shared" si="44"/>
        <v>6</v>
      </c>
      <c r="EC53" s="302" t="str">
        <f t="shared" si="45"/>
        <v>Shadav</v>
      </c>
      <c r="ED53" s="301" t="str">
        <f t="shared" ref="ED53:EE53" si="219">SUBSTITUTE(AD53,"-","")</f>
        <v>SRGM</v>
      </c>
      <c r="EE53" s="301" t="str">
        <f t="shared" si="219"/>
        <v>DNS</v>
      </c>
      <c r="EF53" s="302" t="str">
        <f t="shared" si="47"/>
        <v>(n/a)</v>
      </c>
      <c r="EG53" s="301" t="str">
        <f t="shared" si="48"/>
        <v>Hemi.</v>
      </c>
      <c r="EH53" s="364" t="str">
        <f t="shared" si="49"/>
        <v>-</v>
      </c>
      <c r="EI53" s="306" t="str">
        <f t="shared" si="50"/>
        <v>-</v>
      </c>
      <c r="EJ53" s="366" t="str">
        <f t="shared" si="51"/>
        <v>-</v>
      </c>
      <c r="EK53" s="308" t="str">
        <f t="shared" si="52"/>
        <v>✔</v>
      </c>
      <c r="EL53" s="306" t="str">
        <f t="shared" si="53"/>
        <v>-</v>
      </c>
      <c r="EM53" s="306" t="str">
        <f t="shared" si="54"/>
        <v>-</v>
      </c>
      <c r="EN53" s="367" t="str">
        <f t="shared" si="55"/>
        <v>-</v>
      </c>
      <c r="EO53" s="310" t="str">
        <f t="shared" si="56"/>
        <v>-</v>
      </c>
      <c r="EP53" s="310" t="str">
        <f t="shared" si="57"/>
        <v>-</v>
      </c>
      <c r="EQ53" s="310" t="str">
        <f t="shared" si="58"/>
        <v>-</v>
      </c>
      <c r="ER53" s="310" t="str">
        <f t="shared" si="59"/>
        <v>-</v>
      </c>
      <c r="ES53" s="370" t="str">
        <f t="shared" si="60"/>
        <v>-</v>
      </c>
      <c r="ET53" s="306" t="str">
        <f t="shared" si="61"/>
        <v>-</v>
      </c>
      <c r="EU53" s="306" t="str">
        <f t="shared" si="62"/>
        <v>-</v>
      </c>
      <c r="EV53" s="306" t="str">
        <f t="shared" si="63"/>
        <v>-</v>
      </c>
      <c r="EW53" s="306" t="str">
        <f t="shared" si="64"/>
        <v>✔</v>
      </c>
      <c r="EX53" s="306" t="str">
        <f t="shared" si="65"/>
        <v>-</v>
      </c>
      <c r="EY53" s="367" t="str">
        <f t="shared" si="66"/>
        <v>-</v>
      </c>
      <c r="EZ53" s="310" t="str">
        <f>IFERROR(__xludf.DUMMYFUNCTION("IF(REGEXMATCH(BM53,BI53),""✔"",""-"")"),"-")</f>
        <v>-</v>
      </c>
      <c r="FA53" s="310" t="str">
        <f t="shared" si="67"/>
        <v>-</v>
      </c>
      <c r="FB53" s="370" t="str">
        <f t="shared" si="68"/>
        <v>-</v>
      </c>
      <c r="FC53" s="415">
        <f t="shared" si="69"/>
        <v>2</v>
      </c>
      <c r="FD53" s="317" t="str">
        <f t="shared" si="70"/>
        <v>S-R-g-m-d-N-S</v>
      </c>
      <c r="FE53" s="318" t="str">
        <f>IFERROR(__xludf.DUMMYFUNCTION("CONCATENATE(JOIN("""",GJ53:GV53))"),"SrGPDnS")</f>
        <v>SrGPDnS</v>
      </c>
      <c r="FF53" s="318"/>
      <c r="FG53" s="318"/>
      <c r="FH53" s="321">
        <f t="shared" si="71"/>
        <v>4</v>
      </c>
      <c r="FI53" s="318" t="str">
        <f>IFERROR(__xludf.DUMMYFUNCTION("CONCATENATE(JOIN("""",HW53:II53))"),"Sa, Re, ga, Ni, ")</f>
        <v>Sa, Re, ga, Ni, </v>
      </c>
      <c r="FJ53" s="322">
        <f t="shared" si="72"/>
        <v>2</v>
      </c>
      <c r="FK53" s="324" t="str">
        <f>IFERROR(__xludf.DUMMYFUNCTION("CONCATENATE(JOIN("""",IW53:JI53))"),"Re, Ni, ")</f>
        <v>Re, Ni, </v>
      </c>
      <c r="FL53" s="325" t="str">
        <f t="shared" si="73"/>
        <v>S-R2-G2-M1-D1-N3-S</v>
      </c>
      <c r="FM53" s="326" t="str">
        <f t="shared" si="74"/>
        <v>1-2-b3-4-b6-7-8</v>
      </c>
      <c r="FN53" s="326" t="str">
        <f t="shared" si="75"/>
        <v>0-2-3-5-8-11-0</v>
      </c>
      <c r="FO53" s="318"/>
      <c r="FP53" s="328" t="str">
        <f>IFERROR(__xludf.DUMMYFUNCTION("SUBSTITUTE(SUBSTITUTE(SUBSTITUTE(SUBSTITUTE(CONCATENATE(JOIN("" "",FS53:GE53)),""  "","" ""),""  "","" ""),""  "","" ""),""  "","" "")"),"o • o o • o • • o • • o o")</f>
        <v>o • o o • o • • o • • o o</v>
      </c>
      <c r="FQ53" s="328" t="str">
        <f t="shared" si="76"/>
        <v>Sa-ma</v>
      </c>
      <c r="FR53" s="329"/>
      <c r="FS53" s="331" t="str">
        <f t="shared" si="77"/>
        <v>o</v>
      </c>
      <c r="FT53" s="332" t="str">
        <f t="shared" si="78"/>
        <v>•</v>
      </c>
      <c r="FU53" s="332" t="str">
        <f t="shared" si="79"/>
        <v>o</v>
      </c>
      <c r="FV53" s="332" t="str">
        <f t="shared" si="80"/>
        <v>o</v>
      </c>
      <c r="FW53" s="332" t="str">
        <f t="shared" si="81"/>
        <v>•</v>
      </c>
      <c r="FX53" s="332" t="str">
        <f t="shared" si="82"/>
        <v>o</v>
      </c>
      <c r="FY53" s="332" t="str">
        <f t="shared" si="83"/>
        <v>•</v>
      </c>
      <c r="FZ53" s="332" t="str">
        <f t="shared" si="84"/>
        <v>•</v>
      </c>
      <c r="GA53" s="332" t="str">
        <f t="shared" si="85"/>
        <v>o</v>
      </c>
      <c r="GB53" s="332" t="str">
        <f t="shared" si="86"/>
        <v>•</v>
      </c>
      <c r="GC53" s="332" t="str">
        <f t="shared" si="87"/>
        <v>•</v>
      </c>
      <c r="GD53" s="332" t="str">
        <f t="shared" si="88"/>
        <v>o</v>
      </c>
      <c r="GE53" s="338" t="str">
        <f t="shared" si="89"/>
        <v>o</v>
      </c>
      <c r="GF53" s="339" t="str">
        <f t="shared" si="90"/>
        <v>-</v>
      </c>
      <c r="GG53" s="339" t="str">
        <f t="shared" si="91"/>
        <v>-</v>
      </c>
      <c r="GH53" s="339" t="str">
        <f t="shared" si="92"/>
        <v>-</v>
      </c>
      <c r="GI53" s="340" t="str">
        <f t="shared" si="93"/>
        <v>Sa-ma</v>
      </c>
      <c r="GJ53" s="331" t="str">
        <f t="shared" si="94"/>
        <v>S</v>
      </c>
      <c r="GK53" s="332" t="str">
        <f t="shared" si="95"/>
        <v>r</v>
      </c>
      <c r="GL53" s="332" t="str">
        <f t="shared" si="96"/>
        <v/>
      </c>
      <c r="GM53" s="332" t="str">
        <f t="shared" si="97"/>
        <v/>
      </c>
      <c r="GN53" s="332" t="str">
        <f t="shared" si="98"/>
        <v>G</v>
      </c>
      <c r="GO53" s="332" t="str">
        <f t="shared" si="99"/>
        <v/>
      </c>
      <c r="GP53" s="332" t="str">
        <f t="shared" si="100"/>
        <v/>
      </c>
      <c r="GQ53" s="332" t="str">
        <f t="shared" si="101"/>
        <v>P</v>
      </c>
      <c r="GR53" s="332" t="str">
        <f t="shared" si="102"/>
        <v/>
      </c>
      <c r="GS53" s="332" t="str">
        <f t="shared" si="103"/>
        <v>D</v>
      </c>
      <c r="GT53" s="332" t="str">
        <f t="shared" si="104"/>
        <v>n</v>
      </c>
      <c r="GU53" s="332" t="str">
        <f t="shared" si="105"/>
        <v/>
      </c>
      <c r="GV53" s="343" t="str">
        <f t="shared" si="106"/>
        <v>S</v>
      </c>
      <c r="GW53" s="331" t="str">
        <f t="shared" si="107"/>
        <v>•</v>
      </c>
      <c r="GX53" s="332" t="str">
        <f t="shared" si="108"/>
        <v>o</v>
      </c>
      <c r="GY53" s="332" t="str">
        <f t="shared" si="109"/>
        <v>•</v>
      </c>
      <c r="GZ53" s="332" t="str">
        <f t="shared" si="110"/>
        <v>•</v>
      </c>
      <c r="HA53" s="332" t="str">
        <f t="shared" si="111"/>
        <v>o</v>
      </c>
      <c r="HB53" s="332" t="str">
        <f t="shared" si="112"/>
        <v>•</v>
      </c>
      <c r="HC53" s="332" t="str">
        <f t="shared" si="113"/>
        <v>o</v>
      </c>
      <c r="HD53" s="332" t="str">
        <f t="shared" si="114"/>
        <v>o</v>
      </c>
      <c r="HE53" s="332" t="str">
        <f t="shared" si="115"/>
        <v>•</v>
      </c>
      <c r="HF53" s="332" t="str">
        <f t="shared" si="116"/>
        <v>o</v>
      </c>
      <c r="HG53" s="332" t="str">
        <f t="shared" si="117"/>
        <v>o</v>
      </c>
      <c r="HH53" s="332" t="str">
        <f t="shared" si="118"/>
        <v>•</v>
      </c>
      <c r="HI53" s="338" t="str">
        <f t="shared" si="119"/>
        <v>•</v>
      </c>
      <c r="HJ53" s="346" t="b">
        <f t="shared" si="120"/>
        <v>1</v>
      </c>
      <c r="HK53" s="347" t="b">
        <f t="shared" si="121"/>
        <v>0</v>
      </c>
      <c r="HL53" s="347" t="b">
        <f t="shared" si="122"/>
        <v>1</v>
      </c>
      <c r="HM53" s="347" t="b">
        <f t="shared" si="123"/>
        <v>1</v>
      </c>
      <c r="HN53" s="347" t="b">
        <f t="shared" si="124"/>
        <v>0</v>
      </c>
      <c r="HO53" s="347" t="b">
        <f t="shared" si="125"/>
        <v>0</v>
      </c>
      <c r="HP53" s="347" t="b">
        <f t="shared" si="126"/>
        <v>0</v>
      </c>
      <c r="HQ53" s="347" t="b">
        <f t="shared" si="127"/>
        <v>0</v>
      </c>
      <c r="HR53" s="347" t="b">
        <f t="shared" si="128"/>
        <v>0</v>
      </c>
      <c r="HS53" s="347" t="b">
        <f t="shared" si="129"/>
        <v>0</v>
      </c>
      <c r="HT53" s="347" t="b">
        <f t="shared" si="130"/>
        <v>0</v>
      </c>
      <c r="HU53" s="347" t="b">
        <f t="shared" si="131"/>
        <v>1</v>
      </c>
      <c r="HV53" s="353" t="b">
        <f t="shared" si="132"/>
        <v>1</v>
      </c>
      <c r="HW53" s="354" t="str">
        <f t="shared" si="133"/>
        <v>Sa, </v>
      </c>
      <c r="HX53" s="355" t="str">
        <f t="shared" si="134"/>
        <v/>
      </c>
      <c r="HY53" s="355" t="str">
        <f t="shared" si="135"/>
        <v>Re, </v>
      </c>
      <c r="HZ53" s="355" t="str">
        <f t="shared" si="136"/>
        <v>ga, </v>
      </c>
      <c r="IA53" s="355" t="str">
        <f t="shared" si="137"/>
        <v/>
      </c>
      <c r="IB53" s="355" t="str">
        <f t="shared" si="138"/>
        <v/>
      </c>
      <c r="IC53" s="355" t="str">
        <f t="shared" si="139"/>
        <v/>
      </c>
      <c r="ID53" s="355" t="str">
        <f t="shared" si="140"/>
        <v/>
      </c>
      <c r="IE53" s="355" t="str">
        <f t="shared" si="141"/>
        <v/>
      </c>
      <c r="IF53" s="355" t="str">
        <f t="shared" si="142"/>
        <v/>
      </c>
      <c r="IG53" s="355" t="str">
        <f t="shared" si="143"/>
        <v/>
      </c>
      <c r="IH53" s="355" t="str">
        <f t="shared" si="144"/>
        <v>Ni, </v>
      </c>
      <c r="II53" s="359" t="str">
        <f t="shared" si="145"/>
        <v/>
      </c>
      <c r="IJ53" s="346" t="b">
        <f t="shared" si="146"/>
        <v>0</v>
      </c>
      <c r="IK53" s="347" t="b">
        <f t="shared" si="147"/>
        <v>0</v>
      </c>
      <c r="IL53" s="347" t="b">
        <f t="shared" si="148"/>
        <v>1</v>
      </c>
      <c r="IM53" s="347" t="b">
        <f t="shared" si="149"/>
        <v>0</v>
      </c>
      <c r="IN53" s="347" t="b">
        <f t="shared" si="150"/>
        <v>0</v>
      </c>
      <c r="IO53" s="347" t="b">
        <f t="shared" si="151"/>
        <v>0</v>
      </c>
      <c r="IP53" s="347" t="b">
        <f t="shared" si="152"/>
        <v>0</v>
      </c>
      <c r="IQ53" s="347" t="b">
        <f t="shared" si="153"/>
        <v>0</v>
      </c>
      <c r="IR53" s="347" t="b">
        <f t="shared" si="154"/>
        <v>0</v>
      </c>
      <c r="IS53" s="347" t="b">
        <f t="shared" si="155"/>
        <v>0</v>
      </c>
      <c r="IT53" s="347" t="b">
        <f t="shared" si="156"/>
        <v>0</v>
      </c>
      <c r="IU53" s="347" t="b">
        <f t="shared" si="157"/>
        <v>1</v>
      </c>
      <c r="IV53" s="365" t="b">
        <f t="shared" si="158"/>
        <v>0</v>
      </c>
      <c r="IW53" s="354" t="str">
        <f t="shared" si="159"/>
        <v/>
      </c>
      <c r="IX53" s="355" t="str">
        <f t="shared" si="160"/>
        <v/>
      </c>
      <c r="IY53" s="355" t="str">
        <f t="shared" si="161"/>
        <v>Re, </v>
      </c>
      <c r="IZ53" s="355" t="str">
        <f t="shared" si="162"/>
        <v/>
      </c>
      <c r="JA53" s="355" t="str">
        <f t="shared" si="163"/>
        <v/>
      </c>
      <c r="JB53" s="355" t="str">
        <f t="shared" si="164"/>
        <v/>
      </c>
      <c r="JC53" s="355" t="str">
        <f t="shared" si="165"/>
        <v/>
      </c>
      <c r="JD53" s="355" t="str">
        <f t="shared" si="166"/>
        <v/>
      </c>
      <c r="JE53" s="355" t="str">
        <f t="shared" si="167"/>
        <v/>
      </c>
      <c r="JF53" s="355" t="str">
        <f t="shared" si="168"/>
        <v/>
      </c>
      <c r="JG53" s="355" t="str">
        <f t="shared" si="169"/>
        <v/>
      </c>
      <c r="JH53" s="355" t="str">
        <f t="shared" si="170"/>
        <v>Ni, </v>
      </c>
      <c r="JI53" s="359"/>
      <c r="JJ53" s="321"/>
      <c r="JK53" s="368"/>
      <c r="JL53" s="369"/>
      <c r="JM53" s="369"/>
      <c r="JN53" s="369"/>
      <c r="JO53" s="369"/>
      <c r="JP53" s="369"/>
      <c r="JQ53" s="369"/>
      <c r="JR53" s="369"/>
      <c r="JS53" s="369"/>
      <c r="JT53" s="369"/>
      <c r="JU53" s="369"/>
    </row>
    <row r="54" ht="20.25" customHeight="1">
      <c r="A54" s="221" t="s">
        <v>1336</v>
      </c>
      <c r="B54" s="223" t="s">
        <v>1300</v>
      </c>
      <c r="C54" s="222" t="s">
        <v>275</v>
      </c>
      <c r="D54" s="222"/>
      <c r="E54" s="222" t="s">
        <v>275</v>
      </c>
      <c r="F54" s="222"/>
      <c r="G54" s="395" t="s">
        <v>275</v>
      </c>
      <c r="H54" s="222">
        <v>52.0</v>
      </c>
      <c r="I54" s="224" t="s">
        <v>1219</v>
      </c>
      <c r="J54" s="414">
        <f t="shared" si="5"/>
        <v>1</v>
      </c>
      <c r="K54" s="227">
        <f t="shared" si="6"/>
        <v>6</v>
      </c>
      <c r="L54" s="229">
        <f t="shared" si="7"/>
        <v>6</v>
      </c>
      <c r="M54" s="230">
        <f t="shared" si="8"/>
        <v>0</v>
      </c>
      <c r="N54" s="233" t="str">
        <f t="shared" si="9"/>
        <v>SRgmdnS</v>
      </c>
      <c r="O54" s="234" t="str">
        <f>IFERROR(__xludf.DUMMYFUNCTION("IF(REGEXMATCH(N54, ""S""), ""S"","""")"),"S")</f>
        <v>S</v>
      </c>
      <c r="P54" s="236" t="str">
        <f>IFERROR(__xludf.DUMMYFUNCTION("IF(REGEXMATCH(N54, ""r""), ""r"","""")"),"")</f>
        <v/>
      </c>
      <c r="Q54" s="237" t="str">
        <f>IFERROR(__xludf.DUMMYFUNCTION("IF(REGEXMATCH(N54, ""R""), ""R"","""")"),"R")</f>
        <v>R</v>
      </c>
      <c r="R54" s="237" t="str">
        <f>IFERROR(__xludf.DUMMYFUNCTION("IF(REGEXMATCH(N54, ""g""), ""g"","""")"),"g")</f>
        <v>g</v>
      </c>
      <c r="S54" s="236" t="str">
        <f>IFERROR(__xludf.DUMMYFUNCTION("IF(REGEXMATCH(N54, ""G""), ""G"","""")"),"")</f>
        <v/>
      </c>
      <c r="T54" s="236" t="str">
        <f>IFERROR(__xludf.DUMMYFUNCTION("IF(REGEXMATCH(N54, ""m""), ""m"","""")"),"m")</f>
        <v>m</v>
      </c>
      <c r="U54" s="237" t="str">
        <f>IFERROR(__xludf.DUMMYFUNCTION("IF(REGEXMATCH(N54, ""M""), ""M"","""")"),"")</f>
        <v/>
      </c>
      <c r="V54" s="236" t="str">
        <f>IFERROR(__xludf.DUMMYFUNCTION("IF(REGEXMATCH(N54, ""P""), ""P"","""")"),"")</f>
        <v/>
      </c>
      <c r="W54" s="237" t="str">
        <f>IFERROR(__xludf.DUMMYFUNCTION("IF(REGEXMATCH(N54, ""d""), ""d"","""")"),"d")</f>
        <v>d</v>
      </c>
      <c r="X54" s="236" t="str">
        <f>IFERROR(__xludf.DUMMYFUNCTION("IF(REGEXMATCH(N54, ""D""), ""D"","""")"),"")</f>
        <v/>
      </c>
      <c r="Y54" s="236" t="str">
        <f>IFERROR(__xludf.DUMMYFUNCTION("IF(REGEXMATCH(N54, ""n""), ""n"","""")"),"n")</f>
        <v>n</v>
      </c>
      <c r="Z54" s="237" t="str">
        <f>IFERROR(__xludf.DUMMYFUNCTION("IF(REGEXMATCH(N54, ""N""), ""N"","""")"),"")</f>
        <v/>
      </c>
      <c r="AA54" s="238" t="str">
        <f>IFERROR(__xludf.DUMMYFUNCTION("IF(REGEXMATCH(N54, ""S""), ""S"","""")"),"S")</f>
        <v>S</v>
      </c>
      <c r="AB54" s="239" t="str">
        <f>IFERROR(__xludf.DUMMYFUNCTION("SUBSTITUTE(CONCATENATE(JOIN(""-"",O54:U54)),""-"","""")"),"SRgm")</f>
        <v>SRgm</v>
      </c>
      <c r="AC54" s="229" t="str">
        <f>IFERROR(__xludf.DUMMYFUNCTION("SUBSTITUTE(CONCATENATE(JOIN(""-"",V54:AA54)),""-"","""")"),"dnS")</f>
        <v>dnS</v>
      </c>
      <c r="AD54" s="282" t="str">
        <f t="shared" si="10"/>
        <v>S-R-G-M</v>
      </c>
      <c r="AE54" s="282" t="str">
        <f t="shared" si="11"/>
        <v>D-N-S</v>
      </c>
      <c r="AF54" s="309" t="str">
        <f t="shared" si="12"/>
        <v>Rgmdn</v>
      </c>
      <c r="AG54" s="244" t="str">
        <f>IFERROR(__xludf.DUMMYFUNCTION("IF(REGEXMATCH(N54, ""S""), ""0"","""")"),"0")</f>
        <v>0</v>
      </c>
      <c r="AH54" s="245" t="str">
        <f>IFERROR(__xludf.DUMMYFUNCTION("IF(REGEXMATCH(N54, ""r""), ""1"","""")"),"")</f>
        <v/>
      </c>
      <c r="AI54" s="246" t="str">
        <f>IFERROR(__xludf.DUMMYFUNCTION("IF(REGEXMATCH(N54, ""R""), ""2"","""")"),"2")</f>
        <v>2</v>
      </c>
      <c r="AJ54" s="246" t="str">
        <f>IFERROR(__xludf.DUMMYFUNCTION("IF(REGEXMATCH(N54, ""g""), ""3"","""")"),"3")</f>
        <v>3</v>
      </c>
      <c r="AK54" s="245" t="str">
        <f>IFERROR(__xludf.DUMMYFUNCTION("IF(REGEXMATCH(N54, ""G""), ""4"","""")"),"")</f>
        <v/>
      </c>
      <c r="AL54" s="245" t="str">
        <f>IFERROR(__xludf.DUMMYFUNCTION("IF(REGEXMATCH(N54, ""m""), ""5"","""")"),"5")</f>
        <v>5</v>
      </c>
      <c r="AM54" s="246" t="str">
        <f>IFERROR(__xludf.DUMMYFUNCTION("IF(REGEXMATCH(N54, ""M""), ""6"","""")"),"")</f>
        <v/>
      </c>
      <c r="AN54" s="245" t="str">
        <f>IFERROR(__xludf.DUMMYFUNCTION("IF(REGEXMATCH(N54, ""P""), ""7"","""")"),"")</f>
        <v/>
      </c>
      <c r="AO54" s="246" t="str">
        <f>IFERROR(__xludf.DUMMYFUNCTION("IF(REGEXMATCH(N54, ""d""), ""8"","""")"),"8")</f>
        <v>8</v>
      </c>
      <c r="AP54" s="245" t="str">
        <f>IFERROR(__xludf.DUMMYFUNCTION("IF(REGEXMATCH(N54, ""D""), ""9"","""")"),"")</f>
        <v/>
      </c>
      <c r="AQ54" s="245" t="str">
        <f>IFERROR(__xludf.DUMMYFUNCTION("IF(REGEXMATCH(N54, ""n""), ""10"","""")"),"10")</f>
        <v>10</v>
      </c>
      <c r="AR54" s="246" t="str">
        <f>IFERROR(__xludf.DUMMYFUNCTION("IF(REGEXMATCH(N54, ""N""), ""11"","""")"),"")</f>
        <v/>
      </c>
      <c r="AS54" s="249" t="str">
        <f>IFERROR(__xludf.DUMMYFUNCTION("IF(REGEXMATCH(N54, ""S""), ""0"","""")"),"0")</f>
        <v>0</v>
      </c>
      <c r="AT54" s="250" t="str">
        <f>IFERROR(__xludf.DUMMYFUNCTION("SUBSTITUTE(SUBSTITUTE(SUBSTITUTE(SUBSTITUTE(CONCATENATE(JOIN(""-"",AG54:AS54)),""--"",""-""),""--"",""-""),""--"",""-""),""--"",""-"")"),"0-2-3-5-8-10-0")</f>
        <v>0-2-3-5-8-10-0</v>
      </c>
      <c r="AU54" s="251">
        <f t="shared" si="13"/>
        <v>1</v>
      </c>
      <c r="AV54" s="234" t="str">
        <f t="shared" si="14"/>
        <v>|</v>
      </c>
      <c r="AW54" s="236" t="str">
        <f t="shared" si="15"/>
        <v>-</v>
      </c>
      <c r="AX54" s="237" t="str">
        <f t="shared" si="16"/>
        <v>|</v>
      </c>
      <c r="AY54" s="236" t="str">
        <f t="shared" si="17"/>
        <v>|</v>
      </c>
      <c r="AZ54" s="237" t="str">
        <f t="shared" si="18"/>
        <v>-</v>
      </c>
      <c r="BA54" s="236" t="str">
        <f t="shared" si="19"/>
        <v>|</v>
      </c>
      <c r="BB54" s="237" t="str">
        <f t="shared" si="20"/>
        <v>-</v>
      </c>
      <c r="BC54" s="236" t="str">
        <f t="shared" si="21"/>
        <v>-</v>
      </c>
      <c r="BD54" s="237" t="str">
        <f t="shared" si="22"/>
        <v>|</v>
      </c>
      <c r="BE54" s="236" t="str">
        <f t="shared" si="23"/>
        <v>-</v>
      </c>
      <c r="BF54" s="237" t="str">
        <f t="shared" si="24"/>
        <v>|</v>
      </c>
      <c r="BG54" s="236" t="str">
        <f t="shared" si="25"/>
        <v>-</v>
      </c>
      <c r="BH54" s="238" t="str">
        <f t="shared" si="26"/>
        <v>|</v>
      </c>
      <c r="BI54" s="250" t="str">
        <f>IFERROR(__xludf.DUMMYFUNCTION("SUBSTITUTE(SUBSTITUTE(CONCATENATE(JOIN("""",AV54:BG54)),""|"",""x""),""-"",""o"")"),"xoxxoxooxoxo")</f>
        <v>xoxxoxooxoxo</v>
      </c>
      <c r="BJ54" s="323" t="str">
        <f>IFERROR(__xludf.DUMMYFUNCTION("JOIN("""",BI54,BI54)"),"xoxxoxooxoxoxoxxoxooxoxo")</f>
        <v>xoxxoxooxoxoxoxxoxooxoxo</v>
      </c>
      <c r="BK54" s="256" t="str">
        <f>IFERROR(__xludf.DUMMYFUNCTION("JOIN("""",ArrayFormula(MID(BI54,LEN(BI54)-SEQUENCE(1,LEN(BI54))+1,1)))"),"oxoxooxoxxox")</f>
        <v>oxoxooxoxxox</v>
      </c>
      <c r="BL54" s="256" t="str">
        <f>IFERROR(__xludf.DUMMYFUNCTION("LEFT(CONCATENATE(""x"",JOIN("""",ArrayFormula(MID(BI54,LEN(BI54)-SEQUENCE(1,LEN(BI54))+1,1)))),12)"),"xoxoxooxoxxo")</f>
        <v>xoxoxooxoxxo</v>
      </c>
      <c r="BM54" s="327" t="str">
        <f>IFERROR(__xludf.DUMMYFUNCTION("JOIN("""",BK54,BK54)"),"oxoxooxoxxoxoxoxooxoxxox")</f>
        <v>oxoxooxoxxoxoxoxooxoxxox</v>
      </c>
      <c r="BN54" s="239" t="str">
        <f>IFERROR(__xludf.DUMMYFUNCTION("IF(REGEXMATCH(BM54,BI54),""✔"",""-"")"),"-")</f>
        <v>-</v>
      </c>
      <c r="BO54" s="330" t="str">
        <f t="shared" si="27"/>
        <v>-</v>
      </c>
      <c r="BP54" s="260" t="str">
        <f t="shared" si="28"/>
        <v>-</v>
      </c>
      <c r="BQ54" s="261" t="str">
        <f>IFERROR(__xludf.DUMMYFUNCTION("IF(BT54=0,""(n/a)"",IF(BU54=2,""(PAIR)"",IF(REGEXMATCH(BJ54,""xoxoxxoxoxox""),""Bilawal"",IF(REGEXMATCH(BJ54,""xoxoxooxoxoo""),""Bhupali"",IF(REGEXMATCH(BJ54,""xoxoxxoxxoxo""),""Charukeshi"",IF(REGEXMATCH(BJ54,""xoxoooxxoxxo""),""Kameshwari"",IF(REGEXMATC"&amp;"H(BJ54,""xoxoxooxoxox""),""Shankara"",IF(REGEXMATCH(BJ54,""xxooxoxxxoox""),""Basant"",IF(REGEXMATCH(BJ54,""xoxoxxxxoxox""),""Bihag"",IF(REGEXMATCH(BJ54,""xoxxxxoxoxxx""),""Pilu"",IF(REGEXMATCH(BJ54,""xoxxoxoxxoox""),""Kirwani"",IF(REGEXMATCH(BJ54,""xoxxox"&amp;"oxoxxx""),""Mk.Malhar"",IF(REGEXMATCH(BJ54,""xxooxxoxxoox""),""Bhairav"",IF(REGEXMATCH(BJ54,""xxoxooxxxoox""),""Todi"",IF(REGEXMATCH(BJ54,""xxooxoxooxox""),""Marwa"",IF(REGEXMATCH(BJ54,""xxoooxoxxooo""),""Gunkali"",IF(REGEXMATCH(BJ54,""xoxoxxoxxoox""),""N"&amp;"at Bhairav"",IF(REGEXMATCH(BJ54,""xoxxoooxoxoo""),""Shivranjani"",IF(REGEXMATCH(BJ54,""xooxxxoxooxo""),""Jog"",IF(REGEXMATCH(BJ54,""xxooxoxoxoox""),""Hemshri"",IF(REGEXMATCH(BJ54,""xoooxooxoxxo""),""Kalavati"",IF(REGEXMATCH(BJ54,""xxoxoxxoxoox""),""Kedar"&amp;""",IF(REGEXMATCH(BJ54,""xoxxxxoxooxx""),""Gara"",IF(REGEXMATCH(BJ54,""xooxoxooxoox""),""Chandrakauns"",IF(REGEXMATCH(BJ54,""xoxxxxoxxxox""),""Mand"",IF(REGEXMATCH(BJ54,""xoxxxxoxoxox""),""Hanskinkini"",IF(REGEXMATCH(BJ54,""xxooxxoxooxo""),""Lilavati"",IF("&amp;"REGEXMATCH(BJ54,""xooxoxoooxox""),""Rajeshwari"",IF(REGEXMATCH(BJ54,""xoooxxoxoxxx""),""Khokar"",IF(REGEXMATCH(BJ54,""xxooxoxxxxox""),""Maligoura"",""-""))))))))))))))))))))))))))))))"),"(n/a)")</f>
        <v>(n/a)</v>
      </c>
      <c r="BR54" s="239">
        <f t="shared" si="29"/>
        <v>5</v>
      </c>
      <c r="BS54" s="239">
        <f>IFERROR(__xludf.DUMMYFUNCTION("COUNTUNIQUE(BW54:CG54)-1"),5.0)</f>
        <v>5</v>
      </c>
      <c r="BT54" s="239">
        <f>IFERROR(__xludf.DUMMYFUNCTION("COUNTUNIQUE(FILTER(BJ:BJ,REGEXMATCH(BJ:BJ,BI54)))-1"),0.0)</f>
        <v>0</v>
      </c>
      <c r="BU54" s="239">
        <f>IFERROR(__xludf.DUMMYFUNCTION("COUNTA(FILTER(BJ:BJ,REGEXMATCH(BJ:BJ,BI54)))"),2.0)</f>
        <v>2</v>
      </c>
      <c r="BV54" s="341">
        <f>IFERROR(__xludf.DUMMYFUNCTION("COUNTA(FILTER(BJ:BJ,REGEXMATCH(BJ:BJ,BI54)))-AU54"),1.0)</f>
        <v>1</v>
      </c>
      <c r="BW54" s="269" t="str">
        <f t="shared" si="30"/>
        <v>-</v>
      </c>
      <c r="BX54" s="269" t="str">
        <f t="shared" si="31"/>
        <v>xxoxooxoxox</v>
      </c>
      <c r="BY54" s="271" t="str">
        <f t="shared" si="32"/>
        <v>xoxooxoxoxo</v>
      </c>
      <c r="BZ54" s="269" t="str">
        <f t="shared" si="33"/>
        <v>-</v>
      </c>
      <c r="CA54" s="271" t="str">
        <f t="shared" si="34"/>
        <v>xooxoxoxoxx</v>
      </c>
      <c r="CB54" s="271" t="str">
        <f t="shared" si="35"/>
        <v>-</v>
      </c>
      <c r="CC54" s="271" t="str">
        <f t="shared" si="36"/>
        <v>-</v>
      </c>
      <c r="CD54" s="271" t="str">
        <f t="shared" si="37"/>
        <v>xoxoxoxxoxo</v>
      </c>
      <c r="CE54" s="271" t="str">
        <f t="shared" si="38"/>
        <v>-</v>
      </c>
      <c r="CF54" s="271" t="str">
        <f t="shared" si="39"/>
        <v>xoxoxxoxoox</v>
      </c>
      <c r="CG54" s="274" t="str">
        <f t="shared" si="40"/>
        <v>-</v>
      </c>
      <c r="CH54" s="276" t="str">
        <f>IFERROR(__xludf.DUMMYFUNCTION("IF(BI54=""oooooooooooo"",""-"",IF(REGEXMATCH(BJ54,""xx""), ""Hemi."", ""Anhemi.""))"),"Hemi.")</f>
        <v>Hemi.</v>
      </c>
      <c r="CI54" s="282" t="str">
        <f>IFERROR(__xludf.DUMMYFUNCTION("IF(BI54=""oooooooooooo"",""-"",IF(REGEXMATCH(BJ54,""xxx""), ""Cohem."", ""-""))"),"-")</f>
        <v>-</v>
      </c>
      <c r="CJ54" s="282" t="str">
        <f>IFERROR(__xludf.DUMMYFUNCTION("IF(BI54=""oooooooooooo"",""-"",IF(REGEXMATCH(BJ54,""xxxx""), ""Co-Co."", ""-""))"),"-")</f>
        <v>-</v>
      </c>
      <c r="CK54" s="342" t="str">
        <f>IFERROR(__xludf.DUMMYFUNCTION("IF(BI54=""oooooooooooo"",""-"",IF(REGEXMATCH(BJ54,""xxxxx""), ""CCC."", ""-""))"),"-")</f>
        <v>-</v>
      </c>
      <c r="CL54" s="344" t="str">
        <f t="shared" si="41"/>
        <v>-</v>
      </c>
      <c r="CM54" s="282" t="str">
        <f>IFERROR(__xludf.DUMMYFUNCTION("IF(REGEXMATCH(JOIN(""-"",CO54:CX54),""TRUE""),""✔"",""-"")"),"✔")</f>
        <v>✔</v>
      </c>
      <c r="CN54" s="225">
        <f t="shared" si="42"/>
        <v>1</v>
      </c>
      <c r="CO54" s="376" t="b">
        <f>IFERROR(__xludf.DUMMYFUNCTION("arrayformula(sum(--REGEXMATCH(""SRGMPDNS"",split(REGEXREPLACE(N54,""(.)"",""$1~""),""~""))))=len(N54)
"),FALSE)</f>
        <v>0</v>
      </c>
      <c r="CP54" s="290" t="b">
        <f>IFERROR(__xludf.DUMMYFUNCTION("arrayformula(sum(--REGEXMATCH(""SRGmPDNS"",split(REGEXREPLACE(N54,""(.)"",""$1~""),""~""))))=len(N54)"),FALSE)</f>
        <v>0</v>
      </c>
      <c r="CQ54" s="290" t="b">
        <f>IFERROR(__xludf.DUMMYFUNCTION("arrayformula(sum(--REGEXMATCH(""SRGmPDnS"",split(REGEXREPLACE(N54,""(.)"",""$1~""),""~""))))=len(N54)"),FALSE)</f>
        <v>0</v>
      </c>
      <c r="CR54" s="290" t="b">
        <f>IFERROR(__xludf.DUMMYFUNCTION("arrayformula(sum(--REGEXMATCH(""SRgmPDnS"",split(REGEXREPLACE(N54,""(.)"",""$1~""),""~""))))=len(N54)"),FALSE)</f>
        <v>0</v>
      </c>
      <c r="CS54" s="290" t="b">
        <f>IFERROR(__xludf.DUMMYFUNCTION("arrayformula(sum(--REGEXMATCH(""SRgmPdnS"",split(REGEXREPLACE(N54,""(.)"",""$1~""),""~""))))=len(N54)"),TRUE)</f>
        <v>1</v>
      </c>
      <c r="CT54" s="290" t="b">
        <f>IFERROR(__xludf.DUMMYFUNCTION("arrayformula(sum(--REGEXMATCH(""SrgmPdnS"",split(REGEXREPLACE(N54,""(.)"",""$1~""),""~""))))=len(N54)"),FALSE)</f>
        <v>0</v>
      </c>
      <c r="CU54" s="290" t="b">
        <f>IFERROR(__xludf.DUMMYFUNCTION("arrayformula(sum(--REGEXMATCH(""SrGmPdNS"",split(REGEXREPLACE(N54,""(.)"",""$1~""),""~""))))=len(N54)"),FALSE)</f>
        <v>0</v>
      </c>
      <c r="CV54" s="290" t="b">
        <f>IFERROR(__xludf.DUMMYFUNCTION("arrayformula(sum(--REGEXMATCH(""SrGMPDNS"",split(REGEXREPLACE(N54,""(.)"",""$1~""),""~""))))=len(N54)"),FALSE)</f>
        <v>0</v>
      </c>
      <c r="CW54" s="290" t="b">
        <f>IFERROR(__xludf.DUMMYFUNCTION("arrayformula(sum(--REGEXMATCH(""SrGMPdNS"",split(REGEXREPLACE(N54,""(.)"",""$1~""),""~""))))=len(N54)"),FALSE)</f>
        <v>0</v>
      </c>
      <c r="CX54" s="293" t="b">
        <f>IFERROR(__xludf.DUMMYFUNCTION("arrayformula(sum(--REGEXMATCH(""SrgMPdNS"",split(REGEXREPLACE(N54,""(.)"",""$1~""),""~""))))=len(N54)"),FALSE)</f>
        <v>0</v>
      </c>
      <c r="CY54" s="244" t="str">
        <f>IFERROR(__xludf.DUMMYFUNCTION("IF(REGEXMATCH(N54, ""S""), ""1"","""")"),"1")</f>
        <v>1</v>
      </c>
      <c r="CZ54" s="245" t="str">
        <f>IFERROR(__xludf.DUMMYFUNCTION("IF(REGEXMATCH(N54, ""r""), ""b2"","""")"),"")</f>
        <v/>
      </c>
      <c r="DA54" s="246" t="str">
        <f>IFERROR(__xludf.DUMMYFUNCTION("IF(REGEXMATCH(N54, ""R""), ""2"","""")"),"2")</f>
        <v>2</v>
      </c>
      <c r="DB54" s="246" t="str">
        <f>IFERROR(__xludf.DUMMYFUNCTION("IF(REGEXMATCH(N54, ""g""), ""b3"","""")"),"b3")</f>
        <v>b3</v>
      </c>
      <c r="DC54" s="245" t="str">
        <f>IFERROR(__xludf.DUMMYFUNCTION("IF(REGEXMATCH(N54, ""G""), ""3"","""")"),"")</f>
        <v/>
      </c>
      <c r="DD54" s="245" t="str">
        <f>IFERROR(__xludf.DUMMYFUNCTION("IF(REGEXMATCH(N54, ""m""), ""4"","""")"),"4")</f>
        <v>4</v>
      </c>
      <c r="DE54" s="246" t="str">
        <f>IFERROR(__xludf.DUMMYFUNCTION("IF(REGEXMATCH(N54, ""M""), ""#4"","""")"),"")</f>
        <v/>
      </c>
      <c r="DF54" s="245" t="str">
        <f>IFERROR(__xludf.DUMMYFUNCTION("IF(REGEXMATCH(N54, ""P""), ""5"","""")"),"")</f>
        <v/>
      </c>
      <c r="DG54" s="246" t="str">
        <f>IFERROR(__xludf.DUMMYFUNCTION("IF(REGEXMATCH(N54, ""d""), ""b6"","""")"),"b6")</f>
        <v>b6</v>
      </c>
      <c r="DH54" s="245" t="str">
        <f>IFERROR(__xludf.DUMMYFUNCTION("IF(REGEXMATCH(N54, ""D""), ""6"","""")"),"")</f>
        <v/>
      </c>
      <c r="DI54" s="245" t="str">
        <f>IFERROR(__xludf.DUMMYFUNCTION("IF(REGEXMATCH(N54, ""n""), ""b7"","""")"),"b7")</f>
        <v>b7</v>
      </c>
      <c r="DJ54" s="246" t="str">
        <f>IFERROR(__xludf.DUMMYFUNCTION("IF(REGEXMATCH(N54, ""N""), ""7"","""")"),"")</f>
        <v/>
      </c>
      <c r="DK54" s="249" t="str">
        <f>IFERROR(__xludf.DUMMYFUNCTION("IF(REGEXMATCH(N54, ""S""), ""8"","""")"),"8")</f>
        <v>8</v>
      </c>
      <c r="DL54" s="244" t="str">
        <f>IFERROR(__xludf.DUMMYFUNCTION("IF(REGEXMATCH(N54, ""S""), ""S"","""")"),"S")</f>
        <v>S</v>
      </c>
      <c r="DM54" s="294" t="str">
        <f>IFERROR(__xludf.DUMMYFUNCTION("IF(REGEXMATCH(N54, ""r""), ""R1"","""")"),"")</f>
        <v/>
      </c>
      <c r="DN54" s="295" t="str">
        <f>IFERROR(__xludf.DUMMYFUNCTION("IF(REGEXMATCH(N54, ""R""), ""R2"","""")"),"R2")</f>
        <v>R2</v>
      </c>
      <c r="DO54" s="295" t="str">
        <f>IFERROR(__xludf.DUMMYFUNCTION("IF(REGEXMATCH(N54, ""g""), ""G2"","""")"),"G2")</f>
        <v>G2</v>
      </c>
      <c r="DP54" s="294" t="str">
        <f>IFERROR(__xludf.DUMMYFUNCTION("IF(REGEXMATCH(N54, ""G""), ""G3"","""")"),"")</f>
        <v/>
      </c>
      <c r="DQ54" s="294" t="str">
        <f>IFERROR(__xludf.DUMMYFUNCTION("IF(REGEXMATCH(N54, ""m""), ""M1"","""")"),"M1")</f>
        <v>M1</v>
      </c>
      <c r="DR54" s="295" t="str">
        <f>IFERROR(__xludf.DUMMYFUNCTION("IF(REGEXMATCH(N54, ""M""), ""M2"","""")"),"")</f>
        <v/>
      </c>
      <c r="DS54" s="294" t="str">
        <f>IFERROR(__xludf.DUMMYFUNCTION("IF(REGEXMATCH(N54, ""P""), ""P"","""")"),"")</f>
        <v/>
      </c>
      <c r="DT54" s="295" t="str">
        <f>IFERROR(__xludf.DUMMYFUNCTION("IF(REGEXMATCH(N54, ""d""), ""D1"","""")"),"D1")</f>
        <v>D1</v>
      </c>
      <c r="DU54" s="294" t="str">
        <f>IFERROR(__xludf.DUMMYFUNCTION("IF(REGEXMATCH(N54, ""D""), ""D2"","""")"),"")</f>
        <v/>
      </c>
      <c r="DV54" s="294" t="str">
        <f>IFERROR(__xludf.DUMMYFUNCTION("IF(REGEXMATCH(N54, ""n""), ""N2"","""")"),"N2")</f>
        <v>N2</v>
      </c>
      <c r="DW54" s="295" t="str">
        <f>IFERROR(__xludf.DUMMYFUNCTION("IF(REGEXMATCH(N54, ""N""), ""N3"","""")"),"")</f>
        <v/>
      </c>
      <c r="DX54" s="249" t="str">
        <f>IFERROR(__xludf.DUMMYFUNCTION("IF(REGEXMATCH(N54, ""S""), ""S"","""")"),"S")</f>
        <v>S</v>
      </c>
      <c r="DY54" s="299" t="str">
        <f>IFERROR(__xludf.DUMMYFUNCTION("SUBSTITUTE(SUBSTITUTE(SUBSTITUTE(SUBSTITUTE(CONCATENATE(JOIN(""-"",CY54:DK54)),""--"",""-""),""--"",""-""),""--"",""-""),""--"",""-"")"),"1-2-b3-4-b6-b7-8")</f>
        <v>1-2-b3-4-b6-b7-8</v>
      </c>
      <c r="DZ54" s="299" t="str">
        <f>IFERROR(__xludf.DUMMYFUNCTION("SUBSTITUTE(SUBSTITUTE(SUBSTITUTE(SUBSTITUTE(CONCATENATE(JOIN(""-"",DL54:DX54)),""--"",""-""),""--"",""-""),""--"",""-""),""--"",""-"")"),"S-R2-G2-M1-D1-N2-S")</f>
        <v>S-R2-G2-M1-D1-N2-S</v>
      </c>
      <c r="EA54" s="348" t="str">
        <f t="shared" si="43"/>
        <v>C-D-Eb-F-Ab-Bb-C</v>
      </c>
      <c r="EB54" s="301">
        <f t="shared" si="44"/>
        <v>6</v>
      </c>
      <c r="EC54" s="302" t="str">
        <f t="shared" si="45"/>
        <v>Shadav</v>
      </c>
      <c r="ED54" s="301" t="str">
        <f t="shared" ref="ED54:EE54" si="220">SUBSTITUTE(AD54,"-","")</f>
        <v>SRGM</v>
      </c>
      <c r="EE54" s="301" t="str">
        <f t="shared" si="220"/>
        <v>DNS</v>
      </c>
      <c r="EF54" s="302" t="str">
        <f t="shared" si="47"/>
        <v>(n/a)</v>
      </c>
      <c r="EG54" s="301" t="str">
        <f t="shared" si="48"/>
        <v>Hemi.</v>
      </c>
      <c r="EH54" s="364" t="str">
        <f t="shared" si="49"/>
        <v>-</v>
      </c>
      <c r="EI54" s="306" t="str">
        <f t="shared" si="50"/>
        <v>-</v>
      </c>
      <c r="EJ54" s="366" t="str">
        <f t="shared" si="51"/>
        <v>✔</v>
      </c>
      <c r="EK54" s="308" t="str">
        <f t="shared" si="52"/>
        <v>-</v>
      </c>
      <c r="EL54" s="306" t="str">
        <f t="shared" si="53"/>
        <v>-</v>
      </c>
      <c r="EM54" s="306" t="str">
        <f t="shared" si="54"/>
        <v>-</v>
      </c>
      <c r="EN54" s="367" t="str">
        <f t="shared" si="55"/>
        <v>-</v>
      </c>
      <c r="EO54" s="310" t="str">
        <f t="shared" si="56"/>
        <v>-</v>
      </c>
      <c r="EP54" s="310" t="str">
        <f t="shared" si="57"/>
        <v>-</v>
      </c>
      <c r="EQ54" s="310" t="str">
        <f t="shared" si="58"/>
        <v>-</v>
      </c>
      <c r="ER54" s="310" t="str">
        <f t="shared" si="59"/>
        <v>-</v>
      </c>
      <c r="ES54" s="370" t="str">
        <f t="shared" si="60"/>
        <v>-</v>
      </c>
      <c r="ET54" s="306" t="str">
        <f t="shared" si="61"/>
        <v>-</v>
      </c>
      <c r="EU54" s="306" t="str">
        <f t="shared" si="62"/>
        <v>-</v>
      </c>
      <c r="EV54" s="306" t="str">
        <f t="shared" si="63"/>
        <v>-</v>
      </c>
      <c r="EW54" s="306" t="str">
        <f t="shared" si="64"/>
        <v>✔</v>
      </c>
      <c r="EX54" s="306" t="str">
        <f t="shared" si="65"/>
        <v>-</v>
      </c>
      <c r="EY54" s="367" t="str">
        <f t="shared" si="66"/>
        <v>-</v>
      </c>
      <c r="EZ54" s="310" t="str">
        <f>IFERROR(__xludf.DUMMYFUNCTION("IF(REGEXMATCH(BM54,BI54),""✔"",""-"")"),"-")</f>
        <v>-</v>
      </c>
      <c r="FA54" s="310" t="str">
        <f t="shared" si="67"/>
        <v>-</v>
      </c>
      <c r="FB54" s="370" t="str">
        <f t="shared" si="68"/>
        <v>-</v>
      </c>
      <c r="FC54" s="415">
        <f t="shared" si="69"/>
        <v>1</v>
      </c>
      <c r="FD54" s="317" t="str">
        <f t="shared" si="70"/>
        <v>S-R-g-m-d-n-S</v>
      </c>
      <c r="FE54" s="318" t="str">
        <f>IFERROR(__xludf.DUMMYFUNCTION("CONCATENATE(JOIN("""",GJ54:GV54))"),"SRGPDnS")</f>
        <v>SRGPDnS</v>
      </c>
      <c r="FF54" s="318"/>
      <c r="FG54" s="318"/>
      <c r="FH54" s="321">
        <f t="shared" si="71"/>
        <v>2</v>
      </c>
      <c r="FI54" s="318" t="str">
        <f>IFERROR(__xludf.DUMMYFUNCTION("CONCATENATE(JOIN("""",HW54:II54))"),"Sa, Re, ")</f>
        <v>Sa, Re, </v>
      </c>
      <c r="FJ54" s="322">
        <f t="shared" si="72"/>
        <v>1</v>
      </c>
      <c r="FK54" s="324" t="str">
        <f>IFERROR(__xludf.DUMMYFUNCTION("CONCATENATE(JOIN("""",IW54:JI54))"),"Re, ")</f>
        <v>Re, </v>
      </c>
      <c r="FL54" s="325" t="str">
        <f t="shared" si="73"/>
        <v>S-R2-G2-M1-D1-N2-S</v>
      </c>
      <c r="FM54" s="326" t="str">
        <f t="shared" si="74"/>
        <v>1-2-b3-4-b6-b7-8</v>
      </c>
      <c r="FN54" s="326" t="str">
        <f t="shared" si="75"/>
        <v>0-2-3-5-8-10-0</v>
      </c>
      <c r="FO54" s="318"/>
      <c r="FP54" s="328" t="str">
        <f>IFERROR(__xludf.DUMMYFUNCTION("SUBSTITUTE(SUBSTITUTE(SUBSTITUTE(SUBSTITUTE(CONCATENATE(JOIN("" "",FS54:GE54)),""  "","" ""),""  "","" ""),""  "","" ""),""  "","" "")"),"o • o o • o • • o • o • o")</f>
        <v>o • o o • o • • o • o • o</v>
      </c>
      <c r="FQ54" s="328" t="str">
        <f t="shared" si="76"/>
        <v>Sa-ma</v>
      </c>
      <c r="FR54" s="329"/>
      <c r="FS54" s="331" t="str">
        <f t="shared" si="77"/>
        <v>o</v>
      </c>
      <c r="FT54" s="332" t="str">
        <f t="shared" si="78"/>
        <v>•</v>
      </c>
      <c r="FU54" s="332" t="str">
        <f t="shared" si="79"/>
        <v>o</v>
      </c>
      <c r="FV54" s="332" t="str">
        <f t="shared" si="80"/>
        <v>o</v>
      </c>
      <c r="FW54" s="332" t="str">
        <f t="shared" si="81"/>
        <v>•</v>
      </c>
      <c r="FX54" s="332" t="str">
        <f t="shared" si="82"/>
        <v>o</v>
      </c>
      <c r="FY54" s="332" t="str">
        <f t="shared" si="83"/>
        <v>•</v>
      </c>
      <c r="FZ54" s="332" t="str">
        <f t="shared" si="84"/>
        <v>•</v>
      </c>
      <c r="GA54" s="332" t="str">
        <f t="shared" si="85"/>
        <v>o</v>
      </c>
      <c r="GB54" s="332" t="str">
        <f t="shared" si="86"/>
        <v>•</v>
      </c>
      <c r="GC54" s="332" t="str">
        <f t="shared" si="87"/>
        <v>o</v>
      </c>
      <c r="GD54" s="332" t="str">
        <f t="shared" si="88"/>
        <v>•</v>
      </c>
      <c r="GE54" s="338" t="str">
        <f t="shared" si="89"/>
        <v>o</v>
      </c>
      <c r="GF54" s="339" t="str">
        <f t="shared" si="90"/>
        <v>-</v>
      </c>
      <c r="GG54" s="339" t="str">
        <f t="shared" si="91"/>
        <v>-</v>
      </c>
      <c r="GH54" s="339" t="str">
        <f t="shared" si="92"/>
        <v>-</v>
      </c>
      <c r="GI54" s="340" t="str">
        <f t="shared" si="93"/>
        <v>Sa-ma</v>
      </c>
      <c r="GJ54" s="331" t="str">
        <f t="shared" si="94"/>
        <v>S</v>
      </c>
      <c r="GK54" s="332" t="str">
        <f t="shared" si="95"/>
        <v/>
      </c>
      <c r="GL54" s="332" t="str">
        <f t="shared" si="96"/>
        <v>R</v>
      </c>
      <c r="GM54" s="332" t="str">
        <f t="shared" si="97"/>
        <v/>
      </c>
      <c r="GN54" s="332" t="str">
        <f t="shared" si="98"/>
        <v>G</v>
      </c>
      <c r="GO54" s="332" t="str">
        <f t="shared" si="99"/>
        <v/>
      </c>
      <c r="GP54" s="332" t="str">
        <f t="shared" si="100"/>
        <v/>
      </c>
      <c r="GQ54" s="332" t="str">
        <f t="shared" si="101"/>
        <v>P</v>
      </c>
      <c r="GR54" s="332" t="str">
        <f t="shared" si="102"/>
        <v/>
      </c>
      <c r="GS54" s="332" t="str">
        <f t="shared" si="103"/>
        <v>D</v>
      </c>
      <c r="GT54" s="332" t="str">
        <f t="shared" si="104"/>
        <v>n</v>
      </c>
      <c r="GU54" s="332" t="str">
        <f t="shared" si="105"/>
        <v/>
      </c>
      <c r="GV54" s="343" t="str">
        <f t="shared" si="106"/>
        <v>S</v>
      </c>
      <c r="GW54" s="331" t="str">
        <f t="shared" si="107"/>
        <v>•</v>
      </c>
      <c r="GX54" s="332" t="str">
        <f t="shared" si="108"/>
        <v>o</v>
      </c>
      <c r="GY54" s="332" t="str">
        <f t="shared" si="109"/>
        <v>•</v>
      </c>
      <c r="GZ54" s="332" t="str">
        <f t="shared" si="110"/>
        <v>•</v>
      </c>
      <c r="HA54" s="332" t="str">
        <f t="shared" si="111"/>
        <v>o</v>
      </c>
      <c r="HB54" s="332" t="str">
        <f t="shared" si="112"/>
        <v>•</v>
      </c>
      <c r="HC54" s="332" t="str">
        <f t="shared" si="113"/>
        <v>o</v>
      </c>
      <c r="HD54" s="332" t="str">
        <f t="shared" si="114"/>
        <v>o</v>
      </c>
      <c r="HE54" s="332" t="str">
        <f t="shared" si="115"/>
        <v>•</v>
      </c>
      <c r="HF54" s="332" t="str">
        <f t="shared" si="116"/>
        <v>o</v>
      </c>
      <c r="HG54" s="332" t="str">
        <f t="shared" si="117"/>
        <v>•</v>
      </c>
      <c r="HH54" s="332" t="str">
        <f t="shared" si="118"/>
        <v>o</v>
      </c>
      <c r="HI54" s="338" t="str">
        <f t="shared" si="119"/>
        <v>•</v>
      </c>
      <c r="HJ54" s="346" t="b">
        <f t="shared" si="120"/>
        <v>1</v>
      </c>
      <c r="HK54" s="347" t="b">
        <f t="shared" si="121"/>
        <v>0</v>
      </c>
      <c r="HL54" s="347" t="b">
        <f t="shared" si="122"/>
        <v>1</v>
      </c>
      <c r="HM54" s="347" t="b">
        <f t="shared" si="123"/>
        <v>0</v>
      </c>
      <c r="HN54" s="347" t="b">
        <f t="shared" si="124"/>
        <v>0</v>
      </c>
      <c r="HO54" s="347" t="b">
        <f t="shared" si="125"/>
        <v>0</v>
      </c>
      <c r="HP54" s="347" t="b">
        <f t="shared" si="126"/>
        <v>0</v>
      </c>
      <c r="HQ54" s="347" t="b">
        <f t="shared" si="127"/>
        <v>0</v>
      </c>
      <c r="HR54" s="347" t="b">
        <f t="shared" si="128"/>
        <v>0</v>
      </c>
      <c r="HS54" s="347" t="b">
        <f t="shared" si="129"/>
        <v>0</v>
      </c>
      <c r="HT54" s="347" t="b">
        <f t="shared" si="130"/>
        <v>0</v>
      </c>
      <c r="HU54" s="347" t="b">
        <f t="shared" si="131"/>
        <v>0</v>
      </c>
      <c r="HV54" s="353" t="b">
        <f t="shared" si="132"/>
        <v>1</v>
      </c>
      <c r="HW54" s="354" t="str">
        <f t="shared" si="133"/>
        <v>Sa, </v>
      </c>
      <c r="HX54" s="355" t="str">
        <f t="shared" si="134"/>
        <v/>
      </c>
      <c r="HY54" s="355" t="str">
        <f t="shared" si="135"/>
        <v>Re, </v>
      </c>
      <c r="HZ54" s="355" t="str">
        <f t="shared" si="136"/>
        <v/>
      </c>
      <c r="IA54" s="355" t="str">
        <f t="shared" si="137"/>
        <v/>
      </c>
      <c r="IB54" s="355" t="str">
        <f t="shared" si="138"/>
        <v/>
      </c>
      <c r="IC54" s="355" t="str">
        <f t="shared" si="139"/>
        <v/>
      </c>
      <c r="ID54" s="355" t="str">
        <f t="shared" si="140"/>
        <v/>
      </c>
      <c r="IE54" s="355" t="str">
        <f t="shared" si="141"/>
        <v/>
      </c>
      <c r="IF54" s="355" t="str">
        <f t="shared" si="142"/>
        <v/>
      </c>
      <c r="IG54" s="355" t="str">
        <f t="shared" si="143"/>
        <v/>
      </c>
      <c r="IH54" s="355" t="str">
        <f t="shared" si="144"/>
        <v/>
      </c>
      <c r="II54" s="359" t="str">
        <f t="shared" si="145"/>
        <v/>
      </c>
      <c r="IJ54" s="346" t="b">
        <f t="shared" si="146"/>
        <v>0</v>
      </c>
      <c r="IK54" s="347" t="b">
        <f t="shared" si="147"/>
        <v>0</v>
      </c>
      <c r="IL54" s="347" t="b">
        <f t="shared" si="148"/>
        <v>1</v>
      </c>
      <c r="IM54" s="347" t="b">
        <f t="shared" si="149"/>
        <v>0</v>
      </c>
      <c r="IN54" s="347" t="b">
        <f t="shared" si="150"/>
        <v>0</v>
      </c>
      <c r="IO54" s="347" t="b">
        <f t="shared" si="151"/>
        <v>0</v>
      </c>
      <c r="IP54" s="347" t="b">
        <f t="shared" si="152"/>
        <v>0</v>
      </c>
      <c r="IQ54" s="347" t="b">
        <f t="shared" si="153"/>
        <v>0</v>
      </c>
      <c r="IR54" s="347" t="b">
        <f t="shared" si="154"/>
        <v>0</v>
      </c>
      <c r="IS54" s="347" t="b">
        <f t="shared" si="155"/>
        <v>0</v>
      </c>
      <c r="IT54" s="347" t="b">
        <f t="shared" si="156"/>
        <v>0</v>
      </c>
      <c r="IU54" s="347" t="b">
        <f t="shared" si="157"/>
        <v>0</v>
      </c>
      <c r="IV54" s="365" t="b">
        <f t="shared" si="158"/>
        <v>0</v>
      </c>
      <c r="IW54" s="354" t="str">
        <f t="shared" si="159"/>
        <v/>
      </c>
      <c r="IX54" s="355" t="str">
        <f t="shared" si="160"/>
        <v/>
      </c>
      <c r="IY54" s="355" t="str">
        <f t="shared" si="161"/>
        <v>Re, </v>
      </c>
      <c r="IZ54" s="355" t="str">
        <f t="shared" si="162"/>
        <v/>
      </c>
      <c r="JA54" s="355" t="str">
        <f t="shared" si="163"/>
        <v/>
      </c>
      <c r="JB54" s="355" t="str">
        <f t="shared" si="164"/>
        <v/>
      </c>
      <c r="JC54" s="355" t="str">
        <f t="shared" si="165"/>
        <v/>
      </c>
      <c r="JD54" s="355" t="str">
        <f t="shared" si="166"/>
        <v/>
      </c>
      <c r="JE54" s="355" t="str">
        <f t="shared" si="167"/>
        <v/>
      </c>
      <c r="JF54" s="355" t="str">
        <f t="shared" si="168"/>
        <v/>
      </c>
      <c r="JG54" s="355" t="str">
        <f t="shared" si="169"/>
        <v/>
      </c>
      <c r="JH54" s="355" t="str">
        <f t="shared" si="170"/>
        <v/>
      </c>
      <c r="JI54" s="359"/>
      <c r="JJ54" s="321"/>
      <c r="JK54" s="368"/>
      <c r="JL54" s="369"/>
      <c r="JM54" s="369"/>
      <c r="JN54" s="369"/>
      <c r="JO54" s="369"/>
      <c r="JP54" s="369"/>
      <c r="JQ54" s="369"/>
      <c r="JR54" s="369"/>
      <c r="JS54" s="369"/>
      <c r="JT54" s="369"/>
      <c r="JU54" s="369"/>
    </row>
    <row r="55" ht="20.25" customHeight="1">
      <c r="A55" s="221" t="s">
        <v>1337</v>
      </c>
      <c r="B55" s="223" t="s">
        <v>1338</v>
      </c>
      <c r="C55" s="222"/>
      <c r="D55" s="222"/>
      <c r="E55" s="222" t="s">
        <v>275</v>
      </c>
      <c r="F55" s="222"/>
      <c r="G55" s="395" t="s">
        <v>275</v>
      </c>
      <c r="H55" s="222">
        <v>53.0</v>
      </c>
      <c r="I55" s="224" t="s">
        <v>1219</v>
      </c>
      <c r="J55" s="225" t="str">
        <f t="shared" si="5"/>
        <v>[UQ]</v>
      </c>
      <c r="K55" s="227">
        <f t="shared" si="6"/>
        <v>5</v>
      </c>
      <c r="L55" s="229">
        <f t="shared" si="7"/>
        <v>5</v>
      </c>
      <c r="M55" s="230">
        <f t="shared" si="8"/>
        <v>0</v>
      </c>
      <c r="N55" s="233" t="str">
        <f t="shared" si="9"/>
        <v>SRmdnS</v>
      </c>
      <c r="O55" s="234" t="str">
        <f>IFERROR(__xludf.DUMMYFUNCTION("IF(REGEXMATCH(N55, ""S""), ""S"","""")"),"S")</f>
        <v>S</v>
      </c>
      <c r="P55" s="236" t="str">
        <f>IFERROR(__xludf.DUMMYFUNCTION("IF(REGEXMATCH(N55, ""r""), ""r"","""")"),"")</f>
        <v/>
      </c>
      <c r="Q55" s="237" t="str">
        <f>IFERROR(__xludf.DUMMYFUNCTION("IF(REGEXMATCH(N55, ""R""), ""R"","""")"),"R")</f>
        <v>R</v>
      </c>
      <c r="R55" s="237" t="str">
        <f>IFERROR(__xludf.DUMMYFUNCTION("IF(REGEXMATCH(N55, ""g""), ""g"","""")"),"")</f>
        <v/>
      </c>
      <c r="S55" s="236" t="str">
        <f>IFERROR(__xludf.DUMMYFUNCTION("IF(REGEXMATCH(N55, ""G""), ""G"","""")"),"")</f>
        <v/>
      </c>
      <c r="T55" s="236" t="str">
        <f>IFERROR(__xludf.DUMMYFUNCTION("IF(REGEXMATCH(N55, ""m""), ""m"","""")"),"m")</f>
        <v>m</v>
      </c>
      <c r="U55" s="237" t="str">
        <f>IFERROR(__xludf.DUMMYFUNCTION("IF(REGEXMATCH(N55, ""M""), ""M"","""")"),"")</f>
        <v/>
      </c>
      <c r="V55" s="236" t="str">
        <f>IFERROR(__xludf.DUMMYFUNCTION("IF(REGEXMATCH(N55, ""P""), ""P"","""")"),"")</f>
        <v/>
      </c>
      <c r="W55" s="237" t="str">
        <f>IFERROR(__xludf.DUMMYFUNCTION("IF(REGEXMATCH(N55, ""d""), ""d"","""")"),"d")</f>
        <v>d</v>
      </c>
      <c r="X55" s="236" t="str">
        <f>IFERROR(__xludf.DUMMYFUNCTION("IF(REGEXMATCH(N55, ""D""), ""D"","""")"),"")</f>
        <v/>
      </c>
      <c r="Y55" s="236" t="str">
        <f>IFERROR(__xludf.DUMMYFUNCTION("IF(REGEXMATCH(N55, ""n""), ""n"","""")"),"n")</f>
        <v>n</v>
      </c>
      <c r="Z55" s="237" t="str">
        <f>IFERROR(__xludf.DUMMYFUNCTION("IF(REGEXMATCH(N55, ""N""), ""N"","""")"),"")</f>
        <v/>
      </c>
      <c r="AA55" s="238" t="str">
        <f>IFERROR(__xludf.DUMMYFUNCTION("IF(REGEXMATCH(N55, ""S""), ""S"","""")"),"S")</f>
        <v>S</v>
      </c>
      <c r="AB55" s="239" t="str">
        <f>IFERROR(__xludf.DUMMYFUNCTION("SUBSTITUTE(CONCATENATE(JOIN(""-"",O55:U55)),""-"","""")"),"SRm")</f>
        <v>SRm</v>
      </c>
      <c r="AC55" s="229" t="str">
        <f>IFERROR(__xludf.DUMMYFUNCTION("SUBSTITUTE(CONCATENATE(JOIN(""-"",V55:AA55)),""-"","""")"),"dnS")</f>
        <v>dnS</v>
      </c>
      <c r="AD55" s="282" t="str">
        <f t="shared" si="10"/>
        <v>S-R-M</v>
      </c>
      <c r="AE55" s="282" t="str">
        <f t="shared" si="11"/>
        <v>D-N-S</v>
      </c>
      <c r="AF55" s="309" t="str">
        <f t="shared" si="12"/>
        <v>Rmdn</v>
      </c>
      <c r="AG55" s="244" t="str">
        <f>IFERROR(__xludf.DUMMYFUNCTION("IF(REGEXMATCH(N55, ""S""), ""0"","""")"),"0")</f>
        <v>0</v>
      </c>
      <c r="AH55" s="245" t="str">
        <f>IFERROR(__xludf.DUMMYFUNCTION("IF(REGEXMATCH(N55, ""r""), ""1"","""")"),"")</f>
        <v/>
      </c>
      <c r="AI55" s="246" t="str">
        <f>IFERROR(__xludf.DUMMYFUNCTION("IF(REGEXMATCH(N55, ""R""), ""2"","""")"),"2")</f>
        <v>2</v>
      </c>
      <c r="AJ55" s="246" t="str">
        <f>IFERROR(__xludf.DUMMYFUNCTION("IF(REGEXMATCH(N55, ""g""), ""3"","""")"),"")</f>
        <v/>
      </c>
      <c r="AK55" s="245" t="str">
        <f>IFERROR(__xludf.DUMMYFUNCTION("IF(REGEXMATCH(N55, ""G""), ""4"","""")"),"")</f>
        <v/>
      </c>
      <c r="AL55" s="245" t="str">
        <f>IFERROR(__xludf.DUMMYFUNCTION("IF(REGEXMATCH(N55, ""m""), ""5"","""")"),"5")</f>
        <v>5</v>
      </c>
      <c r="AM55" s="246" t="str">
        <f>IFERROR(__xludf.DUMMYFUNCTION("IF(REGEXMATCH(N55, ""M""), ""6"","""")"),"")</f>
        <v/>
      </c>
      <c r="AN55" s="245" t="str">
        <f>IFERROR(__xludf.DUMMYFUNCTION("IF(REGEXMATCH(N55, ""P""), ""7"","""")"),"")</f>
        <v/>
      </c>
      <c r="AO55" s="246" t="str">
        <f>IFERROR(__xludf.DUMMYFUNCTION("IF(REGEXMATCH(N55, ""d""), ""8"","""")"),"8")</f>
        <v>8</v>
      </c>
      <c r="AP55" s="245" t="str">
        <f>IFERROR(__xludf.DUMMYFUNCTION("IF(REGEXMATCH(N55, ""D""), ""9"","""")"),"")</f>
        <v/>
      </c>
      <c r="AQ55" s="245" t="str">
        <f>IFERROR(__xludf.DUMMYFUNCTION("IF(REGEXMATCH(N55, ""n""), ""10"","""")"),"10")</f>
        <v>10</v>
      </c>
      <c r="AR55" s="246" t="str">
        <f>IFERROR(__xludf.DUMMYFUNCTION("IF(REGEXMATCH(N55, ""N""), ""11"","""")"),"")</f>
        <v/>
      </c>
      <c r="AS55" s="249" t="str">
        <f>IFERROR(__xludf.DUMMYFUNCTION("IF(REGEXMATCH(N55, ""S""), ""0"","""")"),"0")</f>
        <v>0</v>
      </c>
      <c r="AT55" s="250" t="str">
        <f>IFERROR(__xludf.DUMMYFUNCTION("SUBSTITUTE(SUBSTITUTE(SUBSTITUTE(SUBSTITUTE(CONCATENATE(JOIN(""-"",AG55:AS55)),""--"",""-""),""--"",""-""),""--"",""-""),""--"",""-"")"),"0-2-5-8-10-0")</f>
        <v>0-2-5-8-10-0</v>
      </c>
      <c r="AU55" s="251">
        <f t="shared" si="13"/>
        <v>0</v>
      </c>
      <c r="AV55" s="234" t="str">
        <f t="shared" si="14"/>
        <v>|</v>
      </c>
      <c r="AW55" s="236" t="str">
        <f t="shared" si="15"/>
        <v>-</v>
      </c>
      <c r="AX55" s="237" t="str">
        <f t="shared" si="16"/>
        <v>|</v>
      </c>
      <c r="AY55" s="236" t="str">
        <f t="shared" si="17"/>
        <v>-</v>
      </c>
      <c r="AZ55" s="237" t="str">
        <f t="shared" si="18"/>
        <v>-</v>
      </c>
      <c r="BA55" s="236" t="str">
        <f t="shared" si="19"/>
        <v>|</v>
      </c>
      <c r="BB55" s="237" t="str">
        <f t="shared" si="20"/>
        <v>-</v>
      </c>
      <c r="BC55" s="236" t="str">
        <f t="shared" si="21"/>
        <v>-</v>
      </c>
      <c r="BD55" s="237" t="str">
        <f t="shared" si="22"/>
        <v>|</v>
      </c>
      <c r="BE55" s="236" t="str">
        <f t="shared" si="23"/>
        <v>-</v>
      </c>
      <c r="BF55" s="237" t="str">
        <f t="shared" si="24"/>
        <v>|</v>
      </c>
      <c r="BG55" s="236" t="str">
        <f t="shared" si="25"/>
        <v>-</v>
      </c>
      <c r="BH55" s="238" t="str">
        <f t="shared" si="26"/>
        <v>|</v>
      </c>
      <c r="BI55" s="250" t="str">
        <f>IFERROR(__xludf.DUMMYFUNCTION("SUBSTITUTE(SUBSTITUTE(CONCATENATE(JOIN("""",AV55:BG55)),""|"",""x""),""-"",""o"")"),"xoxooxooxoxo")</f>
        <v>xoxooxooxoxo</v>
      </c>
      <c r="BJ55" s="323" t="str">
        <f>IFERROR(__xludf.DUMMYFUNCTION("JOIN("""",BI55,BI55)"),"xoxooxooxoxoxoxooxooxoxo")</f>
        <v>xoxooxooxoxoxoxooxooxoxo</v>
      </c>
      <c r="BK55" s="256" t="str">
        <f>IFERROR(__xludf.DUMMYFUNCTION("JOIN("""",ArrayFormula(MID(BI55,LEN(BI55)-SEQUENCE(1,LEN(BI55))+1,1)))"),"oxoxooxooxox")</f>
        <v>oxoxooxooxox</v>
      </c>
      <c r="BL55" s="256" t="str">
        <f>IFERROR(__xludf.DUMMYFUNCTION("LEFT(CONCATENATE(""x"",JOIN("""",ArrayFormula(MID(BI55,LEN(BI55)-SEQUENCE(1,LEN(BI55))+1,1)))),12)"),"xoxoxooxooxo")</f>
        <v>xoxoxooxooxo</v>
      </c>
      <c r="BM55" s="327" t="str">
        <f>IFERROR(__xludf.DUMMYFUNCTION("JOIN("""",BK55,BK55)"),"oxoxooxooxoxoxoxooxooxox")</f>
        <v>oxoxooxooxoxoxoxooxooxox</v>
      </c>
      <c r="BN55" s="239" t="str">
        <f>IFERROR(__xludf.DUMMYFUNCTION("IF(REGEXMATCH(BM55,BI55),""✔"",""-"")"),"✔")</f>
        <v>✔</v>
      </c>
      <c r="BO55" s="330" t="str">
        <f t="shared" si="27"/>
        <v>-</v>
      </c>
      <c r="BP55" s="260" t="str">
        <f t="shared" si="28"/>
        <v>-</v>
      </c>
      <c r="BQ55" s="261" t="str">
        <f>IFERROR(__xludf.DUMMYFUNCTION("IF(BT55=0,""(n/a)"",IF(BU55=2,""(PAIR)"",IF(REGEXMATCH(BJ55,""xoxoxxoxoxox""),""Bilawal"",IF(REGEXMATCH(BJ55,""xoxoxooxoxoo""),""Bhupali"",IF(REGEXMATCH(BJ55,""xoxoxxoxxoxo""),""Charukeshi"",IF(REGEXMATCH(BJ55,""xoxoooxxoxxo""),""Kameshwari"",IF(REGEXMATC"&amp;"H(BJ55,""xoxoxooxoxox""),""Shankara"",IF(REGEXMATCH(BJ55,""xxooxoxxxoox""),""Basant"",IF(REGEXMATCH(BJ55,""xoxoxxxxoxox""),""Bihag"",IF(REGEXMATCH(BJ55,""xoxxxxoxoxxx""),""Pilu"",IF(REGEXMATCH(BJ55,""xoxxoxoxxoox""),""Kirwani"",IF(REGEXMATCH(BJ55,""xoxxox"&amp;"oxoxxx""),""Mk.Malhar"",IF(REGEXMATCH(BJ55,""xxooxxoxxoox""),""Bhairav"",IF(REGEXMATCH(BJ55,""xxoxooxxxoox""),""Todi"",IF(REGEXMATCH(BJ55,""xxooxoxooxox""),""Marwa"",IF(REGEXMATCH(BJ55,""xxoooxoxxooo""),""Gunkali"",IF(REGEXMATCH(BJ55,""xoxoxxoxxoox""),""N"&amp;"at Bhairav"",IF(REGEXMATCH(BJ55,""xoxxoooxoxoo""),""Shivranjani"",IF(REGEXMATCH(BJ55,""xooxxxoxooxo""),""Jog"",IF(REGEXMATCH(BJ55,""xxooxoxoxoox""),""Hemshri"",IF(REGEXMATCH(BJ55,""xoooxooxoxxo""),""Kalavati"",IF(REGEXMATCH(BJ55,""xxoxoxxoxoox""),""Kedar"&amp;""",IF(REGEXMATCH(BJ55,""xoxxxxoxooxx""),""Gara"",IF(REGEXMATCH(BJ55,""xooxoxooxoox""),""Chandrakauns"",IF(REGEXMATCH(BJ55,""xoxxxxoxxxox""),""Mand"",IF(REGEXMATCH(BJ55,""xoxxxxoxoxox""),""Hanskinkini"",IF(REGEXMATCH(BJ55,""xxooxxoxooxo""),""Lilavati"",IF("&amp;"REGEXMATCH(BJ55,""xooxoxoooxox""),""Rajeshwari"",IF(REGEXMATCH(BJ55,""xoooxxoxoxxx""),""Khokar"",IF(REGEXMATCH(BJ55,""xxooxoxxxxox""),""Maligoura"",""-""))))))))))))))))))))))))))))))"),"(PAIR)")</f>
        <v>(PAIR)</v>
      </c>
      <c r="BR55" s="239">
        <f t="shared" si="29"/>
        <v>4</v>
      </c>
      <c r="BS55" s="239">
        <f>IFERROR(__xludf.DUMMYFUNCTION("COUNTUNIQUE(BW55:CG55)-1"),4.0)</f>
        <v>4</v>
      </c>
      <c r="BT55" s="239">
        <f>IFERROR(__xludf.DUMMYFUNCTION("COUNTUNIQUE(FILTER(BJ:BJ,REGEXMATCH(BJ:BJ,BI55)))-1"),1.0)</f>
        <v>1</v>
      </c>
      <c r="BU55" s="239">
        <f>IFERROR(__xludf.DUMMYFUNCTION("COUNTA(FILTER(BJ:BJ,REGEXMATCH(BJ:BJ,BI55)))"),2.0)</f>
        <v>2</v>
      </c>
      <c r="BV55" s="341">
        <f>IFERROR(__xludf.DUMMYFUNCTION("COUNTA(FILTER(BJ:BJ,REGEXMATCH(BJ:BJ,BI55)))-AU55"),2.0)</f>
        <v>2</v>
      </c>
      <c r="BW55" s="269" t="str">
        <f t="shared" si="30"/>
        <v>-</v>
      </c>
      <c r="BX55" s="269" t="str">
        <f t="shared" si="31"/>
        <v>xooxooxoxox</v>
      </c>
      <c r="BY55" s="271" t="str">
        <f t="shared" si="32"/>
        <v>-</v>
      </c>
      <c r="BZ55" s="269" t="str">
        <f t="shared" si="33"/>
        <v>-</v>
      </c>
      <c r="CA55" s="271" t="str">
        <f t="shared" si="34"/>
        <v>xooxoxoxoxo</v>
      </c>
      <c r="CB55" s="271" t="str">
        <f t="shared" si="35"/>
        <v>-</v>
      </c>
      <c r="CC55" s="271" t="str">
        <f t="shared" si="36"/>
        <v>-</v>
      </c>
      <c r="CD55" s="271" t="str">
        <f t="shared" si="37"/>
        <v>xoxoxoxooxo</v>
      </c>
      <c r="CE55" s="271" t="str">
        <f t="shared" si="38"/>
        <v>-</v>
      </c>
      <c r="CF55" s="271" t="str">
        <f t="shared" si="39"/>
        <v>xoxoxooxoox</v>
      </c>
      <c r="CG55" s="274" t="str">
        <f t="shared" si="40"/>
        <v>-</v>
      </c>
      <c r="CH55" s="276" t="str">
        <f>IFERROR(__xludf.DUMMYFUNCTION("IF(BI55=""oooooooooooo"",""-"",IF(REGEXMATCH(BJ55,""xx""), ""Hemi."", ""Anhemi.""))"),"Anhemi.")</f>
        <v>Anhemi.</v>
      </c>
      <c r="CI55" s="282" t="str">
        <f>IFERROR(__xludf.DUMMYFUNCTION("IF(BI55=""oooooooooooo"",""-"",IF(REGEXMATCH(BJ55,""xxx""), ""Cohem."", ""-""))"),"-")</f>
        <v>-</v>
      </c>
      <c r="CJ55" s="282" t="str">
        <f>IFERROR(__xludf.DUMMYFUNCTION("IF(BI55=""oooooooooooo"",""-"",IF(REGEXMATCH(BJ55,""xxxx""), ""Co-Co."", ""-""))"),"-")</f>
        <v>-</v>
      </c>
      <c r="CK55" s="342" t="str">
        <f>IFERROR(__xludf.DUMMYFUNCTION("IF(BI55=""oooooooooooo"",""-"",IF(REGEXMATCH(BJ55,""xxxxx""), ""CCC."", ""-""))"),"-")</f>
        <v>-</v>
      </c>
      <c r="CL55" s="344" t="str">
        <f t="shared" si="41"/>
        <v>-</v>
      </c>
      <c r="CM55" s="282" t="str">
        <f>IFERROR(__xludf.DUMMYFUNCTION("IF(REGEXMATCH(JOIN(""-"",CO55:CX55),""TRUE""),""✔"",""-"")"),"✔")</f>
        <v>✔</v>
      </c>
      <c r="CN55" s="225">
        <f t="shared" si="42"/>
        <v>1</v>
      </c>
      <c r="CO55" s="376" t="b">
        <f>IFERROR(__xludf.DUMMYFUNCTION("arrayformula(sum(--REGEXMATCH(""SRGMPDNS"",split(REGEXREPLACE(N55,""(.)"",""$1~""),""~""))))=len(N55)
"),FALSE)</f>
        <v>0</v>
      </c>
      <c r="CP55" s="290" t="b">
        <f>IFERROR(__xludf.DUMMYFUNCTION("arrayformula(sum(--REGEXMATCH(""SRGmPDNS"",split(REGEXREPLACE(N55,""(.)"",""$1~""),""~""))))=len(N55)"),FALSE)</f>
        <v>0</v>
      </c>
      <c r="CQ55" s="290" t="b">
        <f>IFERROR(__xludf.DUMMYFUNCTION("arrayformula(sum(--REGEXMATCH(""SRGmPDnS"",split(REGEXREPLACE(N55,""(.)"",""$1~""),""~""))))=len(N55)"),FALSE)</f>
        <v>0</v>
      </c>
      <c r="CR55" s="290" t="b">
        <f>IFERROR(__xludf.DUMMYFUNCTION("arrayformula(sum(--REGEXMATCH(""SRgmPDnS"",split(REGEXREPLACE(N55,""(.)"",""$1~""),""~""))))=len(N55)"),FALSE)</f>
        <v>0</v>
      </c>
      <c r="CS55" s="290" t="b">
        <f>IFERROR(__xludf.DUMMYFUNCTION("arrayformula(sum(--REGEXMATCH(""SRgmPdnS"",split(REGEXREPLACE(N55,""(.)"",""$1~""),""~""))))=len(N55)"),TRUE)</f>
        <v>1</v>
      </c>
      <c r="CT55" s="290" t="b">
        <f>IFERROR(__xludf.DUMMYFUNCTION("arrayformula(sum(--REGEXMATCH(""SrgmPdnS"",split(REGEXREPLACE(N55,""(.)"",""$1~""),""~""))))=len(N55)"),FALSE)</f>
        <v>0</v>
      </c>
      <c r="CU55" s="290" t="b">
        <f>IFERROR(__xludf.DUMMYFUNCTION("arrayformula(sum(--REGEXMATCH(""SrGmPdNS"",split(REGEXREPLACE(N55,""(.)"",""$1~""),""~""))))=len(N55)"),FALSE)</f>
        <v>0</v>
      </c>
      <c r="CV55" s="290" t="b">
        <f>IFERROR(__xludf.DUMMYFUNCTION("arrayformula(sum(--REGEXMATCH(""SrGMPDNS"",split(REGEXREPLACE(N55,""(.)"",""$1~""),""~""))))=len(N55)"),FALSE)</f>
        <v>0</v>
      </c>
      <c r="CW55" s="290" t="b">
        <f>IFERROR(__xludf.DUMMYFUNCTION("arrayformula(sum(--REGEXMATCH(""SrGMPdNS"",split(REGEXREPLACE(N55,""(.)"",""$1~""),""~""))))=len(N55)"),FALSE)</f>
        <v>0</v>
      </c>
      <c r="CX55" s="293" t="b">
        <f>IFERROR(__xludf.DUMMYFUNCTION("arrayformula(sum(--REGEXMATCH(""SrgMPdNS"",split(REGEXREPLACE(N55,""(.)"",""$1~""),""~""))))=len(N55)"),FALSE)</f>
        <v>0</v>
      </c>
      <c r="CY55" s="244" t="str">
        <f>IFERROR(__xludf.DUMMYFUNCTION("IF(REGEXMATCH(N55, ""S""), ""1"","""")"),"1")</f>
        <v>1</v>
      </c>
      <c r="CZ55" s="245" t="str">
        <f>IFERROR(__xludf.DUMMYFUNCTION("IF(REGEXMATCH(N55, ""r""), ""b2"","""")"),"")</f>
        <v/>
      </c>
      <c r="DA55" s="246" t="str">
        <f>IFERROR(__xludf.DUMMYFUNCTION("IF(REGEXMATCH(N55, ""R""), ""2"","""")"),"2")</f>
        <v>2</v>
      </c>
      <c r="DB55" s="246" t="str">
        <f>IFERROR(__xludf.DUMMYFUNCTION("IF(REGEXMATCH(N55, ""g""), ""b3"","""")"),"")</f>
        <v/>
      </c>
      <c r="DC55" s="245" t="str">
        <f>IFERROR(__xludf.DUMMYFUNCTION("IF(REGEXMATCH(N55, ""G""), ""3"","""")"),"")</f>
        <v/>
      </c>
      <c r="DD55" s="245" t="str">
        <f>IFERROR(__xludf.DUMMYFUNCTION("IF(REGEXMATCH(N55, ""m""), ""4"","""")"),"4")</f>
        <v>4</v>
      </c>
      <c r="DE55" s="246" t="str">
        <f>IFERROR(__xludf.DUMMYFUNCTION("IF(REGEXMATCH(N55, ""M""), ""#4"","""")"),"")</f>
        <v/>
      </c>
      <c r="DF55" s="245" t="str">
        <f>IFERROR(__xludf.DUMMYFUNCTION("IF(REGEXMATCH(N55, ""P""), ""5"","""")"),"")</f>
        <v/>
      </c>
      <c r="DG55" s="246" t="str">
        <f>IFERROR(__xludf.DUMMYFUNCTION("IF(REGEXMATCH(N55, ""d""), ""b6"","""")"),"b6")</f>
        <v>b6</v>
      </c>
      <c r="DH55" s="245" t="str">
        <f>IFERROR(__xludf.DUMMYFUNCTION("IF(REGEXMATCH(N55, ""D""), ""6"","""")"),"")</f>
        <v/>
      </c>
      <c r="DI55" s="245" t="str">
        <f>IFERROR(__xludf.DUMMYFUNCTION("IF(REGEXMATCH(N55, ""n""), ""b7"","""")"),"b7")</f>
        <v>b7</v>
      </c>
      <c r="DJ55" s="246" t="str">
        <f>IFERROR(__xludf.DUMMYFUNCTION("IF(REGEXMATCH(N55, ""N""), ""7"","""")"),"")</f>
        <v/>
      </c>
      <c r="DK55" s="249" t="str">
        <f>IFERROR(__xludf.DUMMYFUNCTION("IF(REGEXMATCH(N55, ""S""), ""8"","""")"),"8")</f>
        <v>8</v>
      </c>
      <c r="DL55" s="244" t="str">
        <f>IFERROR(__xludf.DUMMYFUNCTION("IF(REGEXMATCH(N55, ""S""), ""S"","""")"),"S")</f>
        <v>S</v>
      </c>
      <c r="DM55" s="294" t="str">
        <f>IFERROR(__xludf.DUMMYFUNCTION("IF(REGEXMATCH(N55, ""r""), ""R1"","""")"),"")</f>
        <v/>
      </c>
      <c r="DN55" s="295" t="str">
        <f>IFERROR(__xludf.DUMMYFUNCTION("IF(REGEXMATCH(N55, ""R""), ""R2"","""")"),"R2")</f>
        <v>R2</v>
      </c>
      <c r="DO55" s="295" t="str">
        <f>IFERROR(__xludf.DUMMYFUNCTION("IF(REGEXMATCH(N55, ""g""), ""G2"","""")"),"")</f>
        <v/>
      </c>
      <c r="DP55" s="294" t="str">
        <f>IFERROR(__xludf.DUMMYFUNCTION("IF(REGEXMATCH(N55, ""G""), ""G3"","""")"),"")</f>
        <v/>
      </c>
      <c r="DQ55" s="294" t="str">
        <f>IFERROR(__xludf.DUMMYFUNCTION("IF(REGEXMATCH(N55, ""m""), ""M1"","""")"),"M1")</f>
        <v>M1</v>
      </c>
      <c r="DR55" s="295" t="str">
        <f>IFERROR(__xludf.DUMMYFUNCTION("IF(REGEXMATCH(N55, ""M""), ""M2"","""")"),"")</f>
        <v/>
      </c>
      <c r="DS55" s="294" t="str">
        <f>IFERROR(__xludf.DUMMYFUNCTION("IF(REGEXMATCH(N55, ""P""), ""P"","""")"),"")</f>
        <v/>
      </c>
      <c r="DT55" s="295" t="str">
        <f>IFERROR(__xludf.DUMMYFUNCTION("IF(REGEXMATCH(N55, ""d""), ""D1"","""")"),"D1")</f>
        <v>D1</v>
      </c>
      <c r="DU55" s="294" t="str">
        <f>IFERROR(__xludf.DUMMYFUNCTION("IF(REGEXMATCH(N55, ""D""), ""D2"","""")"),"")</f>
        <v/>
      </c>
      <c r="DV55" s="294" t="str">
        <f>IFERROR(__xludf.DUMMYFUNCTION("IF(REGEXMATCH(N55, ""n""), ""N2"","""")"),"N2")</f>
        <v>N2</v>
      </c>
      <c r="DW55" s="295" t="str">
        <f>IFERROR(__xludf.DUMMYFUNCTION("IF(REGEXMATCH(N55, ""N""), ""N3"","""")"),"")</f>
        <v/>
      </c>
      <c r="DX55" s="249" t="str">
        <f>IFERROR(__xludf.DUMMYFUNCTION("IF(REGEXMATCH(N55, ""S""), ""S"","""")"),"S")</f>
        <v>S</v>
      </c>
      <c r="DY55" s="299" t="str">
        <f>IFERROR(__xludf.DUMMYFUNCTION("SUBSTITUTE(SUBSTITUTE(SUBSTITUTE(SUBSTITUTE(CONCATENATE(JOIN(""-"",CY55:DK55)),""--"",""-""),""--"",""-""),""--"",""-""),""--"",""-"")"),"1-2-4-b6-b7-8")</f>
        <v>1-2-4-b6-b7-8</v>
      </c>
      <c r="DZ55" s="299" t="str">
        <f>IFERROR(__xludf.DUMMYFUNCTION("SUBSTITUTE(SUBSTITUTE(SUBSTITUTE(SUBSTITUTE(CONCATENATE(JOIN(""-"",DL55:DX55)),""--"",""-""),""--"",""-""),""--"",""-""),""--"",""-"")"),"S-R2-M1-D1-N2-S")</f>
        <v>S-R2-M1-D1-N2-S</v>
      </c>
      <c r="EA55" s="348" t="str">
        <f t="shared" si="43"/>
        <v>C-D-F-Ab-Bb-C</v>
      </c>
      <c r="EB55" s="301">
        <f t="shared" si="44"/>
        <v>5</v>
      </c>
      <c r="EC55" s="302" t="str">
        <f t="shared" si="45"/>
        <v>Audav</v>
      </c>
      <c r="ED55" s="301" t="str">
        <f t="shared" ref="ED55:EE55" si="221">SUBSTITUTE(AD55,"-","")</f>
        <v>SRM</v>
      </c>
      <c r="EE55" s="301" t="str">
        <f t="shared" si="221"/>
        <v>DNS</v>
      </c>
      <c r="EF55" s="302" t="str">
        <f t="shared" si="47"/>
        <v>(PAIR)</v>
      </c>
      <c r="EG55" s="301" t="str">
        <f t="shared" si="48"/>
        <v>Anhemi.</v>
      </c>
      <c r="EH55" s="364" t="str">
        <f t="shared" si="49"/>
        <v>-</v>
      </c>
      <c r="EI55" s="306" t="str">
        <f t="shared" si="50"/>
        <v>-</v>
      </c>
      <c r="EJ55" s="366" t="str">
        <f t="shared" si="51"/>
        <v>✔</v>
      </c>
      <c r="EK55" s="308" t="str">
        <f t="shared" si="52"/>
        <v>-</v>
      </c>
      <c r="EL55" s="306" t="str">
        <f t="shared" si="53"/>
        <v>-</v>
      </c>
      <c r="EM55" s="306" t="str">
        <f t="shared" si="54"/>
        <v>-</v>
      </c>
      <c r="EN55" s="367" t="str">
        <f t="shared" si="55"/>
        <v>-</v>
      </c>
      <c r="EO55" s="310" t="str">
        <f t="shared" si="56"/>
        <v>-</v>
      </c>
      <c r="EP55" s="310" t="str">
        <f t="shared" si="57"/>
        <v>-</v>
      </c>
      <c r="EQ55" s="310" t="str">
        <f t="shared" si="58"/>
        <v>-</v>
      </c>
      <c r="ER55" s="310" t="str">
        <f t="shared" si="59"/>
        <v>-</v>
      </c>
      <c r="ES55" s="370" t="str">
        <f t="shared" si="60"/>
        <v>-</v>
      </c>
      <c r="ET55" s="306" t="str">
        <f t="shared" si="61"/>
        <v>-</v>
      </c>
      <c r="EU55" s="306" t="str">
        <f t="shared" si="62"/>
        <v>✔</v>
      </c>
      <c r="EV55" s="306" t="str">
        <f t="shared" si="63"/>
        <v>-</v>
      </c>
      <c r="EW55" s="306" t="str">
        <f t="shared" si="64"/>
        <v>✔</v>
      </c>
      <c r="EX55" s="306" t="str">
        <f t="shared" si="65"/>
        <v>-</v>
      </c>
      <c r="EY55" s="367" t="str">
        <f t="shared" si="66"/>
        <v>-</v>
      </c>
      <c r="EZ55" s="310" t="str">
        <f>IFERROR(__xludf.DUMMYFUNCTION("IF(REGEXMATCH(BM55,BI55),""✔"",""-"")"),"✔")</f>
        <v>✔</v>
      </c>
      <c r="FA55" s="310" t="str">
        <f t="shared" si="67"/>
        <v>-</v>
      </c>
      <c r="FB55" s="370" t="str">
        <f t="shared" si="68"/>
        <v>-</v>
      </c>
      <c r="FC55" s="315" t="str">
        <f t="shared" si="69"/>
        <v>[UQ]</v>
      </c>
      <c r="FD55" s="317" t="str">
        <f t="shared" si="70"/>
        <v>S-R-m-d-n-S</v>
      </c>
      <c r="FE55" s="318" t="str">
        <f>IFERROR(__xludf.DUMMYFUNCTION("CONCATENATE(JOIN("""",GJ55:GV55))"),"SRGPnS")</f>
        <v>SRGPnS</v>
      </c>
      <c r="FF55" s="318"/>
      <c r="FG55" s="318"/>
      <c r="FH55" s="321">
        <f t="shared" si="71"/>
        <v>3</v>
      </c>
      <c r="FI55" s="318" t="str">
        <f>IFERROR(__xludf.DUMMYFUNCTION("CONCATENATE(JOIN("""",HW55:II55))"),"Sa, Re, dha, ")</f>
        <v>Sa, Re, dha, </v>
      </c>
      <c r="FJ55" s="322">
        <f t="shared" si="72"/>
        <v>2</v>
      </c>
      <c r="FK55" s="324" t="str">
        <f>IFERROR(__xludf.DUMMYFUNCTION("CONCATENATE(JOIN("""",IW55:JI55))"),"Re, dha, ")</f>
        <v>Re, dha, </v>
      </c>
      <c r="FL55" s="325" t="str">
        <f t="shared" si="73"/>
        <v>S-R2-M1-D1-N2-S</v>
      </c>
      <c r="FM55" s="326" t="str">
        <f t="shared" si="74"/>
        <v>1-2-4-b6-b7-8</v>
      </c>
      <c r="FN55" s="326" t="str">
        <f t="shared" si="75"/>
        <v>0-2-5-8-10-0</v>
      </c>
      <c r="FO55" s="318"/>
      <c r="FP55" s="328" t="str">
        <f>IFERROR(__xludf.DUMMYFUNCTION("SUBSTITUTE(SUBSTITUTE(SUBSTITUTE(SUBSTITUTE(CONCATENATE(JOIN("" "",FS55:GE55)),""  "","" ""),""  "","" ""),""  "","" ""),""  "","" "")"),"o • o • • o • • o • o • o")</f>
        <v>o • o • • o • • o • o • o</v>
      </c>
      <c r="FQ55" s="328" t="str">
        <f t="shared" si="76"/>
        <v>Sa-ma</v>
      </c>
      <c r="FR55" s="329"/>
      <c r="FS55" s="331" t="str">
        <f t="shared" si="77"/>
        <v>o</v>
      </c>
      <c r="FT55" s="332" t="str">
        <f t="shared" si="78"/>
        <v>•</v>
      </c>
      <c r="FU55" s="332" t="str">
        <f t="shared" si="79"/>
        <v>o</v>
      </c>
      <c r="FV55" s="332" t="str">
        <f t="shared" si="80"/>
        <v>•</v>
      </c>
      <c r="FW55" s="332" t="str">
        <f t="shared" si="81"/>
        <v>•</v>
      </c>
      <c r="FX55" s="332" t="str">
        <f t="shared" si="82"/>
        <v>o</v>
      </c>
      <c r="FY55" s="332" t="str">
        <f t="shared" si="83"/>
        <v>•</v>
      </c>
      <c r="FZ55" s="332" t="str">
        <f t="shared" si="84"/>
        <v>•</v>
      </c>
      <c r="GA55" s="332" t="str">
        <f t="shared" si="85"/>
        <v>o</v>
      </c>
      <c r="GB55" s="332" t="str">
        <f t="shared" si="86"/>
        <v>•</v>
      </c>
      <c r="GC55" s="332" t="str">
        <f t="shared" si="87"/>
        <v>o</v>
      </c>
      <c r="GD55" s="332" t="str">
        <f t="shared" si="88"/>
        <v>•</v>
      </c>
      <c r="GE55" s="338" t="str">
        <f t="shared" si="89"/>
        <v>o</v>
      </c>
      <c r="GF55" s="339" t="str">
        <f t="shared" si="90"/>
        <v>-</v>
      </c>
      <c r="GG55" s="339" t="str">
        <f t="shared" si="91"/>
        <v>-</v>
      </c>
      <c r="GH55" s="339" t="str">
        <f t="shared" si="92"/>
        <v>-</v>
      </c>
      <c r="GI55" s="340" t="str">
        <f t="shared" si="93"/>
        <v>Sa-ma</v>
      </c>
      <c r="GJ55" s="331" t="str">
        <f t="shared" si="94"/>
        <v>S</v>
      </c>
      <c r="GK55" s="332" t="str">
        <f t="shared" si="95"/>
        <v/>
      </c>
      <c r="GL55" s="332" t="str">
        <f t="shared" si="96"/>
        <v>R</v>
      </c>
      <c r="GM55" s="332" t="str">
        <f t="shared" si="97"/>
        <v/>
      </c>
      <c r="GN55" s="332" t="str">
        <f t="shared" si="98"/>
        <v>G</v>
      </c>
      <c r="GO55" s="332" t="str">
        <f t="shared" si="99"/>
        <v/>
      </c>
      <c r="GP55" s="332" t="str">
        <f t="shared" si="100"/>
        <v/>
      </c>
      <c r="GQ55" s="332" t="str">
        <f t="shared" si="101"/>
        <v>P</v>
      </c>
      <c r="GR55" s="332" t="str">
        <f t="shared" si="102"/>
        <v/>
      </c>
      <c r="GS55" s="332" t="str">
        <f t="shared" si="103"/>
        <v/>
      </c>
      <c r="GT55" s="332" t="str">
        <f t="shared" si="104"/>
        <v>n</v>
      </c>
      <c r="GU55" s="332" t="str">
        <f t="shared" si="105"/>
        <v/>
      </c>
      <c r="GV55" s="343" t="str">
        <f t="shared" si="106"/>
        <v>S</v>
      </c>
      <c r="GW55" s="331" t="str">
        <f t="shared" si="107"/>
        <v>•</v>
      </c>
      <c r="GX55" s="332" t="str">
        <f t="shared" si="108"/>
        <v>o</v>
      </c>
      <c r="GY55" s="332" t="str">
        <f t="shared" si="109"/>
        <v>•</v>
      </c>
      <c r="GZ55" s="332" t="str">
        <f t="shared" si="110"/>
        <v>o</v>
      </c>
      <c r="HA55" s="332" t="str">
        <f t="shared" si="111"/>
        <v>o</v>
      </c>
      <c r="HB55" s="332" t="str">
        <f t="shared" si="112"/>
        <v>•</v>
      </c>
      <c r="HC55" s="332" t="str">
        <f t="shared" si="113"/>
        <v>o</v>
      </c>
      <c r="HD55" s="332" t="str">
        <f t="shared" si="114"/>
        <v>o</v>
      </c>
      <c r="HE55" s="332" t="str">
        <f t="shared" si="115"/>
        <v>•</v>
      </c>
      <c r="HF55" s="332" t="str">
        <f t="shared" si="116"/>
        <v>o</v>
      </c>
      <c r="HG55" s="332" t="str">
        <f t="shared" si="117"/>
        <v>•</v>
      </c>
      <c r="HH55" s="332" t="str">
        <f t="shared" si="118"/>
        <v>o</v>
      </c>
      <c r="HI55" s="338" t="str">
        <f t="shared" si="119"/>
        <v>•</v>
      </c>
      <c r="HJ55" s="346" t="b">
        <f t="shared" si="120"/>
        <v>1</v>
      </c>
      <c r="HK55" s="347" t="b">
        <f t="shared" si="121"/>
        <v>0</v>
      </c>
      <c r="HL55" s="347" t="b">
        <f t="shared" si="122"/>
        <v>1</v>
      </c>
      <c r="HM55" s="347" t="b">
        <f t="shared" si="123"/>
        <v>0</v>
      </c>
      <c r="HN55" s="347" t="b">
        <f t="shared" si="124"/>
        <v>0</v>
      </c>
      <c r="HO55" s="347" t="b">
        <f t="shared" si="125"/>
        <v>0</v>
      </c>
      <c r="HP55" s="347" t="b">
        <f t="shared" si="126"/>
        <v>0</v>
      </c>
      <c r="HQ55" s="347" t="b">
        <f t="shared" si="127"/>
        <v>0</v>
      </c>
      <c r="HR55" s="347" t="b">
        <f t="shared" si="128"/>
        <v>1</v>
      </c>
      <c r="HS55" s="347" t="b">
        <f t="shared" si="129"/>
        <v>0</v>
      </c>
      <c r="HT55" s="347" t="b">
        <f t="shared" si="130"/>
        <v>0</v>
      </c>
      <c r="HU55" s="347" t="b">
        <f t="shared" si="131"/>
        <v>0</v>
      </c>
      <c r="HV55" s="353" t="b">
        <f t="shared" si="132"/>
        <v>1</v>
      </c>
      <c r="HW55" s="354" t="str">
        <f t="shared" si="133"/>
        <v>Sa, </v>
      </c>
      <c r="HX55" s="355" t="str">
        <f t="shared" si="134"/>
        <v/>
      </c>
      <c r="HY55" s="355" t="str">
        <f t="shared" si="135"/>
        <v>Re, </v>
      </c>
      <c r="HZ55" s="355" t="str">
        <f t="shared" si="136"/>
        <v/>
      </c>
      <c r="IA55" s="355" t="str">
        <f t="shared" si="137"/>
        <v/>
      </c>
      <c r="IB55" s="355" t="str">
        <f t="shared" si="138"/>
        <v/>
      </c>
      <c r="IC55" s="355" t="str">
        <f t="shared" si="139"/>
        <v/>
      </c>
      <c r="ID55" s="355" t="str">
        <f t="shared" si="140"/>
        <v/>
      </c>
      <c r="IE55" s="355" t="str">
        <f t="shared" si="141"/>
        <v>dha, </v>
      </c>
      <c r="IF55" s="355" t="str">
        <f t="shared" si="142"/>
        <v/>
      </c>
      <c r="IG55" s="355" t="str">
        <f t="shared" si="143"/>
        <v/>
      </c>
      <c r="IH55" s="355" t="str">
        <f t="shared" si="144"/>
        <v/>
      </c>
      <c r="II55" s="359" t="str">
        <f t="shared" si="145"/>
        <v/>
      </c>
      <c r="IJ55" s="346" t="b">
        <f t="shared" si="146"/>
        <v>0</v>
      </c>
      <c r="IK55" s="347" t="b">
        <f t="shared" si="147"/>
        <v>0</v>
      </c>
      <c r="IL55" s="347" t="b">
        <f t="shared" si="148"/>
        <v>1</v>
      </c>
      <c r="IM55" s="347" t="b">
        <f t="shared" si="149"/>
        <v>0</v>
      </c>
      <c r="IN55" s="347" t="b">
        <f t="shared" si="150"/>
        <v>0</v>
      </c>
      <c r="IO55" s="347" t="b">
        <f t="shared" si="151"/>
        <v>0</v>
      </c>
      <c r="IP55" s="347" t="b">
        <f t="shared" si="152"/>
        <v>0</v>
      </c>
      <c r="IQ55" s="347" t="b">
        <f t="shared" si="153"/>
        <v>0</v>
      </c>
      <c r="IR55" s="347" t="b">
        <f t="shared" si="154"/>
        <v>1</v>
      </c>
      <c r="IS55" s="347" t="b">
        <f t="shared" si="155"/>
        <v>0</v>
      </c>
      <c r="IT55" s="347" t="b">
        <f t="shared" si="156"/>
        <v>0</v>
      </c>
      <c r="IU55" s="347" t="b">
        <f t="shared" si="157"/>
        <v>0</v>
      </c>
      <c r="IV55" s="365" t="b">
        <f t="shared" si="158"/>
        <v>0</v>
      </c>
      <c r="IW55" s="354" t="str">
        <f t="shared" si="159"/>
        <v/>
      </c>
      <c r="IX55" s="355" t="str">
        <f t="shared" si="160"/>
        <v/>
      </c>
      <c r="IY55" s="355" t="str">
        <f t="shared" si="161"/>
        <v>Re, </v>
      </c>
      <c r="IZ55" s="355" t="str">
        <f t="shared" si="162"/>
        <v/>
      </c>
      <c r="JA55" s="355" t="str">
        <f t="shared" si="163"/>
        <v/>
      </c>
      <c r="JB55" s="355" t="str">
        <f t="shared" si="164"/>
        <v/>
      </c>
      <c r="JC55" s="355" t="str">
        <f t="shared" si="165"/>
        <v/>
      </c>
      <c r="JD55" s="355" t="str">
        <f t="shared" si="166"/>
        <v/>
      </c>
      <c r="JE55" s="355" t="str">
        <f t="shared" si="167"/>
        <v>dha, </v>
      </c>
      <c r="JF55" s="355" t="str">
        <f t="shared" si="168"/>
        <v/>
      </c>
      <c r="JG55" s="355" t="str">
        <f t="shared" si="169"/>
        <v/>
      </c>
      <c r="JH55" s="355" t="str">
        <f t="shared" si="170"/>
        <v/>
      </c>
      <c r="JI55" s="359"/>
      <c r="JJ55" s="321"/>
      <c r="JK55" s="368"/>
      <c r="JL55" s="369"/>
      <c r="JM55" s="369"/>
      <c r="JN55" s="369"/>
      <c r="JO55" s="369"/>
      <c r="JP55" s="369"/>
      <c r="JQ55" s="369"/>
      <c r="JR55" s="369"/>
      <c r="JS55" s="369"/>
      <c r="JT55" s="369"/>
      <c r="JU55" s="369"/>
    </row>
    <row r="56" ht="20.25" customHeight="1">
      <c r="A56" s="221" t="s">
        <v>1340</v>
      </c>
      <c r="B56" s="223" t="s">
        <v>1202</v>
      </c>
      <c r="C56" s="222" t="s">
        <v>275</v>
      </c>
      <c r="D56" s="222"/>
      <c r="E56" s="222"/>
      <c r="F56" s="222"/>
      <c r="G56" s="395" t="s">
        <v>275</v>
      </c>
      <c r="H56" s="222">
        <v>54.0</v>
      </c>
      <c r="I56" s="224" t="s">
        <v>1219</v>
      </c>
      <c r="J56" s="414">
        <f t="shared" si="5"/>
        <v>2</v>
      </c>
      <c r="K56" s="227">
        <f t="shared" si="6"/>
        <v>5</v>
      </c>
      <c r="L56" s="229">
        <f t="shared" si="7"/>
        <v>5</v>
      </c>
      <c r="M56" s="230">
        <f t="shared" si="8"/>
        <v>0</v>
      </c>
      <c r="N56" s="233" t="str">
        <f t="shared" si="9"/>
        <v>SgmDnS</v>
      </c>
      <c r="O56" s="234" t="str">
        <f>IFERROR(__xludf.DUMMYFUNCTION("IF(REGEXMATCH(N56, ""S""), ""S"","""")"),"S")</f>
        <v>S</v>
      </c>
      <c r="P56" s="236" t="str">
        <f>IFERROR(__xludf.DUMMYFUNCTION("IF(REGEXMATCH(N56, ""r""), ""r"","""")"),"")</f>
        <v/>
      </c>
      <c r="Q56" s="237" t="str">
        <f>IFERROR(__xludf.DUMMYFUNCTION("IF(REGEXMATCH(N56, ""R""), ""R"","""")"),"")</f>
        <v/>
      </c>
      <c r="R56" s="237" t="str">
        <f>IFERROR(__xludf.DUMMYFUNCTION("IF(REGEXMATCH(N56, ""g""), ""g"","""")"),"g")</f>
        <v>g</v>
      </c>
      <c r="S56" s="236" t="str">
        <f>IFERROR(__xludf.DUMMYFUNCTION("IF(REGEXMATCH(N56, ""G""), ""G"","""")"),"")</f>
        <v/>
      </c>
      <c r="T56" s="236" t="str">
        <f>IFERROR(__xludf.DUMMYFUNCTION("IF(REGEXMATCH(N56, ""m""), ""m"","""")"),"m")</f>
        <v>m</v>
      </c>
      <c r="U56" s="237" t="str">
        <f>IFERROR(__xludf.DUMMYFUNCTION("IF(REGEXMATCH(N56, ""M""), ""M"","""")"),"")</f>
        <v/>
      </c>
      <c r="V56" s="236" t="str">
        <f>IFERROR(__xludf.DUMMYFUNCTION("IF(REGEXMATCH(N56, ""P""), ""P"","""")"),"")</f>
        <v/>
      </c>
      <c r="W56" s="237" t="str">
        <f>IFERROR(__xludf.DUMMYFUNCTION("IF(REGEXMATCH(N56, ""d""), ""d"","""")"),"")</f>
        <v/>
      </c>
      <c r="X56" s="236" t="str">
        <f>IFERROR(__xludf.DUMMYFUNCTION("IF(REGEXMATCH(N56, ""D""), ""D"","""")"),"D")</f>
        <v>D</v>
      </c>
      <c r="Y56" s="236" t="str">
        <f>IFERROR(__xludf.DUMMYFUNCTION("IF(REGEXMATCH(N56, ""n""), ""n"","""")"),"n")</f>
        <v>n</v>
      </c>
      <c r="Z56" s="237" t="str">
        <f>IFERROR(__xludf.DUMMYFUNCTION("IF(REGEXMATCH(N56, ""N""), ""N"","""")"),"")</f>
        <v/>
      </c>
      <c r="AA56" s="238" t="str">
        <f>IFERROR(__xludf.DUMMYFUNCTION("IF(REGEXMATCH(N56, ""S""), ""S"","""")"),"S")</f>
        <v>S</v>
      </c>
      <c r="AB56" s="239" t="str">
        <f>IFERROR(__xludf.DUMMYFUNCTION("SUBSTITUTE(CONCATENATE(JOIN(""-"",O56:U56)),""-"","""")"),"Sgm")</f>
        <v>Sgm</v>
      </c>
      <c r="AC56" s="229" t="str">
        <f>IFERROR(__xludf.DUMMYFUNCTION("SUBSTITUTE(CONCATENATE(JOIN(""-"",V56:AA56)),""-"","""")"),"DnS")</f>
        <v>DnS</v>
      </c>
      <c r="AD56" s="282" t="str">
        <f t="shared" si="10"/>
        <v>S-G-M</v>
      </c>
      <c r="AE56" s="282" t="str">
        <f t="shared" si="11"/>
        <v>D-N-S</v>
      </c>
      <c r="AF56" s="309" t="str">
        <f t="shared" si="12"/>
        <v>gmDn</v>
      </c>
      <c r="AG56" s="244" t="str">
        <f>IFERROR(__xludf.DUMMYFUNCTION("IF(REGEXMATCH(N56, ""S""), ""0"","""")"),"0")</f>
        <v>0</v>
      </c>
      <c r="AH56" s="245" t="str">
        <f>IFERROR(__xludf.DUMMYFUNCTION("IF(REGEXMATCH(N56, ""r""), ""1"","""")"),"")</f>
        <v/>
      </c>
      <c r="AI56" s="246" t="str">
        <f>IFERROR(__xludf.DUMMYFUNCTION("IF(REGEXMATCH(N56, ""R""), ""2"","""")"),"")</f>
        <v/>
      </c>
      <c r="AJ56" s="246" t="str">
        <f>IFERROR(__xludf.DUMMYFUNCTION("IF(REGEXMATCH(N56, ""g""), ""3"","""")"),"3")</f>
        <v>3</v>
      </c>
      <c r="AK56" s="245" t="str">
        <f>IFERROR(__xludf.DUMMYFUNCTION("IF(REGEXMATCH(N56, ""G""), ""4"","""")"),"")</f>
        <v/>
      </c>
      <c r="AL56" s="245" t="str">
        <f>IFERROR(__xludf.DUMMYFUNCTION("IF(REGEXMATCH(N56, ""m""), ""5"","""")"),"5")</f>
        <v>5</v>
      </c>
      <c r="AM56" s="246" t="str">
        <f>IFERROR(__xludf.DUMMYFUNCTION("IF(REGEXMATCH(N56, ""M""), ""6"","""")"),"")</f>
        <v/>
      </c>
      <c r="AN56" s="245" t="str">
        <f>IFERROR(__xludf.DUMMYFUNCTION("IF(REGEXMATCH(N56, ""P""), ""7"","""")"),"")</f>
        <v/>
      </c>
      <c r="AO56" s="246" t="str">
        <f>IFERROR(__xludf.DUMMYFUNCTION("IF(REGEXMATCH(N56, ""d""), ""8"","""")"),"")</f>
        <v/>
      </c>
      <c r="AP56" s="245" t="str">
        <f>IFERROR(__xludf.DUMMYFUNCTION("IF(REGEXMATCH(N56, ""D""), ""9"","""")"),"9")</f>
        <v>9</v>
      </c>
      <c r="AQ56" s="245" t="str">
        <f>IFERROR(__xludf.DUMMYFUNCTION("IF(REGEXMATCH(N56, ""n""), ""10"","""")"),"10")</f>
        <v>10</v>
      </c>
      <c r="AR56" s="246" t="str">
        <f>IFERROR(__xludf.DUMMYFUNCTION("IF(REGEXMATCH(N56, ""N""), ""11"","""")"),"")</f>
        <v/>
      </c>
      <c r="AS56" s="249" t="str">
        <f>IFERROR(__xludf.DUMMYFUNCTION("IF(REGEXMATCH(N56, ""S""), ""0"","""")"),"0")</f>
        <v>0</v>
      </c>
      <c r="AT56" s="250" t="str">
        <f>IFERROR(__xludf.DUMMYFUNCTION("SUBSTITUTE(SUBSTITUTE(SUBSTITUTE(SUBSTITUTE(CONCATENATE(JOIN(""-"",AG56:AS56)),""--"",""-""),""--"",""-""),""--"",""-""),""--"",""-"")"),"0-3-5-9-10-0")</f>
        <v>0-3-5-9-10-0</v>
      </c>
      <c r="AU56" s="251">
        <f t="shared" si="13"/>
        <v>2</v>
      </c>
      <c r="AV56" s="234" t="str">
        <f t="shared" si="14"/>
        <v>|</v>
      </c>
      <c r="AW56" s="236" t="str">
        <f t="shared" si="15"/>
        <v>-</v>
      </c>
      <c r="AX56" s="237" t="str">
        <f t="shared" si="16"/>
        <v>-</v>
      </c>
      <c r="AY56" s="236" t="str">
        <f t="shared" si="17"/>
        <v>|</v>
      </c>
      <c r="AZ56" s="237" t="str">
        <f t="shared" si="18"/>
        <v>-</v>
      </c>
      <c r="BA56" s="236" t="str">
        <f t="shared" si="19"/>
        <v>|</v>
      </c>
      <c r="BB56" s="237" t="str">
        <f t="shared" si="20"/>
        <v>-</v>
      </c>
      <c r="BC56" s="236" t="str">
        <f t="shared" si="21"/>
        <v>-</v>
      </c>
      <c r="BD56" s="237" t="str">
        <f t="shared" si="22"/>
        <v>-</v>
      </c>
      <c r="BE56" s="236" t="str">
        <f t="shared" si="23"/>
        <v>|</v>
      </c>
      <c r="BF56" s="237" t="str">
        <f t="shared" si="24"/>
        <v>|</v>
      </c>
      <c r="BG56" s="236" t="str">
        <f t="shared" si="25"/>
        <v>-</v>
      </c>
      <c r="BH56" s="238" t="str">
        <f t="shared" si="26"/>
        <v>|</v>
      </c>
      <c r="BI56" s="250" t="str">
        <f>IFERROR(__xludf.DUMMYFUNCTION("SUBSTITUTE(SUBSTITUTE(CONCATENATE(JOIN("""",AV56:BG56)),""|"",""x""),""-"",""o"")"),"xooxoxoooxxo")</f>
        <v>xooxoxoooxxo</v>
      </c>
      <c r="BJ56" s="323" t="str">
        <f>IFERROR(__xludf.DUMMYFUNCTION("JOIN("""",BI56,BI56)"),"xooxoxoooxxoxooxoxoooxxo")</f>
        <v>xooxoxoooxxoxooxoxoooxxo</v>
      </c>
      <c r="BK56" s="256" t="str">
        <f>IFERROR(__xludf.DUMMYFUNCTION("JOIN("""",ArrayFormula(MID(BI56,LEN(BI56)-SEQUENCE(1,LEN(BI56))+1,1)))"),"oxxoooxoxoox")</f>
        <v>oxxoooxoxoox</v>
      </c>
      <c r="BL56" s="256" t="str">
        <f>IFERROR(__xludf.DUMMYFUNCTION("LEFT(CONCATENATE(""x"",JOIN("""",ArrayFormula(MID(BI56,LEN(BI56)-SEQUENCE(1,LEN(BI56))+1,1)))),12)"),"xoxxoooxoxoo")</f>
        <v>xoxxoooxoxoo</v>
      </c>
      <c r="BM56" s="327" t="str">
        <f>IFERROR(__xludf.DUMMYFUNCTION("JOIN("""",BK56,BK56)"),"oxxoooxoxooxoxxoooxoxoox")</f>
        <v>oxxoooxoxooxoxxoooxoxoox</v>
      </c>
      <c r="BN56" s="239" t="str">
        <f>IFERROR(__xludf.DUMMYFUNCTION("IF(REGEXMATCH(BM56,BI56),""✔"",""-"")"),"-")</f>
        <v>-</v>
      </c>
      <c r="BO56" s="330" t="str">
        <f t="shared" si="27"/>
        <v>-</v>
      </c>
      <c r="BP56" s="260" t="str">
        <f t="shared" si="28"/>
        <v>-</v>
      </c>
      <c r="BQ56" s="261" t="str">
        <f>IFERROR(__xludf.DUMMYFUNCTION("IF(BT56=0,""(n/a)"",IF(BU56=2,""(PAIR)"",IF(REGEXMATCH(BJ56,""xoxoxxoxoxox""),""Bilawal"",IF(REGEXMATCH(BJ56,""xoxoxooxoxoo""),""Bhupali"",IF(REGEXMATCH(BJ56,""xoxoxxoxxoxo""),""Charukeshi"",IF(REGEXMATCH(BJ56,""xoxoooxxoxxo""),""Kameshwari"",IF(REGEXMATC"&amp;"H(BJ56,""xoxoxooxoxox""),""Shankara"",IF(REGEXMATCH(BJ56,""xxooxoxxxoox""),""Basant"",IF(REGEXMATCH(BJ56,""xoxoxxxxoxox""),""Bihag"",IF(REGEXMATCH(BJ56,""xoxxxxoxoxxx""),""Pilu"",IF(REGEXMATCH(BJ56,""xoxxoxoxxoox""),""Kirwani"",IF(REGEXMATCH(BJ56,""xoxxox"&amp;"oxoxxx""),""Mk.Malhar"",IF(REGEXMATCH(BJ56,""xxooxxoxxoox""),""Bhairav"",IF(REGEXMATCH(BJ56,""xxoxooxxxoox""),""Todi"",IF(REGEXMATCH(BJ56,""xxooxoxooxox""),""Marwa"",IF(REGEXMATCH(BJ56,""xxoooxoxxooo""),""Gunkali"",IF(REGEXMATCH(BJ56,""xoxoxxoxxoox""),""N"&amp;"at Bhairav"",IF(REGEXMATCH(BJ56,""xoxxoooxoxoo""),""Shivranjani"",IF(REGEXMATCH(BJ56,""xooxxxoxooxo""),""Jog"",IF(REGEXMATCH(BJ56,""xxooxoxoxoox""),""Hemshri"",IF(REGEXMATCH(BJ56,""xoooxooxoxxo""),""Kalavati"",IF(REGEXMATCH(BJ56,""xxoxoxxoxoox""),""Kedar"&amp;""",IF(REGEXMATCH(BJ56,""xoxxxxoxooxx""),""Gara"",IF(REGEXMATCH(BJ56,""xooxoxooxoox""),""Chandrakauns"",IF(REGEXMATCH(BJ56,""xoxxxxoxxxox""),""Mand"",IF(REGEXMATCH(BJ56,""xoxxxxoxoxox""),""Hanskinkini"",IF(REGEXMATCH(BJ56,""xxooxxoxooxo""),""Lilavati"",IF("&amp;"REGEXMATCH(BJ56,""xooxoxoooxox""),""Rajeshwari"",IF(REGEXMATCH(BJ56,""xoooxxoxoxxx""),""Khokar"",IF(REGEXMATCH(BJ56,""xxooxoxxxxox""),""Maligoura"",""-""))))))))))))))))))))))))))))))"),"(n/a)")</f>
        <v>(n/a)</v>
      </c>
      <c r="BR56" s="239">
        <f t="shared" si="29"/>
        <v>4</v>
      </c>
      <c r="BS56" s="239">
        <f>IFERROR(__xludf.DUMMYFUNCTION("COUNTUNIQUE(BW56:CG56)-1"),4.0)</f>
        <v>4</v>
      </c>
      <c r="BT56" s="239">
        <f>IFERROR(__xludf.DUMMYFUNCTION("COUNTUNIQUE(FILTER(BJ:BJ,REGEXMATCH(BJ:BJ,BI56)))-1"),0.0)</f>
        <v>0</v>
      </c>
      <c r="BU56" s="239">
        <f>IFERROR(__xludf.DUMMYFUNCTION("COUNTA(FILTER(BJ:BJ,REGEXMATCH(BJ:BJ,BI56)))"),3.0)</f>
        <v>3</v>
      </c>
      <c r="BV56" s="341">
        <f>IFERROR(__xludf.DUMMYFUNCTION("COUNTA(FILTER(BJ:BJ,REGEXMATCH(BJ:BJ,BI56)))-AU56"),1.0)</f>
        <v>1</v>
      </c>
      <c r="BW56" s="269" t="str">
        <f t="shared" si="30"/>
        <v>-</v>
      </c>
      <c r="BX56" s="269" t="str">
        <f t="shared" si="31"/>
        <v>-</v>
      </c>
      <c r="BY56" s="271" t="str">
        <f t="shared" si="32"/>
        <v>xoxoooxxoxo</v>
      </c>
      <c r="BZ56" s="269" t="str">
        <f t="shared" si="33"/>
        <v>-</v>
      </c>
      <c r="CA56" s="271" t="str">
        <f t="shared" si="34"/>
        <v>xoooxxoxoox</v>
      </c>
      <c r="CB56" s="271" t="str">
        <f t="shared" si="35"/>
        <v>-</v>
      </c>
      <c r="CC56" s="271" t="str">
        <f t="shared" si="36"/>
        <v>-</v>
      </c>
      <c r="CD56" s="271" t="str">
        <f t="shared" si="37"/>
        <v>-</v>
      </c>
      <c r="CE56" s="271" t="str">
        <f t="shared" si="38"/>
        <v>xxoxooxoxoo</v>
      </c>
      <c r="CF56" s="271" t="str">
        <f t="shared" si="39"/>
        <v>xoxooxoxooo</v>
      </c>
      <c r="CG56" s="274" t="str">
        <f t="shared" si="40"/>
        <v>-</v>
      </c>
      <c r="CH56" s="276" t="str">
        <f>IFERROR(__xludf.DUMMYFUNCTION("IF(BI56=""oooooooooooo"",""-"",IF(REGEXMATCH(BJ56,""xx""), ""Hemi."", ""Anhemi.""))"),"Hemi.")</f>
        <v>Hemi.</v>
      </c>
      <c r="CI56" s="282" t="str">
        <f>IFERROR(__xludf.DUMMYFUNCTION("IF(BI56=""oooooooooooo"",""-"",IF(REGEXMATCH(BJ56,""xxx""), ""Cohem."", ""-""))"),"-")</f>
        <v>-</v>
      </c>
      <c r="CJ56" s="282" t="str">
        <f>IFERROR(__xludf.DUMMYFUNCTION("IF(BI56=""oooooooooooo"",""-"",IF(REGEXMATCH(BJ56,""xxxx""), ""Co-Co."", ""-""))"),"-")</f>
        <v>-</v>
      </c>
      <c r="CK56" s="342" t="str">
        <f>IFERROR(__xludf.DUMMYFUNCTION("IF(BI56=""oooooooooooo"",""-"",IF(REGEXMATCH(BJ56,""xxxxx""), ""CCC."", ""-""))"),"-")</f>
        <v>-</v>
      </c>
      <c r="CL56" s="344" t="str">
        <f t="shared" si="41"/>
        <v>-</v>
      </c>
      <c r="CM56" s="282" t="str">
        <f>IFERROR(__xludf.DUMMYFUNCTION("IF(REGEXMATCH(JOIN(""-"",CO56:CX56),""TRUE""),""✔"",""-"")"),"✔")</f>
        <v>✔</v>
      </c>
      <c r="CN56" s="225">
        <f t="shared" si="42"/>
        <v>1</v>
      </c>
      <c r="CO56" s="376" t="b">
        <f>IFERROR(__xludf.DUMMYFUNCTION("arrayformula(sum(--REGEXMATCH(""SRGMPDNS"",split(REGEXREPLACE(N56,""(.)"",""$1~""),""~""))))=len(N56)
"),FALSE)</f>
        <v>0</v>
      </c>
      <c r="CP56" s="290" t="b">
        <f>IFERROR(__xludf.DUMMYFUNCTION("arrayformula(sum(--REGEXMATCH(""SRGmPDNS"",split(REGEXREPLACE(N56,""(.)"",""$1~""),""~""))))=len(N56)"),FALSE)</f>
        <v>0</v>
      </c>
      <c r="CQ56" s="290" t="b">
        <f>IFERROR(__xludf.DUMMYFUNCTION("arrayformula(sum(--REGEXMATCH(""SRGmPDnS"",split(REGEXREPLACE(N56,""(.)"",""$1~""),""~""))))=len(N56)"),FALSE)</f>
        <v>0</v>
      </c>
      <c r="CR56" s="290" t="b">
        <f>IFERROR(__xludf.DUMMYFUNCTION("arrayformula(sum(--REGEXMATCH(""SRgmPDnS"",split(REGEXREPLACE(N56,""(.)"",""$1~""),""~""))))=len(N56)"),TRUE)</f>
        <v>1</v>
      </c>
      <c r="CS56" s="290" t="b">
        <f>IFERROR(__xludf.DUMMYFUNCTION("arrayformula(sum(--REGEXMATCH(""SRgmPdnS"",split(REGEXREPLACE(N56,""(.)"",""$1~""),""~""))))=len(N56)"),FALSE)</f>
        <v>0</v>
      </c>
      <c r="CT56" s="290" t="b">
        <f>IFERROR(__xludf.DUMMYFUNCTION("arrayformula(sum(--REGEXMATCH(""SrgmPdnS"",split(REGEXREPLACE(N56,""(.)"",""$1~""),""~""))))=len(N56)"),FALSE)</f>
        <v>0</v>
      </c>
      <c r="CU56" s="290" t="b">
        <f>IFERROR(__xludf.DUMMYFUNCTION("arrayformula(sum(--REGEXMATCH(""SrGmPdNS"",split(REGEXREPLACE(N56,""(.)"",""$1~""),""~""))))=len(N56)"),FALSE)</f>
        <v>0</v>
      </c>
      <c r="CV56" s="290" t="b">
        <f>IFERROR(__xludf.DUMMYFUNCTION("arrayformula(sum(--REGEXMATCH(""SrGMPDNS"",split(REGEXREPLACE(N56,""(.)"",""$1~""),""~""))))=len(N56)"),FALSE)</f>
        <v>0</v>
      </c>
      <c r="CW56" s="290" t="b">
        <f>IFERROR(__xludf.DUMMYFUNCTION("arrayformula(sum(--REGEXMATCH(""SrGMPdNS"",split(REGEXREPLACE(N56,""(.)"",""$1~""),""~""))))=len(N56)"),FALSE)</f>
        <v>0</v>
      </c>
      <c r="CX56" s="293" t="b">
        <f>IFERROR(__xludf.DUMMYFUNCTION("arrayformula(sum(--REGEXMATCH(""SrgMPdNS"",split(REGEXREPLACE(N56,""(.)"",""$1~""),""~""))))=len(N56)"),FALSE)</f>
        <v>0</v>
      </c>
      <c r="CY56" s="244" t="str">
        <f>IFERROR(__xludf.DUMMYFUNCTION("IF(REGEXMATCH(N56, ""S""), ""1"","""")"),"1")</f>
        <v>1</v>
      </c>
      <c r="CZ56" s="245" t="str">
        <f>IFERROR(__xludf.DUMMYFUNCTION("IF(REGEXMATCH(N56, ""r""), ""b2"","""")"),"")</f>
        <v/>
      </c>
      <c r="DA56" s="246" t="str">
        <f>IFERROR(__xludf.DUMMYFUNCTION("IF(REGEXMATCH(N56, ""R""), ""2"","""")"),"")</f>
        <v/>
      </c>
      <c r="DB56" s="246" t="str">
        <f>IFERROR(__xludf.DUMMYFUNCTION("IF(REGEXMATCH(N56, ""g""), ""b3"","""")"),"b3")</f>
        <v>b3</v>
      </c>
      <c r="DC56" s="245" t="str">
        <f>IFERROR(__xludf.DUMMYFUNCTION("IF(REGEXMATCH(N56, ""G""), ""3"","""")"),"")</f>
        <v/>
      </c>
      <c r="DD56" s="245" t="str">
        <f>IFERROR(__xludf.DUMMYFUNCTION("IF(REGEXMATCH(N56, ""m""), ""4"","""")"),"4")</f>
        <v>4</v>
      </c>
      <c r="DE56" s="246" t="str">
        <f>IFERROR(__xludf.DUMMYFUNCTION("IF(REGEXMATCH(N56, ""M""), ""#4"","""")"),"")</f>
        <v/>
      </c>
      <c r="DF56" s="245" t="str">
        <f>IFERROR(__xludf.DUMMYFUNCTION("IF(REGEXMATCH(N56, ""P""), ""5"","""")"),"")</f>
        <v/>
      </c>
      <c r="DG56" s="246" t="str">
        <f>IFERROR(__xludf.DUMMYFUNCTION("IF(REGEXMATCH(N56, ""d""), ""b6"","""")"),"")</f>
        <v/>
      </c>
      <c r="DH56" s="245" t="str">
        <f>IFERROR(__xludf.DUMMYFUNCTION("IF(REGEXMATCH(N56, ""D""), ""6"","""")"),"6")</f>
        <v>6</v>
      </c>
      <c r="DI56" s="245" t="str">
        <f>IFERROR(__xludf.DUMMYFUNCTION("IF(REGEXMATCH(N56, ""n""), ""b7"","""")"),"b7")</f>
        <v>b7</v>
      </c>
      <c r="DJ56" s="246" t="str">
        <f>IFERROR(__xludf.DUMMYFUNCTION("IF(REGEXMATCH(N56, ""N""), ""7"","""")"),"")</f>
        <v/>
      </c>
      <c r="DK56" s="249" t="str">
        <f>IFERROR(__xludf.DUMMYFUNCTION("IF(REGEXMATCH(N56, ""S""), ""8"","""")"),"8")</f>
        <v>8</v>
      </c>
      <c r="DL56" s="244" t="str">
        <f>IFERROR(__xludf.DUMMYFUNCTION("IF(REGEXMATCH(N56, ""S""), ""S"","""")"),"S")</f>
        <v>S</v>
      </c>
      <c r="DM56" s="294" t="str">
        <f>IFERROR(__xludf.DUMMYFUNCTION("IF(REGEXMATCH(N56, ""r""), ""R1"","""")"),"")</f>
        <v/>
      </c>
      <c r="DN56" s="295" t="str">
        <f>IFERROR(__xludf.DUMMYFUNCTION("IF(REGEXMATCH(N56, ""R""), ""R2"","""")"),"")</f>
        <v/>
      </c>
      <c r="DO56" s="295" t="str">
        <f>IFERROR(__xludf.DUMMYFUNCTION("IF(REGEXMATCH(N56, ""g""), ""G2"","""")"),"G2")</f>
        <v>G2</v>
      </c>
      <c r="DP56" s="294" t="str">
        <f>IFERROR(__xludf.DUMMYFUNCTION("IF(REGEXMATCH(N56, ""G""), ""G3"","""")"),"")</f>
        <v/>
      </c>
      <c r="DQ56" s="294" t="str">
        <f>IFERROR(__xludf.DUMMYFUNCTION("IF(REGEXMATCH(N56, ""m""), ""M1"","""")"),"M1")</f>
        <v>M1</v>
      </c>
      <c r="DR56" s="295" t="str">
        <f>IFERROR(__xludf.DUMMYFUNCTION("IF(REGEXMATCH(N56, ""M""), ""M2"","""")"),"")</f>
        <v/>
      </c>
      <c r="DS56" s="294" t="str">
        <f>IFERROR(__xludf.DUMMYFUNCTION("IF(REGEXMATCH(N56, ""P""), ""P"","""")"),"")</f>
        <v/>
      </c>
      <c r="DT56" s="295" t="str">
        <f>IFERROR(__xludf.DUMMYFUNCTION("IF(REGEXMATCH(N56, ""d""), ""D1"","""")"),"")</f>
        <v/>
      </c>
      <c r="DU56" s="294" t="str">
        <f>IFERROR(__xludf.DUMMYFUNCTION("IF(REGEXMATCH(N56, ""D""), ""D2"","""")"),"D2")</f>
        <v>D2</v>
      </c>
      <c r="DV56" s="294" t="str">
        <f>IFERROR(__xludf.DUMMYFUNCTION("IF(REGEXMATCH(N56, ""n""), ""N2"","""")"),"N2")</f>
        <v>N2</v>
      </c>
      <c r="DW56" s="295" t="str">
        <f>IFERROR(__xludf.DUMMYFUNCTION("IF(REGEXMATCH(N56, ""N""), ""N3"","""")"),"")</f>
        <v/>
      </c>
      <c r="DX56" s="249" t="str">
        <f>IFERROR(__xludf.DUMMYFUNCTION("IF(REGEXMATCH(N56, ""S""), ""S"","""")"),"S")</f>
        <v>S</v>
      </c>
      <c r="DY56" s="299" t="str">
        <f>IFERROR(__xludf.DUMMYFUNCTION("SUBSTITUTE(SUBSTITUTE(SUBSTITUTE(SUBSTITUTE(CONCATENATE(JOIN(""-"",CY56:DK56)),""--"",""-""),""--"",""-""),""--"",""-""),""--"",""-"")"),"1-b3-4-6-b7-8")</f>
        <v>1-b3-4-6-b7-8</v>
      </c>
      <c r="DZ56" s="299" t="str">
        <f>IFERROR(__xludf.DUMMYFUNCTION("SUBSTITUTE(SUBSTITUTE(SUBSTITUTE(SUBSTITUTE(CONCATENATE(JOIN(""-"",DL56:DX56)),""--"",""-""),""--"",""-""),""--"",""-""),""--"",""-"")"),"S-G2-M1-D2-N2-S")</f>
        <v>S-G2-M1-D2-N2-S</v>
      </c>
      <c r="EA56" s="348" t="str">
        <f t="shared" si="43"/>
        <v>C-Eb-F-A-Bb-C</v>
      </c>
      <c r="EB56" s="301">
        <f t="shared" si="44"/>
        <v>5</v>
      </c>
      <c r="EC56" s="302" t="str">
        <f t="shared" si="45"/>
        <v>Audav</v>
      </c>
      <c r="ED56" s="301" t="str">
        <f t="shared" ref="ED56:EE56" si="222">SUBSTITUTE(AD56,"-","")</f>
        <v>SGM</v>
      </c>
      <c r="EE56" s="301" t="str">
        <f t="shared" si="222"/>
        <v>DNS</v>
      </c>
      <c r="EF56" s="302" t="str">
        <f t="shared" si="47"/>
        <v>(n/a)</v>
      </c>
      <c r="EG56" s="301" t="str">
        <f t="shared" si="48"/>
        <v>Hemi.</v>
      </c>
      <c r="EH56" s="364" t="str">
        <f t="shared" si="49"/>
        <v>-</v>
      </c>
      <c r="EI56" s="306" t="str">
        <f t="shared" si="50"/>
        <v>-</v>
      </c>
      <c r="EJ56" s="366" t="str">
        <f t="shared" si="51"/>
        <v>✔</v>
      </c>
      <c r="EK56" s="308" t="str">
        <f t="shared" si="52"/>
        <v>-</v>
      </c>
      <c r="EL56" s="306" t="str">
        <f t="shared" si="53"/>
        <v>-</v>
      </c>
      <c r="EM56" s="306" t="str">
        <f t="shared" si="54"/>
        <v>-</v>
      </c>
      <c r="EN56" s="367" t="str">
        <f t="shared" si="55"/>
        <v>-</v>
      </c>
      <c r="EO56" s="310" t="str">
        <f t="shared" si="56"/>
        <v>-</v>
      </c>
      <c r="EP56" s="310" t="str">
        <f t="shared" si="57"/>
        <v>-</v>
      </c>
      <c r="EQ56" s="310" t="str">
        <f t="shared" si="58"/>
        <v>-</v>
      </c>
      <c r="ER56" s="310" t="str">
        <f t="shared" si="59"/>
        <v>-</v>
      </c>
      <c r="ES56" s="370" t="str">
        <f t="shared" si="60"/>
        <v>-</v>
      </c>
      <c r="ET56" s="306" t="str">
        <f t="shared" si="61"/>
        <v>✔</v>
      </c>
      <c r="EU56" s="306" t="str">
        <f t="shared" si="62"/>
        <v>-</v>
      </c>
      <c r="EV56" s="306" t="str">
        <f t="shared" si="63"/>
        <v>-</v>
      </c>
      <c r="EW56" s="306" t="str">
        <f t="shared" si="64"/>
        <v>✔</v>
      </c>
      <c r="EX56" s="306" t="str">
        <f t="shared" si="65"/>
        <v>-</v>
      </c>
      <c r="EY56" s="367" t="str">
        <f t="shared" si="66"/>
        <v>-</v>
      </c>
      <c r="EZ56" s="310" t="str">
        <f>IFERROR(__xludf.DUMMYFUNCTION("IF(REGEXMATCH(BM56,BI56),""✔"",""-"")"),"-")</f>
        <v>-</v>
      </c>
      <c r="FA56" s="310" t="str">
        <f t="shared" si="67"/>
        <v>-</v>
      </c>
      <c r="FB56" s="370" t="str">
        <f t="shared" si="68"/>
        <v>-</v>
      </c>
      <c r="FC56" s="415">
        <f t="shared" si="69"/>
        <v>2</v>
      </c>
      <c r="FD56" s="317" t="str">
        <f t="shared" si="70"/>
        <v>S-g-m-D-n-S</v>
      </c>
      <c r="FE56" s="318" t="str">
        <f>IFERROR(__xludf.DUMMYFUNCTION("CONCATENATE(JOIN("""",GJ56:GV56))"),"SRgPDS")</f>
        <v>SRgPDS</v>
      </c>
      <c r="FF56" s="318"/>
      <c r="FG56" s="318"/>
      <c r="FH56" s="321">
        <f t="shared" si="71"/>
        <v>2</v>
      </c>
      <c r="FI56" s="318" t="str">
        <f>IFERROR(__xludf.DUMMYFUNCTION("CONCATENATE(JOIN("""",HW56:II56))"),"Sa, Dha, ")</f>
        <v>Sa, Dha, </v>
      </c>
      <c r="FJ56" s="322">
        <f t="shared" si="72"/>
        <v>1</v>
      </c>
      <c r="FK56" s="324" t="str">
        <f>IFERROR(__xludf.DUMMYFUNCTION("CONCATENATE(JOIN("""",IW56:JI56))"),"Dha, ")</f>
        <v>Dha, </v>
      </c>
      <c r="FL56" s="325" t="str">
        <f t="shared" si="73"/>
        <v>S-G2-M1-D2-N2-S</v>
      </c>
      <c r="FM56" s="326" t="str">
        <f t="shared" si="74"/>
        <v>1-b3-4-6-b7-8</v>
      </c>
      <c r="FN56" s="326" t="str">
        <f t="shared" si="75"/>
        <v>0-3-5-9-10-0</v>
      </c>
      <c r="FO56" s="318"/>
      <c r="FP56" s="328" t="str">
        <f>IFERROR(__xludf.DUMMYFUNCTION("SUBSTITUTE(SUBSTITUTE(SUBSTITUTE(SUBSTITUTE(CONCATENATE(JOIN("" "",FS56:GE56)),""  "","" ""),""  "","" ""),""  "","" ""),""  "","" "")"),"o • • o • o • • • o o • o")</f>
        <v>o • • o • o • • • o o • o</v>
      </c>
      <c r="FQ56" s="328" t="str">
        <f t="shared" si="76"/>
        <v>Sa-ma</v>
      </c>
      <c r="FR56" s="329"/>
      <c r="FS56" s="331" t="str">
        <f t="shared" si="77"/>
        <v>o</v>
      </c>
      <c r="FT56" s="332" t="str">
        <f t="shared" si="78"/>
        <v>•</v>
      </c>
      <c r="FU56" s="332" t="str">
        <f t="shared" si="79"/>
        <v>•</v>
      </c>
      <c r="FV56" s="332" t="str">
        <f t="shared" si="80"/>
        <v>o</v>
      </c>
      <c r="FW56" s="332" t="str">
        <f t="shared" si="81"/>
        <v>•</v>
      </c>
      <c r="FX56" s="332" t="str">
        <f t="shared" si="82"/>
        <v>o</v>
      </c>
      <c r="FY56" s="332" t="str">
        <f t="shared" si="83"/>
        <v>•</v>
      </c>
      <c r="FZ56" s="332" t="str">
        <f t="shared" si="84"/>
        <v>•</v>
      </c>
      <c r="GA56" s="332" t="str">
        <f t="shared" si="85"/>
        <v>•</v>
      </c>
      <c r="GB56" s="332" t="str">
        <f t="shared" si="86"/>
        <v>o</v>
      </c>
      <c r="GC56" s="332" t="str">
        <f t="shared" si="87"/>
        <v>o</v>
      </c>
      <c r="GD56" s="332" t="str">
        <f t="shared" si="88"/>
        <v>•</v>
      </c>
      <c r="GE56" s="338" t="str">
        <f t="shared" si="89"/>
        <v>o</v>
      </c>
      <c r="GF56" s="339" t="str">
        <f t="shared" si="90"/>
        <v>-</v>
      </c>
      <c r="GG56" s="339" t="str">
        <f t="shared" si="91"/>
        <v>-</v>
      </c>
      <c r="GH56" s="339" t="str">
        <f t="shared" si="92"/>
        <v>-</v>
      </c>
      <c r="GI56" s="340" t="str">
        <f t="shared" si="93"/>
        <v>Sa-ma</v>
      </c>
      <c r="GJ56" s="331" t="str">
        <f t="shared" si="94"/>
        <v>S</v>
      </c>
      <c r="GK56" s="332" t="str">
        <f t="shared" si="95"/>
        <v/>
      </c>
      <c r="GL56" s="332" t="str">
        <f t="shared" si="96"/>
        <v>R</v>
      </c>
      <c r="GM56" s="332" t="str">
        <f t="shared" si="97"/>
        <v>g</v>
      </c>
      <c r="GN56" s="332" t="str">
        <f t="shared" si="98"/>
        <v/>
      </c>
      <c r="GO56" s="332" t="str">
        <f t="shared" si="99"/>
        <v/>
      </c>
      <c r="GP56" s="332" t="str">
        <f t="shared" si="100"/>
        <v/>
      </c>
      <c r="GQ56" s="332" t="str">
        <f t="shared" si="101"/>
        <v>P</v>
      </c>
      <c r="GR56" s="332" t="str">
        <f t="shared" si="102"/>
        <v/>
      </c>
      <c r="GS56" s="332" t="str">
        <f t="shared" si="103"/>
        <v>D</v>
      </c>
      <c r="GT56" s="332" t="str">
        <f t="shared" si="104"/>
        <v/>
      </c>
      <c r="GU56" s="332" t="str">
        <f t="shared" si="105"/>
        <v/>
      </c>
      <c r="GV56" s="343" t="str">
        <f t="shared" si="106"/>
        <v>S</v>
      </c>
      <c r="GW56" s="331" t="str">
        <f t="shared" si="107"/>
        <v>•</v>
      </c>
      <c r="GX56" s="332" t="str">
        <f t="shared" si="108"/>
        <v>o</v>
      </c>
      <c r="GY56" s="332" t="str">
        <f t="shared" si="109"/>
        <v>o</v>
      </c>
      <c r="GZ56" s="332" t="str">
        <f t="shared" si="110"/>
        <v>•</v>
      </c>
      <c r="HA56" s="332" t="str">
        <f t="shared" si="111"/>
        <v>o</v>
      </c>
      <c r="HB56" s="332" t="str">
        <f t="shared" si="112"/>
        <v>•</v>
      </c>
      <c r="HC56" s="332" t="str">
        <f t="shared" si="113"/>
        <v>o</v>
      </c>
      <c r="HD56" s="332" t="str">
        <f t="shared" si="114"/>
        <v>o</v>
      </c>
      <c r="HE56" s="332" t="str">
        <f t="shared" si="115"/>
        <v>o</v>
      </c>
      <c r="HF56" s="332" t="str">
        <f t="shared" si="116"/>
        <v>•</v>
      </c>
      <c r="HG56" s="332" t="str">
        <f t="shared" si="117"/>
        <v>•</v>
      </c>
      <c r="HH56" s="332" t="str">
        <f t="shared" si="118"/>
        <v>o</v>
      </c>
      <c r="HI56" s="338" t="str">
        <f t="shared" si="119"/>
        <v>•</v>
      </c>
      <c r="HJ56" s="346" t="b">
        <f t="shared" si="120"/>
        <v>1</v>
      </c>
      <c r="HK56" s="347" t="b">
        <f t="shared" si="121"/>
        <v>0</v>
      </c>
      <c r="HL56" s="347" t="b">
        <f t="shared" si="122"/>
        <v>0</v>
      </c>
      <c r="HM56" s="347" t="b">
        <f t="shared" si="123"/>
        <v>0</v>
      </c>
      <c r="HN56" s="347" t="b">
        <f t="shared" si="124"/>
        <v>0</v>
      </c>
      <c r="HO56" s="347" t="b">
        <f t="shared" si="125"/>
        <v>0</v>
      </c>
      <c r="HP56" s="347" t="b">
        <f t="shared" si="126"/>
        <v>0</v>
      </c>
      <c r="HQ56" s="347" t="b">
        <f t="shared" si="127"/>
        <v>0</v>
      </c>
      <c r="HR56" s="347" t="b">
        <f t="shared" si="128"/>
        <v>0</v>
      </c>
      <c r="HS56" s="347" t="b">
        <f t="shared" si="129"/>
        <v>1</v>
      </c>
      <c r="HT56" s="347" t="b">
        <f t="shared" si="130"/>
        <v>0</v>
      </c>
      <c r="HU56" s="347" t="b">
        <f t="shared" si="131"/>
        <v>0</v>
      </c>
      <c r="HV56" s="353" t="b">
        <f t="shared" si="132"/>
        <v>1</v>
      </c>
      <c r="HW56" s="354" t="str">
        <f t="shared" si="133"/>
        <v>Sa, </v>
      </c>
      <c r="HX56" s="355" t="str">
        <f t="shared" si="134"/>
        <v/>
      </c>
      <c r="HY56" s="355" t="str">
        <f t="shared" si="135"/>
        <v/>
      </c>
      <c r="HZ56" s="355" t="str">
        <f t="shared" si="136"/>
        <v/>
      </c>
      <c r="IA56" s="355" t="str">
        <f t="shared" si="137"/>
        <v/>
      </c>
      <c r="IB56" s="355" t="str">
        <f t="shared" si="138"/>
        <v/>
      </c>
      <c r="IC56" s="355" t="str">
        <f t="shared" si="139"/>
        <v/>
      </c>
      <c r="ID56" s="355" t="str">
        <f t="shared" si="140"/>
        <v/>
      </c>
      <c r="IE56" s="355" t="str">
        <f t="shared" si="141"/>
        <v/>
      </c>
      <c r="IF56" s="355" t="str">
        <f t="shared" si="142"/>
        <v>Dha, </v>
      </c>
      <c r="IG56" s="355" t="str">
        <f t="shared" si="143"/>
        <v/>
      </c>
      <c r="IH56" s="355" t="str">
        <f t="shared" si="144"/>
        <v/>
      </c>
      <c r="II56" s="359" t="str">
        <f t="shared" si="145"/>
        <v/>
      </c>
      <c r="IJ56" s="346" t="b">
        <f t="shared" si="146"/>
        <v>0</v>
      </c>
      <c r="IK56" s="347" t="b">
        <f t="shared" si="147"/>
        <v>0</v>
      </c>
      <c r="IL56" s="347" t="b">
        <f t="shared" si="148"/>
        <v>0</v>
      </c>
      <c r="IM56" s="347" t="b">
        <f t="shared" si="149"/>
        <v>0</v>
      </c>
      <c r="IN56" s="347" t="b">
        <f t="shared" si="150"/>
        <v>0</v>
      </c>
      <c r="IO56" s="347" t="b">
        <f t="shared" si="151"/>
        <v>0</v>
      </c>
      <c r="IP56" s="347" t="b">
        <f t="shared" si="152"/>
        <v>0</v>
      </c>
      <c r="IQ56" s="347" t="b">
        <f t="shared" si="153"/>
        <v>0</v>
      </c>
      <c r="IR56" s="347" t="b">
        <f t="shared" si="154"/>
        <v>0</v>
      </c>
      <c r="IS56" s="347" t="b">
        <f t="shared" si="155"/>
        <v>1</v>
      </c>
      <c r="IT56" s="347" t="b">
        <f t="shared" si="156"/>
        <v>0</v>
      </c>
      <c r="IU56" s="347" t="b">
        <f t="shared" si="157"/>
        <v>0</v>
      </c>
      <c r="IV56" s="365" t="b">
        <f t="shared" si="158"/>
        <v>0</v>
      </c>
      <c r="IW56" s="354" t="str">
        <f t="shared" si="159"/>
        <v/>
      </c>
      <c r="IX56" s="355" t="str">
        <f t="shared" si="160"/>
        <v/>
      </c>
      <c r="IY56" s="355" t="str">
        <f t="shared" si="161"/>
        <v/>
      </c>
      <c r="IZ56" s="355" t="str">
        <f t="shared" si="162"/>
        <v/>
      </c>
      <c r="JA56" s="355" t="str">
        <f t="shared" si="163"/>
        <v/>
      </c>
      <c r="JB56" s="355" t="str">
        <f t="shared" si="164"/>
        <v/>
      </c>
      <c r="JC56" s="355" t="str">
        <f t="shared" si="165"/>
        <v/>
      </c>
      <c r="JD56" s="355" t="str">
        <f t="shared" si="166"/>
        <v/>
      </c>
      <c r="JE56" s="355" t="str">
        <f t="shared" si="167"/>
        <v/>
      </c>
      <c r="JF56" s="355" t="str">
        <f t="shared" si="168"/>
        <v>Dha, </v>
      </c>
      <c r="JG56" s="355" t="str">
        <f t="shared" si="169"/>
        <v/>
      </c>
      <c r="JH56" s="355" t="str">
        <f t="shared" si="170"/>
        <v/>
      </c>
      <c r="JI56" s="359"/>
      <c r="JJ56" s="321"/>
      <c r="JK56" s="368"/>
      <c r="JL56" s="369"/>
      <c r="JM56" s="369"/>
      <c r="JN56" s="369"/>
      <c r="JO56" s="369"/>
      <c r="JP56" s="369"/>
      <c r="JQ56" s="369"/>
      <c r="JR56" s="369"/>
      <c r="JS56" s="369"/>
      <c r="JT56" s="369"/>
      <c r="JU56" s="369"/>
    </row>
    <row r="57" ht="20.25" customHeight="1">
      <c r="A57" s="221" t="s">
        <v>1342</v>
      </c>
      <c r="B57" s="223" t="s">
        <v>889</v>
      </c>
      <c r="C57" s="222" t="s">
        <v>275</v>
      </c>
      <c r="D57" s="222"/>
      <c r="E57" s="222"/>
      <c r="F57" s="222" t="s">
        <v>275</v>
      </c>
      <c r="G57" s="395" t="s">
        <v>275</v>
      </c>
      <c r="H57" s="222">
        <v>55.0</v>
      </c>
      <c r="I57" s="224" t="s">
        <v>1219</v>
      </c>
      <c r="J57" s="414">
        <f t="shared" si="5"/>
        <v>1</v>
      </c>
      <c r="K57" s="227">
        <f t="shared" si="6"/>
        <v>7</v>
      </c>
      <c r="L57" s="229">
        <f t="shared" si="7"/>
        <v>7</v>
      </c>
      <c r="M57" s="230">
        <f t="shared" si="8"/>
        <v>0</v>
      </c>
      <c r="N57" s="233" t="str">
        <f t="shared" si="9"/>
        <v>SRgmPdNS</v>
      </c>
      <c r="O57" s="234" t="str">
        <f>IFERROR(__xludf.DUMMYFUNCTION("IF(REGEXMATCH(N57, ""S""), ""S"","""")"),"S")</f>
        <v>S</v>
      </c>
      <c r="P57" s="236" t="str">
        <f>IFERROR(__xludf.DUMMYFUNCTION("IF(REGEXMATCH(N57, ""r""), ""r"","""")"),"")</f>
        <v/>
      </c>
      <c r="Q57" s="237" t="str">
        <f>IFERROR(__xludf.DUMMYFUNCTION("IF(REGEXMATCH(N57, ""R""), ""R"","""")"),"R")</f>
        <v>R</v>
      </c>
      <c r="R57" s="237" t="str">
        <f>IFERROR(__xludf.DUMMYFUNCTION("IF(REGEXMATCH(N57, ""g""), ""g"","""")"),"g")</f>
        <v>g</v>
      </c>
      <c r="S57" s="236" t="str">
        <f>IFERROR(__xludf.DUMMYFUNCTION("IF(REGEXMATCH(N57, ""G""), ""G"","""")"),"")</f>
        <v/>
      </c>
      <c r="T57" s="236" t="str">
        <f>IFERROR(__xludf.DUMMYFUNCTION("IF(REGEXMATCH(N57, ""m""), ""m"","""")"),"m")</f>
        <v>m</v>
      </c>
      <c r="U57" s="237" t="str">
        <f>IFERROR(__xludf.DUMMYFUNCTION("IF(REGEXMATCH(N57, ""M""), ""M"","""")"),"")</f>
        <v/>
      </c>
      <c r="V57" s="236" t="str">
        <f>IFERROR(__xludf.DUMMYFUNCTION("IF(REGEXMATCH(N57, ""P""), ""P"","""")"),"P")</f>
        <v>P</v>
      </c>
      <c r="W57" s="237" t="str">
        <f>IFERROR(__xludf.DUMMYFUNCTION("IF(REGEXMATCH(N57, ""d""), ""d"","""")"),"d")</f>
        <v>d</v>
      </c>
      <c r="X57" s="236" t="str">
        <f>IFERROR(__xludf.DUMMYFUNCTION("IF(REGEXMATCH(N57, ""D""), ""D"","""")"),"")</f>
        <v/>
      </c>
      <c r="Y57" s="236" t="str">
        <f>IFERROR(__xludf.DUMMYFUNCTION("IF(REGEXMATCH(N57, ""n""), ""n"","""")"),"")</f>
        <v/>
      </c>
      <c r="Z57" s="237" t="str">
        <f>IFERROR(__xludf.DUMMYFUNCTION("IF(REGEXMATCH(N57, ""N""), ""N"","""")"),"N")</f>
        <v>N</v>
      </c>
      <c r="AA57" s="238" t="str">
        <f>IFERROR(__xludf.DUMMYFUNCTION("IF(REGEXMATCH(N57, ""S""), ""S"","""")"),"S")</f>
        <v>S</v>
      </c>
      <c r="AB57" s="239" t="str">
        <f>IFERROR(__xludf.DUMMYFUNCTION("SUBSTITUTE(CONCATENATE(JOIN(""-"",O57:U57)),""-"","""")"),"SRgm")</f>
        <v>SRgm</v>
      </c>
      <c r="AC57" s="229" t="str">
        <f>IFERROR(__xludf.DUMMYFUNCTION("SUBSTITUTE(CONCATENATE(JOIN(""-"",V57:AA57)),""-"","""")"),"PdNS")</f>
        <v>PdNS</v>
      </c>
      <c r="AD57" s="282" t="str">
        <f t="shared" si="10"/>
        <v>S-R-G-M</v>
      </c>
      <c r="AE57" s="282" t="str">
        <f t="shared" si="11"/>
        <v>P-D-N-S</v>
      </c>
      <c r="AF57" s="309" t="str">
        <f t="shared" si="12"/>
        <v>RgmdN</v>
      </c>
      <c r="AG57" s="244" t="str">
        <f>IFERROR(__xludf.DUMMYFUNCTION("IF(REGEXMATCH(N57, ""S""), ""0"","""")"),"0")</f>
        <v>0</v>
      </c>
      <c r="AH57" s="245" t="str">
        <f>IFERROR(__xludf.DUMMYFUNCTION("IF(REGEXMATCH(N57, ""r""), ""1"","""")"),"")</f>
        <v/>
      </c>
      <c r="AI57" s="246" t="str">
        <f>IFERROR(__xludf.DUMMYFUNCTION("IF(REGEXMATCH(N57, ""R""), ""2"","""")"),"2")</f>
        <v>2</v>
      </c>
      <c r="AJ57" s="246" t="str">
        <f>IFERROR(__xludf.DUMMYFUNCTION("IF(REGEXMATCH(N57, ""g""), ""3"","""")"),"3")</f>
        <v>3</v>
      </c>
      <c r="AK57" s="245" t="str">
        <f>IFERROR(__xludf.DUMMYFUNCTION("IF(REGEXMATCH(N57, ""G""), ""4"","""")"),"")</f>
        <v/>
      </c>
      <c r="AL57" s="245" t="str">
        <f>IFERROR(__xludf.DUMMYFUNCTION("IF(REGEXMATCH(N57, ""m""), ""5"","""")"),"5")</f>
        <v>5</v>
      </c>
      <c r="AM57" s="246" t="str">
        <f>IFERROR(__xludf.DUMMYFUNCTION("IF(REGEXMATCH(N57, ""M""), ""6"","""")"),"")</f>
        <v/>
      </c>
      <c r="AN57" s="245" t="str">
        <f>IFERROR(__xludf.DUMMYFUNCTION("IF(REGEXMATCH(N57, ""P""), ""7"","""")"),"7")</f>
        <v>7</v>
      </c>
      <c r="AO57" s="246" t="str">
        <f>IFERROR(__xludf.DUMMYFUNCTION("IF(REGEXMATCH(N57, ""d""), ""8"","""")"),"8")</f>
        <v>8</v>
      </c>
      <c r="AP57" s="245" t="str">
        <f>IFERROR(__xludf.DUMMYFUNCTION("IF(REGEXMATCH(N57, ""D""), ""9"","""")"),"")</f>
        <v/>
      </c>
      <c r="AQ57" s="245" t="str">
        <f>IFERROR(__xludf.DUMMYFUNCTION("IF(REGEXMATCH(N57, ""n""), ""10"","""")"),"")</f>
        <v/>
      </c>
      <c r="AR57" s="246" t="str">
        <f>IFERROR(__xludf.DUMMYFUNCTION("IF(REGEXMATCH(N57, ""N""), ""11"","""")"),"11")</f>
        <v>11</v>
      </c>
      <c r="AS57" s="249" t="str">
        <f>IFERROR(__xludf.DUMMYFUNCTION("IF(REGEXMATCH(N57, ""S""), ""0"","""")"),"0")</f>
        <v>0</v>
      </c>
      <c r="AT57" s="250" t="str">
        <f>IFERROR(__xludf.DUMMYFUNCTION("SUBSTITUTE(SUBSTITUTE(SUBSTITUTE(SUBSTITUTE(CONCATENATE(JOIN(""-"",AG57:AS57)),""--"",""-""),""--"",""-""),""--"",""-""),""--"",""-"")"),"0-2-3-5-7-8-11-0")</f>
        <v>0-2-3-5-7-8-11-0</v>
      </c>
      <c r="AU57" s="251">
        <f t="shared" si="13"/>
        <v>1</v>
      </c>
      <c r="AV57" s="234" t="str">
        <f t="shared" si="14"/>
        <v>|</v>
      </c>
      <c r="AW57" s="236" t="str">
        <f t="shared" si="15"/>
        <v>-</v>
      </c>
      <c r="AX57" s="237" t="str">
        <f t="shared" si="16"/>
        <v>|</v>
      </c>
      <c r="AY57" s="236" t="str">
        <f t="shared" si="17"/>
        <v>|</v>
      </c>
      <c r="AZ57" s="237" t="str">
        <f t="shared" si="18"/>
        <v>-</v>
      </c>
      <c r="BA57" s="236" t="str">
        <f t="shared" si="19"/>
        <v>|</v>
      </c>
      <c r="BB57" s="237" t="str">
        <f t="shared" si="20"/>
        <v>-</v>
      </c>
      <c r="BC57" s="236" t="str">
        <f t="shared" si="21"/>
        <v>|</v>
      </c>
      <c r="BD57" s="237" t="str">
        <f t="shared" si="22"/>
        <v>|</v>
      </c>
      <c r="BE57" s="236" t="str">
        <f t="shared" si="23"/>
        <v>-</v>
      </c>
      <c r="BF57" s="237" t="str">
        <f t="shared" si="24"/>
        <v>-</v>
      </c>
      <c r="BG57" s="236" t="str">
        <f t="shared" si="25"/>
        <v>|</v>
      </c>
      <c r="BH57" s="238" t="str">
        <f t="shared" si="26"/>
        <v>|</v>
      </c>
      <c r="BI57" s="250" t="str">
        <f>IFERROR(__xludf.DUMMYFUNCTION("SUBSTITUTE(SUBSTITUTE(CONCATENATE(JOIN("""",AV57:BG57)),""|"",""x""),""-"",""o"")"),"xoxxoxoxxoox")</f>
        <v>xoxxoxoxxoox</v>
      </c>
      <c r="BJ57" s="323" t="str">
        <f>IFERROR(__xludf.DUMMYFUNCTION("JOIN("""",BI57,BI57)"),"xoxxoxoxxooxxoxxoxoxxoox")</f>
        <v>xoxxoxoxxooxxoxxoxoxxoox</v>
      </c>
      <c r="BK57" s="256" t="str">
        <f>IFERROR(__xludf.DUMMYFUNCTION("JOIN("""",ArrayFormula(MID(BI57,LEN(BI57)-SEQUENCE(1,LEN(BI57))+1,1)))"),"xooxxoxoxxox")</f>
        <v>xooxxoxoxxox</v>
      </c>
      <c r="BL57" s="256" t="str">
        <f>IFERROR(__xludf.DUMMYFUNCTION("LEFT(CONCATENATE(""x"",JOIN("""",ArrayFormula(MID(BI57,LEN(BI57)-SEQUENCE(1,LEN(BI57))+1,1)))),12)"),"xxooxxoxoxxo")</f>
        <v>xxooxxoxoxxo</v>
      </c>
      <c r="BM57" s="327" t="str">
        <f>IFERROR(__xludf.DUMMYFUNCTION("JOIN("""",BK57,BK57)"),"xooxxoxoxxoxxooxxoxoxxox")</f>
        <v>xooxxoxoxxoxxooxxoxoxxox</v>
      </c>
      <c r="BN57" s="239" t="str">
        <f>IFERROR(__xludf.DUMMYFUNCTION("IF(REGEXMATCH(BM57,BI57),""✔"",""-"")"),"-")</f>
        <v>-</v>
      </c>
      <c r="BO57" s="330" t="str">
        <f t="shared" si="27"/>
        <v>-</v>
      </c>
      <c r="BP57" s="260" t="str">
        <f t="shared" si="28"/>
        <v>-</v>
      </c>
      <c r="BQ57" s="261" t="str">
        <f>IFERROR(__xludf.DUMMYFUNCTION("IF(BT57=0,""(n/a)"",IF(BU57=2,""(PAIR)"",IF(REGEXMATCH(BJ57,""xoxoxxoxoxox""),""Bilawal"",IF(REGEXMATCH(BJ57,""xoxoxooxoxoo""),""Bhupali"",IF(REGEXMATCH(BJ57,""xoxoxxoxxoxo""),""Charukeshi"",IF(REGEXMATCH(BJ57,""xoxoooxxoxxo""),""Kameshwari"",IF(REGEXMATC"&amp;"H(BJ57,""xoxoxooxoxox""),""Shankara"",IF(REGEXMATCH(BJ57,""xxooxoxxxoox""),""Basant"",IF(REGEXMATCH(BJ57,""xoxoxxxxoxox""),""Bihag"",IF(REGEXMATCH(BJ57,""xoxxxxoxoxxx""),""Pilu"",IF(REGEXMATCH(BJ57,""xoxxoxoxxoox""),""Kirwani"",IF(REGEXMATCH(BJ57,""xoxxox"&amp;"oxoxxx""),""Mk.Malhar"",IF(REGEXMATCH(BJ57,""xxooxxoxxoox""),""Bhairav"",IF(REGEXMATCH(BJ57,""xxoxooxxxoox""),""Todi"",IF(REGEXMATCH(BJ57,""xxooxoxooxox""),""Marwa"",IF(REGEXMATCH(BJ57,""xxoooxoxxooo""),""Gunkali"",IF(REGEXMATCH(BJ57,""xoxoxxoxxoox""),""N"&amp;"at Bhairav"",IF(REGEXMATCH(BJ57,""xoxxoooxoxoo""),""Shivranjani"",IF(REGEXMATCH(BJ57,""xooxxxoxooxo""),""Jog"",IF(REGEXMATCH(BJ57,""xxooxoxoxoox""),""Hemshri"",IF(REGEXMATCH(BJ57,""xoooxooxoxxo""),""Kalavati"",IF(REGEXMATCH(BJ57,""xxoxoxxoxoox""),""Kedar"&amp;""",IF(REGEXMATCH(BJ57,""xoxxxxoxooxx""),""Gara"",IF(REGEXMATCH(BJ57,""xooxoxooxoox""),""Chandrakauns"",IF(REGEXMATCH(BJ57,""xoxxxxoxxxox""),""Mand"",IF(REGEXMATCH(BJ57,""xoxxxxoxoxox""),""Hanskinkini"",IF(REGEXMATCH(BJ57,""xxooxxoxooxo""),""Lilavati"",IF("&amp;"REGEXMATCH(BJ57,""xooxoxoooxox""),""Rajeshwari"",IF(REGEXMATCH(BJ57,""xoooxxoxoxxx""),""Khokar"",IF(REGEXMATCH(BJ57,""xxooxoxxxxox""),""Maligoura"",""-""))))))))))))))))))))))))))))))"),"Kirwani")</f>
        <v>Kirwani</v>
      </c>
      <c r="BR57" s="239">
        <f t="shared" si="29"/>
        <v>6</v>
      </c>
      <c r="BS57" s="239">
        <f>IFERROR(__xludf.DUMMYFUNCTION("COUNTUNIQUE(BW57:CG57)-1"),6.0)</f>
        <v>6</v>
      </c>
      <c r="BT57" s="239">
        <f>IFERROR(__xludf.DUMMYFUNCTION("COUNTUNIQUE(FILTER(BJ:BJ,REGEXMATCH(BJ:BJ,BI57)))-1"),2.0)</f>
        <v>2</v>
      </c>
      <c r="BU57" s="239">
        <f>IFERROR(__xludf.DUMMYFUNCTION("COUNTA(FILTER(BJ:BJ,REGEXMATCH(BJ:BJ,BI57)))"),4.0)</f>
        <v>4</v>
      </c>
      <c r="BV57" s="341">
        <f>IFERROR(__xludf.DUMMYFUNCTION("COUNTA(FILTER(BJ:BJ,REGEXMATCH(BJ:BJ,BI57)))-AU57"),3.0)</f>
        <v>3</v>
      </c>
      <c r="BW57" s="269" t="str">
        <f t="shared" si="30"/>
        <v>-</v>
      </c>
      <c r="BX57" s="269" t="str">
        <f t="shared" si="31"/>
        <v>xxoxoxxooxx</v>
      </c>
      <c r="BY57" s="271" t="str">
        <f t="shared" si="32"/>
        <v>xoxoxxooxxo</v>
      </c>
      <c r="BZ57" s="269" t="str">
        <f t="shared" si="33"/>
        <v>-</v>
      </c>
      <c r="CA57" s="271" t="str">
        <f t="shared" si="34"/>
        <v>xoxxooxxoxx</v>
      </c>
      <c r="CB57" s="271" t="str">
        <f t="shared" si="35"/>
        <v>-</v>
      </c>
      <c r="CC57" s="271" t="str">
        <f t="shared" si="36"/>
        <v>xxooxxoxxox</v>
      </c>
      <c r="CD57" s="271" t="str">
        <f t="shared" si="37"/>
        <v>xooxxoxxoxo</v>
      </c>
      <c r="CE57" s="271" t="str">
        <f t="shared" si="38"/>
        <v>-</v>
      </c>
      <c r="CF57" s="271" t="str">
        <f t="shared" si="39"/>
        <v>-</v>
      </c>
      <c r="CG57" s="274" t="str">
        <f t="shared" si="40"/>
        <v>xxoxxoxoxxo</v>
      </c>
      <c r="CH57" s="276" t="str">
        <f>IFERROR(__xludf.DUMMYFUNCTION("IF(BI57=""oooooooooooo"",""-"",IF(REGEXMATCH(BJ57,""xx""), ""Hemi."", ""Anhemi.""))"),"Hemi.")</f>
        <v>Hemi.</v>
      </c>
      <c r="CI57" s="282" t="str">
        <f>IFERROR(__xludf.DUMMYFUNCTION("IF(BI57=""oooooooooooo"",""-"",IF(REGEXMATCH(BJ57,""xxx""), ""Cohem."", ""-""))"),"-")</f>
        <v>-</v>
      </c>
      <c r="CJ57" s="282" t="str">
        <f>IFERROR(__xludf.DUMMYFUNCTION("IF(BI57=""oooooooooooo"",""-"",IF(REGEXMATCH(BJ57,""xxxx""), ""Co-Co."", ""-""))"),"-")</f>
        <v>-</v>
      </c>
      <c r="CK57" s="342" t="str">
        <f>IFERROR(__xludf.DUMMYFUNCTION("IF(BI57=""oooooooooooo"",""-"",IF(REGEXMATCH(BJ57,""xxxxx""), ""CCC."", ""-""))"),"-")</f>
        <v>-</v>
      </c>
      <c r="CL57" s="344" t="str">
        <f t="shared" si="41"/>
        <v>-</v>
      </c>
      <c r="CM57" s="282" t="str">
        <f>IFERROR(__xludf.DUMMYFUNCTION("IF(REGEXMATCH(JOIN(""-"",CO57:CX57),""TRUE""),""✔"",""-"")"),"-")</f>
        <v>-</v>
      </c>
      <c r="CN57" s="225">
        <f t="shared" si="42"/>
        <v>0</v>
      </c>
      <c r="CO57" s="376" t="b">
        <f>IFERROR(__xludf.DUMMYFUNCTION("arrayformula(sum(--REGEXMATCH(""SRGMPDNS"",split(REGEXREPLACE(N57,""(.)"",""$1~""),""~""))))=len(N57)
"),FALSE)</f>
        <v>0</v>
      </c>
      <c r="CP57" s="290" t="b">
        <f>IFERROR(__xludf.DUMMYFUNCTION("arrayformula(sum(--REGEXMATCH(""SRGmPDNS"",split(REGEXREPLACE(N57,""(.)"",""$1~""),""~""))))=len(N57)"),FALSE)</f>
        <v>0</v>
      </c>
      <c r="CQ57" s="290" t="b">
        <f>IFERROR(__xludf.DUMMYFUNCTION("arrayformula(sum(--REGEXMATCH(""SRGmPDnS"",split(REGEXREPLACE(N57,""(.)"",""$1~""),""~""))))=len(N57)"),FALSE)</f>
        <v>0</v>
      </c>
      <c r="CR57" s="290" t="b">
        <f>IFERROR(__xludf.DUMMYFUNCTION("arrayformula(sum(--REGEXMATCH(""SRgmPDnS"",split(REGEXREPLACE(N57,""(.)"",""$1~""),""~""))))=len(N57)"),FALSE)</f>
        <v>0</v>
      </c>
      <c r="CS57" s="290" t="b">
        <f>IFERROR(__xludf.DUMMYFUNCTION("arrayformula(sum(--REGEXMATCH(""SRgmPdnS"",split(REGEXREPLACE(N57,""(.)"",""$1~""),""~""))))=len(N57)"),FALSE)</f>
        <v>0</v>
      </c>
      <c r="CT57" s="290" t="b">
        <f>IFERROR(__xludf.DUMMYFUNCTION("arrayformula(sum(--REGEXMATCH(""SrgmPdnS"",split(REGEXREPLACE(N57,""(.)"",""$1~""),""~""))))=len(N57)"),FALSE)</f>
        <v>0</v>
      </c>
      <c r="CU57" s="290" t="b">
        <f>IFERROR(__xludf.DUMMYFUNCTION("arrayformula(sum(--REGEXMATCH(""SrGmPdNS"",split(REGEXREPLACE(N57,""(.)"",""$1~""),""~""))))=len(N57)"),FALSE)</f>
        <v>0</v>
      </c>
      <c r="CV57" s="290" t="b">
        <f>IFERROR(__xludf.DUMMYFUNCTION("arrayformula(sum(--REGEXMATCH(""SrGMPDNS"",split(REGEXREPLACE(N57,""(.)"",""$1~""),""~""))))=len(N57)"),FALSE)</f>
        <v>0</v>
      </c>
      <c r="CW57" s="290" t="b">
        <f>IFERROR(__xludf.DUMMYFUNCTION("arrayformula(sum(--REGEXMATCH(""SrGMPdNS"",split(REGEXREPLACE(N57,""(.)"",""$1~""),""~""))))=len(N57)"),FALSE)</f>
        <v>0</v>
      </c>
      <c r="CX57" s="293" t="b">
        <f>IFERROR(__xludf.DUMMYFUNCTION("arrayformula(sum(--REGEXMATCH(""SrgMPdNS"",split(REGEXREPLACE(N57,""(.)"",""$1~""),""~""))))=len(N57)"),FALSE)</f>
        <v>0</v>
      </c>
      <c r="CY57" s="244" t="str">
        <f>IFERROR(__xludf.DUMMYFUNCTION("IF(REGEXMATCH(N57, ""S""), ""1"","""")"),"1")</f>
        <v>1</v>
      </c>
      <c r="CZ57" s="245" t="str">
        <f>IFERROR(__xludf.DUMMYFUNCTION("IF(REGEXMATCH(N57, ""r""), ""b2"","""")"),"")</f>
        <v/>
      </c>
      <c r="DA57" s="246" t="str">
        <f>IFERROR(__xludf.DUMMYFUNCTION("IF(REGEXMATCH(N57, ""R""), ""2"","""")"),"2")</f>
        <v>2</v>
      </c>
      <c r="DB57" s="246" t="str">
        <f>IFERROR(__xludf.DUMMYFUNCTION("IF(REGEXMATCH(N57, ""g""), ""b3"","""")"),"b3")</f>
        <v>b3</v>
      </c>
      <c r="DC57" s="245" t="str">
        <f>IFERROR(__xludf.DUMMYFUNCTION("IF(REGEXMATCH(N57, ""G""), ""3"","""")"),"")</f>
        <v/>
      </c>
      <c r="DD57" s="245" t="str">
        <f>IFERROR(__xludf.DUMMYFUNCTION("IF(REGEXMATCH(N57, ""m""), ""4"","""")"),"4")</f>
        <v>4</v>
      </c>
      <c r="DE57" s="246" t="str">
        <f>IFERROR(__xludf.DUMMYFUNCTION("IF(REGEXMATCH(N57, ""M""), ""#4"","""")"),"")</f>
        <v/>
      </c>
      <c r="DF57" s="245" t="str">
        <f>IFERROR(__xludf.DUMMYFUNCTION("IF(REGEXMATCH(N57, ""P""), ""5"","""")"),"5")</f>
        <v>5</v>
      </c>
      <c r="DG57" s="246" t="str">
        <f>IFERROR(__xludf.DUMMYFUNCTION("IF(REGEXMATCH(N57, ""d""), ""b6"","""")"),"b6")</f>
        <v>b6</v>
      </c>
      <c r="DH57" s="245" t="str">
        <f>IFERROR(__xludf.DUMMYFUNCTION("IF(REGEXMATCH(N57, ""D""), ""6"","""")"),"")</f>
        <v/>
      </c>
      <c r="DI57" s="245" t="str">
        <f>IFERROR(__xludf.DUMMYFUNCTION("IF(REGEXMATCH(N57, ""n""), ""b7"","""")"),"")</f>
        <v/>
      </c>
      <c r="DJ57" s="246" t="str">
        <f>IFERROR(__xludf.DUMMYFUNCTION("IF(REGEXMATCH(N57, ""N""), ""7"","""")"),"7")</f>
        <v>7</v>
      </c>
      <c r="DK57" s="249" t="str">
        <f>IFERROR(__xludf.DUMMYFUNCTION("IF(REGEXMATCH(N57, ""S""), ""8"","""")"),"8")</f>
        <v>8</v>
      </c>
      <c r="DL57" s="244" t="str">
        <f>IFERROR(__xludf.DUMMYFUNCTION("IF(REGEXMATCH(N57, ""S""), ""S"","""")"),"S")</f>
        <v>S</v>
      </c>
      <c r="DM57" s="294" t="str">
        <f>IFERROR(__xludf.DUMMYFUNCTION("IF(REGEXMATCH(N57, ""r""), ""R1"","""")"),"")</f>
        <v/>
      </c>
      <c r="DN57" s="295" t="str">
        <f>IFERROR(__xludf.DUMMYFUNCTION("IF(REGEXMATCH(N57, ""R""), ""R2"","""")"),"R2")</f>
        <v>R2</v>
      </c>
      <c r="DO57" s="295" t="str">
        <f>IFERROR(__xludf.DUMMYFUNCTION("IF(REGEXMATCH(N57, ""g""), ""G2"","""")"),"G2")</f>
        <v>G2</v>
      </c>
      <c r="DP57" s="294" t="str">
        <f>IFERROR(__xludf.DUMMYFUNCTION("IF(REGEXMATCH(N57, ""G""), ""G3"","""")"),"")</f>
        <v/>
      </c>
      <c r="DQ57" s="294" t="str">
        <f>IFERROR(__xludf.DUMMYFUNCTION("IF(REGEXMATCH(N57, ""m""), ""M1"","""")"),"M1")</f>
        <v>M1</v>
      </c>
      <c r="DR57" s="295" t="str">
        <f>IFERROR(__xludf.DUMMYFUNCTION("IF(REGEXMATCH(N57, ""M""), ""M2"","""")"),"")</f>
        <v/>
      </c>
      <c r="DS57" s="294" t="str">
        <f>IFERROR(__xludf.DUMMYFUNCTION("IF(REGEXMATCH(N57, ""P""), ""P"","""")"),"P")</f>
        <v>P</v>
      </c>
      <c r="DT57" s="295" t="str">
        <f>IFERROR(__xludf.DUMMYFUNCTION("IF(REGEXMATCH(N57, ""d""), ""D1"","""")"),"D1")</f>
        <v>D1</v>
      </c>
      <c r="DU57" s="294" t="str">
        <f>IFERROR(__xludf.DUMMYFUNCTION("IF(REGEXMATCH(N57, ""D""), ""D2"","""")"),"")</f>
        <v/>
      </c>
      <c r="DV57" s="294" t="str">
        <f>IFERROR(__xludf.DUMMYFUNCTION("IF(REGEXMATCH(N57, ""n""), ""N2"","""")"),"")</f>
        <v/>
      </c>
      <c r="DW57" s="295" t="str">
        <f>IFERROR(__xludf.DUMMYFUNCTION("IF(REGEXMATCH(N57, ""N""), ""N3"","""")"),"N3")</f>
        <v>N3</v>
      </c>
      <c r="DX57" s="249" t="str">
        <f>IFERROR(__xludf.DUMMYFUNCTION("IF(REGEXMATCH(N57, ""S""), ""S"","""")"),"S")</f>
        <v>S</v>
      </c>
      <c r="DY57" s="299" t="str">
        <f>IFERROR(__xludf.DUMMYFUNCTION("SUBSTITUTE(SUBSTITUTE(SUBSTITUTE(SUBSTITUTE(CONCATENATE(JOIN(""-"",CY57:DK57)),""--"",""-""),""--"",""-""),""--"",""-""),""--"",""-"")"),"1-2-b3-4-5-b6-7-8")</f>
        <v>1-2-b3-4-5-b6-7-8</v>
      </c>
      <c r="DZ57" s="299" t="str">
        <f>IFERROR(__xludf.DUMMYFUNCTION("SUBSTITUTE(SUBSTITUTE(SUBSTITUTE(SUBSTITUTE(CONCATENATE(JOIN(""-"",DL57:DX57)),""--"",""-""),""--"",""-""),""--"",""-""),""--"",""-"")"),"S-R2-G2-M1-P-D1-N3-S")</f>
        <v>S-R2-G2-M1-P-D1-N3-S</v>
      </c>
      <c r="EA57" s="348" t="str">
        <f t="shared" si="43"/>
        <v>C-D-Eb-F-G-Ab-B-C</v>
      </c>
      <c r="EB57" s="301">
        <f t="shared" si="44"/>
        <v>7</v>
      </c>
      <c r="EC57" s="302" t="str">
        <f t="shared" si="45"/>
        <v>Sampurna</v>
      </c>
      <c r="ED57" s="301" t="str">
        <f t="shared" ref="ED57:EE57" si="223">SUBSTITUTE(AD57,"-","")</f>
        <v>SRGM</v>
      </c>
      <c r="EE57" s="301" t="str">
        <f t="shared" si="223"/>
        <v>PDNS</v>
      </c>
      <c r="EF57" s="302" t="str">
        <f t="shared" si="47"/>
        <v>Kirwani</v>
      </c>
      <c r="EG57" s="301" t="str">
        <f t="shared" si="48"/>
        <v>Hemi.</v>
      </c>
      <c r="EH57" s="364" t="str">
        <f t="shared" si="49"/>
        <v>-</v>
      </c>
      <c r="EI57" s="306" t="str">
        <f t="shared" si="50"/>
        <v>-</v>
      </c>
      <c r="EJ57" s="366" t="str">
        <f t="shared" si="51"/>
        <v>-</v>
      </c>
      <c r="EK57" s="308" t="str">
        <f t="shared" si="52"/>
        <v>✔</v>
      </c>
      <c r="EL57" s="306" t="str">
        <f t="shared" si="53"/>
        <v>-</v>
      </c>
      <c r="EM57" s="306" t="str">
        <f t="shared" si="54"/>
        <v>-</v>
      </c>
      <c r="EN57" s="367" t="str">
        <f t="shared" si="55"/>
        <v>-</v>
      </c>
      <c r="EO57" s="310" t="str">
        <f t="shared" si="56"/>
        <v>-</v>
      </c>
      <c r="EP57" s="310" t="str">
        <f t="shared" si="57"/>
        <v>-</v>
      </c>
      <c r="EQ57" s="310" t="str">
        <f t="shared" si="58"/>
        <v>-</v>
      </c>
      <c r="ER57" s="310" t="str">
        <f t="shared" si="59"/>
        <v>-</v>
      </c>
      <c r="ES57" s="370" t="str">
        <f t="shared" si="60"/>
        <v>-</v>
      </c>
      <c r="ET57" s="306" t="str">
        <f t="shared" si="61"/>
        <v>-</v>
      </c>
      <c r="EU57" s="306" t="str">
        <f t="shared" si="62"/>
        <v>-</v>
      </c>
      <c r="EV57" s="306" t="str">
        <f t="shared" si="63"/>
        <v>-</v>
      </c>
      <c r="EW57" s="306" t="str">
        <f t="shared" si="64"/>
        <v>-</v>
      </c>
      <c r="EX57" s="306" t="str">
        <f t="shared" si="65"/>
        <v>-</v>
      </c>
      <c r="EY57" s="367" t="str">
        <f t="shared" si="66"/>
        <v>-</v>
      </c>
      <c r="EZ57" s="310" t="str">
        <f>IFERROR(__xludf.DUMMYFUNCTION("IF(REGEXMATCH(BM57,BI57),""✔"",""-"")"),"-")</f>
        <v>-</v>
      </c>
      <c r="FA57" s="310" t="str">
        <f t="shared" si="67"/>
        <v>-</v>
      </c>
      <c r="FB57" s="370" t="str">
        <f t="shared" si="68"/>
        <v>-</v>
      </c>
      <c r="FC57" s="415">
        <f t="shared" si="69"/>
        <v>1</v>
      </c>
      <c r="FD57" s="317" t="str">
        <f t="shared" si="70"/>
        <v>S-R-g-m-P-d-N-S</v>
      </c>
      <c r="FE57" s="318" t="str">
        <f>IFERROR(__xludf.DUMMYFUNCTION("CONCATENATE(JOIN("""",GJ57:GV57))"),"SrGmPDnS")</f>
        <v>SrGmPDnS</v>
      </c>
      <c r="FF57" s="318"/>
      <c r="FG57" s="318"/>
      <c r="FH57" s="321">
        <f t="shared" si="71"/>
        <v>3</v>
      </c>
      <c r="FI57" s="318" t="str">
        <f>IFERROR(__xludf.DUMMYFUNCTION("CONCATENATE(JOIN("""",HW57:II57))"),"Re, ga, Ni, ")</f>
        <v>Re, ga, Ni, </v>
      </c>
      <c r="FJ57" s="322">
        <f t="shared" si="72"/>
        <v>1</v>
      </c>
      <c r="FK57" s="324" t="str">
        <f>IFERROR(__xludf.DUMMYFUNCTION("CONCATENATE(JOIN("""",IW57:JI57))"),"Ni, ")</f>
        <v>Ni, </v>
      </c>
      <c r="FL57" s="325" t="str">
        <f t="shared" si="73"/>
        <v>S-R2-G2-M1-P-D1-N3-S</v>
      </c>
      <c r="FM57" s="326" t="str">
        <f t="shared" si="74"/>
        <v>1-2-b3-4-5-b6-7-8</v>
      </c>
      <c r="FN57" s="326" t="str">
        <f t="shared" si="75"/>
        <v>0-2-3-5-7-8-11-0</v>
      </c>
      <c r="FO57" s="318"/>
      <c r="FP57" s="328" t="str">
        <f>IFERROR(__xludf.DUMMYFUNCTION("SUBSTITUTE(SUBSTITUTE(SUBSTITUTE(SUBSTITUTE(CONCATENATE(JOIN("" "",FS57:GE57)),""  "","" ""),""  "","" ""),""  "","" ""),""  "","" "")"),"o • o o • o • o o • • o o")</f>
        <v>o • o o • o • o o • • o o</v>
      </c>
      <c r="FQ57" s="328" t="str">
        <f t="shared" si="76"/>
        <v>-</v>
      </c>
      <c r="FR57" s="329"/>
      <c r="FS57" s="331" t="str">
        <f t="shared" si="77"/>
        <v>o</v>
      </c>
      <c r="FT57" s="332" t="str">
        <f t="shared" si="78"/>
        <v>•</v>
      </c>
      <c r="FU57" s="332" t="str">
        <f t="shared" si="79"/>
        <v>o</v>
      </c>
      <c r="FV57" s="332" t="str">
        <f t="shared" si="80"/>
        <v>o</v>
      </c>
      <c r="FW57" s="332" t="str">
        <f t="shared" si="81"/>
        <v>•</v>
      </c>
      <c r="FX57" s="332" t="str">
        <f t="shared" si="82"/>
        <v>o</v>
      </c>
      <c r="FY57" s="332" t="str">
        <f t="shared" si="83"/>
        <v>•</v>
      </c>
      <c r="FZ57" s="332" t="str">
        <f t="shared" si="84"/>
        <v>o</v>
      </c>
      <c r="GA57" s="332" t="str">
        <f t="shared" si="85"/>
        <v>o</v>
      </c>
      <c r="GB57" s="332" t="str">
        <f t="shared" si="86"/>
        <v>•</v>
      </c>
      <c r="GC57" s="332" t="str">
        <f t="shared" si="87"/>
        <v>•</v>
      </c>
      <c r="GD57" s="332" t="str">
        <f t="shared" si="88"/>
        <v>o</v>
      </c>
      <c r="GE57" s="338" t="str">
        <f t="shared" si="89"/>
        <v>o</v>
      </c>
      <c r="GF57" s="339" t="str">
        <f t="shared" si="90"/>
        <v>-</v>
      </c>
      <c r="GG57" s="339" t="str">
        <f t="shared" si="91"/>
        <v>Sa-Pa</v>
      </c>
      <c r="GH57" s="339" t="str">
        <f t="shared" si="92"/>
        <v>-</v>
      </c>
      <c r="GI57" s="340" t="str">
        <f t="shared" si="93"/>
        <v>-</v>
      </c>
      <c r="GJ57" s="331" t="str">
        <f t="shared" si="94"/>
        <v>S</v>
      </c>
      <c r="GK57" s="332" t="str">
        <f t="shared" si="95"/>
        <v>r</v>
      </c>
      <c r="GL57" s="332" t="str">
        <f t="shared" si="96"/>
        <v/>
      </c>
      <c r="GM57" s="332" t="str">
        <f t="shared" si="97"/>
        <v/>
      </c>
      <c r="GN57" s="332" t="str">
        <f t="shared" si="98"/>
        <v>G</v>
      </c>
      <c r="GO57" s="332" t="str">
        <f t="shared" si="99"/>
        <v>m</v>
      </c>
      <c r="GP57" s="332" t="str">
        <f t="shared" si="100"/>
        <v/>
      </c>
      <c r="GQ57" s="332" t="str">
        <f t="shared" si="101"/>
        <v>P</v>
      </c>
      <c r="GR57" s="332" t="str">
        <f t="shared" si="102"/>
        <v/>
      </c>
      <c r="GS57" s="332" t="str">
        <f t="shared" si="103"/>
        <v>D</v>
      </c>
      <c r="GT57" s="332" t="str">
        <f t="shared" si="104"/>
        <v>n</v>
      </c>
      <c r="GU57" s="332" t="str">
        <f t="shared" si="105"/>
        <v/>
      </c>
      <c r="GV57" s="343" t="str">
        <f t="shared" si="106"/>
        <v>S</v>
      </c>
      <c r="GW57" s="331" t="str">
        <f t="shared" si="107"/>
        <v>•</v>
      </c>
      <c r="GX57" s="332" t="str">
        <f t="shared" si="108"/>
        <v>o</v>
      </c>
      <c r="GY57" s="332" t="str">
        <f t="shared" si="109"/>
        <v>•</v>
      </c>
      <c r="GZ57" s="332" t="str">
        <f t="shared" si="110"/>
        <v>•</v>
      </c>
      <c r="HA57" s="332" t="str">
        <f t="shared" si="111"/>
        <v>o</v>
      </c>
      <c r="HB57" s="332" t="str">
        <f t="shared" si="112"/>
        <v>•</v>
      </c>
      <c r="HC57" s="332" t="str">
        <f t="shared" si="113"/>
        <v>o</v>
      </c>
      <c r="HD57" s="332" t="str">
        <f t="shared" si="114"/>
        <v>•</v>
      </c>
      <c r="HE57" s="332" t="str">
        <f t="shared" si="115"/>
        <v>•</v>
      </c>
      <c r="HF57" s="332" t="str">
        <f t="shared" si="116"/>
        <v>o</v>
      </c>
      <c r="HG57" s="332" t="str">
        <f t="shared" si="117"/>
        <v>o</v>
      </c>
      <c r="HH57" s="332" t="str">
        <f t="shared" si="118"/>
        <v>•</v>
      </c>
      <c r="HI57" s="338" t="str">
        <f t="shared" si="119"/>
        <v>•</v>
      </c>
      <c r="HJ57" s="346" t="b">
        <f t="shared" si="120"/>
        <v>0</v>
      </c>
      <c r="HK57" s="347" t="b">
        <f t="shared" si="121"/>
        <v>0</v>
      </c>
      <c r="HL57" s="347" t="b">
        <f t="shared" si="122"/>
        <v>1</v>
      </c>
      <c r="HM57" s="347" t="b">
        <f t="shared" si="123"/>
        <v>1</v>
      </c>
      <c r="HN57" s="347" t="b">
        <f t="shared" si="124"/>
        <v>0</v>
      </c>
      <c r="HO57" s="347" t="b">
        <f t="shared" si="125"/>
        <v>0</v>
      </c>
      <c r="HP57" s="347" t="b">
        <f t="shared" si="126"/>
        <v>0</v>
      </c>
      <c r="HQ57" s="347" t="b">
        <f t="shared" si="127"/>
        <v>0</v>
      </c>
      <c r="HR57" s="347" t="b">
        <f t="shared" si="128"/>
        <v>0</v>
      </c>
      <c r="HS57" s="347" t="b">
        <f t="shared" si="129"/>
        <v>0</v>
      </c>
      <c r="HT57" s="347" t="b">
        <f t="shared" si="130"/>
        <v>0</v>
      </c>
      <c r="HU57" s="347" t="b">
        <f t="shared" si="131"/>
        <v>1</v>
      </c>
      <c r="HV57" s="353" t="b">
        <f t="shared" si="132"/>
        <v>0</v>
      </c>
      <c r="HW57" s="354" t="str">
        <f t="shared" si="133"/>
        <v/>
      </c>
      <c r="HX57" s="355" t="str">
        <f t="shared" si="134"/>
        <v/>
      </c>
      <c r="HY57" s="355" t="str">
        <f t="shared" si="135"/>
        <v>Re, </v>
      </c>
      <c r="HZ57" s="355" t="str">
        <f t="shared" si="136"/>
        <v>ga, </v>
      </c>
      <c r="IA57" s="355" t="str">
        <f t="shared" si="137"/>
        <v/>
      </c>
      <c r="IB57" s="355" t="str">
        <f t="shared" si="138"/>
        <v/>
      </c>
      <c r="IC57" s="355" t="str">
        <f t="shared" si="139"/>
        <v/>
      </c>
      <c r="ID57" s="355" t="str">
        <f t="shared" si="140"/>
        <v/>
      </c>
      <c r="IE57" s="355" t="str">
        <f t="shared" si="141"/>
        <v/>
      </c>
      <c r="IF57" s="355" t="str">
        <f t="shared" si="142"/>
        <v/>
      </c>
      <c r="IG57" s="355" t="str">
        <f t="shared" si="143"/>
        <v/>
      </c>
      <c r="IH57" s="355" t="str">
        <f t="shared" si="144"/>
        <v>Ni, </v>
      </c>
      <c r="II57" s="359" t="str">
        <f t="shared" si="145"/>
        <v/>
      </c>
      <c r="IJ57" s="346" t="b">
        <f t="shared" si="146"/>
        <v>0</v>
      </c>
      <c r="IK57" s="347" t="b">
        <f t="shared" si="147"/>
        <v>0</v>
      </c>
      <c r="IL57" s="347" t="b">
        <f t="shared" si="148"/>
        <v>0</v>
      </c>
      <c r="IM57" s="347" t="b">
        <f t="shared" si="149"/>
        <v>0</v>
      </c>
      <c r="IN57" s="347" t="b">
        <f t="shared" si="150"/>
        <v>0</v>
      </c>
      <c r="IO57" s="347" t="b">
        <f t="shared" si="151"/>
        <v>0</v>
      </c>
      <c r="IP57" s="347" t="b">
        <f t="shared" si="152"/>
        <v>0</v>
      </c>
      <c r="IQ57" s="347" t="b">
        <f t="shared" si="153"/>
        <v>0</v>
      </c>
      <c r="IR57" s="347" t="b">
        <f t="shared" si="154"/>
        <v>0</v>
      </c>
      <c r="IS57" s="347" t="b">
        <f t="shared" si="155"/>
        <v>0</v>
      </c>
      <c r="IT57" s="347" t="b">
        <f t="shared" si="156"/>
        <v>0</v>
      </c>
      <c r="IU57" s="347" t="b">
        <f t="shared" si="157"/>
        <v>1</v>
      </c>
      <c r="IV57" s="365" t="b">
        <f t="shared" si="158"/>
        <v>0</v>
      </c>
      <c r="IW57" s="354" t="str">
        <f t="shared" si="159"/>
        <v/>
      </c>
      <c r="IX57" s="355" t="str">
        <f t="shared" si="160"/>
        <v/>
      </c>
      <c r="IY57" s="355" t="str">
        <f t="shared" si="161"/>
        <v/>
      </c>
      <c r="IZ57" s="355" t="str">
        <f t="shared" si="162"/>
        <v/>
      </c>
      <c r="JA57" s="355" t="str">
        <f t="shared" si="163"/>
        <v/>
      </c>
      <c r="JB57" s="355" t="str">
        <f t="shared" si="164"/>
        <v/>
      </c>
      <c r="JC57" s="355" t="str">
        <f t="shared" si="165"/>
        <v/>
      </c>
      <c r="JD57" s="355" t="str">
        <f t="shared" si="166"/>
        <v/>
      </c>
      <c r="JE57" s="355" t="str">
        <f t="shared" si="167"/>
        <v/>
      </c>
      <c r="JF57" s="355" t="str">
        <f t="shared" si="168"/>
        <v/>
      </c>
      <c r="JG57" s="355" t="str">
        <f t="shared" si="169"/>
        <v/>
      </c>
      <c r="JH57" s="355" t="str">
        <f t="shared" si="170"/>
        <v>Ni, </v>
      </c>
      <c r="JI57" s="359"/>
      <c r="JJ57" s="321"/>
      <c r="JK57" s="368"/>
      <c r="JL57" s="369"/>
      <c r="JM57" s="369"/>
      <c r="JN57" s="369"/>
      <c r="JO57" s="369"/>
      <c r="JP57" s="369"/>
      <c r="JQ57" s="369"/>
      <c r="JR57" s="369"/>
      <c r="JS57" s="369"/>
      <c r="JT57" s="369"/>
      <c r="JU57" s="369"/>
    </row>
    <row r="58" ht="20.25" customHeight="1">
      <c r="A58" s="221" t="s">
        <v>1344</v>
      </c>
      <c r="B58" s="223" t="s">
        <v>889</v>
      </c>
      <c r="C58" s="222" t="s">
        <v>275</v>
      </c>
      <c r="D58" s="222"/>
      <c r="E58" s="222"/>
      <c r="F58" s="222" t="s">
        <v>275</v>
      </c>
      <c r="G58" s="395" t="s">
        <v>275</v>
      </c>
      <c r="H58" s="222">
        <v>56.0</v>
      </c>
      <c r="I58" s="224" t="s">
        <v>1219</v>
      </c>
      <c r="J58" s="414">
        <f t="shared" si="5"/>
        <v>1</v>
      </c>
      <c r="K58" s="227">
        <f t="shared" si="6"/>
        <v>7</v>
      </c>
      <c r="L58" s="229">
        <f t="shared" si="7"/>
        <v>7</v>
      </c>
      <c r="M58" s="230">
        <f t="shared" si="8"/>
        <v>0</v>
      </c>
      <c r="N58" s="233" t="str">
        <f t="shared" si="9"/>
        <v>SRgmPdNS</v>
      </c>
      <c r="O58" s="234" t="str">
        <f>IFERROR(__xludf.DUMMYFUNCTION("IF(REGEXMATCH(N58, ""S""), ""S"","""")"),"S")</f>
        <v>S</v>
      </c>
      <c r="P58" s="236" t="str">
        <f>IFERROR(__xludf.DUMMYFUNCTION("IF(REGEXMATCH(N58, ""r""), ""r"","""")"),"")</f>
        <v/>
      </c>
      <c r="Q58" s="237" t="str">
        <f>IFERROR(__xludf.DUMMYFUNCTION("IF(REGEXMATCH(N58, ""R""), ""R"","""")"),"R")</f>
        <v>R</v>
      </c>
      <c r="R58" s="237" t="str">
        <f>IFERROR(__xludf.DUMMYFUNCTION("IF(REGEXMATCH(N58, ""g""), ""g"","""")"),"g")</f>
        <v>g</v>
      </c>
      <c r="S58" s="236" t="str">
        <f>IFERROR(__xludf.DUMMYFUNCTION("IF(REGEXMATCH(N58, ""G""), ""G"","""")"),"")</f>
        <v/>
      </c>
      <c r="T58" s="236" t="str">
        <f>IFERROR(__xludf.DUMMYFUNCTION("IF(REGEXMATCH(N58, ""m""), ""m"","""")"),"m")</f>
        <v>m</v>
      </c>
      <c r="U58" s="237" t="str">
        <f>IFERROR(__xludf.DUMMYFUNCTION("IF(REGEXMATCH(N58, ""M""), ""M"","""")"),"")</f>
        <v/>
      </c>
      <c r="V58" s="236" t="str">
        <f>IFERROR(__xludf.DUMMYFUNCTION("IF(REGEXMATCH(N58, ""P""), ""P"","""")"),"P")</f>
        <v>P</v>
      </c>
      <c r="W58" s="237" t="str">
        <f>IFERROR(__xludf.DUMMYFUNCTION("IF(REGEXMATCH(N58, ""d""), ""d"","""")"),"d")</f>
        <v>d</v>
      </c>
      <c r="X58" s="236" t="str">
        <f>IFERROR(__xludf.DUMMYFUNCTION("IF(REGEXMATCH(N58, ""D""), ""D"","""")"),"")</f>
        <v/>
      </c>
      <c r="Y58" s="236" t="str">
        <f>IFERROR(__xludf.DUMMYFUNCTION("IF(REGEXMATCH(N58, ""n""), ""n"","""")"),"")</f>
        <v/>
      </c>
      <c r="Z58" s="237" t="str">
        <f>IFERROR(__xludf.DUMMYFUNCTION("IF(REGEXMATCH(N58, ""N""), ""N"","""")"),"N")</f>
        <v>N</v>
      </c>
      <c r="AA58" s="238" t="str">
        <f>IFERROR(__xludf.DUMMYFUNCTION("IF(REGEXMATCH(N58, ""S""), ""S"","""")"),"S")</f>
        <v>S</v>
      </c>
      <c r="AB58" s="239" t="str">
        <f>IFERROR(__xludf.DUMMYFUNCTION("SUBSTITUTE(CONCATENATE(JOIN(""-"",O58:U58)),""-"","""")"),"SRgm")</f>
        <v>SRgm</v>
      </c>
      <c r="AC58" s="229" t="str">
        <f>IFERROR(__xludf.DUMMYFUNCTION("SUBSTITUTE(CONCATENATE(JOIN(""-"",V58:AA58)),""-"","""")"),"PdNS")</f>
        <v>PdNS</v>
      </c>
      <c r="AD58" s="282" t="str">
        <f t="shared" si="10"/>
        <v>S-R-G-M</v>
      </c>
      <c r="AE58" s="282" t="str">
        <f t="shared" si="11"/>
        <v>P-D-N-S</v>
      </c>
      <c r="AF58" s="309" t="str">
        <f t="shared" si="12"/>
        <v>RgmdN</v>
      </c>
      <c r="AG58" s="244" t="str">
        <f>IFERROR(__xludf.DUMMYFUNCTION("IF(REGEXMATCH(N58, ""S""), ""0"","""")"),"0")</f>
        <v>0</v>
      </c>
      <c r="AH58" s="245" t="str">
        <f>IFERROR(__xludf.DUMMYFUNCTION("IF(REGEXMATCH(N58, ""r""), ""1"","""")"),"")</f>
        <v/>
      </c>
      <c r="AI58" s="246" t="str">
        <f>IFERROR(__xludf.DUMMYFUNCTION("IF(REGEXMATCH(N58, ""R""), ""2"","""")"),"2")</f>
        <v>2</v>
      </c>
      <c r="AJ58" s="246" t="str">
        <f>IFERROR(__xludf.DUMMYFUNCTION("IF(REGEXMATCH(N58, ""g""), ""3"","""")"),"3")</f>
        <v>3</v>
      </c>
      <c r="AK58" s="245" t="str">
        <f>IFERROR(__xludf.DUMMYFUNCTION("IF(REGEXMATCH(N58, ""G""), ""4"","""")"),"")</f>
        <v/>
      </c>
      <c r="AL58" s="245" t="str">
        <f>IFERROR(__xludf.DUMMYFUNCTION("IF(REGEXMATCH(N58, ""m""), ""5"","""")"),"5")</f>
        <v>5</v>
      </c>
      <c r="AM58" s="246" t="str">
        <f>IFERROR(__xludf.DUMMYFUNCTION("IF(REGEXMATCH(N58, ""M""), ""6"","""")"),"")</f>
        <v/>
      </c>
      <c r="AN58" s="245" t="str">
        <f>IFERROR(__xludf.DUMMYFUNCTION("IF(REGEXMATCH(N58, ""P""), ""7"","""")"),"7")</f>
        <v>7</v>
      </c>
      <c r="AO58" s="246" t="str">
        <f>IFERROR(__xludf.DUMMYFUNCTION("IF(REGEXMATCH(N58, ""d""), ""8"","""")"),"8")</f>
        <v>8</v>
      </c>
      <c r="AP58" s="245" t="str">
        <f>IFERROR(__xludf.DUMMYFUNCTION("IF(REGEXMATCH(N58, ""D""), ""9"","""")"),"")</f>
        <v/>
      </c>
      <c r="AQ58" s="245" t="str">
        <f>IFERROR(__xludf.DUMMYFUNCTION("IF(REGEXMATCH(N58, ""n""), ""10"","""")"),"")</f>
        <v/>
      </c>
      <c r="AR58" s="246" t="str">
        <f>IFERROR(__xludf.DUMMYFUNCTION("IF(REGEXMATCH(N58, ""N""), ""11"","""")"),"11")</f>
        <v>11</v>
      </c>
      <c r="AS58" s="249" t="str">
        <f>IFERROR(__xludf.DUMMYFUNCTION("IF(REGEXMATCH(N58, ""S""), ""0"","""")"),"0")</f>
        <v>0</v>
      </c>
      <c r="AT58" s="250" t="str">
        <f>IFERROR(__xludf.DUMMYFUNCTION("SUBSTITUTE(SUBSTITUTE(SUBSTITUTE(SUBSTITUTE(CONCATENATE(JOIN(""-"",AG58:AS58)),""--"",""-""),""--"",""-""),""--"",""-""),""--"",""-"")"),"0-2-3-5-7-8-11-0")</f>
        <v>0-2-3-5-7-8-11-0</v>
      </c>
      <c r="AU58" s="251">
        <f t="shared" si="13"/>
        <v>1</v>
      </c>
      <c r="AV58" s="234" t="str">
        <f t="shared" si="14"/>
        <v>|</v>
      </c>
      <c r="AW58" s="236" t="str">
        <f t="shared" si="15"/>
        <v>-</v>
      </c>
      <c r="AX58" s="237" t="str">
        <f t="shared" si="16"/>
        <v>|</v>
      </c>
      <c r="AY58" s="236" t="str">
        <f t="shared" si="17"/>
        <v>|</v>
      </c>
      <c r="AZ58" s="237" t="str">
        <f t="shared" si="18"/>
        <v>-</v>
      </c>
      <c r="BA58" s="236" t="str">
        <f t="shared" si="19"/>
        <v>|</v>
      </c>
      <c r="BB58" s="237" t="str">
        <f t="shared" si="20"/>
        <v>-</v>
      </c>
      <c r="BC58" s="236" t="str">
        <f t="shared" si="21"/>
        <v>|</v>
      </c>
      <c r="BD58" s="237" t="str">
        <f t="shared" si="22"/>
        <v>|</v>
      </c>
      <c r="BE58" s="236" t="str">
        <f t="shared" si="23"/>
        <v>-</v>
      </c>
      <c r="BF58" s="237" t="str">
        <f t="shared" si="24"/>
        <v>-</v>
      </c>
      <c r="BG58" s="236" t="str">
        <f t="shared" si="25"/>
        <v>|</v>
      </c>
      <c r="BH58" s="238" t="str">
        <f t="shared" si="26"/>
        <v>|</v>
      </c>
      <c r="BI58" s="250" t="str">
        <f>IFERROR(__xludf.DUMMYFUNCTION("SUBSTITUTE(SUBSTITUTE(CONCATENATE(JOIN("""",AV58:BG58)),""|"",""x""),""-"",""o"")"),"xoxxoxoxxoox")</f>
        <v>xoxxoxoxxoox</v>
      </c>
      <c r="BJ58" s="323" t="str">
        <f>IFERROR(__xludf.DUMMYFUNCTION("JOIN("""",BI58,BI58)"),"xoxxoxoxxooxxoxxoxoxxoox")</f>
        <v>xoxxoxoxxooxxoxxoxoxxoox</v>
      </c>
      <c r="BK58" s="256" t="str">
        <f>IFERROR(__xludf.DUMMYFUNCTION("JOIN("""",ArrayFormula(MID(BI58,LEN(BI58)-SEQUENCE(1,LEN(BI58))+1,1)))"),"xooxxoxoxxox")</f>
        <v>xooxxoxoxxox</v>
      </c>
      <c r="BL58" s="256" t="str">
        <f>IFERROR(__xludf.DUMMYFUNCTION("LEFT(CONCATENATE(""x"",JOIN("""",ArrayFormula(MID(BI58,LEN(BI58)-SEQUENCE(1,LEN(BI58))+1,1)))),12)"),"xxooxxoxoxxo")</f>
        <v>xxooxxoxoxxo</v>
      </c>
      <c r="BM58" s="327" t="str">
        <f>IFERROR(__xludf.DUMMYFUNCTION("JOIN("""",BK58,BK58)"),"xooxxoxoxxoxxooxxoxoxxox")</f>
        <v>xooxxoxoxxoxxooxxoxoxxox</v>
      </c>
      <c r="BN58" s="239" t="str">
        <f>IFERROR(__xludf.DUMMYFUNCTION("IF(REGEXMATCH(BM58,BI58),""✔"",""-"")"),"-")</f>
        <v>-</v>
      </c>
      <c r="BO58" s="330" t="str">
        <f t="shared" si="27"/>
        <v>-</v>
      </c>
      <c r="BP58" s="260" t="str">
        <f t="shared" si="28"/>
        <v>-</v>
      </c>
      <c r="BQ58" s="261" t="str">
        <f>IFERROR(__xludf.DUMMYFUNCTION("IF(BT58=0,""(n/a)"",IF(BU58=2,""(PAIR)"",IF(REGEXMATCH(BJ58,""xoxoxxoxoxox""),""Bilawal"",IF(REGEXMATCH(BJ58,""xoxoxooxoxoo""),""Bhupali"",IF(REGEXMATCH(BJ58,""xoxoxxoxxoxo""),""Charukeshi"",IF(REGEXMATCH(BJ58,""xoxoooxxoxxo""),""Kameshwari"",IF(REGEXMATC"&amp;"H(BJ58,""xoxoxooxoxox""),""Shankara"",IF(REGEXMATCH(BJ58,""xxooxoxxxoox""),""Basant"",IF(REGEXMATCH(BJ58,""xoxoxxxxoxox""),""Bihag"",IF(REGEXMATCH(BJ58,""xoxxxxoxoxxx""),""Pilu"",IF(REGEXMATCH(BJ58,""xoxxoxoxxoox""),""Kirwani"",IF(REGEXMATCH(BJ58,""xoxxox"&amp;"oxoxxx""),""Mk.Malhar"",IF(REGEXMATCH(BJ58,""xxooxxoxxoox""),""Bhairav"",IF(REGEXMATCH(BJ58,""xxoxooxxxoox""),""Todi"",IF(REGEXMATCH(BJ58,""xxooxoxooxox""),""Marwa"",IF(REGEXMATCH(BJ58,""xxoooxoxxooo""),""Gunkali"",IF(REGEXMATCH(BJ58,""xoxoxxoxxoox""),""N"&amp;"at Bhairav"",IF(REGEXMATCH(BJ58,""xoxxoooxoxoo""),""Shivranjani"",IF(REGEXMATCH(BJ58,""xooxxxoxooxo""),""Jog"",IF(REGEXMATCH(BJ58,""xxooxoxoxoox""),""Hemshri"",IF(REGEXMATCH(BJ58,""xoooxooxoxxo""),""Kalavati"",IF(REGEXMATCH(BJ58,""xxoxoxxoxoox""),""Kedar"&amp;""",IF(REGEXMATCH(BJ58,""xoxxxxoxooxx""),""Gara"",IF(REGEXMATCH(BJ58,""xooxoxooxoox""),""Chandrakauns"",IF(REGEXMATCH(BJ58,""xoxxxxoxxxox""),""Mand"",IF(REGEXMATCH(BJ58,""xoxxxxoxoxox""),""Hanskinkini"",IF(REGEXMATCH(BJ58,""xxooxxoxooxo""),""Lilavati"",IF("&amp;"REGEXMATCH(BJ58,""xooxoxoooxox""),""Rajeshwari"",IF(REGEXMATCH(BJ58,""xoooxxoxoxxx""),""Khokar"",IF(REGEXMATCH(BJ58,""xxooxoxxxxox""),""Maligoura"",""-""))))))))))))))))))))))))))))))"),"Kirwani")</f>
        <v>Kirwani</v>
      </c>
      <c r="BR58" s="239">
        <f t="shared" si="29"/>
        <v>6</v>
      </c>
      <c r="BS58" s="239">
        <f>IFERROR(__xludf.DUMMYFUNCTION("COUNTUNIQUE(BW58:CG58)-1"),6.0)</f>
        <v>6</v>
      </c>
      <c r="BT58" s="239">
        <f>IFERROR(__xludf.DUMMYFUNCTION("COUNTUNIQUE(FILTER(BJ:BJ,REGEXMATCH(BJ:BJ,BI58)))-1"),2.0)</f>
        <v>2</v>
      </c>
      <c r="BU58" s="239">
        <f>IFERROR(__xludf.DUMMYFUNCTION("COUNTA(FILTER(BJ:BJ,REGEXMATCH(BJ:BJ,BI58)))"),4.0)</f>
        <v>4</v>
      </c>
      <c r="BV58" s="341">
        <f>IFERROR(__xludf.DUMMYFUNCTION("COUNTA(FILTER(BJ:BJ,REGEXMATCH(BJ:BJ,BI58)))-AU58"),3.0)</f>
        <v>3</v>
      </c>
      <c r="BW58" s="269" t="str">
        <f t="shared" si="30"/>
        <v>-</v>
      </c>
      <c r="BX58" s="269" t="str">
        <f t="shared" si="31"/>
        <v>xxoxoxxooxx</v>
      </c>
      <c r="BY58" s="271" t="str">
        <f t="shared" si="32"/>
        <v>xoxoxxooxxo</v>
      </c>
      <c r="BZ58" s="269" t="str">
        <f t="shared" si="33"/>
        <v>-</v>
      </c>
      <c r="CA58" s="271" t="str">
        <f t="shared" si="34"/>
        <v>xoxxooxxoxx</v>
      </c>
      <c r="CB58" s="271" t="str">
        <f t="shared" si="35"/>
        <v>-</v>
      </c>
      <c r="CC58" s="271" t="str">
        <f t="shared" si="36"/>
        <v>xxooxxoxxox</v>
      </c>
      <c r="CD58" s="271" t="str">
        <f t="shared" si="37"/>
        <v>xooxxoxxoxo</v>
      </c>
      <c r="CE58" s="271" t="str">
        <f t="shared" si="38"/>
        <v>-</v>
      </c>
      <c r="CF58" s="271" t="str">
        <f t="shared" si="39"/>
        <v>-</v>
      </c>
      <c r="CG58" s="274" t="str">
        <f t="shared" si="40"/>
        <v>xxoxxoxoxxo</v>
      </c>
      <c r="CH58" s="276" t="str">
        <f>IFERROR(__xludf.DUMMYFUNCTION("IF(BI58=""oooooooooooo"",""-"",IF(REGEXMATCH(BJ58,""xx""), ""Hemi."", ""Anhemi.""))"),"Hemi.")</f>
        <v>Hemi.</v>
      </c>
      <c r="CI58" s="282" t="str">
        <f>IFERROR(__xludf.DUMMYFUNCTION("IF(BI58=""oooooooooooo"",""-"",IF(REGEXMATCH(BJ58,""xxx""), ""Cohem."", ""-""))"),"-")</f>
        <v>-</v>
      </c>
      <c r="CJ58" s="282" t="str">
        <f>IFERROR(__xludf.DUMMYFUNCTION("IF(BI58=""oooooooooooo"",""-"",IF(REGEXMATCH(BJ58,""xxxx""), ""Co-Co."", ""-""))"),"-")</f>
        <v>-</v>
      </c>
      <c r="CK58" s="342" t="str">
        <f>IFERROR(__xludf.DUMMYFUNCTION("IF(BI58=""oooooooooooo"",""-"",IF(REGEXMATCH(BJ58,""xxxxx""), ""CCC."", ""-""))"),"-")</f>
        <v>-</v>
      </c>
      <c r="CL58" s="344" t="str">
        <f t="shared" si="41"/>
        <v>-</v>
      </c>
      <c r="CM58" s="282" t="str">
        <f>IFERROR(__xludf.DUMMYFUNCTION("IF(REGEXMATCH(JOIN(""-"",CO58:CX58),""TRUE""),""✔"",""-"")"),"-")</f>
        <v>-</v>
      </c>
      <c r="CN58" s="225">
        <f t="shared" si="42"/>
        <v>0</v>
      </c>
      <c r="CO58" s="376" t="b">
        <f>IFERROR(__xludf.DUMMYFUNCTION("arrayformula(sum(--REGEXMATCH(""SRGMPDNS"",split(REGEXREPLACE(N58,""(.)"",""$1~""),""~""))))=len(N58)
"),FALSE)</f>
        <v>0</v>
      </c>
      <c r="CP58" s="290" t="b">
        <f>IFERROR(__xludf.DUMMYFUNCTION("arrayformula(sum(--REGEXMATCH(""SRGmPDNS"",split(REGEXREPLACE(N58,""(.)"",""$1~""),""~""))))=len(N58)"),FALSE)</f>
        <v>0</v>
      </c>
      <c r="CQ58" s="290" t="b">
        <f>IFERROR(__xludf.DUMMYFUNCTION("arrayformula(sum(--REGEXMATCH(""SRGmPDnS"",split(REGEXREPLACE(N58,""(.)"",""$1~""),""~""))))=len(N58)"),FALSE)</f>
        <v>0</v>
      </c>
      <c r="CR58" s="290" t="b">
        <f>IFERROR(__xludf.DUMMYFUNCTION("arrayformula(sum(--REGEXMATCH(""SRgmPDnS"",split(REGEXREPLACE(N58,""(.)"",""$1~""),""~""))))=len(N58)"),FALSE)</f>
        <v>0</v>
      </c>
      <c r="CS58" s="290" t="b">
        <f>IFERROR(__xludf.DUMMYFUNCTION("arrayformula(sum(--REGEXMATCH(""SRgmPdnS"",split(REGEXREPLACE(N58,""(.)"",""$1~""),""~""))))=len(N58)"),FALSE)</f>
        <v>0</v>
      </c>
      <c r="CT58" s="290" t="b">
        <f>IFERROR(__xludf.DUMMYFUNCTION("arrayformula(sum(--REGEXMATCH(""SrgmPdnS"",split(REGEXREPLACE(N58,""(.)"",""$1~""),""~""))))=len(N58)"),FALSE)</f>
        <v>0</v>
      </c>
      <c r="CU58" s="290" t="b">
        <f>IFERROR(__xludf.DUMMYFUNCTION("arrayformula(sum(--REGEXMATCH(""SrGmPdNS"",split(REGEXREPLACE(N58,""(.)"",""$1~""),""~""))))=len(N58)"),FALSE)</f>
        <v>0</v>
      </c>
      <c r="CV58" s="290" t="b">
        <f>IFERROR(__xludf.DUMMYFUNCTION("arrayformula(sum(--REGEXMATCH(""SrGMPDNS"",split(REGEXREPLACE(N58,""(.)"",""$1~""),""~""))))=len(N58)"),FALSE)</f>
        <v>0</v>
      </c>
      <c r="CW58" s="290" t="b">
        <f>IFERROR(__xludf.DUMMYFUNCTION("arrayformula(sum(--REGEXMATCH(""SrGMPdNS"",split(REGEXREPLACE(N58,""(.)"",""$1~""),""~""))))=len(N58)"),FALSE)</f>
        <v>0</v>
      </c>
      <c r="CX58" s="293" t="b">
        <f>IFERROR(__xludf.DUMMYFUNCTION("arrayformula(sum(--REGEXMATCH(""SrgMPdNS"",split(REGEXREPLACE(N58,""(.)"",""$1~""),""~""))))=len(N58)"),FALSE)</f>
        <v>0</v>
      </c>
      <c r="CY58" s="244" t="str">
        <f>IFERROR(__xludf.DUMMYFUNCTION("IF(REGEXMATCH(N58, ""S""), ""1"","""")"),"1")</f>
        <v>1</v>
      </c>
      <c r="CZ58" s="245" t="str">
        <f>IFERROR(__xludf.DUMMYFUNCTION("IF(REGEXMATCH(N58, ""r""), ""b2"","""")"),"")</f>
        <v/>
      </c>
      <c r="DA58" s="246" t="str">
        <f>IFERROR(__xludf.DUMMYFUNCTION("IF(REGEXMATCH(N58, ""R""), ""2"","""")"),"2")</f>
        <v>2</v>
      </c>
      <c r="DB58" s="246" t="str">
        <f>IFERROR(__xludf.DUMMYFUNCTION("IF(REGEXMATCH(N58, ""g""), ""b3"","""")"),"b3")</f>
        <v>b3</v>
      </c>
      <c r="DC58" s="245" t="str">
        <f>IFERROR(__xludf.DUMMYFUNCTION("IF(REGEXMATCH(N58, ""G""), ""3"","""")"),"")</f>
        <v/>
      </c>
      <c r="DD58" s="245" t="str">
        <f>IFERROR(__xludf.DUMMYFUNCTION("IF(REGEXMATCH(N58, ""m""), ""4"","""")"),"4")</f>
        <v>4</v>
      </c>
      <c r="DE58" s="246" t="str">
        <f>IFERROR(__xludf.DUMMYFUNCTION("IF(REGEXMATCH(N58, ""M""), ""#4"","""")"),"")</f>
        <v/>
      </c>
      <c r="DF58" s="245" t="str">
        <f>IFERROR(__xludf.DUMMYFUNCTION("IF(REGEXMATCH(N58, ""P""), ""5"","""")"),"5")</f>
        <v>5</v>
      </c>
      <c r="DG58" s="246" t="str">
        <f>IFERROR(__xludf.DUMMYFUNCTION("IF(REGEXMATCH(N58, ""d""), ""b6"","""")"),"b6")</f>
        <v>b6</v>
      </c>
      <c r="DH58" s="245" t="str">
        <f>IFERROR(__xludf.DUMMYFUNCTION("IF(REGEXMATCH(N58, ""D""), ""6"","""")"),"")</f>
        <v/>
      </c>
      <c r="DI58" s="245" t="str">
        <f>IFERROR(__xludf.DUMMYFUNCTION("IF(REGEXMATCH(N58, ""n""), ""b7"","""")"),"")</f>
        <v/>
      </c>
      <c r="DJ58" s="246" t="str">
        <f>IFERROR(__xludf.DUMMYFUNCTION("IF(REGEXMATCH(N58, ""N""), ""7"","""")"),"7")</f>
        <v>7</v>
      </c>
      <c r="DK58" s="249" t="str">
        <f>IFERROR(__xludf.DUMMYFUNCTION("IF(REGEXMATCH(N58, ""S""), ""8"","""")"),"8")</f>
        <v>8</v>
      </c>
      <c r="DL58" s="244" t="str">
        <f>IFERROR(__xludf.DUMMYFUNCTION("IF(REGEXMATCH(N58, ""S""), ""S"","""")"),"S")</f>
        <v>S</v>
      </c>
      <c r="DM58" s="294" t="str">
        <f>IFERROR(__xludf.DUMMYFUNCTION("IF(REGEXMATCH(N58, ""r""), ""R1"","""")"),"")</f>
        <v/>
      </c>
      <c r="DN58" s="295" t="str">
        <f>IFERROR(__xludf.DUMMYFUNCTION("IF(REGEXMATCH(N58, ""R""), ""R2"","""")"),"R2")</f>
        <v>R2</v>
      </c>
      <c r="DO58" s="295" t="str">
        <f>IFERROR(__xludf.DUMMYFUNCTION("IF(REGEXMATCH(N58, ""g""), ""G2"","""")"),"G2")</f>
        <v>G2</v>
      </c>
      <c r="DP58" s="294" t="str">
        <f>IFERROR(__xludf.DUMMYFUNCTION("IF(REGEXMATCH(N58, ""G""), ""G3"","""")"),"")</f>
        <v/>
      </c>
      <c r="DQ58" s="294" t="str">
        <f>IFERROR(__xludf.DUMMYFUNCTION("IF(REGEXMATCH(N58, ""m""), ""M1"","""")"),"M1")</f>
        <v>M1</v>
      </c>
      <c r="DR58" s="295" t="str">
        <f>IFERROR(__xludf.DUMMYFUNCTION("IF(REGEXMATCH(N58, ""M""), ""M2"","""")"),"")</f>
        <v/>
      </c>
      <c r="DS58" s="294" t="str">
        <f>IFERROR(__xludf.DUMMYFUNCTION("IF(REGEXMATCH(N58, ""P""), ""P"","""")"),"P")</f>
        <v>P</v>
      </c>
      <c r="DT58" s="295" t="str">
        <f>IFERROR(__xludf.DUMMYFUNCTION("IF(REGEXMATCH(N58, ""d""), ""D1"","""")"),"D1")</f>
        <v>D1</v>
      </c>
      <c r="DU58" s="294" t="str">
        <f>IFERROR(__xludf.DUMMYFUNCTION("IF(REGEXMATCH(N58, ""D""), ""D2"","""")"),"")</f>
        <v/>
      </c>
      <c r="DV58" s="294" t="str">
        <f>IFERROR(__xludf.DUMMYFUNCTION("IF(REGEXMATCH(N58, ""n""), ""N2"","""")"),"")</f>
        <v/>
      </c>
      <c r="DW58" s="295" t="str">
        <f>IFERROR(__xludf.DUMMYFUNCTION("IF(REGEXMATCH(N58, ""N""), ""N3"","""")"),"N3")</f>
        <v>N3</v>
      </c>
      <c r="DX58" s="249" t="str">
        <f>IFERROR(__xludf.DUMMYFUNCTION("IF(REGEXMATCH(N58, ""S""), ""S"","""")"),"S")</f>
        <v>S</v>
      </c>
      <c r="DY58" s="299" t="str">
        <f>IFERROR(__xludf.DUMMYFUNCTION("SUBSTITUTE(SUBSTITUTE(SUBSTITUTE(SUBSTITUTE(CONCATENATE(JOIN(""-"",CY58:DK58)),""--"",""-""),""--"",""-""),""--"",""-""),""--"",""-"")"),"1-2-b3-4-5-b6-7-8")</f>
        <v>1-2-b3-4-5-b6-7-8</v>
      </c>
      <c r="DZ58" s="299" t="str">
        <f>IFERROR(__xludf.DUMMYFUNCTION("SUBSTITUTE(SUBSTITUTE(SUBSTITUTE(SUBSTITUTE(CONCATENATE(JOIN(""-"",DL58:DX58)),""--"",""-""),""--"",""-""),""--"",""-""),""--"",""-"")"),"S-R2-G2-M1-P-D1-N3-S")</f>
        <v>S-R2-G2-M1-P-D1-N3-S</v>
      </c>
      <c r="EA58" s="348" t="str">
        <f t="shared" si="43"/>
        <v>C-D-Eb-F-G-Ab-B-C</v>
      </c>
      <c r="EB58" s="301">
        <f t="shared" si="44"/>
        <v>7</v>
      </c>
      <c r="EC58" s="302" t="str">
        <f t="shared" si="45"/>
        <v>Sampurna</v>
      </c>
      <c r="ED58" s="301" t="str">
        <f t="shared" ref="ED58:EE58" si="224">SUBSTITUTE(AD58,"-","")</f>
        <v>SRGM</v>
      </c>
      <c r="EE58" s="301" t="str">
        <f t="shared" si="224"/>
        <v>PDNS</v>
      </c>
      <c r="EF58" s="302" t="str">
        <f t="shared" si="47"/>
        <v>Kirwani</v>
      </c>
      <c r="EG58" s="301" t="str">
        <f t="shared" si="48"/>
        <v>Hemi.</v>
      </c>
      <c r="EH58" s="364" t="str">
        <f t="shared" si="49"/>
        <v>-</v>
      </c>
      <c r="EI58" s="306" t="str">
        <f t="shared" si="50"/>
        <v>-</v>
      </c>
      <c r="EJ58" s="366" t="str">
        <f t="shared" si="51"/>
        <v>-</v>
      </c>
      <c r="EK58" s="308" t="str">
        <f t="shared" si="52"/>
        <v>✔</v>
      </c>
      <c r="EL58" s="306" t="str">
        <f t="shared" si="53"/>
        <v>-</v>
      </c>
      <c r="EM58" s="306" t="str">
        <f t="shared" si="54"/>
        <v>-</v>
      </c>
      <c r="EN58" s="367" t="str">
        <f t="shared" si="55"/>
        <v>-</v>
      </c>
      <c r="EO58" s="310" t="str">
        <f t="shared" si="56"/>
        <v>-</v>
      </c>
      <c r="EP58" s="310" t="str">
        <f t="shared" si="57"/>
        <v>-</v>
      </c>
      <c r="EQ58" s="310" t="str">
        <f t="shared" si="58"/>
        <v>-</v>
      </c>
      <c r="ER58" s="310" t="str">
        <f t="shared" si="59"/>
        <v>-</v>
      </c>
      <c r="ES58" s="370" t="str">
        <f t="shared" si="60"/>
        <v>-</v>
      </c>
      <c r="ET58" s="306" t="str">
        <f t="shared" si="61"/>
        <v>-</v>
      </c>
      <c r="EU58" s="306" t="str">
        <f t="shared" si="62"/>
        <v>-</v>
      </c>
      <c r="EV58" s="306" t="str">
        <f t="shared" si="63"/>
        <v>-</v>
      </c>
      <c r="EW58" s="306" t="str">
        <f t="shared" si="64"/>
        <v>-</v>
      </c>
      <c r="EX58" s="306" t="str">
        <f t="shared" si="65"/>
        <v>-</v>
      </c>
      <c r="EY58" s="367" t="str">
        <f t="shared" si="66"/>
        <v>-</v>
      </c>
      <c r="EZ58" s="310" t="str">
        <f>IFERROR(__xludf.DUMMYFUNCTION("IF(REGEXMATCH(BM58,BI58),""✔"",""-"")"),"-")</f>
        <v>-</v>
      </c>
      <c r="FA58" s="310" t="str">
        <f t="shared" si="67"/>
        <v>-</v>
      </c>
      <c r="FB58" s="370" t="str">
        <f t="shared" si="68"/>
        <v>-</v>
      </c>
      <c r="FC58" s="415">
        <f t="shared" si="69"/>
        <v>1</v>
      </c>
      <c r="FD58" s="317" t="str">
        <f t="shared" si="70"/>
        <v>S-R-g-m-P-d-N-S</v>
      </c>
      <c r="FE58" s="318" t="str">
        <f>IFERROR(__xludf.DUMMYFUNCTION("CONCATENATE(JOIN("""",GJ58:GV58))"),"SrGmPDnS")</f>
        <v>SrGmPDnS</v>
      </c>
      <c r="FF58" s="318"/>
      <c r="FG58" s="318"/>
      <c r="FH58" s="321">
        <f t="shared" si="71"/>
        <v>3</v>
      </c>
      <c r="FI58" s="318" t="str">
        <f>IFERROR(__xludf.DUMMYFUNCTION("CONCATENATE(JOIN("""",HW58:II58))"),"Re, ga, Ni, ")</f>
        <v>Re, ga, Ni, </v>
      </c>
      <c r="FJ58" s="322">
        <f t="shared" si="72"/>
        <v>1</v>
      </c>
      <c r="FK58" s="324" t="str">
        <f>IFERROR(__xludf.DUMMYFUNCTION("CONCATENATE(JOIN("""",IW58:JI58))"),"Ni, ")</f>
        <v>Ni, </v>
      </c>
      <c r="FL58" s="325" t="str">
        <f t="shared" si="73"/>
        <v>S-R2-G2-M1-P-D1-N3-S</v>
      </c>
      <c r="FM58" s="326" t="str">
        <f t="shared" si="74"/>
        <v>1-2-b3-4-5-b6-7-8</v>
      </c>
      <c r="FN58" s="326" t="str">
        <f t="shared" si="75"/>
        <v>0-2-3-5-7-8-11-0</v>
      </c>
      <c r="FO58" s="318"/>
      <c r="FP58" s="328" t="str">
        <f>IFERROR(__xludf.DUMMYFUNCTION("SUBSTITUTE(SUBSTITUTE(SUBSTITUTE(SUBSTITUTE(CONCATENATE(JOIN("" "",FS58:GE58)),""  "","" ""),""  "","" ""),""  "","" ""),""  "","" "")"),"o • o o • o • o o • • o o")</f>
        <v>o • o o • o • o o • • o o</v>
      </c>
      <c r="FQ58" s="328" t="str">
        <f t="shared" si="76"/>
        <v>-</v>
      </c>
      <c r="FR58" s="329"/>
      <c r="FS58" s="331" t="str">
        <f t="shared" si="77"/>
        <v>o</v>
      </c>
      <c r="FT58" s="332" t="str">
        <f t="shared" si="78"/>
        <v>•</v>
      </c>
      <c r="FU58" s="332" t="str">
        <f t="shared" si="79"/>
        <v>o</v>
      </c>
      <c r="FV58" s="332" t="str">
        <f t="shared" si="80"/>
        <v>o</v>
      </c>
      <c r="FW58" s="332" t="str">
        <f t="shared" si="81"/>
        <v>•</v>
      </c>
      <c r="FX58" s="332" t="str">
        <f t="shared" si="82"/>
        <v>o</v>
      </c>
      <c r="FY58" s="332" t="str">
        <f t="shared" si="83"/>
        <v>•</v>
      </c>
      <c r="FZ58" s="332" t="str">
        <f t="shared" si="84"/>
        <v>o</v>
      </c>
      <c r="GA58" s="332" t="str">
        <f t="shared" si="85"/>
        <v>o</v>
      </c>
      <c r="GB58" s="332" t="str">
        <f t="shared" si="86"/>
        <v>•</v>
      </c>
      <c r="GC58" s="332" t="str">
        <f t="shared" si="87"/>
        <v>•</v>
      </c>
      <c r="GD58" s="332" t="str">
        <f t="shared" si="88"/>
        <v>o</v>
      </c>
      <c r="GE58" s="338" t="str">
        <f t="shared" si="89"/>
        <v>o</v>
      </c>
      <c r="GF58" s="339" t="str">
        <f t="shared" si="90"/>
        <v>-</v>
      </c>
      <c r="GG58" s="339" t="str">
        <f t="shared" si="91"/>
        <v>Sa-Pa</v>
      </c>
      <c r="GH58" s="339" t="str">
        <f t="shared" si="92"/>
        <v>-</v>
      </c>
      <c r="GI58" s="340" t="str">
        <f t="shared" si="93"/>
        <v>-</v>
      </c>
      <c r="GJ58" s="331" t="str">
        <f t="shared" si="94"/>
        <v>S</v>
      </c>
      <c r="GK58" s="332" t="str">
        <f t="shared" si="95"/>
        <v>r</v>
      </c>
      <c r="GL58" s="332" t="str">
        <f t="shared" si="96"/>
        <v/>
      </c>
      <c r="GM58" s="332" t="str">
        <f t="shared" si="97"/>
        <v/>
      </c>
      <c r="GN58" s="332" t="str">
        <f t="shared" si="98"/>
        <v>G</v>
      </c>
      <c r="GO58" s="332" t="str">
        <f t="shared" si="99"/>
        <v>m</v>
      </c>
      <c r="GP58" s="332" t="str">
        <f t="shared" si="100"/>
        <v/>
      </c>
      <c r="GQ58" s="332" t="str">
        <f t="shared" si="101"/>
        <v>P</v>
      </c>
      <c r="GR58" s="332" t="str">
        <f t="shared" si="102"/>
        <v/>
      </c>
      <c r="GS58" s="332" t="str">
        <f t="shared" si="103"/>
        <v>D</v>
      </c>
      <c r="GT58" s="332" t="str">
        <f t="shared" si="104"/>
        <v>n</v>
      </c>
      <c r="GU58" s="332" t="str">
        <f t="shared" si="105"/>
        <v/>
      </c>
      <c r="GV58" s="343" t="str">
        <f t="shared" si="106"/>
        <v>S</v>
      </c>
      <c r="GW58" s="331" t="str">
        <f t="shared" si="107"/>
        <v>•</v>
      </c>
      <c r="GX58" s="332" t="str">
        <f t="shared" si="108"/>
        <v>o</v>
      </c>
      <c r="GY58" s="332" t="str">
        <f t="shared" si="109"/>
        <v>•</v>
      </c>
      <c r="GZ58" s="332" t="str">
        <f t="shared" si="110"/>
        <v>•</v>
      </c>
      <c r="HA58" s="332" t="str">
        <f t="shared" si="111"/>
        <v>o</v>
      </c>
      <c r="HB58" s="332" t="str">
        <f t="shared" si="112"/>
        <v>•</v>
      </c>
      <c r="HC58" s="332" t="str">
        <f t="shared" si="113"/>
        <v>o</v>
      </c>
      <c r="HD58" s="332" t="str">
        <f t="shared" si="114"/>
        <v>•</v>
      </c>
      <c r="HE58" s="332" t="str">
        <f t="shared" si="115"/>
        <v>•</v>
      </c>
      <c r="HF58" s="332" t="str">
        <f t="shared" si="116"/>
        <v>o</v>
      </c>
      <c r="HG58" s="332" t="str">
        <f t="shared" si="117"/>
        <v>o</v>
      </c>
      <c r="HH58" s="332" t="str">
        <f t="shared" si="118"/>
        <v>•</v>
      </c>
      <c r="HI58" s="338" t="str">
        <f t="shared" si="119"/>
        <v>•</v>
      </c>
      <c r="HJ58" s="346" t="b">
        <f t="shared" si="120"/>
        <v>0</v>
      </c>
      <c r="HK58" s="347" t="b">
        <f t="shared" si="121"/>
        <v>0</v>
      </c>
      <c r="HL58" s="347" t="b">
        <f t="shared" si="122"/>
        <v>1</v>
      </c>
      <c r="HM58" s="347" t="b">
        <f t="shared" si="123"/>
        <v>1</v>
      </c>
      <c r="HN58" s="347" t="b">
        <f t="shared" si="124"/>
        <v>0</v>
      </c>
      <c r="HO58" s="347" t="b">
        <f t="shared" si="125"/>
        <v>0</v>
      </c>
      <c r="HP58" s="347" t="b">
        <f t="shared" si="126"/>
        <v>0</v>
      </c>
      <c r="HQ58" s="347" t="b">
        <f t="shared" si="127"/>
        <v>0</v>
      </c>
      <c r="HR58" s="347" t="b">
        <f t="shared" si="128"/>
        <v>0</v>
      </c>
      <c r="HS58" s="347" t="b">
        <f t="shared" si="129"/>
        <v>0</v>
      </c>
      <c r="HT58" s="347" t="b">
        <f t="shared" si="130"/>
        <v>0</v>
      </c>
      <c r="HU58" s="347" t="b">
        <f t="shared" si="131"/>
        <v>1</v>
      </c>
      <c r="HV58" s="353" t="b">
        <f t="shared" si="132"/>
        <v>0</v>
      </c>
      <c r="HW58" s="354" t="str">
        <f t="shared" si="133"/>
        <v/>
      </c>
      <c r="HX58" s="355" t="str">
        <f t="shared" si="134"/>
        <v/>
      </c>
      <c r="HY58" s="355" t="str">
        <f t="shared" si="135"/>
        <v>Re, </v>
      </c>
      <c r="HZ58" s="355" t="str">
        <f t="shared" si="136"/>
        <v>ga, </v>
      </c>
      <c r="IA58" s="355" t="str">
        <f t="shared" si="137"/>
        <v/>
      </c>
      <c r="IB58" s="355" t="str">
        <f t="shared" si="138"/>
        <v/>
      </c>
      <c r="IC58" s="355" t="str">
        <f t="shared" si="139"/>
        <v/>
      </c>
      <c r="ID58" s="355" t="str">
        <f t="shared" si="140"/>
        <v/>
      </c>
      <c r="IE58" s="355" t="str">
        <f t="shared" si="141"/>
        <v/>
      </c>
      <c r="IF58" s="355" t="str">
        <f t="shared" si="142"/>
        <v/>
      </c>
      <c r="IG58" s="355" t="str">
        <f t="shared" si="143"/>
        <v/>
      </c>
      <c r="IH58" s="355" t="str">
        <f t="shared" si="144"/>
        <v>Ni, </v>
      </c>
      <c r="II58" s="359" t="str">
        <f t="shared" si="145"/>
        <v/>
      </c>
      <c r="IJ58" s="346" t="b">
        <f t="shared" si="146"/>
        <v>0</v>
      </c>
      <c r="IK58" s="347" t="b">
        <f t="shared" si="147"/>
        <v>0</v>
      </c>
      <c r="IL58" s="347" t="b">
        <f t="shared" si="148"/>
        <v>0</v>
      </c>
      <c r="IM58" s="347" t="b">
        <f t="shared" si="149"/>
        <v>0</v>
      </c>
      <c r="IN58" s="347" t="b">
        <f t="shared" si="150"/>
        <v>0</v>
      </c>
      <c r="IO58" s="347" t="b">
        <f t="shared" si="151"/>
        <v>0</v>
      </c>
      <c r="IP58" s="347" t="b">
        <f t="shared" si="152"/>
        <v>0</v>
      </c>
      <c r="IQ58" s="347" t="b">
        <f t="shared" si="153"/>
        <v>0</v>
      </c>
      <c r="IR58" s="347" t="b">
        <f t="shared" si="154"/>
        <v>0</v>
      </c>
      <c r="IS58" s="347" t="b">
        <f t="shared" si="155"/>
        <v>0</v>
      </c>
      <c r="IT58" s="347" t="b">
        <f t="shared" si="156"/>
        <v>0</v>
      </c>
      <c r="IU58" s="347" t="b">
        <f t="shared" si="157"/>
        <v>1</v>
      </c>
      <c r="IV58" s="365" t="b">
        <f t="shared" si="158"/>
        <v>0</v>
      </c>
      <c r="IW58" s="354" t="str">
        <f t="shared" si="159"/>
        <v/>
      </c>
      <c r="IX58" s="355" t="str">
        <f t="shared" si="160"/>
        <v/>
      </c>
      <c r="IY58" s="355" t="str">
        <f t="shared" si="161"/>
        <v/>
      </c>
      <c r="IZ58" s="355" t="str">
        <f t="shared" si="162"/>
        <v/>
      </c>
      <c r="JA58" s="355" t="str">
        <f t="shared" si="163"/>
        <v/>
      </c>
      <c r="JB58" s="355" t="str">
        <f t="shared" si="164"/>
        <v/>
      </c>
      <c r="JC58" s="355" t="str">
        <f t="shared" si="165"/>
        <v/>
      </c>
      <c r="JD58" s="355" t="str">
        <f t="shared" si="166"/>
        <v/>
      </c>
      <c r="JE58" s="355" t="str">
        <f t="shared" si="167"/>
        <v/>
      </c>
      <c r="JF58" s="355" t="str">
        <f t="shared" si="168"/>
        <v/>
      </c>
      <c r="JG58" s="355" t="str">
        <f t="shared" si="169"/>
        <v/>
      </c>
      <c r="JH58" s="355" t="str">
        <f t="shared" si="170"/>
        <v>Ni, </v>
      </c>
      <c r="JI58" s="359"/>
      <c r="JJ58" s="321"/>
      <c r="JK58" s="368"/>
      <c r="JL58" s="369"/>
      <c r="JM58" s="369"/>
      <c r="JN58" s="369"/>
      <c r="JO58" s="369"/>
      <c r="JP58" s="369"/>
      <c r="JQ58" s="369"/>
      <c r="JR58" s="369"/>
      <c r="JS58" s="369"/>
      <c r="JT58" s="369"/>
      <c r="JU58" s="369"/>
    </row>
    <row r="59" ht="20.25" customHeight="1">
      <c r="A59" s="221" t="s">
        <v>1346</v>
      </c>
      <c r="B59" s="223" t="s">
        <v>1202</v>
      </c>
      <c r="C59" s="222" t="s">
        <v>275</v>
      </c>
      <c r="D59" s="222"/>
      <c r="E59" s="222"/>
      <c r="F59" s="222"/>
      <c r="G59" s="395" t="s">
        <v>275</v>
      </c>
      <c r="H59" s="222">
        <v>57.0</v>
      </c>
      <c r="I59" s="224" t="s">
        <v>1219</v>
      </c>
      <c r="J59" s="414">
        <f t="shared" si="5"/>
        <v>2</v>
      </c>
      <c r="K59" s="227">
        <f t="shared" si="6"/>
        <v>5</v>
      </c>
      <c r="L59" s="229">
        <f t="shared" si="7"/>
        <v>5</v>
      </c>
      <c r="M59" s="230">
        <f t="shared" si="8"/>
        <v>0</v>
      </c>
      <c r="N59" s="233" t="str">
        <f t="shared" si="9"/>
        <v>SgmDnS</v>
      </c>
      <c r="O59" s="234" t="str">
        <f>IFERROR(__xludf.DUMMYFUNCTION("IF(REGEXMATCH(N59, ""S""), ""S"","""")"),"S")</f>
        <v>S</v>
      </c>
      <c r="P59" s="236" t="str">
        <f>IFERROR(__xludf.DUMMYFUNCTION("IF(REGEXMATCH(N59, ""r""), ""r"","""")"),"")</f>
        <v/>
      </c>
      <c r="Q59" s="237" t="str">
        <f>IFERROR(__xludf.DUMMYFUNCTION("IF(REGEXMATCH(N59, ""R""), ""R"","""")"),"")</f>
        <v/>
      </c>
      <c r="R59" s="237" t="str">
        <f>IFERROR(__xludf.DUMMYFUNCTION("IF(REGEXMATCH(N59, ""g""), ""g"","""")"),"g")</f>
        <v>g</v>
      </c>
      <c r="S59" s="236" t="str">
        <f>IFERROR(__xludf.DUMMYFUNCTION("IF(REGEXMATCH(N59, ""G""), ""G"","""")"),"")</f>
        <v/>
      </c>
      <c r="T59" s="236" t="str">
        <f>IFERROR(__xludf.DUMMYFUNCTION("IF(REGEXMATCH(N59, ""m""), ""m"","""")"),"m")</f>
        <v>m</v>
      </c>
      <c r="U59" s="237" t="str">
        <f>IFERROR(__xludf.DUMMYFUNCTION("IF(REGEXMATCH(N59, ""M""), ""M"","""")"),"")</f>
        <v/>
      </c>
      <c r="V59" s="236" t="str">
        <f>IFERROR(__xludf.DUMMYFUNCTION("IF(REGEXMATCH(N59, ""P""), ""P"","""")"),"")</f>
        <v/>
      </c>
      <c r="W59" s="237" t="str">
        <f>IFERROR(__xludf.DUMMYFUNCTION("IF(REGEXMATCH(N59, ""d""), ""d"","""")"),"")</f>
        <v/>
      </c>
      <c r="X59" s="236" t="str">
        <f>IFERROR(__xludf.DUMMYFUNCTION("IF(REGEXMATCH(N59, ""D""), ""D"","""")"),"D")</f>
        <v>D</v>
      </c>
      <c r="Y59" s="236" t="str">
        <f>IFERROR(__xludf.DUMMYFUNCTION("IF(REGEXMATCH(N59, ""n""), ""n"","""")"),"n")</f>
        <v>n</v>
      </c>
      <c r="Z59" s="237" t="str">
        <f>IFERROR(__xludf.DUMMYFUNCTION("IF(REGEXMATCH(N59, ""N""), ""N"","""")"),"")</f>
        <v/>
      </c>
      <c r="AA59" s="238" t="str">
        <f>IFERROR(__xludf.DUMMYFUNCTION("IF(REGEXMATCH(N59, ""S""), ""S"","""")"),"S")</f>
        <v>S</v>
      </c>
      <c r="AB59" s="239" t="str">
        <f>IFERROR(__xludf.DUMMYFUNCTION("SUBSTITUTE(CONCATENATE(JOIN(""-"",O59:U59)),""-"","""")"),"Sgm")</f>
        <v>Sgm</v>
      </c>
      <c r="AC59" s="229" t="str">
        <f>IFERROR(__xludf.DUMMYFUNCTION("SUBSTITUTE(CONCATENATE(JOIN(""-"",V59:AA59)),""-"","""")"),"DnS")</f>
        <v>DnS</v>
      </c>
      <c r="AD59" s="282" t="str">
        <f t="shared" si="10"/>
        <v>S-G-M</v>
      </c>
      <c r="AE59" s="282" t="str">
        <f t="shared" si="11"/>
        <v>D-N-S</v>
      </c>
      <c r="AF59" s="309" t="str">
        <f t="shared" si="12"/>
        <v>gmDn</v>
      </c>
      <c r="AG59" s="244" t="str">
        <f>IFERROR(__xludf.DUMMYFUNCTION("IF(REGEXMATCH(N59, ""S""), ""0"","""")"),"0")</f>
        <v>0</v>
      </c>
      <c r="AH59" s="245" t="str">
        <f>IFERROR(__xludf.DUMMYFUNCTION("IF(REGEXMATCH(N59, ""r""), ""1"","""")"),"")</f>
        <v/>
      </c>
      <c r="AI59" s="246" t="str">
        <f>IFERROR(__xludf.DUMMYFUNCTION("IF(REGEXMATCH(N59, ""R""), ""2"","""")"),"")</f>
        <v/>
      </c>
      <c r="AJ59" s="246" t="str">
        <f>IFERROR(__xludf.DUMMYFUNCTION("IF(REGEXMATCH(N59, ""g""), ""3"","""")"),"3")</f>
        <v>3</v>
      </c>
      <c r="AK59" s="245" t="str">
        <f>IFERROR(__xludf.DUMMYFUNCTION("IF(REGEXMATCH(N59, ""G""), ""4"","""")"),"")</f>
        <v/>
      </c>
      <c r="AL59" s="245" t="str">
        <f>IFERROR(__xludf.DUMMYFUNCTION("IF(REGEXMATCH(N59, ""m""), ""5"","""")"),"5")</f>
        <v>5</v>
      </c>
      <c r="AM59" s="246" t="str">
        <f>IFERROR(__xludf.DUMMYFUNCTION("IF(REGEXMATCH(N59, ""M""), ""6"","""")"),"")</f>
        <v/>
      </c>
      <c r="AN59" s="245" t="str">
        <f>IFERROR(__xludf.DUMMYFUNCTION("IF(REGEXMATCH(N59, ""P""), ""7"","""")"),"")</f>
        <v/>
      </c>
      <c r="AO59" s="246" t="str">
        <f>IFERROR(__xludf.DUMMYFUNCTION("IF(REGEXMATCH(N59, ""d""), ""8"","""")"),"")</f>
        <v/>
      </c>
      <c r="AP59" s="245" t="str">
        <f>IFERROR(__xludf.DUMMYFUNCTION("IF(REGEXMATCH(N59, ""D""), ""9"","""")"),"9")</f>
        <v>9</v>
      </c>
      <c r="AQ59" s="245" t="str">
        <f>IFERROR(__xludf.DUMMYFUNCTION("IF(REGEXMATCH(N59, ""n""), ""10"","""")"),"10")</f>
        <v>10</v>
      </c>
      <c r="AR59" s="246" t="str">
        <f>IFERROR(__xludf.DUMMYFUNCTION("IF(REGEXMATCH(N59, ""N""), ""11"","""")"),"")</f>
        <v/>
      </c>
      <c r="AS59" s="249" t="str">
        <f>IFERROR(__xludf.DUMMYFUNCTION("IF(REGEXMATCH(N59, ""S""), ""0"","""")"),"0")</f>
        <v>0</v>
      </c>
      <c r="AT59" s="250" t="str">
        <f>IFERROR(__xludf.DUMMYFUNCTION("SUBSTITUTE(SUBSTITUTE(SUBSTITUTE(SUBSTITUTE(CONCATENATE(JOIN(""-"",AG59:AS59)),""--"",""-""),""--"",""-""),""--"",""-""),""--"",""-"")"),"0-3-5-9-10-0")</f>
        <v>0-3-5-9-10-0</v>
      </c>
      <c r="AU59" s="251">
        <f t="shared" si="13"/>
        <v>2</v>
      </c>
      <c r="AV59" s="234" t="str">
        <f t="shared" si="14"/>
        <v>|</v>
      </c>
      <c r="AW59" s="236" t="str">
        <f t="shared" si="15"/>
        <v>-</v>
      </c>
      <c r="AX59" s="237" t="str">
        <f t="shared" si="16"/>
        <v>-</v>
      </c>
      <c r="AY59" s="236" t="str">
        <f t="shared" si="17"/>
        <v>|</v>
      </c>
      <c r="AZ59" s="237" t="str">
        <f t="shared" si="18"/>
        <v>-</v>
      </c>
      <c r="BA59" s="236" t="str">
        <f t="shared" si="19"/>
        <v>|</v>
      </c>
      <c r="BB59" s="237" t="str">
        <f t="shared" si="20"/>
        <v>-</v>
      </c>
      <c r="BC59" s="236" t="str">
        <f t="shared" si="21"/>
        <v>-</v>
      </c>
      <c r="BD59" s="237" t="str">
        <f t="shared" si="22"/>
        <v>-</v>
      </c>
      <c r="BE59" s="236" t="str">
        <f t="shared" si="23"/>
        <v>|</v>
      </c>
      <c r="BF59" s="237" t="str">
        <f t="shared" si="24"/>
        <v>|</v>
      </c>
      <c r="BG59" s="236" t="str">
        <f t="shared" si="25"/>
        <v>-</v>
      </c>
      <c r="BH59" s="238" t="str">
        <f t="shared" si="26"/>
        <v>|</v>
      </c>
      <c r="BI59" s="250" t="str">
        <f>IFERROR(__xludf.DUMMYFUNCTION("SUBSTITUTE(SUBSTITUTE(CONCATENATE(JOIN("""",AV59:BG59)),""|"",""x""),""-"",""o"")"),"xooxoxoooxxo")</f>
        <v>xooxoxoooxxo</v>
      </c>
      <c r="BJ59" s="323" t="str">
        <f>IFERROR(__xludf.DUMMYFUNCTION("JOIN("""",BI59,BI59)"),"xooxoxoooxxoxooxoxoooxxo")</f>
        <v>xooxoxoooxxoxooxoxoooxxo</v>
      </c>
      <c r="BK59" s="256" t="str">
        <f>IFERROR(__xludf.DUMMYFUNCTION("JOIN("""",ArrayFormula(MID(BI59,LEN(BI59)-SEQUENCE(1,LEN(BI59))+1,1)))"),"oxxoooxoxoox")</f>
        <v>oxxoooxoxoox</v>
      </c>
      <c r="BL59" s="256" t="str">
        <f>IFERROR(__xludf.DUMMYFUNCTION("LEFT(CONCATENATE(""x"",JOIN("""",ArrayFormula(MID(BI59,LEN(BI59)-SEQUENCE(1,LEN(BI59))+1,1)))),12)"),"xoxxoooxoxoo")</f>
        <v>xoxxoooxoxoo</v>
      </c>
      <c r="BM59" s="327" t="str">
        <f>IFERROR(__xludf.DUMMYFUNCTION("JOIN("""",BK59,BK59)"),"oxxoooxoxooxoxxoooxoxoox")</f>
        <v>oxxoooxoxooxoxxoooxoxoox</v>
      </c>
      <c r="BN59" s="239" t="str">
        <f>IFERROR(__xludf.DUMMYFUNCTION("IF(REGEXMATCH(BM59,BI59),""✔"",""-"")"),"-")</f>
        <v>-</v>
      </c>
      <c r="BO59" s="330" t="str">
        <f t="shared" si="27"/>
        <v>-</v>
      </c>
      <c r="BP59" s="260" t="str">
        <f t="shared" si="28"/>
        <v>-</v>
      </c>
      <c r="BQ59" s="261" t="str">
        <f>IFERROR(__xludf.DUMMYFUNCTION("IF(BT59=0,""(n/a)"",IF(BU59=2,""(PAIR)"",IF(REGEXMATCH(BJ59,""xoxoxxoxoxox""),""Bilawal"",IF(REGEXMATCH(BJ59,""xoxoxooxoxoo""),""Bhupali"",IF(REGEXMATCH(BJ59,""xoxoxxoxxoxo""),""Charukeshi"",IF(REGEXMATCH(BJ59,""xoxoooxxoxxo""),""Kameshwari"",IF(REGEXMATC"&amp;"H(BJ59,""xoxoxooxoxox""),""Shankara"",IF(REGEXMATCH(BJ59,""xxooxoxxxoox""),""Basant"",IF(REGEXMATCH(BJ59,""xoxoxxxxoxox""),""Bihag"",IF(REGEXMATCH(BJ59,""xoxxxxoxoxxx""),""Pilu"",IF(REGEXMATCH(BJ59,""xoxxoxoxxoox""),""Kirwani"",IF(REGEXMATCH(BJ59,""xoxxox"&amp;"oxoxxx""),""Mk.Malhar"",IF(REGEXMATCH(BJ59,""xxooxxoxxoox""),""Bhairav"",IF(REGEXMATCH(BJ59,""xxoxooxxxoox""),""Todi"",IF(REGEXMATCH(BJ59,""xxooxoxooxox""),""Marwa"",IF(REGEXMATCH(BJ59,""xxoooxoxxooo""),""Gunkali"",IF(REGEXMATCH(BJ59,""xoxoxxoxxoox""),""N"&amp;"at Bhairav"",IF(REGEXMATCH(BJ59,""xoxxoooxoxoo""),""Shivranjani"",IF(REGEXMATCH(BJ59,""xooxxxoxooxo""),""Jog"",IF(REGEXMATCH(BJ59,""xxooxoxoxoox""),""Hemshri"",IF(REGEXMATCH(BJ59,""xoooxooxoxxo""),""Kalavati"",IF(REGEXMATCH(BJ59,""xxoxoxxoxoox""),""Kedar"&amp;""",IF(REGEXMATCH(BJ59,""xoxxxxoxooxx""),""Gara"",IF(REGEXMATCH(BJ59,""xooxoxooxoox""),""Chandrakauns"",IF(REGEXMATCH(BJ59,""xoxxxxoxxxox""),""Mand"",IF(REGEXMATCH(BJ59,""xoxxxxoxoxox""),""Hanskinkini"",IF(REGEXMATCH(BJ59,""xxooxxoxooxo""),""Lilavati"",IF("&amp;"REGEXMATCH(BJ59,""xooxoxoooxox""),""Rajeshwari"",IF(REGEXMATCH(BJ59,""xoooxxoxoxxx""),""Khokar"",IF(REGEXMATCH(BJ59,""xxooxoxxxxox""),""Maligoura"",""-""))))))))))))))))))))))))))))))"),"(n/a)")</f>
        <v>(n/a)</v>
      </c>
      <c r="BR59" s="239">
        <f t="shared" si="29"/>
        <v>4</v>
      </c>
      <c r="BS59" s="239">
        <f>IFERROR(__xludf.DUMMYFUNCTION("COUNTUNIQUE(BW59:CG59)-1"),4.0)</f>
        <v>4</v>
      </c>
      <c r="BT59" s="239">
        <f>IFERROR(__xludf.DUMMYFUNCTION("COUNTUNIQUE(FILTER(BJ:BJ,REGEXMATCH(BJ:BJ,BI59)))-1"),0.0)</f>
        <v>0</v>
      </c>
      <c r="BU59" s="239">
        <f>IFERROR(__xludf.DUMMYFUNCTION("COUNTA(FILTER(BJ:BJ,REGEXMATCH(BJ:BJ,BI59)))"),3.0)</f>
        <v>3</v>
      </c>
      <c r="BV59" s="341">
        <f>IFERROR(__xludf.DUMMYFUNCTION("COUNTA(FILTER(BJ:BJ,REGEXMATCH(BJ:BJ,BI59)))-AU59"),1.0)</f>
        <v>1</v>
      </c>
      <c r="BW59" s="269" t="str">
        <f t="shared" si="30"/>
        <v>-</v>
      </c>
      <c r="BX59" s="269" t="str">
        <f t="shared" si="31"/>
        <v>-</v>
      </c>
      <c r="BY59" s="271" t="str">
        <f t="shared" si="32"/>
        <v>xoxoooxxoxo</v>
      </c>
      <c r="BZ59" s="269" t="str">
        <f t="shared" si="33"/>
        <v>-</v>
      </c>
      <c r="CA59" s="271" t="str">
        <f t="shared" si="34"/>
        <v>xoooxxoxoox</v>
      </c>
      <c r="CB59" s="271" t="str">
        <f t="shared" si="35"/>
        <v>-</v>
      </c>
      <c r="CC59" s="271" t="str">
        <f t="shared" si="36"/>
        <v>-</v>
      </c>
      <c r="CD59" s="271" t="str">
        <f t="shared" si="37"/>
        <v>-</v>
      </c>
      <c r="CE59" s="271" t="str">
        <f t="shared" si="38"/>
        <v>xxoxooxoxoo</v>
      </c>
      <c r="CF59" s="271" t="str">
        <f t="shared" si="39"/>
        <v>xoxooxoxooo</v>
      </c>
      <c r="CG59" s="274" t="str">
        <f t="shared" si="40"/>
        <v>-</v>
      </c>
      <c r="CH59" s="276" t="str">
        <f>IFERROR(__xludf.DUMMYFUNCTION("IF(BI59=""oooooooooooo"",""-"",IF(REGEXMATCH(BJ59,""xx""), ""Hemi."", ""Anhemi.""))"),"Hemi.")</f>
        <v>Hemi.</v>
      </c>
      <c r="CI59" s="282" t="str">
        <f>IFERROR(__xludf.DUMMYFUNCTION("IF(BI59=""oooooooooooo"",""-"",IF(REGEXMATCH(BJ59,""xxx""), ""Cohem."", ""-""))"),"-")</f>
        <v>-</v>
      </c>
      <c r="CJ59" s="282" t="str">
        <f>IFERROR(__xludf.DUMMYFUNCTION("IF(BI59=""oooooooooooo"",""-"",IF(REGEXMATCH(BJ59,""xxxx""), ""Co-Co."", ""-""))"),"-")</f>
        <v>-</v>
      </c>
      <c r="CK59" s="342" t="str">
        <f>IFERROR(__xludf.DUMMYFUNCTION("IF(BI59=""oooooooooooo"",""-"",IF(REGEXMATCH(BJ59,""xxxxx""), ""CCC."", ""-""))"),"-")</f>
        <v>-</v>
      </c>
      <c r="CL59" s="344" t="str">
        <f t="shared" si="41"/>
        <v>-</v>
      </c>
      <c r="CM59" s="282" t="str">
        <f>IFERROR(__xludf.DUMMYFUNCTION("IF(REGEXMATCH(JOIN(""-"",CO59:CX59),""TRUE""),""✔"",""-"")"),"✔")</f>
        <v>✔</v>
      </c>
      <c r="CN59" s="225">
        <f t="shared" si="42"/>
        <v>1</v>
      </c>
      <c r="CO59" s="376" t="b">
        <f>IFERROR(__xludf.DUMMYFUNCTION("arrayformula(sum(--REGEXMATCH(""SRGMPDNS"",split(REGEXREPLACE(N59,""(.)"",""$1~""),""~""))))=len(N59)
"),FALSE)</f>
        <v>0</v>
      </c>
      <c r="CP59" s="290" t="b">
        <f>IFERROR(__xludf.DUMMYFUNCTION("arrayformula(sum(--REGEXMATCH(""SRGmPDNS"",split(REGEXREPLACE(N59,""(.)"",""$1~""),""~""))))=len(N59)"),FALSE)</f>
        <v>0</v>
      </c>
      <c r="CQ59" s="290" t="b">
        <f>IFERROR(__xludf.DUMMYFUNCTION("arrayformula(sum(--REGEXMATCH(""SRGmPDnS"",split(REGEXREPLACE(N59,""(.)"",""$1~""),""~""))))=len(N59)"),FALSE)</f>
        <v>0</v>
      </c>
      <c r="CR59" s="290" t="b">
        <f>IFERROR(__xludf.DUMMYFUNCTION("arrayformula(sum(--REGEXMATCH(""SRgmPDnS"",split(REGEXREPLACE(N59,""(.)"",""$1~""),""~""))))=len(N59)"),TRUE)</f>
        <v>1</v>
      </c>
      <c r="CS59" s="290" t="b">
        <f>IFERROR(__xludf.DUMMYFUNCTION("arrayformula(sum(--REGEXMATCH(""SRgmPdnS"",split(REGEXREPLACE(N59,""(.)"",""$1~""),""~""))))=len(N59)"),FALSE)</f>
        <v>0</v>
      </c>
      <c r="CT59" s="290" t="b">
        <f>IFERROR(__xludf.DUMMYFUNCTION("arrayformula(sum(--REGEXMATCH(""SrgmPdnS"",split(REGEXREPLACE(N59,""(.)"",""$1~""),""~""))))=len(N59)"),FALSE)</f>
        <v>0</v>
      </c>
      <c r="CU59" s="290" t="b">
        <f>IFERROR(__xludf.DUMMYFUNCTION("arrayformula(sum(--REGEXMATCH(""SrGmPdNS"",split(REGEXREPLACE(N59,""(.)"",""$1~""),""~""))))=len(N59)"),FALSE)</f>
        <v>0</v>
      </c>
      <c r="CV59" s="290" t="b">
        <f>IFERROR(__xludf.DUMMYFUNCTION("arrayformula(sum(--REGEXMATCH(""SrGMPDNS"",split(REGEXREPLACE(N59,""(.)"",""$1~""),""~""))))=len(N59)"),FALSE)</f>
        <v>0</v>
      </c>
      <c r="CW59" s="290" t="b">
        <f>IFERROR(__xludf.DUMMYFUNCTION("arrayformula(sum(--REGEXMATCH(""SrGMPdNS"",split(REGEXREPLACE(N59,""(.)"",""$1~""),""~""))))=len(N59)"),FALSE)</f>
        <v>0</v>
      </c>
      <c r="CX59" s="293" t="b">
        <f>IFERROR(__xludf.DUMMYFUNCTION("arrayformula(sum(--REGEXMATCH(""SrgMPdNS"",split(REGEXREPLACE(N59,""(.)"",""$1~""),""~""))))=len(N59)"),FALSE)</f>
        <v>0</v>
      </c>
      <c r="CY59" s="244" t="str">
        <f>IFERROR(__xludf.DUMMYFUNCTION("IF(REGEXMATCH(N59, ""S""), ""1"","""")"),"1")</f>
        <v>1</v>
      </c>
      <c r="CZ59" s="245" t="str">
        <f>IFERROR(__xludf.DUMMYFUNCTION("IF(REGEXMATCH(N59, ""r""), ""b2"","""")"),"")</f>
        <v/>
      </c>
      <c r="DA59" s="246" t="str">
        <f>IFERROR(__xludf.DUMMYFUNCTION("IF(REGEXMATCH(N59, ""R""), ""2"","""")"),"")</f>
        <v/>
      </c>
      <c r="DB59" s="246" t="str">
        <f>IFERROR(__xludf.DUMMYFUNCTION("IF(REGEXMATCH(N59, ""g""), ""b3"","""")"),"b3")</f>
        <v>b3</v>
      </c>
      <c r="DC59" s="245" t="str">
        <f>IFERROR(__xludf.DUMMYFUNCTION("IF(REGEXMATCH(N59, ""G""), ""3"","""")"),"")</f>
        <v/>
      </c>
      <c r="DD59" s="245" t="str">
        <f>IFERROR(__xludf.DUMMYFUNCTION("IF(REGEXMATCH(N59, ""m""), ""4"","""")"),"4")</f>
        <v>4</v>
      </c>
      <c r="DE59" s="246" t="str">
        <f>IFERROR(__xludf.DUMMYFUNCTION("IF(REGEXMATCH(N59, ""M""), ""#4"","""")"),"")</f>
        <v/>
      </c>
      <c r="DF59" s="245" t="str">
        <f>IFERROR(__xludf.DUMMYFUNCTION("IF(REGEXMATCH(N59, ""P""), ""5"","""")"),"")</f>
        <v/>
      </c>
      <c r="DG59" s="246" t="str">
        <f>IFERROR(__xludf.DUMMYFUNCTION("IF(REGEXMATCH(N59, ""d""), ""b6"","""")"),"")</f>
        <v/>
      </c>
      <c r="DH59" s="245" t="str">
        <f>IFERROR(__xludf.DUMMYFUNCTION("IF(REGEXMATCH(N59, ""D""), ""6"","""")"),"6")</f>
        <v>6</v>
      </c>
      <c r="DI59" s="245" t="str">
        <f>IFERROR(__xludf.DUMMYFUNCTION("IF(REGEXMATCH(N59, ""n""), ""b7"","""")"),"b7")</f>
        <v>b7</v>
      </c>
      <c r="DJ59" s="246" t="str">
        <f>IFERROR(__xludf.DUMMYFUNCTION("IF(REGEXMATCH(N59, ""N""), ""7"","""")"),"")</f>
        <v/>
      </c>
      <c r="DK59" s="249" t="str">
        <f>IFERROR(__xludf.DUMMYFUNCTION("IF(REGEXMATCH(N59, ""S""), ""8"","""")"),"8")</f>
        <v>8</v>
      </c>
      <c r="DL59" s="244" t="str">
        <f>IFERROR(__xludf.DUMMYFUNCTION("IF(REGEXMATCH(N59, ""S""), ""S"","""")"),"S")</f>
        <v>S</v>
      </c>
      <c r="DM59" s="294" t="str">
        <f>IFERROR(__xludf.DUMMYFUNCTION("IF(REGEXMATCH(N59, ""r""), ""R1"","""")"),"")</f>
        <v/>
      </c>
      <c r="DN59" s="295" t="str">
        <f>IFERROR(__xludf.DUMMYFUNCTION("IF(REGEXMATCH(N59, ""R""), ""R2"","""")"),"")</f>
        <v/>
      </c>
      <c r="DO59" s="295" t="str">
        <f>IFERROR(__xludf.DUMMYFUNCTION("IF(REGEXMATCH(N59, ""g""), ""G2"","""")"),"G2")</f>
        <v>G2</v>
      </c>
      <c r="DP59" s="294" t="str">
        <f>IFERROR(__xludf.DUMMYFUNCTION("IF(REGEXMATCH(N59, ""G""), ""G3"","""")"),"")</f>
        <v/>
      </c>
      <c r="DQ59" s="294" t="str">
        <f>IFERROR(__xludf.DUMMYFUNCTION("IF(REGEXMATCH(N59, ""m""), ""M1"","""")"),"M1")</f>
        <v>M1</v>
      </c>
      <c r="DR59" s="295" t="str">
        <f>IFERROR(__xludf.DUMMYFUNCTION("IF(REGEXMATCH(N59, ""M""), ""M2"","""")"),"")</f>
        <v/>
      </c>
      <c r="DS59" s="294" t="str">
        <f>IFERROR(__xludf.DUMMYFUNCTION("IF(REGEXMATCH(N59, ""P""), ""P"","""")"),"")</f>
        <v/>
      </c>
      <c r="DT59" s="295" t="str">
        <f>IFERROR(__xludf.DUMMYFUNCTION("IF(REGEXMATCH(N59, ""d""), ""D1"","""")"),"")</f>
        <v/>
      </c>
      <c r="DU59" s="294" t="str">
        <f>IFERROR(__xludf.DUMMYFUNCTION("IF(REGEXMATCH(N59, ""D""), ""D2"","""")"),"D2")</f>
        <v>D2</v>
      </c>
      <c r="DV59" s="294" t="str">
        <f>IFERROR(__xludf.DUMMYFUNCTION("IF(REGEXMATCH(N59, ""n""), ""N2"","""")"),"N2")</f>
        <v>N2</v>
      </c>
      <c r="DW59" s="295" t="str">
        <f>IFERROR(__xludf.DUMMYFUNCTION("IF(REGEXMATCH(N59, ""N""), ""N3"","""")"),"")</f>
        <v/>
      </c>
      <c r="DX59" s="249" t="str">
        <f>IFERROR(__xludf.DUMMYFUNCTION("IF(REGEXMATCH(N59, ""S""), ""S"","""")"),"S")</f>
        <v>S</v>
      </c>
      <c r="DY59" s="299" t="str">
        <f>IFERROR(__xludf.DUMMYFUNCTION("SUBSTITUTE(SUBSTITUTE(SUBSTITUTE(SUBSTITUTE(CONCATENATE(JOIN(""-"",CY59:DK59)),""--"",""-""),""--"",""-""),""--"",""-""),""--"",""-"")"),"1-b3-4-6-b7-8")</f>
        <v>1-b3-4-6-b7-8</v>
      </c>
      <c r="DZ59" s="299" t="str">
        <f>IFERROR(__xludf.DUMMYFUNCTION("SUBSTITUTE(SUBSTITUTE(SUBSTITUTE(SUBSTITUTE(CONCATENATE(JOIN(""-"",DL59:DX59)),""--"",""-""),""--"",""-""),""--"",""-""),""--"",""-"")"),"S-G2-M1-D2-N2-S")</f>
        <v>S-G2-M1-D2-N2-S</v>
      </c>
      <c r="EA59" s="348" t="str">
        <f t="shared" si="43"/>
        <v>C-Eb-F-A-Bb-C</v>
      </c>
      <c r="EB59" s="301">
        <f t="shared" si="44"/>
        <v>5</v>
      </c>
      <c r="EC59" s="302" t="str">
        <f t="shared" si="45"/>
        <v>Audav</v>
      </c>
      <c r="ED59" s="301" t="str">
        <f t="shared" ref="ED59:EE59" si="225">SUBSTITUTE(AD59,"-","")</f>
        <v>SGM</v>
      </c>
      <c r="EE59" s="301" t="str">
        <f t="shared" si="225"/>
        <v>DNS</v>
      </c>
      <c r="EF59" s="302" t="str">
        <f t="shared" si="47"/>
        <v>(n/a)</v>
      </c>
      <c r="EG59" s="301" t="str">
        <f t="shared" si="48"/>
        <v>Hemi.</v>
      </c>
      <c r="EH59" s="364" t="str">
        <f t="shared" si="49"/>
        <v>-</v>
      </c>
      <c r="EI59" s="306" t="str">
        <f t="shared" si="50"/>
        <v>-</v>
      </c>
      <c r="EJ59" s="366" t="str">
        <f t="shared" si="51"/>
        <v>✔</v>
      </c>
      <c r="EK59" s="308" t="str">
        <f t="shared" si="52"/>
        <v>-</v>
      </c>
      <c r="EL59" s="306" t="str">
        <f t="shared" si="53"/>
        <v>-</v>
      </c>
      <c r="EM59" s="306" t="str">
        <f t="shared" si="54"/>
        <v>-</v>
      </c>
      <c r="EN59" s="367" t="str">
        <f t="shared" si="55"/>
        <v>-</v>
      </c>
      <c r="EO59" s="310" t="str">
        <f t="shared" si="56"/>
        <v>-</v>
      </c>
      <c r="EP59" s="310" t="str">
        <f t="shared" si="57"/>
        <v>-</v>
      </c>
      <c r="EQ59" s="310" t="str">
        <f t="shared" si="58"/>
        <v>-</v>
      </c>
      <c r="ER59" s="310" t="str">
        <f t="shared" si="59"/>
        <v>-</v>
      </c>
      <c r="ES59" s="370" t="str">
        <f t="shared" si="60"/>
        <v>-</v>
      </c>
      <c r="ET59" s="306" t="str">
        <f t="shared" si="61"/>
        <v>✔</v>
      </c>
      <c r="EU59" s="306" t="str">
        <f t="shared" si="62"/>
        <v>-</v>
      </c>
      <c r="EV59" s="306" t="str">
        <f t="shared" si="63"/>
        <v>-</v>
      </c>
      <c r="EW59" s="306" t="str">
        <f t="shared" si="64"/>
        <v>✔</v>
      </c>
      <c r="EX59" s="306" t="str">
        <f t="shared" si="65"/>
        <v>-</v>
      </c>
      <c r="EY59" s="367" t="str">
        <f t="shared" si="66"/>
        <v>-</v>
      </c>
      <c r="EZ59" s="310" t="str">
        <f>IFERROR(__xludf.DUMMYFUNCTION("IF(REGEXMATCH(BM59,BI59),""✔"",""-"")"),"-")</f>
        <v>-</v>
      </c>
      <c r="FA59" s="310" t="str">
        <f t="shared" si="67"/>
        <v>-</v>
      </c>
      <c r="FB59" s="370" t="str">
        <f t="shared" si="68"/>
        <v>-</v>
      </c>
      <c r="FC59" s="415">
        <f t="shared" si="69"/>
        <v>2</v>
      </c>
      <c r="FD59" s="317" t="str">
        <f t="shared" si="70"/>
        <v>S-g-m-D-n-S</v>
      </c>
      <c r="FE59" s="318" t="str">
        <f>IFERROR(__xludf.DUMMYFUNCTION("CONCATENATE(JOIN("""",GJ59:GV59))"),"SRgPDS")</f>
        <v>SRgPDS</v>
      </c>
      <c r="FF59" s="318"/>
      <c r="FG59" s="318"/>
      <c r="FH59" s="321">
        <f t="shared" si="71"/>
        <v>2</v>
      </c>
      <c r="FI59" s="318" t="str">
        <f>IFERROR(__xludf.DUMMYFUNCTION("CONCATENATE(JOIN("""",HW59:II59))"),"Sa, Dha, ")</f>
        <v>Sa, Dha, </v>
      </c>
      <c r="FJ59" s="322">
        <f t="shared" si="72"/>
        <v>1</v>
      </c>
      <c r="FK59" s="324" t="str">
        <f>IFERROR(__xludf.DUMMYFUNCTION("CONCATENATE(JOIN("""",IW59:JI59))"),"Dha, ")</f>
        <v>Dha, </v>
      </c>
      <c r="FL59" s="325" t="str">
        <f t="shared" si="73"/>
        <v>S-G2-M1-D2-N2-S</v>
      </c>
      <c r="FM59" s="326" t="str">
        <f t="shared" si="74"/>
        <v>1-b3-4-6-b7-8</v>
      </c>
      <c r="FN59" s="326" t="str">
        <f t="shared" si="75"/>
        <v>0-3-5-9-10-0</v>
      </c>
      <c r="FO59" s="318"/>
      <c r="FP59" s="328" t="str">
        <f>IFERROR(__xludf.DUMMYFUNCTION("SUBSTITUTE(SUBSTITUTE(SUBSTITUTE(SUBSTITUTE(CONCATENATE(JOIN("" "",FS59:GE59)),""  "","" ""),""  "","" ""),""  "","" ""),""  "","" "")"),"o • • o • o • • • o o • o")</f>
        <v>o • • o • o • • • o o • o</v>
      </c>
      <c r="FQ59" s="328" t="str">
        <f t="shared" si="76"/>
        <v>Sa-ma</v>
      </c>
      <c r="FR59" s="329"/>
      <c r="FS59" s="331" t="str">
        <f t="shared" si="77"/>
        <v>o</v>
      </c>
      <c r="FT59" s="332" t="str">
        <f t="shared" si="78"/>
        <v>•</v>
      </c>
      <c r="FU59" s="332" t="str">
        <f t="shared" si="79"/>
        <v>•</v>
      </c>
      <c r="FV59" s="332" t="str">
        <f t="shared" si="80"/>
        <v>o</v>
      </c>
      <c r="FW59" s="332" t="str">
        <f t="shared" si="81"/>
        <v>•</v>
      </c>
      <c r="FX59" s="332" t="str">
        <f t="shared" si="82"/>
        <v>o</v>
      </c>
      <c r="FY59" s="332" t="str">
        <f t="shared" si="83"/>
        <v>•</v>
      </c>
      <c r="FZ59" s="332" t="str">
        <f t="shared" si="84"/>
        <v>•</v>
      </c>
      <c r="GA59" s="332" t="str">
        <f t="shared" si="85"/>
        <v>•</v>
      </c>
      <c r="GB59" s="332" t="str">
        <f t="shared" si="86"/>
        <v>o</v>
      </c>
      <c r="GC59" s="332" t="str">
        <f t="shared" si="87"/>
        <v>o</v>
      </c>
      <c r="GD59" s="332" t="str">
        <f t="shared" si="88"/>
        <v>•</v>
      </c>
      <c r="GE59" s="338" t="str">
        <f t="shared" si="89"/>
        <v>o</v>
      </c>
      <c r="GF59" s="339" t="str">
        <f t="shared" si="90"/>
        <v>-</v>
      </c>
      <c r="GG59" s="339" t="str">
        <f t="shared" si="91"/>
        <v>-</v>
      </c>
      <c r="GH59" s="339" t="str">
        <f t="shared" si="92"/>
        <v>-</v>
      </c>
      <c r="GI59" s="340" t="str">
        <f t="shared" si="93"/>
        <v>Sa-ma</v>
      </c>
      <c r="GJ59" s="331" t="str">
        <f t="shared" si="94"/>
        <v>S</v>
      </c>
      <c r="GK59" s="332" t="str">
        <f t="shared" si="95"/>
        <v/>
      </c>
      <c r="GL59" s="332" t="str">
        <f t="shared" si="96"/>
        <v>R</v>
      </c>
      <c r="GM59" s="332" t="str">
        <f t="shared" si="97"/>
        <v>g</v>
      </c>
      <c r="GN59" s="332" t="str">
        <f t="shared" si="98"/>
        <v/>
      </c>
      <c r="GO59" s="332" t="str">
        <f t="shared" si="99"/>
        <v/>
      </c>
      <c r="GP59" s="332" t="str">
        <f t="shared" si="100"/>
        <v/>
      </c>
      <c r="GQ59" s="332" t="str">
        <f t="shared" si="101"/>
        <v>P</v>
      </c>
      <c r="GR59" s="332" t="str">
        <f t="shared" si="102"/>
        <v/>
      </c>
      <c r="GS59" s="332" t="str">
        <f t="shared" si="103"/>
        <v>D</v>
      </c>
      <c r="GT59" s="332" t="str">
        <f t="shared" si="104"/>
        <v/>
      </c>
      <c r="GU59" s="332" t="str">
        <f t="shared" si="105"/>
        <v/>
      </c>
      <c r="GV59" s="343" t="str">
        <f t="shared" si="106"/>
        <v>S</v>
      </c>
      <c r="GW59" s="331" t="str">
        <f t="shared" si="107"/>
        <v>•</v>
      </c>
      <c r="GX59" s="332" t="str">
        <f t="shared" si="108"/>
        <v>o</v>
      </c>
      <c r="GY59" s="332" t="str">
        <f t="shared" si="109"/>
        <v>o</v>
      </c>
      <c r="GZ59" s="332" t="str">
        <f t="shared" si="110"/>
        <v>•</v>
      </c>
      <c r="HA59" s="332" t="str">
        <f t="shared" si="111"/>
        <v>o</v>
      </c>
      <c r="HB59" s="332" t="str">
        <f t="shared" si="112"/>
        <v>•</v>
      </c>
      <c r="HC59" s="332" t="str">
        <f t="shared" si="113"/>
        <v>o</v>
      </c>
      <c r="HD59" s="332" t="str">
        <f t="shared" si="114"/>
        <v>o</v>
      </c>
      <c r="HE59" s="332" t="str">
        <f t="shared" si="115"/>
        <v>o</v>
      </c>
      <c r="HF59" s="332" t="str">
        <f t="shared" si="116"/>
        <v>•</v>
      </c>
      <c r="HG59" s="332" t="str">
        <f t="shared" si="117"/>
        <v>•</v>
      </c>
      <c r="HH59" s="332" t="str">
        <f t="shared" si="118"/>
        <v>o</v>
      </c>
      <c r="HI59" s="338" t="str">
        <f t="shared" si="119"/>
        <v>•</v>
      </c>
      <c r="HJ59" s="346" t="b">
        <f t="shared" si="120"/>
        <v>1</v>
      </c>
      <c r="HK59" s="347" t="b">
        <f t="shared" si="121"/>
        <v>0</v>
      </c>
      <c r="HL59" s="347" t="b">
        <f t="shared" si="122"/>
        <v>0</v>
      </c>
      <c r="HM59" s="347" t="b">
        <f t="shared" si="123"/>
        <v>0</v>
      </c>
      <c r="HN59" s="347" t="b">
        <f t="shared" si="124"/>
        <v>0</v>
      </c>
      <c r="HO59" s="347" t="b">
        <f t="shared" si="125"/>
        <v>0</v>
      </c>
      <c r="HP59" s="347" t="b">
        <f t="shared" si="126"/>
        <v>0</v>
      </c>
      <c r="HQ59" s="347" t="b">
        <f t="shared" si="127"/>
        <v>0</v>
      </c>
      <c r="HR59" s="347" t="b">
        <f t="shared" si="128"/>
        <v>0</v>
      </c>
      <c r="HS59" s="347" t="b">
        <f t="shared" si="129"/>
        <v>1</v>
      </c>
      <c r="HT59" s="347" t="b">
        <f t="shared" si="130"/>
        <v>0</v>
      </c>
      <c r="HU59" s="347" t="b">
        <f t="shared" si="131"/>
        <v>0</v>
      </c>
      <c r="HV59" s="353" t="b">
        <f t="shared" si="132"/>
        <v>1</v>
      </c>
      <c r="HW59" s="354" t="str">
        <f t="shared" si="133"/>
        <v>Sa, </v>
      </c>
      <c r="HX59" s="355" t="str">
        <f t="shared" si="134"/>
        <v/>
      </c>
      <c r="HY59" s="355" t="str">
        <f t="shared" si="135"/>
        <v/>
      </c>
      <c r="HZ59" s="355" t="str">
        <f t="shared" si="136"/>
        <v/>
      </c>
      <c r="IA59" s="355" t="str">
        <f t="shared" si="137"/>
        <v/>
      </c>
      <c r="IB59" s="355" t="str">
        <f t="shared" si="138"/>
        <v/>
      </c>
      <c r="IC59" s="355" t="str">
        <f t="shared" si="139"/>
        <v/>
      </c>
      <c r="ID59" s="355" t="str">
        <f t="shared" si="140"/>
        <v/>
      </c>
      <c r="IE59" s="355" t="str">
        <f t="shared" si="141"/>
        <v/>
      </c>
      <c r="IF59" s="355" t="str">
        <f t="shared" si="142"/>
        <v>Dha, </v>
      </c>
      <c r="IG59" s="355" t="str">
        <f t="shared" si="143"/>
        <v/>
      </c>
      <c r="IH59" s="355" t="str">
        <f t="shared" si="144"/>
        <v/>
      </c>
      <c r="II59" s="359" t="str">
        <f t="shared" si="145"/>
        <v/>
      </c>
      <c r="IJ59" s="346" t="b">
        <f t="shared" si="146"/>
        <v>0</v>
      </c>
      <c r="IK59" s="347" t="b">
        <f t="shared" si="147"/>
        <v>0</v>
      </c>
      <c r="IL59" s="347" t="b">
        <f t="shared" si="148"/>
        <v>0</v>
      </c>
      <c r="IM59" s="347" t="b">
        <f t="shared" si="149"/>
        <v>0</v>
      </c>
      <c r="IN59" s="347" t="b">
        <f t="shared" si="150"/>
        <v>0</v>
      </c>
      <c r="IO59" s="347" t="b">
        <f t="shared" si="151"/>
        <v>0</v>
      </c>
      <c r="IP59" s="347" t="b">
        <f t="shared" si="152"/>
        <v>0</v>
      </c>
      <c r="IQ59" s="347" t="b">
        <f t="shared" si="153"/>
        <v>0</v>
      </c>
      <c r="IR59" s="347" t="b">
        <f t="shared" si="154"/>
        <v>0</v>
      </c>
      <c r="IS59" s="347" t="b">
        <f t="shared" si="155"/>
        <v>1</v>
      </c>
      <c r="IT59" s="347" t="b">
        <f t="shared" si="156"/>
        <v>0</v>
      </c>
      <c r="IU59" s="347" t="b">
        <f t="shared" si="157"/>
        <v>0</v>
      </c>
      <c r="IV59" s="365" t="b">
        <f t="shared" si="158"/>
        <v>0</v>
      </c>
      <c r="IW59" s="354" t="str">
        <f t="shared" si="159"/>
        <v/>
      </c>
      <c r="IX59" s="355" t="str">
        <f t="shared" si="160"/>
        <v/>
      </c>
      <c r="IY59" s="355" t="str">
        <f t="shared" si="161"/>
        <v/>
      </c>
      <c r="IZ59" s="355" t="str">
        <f t="shared" si="162"/>
        <v/>
      </c>
      <c r="JA59" s="355" t="str">
        <f t="shared" si="163"/>
        <v/>
      </c>
      <c r="JB59" s="355" t="str">
        <f t="shared" si="164"/>
        <v/>
      </c>
      <c r="JC59" s="355" t="str">
        <f t="shared" si="165"/>
        <v/>
      </c>
      <c r="JD59" s="355" t="str">
        <f t="shared" si="166"/>
        <v/>
      </c>
      <c r="JE59" s="355" t="str">
        <f t="shared" si="167"/>
        <v/>
      </c>
      <c r="JF59" s="355" t="str">
        <f t="shared" si="168"/>
        <v>Dha, </v>
      </c>
      <c r="JG59" s="355" t="str">
        <f t="shared" si="169"/>
        <v/>
      </c>
      <c r="JH59" s="355" t="str">
        <f t="shared" si="170"/>
        <v/>
      </c>
      <c r="JI59" s="359"/>
      <c r="JJ59" s="321"/>
      <c r="JK59" s="368"/>
      <c r="JL59" s="369"/>
      <c r="JM59" s="369"/>
      <c r="JN59" s="369"/>
      <c r="JO59" s="369"/>
      <c r="JP59" s="369"/>
      <c r="JQ59" s="369"/>
      <c r="JR59" s="369"/>
      <c r="JS59" s="369"/>
      <c r="JT59" s="369"/>
      <c r="JU59" s="369"/>
    </row>
    <row r="60" ht="20.25" customHeight="1">
      <c r="A60" s="221" t="s">
        <v>1348</v>
      </c>
      <c r="B60" s="223" t="s">
        <v>735</v>
      </c>
      <c r="C60" s="222"/>
      <c r="D60" s="222"/>
      <c r="E60" s="222" t="s">
        <v>275</v>
      </c>
      <c r="F60" s="222"/>
      <c r="G60" s="395" t="s">
        <v>275</v>
      </c>
      <c r="H60" s="222">
        <v>58.0</v>
      </c>
      <c r="I60" s="224" t="s">
        <v>1219</v>
      </c>
      <c r="J60" s="225" t="str">
        <f t="shared" si="5"/>
        <v>[UQ]</v>
      </c>
      <c r="K60" s="227">
        <f t="shared" si="6"/>
        <v>6</v>
      </c>
      <c r="L60" s="229">
        <f t="shared" si="7"/>
        <v>6</v>
      </c>
      <c r="M60" s="230">
        <f t="shared" si="8"/>
        <v>0</v>
      </c>
      <c r="N60" s="233" t="str">
        <f t="shared" si="9"/>
        <v>SGmPdnS</v>
      </c>
      <c r="O60" s="234" t="str">
        <f>IFERROR(__xludf.DUMMYFUNCTION("IF(REGEXMATCH(N60, ""S""), ""S"","""")"),"S")</f>
        <v>S</v>
      </c>
      <c r="P60" s="236" t="str">
        <f>IFERROR(__xludf.DUMMYFUNCTION("IF(REGEXMATCH(N60, ""r""), ""r"","""")"),"")</f>
        <v/>
      </c>
      <c r="Q60" s="237" t="str">
        <f>IFERROR(__xludf.DUMMYFUNCTION("IF(REGEXMATCH(N60, ""R""), ""R"","""")"),"")</f>
        <v/>
      </c>
      <c r="R60" s="237" t="str">
        <f>IFERROR(__xludf.DUMMYFUNCTION("IF(REGEXMATCH(N60, ""g""), ""g"","""")"),"")</f>
        <v/>
      </c>
      <c r="S60" s="236" t="str">
        <f>IFERROR(__xludf.DUMMYFUNCTION("IF(REGEXMATCH(N60, ""G""), ""G"","""")"),"G")</f>
        <v>G</v>
      </c>
      <c r="T60" s="236" t="str">
        <f>IFERROR(__xludf.DUMMYFUNCTION("IF(REGEXMATCH(N60, ""m""), ""m"","""")"),"m")</f>
        <v>m</v>
      </c>
      <c r="U60" s="237" t="str">
        <f>IFERROR(__xludf.DUMMYFUNCTION("IF(REGEXMATCH(N60, ""M""), ""M"","""")"),"")</f>
        <v/>
      </c>
      <c r="V60" s="236" t="str">
        <f>IFERROR(__xludf.DUMMYFUNCTION("IF(REGEXMATCH(N60, ""P""), ""P"","""")"),"P")</f>
        <v>P</v>
      </c>
      <c r="W60" s="237" t="str">
        <f>IFERROR(__xludf.DUMMYFUNCTION("IF(REGEXMATCH(N60, ""d""), ""d"","""")"),"d")</f>
        <v>d</v>
      </c>
      <c r="X60" s="236" t="str">
        <f>IFERROR(__xludf.DUMMYFUNCTION("IF(REGEXMATCH(N60, ""D""), ""D"","""")"),"")</f>
        <v/>
      </c>
      <c r="Y60" s="236" t="str">
        <f>IFERROR(__xludf.DUMMYFUNCTION("IF(REGEXMATCH(N60, ""n""), ""n"","""")"),"n")</f>
        <v>n</v>
      </c>
      <c r="Z60" s="237" t="str">
        <f>IFERROR(__xludf.DUMMYFUNCTION("IF(REGEXMATCH(N60, ""N""), ""N"","""")"),"")</f>
        <v/>
      </c>
      <c r="AA60" s="238" t="str">
        <f>IFERROR(__xludf.DUMMYFUNCTION("IF(REGEXMATCH(N60, ""S""), ""S"","""")"),"S")</f>
        <v>S</v>
      </c>
      <c r="AB60" s="239" t="str">
        <f>IFERROR(__xludf.DUMMYFUNCTION("SUBSTITUTE(CONCATENATE(JOIN(""-"",O60:U60)),""-"","""")"),"SGm")</f>
        <v>SGm</v>
      </c>
      <c r="AC60" s="229" t="str">
        <f>IFERROR(__xludf.DUMMYFUNCTION("SUBSTITUTE(CONCATENATE(JOIN(""-"",V60:AA60)),""-"","""")"),"PdnS")</f>
        <v>PdnS</v>
      </c>
      <c r="AD60" s="282" t="str">
        <f t="shared" si="10"/>
        <v>S-G-M</v>
      </c>
      <c r="AE60" s="282" t="str">
        <f t="shared" si="11"/>
        <v>P-D-N-S</v>
      </c>
      <c r="AF60" s="309" t="str">
        <f t="shared" si="12"/>
        <v>Gmdn</v>
      </c>
      <c r="AG60" s="244" t="str">
        <f>IFERROR(__xludf.DUMMYFUNCTION("IF(REGEXMATCH(N60, ""S""), ""0"","""")"),"0")</f>
        <v>0</v>
      </c>
      <c r="AH60" s="245" t="str">
        <f>IFERROR(__xludf.DUMMYFUNCTION("IF(REGEXMATCH(N60, ""r""), ""1"","""")"),"")</f>
        <v/>
      </c>
      <c r="AI60" s="246" t="str">
        <f>IFERROR(__xludf.DUMMYFUNCTION("IF(REGEXMATCH(N60, ""R""), ""2"","""")"),"")</f>
        <v/>
      </c>
      <c r="AJ60" s="246" t="str">
        <f>IFERROR(__xludf.DUMMYFUNCTION("IF(REGEXMATCH(N60, ""g""), ""3"","""")"),"")</f>
        <v/>
      </c>
      <c r="AK60" s="245" t="str">
        <f>IFERROR(__xludf.DUMMYFUNCTION("IF(REGEXMATCH(N60, ""G""), ""4"","""")"),"4")</f>
        <v>4</v>
      </c>
      <c r="AL60" s="245" t="str">
        <f>IFERROR(__xludf.DUMMYFUNCTION("IF(REGEXMATCH(N60, ""m""), ""5"","""")"),"5")</f>
        <v>5</v>
      </c>
      <c r="AM60" s="246" t="str">
        <f>IFERROR(__xludf.DUMMYFUNCTION("IF(REGEXMATCH(N60, ""M""), ""6"","""")"),"")</f>
        <v/>
      </c>
      <c r="AN60" s="245" t="str">
        <f>IFERROR(__xludf.DUMMYFUNCTION("IF(REGEXMATCH(N60, ""P""), ""7"","""")"),"7")</f>
        <v>7</v>
      </c>
      <c r="AO60" s="246" t="str">
        <f>IFERROR(__xludf.DUMMYFUNCTION("IF(REGEXMATCH(N60, ""d""), ""8"","""")"),"8")</f>
        <v>8</v>
      </c>
      <c r="AP60" s="245" t="str">
        <f>IFERROR(__xludf.DUMMYFUNCTION("IF(REGEXMATCH(N60, ""D""), ""9"","""")"),"")</f>
        <v/>
      </c>
      <c r="AQ60" s="245" t="str">
        <f>IFERROR(__xludf.DUMMYFUNCTION("IF(REGEXMATCH(N60, ""n""), ""10"","""")"),"10")</f>
        <v>10</v>
      </c>
      <c r="AR60" s="246" t="str">
        <f>IFERROR(__xludf.DUMMYFUNCTION("IF(REGEXMATCH(N60, ""N""), ""11"","""")"),"")</f>
        <v/>
      </c>
      <c r="AS60" s="249" t="str">
        <f>IFERROR(__xludf.DUMMYFUNCTION("IF(REGEXMATCH(N60, ""S""), ""0"","""")"),"0")</f>
        <v>0</v>
      </c>
      <c r="AT60" s="250" t="str">
        <f>IFERROR(__xludf.DUMMYFUNCTION("SUBSTITUTE(SUBSTITUTE(SUBSTITUTE(SUBSTITUTE(CONCATENATE(JOIN(""-"",AG60:AS60)),""--"",""-""),""--"",""-""),""--"",""-""),""--"",""-"")"),"0-4-5-7-8-10-0")</f>
        <v>0-4-5-7-8-10-0</v>
      </c>
      <c r="AU60" s="251">
        <f t="shared" si="13"/>
        <v>0</v>
      </c>
      <c r="AV60" s="234" t="str">
        <f t="shared" si="14"/>
        <v>|</v>
      </c>
      <c r="AW60" s="236" t="str">
        <f t="shared" si="15"/>
        <v>-</v>
      </c>
      <c r="AX60" s="237" t="str">
        <f t="shared" si="16"/>
        <v>-</v>
      </c>
      <c r="AY60" s="236" t="str">
        <f t="shared" si="17"/>
        <v>-</v>
      </c>
      <c r="AZ60" s="237" t="str">
        <f t="shared" si="18"/>
        <v>|</v>
      </c>
      <c r="BA60" s="236" t="str">
        <f t="shared" si="19"/>
        <v>|</v>
      </c>
      <c r="BB60" s="237" t="str">
        <f t="shared" si="20"/>
        <v>-</v>
      </c>
      <c r="BC60" s="236" t="str">
        <f t="shared" si="21"/>
        <v>|</v>
      </c>
      <c r="BD60" s="237" t="str">
        <f t="shared" si="22"/>
        <v>|</v>
      </c>
      <c r="BE60" s="236" t="str">
        <f t="shared" si="23"/>
        <v>-</v>
      </c>
      <c r="BF60" s="237" t="str">
        <f t="shared" si="24"/>
        <v>|</v>
      </c>
      <c r="BG60" s="236" t="str">
        <f t="shared" si="25"/>
        <v>-</v>
      </c>
      <c r="BH60" s="238" t="str">
        <f t="shared" si="26"/>
        <v>|</v>
      </c>
      <c r="BI60" s="250" t="str">
        <f>IFERROR(__xludf.DUMMYFUNCTION("SUBSTITUTE(SUBSTITUTE(CONCATENATE(JOIN("""",AV60:BG60)),""|"",""x""),""-"",""o"")"),"xoooxxoxxoxo")</f>
        <v>xoooxxoxxoxo</v>
      </c>
      <c r="BJ60" s="323" t="str">
        <f>IFERROR(__xludf.DUMMYFUNCTION("JOIN("""",BI60,BI60)"),"xoooxxoxxoxoxoooxxoxxoxo")</f>
        <v>xoooxxoxxoxoxoooxxoxxoxo</v>
      </c>
      <c r="BK60" s="256" t="str">
        <f>IFERROR(__xludf.DUMMYFUNCTION("JOIN("""",ArrayFormula(MID(BI60,LEN(BI60)-SEQUENCE(1,LEN(BI60))+1,1)))"),"oxoxxoxxooox")</f>
        <v>oxoxxoxxooox</v>
      </c>
      <c r="BL60" s="256" t="str">
        <f>IFERROR(__xludf.DUMMYFUNCTION("LEFT(CONCATENATE(""x"",JOIN("""",ArrayFormula(MID(BI60,LEN(BI60)-SEQUENCE(1,LEN(BI60))+1,1)))),12)"),"xoxoxxoxxooo")</f>
        <v>xoxoxxoxxooo</v>
      </c>
      <c r="BM60" s="327" t="str">
        <f>IFERROR(__xludf.DUMMYFUNCTION("JOIN("""",BK60,BK60)"),"oxoxxoxxoooxoxoxxoxxooox")</f>
        <v>oxoxxoxxoooxoxoxxoxxooox</v>
      </c>
      <c r="BN60" s="239" t="str">
        <f>IFERROR(__xludf.DUMMYFUNCTION("IF(REGEXMATCH(BM60,BI60),""✔"",""-"")"),"-")</f>
        <v>-</v>
      </c>
      <c r="BO60" s="330" t="str">
        <f t="shared" si="27"/>
        <v>-</v>
      </c>
      <c r="BP60" s="260" t="str">
        <f t="shared" si="28"/>
        <v>-</v>
      </c>
      <c r="BQ60" s="261" t="str">
        <f>IFERROR(__xludf.DUMMYFUNCTION("IF(BT60=0,""(n/a)"",IF(BU60=2,""(PAIR)"",IF(REGEXMATCH(BJ60,""xoxoxxoxoxox""),""Bilawal"",IF(REGEXMATCH(BJ60,""xoxoxooxoxoo""),""Bhupali"",IF(REGEXMATCH(BJ60,""xoxoxxoxxoxo""),""Charukeshi"",IF(REGEXMATCH(BJ60,""xoxoooxxoxxo""),""Kameshwari"",IF(REGEXMATC"&amp;"H(BJ60,""xoxoxooxoxox""),""Shankara"",IF(REGEXMATCH(BJ60,""xxooxoxxxoox""),""Basant"",IF(REGEXMATCH(BJ60,""xoxoxxxxoxox""),""Bihag"",IF(REGEXMATCH(BJ60,""xoxxxxoxoxxx""),""Pilu"",IF(REGEXMATCH(BJ60,""xoxxoxoxxoox""),""Kirwani"",IF(REGEXMATCH(BJ60,""xoxxox"&amp;"oxoxxx""),""Mk.Malhar"",IF(REGEXMATCH(BJ60,""xxooxxoxxoox""),""Bhairav"",IF(REGEXMATCH(BJ60,""xxoxooxxxoox""),""Todi"",IF(REGEXMATCH(BJ60,""xxooxoxooxox""),""Marwa"",IF(REGEXMATCH(BJ60,""xxoooxoxxooo""),""Gunkali"",IF(REGEXMATCH(BJ60,""xoxoxxoxxoox""),""N"&amp;"at Bhairav"",IF(REGEXMATCH(BJ60,""xoxxoooxoxoo""),""Shivranjani"",IF(REGEXMATCH(BJ60,""xooxxxoxooxo""),""Jog"",IF(REGEXMATCH(BJ60,""xxooxoxoxoox""),""Hemshri"",IF(REGEXMATCH(BJ60,""xoooxooxoxxo""),""Kalavati"",IF(REGEXMATCH(BJ60,""xxoxoxxoxoox""),""Kedar"&amp;""",IF(REGEXMATCH(BJ60,""xoxxxxoxooxx""),""Gara"",IF(REGEXMATCH(BJ60,""xooxoxooxoox""),""Chandrakauns"",IF(REGEXMATCH(BJ60,""xoxxxxoxxxox""),""Mand"",IF(REGEXMATCH(BJ60,""xoxxxxoxoxox""),""Hanskinkini"",IF(REGEXMATCH(BJ60,""xxooxxoxooxo""),""Lilavati"",IF("&amp;"REGEXMATCH(BJ60,""xooxoxoooxox""),""Rajeshwari"",IF(REGEXMATCH(BJ60,""xoooxxoxoxxx""),""Khokar"",IF(REGEXMATCH(BJ60,""xxooxoxxxxox""),""Maligoura"",""-""))))))))))))))))))))))))))))))"),"(PAIR)")</f>
        <v>(PAIR)</v>
      </c>
      <c r="BR60" s="239">
        <f t="shared" si="29"/>
        <v>5</v>
      </c>
      <c r="BS60" s="239">
        <f>IFERROR(__xludf.DUMMYFUNCTION("COUNTUNIQUE(BW60:CG60)-1"),5.0)</f>
        <v>5</v>
      </c>
      <c r="BT60" s="239">
        <f>IFERROR(__xludf.DUMMYFUNCTION("COUNTUNIQUE(FILTER(BJ:BJ,REGEXMATCH(BJ:BJ,BI60)))-1"),1.0)</f>
        <v>1</v>
      </c>
      <c r="BU60" s="239">
        <f>IFERROR(__xludf.DUMMYFUNCTION("COUNTA(FILTER(BJ:BJ,REGEXMATCH(BJ:BJ,BI60)))"),2.0)</f>
        <v>2</v>
      </c>
      <c r="BV60" s="341">
        <f>IFERROR(__xludf.DUMMYFUNCTION("COUNTA(FILTER(BJ:BJ,REGEXMATCH(BJ:BJ,BI60)))-AU60"),2.0)</f>
        <v>2</v>
      </c>
      <c r="BW60" s="269" t="str">
        <f t="shared" si="30"/>
        <v>-</v>
      </c>
      <c r="BX60" s="269" t="str">
        <f t="shared" si="31"/>
        <v>-</v>
      </c>
      <c r="BY60" s="271" t="str">
        <f t="shared" si="32"/>
        <v>-</v>
      </c>
      <c r="BZ60" s="269" t="str">
        <f t="shared" si="33"/>
        <v>xxoxxoxoxoo</v>
      </c>
      <c r="CA60" s="271" t="str">
        <f t="shared" si="34"/>
        <v>xoxxoxoxooo</v>
      </c>
      <c r="CB60" s="271" t="str">
        <f t="shared" si="35"/>
        <v>-</v>
      </c>
      <c r="CC60" s="271" t="str">
        <f t="shared" si="36"/>
        <v>xxoxoxoooxx</v>
      </c>
      <c r="CD60" s="271" t="str">
        <f t="shared" si="37"/>
        <v>xoxoxoooxxo</v>
      </c>
      <c r="CE60" s="271" t="str">
        <f t="shared" si="38"/>
        <v>-</v>
      </c>
      <c r="CF60" s="271" t="str">
        <f t="shared" si="39"/>
        <v>xoxoooxxoxx</v>
      </c>
      <c r="CG60" s="274" t="str">
        <f t="shared" si="40"/>
        <v>-</v>
      </c>
      <c r="CH60" s="276" t="str">
        <f>IFERROR(__xludf.DUMMYFUNCTION("IF(BI60=""oooooooooooo"",""-"",IF(REGEXMATCH(BJ60,""xx""), ""Hemi."", ""Anhemi.""))"),"Hemi.")</f>
        <v>Hemi.</v>
      </c>
      <c r="CI60" s="282" t="str">
        <f>IFERROR(__xludf.DUMMYFUNCTION("IF(BI60=""oooooooooooo"",""-"",IF(REGEXMATCH(BJ60,""xxx""), ""Cohem."", ""-""))"),"-")</f>
        <v>-</v>
      </c>
      <c r="CJ60" s="282" t="str">
        <f>IFERROR(__xludf.DUMMYFUNCTION("IF(BI60=""oooooooooooo"",""-"",IF(REGEXMATCH(BJ60,""xxxx""), ""Co-Co."", ""-""))"),"-")</f>
        <v>-</v>
      </c>
      <c r="CK60" s="342" t="str">
        <f>IFERROR(__xludf.DUMMYFUNCTION("IF(BI60=""oooooooooooo"",""-"",IF(REGEXMATCH(BJ60,""xxxxx""), ""CCC."", ""-""))"),"-")</f>
        <v>-</v>
      </c>
      <c r="CL60" s="344" t="str">
        <f t="shared" si="41"/>
        <v>-</v>
      </c>
      <c r="CM60" s="282" t="str">
        <f>IFERROR(__xludf.DUMMYFUNCTION("IF(REGEXMATCH(JOIN(""-"",CO60:CX60),""TRUE""),""✔"",""-"")"),"-")</f>
        <v>-</v>
      </c>
      <c r="CN60" s="225">
        <f t="shared" si="42"/>
        <v>0</v>
      </c>
      <c r="CO60" s="376" t="b">
        <f>IFERROR(__xludf.DUMMYFUNCTION("arrayformula(sum(--REGEXMATCH(""SRGMPDNS"",split(REGEXREPLACE(N60,""(.)"",""$1~""),""~""))))=len(N60)
"),FALSE)</f>
        <v>0</v>
      </c>
      <c r="CP60" s="290" t="b">
        <f>IFERROR(__xludf.DUMMYFUNCTION("arrayformula(sum(--REGEXMATCH(""SRGmPDNS"",split(REGEXREPLACE(N60,""(.)"",""$1~""),""~""))))=len(N60)"),FALSE)</f>
        <v>0</v>
      </c>
      <c r="CQ60" s="290" t="b">
        <f>IFERROR(__xludf.DUMMYFUNCTION("arrayformula(sum(--REGEXMATCH(""SRGmPDnS"",split(REGEXREPLACE(N60,""(.)"",""$1~""),""~""))))=len(N60)"),FALSE)</f>
        <v>0</v>
      </c>
      <c r="CR60" s="290" t="b">
        <f>IFERROR(__xludf.DUMMYFUNCTION("arrayformula(sum(--REGEXMATCH(""SRgmPDnS"",split(REGEXREPLACE(N60,""(.)"",""$1~""),""~""))))=len(N60)"),FALSE)</f>
        <v>0</v>
      </c>
      <c r="CS60" s="290" t="b">
        <f>IFERROR(__xludf.DUMMYFUNCTION("arrayformula(sum(--REGEXMATCH(""SRgmPdnS"",split(REGEXREPLACE(N60,""(.)"",""$1~""),""~""))))=len(N60)"),FALSE)</f>
        <v>0</v>
      </c>
      <c r="CT60" s="290" t="b">
        <f>IFERROR(__xludf.DUMMYFUNCTION("arrayformula(sum(--REGEXMATCH(""SrgmPdnS"",split(REGEXREPLACE(N60,""(.)"",""$1~""),""~""))))=len(N60)"),FALSE)</f>
        <v>0</v>
      </c>
      <c r="CU60" s="290" t="b">
        <f>IFERROR(__xludf.DUMMYFUNCTION("arrayformula(sum(--REGEXMATCH(""SrGmPdNS"",split(REGEXREPLACE(N60,""(.)"",""$1~""),""~""))))=len(N60)"),FALSE)</f>
        <v>0</v>
      </c>
      <c r="CV60" s="290" t="b">
        <f>IFERROR(__xludf.DUMMYFUNCTION("arrayformula(sum(--REGEXMATCH(""SrGMPDNS"",split(REGEXREPLACE(N60,""(.)"",""$1~""),""~""))))=len(N60)"),FALSE)</f>
        <v>0</v>
      </c>
      <c r="CW60" s="290" t="b">
        <f>IFERROR(__xludf.DUMMYFUNCTION("arrayformula(sum(--REGEXMATCH(""SrGMPdNS"",split(REGEXREPLACE(N60,""(.)"",""$1~""),""~""))))=len(N60)"),FALSE)</f>
        <v>0</v>
      </c>
      <c r="CX60" s="293" t="b">
        <f>IFERROR(__xludf.DUMMYFUNCTION("arrayformula(sum(--REGEXMATCH(""SrgMPdNS"",split(REGEXREPLACE(N60,""(.)"",""$1~""),""~""))))=len(N60)"),FALSE)</f>
        <v>0</v>
      </c>
      <c r="CY60" s="244" t="str">
        <f>IFERROR(__xludf.DUMMYFUNCTION("IF(REGEXMATCH(N60, ""S""), ""1"","""")"),"1")</f>
        <v>1</v>
      </c>
      <c r="CZ60" s="245" t="str">
        <f>IFERROR(__xludf.DUMMYFUNCTION("IF(REGEXMATCH(N60, ""r""), ""b2"","""")"),"")</f>
        <v/>
      </c>
      <c r="DA60" s="246" t="str">
        <f>IFERROR(__xludf.DUMMYFUNCTION("IF(REGEXMATCH(N60, ""R""), ""2"","""")"),"")</f>
        <v/>
      </c>
      <c r="DB60" s="246" t="str">
        <f>IFERROR(__xludf.DUMMYFUNCTION("IF(REGEXMATCH(N60, ""g""), ""b3"","""")"),"")</f>
        <v/>
      </c>
      <c r="DC60" s="245" t="str">
        <f>IFERROR(__xludf.DUMMYFUNCTION("IF(REGEXMATCH(N60, ""G""), ""3"","""")"),"3")</f>
        <v>3</v>
      </c>
      <c r="DD60" s="245" t="str">
        <f>IFERROR(__xludf.DUMMYFUNCTION("IF(REGEXMATCH(N60, ""m""), ""4"","""")"),"4")</f>
        <v>4</v>
      </c>
      <c r="DE60" s="246" t="str">
        <f>IFERROR(__xludf.DUMMYFUNCTION("IF(REGEXMATCH(N60, ""M""), ""#4"","""")"),"")</f>
        <v/>
      </c>
      <c r="DF60" s="245" t="str">
        <f>IFERROR(__xludf.DUMMYFUNCTION("IF(REGEXMATCH(N60, ""P""), ""5"","""")"),"5")</f>
        <v>5</v>
      </c>
      <c r="DG60" s="246" t="str">
        <f>IFERROR(__xludf.DUMMYFUNCTION("IF(REGEXMATCH(N60, ""d""), ""b6"","""")"),"b6")</f>
        <v>b6</v>
      </c>
      <c r="DH60" s="245" t="str">
        <f>IFERROR(__xludf.DUMMYFUNCTION("IF(REGEXMATCH(N60, ""D""), ""6"","""")"),"")</f>
        <v/>
      </c>
      <c r="DI60" s="245" t="str">
        <f>IFERROR(__xludf.DUMMYFUNCTION("IF(REGEXMATCH(N60, ""n""), ""b7"","""")"),"b7")</f>
        <v>b7</v>
      </c>
      <c r="DJ60" s="246" t="str">
        <f>IFERROR(__xludf.DUMMYFUNCTION("IF(REGEXMATCH(N60, ""N""), ""7"","""")"),"")</f>
        <v/>
      </c>
      <c r="DK60" s="249" t="str">
        <f>IFERROR(__xludf.DUMMYFUNCTION("IF(REGEXMATCH(N60, ""S""), ""8"","""")"),"8")</f>
        <v>8</v>
      </c>
      <c r="DL60" s="244" t="str">
        <f>IFERROR(__xludf.DUMMYFUNCTION("IF(REGEXMATCH(N60, ""S""), ""S"","""")"),"S")</f>
        <v>S</v>
      </c>
      <c r="DM60" s="294" t="str">
        <f>IFERROR(__xludf.DUMMYFUNCTION("IF(REGEXMATCH(N60, ""r""), ""R1"","""")"),"")</f>
        <v/>
      </c>
      <c r="DN60" s="295" t="str">
        <f>IFERROR(__xludf.DUMMYFUNCTION("IF(REGEXMATCH(N60, ""R""), ""R2"","""")"),"")</f>
        <v/>
      </c>
      <c r="DO60" s="295" t="str">
        <f>IFERROR(__xludf.DUMMYFUNCTION("IF(REGEXMATCH(N60, ""g""), ""G2"","""")"),"")</f>
        <v/>
      </c>
      <c r="DP60" s="294" t="str">
        <f>IFERROR(__xludf.DUMMYFUNCTION("IF(REGEXMATCH(N60, ""G""), ""G3"","""")"),"G3")</f>
        <v>G3</v>
      </c>
      <c r="DQ60" s="294" t="str">
        <f>IFERROR(__xludf.DUMMYFUNCTION("IF(REGEXMATCH(N60, ""m""), ""M1"","""")"),"M1")</f>
        <v>M1</v>
      </c>
      <c r="DR60" s="295" t="str">
        <f>IFERROR(__xludf.DUMMYFUNCTION("IF(REGEXMATCH(N60, ""M""), ""M2"","""")"),"")</f>
        <v/>
      </c>
      <c r="DS60" s="294" t="str">
        <f>IFERROR(__xludf.DUMMYFUNCTION("IF(REGEXMATCH(N60, ""P""), ""P"","""")"),"P")</f>
        <v>P</v>
      </c>
      <c r="DT60" s="295" t="str">
        <f>IFERROR(__xludf.DUMMYFUNCTION("IF(REGEXMATCH(N60, ""d""), ""D1"","""")"),"D1")</f>
        <v>D1</v>
      </c>
      <c r="DU60" s="294" t="str">
        <f>IFERROR(__xludf.DUMMYFUNCTION("IF(REGEXMATCH(N60, ""D""), ""D2"","""")"),"")</f>
        <v/>
      </c>
      <c r="DV60" s="294" t="str">
        <f>IFERROR(__xludf.DUMMYFUNCTION("IF(REGEXMATCH(N60, ""n""), ""N2"","""")"),"N2")</f>
        <v>N2</v>
      </c>
      <c r="DW60" s="295" t="str">
        <f>IFERROR(__xludf.DUMMYFUNCTION("IF(REGEXMATCH(N60, ""N""), ""N3"","""")"),"")</f>
        <v/>
      </c>
      <c r="DX60" s="249" t="str">
        <f>IFERROR(__xludf.DUMMYFUNCTION("IF(REGEXMATCH(N60, ""S""), ""S"","""")"),"S")</f>
        <v>S</v>
      </c>
      <c r="DY60" s="299" t="str">
        <f>IFERROR(__xludf.DUMMYFUNCTION("SUBSTITUTE(SUBSTITUTE(SUBSTITUTE(SUBSTITUTE(CONCATENATE(JOIN(""-"",CY60:DK60)),""--"",""-""),""--"",""-""),""--"",""-""),""--"",""-"")"),"1-3-4-5-b6-b7-8")</f>
        <v>1-3-4-5-b6-b7-8</v>
      </c>
      <c r="DZ60" s="299" t="str">
        <f>IFERROR(__xludf.DUMMYFUNCTION("SUBSTITUTE(SUBSTITUTE(SUBSTITUTE(SUBSTITUTE(CONCATENATE(JOIN(""-"",DL60:DX60)),""--"",""-""),""--"",""-""),""--"",""-""),""--"",""-"")"),"S-G3-M1-P-D1-N2-S")</f>
        <v>S-G3-M1-P-D1-N2-S</v>
      </c>
      <c r="EA60" s="348" t="str">
        <f t="shared" si="43"/>
        <v>C-E-F-G-Ab-Bb-C</v>
      </c>
      <c r="EB60" s="301">
        <f t="shared" si="44"/>
        <v>6</v>
      </c>
      <c r="EC60" s="302" t="str">
        <f t="shared" si="45"/>
        <v>Shadav</v>
      </c>
      <c r="ED60" s="301" t="str">
        <f t="shared" ref="ED60:EE60" si="226">SUBSTITUTE(AD60,"-","")</f>
        <v>SGM</v>
      </c>
      <c r="EE60" s="301" t="str">
        <f t="shared" si="226"/>
        <v>PDNS</v>
      </c>
      <c r="EF60" s="302" t="str">
        <f t="shared" si="47"/>
        <v>(PAIR)</v>
      </c>
      <c r="EG60" s="301" t="str">
        <f t="shared" si="48"/>
        <v>Hemi.</v>
      </c>
      <c r="EH60" s="364" t="str">
        <f t="shared" si="49"/>
        <v>-</v>
      </c>
      <c r="EI60" s="306" t="str">
        <f t="shared" si="50"/>
        <v>-</v>
      </c>
      <c r="EJ60" s="366" t="str">
        <f t="shared" si="51"/>
        <v>-</v>
      </c>
      <c r="EK60" s="308" t="str">
        <f t="shared" si="52"/>
        <v>✔</v>
      </c>
      <c r="EL60" s="306" t="str">
        <f t="shared" si="53"/>
        <v>-</v>
      </c>
      <c r="EM60" s="306" t="str">
        <f t="shared" si="54"/>
        <v>-</v>
      </c>
      <c r="EN60" s="367" t="str">
        <f t="shared" si="55"/>
        <v>-</v>
      </c>
      <c r="EO60" s="310" t="str">
        <f t="shared" si="56"/>
        <v>-</v>
      </c>
      <c r="EP60" s="310" t="str">
        <f t="shared" si="57"/>
        <v>-</v>
      </c>
      <c r="EQ60" s="310" t="str">
        <f t="shared" si="58"/>
        <v>-</v>
      </c>
      <c r="ER60" s="310" t="str">
        <f t="shared" si="59"/>
        <v>-</v>
      </c>
      <c r="ES60" s="370" t="str">
        <f t="shared" si="60"/>
        <v>-</v>
      </c>
      <c r="ET60" s="306" t="str">
        <f t="shared" si="61"/>
        <v>✔</v>
      </c>
      <c r="EU60" s="306" t="str">
        <f t="shared" si="62"/>
        <v>-</v>
      </c>
      <c r="EV60" s="306" t="str">
        <f t="shared" si="63"/>
        <v>-</v>
      </c>
      <c r="EW60" s="306" t="str">
        <f t="shared" si="64"/>
        <v>-</v>
      </c>
      <c r="EX60" s="306" t="str">
        <f t="shared" si="65"/>
        <v>-</v>
      </c>
      <c r="EY60" s="367" t="str">
        <f t="shared" si="66"/>
        <v>-</v>
      </c>
      <c r="EZ60" s="310" t="str">
        <f>IFERROR(__xludf.DUMMYFUNCTION("IF(REGEXMATCH(BM60,BI60),""✔"",""-"")"),"-")</f>
        <v>-</v>
      </c>
      <c r="FA60" s="310" t="str">
        <f t="shared" si="67"/>
        <v>-</v>
      </c>
      <c r="FB60" s="370" t="str">
        <f t="shared" si="68"/>
        <v>-</v>
      </c>
      <c r="FC60" s="315" t="str">
        <f t="shared" si="69"/>
        <v>[UQ]</v>
      </c>
      <c r="FD60" s="317" t="str">
        <f t="shared" si="70"/>
        <v>S-G-m-P-d-n-S</v>
      </c>
      <c r="FE60" s="318" t="str">
        <f>IFERROR(__xludf.DUMMYFUNCTION("CONCATENATE(JOIN("""",GJ60:GV60))"),"SRGmPdS")</f>
        <v>SRGmPdS</v>
      </c>
      <c r="FF60" s="318"/>
      <c r="FG60" s="318"/>
      <c r="FH60" s="321">
        <f t="shared" si="71"/>
        <v>3</v>
      </c>
      <c r="FI60" s="318" t="str">
        <f>IFERROR(__xludf.DUMMYFUNCTION("CONCATENATE(JOIN("""",HW60:II60))"),"Ga, Pa, dha, ")</f>
        <v>Ga, Pa, dha, </v>
      </c>
      <c r="FJ60" s="322">
        <f t="shared" si="72"/>
        <v>2</v>
      </c>
      <c r="FK60" s="324" t="str">
        <f>IFERROR(__xludf.DUMMYFUNCTION("CONCATENATE(JOIN("""",IW60:JI60))"),"Ga, dha, ")</f>
        <v>Ga, dha, </v>
      </c>
      <c r="FL60" s="325" t="str">
        <f t="shared" si="73"/>
        <v>S-G3-M1-P-D1-N2-S</v>
      </c>
      <c r="FM60" s="326" t="str">
        <f t="shared" si="74"/>
        <v>1-3-4-5-b6-b7-8</v>
      </c>
      <c r="FN60" s="326" t="str">
        <f t="shared" si="75"/>
        <v>0-4-5-7-8-10-0</v>
      </c>
      <c r="FO60" s="318"/>
      <c r="FP60" s="328" t="str">
        <f>IFERROR(__xludf.DUMMYFUNCTION("SUBSTITUTE(SUBSTITUTE(SUBSTITUTE(SUBSTITUTE(CONCATENATE(JOIN("" "",FS60:GE60)),""  "","" ""),""  "","" ""),""  "","" ""),""  "","" "")"),"o • • • o o • o o • o • o")</f>
        <v>o • • • o o • o o • o • o</v>
      </c>
      <c r="FQ60" s="328" t="str">
        <f t="shared" si="76"/>
        <v>-</v>
      </c>
      <c r="FR60" s="329"/>
      <c r="FS60" s="331" t="str">
        <f t="shared" si="77"/>
        <v>o</v>
      </c>
      <c r="FT60" s="332" t="str">
        <f t="shared" si="78"/>
        <v>•</v>
      </c>
      <c r="FU60" s="332" t="str">
        <f t="shared" si="79"/>
        <v>•</v>
      </c>
      <c r="FV60" s="332" t="str">
        <f t="shared" si="80"/>
        <v>•</v>
      </c>
      <c r="FW60" s="332" t="str">
        <f t="shared" si="81"/>
        <v>o</v>
      </c>
      <c r="FX60" s="332" t="str">
        <f t="shared" si="82"/>
        <v>o</v>
      </c>
      <c r="FY60" s="332" t="str">
        <f t="shared" si="83"/>
        <v>•</v>
      </c>
      <c r="FZ60" s="332" t="str">
        <f t="shared" si="84"/>
        <v>o</v>
      </c>
      <c r="GA60" s="332" t="str">
        <f t="shared" si="85"/>
        <v>o</v>
      </c>
      <c r="GB60" s="332" t="str">
        <f t="shared" si="86"/>
        <v>•</v>
      </c>
      <c r="GC60" s="332" t="str">
        <f t="shared" si="87"/>
        <v>o</v>
      </c>
      <c r="GD60" s="332" t="str">
        <f t="shared" si="88"/>
        <v>•</v>
      </c>
      <c r="GE60" s="338" t="str">
        <f t="shared" si="89"/>
        <v>o</v>
      </c>
      <c r="GF60" s="339" t="str">
        <f t="shared" si="90"/>
        <v>-</v>
      </c>
      <c r="GG60" s="339" t="str">
        <f t="shared" si="91"/>
        <v>Sa-Pa</v>
      </c>
      <c r="GH60" s="339" t="str">
        <f t="shared" si="92"/>
        <v>-</v>
      </c>
      <c r="GI60" s="340" t="str">
        <f t="shared" si="93"/>
        <v>-</v>
      </c>
      <c r="GJ60" s="331" t="str">
        <f t="shared" si="94"/>
        <v>S</v>
      </c>
      <c r="GK60" s="332" t="str">
        <f t="shared" si="95"/>
        <v/>
      </c>
      <c r="GL60" s="332" t="str">
        <f t="shared" si="96"/>
        <v>R</v>
      </c>
      <c r="GM60" s="332" t="str">
        <f t="shared" si="97"/>
        <v/>
      </c>
      <c r="GN60" s="332" t="str">
        <f t="shared" si="98"/>
        <v>G</v>
      </c>
      <c r="GO60" s="332" t="str">
        <f t="shared" si="99"/>
        <v>m</v>
      </c>
      <c r="GP60" s="332" t="str">
        <f t="shared" si="100"/>
        <v/>
      </c>
      <c r="GQ60" s="332" t="str">
        <f t="shared" si="101"/>
        <v>P</v>
      </c>
      <c r="GR60" s="332" t="str">
        <f t="shared" si="102"/>
        <v>d</v>
      </c>
      <c r="GS60" s="332" t="str">
        <f t="shared" si="103"/>
        <v/>
      </c>
      <c r="GT60" s="332" t="str">
        <f t="shared" si="104"/>
        <v/>
      </c>
      <c r="GU60" s="332" t="str">
        <f t="shared" si="105"/>
        <v/>
      </c>
      <c r="GV60" s="343" t="str">
        <f t="shared" si="106"/>
        <v>S</v>
      </c>
      <c r="GW60" s="331" t="str">
        <f t="shared" si="107"/>
        <v>•</v>
      </c>
      <c r="GX60" s="332" t="str">
        <f t="shared" si="108"/>
        <v>o</v>
      </c>
      <c r="GY60" s="332" t="str">
        <f t="shared" si="109"/>
        <v>o</v>
      </c>
      <c r="GZ60" s="332" t="str">
        <f t="shared" si="110"/>
        <v>o</v>
      </c>
      <c r="HA60" s="332" t="str">
        <f t="shared" si="111"/>
        <v>•</v>
      </c>
      <c r="HB60" s="332" t="str">
        <f t="shared" si="112"/>
        <v>•</v>
      </c>
      <c r="HC60" s="332" t="str">
        <f t="shared" si="113"/>
        <v>o</v>
      </c>
      <c r="HD60" s="332" t="str">
        <f t="shared" si="114"/>
        <v>•</v>
      </c>
      <c r="HE60" s="332" t="str">
        <f t="shared" si="115"/>
        <v>•</v>
      </c>
      <c r="HF60" s="332" t="str">
        <f t="shared" si="116"/>
        <v>o</v>
      </c>
      <c r="HG60" s="332" t="str">
        <f t="shared" si="117"/>
        <v>•</v>
      </c>
      <c r="HH60" s="332" t="str">
        <f t="shared" si="118"/>
        <v>o</v>
      </c>
      <c r="HI60" s="338" t="str">
        <f t="shared" si="119"/>
        <v>•</v>
      </c>
      <c r="HJ60" s="346" t="b">
        <f t="shared" si="120"/>
        <v>0</v>
      </c>
      <c r="HK60" s="347" t="b">
        <f t="shared" si="121"/>
        <v>0</v>
      </c>
      <c r="HL60" s="347" t="b">
        <f t="shared" si="122"/>
        <v>0</v>
      </c>
      <c r="HM60" s="347" t="b">
        <f t="shared" si="123"/>
        <v>0</v>
      </c>
      <c r="HN60" s="347" t="b">
        <f t="shared" si="124"/>
        <v>1</v>
      </c>
      <c r="HO60" s="347" t="b">
        <f t="shared" si="125"/>
        <v>0</v>
      </c>
      <c r="HP60" s="347" t="b">
        <f t="shared" si="126"/>
        <v>0</v>
      </c>
      <c r="HQ60" s="347" t="b">
        <f t="shared" si="127"/>
        <v>1</v>
      </c>
      <c r="HR60" s="347" t="b">
        <f t="shared" si="128"/>
        <v>1</v>
      </c>
      <c r="HS60" s="347" t="b">
        <f t="shared" si="129"/>
        <v>0</v>
      </c>
      <c r="HT60" s="347" t="b">
        <f t="shared" si="130"/>
        <v>0</v>
      </c>
      <c r="HU60" s="347" t="b">
        <f t="shared" si="131"/>
        <v>0</v>
      </c>
      <c r="HV60" s="353" t="b">
        <f t="shared" si="132"/>
        <v>0</v>
      </c>
      <c r="HW60" s="354" t="str">
        <f t="shared" si="133"/>
        <v/>
      </c>
      <c r="HX60" s="355" t="str">
        <f t="shared" si="134"/>
        <v/>
      </c>
      <c r="HY60" s="355" t="str">
        <f t="shared" si="135"/>
        <v/>
      </c>
      <c r="HZ60" s="355" t="str">
        <f t="shared" si="136"/>
        <v/>
      </c>
      <c r="IA60" s="355" t="str">
        <f t="shared" si="137"/>
        <v>Ga, </v>
      </c>
      <c r="IB60" s="355" t="str">
        <f t="shared" si="138"/>
        <v/>
      </c>
      <c r="IC60" s="355" t="str">
        <f t="shared" si="139"/>
        <v/>
      </c>
      <c r="ID60" s="355" t="str">
        <f t="shared" si="140"/>
        <v>Pa, </v>
      </c>
      <c r="IE60" s="355" t="str">
        <f t="shared" si="141"/>
        <v>dha, </v>
      </c>
      <c r="IF60" s="355" t="str">
        <f t="shared" si="142"/>
        <v/>
      </c>
      <c r="IG60" s="355" t="str">
        <f t="shared" si="143"/>
        <v/>
      </c>
      <c r="IH60" s="355" t="str">
        <f t="shared" si="144"/>
        <v/>
      </c>
      <c r="II60" s="359" t="str">
        <f t="shared" si="145"/>
        <v/>
      </c>
      <c r="IJ60" s="346" t="b">
        <f t="shared" si="146"/>
        <v>0</v>
      </c>
      <c r="IK60" s="347" t="b">
        <f t="shared" si="147"/>
        <v>0</v>
      </c>
      <c r="IL60" s="347" t="b">
        <f t="shared" si="148"/>
        <v>0</v>
      </c>
      <c r="IM60" s="347" t="b">
        <f t="shared" si="149"/>
        <v>0</v>
      </c>
      <c r="IN60" s="347" t="b">
        <f t="shared" si="150"/>
        <v>1</v>
      </c>
      <c r="IO60" s="347" t="b">
        <f t="shared" si="151"/>
        <v>0</v>
      </c>
      <c r="IP60" s="347" t="b">
        <f t="shared" si="152"/>
        <v>0</v>
      </c>
      <c r="IQ60" s="347" t="b">
        <f t="shared" si="153"/>
        <v>0</v>
      </c>
      <c r="IR60" s="347" t="b">
        <f t="shared" si="154"/>
        <v>1</v>
      </c>
      <c r="IS60" s="347" t="b">
        <f t="shared" si="155"/>
        <v>0</v>
      </c>
      <c r="IT60" s="347" t="b">
        <f t="shared" si="156"/>
        <v>0</v>
      </c>
      <c r="IU60" s="347" t="b">
        <f t="shared" si="157"/>
        <v>0</v>
      </c>
      <c r="IV60" s="365" t="b">
        <f t="shared" si="158"/>
        <v>0</v>
      </c>
      <c r="IW60" s="354" t="str">
        <f t="shared" si="159"/>
        <v/>
      </c>
      <c r="IX60" s="355" t="str">
        <f t="shared" si="160"/>
        <v/>
      </c>
      <c r="IY60" s="355" t="str">
        <f t="shared" si="161"/>
        <v/>
      </c>
      <c r="IZ60" s="355" t="str">
        <f t="shared" si="162"/>
        <v/>
      </c>
      <c r="JA60" s="355" t="str">
        <f t="shared" si="163"/>
        <v>Ga, </v>
      </c>
      <c r="JB60" s="355" t="str">
        <f t="shared" si="164"/>
        <v/>
      </c>
      <c r="JC60" s="355" t="str">
        <f t="shared" si="165"/>
        <v/>
      </c>
      <c r="JD60" s="355" t="str">
        <f t="shared" si="166"/>
        <v/>
      </c>
      <c r="JE60" s="355" t="str">
        <f t="shared" si="167"/>
        <v>dha, </v>
      </c>
      <c r="JF60" s="355" t="str">
        <f t="shared" si="168"/>
        <v/>
      </c>
      <c r="JG60" s="355" t="str">
        <f t="shared" si="169"/>
        <v/>
      </c>
      <c r="JH60" s="355" t="str">
        <f t="shared" si="170"/>
        <v/>
      </c>
      <c r="JI60" s="359"/>
      <c r="JJ60" s="321"/>
      <c r="JK60" s="368"/>
      <c r="JL60" s="369"/>
      <c r="JM60" s="369"/>
      <c r="JN60" s="369"/>
      <c r="JO60" s="369"/>
      <c r="JP60" s="369"/>
      <c r="JQ60" s="369"/>
      <c r="JR60" s="369"/>
      <c r="JS60" s="369"/>
      <c r="JT60" s="369"/>
      <c r="JU60" s="369"/>
    </row>
    <row r="61" ht="20.25" customHeight="1">
      <c r="A61" s="221" t="s">
        <v>1351</v>
      </c>
      <c r="B61" s="223" t="s">
        <v>1276</v>
      </c>
      <c r="C61" s="222"/>
      <c r="D61" s="222"/>
      <c r="E61" s="222" t="s">
        <v>275</v>
      </c>
      <c r="F61" s="222"/>
      <c r="G61" s="395" t="s">
        <v>275</v>
      </c>
      <c r="H61" s="222">
        <v>59.0</v>
      </c>
      <c r="I61" s="224" t="s">
        <v>1219</v>
      </c>
      <c r="J61" s="414">
        <f t="shared" si="5"/>
        <v>1</v>
      </c>
      <c r="K61" s="227">
        <f t="shared" si="6"/>
        <v>5</v>
      </c>
      <c r="L61" s="229">
        <f t="shared" si="7"/>
        <v>5</v>
      </c>
      <c r="M61" s="230">
        <f t="shared" si="8"/>
        <v>0</v>
      </c>
      <c r="N61" s="233" t="str">
        <f t="shared" si="9"/>
        <v>SGmdnS</v>
      </c>
      <c r="O61" s="234" t="str">
        <f>IFERROR(__xludf.DUMMYFUNCTION("IF(REGEXMATCH(N61, ""S""), ""S"","""")"),"S")</f>
        <v>S</v>
      </c>
      <c r="P61" s="236" t="str">
        <f>IFERROR(__xludf.DUMMYFUNCTION("IF(REGEXMATCH(N61, ""r""), ""r"","""")"),"")</f>
        <v/>
      </c>
      <c r="Q61" s="237" t="str">
        <f>IFERROR(__xludf.DUMMYFUNCTION("IF(REGEXMATCH(N61, ""R""), ""R"","""")"),"")</f>
        <v/>
      </c>
      <c r="R61" s="237" t="str">
        <f>IFERROR(__xludf.DUMMYFUNCTION("IF(REGEXMATCH(N61, ""g""), ""g"","""")"),"")</f>
        <v/>
      </c>
      <c r="S61" s="236" t="str">
        <f>IFERROR(__xludf.DUMMYFUNCTION("IF(REGEXMATCH(N61, ""G""), ""G"","""")"),"G")</f>
        <v>G</v>
      </c>
      <c r="T61" s="236" t="str">
        <f>IFERROR(__xludf.DUMMYFUNCTION("IF(REGEXMATCH(N61, ""m""), ""m"","""")"),"m")</f>
        <v>m</v>
      </c>
      <c r="U61" s="237" t="str">
        <f>IFERROR(__xludf.DUMMYFUNCTION("IF(REGEXMATCH(N61, ""M""), ""M"","""")"),"")</f>
        <v/>
      </c>
      <c r="V61" s="236" t="str">
        <f>IFERROR(__xludf.DUMMYFUNCTION("IF(REGEXMATCH(N61, ""P""), ""P"","""")"),"")</f>
        <v/>
      </c>
      <c r="W61" s="237" t="str">
        <f>IFERROR(__xludf.DUMMYFUNCTION("IF(REGEXMATCH(N61, ""d""), ""d"","""")"),"d")</f>
        <v>d</v>
      </c>
      <c r="X61" s="236" t="str">
        <f>IFERROR(__xludf.DUMMYFUNCTION("IF(REGEXMATCH(N61, ""D""), ""D"","""")"),"")</f>
        <v/>
      </c>
      <c r="Y61" s="236" t="str">
        <f>IFERROR(__xludf.DUMMYFUNCTION("IF(REGEXMATCH(N61, ""n""), ""n"","""")"),"n")</f>
        <v>n</v>
      </c>
      <c r="Z61" s="237" t="str">
        <f>IFERROR(__xludf.DUMMYFUNCTION("IF(REGEXMATCH(N61, ""N""), ""N"","""")"),"")</f>
        <v/>
      </c>
      <c r="AA61" s="238" t="str">
        <f>IFERROR(__xludf.DUMMYFUNCTION("IF(REGEXMATCH(N61, ""S""), ""S"","""")"),"S")</f>
        <v>S</v>
      </c>
      <c r="AB61" s="239" t="str">
        <f>IFERROR(__xludf.DUMMYFUNCTION("SUBSTITUTE(CONCATENATE(JOIN(""-"",O61:U61)),""-"","""")"),"SGm")</f>
        <v>SGm</v>
      </c>
      <c r="AC61" s="229" t="str">
        <f>IFERROR(__xludf.DUMMYFUNCTION("SUBSTITUTE(CONCATENATE(JOIN(""-"",V61:AA61)),""-"","""")"),"dnS")</f>
        <v>dnS</v>
      </c>
      <c r="AD61" s="282" t="str">
        <f t="shared" si="10"/>
        <v>S-G-M</v>
      </c>
      <c r="AE61" s="282" t="str">
        <f t="shared" si="11"/>
        <v>D-N-S</v>
      </c>
      <c r="AF61" s="309" t="str">
        <f t="shared" si="12"/>
        <v>Gmdn</v>
      </c>
      <c r="AG61" s="244" t="str">
        <f>IFERROR(__xludf.DUMMYFUNCTION("IF(REGEXMATCH(N61, ""S""), ""0"","""")"),"0")</f>
        <v>0</v>
      </c>
      <c r="AH61" s="245" t="str">
        <f>IFERROR(__xludf.DUMMYFUNCTION("IF(REGEXMATCH(N61, ""r""), ""1"","""")"),"")</f>
        <v/>
      </c>
      <c r="AI61" s="246" t="str">
        <f>IFERROR(__xludf.DUMMYFUNCTION("IF(REGEXMATCH(N61, ""R""), ""2"","""")"),"")</f>
        <v/>
      </c>
      <c r="AJ61" s="246" t="str">
        <f>IFERROR(__xludf.DUMMYFUNCTION("IF(REGEXMATCH(N61, ""g""), ""3"","""")"),"")</f>
        <v/>
      </c>
      <c r="AK61" s="245" t="str">
        <f>IFERROR(__xludf.DUMMYFUNCTION("IF(REGEXMATCH(N61, ""G""), ""4"","""")"),"4")</f>
        <v>4</v>
      </c>
      <c r="AL61" s="245" t="str">
        <f>IFERROR(__xludf.DUMMYFUNCTION("IF(REGEXMATCH(N61, ""m""), ""5"","""")"),"5")</f>
        <v>5</v>
      </c>
      <c r="AM61" s="246" t="str">
        <f>IFERROR(__xludf.DUMMYFUNCTION("IF(REGEXMATCH(N61, ""M""), ""6"","""")"),"")</f>
        <v/>
      </c>
      <c r="AN61" s="245" t="str">
        <f>IFERROR(__xludf.DUMMYFUNCTION("IF(REGEXMATCH(N61, ""P""), ""7"","""")"),"")</f>
        <v/>
      </c>
      <c r="AO61" s="246" t="str">
        <f>IFERROR(__xludf.DUMMYFUNCTION("IF(REGEXMATCH(N61, ""d""), ""8"","""")"),"8")</f>
        <v>8</v>
      </c>
      <c r="AP61" s="245" t="str">
        <f>IFERROR(__xludf.DUMMYFUNCTION("IF(REGEXMATCH(N61, ""D""), ""9"","""")"),"")</f>
        <v/>
      </c>
      <c r="AQ61" s="245" t="str">
        <f>IFERROR(__xludf.DUMMYFUNCTION("IF(REGEXMATCH(N61, ""n""), ""10"","""")"),"10")</f>
        <v>10</v>
      </c>
      <c r="AR61" s="246" t="str">
        <f>IFERROR(__xludf.DUMMYFUNCTION("IF(REGEXMATCH(N61, ""N""), ""11"","""")"),"")</f>
        <v/>
      </c>
      <c r="AS61" s="249" t="str">
        <f>IFERROR(__xludf.DUMMYFUNCTION("IF(REGEXMATCH(N61, ""S""), ""0"","""")"),"0")</f>
        <v>0</v>
      </c>
      <c r="AT61" s="250" t="str">
        <f>IFERROR(__xludf.DUMMYFUNCTION("SUBSTITUTE(SUBSTITUTE(SUBSTITUTE(SUBSTITUTE(CONCATENATE(JOIN(""-"",AG61:AS61)),""--"",""-""),""--"",""-""),""--"",""-""),""--"",""-"")"),"0-4-5-8-10-0")</f>
        <v>0-4-5-8-10-0</v>
      </c>
      <c r="AU61" s="251">
        <f t="shared" si="13"/>
        <v>1</v>
      </c>
      <c r="AV61" s="234" t="str">
        <f t="shared" si="14"/>
        <v>|</v>
      </c>
      <c r="AW61" s="236" t="str">
        <f t="shared" si="15"/>
        <v>-</v>
      </c>
      <c r="AX61" s="237" t="str">
        <f t="shared" si="16"/>
        <v>-</v>
      </c>
      <c r="AY61" s="236" t="str">
        <f t="shared" si="17"/>
        <v>-</v>
      </c>
      <c r="AZ61" s="237" t="str">
        <f t="shared" si="18"/>
        <v>|</v>
      </c>
      <c r="BA61" s="236" t="str">
        <f t="shared" si="19"/>
        <v>|</v>
      </c>
      <c r="BB61" s="237" t="str">
        <f t="shared" si="20"/>
        <v>-</v>
      </c>
      <c r="BC61" s="236" t="str">
        <f t="shared" si="21"/>
        <v>-</v>
      </c>
      <c r="BD61" s="237" t="str">
        <f t="shared" si="22"/>
        <v>|</v>
      </c>
      <c r="BE61" s="236" t="str">
        <f t="shared" si="23"/>
        <v>-</v>
      </c>
      <c r="BF61" s="237" t="str">
        <f t="shared" si="24"/>
        <v>|</v>
      </c>
      <c r="BG61" s="236" t="str">
        <f t="shared" si="25"/>
        <v>-</v>
      </c>
      <c r="BH61" s="238" t="str">
        <f t="shared" si="26"/>
        <v>|</v>
      </c>
      <c r="BI61" s="250" t="str">
        <f>IFERROR(__xludf.DUMMYFUNCTION("SUBSTITUTE(SUBSTITUTE(CONCATENATE(JOIN("""",AV61:BG61)),""|"",""x""),""-"",""o"")"),"xoooxxooxoxo")</f>
        <v>xoooxxooxoxo</v>
      </c>
      <c r="BJ61" s="323" t="str">
        <f>IFERROR(__xludf.DUMMYFUNCTION("JOIN("""",BI61,BI61)"),"xoooxxooxoxoxoooxxooxoxo")</f>
        <v>xoooxxooxoxoxoooxxooxoxo</v>
      </c>
      <c r="BK61" s="256" t="str">
        <f>IFERROR(__xludf.DUMMYFUNCTION("JOIN("""",ArrayFormula(MID(BI61,LEN(BI61)-SEQUENCE(1,LEN(BI61))+1,1)))"),"oxoxooxxooox")</f>
        <v>oxoxooxxooox</v>
      </c>
      <c r="BL61" s="256" t="str">
        <f>IFERROR(__xludf.DUMMYFUNCTION("LEFT(CONCATENATE(""x"",JOIN("""",ArrayFormula(MID(BI61,LEN(BI61)-SEQUENCE(1,LEN(BI61))+1,1)))),12)"),"xoxoxooxxooo")</f>
        <v>xoxoxooxxooo</v>
      </c>
      <c r="BM61" s="327" t="str">
        <f>IFERROR(__xludf.DUMMYFUNCTION("JOIN("""",BK61,BK61)"),"oxoxooxxoooxoxoxooxxooox")</f>
        <v>oxoxooxxoooxoxoxooxxooox</v>
      </c>
      <c r="BN61" s="239" t="str">
        <f>IFERROR(__xludf.DUMMYFUNCTION("IF(REGEXMATCH(BM61,BI61),""✔"",""-"")"),"-")</f>
        <v>-</v>
      </c>
      <c r="BO61" s="330" t="str">
        <f t="shared" si="27"/>
        <v>-</v>
      </c>
      <c r="BP61" s="260" t="str">
        <f t="shared" si="28"/>
        <v>-</v>
      </c>
      <c r="BQ61" s="261" t="str">
        <f>IFERROR(__xludf.DUMMYFUNCTION("IF(BT61=0,""(n/a)"",IF(BU61=2,""(PAIR)"",IF(REGEXMATCH(BJ61,""xoxoxxoxoxox""),""Bilawal"",IF(REGEXMATCH(BJ61,""xoxoxooxoxoo""),""Bhupali"",IF(REGEXMATCH(BJ61,""xoxoxxoxxoxo""),""Charukeshi"",IF(REGEXMATCH(BJ61,""xoxoooxxoxxo""),""Kameshwari"",IF(REGEXMATC"&amp;"H(BJ61,""xoxoxooxoxox""),""Shankara"",IF(REGEXMATCH(BJ61,""xxooxoxxxoox""),""Basant"",IF(REGEXMATCH(BJ61,""xoxoxxxxoxox""),""Bihag"",IF(REGEXMATCH(BJ61,""xoxxxxoxoxxx""),""Pilu"",IF(REGEXMATCH(BJ61,""xoxxoxoxxoox""),""Kirwani"",IF(REGEXMATCH(BJ61,""xoxxox"&amp;"oxoxxx""),""Mk.Malhar"",IF(REGEXMATCH(BJ61,""xxooxxoxxoox""),""Bhairav"",IF(REGEXMATCH(BJ61,""xxoxooxxxoox""),""Todi"",IF(REGEXMATCH(BJ61,""xxooxoxooxox""),""Marwa"",IF(REGEXMATCH(BJ61,""xxoooxoxxooo""),""Gunkali"",IF(REGEXMATCH(BJ61,""xoxoxxoxxoox""),""N"&amp;"at Bhairav"",IF(REGEXMATCH(BJ61,""xoxxoooxoxoo""),""Shivranjani"",IF(REGEXMATCH(BJ61,""xooxxxoxooxo""),""Jog"",IF(REGEXMATCH(BJ61,""xxooxoxoxoox""),""Hemshri"",IF(REGEXMATCH(BJ61,""xoooxooxoxxo""),""Kalavati"",IF(REGEXMATCH(BJ61,""xxoxoxxoxoox""),""Kedar"&amp;""",IF(REGEXMATCH(BJ61,""xoxxxxoxooxx""),""Gara"",IF(REGEXMATCH(BJ61,""xooxoxooxoox""),""Chandrakauns"",IF(REGEXMATCH(BJ61,""xoxxxxoxxxox""),""Mand"",IF(REGEXMATCH(BJ61,""xoxxxxoxoxox""),""Hanskinkini"",IF(REGEXMATCH(BJ61,""xxooxxoxooxo""),""Lilavati"",IF("&amp;"REGEXMATCH(BJ61,""xooxoxoooxox""),""Rajeshwari"",IF(REGEXMATCH(BJ61,""xoooxxoxoxxx""),""Khokar"",IF(REGEXMATCH(BJ61,""xxooxoxxxxox""),""Maligoura"",""-""))))))))))))))))))))))))))))))"),"(n/a)")</f>
        <v>(n/a)</v>
      </c>
      <c r="BR61" s="239">
        <f t="shared" si="29"/>
        <v>4</v>
      </c>
      <c r="BS61" s="239">
        <f>IFERROR(__xludf.DUMMYFUNCTION("COUNTUNIQUE(BW61:CG61)-1"),4.0)</f>
        <v>4</v>
      </c>
      <c r="BT61" s="239">
        <f>IFERROR(__xludf.DUMMYFUNCTION("COUNTUNIQUE(FILTER(BJ:BJ,REGEXMATCH(BJ:BJ,BI61)))-1"),0.0)</f>
        <v>0</v>
      </c>
      <c r="BU61" s="239">
        <f>IFERROR(__xludf.DUMMYFUNCTION("COUNTA(FILTER(BJ:BJ,REGEXMATCH(BJ:BJ,BI61)))"),2.0)</f>
        <v>2</v>
      </c>
      <c r="BV61" s="341">
        <f>IFERROR(__xludf.DUMMYFUNCTION("COUNTA(FILTER(BJ:BJ,REGEXMATCH(BJ:BJ,BI61)))-AU61"),1.0)</f>
        <v>1</v>
      </c>
      <c r="BW61" s="269" t="str">
        <f t="shared" si="30"/>
        <v>-</v>
      </c>
      <c r="BX61" s="269" t="str">
        <f t="shared" si="31"/>
        <v>-</v>
      </c>
      <c r="BY61" s="271" t="str">
        <f t="shared" si="32"/>
        <v>-</v>
      </c>
      <c r="BZ61" s="269" t="str">
        <f t="shared" si="33"/>
        <v>xxooxoxoxoo</v>
      </c>
      <c r="CA61" s="271" t="str">
        <f t="shared" si="34"/>
        <v>xooxoxoxooo</v>
      </c>
      <c r="CB61" s="271" t="str">
        <f t="shared" si="35"/>
        <v>-</v>
      </c>
      <c r="CC61" s="271" t="str">
        <f t="shared" si="36"/>
        <v>-</v>
      </c>
      <c r="CD61" s="271" t="str">
        <f t="shared" si="37"/>
        <v>xoxoxoooxxo</v>
      </c>
      <c r="CE61" s="271" t="str">
        <f t="shared" si="38"/>
        <v>-</v>
      </c>
      <c r="CF61" s="271" t="str">
        <f t="shared" si="39"/>
        <v>xoxoooxxoox</v>
      </c>
      <c r="CG61" s="274" t="str">
        <f t="shared" si="40"/>
        <v>-</v>
      </c>
      <c r="CH61" s="276" t="str">
        <f>IFERROR(__xludf.DUMMYFUNCTION("IF(BI61=""oooooooooooo"",""-"",IF(REGEXMATCH(BJ61,""xx""), ""Hemi."", ""Anhemi.""))"),"Hemi.")</f>
        <v>Hemi.</v>
      </c>
      <c r="CI61" s="282" t="str">
        <f>IFERROR(__xludf.DUMMYFUNCTION("IF(BI61=""oooooooooooo"",""-"",IF(REGEXMATCH(BJ61,""xxx""), ""Cohem."", ""-""))"),"-")</f>
        <v>-</v>
      </c>
      <c r="CJ61" s="282" t="str">
        <f>IFERROR(__xludf.DUMMYFUNCTION("IF(BI61=""oooooooooooo"",""-"",IF(REGEXMATCH(BJ61,""xxxx""), ""Co-Co."", ""-""))"),"-")</f>
        <v>-</v>
      </c>
      <c r="CK61" s="342" t="str">
        <f>IFERROR(__xludf.DUMMYFUNCTION("IF(BI61=""oooooooooooo"",""-"",IF(REGEXMATCH(BJ61,""xxxxx""), ""CCC."", ""-""))"),"-")</f>
        <v>-</v>
      </c>
      <c r="CL61" s="344" t="str">
        <f t="shared" si="41"/>
        <v>-</v>
      </c>
      <c r="CM61" s="282" t="str">
        <f>IFERROR(__xludf.DUMMYFUNCTION("IF(REGEXMATCH(JOIN(""-"",CO61:CX61),""TRUE""),""✔"",""-"")"),"-")</f>
        <v>-</v>
      </c>
      <c r="CN61" s="225">
        <f t="shared" si="42"/>
        <v>0</v>
      </c>
      <c r="CO61" s="376" t="b">
        <f>IFERROR(__xludf.DUMMYFUNCTION("arrayformula(sum(--REGEXMATCH(""SRGMPDNS"",split(REGEXREPLACE(N61,""(.)"",""$1~""),""~""))))=len(N61)
"),FALSE)</f>
        <v>0</v>
      </c>
      <c r="CP61" s="290" t="b">
        <f>IFERROR(__xludf.DUMMYFUNCTION("arrayformula(sum(--REGEXMATCH(""SRGmPDNS"",split(REGEXREPLACE(N61,""(.)"",""$1~""),""~""))))=len(N61)"),FALSE)</f>
        <v>0</v>
      </c>
      <c r="CQ61" s="290" t="b">
        <f>IFERROR(__xludf.DUMMYFUNCTION("arrayformula(sum(--REGEXMATCH(""SRGmPDnS"",split(REGEXREPLACE(N61,""(.)"",""$1~""),""~""))))=len(N61)"),FALSE)</f>
        <v>0</v>
      </c>
      <c r="CR61" s="290" t="b">
        <f>IFERROR(__xludf.DUMMYFUNCTION("arrayformula(sum(--REGEXMATCH(""SRgmPDnS"",split(REGEXREPLACE(N61,""(.)"",""$1~""),""~""))))=len(N61)"),FALSE)</f>
        <v>0</v>
      </c>
      <c r="CS61" s="290" t="b">
        <f>IFERROR(__xludf.DUMMYFUNCTION("arrayformula(sum(--REGEXMATCH(""SRgmPdnS"",split(REGEXREPLACE(N61,""(.)"",""$1~""),""~""))))=len(N61)"),FALSE)</f>
        <v>0</v>
      </c>
      <c r="CT61" s="290" t="b">
        <f>IFERROR(__xludf.DUMMYFUNCTION("arrayformula(sum(--REGEXMATCH(""SrgmPdnS"",split(REGEXREPLACE(N61,""(.)"",""$1~""),""~""))))=len(N61)"),FALSE)</f>
        <v>0</v>
      </c>
      <c r="CU61" s="290" t="b">
        <f>IFERROR(__xludf.DUMMYFUNCTION("arrayformula(sum(--REGEXMATCH(""SrGmPdNS"",split(REGEXREPLACE(N61,""(.)"",""$1~""),""~""))))=len(N61)"),FALSE)</f>
        <v>0</v>
      </c>
      <c r="CV61" s="290" t="b">
        <f>IFERROR(__xludf.DUMMYFUNCTION("arrayformula(sum(--REGEXMATCH(""SrGMPDNS"",split(REGEXREPLACE(N61,""(.)"",""$1~""),""~""))))=len(N61)"),FALSE)</f>
        <v>0</v>
      </c>
      <c r="CW61" s="290" t="b">
        <f>IFERROR(__xludf.DUMMYFUNCTION("arrayformula(sum(--REGEXMATCH(""SrGMPdNS"",split(REGEXREPLACE(N61,""(.)"",""$1~""),""~""))))=len(N61)"),FALSE)</f>
        <v>0</v>
      </c>
      <c r="CX61" s="293" t="b">
        <f>IFERROR(__xludf.DUMMYFUNCTION("arrayformula(sum(--REGEXMATCH(""SrgMPdNS"",split(REGEXREPLACE(N61,""(.)"",""$1~""),""~""))))=len(N61)"),FALSE)</f>
        <v>0</v>
      </c>
      <c r="CY61" s="244" t="str">
        <f>IFERROR(__xludf.DUMMYFUNCTION("IF(REGEXMATCH(N61, ""S""), ""1"","""")"),"1")</f>
        <v>1</v>
      </c>
      <c r="CZ61" s="245" t="str">
        <f>IFERROR(__xludf.DUMMYFUNCTION("IF(REGEXMATCH(N61, ""r""), ""b2"","""")"),"")</f>
        <v/>
      </c>
      <c r="DA61" s="246" t="str">
        <f>IFERROR(__xludf.DUMMYFUNCTION("IF(REGEXMATCH(N61, ""R""), ""2"","""")"),"")</f>
        <v/>
      </c>
      <c r="DB61" s="246" t="str">
        <f>IFERROR(__xludf.DUMMYFUNCTION("IF(REGEXMATCH(N61, ""g""), ""b3"","""")"),"")</f>
        <v/>
      </c>
      <c r="DC61" s="245" t="str">
        <f>IFERROR(__xludf.DUMMYFUNCTION("IF(REGEXMATCH(N61, ""G""), ""3"","""")"),"3")</f>
        <v>3</v>
      </c>
      <c r="DD61" s="245" t="str">
        <f>IFERROR(__xludf.DUMMYFUNCTION("IF(REGEXMATCH(N61, ""m""), ""4"","""")"),"4")</f>
        <v>4</v>
      </c>
      <c r="DE61" s="246" t="str">
        <f>IFERROR(__xludf.DUMMYFUNCTION("IF(REGEXMATCH(N61, ""M""), ""#4"","""")"),"")</f>
        <v/>
      </c>
      <c r="DF61" s="245" t="str">
        <f>IFERROR(__xludf.DUMMYFUNCTION("IF(REGEXMATCH(N61, ""P""), ""5"","""")"),"")</f>
        <v/>
      </c>
      <c r="DG61" s="246" t="str">
        <f>IFERROR(__xludf.DUMMYFUNCTION("IF(REGEXMATCH(N61, ""d""), ""b6"","""")"),"b6")</f>
        <v>b6</v>
      </c>
      <c r="DH61" s="245" t="str">
        <f>IFERROR(__xludf.DUMMYFUNCTION("IF(REGEXMATCH(N61, ""D""), ""6"","""")"),"")</f>
        <v/>
      </c>
      <c r="DI61" s="245" t="str">
        <f>IFERROR(__xludf.DUMMYFUNCTION("IF(REGEXMATCH(N61, ""n""), ""b7"","""")"),"b7")</f>
        <v>b7</v>
      </c>
      <c r="DJ61" s="246" t="str">
        <f>IFERROR(__xludf.DUMMYFUNCTION("IF(REGEXMATCH(N61, ""N""), ""7"","""")"),"")</f>
        <v/>
      </c>
      <c r="DK61" s="249" t="str">
        <f>IFERROR(__xludf.DUMMYFUNCTION("IF(REGEXMATCH(N61, ""S""), ""8"","""")"),"8")</f>
        <v>8</v>
      </c>
      <c r="DL61" s="244" t="str">
        <f>IFERROR(__xludf.DUMMYFUNCTION("IF(REGEXMATCH(N61, ""S""), ""S"","""")"),"S")</f>
        <v>S</v>
      </c>
      <c r="DM61" s="294" t="str">
        <f>IFERROR(__xludf.DUMMYFUNCTION("IF(REGEXMATCH(N61, ""r""), ""R1"","""")"),"")</f>
        <v/>
      </c>
      <c r="DN61" s="295" t="str">
        <f>IFERROR(__xludf.DUMMYFUNCTION("IF(REGEXMATCH(N61, ""R""), ""R2"","""")"),"")</f>
        <v/>
      </c>
      <c r="DO61" s="295" t="str">
        <f>IFERROR(__xludf.DUMMYFUNCTION("IF(REGEXMATCH(N61, ""g""), ""G2"","""")"),"")</f>
        <v/>
      </c>
      <c r="DP61" s="294" t="str">
        <f>IFERROR(__xludf.DUMMYFUNCTION("IF(REGEXMATCH(N61, ""G""), ""G3"","""")"),"G3")</f>
        <v>G3</v>
      </c>
      <c r="DQ61" s="294" t="str">
        <f>IFERROR(__xludf.DUMMYFUNCTION("IF(REGEXMATCH(N61, ""m""), ""M1"","""")"),"M1")</f>
        <v>M1</v>
      </c>
      <c r="DR61" s="295" t="str">
        <f>IFERROR(__xludf.DUMMYFUNCTION("IF(REGEXMATCH(N61, ""M""), ""M2"","""")"),"")</f>
        <v/>
      </c>
      <c r="DS61" s="294" t="str">
        <f>IFERROR(__xludf.DUMMYFUNCTION("IF(REGEXMATCH(N61, ""P""), ""P"","""")"),"")</f>
        <v/>
      </c>
      <c r="DT61" s="295" t="str">
        <f>IFERROR(__xludf.DUMMYFUNCTION("IF(REGEXMATCH(N61, ""d""), ""D1"","""")"),"D1")</f>
        <v>D1</v>
      </c>
      <c r="DU61" s="294" t="str">
        <f>IFERROR(__xludf.DUMMYFUNCTION("IF(REGEXMATCH(N61, ""D""), ""D2"","""")"),"")</f>
        <v/>
      </c>
      <c r="DV61" s="294" t="str">
        <f>IFERROR(__xludf.DUMMYFUNCTION("IF(REGEXMATCH(N61, ""n""), ""N2"","""")"),"N2")</f>
        <v>N2</v>
      </c>
      <c r="DW61" s="295" t="str">
        <f>IFERROR(__xludf.DUMMYFUNCTION("IF(REGEXMATCH(N61, ""N""), ""N3"","""")"),"")</f>
        <v/>
      </c>
      <c r="DX61" s="249" t="str">
        <f>IFERROR(__xludf.DUMMYFUNCTION("IF(REGEXMATCH(N61, ""S""), ""S"","""")"),"S")</f>
        <v>S</v>
      </c>
      <c r="DY61" s="299" t="str">
        <f>IFERROR(__xludf.DUMMYFUNCTION("SUBSTITUTE(SUBSTITUTE(SUBSTITUTE(SUBSTITUTE(CONCATENATE(JOIN(""-"",CY61:DK61)),""--"",""-""),""--"",""-""),""--"",""-""),""--"",""-"")"),"1-3-4-b6-b7-8")</f>
        <v>1-3-4-b6-b7-8</v>
      </c>
      <c r="DZ61" s="299" t="str">
        <f>IFERROR(__xludf.DUMMYFUNCTION("SUBSTITUTE(SUBSTITUTE(SUBSTITUTE(SUBSTITUTE(CONCATENATE(JOIN(""-"",DL61:DX61)),""--"",""-""),""--"",""-""),""--"",""-""),""--"",""-"")"),"S-G3-M1-D1-N2-S")</f>
        <v>S-G3-M1-D1-N2-S</v>
      </c>
      <c r="EA61" s="348" t="str">
        <f t="shared" si="43"/>
        <v>C-E-F-Ab-Bb-C</v>
      </c>
      <c r="EB61" s="301">
        <f t="shared" si="44"/>
        <v>5</v>
      </c>
      <c r="EC61" s="302" t="str">
        <f t="shared" si="45"/>
        <v>Audav</v>
      </c>
      <c r="ED61" s="301" t="str">
        <f t="shared" ref="ED61:EE61" si="227">SUBSTITUTE(AD61,"-","")</f>
        <v>SGM</v>
      </c>
      <c r="EE61" s="301" t="str">
        <f t="shared" si="227"/>
        <v>DNS</v>
      </c>
      <c r="EF61" s="302" t="str">
        <f t="shared" si="47"/>
        <v>(n/a)</v>
      </c>
      <c r="EG61" s="301" t="str">
        <f t="shared" si="48"/>
        <v>Hemi.</v>
      </c>
      <c r="EH61" s="364" t="str">
        <f t="shared" si="49"/>
        <v>-</v>
      </c>
      <c r="EI61" s="306" t="str">
        <f t="shared" si="50"/>
        <v>-</v>
      </c>
      <c r="EJ61" s="366" t="str">
        <f t="shared" si="51"/>
        <v>-</v>
      </c>
      <c r="EK61" s="308" t="str">
        <f t="shared" si="52"/>
        <v>✔</v>
      </c>
      <c r="EL61" s="306" t="str">
        <f t="shared" si="53"/>
        <v>-</v>
      </c>
      <c r="EM61" s="306" t="str">
        <f t="shared" si="54"/>
        <v>-</v>
      </c>
      <c r="EN61" s="367" t="str">
        <f t="shared" si="55"/>
        <v>-</v>
      </c>
      <c r="EO61" s="310" t="str">
        <f t="shared" si="56"/>
        <v>-</v>
      </c>
      <c r="EP61" s="310" t="str">
        <f t="shared" si="57"/>
        <v>-</v>
      </c>
      <c r="EQ61" s="310" t="str">
        <f t="shared" si="58"/>
        <v>-</v>
      </c>
      <c r="ER61" s="310" t="str">
        <f t="shared" si="59"/>
        <v>-</v>
      </c>
      <c r="ES61" s="370" t="str">
        <f t="shared" si="60"/>
        <v>-</v>
      </c>
      <c r="ET61" s="306" t="str">
        <f t="shared" si="61"/>
        <v>✔</v>
      </c>
      <c r="EU61" s="306" t="str">
        <f t="shared" si="62"/>
        <v>-</v>
      </c>
      <c r="EV61" s="306" t="str">
        <f t="shared" si="63"/>
        <v>-</v>
      </c>
      <c r="EW61" s="306" t="str">
        <f t="shared" si="64"/>
        <v>✔</v>
      </c>
      <c r="EX61" s="306" t="str">
        <f t="shared" si="65"/>
        <v>-</v>
      </c>
      <c r="EY61" s="367" t="str">
        <f t="shared" si="66"/>
        <v>-</v>
      </c>
      <c r="EZ61" s="310" t="str">
        <f>IFERROR(__xludf.DUMMYFUNCTION("IF(REGEXMATCH(BM61,BI61),""✔"",""-"")"),"-")</f>
        <v>-</v>
      </c>
      <c r="FA61" s="310" t="str">
        <f t="shared" si="67"/>
        <v>-</v>
      </c>
      <c r="FB61" s="370" t="str">
        <f t="shared" si="68"/>
        <v>-</v>
      </c>
      <c r="FC61" s="415">
        <f t="shared" si="69"/>
        <v>1</v>
      </c>
      <c r="FD61" s="317" t="str">
        <f t="shared" si="70"/>
        <v>S-G-m-d-n-S</v>
      </c>
      <c r="FE61" s="318" t="str">
        <f>IFERROR(__xludf.DUMMYFUNCTION("CONCATENATE(JOIN("""",GJ61:GV61))"),"SRGPdS")</f>
        <v>SRGPdS</v>
      </c>
      <c r="FF61" s="318"/>
      <c r="FG61" s="318"/>
      <c r="FH61" s="321">
        <f t="shared" si="71"/>
        <v>3</v>
      </c>
      <c r="FI61" s="318" t="str">
        <f>IFERROR(__xludf.DUMMYFUNCTION("CONCATENATE(JOIN("""",HW61:II61))"),"Sa, Ga, dha, ")</f>
        <v>Sa, Ga, dha, </v>
      </c>
      <c r="FJ61" s="322">
        <f t="shared" si="72"/>
        <v>2</v>
      </c>
      <c r="FK61" s="324" t="str">
        <f>IFERROR(__xludf.DUMMYFUNCTION("CONCATENATE(JOIN("""",IW61:JI61))"),"Ga, dha, ")</f>
        <v>Ga, dha, </v>
      </c>
      <c r="FL61" s="325" t="str">
        <f t="shared" si="73"/>
        <v>S-G3-M1-D1-N2-S</v>
      </c>
      <c r="FM61" s="326" t="str">
        <f t="shared" si="74"/>
        <v>1-3-4-b6-b7-8</v>
      </c>
      <c r="FN61" s="326" t="str">
        <f t="shared" si="75"/>
        <v>0-4-5-8-10-0</v>
      </c>
      <c r="FO61" s="318"/>
      <c r="FP61" s="328" t="str">
        <f>IFERROR(__xludf.DUMMYFUNCTION("SUBSTITUTE(SUBSTITUTE(SUBSTITUTE(SUBSTITUTE(CONCATENATE(JOIN("" "",FS61:GE61)),""  "","" ""),""  "","" ""),""  "","" ""),""  "","" "")"),"o • • • o o • • o • o • o")</f>
        <v>o • • • o o • • o • o • o</v>
      </c>
      <c r="FQ61" s="328" t="str">
        <f t="shared" si="76"/>
        <v>Sa-ma</v>
      </c>
      <c r="FR61" s="329"/>
      <c r="FS61" s="331" t="str">
        <f t="shared" si="77"/>
        <v>o</v>
      </c>
      <c r="FT61" s="332" t="str">
        <f t="shared" si="78"/>
        <v>•</v>
      </c>
      <c r="FU61" s="332" t="str">
        <f t="shared" si="79"/>
        <v>•</v>
      </c>
      <c r="FV61" s="332" t="str">
        <f t="shared" si="80"/>
        <v>•</v>
      </c>
      <c r="FW61" s="332" t="str">
        <f t="shared" si="81"/>
        <v>o</v>
      </c>
      <c r="FX61" s="332" t="str">
        <f t="shared" si="82"/>
        <v>o</v>
      </c>
      <c r="FY61" s="332" t="str">
        <f t="shared" si="83"/>
        <v>•</v>
      </c>
      <c r="FZ61" s="332" t="str">
        <f t="shared" si="84"/>
        <v>•</v>
      </c>
      <c r="GA61" s="332" t="str">
        <f t="shared" si="85"/>
        <v>o</v>
      </c>
      <c r="GB61" s="332" t="str">
        <f t="shared" si="86"/>
        <v>•</v>
      </c>
      <c r="GC61" s="332" t="str">
        <f t="shared" si="87"/>
        <v>o</v>
      </c>
      <c r="GD61" s="332" t="str">
        <f t="shared" si="88"/>
        <v>•</v>
      </c>
      <c r="GE61" s="338" t="str">
        <f t="shared" si="89"/>
        <v>o</v>
      </c>
      <c r="GF61" s="339" t="str">
        <f t="shared" si="90"/>
        <v>-</v>
      </c>
      <c r="GG61" s="339" t="str">
        <f t="shared" si="91"/>
        <v>-</v>
      </c>
      <c r="GH61" s="339" t="str">
        <f t="shared" si="92"/>
        <v>-</v>
      </c>
      <c r="GI61" s="340" t="str">
        <f t="shared" si="93"/>
        <v>Sa-ma</v>
      </c>
      <c r="GJ61" s="331" t="str">
        <f t="shared" si="94"/>
        <v>S</v>
      </c>
      <c r="GK61" s="332" t="str">
        <f t="shared" si="95"/>
        <v/>
      </c>
      <c r="GL61" s="332" t="str">
        <f t="shared" si="96"/>
        <v>R</v>
      </c>
      <c r="GM61" s="332" t="str">
        <f t="shared" si="97"/>
        <v/>
      </c>
      <c r="GN61" s="332" t="str">
        <f t="shared" si="98"/>
        <v>G</v>
      </c>
      <c r="GO61" s="332" t="str">
        <f t="shared" si="99"/>
        <v/>
      </c>
      <c r="GP61" s="332" t="str">
        <f t="shared" si="100"/>
        <v/>
      </c>
      <c r="GQ61" s="332" t="str">
        <f t="shared" si="101"/>
        <v>P</v>
      </c>
      <c r="GR61" s="332" t="str">
        <f t="shared" si="102"/>
        <v>d</v>
      </c>
      <c r="GS61" s="332" t="str">
        <f t="shared" si="103"/>
        <v/>
      </c>
      <c r="GT61" s="332" t="str">
        <f t="shared" si="104"/>
        <v/>
      </c>
      <c r="GU61" s="332" t="str">
        <f t="shared" si="105"/>
        <v/>
      </c>
      <c r="GV61" s="343" t="str">
        <f t="shared" si="106"/>
        <v>S</v>
      </c>
      <c r="GW61" s="331" t="str">
        <f t="shared" si="107"/>
        <v>•</v>
      </c>
      <c r="GX61" s="332" t="str">
        <f t="shared" si="108"/>
        <v>o</v>
      </c>
      <c r="GY61" s="332" t="str">
        <f t="shared" si="109"/>
        <v>o</v>
      </c>
      <c r="GZ61" s="332" t="str">
        <f t="shared" si="110"/>
        <v>o</v>
      </c>
      <c r="HA61" s="332" t="str">
        <f t="shared" si="111"/>
        <v>•</v>
      </c>
      <c r="HB61" s="332" t="str">
        <f t="shared" si="112"/>
        <v>•</v>
      </c>
      <c r="HC61" s="332" t="str">
        <f t="shared" si="113"/>
        <v>o</v>
      </c>
      <c r="HD61" s="332" t="str">
        <f t="shared" si="114"/>
        <v>o</v>
      </c>
      <c r="HE61" s="332" t="str">
        <f t="shared" si="115"/>
        <v>•</v>
      </c>
      <c r="HF61" s="332" t="str">
        <f t="shared" si="116"/>
        <v>o</v>
      </c>
      <c r="HG61" s="332" t="str">
        <f t="shared" si="117"/>
        <v>•</v>
      </c>
      <c r="HH61" s="332" t="str">
        <f t="shared" si="118"/>
        <v>o</v>
      </c>
      <c r="HI61" s="338" t="str">
        <f t="shared" si="119"/>
        <v>•</v>
      </c>
      <c r="HJ61" s="346" t="b">
        <f t="shared" si="120"/>
        <v>1</v>
      </c>
      <c r="HK61" s="347" t="b">
        <f t="shared" si="121"/>
        <v>0</v>
      </c>
      <c r="HL61" s="347" t="b">
        <f t="shared" si="122"/>
        <v>0</v>
      </c>
      <c r="HM61" s="347" t="b">
        <f t="shared" si="123"/>
        <v>0</v>
      </c>
      <c r="HN61" s="347" t="b">
        <f t="shared" si="124"/>
        <v>1</v>
      </c>
      <c r="HO61" s="347" t="b">
        <f t="shared" si="125"/>
        <v>0</v>
      </c>
      <c r="HP61" s="347" t="b">
        <f t="shared" si="126"/>
        <v>0</v>
      </c>
      <c r="HQ61" s="347" t="b">
        <f t="shared" si="127"/>
        <v>0</v>
      </c>
      <c r="HR61" s="347" t="b">
        <f t="shared" si="128"/>
        <v>1</v>
      </c>
      <c r="HS61" s="347" t="b">
        <f t="shared" si="129"/>
        <v>0</v>
      </c>
      <c r="HT61" s="347" t="b">
        <f t="shared" si="130"/>
        <v>0</v>
      </c>
      <c r="HU61" s="347" t="b">
        <f t="shared" si="131"/>
        <v>0</v>
      </c>
      <c r="HV61" s="353" t="b">
        <f t="shared" si="132"/>
        <v>1</v>
      </c>
      <c r="HW61" s="354" t="str">
        <f t="shared" si="133"/>
        <v>Sa, </v>
      </c>
      <c r="HX61" s="355" t="str">
        <f t="shared" si="134"/>
        <v/>
      </c>
      <c r="HY61" s="355" t="str">
        <f t="shared" si="135"/>
        <v/>
      </c>
      <c r="HZ61" s="355" t="str">
        <f t="shared" si="136"/>
        <v/>
      </c>
      <c r="IA61" s="355" t="str">
        <f t="shared" si="137"/>
        <v>Ga, </v>
      </c>
      <c r="IB61" s="355" t="str">
        <f t="shared" si="138"/>
        <v/>
      </c>
      <c r="IC61" s="355" t="str">
        <f t="shared" si="139"/>
        <v/>
      </c>
      <c r="ID61" s="355" t="str">
        <f t="shared" si="140"/>
        <v/>
      </c>
      <c r="IE61" s="355" t="str">
        <f t="shared" si="141"/>
        <v>dha, </v>
      </c>
      <c r="IF61" s="355" t="str">
        <f t="shared" si="142"/>
        <v/>
      </c>
      <c r="IG61" s="355" t="str">
        <f t="shared" si="143"/>
        <v/>
      </c>
      <c r="IH61" s="355" t="str">
        <f t="shared" si="144"/>
        <v/>
      </c>
      <c r="II61" s="359" t="str">
        <f t="shared" si="145"/>
        <v/>
      </c>
      <c r="IJ61" s="346" t="b">
        <f t="shared" si="146"/>
        <v>0</v>
      </c>
      <c r="IK61" s="347" t="b">
        <f t="shared" si="147"/>
        <v>0</v>
      </c>
      <c r="IL61" s="347" t="b">
        <f t="shared" si="148"/>
        <v>0</v>
      </c>
      <c r="IM61" s="347" t="b">
        <f t="shared" si="149"/>
        <v>0</v>
      </c>
      <c r="IN61" s="347" t="b">
        <f t="shared" si="150"/>
        <v>1</v>
      </c>
      <c r="IO61" s="347" t="b">
        <f t="shared" si="151"/>
        <v>0</v>
      </c>
      <c r="IP61" s="347" t="b">
        <f t="shared" si="152"/>
        <v>0</v>
      </c>
      <c r="IQ61" s="347" t="b">
        <f t="shared" si="153"/>
        <v>0</v>
      </c>
      <c r="IR61" s="347" t="b">
        <f t="shared" si="154"/>
        <v>1</v>
      </c>
      <c r="IS61" s="347" t="b">
        <f t="shared" si="155"/>
        <v>0</v>
      </c>
      <c r="IT61" s="347" t="b">
        <f t="shared" si="156"/>
        <v>0</v>
      </c>
      <c r="IU61" s="347" t="b">
        <f t="shared" si="157"/>
        <v>0</v>
      </c>
      <c r="IV61" s="365" t="b">
        <f t="shared" si="158"/>
        <v>0</v>
      </c>
      <c r="IW61" s="354" t="str">
        <f t="shared" si="159"/>
        <v/>
      </c>
      <c r="IX61" s="355" t="str">
        <f t="shared" si="160"/>
        <v/>
      </c>
      <c r="IY61" s="355" t="str">
        <f t="shared" si="161"/>
        <v/>
      </c>
      <c r="IZ61" s="355" t="str">
        <f t="shared" si="162"/>
        <v/>
      </c>
      <c r="JA61" s="355" t="str">
        <f t="shared" si="163"/>
        <v>Ga, </v>
      </c>
      <c r="JB61" s="355" t="str">
        <f t="shared" si="164"/>
        <v/>
      </c>
      <c r="JC61" s="355" t="str">
        <f t="shared" si="165"/>
        <v/>
      </c>
      <c r="JD61" s="355" t="str">
        <f t="shared" si="166"/>
        <v/>
      </c>
      <c r="JE61" s="355" t="str">
        <f t="shared" si="167"/>
        <v>dha, </v>
      </c>
      <c r="JF61" s="355" t="str">
        <f t="shared" si="168"/>
        <v/>
      </c>
      <c r="JG61" s="355" t="str">
        <f t="shared" si="169"/>
        <v/>
      </c>
      <c r="JH61" s="355" t="str">
        <f t="shared" si="170"/>
        <v/>
      </c>
      <c r="JI61" s="359"/>
      <c r="JJ61" s="321"/>
      <c r="JK61" s="368"/>
      <c r="JL61" s="369"/>
      <c r="JM61" s="369"/>
      <c r="JN61" s="369"/>
      <c r="JO61" s="369"/>
      <c r="JP61" s="369"/>
      <c r="JQ61" s="369"/>
      <c r="JR61" s="369"/>
      <c r="JS61" s="369"/>
      <c r="JT61" s="369"/>
      <c r="JU61" s="369"/>
    </row>
    <row r="62" ht="20.25" customHeight="1">
      <c r="A62" s="221" t="s">
        <v>1354</v>
      </c>
      <c r="B62" s="223" t="s">
        <v>1355</v>
      </c>
      <c r="C62" s="222" t="s">
        <v>275</v>
      </c>
      <c r="D62" s="222"/>
      <c r="E62" s="222"/>
      <c r="F62" s="222" t="s">
        <v>275</v>
      </c>
      <c r="G62" s="395" t="s">
        <v>275</v>
      </c>
      <c r="H62" s="222">
        <v>60.0</v>
      </c>
      <c r="I62" s="224" t="s">
        <v>1219</v>
      </c>
      <c r="J62" s="225" t="str">
        <f t="shared" si="5"/>
        <v>[UQ]</v>
      </c>
      <c r="K62" s="227">
        <f t="shared" si="6"/>
        <v>8</v>
      </c>
      <c r="L62" s="229">
        <f t="shared" si="7"/>
        <v>7</v>
      </c>
      <c r="M62" s="230">
        <f t="shared" si="8"/>
        <v>1</v>
      </c>
      <c r="N62" s="233" t="str">
        <f t="shared" si="9"/>
        <v>SRgGmPdNS</v>
      </c>
      <c r="O62" s="234" t="str">
        <f>IFERROR(__xludf.DUMMYFUNCTION("IF(REGEXMATCH(N62, ""S""), ""S"","""")"),"S")</f>
        <v>S</v>
      </c>
      <c r="P62" s="236" t="str">
        <f>IFERROR(__xludf.DUMMYFUNCTION("IF(REGEXMATCH(N62, ""r""), ""r"","""")"),"")</f>
        <v/>
      </c>
      <c r="Q62" s="237" t="str">
        <f>IFERROR(__xludf.DUMMYFUNCTION("IF(REGEXMATCH(N62, ""R""), ""R"","""")"),"R")</f>
        <v>R</v>
      </c>
      <c r="R62" s="237" t="str">
        <f>IFERROR(__xludf.DUMMYFUNCTION("IF(REGEXMATCH(N62, ""g""), ""g"","""")"),"g")</f>
        <v>g</v>
      </c>
      <c r="S62" s="236" t="str">
        <f>IFERROR(__xludf.DUMMYFUNCTION("IF(REGEXMATCH(N62, ""G""), ""G"","""")"),"G")</f>
        <v>G</v>
      </c>
      <c r="T62" s="236" t="str">
        <f>IFERROR(__xludf.DUMMYFUNCTION("IF(REGEXMATCH(N62, ""m""), ""m"","""")"),"m")</f>
        <v>m</v>
      </c>
      <c r="U62" s="237" t="str">
        <f>IFERROR(__xludf.DUMMYFUNCTION("IF(REGEXMATCH(N62, ""M""), ""M"","""")"),"")</f>
        <v/>
      </c>
      <c r="V62" s="236" t="str">
        <f>IFERROR(__xludf.DUMMYFUNCTION("IF(REGEXMATCH(N62, ""P""), ""P"","""")"),"P")</f>
        <v>P</v>
      </c>
      <c r="W62" s="237" t="str">
        <f>IFERROR(__xludf.DUMMYFUNCTION("IF(REGEXMATCH(N62, ""d""), ""d"","""")"),"d")</f>
        <v>d</v>
      </c>
      <c r="X62" s="236" t="str">
        <f>IFERROR(__xludf.DUMMYFUNCTION("IF(REGEXMATCH(N62, ""D""), ""D"","""")"),"")</f>
        <v/>
      </c>
      <c r="Y62" s="236" t="str">
        <f>IFERROR(__xludf.DUMMYFUNCTION("IF(REGEXMATCH(N62, ""n""), ""n"","""")"),"")</f>
        <v/>
      </c>
      <c r="Z62" s="237" t="str">
        <f>IFERROR(__xludf.DUMMYFUNCTION("IF(REGEXMATCH(N62, ""N""), ""N"","""")"),"N")</f>
        <v>N</v>
      </c>
      <c r="AA62" s="238" t="str">
        <f>IFERROR(__xludf.DUMMYFUNCTION("IF(REGEXMATCH(N62, ""S""), ""S"","""")"),"S")</f>
        <v>S</v>
      </c>
      <c r="AB62" s="239" t="str">
        <f>IFERROR(__xludf.DUMMYFUNCTION("SUBSTITUTE(CONCATENATE(JOIN(""-"",O62:U62)),""-"","""")"),"SRgGm")</f>
        <v>SRgGm</v>
      </c>
      <c r="AC62" s="229" t="str">
        <f>IFERROR(__xludf.DUMMYFUNCTION("SUBSTITUTE(CONCATENATE(JOIN(""-"",V62:AA62)),""-"","""")"),"PdNS")</f>
        <v>PdNS</v>
      </c>
      <c r="AD62" s="282" t="str">
        <f t="shared" si="10"/>
        <v>S-R-G-M</v>
      </c>
      <c r="AE62" s="282" t="str">
        <f t="shared" si="11"/>
        <v>P-D-N-S</v>
      </c>
      <c r="AF62" s="309" t="str">
        <f t="shared" si="12"/>
        <v>RgGmdN</v>
      </c>
      <c r="AG62" s="244" t="str">
        <f>IFERROR(__xludf.DUMMYFUNCTION("IF(REGEXMATCH(N62, ""S""), ""0"","""")"),"0")</f>
        <v>0</v>
      </c>
      <c r="AH62" s="245" t="str">
        <f>IFERROR(__xludf.DUMMYFUNCTION("IF(REGEXMATCH(N62, ""r""), ""1"","""")"),"")</f>
        <v/>
      </c>
      <c r="AI62" s="246" t="str">
        <f>IFERROR(__xludf.DUMMYFUNCTION("IF(REGEXMATCH(N62, ""R""), ""2"","""")"),"2")</f>
        <v>2</v>
      </c>
      <c r="AJ62" s="246" t="str">
        <f>IFERROR(__xludf.DUMMYFUNCTION("IF(REGEXMATCH(N62, ""g""), ""3"","""")"),"3")</f>
        <v>3</v>
      </c>
      <c r="AK62" s="245" t="str">
        <f>IFERROR(__xludf.DUMMYFUNCTION("IF(REGEXMATCH(N62, ""G""), ""4"","""")"),"4")</f>
        <v>4</v>
      </c>
      <c r="AL62" s="245" t="str">
        <f>IFERROR(__xludf.DUMMYFUNCTION("IF(REGEXMATCH(N62, ""m""), ""5"","""")"),"5")</f>
        <v>5</v>
      </c>
      <c r="AM62" s="246" t="str">
        <f>IFERROR(__xludf.DUMMYFUNCTION("IF(REGEXMATCH(N62, ""M""), ""6"","""")"),"")</f>
        <v/>
      </c>
      <c r="AN62" s="245" t="str">
        <f>IFERROR(__xludf.DUMMYFUNCTION("IF(REGEXMATCH(N62, ""P""), ""7"","""")"),"7")</f>
        <v>7</v>
      </c>
      <c r="AO62" s="246" t="str">
        <f>IFERROR(__xludf.DUMMYFUNCTION("IF(REGEXMATCH(N62, ""d""), ""8"","""")"),"8")</f>
        <v>8</v>
      </c>
      <c r="AP62" s="245" t="str">
        <f>IFERROR(__xludf.DUMMYFUNCTION("IF(REGEXMATCH(N62, ""D""), ""9"","""")"),"")</f>
        <v/>
      </c>
      <c r="AQ62" s="245" t="str">
        <f>IFERROR(__xludf.DUMMYFUNCTION("IF(REGEXMATCH(N62, ""n""), ""10"","""")"),"")</f>
        <v/>
      </c>
      <c r="AR62" s="246" t="str">
        <f>IFERROR(__xludf.DUMMYFUNCTION("IF(REGEXMATCH(N62, ""N""), ""11"","""")"),"11")</f>
        <v>11</v>
      </c>
      <c r="AS62" s="249" t="str">
        <f>IFERROR(__xludf.DUMMYFUNCTION("IF(REGEXMATCH(N62, ""S""), ""0"","""")"),"0")</f>
        <v>0</v>
      </c>
      <c r="AT62" s="250" t="str">
        <f>IFERROR(__xludf.DUMMYFUNCTION("SUBSTITUTE(SUBSTITUTE(SUBSTITUTE(SUBSTITUTE(CONCATENATE(JOIN(""-"",AG62:AS62)),""--"",""-""),""--"",""-""),""--"",""-""),""--"",""-"")"),"0-2-3-4-5-7-8-11-0")</f>
        <v>0-2-3-4-5-7-8-11-0</v>
      </c>
      <c r="AU62" s="251">
        <f t="shared" si="13"/>
        <v>0</v>
      </c>
      <c r="AV62" s="234" t="str">
        <f t="shared" si="14"/>
        <v>|</v>
      </c>
      <c r="AW62" s="236" t="str">
        <f t="shared" si="15"/>
        <v>-</v>
      </c>
      <c r="AX62" s="237" t="str">
        <f t="shared" si="16"/>
        <v>|</v>
      </c>
      <c r="AY62" s="236" t="str">
        <f t="shared" si="17"/>
        <v>|</v>
      </c>
      <c r="AZ62" s="237" t="str">
        <f t="shared" si="18"/>
        <v>|</v>
      </c>
      <c r="BA62" s="236" t="str">
        <f t="shared" si="19"/>
        <v>|</v>
      </c>
      <c r="BB62" s="237" t="str">
        <f t="shared" si="20"/>
        <v>-</v>
      </c>
      <c r="BC62" s="236" t="str">
        <f t="shared" si="21"/>
        <v>|</v>
      </c>
      <c r="BD62" s="237" t="str">
        <f t="shared" si="22"/>
        <v>|</v>
      </c>
      <c r="BE62" s="236" t="str">
        <f t="shared" si="23"/>
        <v>-</v>
      </c>
      <c r="BF62" s="237" t="str">
        <f t="shared" si="24"/>
        <v>-</v>
      </c>
      <c r="BG62" s="236" t="str">
        <f t="shared" si="25"/>
        <v>|</v>
      </c>
      <c r="BH62" s="238" t="str">
        <f t="shared" si="26"/>
        <v>|</v>
      </c>
      <c r="BI62" s="250" t="str">
        <f>IFERROR(__xludf.DUMMYFUNCTION("SUBSTITUTE(SUBSTITUTE(CONCATENATE(JOIN("""",AV62:BG62)),""|"",""x""),""-"",""o"")"),"xoxxxxoxxoox")</f>
        <v>xoxxxxoxxoox</v>
      </c>
      <c r="BJ62" s="323" t="str">
        <f>IFERROR(__xludf.DUMMYFUNCTION("JOIN("""",BI62,BI62)"),"xoxxxxoxxooxxoxxxxoxxoox")</f>
        <v>xoxxxxoxxooxxoxxxxoxxoox</v>
      </c>
      <c r="BK62" s="256" t="str">
        <f>IFERROR(__xludf.DUMMYFUNCTION("JOIN("""",ArrayFormula(MID(BI62,LEN(BI62)-SEQUENCE(1,LEN(BI62))+1,1)))"),"xooxxoxxxxox")</f>
        <v>xooxxoxxxxox</v>
      </c>
      <c r="BL62" s="256" t="str">
        <f>IFERROR(__xludf.DUMMYFUNCTION("LEFT(CONCATENATE(""x"",JOIN("""",ArrayFormula(MID(BI62,LEN(BI62)-SEQUENCE(1,LEN(BI62))+1,1)))),12)"),"xxooxxoxxxxo")</f>
        <v>xxooxxoxxxxo</v>
      </c>
      <c r="BM62" s="327" t="str">
        <f>IFERROR(__xludf.DUMMYFUNCTION("JOIN("""",BK62,BK62)"),"xooxxoxxxxoxxooxxoxxxxox")</f>
        <v>xooxxoxxxxoxxooxxoxxxxox</v>
      </c>
      <c r="BN62" s="239" t="str">
        <f>IFERROR(__xludf.DUMMYFUNCTION("IF(REGEXMATCH(BM62,BI62),""✔"",""-"")"),"✔")</f>
        <v>✔</v>
      </c>
      <c r="BO62" s="330" t="str">
        <f t="shared" si="27"/>
        <v>-</v>
      </c>
      <c r="BP62" s="260" t="str">
        <f t="shared" si="28"/>
        <v>-</v>
      </c>
      <c r="BQ62" s="261" t="str">
        <f>IFERROR(__xludf.DUMMYFUNCTION("IF(BT62=0,""(n/a)"",IF(BU62=2,""(PAIR)"",IF(REGEXMATCH(BJ62,""xoxoxxoxoxox""),""Bilawal"",IF(REGEXMATCH(BJ62,""xoxoxooxoxoo""),""Bhupali"",IF(REGEXMATCH(BJ62,""xoxoxxoxxoxo""),""Charukeshi"",IF(REGEXMATCH(BJ62,""xoxoooxxoxxo""),""Kameshwari"",IF(REGEXMATC"&amp;"H(BJ62,""xoxoxooxoxox""),""Shankara"",IF(REGEXMATCH(BJ62,""xxooxoxxxoox""),""Basant"",IF(REGEXMATCH(BJ62,""xoxoxxxxoxox""),""Bihag"",IF(REGEXMATCH(BJ62,""xoxxxxoxoxxx""),""Pilu"",IF(REGEXMATCH(BJ62,""xoxxoxoxxoox""),""Kirwani"",IF(REGEXMATCH(BJ62,""xoxxox"&amp;"oxoxxx""),""Mk.Malhar"",IF(REGEXMATCH(BJ62,""xxooxxoxxoox""),""Bhairav"",IF(REGEXMATCH(BJ62,""xxoxooxxxoox""),""Todi"",IF(REGEXMATCH(BJ62,""xxooxoxooxox""),""Marwa"",IF(REGEXMATCH(BJ62,""xxoooxoxxooo""),""Gunkali"",IF(REGEXMATCH(BJ62,""xoxoxxoxxoox""),""N"&amp;"at Bhairav"",IF(REGEXMATCH(BJ62,""xoxxoooxoxoo""),""Shivranjani"",IF(REGEXMATCH(BJ62,""xooxxxoxooxo""),""Jog"",IF(REGEXMATCH(BJ62,""xxooxoxoxoox""),""Hemshri"",IF(REGEXMATCH(BJ62,""xoooxooxoxxo""),""Kalavati"",IF(REGEXMATCH(BJ62,""xxoxoxxoxoox""),""Kedar"&amp;""",IF(REGEXMATCH(BJ62,""xoxxxxoxooxx""),""Gara"",IF(REGEXMATCH(BJ62,""xooxoxooxoox""),""Chandrakauns"",IF(REGEXMATCH(BJ62,""xoxxxxoxxxox""),""Mand"",IF(REGEXMATCH(BJ62,""xoxxxxoxoxox""),""Hanskinkini"",IF(REGEXMATCH(BJ62,""xxooxxoxooxo""),""Lilavati"",IF("&amp;"REGEXMATCH(BJ62,""xooxoxoooxox""),""Rajeshwari"",IF(REGEXMATCH(BJ62,""xoooxxoxoxxx""),""Khokar"",IF(REGEXMATCH(BJ62,""xxooxoxxxxox""),""Maligoura"",""-""))))))))))))))))))))))))))))))"),"(n/a)")</f>
        <v>(n/a)</v>
      </c>
      <c r="BR62" s="239">
        <f t="shared" si="29"/>
        <v>7</v>
      </c>
      <c r="BS62" s="239">
        <f>IFERROR(__xludf.DUMMYFUNCTION("COUNTUNIQUE(BW62:CG62)-1"),7.0)</f>
        <v>7</v>
      </c>
      <c r="BT62" s="239">
        <f>IFERROR(__xludf.DUMMYFUNCTION("COUNTUNIQUE(FILTER(BJ:BJ,REGEXMATCH(BJ:BJ,BI62)))-1"),0.0)</f>
        <v>0</v>
      </c>
      <c r="BU62" s="239">
        <f>IFERROR(__xludf.DUMMYFUNCTION("COUNTA(FILTER(BJ:BJ,REGEXMATCH(BJ:BJ,BI62)))"),1.0)</f>
        <v>1</v>
      </c>
      <c r="BV62" s="341">
        <f>IFERROR(__xludf.DUMMYFUNCTION("COUNTA(FILTER(BJ:BJ,REGEXMATCH(BJ:BJ,BI62)))-AU62"),1.0)</f>
        <v>1</v>
      </c>
      <c r="BW62" s="269" t="str">
        <f t="shared" si="30"/>
        <v>-</v>
      </c>
      <c r="BX62" s="269" t="str">
        <f t="shared" si="31"/>
        <v>xxxxoxxooxx</v>
      </c>
      <c r="BY62" s="271" t="str">
        <f t="shared" si="32"/>
        <v>xxxoxxooxxo</v>
      </c>
      <c r="BZ62" s="269" t="str">
        <f t="shared" si="33"/>
        <v>xxoxxooxxox</v>
      </c>
      <c r="CA62" s="271" t="str">
        <f t="shared" si="34"/>
        <v>xoxxooxxoxx</v>
      </c>
      <c r="CB62" s="271" t="str">
        <f t="shared" si="35"/>
        <v>-</v>
      </c>
      <c r="CC62" s="271" t="str">
        <f t="shared" si="36"/>
        <v>xxooxxoxxxx</v>
      </c>
      <c r="CD62" s="271" t="str">
        <f t="shared" si="37"/>
        <v>xooxxoxxxxo</v>
      </c>
      <c r="CE62" s="271" t="str">
        <f t="shared" si="38"/>
        <v>-</v>
      </c>
      <c r="CF62" s="271" t="str">
        <f t="shared" si="39"/>
        <v>-</v>
      </c>
      <c r="CG62" s="274" t="str">
        <f t="shared" si="40"/>
        <v>xxoxxxxoxxo</v>
      </c>
      <c r="CH62" s="276" t="str">
        <f>IFERROR(__xludf.DUMMYFUNCTION("IF(BI62=""oooooooooooo"",""-"",IF(REGEXMATCH(BJ62,""xx""), ""Hemi."", ""Anhemi.""))"),"Hemi.")</f>
        <v>Hemi.</v>
      </c>
      <c r="CI62" s="282" t="str">
        <f>IFERROR(__xludf.DUMMYFUNCTION("IF(BI62=""oooooooooooo"",""-"",IF(REGEXMATCH(BJ62,""xxx""), ""Cohem."", ""-""))"),"Cohem.")</f>
        <v>Cohem.</v>
      </c>
      <c r="CJ62" s="282" t="str">
        <f>IFERROR(__xludf.DUMMYFUNCTION("IF(BI62=""oooooooooooo"",""-"",IF(REGEXMATCH(BJ62,""xxxx""), ""Co-Co."", ""-""))"),"Co-Co.")</f>
        <v>Co-Co.</v>
      </c>
      <c r="CK62" s="342" t="str">
        <f>IFERROR(__xludf.DUMMYFUNCTION("IF(BI62=""oooooooooooo"",""-"",IF(REGEXMATCH(BJ62,""xxxxx""), ""CCC."", ""-""))"),"-")</f>
        <v>-</v>
      </c>
      <c r="CL62" s="344" t="str">
        <f t="shared" si="41"/>
        <v>-</v>
      </c>
      <c r="CM62" s="282" t="str">
        <f>IFERROR(__xludf.DUMMYFUNCTION("IF(REGEXMATCH(JOIN(""-"",CO62:CX62),""TRUE""),""✔"",""-"")"),"-")</f>
        <v>-</v>
      </c>
      <c r="CN62" s="225">
        <f t="shared" si="42"/>
        <v>0</v>
      </c>
      <c r="CO62" s="376" t="b">
        <f>IFERROR(__xludf.DUMMYFUNCTION("arrayformula(sum(--REGEXMATCH(""SRGMPDNS"",split(REGEXREPLACE(N62,""(.)"",""$1~""),""~""))))=len(N62)
"),FALSE)</f>
        <v>0</v>
      </c>
      <c r="CP62" s="290" t="b">
        <f>IFERROR(__xludf.DUMMYFUNCTION("arrayformula(sum(--REGEXMATCH(""SRGmPDNS"",split(REGEXREPLACE(N62,""(.)"",""$1~""),""~""))))=len(N62)"),FALSE)</f>
        <v>0</v>
      </c>
      <c r="CQ62" s="290" t="b">
        <f>IFERROR(__xludf.DUMMYFUNCTION("arrayformula(sum(--REGEXMATCH(""SRGmPDnS"",split(REGEXREPLACE(N62,""(.)"",""$1~""),""~""))))=len(N62)"),FALSE)</f>
        <v>0</v>
      </c>
      <c r="CR62" s="290" t="b">
        <f>IFERROR(__xludf.DUMMYFUNCTION("arrayformula(sum(--REGEXMATCH(""SRgmPDnS"",split(REGEXREPLACE(N62,""(.)"",""$1~""),""~""))))=len(N62)"),FALSE)</f>
        <v>0</v>
      </c>
      <c r="CS62" s="290" t="b">
        <f>IFERROR(__xludf.DUMMYFUNCTION("arrayformula(sum(--REGEXMATCH(""SRgmPdnS"",split(REGEXREPLACE(N62,""(.)"",""$1~""),""~""))))=len(N62)"),FALSE)</f>
        <v>0</v>
      </c>
      <c r="CT62" s="290" t="b">
        <f>IFERROR(__xludf.DUMMYFUNCTION("arrayformula(sum(--REGEXMATCH(""SrgmPdnS"",split(REGEXREPLACE(N62,""(.)"",""$1~""),""~""))))=len(N62)"),FALSE)</f>
        <v>0</v>
      </c>
      <c r="CU62" s="290" t="b">
        <f>IFERROR(__xludf.DUMMYFUNCTION("arrayformula(sum(--REGEXMATCH(""SrGmPdNS"",split(REGEXREPLACE(N62,""(.)"",""$1~""),""~""))))=len(N62)"),FALSE)</f>
        <v>0</v>
      </c>
      <c r="CV62" s="290" t="b">
        <f>IFERROR(__xludf.DUMMYFUNCTION("arrayformula(sum(--REGEXMATCH(""SrGMPDNS"",split(REGEXREPLACE(N62,""(.)"",""$1~""),""~""))))=len(N62)"),FALSE)</f>
        <v>0</v>
      </c>
      <c r="CW62" s="290" t="b">
        <f>IFERROR(__xludf.DUMMYFUNCTION("arrayformula(sum(--REGEXMATCH(""SrGMPdNS"",split(REGEXREPLACE(N62,""(.)"",""$1~""),""~""))))=len(N62)"),FALSE)</f>
        <v>0</v>
      </c>
      <c r="CX62" s="293" t="b">
        <f>IFERROR(__xludf.DUMMYFUNCTION("arrayformula(sum(--REGEXMATCH(""SrgMPdNS"",split(REGEXREPLACE(N62,""(.)"",""$1~""),""~""))))=len(N62)"),FALSE)</f>
        <v>0</v>
      </c>
      <c r="CY62" s="244" t="str">
        <f>IFERROR(__xludf.DUMMYFUNCTION("IF(REGEXMATCH(N62, ""S""), ""1"","""")"),"1")</f>
        <v>1</v>
      </c>
      <c r="CZ62" s="245" t="str">
        <f>IFERROR(__xludf.DUMMYFUNCTION("IF(REGEXMATCH(N62, ""r""), ""b2"","""")"),"")</f>
        <v/>
      </c>
      <c r="DA62" s="246" t="str">
        <f>IFERROR(__xludf.DUMMYFUNCTION("IF(REGEXMATCH(N62, ""R""), ""2"","""")"),"2")</f>
        <v>2</v>
      </c>
      <c r="DB62" s="246" t="str">
        <f>IFERROR(__xludf.DUMMYFUNCTION("IF(REGEXMATCH(N62, ""g""), ""b3"","""")"),"b3")</f>
        <v>b3</v>
      </c>
      <c r="DC62" s="245" t="str">
        <f>IFERROR(__xludf.DUMMYFUNCTION("IF(REGEXMATCH(N62, ""G""), ""3"","""")"),"3")</f>
        <v>3</v>
      </c>
      <c r="DD62" s="245" t="str">
        <f>IFERROR(__xludf.DUMMYFUNCTION("IF(REGEXMATCH(N62, ""m""), ""4"","""")"),"4")</f>
        <v>4</v>
      </c>
      <c r="DE62" s="246" t="str">
        <f>IFERROR(__xludf.DUMMYFUNCTION("IF(REGEXMATCH(N62, ""M""), ""#4"","""")"),"")</f>
        <v/>
      </c>
      <c r="DF62" s="245" t="str">
        <f>IFERROR(__xludf.DUMMYFUNCTION("IF(REGEXMATCH(N62, ""P""), ""5"","""")"),"5")</f>
        <v>5</v>
      </c>
      <c r="DG62" s="246" t="str">
        <f>IFERROR(__xludf.DUMMYFUNCTION("IF(REGEXMATCH(N62, ""d""), ""b6"","""")"),"b6")</f>
        <v>b6</v>
      </c>
      <c r="DH62" s="245" t="str">
        <f>IFERROR(__xludf.DUMMYFUNCTION("IF(REGEXMATCH(N62, ""D""), ""6"","""")"),"")</f>
        <v/>
      </c>
      <c r="DI62" s="245" t="str">
        <f>IFERROR(__xludf.DUMMYFUNCTION("IF(REGEXMATCH(N62, ""n""), ""b7"","""")"),"")</f>
        <v/>
      </c>
      <c r="DJ62" s="246" t="str">
        <f>IFERROR(__xludf.DUMMYFUNCTION("IF(REGEXMATCH(N62, ""N""), ""7"","""")"),"7")</f>
        <v>7</v>
      </c>
      <c r="DK62" s="249" t="str">
        <f>IFERROR(__xludf.DUMMYFUNCTION("IF(REGEXMATCH(N62, ""S""), ""8"","""")"),"8")</f>
        <v>8</v>
      </c>
      <c r="DL62" s="244" t="str">
        <f>IFERROR(__xludf.DUMMYFUNCTION("IF(REGEXMATCH(N62, ""S""), ""S"","""")"),"S")</f>
        <v>S</v>
      </c>
      <c r="DM62" s="294" t="str">
        <f>IFERROR(__xludf.DUMMYFUNCTION("IF(REGEXMATCH(N62, ""r""), ""R1"","""")"),"")</f>
        <v/>
      </c>
      <c r="DN62" s="295" t="str">
        <f>IFERROR(__xludf.DUMMYFUNCTION("IF(REGEXMATCH(N62, ""R""), ""R2"","""")"),"R2")</f>
        <v>R2</v>
      </c>
      <c r="DO62" s="295" t="str">
        <f>IFERROR(__xludf.DUMMYFUNCTION("IF(REGEXMATCH(N62, ""g""), ""G2"","""")"),"G2")</f>
        <v>G2</v>
      </c>
      <c r="DP62" s="294" t="str">
        <f>IFERROR(__xludf.DUMMYFUNCTION("IF(REGEXMATCH(N62, ""G""), ""G3"","""")"),"G3")</f>
        <v>G3</v>
      </c>
      <c r="DQ62" s="294" t="str">
        <f>IFERROR(__xludf.DUMMYFUNCTION("IF(REGEXMATCH(N62, ""m""), ""M1"","""")"),"M1")</f>
        <v>M1</v>
      </c>
      <c r="DR62" s="295" t="str">
        <f>IFERROR(__xludf.DUMMYFUNCTION("IF(REGEXMATCH(N62, ""M""), ""M2"","""")"),"")</f>
        <v/>
      </c>
      <c r="DS62" s="294" t="str">
        <f>IFERROR(__xludf.DUMMYFUNCTION("IF(REGEXMATCH(N62, ""P""), ""P"","""")"),"P")</f>
        <v>P</v>
      </c>
      <c r="DT62" s="295" t="str">
        <f>IFERROR(__xludf.DUMMYFUNCTION("IF(REGEXMATCH(N62, ""d""), ""D1"","""")"),"D1")</f>
        <v>D1</v>
      </c>
      <c r="DU62" s="294" t="str">
        <f>IFERROR(__xludf.DUMMYFUNCTION("IF(REGEXMATCH(N62, ""D""), ""D2"","""")"),"")</f>
        <v/>
      </c>
      <c r="DV62" s="294" t="str">
        <f>IFERROR(__xludf.DUMMYFUNCTION("IF(REGEXMATCH(N62, ""n""), ""N2"","""")"),"")</f>
        <v/>
      </c>
      <c r="DW62" s="295" t="str">
        <f>IFERROR(__xludf.DUMMYFUNCTION("IF(REGEXMATCH(N62, ""N""), ""N3"","""")"),"N3")</f>
        <v>N3</v>
      </c>
      <c r="DX62" s="249" t="str">
        <f>IFERROR(__xludf.DUMMYFUNCTION("IF(REGEXMATCH(N62, ""S""), ""S"","""")"),"S")</f>
        <v>S</v>
      </c>
      <c r="DY62" s="299" t="str">
        <f>IFERROR(__xludf.DUMMYFUNCTION("SUBSTITUTE(SUBSTITUTE(SUBSTITUTE(SUBSTITUTE(CONCATENATE(JOIN(""-"",CY62:DK62)),""--"",""-""),""--"",""-""),""--"",""-""),""--"",""-"")"),"1-2-b3-3-4-5-b6-7-8")</f>
        <v>1-2-b3-3-4-5-b6-7-8</v>
      </c>
      <c r="DZ62" s="299" t="str">
        <f>IFERROR(__xludf.DUMMYFUNCTION("SUBSTITUTE(SUBSTITUTE(SUBSTITUTE(SUBSTITUTE(CONCATENATE(JOIN(""-"",DL62:DX62)),""--"",""-""),""--"",""-""),""--"",""-""),""--"",""-"")"),"S-R2-G2-G3-M1-P-D1-N3-S")</f>
        <v>S-R2-G2-G3-M1-P-D1-N3-S</v>
      </c>
      <c r="EA62" s="348" t="str">
        <f t="shared" si="43"/>
        <v>C-D-Eb-E-F-G-Ab-B-C</v>
      </c>
      <c r="EB62" s="301">
        <f t="shared" si="44"/>
        <v>8</v>
      </c>
      <c r="EC62" s="302" t="str">
        <f t="shared" si="45"/>
        <v>Sampurna</v>
      </c>
      <c r="ED62" s="301" t="str">
        <f t="shared" ref="ED62:EE62" si="228">SUBSTITUTE(AD62,"-","")</f>
        <v>SRGM</v>
      </c>
      <c r="EE62" s="301" t="str">
        <f t="shared" si="228"/>
        <v>PDNS</v>
      </c>
      <c r="EF62" s="302" t="str">
        <f t="shared" si="47"/>
        <v>(n/a)</v>
      </c>
      <c r="EG62" s="301" t="str">
        <f t="shared" si="48"/>
        <v>Hemi.</v>
      </c>
      <c r="EH62" s="364" t="str">
        <f t="shared" si="49"/>
        <v>Co-Co.</v>
      </c>
      <c r="EI62" s="306" t="str">
        <f t="shared" si="50"/>
        <v>-</v>
      </c>
      <c r="EJ62" s="366" t="str">
        <f t="shared" si="51"/>
        <v>-</v>
      </c>
      <c r="EK62" s="308" t="str">
        <f t="shared" si="52"/>
        <v>✔</v>
      </c>
      <c r="EL62" s="306" t="str">
        <f t="shared" si="53"/>
        <v>-</v>
      </c>
      <c r="EM62" s="306" t="str">
        <f t="shared" si="54"/>
        <v>-</v>
      </c>
      <c r="EN62" s="367" t="str">
        <f t="shared" si="55"/>
        <v>-</v>
      </c>
      <c r="EO62" s="310" t="str">
        <f t="shared" si="56"/>
        <v>-</v>
      </c>
      <c r="EP62" s="310" t="str">
        <f t="shared" si="57"/>
        <v>✔</v>
      </c>
      <c r="EQ62" s="310" t="str">
        <f t="shared" si="58"/>
        <v>-</v>
      </c>
      <c r="ER62" s="310" t="str">
        <f t="shared" si="59"/>
        <v>-</v>
      </c>
      <c r="ES62" s="370" t="str">
        <f t="shared" si="60"/>
        <v>-</v>
      </c>
      <c r="ET62" s="306" t="str">
        <f t="shared" si="61"/>
        <v>-</v>
      </c>
      <c r="EU62" s="306" t="str">
        <f t="shared" si="62"/>
        <v>-</v>
      </c>
      <c r="EV62" s="306" t="str">
        <f t="shared" si="63"/>
        <v>-</v>
      </c>
      <c r="EW62" s="306" t="str">
        <f t="shared" si="64"/>
        <v>-</v>
      </c>
      <c r="EX62" s="306" t="str">
        <f t="shared" si="65"/>
        <v>-</v>
      </c>
      <c r="EY62" s="367" t="str">
        <f t="shared" si="66"/>
        <v>-</v>
      </c>
      <c r="EZ62" s="310" t="str">
        <f>IFERROR(__xludf.DUMMYFUNCTION("IF(REGEXMATCH(BM62,BI62),""✔"",""-"")"),"✔")</f>
        <v>✔</v>
      </c>
      <c r="FA62" s="310" t="str">
        <f t="shared" si="67"/>
        <v>-</v>
      </c>
      <c r="FB62" s="370" t="str">
        <f t="shared" si="68"/>
        <v>-</v>
      </c>
      <c r="FC62" s="315" t="str">
        <f t="shared" si="69"/>
        <v>[UQ]</v>
      </c>
      <c r="FD62" s="317" t="str">
        <f t="shared" si="70"/>
        <v>S-R-gG-m-P-d-N-S</v>
      </c>
      <c r="FE62" s="318" t="str">
        <f>IFERROR(__xludf.DUMMYFUNCTION("CONCATENATE(JOIN("""",GJ62:GV62))"),"SrGmPdDnS")</f>
        <v>SrGmPdDnS</v>
      </c>
      <c r="FF62" s="318"/>
      <c r="FG62" s="318"/>
      <c r="FH62" s="321">
        <f t="shared" si="71"/>
        <v>3</v>
      </c>
      <c r="FI62" s="318" t="str">
        <f>IFERROR(__xludf.DUMMYFUNCTION("CONCATENATE(JOIN("""",HW62:II62))"),"Re, ga, Ni, ")</f>
        <v>Re, ga, Ni, </v>
      </c>
      <c r="FJ62" s="322">
        <f t="shared" si="72"/>
        <v>0</v>
      </c>
      <c r="FK62" s="324" t="str">
        <f>IFERROR(__xludf.DUMMYFUNCTION("CONCATENATE(JOIN("""",IW62:JI62))"),"")</f>
        <v/>
      </c>
      <c r="FL62" s="325" t="str">
        <f t="shared" si="73"/>
        <v>S-R2-G2-G3-M1-P-D1-N3-S</v>
      </c>
      <c r="FM62" s="326" t="str">
        <f t="shared" si="74"/>
        <v>1-2-b3-3-4-5-b6-7-8</v>
      </c>
      <c r="FN62" s="326" t="str">
        <f t="shared" si="75"/>
        <v>0-2-3-4-5-7-8-11-0</v>
      </c>
      <c r="FO62" s="318"/>
      <c r="FP62" s="328" t="str">
        <f>IFERROR(__xludf.DUMMYFUNCTION("SUBSTITUTE(SUBSTITUTE(SUBSTITUTE(SUBSTITUTE(CONCATENATE(JOIN("" "",FS62:GE62)),""  "","" ""),""  "","" ""),""  "","" ""),""  "","" "")"),"o • o o o o • o o • • o o")</f>
        <v>o • o o o o • o o • • o o</v>
      </c>
      <c r="FQ62" s="328" t="str">
        <f t="shared" si="76"/>
        <v>-</v>
      </c>
      <c r="FR62" s="329"/>
      <c r="FS62" s="331" t="str">
        <f t="shared" si="77"/>
        <v>o</v>
      </c>
      <c r="FT62" s="332" t="str">
        <f t="shared" si="78"/>
        <v>•</v>
      </c>
      <c r="FU62" s="332" t="str">
        <f t="shared" si="79"/>
        <v>o</v>
      </c>
      <c r="FV62" s="332" t="str">
        <f t="shared" si="80"/>
        <v>o</v>
      </c>
      <c r="FW62" s="332" t="str">
        <f t="shared" si="81"/>
        <v>o</v>
      </c>
      <c r="FX62" s="332" t="str">
        <f t="shared" si="82"/>
        <v>o</v>
      </c>
      <c r="FY62" s="332" t="str">
        <f t="shared" si="83"/>
        <v>•</v>
      </c>
      <c r="FZ62" s="332" t="str">
        <f t="shared" si="84"/>
        <v>o</v>
      </c>
      <c r="GA62" s="332" t="str">
        <f t="shared" si="85"/>
        <v>o</v>
      </c>
      <c r="GB62" s="332" t="str">
        <f t="shared" si="86"/>
        <v>•</v>
      </c>
      <c r="GC62" s="332" t="str">
        <f t="shared" si="87"/>
        <v>•</v>
      </c>
      <c r="GD62" s="332" t="str">
        <f t="shared" si="88"/>
        <v>o</v>
      </c>
      <c r="GE62" s="338" t="str">
        <f t="shared" si="89"/>
        <v>o</v>
      </c>
      <c r="GF62" s="339" t="str">
        <f t="shared" si="90"/>
        <v>-</v>
      </c>
      <c r="GG62" s="339" t="str">
        <f t="shared" si="91"/>
        <v>Sa-Pa</v>
      </c>
      <c r="GH62" s="339" t="str">
        <f t="shared" si="92"/>
        <v>-</v>
      </c>
      <c r="GI62" s="340" t="str">
        <f t="shared" si="93"/>
        <v>-</v>
      </c>
      <c r="GJ62" s="331" t="str">
        <f t="shared" si="94"/>
        <v>S</v>
      </c>
      <c r="GK62" s="332" t="str">
        <f t="shared" si="95"/>
        <v>r</v>
      </c>
      <c r="GL62" s="332" t="str">
        <f t="shared" si="96"/>
        <v/>
      </c>
      <c r="GM62" s="332" t="str">
        <f t="shared" si="97"/>
        <v/>
      </c>
      <c r="GN62" s="332" t="str">
        <f t="shared" si="98"/>
        <v>G</v>
      </c>
      <c r="GO62" s="332" t="str">
        <f t="shared" si="99"/>
        <v>m</v>
      </c>
      <c r="GP62" s="332" t="str">
        <f t="shared" si="100"/>
        <v/>
      </c>
      <c r="GQ62" s="332" t="str">
        <f t="shared" si="101"/>
        <v>P</v>
      </c>
      <c r="GR62" s="332" t="str">
        <f t="shared" si="102"/>
        <v>d</v>
      </c>
      <c r="GS62" s="332" t="str">
        <f t="shared" si="103"/>
        <v>D</v>
      </c>
      <c r="GT62" s="332" t="str">
        <f t="shared" si="104"/>
        <v>n</v>
      </c>
      <c r="GU62" s="332" t="str">
        <f t="shared" si="105"/>
        <v/>
      </c>
      <c r="GV62" s="343" t="str">
        <f t="shared" si="106"/>
        <v>S</v>
      </c>
      <c r="GW62" s="331" t="str">
        <f t="shared" si="107"/>
        <v>•</v>
      </c>
      <c r="GX62" s="332" t="str">
        <f t="shared" si="108"/>
        <v>o</v>
      </c>
      <c r="GY62" s="332" t="str">
        <f t="shared" si="109"/>
        <v>•</v>
      </c>
      <c r="GZ62" s="332" t="str">
        <f t="shared" si="110"/>
        <v>•</v>
      </c>
      <c r="HA62" s="332" t="str">
        <f t="shared" si="111"/>
        <v>•</v>
      </c>
      <c r="HB62" s="332" t="str">
        <f t="shared" si="112"/>
        <v>•</v>
      </c>
      <c r="HC62" s="332" t="str">
        <f t="shared" si="113"/>
        <v>o</v>
      </c>
      <c r="HD62" s="332" t="str">
        <f t="shared" si="114"/>
        <v>•</v>
      </c>
      <c r="HE62" s="332" t="str">
        <f t="shared" si="115"/>
        <v>•</v>
      </c>
      <c r="HF62" s="332" t="str">
        <f t="shared" si="116"/>
        <v>o</v>
      </c>
      <c r="HG62" s="332" t="str">
        <f t="shared" si="117"/>
        <v>o</v>
      </c>
      <c r="HH62" s="332" t="str">
        <f t="shared" si="118"/>
        <v>•</v>
      </c>
      <c r="HI62" s="338" t="str">
        <f t="shared" si="119"/>
        <v>•</v>
      </c>
      <c r="HJ62" s="346" t="b">
        <f t="shared" si="120"/>
        <v>0</v>
      </c>
      <c r="HK62" s="347" t="b">
        <f t="shared" si="121"/>
        <v>0</v>
      </c>
      <c r="HL62" s="347" t="b">
        <f t="shared" si="122"/>
        <v>1</v>
      </c>
      <c r="HM62" s="347" t="b">
        <f t="shared" si="123"/>
        <v>1</v>
      </c>
      <c r="HN62" s="347" t="b">
        <f t="shared" si="124"/>
        <v>0</v>
      </c>
      <c r="HO62" s="347" t="b">
        <f t="shared" si="125"/>
        <v>0</v>
      </c>
      <c r="HP62" s="347" t="b">
        <f t="shared" si="126"/>
        <v>0</v>
      </c>
      <c r="HQ62" s="347" t="b">
        <f t="shared" si="127"/>
        <v>0</v>
      </c>
      <c r="HR62" s="347" t="b">
        <f t="shared" si="128"/>
        <v>0</v>
      </c>
      <c r="HS62" s="347" t="b">
        <f t="shared" si="129"/>
        <v>0</v>
      </c>
      <c r="HT62" s="347" t="b">
        <f t="shared" si="130"/>
        <v>0</v>
      </c>
      <c r="HU62" s="347" t="b">
        <f t="shared" si="131"/>
        <v>1</v>
      </c>
      <c r="HV62" s="353" t="b">
        <f t="shared" si="132"/>
        <v>0</v>
      </c>
      <c r="HW62" s="354" t="str">
        <f t="shared" si="133"/>
        <v/>
      </c>
      <c r="HX62" s="355" t="str">
        <f t="shared" si="134"/>
        <v/>
      </c>
      <c r="HY62" s="355" t="str">
        <f t="shared" si="135"/>
        <v>Re, </v>
      </c>
      <c r="HZ62" s="355" t="str">
        <f t="shared" si="136"/>
        <v>ga, </v>
      </c>
      <c r="IA62" s="355" t="str">
        <f t="shared" si="137"/>
        <v/>
      </c>
      <c r="IB62" s="355" t="str">
        <f t="shared" si="138"/>
        <v/>
      </c>
      <c r="IC62" s="355" t="str">
        <f t="shared" si="139"/>
        <v/>
      </c>
      <c r="ID62" s="355" t="str">
        <f t="shared" si="140"/>
        <v/>
      </c>
      <c r="IE62" s="355" t="str">
        <f t="shared" si="141"/>
        <v/>
      </c>
      <c r="IF62" s="355" t="str">
        <f t="shared" si="142"/>
        <v/>
      </c>
      <c r="IG62" s="355" t="str">
        <f t="shared" si="143"/>
        <v/>
      </c>
      <c r="IH62" s="355" t="str">
        <f t="shared" si="144"/>
        <v>Ni, </v>
      </c>
      <c r="II62" s="359" t="str">
        <f t="shared" si="145"/>
        <v/>
      </c>
      <c r="IJ62" s="346" t="b">
        <f t="shared" si="146"/>
        <v>0</v>
      </c>
      <c r="IK62" s="347" t="b">
        <f t="shared" si="147"/>
        <v>0</v>
      </c>
      <c r="IL62" s="347" t="b">
        <f t="shared" si="148"/>
        <v>0</v>
      </c>
      <c r="IM62" s="347" t="b">
        <f t="shared" si="149"/>
        <v>0</v>
      </c>
      <c r="IN62" s="347" t="b">
        <f t="shared" si="150"/>
        <v>0</v>
      </c>
      <c r="IO62" s="347" t="b">
        <f t="shared" si="151"/>
        <v>0</v>
      </c>
      <c r="IP62" s="347" t="b">
        <f t="shared" si="152"/>
        <v>0</v>
      </c>
      <c r="IQ62" s="347" t="b">
        <f t="shared" si="153"/>
        <v>0</v>
      </c>
      <c r="IR62" s="347" t="b">
        <f t="shared" si="154"/>
        <v>0</v>
      </c>
      <c r="IS62" s="347" t="b">
        <f t="shared" si="155"/>
        <v>0</v>
      </c>
      <c r="IT62" s="347" t="b">
        <f t="shared" si="156"/>
        <v>0</v>
      </c>
      <c r="IU62" s="347" t="b">
        <f t="shared" si="157"/>
        <v>0</v>
      </c>
      <c r="IV62" s="365" t="b">
        <f t="shared" si="158"/>
        <v>0</v>
      </c>
      <c r="IW62" s="354" t="str">
        <f t="shared" si="159"/>
        <v/>
      </c>
      <c r="IX62" s="355" t="str">
        <f t="shared" si="160"/>
        <v/>
      </c>
      <c r="IY62" s="355" t="str">
        <f t="shared" si="161"/>
        <v/>
      </c>
      <c r="IZ62" s="355" t="str">
        <f t="shared" si="162"/>
        <v/>
      </c>
      <c r="JA62" s="355" t="str">
        <f t="shared" si="163"/>
        <v/>
      </c>
      <c r="JB62" s="355" t="str">
        <f t="shared" si="164"/>
        <v/>
      </c>
      <c r="JC62" s="355" t="str">
        <f t="shared" si="165"/>
        <v/>
      </c>
      <c r="JD62" s="355" t="str">
        <f t="shared" si="166"/>
        <v/>
      </c>
      <c r="JE62" s="355" t="str">
        <f t="shared" si="167"/>
        <v/>
      </c>
      <c r="JF62" s="355" t="str">
        <f t="shared" si="168"/>
        <v/>
      </c>
      <c r="JG62" s="355" t="str">
        <f t="shared" si="169"/>
        <v/>
      </c>
      <c r="JH62" s="355" t="str">
        <f t="shared" si="170"/>
        <v/>
      </c>
      <c r="JI62" s="359"/>
      <c r="JJ62" s="321"/>
      <c r="JK62" s="368"/>
      <c r="JL62" s="369"/>
      <c r="JM62" s="369"/>
      <c r="JN62" s="369"/>
      <c r="JO62" s="369"/>
      <c r="JP62" s="369"/>
      <c r="JQ62" s="369"/>
      <c r="JR62" s="369"/>
      <c r="JS62" s="369"/>
      <c r="JT62" s="369"/>
      <c r="JU62" s="369"/>
    </row>
    <row r="63" ht="20.25" customHeight="1">
      <c r="A63" s="221" t="s">
        <v>1356</v>
      </c>
      <c r="B63" s="223" t="s">
        <v>1085</v>
      </c>
      <c r="C63" s="222" t="s">
        <v>275</v>
      </c>
      <c r="D63" s="222"/>
      <c r="E63" s="222"/>
      <c r="F63" s="222"/>
      <c r="G63" s="395" t="s">
        <v>275</v>
      </c>
      <c r="H63" s="222">
        <v>61.0</v>
      </c>
      <c r="I63" s="224" t="s">
        <v>1219</v>
      </c>
      <c r="J63" s="414">
        <f t="shared" si="5"/>
        <v>1</v>
      </c>
      <c r="K63" s="227">
        <f t="shared" si="6"/>
        <v>5</v>
      </c>
      <c r="L63" s="229">
        <f t="shared" si="7"/>
        <v>5</v>
      </c>
      <c r="M63" s="230">
        <f t="shared" si="8"/>
        <v>0</v>
      </c>
      <c r="N63" s="233" t="str">
        <f t="shared" si="9"/>
        <v>SgmDNS</v>
      </c>
      <c r="O63" s="234" t="str">
        <f>IFERROR(__xludf.DUMMYFUNCTION("IF(REGEXMATCH(N63, ""S""), ""S"","""")"),"S")</f>
        <v>S</v>
      </c>
      <c r="P63" s="236" t="str">
        <f>IFERROR(__xludf.DUMMYFUNCTION("IF(REGEXMATCH(N63, ""r""), ""r"","""")"),"")</f>
        <v/>
      </c>
      <c r="Q63" s="237" t="str">
        <f>IFERROR(__xludf.DUMMYFUNCTION("IF(REGEXMATCH(N63, ""R""), ""R"","""")"),"")</f>
        <v/>
      </c>
      <c r="R63" s="237" t="str">
        <f>IFERROR(__xludf.DUMMYFUNCTION("IF(REGEXMATCH(N63, ""g""), ""g"","""")"),"g")</f>
        <v>g</v>
      </c>
      <c r="S63" s="236" t="str">
        <f>IFERROR(__xludf.DUMMYFUNCTION("IF(REGEXMATCH(N63, ""G""), ""G"","""")"),"")</f>
        <v/>
      </c>
      <c r="T63" s="236" t="str">
        <f>IFERROR(__xludf.DUMMYFUNCTION("IF(REGEXMATCH(N63, ""m""), ""m"","""")"),"m")</f>
        <v>m</v>
      </c>
      <c r="U63" s="237" t="str">
        <f>IFERROR(__xludf.DUMMYFUNCTION("IF(REGEXMATCH(N63, ""M""), ""M"","""")"),"")</f>
        <v/>
      </c>
      <c r="V63" s="236" t="str">
        <f>IFERROR(__xludf.DUMMYFUNCTION("IF(REGEXMATCH(N63, ""P""), ""P"","""")"),"")</f>
        <v/>
      </c>
      <c r="W63" s="237" t="str">
        <f>IFERROR(__xludf.DUMMYFUNCTION("IF(REGEXMATCH(N63, ""d""), ""d"","""")"),"")</f>
        <v/>
      </c>
      <c r="X63" s="236" t="str">
        <f>IFERROR(__xludf.DUMMYFUNCTION("IF(REGEXMATCH(N63, ""D""), ""D"","""")"),"D")</f>
        <v>D</v>
      </c>
      <c r="Y63" s="236" t="str">
        <f>IFERROR(__xludf.DUMMYFUNCTION("IF(REGEXMATCH(N63, ""n""), ""n"","""")"),"")</f>
        <v/>
      </c>
      <c r="Z63" s="237" t="str">
        <f>IFERROR(__xludf.DUMMYFUNCTION("IF(REGEXMATCH(N63, ""N""), ""N"","""")"),"N")</f>
        <v>N</v>
      </c>
      <c r="AA63" s="238" t="str">
        <f>IFERROR(__xludf.DUMMYFUNCTION("IF(REGEXMATCH(N63, ""S""), ""S"","""")"),"S")</f>
        <v>S</v>
      </c>
      <c r="AB63" s="239" t="str">
        <f>IFERROR(__xludf.DUMMYFUNCTION("SUBSTITUTE(CONCATENATE(JOIN(""-"",O63:U63)),""-"","""")"),"Sgm")</f>
        <v>Sgm</v>
      </c>
      <c r="AC63" s="229" t="str">
        <f>IFERROR(__xludf.DUMMYFUNCTION("SUBSTITUTE(CONCATENATE(JOIN(""-"",V63:AA63)),""-"","""")"),"DNS")</f>
        <v>DNS</v>
      </c>
      <c r="AD63" s="282" t="str">
        <f t="shared" si="10"/>
        <v>S-G-M</v>
      </c>
      <c r="AE63" s="282" t="str">
        <f t="shared" si="11"/>
        <v>D-N-S</v>
      </c>
      <c r="AF63" s="309" t="str">
        <f t="shared" si="12"/>
        <v>gmDN</v>
      </c>
      <c r="AG63" s="244" t="str">
        <f>IFERROR(__xludf.DUMMYFUNCTION("IF(REGEXMATCH(N63, ""S""), ""0"","""")"),"0")</f>
        <v>0</v>
      </c>
      <c r="AH63" s="245" t="str">
        <f>IFERROR(__xludf.DUMMYFUNCTION("IF(REGEXMATCH(N63, ""r""), ""1"","""")"),"")</f>
        <v/>
      </c>
      <c r="AI63" s="246" t="str">
        <f>IFERROR(__xludf.DUMMYFUNCTION("IF(REGEXMATCH(N63, ""R""), ""2"","""")"),"")</f>
        <v/>
      </c>
      <c r="AJ63" s="246" t="str">
        <f>IFERROR(__xludf.DUMMYFUNCTION("IF(REGEXMATCH(N63, ""g""), ""3"","""")"),"3")</f>
        <v>3</v>
      </c>
      <c r="AK63" s="245" t="str">
        <f>IFERROR(__xludf.DUMMYFUNCTION("IF(REGEXMATCH(N63, ""G""), ""4"","""")"),"")</f>
        <v/>
      </c>
      <c r="AL63" s="245" t="str">
        <f>IFERROR(__xludf.DUMMYFUNCTION("IF(REGEXMATCH(N63, ""m""), ""5"","""")"),"5")</f>
        <v>5</v>
      </c>
      <c r="AM63" s="246" t="str">
        <f>IFERROR(__xludf.DUMMYFUNCTION("IF(REGEXMATCH(N63, ""M""), ""6"","""")"),"")</f>
        <v/>
      </c>
      <c r="AN63" s="245" t="str">
        <f>IFERROR(__xludf.DUMMYFUNCTION("IF(REGEXMATCH(N63, ""P""), ""7"","""")"),"")</f>
        <v/>
      </c>
      <c r="AO63" s="246" t="str">
        <f>IFERROR(__xludf.DUMMYFUNCTION("IF(REGEXMATCH(N63, ""d""), ""8"","""")"),"")</f>
        <v/>
      </c>
      <c r="AP63" s="245" t="str">
        <f>IFERROR(__xludf.DUMMYFUNCTION("IF(REGEXMATCH(N63, ""D""), ""9"","""")"),"9")</f>
        <v>9</v>
      </c>
      <c r="AQ63" s="245" t="str">
        <f>IFERROR(__xludf.DUMMYFUNCTION("IF(REGEXMATCH(N63, ""n""), ""10"","""")"),"")</f>
        <v/>
      </c>
      <c r="AR63" s="246" t="str">
        <f>IFERROR(__xludf.DUMMYFUNCTION("IF(REGEXMATCH(N63, ""N""), ""11"","""")"),"11")</f>
        <v>11</v>
      </c>
      <c r="AS63" s="249" t="str">
        <f>IFERROR(__xludf.DUMMYFUNCTION("IF(REGEXMATCH(N63, ""S""), ""0"","""")"),"0")</f>
        <v>0</v>
      </c>
      <c r="AT63" s="250" t="str">
        <f>IFERROR(__xludf.DUMMYFUNCTION("SUBSTITUTE(SUBSTITUTE(SUBSTITUTE(SUBSTITUTE(CONCATENATE(JOIN(""-"",AG63:AS63)),""--"",""-""),""--"",""-""),""--"",""-""),""--"",""-"")"),"0-3-5-9-11-0")</f>
        <v>0-3-5-9-11-0</v>
      </c>
      <c r="AU63" s="251">
        <f t="shared" si="13"/>
        <v>1</v>
      </c>
      <c r="AV63" s="234" t="str">
        <f t="shared" si="14"/>
        <v>|</v>
      </c>
      <c r="AW63" s="236" t="str">
        <f t="shared" si="15"/>
        <v>-</v>
      </c>
      <c r="AX63" s="237" t="str">
        <f t="shared" si="16"/>
        <v>-</v>
      </c>
      <c r="AY63" s="236" t="str">
        <f t="shared" si="17"/>
        <v>|</v>
      </c>
      <c r="AZ63" s="237" t="str">
        <f t="shared" si="18"/>
        <v>-</v>
      </c>
      <c r="BA63" s="236" t="str">
        <f t="shared" si="19"/>
        <v>|</v>
      </c>
      <c r="BB63" s="237" t="str">
        <f t="shared" si="20"/>
        <v>-</v>
      </c>
      <c r="BC63" s="236" t="str">
        <f t="shared" si="21"/>
        <v>-</v>
      </c>
      <c r="BD63" s="237" t="str">
        <f t="shared" si="22"/>
        <v>-</v>
      </c>
      <c r="BE63" s="236" t="str">
        <f t="shared" si="23"/>
        <v>|</v>
      </c>
      <c r="BF63" s="237" t="str">
        <f t="shared" si="24"/>
        <v>-</v>
      </c>
      <c r="BG63" s="236" t="str">
        <f t="shared" si="25"/>
        <v>|</v>
      </c>
      <c r="BH63" s="238" t="str">
        <f t="shared" si="26"/>
        <v>|</v>
      </c>
      <c r="BI63" s="250" t="str">
        <f>IFERROR(__xludf.DUMMYFUNCTION("SUBSTITUTE(SUBSTITUTE(CONCATENATE(JOIN("""",AV63:BG63)),""|"",""x""),""-"",""o"")"),"xooxoxoooxox")</f>
        <v>xooxoxoooxox</v>
      </c>
      <c r="BJ63" s="323" t="str">
        <f>IFERROR(__xludf.DUMMYFUNCTION("JOIN("""",BI63,BI63)"),"xooxoxoooxoxxooxoxoooxox")</f>
        <v>xooxoxoooxoxxooxoxoooxox</v>
      </c>
      <c r="BK63" s="256" t="str">
        <f>IFERROR(__xludf.DUMMYFUNCTION("JOIN("""",ArrayFormula(MID(BI63,LEN(BI63)-SEQUENCE(1,LEN(BI63))+1,1)))"),"xoxoooxoxoox")</f>
        <v>xoxoooxoxoox</v>
      </c>
      <c r="BL63" s="256" t="str">
        <f>IFERROR(__xludf.DUMMYFUNCTION("LEFT(CONCATENATE(""x"",JOIN("""",ArrayFormula(MID(BI63,LEN(BI63)-SEQUENCE(1,LEN(BI63))+1,1)))),12)"),"xxoxoooxoxoo")</f>
        <v>xxoxoooxoxoo</v>
      </c>
      <c r="BM63" s="327" t="str">
        <f>IFERROR(__xludf.DUMMYFUNCTION("JOIN("""",BK63,BK63)"),"xoxoooxoxooxxoxoooxoxoox")</f>
        <v>xoxoooxoxooxxoxoooxoxoox</v>
      </c>
      <c r="BN63" s="239" t="str">
        <f>IFERROR(__xludf.DUMMYFUNCTION("IF(REGEXMATCH(BM63,BI63),""✔"",""-"")"),"-")</f>
        <v>-</v>
      </c>
      <c r="BO63" s="330" t="str">
        <f t="shared" si="27"/>
        <v>-</v>
      </c>
      <c r="BP63" s="260" t="str">
        <f t="shared" si="28"/>
        <v>-</v>
      </c>
      <c r="BQ63" s="261" t="str">
        <f>IFERROR(__xludf.DUMMYFUNCTION("IF(BT63=0,""(n/a)"",IF(BU63=2,""(PAIR)"",IF(REGEXMATCH(BJ63,""xoxoxxoxoxox""),""Bilawal"",IF(REGEXMATCH(BJ63,""xoxoxooxoxoo""),""Bhupali"",IF(REGEXMATCH(BJ63,""xoxoxxoxxoxo""),""Charukeshi"",IF(REGEXMATCH(BJ63,""xoxoooxxoxxo""),""Kameshwari"",IF(REGEXMATC"&amp;"H(BJ63,""xoxoxooxoxox""),""Shankara"",IF(REGEXMATCH(BJ63,""xxooxoxxxoox""),""Basant"",IF(REGEXMATCH(BJ63,""xoxoxxxxoxox""),""Bihag"",IF(REGEXMATCH(BJ63,""xoxxxxoxoxxx""),""Pilu"",IF(REGEXMATCH(BJ63,""xoxxoxoxxoox""),""Kirwani"",IF(REGEXMATCH(BJ63,""xoxxox"&amp;"oxoxxx""),""Mk.Malhar"",IF(REGEXMATCH(BJ63,""xxooxxoxxoox""),""Bhairav"",IF(REGEXMATCH(BJ63,""xxoxooxxxoox""),""Todi"",IF(REGEXMATCH(BJ63,""xxooxoxooxox""),""Marwa"",IF(REGEXMATCH(BJ63,""xxoooxoxxooo""),""Gunkali"",IF(REGEXMATCH(BJ63,""xoxoxxoxxoox""),""N"&amp;"at Bhairav"",IF(REGEXMATCH(BJ63,""xoxxoooxoxoo""),""Shivranjani"",IF(REGEXMATCH(BJ63,""xooxxxoxooxo""),""Jog"",IF(REGEXMATCH(BJ63,""xxooxoxoxoox""),""Hemshri"",IF(REGEXMATCH(BJ63,""xoooxooxoxxo""),""Kalavati"",IF(REGEXMATCH(BJ63,""xxoxoxxoxoox""),""Kedar"&amp;""",IF(REGEXMATCH(BJ63,""xoxxxxoxooxx""),""Gara"",IF(REGEXMATCH(BJ63,""xooxoxooxoox""),""Chandrakauns"",IF(REGEXMATCH(BJ63,""xoxxxxoxxxox""),""Mand"",IF(REGEXMATCH(BJ63,""xoxxxxoxoxox""),""Hanskinkini"",IF(REGEXMATCH(BJ63,""xxooxxoxooxo""),""Lilavati"",IF("&amp;"REGEXMATCH(BJ63,""xooxoxoooxox""),""Rajeshwari"",IF(REGEXMATCH(BJ63,""xoooxxoxoxxx""),""Khokar"",IF(REGEXMATCH(BJ63,""xxooxoxxxxox""),""Maligoura"",""-""))))))))))))))))))))))))))))))"),"Rajeshwari")</f>
        <v>Rajeshwari</v>
      </c>
      <c r="BR63" s="239">
        <f t="shared" si="29"/>
        <v>4</v>
      </c>
      <c r="BS63" s="239">
        <f>IFERROR(__xludf.DUMMYFUNCTION("COUNTUNIQUE(BW63:CG63)-1"),4.0)</f>
        <v>4</v>
      </c>
      <c r="BT63" s="239">
        <f>IFERROR(__xludf.DUMMYFUNCTION("COUNTUNIQUE(FILTER(BJ:BJ,REGEXMATCH(BJ:BJ,BI63)))-1"),1.0)</f>
        <v>1</v>
      </c>
      <c r="BU63" s="239">
        <f>IFERROR(__xludf.DUMMYFUNCTION("COUNTA(FILTER(BJ:BJ,REGEXMATCH(BJ:BJ,BI63)))"),3.0)</f>
        <v>3</v>
      </c>
      <c r="BV63" s="341">
        <f>IFERROR(__xludf.DUMMYFUNCTION("COUNTA(FILTER(BJ:BJ,REGEXMATCH(BJ:BJ,BI63)))-AU63"),2.0)</f>
        <v>2</v>
      </c>
      <c r="BW63" s="269" t="str">
        <f t="shared" si="30"/>
        <v>-</v>
      </c>
      <c r="BX63" s="269" t="str">
        <f t="shared" si="31"/>
        <v>-</v>
      </c>
      <c r="BY63" s="271" t="str">
        <f t="shared" si="32"/>
        <v>xoxoooxoxxo</v>
      </c>
      <c r="BZ63" s="269" t="str">
        <f t="shared" si="33"/>
        <v>-</v>
      </c>
      <c r="CA63" s="271" t="str">
        <f t="shared" si="34"/>
        <v>xoooxoxxoox</v>
      </c>
      <c r="CB63" s="271" t="str">
        <f t="shared" si="35"/>
        <v>-</v>
      </c>
      <c r="CC63" s="271" t="str">
        <f t="shared" si="36"/>
        <v>-</v>
      </c>
      <c r="CD63" s="271" t="str">
        <f t="shared" si="37"/>
        <v>-</v>
      </c>
      <c r="CE63" s="271" t="str">
        <f t="shared" si="38"/>
        <v>xoxxooxoxoo</v>
      </c>
      <c r="CF63" s="271" t="str">
        <f t="shared" si="39"/>
        <v>-</v>
      </c>
      <c r="CG63" s="274" t="str">
        <f t="shared" si="40"/>
        <v>xxooxoxooox</v>
      </c>
      <c r="CH63" s="276" t="str">
        <f>IFERROR(__xludf.DUMMYFUNCTION("IF(BI63=""oooooooooooo"",""-"",IF(REGEXMATCH(BJ63,""xx""), ""Hemi."", ""Anhemi.""))"),"Hemi.")</f>
        <v>Hemi.</v>
      </c>
      <c r="CI63" s="282" t="str">
        <f>IFERROR(__xludf.DUMMYFUNCTION("IF(BI63=""oooooooooooo"",""-"",IF(REGEXMATCH(BJ63,""xxx""), ""Cohem."", ""-""))"),"-")</f>
        <v>-</v>
      </c>
      <c r="CJ63" s="282" t="str">
        <f>IFERROR(__xludf.DUMMYFUNCTION("IF(BI63=""oooooooooooo"",""-"",IF(REGEXMATCH(BJ63,""xxxx""), ""Co-Co."", ""-""))"),"-")</f>
        <v>-</v>
      </c>
      <c r="CK63" s="342" t="str">
        <f>IFERROR(__xludf.DUMMYFUNCTION("IF(BI63=""oooooooooooo"",""-"",IF(REGEXMATCH(BJ63,""xxxxx""), ""CCC."", ""-""))"),"-")</f>
        <v>-</v>
      </c>
      <c r="CL63" s="344" t="str">
        <f t="shared" si="41"/>
        <v>-</v>
      </c>
      <c r="CM63" s="282" t="str">
        <f>IFERROR(__xludf.DUMMYFUNCTION("IF(REGEXMATCH(JOIN(""-"",CO63:CX63),""TRUE""),""✔"",""-"")"),"-")</f>
        <v>-</v>
      </c>
      <c r="CN63" s="225">
        <f t="shared" si="42"/>
        <v>0</v>
      </c>
      <c r="CO63" s="376" t="b">
        <f>IFERROR(__xludf.DUMMYFUNCTION("arrayformula(sum(--REGEXMATCH(""SRGMPDNS"",split(REGEXREPLACE(N63,""(.)"",""$1~""),""~""))))=len(N63)
"),FALSE)</f>
        <v>0</v>
      </c>
      <c r="CP63" s="290" t="b">
        <f>IFERROR(__xludf.DUMMYFUNCTION("arrayformula(sum(--REGEXMATCH(""SRGmPDNS"",split(REGEXREPLACE(N63,""(.)"",""$1~""),""~""))))=len(N63)"),FALSE)</f>
        <v>0</v>
      </c>
      <c r="CQ63" s="290" t="b">
        <f>IFERROR(__xludf.DUMMYFUNCTION("arrayformula(sum(--REGEXMATCH(""SRGmPDnS"",split(REGEXREPLACE(N63,""(.)"",""$1~""),""~""))))=len(N63)"),FALSE)</f>
        <v>0</v>
      </c>
      <c r="CR63" s="290" t="b">
        <f>IFERROR(__xludf.DUMMYFUNCTION("arrayformula(sum(--REGEXMATCH(""SRgmPDnS"",split(REGEXREPLACE(N63,""(.)"",""$1~""),""~""))))=len(N63)"),FALSE)</f>
        <v>0</v>
      </c>
      <c r="CS63" s="290" t="b">
        <f>IFERROR(__xludf.DUMMYFUNCTION("arrayformula(sum(--REGEXMATCH(""SRgmPdnS"",split(REGEXREPLACE(N63,""(.)"",""$1~""),""~""))))=len(N63)"),FALSE)</f>
        <v>0</v>
      </c>
      <c r="CT63" s="290" t="b">
        <f>IFERROR(__xludf.DUMMYFUNCTION("arrayformula(sum(--REGEXMATCH(""SrgmPdnS"",split(REGEXREPLACE(N63,""(.)"",""$1~""),""~""))))=len(N63)"),FALSE)</f>
        <v>0</v>
      </c>
      <c r="CU63" s="290" t="b">
        <f>IFERROR(__xludf.DUMMYFUNCTION("arrayformula(sum(--REGEXMATCH(""SrGmPdNS"",split(REGEXREPLACE(N63,""(.)"",""$1~""),""~""))))=len(N63)"),FALSE)</f>
        <v>0</v>
      </c>
      <c r="CV63" s="290" t="b">
        <f>IFERROR(__xludf.DUMMYFUNCTION("arrayformula(sum(--REGEXMATCH(""SrGMPDNS"",split(REGEXREPLACE(N63,""(.)"",""$1~""),""~""))))=len(N63)"),FALSE)</f>
        <v>0</v>
      </c>
      <c r="CW63" s="290" t="b">
        <f>IFERROR(__xludf.DUMMYFUNCTION("arrayformula(sum(--REGEXMATCH(""SrGMPdNS"",split(REGEXREPLACE(N63,""(.)"",""$1~""),""~""))))=len(N63)"),FALSE)</f>
        <v>0</v>
      </c>
      <c r="CX63" s="293" t="b">
        <f>IFERROR(__xludf.DUMMYFUNCTION("arrayformula(sum(--REGEXMATCH(""SrgMPdNS"",split(REGEXREPLACE(N63,""(.)"",""$1~""),""~""))))=len(N63)"),FALSE)</f>
        <v>0</v>
      </c>
      <c r="CY63" s="244" t="str">
        <f>IFERROR(__xludf.DUMMYFUNCTION("IF(REGEXMATCH(N63, ""S""), ""1"","""")"),"1")</f>
        <v>1</v>
      </c>
      <c r="CZ63" s="245" t="str">
        <f>IFERROR(__xludf.DUMMYFUNCTION("IF(REGEXMATCH(N63, ""r""), ""b2"","""")"),"")</f>
        <v/>
      </c>
      <c r="DA63" s="246" t="str">
        <f>IFERROR(__xludf.DUMMYFUNCTION("IF(REGEXMATCH(N63, ""R""), ""2"","""")"),"")</f>
        <v/>
      </c>
      <c r="DB63" s="246" t="str">
        <f>IFERROR(__xludf.DUMMYFUNCTION("IF(REGEXMATCH(N63, ""g""), ""b3"","""")"),"b3")</f>
        <v>b3</v>
      </c>
      <c r="DC63" s="245" t="str">
        <f>IFERROR(__xludf.DUMMYFUNCTION("IF(REGEXMATCH(N63, ""G""), ""3"","""")"),"")</f>
        <v/>
      </c>
      <c r="DD63" s="245" t="str">
        <f>IFERROR(__xludf.DUMMYFUNCTION("IF(REGEXMATCH(N63, ""m""), ""4"","""")"),"4")</f>
        <v>4</v>
      </c>
      <c r="DE63" s="246" t="str">
        <f>IFERROR(__xludf.DUMMYFUNCTION("IF(REGEXMATCH(N63, ""M""), ""#4"","""")"),"")</f>
        <v/>
      </c>
      <c r="DF63" s="245" t="str">
        <f>IFERROR(__xludf.DUMMYFUNCTION("IF(REGEXMATCH(N63, ""P""), ""5"","""")"),"")</f>
        <v/>
      </c>
      <c r="DG63" s="246" t="str">
        <f>IFERROR(__xludf.DUMMYFUNCTION("IF(REGEXMATCH(N63, ""d""), ""b6"","""")"),"")</f>
        <v/>
      </c>
      <c r="DH63" s="245" t="str">
        <f>IFERROR(__xludf.DUMMYFUNCTION("IF(REGEXMATCH(N63, ""D""), ""6"","""")"),"6")</f>
        <v>6</v>
      </c>
      <c r="DI63" s="245" t="str">
        <f>IFERROR(__xludf.DUMMYFUNCTION("IF(REGEXMATCH(N63, ""n""), ""b7"","""")"),"")</f>
        <v/>
      </c>
      <c r="DJ63" s="246" t="str">
        <f>IFERROR(__xludf.DUMMYFUNCTION("IF(REGEXMATCH(N63, ""N""), ""7"","""")"),"7")</f>
        <v>7</v>
      </c>
      <c r="DK63" s="249" t="str">
        <f>IFERROR(__xludf.DUMMYFUNCTION("IF(REGEXMATCH(N63, ""S""), ""8"","""")"),"8")</f>
        <v>8</v>
      </c>
      <c r="DL63" s="244" t="str">
        <f>IFERROR(__xludf.DUMMYFUNCTION("IF(REGEXMATCH(N63, ""S""), ""S"","""")"),"S")</f>
        <v>S</v>
      </c>
      <c r="DM63" s="294" t="str">
        <f>IFERROR(__xludf.DUMMYFUNCTION("IF(REGEXMATCH(N63, ""r""), ""R1"","""")"),"")</f>
        <v/>
      </c>
      <c r="DN63" s="295" t="str">
        <f>IFERROR(__xludf.DUMMYFUNCTION("IF(REGEXMATCH(N63, ""R""), ""R2"","""")"),"")</f>
        <v/>
      </c>
      <c r="DO63" s="295" t="str">
        <f>IFERROR(__xludf.DUMMYFUNCTION("IF(REGEXMATCH(N63, ""g""), ""G2"","""")"),"G2")</f>
        <v>G2</v>
      </c>
      <c r="DP63" s="294" t="str">
        <f>IFERROR(__xludf.DUMMYFUNCTION("IF(REGEXMATCH(N63, ""G""), ""G3"","""")"),"")</f>
        <v/>
      </c>
      <c r="DQ63" s="294" t="str">
        <f>IFERROR(__xludf.DUMMYFUNCTION("IF(REGEXMATCH(N63, ""m""), ""M1"","""")"),"M1")</f>
        <v>M1</v>
      </c>
      <c r="DR63" s="295" t="str">
        <f>IFERROR(__xludf.DUMMYFUNCTION("IF(REGEXMATCH(N63, ""M""), ""M2"","""")"),"")</f>
        <v/>
      </c>
      <c r="DS63" s="294" t="str">
        <f>IFERROR(__xludf.DUMMYFUNCTION("IF(REGEXMATCH(N63, ""P""), ""P"","""")"),"")</f>
        <v/>
      </c>
      <c r="DT63" s="295" t="str">
        <f>IFERROR(__xludf.DUMMYFUNCTION("IF(REGEXMATCH(N63, ""d""), ""D1"","""")"),"")</f>
        <v/>
      </c>
      <c r="DU63" s="294" t="str">
        <f>IFERROR(__xludf.DUMMYFUNCTION("IF(REGEXMATCH(N63, ""D""), ""D2"","""")"),"D2")</f>
        <v>D2</v>
      </c>
      <c r="DV63" s="294" t="str">
        <f>IFERROR(__xludf.DUMMYFUNCTION("IF(REGEXMATCH(N63, ""n""), ""N2"","""")"),"")</f>
        <v/>
      </c>
      <c r="DW63" s="295" t="str">
        <f>IFERROR(__xludf.DUMMYFUNCTION("IF(REGEXMATCH(N63, ""N""), ""N3"","""")"),"N3")</f>
        <v>N3</v>
      </c>
      <c r="DX63" s="249" t="str">
        <f>IFERROR(__xludf.DUMMYFUNCTION("IF(REGEXMATCH(N63, ""S""), ""S"","""")"),"S")</f>
        <v>S</v>
      </c>
      <c r="DY63" s="299" t="str">
        <f>IFERROR(__xludf.DUMMYFUNCTION("SUBSTITUTE(SUBSTITUTE(SUBSTITUTE(SUBSTITUTE(CONCATENATE(JOIN(""-"",CY63:DK63)),""--"",""-""),""--"",""-""),""--"",""-""),""--"",""-"")"),"1-b3-4-6-7-8")</f>
        <v>1-b3-4-6-7-8</v>
      </c>
      <c r="DZ63" s="299" t="str">
        <f>IFERROR(__xludf.DUMMYFUNCTION("SUBSTITUTE(SUBSTITUTE(SUBSTITUTE(SUBSTITUTE(CONCATENATE(JOIN(""-"",DL63:DX63)),""--"",""-""),""--"",""-""),""--"",""-""),""--"",""-"")"),"S-G2-M1-D2-N3-S")</f>
        <v>S-G2-M1-D2-N3-S</v>
      </c>
      <c r="EA63" s="348" t="str">
        <f t="shared" si="43"/>
        <v>C-Eb-F-A-B-C</v>
      </c>
      <c r="EB63" s="301">
        <f t="shared" si="44"/>
        <v>5</v>
      </c>
      <c r="EC63" s="302" t="str">
        <f t="shared" si="45"/>
        <v>Audav</v>
      </c>
      <c r="ED63" s="301" t="str">
        <f t="shared" ref="ED63:EE63" si="229">SUBSTITUTE(AD63,"-","")</f>
        <v>SGM</v>
      </c>
      <c r="EE63" s="301" t="str">
        <f t="shared" si="229"/>
        <v>DNS</v>
      </c>
      <c r="EF63" s="302" t="str">
        <f t="shared" si="47"/>
        <v>Rajeshwari</v>
      </c>
      <c r="EG63" s="301" t="str">
        <f t="shared" si="48"/>
        <v>Hemi.</v>
      </c>
      <c r="EH63" s="364" t="str">
        <f t="shared" si="49"/>
        <v>-</v>
      </c>
      <c r="EI63" s="306" t="str">
        <f t="shared" si="50"/>
        <v>-</v>
      </c>
      <c r="EJ63" s="366" t="str">
        <f t="shared" si="51"/>
        <v>-</v>
      </c>
      <c r="EK63" s="308" t="str">
        <f t="shared" si="52"/>
        <v>✔</v>
      </c>
      <c r="EL63" s="306" t="str">
        <f t="shared" si="53"/>
        <v>-</v>
      </c>
      <c r="EM63" s="306" t="str">
        <f t="shared" si="54"/>
        <v>-</v>
      </c>
      <c r="EN63" s="367" t="str">
        <f t="shared" si="55"/>
        <v>-</v>
      </c>
      <c r="EO63" s="310" t="str">
        <f t="shared" si="56"/>
        <v>-</v>
      </c>
      <c r="EP63" s="310" t="str">
        <f t="shared" si="57"/>
        <v>-</v>
      </c>
      <c r="EQ63" s="310" t="str">
        <f t="shared" si="58"/>
        <v>-</v>
      </c>
      <c r="ER63" s="310" t="str">
        <f t="shared" si="59"/>
        <v>-</v>
      </c>
      <c r="ES63" s="370" t="str">
        <f t="shared" si="60"/>
        <v>-</v>
      </c>
      <c r="ET63" s="306" t="str">
        <f t="shared" si="61"/>
        <v>✔</v>
      </c>
      <c r="EU63" s="306" t="str">
        <f t="shared" si="62"/>
        <v>-</v>
      </c>
      <c r="EV63" s="306" t="str">
        <f t="shared" si="63"/>
        <v>-</v>
      </c>
      <c r="EW63" s="306" t="str">
        <f t="shared" si="64"/>
        <v>✔</v>
      </c>
      <c r="EX63" s="306" t="str">
        <f t="shared" si="65"/>
        <v>-</v>
      </c>
      <c r="EY63" s="367" t="str">
        <f t="shared" si="66"/>
        <v>-</v>
      </c>
      <c r="EZ63" s="310" t="str">
        <f>IFERROR(__xludf.DUMMYFUNCTION("IF(REGEXMATCH(BM63,BI63),""✔"",""-"")"),"-")</f>
        <v>-</v>
      </c>
      <c r="FA63" s="310" t="str">
        <f t="shared" si="67"/>
        <v>-</v>
      </c>
      <c r="FB63" s="370" t="str">
        <f t="shared" si="68"/>
        <v>-</v>
      </c>
      <c r="FC63" s="415">
        <f t="shared" si="69"/>
        <v>1</v>
      </c>
      <c r="FD63" s="317" t="str">
        <f t="shared" si="70"/>
        <v>S-g-m-D-N-S</v>
      </c>
      <c r="FE63" s="318" t="str">
        <f>IFERROR(__xludf.DUMMYFUNCTION("CONCATENATE(JOIN("""",GJ63:GV63))"),"SrgPDS")</f>
        <v>SrgPDS</v>
      </c>
      <c r="FF63" s="318"/>
      <c r="FG63" s="318"/>
      <c r="FH63" s="321">
        <f t="shared" si="71"/>
        <v>4</v>
      </c>
      <c r="FI63" s="318" t="str">
        <f>IFERROR(__xludf.DUMMYFUNCTION("CONCATENATE(JOIN("""",HW63:II63))"),"Sa, ga, Dha, Ni, ")</f>
        <v>Sa, ga, Dha, Ni, </v>
      </c>
      <c r="FJ63" s="322">
        <f t="shared" si="72"/>
        <v>3</v>
      </c>
      <c r="FK63" s="324" t="str">
        <f>IFERROR(__xludf.DUMMYFUNCTION("CONCATENATE(JOIN("""",IW63:JI63))"),"ga, Dha, Ni, ")</f>
        <v>ga, Dha, Ni, </v>
      </c>
      <c r="FL63" s="325" t="str">
        <f t="shared" si="73"/>
        <v>S-G2-M1-D2-N3-S</v>
      </c>
      <c r="FM63" s="326" t="str">
        <f t="shared" si="74"/>
        <v>1-b3-4-6-7-8</v>
      </c>
      <c r="FN63" s="326" t="str">
        <f t="shared" si="75"/>
        <v>0-3-5-9-11-0</v>
      </c>
      <c r="FO63" s="318"/>
      <c r="FP63" s="328" t="str">
        <f>IFERROR(__xludf.DUMMYFUNCTION("SUBSTITUTE(SUBSTITUTE(SUBSTITUTE(SUBSTITUTE(CONCATENATE(JOIN("" "",FS63:GE63)),""  "","" ""),""  "","" ""),""  "","" ""),""  "","" "")"),"o • • o • o • • • o • o o")</f>
        <v>o • • o • o • • • o • o o</v>
      </c>
      <c r="FQ63" s="328" t="str">
        <f t="shared" si="76"/>
        <v>Sa-ma</v>
      </c>
      <c r="FR63" s="329"/>
      <c r="FS63" s="331" t="str">
        <f t="shared" si="77"/>
        <v>o</v>
      </c>
      <c r="FT63" s="332" t="str">
        <f t="shared" si="78"/>
        <v>•</v>
      </c>
      <c r="FU63" s="332" t="str">
        <f t="shared" si="79"/>
        <v>•</v>
      </c>
      <c r="FV63" s="332" t="str">
        <f t="shared" si="80"/>
        <v>o</v>
      </c>
      <c r="FW63" s="332" t="str">
        <f t="shared" si="81"/>
        <v>•</v>
      </c>
      <c r="FX63" s="332" t="str">
        <f t="shared" si="82"/>
        <v>o</v>
      </c>
      <c r="FY63" s="332" t="str">
        <f t="shared" si="83"/>
        <v>•</v>
      </c>
      <c r="FZ63" s="332" t="str">
        <f t="shared" si="84"/>
        <v>•</v>
      </c>
      <c r="GA63" s="332" t="str">
        <f t="shared" si="85"/>
        <v>•</v>
      </c>
      <c r="GB63" s="332" t="str">
        <f t="shared" si="86"/>
        <v>o</v>
      </c>
      <c r="GC63" s="332" t="str">
        <f t="shared" si="87"/>
        <v>•</v>
      </c>
      <c r="GD63" s="332" t="str">
        <f t="shared" si="88"/>
        <v>o</v>
      </c>
      <c r="GE63" s="338" t="str">
        <f t="shared" si="89"/>
        <v>o</v>
      </c>
      <c r="GF63" s="339" t="str">
        <f t="shared" si="90"/>
        <v>-</v>
      </c>
      <c r="GG63" s="339" t="str">
        <f t="shared" si="91"/>
        <v>-</v>
      </c>
      <c r="GH63" s="339" t="str">
        <f t="shared" si="92"/>
        <v>-</v>
      </c>
      <c r="GI63" s="340" t="str">
        <f t="shared" si="93"/>
        <v>Sa-ma</v>
      </c>
      <c r="GJ63" s="331" t="str">
        <f t="shared" si="94"/>
        <v>S</v>
      </c>
      <c r="GK63" s="332" t="str">
        <f t="shared" si="95"/>
        <v>r</v>
      </c>
      <c r="GL63" s="332" t="str">
        <f t="shared" si="96"/>
        <v/>
      </c>
      <c r="GM63" s="332" t="str">
        <f t="shared" si="97"/>
        <v>g</v>
      </c>
      <c r="GN63" s="332" t="str">
        <f t="shared" si="98"/>
        <v/>
      </c>
      <c r="GO63" s="332" t="str">
        <f t="shared" si="99"/>
        <v/>
      </c>
      <c r="GP63" s="332" t="str">
        <f t="shared" si="100"/>
        <v/>
      </c>
      <c r="GQ63" s="332" t="str">
        <f t="shared" si="101"/>
        <v>P</v>
      </c>
      <c r="GR63" s="332" t="str">
        <f t="shared" si="102"/>
        <v/>
      </c>
      <c r="GS63" s="332" t="str">
        <f t="shared" si="103"/>
        <v>D</v>
      </c>
      <c r="GT63" s="332" t="str">
        <f t="shared" si="104"/>
        <v/>
      </c>
      <c r="GU63" s="332" t="str">
        <f t="shared" si="105"/>
        <v/>
      </c>
      <c r="GV63" s="343" t="str">
        <f t="shared" si="106"/>
        <v>S</v>
      </c>
      <c r="GW63" s="331" t="str">
        <f t="shared" si="107"/>
        <v>•</v>
      </c>
      <c r="GX63" s="332" t="str">
        <f t="shared" si="108"/>
        <v>o</v>
      </c>
      <c r="GY63" s="332" t="str">
        <f t="shared" si="109"/>
        <v>o</v>
      </c>
      <c r="GZ63" s="332" t="str">
        <f t="shared" si="110"/>
        <v>•</v>
      </c>
      <c r="HA63" s="332" t="str">
        <f t="shared" si="111"/>
        <v>o</v>
      </c>
      <c r="HB63" s="332" t="str">
        <f t="shared" si="112"/>
        <v>•</v>
      </c>
      <c r="HC63" s="332" t="str">
        <f t="shared" si="113"/>
        <v>o</v>
      </c>
      <c r="HD63" s="332" t="str">
        <f t="shared" si="114"/>
        <v>o</v>
      </c>
      <c r="HE63" s="332" t="str">
        <f t="shared" si="115"/>
        <v>o</v>
      </c>
      <c r="HF63" s="332" t="str">
        <f t="shared" si="116"/>
        <v>•</v>
      </c>
      <c r="HG63" s="332" t="str">
        <f t="shared" si="117"/>
        <v>o</v>
      </c>
      <c r="HH63" s="332" t="str">
        <f t="shared" si="118"/>
        <v>•</v>
      </c>
      <c r="HI63" s="338" t="str">
        <f t="shared" si="119"/>
        <v>•</v>
      </c>
      <c r="HJ63" s="346" t="b">
        <f t="shared" si="120"/>
        <v>1</v>
      </c>
      <c r="HK63" s="347" t="b">
        <f t="shared" si="121"/>
        <v>0</v>
      </c>
      <c r="HL63" s="347" t="b">
        <f t="shared" si="122"/>
        <v>0</v>
      </c>
      <c r="HM63" s="347" t="b">
        <f t="shared" si="123"/>
        <v>1</v>
      </c>
      <c r="HN63" s="347" t="b">
        <f t="shared" si="124"/>
        <v>0</v>
      </c>
      <c r="HO63" s="347" t="b">
        <f t="shared" si="125"/>
        <v>0</v>
      </c>
      <c r="HP63" s="347" t="b">
        <f t="shared" si="126"/>
        <v>0</v>
      </c>
      <c r="HQ63" s="347" t="b">
        <f t="shared" si="127"/>
        <v>0</v>
      </c>
      <c r="HR63" s="347" t="b">
        <f t="shared" si="128"/>
        <v>0</v>
      </c>
      <c r="HS63" s="347" t="b">
        <f t="shared" si="129"/>
        <v>1</v>
      </c>
      <c r="HT63" s="347" t="b">
        <f t="shared" si="130"/>
        <v>0</v>
      </c>
      <c r="HU63" s="347" t="b">
        <f t="shared" si="131"/>
        <v>1</v>
      </c>
      <c r="HV63" s="353" t="b">
        <f t="shared" si="132"/>
        <v>1</v>
      </c>
      <c r="HW63" s="354" t="str">
        <f t="shared" si="133"/>
        <v>Sa, </v>
      </c>
      <c r="HX63" s="355" t="str">
        <f t="shared" si="134"/>
        <v/>
      </c>
      <c r="HY63" s="355" t="str">
        <f t="shared" si="135"/>
        <v/>
      </c>
      <c r="HZ63" s="355" t="str">
        <f t="shared" si="136"/>
        <v>ga, </v>
      </c>
      <c r="IA63" s="355" t="str">
        <f t="shared" si="137"/>
        <v/>
      </c>
      <c r="IB63" s="355" t="str">
        <f t="shared" si="138"/>
        <v/>
      </c>
      <c r="IC63" s="355" t="str">
        <f t="shared" si="139"/>
        <v/>
      </c>
      <c r="ID63" s="355" t="str">
        <f t="shared" si="140"/>
        <v/>
      </c>
      <c r="IE63" s="355" t="str">
        <f t="shared" si="141"/>
        <v/>
      </c>
      <c r="IF63" s="355" t="str">
        <f t="shared" si="142"/>
        <v>Dha, </v>
      </c>
      <c r="IG63" s="355" t="str">
        <f t="shared" si="143"/>
        <v/>
      </c>
      <c r="IH63" s="355" t="str">
        <f t="shared" si="144"/>
        <v>Ni, </v>
      </c>
      <c r="II63" s="359" t="str">
        <f t="shared" si="145"/>
        <v/>
      </c>
      <c r="IJ63" s="346" t="b">
        <f t="shared" si="146"/>
        <v>0</v>
      </c>
      <c r="IK63" s="347" t="b">
        <f t="shared" si="147"/>
        <v>0</v>
      </c>
      <c r="IL63" s="347" t="b">
        <f t="shared" si="148"/>
        <v>0</v>
      </c>
      <c r="IM63" s="347" t="b">
        <f t="shared" si="149"/>
        <v>1</v>
      </c>
      <c r="IN63" s="347" t="b">
        <f t="shared" si="150"/>
        <v>0</v>
      </c>
      <c r="IO63" s="347" t="b">
        <f t="shared" si="151"/>
        <v>0</v>
      </c>
      <c r="IP63" s="347" t="b">
        <f t="shared" si="152"/>
        <v>0</v>
      </c>
      <c r="IQ63" s="347" t="b">
        <f t="shared" si="153"/>
        <v>0</v>
      </c>
      <c r="IR63" s="347" t="b">
        <f t="shared" si="154"/>
        <v>0</v>
      </c>
      <c r="IS63" s="347" t="b">
        <f t="shared" si="155"/>
        <v>1</v>
      </c>
      <c r="IT63" s="347" t="b">
        <f t="shared" si="156"/>
        <v>0</v>
      </c>
      <c r="IU63" s="347" t="b">
        <f t="shared" si="157"/>
        <v>1</v>
      </c>
      <c r="IV63" s="365" t="b">
        <f t="shared" si="158"/>
        <v>0</v>
      </c>
      <c r="IW63" s="354" t="str">
        <f t="shared" si="159"/>
        <v/>
      </c>
      <c r="IX63" s="355" t="str">
        <f t="shared" si="160"/>
        <v/>
      </c>
      <c r="IY63" s="355" t="str">
        <f t="shared" si="161"/>
        <v/>
      </c>
      <c r="IZ63" s="355" t="str">
        <f t="shared" si="162"/>
        <v>ga, </v>
      </c>
      <c r="JA63" s="355" t="str">
        <f t="shared" si="163"/>
        <v/>
      </c>
      <c r="JB63" s="355" t="str">
        <f t="shared" si="164"/>
        <v/>
      </c>
      <c r="JC63" s="355" t="str">
        <f t="shared" si="165"/>
        <v/>
      </c>
      <c r="JD63" s="355" t="str">
        <f t="shared" si="166"/>
        <v/>
      </c>
      <c r="JE63" s="355" t="str">
        <f t="shared" si="167"/>
        <v/>
      </c>
      <c r="JF63" s="355" t="str">
        <f t="shared" si="168"/>
        <v>Dha, </v>
      </c>
      <c r="JG63" s="355" t="str">
        <f t="shared" si="169"/>
        <v/>
      </c>
      <c r="JH63" s="355" t="str">
        <f t="shared" si="170"/>
        <v>Ni, </v>
      </c>
      <c r="JI63" s="359"/>
      <c r="JJ63" s="321"/>
      <c r="JK63" s="368"/>
      <c r="JL63" s="369"/>
      <c r="JM63" s="369"/>
      <c r="JN63" s="369"/>
      <c r="JO63" s="369"/>
      <c r="JP63" s="369"/>
      <c r="JQ63" s="369"/>
      <c r="JR63" s="369"/>
      <c r="JS63" s="369"/>
      <c r="JT63" s="369"/>
      <c r="JU63" s="369"/>
    </row>
    <row r="64" ht="20.25" customHeight="1">
      <c r="A64" s="221" t="s">
        <v>1227</v>
      </c>
      <c r="B64" s="223" t="s">
        <v>1228</v>
      </c>
      <c r="C64" s="222"/>
      <c r="D64" s="222" t="s">
        <v>275</v>
      </c>
      <c r="E64" s="222" t="s">
        <v>275</v>
      </c>
      <c r="F64" s="222"/>
      <c r="G64" s="395" t="s">
        <v>275</v>
      </c>
      <c r="H64" s="222">
        <v>62.0</v>
      </c>
      <c r="I64" s="224" t="s">
        <v>1219</v>
      </c>
      <c r="J64" s="225" t="str">
        <f t="shared" si="5"/>
        <v>[UQ]</v>
      </c>
      <c r="K64" s="227">
        <f t="shared" si="6"/>
        <v>5</v>
      </c>
      <c r="L64" s="229">
        <f t="shared" si="7"/>
        <v>5</v>
      </c>
      <c r="M64" s="230">
        <f t="shared" si="8"/>
        <v>0</v>
      </c>
      <c r="N64" s="233" t="str">
        <f t="shared" si="9"/>
        <v>SgMdnS</v>
      </c>
      <c r="O64" s="234" t="str">
        <f>IFERROR(__xludf.DUMMYFUNCTION("IF(REGEXMATCH(N64, ""S""), ""S"","""")"),"S")</f>
        <v>S</v>
      </c>
      <c r="P64" s="236" t="str">
        <f>IFERROR(__xludf.DUMMYFUNCTION("IF(REGEXMATCH(N64, ""r""), ""r"","""")"),"")</f>
        <v/>
      </c>
      <c r="Q64" s="237" t="str">
        <f>IFERROR(__xludf.DUMMYFUNCTION("IF(REGEXMATCH(N64, ""R""), ""R"","""")"),"")</f>
        <v/>
      </c>
      <c r="R64" s="237" t="str">
        <f>IFERROR(__xludf.DUMMYFUNCTION("IF(REGEXMATCH(N64, ""g""), ""g"","""")"),"g")</f>
        <v>g</v>
      </c>
      <c r="S64" s="236" t="str">
        <f>IFERROR(__xludf.DUMMYFUNCTION("IF(REGEXMATCH(N64, ""G""), ""G"","""")"),"")</f>
        <v/>
      </c>
      <c r="T64" s="236" t="str">
        <f>IFERROR(__xludf.DUMMYFUNCTION("IF(REGEXMATCH(N64, ""m""), ""m"","""")"),"")</f>
        <v/>
      </c>
      <c r="U64" s="237" t="str">
        <f>IFERROR(__xludf.DUMMYFUNCTION("IF(REGEXMATCH(N64, ""M""), ""M"","""")"),"M")</f>
        <v>M</v>
      </c>
      <c r="V64" s="236" t="str">
        <f>IFERROR(__xludf.DUMMYFUNCTION("IF(REGEXMATCH(N64, ""P""), ""P"","""")"),"")</f>
        <v/>
      </c>
      <c r="W64" s="237" t="str">
        <f>IFERROR(__xludf.DUMMYFUNCTION("IF(REGEXMATCH(N64, ""d""), ""d"","""")"),"d")</f>
        <v>d</v>
      </c>
      <c r="X64" s="236" t="str">
        <f>IFERROR(__xludf.DUMMYFUNCTION("IF(REGEXMATCH(N64, ""D""), ""D"","""")"),"")</f>
        <v/>
      </c>
      <c r="Y64" s="236" t="str">
        <f>IFERROR(__xludf.DUMMYFUNCTION("IF(REGEXMATCH(N64, ""n""), ""n"","""")"),"n")</f>
        <v>n</v>
      </c>
      <c r="Z64" s="237" t="str">
        <f>IFERROR(__xludf.DUMMYFUNCTION("IF(REGEXMATCH(N64, ""N""), ""N"","""")"),"")</f>
        <v/>
      </c>
      <c r="AA64" s="238" t="str">
        <f>IFERROR(__xludf.DUMMYFUNCTION("IF(REGEXMATCH(N64, ""S""), ""S"","""")"),"S")</f>
        <v>S</v>
      </c>
      <c r="AB64" s="239" t="str">
        <f>IFERROR(__xludf.DUMMYFUNCTION("SUBSTITUTE(CONCATENATE(JOIN(""-"",O64:U64)),""-"","""")"),"SgM")</f>
        <v>SgM</v>
      </c>
      <c r="AC64" s="229" t="str">
        <f>IFERROR(__xludf.DUMMYFUNCTION("SUBSTITUTE(CONCATENATE(JOIN(""-"",V64:AA64)),""-"","""")"),"dnS")</f>
        <v>dnS</v>
      </c>
      <c r="AD64" s="282" t="str">
        <f t="shared" si="10"/>
        <v>S-G-M</v>
      </c>
      <c r="AE64" s="282" t="str">
        <f t="shared" si="11"/>
        <v>D-N-S</v>
      </c>
      <c r="AF64" s="309" t="str">
        <f t="shared" si="12"/>
        <v>gMdn</v>
      </c>
      <c r="AG64" s="244" t="str">
        <f>IFERROR(__xludf.DUMMYFUNCTION("IF(REGEXMATCH(N64, ""S""), ""0"","""")"),"0")</f>
        <v>0</v>
      </c>
      <c r="AH64" s="245" t="str">
        <f>IFERROR(__xludf.DUMMYFUNCTION("IF(REGEXMATCH(N64, ""r""), ""1"","""")"),"")</f>
        <v/>
      </c>
      <c r="AI64" s="246" t="str">
        <f>IFERROR(__xludf.DUMMYFUNCTION("IF(REGEXMATCH(N64, ""R""), ""2"","""")"),"")</f>
        <v/>
      </c>
      <c r="AJ64" s="246" t="str">
        <f>IFERROR(__xludf.DUMMYFUNCTION("IF(REGEXMATCH(N64, ""g""), ""3"","""")"),"3")</f>
        <v>3</v>
      </c>
      <c r="AK64" s="245" t="str">
        <f>IFERROR(__xludf.DUMMYFUNCTION("IF(REGEXMATCH(N64, ""G""), ""4"","""")"),"")</f>
        <v/>
      </c>
      <c r="AL64" s="245" t="str">
        <f>IFERROR(__xludf.DUMMYFUNCTION("IF(REGEXMATCH(N64, ""m""), ""5"","""")"),"")</f>
        <v/>
      </c>
      <c r="AM64" s="246" t="str">
        <f>IFERROR(__xludf.DUMMYFUNCTION("IF(REGEXMATCH(N64, ""M""), ""6"","""")"),"6")</f>
        <v>6</v>
      </c>
      <c r="AN64" s="245" t="str">
        <f>IFERROR(__xludf.DUMMYFUNCTION("IF(REGEXMATCH(N64, ""P""), ""7"","""")"),"")</f>
        <v/>
      </c>
      <c r="AO64" s="246" t="str">
        <f>IFERROR(__xludf.DUMMYFUNCTION("IF(REGEXMATCH(N64, ""d""), ""8"","""")"),"8")</f>
        <v>8</v>
      </c>
      <c r="AP64" s="245" t="str">
        <f>IFERROR(__xludf.DUMMYFUNCTION("IF(REGEXMATCH(N64, ""D""), ""9"","""")"),"")</f>
        <v/>
      </c>
      <c r="AQ64" s="245" t="str">
        <f>IFERROR(__xludf.DUMMYFUNCTION("IF(REGEXMATCH(N64, ""n""), ""10"","""")"),"10")</f>
        <v>10</v>
      </c>
      <c r="AR64" s="246" t="str">
        <f>IFERROR(__xludf.DUMMYFUNCTION("IF(REGEXMATCH(N64, ""N""), ""11"","""")"),"")</f>
        <v/>
      </c>
      <c r="AS64" s="249" t="str">
        <f>IFERROR(__xludf.DUMMYFUNCTION("IF(REGEXMATCH(N64, ""S""), ""0"","""")"),"0")</f>
        <v>0</v>
      </c>
      <c r="AT64" s="250" t="str">
        <f>IFERROR(__xludf.DUMMYFUNCTION("SUBSTITUTE(SUBSTITUTE(SUBSTITUTE(SUBSTITUTE(CONCATENATE(JOIN(""-"",AG64:AS64)),""--"",""-""),""--"",""-""),""--"",""-""),""--"",""-"")"),"0-3-6-8-10-0")</f>
        <v>0-3-6-8-10-0</v>
      </c>
      <c r="AU64" s="251">
        <f t="shared" si="13"/>
        <v>0</v>
      </c>
      <c r="AV64" s="234" t="str">
        <f t="shared" si="14"/>
        <v>|</v>
      </c>
      <c r="AW64" s="236" t="str">
        <f t="shared" si="15"/>
        <v>-</v>
      </c>
      <c r="AX64" s="237" t="str">
        <f t="shared" si="16"/>
        <v>-</v>
      </c>
      <c r="AY64" s="236" t="str">
        <f t="shared" si="17"/>
        <v>|</v>
      </c>
      <c r="AZ64" s="237" t="str">
        <f t="shared" si="18"/>
        <v>-</v>
      </c>
      <c r="BA64" s="236" t="str">
        <f t="shared" si="19"/>
        <v>-</v>
      </c>
      <c r="BB64" s="237" t="str">
        <f t="shared" si="20"/>
        <v>|</v>
      </c>
      <c r="BC64" s="236" t="str">
        <f t="shared" si="21"/>
        <v>-</v>
      </c>
      <c r="BD64" s="237" t="str">
        <f t="shared" si="22"/>
        <v>|</v>
      </c>
      <c r="BE64" s="236" t="str">
        <f t="shared" si="23"/>
        <v>-</v>
      </c>
      <c r="BF64" s="237" t="str">
        <f t="shared" si="24"/>
        <v>|</v>
      </c>
      <c r="BG64" s="236" t="str">
        <f t="shared" si="25"/>
        <v>-</v>
      </c>
      <c r="BH64" s="238" t="str">
        <f t="shared" si="26"/>
        <v>|</v>
      </c>
      <c r="BI64" s="250" t="str">
        <f>IFERROR(__xludf.DUMMYFUNCTION("SUBSTITUTE(SUBSTITUTE(CONCATENATE(JOIN("""",AV64:BG64)),""|"",""x""),""-"",""o"")"),"xooxooxoxoxo")</f>
        <v>xooxooxoxoxo</v>
      </c>
      <c r="BJ64" s="323" t="str">
        <f>IFERROR(__xludf.DUMMYFUNCTION("JOIN("""",BI64,BI64)"),"xooxooxoxoxoxooxooxoxoxo")</f>
        <v>xooxooxoxoxoxooxooxoxoxo</v>
      </c>
      <c r="BK64" s="256" t="str">
        <f>IFERROR(__xludf.DUMMYFUNCTION("JOIN("""",ArrayFormula(MID(BI64,LEN(BI64)-SEQUENCE(1,LEN(BI64))+1,1)))"),"oxoxoxooxoox")</f>
        <v>oxoxoxooxoox</v>
      </c>
      <c r="BL64" s="256" t="str">
        <f>IFERROR(__xludf.DUMMYFUNCTION("LEFT(CONCATENATE(""x"",JOIN("""",ArrayFormula(MID(BI64,LEN(BI64)-SEQUENCE(1,LEN(BI64))+1,1)))),12)"),"xoxoxoxooxoo")</f>
        <v>xoxoxoxooxoo</v>
      </c>
      <c r="BM64" s="327" t="str">
        <f>IFERROR(__xludf.DUMMYFUNCTION("JOIN("""",BK64,BK64)"),"oxoxoxooxooxoxoxoxooxoox")</f>
        <v>oxoxoxooxooxoxoxoxooxoox</v>
      </c>
      <c r="BN64" s="239" t="str">
        <f>IFERROR(__xludf.DUMMYFUNCTION("IF(REGEXMATCH(BM64,BI64),""✔"",""-"")"),"✔")</f>
        <v>✔</v>
      </c>
      <c r="BO64" s="330" t="str">
        <f t="shared" si="27"/>
        <v>-</v>
      </c>
      <c r="BP64" s="260" t="str">
        <f t="shared" si="28"/>
        <v>-</v>
      </c>
      <c r="BQ64" s="261" t="str">
        <f>IFERROR(__xludf.DUMMYFUNCTION("IF(BT64=0,""(n/a)"",IF(BU64=2,""(PAIR)"",IF(REGEXMATCH(BJ64,""xoxoxxoxoxox""),""Bilawal"",IF(REGEXMATCH(BJ64,""xoxoxooxoxoo""),""Bhupali"",IF(REGEXMATCH(BJ64,""xoxoxxoxxoxo""),""Charukeshi"",IF(REGEXMATCH(BJ64,""xoxoooxxoxxo""),""Kameshwari"",IF(REGEXMATC"&amp;"H(BJ64,""xoxoxooxoxox""),""Shankara"",IF(REGEXMATCH(BJ64,""xxooxoxxxoox""),""Basant"",IF(REGEXMATCH(BJ64,""xoxoxxxxoxox""),""Bihag"",IF(REGEXMATCH(BJ64,""xoxxxxoxoxxx""),""Pilu"",IF(REGEXMATCH(BJ64,""xoxxoxoxxoox""),""Kirwani"",IF(REGEXMATCH(BJ64,""xoxxox"&amp;"oxoxxx""),""Mk.Malhar"",IF(REGEXMATCH(BJ64,""xxooxxoxxoox""),""Bhairav"",IF(REGEXMATCH(BJ64,""xxoxooxxxoox""),""Todi"",IF(REGEXMATCH(BJ64,""xxooxoxooxox""),""Marwa"",IF(REGEXMATCH(BJ64,""xxoooxoxxooo""),""Gunkali"",IF(REGEXMATCH(BJ64,""xoxoxxoxxoox""),""N"&amp;"at Bhairav"",IF(REGEXMATCH(BJ64,""xoxxoooxoxoo""),""Shivranjani"",IF(REGEXMATCH(BJ64,""xooxxxoxooxo""),""Jog"",IF(REGEXMATCH(BJ64,""xxooxoxoxoox""),""Hemshri"",IF(REGEXMATCH(BJ64,""xoooxooxoxxo""),""Kalavati"",IF(REGEXMATCH(BJ64,""xxoxoxxoxoox""),""Kedar"&amp;""",IF(REGEXMATCH(BJ64,""xoxxxxoxooxx""),""Gara"",IF(REGEXMATCH(BJ64,""xooxoxooxoox""),""Chandrakauns"",IF(REGEXMATCH(BJ64,""xoxxxxoxxxox""),""Mand"",IF(REGEXMATCH(BJ64,""xoxxxxoxoxox""),""Hanskinkini"",IF(REGEXMATCH(BJ64,""xxooxxoxooxo""),""Lilavati"",IF("&amp;"REGEXMATCH(BJ64,""xooxoxoooxox""),""Rajeshwari"",IF(REGEXMATCH(BJ64,""xoooxxoxoxxx""),""Khokar"",IF(REGEXMATCH(BJ64,""xxooxoxxxxox""),""Maligoura"",""-""))))))))))))))))))))))))))))))"),"(PAIR)")</f>
        <v>(PAIR)</v>
      </c>
      <c r="BR64" s="239">
        <f t="shared" si="29"/>
        <v>4</v>
      </c>
      <c r="BS64" s="239">
        <f>IFERROR(__xludf.DUMMYFUNCTION("COUNTUNIQUE(BW64:CG64)-1"),4.0)</f>
        <v>4</v>
      </c>
      <c r="BT64" s="239">
        <f>IFERROR(__xludf.DUMMYFUNCTION("COUNTUNIQUE(FILTER(BJ:BJ,REGEXMATCH(BJ:BJ,BI64)))-1"),1.0)</f>
        <v>1</v>
      </c>
      <c r="BU64" s="239">
        <f>IFERROR(__xludf.DUMMYFUNCTION("COUNTA(FILTER(BJ:BJ,REGEXMATCH(BJ:BJ,BI64)))"),2.0)</f>
        <v>2</v>
      </c>
      <c r="BV64" s="341">
        <f>IFERROR(__xludf.DUMMYFUNCTION("COUNTA(FILTER(BJ:BJ,REGEXMATCH(BJ:BJ,BI64)))-AU64"),2.0)</f>
        <v>2</v>
      </c>
      <c r="BW64" s="269" t="str">
        <f t="shared" si="30"/>
        <v>-</v>
      </c>
      <c r="BX64" s="269" t="str">
        <f t="shared" si="31"/>
        <v>-</v>
      </c>
      <c r="BY64" s="271" t="str">
        <f t="shared" si="32"/>
        <v>xooxoxoxoxo</v>
      </c>
      <c r="BZ64" s="269" t="str">
        <f t="shared" si="33"/>
        <v>-</v>
      </c>
      <c r="CA64" s="271" t="str">
        <f t="shared" si="34"/>
        <v>-</v>
      </c>
      <c r="CB64" s="271" t="str">
        <f t="shared" si="35"/>
        <v>xoxoxoxooxo</v>
      </c>
      <c r="CC64" s="271" t="str">
        <f t="shared" si="36"/>
        <v>-</v>
      </c>
      <c r="CD64" s="271" t="str">
        <f t="shared" si="37"/>
        <v>xoxoxooxoox</v>
      </c>
      <c r="CE64" s="271" t="str">
        <f t="shared" si="38"/>
        <v>-</v>
      </c>
      <c r="CF64" s="271" t="str">
        <f t="shared" si="39"/>
        <v>xoxooxooxox</v>
      </c>
      <c r="CG64" s="274" t="str">
        <f t="shared" si="40"/>
        <v>-</v>
      </c>
      <c r="CH64" s="276" t="str">
        <f>IFERROR(__xludf.DUMMYFUNCTION("IF(BI64=""oooooooooooo"",""-"",IF(REGEXMATCH(BJ64,""xx""), ""Hemi."", ""Anhemi.""))"),"Anhemi.")</f>
        <v>Anhemi.</v>
      </c>
      <c r="CI64" s="282" t="str">
        <f>IFERROR(__xludf.DUMMYFUNCTION("IF(BI64=""oooooooooooo"",""-"",IF(REGEXMATCH(BJ64,""xxx""), ""Cohem."", ""-""))"),"-")</f>
        <v>-</v>
      </c>
      <c r="CJ64" s="282" t="str">
        <f>IFERROR(__xludf.DUMMYFUNCTION("IF(BI64=""oooooooooooo"",""-"",IF(REGEXMATCH(BJ64,""xxxx""), ""Co-Co."", ""-""))"),"-")</f>
        <v>-</v>
      </c>
      <c r="CK64" s="342" t="str">
        <f>IFERROR(__xludf.DUMMYFUNCTION("IF(BI64=""oooooooooooo"",""-"",IF(REGEXMATCH(BJ64,""xxxxx""), ""CCC."", ""-""))"),"-")</f>
        <v>-</v>
      </c>
      <c r="CL64" s="344" t="str">
        <f t="shared" si="41"/>
        <v>-</v>
      </c>
      <c r="CM64" s="282" t="str">
        <f>IFERROR(__xludf.DUMMYFUNCTION("IF(REGEXMATCH(JOIN(""-"",CO64:CX64),""TRUE""),""✔"",""-"")"),"-")</f>
        <v>-</v>
      </c>
      <c r="CN64" s="225">
        <f t="shared" si="42"/>
        <v>0</v>
      </c>
      <c r="CO64" s="376" t="b">
        <f>IFERROR(__xludf.DUMMYFUNCTION("arrayformula(sum(--REGEXMATCH(""SRGMPDNS"",split(REGEXREPLACE(N64,""(.)"",""$1~""),""~""))))=len(N64)
"),FALSE)</f>
        <v>0</v>
      </c>
      <c r="CP64" s="290" t="b">
        <f>IFERROR(__xludf.DUMMYFUNCTION("arrayformula(sum(--REGEXMATCH(""SRGmPDNS"",split(REGEXREPLACE(N64,""(.)"",""$1~""),""~""))))=len(N64)"),FALSE)</f>
        <v>0</v>
      </c>
      <c r="CQ64" s="290" t="b">
        <f>IFERROR(__xludf.DUMMYFUNCTION("arrayformula(sum(--REGEXMATCH(""SRGmPDnS"",split(REGEXREPLACE(N64,""(.)"",""$1~""),""~""))))=len(N64)"),FALSE)</f>
        <v>0</v>
      </c>
      <c r="CR64" s="290" t="b">
        <f>IFERROR(__xludf.DUMMYFUNCTION("arrayformula(sum(--REGEXMATCH(""SRgmPDnS"",split(REGEXREPLACE(N64,""(.)"",""$1~""),""~""))))=len(N64)"),FALSE)</f>
        <v>0</v>
      </c>
      <c r="CS64" s="290" t="b">
        <f>IFERROR(__xludf.DUMMYFUNCTION("arrayformula(sum(--REGEXMATCH(""SRgmPdnS"",split(REGEXREPLACE(N64,""(.)"",""$1~""),""~""))))=len(N64)"),FALSE)</f>
        <v>0</v>
      </c>
      <c r="CT64" s="290" t="b">
        <f>IFERROR(__xludf.DUMMYFUNCTION("arrayformula(sum(--REGEXMATCH(""SrgmPdnS"",split(REGEXREPLACE(N64,""(.)"",""$1~""),""~""))))=len(N64)"),FALSE)</f>
        <v>0</v>
      </c>
      <c r="CU64" s="290" t="b">
        <f>IFERROR(__xludf.DUMMYFUNCTION("arrayformula(sum(--REGEXMATCH(""SrGmPdNS"",split(REGEXREPLACE(N64,""(.)"",""$1~""),""~""))))=len(N64)"),FALSE)</f>
        <v>0</v>
      </c>
      <c r="CV64" s="290" t="b">
        <f>IFERROR(__xludf.DUMMYFUNCTION("arrayformula(sum(--REGEXMATCH(""SrGMPDNS"",split(REGEXREPLACE(N64,""(.)"",""$1~""),""~""))))=len(N64)"),FALSE)</f>
        <v>0</v>
      </c>
      <c r="CW64" s="290" t="b">
        <f>IFERROR(__xludf.DUMMYFUNCTION("arrayformula(sum(--REGEXMATCH(""SrGMPdNS"",split(REGEXREPLACE(N64,""(.)"",""$1~""),""~""))))=len(N64)"),FALSE)</f>
        <v>0</v>
      </c>
      <c r="CX64" s="293" t="b">
        <f>IFERROR(__xludf.DUMMYFUNCTION("arrayformula(sum(--REGEXMATCH(""SrgMPdNS"",split(REGEXREPLACE(N64,""(.)"",""$1~""),""~""))))=len(N64)"),FALSE)</f>
        <v>0</v>
      </c>
      <c r="CY64" s="244" t="str">
        <f>IFERROR(__xludf.DUMMYFUNCTION("IF(REGEXMATCH(N64, ""S""), ""1"","""")"),"1")</f>
        <v>1</v>
      </c>
      <c r="CZ64" s="245" t="str">
        <f>IFERROR(__xludf.DUMMYFUNCTION("IF(REGEXMATCH(N64, ""r""), ""b2"","""")"),"")</f>
        <v/>
      </c>
      <c r="DA64" s="246" t="str">
        <f>IFERROR(__xludf.DUMMYFUNCTION("IF(REGEXMATCH(N64, ""R""), ""2"","""")"),"")</f>
        <v/>
      </c>
      <c r="DB64" s="246" t="str">
        <f>IFERROR(__xludf.DUMMYFUNCTION("IF(REGEXMATCH(N64, ""g""), ""b3"","""")"),"b3")</f>
        <v>b3</v>
      </c>
      <c r="DC64" s="245" t="str">
        <f>IFERROR(__xludf.DUMMYFUNCTION("IF(REGEXMATCH(N64, ""G""), ""3"","""")"),"")</f>
        <v/>
      </c>
      <c r="DD64" s="245" t="str">
        <f>IFERROR(__xludf.DUMMYFUNCTION("IF(REGEXMATCH(N64, ""m""), ""4"","""")"),"")</f>
        <v/>
      </c>
      <c r="DE64" s="246" t="str">
        <f>IFERROR(__xludf.DUMMYFUNCTION("IF(REGEXMATCH(N64, ""M""), ""#4"","""")"),"#4")</f>
        <v>#4</v>
      </c>
      <c r="DF64" s="245" t="str">
        <f>IFERROR(__xludf.DUMMYFUNCTION("IF(REGEXMATCH(N64, ""P""), ""5"","""")"),"")</f>
        <v/>
      </c>
      <c r="DG64" s="246" t="str">
        <f>IFERROR(__xludf.DUMMYFUNCTION("IF(REGEXMATCH(N64, ""d""), ""b6"","""")"),"b6")</f>
        <v>b6</v>
      </c>
      <c r="DH64" s="245" t="str">
        <f>IFERROR(__xludf.DUMMYFUNCTION("IF(REGEXMATCH(N64, ""D""), ""6"","""")"),"")</f>
        <v/>
      </c>
      <c r="DI64" s="245" t="str">
        <f>IFERROR(__xludf.DUMMYFUNCTION("IF(REGEXMATCH(N64, ""n""), ""b7"","""")"),"b7")</f>
        <v>b7</v>
      </c>
      <c r="DJ64" s="246" t="str">
        <f>IFERROR(__xludf.DUMMYFUNCTION("IF(REGEXMATCH(N64, ""N""), ""7"","""")"),"")</f>
        <v/>
      </c>
      <c r="DK64" s="249" t="str">
        <f>IFERROR(__xludf.DUMMYFUNCTION("IF(REGEXMATCH(N64, ""S""), ""8"","""")"),"8")</f>
        <v>8</v>
      </c>
      <c r="DL64" s="244" t="str">
        <f>IFERROR(__xludf.DUMMYFUNCTION("IF(REGEXMATCH(N64, ""S""), ""S"","""")"),"S")</f>
        <v>S</v>
      </c>
      <c r="DM64" s="294" t="str">
        <f>IFERROR(__xludf.DUMMYFUNCTION("IF(REGEXMATCH(N64, ""r""), ""R1"","""")"),"")</f>
        <v/>
      </c>
      <c r="DN64" s="295" t="str">
        <f>IFERROR(__xludf.DUMMYFUNCTION("IF(REGEXMATCH(N64, ""R""), ""R2"","""")"),"")</f>
        <v/>
      </c>
      <c r="DO64" s="295" t="str">
        <f>IFERROR(__xludf.DUMMYFUNCTION("IF(REGEXMATCH(N64, ""g""), ""G2"","""")"),"G2")</f>
        <v>G2</v>
      </c>
      <c r="DP64" s="294" t="str">
        <f>IFERROR(__xludf.DUMMYFUNCTION("IF(REGEXMATCH(N64, ""G""), ""G3"","""")"),"")</f>
        <v/>
      </c>
      <c r="DQ64" s="294" t="str">
        <f>IFERROR(__xludf.DUMMYFUNCTION("IF(REGEXMATCH(N64, ""m""), ""M1"","""")"),"")</f>
        <v/>
      </c>
      <c r="DR64" s="295" t="str">
        <f>IFERROR(__xludf.DUMMYFUNCTION("IF(REGEXMATCH(N64, ""M""), ""M2"","""")"),"M2")</f>
        <v>M2</v>
      </c>
      <c r="DS64" s="294" t="str">
        <f>IFERROR(__xludf.DUMMYFUNCTION("IF(REGEXMATCH(N64, ""P""), ""P"","""")"),"")</f>
        <v/>
      </c>
      <c r="DT64" s="295" t="str">
        <f>IFERROR(__xludf.DUMMYFUNCTION("IF(REGEXMATCH(N64, ""d""), ""D1"","""")"),"D1")</f>
        <v>D1</v>
      </c>
      <c r="DU64" s="294" t="str">
        <f>IFERROR(__xludf.DUMMYFUNCTION("IF(REGEXMATCH(N64, ""D""), ""D2"","""")"),"")</f>
        <v/>
      </c>
      <c r="DV64" s="294" t="str">
        <f>IFERROR(__xludf.DUMMYFUNCTION("IF(REGEXMATCH(N64, ""n""), ""N2"","""")"),"N2")</f>
        <v>N2</v>
      </c>
      <c r="DW64" s="295" t="str">
        <f>IFERROR(__xludf.DUMMYFUNCTION("IF(REGEXMATCH(N64, ""N""), ""N3"","""")"),"")</f>
        <v/>
      </c>
      <c r="DX64" s="249" t="str">
        <f>IFERROR(__xludf.DUMMYFUNCTION("IF(REGEXMATCH(N64, ""S""), ""S"","""")"),"S")</f>
        <v>S</v>
      </c>
      <c r="DY64" s="299" t="str">
        <f>IFERROR(__xludf.DUMMYFUNCTION("SUBSTITUTE(SUBSTITUTE(SUBSTITUTE(SUBSTITUTE(CONCATENATE(JOIN(""-"",CY64:DK64)),""--"",""-""),""--"",""-""),""--"",""-""),""--"",""-"")"),"1-b3-#4-b6-b7-8")</f>
        <v>1-b3-#4-b6-b7-8</v>
      </c>
      <c r="DZ64" s="299" t="str">
        <f>IFERROR(__xludf.DUMMYFUNCTION("SUBSTITUTE(SUBSTITUTE(SUBSTITUTE(SUBSTITUTE(CONCATENATE(JOIN(""-"",DL64:DX64)),""--"",""-""),""--"",""-""),""--"",""-""),""--"",""-"")"),"S-G2-M2-D1-N2-S")</f>
        <v>S-G2-M2-D1-N2-S</v>
      </c>
      <c r="EA64" s="348" t="str">
        <f t="shared" si="43"/>
        <v>C-Eb-F#-Ab-Bb-C</v>
      </c>
      <c r="EB64" s="301">
        <f t="shared" si="44"/>
        <v>5</v>
      </c>
      <c r="EC64" s="302" t="str">
        <f t="shared" si="45"/>
        <v>Audav</v>
      </c>
      <c r="ED64" s="301" t="str">
        <f t="shared" ref="ED64:EE64" si="230">SUBSTITUTE(AD64,"-","")</f>
        <v>SGM</v>
      </c>
      <c r="EE64" s="301" t="str">
        <f t="shared" si="230"/>
        <v>DNS</v>
      </c>
      <c r="EF64" s="302" t="str">
        <f t="shared" si="47"/>
        <v>(PAIR)</v>
      </c>
      <c r="EG64" s="301" t="str">
        <f t="shared" si="48"/>
        <v>Anhemi.</v>
      </c>
      <c r="EH64" s="364" t="str">
        <f t="shared" si="49"/>
        <v>-</v>
      </c>
      <c r="EI64" s="306" t="str">
        <f t="shared" si="50"/>
        <v>-</v>
      </c>
      <c r="EJ64" s="366" t="str">
        <f t="shared" si="51"/>
        <v>-</v>
      </c>
      <c r="EK64" s="308" t="str">
        <f t="shared" si="52"/>
        <v>✔</v>
      </c>
      <c r="EL64" s="306" t="str">
        <f t="shared" si="53"/>
        <v>-</v>
      </c>
      <c r="EM64" s="306" t="str">
        <f t="shared" si="54"/>
        <v>✔</v>
      </c>
      <c r="EN64" s="367" t="str">
        <f t="shared" si="55"/>
        <v>✔</v>
      </c>
      <c r="EO64" s="310" t="str">
        <f t="shared" si="56"/>
        <v>-</v>
      </c>
      <c r="EP64" s="310" t="str">
        <f t="shared" si="57"/>
        <v>-</v>
      </c>
      <c r="EQ64" s="310" t="str">
        <f t="shared" si="58"/>
        <v>-</v>
      </c>
      <c r="ER64" s="310" t="str">
        <f t="shared" si="59"/>
        <v>-</v>
      </c>
      <c r="ES64" s="370" t="str">
        <f t="shared" si="60"/>
        <v>-</v>
      </c>
      <c r="ET64" s="306" t="str">
        <f t="shared" si="61"/>
        <v>✔</v>
      </c>
      <c r="EU64" s="306" t="str">
        <f t="shared" si="62"/>
        <v>-</v>
      </c>
      <c r="EV64" s="306" t="str">
        <f t="shared" si="63"/>
        <v>-</v>
      </c>
      <c r="EW64" s="306" t="str">
        <f t="shared" si="64"/>
        <v>✔</v>
      </c>
      <c r="EX64" s="306" t="str">
        <f t="shared" si="65"/>
        <v>-</v>
      </c>
      <c r="EY64" s="367" t="str">
        <f t="shared" si="66"/>
        <v>-</v>
      </c>
      <c r="EZ64" s="310" t="str">
        <f>IFERROR(__xludf.DUMMYFUNCTION("IF(REGEXMATCH(BM64,BI64),""✔"",""-"")"),"✔")</f>
        <v>✔</v>
      </c>
      <c r="FA64" s="310" t="str">
        <f t="shared" si="67"/>
        <v>-</v>
      </c>
      <c r="FB64" s="370" t="str">
        <f t="shared" si="68"/>
        <v>-</v>
      </c>
      <c r="FC64" s="315" t="str">
        <f t="shared" si="69"/>
        <v>[UQ]</v>
      </c>
      <c r="FD64" s="317" t="str">
        <f t="shared" si="70"/>
        <v>S-g-M-d-n-S</v>
      </c>
      <c r="FE64" s="318" t="str">
        <f>IFERROR(__xludf.DUMMYFUNCTION("CONCATENATE(JOIN("""",GJ64:GV64))"),"SRGMDS")</f>
        <v>SRGMDS</v>
      </c>
      <c r="FF64" s="318"/>
      <c r="FG64" s="318"/>
      <c r="FH64" s="321">
        <f t="shared" si="71"/>
        <v>3</v>
      </c>
      <c r="FI64" s="318" t="str">
        <f>IFERROR(__xludf.DUMMYFUNCTION("CONCATENATE(JOIN("""",HW64:II64))"),"Sa, Ma, ni, ")</f>
        <v>Sa, Ma, ni, </v>
      </c>
      <c r="FJ64" s="322">
        <f t="shared" si="72"/>
        <v>2</v>
      </c>
      <c r="FK64" s="324" t="str">
        <f>IFERROR(__xludf.DUMMYFUNCTION("CONCATENATE(JOIN("""",IW64:JI64))"),"Sa, Ma, ")</f>
        <v>Sa, Ma, </v>
      </c>
      <c r="FL64" s="325" t="str">
        <f t="shared" si="73"/>
        <v>S-G2-M2-D1-N2-S</v>
      </c>
      <c r="FM64" s="326" t="str">
        <f t="shared" si="74"/>
        <v>1-b3-#4-b6-b7-8</v>
      </c>
      <c r="FN64" s="326" t="str">
        <f t="shared" si="75"/>
        <v>0-3-6-8-10-0</v>
      </c>
      <c r="FO64" s="318"/>
      <c r="FP64" s="328" t="str">
        <f>IFERROR(__xludf.DUMMYFUNCTION("SUBSTITUTE(SUBSTITUTE(SUBSTITUTE(SUBSTITUTE(CONCATENATE(JOIN("" "",FS64:GE64)),""  "","" ""),""  "","" ""),""  "","" ""),""  "","" "")"),"o • • o • • o • o • o • o")</f>
        <v>o • • o • • o • o • o • o</v>
      </c>
      <c r="FQ64" s="328" t="str">
        <f t="shared" si="76"/>
        <v>Sa-Pa</v>
      </c>
      <c r="FR64" s="329"/>
      <c r="FS64" s="331" t="str">
        <f t="shared" si="77"/>
        <v>o</v>
      </c>
      <c r="FT64" s="332" t="str">
        <f t="shared" si="78"/>
        <v>•</v>
      </c>
      <c r="FU64" s="332" t="str">
        <f t="shared" si="79"/>
        <v>•</v>
      </c>
      <c r="FV64" s="332" t="str">
        <f t="shared" si="80"/>
        <v>o</v>
      </c>
      <c r="FW64" s="332" t="str">
        <f t="shared" si="81"/>
        <v>•</v>
      </c>
      <c r="FX64" s="332" t="str">
        <f t="shared" si="82"/>
        <v>•</v>
      </c>
      <c r="FY64" s="332" t="str">
        <f t="shared" si="83"/>
        <v>o</v>
      </c>
      <c r="FZ64" s="332" t="str">
        <f t="shared" si="84"/>
        <v>•</v>
      </c>
      <c r="GA64" s="332" t="str">
        <f t="shared" si="85"/>
        <v>o</v>
      </c>
      <c r="GB64" s="332" t="str">
        <f t="shared" si="86"/>
        <v>•</v>
      </c>
      <c r="GC64" s="332" t="str">
        <f t="shared" si="87"/>
        <v>o</v>
      </c>
      <c r="GD64" s="332" t="str">
        <f t="shared" si="88"/>
        <v>•</v>
      </c>
      <c r="GE64" s="338" t="str">
        <f t="shared" si="89"/>
        <v>o</v>
      </c>
      <c r="GF64" s="339" t="str">
        <f t="shared" si="90"/>
        <v>Sa-Pa</v>
      </c>
      <c r="GG64" s="339" t="str">
        <f t="shared" si="91"/>
        <v>-</v>
      </c>
      <c r="GH64" s="339" t="str">
        <f t="shared" si="92"/>
        <v>-</v>
      </c>
      <c r="GI64" s="340" t="str">
        <f t="shared" si="93"/>
        <v>-</v>
      </c>
      <c r="GJ64" s="331" t="str">
        <f t="shared" si="94"/>
        <v>S</v>
      </c>
      <c r="GK64" s="332" t="str">
        <f t="shared" si="95"/>
        <v/>
      </c>
      <c r="GL64" s="332" t="str">
        <f t="shared" si="96"/>
        <v>R</v>
      </c>
      <c r="GM64" s="332" t="str">
        <f t="shared" si="97"/>
        <v/>
      </c>
      <c r="GN64" s="332" t="str">
        <f t="shared" si="98"/>
        <v>G</v>
      </c>
      <c r="GO64" s="332" t="str">
        <f t="shared" si="99"/>
        <v/>
      </c>
      <c r="GP64" s="332" t="str">
        <f t="shared" si="100"/>
        <v>M</v>
      </c>
      <c r="GQ64" s="332" t="str">
        <f t="shared" si="101"/>
        <v/>
      </c>
      <c r="GR64" s="332" t="str">
        <f t="shared" si="102"/>
        <v/>
      </c>
      <c r="GS64" s="332" t="str">
        <f t="shared" si="103"/>
        <v>D</v>
      </c>
      <c r="GT64" s="332" t="str">
        <f t="shared" si="104"/>
        <v/>
      </c>
      <c r="GU64" s="332" t="str">
        <f t="shared" si="105"/>
        <v/>
      </c>
      <c r="GV64" s="343" t="str">
        <f t="shared" si="106"/>
        <v>S</v>
      </c>
      <c r="GW64" s="331" t="str">
        <f t="shared" si="107"/>
        <v>•</v>
      </c>
      <c r="GX64" s="332" t="str">
        <f t="shared" si="108"/>
        <v>o</v>
      </c>
      <c r="GY64" s="332" t="str">
        <f t="shared" si="109"/>
        <v>o</v>
      </c>
      <c r="GZ64" s="332" t="str">
        <f t="shared" si="110"/>
        <v>•</v>
      </c>
      <c r="HA64" s="332" t="str">
        <f t="shared" si="111"/>
        <v>o</v>
      </c>
      <c r="HB64" s="332" t="str">
        <f t="shared" si="112"/>
        <v>o</v>
      </c>
      <c r="HC64" s="332" t="str">
        <f t="shared" si="113"/>
        <v>•</v>
      </c>
      <c r="HD64" s="332" t="str">
        <f t="shared" si="114"/>
        <v>o</v>
      </c>
      <c r="HE64" s="332" t="str">
        <f t="shared" si="115"/>
        <v>•</v>
      </c>
      <c r="HF64" s="332" t="str">
        <f t="shared" si="116"/>
        <v>o</v>
      </c>
      <c r="HG64" s="332" t="str">
        <f t="shared" si="117"/>
        <v>•</v>
      </c>
      <c r="HH64" s="332" t="str">
        <f t="shared" si="118"/>
        <v>o</v>
      </c>
      <c r="HI64" s="338" t="str">
        <f t="shared" si="119"/>
        <v>•</v>
      </c>
      <c r="HJ64" s="346" t="b">
        <f t="shared" si="120"/>
        <v>1</v>
      </c>
      <c r="HK64" s="347" t="b">
        <f t="shared" si="121"/>
        <v>0</v>
      </c>
      <c r="HL64" s="347" t="b">
        <f t="shared" si="122"/>
        <v>0</v>
      </c>
      <c r="HM64" s="347" t="b">
        <f t="shared" si="123"/>
        <v>0</v>
      </c>
      <c r="HN64" s="347" t="b">
        <f t="shared" si="124"/>
        <v>0</v>
      </c>
      <c r="HO64" s="347" t="b">
        <f t="shared" si="125"/>
        <v>0</v>
      </c>
      <c r="HP64" s="347" t="b">
        <f t="shared" si="126"/>
        <v>1</v>
      </c>
      <c r="HQ64" s="347" t="b">
        <f t="shared" si="127"/>
        <v>0</v>
      </c>
      <c r="HR64" s="347" t="b">
        <f t="shared" si="128"/>
        <v>0</v>
      </c>
      <c r="HS64" s="347" t="b">
        <f t="shared" si="129"/>
        <v>0</v>
      </c>
      <c r="HT64" s="347" t="b">
        <f t="shared" si="130"/>
        <v>1</v>
      </c>
      <c r="HU64" s="347" t="b">
        <f t="shared" si="131"/>
        <v>0</v>
      </c>
      <c r="HV64" s="353" t="b">
        <f t="shared" si="132"/>
        <v>1</v>
      </c>
      <c r="HW64" s="354" t="str">
        <f t="shared" si="133"/>
        <v>Sa, </v>
      </c>
      <c r="HX64" s="355" t="str">
        <f t="shared" si="134"/>
        <v/>
      </c>
      <c r="HY64" s="355" t="str">
        <f t="shared" si="135"/>
        <v/>
      </c>
      <c r="HZ64" s="355" t="str">
        <f t="shared" si="136"/>
        <v/>
      </c>
      <c r="IA64" s="355" t="str">
        <f t="shared" si="137"/>
        <v/>
      </c>
      <c r="IB64" s="355" t="str">
        <f t="shared" si="138"/>
        <v/>
      </c>
      <c r="IC64" s="355" t="str">
        <f t="shared" si="139"/>
        <v>Ma, </v>
      </c>
      <c r="ID64" s="355" t="str">
        <f t="shared" si="140"/>
        <v/>
      </c>
      <c r="IE64" s="355" t="str">
        <f t="shared" si="141"/>
        <v/>
      </c>
      <c r="IF64" s="355" t="str">
        <f t="shared" si="142"/>
        <v/>
      </c>
      <c r="IG64" s="355" t="str">
        <f t="shared" si="143"/>
        <v>ni, </v>
      </c>
      <c r="IH64" s="355" t="str">
        <f t="shared" si="144"/>
        <v/>
      </c>
      <c r="II64" s="359" t="str">
        <f t="shared" si="145"/>
        <v/>
      </c>
      <c r="IJ64" s="346" t="b">
        <f t="shared" si="146"/>
        <v>1</v>
      </c>
      <c r="IK64" s="347" t="b">
        <f t="shared" si="147"/>
        <v>0</v>
      </c>
      <c r="IL64" s="347" t="b">
        <f t="shared" si="148"/>
        <v>0</v>
      </c>
      <c r="IM64" s="347" t="b">
        <f t="shared" si="149"/>
        <v>0</v>
      </c>
      <c r="IN64" s="347" t="b">
        <f t="shared" si="150"/>
        <v>0</v>
      </c>
      <c r="IO64" s="347" t="b">
        <f t="shared" si="151"/>
        <v>0</v>
      </c>
      <c r="IP64" s="347" t="b">
        <f t="shared" si="152"/>
        <v>1</v>
      </c>
      <c r="IQ64" s="347" t="b">
        <f t="shared" si="153"/>
        <v>0</v>
      </c>
      <c r="IR64" s="347" t="b">
        <f t="shared" si="154"/>
        <v>0</v>
      </c>
      <c r="IS64" s="347" t="b">
        <f t="shared" si="155"/>
        <v>0</v>
      </c>
      <c r="IT64" s="347" t="b">
        <f t="shared" si="156"/>
        <v>0</v>
      </c>
      <c r="IU64" s="347" t="b">
        <f t="shared" si="157"/>
        <v>0</v>
      </c>
      <c r="IV64" s="365" t="b">
        <f t="shared" si="158"/>
        <v>1</v>
      </c>
      <c r="IW64" s="354" t="str">
        <f t="shared" si="159"/>
        <v>Sa, </v>
      </c>
      <c r="IX64" s="355" t="str">
        <f t="shared" si="160"/>
        <v/>
      </c>
      <c r="IY64" s="355" t="str">
        <f t="shared" si="161"/>
        <v/>
      </c>
      <c r="IZ64" s="355" t="str">
        <f t="shared" si="162"/>
        <v/>
      </c>
      <c r="JA64" s="355" t="str">
        <f t="shared" si="163"/>
        <v/>
      </c>
      <c r="JB64" s="355" t="str">
        <f t="shared" si="164"/>
        <v/>
      </c>
      <c r="JC64" s="355" t="str">
        <f t="shared" si="165"/>
        <v>Ma, </v>
      </c>
      <c r="JD64" s="355" t="str">
        <f t="shared" si="166"/>
        <v/>
      </c>
      <c r="JE64" s="355" t="str">
        <f t="shared" si="167"/>
        <v/>
      </c>
      <c r="JF64" s="355" t="str">
        <f t="shared" si="168"/>
        <v/>
      </c>
      <c r="JG64" s="355" t="str">
        <f t="shared" si="169"/>
        <v/>
      </c>
      <c r="JH64" s="355" t="str">
        <f t="shared" si="170"/>
        <v/>
      </c>
      <c r="JI64" s="359"/>
      <c r="JJ64" s="321"/>
      <c r="JK64" s="368"/>
      <c r="JL64" s="369"/>
      <c r="JM64" s="369"/>
      <c r="JN64" s="369"/>
      <c r="JO64" s="369"/>
      <c r="JP64" s="369"/>
      <c r="JQ64" s="369"/>
      <c r="JR64" s="369"/>
      <c r="JS64" s="369"/>
      <c r="JT64" s="369"/>
      <c r="JU64" s="369"/>
    </row>
    <row r="65" ht="20.25" customHeight="1">
      <c r="A65" s="221" t="s">
        <v>1233</v>
      </c>
      <c r="B65" s="223" t="s">
        <v>1234</v>
      </c>
      <c r="C65" s="222" t="s">
        <v>275</v>
      </c>
      <c r="D65" s="222"/>
      <c r="E65" s="222" t="s">
        <v>275</v>
      </c>
      <c r="F65" s="222" t="s">
        <v>275</v>
      </c>
      <c r="G65" s="395" t="s">
        <v>275</v>
      </c>
      <c r="H65" s="222">
        <v>63.0</v>
      </c>
      <c r="I65" s="224" t="s">
        <v>1219</v>
      </c>
      <c r="J65" s="414">
        <f t="shared" si="5"/>
        <v>2</v>
      </c>
      <c r="K65" s="227">
        <f t="shared" si="6"/>
        <v>6</v>
      </c>
      <c r="L65" s="229">
        <f t="shared" si="7"/>
        <v>5</v>
      </c>
      <c r="M65" s="230">
        <f t="shared" si="8"/>
        <v>1</v>
      </c>
      <c r="N65" s="233" t="str">
        <f t="shared" si="9"/>
        <v>SgmdnNS</v>
      </c>
      <c r="O65" s="234" t="str">
        <f>IFERROR(__xludf.DUMMYFUNCTION("IF(REGEXMATCH(N65, ""S""), ""S"","""")"),"S")</f>
        <v>S</v>
      </c>
      <c r="P65" s="236" t="str">
        <f>IFERROR(__xludf.DUMMYFUNCTION("IF(REGEXMATCH(N65, ""r""), ""r"","""")"),"")</f>
        <v/>
      </c>
      <c r="Q65" s="237" t="str">
        <f>IFERROR(__xludf.DUMMYFUNCTION("IF(REGEXMATCH(N65, ""R""), ""R"","""")"),"")</f>
        <v/>
      </c>
      <c r="R65" s="237" t="str">
        <f>IFERROR(__xludf.DUMMYFUNCTION("IF(REGEXMATCH(N65, ""g""), ""g"","""")"),"g")</f>
        <v>g</v>
      </c>
      <c r="S65" s="236" t="str">
        <f>IFERROR(__xludf.DUMMYFUNCTION("IF(REGEXMATCH(N65, ""G""), ""G"","""")"),"")</f>
        <v/>
      </c>
      <c r="T65" s="236" t="str">
        <f>IFERROR(__xludf.DUMMYFUNCTION("IF(REGEXMATCH(N65, ""m""), ""m"","""")"),"m")</f>
        <v>m</v>
      </c>
      <c r="U65" s="237" t="str">
        <f>IFERROR(__xludf.DUMMYFUNCTION("IF(REGEXMATCH(N65, ""M""), ""M"","""")"),"")</f>
        <v/>
      </c>
      <c r="V65" s="236" t="str">
        <f>IFERROR(__xludf.DUMMYFUNCTION("IF(REGEXMATCH(N65, ""P""), ""P"","""")"),"")</f>
        <v/>
      </c>
      <c r="W65" s="237" t="str">
        <f>IFERROR(__xludf.DUMMYFUNCTION("IF(REGEXMATCH(N65, ""d""), ""d"","""")"),"d")</f>
        <v>d</v>
      </c>
      <c r="X65" s="236" t="str">
        <f>IFERROR(__xludf.DUMMYFUNCTION("IF(REGEXMATCH(N65, ""D""), ""D"","""")"),"")</f>
        <v/>
      </c>
      <c r="Y65" s="236" t="str">
        <f>IFERROR(__xludf.DUMMYFUNCTION("IF(REGEXMATCH(N65, ""n""), ""n"","""")"),"n")</f>
        <v>n</v>
      </c>
      <c r="Z65" s="237" t="str">
        <f>IFERROR(__xludf.DUMMYFUNCTION("IF(REGEXMATCH(N65, ""N""), ""N"","""")"),"N")</f>
        <v>N</v>
      </c>
      <c r="AA65" s="238" t="str">
        <f>IFERROR(__xludf.DUMMYFUNCTION("IF(REGEXMATCH(N65, ""S""), ""S"","""")"),"S")</f>
        <v>S</v>
      </c>
      <c r="AB65" s="239" t="str">
        <f>IFERROR(__xludf.DUMMYFUNCTION("SUBSTITUTE(CONCATENATE(JOIN(""-"",O65:U65)),""-"","""")"),"Sgm")</f>
        <v>Sgm</v>
      </c>
      <c r="AC65" s="229" t="str">
        <f>IFERROR(__xludf.DUMMYFUNCTION("SUBSTITUTE(CONCATENATE(JOIN(""-"",V65:AA65)),""-"","""")"),"dnNS")</f>
        <v>dnNS</v>
      </c>
      <c r="AD65" s="282" t="str">
        <f t="shared" si="10"/>
        <v>S-G-M</v>
      </c>
      <c r="AE65" s="282" t="str">
        <f t="shared" si="11"/>
        <v>D-N-S</v>
      </c>
      <c r="AF65" s="309" t="str">
        <f t="shared" si="12"/>
        <v>gmdnN</v>
      </c>
      <c r="AG65" s="244" t="str">
        <f>IFERROR(__xludf.DUMMYFUNCTION("IF(REGEXMATCH(N65, ""S""), ""0"","""")"),"0")</f>
        <v>0</v>
      </c>
      <c r="AH65" s="245" t="str">
        <f>IFERROR(__xludf.DUMMYFUNCTION("IF(REGEXMATCH(N65, ""r""), ""1"","""")"),"")</f>
        <v/>
      </c>
      <c r="AI65" s="246" t="str">
        <f>IFERROR(__xludf.DUMMYFUNCTION("IF(REGEXMATCH(N65, ""R""), ""2"","""")"),"")</f>
        <v/>
      </c>
      <c r="AJ65" s="246" t="str">
        <f>IFERROR(__xludf.DUMMYFUNCTION("IF(REGEXMATCH(N65, ""g""), ""3"","""")"),"3")</f>
        <v>3</v>
      </c>
      <c r="AK65" s="245" t="str">
        <f>IFERROR(__xludf.DUMMYFUNCTION("IF(REGEXMATCH(N65, ""G""), ""4"","""")"),"")</f>
        <v/>
      </c>
      <c r="AL65" s="245" t="str">
        <f>IFERROR(__xludf.DUMMYFUNCTION("IF(REGEXMATCH(N65, ""m""), ""5"","""")"),"5")</f>
        <v>5</v>
      </c>
      <c r="AM65" s="246" t="str">
        <f>IFERROR(__xludf.DUMMYFUNCTION("IF(REGEXMATCH(N65, ""M""), ""6"","""")"),"")</f>
        <v/>
      </c>
      <c r="AN65" s="245" t="str">
        <f>IFERROR(__xludf.DUMMYFUNCTION("IF(REGEXMATCH(N65, ""P""), ""7"","""")"),"")</f>
        <v/>
      </c>
      <c r="AO65" s="246" t="str">
        <f>IFERROR(__xludf.DUMMYFUNCTION("IF(REGEXMATCH(N65, ""d""), ""8"","""")"),"8")</f>
        <v>8</v>
      </c>
      <c r="AP65" s="245" t="str">
        <f>IFERROR(__xludf.DUMMYFUNCTION("IF(REGEXMATCH(N65, ""D""), ""9"","""")"),"")</f>
        <v/>
      </c>
      <c r="AQ65" s="245" t="str">
        <f>IFERROR(__xludf.DUMMYFUNCTION("IF(REGEXMATCH(N65, ""n""), ""10"","""")"),"10")</f>
        <v>10</v>
      </c>
      <c r="AR65" s="246" t="str">
        <f>IFERROR(__xludf.DUMMYFUNCTION("IF(REGEXMATCH(N65, ""N""), ""11"","""")"),"11")</f>
        <v>11</v>
      </c>
      <c r="AS65" s="249" t="str">
        <f>IFERROR(__xludf.DUMMYFUNCTION("IF(REGEXMATCH(N65, ""S""), ""0"","""")"),"0")</f>
        <v>0</v>
      </c>
      <c r="AT65" s="250" t="str">
        <f>IFERROR(__xludf.DUMMYFUNCTION("SUBSTITUTE(SUBSTITUTE(SUBSTITUTE(SUBSTITUTE(CONCATENATE(JOIN(""-"",AG65:AS65)),""--"",""-""),""--"",""-""),""--"",""-""),""--"",""-"")"),"0-3-5-8-10-11-0")</f>
        <v>0-3-5-8-10-11-0</v>
      </c>
      <c r="AU65" s="251">
        <f t="shared" si="13"/>
        <v>2</v>
      </c>
      <c r="AV65" s="234" t="str">
        <f t="shared" si="14"/>
        <v>|</v>
      </c>
      <c r="AW65" s="236" t="str">
        <f t="shared" si="15"/>
        <v>-</v>
      </c>
      <c r="AX65" s="237" t="str">
        <f t="shared" si="16"/>
        <v>-</v>
      </c>
      <c r="AY65" s="236" t="str">
        <f t="shared" si="17"/>
        <v>|</v>
      </c>
      <c r="AZ65" s="237" t="str">
        <f t="shared" si="18"/>
        <v>-</v>
      </c>
      <c r="BA65" s="236" t="str">
        <f t="shared" si="19"/>
        <v>|</v>
      </c>
      <c r="BB65" s="237" t="str">
        <f t="shared" si="20"/>
        <v>-</v>
      </c>
      <c r="BC65" s="236" t="str">
        <f t="shared" si="21"/>
        <v>-</v>
      </c>
      <c r="BD65" s="237" t="str">
        <f t="shared" si="22"/>
        <v>|</v>
      </c>
      <c r="BE65" s="236" t="str">
        <f t="shared" si="23"/>
        <v>-</v>
      </c>
      <c r="BF65" s="237" t="str">
        <f t="shared" si="24"/>
        <v>|</v>
      </c>
      <c r="BG65" s="236" t="str">
        <f t="shared" si="25"/>
        <v>|</v>
      </c>
      <c r="BH65" s="238" t="str">
        <f t="shared" si="26"/>
        <v>|</v>
      </c>
      <c r="BI65" s="250" t="str">
        <f>IFERROR(__xludf.DUMMYFUNCTION("SUBSTITUTE(SUBSTITUTE(CONCATENATE(JOIN("""",AV65:BG65)),""|"",""x""),""-"",""o"")"),"xooxoxooxoxx")</f>
        <v>xooxoxooxoxx</v>
      </c>
      <c r="BJ65" s="323" t="str">
        <f>IFERROR(__xludf.DUMMYFUNCTION("JOIN("""",BI65,BI65)"),"xooxoxooxoxxxooxoxooxoxx")</f>
        <v>xooxoxooxoxxxooxoxooxoxx</v>
      </c>
      <c r="BK65" s="256" t="str">
        <f>IFERROR(__xludf.DUMMYFUNCTION("JOIN("""",ArrayFormula(MID(BI65,LEN(BI65)-SEQUENCE(1,LEN(BI65))+1,1)))"),"xxoxooxoxoox")</f>
        <v>xxoxooxoxoox</v>
      </c>
      <c r="BL65" s="256" t="str">
        <f>IFERROR(__xludf.DUMMYFUNCTION("LEFT(CONCATENATE(""x"",JOIN("""",ArrayFormula(MID(BI65,LEN(BI65)-SEQUENCE(1,LEN(BI65))+1,1)))),12)"),"xxxoxooxoxoo")</f>
        <v>xxxoxooxoxoo</v>
      </c>
      <c r="BM65" s="327" t="str">
        <f>IFERROR(__xludf.DUMMYFUNCTION("JOIN("""",BK65,BK65)"),"xxoxooxoxooxxxoxooxoxoox")</f>
        <v>xxoxooxoxooxxxoxooxoxoox</v>
      </c>
      <c r="BN65" s="239" t="str">
        <f>IFERROR(__xludf.DUMMYFUNCTION("IF(REGEXMATCH(BM65,BI65),""✔"",""-"")"),"-")</f>
        <v>-</v>
      </c>
      <c r="BO65" s="330" t="str">
        <f t="shared" si="27"/>
        <v>-</v>
      </c>
      <c r="BP65" s="260" t="str">
        <f t="shared" si="28"/>
        <v>-</v>
      </c>
      <c r="BQ65" s="261" t="str">
        <f>IFERROR(__xludf.DUMMYFUNCTION("IF(BT65=0,""(n/a)"",IF(BU65=2,""(PAIR)"",IF(REGEXMATCH(BJ65,""xoxoxxoxoxox""),""Bilawal"",IF(REGEXMATCH(BJ65,""xoxoxooxoxoo""),""Bhupali"",IF(REGEXMATCH(BJ65,""xoxoxxoxxoxo""),""Charukeshi"",IF(REGEXMATCH(BJ65,""xoxoooxxoxxo""),""Kameshwari"",IF(REGEXMATC"&amp;"H(BJ65,""xoxoxooxoxox""),""Shankara"",IF(REGEXMATCH(BJ65,""xxooxoxxxoox""),""Basant"",IF(REGEXMATCH(BJ65,""xoxoxxxxoxox""),""Bihag"",IF(REGEXMATCH(BJ65,""xoxxxxoxoxxx""),""Pilu"",IF(REGEXMATCH(BJ65,""xoxxoxoxxoox""),""Kirwani"",IF(REGEXMATCH(BJ65,""xoxxox"&amp;"oxoxxx""),""Mk.Malhar"",IF(REGEXMATCH(BJ65,""xxooxxoxxoox""),""Bhairav"",IF(REGEXMATCH(BJ65,""xxoxooxxxoox""),""Todi"",IF(REGEXMATCH(BJ65,""xxooxoxooxox""),""Marwa"",IF(REGEXMATCH(BJ65,""xxoooxoxxooo""),""Gunkali"",IF(REGEXMATCH(BJ65,""xoxoxxoxxoox""),""N"&amp;"at Bhairav"",IF(REGEXMATCH(BJ65,""xoxxoooxoxoo""),""Shivranjani"",IF(REGEXMATCH(BJ65,""xooxxxoxooxo""),""Jog"",IF(REGEXMATCH(BJ65,""xxooxoxoxoox""),""Hemshri"",IF(REGEXMATCH(BJ65,""xoooxooxoxxo""),""Kalavati"",IF(REGEXMATCH(BJ65,""xxoxoxxoxoox""),""Kedar"&amp;""",IF(REGEXMATCH(BJ65,""xoxxxxoxooxx""),""Gara"",IF(REGEXMATCH(BJ65,""xooxoxooxoox""),""Chandrakauns"",IF(REGEXMATCH(BJ65,""xoxxxxoxxxox""),""Mand"",IF(REGEXMATCH(BJ65,""xoxxxxoxoxox""),""Hanskinkini"",IF(REGEXMATCH(BJ65,""xxooxxoxooxo""),""Lilavati"",IF("&amp;"REGEXMATCH(BJ65,""xooxoxoooxox""),""Rajeshwari"",IF(REGEXMATCH(BJ65,""xoooxxoxoxxx""),""Khokar"",IF(REGEXMATCH(BJ65,""xxooxoxxxxox""),""Maligoura"",""-""))))))))))))))))))))))))))))))"),"(n/a)")</f>
        <v>(n/a)</v>
      </c>
      <c r="BR65" s="239">
        <f t="shared" si="29"/>
        <v>5</v>
      </c>
      <c r="BS65" s="239">
        <f>IFERROR(__xludf.DUMMYFUNCTION("COUNTUNIQUE(BW65:CG65)-1"),5.0)</f>
        <v>5</v>
      </c>
      <c r="BT65" s="239">
        <f>IFERROR(__xludf.DUMMYFUNCTION("COUNTUNIQUE(FILTER(BJ:BJ,REGEXMATCH(BJ:BJ,BI65)))-1"),0.0)</f>
        <v>0</v>
      </c>
      <c r="BU65" s="239">
        <f>IFERROR(__xludf.DUMMYFUNCTION("COUNTA(FILTER(BJ:BJ,REGEXMATCH(BJ:BJ,BI65)))"),3.0)</f>
        <v>3</v>
      </c>
      <c r="BV65" s="341">
        <f>IFERROR(__xludf.DUMMYFUNCTION("COUNTA(FILTER(BJ:BJ,REGEXMATCH(BJ:BJ,BI65)))-AU65"),1.0)</f>
        <v>1</v>
      </c>
      <c r="BW65" s="269" t="str">
        <f t="shared" si="30"/>
        <v>-</v>
      </c>
      <c r="BX65" s="269" t="str">
        <f t="shared" si="31"/>
        <v>-</v>
      </c>
      <c r="BY65" s="271" t="str">
        <f t="shared" si="32"/>
        <v>xoxooxoxxxo</v>
      </c>
      <c r="BZ65" s="269" t="str">
        <f t="shared" si="33"/>
        <v>-</v>
      </c>
      <c r="CA65" s="271" t="str">
        <f t="shared" si="34"/>
        <v>xooxoxxxoox</v>
      </c>
      <c r="CB65" s="271" t="str">
        <f t="shared" si="35"/>
        <v>-</v>
      </c>
      <c r="CC65" s="271" t="str">
        <f t="shared" si="36"/>
        <v>-</v>
      </c>
      <c r="CD65" s="271" t="str">
        <f t="shared" si="37"/>
        <v>xoxxxooxoxo</v>
      </c>
      <c r="CE65" s="271" t="str">
        <f t="shared" si="38"/>
        <v>-</v>
      </c>
      <c r="CF65" s="271" t="str">
        <f t="shared" si="39"/>
        <v>xxxooxoxoox</v>
      </c>
      <c r="CG65" s="274" t="str">
        <f t="shared" si="40"/>
        <v>xxooxoxooxo</v>
      </c>
      <c r="CH65" s="276" t="str">
        <f>IFERROR(__xludf.DUMMYFUNCTION("IF(BI65=""oooooooooooo"",""-"",IF(REGEXMATCH(BJ65,""xx""), ""Hemi."", ""Anhemi.""))"),"Hemi.")</f>
        <v>Hemi.</v>
      </c>
      <c r="CI65" s="282" t="str">
        <f>IFERROR(__xludf.DUMMYFUNCTION("IF(BI65=""oooooooooooo"",""-"",IF(REGEXMATCH(BJ65,""xxx""), ""Cohem."", ""-""))"),"Cohem.")</f>
        <v>Cohem.</v>
      </c>
      <c r="CJ65" s="282" t="str">
        <f>IFERROR(__xludf.DUMMYFUNCTION("IF(BI65=""oooooooooooo"",""-"",IF(REGEXMATCH(BJ65,""xxxx""), ""Co-Co."", ""-""))"),"-")</f>
        <v>-</v>
      </c>
      <c r="CK65" s="342" t="str">
        <f>IFERROR(__xludf.DUMMYFUNCTION("IF(BI65=""oooooooooooo"",""-"",IF(REGEXMATCH(BJ65,""xxxxx""), ""CCC."", ""-""))"),"-")</f>
        <v>-</v>
      </c>
      <c r="CL65" s="344" t="str">
        <f t="shared" si="41"/>
        <v>-</v>
      </c>
      <c r="CM65" s="282" t="str">
        <f>IFERROR(__xludf.DUMMYFUNCTION("IF(REGEXMATCH(JOIN(""-"",CO65:CX65),""TRUE""),""✔"",""-"")"),"-")</f>
        <v>-</v>
      </c>
      <c r="CN65" s="225">
        <f t="shared" si="42"/>
        <v>0</v>
      </c>
      <c r="CO65" s="376" t="b">
        <f>IFERROR(__xludf.DUMMYFUNCTION("arrayformula(sum(--REGEXMATCH(""SRGMPDNS"",split(REGEXREPLACE(N65,""(.)"",""$1~""),""~""))))=len(N65)
"),FALSE)</f>
        <v>0</v>
      </c>
      <c r="CP65" s="290" t="b">
        <f>IFERROR(__xludf.DUMMYFUNCTION("arrayformula(sum(--REGEXMATCH(""SRGmPDNS"",split(REGEXREPLACE(N65,""(.)"",""$1~""),""~""))))=len(N65)"),FALSE)</f>
        <v>0</v>
      </c>
      <c r="CQ65" s="290" t="b">
        <f>IFERROR(__xludf.DUMMYFUNCTION("arrayformula(sum(--REGEXMATCH(""SRGmPDnS"",split(REGEXREPLACE(N65,""(.)"",""$1~""),""~""))))=len(N65)"),FALSE)</f>
        <v>0</v>
      </c>
      <c r="CR65" s="290" t="b">
        <f>IFERROR(__xludf.DUMMYFUNCTION("arrayformula(sum(--REGEXMATCH(""SRgmPDnS"",split(REGEXREPLACE(N65,""(.)"",""$1~""),""~""))))=len(N65)"),FALSE)</f>
        <v>0</v>
      </c>
      <c r="CS65" s="290" t="b">
        <f>IFERROR(__xludf.DUMMYFUNCTION("arrayformula(sum(--REGEXMATCH(""SRgmPdnS"",split(REGEXREPLACE(N65,""(.)"",""$1~""),""~""))))=len(N65)"),FALSE)</f>
        <v>0</v>
      </c>
      <c r="CT65" s="290" t="b">
        <f>IFERROR(__xludf.DUMMYFUNCTION("arrayformula(sum(--REGEXMATCH(""SrgmPdnS"",split(REGEXREPLACE(N65,""(.)"",""$1~""),""~""))))=len(N65)"),FALSE)</f>
        <v>0</v>
      </c>
      <c r="CU65" s="290" t="b">
        <f>IFERROR(__xludf.DUMMYFUNCTION("arrayformula(sum(--REGEXMATCH(""SrGmPdNS"",split(REGEXREPLACE(N65,""(.)"",""$1~""),""~""))))=len(N65)"),FALSE)</f>
        <v>0</v>
      </c>
      <c r="CV65" s="290" t="b">
        <f>IFERROR(__xludf.DUMMYFUNCTION("arrayformula(sum(--REGEXMATCH(""SrGMPDNS"",split(REGEXREPLACE(N65,""(.)"",""$1~""),""~""))))=len(N65)"),FALSE)</f>
        <v>0</v>
      </c>
      <c r="CW65" s="290" t="b">
        <f>IFERROR(__xludf.DUMMYFUNCTION("arrayformula(sum(--REGEXMATCH(""SrGMPdNS"",split(REGEXREPLACE(N65,""(.)"",""$1~""),""~""))))=len(N65)"),FALSE)</f>
        <v>0</v>
      </c>
      <c r="CX65" s="293" t="b">
        <f>IFERROR(__xludf.DUMMYFUNCTION("arrayformula(sum(--REGEXMATCH(""SrgMPdNS"",split(REGEXREPLACE(N65,""(.)"",""$1~""),""~""))))=len(N65)"),FALSE)</f>
        <v>0</v>
      </c>
      <c r="CY65" s="244" t="str">
        <f>IFERROR(__xludf.DUMMYFUNCTION("IF(REGEXMATCH(N65, ""S""), ""1"","""")"),"1")</f>
        <v>1</v>
      </c>
      <c r="CZ65" s="245" t="str">
        <f>IFERROR(__xludf.DUMMYFUNCTION("IF(REGEXMATCH(N65, ""r""), ""b2"","""")"),"")</f>
        <v/>
      </c>
      <c r="DA65" s="246" t="str">
        <f>IFERROR(__xludf.DUMMYFUNCTION("IF(REGEXMATCH(N65, ""R""), ""2"","""")"),"")</f>
        <v/>
      </c>
      <c r="DB65" s="246" t="str">
        <f>IFERROR(__xludf.DUMMYFUNCTION("IF(REGEXMATCH(N65, ""g""), ""b3"","""")"),"b3")</f>
        <v>b3</v>
      </c>
      <c r="DC65" s="245" t="str">
        <f>IFERROR(__xludf.DUMMYFUNCTION("IF(REGEXMATCH(N65, ""G""), ""3"","""")"),"")</f>
        <v/>
      </c>
      <c r="DD65" s="245" t="str">
        <f>IFERROR(__xludf.DUMMYFUNCTION("IF(REGEXMATCH(N65, ""m""), ""4"","""")"),"4")</f>
        <v>4</v>
      </c>
      <c r="DE65" s="246" t="str">
        <f>IFERROR(__xludf.DUMMYFUNCTION("IF(REGEXMATCH(N65, ""M""), ""#4"","""")"),"")</f>
        <v/>
      </c>
      <c r="DF65" s="245" t="str">
        <f>IFERROR(__xludf.DUMMYFUNCTION("IF(REGEXMATCH(N65, ""P""), ""5"","""")"),"")</f>
        <v/>
      </c>
      <c r="DG65" s="246" t="str">
        <f>IFERROR(__xludf.DUMMYFUNCTION("IF(REGEXMATCH(N65, ""d""), ""b6"","""")"),"b6")</f>
        <v>b6</v>
      </c>
      <c r="DH65" s="245" t="str">
        <f>IFERROR(__xludf.DUMMYFUNCTION("IF(REGEXMATCH(N65, ""D""), ""6"","""")"),"")</f>
        <v/>
      </c>
      <c r="DI65" s="245" t="str">
        <f>IFERROR(__xludf.DUMMYFUNCTION("IF(REGEXMATCH(N65, ""n""), ""b7"","""")"),"b7")</f>
        <v>b7</v>
      </c>
      <c r="DJ65" s="246" t="str">
        <f>IFERROR(__xludf.DUMMYFUNCTION("IF(REGEXMATCH(N65, ""N""), ""7"","""")"),"7")</f>
        <v>7</v>
      </c>
      <c r="DK65" s="249" t="str">
        <f>IFERROR(__xludf.DUMMYFUNCTION("IF(REGEXMATCH(N65, ""S""), ""8"","""")"),"8")</f>
        <v>8</v>
      </c>
      <c r="DL65" s="244" t="str">
        <f>IFERROR(__xludf.DUMMYFUNCTION("IF(REGEXMATCH(N65, ""S""), ""S"","""")"),"S")</f>
        <v>S</v>
      </c>
      <c r="DM65" s="294" t="str">
        <f>IFERROR(__xludf.DUMMYFUNCTION("IF(REGEXMATCH(N65, ""r""), ""R1"","""")"),"")</f>
        <v/>
      </c>
      <c r="DN65" s="295" t="str">
        <f>IFERROR(__xludf.DUMMYFUNCTION("IF(REGEXMATCH(N65, ""R""), ""R2"","""")"),"")</f>
        <v/>
      </c>
      <c r="DO65" s="295" t="str">
        <f>IFERROR(__xludf.DUMMYFUNCTION("IF(REGEXMATCH(N65, ""g""), ""G2"","""")"),"G2")</f>
        <v>G2</v>
      </c>
      <c r="DP65" s="294" t="str">
        <f>IFERROR(__xludf.DUMMYFUNCTION("IF(REGEXMATCH(N65, ""G""), ""G3"","""")"),"")</f>
        <v/>
      </c>
      <c r="DQ65" s="294" t="str">
        <f>IFERROR(__xludf.DUMMYFUNCTION("IF(REGEXMATCH(N65, ""m""), ""M1"","""")"),"M1")</f>
        <v>M1</v>
      </c>
      <c r="DR65" s="295" t="str">
        <f>IFERROR(__xludf.DUMMYFUNCTION("IF(REGEXMATCH(N65, ""M""), ""M2"","""")"),"")</f>
        <v/>
      </c>
      <c r="DS65" s="294" t="str">
        <f>IFERROR(__xludf.DUMMYFUNCTION("IF(REGEXMATCH(N65, ""P""), ""P"","""")"),"")</f>
        <v/>
      </c>
      <c r="DT65" s="295" t="str">
        <f>IFERROR(__xludf.DUMMYFUNCTION("IF(REGEXMATCH(N65, ""d""), ""D1"","""")"),"D1")</f>
        <v>D1</v>
      </c>
      <c r="DU65" s="294" t="str">
        <f>IFERROR(__xludf.DUMMYFUNCTION("IF(REGEXMATCH(N65, ""D""), ""D2"","""")"),"")</f>
        <v/>
      </c>
      <c r="DV65" s="294" t="str">
        <f>IFERROR(__xludf.DUMMYFUNCTION("IF(REGEXMATCH(N65, ""n""), ""N2"","""")"),"N2")</f>
        <v>N2</v>
      </c>
      <c r="DW65" s="295" t="str">
        <f>IFERROR(__xludf.DUMMYFUNCTION("IF(REGEXMATCH(N65, ""N""), ""N3"","""")"),"N3")</f>
        <v>N3</v>
      </c>
      <c r="DX65" s="249" t="str">
        <f>IFERROR(__xludf.DUMMYFUNCTION("IF(REGEXMATCH(N65, ""S""), ""S"","""")"),"S")</f>
        <v>S</v>
      </c>
      <c r="DY65" s="299" t="str">
        <f>IFERROR(__xludf.DUMMYFUNCTION("SUBSTITUTE(SUBSTITUTE(SUBSTITUTE(SUBSTITUTE(CONCATENATE(JOIN(""-"",CY65:DK65)),""--"",""-""),""--"",""-""),""--"",""-""),""--"",""-"")"),"1-b3-4-b6-b7-7-8")</f>
        <v>1-b3-4-b6-b7-7-8</v>
      </c>
      <c r="DZ65" s="299" t="str">
        <f>IFERROR(__xludf.DUMMYFUNCTION("SUBSTITUTE(SUBSTITUTE(SUBSTITUTE(SUBSTITUTE(CONCATENATE(JOIN(""-"",DL65:DX65)),""--"",""-""),""--"",""-""),""--"",""-""),""--"",""-"")"),"S-G2-M1-D1-N2-N3-S")</f>
        <v>S-G2-M1-D1-N2-N3-S</v>
      </c>
      <c r="EA65" s="348" t="str">
        <f t="shared" si="43"/>
        <v>C-Eb-F-Ab-Bb-B-C</v>
      </c>
      <c r="EB65" s="301">
        <f t="shared" si="44"/>
        <v>6</v>
      </c>
      <c r="EC65" s="302" t="str">
        <f t="shared" si="45"/>
        <v>Audav</v>
      </c>
      <c r="ED65" s="301" t="str">
        <f t="shared" ref="ED65:EE65" si="231">SUBSTITUTE(AD65,"-","")</f>
        <v>SGM</v>
      </c>
      <c r="EE65" s="301" t="str">
        <f t="shared" si="231"/>
        <v>DNS</v>
      </c>
      <c r="EF65" s="302" t="str">
        <f t="shared" si="47"/>
        <v>(n/a)</v>
      </c>
      <c r="EG65" s="301" t="str">
        <f t="shared" si="48"/>
        <v>Hemi.</v>
      </c>
      <c r="EH65" s="364" t="str">
        <f t="shared" si="49"/>
        <v>Cohem.</v>
      </c>
      <c r="EI65" s="306" t="str">
        <f t="shared" si="50"/>
        <v>-</v>
      </c>
      <c r="EJ65" s="366" t="str">
        <f t="shared" si="51"/>
        <v>-</v>
      </c>
      <c r="EK65" s="308" t="str">
        <f t="shared" si="52"/>
        <v>✔</v>
      </c>
      <c r="EL65" s="306" t="str">
        <f t="shared" si="53"/>
        <v>-</v>
      </c>
      <c r="EM65" s="306" t="str">
        <f t="shared" si="54"/>
        <v>-</v>
      </c>
      <c r="EN65" s="367" t="str">
        <f t="shared" si="55"/>
        <v>-</v>
      </c>
      <c r="EO65" s="310" t="str">
        <f t="shared" si="56"/>
        <v>-</v>
      </c>
      <c r="EP65" s="310" t="str">
        <f t="shared" si="57"/>
        <v>-</v>
      </c>
      <c r="EQ65" s="310" t="str">
        <f t="shared" si="58"/>
        <v>-</v>
      </c>
      <c r="ER65" s="310" t="str">
        <f t="shared" si="59"/>
        <v>-</v>
      </c>
      <c r="ES65" s="370" t="str">
        <f t="shared" si="60"/>
        <v>✔</v>
      </c>
      <c r="ET65" s="306" t="str">
        <f t="shared" si="61"/>
        <v>✔</v>
      </c>
      <c r="EU65" s="306" t="str">
        <f t="shared" si="62"/>
        <v>-</v>
      </c>
      <c r="EV65" s="306" t="str">
        <f t="shared" si="63"/>
        <v>-</v>
      </c>
      <c r="EW65" s="306" t="str">
        <f t="shared" si="64"/>
        <v>✔</v>
      </c>
      <c r="EX65" s="306" t="str">
        <f t="shared" si="65"/>
        <v>-</v>
      </c>
      <c r="EY65" s="367" t="str">
        <f t="shared" si="66"/>
        <v>-</v>
      </c>
      <c r="EZ65" s="310" t="str">
        <f>IFERROR(__xludf.DUMMYFUNCTION("IF(REGEXMATCH(BM65,BI65),""✔"",""-"")"),"-")</f>
        <v>-</v>
      </c>
      <c r="FA65" s="310" t="str">
        <f t="shared" si="67"/>
        <v>-</v>
      </c>
      <c r="FB65" s="370" t="str">
        <f t="shared" si="68"/>
        <v>-</v>
      </c>
      <c r="FC65" s="415">
        <f t="shared" si="69"/>
        <v>2</v>
      </c>
      <c r="FD65" s="317" t="str">
        <f t="shared" si="70"/>
        <v>S-g-m-d-nN-S</v>
      </c>
      <c r="FE65" s="318" t="str">
        <f>IFERROR(__xludf.DUMMYFUNCTION("CONCATENATE(JOIN("""",GJ65:GV65))"),"SrRGPDS")</f>
        <v>SrRGPDS</v>
      </c>
      <c r="FF65" s="318"/>
      <c r="FG65" s="318"/>
      <c r="FH65" s="321">
        <f t="shared" si="71"/>
        <v>2</v>
      </c>
      <c r="FI65" s="318" t="str">
        <f>IFERROR(__xludf.DUMMYFUNCTION("CONCATENATE(JOIN("""",HW65:II65))"),"Sa, Ni, ")</f>
        <v>Sa, Ni, </v>
      </c>
      <c r="FJ65" s="322">
        <f t="shared" si="72"/>
        <v>1</v>
      </c>
      <c r="FK65" s="324" t="str">
        <f>IFERROR(__xludf.DUMMYFUNCTION("CONCATENATE(JOIN("""",IW65:JI65))"),"Ni, ")</f>
        <v>Ni, </v>
      </c>
      <c r="FL65" s="325" t="str">
        <f t="shared" si="73"/>
        <v>S-G2-M1-D1-N2-N3-S</v>
      </c>
      <c r="FM65" s="326" t="str">
        <f t="shared" si="74"/>
        <v>1-b3-4-b6-b7-7-8</v>
      </c>
      <c r="FN65" s="326" t="str">
        <f t="shared" si="75"/>
        <v>0-3-5-8-10-11-0</v>
      </c>
      <c r="FO65" s="318"/>
      <c r="FP65" s="328" t="str">
        <f>IFERROR(__xludf.DUMMYFUNCTION("SUBSTITUTE(SUBSTITUTE(SUBSTITUTE(SUBSTITUTE(CONCATENATE(JOIN("" "",FS65:GE65)),""  "","" ""),""  "","" ""),""  "","" ""),""  "","" "")"),"o • • o • o • • o • o o o")</f>
        <v>o • • o • o • • o • o o o</v>
      </c>
      <c r="FQ65" s="328" t="str">
        <f t="shared" si="76"/>
        <v>Sa-ma</v>
      </c>
      <c r="FR65" s="329"/>
      <c r="FS65" s="331" t="str">
        <f t="shared" si="77"/>
        <v>o</v>
      </c>
      <c r="FT65" s="332" t="str">
        <f t="shared" si="78"/>
        <v>•</v>
      </c>
      <c r="FU65" s="332" t="str">
        <f t="shared" si="79"/>
        <v>•</v>
      </c>
      <c r="FV65" s="332" t="str">
        <f t="shared" si="80"/>
        <v>o</v>
      </c>
      <c r="FW65" s="332" t="str">
        <f t="shared" si="81"/>
        <v>•</v>
      </c>
      <c r="FX65" s="332" t="str">
        <f t="shared" si="82"/>
        <v>o</v>
      </c>
      <c r="FY65" s="332" t="str">
        <f t="shared" si="83"/>
        <v>•</v>
      </c>
      <c r="FZ65" s="332" t="str">
        <f t="shared" si="84"/>
        <v>•</v>
      </c>
      <c r="GA65" s="332" t="str">
        <f t="shared" si="85"/>
        <v>o</v>
      </c>
      <c r="GB65" s="332" t="str">
        <f t="shared" si="86"/>
        <v>•</v>
      </c>
      <c r="GC65" s="332" t="str">
        <f t="shared" si="87"/>
        <v>o</v>
      </c>
      <c r="GD65" s="332" t="str">
        <f t="shared" si="88"/>
        <v>o</v>
      </c>
      <c r="GE65" s="338" t="str">
        <f t="shared" si="89"/>
        <v>o</v>
      </c>
      <c r="GF65" s="339" t="str">
        <f t="shared" si="90"/>
        <v>-</v>
      </c>
      <c r="GG65" s="339" t="str">
        <f t="shared" si="91"/>
        <v>-</v>
      </c>
      <c r="GH65" s="339" t="str">
        <f t="shared" si="92"/>
        <v>-</v>
      </c>
      <c r="GI65" s="340" t="str">
        <f t="shared" si="93"/>
        <v>Sa-ma</v>
      </c>
      <c r="GJ65" s="331" t="str">
        <f t="shared" si="94"/>
        <v>S</v>
      </c>
      <c r="GK65" s="332" t="str">
        <f t="shared" si="95"/>
        <v>r</v>
      </c>
      <c r="GL65" s="332" t="str">
        <f t="shared" si="96"/>
        <v>R</v>
      </c>
      <c r="GM65" s="332" t="str">
        <f t="shared" si="97"/>
        <v/>
      </c>
      <c r="GN65" s="332" t="str">
        <f t="shared" si="98"/>
        <v>G</v>
      </c>
      <c r="GO65" s="332" t="str">
        <f t="shared" si="99"/>
        <v/>
      </c>
      <c r="GP65" s="332" t="str">
        <f t="shared" si="100"/>
        <v/>
      </c>
      <c r="GQ65" s="332" t="str">
        <f t="shared" si="101"/>
        <v>P</v>
      </c>
      <c r="GR65" s="332" t="str">
        <f t="shared" si="102"/>
        <v/>
      </c>
      <c r="GS65" s="332" t="str">
        <f t="shared" si="103"/>
        <v>D</v>
      </c>
      <c r="GT65" s="332" t="str">
        <f t="shared" si="104"/>
        <v/>
      </c>
      <c r="GU65" s="332" t="str">
        <f t="shared" si="105"/>
        <v/>
      </c>
      <c r="GV65" s="343" t="str">
        <f t="shared" si="106"/>
        <v>S</v>
      </c>
      <c r="GW65" s="331" t="str">
        <f t="shared" si="107"/>
        <v>•</v>
      </c>
      <c r="GX65" s="332" t="str">
        <f t="shared" si="108"/>
        <v>o</v>
      </c>
      <c r="GY65" s="332" t="str">
        <f t="shared" si="109"/>
        <v>o</v>
      </c>
      <c r="GZ65" s="332" t="str">
        <f t="shared" si="110"/>
        <v>•</v>
      </c>
      <c r="HA65" s="332" t="str">
        <f t="shared" si="111"/>
        <v>o</v>
      </c>
      <c r="HB65" s="332" t="str">
        <f t="shared" si="112"/>
        <v>•</v>
      </c>
      <c r="HC65" s="332" t="str">
        <f t="shared" si="113"/>
        <v>o</v>
      </c>
      <c r="HD65" s="332" t="str">
        <f t="shared" si="114"/>
        <v>o</v>
      </c>
      <c r="HE65" s="332" t="str">
        <f t="shared" si="115"/>
        <v>•</v>
      </c>
      <c r="HF65" s="332" t="str">
        <f t="shared" si="116"/>
        <v>o</v>
      </c>
      <c r="HG65" s="332" t="str">
        <f t="shared" si="117"/>
        <v>•</v>
      </c>
      <c r="HH65" s="332" t="str">
        <f t="shared" si="118"/>
        <v>•</v>
      </c>
      <c r="HI65" s="338" t="str">
        <f t="shared" si="119"/>
        <v>•</v>
      </c>
      <c r="HJ65" s="346" t="b">
        <f t="shared" si="120"/>
        <v>1</v>
      </c>
      <c r="HK65" s="347" t="b">
        <f t="shared" si="121"/>
        <v>0</v>
      </c>
      <c r="HL65" s="347" t="b">
        <f t="shared" si="122"/>
        <v>0</v>
      </c>
      <c r="HM65" s="347" t="b">
        <f t="shared" si="123"/>
        <v>0</v>
      </c>
      <c r="HN65" s="347" t="b">
        <f t="shared" si="124"/>
        <v>0</v>
      </c>
      <c r="HO65" s="347" t="b">
        <f t="shared" si="125"/>
        <v>0</v>
      </c>
      <c r="HP65" s="347" t="b">
        <f t="shared" si="126"/>
        <v>0</v>
      </c>
      <c r="HQ65" s="347" t="b">
        <f t="shared" si="127"/>
        <v>0</v>
      </c>
      <c r="HR65" s="347" t="b">
        <f t="shared" si="128"/>
        <v>0</v>
      </c>
      <c r="HS65" s="347" t="b">
        <f t="shared" si="129"/>
        <v>0</v>
      </c>
      <c r="HT65" s="347" t="b">
        <f t="shared" si="130"/>
        <v>0</v>
      </c>
      <c r="HU65" s="347" t="b">
        <f t="shared" si="131"/>
        <v>1</v>
      </c>
      <c r="HV65" s="353" t="b">
        <f t="shared" si="132"/>
        <v>1</v>
      </c>
      <c r="HW65" s="354" t="str">
        <f t="shared" si="133"/>
        <v>Sa, </v>
      </c>
      <c r="HX65" s="355" t="str">
        <f t="shared" si="134"/>
        <v/>
      </c>
      <c r="HY65" s="355" t="str">
        <f t="shared" si="135"/>
        <v/>
      </c>
      <c r="HZ65" s="355" t="str">
        <f t="shared" si="136"/>
        <v/>
      </c>
      <c r="IA65" s="355" t="str">
        <f t="shared" si="137"/>
        <v/>
      </c>
      <c r="IB65" s="355" t="str">
        <f t="shared" si="138"/>
        <v/>
      </c>
      <c r="IC65" s="355" t="str">
        <f t="shared" si="139"/>
        <v/>
      </c>
      <c r="ID65" s="355" t="str">
        <f t="shared" si="140"/>
        <v/>
      </c>
      <c r="IE65" s="355" t="str">
        <f t="shared" si="141"/>
        <v/>
      </c>
      <c r="IF65" s="355" t="str">
        <f t="shared" si="142"/>
        <v/>
      </c>
      <c r="IG65" s="355" t="str">
        <f t="shared" si="143"/>
        <v/>
      </c>
      <c r="IH65" s="355" t="str">
        <f t="shared" si="144"/>
        <v>Ni, </v>
      </c>
      <c r="II65" s="359" t="str">
        <f t="shared" si="145"/>
        <v/>
      </c>
      <c r="IJ65" s="346" t="b">
        <f t="shared" si="146"/>
        <v>0</v>
      </c>
      <c r="IK65" s="347" t="b">
        <f t="shared" si="147"/>
        <v>0</v>
      </c>
      <c r="IL65" s="347" t="b">
        <f t="shared" si="148"/>
        <v>0</v>
      </c>
      <c r="IM65" s="347" t="b">
        <f t="shared" si="149"/>
        <v>0</v>
      </c>
      <c r="IN65" s="347" t="b">
        <f t="shared" si="150"/>
        <v>0</v>
      </c>
      <c r="IO65" s="347" t="b">
        <f t="shared" si="151"/>
        <v>0</v>
      </c>
      <c r="IP65" s="347" t="b">
        <f t="shared" si="152"/>
        <v>0</v>
      </c>
      <c r="IQ65" s="347" t="b">
        <f t="shared" si="153"/>
        <v>0</v>
      </c>
      <c r="IR65" s="347" t="b">
        <f t="shared" si="154"/>
        <v>0</v>
      </c>
      <c r="IS65" s="347" t="b">
        <f t="shared" si="155"/>
        <v>0</v>
      </c>
      <c r="IT65" s="347" t="b">
        <f t="shared" si="156"/>
        <v>0</v>
      </c>
      <c r="IU65" s="347" t="b">
        <f t="shared" si="157"/>
        <v>1</v>
      </c>
      <c r="IV65" s="365" t="b">
        <f t="shared" si="158"/>
        <v>0</v>
      </c>
      <c r="IW65" s="354" t="str">
        <f t="shared" si="159"/>
        <v/>
      </c>
      <c r="IX65" s="355" t="str">
        <f t="shared" si="160"/>
        <v/>
      </c>
      <c r="IY65" s="355" t="str">
        <f t="shared" si="161"/>
        <v/>
      </c>
      <c r="IZ65" s="355" t="str">
        <f t="shared" si="162"/>
        <v/>
      </c>
      <c r="JA65" s="355" t="str">
        <f t="shared" si="163"/>
        <v/>
      </c>
      <c r="JB65" s="355" t="str">
        <f t="shared" si="164"/>
        <v/>
      </c>
      <c r="JC65" s="355" t="str">
        <f t="shared" si="165"/>
        <v/>
      </c>
      <c r="JD65" s="355" t="str">
        <f t="shared" si="166"/>
        <v/>
      </c>
      <c r="JE65" s="355" t="str">
        <f t="shared" si="167"/>
        <v/>
      </c>
      <c r="JF65" s="355" t="str">
        <f t="shared" si="168"/>
        <v/>
      </c>
      <c r="JG65" s="355" t="str">
        <f t="shared" si="169"/>
        <v/>
      </c>
      <c r="JH65" s="355" t="str">
        <f t="shared" si="170"/>
        <v>Ni, </v>
      </c>
      <c r="JI65" s="359"/>
      <c r="JJ65" s="321"/>
      <c r="JK65" s="368"/>
      <c r="JL65" s="369"/>
      <c r="JM65" s="369"/>
      <c r="JN65" s="369"/>
      <c r="JO65" s="369"/>
      <c r="JP65" s="369"/>
      <c r="JQ65" s="369"/>
      <c r="JR65" s="369"/>
      <c r="JS65" s="369"/>
      <c r="JT65" s="369"/>
      <c r="JU65" s="369"/>
    </row>
    <row r="66" ht="18.0" customHeight="1">
      <c r="A66" s="419"/>
      <c r="B66" s="420"/>
      <c r="C66" s="420"/>
      <c r="D66" s="420"/>
      <c r="E66" s="420"/>
      <c r="F66" s="420"/>
      <c r="G66" s="445"/>
      <c r="H66" s="420"/>
      <c r="I66" s="421"/>
      <c r="J66" s="330"/>
      <c r="K66" s="422"/>
      <c r="L66" s="330"/>
      <c r="M66" s="423"/>
      <c r="N66" s="424"/>
      <c r="O66" s="425"/>
      <c r="P66" s="426"/>
      <c r="Q66" s="309"/>
      <c r="R66" s="309"/>
      <c r="S66" s="426"/>
      <c r="T66" s="426"/>
      <c r="U66" s="309"/>
      <c r="V66" s="426"/>
      <c r="W66" s="309"/>
      <c r="X66" s="426"/>
      <c r="Y66" s="426"/>
      <c r="Z66" s="309"/>
      <c r="AA66" s="425"/>
      <c r="AB66" s="330"/>
      <c r="AC66" s="330"/>
      <c r="AD66" s="309"/>
      <c r="AE66" s="309"/>
      <c r="AF66" s="309"/>
      <c r="AG66" s="427"/>
      <c r="AH66" s="424"/>
      <c r="AI66" s="362"/>
      <c r="AJ66" s="362"/>
      <c r="AK66" s="424"/>
      <c r="AL66" s="424"/>
      <c r="AM66" s="362"/>
      <c r="AN66" s="424"/>
      <c r="AO66" s="362"/>
      <c r="AP66" s="424"/>
      <c r="AQ66" s="424"/>
      <c r="AR66" s="362"/>
      <c r="AS66" s="427"/>
      <c r="AT66" s="362"/>
      <c r="AU66" s="428"/>
      <c r="AV66" s="425"/>
      <c r="AW66" s="426"/>
      <c r="AX66" s="309"/>
      <c r="AY66" s="426"/>
      <c r="AZ66" s="309"/>
      <c r="BA66" s="426"/>
      <c r="BB66" s="309"/>
      <c r="BC66" s="426"/>
      <c r="BD66" s="309"/>
      <c r="BE66" s="426"/>
      <c r="BF66" s="309"/>
      <c r="BG66" s="426"/>
      <c r="BH66" s="425"/>
      <c r="BI66" s="429"/>
      <c r="BJ66" s="429"/>
      <c r="BK66" s="430"/>
      <c r="BL66" s="430"/>
      <c r="BM66" s="430"/>
      <c r="BN66" s="330"/>
      <c r="BO66" s="330"/>
      <c r="BP66" s="330"/>
      <c r="BQ66" s="309"/>
      <c r="BR66" s="330"/>
      <c r="BS66" s="330"/>
      <c r="BT66" s="330"/>
      <c r="BU66" s="330"/>
      <c r="BV66" s="330"/>
      <c r="BW66" s="431"/>
      <c r="BX66" s="431"/>
      <c r="BY66" s="432"/>
      <c r="BZ66" s="431"/>
      <c r="CA66" s="432"/>
      <c r="CB66" s="432"/>
      <c r="CC66" s="432"/>
      <c r="CD66" s="432"/>
      <c r="CE66" s="432"/>
      <c r="CF66" s="432"/>
      <c r="CG66" s="432"/>
      <c r="CH66" s="309"/>
      <c r="CI66" s="309"/>
      <c r="CJ66" s="309"/>
      <c r="CK66" s="309"/>
      <c r="CL66" s="309"/>
      <c r="CM66" s="330"/>
      <c r="CN66" s="330"/>
      <c r="CO66" s="433"/>
      <c r="CP66" s="433"/>
      <c r="CQ66" s="433"/>
      <c r="CR66" s="433"/>
      <c r="CS66" s="433"/>
      <c r="CT66" s="433"/>
      <c r="CU66" s="433"/>
      <c r="CV66" s="433"/>
      <c r="CW66" s="433"/>
      <c r="CX66" s="433"/>
      <c r="CY66" s="427"/>
      <c r="CZ66" s="424"/>
      <c r="DA66" s="362"/>
      <c r="DB66" s="362"/>
      <c r="DC66" s="424"/>
      <c r="DD66" s="424"/>
      <c r="DE66" s="362"/>
      <c r="DF66" s="424"/>
      <c r="DG66" s="362"/>
      <c r="DH66" s="424"/>
      <c r="DI66" s="424"/>
      <c r="DJ66" s="362"/>
      <c r="DK66" s="427"/>
      <c r="DL66" s="427"/>
      <c r="DM66" s="424"/>
      <c r="DN66" s="362"/>
      <c r="DO66" s="362"/>
      <c r="DP66" s="424"/>
      <c r="DQ66" s="424"/>
      <c r="DR66" s="362"/>
      <c r="DS66" s="424"/>
      <c r="DT66" s="362"/>
      <c r="DU66" s="424"/>
      <c r="DV66" s="424"/>
      <c r="DW66" s="362"/>
      <c r="DX66" s="427"/>
      <c r="DY66" s="362"/>
      <c r="DZ66" s="362"/>
      <c r="EA66" s="309"/>
      <c r="EB66" s="434"/>
      <c r="EC66" s="435"/>
      <c r="ED66" s="434"/>
      <c r="EE66" s="434"/>
      <c r="EF66" s="435"/>
      <c r="EG66" s="434"/>
      <c r="EH66" s="434"/>
      <c r="EI66" s="366"/>
      <c r="EJ66" s="366"/>
      <c r="EK66" s="366"/>
      <c r="EL66" s="366"/>
      <c r="EM66" s="366"/>
      <c r="EN66" s="366"/>
      <c r="EO66" s="436"/>
      <c r="EP66" s="436"/>
      <c r="EQ66" s="436"/>
      <c r="ER66" s="436"/>
      <c r="ES66" s="436"/>
      <c r="ET66" s="366"/>
      <c r="EU66" s="366"/>
      <c r="EV66" s="366"/>
      <c r="EW66" s="366"/>
      <c r="EX66" s="366"/>
      <c r="EY66" s="366"/>
      <c r="EZ66" s="436"/>
      <c r="FA66" s="436"/>
      <c r="FB66" s="436"/>
      <c r="FC66" s="317"/>
      <c r="FD66" s="317"/>
      <c r="FE66" s="321"/>
      <c r="FF66" s="321"/>
      <c r="FG66" s="321"/>
      <c r="FH66" s="321"/>
      <c r="FI66" s="321"/>
      <c r="FJ66" s="322"/>
      <c r="FK66" s="322"/>
      <c r="FL66" s="321"/>
      <c r="FM66" s="321"/>
      <c r="FN66" s="321"/>
      <c r="FO66" s="321"/>
      <c r="FP66" s="321"/>
      <c r="FQ66" s="321"/>
      <c r="FR66" s="329"/>
      <c r="FS66" s="437"/>
      <c r="FT66" s="438"/>
      <c r="FU66" s="438"/>
      <c r="FV66" s="438"/>
      <c r="FW66" s="438"/>
      <c r="FX66" s="438"/>
      <c r="FY66" s="438"/>
      <c r="FZ66" s="438"/>
      <c r="GA66" s="438"/>
      <c r="GB66" s="438"/>
      <c r="GC66" s="438"/>
      <c r="GD66" s="438"/>
      <c r="GE66" s="437"/>
      <c r="GF66" s="340"/>
      <c r="GG66" s="340"/>
      <c r="GH66" s="340"/>
      <c r="GI66" s="340"/>
      <c r="GJ66" s="437"/>
      <c r="GK66" s="438"/>
      <c r="GL66" s="438"/>
      <c r="GM66" s="438"/>
      <c r="GN66" s="438"/>
      <c r="GO66" s="438"/>
      <c r="GP66" s="438"/>
      <c r="GQ66" s="438"/>
      <c r="GR66" s="438"/>
      <c r="GS66" s="438"/>
      <c r="GT66" s="438"/>
      <c r="GU66" s="438"/>
      <c r="GV66" s="437"/>
      <c r="GW66" s="437"/>
      <c r="GX66" s="438"/>
      <c r="GY66" s="438"/>
      <c r="GZ66" s="438"/>
      <c r="HA66" s="438"/>
      <c r="HB66" s="438"/>
      <c r="HC66" s="438"/>
      <c r="HD66" s="438"/>
      <c r="HE66" s="438"/>
      <c r="HF66" s="438"/>
      <c r="HG66" s="438"/>
      <c r="HH66" s="438"/>
      <c r="HI66" s="437"/>
      <c r="HJ66" s="439"/>
      <c r="HK66" s="440"/>
      <c r="HL66" s="440"/>
      <c r="HM66" s="440"/>
      <c r="HN66" s="440"/>
      <c r="HO66" s="440"/>
      <c r="HP66" s="440"/>
      <c r="HQ66" s="440"/>
      <c r="HR66" s="440"/>
      <c r="HS66" s="440"/>
      <c r="HT66" s="440"/>
      <c r="HU66" s="440"/>
      <c r="HV66" s="439"/>
      <c r="HW66" s="441"/>
      <c r="HX66" s="442"/>
      <c r="HY66" s="442"/>
      <c r="HZ66" s="442"/>
      <c r="IA66" s="442"/>
      <c r="IB66" s="442"/>
      <c r="IC66" s="442"/>
      <c r="ID66" s="442"/>
      <c r="IE66" s="442"/>
      <c r="IF66" s="442"/>
      <c r="IG66" s="442"/>
      <c r="IH66" s="442"/>
      <c r="II66" s="441"/>
      <c r="IJ66" s="443"/>
      <c r="IK66" s="444"/>
      <c r="IL66" s="444"/>
      <c r="IM66" s="444"/>
      <c r="IN66" s="444"/>
      <c r="IO66" s="444"/>
      <c r="IP66" s="444"/>
      <c r="IQ66" s="444"/>
      <c r="IR66" s="444"/>
      <c r="IS66" s="444"/>
      <c r="IT66" s="444"/>
      <c r="IU66" s="444"/>
      <c r="IV66" s="443"/>
      <c r="IW66" s="441"/>
      <c r="IX66" s="442"/>
      <c r="IY66" s="442"/>
      <c r="IZ66" s="442"/>
      <c r="JA66" s="442"/>
      <c r="JB66" s="442"/>
      <c r="JC66" s="442"/>
      <c r="JD66" s="442"/>
      <c r="JE66" s="442"/>
      <c r="JF66" s="442"/>
      <c r="JG66" s="442"/>
      <c r="JH66" s="442"/>
      <c r="JI66" s="441"/>
      <c r="JJ66" s="321"/>
      <c r="JK66" s="321"/>
      <c r="JL66" s="369"/>
      <c r="JM66" s="369"/>
      <c r="JN66" s="369"/>
      <c r="JO66" s="369"/>
      <c r="JP66" s="369"/>
      <c r="JQ66" s="369"/>
      <c r="JR66" s="369"/>
      <c r="JS66" s="369"/>
      <c r="JT66" s="369"/>
      <c r="JU66" s="369"/>
    </row>
  </sheetData>
  <autoFilter ref="$A$2:$JU$65">
    <sortState ref="A2:JU65">
      <sortCondition ref="H2:H65"/>
      <sortCondition ref="AT2:AT65"/>
    </sortState>
  </autoFilter>
  <hyperlinks>
    <hyperlink r:id="rId1" ref="A1"/>
    <hyperlink r:id="rId2" ref="A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9.75"/>
    <col customWidth="1" min="2" max="3" width="16.88"/>
    <col customWidth="1" min="4" max="4" width="8.38"/>
    <col customWidth="1" min="5" max="5" width="9.5"/>
    <col customWidth="1" min="6" max="6" width="13.13"/>
    <col customWidth="1" min="7" max="7" width="16.5"/>
    <col customWidth="1" min="8" max="8" width="14.25"/>
    <col customWidth="1" min="9" max="9" width="4.63"/>
    <col customWidth="1" min="10" max="10" width="14.25"/>
    <col customWidth="1" min="11" max="11" width="4.63"/>
  </cols>
  <sheetData>
    <row r="1">
      <c r="A1" s="397" t="s">
        <v>500</v>
      </c>
      <c r="B1" s="398" t="s">
        <v>501</v>
      </c>
      <c r="C1" s="3" t="s">
        <v>502</v>
      </c>
      <c r="D1" s="398" t="s">
        <v>503</v>
      </c>
      <c r="E1" s="399" t="s">
        <v>504</v>
      </c>
      <c r="F1" s="400" t="s">
        <v>505</v>
      </c>
      <c r="G1" s="3" t="s">
        <v>506</v>
      </c>
      <c r="H1" s="400" t="s">
        <v>507</v>
      </c>
      <c r="I1" s="400" t="s">
        <v>508</v>
      </c>
      <c r="J1" s="398" t="s">
        <v>509</v>
      </c>
      <c r="K1" s="3" t="s">
        <v>508</v>
      </c>
    </row>
    <row r="2">
      <c r="A2" s="401"/>
      <c r="B2" s="402"/>
      <c r="C2" s="131"/>
      <c r="D2" s="402"/>
      <c r="E2" s="131"/>
      <c r="F2" s="403"/>
      <c r="G2" s="404"/>
      <c r="H2" s="403"/>
      <c r="I2" s="403"/>
      <c r="J2" s="405"/>
      <c r="K2" s="404"/>
    </row>
    <row r="3">
      <c r="A3" s="406" t="s">
        <v>242</v>
      </c>
      <c r="B3" s="407" t="s">
        <v>245</v>
      </c>
      <c r="C3" s="222" t="s">
        <v>510</v>
      </c>
      <c r="D3" s="408" t="b">
        <f>IFERROR(__xludf.DUMMYFUNCTION("arrayformula(sum(--REGEXMATCH(H3,split(REGEXREPLACE(J3,""(.)"",""$1~""),""~""))))=len(J3)"),FALSE)</f>
        <v>0</v>
      </c>
      <c r="E3" s="409" t="s">
        <v>511</v>
      </c>
      <c r="F3" s="410" t="str">
        <f>IFERROR(__xludf.DUMMYFUNCTION("REGEXREPLACE(B3,""[^[:alpha:]]"", """")"),"SrRgGmPdnS")</f>
        <v>SrRgGmPdnS</v>
      </c>
      <c r="G3" s="411" t="str">
        <f>IFERROR(__xludf.DUMMYFUNCTION("REGEXREPLACE(C3,""[^[:alpha:]]"", """")"),"nSnSnSmRmmPPPmPnPmgmRdPdndPPSPmPmPmPnPnPmggRSRSSnSgRgRSnSSnSRGmmPmPPmPDPDnDnPdPmPmgRSRmPPmPmPDnSnSnDnDPmmDPndnPdPmPRgmPnPmgRSRSSRGmGmmnPmGRSRSRSnSSRGm")</f>
        <v>nSnSnSmRmmPPPmPnPmgmRdPdndPPSPmPmPmPnPnPmggRSRSSnSgRgRSnSSnSRGmmPmPPmPDPDnDnPdPmPmgRSRmPPmPmPDnSnSnDnDPmmDPndnPdPmPRgmPnPmgRSRSSRGmGmmnPmGRSRSRSnSSRGm</v>
      </c>
      <c r="H3" s="410" t="str">
        <f>IFERROR(__xludf.DUMMYFUNCTION("ArrayFormula(join(,unique(mid(F3,sequence(len(F3)),1))))"),"SrRgGmPdn")</f>
        <v>SrRgGmPdn</v>
      </c>
      <c r="I3" s="410">
        <f t="shared" ref="I3:I323" si="1">LEN(H3)</f>
        <v>9</v>
      </c>
      <c r="J3" s="412" t="str">
        <f>IFERROR(__xludf.DUMMYFUNCTION("ArrayFormula(join(,unique(mid(G3,sequence(len(G3)),1))))"),"nSmRPgdGD")</f>
        <v>nSmRPgdGD</v>
      </c>
      <c r="K3" s="411">
        <f t="shared" ref="K3:K323" si="2">LEN(J3)</f>
        <v>9</v>
      </c>
    </row>
    <row r="4">
      <c r="A4" s="406" t="s">
        <v>368</v>
      </c>
      <c r="B4" s="407" t="s">
        <v>371</v>
      </c>
      <c r="C4" s="222" t="s">
        <v>512</v>
      </c>
      <c r="D4" s="408" t="b">
        <f>IFERROR(__xludf.DUMMYFUNCTION("arrayformula(sum(--REGEXMATCH(H4,split(REGEXREPLACE(J4,""(.)"",""$1~""),""~""))))=len(J4)"),TRUE)</f>
        <v>1</v>
      </c>
      <c r="E4" s="409" t="s">
        <v>513</v>
      </c>
      <c r="F4" s="410" t="str">
        <f>IFERROR(__xludf.DUMMYFUNCTION("REGEXREPLACE(B4,""[^[:alpha:]]"", """")"),"SRgmDS")</f>
        <v>SRgmDS</v>
      </c>
      <c r="G4" s="411" t="str">
        <f>IFERROR(__xludf.DUMMYFUNCTION("REGEXREPLACE(C4,""[^[:alpha:]]"", """")"),"mgRSDmgmDSgRgmDSDSmSDSDSSSSSDSRmg")</f>
        <v>mgRSDmgmDSgRgmDSDSmSDSDSSSSSDSRmg</v>
      </c>
      <c r="H4" s="410" t="str">
        <f>IFERROR(__xludf.DUMMYFUNCTION("ArrayFormula(join(,unique(mid(F4,sequence(len(F4)),1))))"),"SRgmD")</f>
        <v>SRgmD</v>
      </c>
      <c r="I4" s="410">
        <f t="shared" si="1"/>
        <v>5</v>
      </c>
      <c r="J4" s="412" t="str">
        <f>IFERROR(__xludf.DUMMYFUNCTION("ArrayFormula(join(,unique(mid(G4,sequence(len(G4)),1))))"),"mgRSD")</f>
        <v>mgRSD</v>
      </c>
      <c r="K4" s="411">
        <f t="shared" si="2"/>
        <v>5</v>
      </c>
    </row>
    <row r="5">
      <c r="A5" s="406" t="s">
        <v>403</v>
      </c>
      <c r="B5" s="407" t="s">
        <v>405</v>
      </c>
      <c r="C5" s="222" t="s">
        <v>514</v>
      </c>
      <c r="D5" s="408" t="b">
        <f>IFERROR(__xludf.DUMMYFUNCTION("arrayformula(sum(--REGEXMATCH(H5,split(REGEXREPLACE(J5,""(.)"",""$1~""),""~""))))=len(J5)"),TRUE)</f>
        <v>1</v>
      </c>
      <c r="E5" s="409" t="s">
        <v>513</v>
      </c>
      <c r="F5" s="410" t="str">
        <f>IFERROR(__xludf.DUMMYFUNCTION("REGEXREPLACE(B5,""[^[:alpha:]]"", """")"),"SRgmPdnS")</f>
        <v>SRgmPdnS</v>
      </c>
      <c r="G5" s="411" t="str">
        <f>IFERROR(__xludf.DUMMYFUNCTION("REGEXREPLACE(C5,""[^[:alpha:]]"", """")"),"SndnPmPggmPgmRSnSmRmPSnngRSgRnSPnmPSndnP")</f>
        <v>SndnPmPggmPgmRSnSmRmPSnngRSgRnSPnmPSndnP</v>
      </c>
      <c r="H5" s="410" t="str">
        <f>IFERROR(__xludf.DUMMYFUNCTION("ArrayFormula(join(,unique(mid(F5,sequence(len(F5)),1))))"),"SRgmPdn")</f>
        <v>SRgmPdn</v>
      </c>
      <c r="I5" s="410">
        <f t="shared" si="1"/>
        <v>7</v>
      </c>
      <c r="J5" s="412" t="str">
        <f>IFERROR(__xludf.DUMMYFUNCTION("ArrayFormula(join(,unique(mid(G5,sequence(len(G5)),1))))"),"SndPmgR")</f>
        <v>SndPmgR</v>
      </c>
      <c r="K5" s="411">
        <f t="shared" si="2"/>
        <v>7</v>
      </c>
    </row>
    <row r="6">
      <c r="A6" s="406" t="s">
        <v>433</v>
      </c>
      <c r="B6" s="407" t="s">
        <v>435</v>
      </c>
      <c r="C6" s="222" t="s">
        <v>515</v>
      </c>
      <c r="D6" s="408" t="b">
        <f>IFERROR(__xludf.DUMMYFUNCTION("arrayformula(sum(--REGEXMATCH(H6,split(REGEXREPLACE(J6,""(.)"",""$1~""),""~""))))=len(J6)"),TRUE)</f>
        <v>1</v>
      </c>
      <c r="E6" s="409" t="s">
        <v>513</v>
      </c>
      <c r="F6" s="410" t="str">
        <f>IFERROR(__xludf.DUMMYFUNCTION("REGEXREPLACE(B6,""[^[:alpha:]]"", """")"),"SrgmMPdnNS")</f>
        <v>SrgmMPdnNS</v>
      </c>
      <c r="G6" s="411" t="str">
        <f>IFERROR(__xludf.DUMMYFUNCTION("REGEXREPLACE(C6,""[^[:alpha:]]"", """")"),"rgPMdddnddPPPMdnnnddMMgrgrSrMggNSSrgPMddd")</f>
        <v>rgPMdddnddPPPMdnnnddMMgrgrSrMggNSSrgPMddd</v>
      </c>
      <c r="H6" s="410" t="str">
        <f>IFERROR(__xludf.DUMMYFUNCTION("ArrayFormula(join(,unique(mid(F6,sequence(len(F6)),1))))"),"SrgmMPdnN")</f>
        <v>SrgmMPdnN</v>
      </c>
      <c r="I6" s="410">
        <f t="shared" si="1"/>
        <v>9</v>
      </c>
      <c r="J6" s="412" t="str">
        <f>IFERROR(__xludf.DUMMYFUNCTION("ArrayFormula(join(,unique(mid(G6,sequence(len(G6)),1))))"),"rgPMdnSN")</f>
        <v>rgPMdnSN</v>
      </c>
      <c r="K6" s="411">
        <f t="shared" si="2"/>
        <v>8</v>
      </c>
    </row>
    <row r="7">
      <c r="A7" s="406" t="s">
        <v>466</v>
      </c>
      <c r="B7" s="407" t="s">
        <v>467</v>
      </c>
      <c r="C7" s="222" t="s">
        <v>516</v>
      </c>
      <c r="D7" s="408" t="b">
        <f>IFERROR(__xludf.DUMMYFUNCTION("arrayformula(sum(--REGEXMATCH(H7,split(REGEXREPLACE(J7,""(.)"",""$1~""),""~""))))=len(J7)"),TRUE)</f>
        <v>1</v>
      </c>
      <c r="E7" s="409" t="s">
        <v>513</v>
      </c>
      <c r="F7" s="410" t="str">
        <f>IFERROR(__xludf.DUMMYFUNCTION("REGEXREPLACE(B7,""[^[:alpha:]]"", """")"),"SRGDNS")</f>
        <v>SRGDNS</v>
      </c>
      <c r="G7" s="411" t="str">
        <f>IFERROR(__xludf.DUMMYFUNCTION("REGEXREPLACE(C7,""[^[:alpha:]]"", """")"),"GDGRSNDGGSDSRSDSNRSGDDDG")</f>
        <v>GDGRSNDGGSDSRSDSNRSGDDDG</v>
      </c>
      <c r="H7" s="410" t="str">
        <f>IFERROR(__xludf.DUMMYFUNCTION("ArrayFormula(join(,unique(mid(F7,sequence(len(F7)),1))))"),"SRGDN")</f>
        <v>SRGDN</v>
      </c>
      <c r="I7" s="410">
        <f t="shared" si="1"/>
        <v>5</v>
      </c>
      <c r="J7" s="412" t="str">
        <f>IFERROR(__xludf.DUMMYFUNCTION("ArrayFormula(join(,unique(mid(G7,sequence(len(G7)),1))))"),"GDRSN")</f>
        <v>GDRSN</v>
      </c>
      <c r="K7" s="411">
        <f t="shared" si="2"/>
        <v>5</v>
      </c>
    </row>
    <row r="8">
      <c r="A8" s="406" t="s">
        <v>494</v>
      </c>
      <c r="B8" s="407" t="s">
        <v>496</v>
      </c>
      <c r="C8" s="222" t="s">
        <v>517</v>
      </c>
      <c r="D8" s="408" t="b">
        <f>IFERROR(__xludf.DUMMYFUNCTION("arrayformula(sum(--REGEXMATCH(H8,split(REGEXREPLACE(J8,""(.)"",""$1~""),""~""))))=len(J8)"),TRUE)</f>
        <v>1</v>
      </c>
      <c r="E8" s="409" t="s">
        <v>513</v>
      </c>
      <c r="F8" s="410" t="str">
        <f>IFERROR(__xludf.DUMMYFUNCTION("REGEXREPLACE(B8,""[^[:alpha:]]"", """")"),"SrRGmPDNS")</f>
        <v>SrRGmPDNS</v>
      </c>
      <c r="G8" s="411" t="str">
        <f>IFERROR(__xludf.DUMMYFUNCTION("REGEXREPLACE(C8,""[^[:alpha:]]"", """")"),"SNDNDNDDSNrSSNSNSNrSNDDSNDSNGrrSDNSNSSDNGmGmGmrS")</f>
        <v>SNDNDNDDSNrSSNSNSNrSNDDSNDSNGrrSDNSNSSDNGmGmGmrS</v>
      </c>
      <c r="H8" s="410" t="str">
        <f>IFERROR(__xludf.DUMMYFUNCTION("ArrayFormula(join(,unique(mid(F8,sequence(len(F8)),1))))"),"SrRGmPDN")</f>
        <v>SrRGmPDN</v>
      </c>
      <c r="I8" s="410">
        <f t="shared" si="1"/>
        <v>8</v>
      </c>
      <c r="J8" s="412" t="str">
        <f>IFERROR(__xludf.DUMMYFUNCTION("ArrayFormula(join(,unique(mid(G8,sequence(len(G8)),1))))"),"SNDrGm")</f>
        <v>SNDrGm</v>
      </c>
      <c r="K8" s="411">
        <f t="shared" si="2"/>
        <v>6</v>
      </c>
    </row>
    <row r="9">
      <c r="A9" s="413" t="s">
        <v>518</v>
      </c>
      <c r="B9" s="407" t="s">
        <v>519</v>
      </c>
      <c r="C9" s="222" t="s">
        <v>519</v>
      </c>
      <c r="D9" s="408" t="b">
        <f>IFERROR(__xludf.DUMMYFUNCTION("arrayformula(sum(--REGEXMATCH(H9,split(REGEXREPLACE(J9,""(.)"",""$1~""),""~""))))=len(J9)"),TRUE)</f>
        <v>1</v>
      </c>
      <c r="E9" s="409" t="s">
        <v>513</v>
      </c>
      <c r="F9" s="410" t="str">
        <f>IFERROR(__xludf.DUMMYFUNCTION("REGEXREPLACE(B9,""[^[:alpha:]]"", """")"),"SrGmPDnS")</f>
        <v>SrGmPDnS</v>
      </c>
      <c r="G9" s="411" t="str">
        <f>IFERROR(__xludf.DUMMYFUNCTION("REGEXREPLACE(C9,""[^[:alpha:]]"", """")"),"SrGmPDnS")</f>
        <v>SrGmPDnS</v>
      </c>
      <c r="H9" s="410" t="str">
        <f>IFERROR(__xludf.DUMMYFUNCTION("ArrayFormula(join(,unique(mid(F9,sequence(len(F9)),1))))"),"SrGmPDn")</f>
        <v>SrGmPDn</v>
      </c>
      <c r="I9" s="410">
        <f t="shared" si="1"/>
        <v>7</v>
      </c>
      <c r="J9" s="412" t="str">
        <f>IFERROR(__xludf.DUMMYFUNCTION("ArrayFormula(join(,unique(mid(G9,sequence(len(G9)),1))))"),"SrGmPDn")</f>
        <v>SrGmPDn</v>
      </c>
      <c r="K9" s="411">
        <f t="shared" si="2"/>
        <v>7</v>
      </c>
    </row>
    <row r="10">
      <c r="A10" s="406" t="s">
        <v>520</v>
      </c>
      <c r="B10" s="407" t="s">
        <v>521</v>
      </c>
      <c r="C10" s="222" t="s">
        <v>522</v>
      </c>
      <c r="D10" s="408" t="b">
        <f>IFERROR(__xludf.DUMMYFUNCTION("arrayformula(sum(--REGEXMATCH(H10,split(REGEXREPLACE(J10,""(.)"",""$1~""),""~""))))=len(J10)"),TRUE)</f>
        <v>1</v>
      </c>
      <c r="E10" s="409" t="s">
        <v>513</v>
      </c>
      <c r="F10" s="410" t="str">
        <f>IFERROR(__xludf.DUMMYFUNCTION("REGEXREPLACE(B10,""[^[:alpha:]]"", """")"),"SrGmMDnS")</f>
        <v>SrGmMDnS</v>
      </c>
      <c r="G10" s="411" t="str">
        <f>IFERROR(__xludf.DUMMYFUNCTION("REGEXREPLACE(C10,""[^[:alpha:]]"", """")"),"DDDMMDnnSrSrrGMGGrSrGmMMGrSnSSDnDnDDD")</f>
        <v>DDDMMDnnSrSrrGMGGrSrGmMMGrSnSSDnDnDDD</v>
      </c>
      <c r="H10" s="410" t="str">
        <f>IFERROR(__xludf.DUMMYFUNCTION("ArrayFormula(join(,unique(mid(F10,sequence(len(F10)),1))))"),"SrGmMDn")</f>
        <v>SrGmMDn</v>
      </c>
      <c r="I10" s="410">
        <f t="shared" si="1"/>
        <v>7</v>
      </c>
      <c r="J10" s="412" t="str">
        <f>IFERROR(__xludf.DUMMYFUNCTION("ArrayFormula(join(,unique(mid(G10,sequence(len(G10)),1))))"),"DMnSrGm")</f>
        <v>DMnSrGm</v>
      </c>
      <c r="K10" s="411">
        <f t="shared" si="2"/>
        <v>7</v>
      </c>
    </row>
    <row r="11">
      <c r="A11" s="406" t="s">
        <v>523</v>
      </c>
      <c r="B11" s="407" t="s">
        <v>524</v>
      </c>
      <c r="C11" s="222" t="s">
        <v>525</v>
      </c>
      <c r="D11" s="408" t="b">
        <f>IFERROR(__xludf.DUMMYFUNCTION("arrayformula(sum(--REGEXMATCH(H11,split(REGEXREPLACE(J11,""(.)"",""$1~""),""~""))))=len(J11)"),TRUE)</f>
        <v>1</v>
      </c>
      <c r="E11" s="409" t="s">
        <v>513</v>
      </c>
      <c r="F11" s="410" t="str">
        <f>IFERROR(__xludf.DUMMYFUNCTION("REGEXREPLACE(B11,""[^[:alpha:]]"", """")"),"SrgmPDnS")</f>
        <v>SrgmPDnS</v>
      </c>
      <c r="G11" s="411" t="str">
        <f>IFERROR(__xludf.DUMMYFUNCTION("REGEXREPLACE(C11,""[^[:alpha:]]"", """")"),"gmPDnDmPgrgmgmgrSnDnSr")</f>
        <v>gmPDnDmPgrgmgmgrSnDnSr</v>
      </c>
      <c r="H11" s="410" t="str">
        <f>IFERROR(__xludf.DUMMYFUNCTION("ArrayFormula(join(,unique(mid(F11,sequence(len(F11)),1))))"),"SrgmPDn")</f>
        <v>SrgmPDn</v>
      </c>
      <c r="I11" s="410">
        <f t="shared" si="1"/>
        <v>7</v>
      </c>
      <c r="J11" s="412" t="str">
        <f>IFERROR(__xludf.DUMMYFUNCTION("ArrayFormula(join(,unique(mid(G11,sequence(len(G11)),1))))"),"gmPDnrS")</f>
        <v>gmPDnrS</v>
      </c>
      <c r="K11" s="411">
        <f t="shared" si="2"/>
        <v>7</v>
      </c>
    </row>
    <row r="12">
      <c r="A12" s="406" t="s">
        <v>526</v>
      </c>
      <c r="B12" s="407" t="s">
        <v>527</v>
      </c>
      <c r="C12" s="222" t="s">
        <v>528</v>
      </c>
      <c r="D12" s="408" t="b">
        <f>IFERROR(__xludf.DUMMYFUNCTION("arrayformula(sum(--REGEXMATCH(H12,split(REGEXREPLACE(J12,""(.)"",""$1~""),""~""))))=len(J12)"),TRUE)</f>
        <v>1</v>
      </c>
      <c r="E12" s="409" t="s">
        <v>513</v>
      </c>
      <c r="F12" s="410" t="str">
        <f>IFERROR(__xludf.DUMMYFUNCTION("REGEXREPLACE(B12,""[^[:alpha:]]"", """")"),"SRgmPDnNS")</f>
        <v>SRgmPDnNS</v>
      </c>
      <c r="G12" s="411" t="str">
        <f>IFERROR(__xludf.DUMMYFUNCTION("REGEXREPLACE(C12,""[^[:alpha:]]"", """")"),"SgnSSSmgmgRSRSSgSSNSSSSSSmgmgggRSRSgRSRSggRRSgnSSSSSSSSnSnSgm")</f>
        <v>SgnSSSmgmgRSRSSgSSNSSSSSSmgmgggRSRSgRSRSggRRSgnSSSSSSSSnSnSgm</v>
      </c>
      <c r="H12" s="410" t="str">
        <f>IFERROR(__xludf.DUMMYFUNCTION("ArrayFormula(join(,unique(mid(F12,sequence(len(F12)),1))))"),"SRgmPDnN")</f>
        <v>SRgmPDnN</v>
      </c>
      <c r="I12" s="410">
        <f t="shared" si="1"/>
        <v>8</v>
      </c>
      <c r="J12" s="412" t="str">
        <f>IFERROR(__xludf.DUMMYFUNCTION("ArrayFormula(join(,unique(mid(G12,sequence(len(G12)),1))))"),"SgnmRN")</f>
        <v>SgnmRN</v>
      </c>
      <c r="K12" s="411">
        <f t="shared" si="2"/>
        <v>6</v>
      </c>
    </row>
    <row r="13">
      <c r="A13" s="406" t="s">
        <v>529</v>
      </c>
      <c r="B13" s="407" t="s">
        <v>530</v>
      </c>
      <c r="C13" s="222" t="s">
        <v>531</v>
      </c>
      <c r="D13" s="408" t="b">
        <f>IFERROR(__xludf.DUMMYFUNCTION("arrayformula(sum(--REGEXMATCH(H13,split(REGEXREPLACE(J13,""(.)"",""$1~""),""~""))))=len(J13)"),TRUE)</f>
        <v>1</v>
      </c>
      <c r="E13" s="409" t="s">
        <v>513</v>
      </c>
      <c r="F13" s="410" t="str">
        <f>IFERROR(__xludf.DUMMYFUNCTION("REGEXREPLACE(B13,""[^[:alpha:]]"", """")"),"SRGmPDnNS")</f>
        <v>SRGmPDnNS</v>
      </c>
      <c r="G13" s="411" t="str">
        <f>IFERROR(__xludf.DUMMYFUNCTION("REGEXREPLACE(C13,""[^[:alpha:]]"", """")"),"SnDDnDPGPPmG")</f>
        <v>SnDDnDPGPPmG</v>
      </c>
      <c r="H13" s="410" t="str">
        <f>IFERROR(__xludf.DUMMYFUNCTION("ArrayFormula(join(,unique(mid(F13,sequence(len(F13)),1))))"),"SRGmPDnN")</f>
        <v>SRGmPDnN</v>
      </c>
      <c r="I13" s="410">
        <f t="shared" si="1"/>
        <v>8</v>
      </c>
      <c r="J13" s="412" t="str">
        <f>IFERROR(__xludf.DUMMYFUNCTION("ArrayFormula(join(,unique(mid(G13,sequence(len(G13)),1))))"),"SnDPGm")</f>
        <v>SnDPGm</v>
      </c>
      <c r="K13" s="411">
        <f t="shared" si="2"/>
        <v>6</v>
      </c>
    </row>
    <row r="14">
      <c r="A14" s="406" t="s">
        <v>532</v>
      </c>
      <c r="B14" s="407" t="s">
        <v>533</v>
      </c>
      <c r="C14" s="222" t="s">
        <v>534</v>
      </c>
      <c r="D14" s="408" t="b">
        <f>IFERROR(__xludf.DUMMYFUNCTION("arrayformula(sum(--REGEXMATCH(H14,split(REGEXREPLACE(J14,""(.)"",""$1~""),""~""))))=len(J14)"),TRUE)</f>
        <v>1</v>
      </c>
      <c r="E14" s="409" t="s">
        <v>513</v>
      </c>
      <c r="F14" s="410" t="str">
        <f>IFERROR(__xludf.DUMMYFUNCTION("REGEXREPLACE(B14,""[^[:alpha:]]"", """")"),"SRmMPDnNS")</f>
        <v>SRmMPDnNS</v>
      </c>
      <c r="G14" s="411" t="str">
        <f>IFERROR(__xludf.DUMMYFUNCTION("REGEXREPLACE(C14,""[^[:alpha:]]"", """")"),"DDPMSnSnDDPMPPMRPMPDDPMSn")</f>
        <v>DDPMSnSnDDPMPPMRPMPDDPMSn</v>
      </c>
      <c r="H14" s="410" t="str">
        <f>IFERROR(__xludf.DUMMYFUNCTION("ArrayFormula(join(,unique(mid(F14,sequence(len(F14)),1))))"),"SRmMPDnN")</f>
        <v>SRmMPDnN</v>
      </c>
      <c r="I14" s="410">
        <f t="shared" si="1"/>
        <v>8</v>
      </c>
      <c r="J14" s="412" t="str">
        <f>IFERROR(__xludf.DUMMYFUNCTION("ArrayFormula(join(,unique(mid(G14,sequence(len(G14)),1))))"),"DPMSnR")</f>
        <v>DPMSnR</v>
      </c>
      <c r="K14" s="411">
        <f t="shared" si="2"/>
        <v>6</v>
      </c>
    </row>
    <row r="15">
      <c r="A15" s="406" t="s">
        <v>535</v>
      </c>
      <c r="B15" s="407" t="s">
        <v>536</v>
      </c>
      <c r="C15" s="222" t="s">
        <v>537</v>
      </c>
      <c r="D15" s="408" t="b">
        <f>IFERROR(__xludf.DUMMYFUNCTION("arrayformula(sum(--REGEXMATCH(H15,split(REGEXREPLACE(J15,""(.)"",""$1~""),""~""))))=len(J15)"),TRUE)</f>
        <v>1</v>
      </c>
      <c r="E15" s="409" t="s">
        <v>513</v>
      </c>
      <c r="F15" s="410" t="str">
        <f>IFERROR(__xludf.DUMMYFUNCTION("REGEXREPLACE(B15,""[^[:alpha:]]"", """")"),"SrRgmPdDnS")</f>
        <v>SrRgmPdDnS</v>
      </c>
      <c r="G15" s="411" t="str">
        <f>IFERROR(__xludf.DUMMYFUNCTION("REGEXREPLACE(C15,""[^[:alpha:]]"", """")"),"SgmDmgmDmnmPDnDrgPdSSrndPdndmgrgrS")</f>
        <v>SgmDmgmDmnmPDnDrgPdSSrndPdndmgrgrS</v>
      </c>
      <c r="H15" s="410" t="str">
        <f>IFERROR(__xludf.DUMMYFUNCTION("ArrayFormula(join(,unique(mid(F15,sequence(len(F15)),1))))"),"SrRgmPdDn")</f>
        <v>SrRgmPdDn</v>
      </c>
      <c r="I15" s="410">
        <f t="shared" si="1"/>
        <v>9</v>
      </c>
      <c r="J15" s="412" t="str">
        <f>IFERROR(__xludf.DUMMYFUNCTION("ArrayFormula(join(,unique(mid(G15,sequence(len(G15)),1))))"),"SgmDnPrd")</f>
        <v>SgmDnPrd</v>
      </c>
      <c r="K15" s="411">
        <f t="shared" si="2"/>
        <v>8</v>
      </c>
    </row>
    <row r="16">
      <c r="A16" s="406" t="s">
        <v>538</v>
      </c>
      <c r="B16" s="407" t="s">
        <v>539</v>
      </c>
      <c r="C16" s="222" t="s">
        <v>540</v>
      </c>
      <c r="D16" s="408" t="b">
        <f>IFERROR(__xludf.DUMMYFUNCTION("arrayformula(sum(--REGEXMATCH(H16,split(REGEXREPLACE(J16,""(.)"",""$1~""),""~""))))=len(J16)"),TRUE)</f>
        <v>1</v>
      </c>
      <c r="E16" s="409" t="s">
        <v>513</v>
      </c>
      <c r="F16" s="410" t="str">
        <f>IFERROR(__xludf.DUMMYFUNCTION("REGEXREPLACE(B16,""[^[:alpha:]]"", """")"),"SGMPnS")</f>
        <v>SGMPnS</v>
      </c>
      <c r="G16" s="411" t="str">
        <f>IFERROR(__xludf.DUMMYFUNCTION("REGEXREPLACE(C16,""[^[:alpha:]]"", """")"),"SGMPMGSnSSPPnSSnSSGMPMGSnSSPPSnS")</f>
        <v>SGMPMGSnSSPPnSSnSSGMPMGSnSSPPSnS</v>
      </c>
      <c r="H16" s="410" t="str">
        <f>IFERROR(__xludf.DUMMYFUNCTION("ArrayFormula(join(,unique(mid(F16,sequence(len(F16)),1))))"),"SGMPn")</f>
        <v>SGMPn</v>
      </c>
      <c r="I16" s="410">
        <f t="shared" si="1"/>
        <v>5</v>
      </c>
      <c r="J16" s="412" t="str">
        <f>IFERROR(__xludf.DUMMYFUNCTION("ArrayFormula(join(,unique(mid(G16,sequence(len(G16)),1))))"),"SGMPn")</f>
        <v>SGMPn</v>
      </c>
      <c r="K16" s="411">
        <f t="shared" si="2"/>
        <v>5</v>
      </c>
    </row>
    <row r="17">
      <c r="A17" s="406" t="s">
        <v>541</v>
      </c>
      <c r="B17" s="407" t="s">
        <v>542</v>
      </c>
      <c r="C17" s="222" t="s">
        <v>543</v>
      </c>
      <c r="D17" s="408" t="b">
        <f>IFERROR(__xludf.DUMMYFUNCTION("arrayformula(sum(--REGEXMATCH(H17,split(REGEXREPLACE(J17,""(.)"",""$1~""),""~""))))=len(J17)"),TRUE)</f>
        <v>1</v>
      </c>
      <c r="E17" s="409" t="s">
        <v>513</v>
      </c>
      <c r="F17" s="410" t="str">
        <f>IFERROR(__xludf.DUMMYFUNCTION("REGEXREPLACE(B17,""[^[:alpha:]]"", """")"),"SgGmdDnS")</f>
        <v>SgGmdDnS</v>
      </c>
      <c r="G17" s="411" t="str">
        <f>IFERROR(__xludf.DUMMYFUNCTION("REGEXREPLACE(C17,""[^[:alpha:]]"", """")"),"GmnDmdmGmgSnSGmnDmdmGmgSnSGmnD")</f>
        <v>GmnDmdmGmgSnSGmnDmdmGmgSnSGmnD</v>
      </c>
      <c r="H17" s="410" t="str">
        <f>IFERROR(__xludf.DUMMYFUNCTION("ArrayFormula(join(,unique(mid(F17,sequence(len(F17)),1))))"),"SgGmdDn")</f>
        <v>SgGmdDn</v>
      </c>
      <c r="I17" s="410">
        <f t="shared" si="1"/>
        <v>7</v>
      </c>
      <c r="J17" s="412" t="str">
        <f>IFERROR(__xludf.DUMMYFUNCTION("ArrayFormula(join(,unique(mid(G17,sequence(len(G17)),1))))"),"GmnDdgS")</f>
        <v>GmnDdgS</v>
      </c>
      <c r="K17" s="411">
        <f t="shared" si="2"/>
        <v>7</v>
      </c>
    </row>
    <row r="18">
      <c r="A18" s="406" t="s">
        <v>544</v>
      </c>
      <c r="B18" s="407" t="s">
        <v>545</v>
      </c>
      <c r="C18" s="222" t="s">
        <v>546</v>
      </c>
      <c r="D18" s="408" t="b">
        <f>IFERROR(__xludf.DUMMYFUNCTION("arrayformula(sum(--REGEXMATCH(H18,split(REGEXREPLACE(J18,""(.)"",""$1~""),""~""))))=len(J18)"),TRUE)</f>
        <v>1</v>
      </c>
      <c r="E18" s="409" t="s">
        <v>513</v>
      </c>
      <c r="F18" s="410" t="str">
        <f>IFERROR(__xludf.DUMMYFUNCTION("REGEXREPLACE(B18,""[^[:alpha:]]"", """")"),"SrGmPDnNS")</f>
        <v>SrGmPDnNS</v>
      </c>
      <c r="G18" s="411" t="str">
        <f>IFERROR(__xludf.DUMMYFUNCTION("REGEXREPLACE(C18,""[^[:alpha:]]"", """")"),"SDSDDPGGmPmGmGrSS")</f>
        <v>SDSDDPGGmPmGmGrSS</v>
      </c>
      <c r="H18" s="410" t="str">
        <f>IFERROR(__xludf.DUMMYFUNCTION("ArrayFormula(join(,unique(mid(F18,sequence(len(F18)),1))))"),"SrGmPDnN")</f>
        <v>SrGmPDnN</v>
      </c>
      <c r="I18" s="410">
        <f t="shared" si="1"/>
        <v>8</v>
      </c>
      <c r="J18" s="412" t="str">
        <f>IFERROR(__xludf.DUMMYFUNCTION("ArrayFormula(join(,unique(mid(G18,sequence(len(G18)),1))))"),"SDPGmr")</f>
        <v>SDPGmr</v>
      </c>
      <c r="K18" s="411">
        <f t="shared" si="2"/>
        <v>6</v>
      </c>
    </row>
    <row r="19">
      <c r="A19" s="406" t="s">
        <v>547</v>
      </c>
      <c r="B19" s="407" t="s">
        <v>362</v>
      </c>
      <c r="C19" s="222" t="s">
        <v>549</v>
      </c>
      <c r="D19" s="408" t="b">
        <f>IFERROR(__xludf.DUMMYFUNCTION("arrayformula(sum(--REGEXMATCH(H19,split(REGEXREPLACE(J19,""(.)"",""$1~""),""~""))))=len(J19)"),TRUE)</f>
        <v>1</v>
      </c>
      <c r="E19" s="409" t="s">
        <v>513</v>
      </c>
      <c r="F19" s="410" t="str">
        <f>IFERROR(__xludf.DUMMYFUNCTION("REGEXREPLACE(B19,""[^[:alpha:]]"", """")"),"SRgMPDNS")</f>
        <v>SRgMPDNS</v>
      </c>
      <c r="G19" s="411" t="str">
        <f>IFERROR(__xludf.DUMMYFUNCTION("REGEXREPLACE(C19,""[^[:alpha:]]"", """")"),"DMPMgMPDSNSDPPDNDPMPPMgPPDSNDNSDPPDPDNSNDPMgRgSSRNNNSDNSRgMPDPDPMgRgSSRNNNSDNSRgMPDPMgMPDNSRSgRRSNSDNPNDPMDPMgPMgMPDNSND")</f>
        <v>DMPMgMPDSNSDPPDNDPMPPMgPPDSNDNSDPPDPDNSNDPMgRgSSRNNNSDNSRgMPDPDPMgRgSSRNNNSDNSRgMPDPMgMPDNSRSgRRSNSDNPNDPMDPMgPMgMPDNSND</v>
      </c>
      <c r="H19" s="410" t="str">
        <f>IFERROR(__xludf.DUMMYFUNCTION("ArrayFormula(join(,unique(mid(F19,sequence(len(F19)),1))))"),"SRgMPDN")</f>
        <v>SRgMPDN</v>
      </c>
      <c r="I19" s="410">
        <f t="shared" si="1"/>
        <v>7</v>
      </c>
      <c r="J19" s="412" t="str">
        <f>IFERROR(__xludf.DUMMYFUNCTION("ArrayFormula(join(,unique(mid(G19,sequence(len(G19)),1))))"),"DMPgSNR")</f>
        <v>DMPgSNR</v>
      </c>
      <c r="K19" s="411">
        <f t="shared" si="2"/>
        <v>7</v>
      </c>
    </row>
    <row r="20">
      <c r="A20" s="406" t="s">
        <v>550</v>
      </c>
      <c r="B20" s="407" t="s">
        <v>401</v>
      </c>
      <c r="C20" s="222" t="s">
        <v>551</v>
      </c>
      <c r="D20" s="408" t="b">
        <f>IFERROR(__xludf.DUMMYFUNCTION("arrayformula(sum(--REGEXMATCH(H20,split(REGEXREPLACE(J20,""(.)"",""$1~""),""~""))))=len(J20)"),TRUE)</f>
        <v>1</v>
      </c>
      <c r="E20" s="409" t="s">
        <v>513</v>
      </c>
      <c r="F20" s="410" t="str">
        <f>IFERROR(__xludf.DUMMYFUNCTION("REGEXREPLACE(B20,""[^[:alpha:]]"", """")"),"SrgMPdNS")</f>
        <v>SrgMPdNS</v>
      </c>
      <c r="G20" s="411" t="str">
        <f>IFERROR(__xludf.DUMMYFUNCTION("REGEXREPLACE(C20,""[^[:alpha:]]"", """")"),"PSSNSNSSNSrPSNSrNNSrPrNdPPMPMPNdPSNSdPPSSNSSNSgrgrSrSSrSrgrSNNrgrNPrNPrNdP")</f>
        <v>PSSNSNSSNSrPSNSrNNSrPrNdPPMPMPNdPSNSdPPSSNSSNSgrgrSrSSrSrgrSNNrgrNPrNPrNdP</v>
      </c>
      <c r="H20" s="410" t="str">
        <f>IFERROR(__xludf.DUMMYFUNCTION("ArrayFormula(join(,unique(mid(F20,sequence(len(F20)),1))))"),"SrgMPdN")</f>
        <v>SrgMPdN</v>
      </c>
      <c r="I20" s="410">
        <f t="shared" si="1"/>
        <v>7</v>
      </c>
      <c r="J20" s="412" t="str">
        <f>IFERROR(__xludf.DUMMYFUNCTION("ArrayFormula(join(,unique(mid(G20,sequence(len(G20)),1))))"),"PSNrdMg")</f>
        <v>PSNrdMg</v>
      </c>
      <c r="K20" s="411">
        <f t="shared" si="2"/>
        <v>7</v>
      </c>
    </row>
    <row r="21">
      <c r="A21" s="413" t="s">
        <v>552</v>
      </c>
      <c r="B21" s="407" t="s">
        <v>553</v>
      </c>
      <c r="C21" s="222" t="s">
        <v>553</v>
      </c>
      <c r="D21" s="408" t="b">
        <f>IFERROR(__xludf.DUMMYFUNCTION("arrayformula(sum(--REGEXMATCH(H21,split(REGEXREPLACE(J21,""(.)"",""$1~""),""~""))))=len(J21)"),TRUE)</f>
        <v>1</v>
      </c>
      <c r="E21" s="409" t="s">
        <v>513</v>
      </c>
      <c r="F21" s="410" t="str">
        <f>IFERROR(__xludf.DUMMYFUNCTION("REGEXREPLACE(B21,""[^[:alpha:]]"", """")"),"SrgmdNS")</f>
        <v>SrgmdNS</v>
      </c>
      <c r="G21" s="411" t="str">
        <f>IFERROR(__xludf.DUMMYFUNCTION("REGEXREPLACE(C21,""[^[:alpha:]]"", """")"),"SrgmdNS")</f>
        <v>SrgmdNS</v>
      </c>
      <c r="H21" s="410" t="str">
        <f>IFERROR(__xludf.DUMMYFUNCTION("ArrayFormula(join(,unique(mid(F21,sequence(len(F21)),1))))"),"SrgmdN")</f>
        <v>SrgmdN</v>
      </c>
      <c r="I21" s="410">
        <f t="shared" si="1"/>
        <v>6</v>
      </c>
      <c r="J21" s="412" t="str">
        <f>IFERROR(__xludf.DUMMYFUNCTION("ArrayFormula(join(,unique(mid(G21,sequence(len(G21)),1))))"),"SrgmdN")</f>
        <v>SrgmdN</v>
      </c>
      <c r="K21" s="411">
        <f t="shared" si="2"/>
        <v>6</v>
      </c>
    </row>
    <row r="22">
      <c r="A22" s="406" t="s">
        <v>555</v>
      </c>
      <c r="B22" s="407" t="s">
        <v>530</v>
      </c>
      <c r="C22" s="222" t="s">
        <v>556</v>
      </c>
      <c r="D22" s="408" t="b">
        <f>IFERROR(__xludf.DUMMYFUNCTION("arrayformula(sum(--REGEXMATCH(H22,split(REGEXREPLACE(J22,""(.)"",""$1~""),""~""))))=len(J22)"),TRUE)</f>
        <v>1</v>
      </c>
      <c r="E22" s="409" t="s">
        <v>513</v>
      </c>
      <c r="F22" s="410" t="str">
        <f>IFERROR(__xludf.DUMMYFUNCTION("REGEXREPLACE(B22,""[^[:alpha:]]"", """")"),"SRGmPDnNS")</f>
        <v>SRGmPDnNS</v>
      </c>
      <c r="G22" s="411" t="str">
        <f>IFERROR(__xludf.DUMMYFUNCTION("REGEXREPLACE(C22,""[^[:alpha:]]"", """")"),"GNPGmGRSNSRGRGmGRGmGGRGRRPPNPGmGRS")</f>
        <v>GNPGmGRSNSRGRGmGRGmGGRGRRPPNPGmGRS</v>
      </c>
      <c r="H22" s="410" t="str">
        <f>IFERROR(__xludf.DUMMYFUNCTION("ArrayFormula(join(,unique(mid(F22,sequence(len(F22)),1))))"),"SRGmPDnN")</f>
        <v>SRGmPDnN</v>
      </c>
      <c r="I22" s="410">
        <f t="shared" si="1"/>
        <v>8</v>
      </c>
      <c r="J22" s="412" t="str">
        <f>IFERROR(__xludf.DUMMYFUNCTION("ArrayFormula(join(,unique(mid(G22,sequence(len(G22)),1))))"),"GNPmRS")</f>
        <v>GNPmRS</v>
      </c>
      <c r="K22" s="411">
        <f t="shared" si="2"/>
        <v>6</v>
      </c>
    </row>
    <row r="23">
      <c r="A23" s="406" t="s">
        <v>557</v>
      </c>
      <c r="B23" s="407" t="s">
        <v>496</v>
      </c>
      <c r="C23" s="222" t="s">
        <v>558</v>
      </c>
      <c r="D23" s="408" t="b">
        <f>IFERROR(__xludf.DUMMYFUNCTION("arrayformula(sum(--REGEXMATCH(H23,split(REGEXREPLACE(J23,""(.)"",""$1~""),""~""))))=len(J23)"),TRUE)</f>
        <v>1</v>
      </c>
      <c r="E23" s="409" t="s">
        <v>513</v>
      </c>
      <c r="F23" s="410" t="str">
        <f>IFERROR(__xludf.DUMMYFUNCTION("REGEXREPLACE(B23,""[^[:alpha:]]"", """")"),"SrRGmPDNS")</f>
        <v>SrRGmPDNS</v>
      </c>
      <c r="G23" s="411" t="str">
        <f>IFERROR(__xludf.DUMMYFUNCTION("REGEXREPLACE(C23,""[^[:alpha:]]"", """")"),"mRmPDSSNSDmGmGSrSmRmPDS")</f>
        <v>mRmPDSSNSDmGmGSrSmRmPDS</v>
      </c>
      <c r="H23" s="410" t="str">
        <f>IFERROR(__xludf.DUMMYFUNCTION("ArrayFormula(join(,unique(mid(F23,sequence(len(F23)),1))))"),"SrRGmPDN")</f>
        <v>SrRGmPDN</v>
      </c>
      <c r="I23" s="410">
        <f t="shared" si="1"/>
        <v>8</v>
      </c>
      <c r="J23" s="412" t="str">
        <f>IFERROR(__xludf.DUMMYFUNCTION("ArrayFormula(join(,unique(mid(G23,sequence(len(G23)),1))))"),"mRPDSNGr")</f>
        <v>mRPDSNGr</v>
      </c>
      <c r="K23" s="411">
        <f t="shared" si="2"/>
        <v>8</v>
      </c>
    </row>
    <row r="24">
      <c r="A24" s="413" t="s">
        <v>122</v>
      </c>
      <c r="B24" s="407" t="s">
        <v>559</v>
      </c>
      <c r="C24" s="222" t="s">
        <v>559</v>
      </c>
      <c r="D24" s="408" t="b">
        <f>IFERROR(__xludf.DUMMYFUNCTION("arrayformula(sum(--REGEXMATCH(H24,split(REGEXREPLACE(J24,""(.)"",""$1~""),""~""))))=len(J24)"),TRUE)</f>
        <v>1</v>
      </c>
      <c r="E24" s="409" t="s">
        <v>513</v>
      </c>
      <c r="F24" s="410" t="str">
        <f>IFERROR(__xludf.DUMMYFUNCTION("REGEXREPLACE(B24,""[^[:alpha:]]"", """")"),"SrRgmPdnS")</f>
        <v>SrRgmPdnS</v>
      </c>
      <c r="G24" s="411" t="str">
        <f>IFERROR(__xludf.DUMMYFUNCTION("REGEXREPLACE(C24,""[^[:alpha:]]"", """")"),"SrRgmPdnS")</f>
        <v>SrRgmPdnS</v>
      </c>
      <c r="H24" s="410" t="str">
        <f>IFERROR(__xludf.DUMMYFUNCTION("ArrayFormula(join(,unique(mid(F24,sequence(len(F24)),1))))"),"SrRgmPdn")</f>
        <v>SrRgmPdn</v>
      </c>
      <c r="I24" s="410">
        <f t="shared" si="1"/>
        <v>8</v>
      </c>
      <c r="J24" s="412" t="str">
        <f>IFERROR(__xludf.DUMMYFUNCTION("ArrayFormula(join(,unique(mid(G24,sequence(len(G24)),1))))"),"SrRgmPdn")</f>
        <v>SrRgmPdn</v>
      </c>
      <c r="K24" s="411">
        <f t="shared" si="2"/>
        <v>8</v>
      </c>
    </row>
    <row r="25">
      <c r="A25" s="413" t="s">
        <v>560</v>
      </c>
      <c r="B25" s="407" t="s">
        <v>561</v>
      </c>
      <c r="C25" s="222" t="s">
        <v>561</v>
      </c>
      <c r="D25" s="408" t="b">
        <f>IFERROR(__xludf.DUMMYFUNCTION("arrayformula(sum(--REGEXMATCH(H25,split(REGEXREPLACE(J25,""(.)"",""$1~""),""~""))))=len(J25)"),TRUE)</f>
        <v>1</v>
      </c>
      <c r="E25" s="409" t="s">
        <v>513</v>
      </c>
      <c r="F25" s="410" t="str">
        <f>IFERROR(__xludf.DUMMYFUNCTION("REGEXREPLACE(B25,""[^[:alpha:]]"", """")"),"SRgmPDnS")</f>
        <v>SRgmPDnS</v>
      </c>
      <c r="G25" s="411" t="str">
        <f>IFERROR(__xludf.DUMMYFUNCTION("REGEXREPLACE(C25,""[^[:alpha:]]"", """")"),"SRgmPDnS")</f>
        <v>SRgmPDnS</v>
      </c>
      <c r="H25" s="410" t="str">
        <f>IFERROR(__xludf.DUMMYFUNCTION("ArrayFormula(join(,unique(mid(F25,sequence(len(F25)),1))))"),"SRgmPDn")</f>
        <v>SRgmPDn</v>
      </c>
      <c r="I25" s="410">
        <f t="shared" si="1"/>
        <v>7</v>
      </c>
      <c r="J25" s="412" t="str">
        <f>IFERROR(__xludf.DUMMYFUNCTION("ArrayFormula(join(,unique(mid(G25,sequence(len(G25)),1))))"),"SRgmPDn")</f>
        <v>SRgmPDn</v>
      </c>
      <c r="K25" s="411">
        <f t="shared" si="2"/>
        <v>7</v>
      </c>
    </row>
    <row r="26">
      <c r="A26" s="406" t="s">
        <v>562</v>
      </c>
      <c r="B26" s="407" t="s">
        <v>527</v>
      </c>
      <c r="C26" s="222" t="s">
        <v>563</v>
      </c>
      <c r="D26" s="408" t="b">
        <f>IFERROR(__xludf.DUMMYFUNCTION("arrayformula(sum(--REGEXMATCH(H26,split(REGEXREPLACE(J26,""(.)"",""$1~""),""~""))))=len(J26)"),TRUE)</f>
        <v>1</v>
      </c>
      <c r="E26" s="409" t="s">
        <v>513</v>
      </c>
      <c r="F26" s="410" t="str">
        <f>IFERROR(__xludf.DUMMYFUNCTION("REGEXREPLACE(B26,""[^[:alpha:]]"", """")"),"SRgmPDnNS")</f>
        <v>SRgmPDnNS</v>
      </c>
      <c r="G26" s="411" t="str">
        <f>IFERROR(__xludf.DUMMYFUNCTION("REGEXREPLACE(C26,""[^[:alpha:]]"", """")"),"SnSDSDmnSSDnDSnDPmmDnDSSnSnSRRSSnDnDnSnPPDPmggmmPPmP")</f>
        <v>SnSDSDmnSSDnDSnDPmmDnDSSnSnSRRSSnDnDnSnPPDPmggmmPPmP</v>
      </c>
      <c r="H26" s="410" t="str">
        <f>IFERROR(__xludf.DUMMYFUNCTION("ArrayFormula(join(,unique(mid(F26,sequence(len(F26)),1))))"),"SRgmPDnN")</f>
        <v>SRgmPDnN</v>
      </c>
      <c r="I26" s="410">
        <f t="shared" si="1"/>
        <v>8</v>
      </c>
      <c r="J26" s="412" t="str">
        <f>IFERROR(__xludf.DUMMYFUNCTION("ArrayFormula(join(,unique(mid(G26,sequence(len(G26)),1))))"),"SnDmPRg")</f>
        <v>SnDmPRg</v>
      </c>
      <c r="K26" s="411">
        <f t="shared" si="2"/>
        <v>7</v>
      </c>
    </row>
    <row r="27">
      <c r="A27" s="406" t="s">
        <v>564</v>
      </c>
      <c r="B27" s="407" t="s">
        <v>559</v>
      </c>
      <c r="C27" s="222" t="s">
        <v>565</v>
      </c>
      <c r="D27" s="408" t="b">
        <f>IFERROR(__xludf.DUMMYFUNCTION("arrayformula(sum(--REGEXMATCH(H27,split(REGEXREPLACE(J27,""(.)"",""$1~""),""~""))))=len(J27)"),TRUE)</f>
        <v>1</v>
      </c>
      <c r="E27" s="409" t="s">
        <v>513</v>
      </c>
      <c r="F27" s="410" t="str">
        <f>IFERROR(__xludf.DUMMYFUNCTION("REGEXREPLACE(B27,""[^[:alpha:]]"", """")"),"SrRgmPdnS")</f>
        <v>SrRgmPdnS</v>
      </c>
      <c r="G27" s="411" t="str">
        <f>IFERROR(__xludf.DUMMYFUNCTION("REGEXREPLACE(C27,""[^[:alpha:]]"", """")"),"RnSRggRgmmmmgPPmgggrgSSSRgrrrrgSSSrnSSrSRgrrSndndndnddmmmgPmdPndddPPmPmPmgggmmPRgSRnSRggRgmmgP")</f>
        <v>RnSRggRgmmmmgPPmgggrgSSSRgrrrrgSSSrnSSrSRgrrSndndndnddmmmgPmdPndddPPmPmPmgggmmPRgSRnSRggRgmmgP</v>
      </c>
      <c r="H27" s="410" t="str">
        <f>IFERROR(__xludf.DUMMYFUNCTION("ArrayFormula(join(,unique(mid(F27,sequence(len(F27)),1))))"),"SrRgmPdn")</f>
        <v>SrRgmPdn</v>
      </c>
      <c r="I27" s="410">
        <f t="shared" si="1"/>
        <v>8</v>
      </c>
      <c r="J27" s="412" t="str">
        <f>IFERROR(__xludf.DUMMYFUNCTION("ArrayFormula(join(,unique(mid(G27,sequence(len(G27)),1))))"),"RnSgmPrd")</f>
        <v>RnSgmPrd</v>
      </c>
      <c r="K27" s="411">
        <f t="shared" si="2"/>
        <v>8</v>
      </c>
    </row>
    <row r="28">
      <c r="A28" s="406" t="s">
        <v>566</v>
      </c>
      <c r="B28" s="407" t="s">
        <v>527</v>
      </c>
      <c r="C28" s="222" t="s">
        <v>567</v>
      </c>
      <c r="D28" s="408" t="b">
        <f>IFERROR(__xludf.DUMMYFUNCTION("arrayformula(sum(--REGEXMATCH(H28,split(REGEXREPLACE(J28,""(.)"",""$1~""),""~""))))=len(J28)"),TRUE)</f>
        <v>1</v>
      </c>
      <c r="E28" s="409" t="s">
        <v>513</v>
      </c>
      <c r="F28" s="410" t="str">
        <f>IFERROR(__xludf.DUMMYFUNCTION("REGEXREPLACE(B28,""[^[:alpha:]]"", """")"),"SRgmPDnNS")</f>
        <v>SRgmPDnNS</v>
      </c>
      <c r="G28" s="411" t="str">
        <f>IFERROR(__xludf.DUMMYFUNCTION("REGEXREPLACE(C28,""[^[:alpha:]]"", """")"),"mPDSNSNSnPPmPmPmgmmPnSNSnP")</f>
        <v>mPDSNSNSnPPmPmPmgmmPnSNSnP</v>
      </c>
      <c r="H28" s="410" t="str">
        <f>IFERROR(__xludf.DUMMYFUNCTION("ArrayFormula(join(,unique(mid(F28,sequence(len(F28)),1))))"),"SRgmPDnN")</f>
        <v>SRgmPDnN</v>
      </c>
      <c r="I28" s="410">
        <f t="shared" si="1"/>
        <v>8</v>
      </c>
      <c r="J28" s="412" t="str">
        <f>IFERROR(__xludf.DUMMYFUNCTION("ArrayFormula(join(,unique(mid(G28,sequence(len(G28)),1))))"),"mPDSNng")</f>
        <v>mPDSNng</v>
      </c>
      <c r="K28" s="411">
        <f t="shared" si="2"/>
        <v>7</v>
      </c>
    </row>
    <row r="29">
      <c r="A29" s="406" t="s">
        <v>568</v>
      </c>
      <c r="B29" s="407" t="s">
        <v>569</v>
      </c>
      <c r="C29" s="222" t="s">
        <v>570</v>
      </c>
      <c r="D29" s="408" t="b">
        <f>IFERROR(__xludf.DUMMYFUNCTION("arrayformula(sum(--REGEXMATCH(H29,split(REGEXREPLACE(J29,""(.)"",""$1~""),""~""))))=len(J29)"),FALSE)</f>
        <v>0</v>
      </c>
      <c r="E29" s="409" t="s">
        <v>571</v>
      </c>
      <c r="F29" s="410" t="str">
        <f>IFERROR(__xludf.DUMMYFUNCTION("REGEXREPLACE(B29,""[^[:alpha:]]"", """")"),"SrmPnS")</f>
        <v>SrmPnS</v>
      </c>
      <c r="G29" s="411" t="str">
        <f>IFERROR(__xludf.DUMMYFUNCTION("REGEXREPLACE(C29,""[^[:alpha:]]"", """")"),"PnPnSrrmgmmrSPnPnSnSr")</f>
        <v>PnPnSrrmgmmrSPnPnSnSr</v>
      </c>
      <c r="H29" s="410" t="str">
        <f>IFERROR(__xludf.DUMMYFUNCTION("ArrayFormula(join(,unique(mid(F29,sequence(len(F29)),1))))"),"SrmPn")</f>
        <v>SrmPn</v>
      </c>
      <c r="I29" s="410">
        <f t="shared" si="1"/>
        <v>5</v>
      </c>
      <c r="J29" s="412" t="str">
        <f>IFERROR(__xludf.DUMMYFUNCTION("ArrayFormula(join(,unique(mid(G29,sequence(len(G29)),1))))"),"PnSrmg")</f>
        <v>PnSrmg</v>
      </c>
      <c r="K29" s="411">
        <f t="shared" si="2"/>
        <v>6</v>
      </c>
    </row>
    <row r="30">
      <c r="A30" s="406" t="s">
        <v>572</v>
      </c>
      <c r="B30" s="407" t="s">
        <v>573</v>
      </c>
      <c r="C30" s="222" t="s">
        <v>574</v>
      </c>
      <c r="D30" s="408" t="b">
        <f>IFERROR(__xludf.DUMMYFUNCTION("arrayformula(sum(--REGEXMATCH(H30,split(REGEXREPLACE(J30,""(.)"",""$1~""),""~""))))=len(J30)"),TRUE)</f>
        <v>1</v>
      </c>
      <c r="E30" s="409" t="s">
        <v>513</v>
      </c>
      <c r="F30" s="410" t="str">
        <f>IFERROR(__xludf.DUMMYFUNCTION("REGEXREPLACE(B30,""[^[:alpha:]]"", """")"),"SrgPnS")</f>
        <v>SrgPnS</v>
      </c>
      <c r="G30" s="411" t="str">
        <f>IFERROR(__xludf.DUMMYFUNCTION("REGEXREPLACE(C30,""[^[:alpha:]]"", """")"),"PnSrrggrgrSrnPnSrrrg")</f>
        <v>PnSrrggrgrSrnPnSrrrg</v>
      </c>
      <c r="H30" s="410" t="str">
        <f>IFERROR(__xludf.DUMMYFUNCTION("ArrayFormula(join(,unique(mid(F30,sequence(len(F30)),1))))"),"SrgPn")</f>
        <v>SrgPn</v>
      </c>
      <c r="I30" s="410">
        <f t="shared" si="1"/>
        <v>5</v>
      </c>
      <c r="J30" s="412" t="str">
        <f>IFERROR(__xludf.DUMMYFUNCTION("ArrayFormula(join(,unique(mid(G30,sequence(len(G30)),1))))"),"PnSrg")</f>
        <v>PnSrg</v>
      </c>
      <c r="K30" s="411">
        <f t="shared" si="2"/>
        <v>5</v>
      </c>
    </row>
    <row r="31">
      <c r="A31" s="406" t="s">
        <v>575</v>
      </c>
      <c r="B31" s="407" t="s">
        <v>576</v>
      </c>
      <c r="C31" s="222" t="s">
        <v>577</v>
      </c>
      <c r="D31" s="408" t="b">
        <f>IFERROR(__xludf.DUMMYFUNCTION("arrayformula(sum(--REGEXMATCH(H31,split(REGEXREPLACE(J31,""(.)"",""$1~""),""~""))))=len(J31)"),FALSE)</f>
        <v>0</v>
      </c>
      <c r="E31" s="409" t="s">
        <v>578</v>
      </c>
      <c r="F31" s="410" t="str">
        <f>IFERROR(__xludf.DUMMYFUNCTION("REGEXREPLACE(B31,""[^[:alpha:]]"", """")"),"SrGmPdS")</f>
        <v>SrGmPdS</v>
      </c>
      <c r="G31" s="411" t="str">
        <f>IFERROR(__xludf.DUMMYFUNCTION("REGEXREPLACE(C31,""[^[:alpha:]]"", """")"),"GPmPmGmGrGmPnddSnddPGmGmPGPmPmGmGrGmPnddS")</f>
        <v>GPmPmGmGrGmPnddSnddPGmGmPGPmPmGmGrGmPnddS</v>
      </c>
      <c r="H31" s="410" t="str">
        <f>IFERROR(__xludf.DUMMYFUNCTION("ArrayFormula(join(,unique(mid(F31,sequence(len(F31)),1))))"),"SrGmPd")</f>
        <v>SrGmPd</v>
      </c>
      <c r="I31" s="410">
        <f t="shared" si="1"/>
        <v>6</v>
      </c>
      <c r="J31" s="412" t="str">
        <f>IFERROR(__xludf.DUMMYFUNCTION("ArrayFormula(join(,unique(mid(G31,sequence(len(G31)),1))))"),"GPmrndS")</f>
        <v>GPmrndS</v>
      </c>
      <c r="K31" s="411">
        <f t="shared" si="2"/>
        <v>7</v>
      </c>
    </row>
    <row r="32">
      <c r="A32" s="406" t="s">
        <v>579</v>
      </c>
      <c r="B32" s="407" t="s">
        <v>288</v>
      </c>
      <c r="C32" s="222" t="s">
        <v>580</v>
      </c>
      <c r="D32" s="408" t="b">
        <f>IFERROR(__xludf.DUMMYFUNCTION("arrayformula(sum(--REGEXMATCH(H32,split(REGEXREPLACE(J32,""(.)"",""$1~""),""~""))))=len(J32)"),TRUE)</f>
        <v>1</v>
      </c>
      <c r="E32" s="409" t="s">
        <v>513</v>
      </c>
      <c r="F32" s="410" t="str">
        <f>IFERROR(__xludf.DUMMYFUNCTION("REGEXREPLACE(B32,""[^[:alpha:]]"", """")"),"SrGMPDNS")</f>
        <v>SrGMPDNS</v>
      </c>
      <c r="G32" s="411" t="str">
        <f>IFERROR(__xludf.DUMMYFUNCTION("REGEXREPLACE(C32,""[^[:alpha:]]"", """")"),"PPDPMPSSPPSPrSGrrSSNrSDDPPGGSGMPMP")</f>
        <v>PPDPMPSSPPSPrSGrrSSNrSDDPPGGSGMPMP</v>
      </c>
      <c r="H32" s="410" t="str">
        <f>IFERROR(__xludf.DUMMYFUNCTION("ArrayFormula(join(,unique(mid(F32,sequence(len(F32)),1))))"),"SrGMPDN")</f>
        <v>SrGMPDN</v>
      </c>
      <c r="I32" s="410">
        <f t="shared" si="1"/>
        <v>7</v>
      </c>
      <c r="J32" s="412" t="str">
        <f>IFERROR(__xludf.DUMMYFUNCTION("ArrayFormula(join(,unique(mid(G32,sequence(len(G32)),1))))"),"PDMSrGN")</f>
        <v>PDMSrGN</v>
      </c>
      <c r="K32" s="411">
        <f t="shared" si="2"/>
        <v>7</v>
      </c>
    </row>
    <row r="33">
      <c r="A33" s="406" t="s">
        <v>581</v>
      </c>
      <c r="B33" s="407" t="s">
        <v>527</v>
      </c>
      <c r="C33" s="222" t="s">
        <v>582</v>
      </c>
      <c r="D33" s="408" t="b">
        <f>IFERROR(__xludf.DUMMYFUNCTION("arrayformula(sum(--REGEXMATCH(H33,split(REGEXREPLACE(J33,""(.)"",""$1~""),""~""))))=len(J33)"),TRUE)</f>
        <v>1</v>
      </c>
      <c r="E33" s="409" t="s">
        <v>513</v>
      </c>
      <c r="F33" s="410" t="str">
        <f>IFERROR(__xludf.DUMMYFUNCTION("REGEXREPLACE(B33,""[^[:alpha:]]"", """")"),"SRgmPDnNS")</f>
        <v>SRgmPDnNS</v>
      </c>
      <c r="G33" s="411" t="str">
        <f>IFERROR(__xludf.DUMMYFUNCTION("REGEXREPLACE(C33,""[^[:alpha:]]"", """")"),"PmPmgmgmRRgSDmRmggRSPNSRnSnDNNNSPNSRmgmgmgRRPmPmg")</f>
        <v>PmPmgmgmRRgSDmRmggRSPNSRnSnDNNNSPNSRmgmgmgRRPmPmg</v>
      </c>
      <c r="H33" s="410" t="str">
        <f>IFERROR(__xludf.DUMMYFUNCTION("ArrayFormula(join(,unique(mid(F33,sequence(len(F33)),1))))"),"SRgmPDnN")</f>
        <v>SRgmPDnN</v>
      </c>
      <c r="I33" s="410">
        <f t="shared" si="1"/>
        <v>8</v>
      </c>
      <c r="J33" s="412" t="str">
        <f>IFERROR(__xludf.DUMMYFUNCTION("ArrayFormula(join(,unique(mid(G33,sequence(len(G33)),1))))"),"PmgRSDNn")</f>
        <v>PmgRSDNn</v>
      </c>
      <c r="K33" s="411">
        <f t="shared" si="2"/>
        <v>8</v>
      </c>
    </row>
    <row r="34">
      <c r="A34" s="406" t="s">
        <v>583</v>
      </c>
      <c r="B34" s="407" t="s">
        <v>339</v>
      </c>
      <c r="C34" s="222" t="s">
        <v>584</v>
      </c>
      <c r="D34" s="408" t="b">
        <f>IFERROR(__xludf.DUMMYFUNCTION("arrayformula(sum(--REGEXMATCH(H34,split(REGEXREPLACE(J34,""(.)"",""$1~""),""~""))))=len(J34)"),TRUE)</f>
        <v>1</v>
      </c>
      <c r="E34" s="409" t="s">
        <v>513</v>
      </c>
      <c r="F34" s="410" t="str">
        <f>IFERROR(__xludf.DUMMYFUNCTION("REGEXREPLACE(B34,""[^[:alpha:]]"", """")"),"SrGMPdNS")</f>
        <v>SrGMPdNS</v>
      </c>
      <c r="G34" s="411" t="str">
        <f>IFERROR(__xludf.DUMMYFUNCTION("REGEXREPLACE(C34,""[^[:alpha:]]"", """")"),"PdSrSNSNdPdPMPMGMPMGMdNSrSNSPdSrSNS")</f>
        <v>PdSrSNSNdPdPMPMGMPMGMdNSrSNSPdSrSNS</v>
      </c>
      <c r="H34" s="410" t="str">
        <f>IFERROR(__xludf.DUMMYFUNCTION("ArrayFormula(join(,unique(mid(F34,sequence(len(F34)),1))))"),"SrGMPdN")</f>
        <v>SrGMPdN</v>
      </c>
      <c r="I34" s="410">
        <f t="shared" si="1"/>
        <v>7</v>
      </c>
      <c r="J34" s="412" t="str">
        <f>IFERROR(__xludf.DUMMYFUNCTION("ArrayFormula(join(,unique(mid(G34,sequence(len(G34)),1))))"),"PdSrNMG")</f>
        <v>PdSrNMG</v>
      </c>
      <c r="K34" s="411">
        <f t="shared" si="2"/>
        <v>7</v>
      </c>
    </row>
    <row r="35">
      <c r="A35" s="413" t="s">
        <v>585</v>
      </c>
      <c r="B35" s="407" t="s">
        <v>586</v>
      </c>
      <c r="C35" s="222" t="s">
        <v>586</v>
      </c>
      <c r="D35" s="408" t="b">
        <f>IFERROR(__xludf.DUMMYFUNCTION("arrayformula(sum(--REGEXMATCH(H35,split(REGEXREPLACE(J35,""(.)"",""$1~""),""~""))))=len(J35)"),TRUE)</f>
        <v>1</v>
      </c>
      <c r="E35" s="409" t="s">
        <v>513</v>
      </c>
      <c r="F35" s="410" t="str">
        <f>IFERROR(__xludf.DUMMYFUNCTION("REGEXREPLACE(B35,""[^[:alpha:]]"", """")"),"SrGmPdnS")</f>
        <v>SrGmPdnS</v>
      </c>
      <c r="G35" s="411" t="str">
        <f>IFERROR(__xludf.DUMMYFUNCTION("REGEXREPLACE(C35,""[^[:alpha:]]"", """")"),"SrGmPdnS")</f>
        <v>SrGmPdnS</v>
      </c>
      <c r="H35" s="410" t="str">
        <f>IFERROR(__xludf.DUMMYFUNCTION("ArrayFormula(join(,unique(mid(F35,sequence(len(F35)),1))))"),"SrGmPdn")</f>
        <v>SrGmPdn</v>
      </c>
      <c r="I35" s="410">
        <f t="shared" si="1"/>
        <v>7</v>
      </c>
      <c r="J35" s="412" t="str">
        <f>IFERROR(__xludf.DUMMYFUNCTION("ArrayFormula(join(,unique(mid(G35,sequence(len(G35)),1))))"),"SrGmPdn")</f>
        <v>SrGmPdn</v>
      </c>
      <c r="K35" s="411">
        <f t="shared" si="2"/>
        <v>7</v>
      </c>
    </row>
    <row r="36">
      <c r="A36" s="406" t="s">
        <v>587</v>
      </c>
      <c r="B36" s="407" t="s">
        <v>588</v>
      </c>
      <c r="C36" s="222" t="s">
        <v>589</v>
      </c>
      <c r="D36" s="408" t="b">
        <f>IFERROR(__xludf.DUMMYFUNCTION("arrayformula(sum(--REGEXMATCH(H36,split(REGEXREPLACE(J36,""(.)"",""$1~""),""~""))))=len(J36)"),FALSE)</f>
        <v>0</v>
      </c>
      <c r="E36" s="409" t="s">
        <v>590</v>
      </c>
      <c r="F36" s="410" t="str">
        <f>IFERROR(__xludf.DUMMYFUNCTION("REGEXREPLACE(B36,""[^[:alpha:]]"", """")"),"SrGmMPDnNS")</f>
        <v>SrGmMPDnNS</v>
      </c>
      <c r="G36" s="411" t="str">
        <f>IFERROR(__xludf.DUMMYFUNCTION("REGEXREPLACE(C36,""[^[:alpha:]]"", """")"),"DmGGGMdMGMGrSSGrSSNRSSmmmGPmGGmDDPDPDNDPDnDP")</f>
        <v>DmGGGMdMGMGrSSGrSSNRSSmmmGPmGGmDDPDPDNDPDnDP</v>
      </c>
      <c r="H36" s="410" t="str">
        <f>IFERROR(__xludf.DUMMYFUNCTION("ArrayFormula(join(,unique(mid(F36,sequence(len(F36)),1))))"),"SrGmMPDnN")</f>
        <v>SrGmMPDnN</v>
      </c>
      <c r="I36" s="410">
        <f t="shared" si="1"/>
        <v>9</v>
      </c>
      <c r="J36" s="412" t="str">
        <f>IFERROR(__xludf.DUMMYFUNCTION("ArrayFormula(join(,unique(mid(G36,sequence(len(G36)),1))))"),"DmGMdrSNRPn")</f>
        <v>DmGMdrSNRPn</v>
      </c>
      <c r="K36" s="411">
        <f t="shared" si="2"/>
        <v>11</v>
      </c>
    </row>
    <row r="37">
      <c r="A37" s="413" t="s">
        <v>124</v>
      </c>
      <c r="B37" s="407" t="s">
        <v>591</v>
      </c>
      <c r="C37" s="222" t="s">
        <v>591</v>
      </c>
      <c r="D37" s="408" t="b">
        <f>IFERROR(__xludf.DUMMYFUNCTION("arrayformula(sum(--REGEXMATCH(H37,split(REGEXREPLACE(J37,""(.)"",""$1~""),""~""))))=len(J37)"),TRUE)</f>
        <v>1</v>
      </c>
      <c r="E37" s="409" t="s">
        <v>513</v>
      </c>
      <c r="F37" s="410" t="str">
        <f>IFERROR(__xludf.DUMMYFUNCTION("REGEXREPLACE(B37,""[^[:alpha:]]"", """")"),"SrGmPdNS")</f>
        <v>SrGmPdNS</v>
      </c>
      <c r="G37" s="411" t="str">
        <f>IFERROR(__xludf.DUMMYFUNCTION("REGEXREPLACE(C37,""[^[:alpha:]]"", """")"),"SrGmPdNS")</f>
        <v>SrGmPdNS</v>
      </c>
      <c r="H37" s="410" t="str">
        <f>IFERROR(__xludf.DUMMYFUNCTION("ArrayFormula(join(,unique(mid(F37,sequence(len(F37)),1))))"),"SrGmPdN")</f>
        <v>SrGmPdN</v>
      </c>
      <c r="I37" s="410">
        <f t="shared" si="1"/>
        <v>7</v>
      </c>
      <c r="J37" s="412" t="str">
        <f>IFERROR(__xludf.DUMMYFUNCTION("ArrayFormula(join(,unique(mid(G37,sequence(len(G37)),1))))"),"SrGmPdN")</f>
        <v>SrGmPdN</v>
      </c>
      <c r="K37" s="411">
        <f t="shared" si="2"/>
        <v>7</v>
      </c>
    </row>
    <row r="38">
      <c r="A38" s="406" t="s">
        <v>592</v>
      </c>
      <c r="B38" s="407" t="s">
        <v>593</v>
      </c>
      <c r="C38" s="222" t="s">
        <v>594</v>
      </c>
      <c r="D38" s="408" t="b">
        <f>IFERROR(__xludf.DUMMYFUNCTION("arrayformula(sum(--REGEXMATCH(H38,split(REGEXREPLACE(J38,""(.)"",""$1~""),""~""))))=len(J38)"),TRUE)</f>
        <v>1</v>
      </c>
      <c r="E38" s="409" t="s">
        <v>513</v>
      </c>
      <c r="F38" s="410" t="str">
        <f>IFERROR(__xludf.DUMMYFUNCTION("REGEXREPLACE(B38,""[^[:alpha:]]"", """")"),"SrRgGmPDnNS")</f>
        <v>SrRgGmPDnNS</v>
      </c>
      <c r="G38" s="411" t="str">
        <f>IFERROR(__xludf.DUMMYFUNCTION("REGEXREPLACE(C38,""[^[:alpha:]]"", """")"),"mGmnDDnSNSnDnPmgmPmGrSmGmnDDnSNS")</f>
        <v>mGmnDDnSNSnDnPmgmPmGrSmGmnDDnSNS</v>
      </c>
      <c r="H38" s="410" t="str">
        <f>IFERROR(__xludf.DUMMYFUNCTION("ArrayFormula(join(,unique(mid(F38,sequence(len(F38)),1))))"),"SrRgGmPDnN")</f>
        <v>SrRgGmPDnN</v>
      </c>
      <c r="I38" s="410">
        <f t="shared" si="1"/>
        <v>10</v>
      </c>
      <c r="J38" s="412" t="str">
        <f>IFERROR(__xludf.DUMMYFUNCTION("ArrayFormula(join(,unique(mid(G38,sequence(len(G38)),1))))"),"mGnDSNPgr")</f>
        <v>mGnDSNPgr</v>
      </c>
      <c r="K38" s="411">
        <f t="shared" si="2"/>
        <v>9</v>
      </c>
    </row>
    <row r="39">
      <c r="A39" s="413" t="s">
        <v>123</v>
      </c>
      <c r="B39" s="407" t="s">
        <v>595</v>
      </c>
      <c r="C39" s="222" t="s">
        <v>595</v>
      </c>
      <c r="D39" s="408" t="b">
        <f>IFERROR(__xludf.DUMMYFUNCTION("arrayformula(sum(--REGEXMATCH(H39,split(REGEXREPLACE(J39,""(.)"",""$1~""),""~""))))=len(J39)"),TRUE)</f>
        <v>1</v>
      </c>
      <c r="E39" s="409" t="s">
        <v>513</v>
      </c>
      <c r="F39" s="410" t="str">
        <f>IFERROR(__xludf.DUMMYFUNCTION("REGEXREPLACE(B39,""[^[:alpha:]]"", """")"),"SrgmPdnS")</f>
        <v>SrgmPdnS</v>
      </c>
      <c r="G39" s="411" t="str">
        <f>IFERROR(__xludf.DUMMYFUNCTION("REGEXREPLACE(C39,""[^[:alpha:]]"", """")"),"SrgmPdnS")</f>
        <v>SrgmPdnS</v>
      </c>
      <c r="H39" s="410" t="str">
        <f>IFERROR(__xludf.DUMMYFUNCTION("ArrayFormula(join(,unique(mid(F39,sequence(len(F39)),1))))"),"SrgmPdn")</f>
        <v>SrgmPdn</v>
      </c>
      <c r="I39" s="410">
        <f t="shared" si="1"/>
        <v>7</v>
      </c>
      <c r="J39" s="412" t="str">
        <f>IFERROR(__xludf.DUMMYFUNCTION("ArrayFormula(join(,unique(mid(G39,sequence(len(G39)),1))))"),"SrgmPdn")</f>
        <v>SrgmPdn</v>
      </c>
      <c r="K39" s="411">
        <f t="shared" si="2"/>
        <v>7</v>
      </c>
    </row>
    <row r="40">
      <c r="A40" s="406" t="s">
        <v>596</v>
      </c>
      <c r="B40" s="407" t="s">
        <v>597</v>
      </c>
      <c r="C40" s="222" t="s">
        <v>598</v>
      </c>
      <c r="D40" s="408" t="b">
        <f>IFERROR(__xludf.DUMMYFUNCTION("arrayformula(sum(--REGEXMATCH(H40,split(REGEXREPLACE(J40,""(.)"",""$1~""),""~""))))=len(J40)"),TRUE)</f>
        <v>1</v>
      </c>
      <c r="E40" s="409" t="s">
        <v>513</v>
      </c>
      <c r="F40" s="410" t="str">
        <f>IFERROR(__xludf.DUMMYFUNCTION("REGEXREPLACE(B40,""[^[:alpha:]]"", """")"),"SrGmMPDNS")</f>
        <v>SrGmMPDNS</v>
      </c>
      <c r="G40" s="411" t="str">
        <f>IFERROR(__xludf.DUMMYFUNCTION("REGEXREPLACE(C40,""[^[:alpha:]]"", """")"),"PGGPPPDNDPMPGrSPGGPP")</f>
        <v>PGGPPPDNDPMPGrSPGGPP</v>
      </c>
      <c r="H40" s="410" t="str">
        <f>IFERROR(__xludf.DUMMYFUNCTION("ArrayFormula(join(,unique(mid(F40,sequence(len(F40)),1))))"),"SrGmMPDN")</f>
        <v>SrGmMPDN</v>
      </c>
      <c r="I40" s="410">
        <f t="shared" si="1"/>
        <v>8</v>
      </c>
      <c r="J40" s="412" t="str">
        <f>IFERROR(__xludf.DUMMYFUNCTION("ArrayFormula(join(,unique(mid(G40,sequence(len(G40)),1))))"),"PGDNMrS")</f>
        <v>PGDNMrS</v>
      </c>
      <c r="K40" s="411">
        <f t="shared" si="2"/>
        <v>7</v>
      </c>
    </row>
    <row r="41">
      <c r="A41" s="406" t="s">
        <v>599</v>
      </c>
      <c r="B41" s="407" t="s">
        <v>597</v>
      </c>
      <c r="C41" s="222" t="s">
        <v>600</v>
      </c>
      <c r="D41" s="408" t="b">
        <f>IFERROR(__xludf.DUMMYFUNCTION("arrayformula(sum(--REGEXMATCH(H41,split(REGEXREPLACE(J41,""(.)"",""$1~""),""~""))))=len(J41)"),FALSE)</f>
        <v>0</v>
      </c>
      <c r="E41" s="409" t="s">
        <v>601</v>
      </c>
      <c r="F41" s="410" t="str">
        <f>IFERROR(__xludf.DUMMYFUNCTION("REGEXREPLACE(B41,""[^[:alpha:]]"", """")"),"SrGmMPDNS")</f>
        <v>SrGmMPDNS</v>
      </c>
      <c r="G41" s="411" t="str">
        <f>IFERROR(__xludf.DUMMYFUNCTION("REGEXREPLACE(C41,""[^[:alpha:]]"", """")"),"NSNRNSNSNSNDDNrGmGrmGmGrSSNNrSSmmmmPDNSNSNSDNDNDNP")</f>
        <v>NSNRNSNSNSNDDNrGmGrmGmGrSSNNrSSmmmmPDNSNSNSDNDNDNP</v>
      </c>
      <c r="H41" s="410" t="str">
        <f>IFERROR(__xludf.DUMMYFUNCTION("ArrayFormula(join(,unique(mid(F41,sequence(len(F41)),1))))"),"SrGmMPDN")</f>
        <v>SrGmMPDN</v>
      </c>
      <c r="I41" s="410">
        <f t="shared" si="1"/>
        <v>8</v>
      </c>
      <c r="J41" s="412" t="str">
        <f>IFERROR(__xludf.DUMMYFUNCTION("ArrayFormula(join(,unique(mid(G41,sequence(len(G41)),1))))"),"NSRDrGmP")</f>
        <v>NSRDrGmP</v>
      </c>
      <c r="K41" s="411">
        <f t="shared" si="2"/>
        <v>8</v>
      </c>
    </row>
    <row r="42">
      <c r="A42" s="406" t="s">
        <v>602</v>
      </c>
      <c r="B42" s="407" t="s">
        <v>603</v>
      </c>
      <c r="C42" s="222" t="s">
        <v>604</v>
      </c>
      <c r="D42" s="408" t="b">
        <f>IFERROR(__xludf.DUMMYFUNCTION("arrayformula(sum(--REGEXMATCH(H42,split(REGEXREPLACE(J42,""(.)"",""$1~""),""~""))))=len(J42)"),TRUE)</f>
        <v>1</v>
      </c>
      <c r="E42" s="409" t="s">
        <v>513</v>
      </c>
      <c r="F42" s="410" t="str">
        <f>IFERROR(__xludf.DUMMYFUNCTION("REGEXREPLACE(B42,""[^[:alpha:]]"", """")"),"SrGmPDNS")</f>
        <v>SrGmPDNS</v>
      </c>
      <c r="G42" s="411" t="str">
        <f>IFERROR(__xludf.DUMMYFUNCTION("REGEXREPLACE(C42,""[^[:alpha:]]"", """")"),"GmPDNSDDPmPmPDPPGPGmGrS")</f>
        <v>GmPDNSDDPmPmPDPPGPGmGrS</v>
      </c>
      <c r="H42" s="410" t="str">
        <f>IFERROR(__xludf.DUMMYFUNCTION("ArrayFormula(join(,unique(mid(F42,sequence(len(F42)),1))))"),"SrGmPDN")</f>
        <v>SrGmPDN</v>
      </c>
      <c r="I42" s="410">
        <f t="shared" si="1"/>
        <v>7</v>
      </c>
      <c r="J42" s="412" t="str">
        <f>IFERROR(__xludf.DUMMYFUNCTION("ArrayFormula(join(,unique(mid(G42,sequence(len(G42)),1))))"),"GmPDNSr")</f>
        <v>GmPDNSr</v>
      </c>
      <c r="K42" s="411">
        <f t="shared" si="2"/>
        <v>7</v>
      </c>
    </row>
    <row r="43">
      <c r="A43" s="406" t="s">
        <v>605</v>
      </c>
      <c r="B43" s="407" t="s">
        <v>606</v>
      </c>
      <c r="C43" s="222" t="s">
        <v>607</v>
      </c>
      <c r="D43" s="408" t="b">
        <f>IFERROR(__xludf.DUMMYFUNCTION("arrayformula(sum(--REGEXMATCH(H43,split(REGEXREPLACE(J43,""(.)"",""$1~""),""~""))))=len(J43)"),TRUE)</f>
        <v>1</v>
      </c>
      <c r="E43" s="409" t="s">
        <v>513</v>
      </c>
      <c r="F43" s="410" t="str">
        <f>IFERROR(__xludf.DUMMYFUNCTION("REGEXREPLACE(B43,""[^[:alpha:]]"", """")"),"SRmDS")</f>
        <v>SRmDS</v>
      </c>
      <c r="G43" s="411" t="str">
        <f>IFERROR(__xludf.DUMMYFUNCTION("REGEXREPLACE(C43,""[^[:alpha:]]"", """")"),"SRSDmRSRmRmDDmDSSD")</f>
        <v>SRSDmRSRmRmDDmDSSD</v>
      </c>
      <c r="H43" s="410" t="str">
        <f>IFERROR(__xludf.DUMMYFUNCTION("ArrayFormula(join(,unique(mid(F43,sequence(len(F43)),1))))"),"SRmD")</f>
        <v>SRmD</v>
      </c>
      <c r="I43" s="410">
        <f t="shared" si="1"/>
        <v>4</v>
      </c>
      <c r="J43" s="412" t="str">
        <f>IFERROR(__xludf.DUMMYFUNCTION("ArrayFormula(join(,unique(mid(G43,sequence(len(G43)),1))))"),"SRDm")</f>
        <v>SRDm</v>
      </c>
      <c r="K43" s="411">
        <f t="shared" si="2"/>
        <v>4</v>
      </c>
    </row>
    <row r="44">
      <c r="A44" s="406" t="s">
        <v>608</v>
      </c>
      <c r="B44" s="407" t="s">
        <v>609</v>
      </c>
      <c r="C44" s="222" t="s">
        <v>610</v>
      </c>
      <c r="D44" s="408" t="b">
        <f>IFERROR(__xludf.DUMMYFUNCTION("arrayformula(sum(--REGEXMATCH(H44,split(REGEXREPLACE(J44,""(.)"",""$1~""),""~""))))=len(J44)"),FALSE)</f>
        <v>0</v>
      </c>
      <c r="E44" s="409" t="s">
        <v>601</v>
      </c>
      <c r="F44" s="410" t="str">
        <f>IFERROR(__xludf.DUMMYFUNCTION("REGEXREPLACE(B44,""[^[:alpha:]]"", """")"),"SrgGmPdnNS")</f>
        <v>SrgGmPdnNS</v>
      </c>
      <c r="G44" s="411" t="str">
        <f>IFERROR(__xludf.DUMMYFUNCTION("REGEXREPLACE(C44,""[^[:alpha:]]"", """")"),"PNSGrrSSSNrSNSSNSNNdPNSrSNSNSNdNSGrrSSNSSNSRSRSNSNdPPNSRSNSGSGrSSNS")</f>
        <v>PNSGrrSSSNrSNSSNSNNdPNSrSNSNSNdNSGrrSSNSSNSRSRSNSNdPPNSRSNSGSGrSSNS</v>
      </c>
      <c r="H44" s="410" t="str">
        <f>IFERROR(__xludf.DUMMYFUNCTION("ArrayFormula(join(,unique(mid(F44,sequence(len(F44)),1))))"),"SrgGmPdnN")</f>
        <v>SrgGmPdnN</v>
      </c>
      <c r="I44" s="410">
        <f t="shared" si="1"/>
        <v>9</v>
      </c>
      <c r="J44" s="412" t="str">
        <f>IFERROR(__xludf.DUMMYFUNCTION("ArrayFormula(join(,unique(mid(G44,sequence(len(G44)),1))))"),"PNSGrdR")</f>
        <v>PNSGrdR</v>
      </c>
      <c r="K44" s="411">
        <f t="shared" si="2"/>
        <v>7</v>
      </c>
    </row>
    <row r="45">
      <c r="A45" s="406" t="s">
        <v>611</v>
      </c>
      <c r="B45" s="407" t="s">
        <v>612</v>
      </c>
      <c r="C45" s="222" t="s">
        <v>613</v>
      </c>
      <c r="D45" s="408" t="b">
        <f>IFERROR(__xludf.DUMMYFUNCTION("arrayformula(sum(--REGEXMATCH(H45,split(REGEXREPLACE(J45,""(.)"",""$1~""),""~""))))=len(J45)"),TRUE)</f>
        <v>1</v>
      </c>
      <c r="E45" s="409" t="s">
        <v>513</v>
      </c>
      <c r="F45" s="410" t="str">
        <f>IFERROR(__xludf.DUMMYFUNCTION("REGEXREPLACE(B45,""[^[:alpha:]]"", """")"),"SRgGmPDnS")</f>
        <v>SRgGmPDnS</v>
      </c>
      <c r="G45" s="411" t="str">
        <f>IFERROR(__xludf.DUMMYFUNCTION("REGEXREPLACE(C45,""[^[:alpha:]]"", """")"),"DPmPPSSnSnSnPDPDDPmPPS")</f>
        <v>DPmPPSSnSnSnPDPDDPmPPS</v>
      </c>
      <c r="H45" s="410" t="str">
        <f>IFERROR(__xludf.DUMMYFUNCTION("ArrayFormula(join(,unique(mid(F45,sequence(len(F45)),1))))"),"SRgGmPDn")</f>
        <v>SRgGmPDn</v>
      </c>
      <c r="I45" s="410">
        <f t="shared" si="1"/>
        <v>8</v>
      </c>
      <c r="J45" s="412" t="str">
        <f>IFERROR(__xludf.DUMMYFUNCTION("ArrayFormula(join(,unique(mid(G45,sequence(len(G45)),1))))"),"DPmSn")</f>
        <v>DPmSn</v>
      </c>
      <c r="K45" s="411">
        <f t="shared" si="2"/>
        <v>5</v>
      </c>
    </row>
    <row r="46">
      <c r="A46" s="413" t="s">
        <v>614</v>
      </c>
      <c r="B46" s="407" t="s">
        <v>561</v>
      </c>
      <c r="C46" s="222" t="s">
        <v>561</v>
      </c>
      <c r="D46" s="408" t="b">
        <f>IFERROR(__xludf.DUMMYFUNCTION("arrayformula(sum(--REGEXMATCH(H46,split(REGEXREPLACE(J46,""(.)"",""$1~""),""~""))))=len(J46)"),TRUE)</f>
        <v>1</v>
      </c>
      <c r="E46" s="409" t="s">
        <v>513</v>
      </c>
      <c r="F46" s="410" t="str">
        <f>IFERROR(__xludf.DUMMYFUNCTION("REGEXREPLACE(B46,""[^[:alpha:]]"", """")"),"SRgmPDnS")</f>
        <v>SRgmPDnS</v>
      </c>
      <c r="G46" s="411" t="str">
        <f>IFERROR(__xludf.DUMMYFUNCTION("REGEXREPLACE(C46,""[^[:alpha:]]"", """")"),"SRgmPDnS")</f>
        <v>SRgmPDnS</v>
      </c>
      <c r="H46" s="410" t="str">
        <f>IFERROR(__xludf.DUMMYFUNCTION("ArrayFormula(join(,unique(mid(F46,sequence(len(F46)),1))))"),"SRgmPDn")</f>
        <v>SRgmPDn</v>
      </c>
      <c r="I46" s="410">
        <f t="shared" si="1"/>
        <v>7</v>
      </c>
      <c r="J46" s="412" t="str">
        <f>IFERROR(__xludf.DUMMYFUNCTION("ArrayFormula(join(,unique(mid(G46,sequence(len(G46)),1))))"),"SRgmPDn")</f>
        <v>SRgmPDn</v>
      </c>
      <c r="K46" s="411">
        <f t="shared" si="2"/>
        <v>7</v>
      </c>
    </row>
    <row r="47">
      <c r="A47" s="406" t="s">
        <v>615</v>
      </c>
      <c r="B47" s="407" t="s">
        <v>616</v>
      </c>
      <c r="C47" s="222" t="s">
        <v>617</v>
      </c>
      <c r="D47" s="408" t="b">
        <f>IFERROR(__xludf.DUMMYFUNCTION("arrayformula(sum(--REGEXMATCH(H47,split(REGEXREPLACE(J47,""(.)"",""$1~""),""~""))))=len(J47)"),FALSE)</f>
        <v>0</v>
      </c>
      <c r="E47" s="409" t="s">
        <v>601</v>
      </c>
      <c r="F47" s="410" t="str">
        <f>IFERROR(__xludf.DUMMYFUNCTION("REGEXREPLACE(B47,""[^[:alpha:]]"", """")"),"SGmDNS")</f>
        <v>SGmDNS</v>
      </c>
      <c r="G47" s="411" t="str">
        <f>IFERROR(__xludf.DUMMYFUNCTION("REGEXREPLACE(C47,""[^[:alpha:]]"", """")"),"mmGNGmDNDGGRGmSGmGmGRSNGGmmDNSNNNDGmmmG")</f>
        <v>mmGNGmDNDGGRGmSGmGmGRSNGGmmDNSNNNDGmmmG</v>
      </c>
      <c r="H47" s="410" t="str">
        <f>IFERROR(__xludf.DUMMYFUNCTION("ArrayFormula(join(,unique(mid(F47,sequence(len(F47)),1))))"),"SGmDN")</f>
        <v>SGmDN</v>
      </c>
      <c r="I47" s="410">
        <f t="shared" si="1"/>
        <v>5</v>
      </c>
      <c r="J47" s="412" t="str">
        <f>IFERROR(__xludf.DUMMYFUNCTION("ArrayFormula(join(,unique(mid(G47,sequence(len(G47)),1))))"),"mGNDRS")</f>
        <v>mGNDRS</v>
      </c>
      <c r="K47" s="411">
        <f t="shared" si="2"/>
        <v>6</v>
      </c>
    </row>
    <row r="48">
      <c r="A48" s="413" t="s">
        <v>618</v>
      </c>
      <c r="B48" s="407" t="s">
        <v>619</v>
      </c>
      <c r="C48" s="222" t="s">
        <v>619</v>
      </c>
      <c r="D48" s="408" t="b">
        <f>IFERROR(__xludf.DUMMYFUNCTION("arrayformula(sum(--REGEXMATCH(H48,split(REGEXREPLACE(J48,""(.)"",""$1~""),""~""))))=len(J48)"),TRUE)</f>
        <v>1</v>
      </c>
      <c r="E48" s="409" t="s">
        <v>513</v>
      </c>
      <c r="F48" s="410" t="str">
        <f>IFERROR(__xludf.DUMMYFUNCTION("REGEXREPLACE(B48,""[^[:alpha:]]"", """")"),"SRGPDS")</f>
        <v>SRGPDS</v>
      </c>
      <c r="G48" s="411" t="str">
        <f>IFERROR(__xludf.DUMMYFUNCTION("REGEXREPLACE(C48,""[^[:alpha:]]"", """")"),"SRGPDS")</f>
        <v>SRGPDS</v>
      </c>
      <c r="H48" s="410" t="str">
        <f>IFERROR(__xludf.DUMMYFUNCTION("ArrayFormula(join(,unique(mid(F48,sequence(len(F48)),1))))"),"SRGPD")</f>
        <v>SRGPD</v>
      </c>
      <c r="I48" s="410">
        <f t="shared" si="1"/>
        <v>5</v>
      </c>
      <c r="J48" s="412" t="str">
        <f>IFERROR(__xludf.DUMMYFUNCTION("ArrayFormula(join(,unique(mid(G48,sequence(len(G48)),1))))"),"SRGPD")</f>
        <v>SRGPD</v>
      </c>
      <c r="K48" s="411">
        <f t="shared" si="2"/>
        <v>5</v>
      </c>
    </row>
    <row r="49">
      <c r="A49" s="406" t="s">
        <v>620</v>
      </c>
      <c r="B49" s="407" t="s">
        <v>621</v>
      </c>
      <c r="C49" s="222" t="s">
        <v>622</v>
      </c>
      <c r="D49" s="408" t="b">
        <f>IFERROR(__xludf.DUMMYFUNCTION("arrayformula(sum(--REGEXMATCH(H49,split(REGEXREPLACE(J49,""(.)"",""$1~""),""~""))))=len(J49)"),TRUE)</f>
        <v>1</v>
      </c>
      <c r="E49" s="409" t="s">
        <v>513</v>
      </c>
      <c r="F49" s="410" t="str">
        <f>IFERROR(__xludf.DUMMYFUNCTION("REGEXREPLACE(B49,""[^[:alpha:]]"", """")"),"SrgPdS")</f>
        <v>SrgPdS</v>
      </c>
      <c r="G49" s="411" t="str">
        <f>IFERROR(__xludf.DUMMYFUNCTION("REGEXREPLACE(C49,""[^[:alpha:]]"", """")"),"grSdSPdSrgrSgrSdS")</f>
        <v>grSdSPdSrgrSgrSdS</v>
      </c>
      <c r="H49" s="410" t="str">
        <f>IFERROR(__xludf.DUMMYFUNCTION("ArrayFormula(join(,unique(mid(F49,sequence(len(F49)),1))))"),"SrgPd")</f>
        <v>SrgPd</v>
      </c>
      <c r="I49" s="410">
        <f t="shared" si="1"/>
        <v>5</v>
      </c>
      <c r="J49" s="412" t="str">
        <f>IFERROR(__xludf.DUMMYFUNCTION("ArrayFormula(join(,unique(mid(G49,sequence(len(G49)),1))))"),"grSdP")</f>
        <v>grSdP</v>
      </c>
      <c r="K49" s="411">
        <f t="shared" si="2"/>
        <v>5</v>
      </c>
    </row>
    <row r="50">
      <c r="A50" s="406" t="s">
        <v>623</v>
      </c>
      <c r="B50" s="407" t="s">
        <v>624</v>
      </c>
      <c r="C50" s="222" t="s">
        <v>625</v>
      </c>
      <c r="D50" s="408" t="b">
        <f>IFERROR(__xludf.DUMMYFUNCTION("arrayformula(sum(--REGEXMATCH(H50,split(REGEXREPLACE(J50,""(.)"",""$1~""),""~""))))=len(J50)"),FALSE)</f>
        <v>0</v>
      </c>
      <c r="E50" s="409" t="s">
        <v>626</v>
      </c>
      <c r="F50" s="410" t="str">
        <f>IFERROR(__xludf.DUMMYFUNCTION("REGEXREPLACE(B50,""[^[:alpha:]]"", """")"),"SrGPdS")</f>
        <v>SrGPdS</v>
      </c>
      <c r="G50" s="411" t="str">
        <f>IFERROR(__xludf.DUMMYFUNCTION("REGEXREPLACE(C50,""[^[:alpha:]]"", """")"),"SSGGPPDDDPGrSSrSSDSrS")</f>
        <v>SSGGPPDDDPGrSSrSSDSrS</v>
      </c>
      <c r="H50" s="410" t="str">
        <f>IFERROR(__xludf.DUMMYFUNCTION("ArrayFormula(join(,unique(mid(F50,sequence(len(F50)),1))))"),"SrGPd")</f>
        <v>SrGPd</v>
      </c>
      <c r="I50" s="410">
        <f t="shared" si="1"/>
        <v>5</v>
      </c>
      <c r="J50" s="412" t="str">
        <f>IFERROR(__xludf.DUMMYFUNCTION("ArrayFormula(join(,unique(mid(G50,sequence(len(G50)),1))))"),"SGPDr")</f>
        <v>SGPDr</v>
      </c>
      <c r="K50" s="411">
        <f t="shared" si="2"/>
        <v>5</v>
      </c>
    </row>
    <row r="51">
      <c r="A51" s="406" t="s">
        <v>627</v>
      </c>
      <c r="B51" s="407" t="s">
        <v>628</v>
      </c>
      <c r="C51" s="222" t="s">
        <v>629</v>
      </c>
      <c r="D51" s="408" t="b">
        <f>IFERROR(__xludf.DUMMYFUNCTION("arrayformula(sum(--REGEXMATCH(H51,split(REGEXREPLACE(J51,""(.)"",""$1~""),""~""))))=len(J51)"),TRUE)</f>
        <v>1</v>
      </c>
      <c r="E51" s="409" t="s">
        <v>630</v>
      </c>
      <c r="F51" s="410" t="str">
        <f>IFERROR(__xludf.DUMMYFUNCTION("REGEXREPLACE(B51,""[^[:alpha:]]"", """")"),"SrgGmPDnNS")</f>
        <v>SrgGmPDnNS</v>
      </c>
      <c r="G51" s="411" t="str">
        <f>IFERROR(__xludf.DUMMYFUNCTION("REGEXREPLACE(C51,""[^[:alpha:]]"", """")"),"PnDnDNDSDPmPmmmPmGGrSGmDDPmPmmGPmGGrS")</f>
        <v>PnDnDNDSDPmPmmmPmGGrSGmDDPmPmmGPmGGrS</v>
      </c>
      <c r="H51" s="410" t="str">
        <f>IFERROR(__xludf.DUMMYFUNCTION("ArrayFormula(join(,unique(mid(F51,sequence(len(F51)),1))))"),"SrgGmPDnN")</f>
        <v>SrgGmPDnN</v>
      </c>
      <c r="I51" s="410">
        <f t="shared" si="1"/>
        <v>9</v>
      </c>
      <c r="J51" s="412" t="str">
        <f>IFERROR(__xludf.DUMMYFUNCTION("ArrayFormula(join(,unique(mid(G51,sequence(len(G51)),1))))"),"PnDNSmGr")</f>
        <v>PnDNSmGr</v>
      </c>
      <c r="K51" s="411">
        <f t="shared" si="2"/>
        <v>8</v>
      </c>
    </row>
    <row r="52">
      <c r="A52" s="413" t="s">
        <v>631</v>
      </c>
      <c r="B52" s="407" t="s">
        <v>632</v>
      </c>
      <c r="C52" s="222" t="s">
        <v>632</v>
      </c>
      <c r="D52" s="408" t="b">
        <f>IFERROR(__xludf.DUMMYFUNCTION("arrayformula(sum(--REGEXMATCH(H52,split(REGEXREPLACE(J52,""(.)"",""$1~""),""~""))))=len(J52)"),TRUE)</f>
        <v>1</v>
      </c>
      <c r="E52" s="409" t="s">
        <v>513</v>
      </c>
      <c r="F52" s="410" t="str">
        <f>IFERROR(__xludf.DUMMYFUNCTION("REGEXREPLACE(B52,""[^[:alpha:]]"", """")"),"SRGmMPDNS")</f>
        <v>SRGmMPDNS</v>
      </c>
      <c r="G52" s="411" t="str">
        <f>IFERROR(__xludf.DUMMYFUNCTION("REGEXREPLACE(C52,""[^[:alpha:]]"", """")"),"SRGmMPDNS")</f>
        <v>SRGmMPDNS</v>
      </c>
      <c r="H52" s="410" t="str">
        <f>IFERROR(__xludf.DUMMYFUNCTION("ArrayFormula(join(,unique(mid(F52,sequence(len(F52)),1))))"),"SRGmMPDN")</f>
        <v>SRGmMPDN</v>
      </c>
      <c r="I52" s="410">
        <f t="shared" si="1"/>
        <v>8</v>
      </c>
      <c r="J52" s="412" t="str">
        <f>IFERROR(__xludf.DUMMYFUNCTION("ArrayFormula(join(,unique(mid(G52,sequence(len(G52)),1))))"),"SRGmMPDN")</f>
        <v>SRGmMPDN</v>
      </c>
      <c r="K52" s="411">
        <f t="shared" si="2"/>
        <v>8</v>
      </c>
    </row>
    <row r="53">
      <c r="A53" s="406" t="s">
        <v>633</v>
      </c>
      <c r="B53" s="407" t="s">
        <v>530</v>
      </c>
      <c r="C53" s="222" t="s">
        <v>634</v>
      </c>
      <c r="D53" s="408" t="b">
        <f>IFERROR(__xludf.DUMMYFUNCTION("arrayformula(sum(--REGEXMATCH(H53,split(REGEXREPLACE(J53,""(.)"",""$1~""),""~""))))=len(J53)"),TRUE)</f>
        <v>1</v>
      </c>
      <c r="E53" s="409" t="s">
        <v>513</v>
      </c>
      <c r="F53" s="410" t="str">
        <f>IFERROR(__xludf.DUMMYFUNCTION("REGEXREPLACE(B53,""[^[:alpha:]]"", """")"),"SRGmPDnNS")</f>
        <v>SRGmPDnNS</v>
      </c>
      <c r="G53" s="411" t="str">
        <f>IFERROR(__xludf.DUMMYFUNCTION("REGEXREPLACE(C53,""[^[:alpha:]]"", """")"),"SGmPNNRSNSNDPPmPGSGmPNNRSNSNDPPmPGmPGSGmPNNRSNSNDP")</f>
        <v>SGmPNNRSNSNDPPmPGSGmPNNRSNSNDPPmPGmPGSGmPNNRSNSNDP</v>
      </c>
      <c r="H53" s="410" t="str">
        <f>IFERROR(__xludf.DUMMYFUNCTION("ArrayFormula(join(,unique(mid(F53,sequence(len(F53)),1))))"),"SRGmPDnN")</f>
        <v>SRGmPDnN</v>
      </c>
      <c r="I53" s="410">
        <f t="shared" si="1"/>
        <v>8</v>
      </c>
      <c r="J53" s="412" t="str">
        <f>IFERROR(__xludf.DUMMYFUNCTION("ArrayFormula(join(,unique(mid(G53,sequence(len(G53)),1))))"),"SGmPNRD")</f>
        <v>SGmPNRD</v>
      </c>
      <c r="K53" s="411">
        <f t="shared" si="2"/>
        <v>7</v>
      </c>
    </row>
    <row r="54">
      <c r="A54" s="406" t="s">
        <v>636</v>
      </c>
      <c r="B54" s="407" t="s">
        <v>530</v>
      </c>
      <c r="C54" s="222" t="s">
        <v>637</v>
      </c>
      <c r="D54" s="408" t="b">
        <f>IFERROR(__xludf.DUMMYFUNCTION("arrayformula(sum(--REGEXMATCH(H54,split(REGEXREPLACE(J54,""(.)"",""$1~""),""~""))))=len(J54)"),TRUE)</f>
        <v>1</v>
      </c>
      <c r="E54" s="409" t="s">
        <v>513</v>
      </c>
      <c r="F54" s="410" t="str">
        <f>IFERROR(__xludf.DUMMYFUNCTION("REGEXREPLACE(B54,""[^[:alpha:]]"", """")"),"SRGmPDnNS")</f>
        <v>SRGmPDnNS</v>
      </c>
      <c r="G54" s="411" t="str">
        <f>IFERROR(__xludf.DUMMYFUNCTION("REGEXREPLACE(C54,""[^[:alpha:]]"", """")"),"PmPGmPGGmGmGmGmnDnDPDPPDPmmPGGSRNNSGPGDPPGPS")</f>
        <v>PmPGmPGGmGmGmGmnDnDPDPPDPmmPGGSRNNSGPGDPPGPS</v>
      </c>
      <c r="H54" s="410" t="str">
        <f>IFERROR(__xludf.DUMMYFUNCTION("ArrayFormula(join(,unique(mid(F54,sequence(len(F54)),1))))"),"SRGmPDnN")</f>
        <v>SRGmPDnN</v>
      </c>
      <c r="I54" s="410">
        <f t="shared" si="1"/>
        <v>8</v>
      </c>
      <c r="J54" s="412" t="str">
        <f>IFERROR(__xludf.DUMMYFUNCTION("ArrayFormula(join(,unique(mid(G54,sequence(len(G54)),1))))"),"PmGnDSRN")</f>
        <v>PmGnDSRN</v>
      </c>
      <c r="K54" s="411">
        <f t="shared" si="2"/>
        <v>8</v>
      </c>
    </row>
    <row r="55">
      <c r="A55" s="406" t="s">
        <v>638</v>
      </c>
      <c r="B55" s="407" t="s">
        <v>554</v>
      </c>
      <c r="C55" s="222" t="s">
        <v>639</v>
      </c>
      <c r="D55" s="408" t="b">
        <f>IFERROR(__xludf.DUMMYFUNCTION("arrayformula(sum(--REGEXMATCH(H55,split(REGEXREPLACE(J55,""(.)"",""$1~""),""~""))))=len(J55)"),FALSE)</f>
        <v>0</v>
      </c>
      <c r="E55" s="409" t="s">
        <v>578</v>
      </c>
      <c r="F55" s="410" t="str">
        <f>IFERROR(__xludf.DUMMYFUNCTION("REGEXREPLACE(B55,""[^[:alpha:]]"", """")"),"SRGmPDNS")</f>
        <v>SRGmPDNS</v>
      </c>
      <c r="G55" s="411" t="str">
        <f>IFERROR(__xludf.DUMMYFUNCTION("REGEXREPLACE(C55,""[^[:alpha:]]"", """")"),"NSSmRPmDPDPmmPmPDnDPmGGRSRSSSPPNSSNRSSSmRPmDPDnDPm")</f>
        <v>NSSmRPmDPDPmmPmPDnDPmGGRSRSSSPPNSSNRSSSmRPmDPDnDPm</v>
      </c>
      <c r="H55" s="410" t="str">
        <f>IFERROR(__xludf.DUMMYFUNCTION("ArrayFormula(join(,unique(mid(F55,sequence(len(F55)),1))))"),"SRGmPDN")</f>
        <v>SRGmPDN</v>
      </c>
      <c r="I55" s="410">
        <f t="shared" si="1"/>
        <v>7</v>
      </c>
      <c r="J55" s="412" t="str">
        <f>IFERROR(__xludf.DUMMYFUNCTION("ArrayFormula(join(,unique(mid(G55,sequence(len(G55)),1))))"),"NSmRPDnG")</f>
        <v>NSmRPDnG</v>
      </c>
      <c r="K55" s="411">
        <f t="shared" si="2"/>
        <v>8</v>
      </c>
    </row>
    <row r="56">
      <c r="A56" s="413" t="s">
        <v>640</v>
      </c>
      <c r="B56" s="407" t="s">
        <v>595</v>
      </c>
      <c r="C56" s="222" t="s">
        <v>595</v>
      </c>
      <c r="D56" s="408" t="b">
        <f>IFERROR(__xludf.DUMMYFUNCTION("arrayformula(sum(--REGEXMATCH(H56,split(REGEXREPLACE(J56,""(.)"",""$1~""),""~""))))=len(J56)"),TRUE)</f>
        <v>1</v>
      </c>
      <c r="E56" s="409" t="s">
        <v>513</v>
      </c>
      <c r="F56" s="410" t="str">
        <f>IFERROR(__xludf.DUMMYFUNCTION("REGEXREPLACE(B56,""[^[:alpha:]]"", """")"),"SrgmPdnS")</f>
        <v>SrgmPdnS</v>
      </c>
      <c r="G56" s="411" t="str">
        <f>IFERROR(__xludf.DUMMYFUNCTION("REGEXREPLACE(C56,""[^[:alpha:]]"", """")"),"SrgmPdnS")</f>
        <v>SrgmPdnS</v>
      </c>
      <c r="H56" s="410" t="str">
        <f>IFERROR(__xludf.DUMMYFUNCTION("ArrayFormula(join(,unique(mid(F56,sequence(len(F56)),1))))"),"SrgmPdn")</f>
        <v>SrgmPdn</v>
      </c>
      <c r="I56" s="410">
        <f t="shared" si="1"/>
        <v>7</v>
      </c>
      <c r="J56" s="412" t="str">
        <f>IFERROR(__xludf.DUMMYFUNCTION("ArrayFormula(join(,unique(mid(G56,sequence(len(G56)),1))))"),"SrgmPdn")</f>
        <v>SrgmPdn</v>
      </c>
      <c r="K56" s="411">
        <f t="shared" si="2"/>
        <v>7</v>
      </c>
    </row>
    <row r="57">
      <c r="A57" s="406" t="s">
        <v>119</v>
      </c>
      <c r="B57" s="407" t="s">
        <v>554</v>
      </c>
      <c r="C57" s="222" t="s">
        <v>641</v>
      </c>
      <c r="D57" s="408" t="b">
        <f>IFERROR(__xludf.DUMMYFUNCTION("arrayformula(sum(--REGEXMATCH(H57,split(REGEXREPLACE(J57,""(.)"",""$1~""),""~""))))=len(J57)"),TRUE)</f>
        <v>1</v>
      </c>
      <c r="E57" s="409" t="s">
        <v>513</v>
      </c>
      <c r="F57" s="410" t="str">
        <f>IFERROR(__xludf.DUMMYFUNCTION("REGEXREPLACE(B57,""[^[:alpha:]]"", """")"),"SRGmPDNS")</f>
        <v>SRGmPDNS</v>
      </c>
      <c r="G57" s="411" t="str">
        <f>IFERROR(__xludf.DUMMYFUNCTION("REGEXREPLACE(C57,""[^[:alpha:]]"", """")"),"SGGGmGmGRGRSNSNDNRGRGRSPNSRGPDPmGGmGRmGRSNSRGmGRSNRS")</f>
        <v>SGGGmGmGRGRSNSNDNRGRGRSPNSRGPDPmGGmGRmGRSNSRGmGRSNRS</v>
      </c>
      <c r="H57" s="410" t="str">
        <f>IFERROR(__xludf.DUMMYFUNCTION("ArrayFormula(join(,unique(mid(F57,sequence(len(F57)),1))))"),"SRGmPDN")</f>
        <v>SRGmPDN</v>
      </c>
      <c r="I57" s="410">
        <f t="shared" si="1"/>
        <v>7</v>
      </c>
      <c r="J57" s="412" t="str">
        <f>IFERROR(__xludf.DUMMYFUNCTION("ArrayFormula(join(,unique(mid(G57,sequence(len(G57)),1))))"),"SGmRNDP")</f>
        <v>SGmRNDP</v>
      </c>
      <c r="K57" s="411">
        <f t="shared" si="2"/>
        <v>7</v>
      </c>
    </row>
    <row r="58">
      <c r="A58" s="406" t="s">
        <v>642</v>
      </c>
      <c r="B58" s="407" t="s">
        <v>530</v>
      </c>
      <c r="C58" s="222" t="s">
        <v>643</v>
      </c>
      <c r="D58" s="408" t="b">
        <f>IFERROR(__xludf.DUMMYFUNCTION("arrayformula(sum(--REGEXMATCH(H58,split(REGEXREPLACE(J58,""(.)"",""$1~""),""~""))))=len(J58)"),TRUE)</f>
        <v>1</v>
      </c>
      <c r="E58" s="409" t="s">
        <v>513</v>
      </c>
      <c r="F58" s="410" t="str">
        <f>IFERROR(__xludf.DUMMYFUNCTION("REGEXREPLACE(B58,""[^[:alpha:]]"", """")"),"SRGmPDnNS")</f>
        <v>SRGmPDnNS</v>
      </c>
      <c r="G58" s="411" t="str">
        <f>IFERROR(__xludf.DUMMYFUNCTION("REGEXREPLACE(C58,""[^[:alpha:]]"", """")"),"PmGSRmmGmPDmGmGPmGSRmmPGRSSnDnDPSSRGRSSRGRGmmPmPGRPmGSRm")</f>
        <v>PmGSRmmGmPDmGmGPmGSRmmPGRSSnDnDPSSRGRSSRGRGmmPmPGRPmGSRm</v>
      </c>
      <c r="H58" s="410" t="str">
        <f>IFERROR(__xludf.DUMMYFUNCTION("ArrayFormula(join(,unique(mid(F58,sequence(len(F58)),1))))"),"SRGmPDnN")</f>
        <v>SRGmPDnN</v>
      </c>
      <c r="I58" s="410">
        <f t="shared" si="1"/>
        <v>8</v>
      </c>
      <c r="J58" s="412" t="str">
        <f>IFERROR(__xludf.DUMMYFUNCTION("ArrayFormula(join(,unique(mid(G58,sequence(len(G58)),1))))"),"PmGSRDn")</f>
        <v>PmGSRDn</v>
      </c>
      <c r="K58" s="411">
        <f t="shared" si="2"/>
        <v>7</v>
      </c>
    </row>
    <row r="59">
      <c r="A59" s="406" t="s">
        <v>644</v>
      </c>
      <c r="B59" s="407" t="s">
        <v>645</v>
      </c>
      <c r="C59" s="222" t="s">
        <v>646</v>
      </c>
      <c r="D59" s="408" t="b">
        <f>IFERROR(__xludf.DUMMYFUNCTION("arrayformula(sum(--REGEXMATCH(H59,split(REGEXREPLACE(J59,""(.)"",""$1~""),""~""))))=len(J59)"),FALSE)</f>
        <v>0</v>
      </c>
      <c r="E59" s="409" t="s">
        <v>601</v>
      </c>
      <c r="F59" s="410" t="str">
        <f>IFERROR(__xludf.DUMMYFUNCTION("REGEXREPLACE(B59,""[^[:alpha:]]"", """")"),"SGmMPDnNS")</f>
        <v>SGmMPDnNS</v>
      </c>
      <c r="G59" s="411" t="str">
        <f>IFERROR(__xludf.DUMMYFUNCTION("REGEXREPLACE(C59,""[^[:alpha:]]"", """")"),"GmPNSNDPMPPMPmGmGGRSSNPNNSSSGmPDGGPGRSSSSGmPDDSDnDPmPNSNDPS")</f>
        <v>GmPNSNDPMPPMPmGmGGRSSNPNNSSSGmPDGGPGRSSSSGmPDDSDnDPmPNSNDPS</v>
      </c>
      <c r="H59" s="410" t="str">
        <f>IFERROR(__xludf.DUMMYFUNCTION("ArrayFormula(join(,unique(mid(F59,sequence(len(F59)),1))))"),"SGmMPDnN")</f>
        <v>SGmMPDnN</v>
      </c>
      <c r="I59" s="410">
        <f t="shared" si="1"/>
        <v>8</v>
      </c>
      <c r="J59" s="412" t="str">
        <f>IFERROR(__xludf.DUMMYFUNCTION("ArrayFormula(join(,unique(mid(G59,sequence(len(G59)),1))))"),"GmPNSDMRn")</f>
        <v>GmPNSDMRn</v>
      </c>
      <c r="K59" s="411">
        <f t="shared" si="2"/>
        <v>9</v>
      </c>
    </row>
    <row r="60">
      <c r="A60" s="406" t="s">
        <v>647</v>
      </c>
      <c r="B60" s="407" t="s">
        <v>648</v>
      </c>
      <c r="C60" s="222" t="s">
        <v>649</v>
      </c>
      <c r="D60" s="408" t="b">
        <f>IFERROR(__xludf.DUMMYFUNCTION("arrayformula(sum(--REGEXMATCH(H60,split(REGEXREPLACE(J60,""(.)"",""$1~""),""~""))))=len(J60)"),TRUE)</f>
        <v>1</v>
      </c>
      <c r="E60" s="409" t="s">
        <v>513</v>
      </c>
      <c r="F60" s="410" t="str">
        <f>IFERROR(__xludf.DUMMYFUNCTION("REGEXREPLACE(B60,""[^[:alpha:]]"", """")"),"SRGmMPDnNS")</f>
        <v>SRGmMPDnNS</v>
      </c>
      <c r="G60" s="411" t="str">
        <f>IFERROR(__xludf.DUMMYFUNCTION("REGEXREPLACE(C60,""[^[:alpha:]]"", """")"),"MPMDDPmGmmMPMPMPSDDRSNSDNDPMPMDDP")</f>
        <v>MPMDDPmGmmMPMPMPSDDRSNSDNDPMPMDDP</v>
      </c>
      <c r="H60" s="410" t="str">
        <f>IFERROR(__xludf.DUMMYFUNCTION("ArrayFormula(join(,unique(mid(F60,sequence(len(F60)),1))))"),"SRGmMPDnN")</f>
        <v>SRGmMPDnN</v>
      </c>
      <c r="I60" s="410">
        <f t="shared" si="1"/>
        <v>9</v>
      </c>
      <c r="J60" s="412" t="str">
        <f>IFERROR(__xludf.DUMMYFUNCTION("ArrayFormula(join(,unique(mid(G60,sequence(len(G60)),1))))"),"MPDmGSRN")</f>
        <v>MPDmGSRN</v>
      </c>
      <c r="K60" s="411">
        <f t="shared" si="2"/>
        <v>8</v>
      </c>
    </row>
    <row r="61">
      <c r="A61" s="406" t="s">
        <v>444</v>
      </c>
      <c r="B61" s="407" t="s">
        <v>445</v>
      </c>
      <c r="C61" s="222" t="s">
        <v>650</v>
      </c>
      <c r="D61" s="408" t="b">
        <f>IFERROR(__xludf.DUMMYFUNCTION("arrayformula(sum(--REGEXMATCH(H61,split(REGEXREPLACE(J61,""(.)"",""$1~""),""~""))))=len(J61)"),TRUE)</f>
        <v>1</v>
      </c>
      <c r="E61" s="409" t="s">
        <v>513</v>
      </c>
      <c r="F61" s="410" t="str">
        <f>IFERROR(__xludf.DUMMYFUNCTION("REGEXREPLACE(B61,""[^[:alpha:]]"", """")"),"SgmdNS")</f>
        <v>SgmdNS</v>
      </c>
      <c r="G61" s="411" t="str">
        <f>IFERROR(__xludf.DUMMYFUNCTION("REGEXREPLACE(C61,""[^[:alpha:]]"", """")"),"mgdmNdNSSgSSNdNdm")</f>
        <v>mgdmNdNSSgSSNdNdm</v>
      </c>
      <c r="H61" s="410" t="str">
        <f>IFERROR(__xludf.DUMMYFUNCTION("ArrayFormula(join(,unique(mid(F61,sequence(len(F61)),1))))"),"SgmdN")</f>
        <v>SgmdN</v>
      </c>
      <c r="I61" s="410">
        <f t="shared" si="1"/>
        <v>5</v>
      </c>
      <c r="J61" s="412" t="str">
        <f>IFERROR(__xludf.DUMMYFUNCTION("ArrayFormula(join(,unique(mid(G61,sequence(len(G61)),1))))"),"mgdNS")</f>
        <v>mgdNS</v>
      </c>
      <c r="K61" s="411">
        <f t="shared" si="2"/>
        <v>5</v>
      </c>
    </row>
    <row r="62">
      <c r="A62" s="406" t="s">
        <v>651</v>
      </c>
      <c r="B62" s="407" t="s">
        <v>652</v>
      </c>
      <c r="C62" s="222" t="s">
        <v>653</v>
      </c>
      <c r="D62" s="408" t="b">
        <f>IFERROR(__xludf.DUMMYFUNCTION("arrayformula(sum(--REGEXMATCH(H62,split(REGEXREPLACE(J62,""(.)"",""$1~""),""~""))))=len(J62)"),TRUE)</f>
        <v>1</v>
      </c>
      <c r="E62" s="409" t="s">
        <v>654</v>
      </c>
      <c r="F62" s="410" t="str">
        <f>IFERROR(__xludf.DUMMYFUNCTION("REGEXREPLACE(B62,""[^[:alpha:]]"", """")"),"SRgmPdnNS")</f>
        <v>SRgmPdnNS</v>
      </c>
      <c r="G62" s="411" t="str">
        <f>IFERROR(__xludf.DUMMYFUNCTION("REGEXREPLACE(C62,""[^[:alpha:]]"", """")"),"ddPddmSndSSNSNSmmgmgmddNSNSndPgddPddPddmSnd")</f>
        <v>ddPddmSndSSNSNSmmgmgmddNSNSndPgddPddPddmSnd</v>
      </c>
      <c r="H62" s="410" t="str">
        <f>IFERROR(__xludf.DUMMYFUNCTION("ArrayFormula(join(,unique(mid(F62,sequence(len(F62)),1))))"),"SRgmPdnN")</f>
        <v>SRgmPdnN</v>
      </c>
      <c r="I62" s="410">
        <f t="shared" si="1"/>
        <v>8</v>
      </c>
      <c r="J62" s="412" t="str">
        <f>IFERROR(__xludf.DUMMYFUNCTION("ArrayFormula(join(,unique(mid(G62,sequence(len(G62)),1))))"),"dPmSnNg")</f>
        <v>dPmSnNg</v>
      </c>
      <c r="K62" s="411">
        <f t="shared" si="2"/>
        <v>7</v>
      </c>
    </row>
    <row r="63">
      <c r="A63" s="406" t="s">
        <v>655</v>
      </c>
      <c r="B63" s="407" t="s">
        <v>656</v>
      </c>
      <c r="C63" s="222" t="s">
        <v>657</v>
      </c>
      <c r="D63" s="408" t="b">
        <f>IFERROR(__xludf.DUMMYFUNCTION("arrayformula(sum(--REGEXMATCH(H63,split(REGEXREPLACE(J63,""(.)"",""$1~""),""~""))))=len(J63)"),TRUE)</f>
        <v>1</v>
      </c>
      <c r="E63" s="409" t="s">
        <v>513</v>
      </c>
      <c r="F63" s="410" t="str">
        <f>IFERROR(__xludf.DUMMYFUNCTION("REGEXREPLACE(B63,""[^[:alpha:]]"", """")"),"SgMPnS")</f>
        <v>SgMPnS</v>
      </c>
      <c r="G63" s="411" t="str">
        <f>IFERROR(__xludf.DUMMYFUNCTION("REGEXREPLACE(C63,""[^[:alpha:]]"", """")"),"PSnSPnPnSggSnSgMPPgMPnPPMPnPSnSnPMPPnSgS")</f>
        <v>PSnSPnPnSggSnSgMPPgMPnPPMPnPSnSnPMPPnSgS</v>
      </c>
      <c r="H63" s="410" t="str">
        <f>IFERROR(__xludf.DUMMYFUNCTION("ArrayFormula(join(,unique(mid(F63,sequence(len(F63)),1))))"),"SgMPn")</f>
        <v>SgMPn</v>
      </c>
      <c r="I63" s="410">
        <f t="shared" si="1"/>
        <v>5</v>
      </c>
      <c r="J63" s="412" t="str">
        <f>IFERROR(__xludf.DUMMYFUNCTION("ArrayFormula(join(,unique(mid(G63,sequence(len(G63)),1))))"),"PSngM")</f>
        <v>PSngM</v>
      </c>
      <c r="K63" s="411">
        <f t="shared" si="2"/>
        <v>5</v>
      </c>
    </row>
    <row r="64">
      <c r="A64" s="413" t="s">
        <v>658</v>
      </c>
      <c r="B64" s="407" t="s">
        <v>652</v>
      </c>
      <c r="C64" s="222" t="s">
        <v>652</v>
      </c>
      <c r="D64" s="408" t="b">
        <f>IFERROR(__xludf.DUMMYFUNCTION("arrayformula(sum(--REGEXMATCH(H64,split(REGEXREPLACE(J64,""(.)"",""$1~""),""~""))))=len(J64)"),TRUE)</f>
        <v>1</v>
      </c>
      <c r="E64" s="409" t="s">
        <v>513</v>
      </c>
      <c r="F64" s="410" t="str">
        <f>IFERROR(__xludf.DUMMYFUNCTION("REGEXREPLACE(B64,""[^[:alpha:]]"", """")"),"SRgmPdnNS")</f>
        <v>SRgmPdnNS</v>
      </c>
      <c r="G64" s="411" t="str">
        <f>IFERROR(__xludf.DUMMYFUNCTION("REGEXREPLACE(C64,""[^[:alpha:]]"", """")"),"SRgmPdnNS")</f>
        <v>SRgmPdnNS</v>
      </c>
      <c r="H64" s="410" t="str">
        <f>IFERROR(__xludf.DUMMYFUNCTION("ArrayFormula(join(,unique(mid(F64,sequence(len(F64)),1))))"),"SRgmPdnN")</f>
        <v>SRgmPdnN</v>
      </c>
      <c r="I64" s="410">
        <f t="shared" si="1"/>
        <v>8</v>
      </c>
      <c r="J64" s="412" t="str">
        <f>IFERROR(__xludf.DUMMYFUNCTION("ArrayFormula(join(,unique(mid(G64,sequence(len(G64)),1))))"),"SRgmPdnN")</f>
        <v>SRgmPdnN</v>
      </c>
      <c r="K64" s="411">
        <f t="shared" si="2"/>
        <v>8</v>
      </c>
    </row>
    <row r="65">
      <c r="A65" s="413" t="s">
        <v>659</v>
      </c>
      <c r="B65" s="407" t="s">
        <v>353</v>
      </c>
      <c r="C65" s="222" t="s">
        <v>353</v>
      </c>
      <c r="D65" s="408" t="b">
        <f>IFERROR(__xludf.DUMMYFUNCTION("arrayformula(sum(--REGEXMATCH(H65,split(REGEXREPLACE(J65,""(.)"",""$1~""),""~""))))=len(J65)"),TRUE)</f>
        <v>1</v>
      </c>
      <c r="E65" s="409" t="s">
        <v>513</v>
      </c>
      <c r="F65" s="410" t="str">
        <f>IFERROR(__xludf.DUMMYFUNCTION("REGEXREPLACE(B65,""[^[:alpha:]]"", """")"),"SRGmPdnS")</f>
        <v>SRGmPdnS</v>
      </c>
      <c r="G65" s="411" t="str">
        <f>IFERROR(__xludf.DUMMYFUNCTION("REGEXREPLACE(C65,""[^[:alpha:]]"", """")"),"SRGmPdnS")</f>
        <v>SRGmPdnS</v>
      </c>
      <c r="H65" s="410" t="str">
        <f>IFERROR(__xludf.DUMMYFUNCTION("ArrayFormula(join(,unique(mid(F65,sequence(len(F65)),1))))"),"SRGmPdn")</f>
        <v>SRGmPdn</v>
      </c>
      <c r="I65" s="410">
        <f t="shared" si="1"/>
        <v>7</v>
      </c>
      <c r="J65" s="412" t="str">
        <f>IFERROR(__xludf.DUMMYFUNCTION("ArrayFormula(join(,unique(mid(G65,sequence(len(G65)),1))))"),"SRGmPdn")</f>
        <v>SRGmPdn</v>
      </c>
      <c r="K65" s="411">
        <f t="shared" si="2"/>
        <v>7</v>
      </c>
    </row>
    <row r="66">
      <c r="A66" s="406" t="s">
        <v>660</v>
      </c>
      <c r="B66" s="407" t="s">
        <v>554</v>
      </c>
      <c r="C66" s="222" t="s">
        <v>661</v>
      </c>
      <c r="D66" s="408" t="b">
        <f>IFERROR(__xludf.DUMMYFUNCTION("arrayformula(sum(--REGEXMATCH(H66,split(REGEXREPLACE(J66,""(.)"",""$1~""),""~""))))=len(J66)"),TRUE)</f>
        <v>1</v>
      </c>
      <c r="E66" s="409" t="s">
        <v>513</v>
      </c>
      <c r="F66" s="410" t="str">
        <f>IFERROR(__xludf.DUMMYFUNCTION("REGEXREPLACE(B66,""[^[:alpha:]]"", """")"),"SRGmPDNS")</f>
        <v>SRGmPDNS</v>
      </c>
      <c r="G66" s="411" t="str">
        <f>IFERROR(__xludf.DUMMYFUNCTION("REGEXREPLACE(C66,""[^[:alpha:]]"", """")"),"GRGRGmGSGRSSRGmGRSRNNPPNSNSRGmGRGRSRSSNRSRGmGRG")</f>
        <v>GRGRGmGSGRSSRGmGRSRNNPPNSNSRGmGRGRSRSSNRSRGmGRG</v>
      </c>
      <c r="H66" s="410" t="str">
        <f>IFERROR(__xludf.DUMMYFUNCTION("ArrayFormula(join(,unique(mid(F66,sequence(len(F66)),1))))"),"SRGmPDN")</f>
        <v>SRGmPDN</v>
      </c>
      <c r="I66" s="410">
        <f t="shared" si="1"/>
        <v>7</v>
      </c>
      <c r="J66" s="412" t="str">
        <f>IFERROR(__xludf.DUMMYFUNCTION("ArrayFormula(join(,unique(mid(G66,sequence(len(G66)),1))))"),"GRmSNP")</f>
        <v>GRmSNP</v>
      </c>
      <c r="K66" s="411">
        <f t="shared" si="2"/>
        <v>6</v>
      </c>
    </row>
    <row r="67">
      <c r="A67" s="406" t="s">
        <v>662</v>
      </c>
      <c r="B67" s="407" t="s">
        <v>632</v>
      </c>
      <c r="C67" s="222" t="s">
        <v>663</v>
      </c>
      <c r="D67" s="408" t="b">
        <f>IFERROR(__xludf.DUMMYFUNCTION("arrayformula(sum(--REGEXMATCH(H67,split(REGEXREPLACE(J67,""(.)"",""$1~""),""~""))))=len(J67)"),FALSE)</f>
        <v>0</v>
      </c>
      <c r="E67" s="409" t="s">
        <v>578</v>
      </c>
      <c r="F67" s="410" t="str">
        <f>IFERROR(__xludf.DUMMYFUNCTION("REGEXREPLACE(B67,""[^[:alpha:]]"", """")"),"SRGmMPDNS")</f>
        <v>SRGmMPDNS</v>
      </c>
      <c r="G67" s="411" t="str">
        <f>IFERROR(__xludf.DUMMYFUNCTION("REGEXREPLACE(C67,""[^[:alpha:]]"", """")"),"DSSDnPPMPRGmDPGmGPGGGGmGRSPPSGRRGGmPnDnPMPPRGmPGmRS")</f>
        <v>DSSDnPPMPRGmDPGmGPGGGGmGRSPPSGRRGGmPnDnPMPPRGmPGmRS</v>
      </c>
      <c r="H67" s="410" t="str">
        <f>IFERROR(__xludf.DUMMYFUNCTION("ArrayFormula(join(,unique(mid(F67,sequence(len(F67)),1))))"),"SRGmMPDN")</f>
        <v>SRGmMPDN</v>
      </c>
      <c r="I67" s="410">
        <f t="shared" si="1"/>
        <v>8</v>
      </c>
      <c r="J67" s="412" t="str">
        <f>IFERROR(__xludf.DUMMYFUNCTION("ArrayFormula(join(,unique(mid(G67,sequence(len(G67)),1))))"),"DSnPMRGm")</f>
        <v>DSnPMRGm</v>
      </c>
      <c r="K67" s="411">
        <f t="shared" si="2"/>
        <v>8</v>
      </c>
    </row>
    <row r="68">
      <c r="A68" s="416" t="s">
        <v>664</v>
      </c>
      <c r="B68" s="407" t="s">
        <v>665</v>
      </c>
      <c r="C68" s="222" t="s">
        <v>665</v>
      </c>
      <c r="D68" s="408" t="b">
        <f>IFERROR(__xludf.DUMMYFUNCTION("arrayformula(sum(--REGEXMATCH(H68,split(REGEXREPLACE(J68,""(.)"",""$1~""),""~""))))=len(J68)"),TRUE)</f>
        <v>1</v>
      </c>
      <c r="E68" s="409" t="s">
        <v>513</v>
      </c>
      <c r="F68" s="410" t="str">
        <f>IFERROR(__xludf.DUMMYFUNCTION("REGEXREPLACE(B68,""[^[:alpha:]]"", """")"),"SrRgGmMPdDnNS")</f>
        <v>SrRgGmMPdDnNS</v>
      </c>
      <c r="G68" s="411" t="str">
        <f>IFERROR(__xludf.DUMMYFUNCTION("REGEXREPLACE(C68,""[^[:alpha:]]"", """")"),"SrRgGmMPdDnNS")</f>
        <v>SrRgGmMPdDnNS</v>
      </c>
      <c r="H68" s="410" t="str">
        <f>IFERROR(__xludf.DUMMYFUNCTION("ArrayFormula(join(,unique(mid(F68,sequence(len(F68)),1))))"),"SrRgGmMPdDnN")</f>
        <v>SrRgGmMPdDnN</v>
      </c>
      <c r="I68" s="410">
        <f t="shared" si="1"/>
        <v>12</v>
      </c>
      <c r="J68" s="412" t="str">
        <f>IFERROR(__xludf.DUMMYFUNCTION("ArrayFormula(join(,unique(mid(G68,sequence(len(G68)),1))))"),"SrRgGmMPdDnN")</f>
        <v>SrRgGmMPdDnN</v>
      </c>
      <c r="K68" s="411">
        <f t="shared" si="2"/>
        <v>12</v>
      </c>
    </row>
    <row r="69">
      <c r="A69" s="406" t="s">
        <v>666</v>
      </c>
      <c r="B69" s="407" t="s">
        <v>554</v>
      </c>
      <c r="C69" s="222" t="s">
        <v>667</v>
      </c>
      <c r="D69" s="408" t="b">
        <f>IFERROR(__xludf.DUMMYFUNCTION("arrayformula(sum(--REGEXMATCH(H69,split(REGEXREPLACE(J69,""(.)"",""$1~""),""~""))))=len(J69)"),TRUE)</f>
        <v>1</v>
      </c>
      <c r="E69" s="409" t="s">
        <v>513</v>
      </c>
      <c r="F69" s="410" t="str">
        <f>IFERROR(__xludf.DUMMYFUNCTION("REGEXREPLACE(B69,""[^[:alpha:]]"", """")"),"SRGmPDNS")</f>
        <v>SRGmPDNS</v>
      </c>
      <c r="G69" s="411" t="str">
        <f>IFERROR(__xludf.DUMMYFUNCTION("REGEXREPLACE(C69,""[^[:alpha:]]"", """")"),"SmPPNSNSDPmmRSmRSGRNSmPNSDPmmRRNS")</f>
        <v>SmPPNSNSDPmmRSmRSGRNSmPNSDPmmRRNS</v>
      </c>
      <c r="H69" s="410" t="str">
        <f>IFERROR(__xludf.DUMMYFUNCTION("ArrayFormula(join(,unique(mid(F69,sequence(len(F69)),1))))"),"SRGmPDN")</f>
        <v>SRGmPDN</v>
      </c>
      <c r="I69" s="410">
        <f t="shared" si="1"/>
        <v>7</v>
      </c>
      <c r="J69" s="412" t="str">
        <f>IFERROR(__xludf.DUMMYFUNCTION("ArrayFormula(join(,unique(mid(G69,sequence(len(G69)),1))))"),"SmPNDRG")</f>
        <v>SmPNDRG</v>
      </c>
      <c r="K69" s="411">
        <f t="shared" si="2"/>
        <v>7</v>
      </c>
    </row>
    <row r="70">
      <c r="A70" s="406" t="s">
        <v>668</v>
      </c>
      <c r="B70" s="407" t="s">
        <v>603</v>
      </c>
      <c r="C70" s="222" t="s">
        <v>670</v>
      </c>
      <c r="D70" s="408" t="b">
        <f>IFERROR(__xludf.DUMMYFUNCTION("arrayformula(sum(--REGEXMATCH(H70,split(REGEXREPLACE(J70,""(.)"",""$1~""),""~""))))=len(J70)"),TRUE)</f>
        <v>1</v>
      </c>
      <c r="E70" s="409" t="s">
        <v>513</v>
      </c>
      <c r="F70" s="410" t="str">
        <f>IFERROR(__xludf.DUMMYFUNCTION("REGEXREPLACE(B70,""[^[:alpha:]]"", """")"),"SrGmPDNS")</f>
        <v>SrGmPDNS</v>
      </c>
      <c r="G70" s="411" t="str">
        <f>IFERROR(__xludf.DUMMYFUNCTION("REGEXREPLACE(C70,""[^[:alpha:]]"", """")"),"DSNDDNSDmGmGrrSrSS")</f>
        <v>DSNDDNSDmGmGrrSrSS</v>
      </c>
      <c r="H70" s="410" t="str">
        <f>IFERROR(__xludf.DUMMYFUNCTION("ArrayFormula(join(,unique(mid(F70,sequence(len(F70)),1))))"),"SrGmPDN")</f>
        <v>SrGmPDN</v>
      </c>
      <c r="I70" s="410">
        <f t="shared" si="1"/>
        <v>7</v>
      </c>
      <c r="J70" s="412" t="str">
        <f>IFERROR(__xludf.DUMMYFUNCTION("ArrayFormula(join(,unique(mid(G70,sequence(len(G70)),1))))"),"DSNmGr")</f>
        <v>DSNmGr</v>
      </c>
      <c r="K70" s="411">
        <f t="shared" si="2"/>
        <v>6</v>
      </c>
    </row>
    <row r="71">
      <c r="A71" s="413" t="s">
        <v>672</v>
      </c>
      <c r="B71" s="407" t="s">
        <v>405</v>
      </c>
      <c r="C71" s="222" t="s">
        <v>405</v>
      </c>
      <c r="D71" s="408" t="b">
        <f>IFERROR(__xludf.DUMMYFUNCTION("arrayformula(sum(--REGEXMATCH(H71,split(REGEXREPLACE(J71,""(.)"",""$1~""),""~""))))=len(J71)"),TRUE)</f>
        <v>1</v>
      </c>
      <c r="E71" s="409" t="s">
        <v>513</v>
      </c>
      <c r="F71" s="410" t="str">
        <f>IFERROR(__xludf.DUMMYFUNCTION("REGEXREPLACE(B71,""[^[:alpha:]]"", """")"),"SRgmPdnS")</f>
        <v>SRgmPdnS</v>
      </c>
      <c r="G71" s="411" t="str">
        <f>IFERROR(__xludf.DUMMYFUNCTION("REGEXREPLACE(C71,""[^[:alpha:]]"", """")"),"SRgmPdnS")</f>
        <v>SRgmPdnS</v>
      </c>
      <c r="H71" s="410" t="str">
        <f>IFERROR(__xludf.DUMMYFUNCTION("ArrayFormula(join(,unique(mid(F71,sequence(len(F71)),1))))"),"SRgmPdn")</f>
        <v>SRgmPdn</v>
      </c>
      <c r="I71" s="410">
        <f t="shared" si="1"/>
        <v>7</v>
      </c>
      <c r="J71" s="412" t="str">
        <f>IFERROR(__xludf.DUMMYFUNCTION("ArrayFormula(join(,unique(mid(G71,sequence(len(G71)),1))))"),"SRgmPdn")</f>
        <v>SRgmPdn</v>
      </c>
      <c r="K71" s="411">
        <f t="shared" si="2"/>
        <v>7</v>
      </c>
    </row>
    <row r="72">
      <c r="A72" s="406" t="s">
        <v>673</v>
      </c>
      <c r="B72" s="407" t="s">
        <v>595</v>
      </c>
      <c r="C72" s="222" t="s">
        <v>674</v>
      </c>
      <c r="D72" s="408" t="b">
        <f>IFERROR(__xludf.DUMMYFUNCTION("arrayformula(sum(--REGEXMATCH(H72,split(REGEXREPLACE(J72,""(.)"",""$1~""),""~""))))=len(J72)"),FALSE)</f>
        <v>0</v>
      </c>
      <c r="E72" s="409" t="s">
        <v>601</v>
      </c>
      <c r="F72" s="410" t="str">
        <f>IFERROR(__xludf.DUMMYFUNCTION("REGEXREPLACE(B72,""[^[:alpha:]]"", """")"),"SrgmPdnS")</f>
        <v>SrgmPdnS</v>
      </c>
      <c r="G72" s="411" t="str">
        <f>IFERROR(__xludf.DUMMYFUNCTION("REGEXREPLACE(C72,""[^[:alpha:]]"", """")"),"grSnSnnSrgrgSgrndnddSrmgrgrSSmmPmgmgmPPdPdPmgSmmPdPPdPndPmgmnPmgmggRgRgmgRgrSggrgrSrSnSndndP")</f>
        <v>grSnSnnSrgrgSgrndnddSrmgrgrSSmmPmgmgmPPdPdPmgSmmPdPPdPndPmgmnPmgmggRgRgmgRgrSggrgrSrSnSndndP</v>
      </c>
      <c r="H72" s="410" t="str">
        <f>IFERROR(__xludf.DUMMYFUNCTION("ArrayFormula(join(,unique(mid(F72,sequence(len(F72)),1))))"),"SrgmPdn")</f>
        <v>SrgmPdn</v>
      </c>
      <c r="I72" s="410">
        <f t="shared" si="1"/>
        <v>7</v>
      </c>
      <c r="J72" s="412" t="str">
        <f>IFERROR(__xludf.DUMMYFUNCTION("ArrayFormula(join(,unique(mid(G72,sequence(len(G72)),1))))"),"grSndmPR")</f>
        <v>grSndmPR</v>
      </c>
      <c r="K72" s="411">
        <f t="shared" si="2"/>
        <v>8</v>
      </c>
    </row>
    <row r="73">
      <c r="A73" s="406" t="s">
        <v>675</v>
      </c>
      <c r="B73" s="407" t="s">
        <v>676</v>
      </c>
      <c r="C73" s="222" t="s">
        <v>677</v>
      </c>
      <c r="D73" s="408" t="b">
        <f>IFERROR(__xludf.DUMMYFUNCTION("arrayformula(sum(--REGEXMATCH(H73,split(REGEXREPLACE(J73,""(.)"",""$1~""),""~""))))=len(J73)"),TRUE)</f>
        <v>1</v>
      </c>
      <c r="E73" s="409" t="s">
        <v>513</v>
      </c>
      <c r="F73" s="410" t="str">
        <f>IFERROR(__xludf.DUMMYFUNCTION("REGEXREPLACE(B73,""[^[:alpha:]]"", """")"),"SrgmDnS")</f>
        <v>SrgmDnS</v>
      </c>
      <c r="G73" s="411" t="str">
        <f>IFERROR(__xludf.DUMMYFUNCTION("REGEXREPLACE(C73,""[^[:alpha:]]"", """")"),"SrgmnDDnDDmgrSrgmnD")</f>
        <v>SrgmnDDnDDmgrSrgmnD</v>
      </c>
      <c r="H73" s="410" t="str">
        <f>IFERROR(__xludf.DUMMYFUNCTION("ArrayFormula(join(,unique(mid(F73,sequence(len(F73)),1))))"),"SrgmDn")</f>
        <v>SrgmDn</v>
      </c>
      <c r="I73" s="410">
        <f t="shared" si="1"/>
        <v>6</v>
      </c>
      <c r="J73" s="412" t="str">
        <f>IFERROR(__xludf.DUMMYFUNCTION("ArrayFormula(join(,unique(mid(G73,sequence(len(G73)),1))))"),"SrgmnD")</f>
        <v>SrgmnD</v>
      </c>
      <c r="K73" s="411">
        <f t="shared" si="2"/>
        <v>6</v>
      </c>
    </row>
    <row r="74">
      <c r="A74" s="406" t="s">
        <v>678</v>
      </c>
      <c r="B74" s="407" t="s">
        <v>530</v>
      </c>
      <c r="C74" s="222" t="s">
        <v>679</v>
      </c>
      <c r="D74" s="408" t="b">
        <f>IFERROR(__xludf.DUMMYFUNCTION("arrayformula(sum(--REGEXMATCH(H74,split(REGEXREPLACE(J74,""(.)"",""$1~""),""~""))))=len(J74)"),FALSE)</f>
        <v>0</v>
      </c>
      <c r="E74" s="409" t="s">
        <v>626</v>
      </c>
      <c r="F74" s="410" t="str">
        <f>IFERROR(__xludf.DUMMYFUNCTION("REGEXREPLACE(B74,""[^[:alpha:]]"", """")"),"SRGmPDnNS")</f>
        <v>SRGmPDnNS</v>
      </c>
      <c r="G74" s="411" t="str">
        <f>IFERROR(__xludf.DUMMYFUNCTION("REGEXREPLACE(C74,""[^[:alpha:]]"", """")"),"PdPSrSPGPGGrSPPSSSSrrSGrSrSPdPPGPGGrS")</f>
        <v>PdPSrSPGPGGrSPPSSSSrrSGrSrSPdPPGPGGrS</v>
      </c>
      <c r="H74" s="410" t="str">
        <f>IFERROR(__xludf.DUMMYFUNCTION("ArrayFormula(join(,unique(mid(F74,sequence(len(F74)),1))))"),"SRGmPDnN")</f>
        <v>SRGmPDnN</v>
      </c>
      <c r="I74" s="410">
        <f t="shared" si="1"/>
        <v>8</v>
      </c>
      <c r="J74" s="412" t="str">
        <f>IFERROR(__xludf.DUMMYFUNCTION("ArrayFormula(join(,unique(mid(G74,sequence(len(G74)),1))))"),"PdSrG")</f>
        <v>PdSrG</v>
      </c>
      <c r="K74" s="411">
        <f t="shared" si="2"/>
        <v>5</v>
      </c>
    </row>
    <row r="75">
      <c r="A75" s="406" t="s">
        <v>680</v>
      </c>
      <c r="B75" s="407" t="s">
        <v>530</v>
      </c>
      <c r="C75" s="222" t="s">
        <v>681</v>
      </c>
      <c r="D75" s="408" t="b">
        <f>IFERROR(__xludf.DUMMYFUNCTION("arrayformula(sum(--REGEXMATCH(H75,split(REGEXREPLACE(J75,""(.)"",""$1~""),""~""))))=len(J75)"),TRUE)</f>
        <v>1</v>
      </c>
      <c r="E75" s="409" t="s">
        <v>513</v>
      </c>
      <c r="F75" s="410" t="str">
        <f>IFERROR(__xludf.DUMMYFUNCTION("REGEXREPLACE(B75,""[^[:alpha:]]"", """")"),"SRGmPDnNS")</f>
        <v>SRGmPDnNS</v>
      </c>
      <c r="G75" s="411" t="str">
        <f>IFERROR(__xludf.DUMMYFUNCTION("REGEXREPLACE(C75,""[^[:alpha:]]"", """")"),"mRmSRmPnPSnDDPPDPmGmGRmRmSRmPnPSPNNSNSNSNNSRSnDP")</f>
        <v>mRmSRmPnPSnDDPPDPmGmGRmRmSRmPnPSPNNSNSNSNNSRSnDP</v>
      </c>
      <c r="H75" s="410" t="str">
        <f>IFERROR(__xludf.DUMMYFUNCTION("ArrayFormula(join(,unique(mid(F75,sequence(len(F75)),1))))"),"SRGmPDnN")</f>
        <v>SRGmPDnN</v>
      </c>
      <c r="I75" s="410">
        <f t="shared" si="1"/>
        <v>8</v>
      </c>
      <c r="J75" s="412" t="str">
        <f>IFERROR(__xludf.DUMMYFUNCTION("ArrayFormula(join(,unique(mid(G75,sequence(len(G75)),1))))"),"mRSPnDGN")</f>
        <v>mRSPnDGN</v>
      </c>
      <c r="K75" s="411">
        <f t="shared" si="2"/>
        <v>8</v>
      </c>
    </row>
    <row r="76">
      <c r="A76" s="413" t="s">
        <v>682</v>
      </c>
      <c r="B76" s="407" t="s">
        <v>530</v>
      </c>
      <c r="C76" s="222" t="s">
        <v>530</v>
      </c>
      <c r="D76" s="408" t="b">
        <f>IFERROR(__xludf.DUMMYFUNCTION("arrayformula(sum(--REGEXMATCH(H76,split(REGEXREPLACE(J76,""(.)"",""$1~""),""~""))))=len(J76)"),TRUE)</f>
        <v>1</v>
      </c>
      <c r="E76" s="409" t="s">
        <v>513</v>
      </c>
      <c r="F76" s="410" t="str">
        <f>IFERROR(__xludf.DUMMYFUNCTION("REGEXREPLACE(B76,""[^[:alpha:]]"", """")"),"SRGmPDnNS")</f>
        <v>SRGmPDnNS</v>
      </c>
      <c r="G76" s="411" t="str">
        <f>IFERROR(__xludf.DUMMYFUNCTION("REGEXREPLACE(C76,""[^[:alpha:]]"", """")"),"SRGmPDnNS")</f>
        <v>SRGmPDnNS</v>
      </c>
      <c r="H76" s="410" t="str">
        <f>IFERROR(__xludf.DUMMYFUNCTION("ArrayFormula(join(,unique(mid(F76,sequence(len(F76)),1))))"),"SRGmPDnN")</f>
        <v>SRGmPDnN</v>
      </c>
      <c r="I76" s="410">
        <f t="shared" si="1"/>
        <v>8</v>
      </c>
      <c r="J76" s="412" t="str">
        <f>IFERROR(__xludf.DUMMYFUNCTION("ArrayFormula(join(,unique(mid(G76,sequence(len(G76)),1))))"),"SRGmPDnN")</f>
        <v>SRGmPDnN</v>
      </c>
      <c r="K76" s="411">
        <f t="shared" si="2"/>
        <v>8</v>
      </c>
    </row>
    <row r="77">
      <c r="A77" s="406" t="s">
        <v>683</v>
      </c>
      <c r="B77" s="407" t="s">
        <v>619</v>
      </c>
      <c r="C77" s="222" t="s">
        <v>684</v>
      </c>
      <c r="D77" s="408" t="b">
        <f>IFERROR(__xludf.DUMMYFUNCTION("arrayformula(sum(--REGEXMATCH(H77,split(REGEXREPLACE(J77,""(.)"",""$1~""),""~""))))=len(J77)"),TRUE)</f>
        <v>1</v>
      </c>
      <c r="E77" s="409" t="s">
        <v>513</v>
      </c>
      <c r="F77" s="410" t="str">
        <f>IFERROR(__xludf.DUMMYFUNCTION("REGEXREPLACE(B77,""[^[:alpha:]]"", """")"),"SRGPDS")</f>
        <v>SRGPDS</v>
      </c>
      <c r="G77" s="411" t="str">
        <f>IFERROR(__xludf.DUMMYFUNCTION("REGEXREPLACE(C77,""[^[:alpha:]]"", """")"),"SSDDSDPDPPDPDPPGGPGPDPGPGGRSSSD")</f>
        <v>SSDDSDPDPPDPDPPGGPGPDPGPGGRSSSD</v>
      </c>
      <c r="H77" s="410" t="str">
        <f>IFERROR(__xludf.DUMMYFUNCTION("ArrayFormula(join(,unique(mid(F77,sequence(len(F77)),1))))"),"SRGPD")</f>
        <v>SRGPD</v>
      </c>
      <c r="I77" s="410">
        <f t="shared" si="1"/>
        <v>5</v>
      </c>
      <c r="J77" s="412" t="str">
        <f>IFERROR(__xludf.DUMMYFUNCTION("ArrayFormula(join(,unique(mid(G77,sequence(len(G77)),1))))"),"SDPGR")</f>
        <v>SDPGR</v>
      </c>
      <c r="K77" s="411">
        <f t="shared" si="2"/>
        <v>5</v>
      </c>
    </row>
    <row r="78">
      <c r="A78" s="406" t="s">
        <v>685</v>
      </c>
      <c r="B78" s="407" t="s">
        <v>561</v>
      </c>
      <c r="C78" s="222" t="s">
        <v>686</v>
      </c>
      <c r="D78" s="408" t="b">
        <f>IFERROR(__xludf.DUMMYFUNCTION("arrayformula(sum(--REGEXMATCH(H78,split(REGEXREPLACE(J78,""(.)"",""$1~""),""~""))))=len(J78)"),TRUE)</f>
        <v>1</v>
      </c>
      <c r="E78" s="409" t="s">
        <v>513</v>
      </c>
      <c r="F78" s="410" t="str">
        <f>IFERROR(__xludf.DUMMYFUNCTION("REGEXREPLACE(B78,""[^[:alpha:]]"", """")"),"SRgmPDnS")</f>
        <v>SRgmPDnS</v>
      </c>
      <c r="G78" s="411" t="str">
        <f>IFERROR(__xludf.DUMMYFUNCTION("REGEXREPLACE(C78,""[^[:alpha:]]"", """")"),"RSRSnSRmRPgRgRgRSRSRSRgSnSnSSRPmPmPDnPmPPmPmRgRSRSnSmmnPmPSnSnPPmPDnmPmRgRSRSnSRPgRgRgRSRSRSR")</f>
        <v>RSRSnSRmRPgRgRgRSRSRSRgSnSnSSRPmPmPDnPmPPmPmRgRSRSnSmmnPmPSnSnPPmPDnmPmRgRSRSnSRPgRgRgRSRSRSR</v>
      </c>
      <c r="H78" s="410" t="str">
        <f>IFERROR(__xludf.DUMMYFUNCTION("ArrayFormula(join(,unique(mid(F78,sequence(len(F78)),1))))"),"SRgmPDn")</f>
        <v>SRgmPDn</v>
      </c>
      <c r="I78" s="410">
        <f t="shared" si="1"/>
        <v>7</v>
      </c>
      <c r="J78" s="412" t="str">
        <f>IFERROR(__xludf.DUMMYFUNCTION("ArrayFormula(join(,unique(mid(G78,sequence(len(G78)),1))))"),"RSnmPgD")</f>
        <v>RSnmPgD</v>
      </c>
      <c r="K78" s="411">
        <f t="shared" si="2"/>
        <v>7</v>
      </c>
    </row>
    <row r="79">
      <c r="A79" s="406" t="s">
        <v>687</v>
      </c>
      <c r="B79" s="407" t="s">
        <v>688</v>
      </c>
      <c r="C79" s="222" t="s">
        <v>689</v>
      </c>
      <c r="D79" s="408" t="b">
        <f>IFERROR(__xludf.DUMMYFUNCTION("arrayformula(sum(--REGEXMATCH(H79,split(REGEXREPLACE(J79,""(.)"",""$1~""),""~""))))=len(J79)"),FALSE)</f>
        <v>0</v>
      </c>
      <c r="E79" s="409" t="s">
        <v>626</v>
      </c>
      <c r="F79" s="410" t="str">
        <f>IFERROR(__xludf.DUMMYFUNCTION("REGEXREPLACE(B79,""[^[:alpha:]]"", """")"),"SRgGmPdnS")</f>
        <v>SRgGmPdnS</v>
      </c>
      <c r="G79" s="411" t="str">
        <f>IFERROR(__xludf.DUMMYFUNCTION("REGEXREPLACE(C79,""[^[:alpha:]]"", """")"),"PDSRSRGmGmGGRmGRSSDSSRSRPmGRSPSRmgRSRSDSDPDSRSRGmGmG")</f>
        <v>PDSRSRGmGmGGRmGRSSDSSRSRPmGRSPSRmgRSRSDSDPDSRSRGmGmG</v>
      </c>
      <c r="H79" s="410" t="str">
        <f>IFERROR(__xludf.DUMMYFUNCTION("ArrayFormula(join(,unique(mid(F79,sequence(len(F79)),1))))"),"SRgGmPdn")</f>
        <v>SRgGmPdn</v>
      </c>
      <c r="I79" s="410">
        <f t="shared" si="1"/>
        <v>8</v>
      </c>
      <c r="J79" s="412" t="str">
        <f>IFERROR(__xludf.DUMMYFUNCTION("ArrayFormula(join(,unique(mid(G79,sequence(len(G79)),1))))"),"PDSRGmg")</f>
        <v>PDSRGmg</v>
      </c>
      <c r="K79" s="411">
        <f t="shared" si="2"/>
        <v>7</v>
      </c>
    </row>
    <row r="80">
      <c r="A80" s="406" t="s">
        <v>690</v>
      </c>
      <c r="B80" s="407" t="s">
        <v>691</v>
      </c>
      <c r="C80" s="222" t="s">
        <v>692</v>
      </c>
      <c r="D80" s="408" t="b">
        <f>IFERROR(__xludf.DUMMYFUNCTION("arrayformula(sum(--REGEXMATCH(H80,split(REGEXREPLACE(J80,""(.)"",""$1~""),""~""))))=len(J80)"),FALSE)</f>
        <v>0</v>
      </c>
      <c r="E80" s="409" t="s">
        <v>578</v>
      </c>
      <c r="F80" s="410" t="str">
        <f>IFERROR(__xludf.DUMMYFUNCTION("REGEXREPLACE(B80,""[^[:alpha:]]"", """")"),"SrgGmPdNS")</f>
        <v>SrgGmPdNS</v>
      </c>
      <c r="G80" s="411" t="str">
        <f>IFERROR(__xludf.DUMMYFUNCTION("REGEXREPLACE(C80,""[^[:alpha:]]"", """")"),"PmPmmGSmGmGPmPmgrSSNrSmgrSSrGmSPdNSSNrSSNrSndPPndPmGmmGPmmgrS")</f>
        <v>PmPmmGSmGmGPmPmgrSSNrSmgrSSrGmSPdNSSNrSSNrSndPPndPmGmmGPmmgrS</v>
      </c>
      <c r="H80" s="410" t="str">
        <f>IFERROR(__xludf.DUMMYFUNCTION("ArrayFormula(join(,unique(mid(F80,sequence(len(F80)),1))))"),"SrgGmPdN")</f>
        <v>SrgGmPdN</v>
      </c>
      <c r="I80" s="410">
        <f t="shared" si="1"/>
        <v>8</v>
      </c>
      <c r="J80" s="412" t="str">
        <f>IFERROR(__xludf.DUMMYFUNCTION("ArrayFormula(join(,unique(mid(G80,sequence(len(G80)),1))))"),"PmGSgrNdn")</f>
        <v>PmGSgrNdn</v>
      </c>
      <c r="K80" s="411">
        <f t="shared" si="2"/>
        <v>9</v>
      </c>
    </row>
    <row r="81">
      <c r="A81" s="406" t="s">
        <v>693</v>
      </c>
      <c r="B81" s="407" t="s">
        <v>245</v>
      </c>
      <c r="C81" s="222" t="s">
        <v>694</v>
      </c>
      <c r="D81" s="408" t="b">
        <f>IFERROR(__xludf.DUMMYFUNCTION("arrayformula(sum(--REGEXMATCH(H81,split(REGEXREPLACE(J81,""(.)"",""$1~""),""~""))))=len(J81)"),FALSE)</f>
        <v>0</v>
      </c>
      <c r="E81" s="409" t="s">
        <v>695</v>
      </c>
      <c r="F81" s="410" t="str">
        <f>IFERROR(__xludf.DUMMYFUNCTION("REGEXREPLACE(B81,""[^[:alpha:]]"", """")"),"SrRgGmPdnS")</f>
        <v>SrRgGmPdnS</v>
      </c>
      <c r="G81" s="411" t="str">
        <f>IFERROR(__xludf.DUMMYFUNCTION("REGEXREPLACE(C81,""[^[:alpha:]]"", """")"),"SRSnSRPmggrSSRNSRGmGmGmGndndnPPPnPnPmPmgmggrSnPPnSPDNSSPmmPSRGmmGmPmgmgrgrSSRgRSnSRPmggrgrS")</f>
        <v>SRSnSRPmggrSSRNSRGmGmGmGndndnPPPnPnPmPmgmggrSnPPnSPDNSSPmmPSRGmmGmPmgmgrgrSSRgRSnSRPmggrgrS</v>
      </c>
      <c r="H81" s="410" t="str">
        <f>IFERROR(__xludf.DUMMYFUNCTION("ArrayFormula(join(,unique(mid(F81,sequence(len(F81)),1))))"),"SrRgGmPdn")</f>
        <v>SrRgGmPdn</v>
      </c>
      <c r="I81" s="410">
        <f t="shared" si="1"/>
        <v>9</v>
      </c>
      <c r="J81" s="412" t="str">
        <f>IFERROR(__xludf.DUMMYFUNCTION("ArrayFormula(join(,unique(mid(G81,sequence(len(G81)),1))))"),"SRnPmgrNGdD")</f>
        <v>SRnPmgrNGdD</v>
      </c>
      <c r="K81" s="411">
        <f t="shared" si="2"/>
        <v>11</v>
      </c>
    </row>
    <row r="82">
      <c r="A82" s="406" t="s">
        <v>696</v>
      </c>
      <c r="B82" s="407" t="s">
        <v>530</v>
      </c>
      <c r="C82" s="222" t="s">
        <v>697</v>
      </c>
      <c r="D82" s="408" t="b">
        <f>IFERROR(__xludf.DUMMYFUNCTION("arrayformula(sum(--REGEXMATCH(H82,split(REGEXREPLACE(J82,""(.)"",""$1~""),""~""))))=len(J82)"),FALSE)</f>
        <v>0</v>
      </c>
      <c r="E82" s="409" t="s">
        <v>698</v>
      </c>
      <c r="F82" s="410" t="str">
        <f>IFERROR(__xludf.DUMMYFUNCTION("REGEXREPLACE(B82,""[^[:alpha:]]"", """")"),"SRGmPDnNS")</f>
        <v>SRGmPDnNS</v>
      </c>
      <c r="G82" s="411" t="str">
        <f>IFERROR(__xludf.DUMMYFUNCTION("REGEXREPLACE(C82,""[^[:alpha:]]"", """")"),"NDPGRGRSNRSNSSNSSRGRGGPmGmGRGmGRmGPMPMPMPGGmnDnPMPMPMPPmPDPmGmGRGRRGmGPGmPGGRSNRSNDNS")</f>
        <v>NDPGRGRSNRSNSSNSSRGRGGPmGmGRGmGRmGPMPMPMPGGmnDnPMPMPMPPmPDPmGmGRGRRGmGPGmPGGRSNRSNDNS</v>
      </c>
      <c r="H82" s="410" t="str">
        <f>IFERROR(__xludf.DUMMYFUNCTION("ArrayFormula(join(,unique(mid(F82,sequence(len(F82)),1))))"),"SRGmPDnN")</f>
        <v>SRGmPDnN</v>
      </c>
      <c r="I82" s="410">
        <f t="shared" si="1"/>
        <v>8</v>
      </c>
      <c r="J82" s="412" t="str">
        <f>IFERROR(__xludf.DUMMYFUNCTION("ArrayFormula(join(,unique(mid(G82,sequence(len(G82)),1))))"),"NDPGRSmMn")</f>
        <v>NDPGRSmMn</v>
      </c>
      <c r="K82" s="411">
        <f t="shared" si="2"/>
        <v>9</v>
      </c>
    </row>
    <row r="83">
      <c r="A83" s="406" t="s">
        <v>701</v>
      </c>
      <c r="B83" s="407" t="s">
        <v>702</v>
      </c>
      <c r="C83" s="222" t="s">
        <v>703</v>
      </c>
      <c r="D83" s="408" t="b">
        <f>IFERROR(__xludf.DUMMYFUNCTION("arrayformula(sum(--REGEXMATCH(H83,split(REGEXREPLACE(J83,""(.)"",""$1~""),""~""))))=len(J83)"),TRUE)</f>
        <v>1</v>
      </c>
      <c r="E83" s="409" t="s">
        <v>513</v>
      </c>
      <c r="F83" s="410" t="str">
        <f>IFERROR(__xludf.DUMMYFUNCTION("REGEXREPLACE(B83,""[^[:alpha:]]"", """")"),"SmPdNS")</f>
        <v>SmPdNS</v>
      </c>
      <c r="G83" s="411" t="str">
        <f>IFERROR(__xludf.DUMMYFUNCTION("REGEXREPLACE(C83,""[^[:alpha:]]"", """")"),"NdNSNSSmPmPmPmSNSmSPmPmdNdNdNdS")</f>
        <v>NdNSNSSmPmPmPmSNSmSPmPmdNdNdNdS</v>
      </c>
      <c r="H83" s="410" t="str">
        <f>IFERROR(__xludf.DUMMYFUNCTION("ArrayFormula(join(,unique(mid(F83,sequence(len(F83)),1))))"),"SmPdN")</f>
        <v>SmPdN</v>
      </c>
      <c r="I83" s="410">
        <f t="shared" si="1"/>
        <v>5</v>
      </c>
      <c r="J83" s="412" t="str">
        <f>IFERROR(__xludf.DUMMYFUNCTION("ArrayFormula(join(,unique(mid(G83,sequence(len(G83)),1))))"),"NdSmP")</f>
        <v>NdSmP</v>
      </c>
      <c r="K83" s="411">
        <f t="shared" si="2"/>
        <v>5</v>
      </c>
    </row>
    <row r="84">
      <c r="A84" s="406" t="s">
        <v>704</v>
      </c>
      <c r="B84" s="407" t="s">
        <v>705</v>
      </c>
      <c r="C84" s="222" t="s">
        <v>706</v>
      </c>
      <c r="D84" s="408" t="b">
        <f>IFERROR(__xludf.DUMMYFUNCTION("arrayformula(sum(--REGEXMATCH(H84,split(REGEXREPLACE(J84,""(.)"",""$1~""),""~""))))=len(J84)"),TRUE)</f>
        <v>1</v>
      </c>
      <c r="E84" s="409" t="s">
        <v>513</v>
      </c>
      <c r="F84" s="410" t="str">
        <f>IFERROR(__xludf.DUMMYFUNCTION("REGEXREPLACE(B84,""[^[:alpha:]]"", """")"),"SRMPnS")</f>
        <v>SRMPnS</v>
      </c>
      <c r="G84" s="411" t="str">
        <f>IFERROR(__xludf.DUMMYFUNCTION("REGEXREPLACE(C84,""[^[:alpha:]]"", """")"),"MRSRMPMMPSRMPSnPSnSSSnPMPMRSMRSR")</f>
        <v>MRSRMPMMPSRMPSnPSnSSSnPMPMRSMRSR</v>
      </c>
      <c r="H84" s="410" t="str">
        <f>IFERROR(__xludf.DUMMYFUNCTION("ArrayFormula(join(,unique(mid(F84,sequence(len(F84)),1))))"),"SRMPn")</f>
        <v>SRMPn</v>
      </c>
      <c r="I84" s="410">
        <f t="shared" si="1"/>
        <v>5</v>
      </c>
      <c r="J84" s="412" t="str">
        <f>IFERROR(__xludf.DUMMYFUNCTION("ArrayFormula(join(,unique(mid(G84,sequence(len(G84)),1))))"),"MRSPn")</f>
        <v>MRSPn</v>
      </c>
      <c r="K84" s="411">
        <f t="shared" si="2"/>
        <v>5</v>
      </c>
    </row>
    <row r="85">
      <c r="A85" s="406" t="s">
        <v>707</v>
      </c>
      <c r="B85" s="407" t="s">
        <v>561</v>
      </c>
      <c r="C85" s="222" t="s">
        <v>708</v>
      </c>
      <c r="D85" s="408" t="b">
        <f>IFERROR(__xludf.DUMMYFUNCTION("arrayformula(sum(--REGEXMATCH(H85,split(REGEXREPLACE(J85,""(.)"",""$1~""),""~""))))=len(J85)"),TRUE)</f>
        <v>1</v>
      </c>
      <c r="E85" s="409" t="s">
        <v>513</v>
      </c>
      <c r="F85" s="410" t="str">
        <f>IFERROR(__xludf.DUMMYFUNCTION("REGEXREPLACE(B85,""[^[:alpha:]]"", """")"),"SRgmPDnS")</f>
        <v>SRgmPDnS</v>
      </c>
      <c r="G85" s="411" t="str">
        <f>IFERROR(__xludf.DUMMYFUNCTION("REGEXREPLACE(C85,""[^[:alpha:]]"", """")"),"SSnnDDDnmPmnPmgmgmRRRnSmgPmnPSnSSSnnDDDnDnmmPmPnPSnSnDnnDnPP")</f>
        <v>SSnnDDDnmPmnPmgmgmRRRnSmgPmnPSnSSSnnDDDnDnmmPmPnPSnSnDnnDnPP</v>
      </c>
      <c r="H85" s="410" t="str">
        <f>IFERROR(__xludf.DUMMYFUNCTION("ArrayFormula(join(,unique(mid(F85,sequence(len(F85)),1))))"),"SRgmPDn")</f>
        <v>SRgmPDn</v>
      </c>
      <c r="I85" s="410">
        <f t="shared" si="1"/>
        <v>7</v>
      </c>
      <c r="J85" s="412" t="str">
        <f>IFERROR(__xludf.DUMMYFUNCTION("ArrayFormula(join(,unique(mid(G85,sequence(len(G85)),1))))"),"SnDmPgR")</f>
        <v>SnDmPgR</v>
      </c>
      <c r="K85" s="411">
        <f t="shared" si="2"/>
        <v>7</v>
      </c>
    </row>
    <row r="86">
      <c r="A86" s="406" t="s">
        <v>709</v>
      </c>
      <c r="B86" s="407" t="s">
        <v>710</v>
      </c>
      <c r="C86" s="222" t="s">
        <v>711</v>
      </c>
      <c r="D86" s="408" t="b">
        <f>IFERROR(__xludf.DUMMYFUNCTION("arrayformula(sum(--REGEXMATCH(H86,split(REGEXREPLACE(J86,""(.)"",""$1~""),""~""))))=len(J86)"),TRUE)</f>
        <v>1</v>
      </c>
      <c r="E86" s="409" t="s">
        <v>513</v>
      </c>
      <c r="F86" s="410" t="str">
        <f>IFERROR(__xludf.DUMMYFUNCTION("REGEXREPLACE(B86,""[^[:alpha:]]"", """")"),"SgmPnS")</f>
        <v>SgmPnS</v>
      </c>
      <c r="G86" s="411" t="str">
        <f>IFERROR(__xludf.DUMMYFUNCTION("REGEXREPLACE(C86,""[^[:alpha:]]"", """")"),"SnPnSggmPmgSnPSgSnSg")</f>
        <v>SnPnSggmPmgSnPSgSnSg</v>
      </c>
      <c r="H86" s="410" t="str">
        <f>IFERROR(__xludf.DUMMYFUNCTION("ArrayFormula(join(,unique(mid(F86,sequence(len(F86)),1))))"),"SgmPn")</f>
        <v>SgmPn</v>
      </c>
      <c r="I86" s="410">
        <f t="shared" si="1"/>
        <v>5</v>
      </c>
      <c r="J86" s="412" t="str">
        <f>IFERROR(__xludf.DUMMYFUNCTION("ArrayFormula(join(,unique(mid(G86,sequence(len(G86)),1))))"),"SnPgm")</f>
        <v>SnPgm</v>
      </c>
      <c r="K86" s="411">
        <f t="shared" si="2"/>
        <v>5</v>
      </c>
    </row>
    <row r="87">
      <c r="A87" s="406" t="s">
        <v>712</v>
      </c>
      <c r="B87" s="407" t="s">
        <v>713</v>
      </c>
      <c r="C87" s="222" t="s">
        <v>714</v>
      </c>
      <c r="D87" s="408" t="b">
        <f>IFERROR(__xludf.DUMMYFUNCTION("arrayformula(sum(--REGEXMATCH(H87,split(REGEXREPLACE(J87,""(.)"",""$1~""),""~""))))=len(J87)"),TRUE)</f>
        <v>1</v>
      </c>
      <c r="E87" s="409" t="s">
        <v>513</v>
      </c>
      <c r="F87" s="410" t="str">
        <f>IFERROR(__xludf.DUMMYFUNCTION("REGEXREPLACE(B87,""[^[:alpha:]]"", """")"),"SrGMPdDNS")</f>
        <v>SrGMPdDNS</v>
      </c>
      <c r="G87" s="411" t="str">
        <f>IFERROR(__xludf.DUMMYFUNCTION("REGEXREPLACE(C87,""[^[:alpha:]]"", """")"),"GDMMPMGGGPrGGPMPSNSGGrSGMPDPMPNSGGrSGMPMPPMPMMDMMPGMPrGrSNSGG")</f>
        <v>GDMMPMGGGPrGGPMPSNSGGrSGMPDPMPNSGGrSGMPMPPMPMMDMMPGMPrGrSNSGG</v>
      </c>
      <c r="H87" s="410" t="str">
        <f>IFERROR(__xludf.DUMMYFUNCTION("ArrayFormula(join(,unique(mid(F87,sequence(len(F87)),1))))"),"SrGMPdDN")</f>
        <v>SrGMPdDN</v>
      </c>
      <c r="I87" s="410">
        <f t="shared" si="1"/>
        <v>8</v>
      </c>
      <c r="J87" s="412" t="str">
        <f>IFERROR(__xludf.DUMMYFUNCTION("ArrayFormula(join(,unique(mid(G87,sequence(len(G87)),1))))"),"GDMPrSN")</f>
        <v>GDMPrSN</v>
      </c>
      <c r="K87" s="411">
        <f t="shared" si="2"/>
        <v>7</v>
      </c>
    </row>
    <row r="88">
      <c r="A88" s="406" t="s">
        <v>715</v>
      </c>
      <c r="B88" s="407" t="s">
        <v>716</v>
      </c>
      <c r="C88" s="222" t="s">
        <v>717</v>
      </c>
      <c r="D88" s="408" t="b">
        <f>IFERROR(__xludf.DUMMYFUNCTION("arrayformula(sum(--REGEXMATCH(H88,split(REGEXREPLACE(J88,""(.)"",""$1~""),""~""))))=len(J88)"),TRUE)</f>
        <v>1</v>
      </c>
      <c r="E88" s="409" t="s">
        <v>513</v>
      </c>
      <c r="F88" s="410" t="str">
        <f>IFERROR(__xludf.DUMMYFUNCTION("REGEXREPLACE(B88,""[^[:alpha:]]"", """")"),"SrGMdNS")</f>
        <v>SrGMdNS</v>
      </c>
      <c r="G88" s="411" t="str">
        <f>IFERROR(__xludf.DUMMYFUNCTION("REGEXREPLACE(C88,""[^[:alpha:]]"", """")"),"SSSSNSddMGMdMMGGSrSSSSSSNSdddMGMdMdMGMMGGrSSSSSNSdd")</f>
        <v>SSSSNSddMGMdMMGGSrSSSSSSNSdddMGMdMdMGMMGGrSSSSSNSdd</v>
      </c>
      <c r="H88" s="410" t="str">
        <f>IFERROR(__xludf.DUMMYFUNCTION("ArrayFormula(join(,unique(mid(F88,sequence(len(F88)),1))))"),"SrGMdN")</f>
        <v>SrGMdN</v>
      </c>
      <c r="I88" s="410">
        <f t="shared" si="1"/>
        <v>6</v>
      </c>
      <c r="J88" s="412" t="str">
        <f>IFERROR(__xludf.DUMMYFUNCTION("ArrayFormula(join(,unique(mid(G88,sequence(len(G88)),1))))"),"SNdMGr")</f>
        <v>SNdMGr</v>
      </c>
      <c r="K88" s="411">
        <f t="shared" si="2"/>
        <v>6</v>
      </c>
    </row>
    <row r="89">
      <c r="A89" s="413" t="s">
        <v>718</v>
      </c>
      <c r="B89" s="407" t="s">
        <v>719</v>
      </c>
      <c r="C89" s="222" t="s">
        <v>719</v>
      </c>
      <c r="D89" s="408" t="b">
        <f>IFERROR(__xludf.DUMMYFUNCTION("arrayformula(sum(--REGEXMATCH(H89,split(REGEXREPLACE(J89,""(.)"",""$1~""),""~""))))=len(J89)"),TRUE)</f>
        <v>1</v>
      </c>
      <c r="E89" s="409" t="s">
        <v>513</v>
      </c>
      <c r="F89" s="410" t="str">
        <f>IFERROR(__xludf.DUMMYFUNCTION("REGEXREPLACE(B89,""[^[:alpha:]]"", """")"),"SRmPDS")</f>
        <v>SRmPDS</v>
      </c>
      <c r="G89" s="411" t="str">
        <f>IFERROR(__xludf.DUMMYFUNCTION("REGEXREPLACE(C89,""[^[:alpha:]]"", """")"),"SRmPDS")</f>
        <v>SRmPDS</v>
      </c>
      <c r="H89" s="410" t="str">
        <f>IFERROR(__xludf.DUMMYFUNCTION("ArrayFormula(join(,unique(mid(F89,sequence(len(F89)),1))))"),"SRmPD")</f>
        <v>SRmPD</v>
      </c>
      <c r="I89" s="410">
        <f t="shared" si="1"/>
        <v>5</v>
      </c>
      <c r="J89" s="412" t="str">
        <f>IFERROR(__xludf.DUMMYFUNCTION("ArrayFormula(join(,unique(mid(G89,sequence(len(G89)),1))))"),"SRmPD")</f>
        <v>SRmPD</v>
      </c>
      <c r="K89" s="411">
        <f t="shared" si="2"/>
        <v>5</v>
      </c>
    </row>
    <row r="90">
      <c r="A90" s="406" t="s">
        <v>720</v>
      </c>
      <c r="B90" s="407" t="s">
        <v>721</v>
      </c>
      <c r="C90" s="222" t="s">
        <v>722</v>
      </c>
      <c r="D90" s="408" t="b">
        <f>IFERROR(__xludf.DUMMYFUNCTION("arrayformula(sum(--REGEXMATCH(H90,split(REGEXREPLACE(J90,""(.)"",""$1~""),""~""))))=len(J90)"),TRUE)</f>
        <v>1</v>
      </c>
      <c r="E90" s="409" t="s">
        <v>513</v>
      </c>
      <c r="F90" s="410" t="str">
        <f>IFERROR(__xludf.DUMMYFUNCTION("REGEXREPLACE(B90,""[^[:alpha:]]"", """")"),"SRmPDnS")</f>
        <v>SRmPDnS</v>
      </c>
      <c r="G90" s="411" t="str">
        <f>IFERROR(__xludf.DUMMYFUNCTION("REGEXREPLACE(C90,""[^[:alpha:]]"", """")"),"DnDPmPDSnDPmRnSDnDPmPDS")</f>
        <v>DnDPmPDSnDPmRnSDnDPmPDS</v>
      </c>
      <c r="H90" s="410" t="str">
        <f>IFERROR(__xludf.DUMMYFUNCTION("ArrayFormula(join(,unique(mid(F90,sequence(len(F90)),1))))"),"SRmPDn")</f>
        <v>SRmPDn</v>
      </c>
      <c r="I90" s="410">
        <f t="shared" si="1"/>
        <v>6</v>
      </c>
      <c r="J90" s="412" t="str">
        <f>IFERROR(__xludf.DUMMYFUNCTION("ArrayFormula(join(,unique(mid(G90,sequence(len(G90)),1))))"),"DnPmSR")</f>
        <v>DnPmSR</v>
      </c>
      <c r="K90" s="411">
        <f t="shared" si="2"/>
        <v>6</v>
      </c>
    </row>
    <row r="91">
      <c r="A91" s="406" t="s">
        <v>723</v>
      </c>
      <c r="B91" s="407" t="s">
        <v>724</v>
      </c>
      <c r="C91" s="222" t="s">
        <v>725</v>
      </c>
      <c r="D91" s="408" t="b">
        <f>IFERROR(__xludf.DUMMYFUNCTION("arrayformula(sum(--REGEXMATCH(H91,split(REGEXREPLACE(J91,""(.)"",""$1~""),""~""))))=len(J91)"),TRUE)</f>
        <v>1</v>
      </c>
      <c r="E91" s="409" t="s">
        <v>513</v>
      </c>
      <c r="F91" s="410" t="str">
        <f>IFERROR(__xludf.DUMMYFUNCTION("REGEXREPLACE(B91,""[^[:alpha:]]"", """")"),"SgGmdnNS")</f>
        <v>SgGmdnNS</v>
      </c>
      <c r="G91" s="411" t="str">
        <f>IFERROR(__xludf.DUMMYFUNCTION("REGEXREPLACE(C91,""[^[:alpha:]]"", """")"),"GGmgmSSNSNSndmndndSnSnSnSSSmgmmndgmdnSndmggmSmGgGmgSSNSndmndndSnSnSnS")</f>
        <v>GGmgmSSNSNSndmndndSnSnSnSSSmgmmndgmdnSndmggmSmGgGmgSSNSndmndndSnSnSnS</v>
      </c>
      <c r="H91" s="410" t="str">
        <f>IFERROR(__xludf.DUMMYFUNCTION("ArrayFormula(join(,unique(mid(F91,sequence(len(F91)),1))))"),"SgGmdnN")</f>
        <v>SgGmdnN</v>
      </c>
      <c r="I91" s="410">
        <f t="shared" si="1"/>
        <v>7</v>
      </c>
      <c r="J91" s="412" t="str">
        <f>IFERROR(__xludf.DUMMYFUNCTION("ArrayFormula(join(,unique(mid(G91,sequence(len(G91)),1))))"),"GmgSNnd")</f>
        <v>GmgSNnd</v>
      </c>
      <c r="K91" s="411">
        <f t="shared" si="2"/>
        <v>7</v>
      </c>
    </row>
    <row r="92">
      <c r="A92" s="406" t="s">
        <v>726</v>
      </c>
      <c r="B92" s="407" t="s">
        <v>727</v>
      </c>
      <c r="C92" s="222" t="s">
        <v>728</v>
      </c>
      <c r="D92" s="408" t="b">
        <f>IFERROR(__xludf.DUMMYFUNCTION("arrayformula(sum(--REGEXMATCH(H92,split(REGEXREPLACE(J92,""(.)"",""$1~""),""~""))))=len(J92)"),TRUE)</f>
        <v>1</v>
      </c>
      <c r="E92" s="409" t="s">
        <v>513</v>
      </c>
      <c r="F92" s="410" t="str">
        <f>IFERROR(__xludf.DUMMYFUNCTION("REGEXREPLACE(B92,""[^[:alpha:]]"", """")"),"SRgGmPdnNS")</f>
        <v>SRgGmPdnNS</v>
      </c>
      <c r="G92" s="411" t="str">
        <f>IFERROR(__xludf.DUMMYFUNCTION("REGEXREPLACE(C92,""[^[:alpha:]]"", """")"),"SRmgmRnRnSnndndPmPndNNSRSRGmgmRSSRmgmRSRdndndnd")</f>
        <v>SRmgmRnRnSnndndPmPndNNSRSRGmgmRSSRmgmRSRdndndnd</v>
      </c>
      <c r="H92" s="410" t="str">
        <f>IFERROR(__xludf.DUMMYFUNCTION("ArrayFormula(join(,unique(mid(F92,sequence(len(F92)),1))))"),"SRgGmPdnN")</f>
        <v>SRgGmPdnN</v>
      </c>
      <c r="I92" s="410">
        <f t="shared" si="1"/>
        <v>9</v>
      </c>
      <c r="J92" s="412" t="str">
        <f>IFERROR(__xludf.DUMMYFUNCTION("ArrayFormula(join(,unique(mid(G92,sequence(len(G92)),1))))"),"SRmgndPNG")</f>
        <v>SRmgndPNG</v>
      </c>
      <c r="K92" s="411">
        <f t="shared" si="2"/>
        <v>9</v>
      </c>
    </row>
    <row r="93">
      <c r="A93" s="406" t="s">
        <v>729</v>
      </c>
      <c r="B93" s="407" t="s">
        <v>554</v>
      </c>
      <c r="C93" s="222" t="s">
        <v>730</v>
      </c>
      <c r="D93" s="408" t="b">
        <f>IFERROR(__xludf.DUMMYFUNCTION("arrayformula(sum(--REGEXMATCH(H93,split(REGEXREPLACE(J93,""(.)"",""$1~""),""~""))))=len(J93)"),TRUE)</f>
        <v>1</v>
      </c>
      <c r="E93" s="409" t="s">
        <v>513</v>
      </c>
      <c r="F93" s="410" t="str">
        <f>IFERROR(__xludf.DUMMYFUNCTION("REGEXREPLACE(B93,""[^[:alpha:]]"", """")"),"SRGmPDNS")</f>
        <v>SRGmPDNS</v>
      </c>
      <c r="G93" s="411" t="str">
        <f>IFERROR(__xludf.DUMMYFUNCTION("REGEXREPLACE(C93,""[^[:alpha:]]"", """")"),"GSRPmGmmGmGPGGmGRSGRSSRSNNSGmGPSDPDPmGmPPNSGRSNNSDPPPDPDPmPmGGRGmGRSSGmPSNSNDNGSRPmGm")</f>
        <v>GSRPmGmmGmGPGGmGRSGRSSRSNNSGmGPSDPDPmGmPPNSGRSNNSDPPPDPDPmPmGGRGmGRSSGmPSNSNDNGSRPmGm</v>
      </c>
      <c r="H93" s="410" t="str">
        <f>IFERROR(__xludf.DUMMYFUNCTION("ArrayFormula(join(,unique(mid(F93,sequence(len(F93)),1))))"),"SRGmPDN")</f>
        <v>SRGmPDN</v>
      </c>
      <c r="I93" s="410">
        <f t="shared" si="1"/>
        <v>7</v>
      </c>
      <c r="J93" s="412" t="str">
        <f>IFERROR(__xludf.DUMMYFUNCTION("ArrayFormula(join(,unique(mid(G93,sequence(len(G93)),1))))"),"GSRPmND")</f>
        <v>GSRPmND</v>
      </c>
      <c r="K93" s="411">
        <f t="shared" si="2"/>
        <v>7</v>
      </c>
    </row>
    <row r="94">
      <c r="A94" s="406" t="s">
        <v>731</v>
      </c>
      <c r="B94" s="407" t="s">
        <v>559</v>
      </c>
      <c r="C94" s="222" t="s">
        <v>732</v>
      </c>
      <c r="D94" s="408" t="b">
        <f>IFERROR(__xludf.DUMMYFUNCTION("arrayformula(sum(--REGEXMATCH(H94,split(REGEXREPLACE(J94,""(.)"",""$1~""),""~""))))=len(J94)"),FALSE)</f>
        <v>0</v>
      </c>
      <c r="E94" s="409" t="s">
        <v>733</v>
      </c>
      <c r="F94" s="410" t="str">
        <f>IFERROR(__xludf.DUMMYFUNCTION("REGEXREPLACE(B94,""[^[:alpha:]]"", """")"),"SrRgmPdnS")</f>
        <v>SrRgmPdnS</v>
      </c>
      <c r="G94" s="411" t="str">
        <f>IFERROR(__xludf.DUMMYFUNCTION("REGEXREPLACE(C94,""[^[:alpha:]]"", """")"),"PdPSSSdPPdmGmPmPPdPSSSdPPdmGmPdmPPdPSSSdPPdmGmPmRmRmPmPdP")</f>
        <v>PdPSSSdPPdmGmPmPPdPSSSdPPdmGmPdmPPdPSSSdPPdmGmPmRmRmPmPdP</v>
      </c>
      <c r="H94" s="410" t="str">
        <f>IFERROR(__xludf.DUMMYFUNCTION("ArrayFormula(join(,unique(mid(F94,sequence(len(F94)),1))))"),"SrRgmPdn")</f>
        <v>SrRgmPdn</v>
      </c>
      <c r="I94" s="410">
        <f t="shared" si="1"/>
        <v>8</v>
      </c>
      <c r="J94" s="412" t="str">
        <f>IFERROR(__xludf.DUMMYFUNCTION("ArrayFormula(join(,unique(mid(G94,sequence(len(G94)),1))))"),"PdSmGR")</f>
        <v>PdSmGR</v>
      </c>
      <c r="K94" s="411">
        <f t="shared" si="2"/>
        <v>6</v>
      </c>
    </row>
    <row r="95">
      <c r="A95" s="406" t="s">
        <v>734</v>
      </c>
      <c r="B95" s="407" t="s">
        <v>735</v>
      </c>
      <c r="C95" s="222" t="s">
        <v>736</v>
      </c>
      <c r="D95" s="408" t="b">
        <f>IFERROR(__xludf.DUMMYFUNCTION("arrayformula(sum(--REGEXMATCH(H95,split(REGEXREPLACE(J95,""(.)"",""$1~""),""~""))))=len(J95)"),TRUE)</f>
        <v>1</v>
      </c>
      <c r="E95" s="409" t="s">
        <v>513</v>
      </c>
      <c r="F95" s="410" t="str">
        <f>IFERROR(__xludf.DUMMYFUNCTION("REGEXREPLACE(B95,""[^[:alpha:]]"", """")"),"SGmPdnS")</f>
        <v>SGmPdnS</v>
      </c>
      <c r="G95" s="411" t="str">
        <f>IFERROR(__xludf.DUMMYFUNCTION("REGEXREPLACE(C95,""[^[:alpha:]]"", """")"),"SGmmmmGSSnSdnnddnSGGmPmmGSSnSdn")</f>
        <v>SGmmmmGSSnSdnnddnSGGmPmmGSSnSdn</v>
      </c>
      <c r="H95" s="410" t="str">
        <f>IFERROR(__xludf.DUMMYFUNCTION("ArrayFormula(join(,unique(mid(F95,sequence(len(F95)),1))))"),"SGmPdn")</f>
        <v>SGmPdn</v>
      </c>
      <c r="I95" s="410">
        <f t="shared" si="1"/>
        <v>6</v>
      </c>
      <c r="J95" s="412" t="str">
        <f>IFERROR(__xludf.DUMMYFUNCTION("ArrayFormula(join(,unique(mid(G95,sequence(len(G95)),1))))"),"SGmndP")</f>
        <v>SGmndP</v>
      </c>
      <c r="K95" s="411">
        <f t="shared" si="2"/>
        <v>6</v>
      </c>
    </row>
    <row r="96">
      <c r="A96" s="406" t="s">
        <v>737</v>
      </c>
      <c r="B96" s="407" t="s">
        <v>738</v>
      </c>
      <c r="C96" s="222" t="s">
        <v>739</v>
      </c>
      <c r="D96" s="408" t="b">
        <f>IFERROR(__xludf.DUMMYFUNCTION("arrayformula(sum(--REGEXMATCH(H96,split(REGEXREPLACE(J96,""(.)"",""$1~""),""~""))))=len(J96)"),FALSE)</f>
        <v>0</v>
      </c>
      <c r="E96" s="409" t="s">
        <v>571</v>
      </c>
      <c r="F96" s="410" t="str">
        <f>IFERROR(__xludf.DUMMYFUNCTION("REGEXREPLACE(B96,""[^[:alpha:]]"", """")"),"SRGmPDnS")</f>
        <v>SRGmPDnS</v>
      </c>
      <c r="G96" s="411" t="str">
        <f>IFERROR(__xludf.DUMMYFUNCTION("REGEXREPLACE(C96,""[^[:alpha:]]"", """")"),"nSnSnDPDnnmPnSGGSnSGmgSnSGmgSnSGmPnSnSnSnS")</f>
        <v>nSnSnDPDnnmPnSGGSnSGmgSnSGmgSnSGmPnSnSnSnS</v>
      </c>
      <c r="H96" s="410" t="str">
        <f>IFERROR(__xludf.DUMMYFUNCTION("ArrayFormula(join(,unique(mid(F96,sequence(len(F96)),1))))"),"SRGmPDn")</f>
        <v>SRGmPDn</v>
      </c>
      <c r="I96" s="410">
        <f t="shared" si="1"/>
        <v>7</v>
      </c>
      <c r="J96" s="412" t="str">
        <f>IFERROR(__xludf.DUMMYFUNCTION("ArrayFormula(join(,unique(mid(G96,sequence(len(G96)),1))))"),"nSDPmGg")</f>
        <v>nSDPmGg</v>
      </c>
      <c r="K96" s="411">
        <f t="shared" si="2"/>
        <v>7</v>
      </c>
    </row>
    <row r="97">
      <c r="A97" s="406" t="s">
        <v>740</v>
      </c>
      <c r="B97" s="407" t="s">
        <v>741</v>
      </c>
      <c r="C97" s="222" t="s">
        <v>742</v>
      </c>
      <c r="D97" s="408" t="b">
        <f>IFERROR(__xludf.DUMMYFUNCTION("arrayformula(sum(--REGEXMATCH(H97,split(REGEXREPLACE(J97,""(.)"",""$1~""),""~""))))=len(J97)"),TRUE)</f>
        <v>1</v>
      </c>
      <c r="E97" s="409" t="s">
        <v>513</v>
      </c>
      <c r="F97" s="410" t="str">
        <f>IFERROR(__xludf.DUMMYFUNCTION("REGEXREPLACE(B97,""[^[:alpha:]]"", """")"),"SRgGmPDnNS")</f>
        <v>SRgGmPDnNS</v>
      </c>
      <c r="G97" s="411" t="str">
        <f>IFERROR(__xludf.DUMMYFUNCTION("REGEXREPLACE(C97,""[^[:alpha:]]"", """")"),"SNSNSmRRmgmgRgRSRSRSSRSnDPDPPDPDNSNNSNSNSRSnDnRRRRgRmgRSSNSmRmggRgRRSNSNNSNSmRRgRmgRgRSRSRSnDnDDPDPDNSNnDPDNSNS")</f>
        <v>SNSNSmRRmgmgRgRSRSRSSRSnDPDPPDPDNSNNSNSNSRSnDnRRRRgRmgRSSNSmRmggRgRRSNSNNSNSmRRgRmgRgRSRSRSnDnDDPDPDNSNnDPDNSNS</v>
      </c>
      <c r="H97" s="410" t="str">
        <f>IFERROR(__xludf.DUMMYFUNCTION("ArrayFormula(join(,unique(mid(F97,sequence(len(F97)),1))))"),"SRgGmPDnN")</f>
        <v>SRgGmPDnN</v>
      </c>
      <c r="I97" s="410">
        <f t="shared" si="1"/>
        <v>9</v>
      </c>
      <c r="J97" s="412" t="str">
        <f>IFERROR(__xludf.DUMMYFUNCTION("ArrayFormula(join(,unique(mid(G97,sequence(len(G97)),1))))"),"SNmRgnDP")</f>
        <v>SNmRgnDP</v>
      </c>
      <c r="K97" s="411">
        <f t="shared" si="2"/>
        <v>8</v>
      </c>
    </row>
    <row r="98">
      <c r="A98" s="406" t="s">
        <v>743</v>
      </c>
      <c r="B98" s="407" t="s">
        <v>530</v>
      </c>
      <c r="C98" s="222" t="s">
        <v>744</v>
      </c>
      <c r="D98" s="408" t="b">
        <f>IFERROR(__xludf.DUMMYFUNCTION("arrayformula(sum(--REGEXMATCH(H98,split(REGEXREPLACE(J98,""(.)"",""$1~""),""~""))))=len(J98)"),TRUE)</f>
        <v>1</v>
      </c>
      <c r="E98" s="409" t="s">
        <v>513</v>
      </c>
      <c r="F98" s="410" t="str">
        <f>IFERROR(__xludf.DUMMYFUNCTION("REGEXREPLACE(B98,""[^[:alpha:]]"", """")"),"SRGmPDnNS")</f>
        <v>SRGmPDnNS</v>
      </c>
      <c r="G98" s="411" t="str">
        <f>IFERROR(__xludf.DUMMYFUNCTION("REGEXREPLACE(C98,""[^[:alpha:]]"", """")"),"mPPDPDPmPDSNSSDPmRmmRSRNS")</f>
        <v>mPPDPDPmPDSNSSDPmRmmRSRNS</v>
      </c>
      <c r="H98" s="410" t="str">
        <f>IFERROR(__xludf.DUMMYFUNCTION("ArrayFormula(join(,unique(mid(F98,sequence(len(F98)),1))))"),"SRGmPDnN")</f>
        <v>SRGmPDnN</v>
      </c>
      <c r="I98" s="410">
        <f t="shared" si="1"/>
        <v>8</v>
      </c>
      <c r="J98" s="412" t="str">
        <f>IFERROR(__xludf.DUMMYFUNCTION("ArrayFormula(join(,unique(mid(G98,sequence(len(G98)),1))))"),"mPDSNR")</f>
        <v>mPDSNR</v>
      </c>
      <c r="K98" s="411">
        <f t="shared" si="2"/>
        <v>6</v>
      </c>
    </row>
    <row r="99">
      <c r="A99" s="406" t="s">
        <v>745</v>
      </c>
      <c r="B99" s="407" t="s">
        <v>632</v>
      </c>
      <c r="C99" s="222" t="s">
        <v>746</v>
      </c>
      <c r="D99" s="408" t="b">
        <f>IFERROR(__xludf.DUMMYFUNCTION("arrayformula(sum(--REGEXMATCH(H99,split(REGEXREPLACE(J99,""(.)"",""$1~""),""~""))))=len(J99)"),TRUE)</f>
        <v>1</v>
      </c>
      <c r="E99" s="409" t="s">
        <v>513</v>
      </c>
      <c r="F99" s="410" t="str">
        <f>IFERROR(__xludf.DUMMYFUNCTION("REGEXREPLACE(B99,""[^[:alpha:]]"", """")"),"SRGmMPDNS")</f>
        <v>SRGmMPDNS</v>
      </c>
      <c r="G99" s="411" t="str">
        <f>IFERROR(__xludf.DUMMYFUNCTION("REGEXREPLACE(C99,""[^[:alpha:]]"", """")"),"RSPMDPMPPMPMDPMPmGSNSNGmGmGRGmGRGRmGmGPmGPGPMP")</f>
        <v>RSPMDPMPPMPMDPMPmGSNSNGmGmGRGmGRGRmGmGPmGPGPMP</v>
      </c>
      <c r="H99" s="410" t="str">
        <f>IFERROR(__xludf.DUMMYFUNCTION("ArrayFormula(join(,unique(mid(F99,sequence(len(F99)),1))))"),"SRGmMPDN")</f>
        <v>SRGmMPDN</v>
      </c>
      <c r="I99" s="410">
        <f t="shared" si="1"/>
        <v>8</v>
      </c>
      <c r="J99" s="412" t="str">
        <f>IFERROR(__xludf.DUMMYFUNCTION("ArrayFormula(join(,unique(mid(G99,sequence(len(G99)),1))))"),"RSPMDmGN")</f>
        <v>RSPMDmGN</v>
      </c>
      <c r="K99" s="411">
        <f t="shared" si="2"/>
        <v>8</v>
      </c>
    </row>
    <row r="100">
      <c r="A100" s="406" t="s">
        <v>747</v>
      </c>
      <c r="B100" s="407" t="s">
        <v>748</v>
      </c>
      <c r="C100" s="222" t="s">
        <v>749</v>
      </c>
      <c r="D100" s="408" t="b">
        <f>IFERROR(__xludf.DUMMYFUNCTION("arrayformula(sum(--REGEXMATCH(H100,split(REGEXREPLACE(J100,""(.)"",""$1~""),""~""))))=len(J100)"),TRUE)</f>
        <v>1</v>
      </c>
      <c r="E100" s="409" t="s">
        <v>513</v>
      </c>
      <c r="F100" s="410" t="str">
        <f>IFERROR(__xludf.DUMMYFUNCTION("REGEXREPLACE(B100,""[^[:alpha:]]"", """")"),"SRgmPnS")</f>
        <v>SRgmPnS</v>
      </c>
      <c r="G100" s="411" t="str">
        <f>IFERROR(__xludf.DUMMYFUNCTION("REGEXREPLACE(C100,""[^[:alpha:]]"", """")"),"mRRSnnmmmmPPmPmgmgmmRSnSRRSnnmmmmPPnPmgmgmRRRSnnmmmmP")</f>
        <v>mRRSnnmmmmPPmPmgmgmmRSnSRRSnnmmmmPPnPmgmgmRRRSnnmmmmP</v>
      </c>
      <c r="H100" s="410" t="str">
        <f>IFERROR(__xludf.DUMMYFUNCTION("ArrayFormula(join(,unique(mid(F100,sequence(len(F100)),1))))"),"SRgmPn")</f>
        <v>SRgmPn</v>
      </c>
      <c r="I100" s="410">
        <f t="shared" si="1"/>
        <v>6</v>
      </c>
      <c r="J100" s="412" t="str">
        <f>IFERROR(__xludf.DUMMYFUNCTION("ArrayFormula(join(,unique(mid(G100,sequence(len(G100)),1))))"),"mRSnPg")</f>
        <v>mRSnPg</v>
      </c>
      <c r="K100" s="411">
        <f t="shared" si="2"/>
        <v>6</v>
      </c>
    </row>
    <row r="101">
      <c r="A101" s="406" t="s">
        <v>750</v>
      </c>
      <c r="B101" s="407" t="s">
        <v>591</v>
      </c>
      <c r="C101" s="222" t="s">
        <v>751</v>
      </c>
      <c r="D101" s="408" t="b">
        <f>IFERROR(__xludf.DUMMYFUNCTION("arrayformula(sum(--REGEXMATCH(H101,split(REGEXREPLACE(J101,""(.)"",""$1~""),""~""))))=len(J101)"),TRUE)</f>
        <v>1</v>
      </c>
      <c r="E101" s="409" t="s">
        <v>513</v>
      </c>
      <c r="F101" s="410" t="str">
        <f>IFERROR(__xludf.DUMMYFUNCTION("REGEXREPLACE(B101,""[^[:alpha:]]"", """")"),"SrGmPdNS")</f>
        <v>SrGmPdNS</v>
      </c>
      <c r="G101" s="411" t="str">
        <f>IFERROR(__xludf.DUMMYFUNCTION("REGEXREPLACE(C101,""[^[:alpha:]]"", """")"),"SGmGrPGrSSSNSNSNSdNSPGrSSNSSGmPGrGmGrSdNSGrS")</f>
        <v>SGmGrPGrSSSNSNSNSdNSPGrSSNSSGmPGrGmGrSdNSGrS</v>
      </c>
      <c r="H101" s="410" t="str">
        <f>IFERROR(__xludf.DUMMYFUNCTION("ArrayFormula(join(,unique(mid(F101,sequence(len(F101)),1))))"),"SrGmPdN")</f>
        <v>SrGmPdN</v>
      </c>
      <c r="I101" s="410">
        <f t="shared" si="1"/>
        <v>7</v>
      </c>
      <c r="J101" s="412" t="str">
        <f>IFERROR(__xludf.DUMMYFUNCTION("ArrayFormula(join(,unique(mid(G101,sequence(len(G101)),1))))"),"SGmrPNd")</f>
        <v>SGmrPNd</v>
      </c>
      <c r="K101" s="411">
        <f t="shared" si="2"/>
        <v>7</v>
      </c>
    </row>
    <row r="102">
      <c r="A102" s="406" t="s">
        <v>752</v>
      </c>
      <c r="B102" s="407" t="s">
        <v>339</v>
      </c>
      <c r="C102" s="222" t="s">
        <v>753</v>
      </c>
      <c r="D102" s="408" t="b">
        <f>IFERROR(__xludf.DUMMYFUNCTION("arrayformula(sum(--REGEXMATCH(H102,split(REGEXREPLACE(J102,""(.)"",""$1~""),""~""))))=len(J102)"),TRUE)</f>
        <v>1</v>
      </c>
      <c r="E102" s="409" t="s">
        <v>513</v>
      </c>
      <c r="F102" s="410" t="str">
        <f>IFERROR(__xludf.DUMMYFUNCTION("REGEXREPLACE(B102,""[^[:alpha:]]"", """")"),"SrGMPdNS")</f>
        <v>SrGMPdNS</v>
      </c>
      <c r="G102" s="411" t="str">
        <f>IFERROR(__xludf.DUMMYFUNCTION("REGEXREPLACE(C102,""[^[:alpha:]]"", """")"),"PPGPGrGrSPPGPGrGPPGPGrGGPddPPMPG")</f>
        <v>PPGPGrGrSPPGPGrGPPGPGrGGPddPPMPG</v>
      </c>
      <c r="H102" s="410" t="str">
        <f>IFERROR(__xludf.DUMMYFUNCTION("ArrayFormula(join(,unique(mid(F102,sequence(len(F102)),1))))"),"SrGMPdN")</f>
        <v>SrGMPdN</v>
      </c>
      <c r="I102" s="410">
        <f t="shared" si="1"/>
        <v>7</v>
      </c>
      <c r="J102" s="412" t="str">
        <f>IFERROR(__xludf.DUMMYFUNCTION("ArrayFormula(join(,unique(mid(G102,sequence(len(G102)),1))))"),"PGrSdM")</f>
        <v>PGrSdM</v>
      </c>
      <c r="K102" s="411">
        <f t="shared" si="2"/>
        <v>6</v>
      </c>
    </row>
    <row r="103">
      <c r="A103" s="406" t="s">
        <v>754</v>
      </c>
      <c r="B103" s="407" t="s">
        <v>755</v>
      </c>
      <c r="C103" s="222" t="s">
        <v>756</v>
      </c>
      <c r="D103" s="408" t="b">
        <f>IFERROR(__xludf.DUMMYFUNCTION("arrayformula(sum(--REGEXMATCH(H103,split(REGEXREPLACE(J103,""(.)"",""$1~""),""~""))))=len(J103)"),TRUE)</f>
        <v>1</v>
      </c>
      <c r="E103" s="409" t="s">
        <v>513</v>
      </c>
      <c r="F103" s="410" t="str">
        <f>IFERROR(__xludf.DUMMYFUNCTION("REGEXREPLACE(B103,""[^[:alpha:]]"", """")"),"SrRGmMPdnNS")</f>
        <v>SrRGmMPdnNS</v>
      </c>
      <c r="G103" s="411" t="str">
        <f>IFERROR(__xludf.DUMMYFUNCTION("REGEXREPLACE(C103,""[^[:alpha:]]"", """")"),"nddPPPMPPMGPMdPPPPMPPMGGGdMMGGrS")</f>
        <v>nddPPPMPPMGPMdPPPPMPPMGGGdMMGGrS</v>
      </c>
      <c r="H103" s="410" t="str">
        <f>IFERROR(__xludf.DUMMYFUNCTION("ArrayFormula(join(,unique(mid(F103,sequence(len(F103)),1))))"),"SrRGmMPdnN")</f>
        <v>SrRGmMPdnN</v>
      </c>
      <c r="I103" s="410">
        <f t="shared" si="1"/>
        <v>10</v>
      </c>
      <c r="J103" s="412" t="str">
        <f>IFERROR(__xludf.DUMMYFUNCTION("ArrayFormula(join(,unique(mid(G103,sequence(len(G103)),1))))"),"ndPMGrS")</f>
        <v>ndPMGrS</v>
      </c>
      <c r="K103" s="411">
        <f t="shared" si="2"/>
        <v>7</v>
      </c>
    </row>
    <row r="104">
      <c r="A104" s="406" t="s">
        <v>757</v>
      </c>
      <c r="B104" s="407" t="s">
        <v>671</v>
      </c>
      <c r="C104" s="222" t="s">
        <v>758</v>
      </c>
      <c r="D104" s="408" t="b">
        <f>IFERROR(__xludf.DUMMYFUNCTION("arrayformula(sum(--REGEXMATCH(H104,split(REGEXREPLACE(J104,""(.)"",""$1~""),""~""))))=len(J104)"),TRUE)</f>
        <v>1</v>
      </c>
      <c r="E104" s="409" t="s">
        <v>513</v>
      </c>
      <c r="F104" s="410" t="str">
        <f>IFERROR(__xludf.DUMMYFUNCTION("REGEXREPLACE(B104,""[^[:alpha:]]"", """")"),"SgmPdnS")</f>
        <v>SgmPdnS</v>
      </c>
      <c r="G104" s="411" t="str">
        <f>IFERROR(__xludf.DUMMYFUNCTION("REGEXREPLACE(C104,""[^[:alpha:]]"", """")"),"gmPPmgggmgSSgmPmddmmgmPPmgggPmgS")</f>
        <v>gmPPmgggmgSSgmPmddmmgmPPmgggPmgS</v>
      </c>
      <c r="H104" s="410" t="str">
        <f>IFERROR(__xludf.DUMMYFUNCTION("ArrayFormula(join(,unique(mid(F104,sequence(len(F104)),1))))"),"SgmPdn")</f>
        <v>SgmPdn</v>
      </c>
      <c r="I104" s="410">
        <f t="shared" si="1"/>
        <v>6</v>
      </c>
      <c r="J104" s="412" t="str">
        <f>IFERROR(__xludf.DUMMYFUNCTION("ArrayFormula(join(,unique(mid(G104,sequence(len(G104)),1))))"),"gmPSd")</f>
        <v>gmPSd</v>
      </c>
      <c r="K104" s="411">
        <f t="shared" si="2"/>
        <v>5</v>
      </c>
    </row>
    <row r="105">
      <c r="A105" s="413" t="s">
        <v>759</v>
      </c>
      <c r="B105" s="407" t="s">
        <v>721</v>
      </c>
      <c r="C105" s="222" t="s">
        <v>721</v>
      </c>
      <c r="D105" s="408" t="b">
        <f>IFERROR(__xludf.DUMMYFUNCTION("arrayformula(sum(--REGEXMATCH(H105,split(REGEXREPLACE(J105,""(.)"",""$1~""),""~""))))=len(J105)"),TRUE)</f>
        <v>1</v>
      </c>
      <c r="E105" s="409" t="s">
        <v>513</v>
      </c>
      <c r="F105" s="410" t="str">
        <f>IFERROR(__xludf.DUMMYFUNCTION("REGEXREPLACE(B105,""[^[:alpha:]]"", """")"),"SRmPDnS")</f>
        <v>SRmPDnS</v>
      </c>
      <c r="G105" s="411" t="str">
        <f>IFERROR(__xludf.DUMMYFUNCTION("REGEXREPLACE(C105,""[^[:alpha:]]"", """")"),"SRmPDnS")</f>
        <v>SRmPDnS</v>
      </c>
      <c r="H105" s="410" t="str">
        <f>IFERROR(__xludf.DUMMYFUNCTION("ArrayFormula(join(,unique(mid(F105,sequence(len(F105)),1))))"),"SRmPDn")</f>
        <v>SRmPDn</v>
      </c>
      <c r="I105" s="410">
        <f t="shared" si="1"/>
        <v>6</v>
      </c>
      <c r="J105" s="412" t="str">
        <f>IFERROR(__xludf.DUMMYFUNCTION("ArrayFormula(join(,unique(mid(G105,sequence(len(G105)),1))))"),"SRmPDn")</f>
        <v>SRmPDn</v>
      </c>
      <c r="K105" s="411">
        <f t="shared" si="2"/>
        <v>6</v>
      </c>
    </row>
    <row r="106">
      <c r="A106" s="406" t="s">
        <v>760</v>
      </c>
      <c r="B106" s="407" t="s">
        <v>761</v>
      </c>
      <c r="C106" s="222" t="s">
        <v>762</v>
      </c>
      <c r="D106" s="408" t="b">
        <f>IFERROR(__xludf.DUMMYFUNCTION("arrayformula(sum(--REGEXMATCH(H106,split(REGEXREPLACE(J106,""(.)"",""$1~""),""~""))))=len(J106)"),TRUE)</f>
        <v>1</v>
      </c>
      <c r="E106" s="409" t="s">
        <v>513</v>
      </c>
      <c r="F106" s="410" t="str">
        <f>IFERROR(__xludf.DUMMYFUNCTION("REGEXREPLACE(B106,""[^[:alpha:]]"", """")"),"SrgMdNS")</f>
        <v>SrgMdNS</v>
      </c>
      <c r="G106" s="411" t="str">
        <f>IFERROR(__xludf.DUMMYFUNCTION("REGEXREPLACE(C106,""[^[:alpha:]]"", """")"),"dSrgdMgrgrgrSNSdSrgd")</f>
        <v>dSrgdMgrgrgrSNSdSrgd</v>
      </c>
      <c r="H106" s="410" t="str">
        <f>IFERROR(__xludf.DUMMYFUNCTION("ArrayFormula(join(,unique(mid(F106,sequence(len(F106)),1))))"),"SrgMdN")</f>
        <v>SrgMdN</v>
      </c>
      <c r="I106" s="410">
        <f t="shared" si="1"/>
        <v>6</v>
      </c>
      <c r="J106" s="412" t="str">
        <f>IFERROR(__xludf.DUMMYFUNCTION("ArrayFormula(join(,unique(mid(G106,sequence(len(G106)),1))))"),"dSrgMN")</f>
        <v>dSrgMN</v>
      </c>
      <c r="K106" s="411">
        <f t="shared" si="2"/>
        <v>6</v>
      </c>
    </row>
    <row r="107">
      <c r="A107" s="406" t="s">
        <v>763</v>
      </c>
      <c r="B107" s="407" t="s">
        <v>764</v>
      </c>
      <c r="C107" s="222" t="s">
        <v>765</v>
      </c>
      <c r="D107" s="408" t="b">
        <f>IFERROR(__xludf.DUMMYFUNCTION("arrayformula(sum(--REGEXMATCH(H107,split(REGEXREPLACE(J107,""(.)"",""$1~""),""~""))))=len(J107)"),FALSE)</f>
        <v>0</v>
      </c>
      <c r="E107" s="409" t="s">
        <v>766</v>
      </c>
      <c r="F107" s="410" t="str">
        <f>IFERROR(__xludf.DUMMYFUNCTION("REGEXREPLACE(B107,""[^[:alpha:]]"", """")"),"SrmPdS")</f>
        <v>SrmPdS</v>
      </c>
      <c r="G107" s="411" t="str">
        <f>IFERROR(__xludf.DUMMYFUNCTION("REGEXREPLACE(C107,""[^[:alpha:]]"", """")"),"PdmPdPmmgrrSSPmPmmgrndnddSSS")</f>
        <v>PdmPdPmmgrrSSPmPmmgrndnddSSS</v>
      </c>
      <c r="H107" s="410" t="str">
        <f>IFERROR(__xludf.DUMMYFUNCTION("ArrayFormula(join(,unique(mid(F107,sequence(len(F107)),1))))"),"SrmPd")</f>
        <v>SrmPd</v>
      </c>
      <c r="I107" s="410">
        <f t="shared" si="1"/>
        <v>5</v>
      </c>
      <c r="J107" s="412" t="str">
        <f>IFERROR(__xludf.DUMMYFUNCTION("ArrayFormula(join(,unique(mid(G107,sequence(len(G107)),1))))"),"PdmgrSn")</f>
        <v>PdmgrSn</v>
      </c>
      <c r="K107" s="411">
        <f t="shared" si="2"/>
        <v>7</v>
      </c>
    </row>
    <row r="108">
      <c r="A108" s="406" t="s">
        <v>767</v>
      </c>
      <c r="B108" s="407" t="s">
        <v>688</v>
      </c>
      <c r="C108" s="222" t="s">
        <v>768</v>
      </c>
      <c r="D108" s="408" t="b">
        <f>IFERROR(__xludf.DUMMYFUNCTION("arrayformula(sum(--REGEXMATCH(H108,split(REGEXREPLACE(J108,""(.)"",""$1~""),""~""))))=len(J108)"),TRUE)</f>
        <v>1</v>
      </c>
      <c r="E108" s="409" t="s">
        <v>513</v>
      </c>
      <c r="F108" s="410" t="str">
        <f>IFERROR(__xludf.DUMMYFUNCTION("REGEXREPLACE(B108,""[^[:alpha:]]"", """")"),"SRgGmPdnS")</f>
        <v>SRgGmPdnS</v>
      </c>
      <c r="G108" s="411" t="str">
        <f>IFERROR(__xludf.DUMMYFUNCTION("REGEXREPLACE(C108,""[^[:alpha:]]"", """")"),"RSnSnSRSRGRGRGmGmGmGmPmgmgmgRRSRgmRSRSnSmgRSndnSnSnSnddnPPdSnSndnSdnSR")</f>
        <v>RSnSnSRSRGRGRGmGmGmGmPmgmgmgRRSRgmRSRSnSmgRSndnSnSnSnddnPPdSnSndnSdnSR</v>
      </c>
      <c r="H108" s="410" t="str">
        <f>IFERROR(__xludf.DUMMYFUNCTION("ArrayFormula(join(,unique(mid(F108,sequence(len(F108)),1))))"),"SRgGmPdn")</f>
        <v>SRgGmPdn</v>
      </c>
      <c r="I108" s="410">
        <f t="shared" si="1"/>
        <v>8</v>
      </c>
      <c r="J108" s="412" t="str">
        <f>IFERROR(__xludf.DUMMYFUNCTION("ArrayFormula(join(,unique(mid(G108,sequence(len(G108)),1))))"),"RSnGmPgd")</f>
        <v>RSnGmPgd</v>
      </c>
      <c r="K108" s="411">
        <f t="shared" si="2"/>
        <v>8</v>
      </c>
    </row>
    <row r="109">
      <c r="A109" s="406" t="s">
        <v>769</v>
      </c>
      <c r="B109" s="407" t="s">
        <v>764</v>
      </c>
      <c r="C109" s="222" t="s">
        <v>770</v>
      </c>
      <c r="D109" s="408" t="b">
        <f>IFERROR(__xludf.DUMMYFUNCTION("arrayformula(sum(--REGEXMATCH(H109,split(REGEXREPLACE(J109,""(.)"",""$1~""),""~""))))=len(J109)"),TRUE)</f>
        <v>1</v>
      </c>
      <c r="E109" s="409" t="s">
        <v>513</v>
      </c>
      <c r="F109" s="410" t="str">
        <f>IFERROR(__xludf.DUMMYFUNCTION("REGEXREPLACE(B109,""[^[:alpha:]]"", """")"),"SrmPdS")</f>
        <v>SrmPdS</v>
      </c>
      <c r="G109" s="411" t="str">
        <f>IFERROR(__xludf.DUMMYFUNCTION("REGEXREPLACE(C109,""[^[:alpha:]]"", """")"),"dPmPmrrSrSPPSddPdPmPmrmrSPmrmrSrSdSdSrrSSPmPmmrrrSSddrSSPmmPdPdmPddPddPddPm")</f>
        <v>dPmPmrrSrSPPSddPdPmPmrmrSPmrmrSrSdSdSrrSSPmPmmrrrSSddrSSPmmPdPdmPddPddPddPm</v>
      </c>
      <c r="H109" s="410" t="str">
        <f>IFERROR(__xludf.DUMMYFUNCTION("ArrayFormula(join(,unique(mid(F109,sequence(len(F109)),1))))"),"SrmPd")</f>
        <v>SrmPd</v>
      </c>
      <c r="I109" s="410">
        <f t="shared" si="1"/>
        <v>5</v>
      </c>
      <c r="J109" s="412" t="str">
        <f>IFERROR(__xludf.DUMMYFUNCTION("ArrayFormula(join(,unique(mid(G109,sequence(len(G109)),1))))"),"dPmrS")</f>
        <v>dPmrS</v>
      </c>
      <c r="K109" s="411">
        <f t="shared" si="2"/>
        <v>5</v>
      </c>
    </row>
    <row r="110">
      <c r="A110" s="406" t="s">
        <v>771</v>
      </c>
      <c r="B110" s="407" t="s">
        <v>632</v>
      </c>
      <c r="C110" s="222" t="s">
        <v>772</v>
      </c>
      <c r="D110" s="408" t="b">
        <f>IFERROR(__xludf.DUMMYFUNCTION("arrayformula(sum(--REGEXMATCH(H110,split(REGEXREPLACE(J110,""(.)"",""$1~""),""~""))))=len(J110)"),TRUE)</f>
        <v>1</v>
      </c>
      <c r="E110" s="409" t="s">
        <v>513</v>
      </c>
      <c r="F110" s="410" t="str">
        <f>IFERROR(__xludf.DUMMYFUNCTION("REGEXREPLACE(B110,""[^[:alpha:]]"", """")"),"SRGmMPDNS")</f>
        <v>SRGmMPDNS</v>
      </c>
      <c r="G110" s="411" t="str">
        <f>IFERROR(__xludf.DUMMYFUNCTION("REGEXREPLACE(C110,""[^[:alpha:]]"", """")"),"PMPDPMPGRRGmNDNDPPMPPSNSNSNSDPMPPGRRGmDPMPPGmRSPMPDPMPGRRGmND")</f>
        <v>PMPDPMPGRRGmNDNDPPMPPSNSNSNSDPMPPGRRGmDPMPPGmRSPMPDPMPGRRGmND</v>
      </c>
      <c r="H110" s="410" t="str">
        <f>IFERROR(__xludf.DUMMYFUNCTION("ArrayFormula(join(,unique(mid(F110,sequence(len(F110)),1))))"),"SRGmMPDN")</f>
        <v>SRGmMPDN</v>
      </c>
      <c r="I110" s="410">
        <f t="shared" si="1"/>
        <v>8</v>
      </c>
      <c r="J110" s="412" t="str">
        <f>IFERROR(__xludf.DUMMYFUNCTION("ArrayFormula(join(,unique(mid(G110,sequence(len(G110)),1))))"),"PMDGRmNS")</f>
        <v>PMDGRmNS</v>
      </c>
      <c r="K110" s="411">
        <f t="shared" si="2"/>
        <v>8</v>
      </c>
    </row>
    <row r="111">
      <c r="A111" s="406" t="s">
        <v>773</v>
      </c>
      <c r="B111" s="407" t="s">
        <v>774</v>
      </c>
      <c r="C111" s="222" t="s">
        <v>775</v>
      </c>
      <c r="D111" s="408" t="b">
        <f>IFERROR(__xludf.DUMMYFUNCTION("arrayformula(sum(--REGEXMATCH(H111,split(REGEXREPLACE(J111,""(.)"",""$1~""),""~""))))=len(J111)"),TRUE)</f>
        <v>1</v>
      </c>
      <c r="E111" s="409" t="s">
        <v>513</v>
      </c>
      <c r="F111" s="410" t="str">
        <f>IFERROR(__xludf.DUMMYFUNCTION("REGEXREPLACE(B111,""[^[:alpha:]]"", """")"),"SrGMPNS")</f>
        <v>SrGMPNS</v>
      </c>
      <c r="G111" s="411" t="str">
        <f>IFERROR(__xludf.DUMMYFUNCTION("REGEXREPLACE(C111,""[^[:alpha:]]"", """")"),"SPMGMPMGrSSPPSSNSrSSrGrS")</f>
        <v>SPMGMPMGrSSPPSSNSrSSrGrS</v>
      </c>
      <c r="H111" s="410" t="str">
        <f>IFERROR(__xludf.DUMMYFUNCTION("ArrayFormula(join(,unique(mid(F111,sequence(len(F111)),1))))"),"SrGMPN")</f>
        <v>SrGMPN</v>
      </c>
      <c r="I111" s="410">
        <f t="shared" si="1"/>
        <v>6</v>
      </c>
      <c r="J111" s="412" t="str">
        <f>IFERROR(__xludf.DUMMYFUNCTION("ArrayFormula(join(,unique(mid(G111,sequence(len(G111)),1))))"),"SPMGrN")</f>
        <v>SPMGrN</v>
      </c>
      <c r="K111" s="411">
        <f t="shared" si="2"/>
        <v>6</v>
      </c>
    </row>
    <row r="112">
      <c r="A112" s="406" t="s">
        <v>776</v>
      </c>
      <c r="B112" s="407" t="s">
        <v>777</v>
      </c>
      <c r="C112" s="222" t="s">
        <v>778</v>
      </c>
      <c r="D112" s="408" t="b">
        <f>IFERROR(__xludf.DUMMYFUNCTION("arrayformula(sum(--REGEXMATCH(H112,split(REGEXREPLACE(J112,""(.)"",""$1~""),""~""))))=len(J112)"),TRUE)</f>
        <v>1</v>
      </c>
      <c r="E112" s="409" t="s">
        <v>513</v>
      </c>
      <c r="F112" s="410" t="str">
        <f>IFERROR(__xludf.DUMMYFUNCTION("REGEXREPLACE(B112,""[^[:alpha:]]"", """")"),"SRGPNS")</f>
        <v>SRGPNS</v>
      </c>
      <c r="G112" s="411" t="str">
        <f>IFERROR(__xludf.DUMMYFUNCTION("REGEXREPLACE(C112,""[^[:alpha:]]"", """")"),"NPSNSNPSNSPGSNRSNNPSNSNSNSSNPGPNRSNPSNGRNRSNPGPGPSNRSPSPGS")</f>
        <v>NPSNSNPSNSPGSNRSNNPSNSNSNSSNPGPNRSNPSNGRNRSNPGPGPSNRSPSPGS</v>
      </c>
      <c r="H112" s="410" t="str">
        <f>IFERROR(__xludf.DUMMYFUNCTION("ArrayFormula(join(,unique(mid(F112,sequence(len(F112)),1))))"),"SRGPN")</f>
        <v>SRGPN</v>
      </c>
      <c r="I112" s="410">
        <f t="shared" si="1"/>
        <v>5</v>
      </c>
      <c r="J112" s="412" t="str">
        <f>IFERROR(__xludf.DUMMYFUNCTION("ArrayFormula(join(,unique(mid(G112,sequence(len(G112)),1))))"),"NPSGR")</f>
        <v>NPSGR</v>
      </c>
      <c r="K112" s="411">
        <f t="shared" si="2"/>
        <v>5</v>
      </c>
    </row>
    <row r="113">
      <c r="A113" s="406" t="s">
        <v>779</v>
      </c>
      <c r="B113" s="407" t="s">
        <v>741</v>
      </c>
      <c r="C113" s="222" t="s">
        <v>780</v>
      </c>
      <c r="D113" s="408" t="b">
        <f>IFERROR(__xludf.DUMMYFUNCTION("arrayformula(sum(--REGEXMATCH(H113,split(REGEXREPLACE(J113,""(.)"",""$1~""),""~""))))=len(J113)"),TRUE)</f>
        <v>1</v>
      </c>
      <c r="E113" s="409" t="s">
        <v>513</v>
      </c>
      <c r="F113" s="410" t="str">
        <f>IFERROR(__xludf.DUMMYFUNCTION("REGEXREPLACE(B113,""[^[:alpha:]]"", """")"),"SRgGmPDnNS")</f>
        <v>SRgGmPDnNS</v>
      </c>
      <c r="G113" s="411" t="str">
        <f>IFERROR(__xludf.DUMMYFUNCTION("REGEXREPLACE(C113,""[^[:alpha:]]"", """")"),"PPnnDnPPSGmPmgRRSnS")</f>
        <v>PPnnDnPPSGmPmgRRSnS</v>
      </c>
      <c r="H113" s="410" t="str">
        <f>IFERROR(__xludf.DUMMYFUNCTION("ArrayFormula(join(,unique(mid(F113,sequence(len(F113)),1))))"),"SRgGmPDnN")</f>
        <v>SRgGmPDnN</v>
      </c>
      <c r="I113" s="410">
        <f t="shared" si="1"/>
        <v>9</v>
      </c>
      <c r="J113" s="412" t="str">
        <f>IFERROR(__xludf.DUMMYFUNCTION("ArrayFormula(join(,unique(mid(G113,sequence(len(G113)),1))))"),"PnDSGmgR")</f>
        <v>PnDSGmgR</v>
      </c>
      <c r="K113" s="411">
        <f t="shared" si="2"/>
        <v>8</v>
      </c>
    </row>
    <row r="114">
      <c r="A114" s="406" t="s">
        <v>781</v>
      </c>
      <c r="B114" s="407" t="s">
        <v>782</v>
      </c>
      <c r="C114" s="222" t="s">
        <v>783</v>
      </c>
      <c r="D114" s="408" t="b">
        <f>IFERROR(__xludf.DUMMYFUNCTION("arrayformula(sum(--REGEXMATCH(H114,split(REGEXREPLACE(J114,""(.)"",""$1~""),""~""))))=len(J114)"),TRUE)</f>
        <v>1</v>
      </c>
      <c r="E114" s="409" t="s">
        <v>513</v>
      </c>
      <c r="F114" s="410" t="str">
        <f>IFERROR(__xludf.DUMMYFUNCTION("REGEXREPLACE(B114,""[^[:alpha:]]"", """")"),"SgMDnS")</f>
        <v>SgMDnS</v>
      </c>
      <c r="G114" s="411" t="str">
        <f>IFERROR(__xludf.DUMMYFUNCTION("REGEXREPLACE(C114,""[^[:alpha:]]"", """")"),"MMgSDnDnDMDnSgSMMgSDnDnDSngMDnD")</f>
        <v>MMgSDnDnDMDnSgSMMgSDnDnDSngMDnD</v>
      </c>
      <c r="H114" s="410" t="str">
        <f>IFERROR(__xludf.DUMMYFUNCTION("ArrayFormula(join(,unique(mid(F114,sequence(len(F114)),1))))"),"SgMDn")</f>
        <v>SgMDn</v>
      </c>
      <c r="I114" s="410">
        <f t="shared" si="1"/>
        <v>5</v>
      </c>
      <c r="J114" s="412" t="str">
        <f>IFERROR(__xludf.DUMMYFUNCTION("ArrayFormula(join(,unique(mid(G114,sequence(len(G114)),1))))"),"MgSDn")</f>
        <v>MgSDn</v>
      </c>
      <c r="K114" s="411">
        <f t="shared" si="2"/>
        <v>5</v>
      </c>
    </row>
    <row r="115">
      <c r="A115" s="406" t="s">
        <v>784</v>
      </c>
      <c r="B115" s="407" t="s">
        <v>554</v>
      </c>
      <c r="C115" s="222" t="s">
        <v>785</v>
      </c>
      <c r="D115" s="408" t="b">
        <f>IFERROR(__xludf.DUMMYFUNCTION("arrayformula(sum(--REGEXMATCH(H115,split(REGEXREPLACE(J115,""(.)"",""$1~""),""~""))))=len(J115)"),TRUE)</f>
        <v>1</v>
      </c>
      <c r="E115" s="409" t="s">
        <v>513</v>
      </c>
      <c r="F115" s="410" t="str">
        <f>IFERROR(__xludf.DUMMYFUNCTION("REGEXREPLACE(B115,""[^[:alpha:]]"", """")"),"SRGmPDNS")</f>
        <v>SRGmPDNS</v>
      </c>
      <c r="G115" s="411" t="str">
        <f>IFERROR(__xludf.DUMMYFUNCTION("REGEXREPLACE(C115,""[^[:alpha:]]"", """")"),"GmPNNNNNDDPGmmmPmPmPDPmmGmGGDmPNNNSNNPNPSSNSSNRSSNRSSNSNNNSGGGmmPGGGmGRRSSNSGR")</f>
        <v>GmPNNNNNDDPGmmmPmPmPDPmmGmGGDmPNNNSNNPNPSSNSSNRSSNRSSNSNNNSGGGmmPGGGmGRRSSNSGR</v>
      </c>
      <c r="H115" s="410" t="str">
        <f>IFERROR(__xludf.DUMMYFUNCTION("ArrayFormula(join(,unique(mid(F115,sequence(len(F115)),1))))"),"SRGmPDN")</f>
        <v>SRGmPDN</v>
      </c>
      <c r="I115" s="410">
        <f t="shared" si="1"/>
        <v>7</v>
      </c>
      <c r="J115" s="412" t="str">
        <f>IFERROR(__xludf.DUMMYFUNCTION("ArrayFormula(join(,unique(mid(G115,sequence(len(G115)),1))))"),"GmPNDSR")</f>
        <v>GmPNDSR</v>
      </c>
      <c r="K115" s="411">
        <f t="shared" si="2"/>
        <v>7</v>
      </c>
    </row>
    <row r="116">
      <c r="A116" s="406" t="s">
        <v>786</v>
      </c>
      <c r="B116" s="407" t="s">
        <v>554</v>
      </c>
      <c r="C116" s="222" t="s">
        <v>787</v>
      </c>
      <c r="D116" s="408" t="b">
        <f>IFERROR(__xludf.DUMMYFUNCTION("arrayformula(sum(--REGEXMATCH(H116,split(REGEXREPLACE(J116,""(.)"",""$1~""),""~""))))=len(J116)"),TRUE)</f>
        <v>1</v>
      </c>
      <c r="E116" s="409" t="s">
        <v>513</v>
      </c>
      <c r="F116" s="410" t="str">
        <f>IFERROR(__xludf.DUMMYFUNCTION("REGEXREPLACE(B116,""[^[:alpha:]]"", """")"),"SRGmPDNS")</f>
        <v>SRGmPDNS</v>
      </c>
      <c r="G116" s="411" t="str">
        <f>IFERROR(__xludf.DUMMYFUNCTION("REGEXREPLACE(C116,""[^[:alpha:]]"", """")"),"NSDNSGGRSNSDNSGmmmPNDDDDNNNNDDDNDNNSSSSS")</f>
        <v>NSDNSGGRSNSDNSGmmmPNDDDDNNNNDDDNDNNSSSSS</v>
      </c>
      <c r="H116" s="410" t="str">
        <f>IFERROR(__xludf.DUMMYFUNCTION("ArrayFormula(join(,unique(mid(F116,sequence(len(F116)),1))))"),"SRGmPDN")</f>
        <v>SRGmPDN</v>
      </c>
      <c r="I116" s="410">
        <f t="shared" si="1"/>
        <v>7</v>
      </c>
      <c r="J116" s="412" t="str">
        <f>IFERROR(__xludf.DUMMYFUNCTION("ArrayFormula(join(,unique(mid(G116,sequence(len(G116)),1))))"),"NSDGRmP")</f>
        <v>NSDGRmP</v>
      </c>
      <c r="K116" s="411">
        <f t="shared" si="2"/>
        <v>7</v>
      </c>
    </row>
    <row r="117">
      <c r="A117" s="406" t="s">
        <v>461</v>
      </c>
      <c r="B117" s="407" t="s">
        <v>462</v>
      </c>
      <c r="C117" s="222" t="s">
        <v>789</v>
      </c>
      <c r="D117" s="408" t="b">
        <f>IFERROR(__xludf.DUMMYFUNCTION("arrayformula(sum(--REGEXMATCH(H117,split(REGEXREPLACE(J117,""(.)"",""$1~""),""~""))))=len(J117)"),TRUE)</f>
        <v>1</v>
      </c>
      <c r="E117" s="409" t="s">
        <v>513</v>
      </c>
      <c r="F117" s="410" t="str">
        <f>IFERROR(__xludf.DUMMYFUNCTION("REGEXREPLACE(B117,""[^[:alpha:]]"", """")"),"SRgMPDnS")</f>
        <v>SRgMPDnS</v>
      </c>
      <c r="G117" s="411" t="str">
        <f>IFERROR(__xludf.DUMMYFUNCTION("REGEXREPLACE(C117,""[^[:alpha:]]"", """")"),"RgRnDnPSgMPSPnSgRgRnDnDPRgRSnRRgRnDnPSgMPS")</f>
        <v>RgRnDnPSgMPSPnSgRgRnDnDPRgRSnRRgRnDnPSgMPS</v>
      </c>
      <c r="H117" s="410" t="str">
        <f>IFERROR(__xludf.DUMMYFUNCTION("ArrayFormula(join(,unique(mid(F117,sequence(len(F117)),1))))"),"SRgMPDn")</f>
        <v>SRgMPDn</v>
      </c>
      <c r="I117" s="410">
        <f t="shared" si="1"/>
        <v>7</v>
      </c>
      <c r="J117" s="412" t="str">
        <f>IFERROR(__xludf.DUMMYFUNCTION("ArrayFormula(join(,unique(mid(G117,sequence(len(G117)),1))))"),"RgnDPSM")</f>
        <v>RgnDPSM</v>
      </c>
      <c r="K117" s="411">
        <f t="shared" si="2"/>
        <v>7</v>
      </c>
    </row>
    <row r="118">
      <c r="A118" s="406" t="s">
        <v>790</v>
      </c>
      <c r="B118" s="407" t="s">
        <v>791</v>
      </c>
      <c r="C118" s="222" t="s">
        <v>792</v>
      </c>
      <c r="D118" s="408" t="b">
        <f>IFERROR(__xludf.DUMMYFUNCTION("arrayformula(sum(--REGEXMATCH(H118,split(REGEXREPLACE(J118,""(.)"",""$1~""),""~""))))=len(J118)"),TRUE)</f>
        <v>1</v>
      </c>
      <c r="E118" s="409" t="s">
        <v>513</v>
      </c>
      <c r="F118" s="410" t="str">
        <f>IFERROR(__xludf.DUMMYFUNCTION("REGEXREPLACE(B118,""[^[:alpha:]]"", """")"),"SgmPnNS")</f>
        <v>SgmPnNS</v>
      </c>
      <c r="G118" s="411" t="str">
        <f>IFERROR(__xludf.DUMMYFUNCTION("REGEXREPLACE(C118,""[^[:alpha:]]"", """")"),"NNNNSNgSmgPmnnPgPmPmgmPmgSNSgSgmPnPmg")</f>
        <v>NNNNSNgSmgPmnnPgPmPmgmPmgSNSgSgmPnPmg</v>
      </c>
      <c r="H118" s="410" t="str">
        <f>IFERROR(__xludf.DUMMYFUNCTION("ArrayFormula(join(,unique(mid(F118,sequence(len(F118)),1))))"),"SgmPnN")</f>
        <v>SgmPnN</v>
      </c>
      <c r="I118" s="410">
        <f t="shared" si="1"/>
        <v>6</v>
      </c>
      <c r="J118" s="412" t="str">
        <f>IFERROR(__xludf.DUMMYFUNCTION("ArrayFormula(join(,unique(mid(G118,sequence(len(G118)),1))))"),"NSgmPn")</f>
        <v>NSgmPn</v>
      </c>
      <c r="K118" s="411">
        <f t="shared" si="2"/>
        <v>6</v>
      </c>
    </row>
    <row r="119">
      <c r="A119" s="406" t="s">
        <v>793</v>
      </c>
      <c r="B119" s="407" t="s">
        <v>794</v>
      </c>
      <c r="C119" s="222" t="s">
        <v>795</v>
      </c>
      <c r="D119" s="408" t="b">
        <f>IFERROR(__xludf.DUMMYFUNCTION("arrayformula(sum(--REGEXMATCH(H119,split(REGEXREPLACE(J119,""(.)"",""$1~""),""~""))))=len(J119)"),TRUE)</f>
        <v>1</v>
      </c>
      <c r="E119" s="409" t="s">
        <v>513</v>
      </c>
      <c r="F119" s="410" t="str">
        <f>IFERROR(__xludf.DUMMYFUNCTION("REGEXREPLACE(B119,""[^[:alpha:]]"", """")"),"SGMDNS")</f>
        <v>SGMDNS</v>
      </c>
      <c r="G119" s="411" t="str">
        <f>IFERROR(__xludf.DUMMYFUNCTION("REGEXREPLACE(C119,""[^[:alpha:]]"", """")"),"SMGMGSSNSDNSSSDSDSNSSGGSSSMGGMDMSDDMGMGSSMGMGMGS")</f>
        <v>SMGMGSSNSDNSSSDSDSNSSGGSSSMGGMDMSDDMGMGSSMGMGMGS</v>
      </c>
      <c r="H119" s="410" t="str">
        <f>IFERROR(__xludf.DUMMYFUNCTION("ArrayFormula(join(,unique(mid(F119,sequence(len(F119)),1))))"),"SGMDN")</f>
        <v>SGMDN</v>
      </c>
      <c r="I119" s="410">
        <f t="shared" si="1"/>
        <v>5</v>
      </c>
      <c r="J119" s="412" t="str">
        <f>IFERROR(__xludf.DUMMYFUNCTION("ArrayFormula(join(,unique(mid(G119,sequence(len(G119)),1))))"),"SMGND")</f>
        <v>SMGND</v>
      </c>
      <c r="K119" s="411">
        <f t="shared" si="2"/>
        <v>5</v>
      </c>
    </row>
    <row r="120">
      <c r="A120" s="406" t="s">
        <v>796</v>
      </c>
      <c r="B120" s="407" t="s">
        <v>797</v>
      </c>
      <c r="C120" s="222" t="s">
        <v>798</v>
      </c>
      <c r="D120" s="408" t="b">
        <f>IFERROR(__xludf.DUMMYFUNCTION("arrayformula(sum(--REGEXMATCH(H120,split(REGEXREPLACE(J120,""(.)"",""$1~""),""~""))))=len(J120)"),TRUE)</f>
        <v>1</v>
      </c>
      <c r="E120" s="409" t="s">
        <v>513</v>
      </c>
      <c r="F120" s="410" t="str">
        <f>IFERROR(__xludf.DUMMYFUNCTION("REGEXREPLACE(B120,""[^[:alpha:]]"", """")"),"SGmMPDNS")</f>
        <v>SGmMPDNS</v>
      </c>
      <c r="G120" s="411" t="str">
        <f>IFERROR(__xludf.DUMMYFUNCTION("REGEXREPLACE(C120,""[^[:alpha:]]"", """")"),"SDDDMDDMMmmGmmMGMGS")</f>
        <v>SDDDMDDMMmmGmmMGMGS</v>
      </c>
      <c r="H120" s="410" t="str">
        <f>IFERROR(__xludf.DUMMYFUNCTION("ArrayFormula(join(,unique(mid(F120,sequence(len(F120)),1))))"),"SGmMPDN")</f>
        <v>SGmMPDN</v>
      </c>
      <c r="I120" s="410">
        <f t="shared" si="1"/>
        <v>7</v>
      </c>
      <c r="J120" s="412" t="str">
        <f>IFERROR(__xludf.DUMMYFUNCTION("ArrayFormula(join(,unique(mid(G120,sequence(len(G120)),1))))"),"SDMmG")</f>
        <v>SDMmG</v>
      </c>
      <c r="K120" s="411">
        <f t="shared" si="2"/>
        <v>5</v>
      </c>
    </row>
    <row r="121">
      <c r="A121" s="406" t="s">
        <v>799</v>
      </c>
      <c r="B121" s="407" t="s">
        <v>561</v>
      </c>
      <c r="C121" s="222" t="s">
        <v>801</v>
      </c>
      <c r="D121" s="408" t="b">
        <f>IFERROR(__xludf.DUMMYFUNCTION("arrayformula(sum(--REGEXMATCH(H121,split(REGEXREPLACE(J121,""(.)"",""$1~""),""~""))))=len(J121)"),TRUE)</f>
        <v>1</v>
      </c>
      <c r="E121" s="409" t="s">
        <v>513</v>
      </c>
      <c r="F121" s="410" t="str">
        <f>IFERROR(__xludf.DUMMYFUNCTION("REGEXREPLACE(B121,""[^[:alpha:]]"", """")"),"SRgmPDnS")</f>
        <v>SRgmPDnS</v>
      </c>
      <c r="G121" s="411" t="str">
        <f>IFERROR(__xludf.DUMMYFUNCTION("REGEXREPLACE(C121,""[^[:alpha:]]"", """")"),"PmPPDnDSnPPPmPmnmgmmnDnPPPmPDnSSSSnSDnRSSRnSSPmPmgmmPDnSS")</f>
        <v>PmPPDnDSnPPPmPmnmgmmnDnPPPmPDnSSSSnSDnRSSRnSSPmPmgmmPDnSS</v>
      </c>
      <c r="H121" s="410" t="str">
        <f>IFERROR(__xludf.DUMMYFUNCTION("ArrayFormula(join(,unique(mid(F121,sequence(len(F121)),1))))"),"SRgmPDn")</f>
        <v>SRgmPDn</v>
      </c>
      <c r="I121" s="410">
        <f t="shared" si="1"/>
        <v>7</v>
      </c>
      <c r="J121" s="412" t="str">
        <f>IFERROR(__xludf.DUMMYFUNCTION("ArrayFormula(join(,unique(mid(G121,sequence(len(G121)),1))))"),"PmDnSgR")</f>
        <v>PmDnSgR</v>
      </c>
      <c r="K121" s="411">
        <f t="shared" si="2"/>
        <v>7</v>
      </c>
    </row>
    <row r="122">
      <c r="A122" s="406" t="s">
        <v>802</v>
      </c>
      <c r="B122" s="407" t="s">
        <v>527</v>
      </c>
      <c r="C122" s="222" t="s">
        <v>803</v>
      </c>
      <c r="D122" s="408" t="b">
        <f>IFERROR(__xludf.DUMMYFUNCTION("arrayformula(sum(--REGEXMATCH(H122,split(REGEXREPLACE(J122,""(.)"",""$1~""),""~""))))=len(J122)"),TRUE)</f>
        <v>1</v>
      </c>
      <c r="E122" s="409" t="s">
        <v>513</v>
      </c>
      <c r="F122" s="410" t="str">
        <f>IFERROR(__xludf.DUMMYFUNCTION("REGEXREPLACE(B122,""[^[:alpha:]]"", """")"),"SRgmPDnNS")</f>
        <v>SRgmPDnNS</v>
      </c>
      <c r="G122" s="411" t="str">
        <f>IFERROR(__xludf.DUMMYFUNCTION("REGEXREPLACE(C122,""[^[:alpha:]]"", """")"),"NSSSNRSSnDPDPDNSSDnPDNSSRNSSNSRSSnDPDNSS")</f>
        <v>NSSSNRSSnDPDPDNSSDnPDNSSRNSSNSRSSnDPDNSS</v>
      </c>
      <c r="H122" s="410" t="str">
        <f>IFERROR(__xludf.DUMMYFUNCTION("ArrayFormula(join(,unique(mid(F122,sequence(len(F122)),1))))"),"SRgmPDnN")</f>
        <v>SRgmPDnN</v>
      </c>
      <c r="I122" s="410">
        <f t="shared" si="1"/>
        <v>8</v>
      </c>
      <c r="J122" s="412" t="str">
        <f>IFERROR(__xludf.DUMMYFUNCTION("ArrayFormula(join(,unique(mid(G122,sequence(len(G122)),1))))"),"NSRnDP")</f>
        <v>NSRnDP</v>
      </c>
      <c r="K122" s="411">
        <f t="shared" si="2"/>
        <v>6</v>
      </c>
    </row>
    <row r="123">
      <c r="A123" s="406" t="s">
        <v>804</v>
      </c>
      <c r="B123" s="407" t="s">
        <v>805</v>
      </c>
      <c r="C123" s="222" t="s">
        <v>806</v>
      </c>
      <c r="D123" s="408" t="b">
        <f>IFERROR(__xludf.DUMMYFUNCTION("arrayformula(sum(--REGEXMATCH(H123,split(REGEXREPLACE(J123,""(.)"",""$1~""),""~""))))=len(J123)"),FALSE)</f>
        <v>0</v>
      </c>
      <c r="E123" s="409" t="s">
        <v>807</v>
      </c>
      <c r="F123" s="410" t="str">
        <f>IFERROR(__xludf.DUMMYFUNCTION("REGEXREPLACE(B123,""[^[:alpha:]]"", """")"),"SRGmdnS")</f>
        <v>SRGmdnS</v>
      </c>
      <c r="G123" s="411" t="str">
        <f>IFERROR(__xludf.DUMMYFUNCTION("REGEXREPLACE(C123,""[^[:alpha:]]"", """")"),"ndnSGGGmGdGmnndnSndGGRSRSSmGPmGmGRSSndnSGGGm")</f>
        <v>ndnSGGGmGdGmnndnSndGGRSRSSmGPmGmGRSSndnSGGGm</v>
      </c>
      <c r="H123" s="410" t="str">
        <f>IFERROR(__xludf.DUMMYFUNCTION("ArrayFormula(join(,unique(mid(F123,sequence(len(F123)),1))))"),"SRGmdn")</f>
        <v>SRGmdn</v>
      </c>
      <c r="I123" s="410">
        <f t="shared" si="1"/>
        <v>6</v>
      </c>
      <c r="J123" s="412" t="str">
        <f>IFERROR(__xludf.DUMMYFUNCTION("ArrayFormula(join(,unique(mid(G123,sequence(len(G123)),1))))"),"ndSGmRP")</f>
        <v>ndSGmRP</v>
      </c>
      <c r="K123" s="411">
        <f t="shared" si="2"/>
        <v>7</v>
      </c>
    </row>
    <row r="124">
      <c r="A124" s="406" t="s">
        <v>808</v>
      </c>
      <c r="B124" s="407" t="s">
        <v>741</v>
      </c>
      <c r="C124" s="222" t="s">
        <v>809</v>
      </c>
      <c r="D124" s="408" t="b">
        <f>IFERROR(__xludf.DUMMYFUNCTION("arrayformula(sum(--REGEXMATCH(H124,split(REGEXREPLACE(J124,""(.)"",""$1~""),""~""))))=len(J124)"),TRUE)</f>
        <v>1</v>
      </c>
      <c r="E124" s="409" t="s">
        <v>513</v>
      </c>
      <c r="F124" s="410" t="str">
        <f>IFERROR(__xludf.DUMMYFUNCTION("REGEXREPLACE(B124,""[^[:alpha:]]"", """")"),"SRgGmPDnNS")</f>
        <v>SRgGmPDnNS</v>
      </c>
      <c r="G124" s="411" t="str">
        <f>IFERROR(__xludf.DUMMYFUNCTION("REGEXREPLACE(C124,""[^[:alpha:]]"", """")"),"GRRGRmGPmGmGRSRRgRSSNSSDnSGRRGRmG")</f>
        <v>GRRGRmGPmGmGRSRRgRSSNSSDnSGRRGRmG</v>
      </c>
      <c r="H124" s="410" t="str">
        <f>IFERROR(__xludf.DUMMYFUNCTION("ArrayFormula(join(,unique(mid(F124,sequence(len(F124)),1))))"),"SRgGmPDnN")</f>
        <v>SRgGmPDnN</v>
      </c>
      <c r="I124" s="410">
        <f t="shared" si="1"/>
        <v>9</v>
      </c>
      <c r="J124" s="412" t="str">
        <f>IFERROR(__xludf.DUMMYFUNCTION("ArrayFormula(join(,unique(mid(G124,sequence(len(G124)),1))))"),"GRmPSgNDn")</f>
        <v>GRmPSgNDn</v>
      </c>
      <c r="K124" s="411">
        <f t="shared" si="2"/>
        <v>9</v>
      </c>
    </row>
    <row r="125">
      <c r="A125" s="406" t="s">
        <v>810</v>
      </c>
      <c r="B125" s="407" t="s">
        <v>741</v>
      </c>
      <c r="C125" s="222" t="s">
        <v>811</v>
      </c>
      <c r="D125" s="408" t="b">
        <f>IFERROR(__xludf.DUMMYFUNCTION("arrayformula(sum(--REGEXMATCH(H125,split(REGEXREPLACE(J125,""(.)"",""$1~""),""~""))))=len(J125)"),TRUE)</f>
        <v>1</v>
      </c>
      <c r="E125" s="409" t="s">
        <v>513</v>
      </c>
      <c r="F125" s="410" t="str">
        <f>IFERROR(__xludf.DUMMYFUNCTION("REGEXREPLACE(B125,""[^[:alpha:]]"", """")"),"SRgGmPDnNS")</f>
        <v>SRgGmPDnNS</v>
      </c>
      <c r="G125" s="411" t="str">
        <f>IFERROR(__xludf.DUMMYFUNCTION("REGEXREPLACE(C125,""[^[:alpha:]]"", """")"),"SGmGRGRGRSPNRNPSGRGRSSGGmGGmGRGRSSGRR")</f>
        <v>SGmGRGRGRSPNRNPSGRGRSSGGmGGmGRGRSSGRR</v>
      </c>
      <c r="H125" s="410" t="str">
        <f>IFERROR(__xludf.DUMMYFUNCTION("ArrayFormula(join(,unique(mid(F125,sequence(len(F125)),1))))"),"SRgGmPDnN")</f>
        <v>SRgGmPDnN</v>
      </c>
      <c r="I125" s="410">
        <f t="shared" si="1"/>
        <v>9</v>
      </c>
      <c r="J125" s="412" t="str">
        <f>IFERROR(__xludf.DUMMYFUNCTION("ArrayFormula(join(,unique(mid(G125,sequence(len(G125)),1))))"),"SGmRPN")</f>
        <v>SGmRPN</v>
      </c>
      <c r="K125" s="411">
        <f t="shared" si="2"/>
        <v>6</v>
      </c>
    </row>
    <row r="126">
      <c r="A126" s="406" t="s">
        <v>812</v>
      </c>
      <c r="B126" s="407" t="s">
        <v>813</v>
      </c>
      <c r="C126" s="222" t="s">
        <v>814</v>
      </c>
      <c r="D126" s="408" t="b">
        <f>IFERROR(__xludf.DUMMYFUNCTION("arrayformula(sum(--REGEXMATCH(H126,split(REGEXREPLACE(J126,""(.)"",""$1~""),""~""))))=len(J126)"),FALSE)</f>
        <v>0</v>
      </c>
      <c r="E126" s="409" t="s">
        <v>815</v>
      </c>
      <c r="F126" s="410" t="str">
        <f>IFERROR(__xludf.DUMMYFUNCTION("REGEXREPLACE(B126,""[^[:alpha:]]"", """")"),"SrRGPDS")</f>
        <v>SrRGPDS</v>
      </c>
      <c r="G126" s="411" t="str">
        <f>IFERROR(__xludf.DUMMYFUNCTION("REGEXREPLACE(C126,""[^[:alpha:]]"", """")"),"GGrDSrPDrSDSrSDSrrmrSrSrmrSrGSDDGrGrSrSDSDPDSDPGPDSrDSrGSrGGrS")</f>
        <v>GGrDSrPDrSDSrSDSrrmrSrSrmrSrGSDDGrGrSrSDSDPDSDPGPDSrDSrGSrGGrS</v>
      </c>
      <c r="H126" s="410" t="str">
        <f>IFERROR(__xludf.DUMMYFUNCTION("ArrayFormula(join(,unique(mid(F126,sequence(len(F126)),1))))"),"SrRGPD")</f>
        <v>SrRGPD</v>
      </c>
      <c r="I126" s="410">
        <f t="shared" si="1"/>
        <v>6</v>
      </c>
      <c r="J126" s="412" t="str">
        <f>IFERROR(__xludf.DUMMYFUNCTION("ArrayFormula(join(,unique(mid(G126,sequence(len(G126)),1))))"),"GrDSPm")</f>
        <v>GrDSPm</v>
      </c>
      <c r="K126" s="411">
        <f t="shared" si="2"/>
        <v>6</v>
      </c>
    </row>
    <row r="127">
      <c r="A127" s="406" t="s">
        <v>816</v>
      </c>
      <c r="B127" s="407" t="s">
        <v>619</v>
      </c>
      <c r="C127" s="222" t="s">
        <v>817</v>
      </c>
      <c r="D127" s="408" t="b">
        <f>IFERROR(__xludf.DUMMYFUNCTION("arrayformula(sum(--REGEXMATCH(H127,split(REGEXREPLACE(J127,""(.)"",""$1~""),""~""))))=len(J127)"),TRUE)</f>
        <v>1</v>
      </c>
      <c r="E127" s="409" t="s">
        <v>513</v>
      </c>
      <c r="F127" s="410" t="str">
        <f>IFERROR(__xludf.DUMMYFUNCTION("REGEXREPLACE(B127,""[^[:alpha:]]"", """")"),"SRGPDS")</f>
        <v>SRGPDS</v>
      </c>
      <c r="G127" s="411" t="str">
        <f>IFERROR(__xludf.DUMMYFUNCTION("REGEXREPLACE(C127,""[^[:alpha:]]"", """")"),"SSSPGSGPGSGPGPGDPGSGRSPDPDSDPPSSSSSPG")</f>
        <v>SSSPGSGPGSGPGPGDPGSGRSPDPDSDPPSSSSSPG</v>
      </c>
      <c r="H127" s="410" t="str">
        <f>IFERROR(__xludf.DUMMYFUNCTION("ArrayFormula(join(,unique(mid(F127,sequence(len(F127)),1))))"),"SRGPD")</f>
        <v>SRGPD</v>
      </c>
      <c r="I127" s="410">
        <f t="shared" si="1"/>
        <v>5</v>
      </c>
      <c r="J127" s="412" t="str">
        <f>IFERROR(__xludf.DUMMYFUNCTION("ArrayFormula(join(,unique(mid(G127,sequence(len(G127)),1))))"),"SPGDR")</f>
        <v>SPGDR</v>
      </c>
      <c r="K127" s="411">
        <f t="shared" si="2"/>
        <v>5</v>
      </c>
    </row>
    <row r="128">
      <c r="A128" s="406" t="s">
        <v>818</v>
      </c>
      <c r="B128" s="407" t="s">
        <v>339</v>
      </c>
      <c r="C128" s="222" t="s">
        <v>819</v>
      </c>
      <c r="D128" s="408" t="b">
        <f>IFERROR(__xludf.DUMMYFUNCTION("arrayformula(sum(--REGEXMATCH(H128,split(REGEXREPLACE(J128,""(.)"",""$1~""),""~""))))=len(J128)"),TRUE)</f>
        <v>1</v>
      </c>
      <c r="E128" s="409" t="s">
        <v>513</v>
      </c>
      <c r="F128" s="410" t="str">
        <f>IFERROR(__xludf.DUMMYFUNCTION("REGEXREPLACE(B128,""[^[:alpha:]]"", """")"),"SrGMPdNS")</f>
        <v>SrGMPdNS</v>
      </c>
      <c r="G128" s="411" t="str">
        <f>IFERROR(__xludf.DUMMYFUNCTION("REGEXREPLACE(C128,""[^[:alpha:]]"", """")"),"SGMGPPMPMdPMGrSrNdPSMGPGPPMPPMPMddMMGGrSNSMGMGPPMdPMGMGMGrSG")</f>
        <v>SGMGPPMPMdPMGrSrNdPSMGPGPPMPPMPMddMMGGrSNSMGMGPPMdPMGMGMGrSG</v>
      </c>
      <c r="H128" s="410" t="str">
        <f>IFERROR(__xludf.DUMMYFUNCTION("ArrayFormula(join(,unique(mid(F128,sequence(len(F128)),1))))"),"SrGMPdN")</f>
        <v>SrGMPdN</v>
      </c>
      <c r="I128" s="410">
        <f t="shared" si="1"/>
        <v>7</v>
      </c>
      <c r="J128" s="412" t="str">
        <f>IFERROR(__xludf.DUMMYFUNCTION("ArrayFormula(join(,unique(mid(G128,sequence(len(G128)),1))))"),"SGMPdrN")</f>
        <v>SGMPdrN</v>
      </c>
      <c r="K128" s="411">
        <f t="shared" si="2"/>
        <v>7</v>
      </c>
    </row>
    <row r="129">
      <c r="A129" s="406" t="s">
        <v>820</v>
      </c>
      <c r="B129" s="407" t="s">
        <v>524</v>
      </c>
      <c r="C129" s="222" t="s">
        <v>821</v>
      </c>
      <c r="D129" s="408" t="b">
        <f>IFERROR(__xludf.DUMMYFUNCTION("arrayformula(sum(--REGEXMATCH(H129,split(REGEXREPLACE(J129,""(.)"",""$1~""),""~""))))=len(J129)"),TRUE)</f>
        <v>1</v>
      </c>
      <c r="E129" s="409" t="s">
        <v>513</v>
      </c>
      <c r="F129" s="410" t="str">
        <f>IFERROR(__xludf.DUMMYFUNCTION("REGEXREPLACE(B129,""[^[:alpha:]]"", """")"),"SrgmPDnS")</f>
        <v>SrgmPDnS</v>
      </c>
      <c r="G129" s="411" t="str">
        <f>IFERROR(__xludf.DUMMYFUNCTION("REGEXREPLACE(C129,""[^[:alpha:]]"", """")"),"rSDnDgrgrSrmPDPmPmmggrrSSrSDnDgrgrSrm")</f>
        <v>rSDnDgrgrSrmPDPmPmmggrrSSrSDnDgrgrSrm</v>
      </c>
      <c r="H129" s="410" t="str">
        <f>IFERROR(__xludf.DUMMYFUNCTION("ArrayFormula(join(,unique(mid(F129,sequence(len(F129)),1))))"),"SrgmPDn")</f>
        <v>SrgmPDn</v>
      </c>
      <c r="I129" s="410">
        <f t="shared" si="1"/>
        <v>7</v>
      </c>
      <c r="J129" s="412" t="str">
        <f>IFERROR(__xludf.DUMMYFUNCTION("ArrayFormula(join(,unique(mid(G129,sequence(len(G129)),1))))"),"rSDngmP")</f>
        <v>rSDngmP</v>
      </c>
      <c r="K129" s="411">
        <f t="shared" si="2"/>
        <v>7</v>
      </c>
    </row>
    <row r="130">
      <c r="A130" s="406" t="s">
        <v>822</v>
      </c>
      <c r="B130" s="407" t="s">
        <v>719</v>
      </c>
      <c r="C130" s="222" t="s">
        <v>823</v>
      </c>
      <c r="D130" s="408" t="b">
        <f>IFERROR(__xludf.DUMMYFUNCTION("arrayformula(sum(--REGEXMATCH(H130,split(REGEXREPLACE(J130,""(.)"",""$1~""),""~""))))=len(J130)"),TRUE)</f>
        <v>1</v>
      </c>
      <c r="E130" s="409" t="s">
        <v>513</v>
      </c>
      <c r="F130" s="410" t="str">
        <f>IFERROR(__xludf.DUMMYFUNCTION("REGEXREPLACE(B130,""[^[:alpha:]]"", """")"),"SRmPDS")</f>
        <v>SRmPDS</v>
      </c>
      <c r="G130" s="411" t="str">
        <f>IFERROR(__xludf.DUMMYFUNCTION("REGEXREPLACE(C130,""[^[:alpha:]]"", """")"),"SSRSDPmPSSRSSDPDmPSSRS")</f>
        <v>SSRSDPmPSSRSSDPDmPSSRS</v>
      </c>
      <c r="H130" s="410" t="str">
        <f>IFERROR(__xludf.DUMMYFUNCTION("ArrayFormula(join(,unique(mid(F130,sequence(len(F130)),1))))"),"SRmPD")</f>
        <v>SRmPD</v>
      </c>
      <c r="I130" s="410">
        <f t="shared" si="1"/>
        <v>5</v>
      </c>
      <c r="J130" s="412" t="str">
        <f>IFERROR(__xludf.DUMMYFUNCTION("ArrayFormula(join(,unique(mid(G130,sequence(len(G130)),1))))"),"SRDPm")</f>
        <v>SRDPm</v>
      </c>
      <c r="K130" s="411">
        <f t="shared" si="2"/>
        <v>5</v>
      </c>
    </row>
    <row r="131">
      <c r="A131" s="406" t="s">
        <v>824</v>
      </c>
      <c r="B131" s="407" t="s">
        <v>825</v>
      </c>
      <c r="C131" s="222" t="s">
        <v>826</v>
      </c>
      <c r="D131" s="408" t="b">
        <f>IFERROR(__xludf.DUMMYFUNCTION("arrayformula(sum(--REGEXMATCH(H131,split(REGEXREPLACE(J131,""(.)"",""$1~""),""~""))))=len(J131)"),TRUE)</f>
        <v>1</v>
      </c>
      <c r="E131" s="409" t="s">
        <v>513</v>
      </c>
      <c r="F131" s="410" t="str">
        <f>IFERROR(__xludf.DUMMYFUNCTION("REGEXREPLACE(B131,""[^[:alpha:]]"", """")"),"SRGPDnS")</f>
        <v>SRGPDnS</v>
      </c>
      <c r="G131" s="411" t="str">
        <f>IFERROR(__xludf.DUMMYFUNCTION("REGEXREPLACE(C131,""[^[:alpha:]]"", """")"),"GRGRSRSnSDPGGPSnDSnDPGRSnSRG")</f>
        <v>GRGRSRSnSDPGGPSnDSnDPGRSnSRG</v>
      </c>
      <c r="H131" s="410" t="str">
        <f>IFERROR(__xludf.DUMMYFUNCTION("ArrayFormula(join(,unique(mid(F131,sequence(len(F131)),1))))"),"SRGPDn")</f>
        <v>SRGPDn</v>
      </c>
      <c r="I131" s="410">
        <f t="shared" si="1"/>
        <v>6</v>
      </c>
      <c r="J131" s="412" t="str">
        <f>IFERROR(__xludf.DUMMYFUNCTION("ArrayFormula(join(,unique(mid(G131,sequence(len(G131)),1))))"),"GRSnDP")</f>
        <v>GRSnDP</v>
      </c>
      <c r="K131" s="411">
        <f t="shared" si="2"/>
        <v>6</v>
      </c>
    </row>
    <row r="132">
      <c r="A132" s="406" t="s">
        <v>827</v>
      </c>
      <c r="B132" s="407" t="s">
        <v>828</v>
      </c>
      <c r="C132" s="222" t="s">
        <v>829</v>
      </c>
      <c r="D132" s="408" t="b">
        <f>IFERROR(__xludf.DUMMYFUNCTION("arrayformula(sum(--REGEXMATCH(H132,split(REGEXREPLACE(J132,""(.)"",""$1~""),""~""))))=len(J132)"),TRUE)</f>
        <v>1</v>
      </c>
      <c r="E132" s="409" t="s">
        <v>513</v>
      </c>
      <c r="F132" s="410" t="str">
        <f>IFERROR(__xludf.DUMMYFUNCTION("REGEXREPLACE(B132,""[^[:alpha:]]"", """")"),"SrRgGmPdnNS")</f>
        <v>SrRgGmPdnNS</v>
      </c>
      <c r="G132" s="411" t="str">
        <f>IFERROR(__xludf.DUMMYFUNCTION("REGEXREPLACE(C132,""[^[:alpha:]]"", """")"),"GmnddNdSSNSNdNdSSRgSRGRSSnRSndndnPSRgSSGRGSnSPGRGRSPdmPmGGmrS")</f>
        <v>GmnddNdSSNSNdNdSSRgSRGRSSnRSndndnPSRgSSGRGSnSPGRGRSPdmPmGGmrS</v>
      </c>
      <c r="H132" s="410" t="str">
        <f>IFERROR(__xludf.DUMMYFUNCTION("ArrayFormula(join(,unique(mid(F132,sequence(len(F132)),1))))"),"SrRgGmPdnN")</f>
        <v>SrRgGmPdnN</v>
      </c>
      <c r="I132" s="410">
        <f t="shared" si="1"/>
        <v>10</v>
      </c>
      <c r="J132" s="412" t="str">
        <f>IFERROR(__xludf.DUMMYFUNCTION("ArrayFormula(join(,unique(mid(G132,sequence(len(G132)),1))))"),"GmndNSRgPr")</f>
        <v>GmndNSRgPr</v>
      </c>
      <c r="K132" s="411">
        <f t="shared" si="2"/>
        <v>10</v>
      </c>
    </row>
    <row r="133">
      <c r="A133" s="406" t="s">
        <v>830</v>
      </c>
      <c r="B133" s="407" t="s">
        <v>405</v>
      </c>
      <c r="C133" s="222" t="s">
        <v>831</v>
      </c>
      <c r="D133" s="408" t="b">
        <f>IFERROR(__xludf.DUMMYFUNCTION("arrayformula(sum(--REGEXMATCH(H133,split(REGEXREPLACE(J133,""(.)"",""$1~""),""~""))))=len(J133)"),TRUE)</f>
        <v>1</v>
      </c>
      <c r="E133" s="409" t="s">
        <v>513</v>
      </c>
      <c r="F133" s="410" t="str">
        <f>IFERROR(__xludf.DUMMYFUNCTION("REGEXREPLACE(B133,""[^[:alpha:]]"", """")"),"SRgmPdnS")</f>
        <v>SRgmPdnS</v>
      </c>
      <c r="G133" s="411" t="str">
        <f>IFERROR(__xludf.DUMMYFUNCTION("REGEXREPLACE(C133,""[^[:alpha:]]"", """")"),"dndSSSSSSSndPmRmPmPndPndSRSRRRRRgRgRnSnSRRRSnnSdSPgRRSg")</f>
        <v>dndSSSSSSSndPmRmPmPndPndSRSRRRRRgRgRnSnSRRRSnnSdSPgRRSg</v>
      </c>
      <c r="H133" s="410" t="str">
        <f>IFERROR(__xludf.DUMMYFUNCTION("ArrayFormula(join(,unique(mid(F133,sequence(len(F133)),1))))"),"SRgmPdn")</f>
        <v>SRgmPdn</v>
      </c>
      <c r="I133" s="410">
        <f t="shared" si="1"/>
        <v>7</v>
      </c>
      <c r="J133" s="412" t="str">
        <f>IFERROR(__xludf.DUMMYFUNCTION("ArrayFormula(join(,unique(mid(G133,sequence(len(G133)),1))))"),"dnSPmRg")</f>
        <v>dnSPmRg</v>
      </c>
      <c r="K133" s="411">
        <f t="shared" si="2"/>
        <v>7</v>
      </c>
    </row>
    <row r="134">
      <c r="A134" s="406" t="s">
        <v>832</v>
      </c>
      <c r="B134" s="407" t="s">
        <v>741</v>
      </c>
      <c r="C134" s="222" t="s">
        <v>833</v>
      </c>
      <c r="D134" s="408" t="b">
        <f>IFERROR(__xludf.DUMMYFUNCTION("arrayformula(sum(--REGEXMATCH(H134,split(REGEXREPLACE(J134,""(.)"",""$1~""),""~""))))=len(J134)"),TRUE)</f>
        <v>1</v>
      </c>
      <c r="E134" s="409" t="s">
        <v>513</v>
      </c>
      <c r="F134" s="410" t="str">
        <f>IFERROR(__xludf.DUMMYFUNCTION("REGEXREPLACE(B134,""[^[:alpha:]]"", """")"),"SRgGmPDnNS")</f>
        <v>SRgGmPDnNS</v>
      </c>
      <c r="G134" s="411" t="str">
        <f>IFERROR(__xludf.DUMMYFUNCTION("REGEXREPLACE(C134,""[^[:alpha:]]"", """")"),"RGmGRGRGGmGRGRGRGRRPmRmgmgmgPmgmRSNSNRSNRmRPPmPnmRmgRgmRSRGmGR")</f>
        <v>RGmGRGRGGmGRGRGRGRRPmRmgmgmgPmgmRSNSNRSNRmRPPmPnmRmgRgmRSRGmGR</v>
      </c>
      <c r="H134" s="410" t="str">
        <f>IFERROR(__xludf.DUMMYFUNCTION("ArrayFormula(join(,unique(mid(F134,sequence(len(F134)),1))))"),"SRgGmPDnN")</f>
        <v>SRgGmPDnN</v>
      </c>
      <c r="I134" s="410">
        <f t="shared" si="1"/>
        <v>9</v>
      </c>
      <c r="J134" s="412" t="str">
        <f>IFERROR(__xludf.DUMMYFUNCTION("ArrayFormula(join(,unique(mid(G134,sequence(len(G134)),1))))"),"RGmPgSNn")</f>
        <v>RGmPgSNn</v>
      </c>
      <c r="K134" s="411">
        <f t="shared" si="2"/>
        <v>8</v>
      </c>
    </row>
    <row r="135">
      <c r="A135" s="413" t="s">
        <v>834</v>
      </c>
      <c r="B135" s="407" t="s">
        <v>738</v>
      </c>
      <c r="C135" s="222" t="s">
        <v>738</v>
      </c>
      <c r="D135" s="408" t="b">
        <f>IFERROR(__xludf.DUMMYFUNCTION("arrayformula(sum(--REGEXMATCH(H135,split(REGEXREPLACE(J135,""(.)"",""$1~""),""~""))))=len(J135)"),TRUE)</f>
        <v>1</v>
      </c>
      <c r="E135" s="409" t="s">
        <v>513</v>
      </c>
      <c r="F135" s="410" t="str">
        <f>IFERROR(__xludf.DUMMYFUNCTION("REGEXREPLACE(B135,""[^[:alpha:]]"", """")"),"SRGmPDnS")</f>
        <v>SRGmPDnS</v>
      </c>
      <c r="G135" s="411" t="str">
        <f>IFERROR(__xludf.DUMMYFUNCTION("REGEXREPLACE(C135,""[^[:alpha:]]"", """")"),"SRGmPDnS")</f>
        <v>SRGmPDnS</v>
      </c>
      <c r="H135" s="410" t="str">
        <f>IFERROR(__xludf.DUMMYFUNCTION("ArrayFormula(join(,unique(mid(F135,sequence(len(F135)),1))))"),"SRGmPDn")</f>
        <v>SRGmPDn</v>
      </c>
      <c r="I135" s="410">
        <f t="shared" si="1"/>
        <v>7</v>
      </c>
      <c r="J135" s="412" t="str">
        <f>IFERROR(__xludf.DUMMYFUNCTION("ArrayFormula(join(,unique(mid(G135,sequence(len(G135)),1))))"),"SRGmPDn")</f>
        <v>SRGmPDn</v>
      </c>
      <c r="K135" s="411">
        <f t="shared" si="2"/>
        <v>7</v>
      </c>
    </row>
    <row r="136">
      <c r="A136" s="413" t="s">
        <v>837</v>
      </c>
      <c r="B136" s="407" t="s">
        <v>838</v>
      </c>
      <c r="C136" s="222" t="s">
        <v>838</v>
      </c>
      <c r="D136" s="408" t="b">
        <f>IFERROR(__xludf.DUMMYFUNCTION("arrayformula(sum(--REGEXMATCH(H136,split(REGEXREPLACE(J136,""(.)"",""$1~""),""~""))))=len(J136)"),TRUE)</f>
        <v>1</v>
      </c>
      <c r="E136" s="409" t="s">
        <v>513</v>
      </c>
      <c r="F136" s="410" t="str">
        <f>IFERROR(__xludf.DUMMYFUNCTION("REGEXREPLACE(B136,""[^[:alpha:]]"", """")"),"SgGmPnS")</f>
        <v>SgGmPnS</v>
      </c>
      <c r="G136" s="411" t="str">
        <f>IFERROR(__xludf.DUMMYFUNCTION("REGEXREPLACE(C136,""[^[:alpha:]]"", """")"),"SgGmPnS")</f>
        <v>SgGmPnS</v>
      </c>
      <c r="H136" s="410" t="str">
        <f>IFERROR(__xludf.DUMMYFUNCTION("ArrayFormula(join(,unique(mid(F136,sequence(len(F136)),1))))"),"SgGmPn")</f>
        <v>SgGmPn</v>
      </c>
      <c r="I136" s="410">
        <f t="shared" si="1"/>
        <v>6</v>
      </c>
      <c r="J136" s="412" t="str">
        <f>IFERROR(__xludf.DUMMYFUNCTION("ArrayFormula(join(,unique(mid(G136,sequence(len(G136)),1))))"),"SgGmPn")</f>
        <v>SgGmPn</v>
      </c>
      <c r="K136" s="411">
        <f t="shared" si="2"/>
        <v>6</v>
      </c>
    </row>
    <row r="137">
      <c r="A137" s="406" t="s">
        <v>839</v>
      </c>
      <c r="B137" s="407" t="s">
        <v>840</v>
      </c>
      <c r="C137" s="222" t="s">
        <v>841</v>
      </c>
      <c r="D137" s="408" t="b">
        <f>IFERROR(__xludf.DUMMYFUNCTION("arrayformula(sum(--REGEXMATCH(H137,split(REGEXREPLACE(J137,""(.)"",""$1~""),""~""))))=len(J137)"),TRUE)</f>
        <v>1</v>
      </c>
      <c r="E137" s="409" t="s">
        <v>513</v>
      </c>
      <c r="F137" s="410" t="str">
        <f>IFERROR(__xludf.DUMMYFUNCTION("REGEXREPLACE(B137,""[^[:alpha:]]"", """")"),"SgGmDnS")</f>
        <v>SgGmDnS</v>
      </c>
      <c r="G137" s="411" t="str">
        <f>IFERROR(__xludf.DUMMYFUNCTION("REGEXREPLACE(C137,""[^[:alpha:]]"", """")"),"SnDmGmGmgmnSDngSGmGmDDnSnDm")</f>
        <v>SnDmGmGmgmnSDngSGmGmDDnSnDm</v>
      </c>
      <c r="H137" s="410" t="str">
        <f>IFERROR(__xludf.DUMMYFUNCTION("ArrayFormula(join(,unique(mid(F137,sequence(len(F137)),1))))"),"SgGmDn")</f>
        <v>SgGmDn</v>
      </c>
      <c r="I137" s="410">
        <f t="shared" si="1"/>
        <v>6</v>
      </c>
      <c r="J137" s="412" t="str">
        <f>IFERROR(__xludf.DUMMYFUNCTION("ArrayFormula(join(,unique(mid(G137,sequence(len(G137)),1))))"),"SnDmGg")</f>
        <v>SnDmGg</v>
      </c>
      <c r="K137" s="411">
        <f t="shared" si="2"/>
        <v>6</v>
      </c>
    </row>
    <row r="138">
      <c r="A138" s="406" t="s">
        <v>842</v>
      </c>
      <c r="B138" s="407" t="s">
        <v>843</v>
      </c>
      <c r="C138" s="222" t="s">
        <v>844</v>
      </c>
      <c r="D138" s="408" t="b">
        <f>IFERROR(__xludf.DUMMYFUNCTION("arrayformula(sum(--REGEXMATCH(H138,split(REGEXREPLACE(J138,""(.)"",""$1~""),""~""))))=len(J138)"),TRUE)</f>
        <v>1</v>
      </c>
      <c r="E138" s="409" t="s">
        <v>513</v>
      </c>
      <c r="F138" s="410" t="str">
        <f>IFERROR(__xludf.DUMMYFUNCTION("REGEXREPLACE(B138,""[^[:alpha:]]"", """")"),"SgGmPDnS")</f>
        <v>SgGmPDnS</v>
      </c>
      <c r="G138" s="411" t="str">
        <f>IFERROR(__xludf.DUMMYFUNCTION("REGEXREPLACE(C138,""[^[:alpha:]]"", """")"),"SmGmGmgSngSDSnSDSDSSGmDSDSDGmGPmGmGmgSG")</f>
        <v>SmGmGmgSngSDSnSDSDSSGmDSDSDGmGPmGmGmgSG</v>
      </c>
      <c r="H138" s="410" t="str">
        <f>IFERROR(__xludf.DUMMYFUNCTION("ArrayFormula(join(,unique(mid(F138,sequence(len(F138)),1))))"),"SgGmPDn")</f>
        <v>SgGmPDn</v>
      </c>
      <c r="I138" s="410">
        <f t="shared" si="1"/>
        <v>7</v>
      </c>
      <c r="J138" s="412" t="str">
        <f>IFERROR(__xludf.DUMMYFUNCTION("ArrayFormula(join(,unique(mid(G138,sequence(len(G138)),1))))"),"SmGgnDP")</f>
        <v>SmGgnDP</v>
      </c>
      <c r="K138" s="411">
        <f t="shared" si="2"/>
        <v>7</v>
      </c>
    </row>
    <row r="139">
      <c r="A139" s="406" t="s">
        <v>845</v>
      </c>
      <c r="B139" s="407" t="s">
        <v>846</v>
      </c>
      <c r="C139" s="222" t="s">
        <v>847</v>
      </c>
      <c r="D139" s="408" t="b">
        <f>IFERROR(__xludf.DUMMYFUNCTION("arrayformula(sum(--REGEXMATCH(H139,split(REGEXREPLACE(J139,""(.)"",""$1~""),""~""))))=len(J139)"),FALSE)</f>
        <v>0</v>
      </c>
      <c r="E139" s="409" t="s">
        <v>733</v>
      </c>
      <c r="F139" s="410" t="str">
        <f>IFERROR(__xludf.DUMMYFUNCTION("REGEXREPLACE(B139,""[^[:alpha:]]"", """")"),"SrmPdNS")</f>
        <v>SrmPdNS</v>
      </c>
      <c r="G139" s="411" t="str">
        <f>IFERROR(__xludf.DUMMYFUNCTION("REGEXREPLACE(C139,""[^[:alpha:]]"", """")"),"SrmPdPPmGmGrSSSmmGrmGrSrPrmGrSSrPrmrPPrmmPdPPPdddPmmPmPddPmGmGrSSSdrrrNrGrGrSSNSNSNSNSrSrSNdmrPPNdSdrNSNSrmPddPmGGmGrSSS")</f>
        <v>SrmPdPPmGmGrSSSmmGrmGrSrPrmGrSSrPrmrPPrmmPdPPPdddPmmPmPddPmGmGrSSSdrrrNrGrGrSSNSNSNSNSrSrSNdmrPPNdSdrNSNSrmPddPmGGmGrSSS</v>
      </c>
      <c r="H139" s="410" t="str">
        <f>IFERROR(__xludf.DUMMYFUNCTION("ArrayFormula(join(,unique(mid(F139,sequence(len(F139)),1))))"),"SrmPdN")</f>
        <v>SrmPdN</v>
      </c>
      <c r="I139" s="410">
        <f t="shared" si="1"/>
        <v>6</v>
      </c>
      <c r="J139" s="412" t="str">
        <f>IFERROR(__xludf.DUMMYFUNCTION("ArrayFormula(join(,unique(mid(G139,sequence(len(G139)),1))))"),"SrmPdGN")</f>
        <v>SrmPdGN</v>
      </c>
      <c r="K139" s="411">
        <f t="shared" si="2"/>
        <v>7</v>
      </c>
    </row>
    <row r="140">
      <c r="A140" s="413" t="s">
        <v>470</v>
      </c>
      <c r="B140" s="407" t="s">
        <v>471</v>
      </c>
      <c r="C140" s="222" t="s">
        <v>471</v>
      </c>
      <c r="D140" s="408" t="b">
        <f>IFERROR(__xludf.DUMMYFUNCTION("arrayformula(sum(--REGEXMATCH(H140,split(REGEXREPLACE(J140,""(.)"",""$1~""),""~""))))=len(J140)"),TRUE)</f>
        <v>1</v>
      </c>
      <c r="E140" s="409" t="s">
        <v>513</v>
      </c>
      <c r="F140" s="410" t="str">
        <f>IFERROR(__xludf.DUMMYFUNCTION("REGEXREPLACE(B140,""[^[:alpha:]]"", """")"),"SgGmPdNS")</f>
        <v>SgGmPdNS</v>
      </c>
      <c r="G140" s="411" t="str">
        <f>IFERROR(__xludf.DUMMYFUNCTION("REGEXREPLACE(C140,""[^[:alpha:]]"", """")"),"SgGmPdNS")</f>
        <v>SgGmPdNS</v>
      </c>
      <c r="H140" s="410" t="str">
        <f>IFERROR(__xludf.DUMMYFUNCTION("ArrayFormula(join(,unique(mid(F140,sequence(len(F140)),1))))"),"SgGmPdN")</f>
        <v>SgGmPdN</v>
      </c>
      <c r="I140" s="410">
        <f t="shared" si="1"/>
        <v>7</v>
      </c>
      <c r="J140" s="412" t="str">
        <f>IFERROR(__xludf.DUMMYFUNCTION("ArrayFormula(join(,unique(mid(G140,sequence(len(G140)),1))))"),"SgGmPdN")</f>
        <v>SgGmPdN</v>
      </c>
      <c r="K140" s="411">
        <f t="shared" si="2"/>
        <v>7</v>
      </c>
    </row>
    <row r="141">
      <c r="A141" s="406" t="s">
        <v>848</v>
      </c>
      <c r="B141" s="407" t="s">
        <v>849</v>
      </c>
      <c r="C141" s="222" t="s">
        <v>850</v>
      </c>
      <c r="D141" s="408" t="b">
        <f>IFERROR(__xludf.DUMMYFUNCTION("arrayformula(sum(--REGEXMATCH(H141,split(REGEXREPLACE(J141,""(.)"",""$1~""),""~""))))=len(J141)"),TRUE)</f>
        <v>1</v>
      </c>
      <c r="E141" s="409" t="s">
        <v>513</v>
      </c>
      <c r="F141" s="410" t="str">
        <f>IFERROR(__xludf.DUMMYFUNCTION("REGEXREPLACE(B141,""[^[:alpha:]]"", """")"),"SrGmPdDnNS")</f>
        <v>SrGmPdDnNS</v>
      </c>
      <c r="G141" s="411" t="str">
        <f>IFERROR(__xludf.DUMMYFUNCTION("REGEXREPLACE(C141,""[^[:alpha:]]"", """")"),"mPdndrSNSdmmPPGGmrSrGmmPPSdmGmPGGmPmGrSrSSmGmmPPPdPNPPPdPdmmGmPPGPGmmmPdPdrSSdmPGmrSrGm")</f>
        <v>mPdndrSNSdmmPPGGmrSrGmmPPSdmGmPGGmPmGrSrSSmGmmPPPdPNPPPdPdmmGmPPGPGmmmPdPdrSSdmPGmrSrGm</v>
      </c>
      <c r="H141" s="410" t="str">
        <f>IFERROR(__xludf.DUMMYFUNCTION("ArrayFormula(join(,unique(mid(F141,sequence(len(F141)),1))))"),"SrGmPdDnN")</f>
        <v>SrGmPdDnN</v>
      </c>
      <c r="I141" s="410">
        <f t="shared" si="1"/>
        <v>9</v>
      </c>
      <c r="J141" s="412" t="str">
        <f>IFERROR(__xludf.DUMMYFUNCTION("ArrayFormula(join(,unique(mid(G141,sequence(len(G141)),1))))"),"mPdnrSNG")</f>
        <v>mPdnrSNG</v>
      </c>
      <c r="K141" s="411">
        <f t="shared" si="2"/>
        <v>8</v>
      </c>
    </row>
    <row r="142">
      <c r="A142" s="413" t="s">
        <v>121</v>
      </c>
      <c r="B142" s="407" t="s">
        <v>561</v>
      </c>
      <c r="C142" s="222" t="s">
        <v>561</v>
      </c>
      <c r="D142" s="408" t="b">
        <f>IFERROR(__xludf.DUMMYFUNCTION("arrayformula(sum(--REGEXMATCH(H142,split(REGEXREPLACE(J142,""(.)"",""$1~""),""~""))))=len(J142)"),TRUE)</f>
        <v>1</v>
      </c>
      <c r="E142" s="409" t="s">
        <v>513</v>
      </c>
      <c r="F142" s="410" t="str">
        <f>IFERROR(__xludf.DUMMYFUNCTION("REGEXREPLACE(B142,""[^[:alpha:]]"", """")"),"SRgmPDnS")</f>
        <v>SRgmPDnS</v>
      </c>
      <c r="G142" s="411" t="str">
        <f>IFERROR(__xludf.DUMMYFUNCTION("REGEXREPLACE(C142,""[^[:alpha:]]"", """")"),"SRgmPDnS")</f>
        <v>SRgmPDnS</v>
      </c>
      <c r="H142" s="410" t="str">
        <f>IFERROR(__xludf.DUMMYFUNCTION("ArrayFormula(join(,unique(mid(F142,sequence(len(F142)),1))))"),"SRgmPDn")</f>
        <v>SRgmPDn</v>
      </c>
      <c r="I142" s="410">
        <f t="shared" si="1"/>
        <v>7</v>
      </c>
      <c r="J142" s="412" t="str">
        <f>IFERROR(__xludf.DUMMYFUNCTION("ArrayFormula(join(,unique(mid(G142,sequence(len(G142)),1))))"),"SRgmPDn")</f>
        <v>SRgmPDn</v>
      </c>
      <c r="K142" s="411">
        <f t="shared" si="2"/>
        <v>7</v>
      </c>
    </row>
    <row r="143">
      <c r="A143" s="406" t="s">
        <v>851</v>
      </c>
      <c r="B143" s="407" t="s">
        <v>738</v>
      </c>
      <c r="C143" s="222" t="s">
        <v>852</v>
      </c>
      <c r="D143" s="408" t="b">
        <f>IFERROR(__xludf.DUMMYFUNCTION("arrayformula(sum(--REGEXMATCH(H143,split(REGEXREPLACE(J143,""(.)"",""$1~""),""~""))))=len(J143)"),TRUE)</f>
        <v>1</v>
      </c>
      <c r="E143" s="409" t="s">
        <v>513</v>
      </c>
      <c r="F143" s="410" t="str">
        <f>IFERROR(__xludf.DUMMYFUNCTION("REGEXREPLACE(B143,""[^[:alpha:]]"", """")"),"SRGmPDnS")</f>
        <v>SRGmPDnS</v>
      </c>
      <c r="G143" s="411" t="str">
        <f>IFERROR(__xludf.DUMMYFUNCTION("REGEXREPLACE(C143,""[^[:alpha:]]"", """")"),"SGPDPGPGGmRnSGGGPDDPGPGmGnSGGmRSnD")</f>
        <v>SGPDPGPGGmRnSGGGPDDPGPGmGnSGGmRSnD</v>
      </c>
      <c r="H143" s="410" t="str">
        <f>IFERROR(__xludf.DUMMYFUNCTION("ArrayFormula(join(,unique(mid(F143,sequence(len(F143)),1))))"),"SRGmPDn")</f>
        <v>SRGmPDn</v>
      </c>
      <c r="I143" s="410">
        <f t="shared" si="1"/>
        <v>7</v>
      </c>
      <c r="J143" s="412" t="str">
        <f>IFERROR(__xludf.DUMMYFUNCTION("ArrayFormula(join(,unique(mid(G143,sequence(len(G143)),1))))"),"SGPDmRn")</f>
        <v>SGPDmRn</v>
      </c>
      <c r="K143" s="411">
        <f t="shared" si="2"/>
        <v>7</v>
      </c>
    </row>
    <row r="144">
      <c r="A144" s="413" t="s">
        <v>853</v>
      </c>
      <c r="B144" s="407" t="s">
        <v>854</v>
      </c>
      <c r="C144" s="222" t="s">
        <v>854</v>
      </c>
      <c r="D144" s="408" t="b">
        <f>IFERROR(__xludf.DUMMYFUNCTION("arrayformula(sum(--REGEXMATCH(H144,split(REGEXREPLACE(J144,""(.)"",""$1~""),""~""))))=len(J144)"),TRUE)</f>
        <v>1</v>
      </c>
      <c r="E144" s="409" t="s">
        <v>513</v>
      </c>
      <c r="F144" s="410" t="str">
        <f>IFERROR(__xludf.DUMMYFUNCTION("REGEXREPLACE(B144,""[^[:alpha:]]"", """")"),"SGPDnS")</f>
        <v>SGPDnS</v>
      </c>
      <c r="G144" s="411" t="str">
        <f>IFERROR(__xludf.DUMMYFUNCTION("REGEXREPLACE(C144,""[^[:alpha:]]"", """")"),"SGPDnS")</f>
        <v>SGPDnS</v>
      </c>
      <c r="H144" s="410" t="str">
        <f>IFERROR(__xludf.DUMMYFUNCTION("ArrayFormula(join(,unique(mid(F144,sequence(len(F144)),1))))"),"SGPDn")</f>
        <v>SGPDn</v>
      </c>
      <c r="I144" s="410">
        <f t="shared" si="1"/>
        <v>5</v>
      </c>
      <c r="J144" s="412" t="str">
        <f>IFERROR(__xludf.DUMMYFUNCTION("ArrayFormula(join(,unique(mid(G144,sequence(len(G144)),1))))"),"SGPDn")</f>
        <v>SGPDn</v>
      </c>
      <c r="K144" s="411">
        <f t="shared" si="2"/>
        <v>5</v>
      </c>
    </row>
    <row r="145">
      <c r="A145" s="406" t="s">
        <v>855</v>
      </c>
      <c r="B145" s="407" t="s">
        <v>591</v>
      </c>
      <c r="C145" s="222" t="s">
        <v>856</v>
      </c>
      <c r="D145" s="408" t="b">
        <f>IFERROR(__xludf.DUMMYFUNCTION("arrayformula(sum(--REGEXMATCH(H145,split(REGEXREPLACE(J145,""(.)"",""$1~""),""~""))))=len(J145)"),FALSE)</f>
        <v>0</v>
      </c>
      <c r="E145" s="409" t="s">
        <v>578</v>
      </c>
      <c r="F145" s="410" t="str">
        <f>IFERROR(__xludf.DUMMYFUNCTION("REGEXREPLACE(B145,""[^[:alpha:]]"", """")"),"SrGmPdNS")</f>
        <v>SrGmPdNS</v>
      </c>
      <c r="G145" s="411" t="str">
        <f>IFERROR(__xludf.DUMMYFUNCTION("REGEXREPLACE(C145,""[^[:alpha:]]"", """")"),"GmGPPdmPnddPdPmGGmGPGmPdSNSNdPmPndPPmPG")</f>
        <v>GmGPPdmPnddPdPmGGmGPGmPdSNSNdPmPndPPmPG</v>
      </c>
      <c r="H145" s="410" t="str">
        <f>IFERROR(__xludf.DUMMYFUNCTION("ArrayFormula(join(,unique(mid(F145,sequence(len(F145)),1))))"),"SrGmPdN")</f>
        <v>SrGmPdN</v>
      </c>
      <c r="I145" s="410">
        <f t="shared" si="1"/>
        <v>7</v>
      </c>
      <c r="J145" s="412" t="str">
        <f>IFERROR(__xludf.DUMMYFUNCTION("ArrayFormula(join(,unique(mid(G145,sequence(len(G145)),1))))"),"GmPdnSN")</f>
        <v>GmPdnSN</v>
      </c>
      <c r="K145" s="411">
        <f t="shared" si="2"/>
        <v>7</v>
      </c>
    </row>
    <row r="146">
      <c r="A146" s="406" t="s">
        <v>857</v>
      </c>
      <c r="B146" s="407" t="s">
        <v>738</v>
      </c>
      <c r="C146" s="222" t="s">
        <v>858</v>
      </c>
      <c r="D146" s="408" t="b">
        <f>IFERROR(__xludf.DUMMYFUNCTION("arrayformula(sum(--REGEXMATCH(H146,split(REGEXREPLACE(J146,""(.)"",""$1~""),""~""))))=len(J146)"),TRUE)</f>
        <v>1</v>
      </c>
      <c r="E146" s="409" t="s">
        <v>513</v>
      </c>
      <c r="F146" s="410" t="str">
        <f>IFERROR(__xludf.DUMMYFUNCTION("REGEXREPLACE(B146,""[^[:alpha:]]"", """")"),"SRGmPDnS")</f>
        <v>SRGmPDnS</v>
      </c>
      <c r="G146" s="411" t="str">
        <f>IFERROR(__xludf.DUMMYFUNCTION("REGEXREPLACE(C146,""[^[:alpha:]]"", """")"),"GGGmGmRSSSGRGRGGmRSSSSRSnDnPSSnSnSDnDPDnDSDDDnDDnDPDPSDS")</f>
        <v>GGGmGmRSSSGRGRGGmRSSSSRSnDnPSSnSnSDnDPDnDSDDDnDDnDPDPSDS</v>
      </c>
      <c r="H146" s="410" t="str">
        <f>IFERROR(__xludf.DUMMYFUNCTION("ArrayFormula(join(,unique(mid(F146,sequence(len(F146)),1))))"),"SRGmPDn")</f>
        <v>SRGmPDn</v>
      </c>
      <c r="I146" s="410">
        <f t="shared" si="1"/>
        <v>7</v>
      </c>
      <c r="J146" s="412" t="str">
        <f>IFERROR(__xludf.DUMMYFUNCTION("ArrayFormula(join(,unique(mid(G146,sequence(len(G146)),1))))"),"GmRSnDP")</f>
        <v>GmRSnDP</v>
      </c>
      <c r="K146" s="411">
        <f t="shared" si="2"/>
        <v>7</v>
      </c>
    </row>
    <row r="147">
      <c r="A147" s="406" t="s">
        <v>860</v>
      </c>
      <c r="B147" s="407" t="s">
        <v>861</v>
      </c>
      <c r="C147" s="222" t="s">
        <v>862</v>
      </c>
      <c r="D147" s="408" t="b">
        <f>IFERROR(__xludf.DUMMYFUNCTION("arrayformula(sum(--REGEXMATCH(H147,split(REGEXREPLACE(J147,""(.)"",""$1~""),""~""))))=len(J147)"),TRUE)</f>
        <v>1</v>
      </c>
      <c r="E147" s="409" t="s">
        <v>513</v>
      </c>
      <c r="F147" s="410" t="str">
        <f>IFERROR(__xludf.DUMMYFUNCTION("REGEXREPLACE(B147,""[^[:alpha:]]"", """")"),"SRMPDnS")</f>
        <v>SRMPDnS</v>
      </c>
      <c r="G147" s="411" t="str">
        <f>IFERROR(__xludf.DUMMYFUNCTION("REGEXREPLACE(C147,""[^[:alpha:]]"", """")"),"RMPPMRSMRSnSnDPMPDnDSnSRRMP")</f>
        <v>RMPPMRSMRSnSnDPMPDnDSnSRRMP</v>
      </c>
      <c r="H147" s="410" t="str">
        <f>IFERROR(__xludf.DUMMYFUNCTION("ArrayFormula(join(,unique(mid(F147,sequence(len(F147)),1))))"),"SRMPDn")</f>
        <v>SRMPDn</v>
      </c>
      <c r="I147" s="410">
        <f t="shared" si="1"/>
        <v>6</v>
      </c>
      <c r="J147" s="412" t="str">
        <f>IFERROR(__xludf.DUMMYFUNCTION("ArrayFormula(join(,unique(mid(G147,sequence(len(G147)),1))))"),"RMPSnD")</f>
        <v>RMPSnD</v>
      </c>
      <c r="K147" s="411">
        <f t="shared" si="2"/>
        <v>6</v>
      </c>
    </row>
    <row r="148">
      <c r="A148" s="406" t="s">
        <v>863</v>
      </c>
      <c r="B148" s="407" t="s">
        <v>632</v>
      </c>
      <c r="C148" s="222" t="s">
        <v>864</v>
      </c>
      <c r="D148" s="408" t="b">
        <f>IFERROR(__xludf.DUMMYFUNCTION("arrayformula(sum(--REGEXMATCH(H148,split(REGEXREPLACE(J148,""(.)"",""$1~""),""~""))))=len(J148)"),TRUE)</f>
        <v>1</v>
      </c>
      <c r="E148" s="409" t="s">
        <v>513</v>
      </c>
      <c r="F148" s="410" t="str">
        <f>IFERROR(__xludf.DUMMYFUNCTION("REGEXREPLACE(B148,""[^[:alpha:]]"", """")"),"SRGmMPDNS")</f>
        <v>SRGmMPDNS</v>
      </c>
      <c r="G148" s="411" t="str">
        <f>IFERROR(__xludf.DUMMYFUNCTION("REGEXREPLACE(C148,""[^[:alpha:]]"", """")"),"SmRRPRPSNSNRNSRDNPDPDMPGmRGRSNSNSSmRRPRPMPGmRS")</f>
        <v>SmRRPRPSNSNRNSRDNPDPDMPGmRGRSNSNSSmRRPRPMPGmRS</v>
      </c>
      <c r="H148" s="410" t="str">
        <f>IFERROR(__xludf.DUMMYFUNCTION("ArrayFormula(join(,unique(mid(F148,sequence(len(F148)),1))))"),"SRGmMPDN")</f>
        <v>SRGmMPDN</v>
      </c>
      <c r="I148" s="410">
        <f t="shared" si="1"/>
        <v>8</v>
      </c>
      <c r="J148" s="412" t="str">
        <f>IFERROR(__xludf.DUMMYFUNCTION("ArrayFormula(join(,unique(mid(G148,sequence(len(G148)),1))))"),"SmRPNDMG")</f>
        <v>SmRPNDMG</v>
      </c>
      <c r="K148" s="411">
        <f t="shared" si="2"/>
        <v>8</v>
      </c>
    </row>
    <row r="149">
      <c r="A149" s="413" t="s">
        <v>548</v>
      </c>
      <c r="B149" s="407" t="s">
        <v>405</v>
      </c>
      <c r="C149" s="222" t="s">
        <v>405</v>
      </c>
      <c r="D149" s="408" t="b">
        <f>IFERROR(__xludf.DUMMYFUNCTION("arrayformula(sum(--REGEXMATCH(H149,split(REGEXREPLACE(J149,""(.)"",""$1~""),""~""))))=len(J149)"),TRUE)</f>
        <v>1</v>
      </c>
      <c r="E149" s="409" t="s">
        <v>513</v>
      </c>
      <c r="F149" s="410" t="str">
        <f>IFERROR(__xludf.DUMMYFUNCTION("REGEXREPLACE(B149,""[^[:alpha:]]"", """")"),"SRgmPdnS")</f>
        <v>SRgmPdnS</v>
      </c>
      <c r="G149" s="411" t="str">
        <f>IFERROR(__xludf.DUMMYFUNCTION("REGEXREPLACE(C149,""[^[:alpha:]]"", """")"),"SRgmPdnS")</f>
        <v>SRgmPdnS</v>
      </c>
      <c r="H149" s="410" t="str">
        <f>IFERROR(__xludf.DUMMYFUNCTION("ArrayFormula(join(,unique(mid(F149,sequence(len(F149)),1))))"),"SRgmPdn")</f>
        <v>SRgmPdn</v>
      </c>
      <c r="I149" s="410">
        <f t="shared" si="1"/>
        <v>7</v>
      </c>
      <c r="J149" s="412" t="str">
        <f>IFERROR(__xludf.DUMMYFUNCTION("ArrayFormula(join(,unique(mid(G149,sequence(len(G149)),1))))"),"SRgmPdn")</f>
        <v>SRgmPdn</v>
      </c>
      <c r="K149" s="411">
        <f t="shared" si="2"/>
        <v>7</v>
      </c>
    </row>
    <row r="150">
      <c r="A150" s="406" t="s">
        <v>859</v>
      </c>
      <c r="B150" s="407" t="s">
        <v>616</v>
      </c>
      <c r="C150" s="222" t="s">
        <v>865</v>
      </c>
      <c r="D150" s="408" t="b">
        <f>IFERROR(__xludf.DUMMYFUNCTION("arrayformula(sum(--REGEXMATCH(H150,split(REGEXREPLACE(J150,""(.)"",""$1~""),""~""))))=len(J150)"),FALSE)</f>
        <v>0</v>
      </c>
      <c r="E150" s="409" t="s">
        <v>578</v>
      </c>
      <c r="F150" s="410" t="str">
        <f>IFERROR(__xludf.DUMMYFUNCTION("REGEXREPLACE(B150,""[^[:alpha:]]"", """")"),"SGmDNS")</f>
        <v>SGmDNS</v>
      </c>
      <c r="G150" s="411" t="str">
        <f>IFERROR(__xludf.DUMMYFUNCTION("REGEXREPLACE(C150,""[^[:alpha:]]"", """")"),"SGmDNSSNDDNDmmGGSDSnSSGmDNSSNDDNDmmG")</f>
        <v>SGmDNSSNDDNDmmGGSDSnSSGmDNSSNDDNDmmG</v>
      </c>
      <c r="H150" s="410" t="str">
        <f>IFERROR(__xludf.DUMMYFUNCTION("ArrayFormula(join(,unique(mid(F150,sequence(len(F150)),1))))"),"SGmDN")</f>
        <v>SGmDN</v>
      </c>
      <c r="I150" s="410">
        <f t="shared" si="1"/>
        <v>5</v>
      </c>
      <c r="J150" s="412" t="str">
        <f>IFERROR(__xludf.DUMMYFUNCTION("ArrayFormula(join(,unique(mid(G150,sequence(len(G150)),1))))"),"SGmDNn")</f>
        <v>SGmDNn</v>
      </c>
      <c r="K150" s="411">
        <f t="shared" si="2"/>
        <v>6</v>
      </c>
    </row>
    <row r="151">
      <c r="A151" s="406" t="s">
        <v>866</v>
      </c>
      <c r="B151" s="407" t="s">
        <v>867</v>
      </c>
      <c r="C151" s="222" t="s">
        <v>868</v>
      </c>
      <c r="D151" s="408" t="b">
        <f>IFERROR(__xludf.DUMMYFUNCTION("arrayformula(sum(--REGEXMATCH(H151,split(REGEXREPLACE(J151,""(.)"",""$1~""),""~""))))=len(J151)"),FALSE)</f>
        <v>0</v>
      </c>
      <c r="E151" s="409" t="s">
        <v>869</v>
      </c>
      <c r="F151" s="410" t="str">
        <f>IFERROR(__xludf.DUMMYFUNCTION("REGEXREPLACE(B151,""[^[:alpha:]]"", """")"),"SRmMPDNS")</f>
        <v>SRmMPDNS</v>
      </c>
      <c r="G151" s="411" t="str">
        <f>IFERROR(__xludf.DUMMYFUNCTION("REGEXREPLACE(C151,""[^[:alpha:]]"", """")"),"SNSmmGmPPDPMPMPDMPMMPMDPmGmSmGmGPDPMPRmRSNSSNRSSDDnDnDPPSRSRSNS")</f>
        <v>SNSmmGmPPDPMPMPDMPMMPMDPmGmSmGmGPDPMPRmRSNSSNRSSDDnDnDPPSRSRSNS</v>
      </c>
      <c r="H151" s="410" t="str">
        <f>IFERROR(__xludf.DUMMYFUNCTION("ArrayFormula(join(,unique(mid(F151,sequence(len(F151)),1))))"),"SRmMPDN")</f>
        <v>SRmMPDN</v>
      </c>
      <c r="I151" s="410">
        <f t="shared" si="1"/>
        <v>7</v>
      </c>
      <c r="J151" s="412" t="str">
        <f>IFERROR(__xludf.DUMMYFUNCTION("ArrayFormula(join(,unique(mid(G151,sequence(len(G151)),1))))"),"SNmGPDMRn")</f>
        <v>SNmGPDMRn</v>
      </c>
      <c r="K151" s="411">
        <f t="shared" si="2"/>
        <v>9</v>
      </c>
    </row>
    <row r="152">
      <c r="A152" s="406" t="s">
        <v>870</v>
      </c>
      <c r="B152" s="407" t="s">
        <v>871</v>
      </c>
      <c r="C152" s="222" t="s">
        <v>872</v>
      </c>
      <c r="D152" s="408" t="b">
        <f>IFERROR(__xludf.DUMMYFUNCTION("arrayformula(sum(--REGEXMATCH(H152,split(REGEXREPLACE(J152,""(.)"",""$1~""),""~""))))=len(J152)"),TRUE)</f>
        <v>1</v>
      </c>
      <c r="E152" s="409" t="s">
        <v>513</v>
      </c>
      <c r="F152" s="410" t="str">
        <f>IFERROR(__xludf.DUMMYFUNCTION("REGEXREPLACE(B152,""[^[:alpha:]]"", """")"),"SRGPDNS")</f>
        <v>SRGPDNS</v>
      </c>
      <c r="G152" s="411" t="str">
        <f>IFERROR(__xludf.DUMMYFUNCTION("REGEXREPLACE(C152,""[^[:alpha:]]"", """")"),"SSGRGRSRGGRGRSSRGGRSRSNDPNDNDSPNSRGRSRGRSSRGRGPGPGPPPNSGRGRSNSSNPPSNSPPGGPGPRSSRGPDPDPDPDPGRSRGPGSGRGRSRGRSSRGGRSRSNDPNDS")</f>
        <v>SSGRGRSRGGRGRSSRGGRSRSNDPNDNDSPNSRGRSRGRSSRGRGPGPGPPPNSGRGRSNSSNPPSNSPPGGPGPRSSRGPDPDPDPDPGRSRGPGSGRGRSRGRSSRGGRSRSNDPNDS</v>
      </c>
      <c r="H152" s="410" t="str">
        <f>IFERROR(__xludf.DUMMYFUNCTION("ArrayFormula(join(,unique(mid(F152,sequence(len(F152)),1))))"),"SRGPDN")</f>
        <v>SRGPDN</v>
      </c>
      <c r="I152" s="410">
        <f t="shared" si="1"/>
        <v>6</v>
      </c>
      <c r="J152" s="412" t="str">
        <f>IFERROR(__xludf.DUMMYFUNCTION("ArrayFormula(join(,unique(mid(G152,sequence(len(G152)),1))))"),"SGRNDP")</f>
        <v>SGRNDP</v>
      </c>
      <c r="K152" s="411">
        <f t="shared" si="2"/>
        <v>6</v>
      </c>
    </row>
    <row r="153">
      <c r="A153" s="406" t="s">
        <v>120</v>
      </c>
      <c r="B153" s="407" t="s">
        <v>738</v>
      </c>
      <c r="C153" s="222" t="s">
        <v>873</v>
      </c>
      <c r="D153" s="408" t="b">
        <f>IFERROR(__xludf.DUMMYFUNCTION("arrayformula(sum(--REGEXMATCH(H153,split(REGEXREPLACE(J153,""(.)"",""$1~""),""~""))))=len(J153)"),TRUE)</f>
        <v>1</v>
      </c>
      <c r="E153" s="409" t="s">
        <v>513</v>
      </c>
      <c r="F153" s="410" t="str">
        <f>IFERROR(__xludf.DUMMYFUNCTION("REGEXREPLACE(B153,""[^[:alpha:]]"", """")"),"SRGmPDnS")</f>
        <v>SRGmPDnS</v>
      </c>
      <c r="G153" s="411" t="str">
        <f>IFERROR(__xludf.DUMMYFUNCTION("REGEXREPLACE(C153,""[^[:alpha:]]"", """")"),"mGmPnDnPnPnD")</f>
        <v>mGmPnDnPnPnD</v>
      </c>
      <c r="H153" s="410" t="str">
        <f>IFERROR(__xludf.DUMMYFUNCTION("ArrayFormula(join(,unique(mid(F153,sequence(len(F153)),1))))"),"SRGmPDn")</f>
        <v>SRGmPDn</v>
      </c>
      <c r="I153" s="410">
        <f t="shared" si="1"/>
        <v>7</v>
      </c>
      <c r="J153" s="412" t="str">
        <f>IFERROR(__xludf.DUMMYFUNCTION("ArrayFormula(join(,unique(mid(G153,sequence(len(G153)),1))))"),"mGPnD")</f>
        <v>mGPnD</v>
      </c>
      <c r="K153" s="411">
        <f t="shared" si="2"/>
        <v>5</v>
      </c>
    </row>
    <row r="154">
      <c r="A154" s="406" t="s">
        <v>874</v>
      </c>
      <c r="B154" s="407" t="s">
        <v>738</v>
      </c>
      <c r="C154" s="222" t="s">
        <v>875</v>
      </c>
      <c r="D154" s="408" t="b">
        <f>IFERROR(__xludf.DUMMYFUNCTION("arrayformula(sum(--REGEXMATCH(H154,split(REGEXREPLACE(J154,""(.)"",""$1~""),""~""))))=len(J154)"),TRUE)</f>
        <v>1</v>
      </c>
      <c r="E154" s="409" t="s">
        <v>513</v>
      </c>
      <c r="F154" s="410" t="str">
        <f>IFERROR(__xludf.DUMMYFUNCTION("REGEXREPLACE(B154,""[^[:alpha:]]"", """")"),"SRGmPDnS")</f>
        <v>SRGmPDnS</v>
      </c>
      <c r="G154" s="411" t="str">
        <f>IFERROR(__xludf.DUMMYFUNCTION("REGEXREPLACE(C154,""[^[:alpha:]]"", """")"),"SGRRmPDPDSmDPnDSRSnDPmPPDPDPmPDPmRPmDPmPmPGSmRmPDPDS")</f>
        <v>SGRRmPDPDSmDPnDSRSnDPmPPDPDPmPDPmRPmDPmPmPGSmRmPDPDS</v>
      </c>
      <c r="H154" s="410" t="str">
        <f>IFERROR(__xludf.DUMMYFUNCTION("ArrayFormula(join(,unique(mid(F154,sequence(len(F154)),1))))"),"SRGmPDn")</f>
        <v>SRGmPDn</v>
      </c>
      <c r="I154" s="410">
        <f t="shared" si="1"/>
        <v>7</v>
      </c>
      <c r="J154" s="412" t="str">
        <f>IFERROR(__xludf.DUMMYFUNCTION("ArrayFormula(join(,unique(mid(G154,sequence(len(G154)),1))))"),"SGRmPDn")</f>
        <v>SGRmPDn</v>
      </c>
      <c r="K154" s="411">
        <f t="shared" si="2"/>
        <v>7</v>
      </c>
    </row>
    <row r="155">
      <c r="A155" s="406" t="s">
        <v>876</v>
      </c>
      <c r="B155" s="407" t="s">
        <v>877</v>
      </c>
      <c r="C155" s="222" t="s">
        <v>878</v>
      </c>
      <c r="D155" s="408" t="b">
        <f>IFERROR(__xludf.DUMMYFUNCTION("arrayformula(sum(--REGEXMATCH(H155,split(REGEXREPLACE(J155,""(.)"",""$1~""),""~""))))=len(J155)"),TRUE)</f>
        <v>1</v>
      </c>
      <c r="E155" s="409" t="s">
        <v>513</v>
      </c>
      <c r="F155" s="410" t="str">
        <f>IFERROR(__xludf.DUMMYFUNCTION("REGEXREPLACE(B155,""[^[:alpha:]]"", """")"),"SrRgGmPdDnS")</f>
        <v>SrRgGmPdDnS</v>
      </c>
      <c r="G155" s="411" t="str">
        <f>IFERROR(__xludf.DUMMYFUNCTION("REGEXREPLACE(C155,""[^[:alpha:]]"", """")"),"mRmRPmPPmPmRgSRmnRmRmPmPRdPndnddnnPPPnmmnPPSPSnSSnSRSSnnd")</f>
        <v>mRmRPmPPmPmRgSRmnRmRmPmPRdPndnddnnPPPnmmnPPSPSnSSnSRSSnnd</v>
      </c>
      <c r="H155" s="410" t="str">
        <f>IFERROR(__xludf.DUMMYFUNCTION("ArrayFormula(join(,unique(mid(F155,sequence(len(F155)),1))))"),"SrRgGmPdDn")</f>
        <v>SrRgGmPdDn</v>
      </c>
      <c r="I155" s="410">
        <f t="shared" si="1"/>
        <v>10</v>
      </c>
      <c r="J155" s="412" t="str">
        <f>IFERROR(__xludf.DUMMYFUNCTION("ArrayFormula(join(,unique(mid(G155,sequence(len(G155)),1))))"),"mRPgSnd")</f>
        <v>mRPgSnd</v>
      </c>
      <c r="K155" s="411">
        <f t="shared" si="2"/>
        <v>7</v>
      </c>
    </row>
    <row r="156">
      <c r="A156" s="406" t="s">
        <v>879</v>
      </c>
      <c r="B156" s="407" t="s">
        <v>435</v>
      </c>
      <c r="C156" s="222" t="s">
        <v>880</v>
      </c>
      <c r="D156" s="408" t="b">
        <f>IFERROR(__xludf.DUMMYFUNCTION("arrayformula(sum(--REGEXMATCH(H156,split(REGEXREPLACE(J156,""(.)"",""$1~""),""~""))))=len(J156)"),TRUE)</f>
        <v>1</v>
      </c>
      <c r="E156" s="409" t="s">
        <v>513</v>
      </c>
      <c r="F156" s="410" t="str">
        <f>IFERROR(__xludf.DUMMYFUNCTION("REGEXREPLACE(B156,""[^[:alpha:]]"", """")"),"SrgmMPdnNS")</f>
        <v>SrgmMPdnNS</v>
      </c>
      <c r="G156" s="411" t="str">
        <f>IFERROR(__xludf.DUMMYFUNCTION("REGEXREPLACE(C156,""[^[:alpha:]]"", """")"),"dMgMdSSddnnPPMgMddMggMgrSSrgmmgmmgPSdndPMdNSdMgMdSSddnnP")</f>
        <v>dMgMdSSddnnPPMgMddMggMgrSSrgmmgmmgPSdndPMdNSdMgMdSSddnnP</v>
      </c>
      <c r="H156" s="410" t="str">
        <f>IFERROR(__xludf.DUMMYFUNCTION("ArrayFormula(join(,unique(mid(F156,sequence(len(F156)),1))))"),"SrgmMPdnN")</f>
        <v>SrgmMPdnN</v>
      </c>
      <c r="I156" s="410">
        <f t="shared" si="1"/>
        <v>9</v>
      </c>
      <c r="J156" s="412" t="str">
        <f>IFERROR(__xludf.DUMMYFUNCTION("ArrayFormula(join(,unique(mid(G156,sequence(len(G156)),1))))"),"dMgSnPrmN")</f>
        <v>dMgSnPrmN</v>
      </c>
      <c r="K156" s="411">
        <f t="shared" si="2"/>
        <v>9</v>
      </c>
    </row>
    <row r="157">
      <c r="A157" s="406" t="s">
        <v>881</v>
      </c>
      <c r="B157" s="407" t="s">
        <v>632</v>
      </c>
      <c r="C157" s="222" t="s">
        <v>882</v>
      </c>
      <c r="D157" s="408" t="b">
        <f>IFERROR(__xludf.DUMMYFUNCTION("arrayformula(sum(--REGEXMATCH(H157,split(REGEXREPLACE(J157,""(.)"",""$1~""),""~""))))=len(J157)"),TRUE)</f>
        <v>1</v>
      </c>
      <c r="E157" s="409" t="s">
        <v>513</v>
      </c>
      <c r="F157" s="410" t="str">
        <f>IFERROR(__xludf.DUMMYFUNCTION("REGEXREPLACE(B157,""[^[:alpha:]]"", """")"),"SRGmMPDNS")</f>
        <v>SRGmMPDNS</v>
      </c>
      <c r="G157" s="411" t="str">
        <f>IFERROR(__xludf.DUMMYFUNCTION("REGEXREPLACE(C157,""[^[:alpha:]]"", """")"),"GPDSNDMGGRSNSGGR")</f>
        <v>GPDSNDMGGRSNSGGR</v>
      </c>
      <c r="H157" s="410" t="str">
        <f>IFERROR(__xludf.DUMMYFUNCTION("ArrayFormula(join(,unique(mid(F157,sequence(len(F157)),1))))"),"SRGmMPDN")</f>
        <v>SRGmMPDN</v>
      </c>
      <c r="I157" s="410">
        <f t="shared" si="1"/>
        <v>8</v>
      </c>
      <c r="J157" s="412" t="str">
        <f>IFERROR(__xludf.DUMMYFUNCTION("ArrayFormula(join(,unique(mid(G157,sequence(len(G157)),1))))"),"GPDSNMR")</f>
        <v>GPDSNMR</v>
      </c>
      <c r="K157" s="411">
        <f t="shared" si="2"/>
        <v>7</v>
      </c>
    </row>
    <row r="158">
      <c r="A158" s="406" t="s">
        <v>885</v>
      </c>
      <c r="B158" s="407" t="s">
        <v>886</v>
      </c>
      <c r="C158" s="222" t="s">
        <v>887</v>
      </c>
      <c r="D158" s="408" t="b">
        <f>IFERROR(__xludf.DUMMYFUNCTION("arrayformula(sum(--REGEXMATCH(H158,split(REGEXREPLACE(J158,""(.)"",""$1~""),""~""))))=len(J158)"),TRUE)</f>
        <v>1</v>
      </c>
      <c r="E158" s="409" t="s">
        <v>513</v>
      </c>
      <c r="F158" s="410" t="str">
        <f>IFERROR(__xludf.DUMMYFUNCTION("REGEXREPLACE(B158,""[^[:alpha:]]"", """")"),"SGmPDnNS")</f>
        <v>SGmPDnNS</v>
      </c>
      <c r="G158" s="411" t="str">
        <f>IFERROR(__xludf.DUMMYFUNCTION("REGEXREPLACE(C158,""[^[:alpha:]]"", """")"),"NNSNSNNPNSSGmPmPGPGSPSNSSNSGmPGmPDnDnDnPDPmmGmPGmPDPDPDSnSDnDnDnDnPPSGmGPSmPG")</f>
        <v>NNSNSNNPNSSGmPmPGPGSPSNSSNSGmPGmPDnDnDnPDPmmGmPGmPDPDPDSnSDnDnDnDnPPSGmGPSmPG</v>
      </c>
      <c r="H158" s="410" t="str">
        <f>IFERROR(__xludf.DUMMYFUNCTION("ArrayFormula(join(,unique(mid(F158,sequence(len(F158)),1))))"),"SGmPDnN")</f>
        <v>SGmPDnN</v>
      </c>
      <c r="I158" s="410">
        <f t="shared" si="1"/>
        <v>7</v>
      </c>
      <c r="J158" s="412" t="str">
        <f>IFERROR(__xludf.DUMMYFUNCTION("ArrayFormula(join(,unique(mid(G158,sequence(len(G158)),1))))"),"NSPGmDn")</f>
        <v>NSPGmDn</v>
      </c>
      <c r="K158" s="411">
        <f t="shared" si="2"/>
        <v>7</v>
      </c>
    </row>
    <row r="159">
      <c r="A159" s="406" t="s">
        <v>888</v>
      </c>
      <c r="B159" s="407" t="s">
        <v>889</v>
      </c>
      <c r="C159" s="222" t="s">
        <v>890</v>
      </c>
      <c r="D159" s="408" t="b">
        <f>IFERROR(__xludf.DUMMYFUNCTION("arrayformula(sum(--REGEXMATCH(H159,split(REGEXREPLACE(J159,""(.)"",""$1~""),""~""))))=len(J159)"),TRUE)</f>
        <v>1</v>
      </c>
      <c r="E159" s="409" t="s">
        <v>513</v>
      </c>
      <c r="F159" s="410" t="str">
        <f>IFERROR(__xludf.DUMMYFUNCTION("REGEXREPLACE(B159,""[^[:alpha:]]"", """")"),"SRgmPdNS")</f>
        <v>SRgmPdNS</v>
      </c>
      <c r="G159" s="411" t="str">
        <f>IFERROR(__xludf.DUMMYFUNCTION("REGEXREPLACE(C159,""[^[:alpha:]]"", """")"),"dPgRSRRRggPmgRdPgRSRmgRNdPdPgRSR")</f>
        <v>dPgRSRRRggPmgRdPgRSRmgRNdPdPgRSR</v>
      </c>
      <c r="H159" s="410" t="str">
        <f>IFERROR(__xludf.DUMMYFUNCTION("ArrayFormula(join(,unique(mid(F159,sequence(len(F159)),1))))"),"SRgmPdN")</f>
        <v>SRgmPdN</v>
      </c>
      <c r="I159" s="410">
        <f t="shared" si="1"/>
        <v>7</v>
      </c>
      <c r="J159" s="412" t="str">
        <f>IFERROR(__xludf.DUMMYFUNCTION("ArrayFormula(join(,unique(mid(G159,sequence(len(G159)),1))))"),"dPgRSmN")</f>
        <v>dPgRSmN</v>
      </c>
      <c r="K159" s="411">
        <f t="shared" si="2"/>
        <v>7</v>
      </c>
    </row>
    <row r="160">
      <c r="A160" s="406" t="s">
        <v>891</v>
      </c>
      <c r="B160" s="407" t="s">
        <v>530</v>
      </c>
      <c r="C160" s="222" t="s">
        <v>892</v>
      </c>
      <c r="D160" s="408" t="b">
        <f>IFERROR(__xludf.DUMMYFUNCTION("arrayformula(sum(--REGEXMATCH(H160,split(REGEXREPLACE(J160,""(.)"",""$1~""),""~""))))=len(J160)"),TRUE)</f>
        <v>1</v>
      </c>
      <c r="E160" s="409" t="s">
        <v>513</v>
      </c>
      <c r="F160" s="410" t="str">
        <f>IFERROR(__xludf.DUMMYFUNCTION("REGEXREPLACE(B160,""[^[:alpha:]]"", """")"),"SRGmPDnNS")</f>
        <v>SRGmPDnNS</v>
      </c>
      <c r="G160" s="411" t="str">
        <f>IFERROR(__xludf.DUMMYFUNCTION("REGEXREPLACE(C160,""[^[:alpha:]]"", """")"),"GmGRGRGRSSSnDPPNNSNSGGmGRGRGRSNRSNSGmmmGGmGPPPDPDPDPDPmmGmGRGGRGmGPmGmGmRSNRSNS")</f>
        <v>GmGRGRGRSSSnDPPNNSNSGGmGRGRGRSNRSNSGmmmGGmGPPPDPDPDPDPmmGmGRGGRGmGPmGmGmRSNRSNS</v>
      </c>
      <c r="H160" s="410" t="str">
        <f>IFERROR(__xludf.DUMMYFUNCTION("ArrayFormula(join(,unique(mid(F160,sequence(len(F160)),1))))"),"SRGmPDnN")</f>
        <v>SRGmPDnN</v>
      </c>
      <c r="I160" s="410">
        <f t="shared" si="1"/>
        <v>8</v>
      </c>
      <c r="J160" s="412" t="str">
        <f>IFERROR(__xludf.DUMMYFUNCTION("ArrayFormula(join(,unique(mid(G160,sequence(len(G160)),1))))"),"GmRSnDPN")</f>
        <v>GmRSnDPN</v>
      </c>
      <c r="K160" s="411">
        <f t="shared" si="2"/>
        <v>8</v>
      </c>
    </row>
    <row r="161">
      <c r="A161" s="406" t="s">
        <v>893</v>
      </c>
      <c r="B161" s="407" t="s">
        <v>894</v>
      </c>
      <c r="C161" s="222" t="s">
        <v>895</v>
      </c>
      <c r="D161" s="408" t="b">
        <f>IFERROR(__xludf.DUMMYFUNCTION("arrayformula(sum(--REGEXMATCH(H161,split(REGEXREPLACE(J161,""(.)"",""$1~""),""~""))))=len(J161)"),FALSE)</f>
        <v>0</v>
      </c>
      <c r="E161" s="409" t="s">
        <v>511</v>
      </c>
      <c r="F161" s="410" t="str">
        <f>IFERROR(__xludf.DUMMYFUNCTION("REGEXREPLACE(B161,""[^[:alpha:]]"", """")"),"SRgGmPnNS")</f>
        <v>SRgGmPnNS</v>
      </c>
      <c r="G161" s="411" t="str">
        <f>IFERROR(__xludf.DUMMYFUNCTION("REGEXREPLACE(C161,""[^[:alpha:]]"", """")"),"GGmGSSmRPmDPPSNSNSnPnPPmPnPmGGmPPGmRSRGmGmnPnPmnmPGmSgSgRgRSNSSmGPmnPNSNSPnPmPmgPGmgSG")</f>
        <v>GGmGSSmRPmDPPSNSNSnPnPPmPnPmGGmPPGmRSRGmGmnPnPmnmPGmSgSgRgRSNSSmGPmnPNSNSPnPmPmgPGmgSG</v>
      </c>
      <c r="H161" s="410" t="str">
        <f>IFERROR(__xludf.DUMMYFUNCTION("ArrayFormula(join(,unique(mid(F161,sequence(len(F161)),1))))"),"SRgGmPnN")</f>
        <v>SRgGmPnN</v>
      </c>
      <c r="I161" s="410">
        <f t="shared" si="1"/>
        <v>8</v>
      </c>
      <c r="J161" s="412" t="str">
        <f>IFERROR(__xludf.DUMMYFUNCTION("ArrayFormula(join(,unique(mid(G161,sequence(len(G161)),1))))"),"GmSRPDNng")</f>
        <v>GmSRPDNng</v>
      </c>
      <c r="K161" s="411">
        <f t="shared" si="2"/>
        <v>9</v>
      </c>
    </row>
    <row r="162">
      <c r="A162" s="406" t="s">
        <v>896</v>
      </c>
      <c r="B162" s="407" t="s">
        <v>897</v>
      </c>
      <c r="C162" s="222" t="s">
        <v>898</v>
      </c>
      <c r="D162" s="408" t="b">
        <f>IFERROR(__xludf.DUMMYFUNCTION("arrayformula(sum(--REGEXMATCH(H162,split(REGEXREPLACE(J162,""(.)"",""$1~""),""~""))))=len(J162)"),TRUE)</f>
        <v>1</v>
      </c>
      <c r="E162" s="409" t="s">
        <v>513</v>
      </c>
      <c r="F162" s="410" t="str">
        <f>IFERROR(__xludf.DUMMYFUNCTION("REGEXREPLACE(B162,""[^[:alpha:]]"", """")"),"SRgGmPdDnS")</f>
        <v>SRgGmPdDnS</v>
      </c>
      <c r="G162" s="411" t="str">
        <f>IFERROR(__xludf.DUMMYFUNCTION("REGEXREPLACE(C162,""[^[:alpha:]]"", """")"),"RnSRGGmGmRGmmmGPPDmPmgRRPnnPPdmPmgRmPSndndPPPgSRSgSRRSSnSPPSnnSndPPmRmPnDDDPmPDmPmgRRmmPndddPPdmPmgRRgSRnSnS")</f>
        <v>RnSRGGmGmRGmmmGPPDmPmgRRPnnPPdmPmgRmPSndndPPPgSRSgSRRSSnSPPSnnSndPPmRmPnDDDPmPDmPmgRRmmPndddPPdmPmgRRgSRnSnS</v>
      </c>
      <c r="H162" s="410" t="str">
        <f>IFERROR(__xludf.DUMMYFUNCTION("ArrayFormula(join(,unique(mid(F162,sequence(len(F162)),1))))"),"SRgGmPdDn")</f>
        <v>SRgGmPdDn</v>
      </c>
      <c r="I162" s="410">
        <f t="shared" si="1"/>
        <v>9</v>
      </c>
      <c r="J162" s="412" t="str">
        <f>IFERROR(__xludf.DUMMYFUNCTION("ArrayFormula(join(,unique(mid(G162,sequence(len(G162)),1))))"),"RnSGmPDgd")</f>
        <v>RnSGmPDgd</v>
      </c>
      <c r="K162" s="411">
        <f t="shared" si="2"/>
        <v>9</v>
      </c>
    </row>
    <row r="163">
      <c r="A163" s="406" t="s">
        <v>899</v>
      </c>
      <c r="B163" s="407" t="s">
        <v>900</v>
      </c>
      <c r="C163" s="222" t="s">
        <v>901</v>
      </c>
      <c r="D163" s="408" t="b">
        <f>IFERROR(__xludf.DUMMYFUNCTION("arrayformula(sum(--REGEXMATCH(H163,split(REGEXREPLACE(J163,""(.)"",""$1~""),""~""))))=len(J163)"),TRUE)</f>
        <v>1</v>
      </c>
      <c r="E163" s="409" t="s">
        <v>513</v>
      </c>
      <c r="F163" s="410" t="str">
        <f>IFERROR(__xludf.DUMMYFUNCTION("REGEXREPLACE(B163,""[^[:alpha:]]"", """")"),"SRgGPDS")</f>
        <v>SRgGPDS</v>
      </c>
      <c r="G163" s="411" t="str">
        <f>IFERROR(__xludf.DUMMYFUNCTION("REGEXREPLACE(C163,""[^[:alpha:]]"", """")"),"SGggRgRRSSGRGGGRSSSGRSSSDSSDSDSGGggRSGRGSGRSSGRSSDDSSRSRRgRgRgRSDSDSGggRSGRGGGRSS")</f>
        <v>SGggRgRRSSGRGGGRSSSGRSSSDSSDSDSGGggRSGRGSGRSSGRSSDDSSRSRRgRgRgRSDSDSGggRSGRGGGRSS</v>
      </c>
      <c r="H163" s="410" t="str">
        <f>IFERROR(__xludf.DUMMYFUNCTION("ArrayFormula(join(,unique(mid(F163,sequence(len(F163)),1))))"),"SRgGPD")</f>
        <v>SRgGPD</v>
      </c>
      <c r="I163" s="410">
        <f t="shared" si="1"/>
        <v>6</v>
      </c>
      <c r="J163" s="412" t="str">
        <f>IFERROR(__xludf.DUMMYFUNCTION("ArrayFormula(join(,unique(mid(G163,sequence(len(G163)),1))))"),"SGgRD")</f>
        <v>SGgRD</v>
      </c>
      <c r="K163" s="411">
        <f t="shared" si="2"/>
        <v>5</v>
      </c>
    </row>
    <row r="164">
      <c r="A164" s="406" t="s">
        <v>902</v>
      </c>
      <c r="B164" s="407" t="s">
        <v>632</v>
      </c>
      <c r="C164" s="222" t="s">
        <v>903</v>
      </c>
      <c r="D164" s="408" t="b">
        <f>IFERROR(__xludf.DUMMYFUNCTION("arrayformula(sum(--REGEXMATCH(H164,split(REGEXREPLACE(J164,""(.)"",""$1~""),""~""))))=len(J164)"),TRUE)</f>
        <v>1</v>
      </c>
      <c r="E164" s="409" t="s">
        <v>513</v>
      </c>
      <c r="F164" s="410" t="str">
        <f>IFERROR(__xludf.DUMMYFUNCTION("REGEXREPLACE(B164,""[^[:alpha:]]"", """")"),"SRGmMPDNS")</f>
        <v>SRGmMPDNS</v>
      </c>
      <c r="G164" s="411" t="str">
        <f>IFERROR(__xludf.DUMMYFUNCTION("REGEXREPLACE(C164,""[^[:alpha:]]"", """")"),"GRGRPMPMPMPNNDPRMRPMPSNSNSNSMPNSSSSNSPSNSNRRRPSNSNRSNSNPMPMDMPMPMmGGmGmG")</f>
        <v>GRGRPMPMPMPNNDPRMRPMPSNSNSNSMPNSSSSNSPSNSNRRRPSNSNRSNSNPMPMDMPMPMmGGmGmG</v>
      </c>
      <c r="H164" s="410" t="str">
        <f>IFERROR(__xludf.DUMMYFUNCTION("ArrayFormula(join(,unique(mid(F164,sequence(len(F164)),1))))"),"SRGmMPDN")</f>
        <v>SRGmMPDN</v>
      </c>
      <c r="I164" s="410">
        <f t="shared" si="1"/>
        <v>8</v>
      </c>
      <c r="J164" s="412" t="str">
        <f>IFERROR(__xludf.DUMMYFUNCTION("ArrayFormula(join(,unique(mid(G164,sequence(len(G164)),1))))"),"GRPMNDSm")</f>
        <v>GRPMNDSm</v>
      </c>
      <c r="K164" s="411">
        <f t="shared" si="2"/>
        <v>8</v>
      </c>
    </row>
    <row r="165">
      <c r="A165" s="406" t="s">
        <v>904</v>
      </c>
      <c r="B165" s="407" t="s">
        <v>877</v>
      </c>
      <c r="C165" s="222" t="s">
        <v>905</v>
      </c>
      <c r="D165" s="408" t="b">
        <f>IFERROR(__xludf.DUMMYFUNCTION("arrayformula(sum(--REGEXMATCH(H165,split(REGEXREPLACE(J165,""(.)"",""$1~""),""~""))))=len(J165)"),TRUE)</f>
        <v>1</v>
      </c>
      <c r="E165" s="409" t="s">
        <v>513</v>
      </c>
      <c r="F165" s="410" t="str">
        <f>IFERROR(__xludf.DUMMYFUNCTION("REGEXREPLACE(B165,""[^[:alpha:]]"", """")"),"SrRgGmPdDnS")</f>
        <v>SrRgGmPdDnS</v>
      </c>
      <c r="G165" s="411" t="str">
        <f>IFERROR(__xludf.DUMMYFUNCTION("REGEXREPLACE(C165,""[^[:alpha:]]"", """")"),"rgmgrSRnSRGmGPgmgrgmgrSRnSRGmGPgmgrgmgrS")</f>
        <v>rgmgrSRnSRGmGPgmgrgmgrSRnSRGmGPgmgrgmgrS</v>
      </c>
      <c r="H165" s="410" t="str">
        <f>IFERROR(__xludf.DUMMYFUNCTION("ArrayFormula(join(,unique(mid(F165,sequence(len(F165)),1))))"),"SrRgGmPdDn")</f>
        <v>SrRgGmPdDn</v>
      </c>
      <c r="I165" s="410">
        <f t="shared" si="1"/>
        <v>10</v>
      </c>
      <c r="J165" s="412" t="str">
        <f>IFERROR(__xludf.DUMMYFUNCTION("ArrayFormula(join(,unique(mid(G165,sequence(len(G165)),1))))"),"rgmSRnGP")</f>
        <v>rgmSRnGP</v>
      </c>
      <c r="K165" s="411">
        <f t="shared" si="2"/>
        <v>8</v>
      </c>
    </row>
    <row r="166">
      <c r="A166" s="413" t="s">
        <v>906</v>
      </c>
      <c r="B166" s="407" t="s">
        <v>907</v>
      </c>
      <c r="C166" s="222" t="s">
        <v>907</v>
      </c>
      <c r="D166" s="408" t="b">
        <f>IFERROR(__xludf.DUMMYFUNCTION("arrayformula(sum(--REGEXMATCH(H166,split(REGEXREPLACE(J166,""(.)"",""$1~""),""~""))))=len(J166)"),TRUE)</f>
        <v>1</v>
      </c>
      <c r="E166" s="409" t="s">
        <v>513</v>
      </c>
      <c r="F166" s="410" t="str">
        <f>IFERROR(__xludf.DUMMYFUNCTION("REGEXREPLACE(B166,""[^[:alpha:]]"", """")"),"SrGmMdNS")</f>
        <v>SrGmMdNS</v>
      </c>
      <c r="G166" s="411" t="str">
        <f>IFERROR(__xludf.DUMMYFUNCTION("REGEXREPLACE(C166,""[^[:alpha:]]"", """")"),"SrGmMdNS")</f>
        <v>SrGmMdNS</v>
      </c>
      <c r="H166" s="410" t="str">
        <f>IFERROR(__xludf.DUMMYFUNCTION("ArrayFormula(join(,unique(mid(F166,sequence(len(F166)),1))))"),"SrGmMdN")</f>
        <v>SrGmMdN</v>
      </c>
      <c r="I166" s="410">
        <f t="shared" si="1"/>
        <v>7</v>
      </c>
      <c r="J166" s="412" t="str">
        <f>IFERROR(__xludf.DUMMYFUNCTION("ArrayFormula(join(,unique(mid(G166,sequence(len(G166)),1))))"),"SrGmMdN")</f>
        <v>SrGmMdN</v>
      </c>
      <c r="K166" s="411">
        <f t="shared" si="2"/>
        <v>7</v>
      </c>
    </row>
    <row r="167">
      <c r="A167" s="406" t="s">
        <v>908</v>
      </c>
      <c r="B167" s="407" t="s">
        <v>597</v>
      </c>
      <c r="C167" s="222" t="s">
        <v>909</v>
      </c>
      <c r="D167" s="408" t="b">
        <f>IFERROR(__xludf.DUMMYFUNCTION("arrayformula(sum(--REGEXMATCH(H167,split(REGEXREPLACE(J167,""(.)"",""$1~""),""~""))))=len(J167)"),TRUE)</f>
        <v>1</v>
      </c>
      <c r="E167" s="409" t="s">
        <v>513</v>
      </c>
      <c r="F167" s="410" t="str">
        <f>IFERROR(__xludf.DUMMYFUNCTION("REGEXREPLACE(B167,""[^[:alpha:]]"", """")"),"SrGmMPDNS")</f>
        <v>SrGmMPDNS</v>
      </c>
      <c r="G167" s="411" t="str">
        <f>IFERROR(__xludf.DUMMYFUNCTION("REGEXREPLACE(C167,""[^[:alpha:]]"", """")"),"NrSNNDNDNSSmmmGSmmmmGmMGmMmGmGSmGmDNDNDMmGmDmDNDSNSSSPSNNSrNDDPPDPmPmGmSGmMGmMmGmGGmNSNSDMGGrMGGrSSNSSNSDNSSm")</f>
        <v>NrSNNDNDNSSmmmGSmmmmGmMGmMmGmGSmGmDNDNDMmGmDmDNDSNSSSPSNNSrNDDPPDPmPmGmSGmMGmMmGmGGmNSNSDMGGrMGGrSSNSSNSDNSSm</v>
      </c>
      <c r="H167" s="410" t="str">
        <f>IFERROR(__xludf.DUMMYFUNCTION("ArrayFormula(join(,unique(mid(F167,sequence(len(F167)),1))))"),"SrGmMPDN")</f>
        <v>SrGmMPDN</v>
      </c>
      <c r="I167" s="410">
        <f t="shared" si="1"/>
        <v>8</v>
      </c>
      <c r="J167" s="412" t="str">
        <f>IFERROR(__xludf.DUMMYFUNCTION("ArrayFormula(join(,unique(mid(G167,sequence(len(G167)),1))))"),"NrSDmGMP")</f>
        <v>NrSDmGMP</v>
      </c>
      <c r="K167" s="411">
        <f t="shared" si="2"/>
        <v>8</v>
      </c>
    </row>
    <row r="168">
      <c r="A168" s="406" t="s">
        <v>911</v>
      </c>
      <c r="B168" s="407" t="s">
        <v>912</v>
      </c>
      <c r="C168" s="222" t="s">
        <v>913</v>
      </c>
      <c r="D168" s="408" t="b">
        <f>IFERROR(__xludf.DUMMYFUNCTION("arrayformula(sum(--REGEXMATCH(H168,split(REGEXREPLACE(J168,""(.)"",""$1~""),""~""))))=len(J168)"),TRUE)</f>
        <v>1</v>
      </c>
      <c r="E168" s="409" t="s">
        <v>513</v>
      </c>
      <c r="F168" s="410" t="str">
        <f>IFERROR(__xludf.DUMMYFUNCTION("REGEXREPLACE(B168,""[^[:alpha:]]"", """")"),"SrGmMPdDNS")</f>
        <v>SrGmMPdDNS</v>
      </c>
      <c r="G168" s="411" t="str">
        <f>IFERROR(__xludf.DUMMYFUNCTION("REGEXREPLACE(C168,""[^[:alpha:]]"", """")"),"GrSSNSrNSSrNSNNdSrGGmGGmMGmMGrSPPGrSNSrdSrGrGrGrGPMPPGrGMGrSNSGrSSNS")</f>
        <v>GrSSNSrNSSrNSNNdSrGGmGGmMGmMGrSPPGrSNSrdSrGrGrGrGPMPPGrGMGrSNSGrSSNS</v>
      </c>
      <c r="H168" s="410" t="str">
        <f>IFERROR(__xludf.DUMMYFUNCTION("ArrayFormula(join(,unique(mid(F168,sequence(len(F168)),1))))"),"SrGmMPdDN")</f>
        <v>SrGmMPdDN</v>
      </c>
      <c r="I168" s="410">
        <f t="shared" si="1"/>
        <v>9</v>
      </c>
      <c r="J168" s="412" t="str">
        <f>IFERROR(__xludf.DUMMYFUNCTION("ArrayFormula(join(,unique(mid(G168,sequence(len(G168)),1))))"),"GrSNdmMP")</f>
        <v>GrSNdmMP</v>
      </c>
      <c r="K168" s="411">
        <f t="shared" si="2"/>
        <v>8</v>
      </c>
    </row>
    <row r="169">
      <c r="A169" s="406" t="s">
        <v>914</v>
      </c>
      <c r="B169" s="407" t="s">
        <v>915</v>
      </c>
      <c r="C169" s="222" t="s">
        <v>916</v>
      </c>
      <c r="D169" s="408" t="b">
        <f>IFERROR(__xludf.DUMMYFUNCTION("arrayformula(sum(--REGEXMATCH(H169,split(REGEXREPLACE(J169,""(.)"",""$1~""),""~""))))=len(J169)"),TRUE)</f>
        <v>1</v>
      </c>
      <c r="E169" s="409" t="s">
        <v>513</v>
      </c>
      <c r="F169" s="410" t="str">
        <f>IFERROR(__xludf.DUMMYFUNCTION("REGEXREPLACE(B169,""[^[:alpha:]]"", """")"),"SrGmMDNS")</f>
        <v>SrGmMDNS</v>
      </c>
      <c r="G169" s="411" t="str">
        <f>IFERROR(__xludf.DUMMYFUNCTION("REGEXREPLACE(C169,""[^[:alpha:]]"", """")"),"DNDrSNSNNNNSNNSNDDNNSNDNSNDNSSSSNSSSrSSrSSrSSrSNSNNNNSNSNDDNNSNSNDDNNSNDDNSSNSrrrSSS")</f>
        <v>DNDrSNSNNNNSNNSNDDNNSNDNSNDNSSSSNSSSrSSrSSrSSrSNSNNNNSNSNDDNNSNSNDDNNSNDDNSSNSrrrSSS</v>
      </c>
      <c r="H169" s="410" t="str">
        <f>IFERROR(__xludf.DUMMYFUNCTION("ArrayFormula(join(,unique(mid(F169,sequence(len(F169)),1))))"),"SrGmMDN")</f>
        <v>SrGmMDN</v>
      </c>
      <c r="I169" s="410">
        <f t="shared" si="1"/>
        <v>7</v>
      </c>
      <c r="J169" s="412" t="str">
        <f>IFERROR(__xludf.DUMMYFUNCTION("ArrayFormula(join(,unique(mid(G169,sequence(len(G169)),1))))"),"DNrS")</f>
        <v>DNrS</v>
      </c>
      <c r="K169" s="411">
        <f t="shared" si="2"/>
        <v>4</v>
      </c>
    </row>
    <row r="170">
      <c r="A170" s="406" t="s">
        <v>917</v>
      </c>
      <c r="B170" s="407" t="s">
        <v>527</v>
      </c>
      <c r="C170" s="222" t="s">
        <v>918</v>
      </c>
      <c r="D170" s="408" t="b">
        <f>IFERROR(__xludf.DUMMYFUNCTION("arrayformula(sum(--REGEXMATCH(H170,split(REGEXREPLACE(J170,""(.)"",""$1~""),""~""))))=len(J170)"),TRUE)</f>
        <v>1</v>
      </c>
      <c r="E170" s="409" t="s">
        <v>513</v>
      </c>
      <c r="F170" s="410" t="str">
        <f>IFERROR(__xludf.DUMMYFUNCTION("REGEXREPLACE(B170,""[^[:alpha:]]"", """")"),"SRgmPDnNS")</f>
        <v>SRgmPDnNS</v>
      </c>
      <c r="G170" s="411" t="str">
        <f>IFERROR(__xludf.DUMMYFUNCTION("REGEXREPLACE(C170,""[^[:alpha:]]"", """")"),"RmPPPPPPPnnnnnDPDDPPRmPnPmRSnSRgmRSRPmPPRmRmmRnDPPDnnnSRnS")</f>
        <v>RmPPPPPPPnnnnnDPDDPPRmPnPmRSnSRgmRSRPmPPRmRmmRnDPPDnnnSRnS</v>
      </c>
      <c r="H170" s="410" t="str">
        <f>IFERROR(__xludf.DUMMYFUNCTION("ArrayFormula(join(,unique(mid(F170,sequence(len(F170)),1))))"),"SRgmPDnN")</f>
        <v>SRgmPDnN</v>
      </c>
      <c r="I170" s="410">
        <f t="shared" si="1"/>
        <v>8</v>
      </c>
      <c r="J170" s="412" t="str">
        <f>IFERROR(__xludf.DUMMYFUNCTION("ArrayFormula(join(,unique(mid(G170,sequence(len(G170)),1))))"),"RmPnDSg")</f>
        <v>RmPnDSg</v>
      </c>
      <c r="K170" s="411">
        <f t="shared" si="2"/>
        <v>7</v>
      </c>
    </row>
    <row r="171">
      <c r="A171" s="406" t="s">
        <v>919</v>
      </c>
      <c r="B171" s="407" t="s">
        <v>612</v>
      </c>
      <c r="C171" s="222" t="s">
        <v>920</v>
      </c>
      <c r="D171" s="408" t="b">
        <f>IFERROR(__xludf.DUMMYFUNCTION("arrayformula(sum(--REGEXMATCH(H171,split(REGEXREPLACE(J171,""(.)"",""$1~""),""~""))))=len(J171)"),TRUE)</f>
        <v>1</v>
      </c>
      <c r="E171" s="409" t="s">
        <v>513</v>
      </c>
      <c r="F171" s="410" t="str">
        <f>IFERROR(__xludf.DUMMYFUNCTION("REGEXREPLACE(B171,""[^[:alpha:]]"", """")"),"SRgGmPDnS")</f>
        <v>SRgGmPDnS</v>
      </c>
      <c r="G171" s="411" t="str">
        <f>IFERROR(__xludf.DUMMYFUNCTION("REGEXREPLACE(C171,""[^[:alpha:]]"", """")"),"SgRRSnDnSGSGGmGmRSRSSgRSnDSnSmGPmGmGSGGmGmRSRSSgRSnDSnSmGPmGmGGSGGmGmRSRSSgRSnD")</f>
        <v>SgRRSnDnSGSGGmGmRSRSSgRSnDSnSmGPmGmGSGGmGmRSRSSgRSnDSnSmGPmGmGGSGGmGmRSRSSgRSnD</v>
      </c>
      <c r="H171" s="410" t="str">
        <f>IFERROR(__xludf.DUMMYFUNCTION("ArrayFormula(join(,unique(mid(F171,sequence(len(F171)),1))))"),"SRgGmPDn")</f>
        <v>SRgGmPDn</v>
      </c>
      <c r="I171" s="410">
        <f t="shared" si="1"/>
        <v>8</v>
      </c>
      <c r="J171" s="412" t="str">
        <f>IFERROR(__xludf.DUMMYFUNCTION("ArrayFormula(join(,unique(mid(G171,sequence(len(G171)),1))))"),"SgRnDGmP")</f>
        <v>SgRnDGmP</v>
      </c>
      <c r="K171" s="411">
        <f t="shared" si="2"/>
        <v>8</v>
      </c>
    </row>
    <row r="172">
      <c r="A172" s="406" t="s">
        <v>921</v>
      </c>
      <c r="B172" s="407" t="s">
        <v>922</v>
      </c>
      <c r="C172" s="222" t="s">
        <v>923</v>
      </c>
      <c r="D172" s="408" t="b">
        <f>IFERROR(__xludf.DUMMYFUNCTION("arrayformula(sum(--REGEXMATCH(H172,split(REGEXREPLACE(J172,""(.)"",""$1~""),""~""))))=len(J172)"),TRUE)</f>
        <v>1</v>
      </c>
      <c r="E172" s="409" t="s">
        <v>513</v>
      </c>
      <c r="F172" s="410" t="str">
        <f>IFERROR(__xludf.DUMMYFUNCTION("REGEXREPLACE(B172,""[^[:alpha:]]"", """")"),"SrGmPnS")</f>
        <v>SrGmPnS</v>
      </c>
      <c r="G172" s="411" t="str">
        <f>IFERROR(__xludf.DUMMYFUNCTION("REGEXREPLACE(C172,""[^[:alpha:]]"", """")"),"SnSrrnSmmPGmGSnSrrnSmmGmrGSnSr")</f>
        <v>SnSrrnSmmPGmGSnSrrnSmmGmrGSnSr</v>
      </c>
      <c r="H172" s="410" t="str">
        <f>IFERROR(__xludf.DUMMYFUNCTION("ArrayFormula(join(,unique(mid(F172,sequence(len(F172)),1))))"),"SrGmPn")</f>
        <v>SrGmPn</v>
      </c>
      <c r="I172" s="410">
        <f t="shared" si="1"/>
        <v>6</v>
      </c>
      <c r="J172" s="412" t="str">
        <f>IFERROR(__xludf.DUMMYFUNCTION("ArrayFormula(join(,unique(mid(G172,sequence(len(G172)),1))))"),"SnrmPG")</f>
        <v>SnrmPG</v>
      </c>
      <c r="K172" s="411">
        <f t="shared" si="2"/>
        <v>6</v>
      </c>
    </row>
    <row r="173">
      <c r="A173" s="406" t="s">
        <v>924</v>
      </c>
      <c r="B173" s="407" t="s">
        <v>462</v>
      </c>
      <c r="C173" s="222" t="s">
        <v>925</v>
      </c>
      <c r="D173" s="408" t="b">
        <f>IFERROR(__xludf.DUMMYFUNCTION("arrayformula(sum(--REGEXMATCH(H173,split(REGEXREPLACE(J173,""(.)"",""$1~""),""~""))))=len(J173)"),TRUE)</f>
        <v>1</v>
      </c>
      <c r="E173" s="409" t="s">
        <v>513</v>
      </c>
      <c r="F173" s="410" t="str">
        <f>IFERROR(__xludf.DUMMYFUNCTION("REGEXREPLACE(B173,""[^[:alpha:]]"", """")"),"SRgMPDnS")</f>
        <v>SRgMPDnS</v>
      </c>
      <c r="G173" s="411" t="str">
        <f>IFERROR(__xludf.DUMMYFUNCTION("REGEXREPLACE(C173,""[^[:alpha:]]"", """")"),"nRSnRSgRMgDPMgMgSnRnSgRgRS")</f>
        <v>nRSnRSgRMgDPMgMgSnRnSgRgRS</v>
      </c>
      <c r="H173" s="410" t="str">
        <f>IFERROR(__xludf.DUMMYFUNCTION("ArrayFormula(join(,unique(mid(F173,sequence(len(F173)),1))))"),"SRgMPDn")</f>
        <v>SRgMPDn</v>
      </c>
      <c r="I173" s="410">
        <f t="shared" si="1"/>
        <v>7</v>
      </c>
      <c r="J173" s="412" t="str">
        <f>IFERROR(__xludf.DUMMYFUNCTION("ArrayFormula(join(,unique(mid(G173,sequence(len(G173)),1))))"),"nRSgMDP")</f>
        <v>nRSgMDP</v>
      </c>
      <c r="K173" s="411">
        <f t="shared" si="2"/>
        <v>7</v>
      </c>
    </row>
    <row r="174">
      <c r="A174" s="406" t="s">
        <v>926</v>
      </c>
      <c r="B174" s="407" t="s">
        <v>656</v>
      </c>
      <c r="C174" s="222" t="s">
        <v>927</v>
      </c>
      <c r="D174" s="408" t="b">
        <f>IFERROR(__xludf.DUMMYFUNCTION("arrayformula(sum(--REGEXMATCH(H174,split(REGEXREPLACE(J174,""(.)"",""$1~""),""~""))))=len(J174)"),TRUE)</f>
        <v>1</v>
      </c>
      <c r="E174" s="409" t="s">
        <v>513</v>
      </c>
      <c r="F174" s="410" t="str">
        <f>IFERROR(__xludf.DUMMYFUNCTION("REGEXREPLACE(B174,""[^[:alpha:]]"", """")"),"SgMPnS")</f>
        <v>SgMPnS</v>
      </c>
      <c r="G174" s="411" t="str">
        <f>IFERROR(__xludf.DUMMYFUNCTION("REGEXREPLACE(C174,""[^[:alpha:]]"", """")"),"PnSgMgMPMgSnSgnnSgMgSPnSgMPMnPMgS")</f>
        <v>PnSgMgMPMgSnSgnnSgMgSPnSgMPMnPMgS</v>
      </c>
      <c r="H174" s="410" t="str">
        <f>IFERROR(__xludf.DUMMYFUNCTION("ArrayFormula(join(,unique(mid(F174,sequence(len(F174)),1))))"),"SgMPn")</f>
        <v>SgMPn</v>
      </c>
      <c r="I174" s="410">
        <f t="shared" si="1"/>
        <v>5</v>
      </c>
      <c r="J174" s="412" t="str">
        <f>IFERROR(__xludf.DUMMYFUNCTION("ArrayFormula(join(,unique(mid(G174,sequence(len(G174)),1))))"),"PnSgM")</f>
        <v>PnSgM</v>
      </c>
      <c r="K174" s="411">
        <f t="shared" si="2"/>
        <v>5</v>
      </c>
    </row>
    <row r="175">
      <c r="A175" s="406" t="s">
        <v>928</v>
      </c>
      <c r="B175" s="407" t="s">
        <v>929</v>
      </c>
      <c r="C175" s="222" t="s">
        <v>930</v>
      </c>
      <c r="D175" s="408" t="b">
        <f>IFERROR(__xludf.DUMMYFUNCTION("arrayformula(sum(--REGEXMATCH(H175,split(REGEXREPLACE(J175,""(.)"",""$1~""),""~""))))=len(J175)"),TRUE)</f>
        <v>1</v>
      </c>
      <c r="E175" s="409" t="s">
        <v>513</v>
      </c>
      <c r="F175" s="410" t="str">
        <f>IFERROR(__xludf.DUMMYFUNCTION("REGEXREPLACE(B175,""[^[:alpha:]]"", """")"),"SRmPnS")</f>
        <v>SRmPnS</v>
      </c>
      <c r="G175" s="411" t="str">
        <f>IFERROR(__xludf.DUMMYFUNCTION("REGEXREPLACE(C175,""[^[:alpha:]]"", """")"),"mRmRmRSnRRmRPmRSS")</f>
        <v>mRmRmRSnRRmRPmRSS</v>
      </c>
      <c r="H175" s="410" t="str">
        <f>IFERROR(__xludf.DUMMYFUNCTION("ArrayFormula(join(,unique(mid(F175,sequence(len(F175)),1))))"),"SRmPn")</f>
        <v>SRmPn</v>
      </c>
      <c r="I175" s="410">
        <f t="shared" si="1"/>
        <v>5</v>
      </c>
      <c r="J175" s="412" t="str">
        <f>IFERROR(__xludf.DUMMYFUNCTION("ArrayFormula(join(,unique(mid(G175,sequence(len(G175)),1))))"),"mRSnP")</f>
        <v>mRSnP</v>
      </c>
      <c r="K175" s="411">
        <f t="shared" si="2"/>
        <v>5</v>
      </c>
    </row>
    <row r="176">
      <c r="A176" s="406" t="s">
        <v>931</v>
      </c>
      <c r="B176" s="407" t="s">
        <v>932</v>
      </c>
      <c r="C176" s="222" t="s">
        <v>933</v>
      </c>
      <c r="D176" s="408" t="b">
        <f>IFERROR(__xludf.DUMMYFUNCTION("arrayformula(sum(--REGEXMATCH(H176,split(REGEXREPLACE(J176,""(.)"",""$1~""),""~""))))=len(J176)"),TRUE)</f>
        <v>1</v>
      </c>
      <c r="E176" s="409" t="s">
        <v>513</v>
      </c>
      <c r="F176" s="410" t="str">
        <f>IFERROR(__xludf.DUMMYFUNCTION("REGEXREPLACE(B176,""[^[:alpha:]]"", """")"),"SGmDnNS")</f>
        <v>SGmDnNS</v>
      </c>
      <c r="G176" s="411" t="str">
        <f>IFERROR(__xludf.DUMMYFUNCTION("REGEXREPLACE(C176,""[^[:alpha:]]"", """")"),"mGmSSnDSDNSmGmSSnDSDNS")</f>
        <v>mGmSSnDSDNSmGmSSnDSDNS</v>
      </c>
      <c r="H176" s="410" t="str">
        <f>IFERROR(__xludf.DUMMYFUNCTION("ArrayFormula(join(,unique(mid(F176,sequence(len(F176)),1))))"),"SGmDnN")</f>
        <v>SGmDnN</v>
      </c>
      <c r="I176" s="410">
        <f t="shared" si="1"/>
        <v>6</v>
      </c>
      <c r="J176" s="412" t="str">
        <f>IFERROR(__xludf.DUMMYFUNCTION("ArrayFormula(join(,unique(mid(G176,sequence(len(G176)),1))))"),"mGSnDN")</f>
        <v>mGSnDN</v>
      </c>
      <c r="K176" s="411">
        <f t="shared" si="2"/>
        <v>6</v>
      </c>
    </row>
    <row r="177">
      <c r="A177" s="406" t="s">
        <v>934</v>
      </c>
      <c r="B177" s="407" t="s">
        <v>935</v>
      </c>
      <c r="C177" s="222" t="s">
        <v>936</v>
      </c>
      <c r="D177" s="408" t="b">
        <f>IFERROR(__xludf.DUMMYFUNCTION("arrayformula(sum(--REGEXMATCH(H177,split(REGEXREPLACE(J177,""(.)"",""$1~""),""~""))))=len(J177)"),TRUE)</f>
        <v>1</v>
      </c>
      <c r="E177" s="409" t="s">
        <v>513</v>
      </c>
      <c r="F177" s="410" t="str">
        <f>IFERROR(__xludf.DUMMYFUNCTION("REGEXREPLACE(B177,""[^[:alpha:]]"", """")"),"SgmPNS")</f>
        <v>SgmPNS</v>
      </c>
      <c r="G177" s="411" t="str">
        <f>IFERROR(__xludf.DUMMYFUNCTION("REGEXREPLACE(C177,""[^[:alpha:]]"", """")"),"mPgmPSNPPmPmgmPgSgmgPmNPSNSNSNPNPNPNmPgmSPmPgmPSN")</f>
        <v>mPgmPSNPPmPmgmPgSgmgPmNPSNSNSNPNPNPNmPgmSPmPgmPSN</v>
      </c>
      <c r="H177" s="410" t="str">
        <f>IFERROR(__xludf.DUMMYFUNCTION("ArrayFormula(join(,unique(mid(F177,sequence(len(F177)),1))))"),"SgmPN")</f>
        <v>SgmPN</v>
      </c>
      <c r="I177" s="410">
        <f t="shared" si="1"/>
        <v>5</v>
      </c>
      <c r="J177" s="412" t="str">
        <f>IFERROR(__xludf.DUMMYFUNCTION("ArrayFormula(join(,unique(mid(G177,sequence(len(G177)),1))))"),"mPgSN")</f>
        <v>mPgSN</v>
      </c>
      <c r="K177" s="411">
        <f t="shared" si="2"/>
        <v>5</v>
      </c>
    </row>
    <row r="178">
      <c r="A178" s="406" t="s">
        <v>937</v>
      </c>
      <c r="B178" s="407" t="s">
        <v>938</v>
      </c>
      <c r="C178" s="222" t="s">
        <v>939</v>
      </c>
      <c r="D178" s="408" t="b">
        <f>IFERROR(__xludf.DUMMYFUNCTION("arrayformula(sum(--REGEXMATCH(H178,split(REGEXREPLACE(J178,""(.)"",""$1~""),""~""))))=len(J178)"),TRUE)</f>
        <v>1</v>
      </c>
      <c r="E178" s="409" t="s">
        <v>513</v>
      </c>
      <c r="F178" s="410" t="str">
        <f>IFERROR(__xludf.DUMMYFUNCTION("REGEXREPLACE(B178,""[^[:alpha:]]"", """")"),"SgGmdnS")</f>
        <v>SgGmdnS</v>
      </c>
      <c r="G178" s="411" t="str">
        <f>IFERROR(__xludf.DUMMYFUNCTION("REGEXREPLACE(C178,""[^[:alpha:]]"", """")"),"GmmndndmGGmmmgSSgmdmd")</f>
        <v>GmmndndmGGmmmgSSgmdmd</v>
      </c>
      <c r="H178" s="410" t="str">
        <f>IFERROR(__xludf.DUMMYFUNCTION("ArrayFormula(join(,unique(mid(F178,sequence(len(F178)),1))))"),"SgGmdn")</f>
        <v>SgGmdn</v>
      </c>
      <c r="I178" s="410">
        <f t="shared" si="1"/>
        <v>6</v>
      </c>
      <c r="J178" s="412" t="str">
        <f>IFERROR(__xludf.DUMMYFUNCTION("ArrayFormula(join(,unique(mid(G178,sequence(len(G178)),1))))"),"GmndgS")</f>
        <v>GmndgS</v>
      </c>
      <c r="K178" s="411">
        <f t="shared" si="2"/>
        <v>6</v>
      </c>
    </row>
    <row r="179">
      <c r="A179" s="406" t="s">
        <v>940</v>
      </c>
      <c r="B179" s="407" t="s">
        <v>941</v>
      </c>
      <c r="C179" s="222" t="s">
        <v>942</v>
      </c>
      <c r="D179" s="408" t="b">
        <f>IFERROR(__xludf.DUMMYFUNCTION("arrayformula(sum(--REGEXMATCH(H179,split(REGEXREPLACE(J179,""(.)"",""$1~""),""~""))))=len(J179)"),TRUE)</f>
        <v>1</v>
      </c>
      <c r="E179" s="409" t="s">
        <v>513</v>
      </c>
      <c r="F179" s="410" t="str">
        <f>IFERROR(__xludf.DUMMYFUNCTION("REGEXREPLACE(B179,""[^[:alpha:]]"", """")"),"SrRmMPnS")</f>
        <v>SrRmMPnS</v>
      </c>
      <c r="G179" s="411" t="str">
        <f>IFERROR(__xludf.DUMMYFUNCTION("REGEXREPLACE(C179,""[^[:alpha:]]"", """")"),"RmRrSRmSrrrSRmSrSrSSrSmRmPnnPmMmMmmmMmmMmrmMmMmRmSRmRmSrSSnSRmRSMmmm")</f>
        <v>RmRrSRmSrrrSRmSrSrSSrSmRmPnnPmMmMmmmMmmMmrmMmMmRmSRmRmSrSSnSRmRSMmmm</v>
      </c>
      <c r="H179" s="410" t="str">
        <f>IFERROR(__xludf.DUMMYFUNCTION("ArrayFormula(join(,unique(mid(F179,sequence(len(F179)),1))))"),"SrRmMPn")</f>
        <v>SrRmMPn</v>
      </c>
      <c r="I179" s="410">
        <f t="shared" si="1"/>
        <v>7</v>
      </c>
      <c r="J179" s="412" t="str">
        <f>IFERROR(__xludf.DUMMYFUNCTION("ArrayFormula(join(,unique(mid(G179,sequence(len(G179)),1))))"),"RmrSPnM")</f>
        <v>RmrSPnM</v>
      </c>
      <c r="K179" s="411">
        <f t="shared" si="2"/>
        <v>7</v>
      </c>
    </row>
    <row r="180">
      <c r="A180" s="406" t="s">
        <v>361</v>
      </c>
      <c r="B180" s="407" t="s">
        <v>362</v>
      </c>
      <c r="C180" s="222" t="s">
        <v>943</v>
      </c>
      <c r="D180" s="408" t="b">
        <f>IFERROR(__xludf.DUMMYFUNCTION("arrayformula(sum(--REGEXMATCH(H180,split(REGEXREPLACE(J180,""(.)"",""$1~""),""~""))))=len(J180)"),TRUE)</f>
        <v>1</v>
      </c>
      <c r="E180" s="409" t="s">
        <v>513</v>
      </c>
      <c r="F180" s="410" t="str">
        <f>IFERROR(__xludf.DUMMYFUNCTION("REGEXREPLACE(B180,""[^[:alpha:]]"", """")"),"SRgMPDNS")</f>
        <v>SRgMPDNS</v>
      </c>
      <c r="G180" s="411" t="str">
        <f>IFERROR(__xludf.DUMMYFUNCTION("REGEXREPLACE(C180,""[^[:alpha:]]"", """")"),"PSNRSNSNSNSNSNDPPSNSDNSNSNRSNDPNPMPMDPMPSNRSNSNDPDPMPNPSNSggRSSRSRSgRSRNNSRNSRNDPMPMPDPMPSNRSNSNPNSMgMgRSNSgMgRS")</f>
        <v>PSNRSNSNSNSNSNDPPSNSDNSNSNRSNDPNPMPMDPMPSNRSNSNDPDPMPNPSNSggRSSRSRSgRSRNNSRNSRNDPMPMPDPMPSNRSNSNPNSMgMgRSNSgMgRS</v>
      </c>
      <c r="H180" s="410" t="str">
        <f>IFERROR(__xludf.DUMMYFUNCTION("ArrayFormula(join(,unique(mid(F180,sequence(len(F180)),1))))"),"SRgMPDN")</f>
        <v>SRgMPDN</v>
      </c>
      <c r="I180" s="410">
        <f t="shared" si="1"/>
        <v>7</v>
      </c>
      <c r="J180" s="412" t="str">
        <f>IFERROR(__xludf.DUMMYFUNCTION("ArrayFormula(join(,unique(mid(G180,sequence(len(G180)),1))))"),"PSNRDMg")</f>
        <v>PSNRDMg</v>
      </c>
      <c r="K180" s="411">
        <f t="shared" si="2"/>
        <v>7</v>
      </c>
    </row>
    <row r="181">
      <c r="A181" s="406" t="s">
        <v>944</v>
      </c>
      <c r="B181" s="407" t="s">
        <v>945</v>
      </c>
      <c r="C181" s="222" t="s">
        <v>946</v>
      </c>
      <c r="D181" s="408" t="b">
        <f>IFERROR(__xludf.DUMMYFUNCTION("arrayformula(sum(--REGEXMATCH(H181,split(REGEXREPLACE(J181,""(.)"",""$1~""),""~""))))=len(J181)"),TRUE)</f>
        <v>1</v>
      </c>
      <c r="E181" s="409" t="s">
        <v>513</v>
      </c>
      <c r="F181" s="410" t="str">
        <f>IFERROR(__xludf.DUMMYFUNCTION("REGEXREPLACE(B181,""[^[:alpha:]]"", """")"),"SGPS")</f>
        <v>SGPS</v>
      </c>
      <c r="G181" s="411" t="str">
        <f>IFERROR(__xludf.DUMMYFUNCTION("REGEXREPLACE(C181,""[^[:alpha:]]"", """")"),"SSSPGPGSGGPPS")</f>
        <v>SSSPGPGSGGPPS</v>
      </c>
      <c r="H181" s="410" t="str">
        <f>IFERROR(__xludf.DUMMYFUNCTION("ArrayFormula(join(,unique(mid(F181,sequence(len(F181)),1))))"),"SGP")</f>
        <v>SGP</v>
      </c>
      <c r="I181" s="410">
        <f t="shared" si="1"/>
        <v>3</v>
      </c>
      <c r="J181" s="412" t="str">
        <f>IFERROR(__xludf.DUMMYFUNCTION("ArrayFormula(join(,unique(mid(G181,sequence(len(G181)),1))))"),"SPG")</f>
        <v>SPG</v>
      </c>
      <c r="K181" s="411">
        <f t="shared" si="2"/>
        <v>3</v>
      </c>
    </row>
    <row r="182">
      <c r="A182" s="406" t="s">
        <v>947</v>
      </c>
      <c r="B182" s="407" t="s">
        <v>948</v>
      </c>
      <c r="C182" s="222" t="s">
        <v>949</v>
      </c>
      <c r="D182" s="408" t="b">
        <f>IFERROR(__xludf.DUMMYFUNCTION("arrayformula(sum(--REGEXMATCH(H182,split(REGEXREPLACE(J182,""(.)"",""$1~""),""~""))))=len(J182)"),FALSE)</f>
        <v>0</v>
      </c>
      <c r="E182" s="409" t="s">
        <v>950</v>
      </c>
      <c r="F182" s="410" t="str">
        <f>IFERROR(__xludf.DUMMYFUNCTION("REGEXREPLACE(B182,""[^[:alpha:]]"", """")"),"SrGMPDS")</f>
        <v>SrGMPDS</v>
      </c>
      <c r="G182" s="411" t="str">
        <f>IFERROR(__xludf.DUMMYFUNCTION("REGEXREPLACE(C182,""[^[:alpha:]]"", """")"),"SSNSGSGMGMNDDNDSSSDNDSDSSrSrrSrSSNSDSNSMSDDSDPDMPGPMPDPPG")</f>
        <v>SSNSGSGMGMNDDNDSSSDNDSDSSrSrrSrSSNSDSNSMSDDSDPDMPGPMPDPPG</v>
      </c>
      <c r="H182" s="410" t="str">
        <f>IFERROR(__xludf.DUMMYFUNCTION("ArrayFormula(join(,unique(mid(F182,sequence(len(F182)),1))))"),"SrGMPD")</f>
        <v>SrGMPD</v>
      </c>
      <c r="I182" s="410">
        <f t="shared" si="1"/>
        <v>6</v>
      </c>
      <c r="J182" s="412" t="str">
        <f>IFERROR(__xludf.DUMMYFUNCTION("ArrayFormula(join(,unique(mid(G182,sequence(len(G182)),1))))"),"SNGMDrP")</f>
        <v>SNGMDrP</v>
      </c>
      <c r="K182" s="411">
        <f t="shared" si="2"/>
        <v>7</v>
      </c>
    </row>
    <row r="183">
      <c r="A183" s="406" t="s">
        <v>951</v>
      </c>
      <c r="B183" s="407" t="s">
        <v>952</v>
      </c>
      <c r="C183" s="222" t="s">
        <v>953</v>
      </c>
      <c r="D183" s="408" t="b">
        <f>IFERROR(__xludf.DUMMYFUNCTION("arrayformula(sum(--REGEXMATCH(H183,split(REGEXREPLACE(J183,""(.)"",""$1~""),""~""))))=len(J183)"),TRUE)</f>
        <v>1</v>
      </c>
      <c r="E183" s="409" t="s">
        <v>513</v>
      </c>
      <c r="F183" s="410" t="str">
        <f>IFERROR(__xludf.DUMMYFUNCTION("REGEXREPLACE(B183,""[^[:alpha:]]"", """")"),"SrGPDnS")</f>
        <v>SrGPDnS</v>
      </c>
      <c r="G183" s="411" t="str">
        <f>IFERROR(__xludf.DUMMYFUNCTION("REGEXREPLACE(C183,""[^[:alpha:]]"", """")"),"SGrGGGGGrSDnrSSSSSrGPGrGSGGGrrrSSSnSDnSGGGrrrSSSnSDnSrSGrPGPSrGPGrSPnDnDnDnrSrSSGrGrGrGPGPnDnDnPGS")</f>
        <v>SGrGGGGGrSDnrSSSSSrGPGrGSGGGrrrSSSnSDnSGGGrrrSSSnSDnSrSGrPGPSrGPGrSPnDnDnDnrSrSSGrGrGrGPGPnDnDnPGS</v>
      </c>
      <c r="H183" s="410" t="str">
        <f>IFERROR(__xludf.DUMMYFUNCTION("ArrayFormula(join(,unique(mid(F183,sequence(len(F183)),1))))"),"SrGPDn")</f>
        <v>SrGPDn</v>
      </c>
      <c r="I183" s="410">
        <f t="shared" si="1"/>
        <v>6</v>
      </c>
      <c r="J183" s="412" t="str">
        <f>IFERROR(__xludf.DUMMYFUNCTION("ArrayFormula(join(,unique(mid(G183,sequence(len(G183)),1))))"),"SGrDnP")</f>
        <v>SGrDnP</v>
      </c>
      <c r="K183" s="411">
        <f t="shared" si="2"/>
        <v>6</v>
      </c>
    </row>
    <row r="184">
      <c r="A184" s="406" t="s">
        <v>954</v>
      </c>
      <c r="B184" s="407" t="s">
        <v>353</v>
      </c>
      <c r="C184" s="222" t="s">
        <v>955</v>
      </c>
      <c r="D184" s="408" t="b">
        <f>IFERROR(__xludf.DUMMYFUNCTION("arrayformula(sum(--REGEXMATCH(H184,split(REGEXREPLACE(J184,""(.)"",""$1~""),""~""))))=len(J184)"),TRUE)</f>
        <v>1</v>
      </c>
      <c r="E184" s="409" t="s">
        <v>513</v>
      </c>
      <c r="F184" s="410" t="str">
        <f>IFERROR(__xludf.DUMMYFUNCTION("REGEXREPLACE(B184,""[^[:alpha:]]"", """")"),"SRGmPdnS")</f>
        <v>SRGmPdnS</v>
      </c>
      <c r="G184" s="411" t="str">
        <f>IFERROR(__xludf.DUMMYFUNCTION("REGEXREPLACE(C184,""[^[:alpha:]]"", """")"),"GGndPmPGmmPGmGGGGRSnd")</f>
        <v>GGndPmPGmmPGmGGGGRSnd</v>
      </c>
      <c r="H184" s="410" t="str">
        <f>IFERROR(__xludf.DUMMYFUNCTION("ArrayFormula(join(,unique(mid(F184,sequence(len(F184)),1))))"),"SRGmPdn")</f>
        <v>SRGmPdn</v>
      </c>
      <c r="I184" s="410">
        <f t="shared" si="1"/>
        <v>7</v>
      </c>
      <c r="J184" s="412" t="str">
        <f>IFERROR(__xludf.DUMMYFUNCTION("ArrayFormula(join(,unique(mid(G184,sequence(len(G184)),1))))"),"GndPmRS")</f>
        <v>GndPmRS</v>
      </c>
      <c r="K184" s="411">
        <f t="shared" si="2"/>
        <v>7</v>
      </c>
    </row>
    <row r="185">
      <c r="A185" s="406" t="s">
        <v>956</v>
      </c>
      <c r="B185" s="407" t="s">
        <v>612</v>
      </c>
      <c r="C185" s="222" t="s">
        <v>957</v>
      </c>
      <c r="D185" s="408" t="b">
        <f>IFERROR(__xludf.DUMMYFUNCTION("arrayformula(sum(--REGEXMATCH(H185,split(REGEXREPLACE(J185,""(.)"",""$1~""),""~""))))=len(J185)"),TRUE)</f>
        <v>1</v>
      </c>
      <c r="E185" s="409" t="s">
        <v>513</v>
      </c>
      <c r="F185" s="410" t="str">
        <f>IFERROR(__xludf.DUMMYFUNCTION("REGEXREPLACE(B185,""[^[:alpha:]]"", """")"),"SRgGmPDnS")</f>
        <v>SRgGmPDnS</v>
      </c>
      <c r="G185" s="411" t="str">
        <f>IFERROR(__xludf.DUMMYFUNCTION("REGEXREPLACE(C185,""[^[:alpha:]]"", """")"),"GmGmRGRGmSSRGPDnDnDPPDPDnDnDnDPmGmmGmRGmmgmgSgSRSSmgmgmSnSgSDnSGmGRGmmggmRRgSgSgSPnSGm")</f>
        <v>GmGmRGRGmSSRGPDnDnDPPDPDnDnDnDPmGmmGmRGmmgmgSgSRSSmgmgmSnSgSDnSGmGRGmmggmRRgSgSgSPnSGm</v>
      </c>
      <c r="H185" s="410" t="str">
        <f>IFERROR(__xludf.DUMMYFUNCTION("ArrayFormula(join(,unique(mid(F185,sequence(len(F185)),1))))"),"SRgGmPDn")</f>
        <v>SRgGmPDn</v>
      </c>
      <c r="I185" s="410">
        <f t="shared" si="1"/>
        <v>8</v>
      </c>
      <c r="J185" s="412" t="str">
        <f>IFERROR(__xludf.DUMMYFUNCTION("ArrayFormula(join(,unique(mid(G185,sequence(len(G185)),1))))"),"GmRSPDng")</f>
        <v>GmRSPDng</v>
      </c>
      <c r="K185" s="411">
        <f t="shared" si="2"/>
        <v>8</v>
      </c>
    </row>
    <row r="186">
      <c r="A186" s="406" t="s">
        <v>958</v>
      </c>
      <c r="B186" s="407" t="s">
        <v>713</v>
      </c>
      <c r="C186" s="222" t="s">
        <v>959</v>
      </c>
      <c r="D186" s="408" t="b">
        <f>IFERROR(__xludf.DUMMYFUNCTION("arrayformula(sum(--REGEXMATCH(H186,split(REGEXREPLACE(J186,""(.)"",""$1~""),""~""))))=len(J186)"),TRUE)</f>
        <v>1</v>
      </c>
      <c r="E186" s="409" t="s">
        <v>513</v>
      </c>
      <c r="F186" s="410" t="str">
        <f>IFERROR(__xludf.DUMMYFUNCTION("REGEXREPLACE(B186,""[^[:alpha:]]"", """")"),"SrGMPdDNS")</f>
        <v>SrGMPdDNS</v>
      </c>
      <c r="G186" s="411" t="str">
        <f>IFERROR(__xludf.DUMMYFUNCTION("REGEXREPLACE(C186,""[^[:alpha:]]"", """")"),"PPNDDPPMGrGGMPPPPNDDPPMGrGSrSPP")</f>
        <v>PPNDDPPMGrGGMPPPPNDDPPMGrGSrSPP</v>
      </c>
      <c r="H186" s="410" t="str">
        <f>IFERROR(__xludf.DUMMYFUNCTION("ArrayFormula(join(,unique(mid(F186,sequence(len(F186)),1))))"),"SrGMPdDN")</f>
        <v>SrGMPdDN</v>
      </c>
      <c r="I186" s="410">
        <f t="shared" si="1"/>
        <v>8</v>
      </c>
      <c r="J186" s="412" t="str">
        <f>IFERROR(__xludf.DUMMYFUNCTION("ArrayFormula(join(,unique(mid(G186,sequence(len(G186)),1))))"),"PNDMGrS")</f>
        <v>PNDMGrS</v>
      </c>
      <c r="K186" s="411">
        <f t="shared" si="2"/>
        <v>7</v>
      </c>
    </row>
    <row r="187">
      <c r="A187" s="413" t="s">
        <v>396</v>
      </c>
      <c r="B187" s="407" t="s">
        <v>397</v>
      </c>
      <c r="C187" s="222" t="s">
        <v>397</v>
      </c>
      <c r="D187" s="408" t="b">
        <f>IFERROR(__xludf.DUMMYFUNCTION("arrayformula(sum(--REGEXMATCH(H187,split(REGEXREPLACE(J187,""(.)"",""$1~""),""~""))))=len(J187)"),TRUE)</f>
        <v>1</v>
      </c>
      <c r="E187" s="409" t="s">
        <v>513</v>
      </c>
      <c r="F187" s="410" t="str">
        <f>IFERROR(__xludf.DUMMYFUNCTION("REGEXREPLACE(B187,""[^[:alpha:]]"", """")"),"SgmdnS")</f>
        <v>SgmdnS</v>
      </c>
      <c r="G187" s="411" t="str">
        <f>IFERROR(__xludf.DUMMYFUNCTION("REGEXREPLACE(C187,""[^[:alpha:]]"", """")"),"SgmdnS")</f>
        <v>SgmdnS</v>
      </c>
      <c r="H187" s="410" t="str">
        <f>IFERROR(__xludf.DUMMYFUNCTION("ArrayFormula(join(,unique(mid(F187,sequence(len(F187)),1))))"),"Sgmdn")</f>
        <v>Sgmdn</v>
      </c>
      <c r="I187" s="410">
        <f t="shared" si="1"/>
        <v>5</v>
      </c>
      <c r="J187" s="412" t="str">
        <f>IFERROR(__xludf.DUMMYFUNCTION("ArrayFormula(join(,unique(mid(G187,sequence(len(G187)),1))))"),"Sgmdn")</f>
        <v>Sgmdn</v>
      </c>
      <c r="K187" s="411">
        <f t="shared" si="2"/>
        <v>5</v>
      </c>
    </row>
    <row r="188">
      <c r="A188" s="406" t="s">
        <v>960</v>
      </c>
      <c r="B188" s="407" t="s">
        <v>915</v>
      </c>
      <c r="C188" s="222" t="s">
        <v>961</v>
      </c>
      <c r="D188" s="408" t="b">
        <f>IFERROR(__xludf.DUMMYFUNCTION("arrayformula(sum(--REGEXMATCH(H188,split(REGEXREPLACE(J188,""(.)"",""$1~""),""~""))))=len(J188)"),TRUE)</f>
        <v>1</v>
      </c>
      <c r="E188" s="409" t="s">
        <v>513</v>
      </c>
      <c r="F188" s="410" t="str">
        <f>IFERROR(__xludf.DUMMYFUNCTION("REGEXREPLACE(B188,""[^[:alpha:]]"", """")"),"SrGmMDNS")</f>
        <v>SrGmMDNS</v>
      </c>
      <c r="G188" s="411" t="str">
        <f>IFERROR(__xludf.DUMMYFUNCTION("REGEXREPLACE(C188,""[^[:alpha:]]"", """")"),"SNrNSMGMGrSDNSNDDNrSSSrSNSNDNrSSNSmMmMmGGSGMNDMGSMGSSNrSMGSNSDNDND")</f>
        <v>SNrNSMGMGrSDNSNDDNrSSSrSNSNDNrSSNSmMmMmGGSGMNDMGSMGSSNrSMGSNSDNDND</v>
      </c>
      <c r="H188" s="410" t="str">
        <f>IFERROR(__xludf.DUMMYFUNCTION("ArrayFormula(join(,unique(mid(F188,sequence(len(F188)),1))))"),"SrGmMDN")</f>
        <v>SrGmMDN</v>
      </c>
      <c r="I188" s="410">
        <f t="shared" si="1"/>
        <v>7</v>
      </c>
      <c r="J188" s="412" t="str">
        <f>IFERROR(__xludf.DUMMYFUNCTION("ArrayFormula(join(,unique(mid(G188,sequence(len(G188)),1))))"),"SNrMGDm")</f>
        <v>SNrMGDm</v>
      </c>
      <c r="K188" s="411">
        <f t="shared" si="2"/>
        <v>7</v>
      </c>
    </row>
    <row r="189">
      <c r="A189" s="406" t="s">
        <v>962</v>
      </c>
      <c r="B189" s="407" t="s">
        <v>554</v>
      </c>
      <c r="C189" s="222" t="s">
        <v>963</v>
      </c>
      <c r="D189" s="408" t="b">
        <f>IFERROR(__xludf.DUMMYFUNCTION("arrayformula(sum(--REGEXMATCH(H189,split(REGEXREPLACE(J189,""(.)"",""$1~""),""~""))))=len(J189)"),FALSE)</f>
        <v>0</v>
      </c>
      <c r="E189" s="409" t="s">
        <v>578</v>
      </c>
      <c r="F189" s="410" t="str">
        <f>IFERROR(__xludf.DUMMYFUNCTION("REGEXREPLACE(B189,""[^[:alpha:]]"", """")"),"SRGmPDNS")</f>
        <v>SRGmPDNS</v>
      </c>
      <c r="G189" s="411" t="str">
        <f>IFERROR(__xludf.DUMMYFUNCTION("REGEXREPLACE(C189,""[^[:alpha:]]"", """")"),"SNSNRSNSDnDmPDNSSNSNRGRGmGRGRSNRSNSnDnDnDDmPDS")</f>
        <v>SNSNRSNSDnDmPDNSSNSNRGRGmGRGRSNRSNSnDnDnDDmPDS</v>
      </c>
      <c r="H189" s="410" t="str">
        <f>IFERROR(__xludf.DUMMYFUNCTION("ArrayFormula(join(,unique(mid(F189,sequence(len(F189)),1))))"),"SRGmPDN")</f>
        <v>SRGmPDN</v>
      </c>
      <c r="I189" s="410">
        <f t="shared" si="1"/>
        <v>7</v>
      </c>
      <c r="J189" s="412" t="str">
        <f>IFERROR(__xludf.DUMMYFUNCTION("ArrayFormula(join(,unique(mid(G189,sequence(len(G189)),1))))"),"SNRDnmPG")</f>
        <v>SNRDnmPG</v>
      </c>
      <c r="K189" s="411">
        <f t="shared" si="2"/>
        <v>8</v>
      </c>
    </row>
    <row r="190">
      <c r="A190" s="406" t="s">
        <v>964</v>
      </c>
      <c r="B190" s="407" t="s">
        <v>965</v>
      </c>
      <c r="C190" s="222" t="s">
        <v>966</v>
      </c>
      <c r="D190" s="408" t="b">
        <f>IFERROR(__xludf.DUMMYFUNCTION("arrayformula(sum(--REGEXMATCH(H190,split(REGEXREPLACE(J190,""(.)"",""$1~""),""~""))))=len(J190)"),FALSE)</f>
        <v>0</v>
      </c>
      <c r="E190" s="409" t="s">
        <v>815</v>
      </c>
      <c r="F190" s="410" t="str">
        <f>IFERROR(__xludf.DUMMYFUNCTION("REGEXREPLACE(B190,""[^[:alpha:]]"", """")"),"SRgPDnS")</f>
        <v>SRgPDnS</v>
      </c>
      <c r="G190" s="411" t="str">
        <f>IFERROR(__xludf.DUMMYFUNCTION("REGEXREPLACE(C190,""[^[:alpha:]]"", """")"),"SgRgRSRmgPPnDnDnPDSnSnDnDPDnPPgPnPmgSgRmgRSnSnSnDnDSnSnDSSSnSnDPDnDnDPDnDPDnSnSnSnSDSnSDnSS")</f>
        <v>SgRgRSRmgPPnDnDnPDSnSnDnDPDnPPgPnPmgSgRmgRSnSnSnDnDSnSnDSSSnSnDPDnDnDPDnDPDnSnSnSnSDSnSDnSS</v>
      </c>
      <c r="H190" s="410" t="str">
        <f>IFERROR(__xludf.DUMMYFUNCTION("ArrayFormula(join(,unique(mid(F190,sequence(len(F190)),1))))"),"SRgPDn")</f>
        <v>SRgPDn</v>
      </c>
      <c r="I190" s="410">
        <f t="shared" si="1"/>
        <v>6</v>
      </c>
      <c r="J190" s="412" t="str">
        <f>IFERROR(__xludf.DUMMYFUNCTION("ArrayFormula(join(,unique(mid(G190,sequence(len(G190)),1))))"),"SgRmPnD")</f>
        <v>SgRmPnD</v>
      </c>
      <c r="K190" s="411">
        <f t="shared" si="2"/>
        <v>7</v>
      </c>
    </row>
    <row r="191">
      <c r="A191" s="406" t="s">
        <v>967</v>
      </c>
      <c r="B191" s="407" t="s">
        <v>554</v>
      </c>
      <c r="C191" s="222" t="s">
        <v>968</v>
      </c>
      <c r="D191" s="408" t="b">
        <f>IFERROR(__xludf.DUMMYFUNCTION("arrayformula(sum(--REGEXMATCH(H191,split(REGEXREPLACE(J191,""(.)"",""$1~""),""~""))))=len(J191)"),TRUE)</f>
        <v>1</v>
      </c>
      <c r="E191" s="409" t="s">
        <v>513</v>
      </c>
      <c r="F191" s="410" t="str">
        <f>IFERROR(__xludf.DUMMYFUNCTION("REGEXREPLACE(B191,""[^[:alpha:]]"", """")"),"SRGmPDNS")</f>
        <v>SRGmPDNS</v>
      </c>
      <c r="G191" s="411" t="str">
        <f>IFERROR(__xludf.DUMMYFUNCTION("REGEXREPLACE(C191,""[^[:alpha:]]"", """")"),"GPNSSSNSNRSNDDPNSNDPDPGPGSSSNSNRNDDP")</f>
        <v>GPNSSSNSNRSNDDPNSNDPDPGPGSSSNSNRNDDP</v>
      </c>
      <c r="H191" s="410" t="str">
        <f>IFERROR(__xludf.DUMMYFUNCTION("ArrayFormula(join(,unique(mid(F191,sequence(len(F191)),1))))"),"SRGmPDN")</f>
        <v>SRGmPDN</v>
      </c>
      <c r="I191" s="410">
        <f t="shared" si="1"/>
        <v>7</v>
      </c>
      <c r="J191" s="412" t="str">
        <f>IFERROR(__xludf.DUMMYFUNCTION("ArrayFormula(join(,unique(mid(G191,sequence(len(G191)),1))))"),"GPNSRD")</f>
        <v>GPNSRD</v>
      </c>
      <c r="K191" s="411">
        <f t="shared" si="2"/>
        <v>6</v>
      </c>
    </row>
    <row r="192">
      <c r="A192" s="406" t="s">
        <v>969</v>
      </c>
      <c r="B192" s="407" t="s">
        <v>603</v>
      </c>
      <c r="C192" s="222" t="s">
        <v>970</v>
      </c>
      <c r="D192" s="408" t="b">
        <f>IFERROR(__xludf.DUMMYFUNCTION("arrayformula(sum(--REGEXMATCH(H192,split(REGEXREPLACE(J192,""(.)"",""$1~""),""~""))))=len(J192)"),TRUE)</f>
        <v>1</v>
      </c>
      <c r="E192" s="409" t="s">
        <v>513</v>
      </c>
      <c r="F192" s="410" t="str">
        <f>IFERROR(__xludf.DUMMYFUNCTION("REGEXREPLACE(B192,""[^[:alpha:]]"", """")"),"SrGmPDNS")</f>
        <v>SrGmPDNS</v>
      </c>
      <c r="G192" s="411" t="str">
        <f>IFERROR(__xludf.DUMMYFUNCTION("REGEXREPLACE(C192,""[^[:alpha:]]"", """")"),"SDSDSSDPDSPDrrSNSPDrrS")</f>
        <v>SDSDSSDPDSPDrrSNSPDrrS</v>
      </c>
      <c r="H192" s="410" t="str">
        <f>IFERROR(__xludf.DUMMYFUNCTION("ArrayFormula(join(,unique(mid(F192,sequence(len(F192)),1))))"),"SrGmPDN")</f>
        <v>SrGmPDN</v>
      </c>
      <c r="I192" s="410">
        <f t="shared" si="1"/>
        <v>7</v>
      </c>
      <c r="J192" s="412" t="str">
        <f>IFERROR(__xludf.DUMMYFUNCTION("ArrayFormula(join(,unique(mid(G192,sequence(len(G192)),1))))"),"SDPrN")</f>
        <v>SDPrN</v>
      </c>
      <c r="K192" s="411">
        <f t="shared" si="2"/>
        <v>5</v>
      </c>
    </row>
    <row r="193">
      <c r="A193" s="406" t="s">
        <v>971</v>
      </c>
      <c r="B193" s="407" t="s">
        <v>972</v>
      </c>
      <c r="C193" s="222" t="s">
        <v>973</v>
      </c>
      <c r="D193" s="408" t="b">
        <f>IFERROR(__xludf.DUMMYFUNCTION("arrayformula(sum(--REGEXMATCH(H193,split(REGEXREPLACE(J193,""(.)"",""$1~""),""~""))))=len(J193)"),TRUE)</f>
        <v>1</v>
      </c>
      <c r="E193" s="409" t="s">
        <v>513</v>
      </c>
      <c r="F193" s="410" t="str">
        <f>IFERROR(__xludf.DUMMYFUNCTION("REGEXREPLACE(B193,""[^[:alpha:]]"", """")"),"SrgMdnS")</f>
        <v>SrgMdnS</v>
      </c>
      <c r="G193" s="411" t="str">
        <f>IFERROR(__xludf.DUMMYFUNCTION("REGEXREPLACE(C193,""[^[:alpha:]]"", """")"),"gMgMdMgMdMddMdMdndSgdMdMMdMMgMgrgrrgMrgrSSSrgMdMdgrgSMgMgMdMndnd")</f>
        <v>gMgMdMgMdMddMdMdndSgdMdMMdMMgMgrgrrgMrgrSSSrgMdMdgrgSMgMgMdMndnd</v>
      </c>
      <c r="H193" s="410" t="str">
        <f>IFERROR(__xludf.DUMMYFUNCTION("ArrayFormula(join(,unique(mid(F193,sequence(len(F193)),1))))"),"SrgMdn")</f>
        <v>SrgMdn</v>
      </c>
      <c r="I193" s="410">
        <f t="shared" si="1"/>
        <v>6</v>
      </c>
      <c r="J193" s="412" t="str">
        <f>IFERROR(__xludf.DUMMYFUNCTION("ArrayFormula(join(,unique(mid(G193,sequence(len(G193)),1))))"),"gMdnSr")</f>
        <v>gMdnSr</v>
      </c>
      <c r="K193" s="411">
        <f t="shared" si="2"/>
        <v>6</v>
      </c>
    </row>
    <row r="194">
      <c r="A194" s="406" t="s">
        <v>974</v>
      </c>
      <c r="B194" s="407" t="s">
        <v>435</v>
      </c>
      <c r="C194" s="222" t="s">
        <v>975</v>
      </c>
      <c r="D194" s="408" t="b">
        <f>IFERROR(__xludf.DUMMYFUNCTION("arrayformula(sum(--REGEXMATCH(H194,split(REGEXREPLACE(J194,""(.)"",""$1~""),""~""))))=len(J194)"),FALSE)</f>
        <v>0</v>
      </c>
      <c r="E194" s="409" t="s">
        <v>733</v>
      </c>
      <c r="F194" s="410" t="str">
        <f>IFERROR(__xludf.DUMMYFUNCTION("REGEXREPLACE(B194,""[^[:alpha:]]"", """")"),"SrgmMPdnNS")</f>
        <v>SrgmMPdnNS</v>
      </c>
      <c r="G194" s="411" t="str">
        <f>IFERROR(__xludf.DUMMYFUNCTION("REGEXREPLACE(C194,""[^[:alpha:]]"", """")"),"SrmgrgrSrgrSSdndSSrgMdMdddddMGrGMdnSnrSnSndMdMgrSrgmmmndMgMgrSrgSndS")</f>
        <v>SrmgrgrSrgrSSdndSSrgMdMdddddMGrGMdnSnrSnSndMdMgrSrgmmmndMgMgrSrgSndS</v>
      </c>
      <c r="H194" s="410" t="str">
        <f>IFERROR(__xludf.DUMMYFUNCTION("ArrayFormula(join(,unique(mid(F194,sequence(len(F194)),1))))"),"SrgmMPdnN")</f>
        <v>SrgmMPdnN</v>
      </c>
      <c r="I194" s="410">
        <f t="shared" si="1"/>
        <v>9</v>
      </c>
      <c r="J194" s="412" t="str">
        <f>IFERROR(__xludf.DUMMYFUNCTION("ArrayFormula(join(,unique(mid(G194,sequence(len(G194)),1))))"),"SrmgdnMG")</f>
        <v>SrmgdnMG</v>
      </c>
      <c r="K194" s="411">
        <f t="shared" si="2"/>
        <v>8</v>
      </c>
    </row>
    <row r="195">
      <c r="A195" s="406" t="s">
        <v>976</v>
      </c>
      <c r="B195" s="407" t="s">
        <v>648</v>
      </c>
      <c r="C195" s="222" t="s">
        <v>977</v>
      </c>
      <c r="D195" s="408" t="b">
        <f>IFERROR(__xludf.DUMMYFUNCTION("arrayformula(sum(--REGEXMATCH(H195,split(REGEXREPLACE(J195,""(.)"",""$1~""),""~""))))=len(J195)"),TRUE)</f>
        <v>1</v>
      </c>
      <c r="E195" s="409" t="s">
        <v>513</v>
      </c>
      <c r="F195" s="410" t="str">
        <f>IFERROR(__xludf.DUMMYFUNCTION("REGEXREPLACE(B195,""[^[:alpha:]]"", """")"),"SRGmMPDnNS")</f>
        <v>SRGmMPDnNS</v>
      </c>
      <c r="G195" s="411" t="str">
        <f>IFERROR(__xludf.DUMMYFUNCTION("REGEXREPLACE(C195,""[^[:alpha:]]"", """")"),"GmGRSRnSSRSnSDDnSGmSNSNSPnDPmGmGRSGmPm")</f>
        <v>GmGRSRnSSRSnSDDnSGmSNSNSPnDPmGmGRSGmPm</v>
      </c>
      <c r="H195" s="410" t="str">
        <f>IFERROR(__xludf.DUMMYFUNCTION("ArrayFormula(join(,unique(mid(F195,sequence(len(F195)),1))))"),"SRGmMPDnN")</f>
        <v>SRGmMPDnN</v>
      </c>
      <c r="I195" s="410">
        <f t="shared" si="1"/>
        <v>9</v>
      </c>
      <c r="J195" s="412" t="str">
        <f>IFERROR(__xludf.DUMMYFUNCTION("ArrayFormula(join(,unique(mid(G195,sequence(len(G195)),1))))"),"GmRSnDNP")</f>
        <v>GmRSnDNP</v>
      </c>
      <c r="K195" s="411">
        <f t="shared" si="2"/>
        <v>8</v>
      </c>
    </row>
    <row r="196">
      <c r="A196" s="406" t="s">
        <v>978</v>
      </c>
      <c r="B196" s="407" t="s">
        <v>554</v>
      </c>
      <c r="C196" s="222" t="s">
        <v>979</v>
      </c>
      <c r="D196" s="408" t="b">
        <f>IFERROR(__xludf.DUMMYFUNCTION("arrayformula(sum(--REGEXMATCH(H196,split(REGEXREPLACE(J196,""(.)"",""$1~""),""~""))))=len(J196)"),TRUE)</f>
        <v>1</v>
      </c>
      <c r="E196" s="409" t="s">
        <v>513</v>
      </c>
      <c r="F196" s="410" t="str">
        <f>IFERROR(__xludf.DUMMYFUNCTION("REGEXREPLACE(B196,""[^[:alpha:]]"", """")"),"SRGmPDNS")</f>
        <v>SRGmPDNS</v>
      </c>
      <c r="G196" s="411" t="str">
        <f>IFERROR(__xludf.DUMMYFUNCTION("REGEXREPLACE(C196,""[^[:alpha:]]"", """")"),"PNSGRSNSNDNSNDPPNSGRS")</f>
        <v>PNSGRSNSNDNSNDPPNSGRS</v>
      </c>
      <c r="H196" s="410" t="str">
        <f>IFERROR(__xludf.DUMMYFUNCTION("ArrayFormula(join(,unique(mid(F196,sequence(len(F196)),1))))"),"SRGmPDN")</f>
        <v>SRGmPDN</v>
      </c>
      <c r="I196" s="410">
        <f t="shared" si="1"/>
        <v>7</v>
      </c>
      <c r="J196" s="412" t="str">
        <f>IFERROR(__xludf.DUMMYFUNCTION("ArrayFormula(join(,unique(mid(G196,sequence(len(G196)),1))))"),"PNSGRD")</f>
        <v>PNSGRD</v>
      </c>
      <c r="K196" s="411">
        <f t="shared" si="2"/>
        <v>6</v>
      </c>
    </row>
    <row r="197">
      <c r="A197" s="406" t="s">
        <v>980</v>
      </c>
      <c r="B197" s="407" t="s">
        <v>632</v>
      </c>
      <c r="C197" s="222" t="s">
        <v>981</v>
      </c>
      <c r="D197" s="408" t="b">
        <f>IFERROR(__xludf.DUMMYFUNCTION("arrayformula(sum(--REGEXMATCH(H197,split(REGEXREPLACE(J197,""(.)"",""$1~""),""~""))))=len(J197)"),FALSE)</f>
        <v>0</v>
      </c>
      <c r="E197" s="409" t="s">
        <v>578</v>
      </c>
      <c r="F197" s="410" t="str">
        <f>IFERROR(__xludf.DUMMYFUNCTION("REGEXREPLACE(B197,""[^[:alpha:]]"", """")"),"SRGmMPDNS")</f>
        <v>SRGmMPDNS</v>
      </c>
      <c r="G197" s="411" t="str">
        <f>IFERROR(__xludf.DUMMYFUNCTION("REGEXREPLACE(C197,""[^[:alpha:]]"", """")"),"SNSMGMPPMGGRGGMPNPPSNSDnDnPPPNDPMMPMGMGRSSSNSMGMP")</f>
        <v>SNSMGMPPMGGRGGMPNPPSNSDnDnPPPNDPMMPMGMGRSSSNSMGMP</v>
      </c>
      <c r="H197" s="410" t="str">
        <f>IFERROR(__xludf.DUMMYFUNCTION("ArrayFormula(join(,unique(mid(F197,sequence(len(F197)),1))))"),"SRGmMPDN")</f>
        <v>SRGmMPDN</v>
      </c>
      <c r="I197" s="410">
        <f t="shared" si="1"/>
        <v>8</v>
      </c>
      <c r="J197" s="412" t="str">
        <f>IFERROR(__xludf.DUMMYFUNCTION("ArrayFormula(join(,unique(mid(G197,sequence(len(G197)),1))))"),"SNMGPRDn")</f>
        <v>SNMGPRDn</v>
      </c>
      <c r="K197" s="411">
        <f t="shared" si="2"/>
        <v>8</v>
      </c>
    </row>
    <row r="198">
      <c r="A198" s="413" t="s">
        <v>125</v>
      </c>
      <c r="B198" s="407" t="s">
        <v>982</v>
      </c>
      <c r="C198" s="222" t="s">
        <v>982</v>
      </c>
      <c r="D198" s="408" t="b">
        <f>IFERROR(__xludf.DUMMYFUNCTION("arrayformula(sum(--REGEXMATCH(H198,split(REGEXREPLACE(J198,""(.)"",""$1~""),""~""))))=len(J198)"),TRUE)</f>
        <v>1</v>
      </c>
      <c r="E198" s="409" t="s">
        <v>513</v>
      </c>
      <c r="F198" s="410" t="str">
        <f>IFERROR(__xludf.DUMMYFUNCTION("REGEXREPLACE(B198,""[^[:alpha:]]"", """")"),"SrGMDNS")</f>
        <v>SrGMDNS</v>
      </c>
      <c r="G198" s="411" t="str">
        <f>IFERROR(__xludf.DUMMYFUNCTION("REGEXREPLACE(C198,""[^[:alpha:]]"", """")"),"SrGMDNS")</f>
        <v>SrGMDNS</v>
      </c>
      <c r="H198" s="410" t="str">
        <f>IFERROR(__xludf.DUMMYFUNCTION("ArrayFormula(join(,unique(mid(F198,sequence(len(F198)),1))))"),"SrGMDN")</f>
        <v>SrGMDN</v>
      </c>
      <c r="I198" s="410">
        <f t="shared" si="1"/>
        <v>6</v>
      </c>
      <c r="J198" s="412" t="str">
        <f>IFERROR(__xludf.DUMMYFUNCTION("ArrayFormula(join(,unique(mid(G198,sequence(len(G198)),1))))"),"SrGMDN")</f>
        <v>SrGMDN</v>
      </c>
      <c r="K198" s="411">
        <f t="shared" si="2"/>
        <v>6</v>
      </c>
    </row>
    <row r="199">
      <c r="A199" s="406" t="s">
        <v>983</v>
      </c>
      <c r="B199" s="407" t="s">
        <v>648</v>
      </c>
      <c r="C199" s="222" t="s">
        <v>984</v>
      </c>
      <c r="D199" s="408" t="b">
        <f>IFERROR(__xludf.DUMMYFUNCTION("arrayformula(sum(--REGEXMATCH(H199,split(REGEXREPLACE(J199,""(.)"",""$1~""),""~""))))=len(J199)"),TRUE)</f>
        <v>1</v>
      </c>
      <c r="E199" s="409" t="s">
        <v>513</v>
      </c>
      <c r="F199" s="410" t="str">
        <f>IFERROR(__xludf.DUMMYFUNCTION("REGEXREPLACE(B199,""[^[:alpha:]]"", """")"),"SRGmMPDnNS")</f>
        <v>SRGmMPDnNS</v>
      </c>
      <c r="G199" s="411" t="str">
        <f>IFERROR(__xludf.DUMMYFUNCTION("REGEXREPLACE(C199,""[^[:alpha:]]"", """")"),"NSNSDNPDNDDGmPDNSRSNRGmmGRRGGRSNSNSNDD")</f>
        <v>NSNSDNPDNDDGmPDNSRSNRGmmGRRGGRSNSNSNDD</v>
      </c>
      <c r="H199" s="410" t="str">
        <f>IFERROR(__xludf.DUMMYFUNCTION("ArrayFormula(join(,unique(mid(F199,sequence(len(F199)),1))))"),"SRGmMPDnN")</f>
        <v>SRGmMPDnN</v>
      </c>
      <c r="I199" s="410">
        <f t="shared" si="1"/>
        <v>9</v>
      </c>
      <c r="J199" s="412" t="str">
        <f>IFERROR(__xludf.DUMMYFUNCTION("ArrayFormula(join(,unique(mid(G199,sequence(len(G199)),1))))"),"NSDPGmR")</f>
        <v>NSDPGmR</v>
      </c>
      <c r="K199" s="411">
        <f t="shared" si="2"/>
        <v>7</v>
      </c>
    </row>
    <row r="200">
      <c r="A200" s="413" t="s">
        <v>985</v>
      </c>
      <c r="B200" s="407" t="s">
        <v>929</v>
      </c>
      <c r="C200" s="222" t="s">
        <v>929</v>
      </c>
      <c r="D200" s="408" t="b">
        <f>IFERROR(__xludf.DUMMYFUNCTION("arrayformula(sum(--REGEXMATCH(H200,split(REGEXREPLACE(J200,""(.)"",""$1~""),""~""))))=len(J200)"),TRUE)</f>
        <v>1</v>
      </c>
      <c r="E200" s="409" t="s">
        <v>513</v>
      </c>
      <c r="F200" s="410" t="str">
        <f>IFERROR(__xludf.DUMMYFUNCTION("REGEXREPLACE(B200,""[^[:alpha:]]"", """")"),"SRmPnS")</f>
        <v>SRmPnS</v>
      </c>
      <c r="G200" s="411" t="str">
        <f>IFERROR(__xludf.DUMMYFUNCTION("REGEXREPLACE(C200,""[^[:alpha:]]"", """")"),"SRmPnS")</f>
        <v>SRmPnS</v>
      </c>
      <c r="H200" s="410" t="str">
        <f>IFERROR(__xludf.DUMMYFUNCTION("ArrayFormula(join(,unique(mid(F200,sequence(len(F200)),1))))"),"SRmPn")</f>
        <v>SRmPn</v>
      </c>
      <c r="I200" s="410">
        <f t="shared" si="1"/>
        <v>5</v>
      </c>
      <c r="J200" s="412" t="str">
        <f>IFERROR(__xludf.DUMMYFUNCTION("ArrayFormula(join(,unique(mid(G200,sequence(len(G200)),1))))"),"SRmPn")</f>
        <v>SRmPn</v>
      </c>
      <c r="K200" s="411">
        <f t="shared" si="2"/>
        <v>5</v>
      </c>
    </row>
    <row r="201">
      <c r="A201" s="406" t="s">
        <v>986</v>
      </c>
      <c r="B201" s="407" t="s">
        <v>987</v>
      </c>
      <c r="C201" s="222" t="s">
        <v>988</v>
      </c>
      <c r="D201" s="408" t="b">
        <f>IFERROR(__xludf.DUMMYFUNCTION("arrayformula(sum(--REGEXMATCH(H201,split(REGEXREPLACE(J201,""(.)"",""$1~""),""~""))))=len(J201)"),TRUE)</f>
        <v>1</v>
      </c>
      <c r="E201" s="409" t="s">
        <v>513</v>
      </c>
      <c r="F201" s="410" t="str">
        <f>IFERROR(__xludf.DUMMYFUNCTION("REGEXREPLACE(B201,""[^[:alpha:]]"", """")"),"SrGmMNS")</f>
        <v>SrGmMNS</v>
      </c>
      <c r="G201" s="411" t="str">
        <f>IFERROR(__xludf.DUMMYFUNCTION("REGEXREPLACE(C201,""[^[:alpha:]]"", """")"),"SGrGmGrSNSNrGmGmmNmGmGmGmrGrGGGmGmSNSmGmGmGmrGSGrGMGMMGrS")</f>
        <v>SGrGmGrSNSNrGmGmmNmGmGmGmrGrGGGmGmSNSmGmGmGmrGSGrGMGMMGrS</v>
      </c>
      <c r="H201" s="410" t="str">
        <f>IFERROR(__xludf.DUMMYFUNCTION("ArrayFormula(join(,unique(mid(F201,sequence(len(F201)),1))))"),"SrGmMN")</f>
        <v>SrGmMN</v>
      </c>
      <c r="I201" s="410">
        <f t="shared" si="1"/>
        <v>6</v>
      </c>
      <c r="J201" s="412" t="str">
        <f>IFERROR(__xludf.DUMMYFUNCTION("ArrayFormula(join(,unique(mid(G201,sequence(len(G201)),1))))"),"SGrmNM")</f>
        <v>SGrmNM</v>
      </c>
      <c r="K201" s="411">
        <f t="shared" si="2"/>
        <v>6</v>
      </c>
    </row>
    <row r="202">
      <c r="A202" s="406" t="s">
        <v>989</v>
      </c>
      <c r="B202" s="407" t="s">
        <v>990</v>
      </c>
      <c r="C202" s="222" t="s">
        <v>991</v>
      </c>
      <c r="D202" s="408" t="b">
        <f>IFERROR(__xludf.DUMMYFUNCTION("arrayformula(sum(--REGEXMATCH(H202,split(REGEXREPLACE(J202,""(.)"",""$1~""),""~""))))=len(J202)"),TRUE)</f>
        <v>1</v>
      </c>
      <c r="E202" s="409" t="s">
        <v>513</v>
      </c>
      <c r="F202" s="410" t="str">
        <f>IFERROR(__xludf.DUMMYFUNCTION("REGEXREPLACE(B202,""[^[:alpha:]]"", """")"),"SrgmMdnS")</f>
        <v>SrgmMdnS</v>
      </c>
      <c r="G202" s="411" t="str">
        <f>IFERROR(__xludf.DUMMYFUNCTION("REGEXREPLACE(C202,""[^[:alpha:]]"", """")"),"grndSSSrnSrgmMdMmgrndSmMdSrSgSmSMSdSrgmMdMmgrndSgMdSgrndMMMdnmddMmggrndS")</f>
        <v>grndSSSrnSrgmMdMmgrndSmMdSrSgSmSMSdSrgmMdMmgrndSgMdSgrndMMMdnmddMmggrndS</v>
      </c>
      <c r="H202" s="410" t="str">
        <f>IFERROR(__xludf.DUMMYFUNCTION("ArrayFormula(join(,unique(mid(F202,sequence(len(F202)),1))))"),"SrgmMdn")</f>
        <v>SrgmMdn</v>
      </c>
      <c r="I202" s="410">
        <f t="shared" si="1"/>
        <v>7</v>
      </c>
      <c r="J202" s="412" t="str">
        <f>IFERROR(__xludf.DUMMYFUNCTION("ArrayFormula(join(,unique(mid(G202,sequence(len(G202)),1))))"),"grndSmM")</f>
        <v>grndSmM</v>
      </c>
      <c r="K202" s="411">
        <f t="shared" si="2"/>
        <v>7</v>
      </c>
    </row>
    <row r="203">
      <c r="A203" s="406" t="s">
        <v>992</v>
      </c>
      <c r="B203" s="407" t="s">
        <v>993</v>
      </c>
      <c r="C203" s="222" t="s">
        <v>994</v>
      </c>
      <c r="D203" s="408" t="b">
        <f>IFERROR(__xludf.DUMMYFUNCTION("arrayformula(sum(--REGEXMATCH(H203,split(REGEXREPLACE(J203,""(.)"",""$1~""),""~""))))=len(J203)"),TRUE)</f>
        <v>1</v>
      </c>
      <c r="E203" s="409" t="s">
        <v>513</v>
      </c>
      <c r="F203" s="410" t="str">
        <f>IFERROR(__xludf.DUMMYFUNCTION("REGEXREPLACE(B203,""[^[:alpha:]]"", """")"),"SgGPDnS")</f>
        <v>SgGPDnS</v>
      </c>
      <c r="G203" s="411" t="str">
        <f>IFERROR(__xludf.DUMMYFUNCTION("REGEXREPLACE(C203,""[^[:alpha:]]"", """")"),"SGPDnDPGSngSSnSngSnDnDPDnDnSSGnDnDPGSSn")</f>
        <v>SGPDnDPGSngSSnSngSnDnDPDnDnSSGnDnDPGSSn</v>
      </c>
      <c r="H203" s="410" t="str">
        <f>IFERROR(__xludf.DUMMYFUNCTION("ArrayFormula(join(,unique(mid(F203,sequence(len(F203)),1))))"),"SgGPDn")</f>
        <v>SgGPDn</v>
      </c>
      <c r="I203" s="410">
        <f t="shared" si="1"/>
        <v>6</v>
      </c>
      <c r="J203" s="412" t="str">
        <f>IFERROR(__xludf.DUMMYFUNCTION("ArrayFormula(join(,unique(mid(G203,sequence(len(G203)),1))))"),"SGPDng")</f>
        <v>SGPDng</v>
      </c>
      <c r="K203" s="411">
        <f t="shared" si="2"/>
        <v>6</v>
      </c>
    </row>
    <row r="204">
      <c r="A204" s="413" t="s">
        <v>995</v>
      </c>
      <c r="B204" s="407" t="s">
        <v>527</v>
      </c>
      <c r="C204" s="222" t="s">
        <v>527</v>
      </c>
      <c r="D204" s="408" t="b">
        <f>IFERROR(__xludf.DUMMYFUNCTION("arrayformula(sum(--REGEXMATCH(H204,split(REGEXREPLACE(J204,""(.)"",""$1~""),""~""))))=len(J204)"),TRUE)</f>
        <v>1</v>
      </c>
      <c r="E204" s="409" t="s">
        <v>513</v>
      </c>
      <c r="F204" s="410" t="str">
        <f>IFERROR(__xludf.DUMMYFUNCTION("REGEXREPLACE(B204,""[^[:alpha:]]"", """")"),"SRgmPDnNS")</f>
        <v>SRgmPDnNS</v>
      </c>
      <c r="G204" s="411" t="str">
        <f>IFERROR(__xludf.DUMMYFUNCTION("REGEXREPLACE(C204,""[^[:alpha:]]"", """")"),"SRgmPDnNS")</f>
        <v>SRgmPDnNS</v>
      </c>
      <c r="H204" s="410" t="str">
        <f>IFERROR(__xludf.DUMMYFUNCTION("ArrayFormula(join(,unique(mid(F204,sequence(len(F204)),1))))"),"SRgmPDnN")</f>
        <v>SRgmPDnN</v>
      </c>
      <c r="I204" s="410">
        <f t="shared" si="1"/>
        <v>8</v>
      </c>
      <c r="J204" s="412" t="str">
        <f>IFERROR(__xludf.DUMMYFUNCTION("ArrayFormula(join(,unique(mid(G204,sequence(len(G204)),1))))"),"SRgmPDnN")</f>
        <v>SRgmPDnN</v>
      </c>
      <c r="K204" s="411">
        <f t="shared" si="2"/>
        <v>8</v>
      </c>
    </row>
    <row r="205">
      <c r="A205" s="406" t="s">
        <v>996</v>
      </c>
      <c r="B205" s="407" t="s">
        <v>997</v>
      </c>
      <c r="C205" s="222" t="s">
        <v>998</v>
      </c>
      <c r="D205" s="408" t="b">
        <f>IFERROR(__xludf.DUMMYFUNCTION("arrayformula(sum(--REGEXMATCH(H205,split(REGEXREPLACE(J205,""(.)"",""$1~""),""~""))))=len(J205)"),TRUE)</f>
        <v>1</v>
      </c>
      <c r="E205" s="409" t="s">
        <v>513</v>
      </c>
      <c r="F205" s="410" t="str">
        <f>IFERROR(__xludf.DUMMYFUNCTION("REGEXREPLACE(B205,""[^[:alpha:]]"", """")"),"SRmPDnNS")</f>
        <v>SRmPDnNS</v>
      </c>
      <c r="G205" s="411" t="str">
        <f>IFERROR(__xludf.DUMMYFUNCTION("REGEXREPLACE(C205,""[^[:alpha:]]"", """")"),"RSnPnPnDNSNSRNNSmRPPmRmRNSSmRmPPnDNSRNSnPnPPnPSnPRSnPnPnDNS")</f>
        <v>RSnPnPnDNSNSRNNSmRPPmRmRNSSmRmPPnDNSRNSnPnPPnPSnPRSnPnPnDNS</v>
      </c>
      <c r="H205" s="410" t="str">
        <f>IFERROR(__xludf.DUMMYFUNCTION("ArrayFormula(join(,unique(mid(F205,sequence(len(F205)),1))))"),"SRmPDnN")</f>
        <v>SRmPDnN</v>
      </c>
      <c r="I205" s="410">
        <f t="shared" si="1"/>
        <v>7</v>
      </c>
      <c r="J205" s="412" t="str">
        <f>IFERROR(__xludf.DUMMYFUNCTION("ArrayFormula(join(,unique(mid(G205,sequence(len(G205)),1))))"),"RSnPDNm")</f>
        <v>RSnPDNm</v>
      </c>
      <c r="K205" s="411">
        <f t="shared" si="2"/>
        <v>7</v>
      </c>
    </row>
    <row r="206">
      <c r="A206" s="406" t="s">
        <v>999</v>
      </c>
      <c r="B206" s="407" t="s">
        <v>938</v>
      </c>
      <c r="C206" s="222" t="s">
        <v>1000</v>
      </c>
      <c r="D206" s="408" t="b">
        <f>IFERROR(__xludf.DUMMYFUNCTION("arrayformula(sum(--REGEXMATCH(H206,split(REGEXREPLACE(J206,""(.)"",""$1~""),""~""))))=len(J206)"),FALSE)</f>
        <v>0</v>
      </c>
      <c r="E206" s="409" t="s">
        <v>601</v>
      </c>
      <c r="F206" s="410" t="str">
        <f>IFERROR(__xludf.DUMMYFUNCTION("REGEXREPLACE(B206,""[^[:alpha:]]"", """")"),"SgGmdnS")</f>
        <v>SgGmdnS</v>
      </c>
      <c r="G206" s="411" t="str">
        <f>IFERROR(__xludf.DUMMYFUNCTION("REGEXREPLACE(C206,""[^[:alpha:]]"", """")"),"GGGmnndddmGGmGRGmmmdGmSnddddSnnnSSmGGmmGndnddmGGGmGRGmm")</f>
        <v>GGGmnndddmGGmGRGmmmdGmSnddddSnnnSSmGGmmGndnddmGGGmGRGmm</v>
      </c>
      <c r="H206" s="410" t="str">
        <f>IFERROR(__xludf.DUMMYFUNCTION("ArrayFormula(join(,unique(mid(F206,sequence(len(F206)),1))))"),"SgGmdn")</f>
        <v>SgGmdn</v>
      </c>
      <c r="I206" s="410">
        <f t="shared" si="1"/>
        <v>6</v>
      </c>
      <c r="J206" s="412" t="str">
        <f>IFERROR(__xludf.DUMMYFUNCTION("ArrayFormula(join(,unique(mid(G206,sequence(len(G206)),1))))"),"GmndRS")</f>
        <v>GmndRS</v>
      </c>
      <c r="K206" s="411">
        <f t="shared" si="2"/>
        <v>6</v>
      </c>
    </row>
    <row r="207">
      <c r="A207" s="406" t="s">
        <v>1001</v>
      </c>
      <c r="B207" s="407" t="s">
        <v>1002</v>
      </c>
      <c r="C207" s="222" t="s">
        <v>1003</v>
      </c>
      <c r="D207" s="408" t="b">
        <f>IFERROR(__xludf.DUMMYFUNCTION("arrayformula(sum(--REGEXMATCH(H207,split(REGEXREPLACE(J207,""(.)"",""$1~""),""~""))))=len(J207)"),TRUE)</f>
        <v>1</v>
      </c>
      <c r="E207" s="409" t="s">
        <v>513</v>
      </c>
      <c r="F207" s="410" t="str">
        <f>IFERROR(__xludf.DUMMYFUNCTION("REGEXREPLACE(B207,""[^[:alpha:]]"", """")"),"SrGMPDnNS")</f>
        <v>SrGMPDnNS</v>
      </c>
      <c r="G207" s="411" t="str">
        <f>IFERROR(__xludf.DUMMYFUNCTION("REGEXREPLACE(C207,""[^[:alpha:]]"", """")"),"MPDSnSDnDPMPMGGMDMGrrSSNSNSNDDPMPPMPDrrS")</f>
        <v>MPDSnSDnDPMPMGGMDMGrrSSNSNSNDDPMPPMPDrrS</v>
      </c>
      <c r="H207" s="410" t="str">
        <f>IFERROR(__xludf.DUMMYFUNCTION("ArrayFormula(join(,unique(mid(F207,sequence(len(F207)),1))))"),"SrGMPDnN")</f>
        <v>SrGMPDnN</v>
      </c>
      <c r="I207" s="410">
        <f t="shared" si="1"/>
        <v>8</v>
      </c>
      <c r="J207" s="412" t="str">
        <f>IFERROR(__xludf.DUMMYFUNCTION("ArrayFormula(join(,unique(mid(G207,sequence(len(G207)),1))))"),"MPDSnGrN")</f>
        <v>MPDSnGrN</v>
      </c>
      <c r="K207" s="411">
        <f t="shared" si="2"/>
        <v>8</v>
      </c>
    </row>
    <row r="208">
      <c r="A208" s="406" t="s">
        <v>1004</v>
      </c>
      <c r="B208" s="407" t="s">
        <v>561</v>
      </c>
      <c r="C208" s="222" t="s">
        <v>1005</v>
      </c>
      <c r="D208" s="408" t="b">
        <f>IFERROR(__xludf.DUMMYFUNCTION("arrayformula(sum(--REGEXMATCH(H208,split(REGEXREPLACE(J208,""(.)"",""$1~""),""~""))))=len(J208)"),TRUE)</f>
        <v>1</v>
      </c>
      <c r="E208" s="409" t="s">
        <v>513</v>
      </c>
      <c r="F208" s="410" t="str">
        <f>IFERROR(__xludf.DUMMYFUNCTION("REGEXREPLACE(B208,""[^[:alpha:]]"", """")"),"SRgmPDnS")</f>
        <v>SRgmPDnS</v>
      </c>
      <c r="G208" s="411" t="str">
        <f>IFERROR(__xludf.DUMMYFUNCTION("REGEXREPLACE(C208,""[^[:alpha:]]"", """")"),"PDPDPmPDPDnSDDnPPDPDPmPPmPDPDnSDDnP")</f>
        <v>PDPDPmPDPDnSDDnPPDPDPmPPmPDPDnSDDnP</v>
      </c>
      <c r="H208" s="410" t="str">
        <f>IFERROR(__xludf.DUMMYFUNCTION("ArrayFormula(join(,unique(mid(F208,sequence(len(F208)),1))))"),"SRgmPDn")</f>
        <v>SRgmPDn</v>
      </c>
      <c r="I208" s="410">
        <f t="shared" si="1"/>
        <v>7</v>
      </c>
      <c r="J208" s="412" t="str">
        <f>IFERROR(__xludf.DUMMYFUNCTION("ArrayFormula(join(,unique(mid(G208,sequence(len(G208)),1))))"),"PDmnS")</f>
        <v>PDmnS</v>
      </c>
      <c r="K208" s="411">
        <f t="shared" si="2"/>
        <v>5</v>
      </c>
    </row>
    <row r="209">
      <c r="A209" s="413" t="s">
        <v>1006</v>
      </c>
      <c r="B209" s="407" t="s">
        <v>401</v>
      </c>
      <c r="C209" s="222" t="s">
        <v>401</v>
      </c>
      <c r="D209" s="408" t="b">
        <f>IFERROR(__xludf.DUMMYFUNCTION("arrayformula(sum(--REGEXMATCH(H209,split(REGEXREPLACE(J209,""(.)"",""$1~""),""~""))))=len(J209)"),TRUE)</f>
        <v>1</v>
      </c>
      <c r="E209" s="409" t="s">
        <v>513</v>
      </c>
      <c r="F209" s="410" t="str">
        <f>IFERROR(__xludf.DUMMYFUNCTION("REGEXREPLACE(B209,""[^[:alpha:]]"", """")"),"SrgMPdNS")</f>
        <v>SrgMPdNS</v>
      </c>
      <c r="G209" s="411" t="str">
        <f>IFERROR(__xludf.DUMMYFUNCTION("REGEXREPLACE(C209,""[^[:alpha:]]"", """")"),"SrgMPdNS")</f>
        <v>SrgMPdNS</v>
      </c>
      <c r="H209" s="410" t="str">
        <f>IFERROR(__xludf.DUMMYFUNCTION("ArrayFormula(join(,unique(mid(F209,sequence(len(F209)),1))))"),"SrgMPdN")</f>
        <v>SrgMPdN</v>
      </c>
      <c r="I209" s="410">
        <f t="shared" si="1"/>
        <v>7</v>
      </c>
      <c r="J209" s="412" t="str">
        <f>IFERROR(__xludf.DUMMYFUNCTION("ArrayFormula(join(,unique(mid(G209,sequence(len(G209)),1))))"),"SrgMPdN")</f>
        <v>SrgMPdN</v>
      </c>
      <c r="K209" s="411">
        <f t="shared" si="2"/>
        <v>7</v>
      </c>
    </row>
    <row r="210">
      <c r="A210" s="406" t="s">
        <v>1007</v>
      </c>
      <c r="B210" s="407" t="s">
        <v>741</v>
      </c>
      <c r="C210" s="222" t="s">
        <v>1008</v>
      </c>
      <c r="D210" s="408" t="b">
        <f>IFERROR(__xludf.DUMMYFUNCTION("arrayformula(sum(--REGEXMATCH(H210,split(REGEXREPLACE(J210,""(.)"",""$1~""),""~""))))=len(J210)"),TRUE)</f>
        <v>1</v>
      </c>
      <c r="E210" s="409" t="s">
        <v>513</v>
      </c>
      <c r="F210" s="410" t="str">
        <f>IFERROR(__xludf.DUMMYFUNCTION("REGEXREPLACE(B210,""[^[:alpha:]]"", """")"),"SRgGmPDnNS")</f>
        <v>SRgGmPDnNS</v>
      </c>
      <c r="G210" s="411" t="str">
        <f>IFERROR(__xludf.DUMMYFUNCTION("REGEXREPLACE(C210,""[^[:alpha:]]"", """")"),"PnPnmPmmPmnnPmgmgSnnSmgmmgmPmgmnPPnPmggPmmgmmgnSmmmmnPmgmPPRRSNSNSDnDnSnSRRSNSnDnDPDGGPDnS")</f>
        <v>PnPnmPmmPmnnPmgmgSnnSmgmmgmPmgmnPPnPmggPmmgmmgnSmmmmnPmgmPPRRSNSNSDnDnSnSRRSNSnDnDPDGGPDnS</v>
      </c>
      <c r="H210" s="410" t="str">
        <f>IFERROR(__xludf.DUMMYFUNCTION("ArrayFormula(join(,unique(mid(F210,sequence(len(F210)),1))))"),"SRgGmPDnN")</f>
        <v>SRgGmPDnN</v>
      </c>
      <c r="I210" s="410">
        <f t="shared" si="1"/>
        <v>9</v>
      </c>
      <c r="J210" s="412" t="str">
        <f>IFERROR(__xludf.DUMMYFUNCTION("ArrayFormula(join(,unique(mid(G210,sequence(len(G210)),1))))"),"PnmgSRNDG")</f>
        <v>PnmgSRNDG</v>
      </c>
      <c r="K210" s="411">
        <f t="shared" si="2"/>
        <v>9</v>
      </c>
    </row>
    <row r="211">
      <c r="A211" s="406" t="s">
        <v>1009</v>
      </c>
      <c r="B211" s="407" t="s">
        <v>632</v>
      </c>
      <c r="C211" s="222" t="s">
        <v>1010</v>
      </c>
      <c r="D211" s="408" t="b">
        <f>IFERROR(__xludf.DUMMYFUNCTION("arrayformula(sum(--REGEXMATCH(H211,split(REGEXREPLACE(J211,""(.)"",""$1~""),""~""))))=len(J211)"),TRUE)</f>
        <v>1</v>
      </c>
      <c r="E211" s="409" t="s">
        <v>513</v>
      </c>
      <c r="F211" s="410" t="str">
        <f>IFERROR(__xludf.DUMMYFUNCTION("REGEXREPLACE(B211,""[^[:alpha:]]"", """")"),"SRGmMPDNS")</f>
        <v>SRGmMPDNS</v>
      </c>
      <c r="G211" s="411" t="str">
        <f>IFERROR(__xludf.DUMMYFUNCTION("REGEXREPLACE(C211,""[^[:alpha:]]"", """")"),"SGmDDPMPGRRSNSGGPmGGPPGPPMPDPMPGmPDNPDNNDPDMPMPPGGmDPMPGRRSSG")</f>
        <v>SGmDDPMPGRRSNSGGPmGGPPGPPMPDPMPGmPDNPDNNDPDMPMPPGGmDPMPGRRSSG</v>
      </c>
      <c r="H211" s="410" t="str">
        <f>IFERROR(__xludf.DUMMYFUNCTION("ArrayFormula(join(,unique(mid(F211,sequence(len(F211)),1))))"),"SRGmMPDN")</f>
        <v>SRGmMPDN</v>
      </c>
      <c r="I211" s="410">
        <f t="shared" si="1"/>
        <v>8</v>
      </c>
      <c r="J211" s="412" t="str">
        <f>IFERROR(__xludf.DUMMYFUNCTION("ArrayFormula(join(,unique(mid(G211,sequence(len(G211)),1))))"),"SGmDPMRN")</f>
        <v>SGmDPMRN</v>
      </c>
      <c r="K211" s="411">
        <f t="shared" si="2"/>
        <v>8</v>
      </c>
    </row>
    <row r="212">
      <c r="A212" s="406" t="s">
        <v>488</v>
      </c>
      <c r="B212" s="407" t="s">
        <v>489</v>
      </c>
      <c r="C212" s="222" t="s">
        <v>1011</v>
      </c>
      <c r="D212" s="408" t="b">
        <f>IFERROR(__xludf.DUMMYFUNCTION("arrayformula(sum(--REGEXMATCH(H212,split(REGEXREPLACE(J212,""(.)"",""$1~""),""~""))))=len(J212)"),TRUE)</f>
        <v>1</v>
      </c>
      <c r="E212" s="409" t="s">
        <v>513</v>
      </c>
      <c r="F212" s="410" t="str">
        <f>IFERROR(__xludf.DUMMYFUNCTION("REGEXREPLACE(B212,""[^[:alpha:]]"", """")"),"SgGmPdnS")</f>
        <v>SgGmPdnS</v>
      </c>
      <c r="G212" s="411" t="str">
        <f>IFERROR(__xludf.DUMMYFUNCTION("REGEXREPLACE(C212,""[^[:alpha:]]"", """")"),"SGmdPmgmSSSSSndnnSGmSGmndmndddnndmPmGmPGSgSnSSGmdPmgmSSSSSndnnSGm")</f>
        <v>SGmdPmgmSSSSSndnnSGmSGmndmndddnndmPmGmPGSgSnSSGmdPmgmSSSSSndnnSGm</v>
      </c>
      <c r="H212" s="410" t="str">
        <f>IFERROR(__xludf.DUMMYFUNCTION("ArrayFormula(join(,unique(mid(F212,sequence(len(F212)),1))))"),"SgGmPdn")</f>
        <v>SgGmPdn</v>
      </c>
      <c r="I212" s="410">
        <f t="shared" si="1"/>
        <v>7</v>
      </c>
      <c r="J212" s="412" t="str">
        <f>IFERROR(__xludf.DUMMYFUNCTION("ArrayFormula(join(,unique(mid(G212,sequence(len(G212)),1))))"),"SGmdPgn")</f>
        <v>SGmdPgn</v>
      </c>
      <c r="K212" s="411">
        <f t="shared" si="2"/>
        <v>7</v>
      </c>
    </row>
    <row r="213">
      <c r="A213" s="406" t="s">
        <v>1012</v>
      </c>
      <c r="B213" s="407" t="s">
        <v>721</v>
      </c>
      <c r="C213" s="222" t="s">
        <v>1013</v>
      </c>
      <c r="D213" s="408" t="b">
        <f>IFERROR(__xludf.DUMMYFUNCTION("arrayformula(sum(--REGEXMATCH(H213,split(REGEXREPLACE(J213,""(.)"",""$1~""),""~""))))=len(J213)"),TRUE)</f>
        <v>1</v>
      </c>
      <c r="E213" s="409" t="s">
        <v>513</v>
      </c>
      <c r="F213" s="410" t="str">
        <f>IFERROR(__xludf.DUMMYFUNCTION("REGEXREPLACE(B213,""[^[:alpha:]]"", """")"),"SRmPDnS")</f>
        <v>SRmPDnS</v>
      </c>
      <c r="G213" s="411" t="str">
        <f>IFERROR(__xludf.DUMMYFUNCTION("REGEXREPLACE(C213,""[^[:alpha:]]"", """")"),"mRRPDPmPmPDSnSDPmDSDSSnSSDDSRmRnDSPR")</f>
        <v>mRRPDPmPmPDSnSDPmDSDSSnSSDDSRmRnDSPR</v>
      </c>
      <c r="H213" s="410" t="str">
        <f>IFERROR(__xludf.DUMMYFUNCTION("ArrayFormula(join(,unique(mid(F213,sequence(len(F213)),1))))"),"SRmPDn")</f>
        <v>SRmPDn</v>
      </c>
      <c r="I213" s="410">
        <f t="shared" si="1"/>
        <v>6</v>
      </c>
      <c r="J213" s="412" t="str">
        <f>IFERROR(__xludf.DUMMYFUNCTION("ArrayFormula(join(,unique(mid(G213,sequence(len(G213)),1))))"),"mRPDSn")</f>
        <v>mRPDSn</v>
      </c>
      <c r="K213" s="411">
        <f t="shared" si="2"/>
        <v>6</v>
      </c>
    </row>
    <row r="214">
      <c r="A214" s="406" t="s">
        <v>1016</v>
      </c>
      <c r="B214" s="407" t="s">
        <v>554</v>
      </c>
      <c r="C214" s="222" t="s">
        <v>1017</v>
      </c>
      <c r="D214" s="408" t="b">
        <f>IFERROR(__xludf.DUMMYFUNCTION("arrayformula(sum(--REGEXMATCH(H214,split(REGEXREPLACE(J214,""(.)"",""$1~""),""~""))))=len(J214)"),FALSE)</f>
        <v>0</v>
      </c>
      <c r="E214" s="409" t="s">
        <v>1018</v>
      </c>
      <c r="F214" s="410" t="str">
        <f>IFERROR(__xludf.DUMMYFUNCTION("REGEXREPLACE(B214,""[^[:alpha:]]"", """")"),"SRGmPDNS")</f>
        <v>SRGmPDNS</v>
      </c>
      <c r="G214" s="411" t="str">
        <f>IFERROR(__xludf.DUMMYFUNCTION("REGEXREPLACE(C214,""[^[:alpha:]]"", """")"),"SNSSGRRGRRGRGmGRSSNSSDSDnDPPMDPMPPMPGRGRGRGRGmGmGRGRGRGRSSNSRSNSGRRGRGRSNRSSD")</f>
        <v>SNSSGRRGRRGRGmGRSSNSSDSDnDPPMDPMPPMPGRGRGRGRGmGmGRGRGRGRSSNSRSNSGRRGRGRSNRSSD</v>
      </c>
      <c r="H214" s="410" t="str">
        <f>IFERROR(__xludf.DUMMYFUNCTION("ArrayFormula(join(,unique(mid(F214,sequence(len(F214)),1))))"),"SRGmPDN")</f>
        <v>SRGmPDN</v>
      </c>
      <c r="I214" s="410">
        <f t="shared" si="1"/>
        <v>7</v>
      </c>
      <c r="J214" s="412" t="str">
        <f>IFERROR(__xludf.DUMMYFUNCTION("ArrayFormula(join(,unique(mid(G214,sequence(len(G214)),1))))"),"SNGRmDnPM")</f>
        <v>SNGRmDnPM</v>
      </c>
      <c r="K214" s="411">
        <f t="shared" si="2"/>
        <v>9</v>
      </c>
    </row>
    <row r="215">
      <c r="A215" s="406" t="s">
        <v>699</v>
      </c>
      <c r="B215" s="407" t="s">
        <v>700</v>
      </c>
      <c r="C215" s="222" t="s">
        <v>1019</v>
      </c>
      <c r="D215" s="408" t="b">
        <f>IFERROR(__xludf.DUMMYFUNCTION("arrayformula(sum(--REGEXMATCH(H215,split(REGEXREPLACE(J215,""(.)"",""$1~""),""~""))))=len(J215)"),TRUE)</f>
        <v>1</v>
      </c>
      <c r="E215" s="409" t="s">
        <v>513</v>
      </c>
      <c r="F215" s="410" t="str">
        <f>IFERROR(__xludf.DUMMYFUNCTION("REGEXREPLACE(B215,""[^[:alpha:]]"", """")"),"SRGmPdNS")</f>
        <v>SRGmPdNS</v>
      </c>
      <c r="G215" s="411" t="str">
        <f>IFERROR(__xludf.DUMMYFUNCTION("REGEXREPLACE(C215,""[^[:alpha:]]"", """")"),"RSNRSPmGmPRSNRSSGmPGmNdPmPGGmRSNSGmPGmNdPmPG")</f>
        <v>RSNRSPmGmPRSNRSSGmPGmNdPmPGGmRSNSGmPGmNdPmPG</v>
      </c>
      <c r="H215" s="410" t="str">
        <f>IFERROR(__xludf.DUMMYFUNCTION("ArrayFormula(join(,unique(mid(F215,sequence(len(F215)),1))))"),"SRGmPdN")</f>
        <v>SRGmPdN</v>
      </c>
      <c r="I215" s="410">
        <f t="shared" si="1"/>
        <v>7</v>
      </c>
      <c r="J215" s="412" t="str">
        <f>IFERROR(__xludf.DUMMYFUNCTION("ArrayFormula(join(,unique(mid(G215,sequence(len(G215)),1))))"),"RSNPmGd")</f>
        <v>RSNPmGd</v>
      </c>
      <c r="K215" s="411">
        <f t="shared" si="2"/>
        <v>7</v>
      </c>
    </row>
    <row r="216">
      <c r="A216" s="406" t="s">
        <v>1020</v>
      </c>
      <c r="B216" s="407" t="s">
        <v>648</v>
      </c>
      <c r="C216" s="222" t="s">
        <v>1021</v>
      </c>
      <c r="D216" s="408" t="b">
        <f>IFERROR(__xludf.DUMMYFUNCTION("arrayformula(sum(--REGEXMATCH(H216,split(REGEXREPLACE(J216,""(.)"",""$1~""),""~""))))=len(J216)"),TRUE)</f>
        <v>1</v>
      </c>
      <c r="E216" s="409" t="s">
        <v>513</v>
      </c>
      <c r="F216" s="410" t="str">
        <f>IFERROR(__xludf.DUMMYFUNCTION("REGEXREPLACE(B216,""[^[:alpha:]]"", """")"),"SRGmMPDnNS")</f>
        <v>SRGmMPDnNS</v>
      </c>
      <c r="G216" s="411" t="str">
        <f>IFERROR(__xludf.DUMMYFUNCTION("REGEXREPLACE(C216,""[^[:alpha:]]"", """")"),"GmGmnDDnPPPmPmPDPDPmPmPDPmmGmGGRGGRGRmSGmGmGPPmGGmRNSNSRNSGPmmnDDnPP")</f>
        <v>GmGmnDDnPPPmPmPDPDPmPmPDPmmGmGGRGGRGRmSGmGmGPPmGGmRNSNSRNSGPmmnDDnPP</v>
      </c>
      <c r="H216" s="410" t="str">
        <f>IFERROR(__xludf.DUMMYFUNCTION("ArrayFormula(join(,unique(mid(F216,sequence(len(F216)),1))))"),"SRGmMPDnN")</f>
        <v>SRGmMPDnN</v>
      </c>
      <c r="I216" s="410">
        <f t="shared" si="1"/>
        <v>9</v>
      </c>
      <c r="J216" s="412" t="str">
        <f>IFERROR(__xludf.DUMMYFUNCTION("ArrayFormula(join(,unique(mid(G216,sequence(len(G216)),1))))"),"GmnDPRSN")</f>
        <v>GmnDPRSN</v>
      </c>
      <c r="K216" s="411">
        <f t="shared" si="2"/>
        <v>8</v>
      </c>
    </row>
    <row r="217">
      <c r="A217" s="406" t="s">
        <v>1022</v>
      </c>
      <c r="B217" s="407" t="s">
        <v>530</v>
      </c>
      <c r="C217" s="222" t="s">
        <v>1023</v>
      </c>
      <c r="D217" s="408" t="b">
        <f>IFERROR(__xludf.DUMMYFUNCTION("arrayformula(sum(--REGEXMATCH(H217,split(REGEXREPLACE(J217,""(.)"",""$1~""),""~""))))=len(J217)"),TRUE)</f>
        <v>1</v>
      </c>
      <c r="E217" s="409" t="s">
        <v>513</v>
      </c>
      <c r="F217" s="410" t="str">
        <f>IFERROR(__xludf.DUMMYFUNCTION("REGEXREPLACE(B217,""[^[:alpha:]]"", """")"),"SRGmPDnNS")</f>
        <v>SRGmPDnNS</v>
      </c>
      <c r="G217" s="411" t="str">
        <f>IFERROR(__xludf.DUMMYFUNCTION("REGEXREPLACE(C217,""[^[:alpha:]]"", """")"),"RmRmRSRmPnDnPmRSRSmRmRSRPmPmPnDnDPmGmGRGRGmmDPDPmPmmGRGGmGmGPmPmGRmGmRRRmRmRSRmPnDnPmRSR")</f>
        <v>RmRmRSRmPnDnPmRSRSmRmRSRPmPmPnDnDPmGmGRGRGmmDPDPmPmmGRGGmGmGPmPmGRmGmRRRmRmRSRmPnDnPmRSR</v>
      </c>
      <c r="H217" s="410" t="str">
        <f>IFERROR(__xludf.DUMMYFUNCTION("ArrayFormula(join(,unique(mid(F217,sequence(len(F217)),1))))"),"SRGmPDnN")</f>
        <v>SRGmPDnN</v>
      </c>
      <c r="I217" s="410">
        <f t="shared" si="1"/>
        <v>8</v>
      </c>
      <c r="J217" s="412" t="str">
        <f>IFERROR(__xludf.DUMMYFUNCTION("ArrayFormula(join(,unique(mid(G217,sequence(len(G217)),1))))"),"RmSPnDG")</f>
        <v>RmSPnDG</v>
      </c>
      <c r="K217" s="411">
        <f t="shared" si="2"/>
        <v>7</v>
      </c>
    </row>
    <row r="218">
      <c r="A218" s="406" t="s">
        <v>1024</v>
      </c>
      <c r="B218" s="407" t="s">
        <v>748</v>
      </c>
      <c r="C218" s="222" t="s">
        <v>1025</v>
      </c>
      <c r="D218" s="408" t="b">
        <f>IFERROR(__xludf.DUMMYFUNCTION("arrayformula(sum(--REGEXMATCH(H218,split(REGEXREPLACE(J218,""(.)"",""$1~""),""~""))))=len(J218)"),TRUE)</f>
        <v>1</v>
      </c>
      <c r="E218" s="409" t="s">
        <v>513</v>
      </c>
      <c r="F218" s="410" t="str">
        <f>IFERROR(__xludf.DUMMYFUNCTION("REGEXREPLACE(B218,""[^[:alpha:]]"", """")"),"SRgmPnS")</f>
        <v>SRgmPnS</v>
      </c>
      <c r="G218" s="411" t="str">
        <f>IFERROR(__xludf.DUMMYFUNCTION("REGEXREPLACE(C218,""[^[:alpha:]]"", """")"),"nSRRRSnSnSRmgRmgmgmgmmPmPmmPmnPnPmmnPmPmPSnSnPnPmmPnPnPPSnSnPnPmPnPmPmnPmPmgmgmggmgm")</f>
        <v>nSRRRSnSnSRmgRmgmgmgmmPmPmmPmnPnPmmnPmPmPSnSnPnPmmPnPnPPSnSnPnPmPnPmPmnPmPmgmgmggmgm</v>
      </c>
      <c r="H218" s="410" t="str">
        <f>IFERROR(__xludf.DUMMYFUNCTION("ArrayFormula(join(,unique(mid(F218,sequence(len(F218)),1))))"),"SRgmPn")</f>
        <v>SRgmPn</v>
      </c>
      <c r="I218" s="410">
        <f t="shared" si="1"/>
        <v>6</v>
      </c>
      <c r="J218" s="412" t="str">
        <f>IFERROR(__xludf.DUMMYFUNCTION("ArrayFormula(join(,unique(mid(G218,sequence(len(G218)),1))))"),"nSRmgP")</f>
        <v>nSRmgP</v>
      </c>
      <c r="K218" s="411">
        <f t="shared" si="2"/>
        <v>6</v>
      </c>
    </row>
    <row r="219">
      <c r="A219" s="406" t="s">
        <v>1026</v>
      </c>
      <c r="B219" s="407" t="s">
        <v>612</v>
      </c>
      <c r="C219" s="222" t="s">
        <v>1027</v>
      </c>
      <c r="D219" s="408" t="b">
        <f>IFERROR(__xludf.DUMMYFUNCTION("arrayformula(sum(--REGEXMATCH(H219,split(REGEXREPLACE(J219,""(.)"",""$1~""),""~""))))=len(J219)"),FALSE)</f>
        <v>0</v>
      </c>
      <c r="E219" s="409" t="s">
        <v>950</v>
      </c>
      <c r="F219" s="410" t="str">
        <f>IFERROR(__xludf.DUMMYFUNCTION("REGEXREPLACE(B219,""[^[:alpha:]]"", """")"),"SRgGmPDnS")</f>
        <v>SRgGmPDnS</v>
      </c>
      <c r="G219" s="411" t="str">
        <f>IFERROR(__xludf.DUMMYFUNCTION("REGEXREPLACE(C219,""[^[:alpha:]]"", """")"),"SGRmGPmGmRSnDPDngRRgRSRSSNSNSRgRSSNSnSDRS")</f>
        <v>SGRmGPmGmRSnDPDngRRgRSRSSNSNSRgRSSNSnSDRS</v>
      </c>
      <c r="H219" s="410" t="str">
        <f>IFERROR(__xludf.DUMMYFUNCTION("ArrayFormula(join(,unique(mid(F219,sequence(len(F219)),1))))"),"SRgGmPDn")</f>
        <v>SRgGmPDn</v>
      </c>
      <c r="I219" s="410">
        <f t="shared" si="1"/>
        <v>8</v>
      </c>
      <c r="J219" s="412" t="str">
        <f>IFERROR(__xludf.DUMMYFUNCTION("ArrayFormula(join(,unique(mid(G219,sequence(len(G219)),1))))"),"SGRmPnDgN")</f>
        <v>SGRmPnDgN</v>
      </c>
      <c r="K219" s="411">
        <f t="shared" si="2"/>
        <v>9</v>
      </c>
    </row>
    <row r="220">
      <c r="A220" s="406" t="s">
        <v>1028</v>
      </c>
      <c r="B220" s="407" t="s">
        <v>1029</v>
      </c>
      <c r="C220" s="222" t="s">
        <v>1030</v>
      </c>
      <c r="D220" s="408" t="b">
        <f>IFERROR(__xludf.DUMMYFUNCTION("arrayformula(sum(--REGEXMATCH(H220,split(REGEXREPLACE(J220,""(.)"",""$1~""),""~""))))=len(J220)"),TRUE)</f>
        <v>1</v>
      </c>
      <c r="E220" s="409" t="s">
        <v>513</v>
      </c>
      <c r="F220" s="410" t="str">
        <f>IFERROR(__xludf.DUMMYFUNCTION("REGEXREPLACE(B220,""[^[:alpha:]]"", """")"),"SrgmMPDnNS")</f>
        <v>SrgmMPDnNS</v>
      </c>
      <c r="G220" s="411" t="str">
        <f>IFERROR(__xludf.DUMMYFUNCTION("REGEXREPLACE(C220,""[^[:alpha:]]"", """")"),"SgrmPDPDPmDPmSmgPmgmgrgrgrgSDnDSnDnDSnSnSSSSSgrgrrgrrSSSgrrmSmmmPmDPnDnPmgrrS")</f>
        <v>SgrmPDPDPmDPmSmgPmgmgrgrgrgSDnDSnDnDSnSnSSSSSgrgrrgrrSSSgrrmSmmmPmDPnDnPmgrrS</v>
      </c>
      <c r="H220" s="410" t="str">
        <f>IFERROR(__xludf.DUMMYFUNCTION("ArrayFormula(join(,unique(mid(F220,sequence(len(F220)),1))))"),"SrgmMPDnN")</f>
        <v>SrgmMPDnN</v>
      </c>
      <c r="I220" s="410">
        <f t="shared" si="1"/>
        <v>9</v>
      </c>
      <c r="J220" s="412" t="str">
        <f>IFERROR(__xludf.DUMMYFUNCTION("ArrayFormula(join(,unique(mid(G220,sequence(len(G220)),1))))"),"SgrmPDn")</f>
        <v>SgrmPDn</v>
      </c>
      <c r="K220" s="411">
        <f t="shared" si="2"/>
        <v>7</v>
      </c>
    </row>
    <row r="221">
      <c r="A221" s="406" t="s">
        <v>1031</v>
      </c>
      <c r="B221" s="407" t="s">
        <v>867</v>
      </c>
      <c r="C221" s="222" t="s">
        <v>1032</v>
      </c>
      <c r="D221" s="408" t="b">
        <f>IFERROR(__xludf.DUMMYFUNCTION("arrayformula(sum(--REGEXMATCH(H221,split(REGEXREPLACE(J221,""(.)"",""$1~""),""~""))))=len(J221)"),TRUE)</f>
        <v>1</v>
      </c>
      <c r="E221" s="409" t="s">
        <v>513</v>
      </c>
      <c r="F221" s="410" t="str">
        <f>IFERROR(__xludf.DUMMYFUNCTION("REGEXREPLACE(B221,""[^[:alpha:]]"", """")"),"SRmMPDNS")</f>
        <v>SRmMPDNS</v>
      </c>
      <c r="G221" s="411" t="str">
        <f>IFERROR(__xludf.DUMMYFUNCTION("REGEXREPLACE(C221,""[^[:alpha:]]"", """")"),"PNNSSRSNmRSNSNSNSNPNSNSSRmRmRSRNSNSDPRmRMPNSNSPmRRSRmRRMPMPMPMPPPPmRS")</f>
        <v>PNNSSRSNmRSNSNSNSNPNSNSSRmRmRSRNSNSDPRmRMPNSNSPmRRSRmRRMPMPMPMPPPPmRS</v>
      </c>
      <c r="H221" s="410" t="str">
        <f>IFERROR(__xludf.DUMMYFUNCTION("ArrayFormula(join(,unique(mid(F221,sequence(len(F221)),1))))"),"SRmMPDN")</f>
        <v>SRmMPDN</v>
      </c>
      <c r="I221" s="410">
        <f t="shared" si="1"/>
        <v>7</v>
      </c>
      <c r="J221" s="412" t="str">
        <f>IFERROR(__xludf.DUMMYFUNCTION("ArrayFormula(join(,unique(mid(G221,sequence(len(G221)),1))))"),"PNSRmDM")</f>
        <v>PNSRmDM</v>
      </c>
      <c r="K221" s="411">
        <f t="shared" si="2"/>
        <v>7</v>
      </c>
    </row>
    <row r="222">
      <c r="A222" s="406" t="s">
        <v>1033</v>
      </c>
      <c r="B222" s="407" t="s">
        <v>619</v>
      </c>
      <c r="C222" s="222" t="s">
        <v>1034</v>
      </c>
      <c r="D222" s="408" t="b">
        <f>IFERROR(__xludf.DUMMYFUNCTION("arrayformula(sum(--REGEXMATCH(H222,split(REGEXREPLACE(J222,""(.)"",""$1~""),""~""))))=len(J222)"),FALSE)</f>
        <v>0</v>
      </c>
      <c r="E222" s="409" t="s">
        <v>1035</v>
      </c>
      <c r="F222" s="410" t="str">
        <f>IFERROR(__xludf.DUMMYFUNCTION("REGEXREPLACE(B222,""[^[:alpha:]]"", """")"),"SRGPDS")</f>
        <v>SRGPDS</v>
      </c>
      <c r="G222" s="411" t="str">
        <f>IFERROR(__xludf.DUMMYFUNCTION("REGEXREPLACE(C222,""[^[:alpha:]]"", """")"),"SRGPPPDPMGRSRGSRGMPDPMPGRGGMPMDPMGGDGDDDNDPMGPPMGRSDSRGGRSDNSRGMPMGRGGGRSDgRSS")</f>
        <v>SRGPPPDPMGRSRGSRGMPDPMPGRGGMPMDPMGGDGDDDNDPMGPPMGRSDSRGGRSDNSRGMPMGRGGGRSDgRSS</v>
      </c>
      <c r="H222" s="410" t="str">
        <f>IFERROR(__xludf.DUMMYFUNCTION("ArrayFormula(join(,unique(mid(F222,sequence(len(F222)),1))))"),"SRGPD")</f>
        <v>SRGPD</v>
      </c>
      <c r="I222" s="410">
        <f t="shared" si="1"/>
        <v>5</v>
      </c>
      <c r="J222" s="412" t="str">
        <f>IFERROR(__xludf.DUMMYFUNCTION("ArrayFormula(join(,unique(mid(G222,sequence(len(G222)),1))))"),"SRGPDMNg")</f>
        <v>SRGPDMNg</v>
      </c>
      <c r="K222" s="411">
        <f t="shared" si="2"/>
        <v>8</v>
      </c>
    </row>
    <row r="223">
      <c r="A223" s="406" t="s">
        <v>1036</v>
      </c>
      <c r="B223" s="407" t="s">
        <v>597</v>
      </c>
      <c r="C223" s="222" t="s">
        <v>1037</v>
      </c>
      <c r="D223" s="408" t="b">
        <f>IFERROR(__xludf.DUMMYFUNCTION("arrayformula(sum(--REGEXMATCH(H223,split(REGEXREPLACE(J223,""(.)"",""$1~""),""~""))))=len(J223)"),FALSE)</f>
        <v>0</v>
      </c>
      <c r="E223" s="409" t="s">
        <v>601</v>
      </c>
      <c r="F223" s="410" t="str">
        <f>IFERROR(__xludf.DUMMYFUNCTION("REGEXREPLACE(B223,""[^[:alpha:]]"", """")"),"SrGmMPDNS")</f>
        <v>SrGmMPDNS</v>
      </c>
      <c r="G223" s="411" t="str">
        <f>IFERROR(__xludf.DUMMYFUNCTION("REGEXREPLACE(C223,""[^[:alpha:]]"", """")"),"NRNDPDPSSNSSSSNSRSRSNNPSNRPNPRDRDDPDPPGmS")</f>
        <v>NRNDPDPSSNSSSSNSRSRSNNPSNRPNPRDRDDPDPPGmS</v>
      </c>
      <c r="H223" s="410" t="str">
        <f>IFERROR(__xludf.DUMMYFUNCTION("ArrayFormula(join(,unique(mid(F223,sequence(len(F223)),1))))"),"SrGmMPDN")</f>
        <v>SrGmMPDN</v>
      </c>
      <c r="I223" s="410">
        <f t="shared" si="1"/>
        <v>8</v>
      </c>
      <c r="J223" s="412" t="str">
        <f>IFERROR(__xludf.DUMMYFUNCTION("ArrayFormula(join(,unique(mid(G223,sequence(len(G223)),1))))"),"NRDPSGm")</f>
        <v>NRDPSGm</v>
      </c>
      <c r="K223" s="411">
        <f t="shared" si="2"/>
        <v>7</v>
      </c>
    </row>
    <row r="224">
      <c r="A224" s="406" t="s">
        <v>669</v>
      </c>
      <c r="B224" s="407" t="s">
        <v>671</v>
      </c>
      <c r="C224" s="222" t="s">
        <v>1038</v>
      </c>
      <c r="D224" s="408" t="b">
        <f>IFERROR(__xludf.DUMMYFUNCTION("arrayformula(sum(--REGEXMATCH(H224,split(REGEXREPLACE(J224,""(.)"",""$1~""),""~""))))=len(J224)"),TRUE)</f>
        <v>1</v>
      </c>
      <c r="E224" s="409" t="s">
        <v>513</v>
      </c>
      <c r="F224" s="410" t="str">
        <f>IFERROR(__xludf.DUMMYFUNCTION("REGEXREPLACE(B224,""[^[:alpha:]]"", """")"),"SgmPdnS")</f>
        <v>SgmPdnS</v>
      </c>
      <c r="G224" s="411" t="str">
        <f>IFERROR(__xludf.DUMMYFUNCTION("REGEXREPLACE(C224,""[^[:alpha:]]"", """")"),"SmgmdnSnndmgmgSmPPmgnSndnSmgmmgmndndnSSnSgnddndPPmSmgmdnSn")</f>
        <v>SmgmdnSnndmgmgSmPPmgnSndnSmgmmgmndndnSSnSgnddndPPmSmgmdnSn</v>
      </c>
      <c r="H224" s="410" t="str">
        <f>IFERROR(__xludf.DUMMYFUNCTION("ArrayFormula(join(,unique(mid(F224,sequence(len(F224)),1))))"),"SgmPdn")</f>
        <v>SgmPdn</v>
      </c>
      <c r="I224" s="410">
        <f t="shared" si="1"/>
        <v>6</v>
      </c>
      <c r="J224" s="412" t="str">
        <f>IFERROR(__xludf.DUMMYFUNCTION("ArrayFormula(join(,unique(mid(G224,sequence(len(G224)),1))))"),"SmgdnP")</f>
        <v>SmgdnP</v>
      </c>
      <c r="K224" s="411">
        <f t="shared" si="2"/>
        <v>6</v>
      </c>
    </row>
    <row r="225">
      <c r="A225" s="406" t="s">
        <v>1039</v>
      </c>
      <c r="B225" s="407" t="s">
        <v>648</v>
      </c>
      <c r="C225" s="222" t="s">
        <v>1040</v>
      </c>
      <c r="D225" s="408" t="b">
        <f>IFERROR(__xludf.DUMMYFUNCTION("arrayformula(sum(--REGEXMATCH(H225,split(REGEXREPLACE(J225,""(.)"",""$1~""),""~""))))=len(J225)"),TRUE)</f>
        <v>1</v>
      </c>
      <c r="E225" s="409" t="s">
        <v>513</v>
      </c>
      <c r="F225" s="410" t="str">
        <f>IFERROR(__xludf.DUMMYFUNCTION("REGEXREPLACE(B225,""[^[:alpha:]]"", """")"),"SRGmMPDnNS")</f>
        <v>SRGmMPDnNS</v>
      </c>
      <c r="G225" s="411" t="str">
        <f>IFERROR(__xludf.DUMMYFUNCTION("REGEXREPLACE(C225,""[^[:alpha:]]"", """")"),"SNNNSNSNDNDDPMPMPMMMPDSnSDSDPMPGmGP")</f>
        <v>SNNNSNSNDNDDPMPMPMMMPDSnSDSDPMPGmGP</v>
      </c>
      <c r="H225" s="410" t="str">
        <f>IFERROR(__xludf.DUMMYFUNCTION("ArrayFormula(join(,unique(mid(F225,sequence(len(F225)),1))))"),"SRGmMPDnN")</f>
        <v>SRGmMPDnN</v>
      </c>
      <c r="I225" s="410">
        <f t="shared" si="1"/>
        <v>9</v>
      </c>
      <c r="J225" s="412" t="str">
        <f>IFERROR(__xludf.DUMMYFUNCTION("ArrayFormula(join(,unique(mid(G225,sequence(len(G225)),1))))"),"SNDPMnGm")</f>
        <v>SNDPMnGm</v>
      </c>
      <c r="K225" s="411">
        <f t="shared" si="2"/>
        <v>8</v>
      </c>
    </row>
    <row r="226">
      <c r="A226" s="406" t="s">
        <v>1041</v>
      </c>
      <c r="B226" s="407" t="s">
        <v>648</v>
      </c>
      <c r="C226" s="222" t="s">
        <v>1042</v>
      </c>
      <c r="D226" s="408" t="b">
        <f>IFERROR(__xludf.DUMMYFUNCTION("arrayformula(sum(--REGEXMATCH(H226,split(REGEXREPLACE(J226,""(.)"",""$1~""),""~""))))=len(J226)"),TRUE)</f>
        <v>1</v>
      </c>
      <c r="E226" s="409" t="s">
        <v>513</v>
      </c>
      <c r="F226" s="410" t="str">
        <f>IFERROR(__xludf.DUMMYFUNCTION("REGEXREPLACE(B226,""[^[:alpha:]]"", """")"),"SRGmMPDnNS")</f>
        <v>SRGmMPDnNS</v>
      </c>
      <c r="G226" s="411" t="str">
        <f>IFERROR(__xludf.DUMMYFUNCTION("REGEXREPLACE(C226,""[^[:alpha:]]"", """")"),"GMPPMPMPGPMGSnSnnSnSRSSGMPPPPDPPDDPMMPMPPGPGGGMPDnDDPPPnDnnDnDnDnDPPMnDPMPMMRMMPnDnDnDnRSSDnDDSnDPMPMPPGPGRS")</f>
        <v>GMPPMPMPGPMGSnSnnSnSRSSGMPPPPDPPDDPMMPMPPGPGGGMPDnDDPPPnDnnDnDnDnDPPMnDPMPMMRMMPnDnDnDnRSSDnDDSnDPMPMPPGPGRS</v>
      </c>
      <c r="H226" s="410" t="str">
        <f>IFERROR(__xludf.DUMMYFUNCTION("ArrayFormula(join(,unique(mid(F226,sequence(len(F226)),1))))"),"SRGmMPDnN")</f>
        <v>SRGmMPDnN</v>
      </c>
      <c r="I226" s="410">
        <f t="shared" si="1"/>
        <v>9</v>
      </c>
      <c r="J226" s="412" t="str">
        <f>IFERROR(__xludf.DUMMYFUNCTION("ArrayFormula(join(,unique(mid(G226,sequence(len(G226)),1))))"),"GMPSnRD")</f>
        <v>GMPSnRD</v>
      </c>
      <c r="K226" s="411">
        <f t="shared" si="2"/>
        <v>7</v>
      </c>
    </row>
    <row r="227">
      <c r="A227" s="406" t="s">
        <v>1043</v>
      </c>
      <c r="B227" s="407" t="s">
        <v>1044</v>
      </c>
      <c r="C227" s="222" t="s">
        <v>1045</v>
      </c>
      <c r="D227" s="408" t="b">
        <f>IFERROR(__xludf.DUMMYFUNCTION("arrayformula(sum(--REGEXMATCH(H227,split(REGEXREPLACE(J227,""(.)"",""$1~""),""~""))))=len(J227)"),TRUE)</f>
        <v>1</v>
      </c>
      <c r="E227" s="409" t="s">
        <v>513</v>
      </c>
      <c r="F227" s="410" t="str">
        <f>IFERROR(__xludf.DUMMYFUNCTION("REGEXREPLACE(B227,""[^[:alpha:]]"", """")"),"SrGmMPdNS")</f>
        <v>SrGmMPdNS</v>
      </c>
      <c r="G227" s="411" t="str">
        <f>IFERROR(__xludf.DUMMYFUNCTION("REGEXREPLACE(C227,""[^[:alpha:]]"", """")"),"dNSSrNSNNSNNddPPPdPMPMdNSNrSSNSrSNdNSSrNSPdPGmGdNS")</f>
        <v>dNSSrNSNNSNNddPPPdPMPMdNSNrSSNSrSNdNSSrNSPdPGmGdNS</v>
      </c>
      <c r="H227" s="410" t="str">
        <f>IFERROR(__xludf.DUMMYFUNCTION("ArrayFormula(join(,unique(mid(F227,sequence(len(F227)),1))))"),"SrGmMPdN")</f>
        <v>SrGmMPdN</v>
      </c>
      <c r="I227" s="410">
        <f t="shared" si="1"/>
        <v>8</v>
      </c>
      <c r="J227" s="412" t="str">
        <f>IFERROR(__xludf.DUMMYFUNCTION("ArrayFormula(join(,unique(mid(G227,sequence(len(G227)),1))))"),"dNSrPMGm")</f>
        <v>dNSrPMGm</v>
      </c>
      <c r="K227" s="411">
        <f t="shared" si="2"/>
        <v>8</v>
      </c>
    </row>
    <row r="228">
      <c r="A228" s="406" t="s">
        <v>1046</v>
      </c>
      <c r="B228" s="407" t="s">
        <v>1044</v>
      </c>
      <c r="C228" s="222" t="s">
        <v>1047</v>
      </c>
      <c r="D228" s="408" t="b">
        <f>IFERROR(__xludf.DUMMYFUNCTION("arrayformula(sum(--REGEXMATCH(H228,split(REGEXREPLACE(J228,""(.)"",""$1~""),""~""))))=len(J228)"),TRUE)</f>
        <v>1</v>
      </c>
      <c r="E228" s="409" t="s">
        <v>513</v>
      </c>
      <c r="F228" s="410" t="str">
        <f>IFERROR(__xludf.DUMMYFUNCTION("REGEXREPLACE(B228,""[^[:alpha:]]"", """")"),"SrGmMPdNS")</f>
        <v>SrGmMPdNS</v>
      </c>
      <c r="G228" s="411" t="str">
        <f>IFERROR(__xludf.DUMMYFUNCTION("REGEXREPLACE(C228,""[^[:alpha:]]"", """")"),"NdPGmGNrSNSNNdNdPPGmGMddrSNSNNdNdPPGmGGMGrS")</f>
        <v>NdPGmGNrSNSNNdNdPPGmGMddrSNSNNdNdPPGmGGMGrS</v>
      </c>
      <c r="H228" s="410" t="str">
        <f>IFERROR(__xludf.DUMMYFUNCTION("ArrayFormula(join(,unique(mid(F228,sequence(len(F228)),1))))"),"SrGmMPdN")</f>
        <v>SrGmMPdN</v>
      </c>
      <c r="I228" s="410">
        <f t="shared" si="1"/>
        <v>8</v>
      </c>
      <c r="J228" s="412" t="str">
        <f>IFERROR(__xludf.DUMMYFUNCTION("ArrayFormula(join(,unique(mid(G228,sequence(len(G228)),1))))"),"NdPGmrSM")</f>
        <v>NdPGmrSM</v>
      </c>
      <c r="K228" s="411">
        <f t="shared" si="2"/>
        <v>8</v>
      </c>
    </row>
    <row r="229">
      <c r="A229" s="413" t="s">
        <v>1048</v>
      </c>
      <c r="B229" s="407" t="s">
        <v>676</v>
      </c>
      <c r="C229" s="222" t="s">
        <v>676</v>
      </c>
      <c r="D229" s="408" t="b">
        <f>IFERROR(__xludf.DUMMYFUNCTION("arrayformula(sum(--REGEXMATCH(H229,split(REGEXREPLACE(J229,""(.)"",""$1~""),""~""))))=len(J229)"),TRUE)</f>
        <v>1</v>
      </c>
      <c r="E229" s="409" t="s">
        <v>513</v>
      </c>
      <c r="F229" s="410" t="str">
        <f>IFERROR(__xludf.DUMMYFUNCTION("REGEXREPLACE(B229,""[^[:alpha:]]"", """")"),"SrgmDnS")</f>
        <v>SrgmDnS</v>
      </c>
      <c r="G229" s="411" t="str">
        <f>IFERROR(__xludf.DUMMYFUNCTION("REGEXREPLACE(C229,""[^[:alpha:]]"", """")"),"SrgmDnS")</f>
        <v>SrgmDnS</v>
      </c>
      <c r="H229" s="410" t="str">
        <f>IFERROR(__xludf.DUMMYFUNCTION("ArrayFormula(join(,unique(mid(F229,sequence(len(F229)),1))))"),"SrgmDn")</f>
        <v>SrgmDn</v>
      </c>
      <c r="I229" s="410">
        <f t="shared" si="1"/>
        <v>6</v>
      </c>
      <c r="J229" s="412" t="str">
        <f>IFERROR(__xludf.DUMMYFUNCTION("ArrayFormula(join(,unique(mid(G229,sequence(len(G229)),1))))"),"SrgmDn")</f>
        <v>SrgmDn</v>
      </c>
      <c r="K229" s="411">
        <f t="shared" si="2"/>
        <v>6</v>
      </c>
    </row>
    <row r="230">
      <c r="A230" s="406" t="s">
        <v>1049</v>
      </c>
      <c r="B230" s="407" t="s">
        <v>632</v>
      </c>
      <c r="C230" s="222" t="s">
        <v>1050</v>
      </c>
      <c r="D230" s="408" t="b">
        <f>IFERROR(__xludf.DUMMYFUNCTION("arrayformula(sum(--REGEXMATCH(H230,split(REGEXREPLACE(J230,""(.)"",""$1~""),""~""))))=len(J230)"),TRUE)</f>
        <v>1</v>
      </c>
      <c r="E230" s="409" t="s">
        <v>513</v>
      </c>
      <c r="F230" s="410" t="str">
        <f>IFERROR(__xludf.DUMMYFUNCTION("REGEXREPLACE(B230,""[^[:alpha:]]"", """")"),"SRGmMPDNS")</f>
        <v>SRGmMPDNS</v>
      </c>
      <c r="G230" s="411" t="str">
        <f>IFERROR(__xludf.DUMMYFUNCTION("REGEXREPLACE(C230,""[^[:alpha:]]"", """")"),"PMPPMDPPNSNSNNDNDSNSDNSNSRNSNDNDPDPGPmGmGmGPmmGGRS")</f>
        <v>PMPPMDPPNSNSNNDNDSNSDNSNSRNSNDNDPDPGPmGmGmGPmmGGRS</v>
      </c>
      <c r="H230" s="410" t="str">
        <f>IFERROR(__xludf.DUMMYFUNCTION("ArrayFormula(join(,unique(mid(F230,sequence(len(F230)),1))))"),"SRGmMPDN")</f>
        <v>SRGmMPDN</v>
      </c>
      <c r="I230" s="410">
        <f t="shared" si="1"/>
        <v>8</v>
      </c>
      <c r="J230" s="412" t="str">
        <f>IFERROR(__xludf.DUMMYFUNCTION("ArrayFormula(join(,unique(mid(G230,sequence(len(G230)),1))))"),"PMDNSRGm")</f>
        <v>PMDNSRGm</v>
      </c>
      <c r="K230" s="411">
        <f t="shared" si="2"/>
        <v>8</v>
      </c>
    </row>
    <row r="231">
      <c r="A231" s="413" t="s">
        <v>835</v>
      </c>
      <c r="B231" s="407" t="s">
        <v>836</v>
      </c>
      <c r="C231" s="222" t="s">
        <v>836</v>
      </c>
      <c r="D231" s="408" t="b">
        <f>IFERROR(__xludf.DUMMYFUNCTION("arrayformula(sum(--REGEXMATCH(H231,split(REGEXREPLACE(J231,""(.)"",""$1~""),""~""))))=len(J231)"),TRUE)</f>
        <v>1</v>
      </c>
      <c r="E231" s="409" t="s">
        <v>513</v>
      </c>
      <c r="F231" s="410" t="str">
        <f>IFERROR(__xludf.DUMMYFUNCTION("REGEXREPLACE(B231,""[^[:alpha:]]"", """")"),"SRgmPDNS")</f>
        <v>SRgmPDNS</v>
      </c>
      <c r="G231" s="411" t="str">
        <f>IFERROR(__xludf.DUMMYFUNCTION("REGEXREPLACE(C231,""[^[:alpha:]]"", """")"),"SRgmPDNS")</f>
        <v>SRgmPDNS</v>
      </c>
      <c r="H231" s="410" t="str">
        <f>IFERROR(__xludf.DUMMYFUNCTION("ArrayFormula(join(,unique(mid(F231,sequence(len(F231)),1))))"),"SRgmPDN")</f>
        <v>SRgmPDN</v>
      </c>
      <c r="I231" s="410">
        <f t="shared" si="1"/>
        <v>7</v>
      </c>
      <c r="J231" s="412" t="str">
        <f>IFERROR(__xludf.DUMMYFUNCTION("ArrayFormula(join(,unique(mid(G231,sequence(len(G231)),1))))"),"SRgmPDN")</f>
        <v>SRgmPDN</v>
      </c>
      <c r="K231" s="411">
        <f t="shared" si="2"/>
        <v>7</v>
      </c>
    </row>
    <row r="232">
      <c r="A232" s="406" t="s">
        <v>1051</v>
      </c>
      <c r="B232" s="407" t="s">
        <v>741</v>
      </c>
      <c r="C232" s="222" t="s">
        <v>1052</v>
      </c>
      <c r="D232" s="408" t="b">
        <f>IFERROR(__xludf.DUMMYFUNCTION("arrayformula(sum(--REGEXMATCH(H232,split(REGEXREPLACE(J232,""(.)"",""$1~""),""~""))))=len(J232)"),TRUE)</f>
        <v>1</v>
      </c>
      <c r="E232" s="409" t="s">
        <v>513</v>
      </c>
      <c r="F232" s="410" t="str">
        <f>IFERROR(__xludf.DUMMYFUNCTION("REGEXREPLACE(B232,""[^[:alpha:]]"", """")"),"SRgGmPDnNS")</f>
        <v>SRgGmPDnNS</v>
      </c>
      <c r="G232" s="411" t="str">
        <f>IFERROR(__xludf.DUMMYFUNCTION("REGEXREPLACE(C232,""[^[:alpha:]]"", """")"),"SNSmgRSRNSSNSSNSSNSgRgRSRSNSNDNSNSPNNSSSSGmmmmGmGPGmGmRmGGGGmGgmRSNRSNSPNSPNNS")</f>
        <v>SNSmgRSRNSSNSSNSSNSgRgRSRSNSNDNSNSPNNSSSSGmmmmGmGPGmGmRmGGGGmGgmRSNRSNSPNSPNNS</v>
      </c>
      <c r="H232" s="410" t="str">
        <f>IFERROR(__xludf.DUMMYFUNCTION("ArrayFormula(join(,unique(mid(F232,sequence(len(F232)),1))))"),"SRgGmPDnN")</f>
        <v>SRgGmPDnN</v>
      </c>
      <c r="I232" s="410">
        <f t="shared" si="1"/>
        <v>9</v>
      </c>
      <c r="J232" s="412" t="str">
        <f>IFERROR(__xludf.DUMMYFUNCTION("ArrayFormula(join(,unique(mid(G232,sequence(len(G232)),1))))"),"SNmgRDPG")</f>
        <v>SNmgRDPG</v>
      </c>
      <c r="K232" s="411">
        <f t="shared" si="2"/>
        <v>8</v>
      </c>
    </row>
    <row r="233">
      <c r="A233" s="406" t="s">
        <v>1053</v>
      </c>
      <c r="B233" s="407" t="s">
        <v>665</v>
      </c>
      <c r="C233" s="222" t="s">
        <v>1054</v>
      </c>
      <c r="D233" s="408" t="b">
        <f>IFERROR(__xludf.DUMMYFUNCTION("arrayformula(sum(--REGEXMATCH(H233,split(REGEXREPLACE(J233,""(.)"",""$1~""),""~""))))=len(J233)"),TRUE)</f>
        <v>1</v>
      </c>
      <c r="E233" s="409" t="s">
        <v>513</v>
      </c>
      <c r="F233" s="410" t="str">
        <f>IFERROR(__xludf.DUMMYFUNCTION("REGEXREPLACE(B233,""[^[:alpha:]]"", """")"),"SrRgGmMPdDnNS")</f>
        <v>SrRgGmMPdDnNS</v>
      </c>
      <c r="G233" s="411" t="str">
        <f>IFERROR(__xludf.DUMMYFUNCTION("REGEXREPLACE(C233,""[^[:alpha:]]"", """")"),"SGMPGGRSRSMGMGRSNSGmGRSNSMGRSNSGMDPMPGMPGRSRSNSNSNDNNSSNSmPmPmPmGPMDPMmmGmmGMPPMPDPMPDPMmSNSRGRSNSNDNNS")</f>
        <v>SGMPGGRSRSMGMGRSNSGmGRSNSMGRSNSGMDPMPGMPGRSRSNSNSNDNNSSNSmPmPmPmGPMDPMmmGmmGMPPMPDPMPDPMmSNSRGRSNSNDNNS</v>
      </c>
      <c r="H233" s="410" t="str">
        <f>IFERROR(__xludf.DUMMYFUNCTION("ArrayFormula(join(,unique(mid(F233,sequence(len(F233)),1))))"),"SrRgGmMPdDnN")</f>
        <v>SrRgGmMPdDnN</v>
      </c>
      <c r="I233" s="410">
        <f t="shared" si="1"/>
        <v>12</v>
      </c>
      <c r="J233" s="412" t="str">
        <f>IFERROR(__xludf.DUMMYFUNCTION("ArrayFormula(join(,unique(mid(G233,sequence(len(G233)),1))))"),"SGMPRNmD")</f>
        <v>SGMPRNmD</v>
      </c>
      <c r="K233" s="411">
        <f t="shared" si="2"/>
        <v>8</v>
      </c>
    </row>
    <row r="234">
      <c r="A234" s="413" t="s">
        <v>1055</v>
      </c>
      <c r="B234" s="407" t="s">
        <v>1056</v>
      </c>
      <c r="C234" s="222" t="s">
        <v>1056</v>
      </c>
      <c r="D234" s="408" t="b">
        <f>IFERROR(__xludf.DUMMYFUNCTION("arrayformula(sum(--REGEXMATCH(H234,split(REGEXREPLACE(J234,""(.)"",""$1~""),""~""))))=len(J234)"),TRUE)</f>
        <v>1</v>
      </c>
      <c r="E234" s="409" t="s">
        <v>513</v>
      </c>
      <c r="F234" s="410" t="str">
        <f>IFERROR(__xludf.DUMMYFUNCTION("REGEXREPLACE(B234,""[^[:alpha:]]"", """")"),"SRgGmPdDnNS")</f>
        <v>SRgGmPdDnNS</v>
      </c>
      <c r="G234" s="411" t="str">
        <f>IFERROR(__xludf.DUMMYFUNCTION("REGEXREPLACE(C234,""[^[:alpha:]]"", """")"),"SRgGmPdDnNS")</f>
        <v>SRgGmPdDnNS</v>
      </c>
      <c r="H234" s="410" t="str">
        <f>IFERROR(__xludf.DUMMYFUNCTION("ArrayFormula(join(,unique(mid(F234,sequence(len(F234)),1))))"),"SRgGmPdDnN")</f>
        <v>SRgGmPdDnN</v>
      </c>
      <c r="I234" s="410">
        <f t="shared" si="1"/>
        <v>10</v>
      </c>
      <c r="J234" s="412" t="str">
        <f>IFERROR(__xludf.DUMMYFUNCTION("ArrayFormula(join(,unique(mid(G234,sequence(len(G234)),1))))"),"SRgGmPdDnN")</f>
        <v>SRgGmPdDnN</v>
      </c>
      <c r="K234" s="411">
        <f t="shared" si="2"/>
        <v>10</v>
      </c>
    </row>
    <row r="235">
      <c r="A235" s="413" t="s">
        <v>126</v>
      </c>
      <c r="B235" s="407" t="s">
        <v>1044</v>
      </c>
      <c r="C235" s="222" t="s">
        <v>1044</v>
      </c>
      <c r="D235" s="408" t="b">
        <f>IFERROR(__xludf.DUMMYFUNCTION("arrayformula(sum(--REGEXMATCH(H235,split(REGEXREPLACE(J235,""(.)"",""$1~""),""~""))))=len(J235)"),TRUE)</f>
        <v>1</v>
      </c>
      <c r="E235" s="409" t="s">
        <v>513</v>
      </c>
      <c r="F235" s="410" t="str">
        <f>IFERROR(__xludf.DUMMYFUNCTION("REGEXREPLACE(B235,""[^[:alpha:]]"", """")"),"SrGmMPdNS")</f>
        <v>SrGmMPdNS</v>
      </c>
      <c r="G235" s="411" t="str">
        <f>IFERROR(__xludf.DUMMYFUNCTION("REGEXREPLACE(C235,""[^[:alpha:]]"", """")"),"SrGmMPdNS")</f>
        <v>SrGmMPdNS</v>
      </c>
      <c r="H235" s="410" t="str">
        <f>IFERROR(__xludf.DUMMYFUNCTION("ArrayFormula(join(,unique(mid(F235,sequence(len(F235)),1))))"),"SrGmMPdN")</f>
        <v>SrGmMPdN</v>
      </c>
      <c r="I235" s="410">
        <f t="shared" si="1"/>
        <v>8</v>
      </c>
      <c r="J235" s="412" t="str">
        <f>IFERROR(__xludf.DUMMYFUNCTION("ArrayFormula(join(,unique(mid(G235,sequence(len(G235)),1))))"),"SrGmMPdN")</f>
        <v>SrGmMPdN</v>
      </c>
      <c r="K235" s="411">
        <f t="shared" si="2"/>
        <v>8</v>
      </c>
    </row>
    <row r="236">
      <c r="A236" s="406" t="s">
        <v>1057</v>
      </c>
      <c r="B236" s="407" t="s">
        <v>586</v>
      </c>
      <c r="C236" s="222" t="s">
        <v>1058</v>
      </c>
      <c r="D236" s="408" t="b">
        <f>IFERROR(__xludf.DUMMYFUNCTION("arrayformula(sum(--REGEXMATCH(H236,split(REGEXREPLACE(J236,""(.)"",""$1~""),""~""))))=len(J236)"),TRUE)</f>
        <v>1</v>
      </c>
      <c r="E236" s="409" t="s">
        <v>513</v>
      </c>
      <c r="F236" s="410" t="str">
        <f>IFERROR(__xludf.DUMMYFUNCTION("REGEXREPLACE(B236,""[^[:alpha:]]"", """")"),"SrGmPdnS")</f>
        <v>SrGmPdnS</v>
      </c>
      <c r="G236" s="411" t="str">
        <f>IFERROR(__xludf.DUMMYFUNCTION("REGEXREPLACE(C236,""[^[:alpha:]]"", """")"),"rmPPPmPdmrSdrmPdSrmPdmdPdrSrSrPPdPmmPdPndmr")</f>
        <v>rmPPPmPdmrSdrmPdSrmPdmdPdrSrSrPPdPmmPdPndmr</v>
      </c>
      <c r="H236" s="410" t="str">
        <f>IFERROR(__xludf.DUMMYFUNCTION("ArrayFormula(join(,unique(mid(F236,sequence(len(F236)),1))))"),"SrGmPdn")</f>
        <v>SrGmPdn</v>
      </c>
      <c r="I236" s="410">
        <f t="shared" si="1"/>
        <v>7</v>
      </c>
      <c r="J236" s="412" t="str">
        <f>IFERROR(__xludf.DUMMYFUNCTION("ArrayFormula(join(,unique(mid(G236,sequence(len(G236)),1))))"),"rmPdSn")</f>
        <v>rmPdSn</v>
      </c>
      <c r="K236" s="411">
        <f t="shared" si="2"/>
        <v>6</v>
      </c>
    </row>
    <row r="237">
      <c r="A237" s="406" t="s">
        <v>1059</v>
      </c>
      <c r="B237" s="407" t="s">
        <v>1044</v>
      </c>
      <c r="C237" s="222" t="s">
        <v>1060</v>
      </c>
      <c r="D237" s="408" t="b">
        <f>IFERROR(__xludf.DUMMYFUNCTION("arrayformula(sum(--REGEXMATCH(H237,split(REGEXREPLACE(J237,""(.)"",""$1~""),""~""))))=len(J237)"),TRUE)</f>
        <v>1</v>
      </c>
      <c r="E237" s="409" t="s">
        <v>513</v>
      </c>
      <c r="F237" s="410" t="str">
        <f>IFERROR(__xludf.DUMMYFUNCTION("REGEXREPLACE(B237,""[^[:alpha:]]"", """")"),"SrGmMPdNS")</f>
        <v>SrGmMPdNS</v>
      </c>
      <c r="G237" s="411" t="str">
        <f>IFERROR(__xludf.DUMMYFUNCTION("REGEXREPLACE(C237,""[^[:alpha:]]"", """")"),"SdNSGGmGmGGmGPmGrSSSSSNrSNddNSSSGmGPmGrSSrdPdPPmmPmGmGrGmMMGrdMrdMrSSdNSG")</f>
        <v>SdNSGGmGmGGmGPmGrSSSSSNrSNddNSSSGmGPmGrSSrdPdPPmmPmGmGrGmMMGrdMrdMrSSdNSG</v>
      </c>
      <c r="H237" s="410" t="str">
        <f>IFERROR(__xludf.DUMMYFUNCTION("ArrayFormula(join(,unique(mid(F237,sequence(len(F237)),1))))"),"SrGmMPdN")</f>
        <v>SrGmMPdN</v>
      </c>
      <c r="I237" s="410">
        <f t="shared" si="1"/>
        <v>8</v>
      </c>
      <c r="J237" s="412" t="str">
        <f>IFERROR(__xludf.DUMMYFUNCTION("ArrayFormula(join(,unique(mid(G237,sequence(len(G237)),1))))"),"SdNGmPrM")</f>
        <v>SdNGmPrM</v>
      </c>
      <c r="K237" s="411">
        <f t="shared" si="2"/>
        <v>8</v>
      </c>
    </row>
    <row r="238">
      <c r="A238" s="406" t="s">
        <v>1061</v>
      </c>
      <c r="B238" s="407" t="s">
        <v>524</v>
      </c>
      <c r="C238" s="222" t="s">
        <v>1063</v>
      </c>
      <c r="D238" s="408" t="b">
        <f>IFERROR(__xludf.DUMMYFUNCTION("arrayformula(sum(--REGEXMATCH(H238,split(REGEXREPLACE(J238,""(.)"",""$1~""),""~""))))=len(J238)"),TRUE)</f>
        <v>1</v>
      </c>
      <c r="E238" s="409" t="s">
        <v>513</v>
      </c>
      <c r="F238" s="410" t="str">
        <f>IFERROR(__xludf.DUMMYFUNCTION("REGEXREPLACE(B238,""[^[:alpha:]]"", """")"),"SrgmPDnS")</f>
        <v>SrgmPDnS</v>
      </c>
      <c r="G238" s="411" t="str">
        <f>IFERROR(__xludf.DUMMYFUNCTION("REGEXREPLACE(C238,""[^[:alpha:]]"", """")"),"mgmnDDmgmDPPmgmgPmmnDPmgmSPDDmSDnSnmgrSrS")</f>
        <v>mgmnDDmgmDPPmgmgPmmnDPmgmSPDDmSDnSnmgrSrS</v>
      </c>
      <c r="H238" s="410" t="str">
        <f>IFERROR(__xludf.DUMMYFUNCTION("ArrayFormula(join(,unique(mid(F238,sequence(len(F238)),1))))"),"SrgmPDn")</f>
        <v>SrgmPDn</v>
      </c>
      <c r="I238" s="410">
        <f t="shared" si="1"/>
        <v>7</v>
      </c>
      <c r="J238" s="412" t="str">
        <f>IFERROR(__xludf.DUMMYFUNCTION("ArrayFormula(join(,unique(mid(G238,sequence(len(G238)),1))))"),"mgnDPSr")</f>
        <v>mgnDPSr</v>
      </c>
      <c r="K238" s="411">
        <f t="shared" si="2"/>
        <v>7</v>
      </c>
    </row>
    <row r="239">
      <c r="A239" s="406" t="s">
        <v>1064</v>
      </c>
      <c r="B239" s="407" t="s">
        <v>912</v>
      </c>
      <c r="C239" s="222" t="s">
        <v>1065</v>
      </c>
      <c r="D239" s="408" t="b">
        <f>IFERROR(__xludf.DUMMYFUNCTION("arrayformula(sum(--REGEXMATCH(H239,split(REGEXREPLACE(J239,""(.)"",""$1~""),""~""))))=len(J239)"),TRUE)</f>
        <v>1</v>
      </c>
      <c r="E239" s="409" t="s">
        <v>513</v>
      </c>
      <c r="F239" s="410" t="str">
        <f>IFERROR(__xludf.DUMMYFUNCTION("REGEXREPLACE(B239,""[^[:alpha:]]"", """")"),"SrGmMPdDNS")</f>
        <v>SrGmMPdDNS</v>
      </c>
      <c r="G239" s="411" t="str">
        <f>IFERROR(__xludf.DUMMYFUNCTION("REGEXREPLACE(C239,""[^[:alpha:]]"", """")"),"NSrSmmrGMPPdNdPdMPGmGrGrGMGGrGMDMGGMGMGrSNrNSSrSmmmGrGMPPdNdPdMPGmGrG")</f>
        <v>NSrSmmrGMPPdNdPdMPGmGrGrGMGGrGMDMGGMGMGrSNrNSSrSmmmGrGMPPdNdPdMPGmGrG</v>
      </c>
      <c r="H239" s="410" t="str">
        <f>IFERROR(__xludf.DUMMYFUNCTION("ArrayFormula(join(,unique(mid(F239,sequence(len(F239)),1))))"),"SrGmMPdDN")</f>
        <v>SrGmMPdDN</v>
      </c>
      <c r="I239" s="410">
        <f t="shared" si="1"/>
        <v>9</v>
      </c>
      <c r="J239" s="412" t="str">
        <f>IFERROR(__xludf.DUMMYFUNCTION("ArrayFormula(join(,unique(mid(G239,sequence(len(G239)),1))))"),"NSrmGMPdD")</f>
        <v>NSrmGMPdD</v>
      </c>
      <c r="K239" s="411">
        <f t="shared" si="2"/>
        <v>9</v>
      </c>
    </row>
    <row r="240">
      <c r="A240" s="413" t="s">
        <v>1066</v>
      </c>
      <c r="B240" s="407" t="s">
        <v>982</v>
      </c>
      <c r="C240" s="222" t="s">
        <v>982</v>
      </c>
      <c r="D240" s="408" t="b">
        <f>IFERROR(__xludf.DUMMYFUNCTION("arrayformula(sum(--REGEXMATCH(H240,split(REGEXREPLACE(J240,""(.)"",""$1~""),""~""))))=len(J240)"),TRUE)</f>
        <v>1</v>
      </c>
      <c r="E240" s="409" t="s">
        <v>513</v>
      </c>
      <c r="F240" s="410" t="str">
        <f>IFERROR(__xludf.DUMMYFUNCTION("REGEXREPLACE(B240,""[^[:alpha:]]"", """")"),"SrGMDNS")</f>
        <v>SrGMDNS</v>
      </c>
      <c r="G240" s="411" t="str">
        <f>IFERROR(__xludf.DUMMYFUNCTION("REGEXREPLACE(C240,""[^[:alpha:]]"", """")"),"SrGMDNS")</f>
        <v>SrGMDNS</v>
      </c>
      <c r="H240" s="410" t="str">
        <f>IFERROR(__xludf.DUMMYFUNCTION("ArrayFormula(join(,unique(mid(F240,sequence(len(F240)),1))))"),"SrGMDN")</f>
        <v>SrGMDN</v>
      </c>
      <c r="I240" s="410">
        <f t="shared" si="1"/>
        <v>6</v>
      </c>
      <c r="J240" s="412" t="str">
        <f>IFERROR(__xludf.DUMMYFUNCTION("ArrayFormula(join(,unique(mid(G240,sequence(len(G240)),1))))"),"SrGMDN")</f>
        <v>SrGMDN</v>
      </c>
      <c r="K240" s="411">
        <f t="shared" si="2"/>
        <v>6</v>
      </c>
    </row>
    <row r="241">
      <c r="A241" s="413" t="s">
        <v>1067</v>
      </c>
      <c r="B241" s="407" t="s">
        <v>339</v>
      </c>
      <c r="C241" s="222" t="s">
        <v>339</v>
      </c>
      <c r="D241" s="408" t="b">
        <f>IFERROR(__xludf.DUMMYFUNCTION("arrayformula(sum(--REGEXMATCH(H241,split(REGEXREPLACE(J241,""(.)"",""$1~""),""~""))))=len(J241)"),TRUE)</f>
        <v>1</v>
      </c>
      <c r="E241" s="409" t="s">
        <v>513</v>
      </c>
      <c r="F241" s="410" t="str">
        <f>IFERROR(__xludf.DUMMYFUNCTION("REGEXREPLACE(B241,""[^[:alpha:]]"", """")"),"SrGMPdNS")</f>
        <v>SrGMPdNS</v>
      </c>
      <c r="G241" s="411" t="str">
        <f>IFERROR(__xludf.DUMMYFUNCTION("REGEXREPLACE(C241,""[^[:alpha:]]"", """")"),"SrGMPdNS")</f>
        <v>SrGMPdNS</v>
      </c>
      <c r="H241" s="410" t="str">
        <f>IFERROR(__xludf.DUMMYFUNCTION("ArrayFormula(join(,unique(mid(F241,sequence(len(F241)),1))))"),"SrGMPdN")</f>
        <v>SrGMPdN</v>
      </c>
      <c r="I241" s="410">
        <f t="shared" si="1"/>
        <v>7</v>
      </c>
      <c r="J241" s="412" t="str">
        <f>IFERROR(__xludf.DUMMYFUNCTION("ArrayFormula(join(,unique(mid(G241,sequence(len(G241)),1))))"),"SrGMPdN")</f>
        <v>SrGMPdN</v>
      </c>
      <c r="K241" s="411">
        <f t="shared" si="2"/>
        <v>7</v>
      </c>
    </row>
    <row r="242">
      <c r="A242" s="406" t="s">
        <v>1068</v>
      </c>
      <c r="B242" s="407" t="s">
        <v>288</v>
      </c>
      <c r="C242" s="222" t="s">
        <v>1069</v>
      </c>
      <c r="D242" s="408" t="b">
        <f>IFERROR(__xludf.DUMMYFUNCTION("arrayformula(sum(--REGEXMATCH(H242,split(REGEXREPLACE(J242,""(.)"",""$1~""),""~""))))=len(J242)"),TRUE)</f>
        <v>1</v>
      </c>
      <c r="E242" s="409" t="s">
        <v>513</v>
      </c>
      <c r="F242" s="410" t="str">
        <f>IFERROR(__xludf.DUMMYFUNCTION("REGEXREPLACE(B242,""[^[:alpha:]]"", """")"),"SrGMPDNS")</f>
        <v>SrGMPDNS</v>
      </c>
      <c r="G242" s="411" t="str">
        <f>IFERROR(__xludf.DUMMYFUNCTION("REGEXREPLACE(C242,""[^[:alpha:]]"", """")"),"MPMPGGMGGrNNrGMGrSMPMPGGM")</f>
        <v>MPMPGGMGGrNNrGMGrSMPMPGGM</v>
      </c>
      <c r="H242" s="410" t="str">
        <f>IFERROR(__xludf.DUMMYFUNCTION("ArrayFormula(join(,unique(mid(F242,sequence(len(F242)),1))))"),"SrGMPDN")</f>
        <v>SrGMPDN</v>
      </c>
      <c r="I242" s="410">
        <f t="shared" si="1"/>
        <v>7</v>
      </c>
      <c r="J242" s="412" t="str">
        <f>IFERROR(__xludf.DUMMYFUNCTION("ArrayFormula(join(,unique(mid(G242,sequence(len(G242)),1))))"),"MPGrNS")</f>
        <v>MPGrNS</v>
      </c>
      <c r="K242" s="411">
        <f t="shared" si="2"/>
        <v>6</v>
      </c>
    </row>
    <row r="243">
      <c r="A243" s="406" t="s">
        <v>1070</v>
      </c>
      <c r="B243" s="407" t="s">
        <v>339</v>
      </c>
      <c r="C243" s="222" t="s">
        <v>1071</v>
      </c>
      <c r="D243" s="408" t="b">
        <f>IFERROR(__xludf.DUMMYFUNCTION("arrayformula(sum(--REGEXMATCH(H243,split(REGEXREPLACE(J243,""(.)"",""$1~""),""~""))))=len(J243)"),TRUE)</f>
        <v>1</v>
      </c>
      <c r="E243" s="409" t="s">
        <v>513</v>
      </c>
      <c r="F243" s="410" t="str">
        <f>IFERROR(__xludf.DUMMYFUNCTION("REGEXREPLACE(B243,""[^[:alpha:]]"", """")"),"SrGMPdNS")</f>
        <v>SrGMPdNS</v>
      </c>
      <c r="G243" s="411" t="str">
        <f>IFERROR(__xludf.DUMMYFUNCTION("REGEXREPLACE(C243,""[^[:alpha:]]"", """")"),"MMdNdNdPMPPPMdPMGMGrGrSSNSGGGrGGMPrNNNdNdPMMdNdNdP")</f>
        <v>MMdNdNdPMPPPMdPMGMGrGrSSNSGGGrGGMPrNNNdNdPMMdNdNdP</v>
      </c>
      <c r="H243" s="410" t="str">
        <f>IFERROR(__xludf.DUMMYFUNCTION("ArrayFormula(join(,unique(mid(F243,sequence(len(F243)),1))))"),"SrGMPdN")</f>
        <v>SrGMPdN</v>
      </c>
      <c r="I243" s="410">
        <f t="shared" si="1"/>
        <v>7</v>
      </c>
      <c r="J243" s="412" t="str">
        <f>IFERROR(__xludf.DUMMYFUNCTION("ArrayFormula(join(,unique(mid(G243,sequence(len(G243)),1))))"),"MdNPGrS")</f>
        <v>MdNPGrS</v>
      </c>
      <c r="K243" s="411">
        <f t="shared" si="2"/>
        <v>7</v>
      </c>
    </row>
    <row r="244">
      <c r="A244" s="406" t="s">
        <v>1072</v>
      </c>
      <c r="B244" s="407" t="s">
        <v>1073</v>
      </c>
      <c r="C244" s="222" t="s">
        <v>1074</v>
      </c>
      <c r="D244" s="408" t="b">
        <f>IFERROR(__xludf.DUMMYFUNCTION("arrayformula(sum(--REGEXMATCH(H244,split(REGEXREPLACE(J244,""(.)"",""$1~""),""~""))))=len(J244)"),TRUE)</f>
        <v>1</v>
      </c>
      <c r="E244" s="409" t="s">
        <v>513</v>
      </c>
      <c r="F244" s="410" t="str">
        <f>IFERROR(__xludf.DUMMYFUNCTION("REGEXREPLACE(B244,""[^[:alpha:]]"", """")"),"SRGmDnS")</f>
        <v>SRGmDnS</v>
      </c>
      <c r="G244" s="411" t="str">
        <f>IFERROR(__xludf.DUMMYFUNCTION("REGEXREPLACE(C244,""[^[:alpha:]]"", """")"),"SmGmRSnSnDSnnSSSGGGmDmGmmRRSSmGmRSnSnDSnnS")</f>
        <v>SmGmRSnSnDSnnSSSGGGmDmGmmRRSSmGmRSnSnDSnnS</v>
      </c>
      <c r="H244" s="410" t="str">
        <f>IFERROR(__xludf.DUMMYFUNCTION("ArrayFormula(join(,unique(mid(F244,sequence(len(F244)),1))))"),"SRGmDn")</f>
        <v>SRGmDn</v>
      </c>
      <c r="I244" s="410">
        <f t="shared" si="1"/>
        <v>6</v>
      </c>
      <c r="J244" s="412" t="str">
        <f>IFERROR(__xludf.DUMMYFUNCTION("ArrayFormula(join(,unique(mid(G244,sequence(len(G244)),1))))"),"SmGRnD")</f>
        <v>SmGRnD</v>
      </c>
      <c r="K244" s="411">
        <f t="shared" si="2"/>
        <v>6</v>
      </c>
    </row>
    <row r="245">
      <c r="A245" s="406" t="s">
        <v>1075</v>
      </c>
      <c r="B245" s="407" t="s">
        <v>741</v>
      </c>
      <c r="C245" s="222" t="s">
        <v>1076</v>
      </c>
      <c r="D245" s="408" t="b">
        <f>IFERROR(__xludf.DUMMYFUNCTION("arrayformula(sum(--REGEXMATCH(H245,split(REGEXREPLACE(J245,""(.)"",""$1~""),""~""))))=len(J245)"),TRUE)</f>
        <v>1</v>
      </c>
      <c r="E245" s="409" t="s">
        <v>513</v>
      </c>
      <c r="F245" s="410" t="str">
        <f>IFERROR(__xludf.DUMMYFUNCTION("REGEXREPLACE(B245,""[^[:alpha:]]"", """")"),"SRgGmPDnNS")</f>
        <v>SRgGmPDnNS</v>
      </c>
      <c r="G245" s="411" t="str">
        <f>IFERROR(__xludf.DUMMYFUNCTION("REGEXREPLACE(C245,""[^[:alpha:]]"", """")"),"GmDPmPPGmGmRSRSnSmmGmPmPPDPmGmPnDPDnDNSSNSnPmGSmGGmRSGGPmGRSnSmm")</f>
        <v>GmDPmPPGmGmRSRSnSmmGmPmPPDPmGmPnDPDnDNSSNSnPmGSmGGmRSGGPmGRSnSmm</v>
      </c>
      <c r="H245" s="410" t="str">
        <f>IFERROR(__xludf.DUMMYFUNCTION("ArrayFormula(join(,unique(mid(F245,sequence(len(F245)),1))))"),"SRgGmPDnN")</f>
        <v>SRgGmPDnN</v>
      </c>
      <c r="I245" s="410">
        <f t="shared" si="1"/>
        <v>9</v>
      </c>
      <c r="J245" s="412" t="str">
        <f>IFERROR(__xludf.DUMMYFUNCTION("ArrayFormula(join(,unique(mid(G245,sequence(len(G245)),1))))"),"GmDPRSnN")</f>
        <v>GmDPRSnN</v>
      </c>
      <c r="K245" s="411">
        <f t="shared" si="2"/>
        <v>8</v>
      </c>
    </row>
    <row r="246">
      <c r="A246" s="406" t="s">
        <v>1077</v>
      </c>
      <c r="B246" s="407" t="s">
        <v>612</v>
      </c>
      <c r="C246" s="222" t="s">
        <v>1078</v>
      </c>
      <c r="D246" s="408" t="b">
        <f>IFERROR(__xludf.DUMMYFUNCTION("arrayformula(sum(--REGEXMATCH(H246,split(REGEXREPLACE(J246,""(.)"",""$1~""),""~""))))=len(J246)"),TRUE)</f>
        <v>1</v>
      </c>
      <c r="E246" s="409" t="s">
        <v>513</v>
      </c>
      <c r="F246" s="410" t="str">
        <f>IFERROR(__xludf.DUMMYFUNCTION("REGEXREPLACE(B246,""[^[:alpha:]]"", """")"),"SRgGmPDnS")</f>
        <v>SRgGmPDnS</v>
      </c>
      <c r="G246" s="411" t="str">
        <f>IFERROR(__xludf.DUMMYFUNCTION("REGEXREPLACE(C246,""[^[:alpha:]]"", """")"),"nSDSnSnSnSSSGRGRSSSRGgGGgRSDRSnDnSnDGSnSGnSnSSnSnSnSDPmmGGGmPSnSnSnDnRSRSRnSPnnDPPmmGGmPPSnSnSnnS")</f>
        <v>nSDSnSnSnSSSGRGRSSSRGgGGgRSDRSnDnSnDGSnSGnSnSSnSnSnSDPmmGGGmPSnSnSnDnRSRSRnSPnnDPPmmGGmPPSnSnSnnS</v>
      </c>
      <c r="H246" s="410" t="str">
        <f>IFERROR(__xludf.DUMMYFUNCTION("ArrayFormula(join(,unique(mid(F246,sequence(len(F246)),1))))"),"SRgGmPDn")</f>
        <v>SRgGmPDn</v>
      </c>
      <c r="I246" s="410">
        <f t="shared" si="1"/>
        <v>8</v>
      </c>
      <c r="J246" s="412" t="str">
        <f>IFERROR(__xludf.DUMMYFUNCTION("ArrayFormula(join(,unique(mid(G246,sequence(len(G246)),1))))"),"nSDGRgPm")</f>
        <v>nSDGRgPm</v>
      </c>
      <c r="K246" s="411">
        <f t="shared" si="2"/>
        <v>8</v>
      </c>
    </row>
    <row r="247">
      <c r="A247" s="406" t="s">
        <v>1079</v>
      </c>
      <c r="B247" s="407" t="s">
        <v>561</v>
      </c>
      <c r="C247" s="222" t="s">
        <v>1080</v>
      </c>
      <c r="D247" s="408" t="b">
        <f>IFERROR(__xludf.DUMMYFUNCTION("arrayformula(sum(--REGEXMATCH(H247,split(REGEXREPLACE(J247,""(.)"",""$1~""),""~""))))=len(J247)"),TRUE)</f>
        <v>1</v>
      </c>
      <c r="E247" s="409" t="s">
        <v>513</v>
      </c>
      <c r="F247" s="410" t="str">
        <f>IFERROR(__xludf.DUMMYFUNCTION("REGEXREPLACE(B247,""[^[:alpha:]]"", """")"),"SRgmPDnS")</f>
        <v>SRgmPDnS</v>
      </c>
      <c r="G247" s="411" t="str">
        <f>IFERROR(__xludf.DUMMYFUNCTION("REGEXREPLACE(C247,""[^[:alpha:]]"", """")"),"nDSnDnPmPDnSDnPPSmPmgmgmmmnPSnRgSRnSPnPPnmPmgmmnmPmgmRSR")</f>
        <v>nDSnDnPmPDnSDnPPSmPmgmgmmmnPSnRgSRnSPnPPnmPmgmmnmPmgmRSR</v>
      </c>
      <c r="H247" s="410" t="str">
        <f>IFERROR(__xludf.DUMMYFUNCTION("ArrayFormula(join(,unique(mid(F247,sequence(len(F247)),1))))"),"SRgmPDn")</f>
        <v>SRgmPDn</v>
      </c>
      <c r="I247" s="410">
        <f t="shared" si="1"/>
        <v>7</v>
      </c>
      <c r="J247" s="412" t="str">
        <f>IFERROR(__xludf.DUMMYFUNCTION("ArrayFormula(join(,unique(mid(G247,sequence(len(G247)),1))))"),"nDSPmgR")</f>
        <v>nDSPmgR</v>
      </c>
      <c r="K247" s="411">
        <f t="shared" si="2"/>
        <v>7</v>
      </c>
    </row>
    <row r="248">
      <c r="A248" s="406" t="s">
        <v>1081</v>
      </c>
      <c r="B248" s="407" t="s">
        <v>1082</v>
      </c>
      <c r="C248" s="222" t="s">
        <v>1083</v>
      </c>
      <c r="D248" s="408" t="b">
        <f>IFERROR(__xludf.DUMMYFUNCTION("arrayformula(sum(--REGEXMATCH(H248,split(REGEXREPLACE(J248,""(.)"",""$1~""),""~""))))=len(J248)"),TRUE)</f>
        <v>1</v>
      </c>
      <c r="E248" s="409" t="s">
        <v>513</v>
      </c>
      <c r="F248" s="410" t="str">
        <f>IFERROR(__xludf.DUMMYFUNCTION("REGEXREPLACE(B248,""[^[:alpha:]]"", """")"),"SRGMDNS")</f>
        <v>SRGMDNS</v>
      </c>
      <c r="G248" s="411" t="str">
        <f>IFERROR(__xludf.DUMMYFUNCTION("REGEXREPLACE(C248,""[^[:alpha:]]"", """")"),"SNDNSNDNSSNNDDSDNRNDNDSSRSNSNDRGRGRSNRGRGMRGRS")</f>
        <v>SNDNSNDNSSNNDDSDNRNDNDSSRSNSNDRGRGRSNRGRGMRGRS</v>
      </c>
      <c r="H248" s="410" t="str">
        <f>IFERROR(__xludf.DUMMYFUNCTION("ArrayFormula(join(,unique(mid(F248,sequence(len(F248)),1))))"),"SRGMDN")</f>
        <v>SRGMDN</v>
      </c>
      <c r="I248" s="410">
        <f t="shared" si="1"/>
        <v>6</v>
      </c>
      <c r="J248" s="412" t="str">
        <f>IFERROR(__xludf.DUMMYFUNCTION("ArrayFormula(join(,unique(mid(G248,sequence(len(G248)),1))))"),"SNDRGM")</f>
        <v>SNDRGM</v>
      </c>
      <c r="K248" s="411">
        <f t="shared" si="2"/>
        <v>6</v>
      </c>
    </row>
    <row r="249">
      <c r="A249" s="406" t="s">
        <v>1084</v>
      </c>
      <c r="B249" s="407" t="s">
        <v>1085</v>
      </c>
      <c r="C249" s="222" t="s">
        <v>1086</v>
      </c>
      <c r="D249" s="408" t="b">
        <f>IFERROR(__xludf.DUMMYFUNCTION("arrayformula(sum(--REGEXMATCH(H249,split(REGEXREPLACE(J249,""(.)"",""$1~""),""~""))))=len(J249)"),TRUE)</f>
        <v>1</v>
      </c>
      <c r="E249" s="409" t="s">
        <v>513</v>
      </c>
      <c r="F249" s="410" t="str">
        <f>IFERROR(__xludf.DUMMYFUNCTION("REGEXREPLACE(B249,""[^[:alpha:]]"", """")"),"SgmDNS")</f>
        <v>SgmDNS</v>
      </c>
      <c r="G249" s="411" t="str">
        <f>IFERROR(__xludf.DUMMYFUNCTION("REGEXREPLACE(C249,""[^[:alpha:]]"", """")"),"DNDmDNSNDmggSNSSNSggmmgmSgmgS")</f>
        <v>DNDmDNSNDmggSNSSNSggmmgmSgmgS</v>
      </c>
      <c r="H249" s="410" t="str">
        <f>IFERROR(__xludf.DUMMYFUNCTION("ArrayFormula(join(,unique(mid(F249,sequence(len(F249)),1))))"),"SgmDN")</f>
        <v>SgmDN</v>
      </c>
      <c r="I249" s="410">
        <f t="shared" si="1"/>
        <v>5</v>
      </c>
      <c r="J249" s="412" t="str">
        <f>IFERROR(__xludf.DUMMYFUNCTION("ArrayFormula(join(,unique(mid(G249,sequence(len(G249)),1))))"),"DNmSg")</f>
        <v>DNmSg</v>
      </c>
      <c r="K249" s="411">
        <f t="shared" si="2"/>
        <v>5</v>
      </c>
    </row>
    <row r="250">
      <c r="A250" s="406" t="s">
        <v>1087</v>
      </c>
      <c r="B250" s="407" t="s">
        <v>741</v>
      </c>
      <c r="C250" s="222" t="s">
        <v>1088</v>
      </c>
      <c r="D250" s="408" t="b">
        <f>IFERROR(__xludf.DUMMYFUNCTION("arrayformula(sum(--REGEXMATCH(H250,split(REGEXREPLACE(J250,""(.)"",""$1~""),""~""))))=len(J250)"),TRUE)</f>
        <v>1</v>
      </c>
      <c r="E250" s="409" t="s">
        <v>513</v>
      </c>
      <c r="F250" s="410" t="str">
        <f>IFERROR(__xludf.DUMMYFUNCTION("REGEXREPLACE(B250,""[^[:alpha:]]"", """")"),"SRgGmPDnNS")</f>
        <v>SRgGmPDnNS</v>
      </c>
      <c r="G250" s="411" t="str">
        <f>IFERROR(__xludf.DUMMYFUNCTION("REGEXREPLACE(C250,""[^[:alpha:]]"", """")"),"gmRSRNSRPmPSgmPgmgmRSRgmRPPmnPmPDNSRNSgmPNSPmgRgmRgRSNSgmRSRNSRPmP")</f>
        <v>gmRSRNSRPmPSgmPgmgmRSRgmRPPmnPmPDNSRNSgmPNSPmgRgmRgRSNSgmRSRNSRPmP</v>
      </c>
      <c r="H250" s="410" t="str">
        <f>IFERROR(__xludf.DUMMYFUNCTION("ArrayFormula(join(,unique(mid(F250,sequence(len(F250)),1))))"),"SRgGmPDnN")</f>
        <v>SRgGmPDnN</v>
      </c>
      <c r="I250" s="410">
        <f t="shared" si="1"/>
        <v>9</v>
      </c>
      <c r="J250" s="412" t="str">
        <f>IFERROR(__xludf.DUMMYFUNCTION("ArrayFormula(join(,unique(mid(G250,sequence(len(G250)),1))))"),"gmRSNPnD")</f>
        <v>gmRSNPnD</v>
      </c>
      <c r="K250" s="411">
        <f t="shared" si="2"/>
        <v>8</v>
      </c>
    </row>
    <row r="251">
      <c r="A251" s="406" t="s">
        <v>1089</v>
      </c>
      <c r="B251" s="407" t="s">
        <v>1090</v>
      </c>
      <c r="C251" s="222" t="s">
        <v>1091</v>
      </c>
      <c r="D251" s="408" t="b">
        <f>IFERROR(__xludf.DUMMYFUNCTION("arrayformula(sum(--REGEXMATCH(H251,split(REGEXREPLACE(J251,""(.)"",""$1~""),""~""))))=len(J251)"),TRUE)</f>
        <v>1</v>
      </c>
      <c r="E251" s="409" t="s">
        <v>513</v>
      </c>
      <c r="F251" s="410" t="str">
        <f>IFERROR(__xludf.DUMMYFUNCTION("REGEXREPLACE(B251,""[^[:alpha:]]"", """")"),"SrGmMPdnNS")</f>
        <v>SrGmMPdnNS</v>
      </c>
      <c r="G251" s="411" t="str">
        <f>IFERROR(__xludf.DUMMYFUNCTION("REGEXREPLACE(C251,""[^[:alpha:]]"", """")"),"SNSGGmGmGrNSNdSSNSSNSNddndPPdPMPdPndnddSSNrSNdSSNSG")</f>
        <v>SNSGGmGmGrNSNdSSNSSNSNddndPPdPMPdPndnddSSNrSNdSSNSG</v>
      </c>
      <c r="H251" s="410" t="str">
        <f>IFERROR(__xludf.DUMMYFUNCTION("ArrayFormula(join(,unique(mid(F251,sequence(len(F251)),1))))"),"SrGmMPdnN")</f>
        <v>SrGmMPdnN</v>
      </c>
      <c r="I251" s="410">
        <f t="shared" si="1"/>
        <v>9</v>
      </c>
      <c r="J251" s="412" t="str">
        <f>IFERROR(__xludf.DUMMYFUNCTION("ArrayFormula(join(,unique(mid(G251,sequence(len(G251)),1))))"),"SNGmrdnPM")</f>
        <v>SNGmrdnPM</v>
      </c>
      <c r="K251" s="411">
        <f t="shared" si="2"/>
        <v>9</v>
      </c>
    </row>
    <row r="252">
      <c r="A252" s="406" t="s">
        <v>425</v>
      </c>
      <c r="B252" s="407" t="s">
        <v>426</v>
      </c>
      <c r="C252" s="222" t="s">
        <v>1092</v>
      </c>
      <c r="D252" s="408" t="b">
        <f>IFERROR(__xludf.DUMMYFUNCTION("arrayformula(sum(--REGEXMATCH(H252,split(REGEXREPLACE(J252,""(.)"",""$1~""),""~""))))=len(J252)"),TRUE)</f>
        <v>1</v>
      </c>
      <c r="E252" s="409" t="s">
        <v>513</v>
      </c>
      <c r="F252" s="410" t="str">
        <f>IFERROR(__xludf.DUMMYFUNCTION("REGEXREPLACE(B252,""[^[:alpha:]]"", """")"),"SrGMPDnS")</f>
        <v>SrGMPDnS</v>
      </c>
      <c r="G252" s="411" t="str">
        <f>IFERROR(__xludf.DUMMYFUNCTION("REGEXREPLACE(C252,""[^[:alpha:]]"", """")"),"SnMGPMnDSnDDnPMPGrrGGrSDSnDnDnDPMPPMPPMPMPnDSnSPMSnGMGrSnSnDPPDPnDnDnDnSnSnDPPMPSnSnSDSnSSSnSSnSnGGMGSGPMPPMPMPMMPSrGSnGSMGPMPMGrGrS")</f>
        <v>SnMGPMnDSnDDnPMPGrrGGrSDSnDnDnDPMPPMPPMPMPnDSnSPMSnGMGrSnSnDPPDPnDnDnDnSnSnDPPMPSnSnSDSnSSSnSSnSnGGMGSGPMPPMPMPMMPSrGSnGSMGPMPMGrGrS</v>
      </c>
      <c r="H252" s="410" t="str">
        <f>IFERROR(__xludf.DUMMYFUNCTION("ArrayFormula(join(,unique(mid(F252,sequence(len(F252)),1))))"),"SrGMPDn")</f>
        <v>SrGMPDn</v>
      </c>
      <c r="I252" s="410">
        <f t="shared" si="1"/>
        <v>7</v>
      </c>
      <c r="J252" s="412" t="str">
        <f>IFERROR(__xludf.DUMMYFUNCTION("ArrayFormula(join(,unique(mid(G252,sequence(len(G252)),1))))"),"SnMGPDr")</f>
        <v>SnMGPDr</v>
      </c>
      <c r="K252" s="411">
        <f t="shared" si="2"/>
        <v>7</v>
      </c>
    </row>
    <row r="253">
      <c r="A253" s="406" t="s">
        <v>1093</v>
      </c>
      <c r="B253" s="407" t="s">
        <v>1094</v>
      </c>
      <c r="C253" s="222" t="s">
        <v>1095</v>
      </c>
      <c r="D253" s="408" t="b">
        <f>IFERROR(__xludf.DUMMYFUNCTION("arrayformula(sum(--REGEXMATCH(H253,split(REGEXREPLACE(J253,""(.)"",""$1~""),""~""))))=len(J253)"),TRUE)</f>
        <v>1</v>
      </c>
      <c r="E253" s="409" t="s">
        <v>513</v>
      </c>
      <c r="F253" s="410" t="str">
        <f>IFERROR(__xludf.DUMMYFUNCTION("REGEXREPLACE(B253,""[^[:alpha:]]"", """")"),"SRgmMPDnNS")</f>
        <v>SRgmMPDnNS</v>
      </c>
      <c r="G253" s="411" t="str">
        <f>IFERROR(__xludf.DUMMYFUNCTION("REGEXREPLACE(C253,""[^[:alpha:]]"", """")"),"SRmRmRPMMPnDNSRSnPgmRS")</f>
        <v>SRmRmRPMMPnDNSRSnPgmRS</v>
      </c>
      <c r="H253" s="410" t="str">
        <f>IFERROR(__xludf.DUMMYFUNCTION("ArrayFormula(join(,unique(mid(F253,sequence(len(F253)),1))))"),"SRgmMPDnN")</f>
        <v>SRgmMPDnN</v>
      </c>
      <c r="I253" s="410">
        <f t="shared" si="1"/>
        <v>9</v>
      </c>
      <c r="J253" s="412" t="str">
        <f>IFERROR(__xludf.DUMMYFUNCTION("ArrayFormula(join(,unique(mid(G253,sequence(len(G253)),1))))"),"SRmPMnDNg")</f>
        <v>SRmPMnDNg</v>
      </c>
      <c r="K253" s="411">
        <f t="shared" si="2"/>
        <v>9</v>
      </c>
    </row>
    <row r="254">
      <c r="A254" s="406" t="s">
        <v>1096</v>
      </c>
      <c r="B254" s="407" t="s">
        <v>1097</v>
      </c>
      <c r="C254" s="222" t="s">
        <v>1098</v>
      </c>
      <c r="D254" s="408" t="b">
        <f>IFERROR(__xludf.DUMMYFUNCTION("arrayformula(sum(--REGEXMATCH(H254,split(REGEXREPLACE(J254,""(.)"",""$1~""),""~""))))=len(J254)"),TRUE)</f>
        <v>1</v>
      </c>
      <c r="E254" s="409" t="s">
        <v>513</v>
      </c>
      <c r="F254" s="410" t="str">
        <f>IFERROR(__xludf.DUMMYFUNCTION("REGEXREPLACE(B254,""[^[:alpha:]]"", """")"),"SRgmPNS")</f>
        <v>SRgmPNS</v>
      </c>
      <c r="G254" s="411" t="str">
        <f>IFERROR(__xludf.DUMMYFUNCTION("REGEXREPLACE(C254,""[^[:alpha:]]"", """")"),"gmPPSNSSNPmgmPmgmgRSNNSRRmgmmPPSNS")</f>
        <v>gmPPSNSSNPmgmPmgmgRSNNSRRmgmmPPSNS</v>
      </c>
      <c r="H254" s="410" t="str">
        <f>IFERROR(__xludf.DUMMYFUNCTION("ArrayFormula(join(,unique(mid(F254,sequence(len(F254)),1))))"),"SRgmPN")</f>
        <v>SRgmPN</v>
      </c>
      <c r="I254" s="410">
        <f t="shared" si="1"/>
        <v>6</v>
      </c>
      <c r="J254" s="412" t="str">
        <f>IFERROR(__xludf.DUMMYFUNCTION("ArrayFormula(join(,unique(mid(G254,sequence(len(G254)),1))))"),"gmPSNR")</f>
        <v>gmPSNR</v>
      </c>
      <c r="K254" s="411">
        <f t="shared" si="2"/>
        <v>6</v>
      </c>
    </row>
    <row r="255">
      <c r="A255" s="406" t="s">
        <v>1099</v>
      </c>
      <c r="B255" s="407" t="s">
        <v>1100</v>
      </c>
      <c r="C255" s="222" t="s">
        <v>1101</v>
      </c>
      <c r="D255" s="408" t="b">
        <f>IFERROR(__xludf.DUMMYFUNCTION("arrayformula(sum(--REGEXMATCH(H255,split(REGEXREPLACE(J255,""(.)"",""$1~""),""~""))))=len(J255)"),TRUE)</f>
        <v>1</v>
      </c>
      <c r="E255" s="409" t="s">
        <v>513</v>
      </c>
      <c r="F255" s="410" t="str">
        <f>IFERROR(__xludf.DUMMYFUNCTION("REGEXREPLACE(B255,""[^[:alpha:]]"", """")"),"SRmDNS")</f>
        <v>SRmDNS</v>
      </c>
      <c r="G255" s="411" t="str">
        <f>IFERROR(__xludf.DUMMYFUNCTION("REGEXREPLACE(C255,""[^[:alpha:]]"", """")"),"SDmmRSNSSmmRSNSRSmmNDNSSNRSNSmRmRSNSRSNDmRS")</f>
        <v>SDmmRSNSSmmRSNSRSmmNDNSSNRSNSmRmRSNSRSNDmRS</v>
      </c>
      <c r="H255" s="410" t="str">
        <f>IFERROR(__xludf.DUMMYFUNCTION("ArrayFormula(join(,unique(mid(F255,sequence(len(F255)),1))))"),"SRmDN")</f>
        <v>SRmDN</v>
      </c>
      <c r="I255" s="410">
        <f t="shared" si="1"/>
        <v>5</v>
      </c>
      <c r="J255" s="412" t="str">
        <f>IFERROR(__xludf.DUMMYFUNCTION("ArrayFormula(join(,unique(mid(G255,sequence(len(G255)),1))))"),"SDmRN")</f>
        <v>SDmRN</v>
      </c>
      <c r="K255" s="411">
        <f t="shared" si="2"/>
        <v>5</v>
      </c>
    </row>
    <row r="256">
      <c r="A256" s="406" t="s">
        <v>1102</v>
      </c>
      <c r="B256" s="407" t="s">
        <v>1103</v>
      </c>
      <c r="C256" s="222" t="s">
        <v>1104</v>
      </c>
      <c r="D256" s="408" t="b">
        <f>IFERROR(__xludf.DUMMYFUNCTION("arrayformula(sum(--REGEXMATCH(H256,split(REGEXREPLACE(J256,""(.)"",""$1~""),""~""))))=len(J256)"),TRUE)</f>
        <v>1</v>
      </c>
      <c r="E256" s="409" t="s">
        <v>513</v>
      </c>
      <c r="F256" s="410" t="str">
        <f>IFERROR(__xludf.DUMMYFUNCTION("REGEXREPLACE(B256,""[^[:alpha:]]"", """")"),"SgGMPnNS")</f>
        <v>SgGMPnNS</v>
      </c>
      <c r="G256" s="411" t="str">
        <f>IFERROR(__xludf.DUMMYFUNCTION("REGEXREPLACE(C256,""[^[:alpha:]]"", """")"),"NNSGgGPnNSSPnPPMGGnPPnPMGPGPgGPSNNSSPMPGMPNSGMPnPPnPMPPnPMMPPgG")</f>
        <v>NNSGgGPnNSSPnPPMGGnPPnPMGPGPgGPSNNSSPMPGMPNSGMPnPPnPMPPnPMMPPgG</v>
      </c>
      <c r="H256" s="410" t="str">
        <f>IFERROR(__xludf.DUMMYFUNCTION("ArrayFormula(join(,unique(mid(F256,sequence(len(F256)),1))))"),"SgGMPnN")</f>
        <v>SgGMPnN</v>
      </c>
      <c r="I256" s="410">
        <f t="shared" si="1"/>
        <v>7</v>
      </c>
      <c r="J256" s="412" t="str">
        <f>IFERROR(__xludf.DUMMYFUNCTION("ArrayFormula(join(,unique(mid(G256,sequence(len(G256)),1))))"),"NSGgPnM")</f>
        <v>NSGgPnM</v>
      </c>
      <c r="K256" s="411">
        <f t="shared" si="2"/>
        <v>7</v>
      </c>
    </row>
    <row r="257">
      <c r="A257" s="406" t="s">
        <v>1105</v>
      </c>
      <c r="B257" s="407" t="s">
        <v>849</v>
      </c>
      <c r="C257" s="222" t="s">
        <v>1106</v>
      </c>
      <c r="D257" s="408" t="b">
        <f>IFERROR(__xludf.DUMMYFUNCTION("arrayformula(sum(--REGEXMATCH(H257,split(REGEXREPLACE(J257,""(.)"",""$1~""),""~""))))=len(J257)"),TRUE)</f>
        <v>1</v>
      </c>
      <c r="E257" s="409" t="s">
        <v>513</v>
      </c>
      <c r="F257" s="410" t="str">
        <f>IFERROR(__xludf.DUMMYFUNCTION("REGEXREPLACE(B257,""[^[:alpha:]]"", """")"),"SrGmPdDnNS")</f>
        <v>SrGmPdDnNS</v>
      </c>
      <c r="G257" s="411" t="str">
        <f>IFERROR(__xludf.DUMMYFUNCTION("REGEXREPLACE(C257,""[^[:alpha:]]"", """")"),"mGmGrSGmPDNSSnDnPmmPDnDnPGmGGrGSSdNSmmP")</f>
        <v>mGmGrSGmPDNSSnDnPmmPDnDnPGmGGrGSSdNSmmP</v>
      </c>
      <c r="H257" s="410" t="str">
        <f>IFERROR(__xludf.DUMMYFUNCTION("ArrayFormula(join(,unique(mid(F257,sequence(len(F257)),1))))"),"SrGmPdDnN")</f>
        <v>SrGmPdDnN</v>
      </c>
      <c r="I257" s="410">
        <f t="shared" si="1"/>
        <v>9</v>
      </c>
      <c r="J257" s="412" t="str">
        <f>IFERROR(__xludf.DUMMYFUNCTION("ArrayFormula(join(,unique(mid(G257,sequence(len(G257)),1))))"),"mGrSPDNnd")</f>
        <v>mGrSPDNnd</v>
      </c>
      <c r="K257" s="411">
        <f t="shared" si="2"/>
        <v>9</v>
      </c>
    </row>
    <row r="258">
      <c r="A258" s="406" t="s">
        <v>1107</v>
      </c>
      <c r="B258" s="407" t="s">
        <v>624</v>
      </c>
      <c r="C258" s="222" t="s">
        <v>1108</v>
      </c>
      <c r="D258" s="408" t="b">
        <f>IFERROR(__xludf.DUMMYFUNCTION("arrayformula(sum(--REGEXMATCH(H258,split(REGEXREPLACE(J258,""(.)"",""$1~""),""~""))))=len(J258)"),TRUE)</f>
        <v>1</v>
      </c>
      <c r="E258" s="409" t="s">
        <v>513</v>
      </c>
      <c r="F258" s="410" t="str">
        <f>IFERROR(__xludf.DUMMYFUNCTION("REGEXREPLACE(B258,""[^[:alpha:]]"", """")"),"SrGPdS")</f>
        <v>SrGPdS</v>
      </c>
      <c r="G258" s="411" t="str">
        <f>IFERROR(__xludf.DUMMYFUNCTION("REGEXREPLACE(C258,""[^[:alpha:]]"", """")"),"rGGGrrSSddSSdrrrSrSSdPPrGGGrrS")</f>
        <v>rGGGrrSSddSSdrrrSrSSdPPrGGGrrS</v>
      </c>
      <c r="H258" s="410" t="str">
        <f>IFERROR(__xludf.DUMMYFUNCTION("ArrayFormula(join(,unique(mid(F258,sequence(len(F258)),1))))"),"SrGPd")</f>
        <v>SrGPd</v>
      </c>
      <c r="I258" s="410">
        <f t="shared" si="1"/>
        <v>5</v>
      </c>
      <c r="J258" s="412" t="str">
        <f>IFERROR(__xludf.DUMMYFUNCTION("ArrayFormula(join(,unique(mid(G258,sequence(len(G258)),1))))"),"rGSdP")</f>
        <v>rGSdP</v>
      </c>
      <c r="K258" s="411">
        <f t="shared" si="2"/>
        <v>5</v>
      </c>
    </row>
    <row r="259">
      <c r="A259" s="406" t="s">
        <v>1109</v>
      </c>
      <c r="B259" s="407" t="s">
        <v>1110</v>
      </c>
      <c r="C259" s="222" t="s">
        <v>1111</v>
      </c>
      <c r="D259" s="408" t="b">
        <f>IFERROR(__xludf.DUMMYFUNCTION("arrayformula(sum(--REGEXMATCH(H259,split(REGEXREPLACE(J259,""(.)"",""$1~""),""~""))))=len(J259)"),TRUE)</f>
        <v>1</v>
      </c>
      <c r="E259" s="409" t="s">
        <v>513</v>
      </c>
      <c r="F259" s="410" t="str">
        <f>IFERROR(__xludf.DUMMYFUNCTION("REGEXREPLACE(B259,""[^[:alpha:]]"", """")"),"SrRGmMPdNS")</f>
        <v>SrRGmMPdNS</v>
      </c>
      <c r="G259" s="411" t="str">
        <f>IFERROR(__xludf.DUMMYFUNCTION("REGEXREPLACE(C259,""[^[:alpha:]]"", """")"),"MPdPdNdPmRPdPPMPmRmRPmGrSSSrGmPPMPPMPPPdPMPdNdNdPPRmRPdP")</f>
        <v>MPdPdNdPmRPdPPMPmRmRPmGrSSSrGmPPMPPMPPPdPMPdNdNdPPRmRPdP</v>
      </c>
      <c r="H259" s="410" t="str">
        <f>IFERROR(__xludf.DUMMYFUNCTION("ArrayFormula(join(,unique(mid(F259,sequence(len(F259)),1))))"),"SrRGmMPdN")</f>
        <v>SrRGmMPdN</v>
      </c>
      <c r="I259" s="410">
        <f t="shared" si="1"/>
        <v>9</v>
      </c>
      <c r="J259" s="412" t="str">
        <f>IFERROR(__xludf.DUMMYFUNCTION("ArrayFormula(join(,unique(mid(G259,sequence(len(G259)),1))))"),"MPdNmRGrS")</f>
        <v>MPdNmRGrS</v>
      </c>
      <c r="K259" s="411">
        <f t="shared" si="2"/>
        <v>9</v>
      </c>
    </row>
    <row r="260">
      <c r="A260" s="406" t="s">
        <v>1112</v>
      </c>
      <c r="B260" s="407" t="s">
        <v>1113</v>
      </c>
      <c r="C260" s="222" t="s">
        <v>1114</v>
      </c>
      <c r="D260" s="408" t="b">
        <f>IFERROR(__xludf.DUMMYFUNCTION("arrayformula(sum(--REGEXMATCH(H260,split(REGEXREPLACE(J260,""(.)"",""$1~""),""~""))))=len(J260)"),TRUE)</f>
        <v>1</v>
      </c>
      <c r="E260" s="409" t="s">
        <v>513</v>
      </c>
      <c r="F260" s="410" t="str">
        <f>IFERROR(__xludf.DUMMYFUNCTION("REGEXREPLACE(B260,""[^[:alpha:]]"", """")"),"SrgPdnS")</f>
        <v>SrgPdnS</v>
      </c>
      <c r="G260" s="411" t="str">
        <f>IFERROR(__xludf.DUMMYFUNCTION("REGEXREPLACE(C260,""[^[:alpha:]]"", """")"),"SrgrgrgrgrSSnddSSrggrSSrgrrSSrgrSrSSdSrgrSdnddSrgrSnddndddSSddSrgrSSnddSrSdSrdSrdSnd")</f>
        <v>SrgrgrgrgrSSnddSSrggrSSrgrrSSrgrSrSSdSrgrSdnddSrgrSnddndddSSddSrgrSSnddSrSdSrdSrdSnd</v>
      </c>
      <c r="H260" s="410" t="str">
        <f>IFERROR(__xludf.DUMMYFUNCTION("ArrayFormula(join(,unique(mid(F260,sequence(len(F260)),1))))"),"SrgPdn")</f>
        <v>SrgPdn</v>
      </c>
      <c r="I260" s="410">
        <f t="shared" si="1"/>
        <v>6</v>
      </c>
      <c r="J260" s="412" t="str">
        <f>IFERROR(__xludf.DUMMYFUNCTION("ArrayFormula(join(,unique(mid(G260,sequence(len(G260)),1))))"),"Srgnd")</f>
        <v>Srgnd</v>
      </c>
      <c r="K260" s="411">
        <f t="shared" si="2"/>
        <v>5</v>
      </c>
    </row>
    <row r="261">
      <c r="A261" s="406" t="s">
        <v>1115</v>
      </c>
      <c r="B261" s="407" t="s">
        <v>738</v>
      </c>
      <c r="C261" s="222" t="s">
        <v>1116</v>
      </c>
      <c r="D261" s="408" t="b">
        <f>IFERROR(__xludf.DUMMYFUNCTION("arrayformula(sum(--REGEXMATCH(H261,split(REGEXREPLACE(J261,""(.)"",""$1~""),""~""))))=len(J261)"),TRUE)</f>
        <v>1</v>
      </c>
      <c r="E261" s="409" t="s">
        <v>513</v>
      </c>
      <c r="F261" s="410" t="str">
        <f>IFERROR(__xludf.DUMMYFUNCTION("REGEXREPLACE(B261,""[^[:alpha:]]"", """")"),"SRGmPDnS")</f>
        <v>SRGmPDnS</v>
      </c>
      <c r="G261" s="411" t="str">
        <f>IFERROR(__xludf.DUMMYFUNCTION("REGEXREPLACE(C261,""[^[:alpha:]]"", """")"),"GmmGmRSnDnDSnSnSnRSSSRSSnSSnRnSnDnnDnDSDDnnDSSSRSRRGRSnRSGmGmmmGmRnPmPmSPGGPGDPPSnSnSnSDPSDSnSnSDnDSnSnSDDSDDSDS")</f>
        <v>GmmGmRSnDnDSnSnSnRSSSRSSnSSnRnSnDnnDnDSDDnnDSSSRSRRGRSnRSGmGmmmGmRnPmPmSPGGPGDPPSnSnSnSDPSDSnSnSDnDSnSnSDDSDDSDS</v>
      </c>
      <c r="H261" s="410" t="str">
        <f>IFERROR(__xludf.DUMMYFUNCTION("ArrayFormula(join(,unique(mid(F261,sequence(len(F261)),1))))"),"SRGmPDn")</f>
        <v>SRGmPDn</v>
      </c>
      <c r="I261" s="410">
        <f t="shared" si="1"/>
        <v>7</v>
      </c>
      <c r="J261" s="412" t="str">
        <f>IFERROR(__xludf.DUMMYFUNCTION("ArrayFormula(join(,unique(mid(G261,sequence(len(G261)),1))))"),"GmRSnDP")</f>
        <v>GmRSnDP</v>
      </c>
      <c r="K261" s="411">
        <f t="shared" si="2"/>
        <v>7</v>
      </c>
    </row>
    <row r="262">
      <c r="A262" s="406" t="s">
        <v>1117</v>
      </c>
      <c r="B262" s="407" t="s">
        <v>1118</v>
      </c>
      <c r="C262" s="222" t="s">
        <v>1119</v>
      </c>
      <c r="D262" s="408" t="b">
        <f>IFERROR(__xludf.DUMMYFUNCTION("arrayformula(sum(--REGEXMATCH(H262,split(REGEXREPLACE(J262,""(.)"",""$1~""),""~""))))=len(J262)"),TRUE)</f>
        <v>1</v>
      </c>
      <c r="E262" s="409" t="s">
        <v>513</v>
      </c>
      <c r="F262" s="410" t="str">
        <f>IFERROR(__xludf.DUMMYFUNCTION("REGEXREPLACE(B262,""[^[:alpha:]]"", """")"),"SrgPDnS")</f>
        <v>SrgPDnS</v>
      </c>
      <c r="G262" s="411" t="str">
        <f>IFERROR(__xludf.DUMMYFUNCTION("REGEXREPLACE(C262,""[^[:alpha:]]"", """")"),"SrgPPDPDnDPDnDDPSrgPPD")</f>
        <v>SrgPPDPDnDPDnDDPSrgPPD</v>
      </c>
      <c r="H262" s="410" t="str">
        <f>IFERROR(__xludf.DUMMYFUNCTION("ArrayFormula(join(,unique(mid(F262,sequence(len(F262)),1))))"),"SrgPDn")</f>
        <v>SrgPDn</v>
      </c>
      <c r="I262" s="410">
        <f t="shared" si="1"/>
        <v>6</v>
      </c>
      <c r="J262" s="412" t="str">
        <f>IFERROR(__xludf.DUMMYFUNCTION("ArrayFormula(join(,unique(mid(G262,sequence(len(G262)),1))))"),"SrgPDn")</f>
        <v>SrgPDn</v>
      </c>
      <c r="K262" s="411">
        <f t="shared" si="2"/>
        <v>6</v>
      </c>
    </row>
    <row r="263">
      <c r="A263" s="406" t="s">
        <v>1120</v>
      </c>
      <c r="B263" s="407" t="s">
        <v>997</v>
      </c>
      <c r="C263" s="222" t="s">
        <v>1121</v>
      </c>
      <c r="D263" s="408" t="b">
        <f>IFERROR(__xludf.DUMMYFUNCTION("arrayformula(sum(--REGEXMATCH(H263,split(REGEXREPLACE(J263,""(.)"",""$1~""),""~""))))=len(J263)"),TRUE)</f>
        <v>1</v>
      </c>
      <c r="E263" s="409" t="s">
        <v>513</v>
      </c>
      <c r="F263" s="410" t="str">
        <f>IFERROR(__xludf.DUMMYFUNCTION("REGEXREPLACE(B263,""[^[:alpha:]]"", """")"),"SRmPDnNS")</f>
        <v>SRmPDnNS</v>
      </c>
      <c r="G263" s="411" t="str">
        <f>IFERROR(__xludf.DUMMYFUNCTION("REGEXREPLACE(C263,""[^[:alpha:]]"", """")"),"SmRmmRPmPmPPPPPPmDPDPmRmRNSSDPmRmRmmSNRmRmRmRmRSRmR")</f>
        <v>SmRmmRPmPmPPPPPPmDPDPmRmRNSSDPmRmRmmSNRmRmRmRmRSRmR</v>
      </c>
      <c r="H263" s="410" t="str">
        <f>IFERROR(__xludf.DUMMYFUNCTION("ArrayFormula(join(,unique(mid(F263,sequence(len(F263)),1))))"),"SRmPDnN")</f>
        <v>SRmPDnN</v>
      </c>
      <c r="I263" s="410">
        <f t="shared" si="1"/>
        <v>7</v>
      </c>
      <c r="J263" s="412" t="str">
        <f>IFERROR(__xludf.DUMMYFUNCTION("ArrayFormula(join(,unique(mid(G263,sequence(len(G263)),1))))"),"SmRPDN")</f>
        <v>SmRPDN</v>
      </c>
      <c r="K263" s="411">
        <f t="shared" si="2"/>
        <v>6</v>
      </c>
    </row>
    <row r="264">
      <c r="A264" s="406" t="s">
        <v>788</v>
      </c>
      <c r="B264" s="407" t="s">
        <v>405</v>
      </c>
      <c r="C264" s="222" t="s">
        <v>1122</v>
      </c>
      <c r="D264" s="408" t="b">
        <f>IFERROR(__xludf.DUMMYFUNCTION("arrayformula(sum(--REGEXMATCH(H264,split(REGEXREPLACE(J264,""(.)"",""$1~""),""~""))))=len(J264)"),TRUE)</f>
        <v>1</v>
      </c>
      <c r="E264" s="409" t="s">
        <v>513</v>
      </c>
      <c r="F264" s="410" t="str">
        <f>IFERROR(__xludf.DUMMYFUNCTION("REGEXREPLACE(B264,""[^[:alpha:]]"", """")"),"SRgmPdnS")</f>
        <v>SRgmPdnS</v>
      </c>
      <c r="G264" s="411" t="str">
        <f>IFERROR(__xludf.DUMMYFUNCTION("REGEXREPLACE(C264,""[^[:alpha:]]"", """")"),"gmPPmPPmmgRnSgRggmgmggSSgSnSndnnSnSmmmPmPmPmmggmPndSnnSSdSnRSnSnndPmgSgmPmPmgmgRmgmggRSmmmggmPPmP")</f>
        <v>gmPPmPPmmgRnSgRggmgmggSSgSnSndnnSnSmmmPmPmPmmggmPndSnnSSdSnRSnSnndPmgSgmPmPmgmgRmgmggRSmmmggmPPmP</v>
      </c>
      <c r="H264" s="410" t="str">
        <f>IFERROR(__xludf.DUMMYFUNCTION("ArrayFormula(join(,unique(mid(F264,sequence(len(F264)),1))))"),"SRgmPdn")</f>
        <v>SRgmPdn</v>
      </c>
      <c r="I264" s="410">
        <f t="shared" si="1"/>
        <v>7</v>
      </c>
      <c r="J264" s="412" t="str">
        <f>IFERROR(__xludf.DUMMYFUNCTION("ArrayFormula(join(,unique(mid(G264,sequence(len(G264)),1))))"),"gmPRnSd")</f>
        <v>gmPRnSd</v>
      </c>
      <c r="K264" s="411">
        <f t="shared" si="2"/>
        <v>7</v>
      </c>
    </row>
    <row r="265">
      <c r="A265" s="406" t="s">
        <v>1123</v>
      </c>
      <c r="B265" s="407" t="s">
        <v>632</v>
      </c>
      <c r="C265" s="222" t="s">
        <v>1124</v>
      </c>
      <c r="D265" s="408" t="b">
        <f>IFERROR(__xludf.DUMMYFUNCTION("arrayformula(sum(--REGEXMATCH(H265,split(REGEXREPLACE(J265,""(.)"",""$1~""),""~""))))=len(J265)"),FALSE)</f>
        <v>0</v>
      </c>
      <c r="E265" s="409" t="s">
        <v>578</v>
      </c>
      <c r="F265" s="410" t="str">
        <f>IFERROR(__xludf.DUMMYFUNCTION("REGEXREPLACE(B265,""[^[:alpha:]]"", """")"),"SRGmMPDNS")</f>
        <v>SRGmMPDNS</v>
      </c>
      <c r="G265" s="411" t="str">
        <f>IFERROR(__xludf.DUMMYFUNCTION("REGEXREPLACE(C265,""[^[:alpha:]]"", """")"),"GPPGGRGGmGRNSNRGMMDPGSNNSNSnDPDPPDNSGPPG")</f>
        <v>GPPGGRGGmGRNSNRGMMDPGSNNSNSnDPDPPDNSGPPG</v>
      </c>
      <c r="H265" s="410" t="str">
        <f>IFERROR(__xludf.DUMMYFUNCTION("ArrayFormula(join(,unique(mid(F265,sequence(len(F265)),1))))"),"SRGmMPDN")</f>
        <v>SRGmMPDN</v>
      </c>
      <c r="I265" s="410">
        <f t="shared" si="1"/>
        <v>8</v>
      </c>
      <c r="J265" s="412" t="str">
        <f>IFERROR(__xludf.DUMMYFUNCTION("ArrayFormula(join(,unique(mid(G265,sequence(len(G265)),1))))"),"GPRmNSMDn")</f>
        <v>GPRmNSMDn</v>
      </c>
      <c r="K265" s="411">
        <f t="shared" si="2"/>
        <v>9</v>
      </c>
    </row>
    <row r="266">
      <c r="A266" s="406" t="s">
        <v>1125</v>
      </c>
      <c r="B266" s="407" t="s">
        <v>1126</v>
      </c>
      <c r="C266" s="222" t="s">
        <v>1127</v>
      </c>
      <c r="D266" s="408" t="b">
        <f>IFERROR(__xludf.DUMMYFUNCTION("arrayformula(sum(--REGEXMATCH(H266,split(REGEXREPLACE(J266,""(.)"",""$1~""),""~""))))=len(J266)"),TRUE)</f>
        <v>1</v>
      </c>
      <c r="E266" s="409" t="s">
        <v>513</v>
      </c>
      <c r="F266" s="410" t="str">
        <f>IFERROR(__xludf.DUMMYFUNCTION("REGEXREPLACE(B266,""[^[:alpha:]]"", """")"),"SRmPnNS")</f>
        <v>SRmPnNS</v>
      </c>
      <c r="G266" s="411" t="str">
        <f>IFERROR(__xludf.DUMMYFUNCTION("REGEXREPLACE(C266,""[^[:alpha:]]"", """")"),"SRNNSNSSRSSNSRSNSnPNNPSNRSSRmPnPmPnPmRRRNNPSNR")</f>
        <v>SRNNSNSSRSSNSRSNSnPNNPSNRSSRmPnPmPnPmRRRNNPSNR</v>
      </c>
      <c r="H266" s="410" t="str">
        <f>IFERROR(__xludf.DUMMYFUNCTION("ArrayFormula(join(,unique(mid(F266,sequence(len(F266)),1))))"),"SRmPnN")</f>
        <v>SRmPnN</v>
      </c>
      <c r="I266" s="410">
        <f t="shared" si="1"/>
        <v>6</v>
      </c>
      <c r="J266" s="412" t="str">
        <f>IFERROR(__xludf.DUMMYFUNCTION("ArrayFormula(join(,unique(mid(G266,sequence(len(G266)),1))))"),"SRNnPm")</f>
        <v>SRNnPm</v>
      </c>
      <c r="K266" s="411">
        <f t="shared" si="2"/>
        <v>6</v>
      </c>
    </row>
    <row r="267">
      <c r="A267" s="406" t="s">
        <v>1128</v>
      </c>
      <c r="B267" s="407" t="s">
        <v>861</v>
      </c>
      <c r="C267" s="222" t="s">
        <v>1129</v>
      </c>
      <c r="D267" s="408" t="b">
        <f>IFERROR(__xludf.DUMMYFUNCTION("arrayformula(sum(--REGEXMATCH(H267,split(REGEXREPLACE(J267,""(.)"",""$1~""),""~""))))=len(J267)"),TRUE)</f>
        <v>1</v>
      </c>
      <c r="E267" s="409" t="s">
        <v>513</v>
      </c>
      <c r="F267" s="410" t="str">
        <f>IFERROR(__xludf.DUMMYFUNCTION("REGEXREPLACE(B267,""[^[:alpha:]]"", """")"),"SRMPDnS")</f>
        <v>SRMPDnS</v>
      </c>
      <c r="G267" s="411" t="str">
        <f>IFERROR(__xludf.DUMMYFUNCTION("REGEXREPLACE(C267,""[^[:alpha:]]"", """")"),"SnSnnSRMPMRSRSRSRSnSRMPPMRSR")</f>
        <v>SnSnnSRMPMRSRSRSRSnSRMPPMRSR</v>
      </c>
      <c r="H267" s="410" t="str">
        <f>IFERROR(__xludf.DUMMYFUNCTION("ArrayFormula(join(,unique(mid(F267,sequence(len(F267)),1))))"),"SRMPDn")</f>
        <v>SRMPDn</v>
      </c>
      <c r="I267" s="410">
        <f t="shared" si="1"/>
        <v>6</v>
      </c>
      <c r="J267" s="412" t="str">
        <f>IFERROR(__xludf.DUMMYFUNCTION("ArrayFormula(join(,unique(mid(G267,sequence(len(G267)),1))))"),"SnRMP")</f>
        <v>SnRMP</v>
      </c>
      <c r="K267" s="411">
        <f t="shared" si="2"/>
        <v>5</v>
      </c>
    </row>
    <row r="268">
      <c r="A268" s="406" t="s">
        <v>1130</v>
      </c>
      <c r="B268" s="407" t="s">
        <v>648</v>
      </c>
      <c r="C268" s="222" t="s">
        <v>1131</v>
      </c>
      <c r="D268" s="408" t="b">
        <f>IFERROR(__xludf.DUMMYFUNCTION("arrayformula(sum(--REGEXMATCH(H268,split(REGEXREPLACE(J268,""(.)"",""$1~""),""~""))))=len(J268)"),TRUE)</f>
        <v>1</v>
      </c>
      <c r="E268" s="409" t="s">
        <v>513</v>
      </c>
      <c r="F268" s="410" t="str">
        <f>IFERROR(__xludf.DUMMYFUNCTION("REGEXREPLACE(B268,""[^[:alpha:]]"", """")"),"SRGmMPDnNS")</f>
        <v>SRGmMPDnNS</v>
      </c>
      <c r="G268" s="411" t="str">
        <f>IFERROR(__xludf.DUMMYFUNCTION("REGEXREPLACE(C268,""[^[:alpha:]]"", """")"),"GRMPDNRSNnDnDPDPPMDPmSRRSmRRPMPMPNDDRSnDPMRMPDNRSNnDn")</f>
        <v>GRMPDNRSNnDnDPDPPMDPmSRRSmRRPMPMPNDDRSnDPMRMPDNRSNnDn</v>
      </c>
      <c r="H268" s="410" t="str">
        <f>IFERROR(__xludf.DUMMYFUNCTION("ArrayFormula(join(,unique(mid(F268,sequence(len(F268)),1))))"),"SRGmMPDnN")</f>
        <v>SRGmMPDnN</v>
      </c>
      <c r="I268" s="410">
        <f t="shared" si="1"/>
        <v>9</v>
      </c>
      <c r="J268" s="412" t="str">
        <f>IFERROR(__xludf.DUMMYFUNCTION("ArrayFormula(join(,unique(mid(G268,sequence(len(G268)),1))))"),"GRMPDNSnm")</f>
        <v>GRMPDNSnm</v>
      </c>
      <c r="K268" s="411">
        <f t="shared" si="2"/>
        <v>9</v>
      </c>
    </row>
    <row r="269">
      <c r="A269" s="406" t="s">
        <v>1132</v>
      </c>
      <c r="B269" s="407" t="s">
        <v>533</v>
      </c>
      <c r="C269" s="222" t="s">
        <v>1133</v>
      </c>
      <c r="D269" s="408" t="b">
        <f>IFERROR(__xludf.DUMMYFUNCTION("arrayformula(sum(--REGEXMATCH(H269,split(REGEXREPLACE(J269,""(.)"",""$1~""),""~""))))=len(J269)"),TRUE)</f>
        <v>1</v>
      </c>
      <c r="E269" s="409" t="s">
        <v>513</v>
      </c>
      <c r="F269" s="410" t="str">
        <f>IFERROR(__xludf.DUMMYFUNCTION("REGEXREPLACE(B269,""[^[:alpha:]]"", """")"),"SRmMPDnNS")</f>
        <v>SRmMPDnNS</v>
      </c>
      <c r="G269" s="411" t="str">
        <f>IFERROR(__xludf.DUMMYFUNCTION("REGEXREPLACE(C269,""[^[:alpha:]]"", """")"),"RMPDPMPmRmRSSSnDMPDSSSSDSRmRRMPMDPmRmRSRMPDPmRmRSnDMPDS")</f>
        <v>RMPDPMPmRmRSSSnDMPDSSSSDSRmRRMPMDPmRmRSRMPDPmRmRSnDMPDS</v>
      </c>
      <c r="H269" s="410" t="str">
        <f>IFERROR(__xludf.DUMMYFUNCTION("ArrayFormula(join(,unique(mid(F269,sequence(len(F269)),1))))"),"SRmMPDnN")</f>
        <v>SRmMPDnN</v>
      </c>
      <c r="I269" s="410">
        <f t="shared" si="1"/>
        <v>8</v>
      </c>
      <c r="J269" s="412" t="str">
        <f>IFERROR(__xludf.DUMMYFUNCTION("ArrayFormula(join(,unique(mid(G269,sequence(len(G269)),1))))"),"RMPDmSn")</f>
        <v>RMPDmSn</v>
      </c>
      <c r="K269" s="411">
        <f t="shared" si="2"/>
        <v>7</v>
      </c>
    </row>
    <row r="270">
      <c r="A270" s="406" t="s">
        <v>1134</v>
      </c>
      <c r="B270" s="407" t="s">
        <v>1135</v>
      </c>
      <c r="C270" s="222" t="s">
        <v>1136</v>
      </c>
      <c r="D270" s="408" t="b">
        <f>IFERROR(__xludf.DUMMYFUNCTION("arrayformula(sum(--REGEXMATCH(H270,split(REGEXREPLACE(J270,""(.)"",""$1~""),""~""))))=len(J270)"),FALSE)</f>
        <v>0</v>
      </c>
      <c r="E270" s="409" t="s">
        <v>578</v>
      </c>
      <c r="F270" s="410" t="str">
        <f>IFERROR(__xludf.DUMMYFUNCTION("REGEXREPLACE(B270,""[^[:alpha:]]"", """")"),"SrGmPdDNS")</f>
        <v>SrGmPdDNS</v>
      </c>
      <c r="G270" s="411" t="str">
        <f>IFERROR(__xludf.DUMMYFUNCTION("REGEXREPLACE(C270,""[^[:alpha:]]"", """")"),"SrSNDDPmmGmPPmPGSGGmGGmGPmGmGrSSGmGPPGGmNDSSSSNSNDPPDNDNDPGmGmdndPPmPGmGrSSrSSmPmPGGmdPdSNSNdPmPmPGGmGmNDDPmmGmPPmPG")</f>
        <v>SrSNDDPmmGmPPmPGSGGmGGmGPmGmGrSSGmGPPGGmNDSSSSNSNDPPDNDNDPGmGmdndPPmPGmGrSSrSSmPmPGGmdPdSNSNdPmPmPGGmGmNDDPmmGmPPmPG</v>
      </c>
      <c r="H270" s="410" t="str">
        <f>IFERROR(__xludf.DUMMYFUNCTION("ArrayFormula(join(,unique(mid(F270,sequence(len(F270)),1))))"),"SrGmPdDN")</f>
        <v>SrGmPdDN</v>
      </c>
      <c r="I270" s="410">
        <f t="shared" si="1"/>
        <v>8</v>
      </c>
      <c r="J270" s="412" t="str">
        <f>IFERROR(__xludf.DUMMYFUNCTION("ArrayFormula(join(,unique(mid(G270,sequence(len(G270)),1))))"),"SrNDPmGdn")</f>
        <v>SrNDPmGdn</v>
      </c>
      <c r="K270" s="411">
        <f t="shared" si="2"/>
        <v>9</v>
      </c>
    </row>
    <row r="271">
      <c r="A271" s="406" t="s">
        <v>1137</v>
      </c>
      <c r="B271" s="407" t="s">
        <v>554</v>
      </c>
      <c r="C271" s="222" t="s">
        <v>1138</v>
      </c>
      <c r="D271" s="408" t="b">
        <f>IFERROR(__xludf.DUMMYFUNCTION("arrayformula(sum(--REGEXMATCH(H271,split(REGEXREPLACE(J271,""(.)"",""$1~""),""~""))))=len(J271)"),TRUE)</f>
        <v>1</v>
      </c>
      <c r="E271" s="409" t="s">
        <v>513</v>
      </c>
      <c r="F271" s="410" t="str">
        <f>IFERROR(__xludf.DUMMYFUNCTION("REGEXREPLACE(B271,""[^[:alpha:]]"", """")"),"SRGmPDNS")</f>
        <v>SRGmPDNS</v>
      </c>
      <c r="G271" s="411" t="str">
        <f>IFERROR(__xludf.DUMMYFUNCTION("REGEXREPLACE(C271,""[^[:alpha:]]"", """")"),"GmGPmPGRSSNSSNRSSRNSGmGGmGPmGmPSNRSNSSPPGGmDmPGGGmPmPGRS")</f>
        <v>GmGPmPGRSSNSSNRSSRNSGmGGmGPmGmPSNRSNSSPPGGmDmPGGGmPmPGRS</v>
      </c>
      <c r="H271" s="410" t="str">
        <f>IFERROR(__xludf.DUMMYFUNCTION("ArrayFormula(join(,unique(mid(F271,sequence(len(F271)),1))))"),"SRGmPDN")</f>
        <v>SRGmPDN</v>
      </c>
      <c r="I271" s="410">
        <f t="shared" si="1"/>
        <v>7</v>
      </c>
      <c r="J271" s="412" t="str">
        <f>IFERROR(__xludf.DUMMYFUNCTION("ArrayFormula(join(,unique(mid(G271,sequence(len(G271)),1))))"),"GmPRSND")</f>
        <v>GmPRSND</v>
      </c>
      <c r="K271" s="411">
        <f t="shared" si="2"/>
        <v>7</v>
      </c>
    </row>
    <row r="272">
      <c r="A272" s="406" t="s">
        <v>1139</v>
      </c>
      <c r="B272" s="407" t="s">
        <v>912</v>
      </c>
      <c r="C272" s="222" t="s">
        <v>1140</v>
      </c>
      <c r="D272" s="408" t="b">
        <f>IFERROR(__xludf.DUMMYFUNCTION("arrayformula(sum(--REGEXMATCH(H272,split(REGEXREPLACE(J272,""(.)"",""$1~""),""~""))))=len(J272)"),TRUE)</f>
        <v>1</v>
      </c>
      <c r="E272" s="409" t="s">
        <v>513</v>
      </c>
      <c r="F272" s="410" t="str">
        <f>IFERROR(__xludf.DUMMYFUNCTION("REGEXREPLACE(B272,""[^[:alpha:]]"", """")"),"SrGmMPdDNS")</f>
        <v>SrGmMPdDNS</v>
      </c>
      <c r="G272" s="411" t="str">
        <f>IFERROR(__xludf.DUMMYFUNCTION("REGEXREPLACE(C272,""[^[:alpha:]]"", """")"),"rNrGrrPGPNPMPMGrrSrGrSSNSGrPPPPdPPMPDPmGmmGmPmDPmPDPDPmGrGrSrrSrGrGGrGrSSNSNSrNGrGrP")</f>
        <v>rNrGrrPGPNPMPMGrrSrGrSSNSGrPPPPdPPMPDPmGmmGmPmDPmPDPDPmGrGrSrrSrGrGGrGrSSNSNSrNGrGrP</v>
      </c>
      <c r="H272" s="410" t="str">
        <f>IFERROR(__xludf.DUMMYFUNCTION("ArrayFormula(join(,unique(mid(F272,sequence(len(F272)),1))))"),"SrGmMPdDN")</f>
        <v>SrGmMPdDN</v>
      </c>
      <c r="I272" s="410">
        <f t="shared" si="1"/>
        <v>9</v>
      </c>
      <c r="J272" s="412" t="str">
        <f>IFERROR(__xludf.DUMMYFUNCTION("ArrayFormula(join(,unique(mid(G272,sequence(len(G272)),1))))"),"rNGPMSdDm")</f>
        <v>rNGPMSdDm</v>
      </c>
      <c r="K272" s="411">
        <f t="shared" si="2"/>
        <v>9</v>
      </c>
    </row>
    <row r="273">
      <c r="A273" s="406" t="s">
        <v>1141</v>
      </c>
      <c r="B273" s="407" t="s">
        <v>1142</v>
      </c>
      <c r="C273" s="222" t="s">
        <v>1143</v>
      </c>
      <c r="D273" s="408" t="b">
        <f>IFERROR(__xludf.DUMMYFUNCTION("arrayformula(sum(--REGEXMATCH(H273,split(REGEXREPLACE(J273,""(.)"",""$1~""),""~""))))=len(J273)"),TRUE)</f>
        <v>1</v>
      </c>
      <c r="E273" s="409" t="s">
        <v>513</v>
      </c>
      <c r="F273" s="410" t="str">
        <f>IFERROR(__xludf.DUMMYFUNCTION("REGEXREPLACE(B273,""[^[:alpha:]]"", """")"),"SRGMdnS")</f>
        <v>SRGMdnS</v>
      </c>
      <c r="G273" s="411" t="str">
        <f>IFERROR(__xludf.DUMMYFUNCTION("REGEXREPLACE(C273,""[^[:alpha:]]"", """")"),"MGRSdnSGGMdMGMdMGRS")</f>
        <v>MGRSdnSGGMdMGMdMGRS</v>
      </c>
      <c r="H273" s="410" t="str">
        <f>IFERROR(__xludf.DUMMYFUNCTION("ArrayFormula(join(,unique(mid(F273,sequence(len(F273)),1))))"),"SRGMdn")</f>
        <v>SRGMdn</v>
      </c>
      <c r="I273" s="410">
        <f t="shared" si="1"/>
        <v>6</v>
      </c>
      <c r="J273" s="412" t="str">
        <f>IFERROR(__xludf.DUMMYFUNCTION("ArrayFormula(join(,unique(mid(G273,sequence(len(G273)),1))))"),"MGRSdn")</f>
        <v>MGRSdn</v>
      </c>
      <c r="K273" s="411">
        <f t="shared" si="2"/>
        <v>6</v>
      </c>
    </row>
    <row r="274">
      <c r="A274" s="406" t="s">
        <v>1144</v>
      </c>
      <c r="B274" s="407" t="s">
        <v>561</v>
      </c>
      <c r="C274" s="222" t="s">
        <v>1145</v>
      </c>
      <c r="D274" s="408" t="b">
        <f>IFERROR(__xludf.DUMMYFUNCTION("arrayformula(sum(--REGEXMATCH(H274,split(REGEXREPLACE(J274,""(.)"",""$1~""),""~""))))=len(J274)"),TRUE)</f>
        <v>1</v>
      </c>
      <c r="E274" s="409" t="s">
        <v>513</v>
      </c>
      <c r="F274" s="410" t="str">
        <f>IFERROR(__xludf.DUMMYFUNCTION("REGEXREPLACE(B274,""[^[:alpha:]]"", """")"),"SRgmPDnS")</f>
        <v>SRgmPDnS</v>
      </c>
      <c r="G274" s="411" t="str">
        <f>IFERROR(__xludf.DUMMYFUNCTION("REGEXREPLACE(C274,""[^[:alpha:]]"", """")"),"mnmPmPPmggmgmnDDDDnPmmnmPPmnmnnPPPmPDPmmgmggmgSggmDDmDmDnDDnRSSnSSDmnmPPP")</f>
        <v>mnmPmPPmggmgmnDDDDnPmmnmPPmnmnnPPPmPDPmmgmggmgSggmDDmDmDnDDnRSSnSSDmnmPPP</v>
      </c>
      <c r="H274" s="410" t="str">
        <f>IFERROR(__xludf.DUMMYFUNCTION("ArrayFormula(join(,unique(mid(F274,sequence(len(F274)),1))))"),"SRgmPDn")</f>
        <v>SRgmPDn</v>
      </c>
      <c r="I274" s="410">
        <f t="shared" si="1"/>
        <v>7</v>
      </c>
      <c r="J274" s="412" t="str">
        <f>IFERROR(__xludf.DUMMYFUNCTION("ArrayFormula(join(,unique(mid(G274,sequence(len(G274)),1))))"),"mnPgDSR")</f>
        <v>mnPgDSR</v>
      </c>
      <c r="K274" s="411">
        <f t="shared" si="2"/>
        <v>7</v>
      </c>
    </row>
    <row r="275">
      <c r="A275" s="406" t="s">
        <v>1146</v>
      </c>
      <c r="B275" s="407" t="s">
        <v>871</v>
      </c>
      <c r="C275" s="222" t="s">
        <v>1147</v>
      </c>
      <c r="D275" s="408" t="b">
        <f>IFERROR(__xludf.DUMMYFUNCTION("arrayformula(sum(--REGEXMATCH(H275,split(REGEXREPLACE(J275,""(.)"",""$1~""),""~""))))=len(J275)"),TRUE)</f>
        <v>1</v>
      </c>
      <c r="E275" s="409" t="s">
        <v>513</v>
      </c>
      <c r="F275" s="410" t="str">
        <f>IFERROR(__xludf.DUMMYFUNCTION("REGEXREPLACE(B275,""[^[:alpha:]]"", """")"),"SRGPDNS")</f>
        <v>SRGPDNS</v>
      </c>
      <c r="G275" s="411" t="str">
        <f>IFERROR(__xludf.DUMMYFUNCTION("REGEXREPLACE(C275,""[^[:alpha:]]"", """")"),"SNRSNNDDSDSNSDDPGPDNNDSNDP")</f>
        <v>SNRSNNDDSDSNSDDPGPDNNDSNDP</v>
      </c>
      <c r="H275" s="410" t="str">
        <f>IFERROR(__xludf.DUMMYFUNCTION("ArrayFormula(join(,unique(mid(F275,sequence(len(F275)),1))))"),"SRGPDN")</f>
        <v>SRGPDN</v>
      </c>
      <c r="I275" s="410">
        <f t="shared" si="1"/>
        <v>6</v>
      </c>
      <c r="J275" s="412" t="str">
        <f>IFERROR(__xludf.DUMMYFUNCTION("ArrayFormula(join(,unique(mid(G275,sequence(len(G275)),1))))"),"SNRDPG")</f>
        <v>SNRDPG</v>
      </c>
      <c r="K275" s="411">
        <f t="shared" si="2"/>
        <v>6</v>
      </c>
    </row>
    <row r="276">
      <c r="A276" s="406" t="s">
        <v>1148</v>
      </c>
      <c r="B276" s="407" t="s">
        <v>1149</v>
      </c>
      <c r="C276" s="222" t="s">
        <v>1150</v>
      </c>
      <c r="D276" s="408" t="b">
        <f>IFERROR(__xludf.DUMMYFUNCTION("arrayformula(sum(--REGEXMATCH(H276,split(REGEXREPLACE(J276,""(.)"",""$1~""),""~""))))=len(J276)"),FALSE)</f>
        <v>0</v>
      </c>
      <c r="E276" s="409" t="s">
        <v>815</v>
      </c>
      <c r="F276" s="410" t="str">
        <f>IFERROR(__xludf.DUMMYFUNCTION("REGEXREPLACE(B276,""[^[:alpha:]]"", """")"),"SRGMPDnNS")</f>
        <v>SRGMPDnNS</v>
      </c>
      <c r="G276" s="411" t="str">
        <f>IFERROR(__xludf.DUMMYFUNCTION("REGEXREPLACE(C276,""[^[:alpha:]]"", """")"),"NDSNPPGPGSNSNDSNPPGPGNPPNNSNSPGPGSNSPGPDNSnPPnPmPPNPSNPGPGS")</f>
        <v>NDSNPPGPGSNSNDSNPPGPGNPPNNSNSPGPGSNSPGPDNSnPPnPmPPNPSNPGPGS</v>
      </c>
      <c r="H276" s="410" t="str">
        <f>IFERROR(__xludf.DUMMYFUNCTION("ArrayFormula(join(,unique(mid(F276,sequence(len(F276)),1))))"),"SRGMPDnN")</f>
        <v>SRGMPDnN</v>
      </c>
      <c r="I276" s="410">
        <f t="shared" si="1"/>
        <v>8</v>
      </c>
      <c r="J276" s="412" t="str">
        <f>IFERROR(__xludf.DUMMYFUNCTION("ArrayFormula(join(,unique(mid(G276,sequence(len(G276)),1))))"),"NDSPGnm")</f>
        <v>NDSPGnm</v>
      </c>
      <c r="K276" s="411">
        <f t="shared" si="2"/>
        <v>7</v>
      </c>
    </row>
    <row r="277">
      <c r="A277" s="406" t="s">
        <v>1151</v>
      </c>
      <c r="B277" s="407" t="s">
        <v>1152</v>
      </c>
      <c r="C277" s="222" t="s">
        <v>1153</v>
      </c>
      <c r="D277" s="408" t="b">
        <f>IFERROR(__xludf.DUMMYFUNCTION("arrayformula(sum(--REGEXMATCH(H277,split(REGEXREPLACE(J277,""(.)"",""$1~""),""~""))))=len(J277)"),TRUE)</f>
        <v>1</v>
      </c>
      <c r="E277" s="409" t="s">
        <v>513</v>
      </c>
      <c r="F277" s="410" t="str">
        <f>IFERROR(__xludf.DUMMYFUNCTION("REGEXREPLACE(B277,""[^[:alpha:]]"", """")"),"SRgMPDS")</f>
        <v>SRgMPDS</v>
      </c>
      <c r="G277" s="411" t="str">
        <f>IFERROR(__xludf.DUMMYFUNCTION("REGEXREPLACE(C277,""[^[:alpha:]]"", """")"),"RgRSRSSDPDPSRgR")</f>
        <v>RgRSRSSDPDPSRgR</v>
      </c>
      <c r="H277" s="410" t="str">
        <f>IFERROR(__xludf.DUMMYFUNCTION("ArrayFormula(join(,unique(mid(F277,sequence(len(F277)),1))))"),"SRgMPD")</f>
        <v>SRgMPD</v>
      </c>
      <c r="I277" s="410">
        <f t="shared" si="1"/>
        <v>6</v>
      </c>
      <c r="J277" s="412" t="str">
        <f>IFERROR(__xludf.DUMMYFUNCTION("ArrayFormula(join(,unique(mid(G277,sequence(len(G277)),1))))"),"RgSDP")</f>
        <v>RgSDP</v>
      </c>
      <c r="K277" s="411">
        <f t="shared" si="2"/>
        <v>5</v>
      </c>
    </row>
    <row r="278">
      <c r="A278" s="406" t="s">
        <v>1154</v>
      </c>
      <c r="B278" s="407" t="s">
        <v>609</v>
      </c>
      <c r="C278" s="222" t="s">
        <v>1155</v>
      </c>
      <c r="D278" s="408" t="b">
        <f>IFERROR(__xludf.DUMMYFUNCTION("arrayformula(sum(--REGEXMATCH(H278,split(REGEXREPLACE(J278,""(.)"",""$1~""),""~""))))=len(J278)"),TRUE)</f>
        <v>1</v>
      </c>
      <c r="E278" s="409" t="s">
        <v>513</v>
      </c>
      <c r="F278" s="410" t="str">
        <f>IFERROR(__xludf.DUMMYFUNCTION("REGEXREPLACE(B278,""[^[:alpha:]]"", """")"),"SrgGmPdnNS")</f>
        <v>SrgGmPdnNS</v>
      </c>
      <c r="G278" s="411" t="str">
        <f>IFERROR(__xludf.DUMMYFUNCTION("REGEXREPLACE(C278,""[^[:alpha:]]"", """")"),"PPdnndPmmPGmmGrrgrrSSndPmGmPGmmGrrgrrSSNSGmPdPSNSNSNdPPdnndPmGPGmmGrrgrrSS")</f>
        <v>PPdnndPmmPGmmGrrgrrSSndPmGmPGmmGrrgrrSSNSGmPdPSNSNSNdPPdnndPmGPGmmGrrgrrSS</v>
      </c>
      <c r="H278" s="410" t="str">
        <f>IFERROR(__xludf.DUMMYFUNCTION("ArrayFormula(join(,unique(mid(F278,sequence(len(F278)),1))))"),"SrgGmPdnN")</f>
        <v>SrgGmPdnN</v>
      </c>
      <c r="I278" s="410">
        <f t="shared" si="1"/>
        <v>9</v>
      </c>
      <c r="J278" s="412" t="str">
        <f>IFERROR(__xludf.DUMMYFUNCTION("ArrayFormula(join(,unique(mid(G278,sequence(len(G278)),1))))"),"PdnmGrgSN")</f>
        <v>PdnmGrgSN</v>
      </c>
      <c r="K278" s="411">
        <f t="shared" si="2"/>
        <v>9</v>
      </c>
    </row>
    <row r="279">
      <c r="A279" s="406" t="s">
        <v>1156</v>
      </c>
      <c r="B279" s="407" t="s">
        <v>1157</v>
      </c>
      <c r="C279" s="222" t="s">
        <v>1158</v>
      </c>
      <c r="D279" s="408" t="b">
        <f>IFERROR(__xludf.DUMMYFUNCTION("arrayformula(sum(--REGEXMATCH(H279,split(REGEXREPLACE(J279,""(.)"",""$1~""),""~""))))=len(J279)"),FALSE)</f>
        <v>0</v>
      </c>
      <c r="E279" s="409" t="s">
        <v>1035</v>
      </c>
      <c r="F279" s="410" t="str">
        <f>IFERROR(__xludf.DUMMYFUNCTION("REGEXREPLACE(B279,""[^[:alpha:]]"", """")"),"SRgPDS")</f>
        <v>SRgPDS</v>
      </c>
      <c r="G279" s="411" t="str">
        <f>IFERROR(__xludf.DUMMYFUNCTION("REGEXREPLACE(C279,""[^[:alpha:]]"", """")"),"DSgggRSRRgRRSSGGGPDPggRSRS")</f>
        <v>DSgggRSRRgRRSSGGGPDPggRSRS</v>
      </c>
      <c r="H279" s="410" t="str">
        <f>IFERROR(__xludf.DUMMYFUNCTION("ArrayFormula(join(,unique(mid(F279,sequence(len(F279)),1))))"),"SRgPD")</f>
        <v>SRgPD</v>
      </c>
      <c r="I279" s="410">
        <f t="shared" si="1"/>
        <v>5</v>
      </c>
      <c r="J279" s="412" t="str">
        <f>IFERROR(__xludf.DUMMYFUNCTION("ArrayFormula(join(,unique(mid(G279,sequence(len(G279)),1))))"),"DSgRGP")</f>
        <v>DSgRGP</v>
      </c>
      <c r="K279" s="411">
        <f t="shared" si="2"/>
        <v>6</v>
      </c>
    </row>
    <row r="280">
      <c r="A280" s="406" t="s">
        <v>1159</v>
      </c>
      <c r="B280" s="407" t="s">
        <v>1160</v>
      </c>
      <c r="C280" s="222" t="s">
        <v>1161</v>
      </c>
      <c r="D280" s="408" t="b">
        <f>IFERROR(__xludf.DUMMYFUNCTION("arrayformula(sum(--REGEXMATCH(H280,split(REGEXREPLACE(J280,""(.)"",""$1~""),""~""))))=len(J280)"),TRUE)</f>
        <v>1</v>
      </c>
      <c r="E280" s="409" t="s">
        <v>513</v>
      </c>
      <c r="F280" s="410" t="str">
        <f>IFERROR(__xludf.DUMMYFUNCTION("REGEXREPLACE(B280,""[^[:alpha:]]"", """")"),"SRmPdS")</f>
        <v>SRmPdS</v>
      </c>
      <c r="G280" s="411" t="str">
        <f>IFERROR(__xludf.DUMMYFUNCTION("REGEXREPLACE(C280,""[^[:alpha:]]"", """")"),"RSdPdSRRSRSdSSdSdRmRmRRSRSSSRmPmmPPmPSdSdSSdSdSRRSRSdSdPdPmPmRSRSRSdPdSRRSRS")</f>
        <v>RSdPdSRRSRSdSSdSdRmRmRRSRSSSRmPmmPPmPSdSdSSdSdSRRSRSdSdPdPmPmRSRSRSdPdSRRSRS</v>
      </c>
      <c r="H280" s="410" t="str">
        <f>IFERROR(__xludf.DUMMYFUNCTION("ArrayFormula(join(,unique(mid(F280,sequence(len(F280)),1))))"),"SRmPd")</f>
        <v>SRmPd</v>
      </c>
      <c r="I280" s="410">
        <f t="shared" si="1"/>
        <v>5</v>
      </c>
      <c r="J280" s="412" t="str">
        <f>IFERROR(__xludf.DUMMYFUNCTION("ArrayFormula(join(,unique(mid(G280,sequence(len(G280)),1))))"),"RSdPm")</f>
        <v>RSdPm</v>
      </c>
      <c r="K280" s="411">
        <f t="shared" si="2"/>
        <v>5</v>
      </c>
    </row>
    <row r="281">
      <c r="A281" s="413" t="s">
        <v>1162</v>
      </c>
      <c r="B281" s="407" t="s">
        <v>339</v>
      </c>
      <c r="C281" s="222" t="s">
        <v>339</v>
      </c>
      <c r="D281" s="408" t="b">
        <f>IFERROR(__xludf.DUMMYFUNCTION("arrayformula(sum(--REGEXMATCH(H281,split(REGEXREPLACE(J281,""(.)"",""$1~""),""~""))))=len(J281)"),TRUE)</f>
        <v>1</v>
      </c>
      <c r="E281" s="409" t="s">
        <v>513</v>
      </c>
      <c r="F281" s="410" t="str">
        <f>IFERROR(__xludf.DUMMYFUNCTION("REGEXREPLACE(B281,""[^[:alpha:]]"", """")"),"SrGMPdNS")</f>
        <v>SrGMPdNS</v>
      </c>
      <c r="G281" s="411" t="str">
        <f>IFERROR(__xludf.DUMMYFUNCTION("REGEXREPLACE(C281,""[^[:alpha:]]"", """")"),"SrGMPdNS")</f>
        <v>SrGMPdNS</v>
      </c>
      <c r="H281" s="410" t="str">
        <f>IFERROR(__xludf.DUMMYFUNCTION("ArrayFormula(join(,unique(mid(F281,sequence(len(F281)),1))))"),"SrGMPdN")</f>
        <v>SrGMPdN</v>
      </c>
      <c r="I281" s="410">
        <f t="shared" si="1"/>
        <v>7</v>
      </c>
      <c r="J281" s="412" t="str">
        <f>IFERROR(__xludf.DUMMYFUNCTION("ArrayFormula(join(,unique(mid(G281,sequence(len(G281)),1))))"),"SrGMPdN")</f>
        <v>SrGMPdN</v>
      </c>
      <c r="K281" s="411">
        <f t="shared" si="2"/>
        <v>7</v>
      </c>
    </row>
    <row r="282">
      <c r="A282" s="406" t="s">
        <v>1163</v>
      </c>
      <c r="B282" s="407" t="s">
        <v>288</v>
      </c>
      <c r="C282" s="222" t="s">
        <v>1164</v>
      </c>
      <c r="D282" s="408" t="b">
        <f>IFERROR(__xludf.DUMMYFUNCTION("arrayformula(sum(--REGEXMATCH(H282,split(REGEXREPLACE(J282,""(.)"",""$1~""),""~""))))=len(J282)"),TRUE)</f>
        <v>1</v>
      </c>
      <c r="E282" s="409" t="s">
        <v>513</v>
      </c>
      <c r="F282" s="410" t="str">
        <f>IFERROR(__xludf.DUMMYFUNCTION("REGEXREPLACE(B282,""[^[:alpha:]]"", """")"),"SrGMPDNS")</f>
        <v>SrGMPDNS</v>
      </c>
      <c r="G282" s="411" t="str">
        <f>IFERROR(__xludf.DUMMYFUNCTION("REGEXREPLACE(C282,""[^[:alpha:]]"", """")"),"rGrSSPrGrSSrSPPPDNDPDPGrrGrSSP")</f>
        <v>rGrSSPrGrSSrSPPPDNDPDPGrrGrSSP</v>
      </c>
      <c r="H282" s="410" t="str">
        <f>IFERROR(__xludf.DUMMYFUNCTION("ArrayFormula(join(,unique(mid(F282,sequence(len(F282)),1))))"),"SrGMPDN")</f>
        <v>SrGMPDN</v>
      </c>
      <c r="I282" s="410">
        <f t="shared" si="1"/>
        <v>7</v>
      </c>
      <c r="J282" s="412" t="str">
        <f>IFERROR(__xludf.DUMMYFUNCTION("ArrayFormula(join(,unique(mid(G282,sequence(len(G282)),1))))"),"rGSPDN")</f>
        <v>rGSPDN</v>
      </c>
      <c r="K282" s="411">
        <f t="shared" si="2"/>
        <v>6</v>
      </c>
    </row>
    <row r="283">
      <c r="A283" s="406" t="s">
        <v>1165</v>
      </c>
      <c r="B283" s="407" t="s">
        <v>597</v>
      </c>
      <c r="C283" s="222" t="s">
        <v>1166</v>
      </c>
      <c r="D283" s="408" t="b">
        <f>IFERROR(__xludf.DUMMYFUNCTION("arrayformula(sum(--REGEXMATCH(H283,split(REGEXREPLACE(J283,""(.)"",""$1~""),""~""))))=len(J283)"),FALSE)</f>
        <v>0</v>
      </c>
      <c r="E283" s="409" t="s">
        <v>601</v>
      </c>
      <c r="F283" s="410" t="str">
        <f>IFERROR(__xludf.DUMMYFUNCTION("REGEXREPLACE(B283,""[^[:alpha:]]"", """")"),"SrGmMPDNS")</f>
        <v>SrGmMPDNS</v>
      </c>
      <c r="G283" s="411" t="str">
        <f>IFERROR(__xludf.DUMMYFUNCTION("REGEXREPLACE(C283,""[^[:alpha:]]"", """")"),"DSNRSNDNSSGmmDSNRNSNDMm")</f>
        <v>DSNRSNDNSSGmmDSNRNSNDMm</v>
      </c>
      <c r="H283" s="410" t="str">
        <f>IFERROR(__xludf.DUMMYFUNCTION("ArrayFormula(join(,unique(mid(F283,sequence(len(F283)),1))))"),"SrGmMPDN")</f>
        <v>SrGmMPDN</v>
      </c>
      <c r="I283" s="410">
        <f t="shared" si="1"/>
        <v>8</v>
      </c>
      <c r="J283" s="412" t="str">
        <f>IFERROR(__xludf.DUMMYFUNCTION("ArrayFormula(join(,unique(mid(G283,sequence(len(G283)),1))))"),"DSNRGmM")</f>
        <v>DSNRGmM</v>
      </c>
      <c r="K283" s="411">
        <f t="shared" si="2"/>
        <v>7</v>
      </c>
    </row>
    <row r="284">
      <c r="A284" s="406" t="s">
        <v>1167</v>
      </c>
      <c r="B284" s="407" t="s">
        <v>648</v>
      </c>
      <c r="C284" s="222" t="s">
        <v>1168</v>
      </c>
      <c r="D284" s="408" t="b">
        <f>IFERROR(__xludf.DUMMYFUNCTION("arrayformula(sum(--REGEXMATCH(H284,split(REGEXREPLACE(J284,""(.)"",""$1~""),""~""))))=len(J284)"),TRUE)</f>
        <v>1</v>
      </c>
      <c r="E284" s="409" t="s">
        <v>513</v>
      </c>
      <c r="F284" s="410" t="str">
        <f>IFERROR(__xludf.DUMMYFUNCTION("REGEXREPLACE(B284,""[^[:alpha:]]"", """")"),"SRGmMPDnNS")</f>
        <v>SRGmMPDnNS</v>
      </c>
      <c r="G284" s="411" t="str">
        <f>IFERROR(__xludf.DUMMYFUNCTION("REGEXREPLACE(C284,""[^[:alpha:]]"", """")"),"DDPPMPPmRGmDPGGmRSNNSDD")</f>
        <v>DDPPMPPmRGmDPGGmRSNNSDD</v>
      </c>
      <c r="H284" s="410" t="str">
        <f>IFERROR(__xludf.DUMMYFUNCTION("ArrayFormula(join(,unique(mid(F284,sequence(len(F284)),1))))"),"SRGmMPDnN")</f>
        <v>SRGmMPDnN</v>
      </c>
      <c r="I284" s="410">
        <f t="shared" si="1"/>
        <v>9</v>
      </c>
      <c r="J284" s="412" t="str">
        <f>IFERROR(__xludf.DUMMYFUNCTION("ArrayFormula(join(,unique(mid(G284,sequence(len(G284)),1))))"),"DPMmRGSN")</f>
        <v>DPMmRGSN</v>
      </c>
      <c r="K284" s="411">
        <f t="shared" si="2"/>
        <v>8</v>
      </c>
    </row>
    <row r="285">
      <c r="A285" s="406" t="s">
        <v>1169</v>
      </c>
      <c r="B285" s="407" t="s">
        <v>208</v>
      </c>
      <c r="C285" s="222" t="s">
        <v>1170</v>
      </c>
      <c r="D285" s="408" t="b">
        <f>IFERROR(__xludf.DUMMYFUNCTION("arrayformula(sum(--REGEXMATCH(H285,split(REGEXREPLACE(J285,""(.)"",""$1~""),""~""))))=len(J285)"),TRUE)</f>
        <v>1</v>
      </c>
      <c r="E285" s="409" t="s">
        <v>513</v>
      </c>
      <c r="F285" s="410" t="str">
        <f>IFERROR(__xludf.DUMMYFUNCTION("REGEXREPLACE(B285,""[^[:alpha:]]"", """")"),"SRGMPDNS")</f>
        <v>SRGMPDNS</v>
      </c>
      <c r="G285" s="411" t="str">
        <f>IFERROR(__xludf.DUMMYFUNCTION("REGEXREPLACE(C285,""[^[:alpha:]]"", """")"),"SRSNSSSNDDPNDSNSSNRSSRRSSRGRSNSSRNSSNDDSRGSRRGRSSRSNSSSNDDPNDNSSSGRGMPDMPGRGMGMPDMPRGRSNDSRSNSS")</f>
        <v>SRSNSSSNDDPNDSNSSNRSSRRSSRGRSNSSRNSSNDDSRGSRRGRSSRSNSSSNDDPNDNSSSGRGMPDMPGRGMGMPDMPRGRSNDSRSNSS</v>
      </c>
      <c r="H285" s="410" t="str">
        <f>IFERROR(__xludf.DUMMYFUNCTION("ArrayFormula(join(,unique(mid(F285,sequence(len(F285)),1))))"),"SRGMPDN")</f>
        <v>SRGMPDN</v>
      </c>
      <c r="I285" s="410">
        <f t="shared" si="1"/>
        <v>7</v>
      </c>
      <c r="J285" s="412" t="str">
        <f>IFERROR(__xludf.DUMMYFUNCTION("ArrayFormula(join(,unique(mid(G285,sequence(len(G285)),1))))"),"SRNDPGM")</f>
        <v>SRNDPGM</v>
      </c>
      <c r="K285" s="411">
        <f t="shared" si="2"/>
        <v>7</v>
      </c>
    </row>
    <row r="286">
      <c r="A286" s="406" t="s">
        <v>1171</v>
      </c>
      <c r="B286" s="407" t="s">
        <v>719</v>
      </c>
      <c r="C286" s="222" t="s">
        <v>1172</v>
      </c>
      <c r="D286" s="408" t="b">
        <f>IFERROR(__xludf.DUMMYFUNCTION("arrayformula(sum(--REGEXMATCH(H286,split(REGEXREPLACE(J286,""(.)"",""$1~""),""~""))))=len(J286)"),TRUE)</f>
        <v>1</v>
      </c>
      <c r="E286" s="409" t="s">
        <v>513</v>
      </c>
      <c r="F286" s="410" t="str">
        <f>IFERROR(__xludf.DUMMYFUNCTION("REGEXREPLACE(B286,""[^[:alpha:]]"", """")"),"SRmPDS")</f>
        <v>SRmPDS</v>
      </c>
      <c r="G286" s="411" t="str">
        <f>IFERROR(__xludf.DUMMYFUNCTION("REGEXREPLACE(C286,""[^[:alpha:]]"", """")"),"mRRPPSDDDSRSSDPmRRPPSDDDSRS")</f>
        <v>mRRPPSDDDSRSSDPmRRPPSDDDSRS</v>
      </c>
      <c r="H286" s="410" t="str">
        <f>IFERROR(__xludf.DUMMYFUNCTION("ArrayFormula(join(,unique(mid(F286,sequence(len(F286)),1))))"),"SRmPD")</f>
        <v>SRmPD</v>
      </c>
      <c r="I286" s="410">
        <f t="shared" si="1"/>
        <v>5</v>
      </c>
      <c r="J286" s="412" t="str">
        <f>IFERROR(__xludf.DUMMYFUNCTION("ArrayFormula(join(,unique(mid(G286,sequence(len(G286)),1))))"),"mRPSD")</f>
        <v>mRPSD</v>
      </c>
      <c r="K286" s="411">
        <f t="shared" si="2"/>
        <v>5</v>
      </c>
    </row>
    <row r="287">
      <c r="A287" s="406" t="s">
        <v>1173</v>
      </c>
      <c r="B287" s="407" t="s">
        <v>867</v>
      </c>
      <c r="C287" s="222" t="s">
        <v>1174</v>
      </c>
      <c r="D287" s="408" t="b">
        <f>IFERROR(__xludf.DUMMYFUNCTION("arrayformula(sum(--REGEXMATCH(H287,split(REGEXREPLACE(J287,""(.)"",""$1~""),""~""))))=len(J287)"),TRUE)</f>
        <v>1</v>
      </c>
      <c r="E287" s="409" t="s">
        <v>513</v>
      </c>
      <c r="F287" s="410" t="str">
        <f>IFERROR(__xludf.DUMMYFUNCTION("REGEXREPLACE(B287,""[^[:alpha:]]"", """")"),"SRmMPDNS")</f>
        <v>SRmMPDNS</v>
      </c>
      <c r="G287" s="411" t="str">
        <f>IFERROR(__xludf.DUMMYFUNCTION("REGEXREPLACE(C287,""[^[:alpha:]]"", """")"),"RmRMMPNRSNPMPmRmRNS")</f>
        <v>RmRMMPNRSNPMPmRmRNS</v>
      </c>
      <c r="H287" s="410" t="str">
        <f>IFERROR(__xludf.DUMMYFUNCTION("ArrayFormula(join(,unique(mid(F287,sequence(len(F287)),1))))"),"SRmMPDN")</f>
        <v>SRmMPDN</v>
      </c>
      <c r="I287" s="410">
        <f t="shared" si="1"/>
        <v>7</v>
      </c>
      <c r="J287" s="412" t="str">
        <f>IFERROR(__xludf.DUMMYFUNCTION("ArrayFormula(join(,unique(mid(G287,sequence(len(G287)),1))))"),"RmMPNS")</f>
        <v>RmMPNS</v>
      </c>
      <c r="K287" s="411">
        <f t="shared" si="2"/>
        <v>6</v>
      </c>
    </row>
    <row r="288">
      <c r="A288" s="406" t="s">
        <v>1175</v>
      </c>
      <c r="B288" s="407" t="s">
        <v>554</v>
      </c>
      <c r="C288" s="222" t="s">
        <v>1176</v>
      </c>
      <c r="D288" s="408" t="b">
        <f>IFERROR(__xludf.DUMMYFUNCTION("arrayformula(sum(--REGEXMATCH(H288,split(REGEXREPLACE(J288,""(.)"",""$1~""),""~""))))=len(J288)"),TRUE)</f>
        <v>1</v>
      </c>
      <c r="E288" s="409" t="s">
        <v>513</v>
      </c>
      <c r="F288" s="410" t="str">
        <f>IFERROR(__xludf.DUMMYFUNCTION("REGEXREPLACE(B288,""[^[:alpha:]]"", """")"),"SRGmPDNS")</f>
        <v>SRGmPDNS</v>
      </c>
      <c r="G288" s="411" t="str">
        <f>IFERROR(__xludf.DUMMYFUNCTION("REGEXREPLACE(C288,""[^[:alpha:]]"", """")"),"GGmmGmmGRSGmGmmDPDGPmGRGRGmmRmRRPGDPDPDPmGmPmGSGGm")</f>
        <v>GGmmGmmGRSGmGmmDPDGPmGRGRGmmRmRRPGDPDPDPmGmPmGSGGm</v>
      </c>
      <c r="H288" s="410" t="str">
        <f>IFERROR(__xludf.DUMMYFUNCTION("ArrayFormula(join(,unique(mid(F288,sequence(len(F288)),1))))"),"SRGmPDN")</f>
        <v>SRGmPDN</v>
      </c>
      <c r="I288" s="410">
        <f t="shared" si="1"/>
        <v>7</v>
      </c>
      <c r="J288" s="412" t="str">
        <f>IFERROR(__xludf.DUMMYFUNCTION("ArrayFormula(join(,unique(mid(G288,sequence(len(G288)),1))))"),"GmRSDP")</f>
        <v>GmRSDP</v>
      </c>
      <c r="K288" s="411">
        <f t="shared" si="2"/>
        <v>6</v>
      </c>
    </row>
    <row r="289">
      <c r="A289" s="406" t="s">
        <v>1177</v>
      </c>
      <c r="B289" s="407" t="s">
        <v>632</v>
      </c>
      <c r="C289" s="222" t="s">
        <v>1178</v>
      </c>
      <c r="D289" s="408" t="b">
        <f>IFERROR(__xludf.DUMMYFUNCTION("arrayformula(sum(--REGEXMATCH(H289,split(REGEXREPLACE(J289,""(.)"",""$1~""),""~""))))=len(J289)"),TRUE)</f>
        <v>1</v>
      </c>
      <c r="E289" s="409" t="s">
        <v>513</v>
      </c>
      <c r="F289" s="410" t="str">
        <f>IFERROR(__xludf.DUMMYFUNCTION("REGEXREPLACE(B289,""[^[:alpha:]]"", """")"),"SRGmMPDNS")</f>
        <v>SRGmMPDNS</v>
      </c>
      <c r="G289" s="411" t="str">
        <f>IFERROR(__xludf.DUMMYFUNCTION("REGEXREPLACE(C289,""[^[:alpha:]]"", """")"),"RSNSGmPGmGmPGmGmPMPDPMPMPNDNNDDPMPMPMGmRSNSRRPMPMRMPDGmRRPMPMDPDMPGmGRNSRmRmRMPMPGPDPDPMPMPDSNRSDNDPMMPDDPMPGmRSRSGmRSNSSNSGRSN")</f>
        <v>RSNSGmPGmGmPGmGmPMPDPMPMPNDNNDDPMPMPMGmRSNSRRPMPMRMPDGmRRPMPMDPDMPGmGRNSRmRmRMPMPGPDPDPMPMPDSNRSDNDPMMPDDPMPGmRSRSGmRSNSSNSGRSN</v>
      </c>
      <c r="H289" s="410" t="str">
        <f>IFERROR(__xludf.DUMMYFUNCTION("ArrayFormula(join(,unique(mid(F289,sequence(len(F289)),1))))"),"SRGmMPDN")</f>
        <v>SRGmMPDN</v>
      </c>
      <c r="I289" s="410">
        <f t="shared" si="1"/>
        <v>8</v>
      </c>
      <c r="J289" s="412" t="str">
        <f>IFERROR(__xludf.DUMMYFUNCTION("ArrayFormula(join(,unique(mid(G289,sequence(len(G289)),1))))"),"RSNGmPMD")</f>
        <v>RSNGmPMD</v>
      </c>
      <c r="K289" s="411">
        <f t="shared" si="2"/>
        <v>8</v>
      </c>
    </row>
    <row r="290">
      <c r="A290" s="406" t="s">
        <v>1179</v>
      </c>
      <c r="B290" s="407" t="s">
        <v>389</v>
      </c>
      <c r="C290" s="222" t="s">
        <v>1180</v>
      </c>
      <c r="D290" s="408" t="b">
        <f>IFERROR(__xludf.DUMMYFUNCTION("arrayformula(sum(--REGEXMATCH(H290,split(REGEXREPLACE(J290,""(.)"",""$1~""),""~""))))=len(J290)"),TRUE)</f>
        <v>1</v>
      </c>
      <c r="E290" s="409" t="s">
        <v>513</v>
      </c>
      <c r="F290" s="410" t="str">
        <f>IFERROR(__xludf.DUMMYFUNCTION("REGEXREPLACE(B290,""[^[:alpha:]]"", """")"),"SRgMPdNS")</f>
        <v>SRgMPdNS</v>
      </c>
      <c r="G290" s="411" t="str">
        <f>IFERROR(__xludf.DUMMYFUNCTION("REGEXREPLACE(C290,""[^[:alpha:]]"", """")"),"PMdSSNSSdPMPgRSRRSNSRgMP")</f>
        <v>PMdSSNSSdPMPgRSRRSNSRgMP</v>
      </c>
      <c r="H290" s="410" t="str">
        <f>IFERROR(__xludf.DUMMYFUNCTION("ArrayFormula(join(,unique(mid(F290,sequence(len(F290)),1))))"),"SRgMPdN")</f>
        <v>SRgMPdN</v>
      </c>
      <c r="I290" s="410">
        <f t="shared" si="1"/>
        <v>7</v>
      </c>
      <c r="J290" s="412" t="str">
        <f>IFERROR(__xludf.DUMMYFUNCTION("ArrayFormula(join(,unique(mid(G290,sequence(len(G290)),1))))"),"PMdSNgR")</f>
        <v>PMdSNgR</v>
      </c>
      <c r="K290" s="411">
        <f t="shared" si="2"/>
        <v>7</v>
      </c>
    </row>
    <row r="291">
      <c r="A291" s="406" t="s">
        <v>1181</v>
      </c>
      <c r="B291" s="407" t="s">
        <v>527</v>
      </c>
      <c r="C291" s="222" t="s">
        <v>1182</v>
      </c>
      <c r="D291" s="408" t="b">
        <f>IFERROR(__xludf.DUMMYFUNCTION("arrayformula(sum(--REGEXMATCH(H291,split(REGEXREPLACE(J291,""(.)"",""$1~""),""~""))))=len(J291)"),TRUE)</f>
        <v>1</v>
      </c>
      <c r="E291" s="409" t="s">
        <v>513</v>
      </c>
      <c r="F291" s="410" t="str">
        <f>IFERROR(__xludf.DUMMYFUNCTION("REGEXREPLACE(B291,""[^[:alpha:]]"", """")"),"SRgmPDnNS")</f>
        <v>SRgmPDnNS</v>
      </c>
      <c r="G291" s="411" t="str">
        <f>IFERROR(__xludf.DUMMYFUNCTION("REGEXREPLACE(C291,""[^[:alpha:]]"", """")"),"RmgmRSSmRmRmmPDPDSSnRSSnSDDDDPmmPDmgmRmgmRSmRmRmmPPDPDS")</f>
        <v>RmgmRSSmRmRmmPDPDSSnRSSnSDDDDPmmPDmgmRmgmRSmRmRmmPPDPDS</v>
      </c>
      <c r="H291" s="410" t="str">
        <f>IFERROR(__xludf.DUMMYFUNCTION("ArrayFormula(join(,unique(mid(F291,sequence(len(F291)),1))))"),"SRgmPDnN")</f>
        <v>SRgmPDnN</v>
      </c>
      <c r="I291" s="410">
        <f t="shared" si="1"/>
        <v>8</v>
      </c>
      <c r="J291" s="412" t="str">
        <f>IFERROR(__xludf.DUMMYFUNCTION("ArrayFormula(join(,unique(mid(G291,sequence(len(G291)),1))))"),"RmgSPDn")</f>
        <v>RmgSPDn</v>
      </c>
      <c r="K291" s="411">
        <f t="shared" si="2"/>
        <v>7</v>
      </c>
    </row>
    <row r="292">
      <c r="A292" s="406" t="s">
        <v>1183</v>
      </c>
      <c r="B292" s="407" t="s">
        <v>982</v>
      </c>
      <c r="C292" s="222" t="s">
        <v>1184</v>
      </c>
      <c r="D292" s="408" t="b">
        <f>IFERROR(__xludf.DUMMYFUNCTION("arrayformula(sum(--REGEXMATCH(H292,split(REGEXREPLACE(J292,""(.)"",""$1~""),""~""))))=len(J292)"),TRUE)</f>
        <v>1</v>
      </c>
      <c r="E292" s="409" t="s">
        <v>513</v>
      </c>
      <c r="F292" s="410" t="str">
        <f>IFERROR(__xludf.DUMMYFUNCTION("REGEXREPLACE(B292,""[^[:alpha:]]"", """")"),"SrGMDNS")</f>
        <v>SrGMDNS</v>
      </c>
      <c r="G292" s="411" t="str">
        <f>IFERROR(__xludf.DUMMYFUNCTION("REGEXREPLACE(C292,""[^[:alpha:]]"", """")"),"DNSNDMMGGMDNSNrSNSND")</f>
        <v>DNSNDMMGGMDNSNrSNSND</v>
      </c>
      <c r="H292" s="410" t="str">
        <f>IFERROR(__xludf.DUMMYFUNCTION("ArrayFormula(join(,unique(mid(F292,sequence(len(F292)),1))))"),"SrGMDN")</f>
        <v>SrGMDN</v>
      </c>
      <c r="I292" s="410">
        <f t="shared" si="1"/>
        <v>6</v>
      </c>
      <c r="J292" s="412" t="str">
        <f>IFERROR(__xludf.DUMMYFUNCTION("ArrayFormula(join(,unique(mid(G292,sequence(len(G292)),1))))"),"DNSMGr")</f>
        <v>DNSMGr</v>
      </c>
      <c r="K292" s="411">
        <f t="shared" si="2"/>
        <v>6</v>
      </c>
    </row>
    <row r="293">
      <c r="A293" s="406" t="s">
        <v>1185</v>
      </c>
      <c r="B293" s="407" t="s">
        <v>597</v>
      </c>
      <c r="C293" s="222" t="s">
        <v>1186</v>
      </c>
      <c r="D293" s="408" t="b">
        <f>IFERROR(__xludf.DUMMYFUNCTION("arrayformula(sum(--REGEXMATCH(H293,split(REGEXREPLACE(J293,""(.)"",""$1~""),""~""))))=len(J293)"),TRUE)</f>
        <v>1</v>
      </c>
      <c r="E293" s="409" t="s">
        <v>513</v>
      </c>
      <c r="F293" s="410" t="str">
        <f>IFERROR(__xludf.DUMMYFUNCTION("REGEXREPLACE(B293,""[^[:alpha:]]"", """")"),"SrGmMPDNS")</f>
        <v>SrGmMPDNS</v>
      </c>
      <c r="G293" s="411" t="str">
        <f>IFERROR(__xludf.DUMMYFUNCTION("REGEXREPLACE(C293,""[^[:alpha:]]"", """")"),"SGMGrSNSSGMPPMPMPGmGGmPDPSNDNNDSNSrSNSNDNDGmGPGPGmGSMGMGMGrSMGrS")</f>
        <v>SGMGrSNSSGMPPMPMPGmGGmPDPSNDNNDSNSrSNSNDNDGmGPGPGmGSMGMGMGrSMGrS</v>
      </c>
      <c r="H293" s="410" t="str">
        <f>IFERROR(__xludf.DUMMYFUNCTION("ArrayFormula(join(,unique(mid(F293,sequence(len(F293)),1))))"),"SrGmMPDN")</f>
        <v>SrGmMPDN</v>
      </c>
      <c r="I293" s="410">
        <f t="shared" si="1"/>
        <v>8</v>
      </c>
      <c r="J293" s="412" t="str">
        <f>IFERROR(__xludf.DUMMYFUNCTION("ArrayFormula(join(,unique(mid(G293,sequence(len(G293)),1))))"),"SGMrNPmD")</f>
        <v>SGMrNPmD</v>
      </c>
      <c r="K293" s="411">
        <f t="shared" si="2"/>
        <v>8</v>
      </c>
    </row>
    <row r="294">
      <c r="A294" s="406" t="s">
        <v>1187</v>
      </c>
      <c r="B294" s="407" t="s">
        <v>912</v>
      </c>
      <c r="C294" s="222" t="s">
        <v>1188</v>
      </c>
      <c r="D294" s="408" t="b">
        <f>IFERROR(__xludf.DUMMYFUNCTION("arrayformula(sum(--REGEXMATCH(H294,split(REGEXREPLACE(J294,""(.)"",""$1~""),""~""))))=len(J294)"),TRUE)</f>
        <v>1</v>
      </c>
      <c r="E294" s="409" t="s">
        <v>513</v>
      </c>
      <c r="F294" s="410" t="str">
        <f>IFERROR(__xludf.DUMMYFUNCTION("REGEXREPLACE(B294,""[^[:alpha:]]"", """")"),"SrGmMPdDNS")</f>
        <v>SrGmMPdDNS</v>
      </c>
      <c r="G294" s="411" t="str">
        <f>IFERROR(__xludf.DUMMYFUNCTION("REGEXREPLACE(C294,""[^[:alpha:]]"", """")"),"GmMmMmGdmPGGmGrSNrGMDDMGrS")</f>
        <v>GmMmMmGdmPGGmGrSNrGMDDMGrS</v>
      </c>
      <c r="H294" s="410" t="str">
        <f>IFERROR(__xludf.DUMMYFUNCTION("ArrayFormula(join(,unique(mid(F294,sequence(len(F294)),1))))"),"SrGmMPdDN")</f>
        <v>SrGmMPdDN</v>
      </c>
      <c r="I294" s="410">
        <f t="shared" si="1"/>
        <v>9</v>
      </c>
      <c r="J294" s="412" t="str">
        <f>IFERROR(__xludf.DUMMYFUNCTION("ArrayFormula(join(,unique(mid(G294,sequence(len(G294)),1))))"),"GmMdPrSND")</f>
        <v>GmMdPrSND</v>
      </c>
      <c r="K294" s="411">
        <f t="shared" si="2"/>
        <v>9</v>
      </c>
    </row>
    <row r="295">
      <c r="A295" s="406" t="s">
        <v>1189</v>
      </c>
      <c r="B295" s="407" t="s">
        <v>530</v>
      </c>
      <c r="C295" s="222" t="s">
        <v>1190</v>
      </c>
      <c r="D295" s="408" t="b">
        <f>IFERROR(__xludf.DUMMYFUNCTION("arrayformula(sum(--REGEXMATCH(H295,split(REGEXREPLACE(J295,""(.)"",""$1~""),""~""))))=len(J295)"),TRUE)</f>
        <v>1</v>
      </c>
      <c r="E295" s="409" t="s">
        <v>513</v>
      </c>
      <c r="F295" s="410" t="str">
        <f>IFERROR(__xludf.DUMMYFUNCTION("REGEXREPLACE(B295,""[^[:alpha:]]"", """")"),"SRGmPDnNS")</f>
        <v>SRGmPDnNS</v>
      </c>
      <c r="G295" s="411" t="str">
        <f>IFERROR(__xludf.DUMMYFUNCTION("REGEXREPLACE(C295,""[^[:alpha:]]"", """")"),"GmSRGPNNNSRSnDPPGmSRGPNNNSRSnDPPGmSRGPN")</f>
        <v>GmSRGPNNNSRSnDPPGmSRGPNNNSRSnDPPGmSRGPN</v>
      </c>
      <c r="H295" s="410" t="str">
        <f>IFERROR(__xludf.DUMMYFUNCTION("ArrayFormula(join(,unique(mid(F295,sequence(len(F295)),1))))"),"SRGmPDnN")</f>
        <v>SRGmPDnN</v>
      </c>
      <c r="I295" s="410">
        <f t="shared" si="1"/>
        <v>8</v>
      </c>
      <c r="J295" s="412" t="str">
        <f>IFERROR(__xludf.DUMMYFUNCTION("ArrayFormula(join(,unique(mid(G295,sequence(len(G295)),1))))"),"GmSRPNnD")</f>
        <v>GmSRPNnD</v>
      </c>
      <c r="K295" s="411">
        <f t="shared" si="2"/>
        <v>8</v>
      </c>
    </row>
    <row r="296">
      <c r="A296" s="406" t="s">
        <v>1191</v>
      </c>
      <c r="B296" s="407" t="s">
        <v>527</v>
      </c>
      <c r="C296" s="222" t="s">
        <v>1192</v>
      </c>
      <c r="D296" s="408" t="b">
        <f>IFERROR(__xludf.DUMMYFUNCTION("arrayformula(sum(--REGEXMATCH(H296,split(REGEXREPLACE(J296,""(.)"",""$1~""),""~""))))=len(J296)"),TRUE)</f>
        <v>1</v>
      </c>
      <c r="E296" s="409" t="s">
        <v>513</v>
      </c>
      <c r="F296" s="410" t="str">
        <f>IFERROR(__xludf.DUMMYFUNCTION("REGEXREPLACE(B296,""[^[:alpha:]]"", """")"),"SRgmPDnNS")</f>
        <v>SRgmPDnNS</v>
      </c>
      <c r="G296" s="411" t="str">
        <f>IFERROR(__xludf.DUMMYFUNCTION("REGEXREPLACE(C296,""[^[:alpha:]]"", """")"),"PSSPPnPPPnPnPmPPmgmgmmgmnPPPmmnPPPnPnPmPPmgmggmRSRgSSnSRmgmgmgmRPmPmnPPPSSPPnPP")</f>
        <v>PSSPPnPPPnPnPmPPmgmgmmgmnPPPmmnPPPnPnPmPPmgmggmRSRgSSnSRmgmgmgmRPmPmnPPPSSPPnPP</v>
      </c>
      <c r="H296" s="410" t="str">
        <f>IFERROR(__xludf.DUMMYFUNCTION("ArrayFormula(join(,unique(mid(F296,sequence(len(F296)),1))))"),"SRgmPDnN")</f>
        <v>SRgmPDnN</v>
      </c>
      <c r="I296" s="410">
        <f t="shared" si="1"/>
        <v>8</v>
      </c>
      <c r="J296" s="412" t="str">
        <f>IFERROR(__xludf.DUMMYFUNCTION("ArrayFormula(join(,unique(mid(G296,sequence(len(G296)),1))))"),"PSnmgR")</f>
        <v>PSnmgR</v>
      </c>
      <c r="K296" s="411">
        <f t="shared" si="2"/>
        <v>6</v>
      </c>
    </row>
    <row r="297">
      <c r="A297" s="406" t="s">
        <v>1193</v>
      </c>
      <c r="B297" s="407" t="s">
        <v>748</v>
      </c>
      <c r="C297" s="222" t="s">
        <v>1194</v>
      </c>
      <c r="D297" s="408" t="b">
        <f>IFERROR(__xludf.DUMMYFUNCTION("arrayformula(sum(--REGEXMATCH(H297,split(REGEXREPLACE(J297,""(.)"",""$1~""),""~""))))=len(J297)"),TRUE)</f>
        <v>1</v>
      </c>
      <c r="E297" s="409" t="s">
        <v>513</v>
      </c>
      <c r="F297" s="410" t="str">
        <f>IFERROR(__xludf.DUMMYFUNCTION("REGEXREPLACE(B297,""[^[:alpha:]]"", """")"),"SRgmPnS")</f>
        <v>SRgmPnS</v>
      </c>
      <c r="G297" s="411" t="str">
        <f>IFERROR(__xludf.DUMMYFUNCTION("REGEXREPLACE(C297,""[^[:alpha:]]"", """")"),"RRgmgPmgmRgRgSnSnSRgSRgmgmgmgRgRgRgRSnRSSgRgmRSRnSRSnPnP")</f>
        <v>RRgmgPmgmRgRgSnSnSRgSRgmgmgmgRgRgRgRSnRSSgRgmRSRnSRSnPnP</v>
      </c>
      <c r="H297" s="410" t="str">
        <f>IFERROR(__xludf.DUMMYFUNCTION("ArrayFormula(join(,unique(mid(F297,sequence(len(F297)),1))))"),"SRgmPn")</f>
        <v>SRgmPn</v>
      </c>
      <c r="I297" s="410">
        <f t="shared" si="1"/>
        <v>6</v>
      </c>
      <c r="J297" s="412" t="str">
        <f>IFERROR(__xludf.DUMMYFUNCTION("ArrayFormula(join(,unique(mid(G297,sequence(len(G297)),1))))"),"RgmPSn")</f>
        <v>RgmPSn</v>
      </c>
      <c r="K297" s="411">
        <f t="shared" si="2"/>
        <v>6</v>
      </c>
    </row>
    <row r="298">
      <c r="A298" s="406" t="s">
        <v>1195</v>
      </c>
      <c r="B298" s="407" t="s">
        <v>1196</v>
      </c>
      <c r="C298" s="222" t="s">
        <v>1197</v>
      </c>
      <c r="D298" s="408" t="b">
        <f>IFERROR(__xludf.DUMMYFUNCTION("arrayformula(sum(--REGEXMATCH(H298,split(REGEXREPLACE(J298,""(.)"",""$1~""),""~""))))=len(J298)"),TRUE)</f>
        <v>1</v>
      </c>
      <c r="E298" s="409" t="s">
        <v>513</v>
      </c>
      <c r="F298" s="410" t="str">
        <f>IFERROR(__xludf.DUMMYFUNCTION("REGEXREPLACE(B298,""[^[:alpha:]]"", """")"),"SrgmPdDnS")</f>
        <v>SrgmPdDnS</v>
      </c>
      <c r="G298" s="411" t="str">
        <f>IFERROR(__xludf.DUMMYFUNCTION("REGEXREPLACE(C298,""[^[:alpha:]]"", """")"),"nnPmPSSnPmPmgmrSnnPmPS")</f>
        <v>nnPmPSSnPmPmgmrSnnPmPS</v>
      </c>
      <c r="H298" s="410" t="str">
        <f>IFERROR(__xludf.DUMMYFUNCTION("ArrayFormula(join(,unique(mid(F298,sequence(len(F298)),1))))"),"SrgmPdDn")</f>
        <v>SrgmPdDn</v>
      </c>
      <c r="I298" s="410">
        <f t="shared" si="1"/>
        <v>8</v>
      </c>
      <c r="J298" s="412" t="str">
        <f>IFERROR(__xludf.DUMMYFUNCTION("ArrayFormula(join(,unique(mid(G298,sequence(len(G298)),1))))"),"nPmSgr")</f>
        <v>nPmSgr</v>
      </c>
      <c r="K298" s="411">
        <f t="shared" si="2"/>
        <v>6</v>
      </c>
    </row>
    <row r="299">
      <c r="A299" s="406" t="s">
        <v>1198</v>
      </c>
      <c r="B299" s="407" t="s">
        <v>1199</v>
      </c>
      <c r="C299" s="222" t="s">
        <v>1200</v>
      </c>
      <c r="D299" s="408" t="b">
        <f>IFERROR(__xludf.DUMMYFUNCTION("arrayformula(sum(--REGEXMATCH(H299,split(REGEXREPLACE(J299,""(.)"",""$1~""),""~""))))=len(J299)"),TRUE)</f>
        <v>1</v>
      </c>
      <c r="E299" s="409" t="s">
        <v>513</v>
      </c>
      <c r="F299" s="410" t="str">
        <f>IFERROR(__xludf.DUMMYFUNCTION("REGEXREPLACE(B299,""[^[:alpha:]]"", """")"),"SrGPnS")</f>
        <v>SrGPnS</v>
      </c>
      <c r="G299" s="411" t="str">
        <f>IFERROR(__xludf.DUMMYFUNCTION("REGEXREPLACE(C299,""[^[:alpha:]]"", """")"),"nSnSnPSnSnSPPnPSnrSGrnSnSrSnSnSnPnPSnrSGrPnSGPnPPSnSnPGPnSrSPnPnSnSrSPnPGPGrSnPnSrSnSnSrGr")</f>
        <v>nSnSnPSnSnSPPnPSnrSGrnSnSrSnSnSnPnPSnrSGrPnSGPnPPSnSnPGPnSrSPnPnSnSrSPnPGPGrSnPnSrSnSnSrGr</v>
      </c>
      <c r="H299" s="410" t="str">
        <f>IFERROR(__xludf.DUMMYFUNCTION("ArrayFormula(join(,unique(mid(F299,sequence(len(F299)),1))))"),"SrGPn")</f>
        <v>SrGPn</v>
      </c>
      <c r="I299" s="410">
        <f t="shared" si="1"/>
        <v>5</v>
      </c>
      <c r="J299" s="412" t="str">
        <f>IFERROR(__xludf.DUMMYFUNCTION("ArrayFormula(join(,unique(mid(G299,sequence(len(G299)),1))))"),"nSPrG")</f>
        <v>nSPrG</v>
      </c>
      <c r="K299" s="411">
        <f t="shared" si="2"/>
        <v>5</v>
      </c>
    </row>
    <row r="300">
      <c r="A300" s="406" t="s">
        <v>1201</v>
      </c>
      <c r="B300" s="407" t="s">
        <v>1202</v>
      </c>
      <c r="C300" s="222" t="s">
        <v>1203</v>
      </c>
      <c r="D300" s="408" t="b">
        <f>IFERROR(__xludf.DUMMYFUNCTION("arrayformula(sum(--REGEXMATCH(H300,split(REGEXREPLACE(J300,""(.)"",""$1~""),""~""))))=len(J300)"),FALSE)</f>
        <v>0</v>
      </c>
      <c r="E300" s="409" t="s">
        <v>626</v>
      </c>
      <c r="F300" s="410" t="str">
        <f>IFERROR(__xludf.DUMMYFUNCTION("REGEXREPLACE(B300,""[^[:alpha:]]"", """")"),"SgmDnS")</f>
        <v>SgmDnS</v>
      </c>
      <c r="G300" s="411" t="str">
        <f>IFERROR(__xludf.DUMMYFUNCTION("REGEXREPLACE(C300,""[^[:alpha:]]"", """")"),"SndnSSggmmndndmPPGmGmS")</f>
        <v>SndnSSggmmndndmPPGmGmS</v>
      </c>
      <c r="H300" s="410" t="str">
        <f>IFERROR(__xludf.DUMMYFUNCTION("ArrayFormula(join(,unique(mid(F300,sequence(len(F300)),1))))"),"SgmDn")</f>
        <v>SgmDn</v>
      </c>
      <c r="I300" s="410">
        <f t="shared" si="1"/>
        <v>5</v>
      </c>
      <c r="J300" s="412" t="str">
        <f>IFERROR(__xludf.DUMMYFUNCTION("ArrayFormula(join(,unique(mid(G300,sequence(len(G300)),1))))"),"SndgmPG")</f>
        <v>SndgmPG</v>
      </c>
      <c r="K300" s="411">
        <f t="shared" si="2"/>
        <v>7</v>
      </c>
    </row>
    <row r="301">
      <c r="A301" s="406" t="s">
        <v>1204</v>
      </c>
      <c r="B301" s="407" t="s">
        <v>997</v>
      </c>
      <c r="C301" s="222" t="s">
        <v>1205</v>
      </c>
      <c r="D301" s="408" t="b">
        <f>IFERROR(__xludf.DUMMYFUNCTION("arrayformula(sum(--REGEXMATCH(H301,split(REGEXREPLACE(J301,""(.)"",""$1~""),""~""))))=len(J301)"),TRUE)</f>
        <v>1</v>
      </c>
      <c r="E301" s="409" t="s">
        <v>513</v>
      </c>
      <c r="F301" s="410" t="str">
        <f>IFERROR(__xludf.DUMMYFUNCTION("REGEXREPLACE(B301,""[^[:alpha:]]"", """")"),"SRmPDnNS")</f>
        <v>SRmPDnNS</v>
      </c>
      <c r="G301" s="411" t="str">
        <f>IFERROR(__xludf.DUMMYFUNCTION("REGEXREPLACE(C301,""[^[:alpha:]]"", """")"),"PnPmRRSNSPSnDnDPDPmPnPmRRSNSPSnDnDPDPm")</f>
        <v>PnPmRRSNSPSnDnDPDPmPnPmRRSNSPSnDnDPDPm</v>
      </c>
      <c r="H301" s="410" t="str">
        <f>IFERROR(__xludf.DUMMYFUNCTION("ArrayFormula(join(,unique(mid(F301,sequence(len(F301)),1))))"),"SRmPDnN")</f>
        <v>SRmPDnN</v>
      </c>
      <c r="I301" s="410">
        <f t="shared" si="1"/>
        <v>7</v>
      </c>
      <c r="J301" s="412" t="str">
        <f>IFERROR(__xludf.DUMMYFUNCTION("ArrayFormula(join(,unique(mid(G301,sequence(len(G301)),1))))"),"PnmRSND")</f>
        <v>PnmRSND</v>
      </c>
      <c r="K301" s="411">
        <f t="shared" si="2"/>
        <v>7</v>
      </c>
    </row>
    <row r="302">
      <c r="A302" s="406" t="s">
        <v>1206</v>
      </c>
      <c r="B302" s="407" t="s">
        <v>554</v>
      </c>
      <c r="C302" s="222" t="s">
        <v>1207</v>
      </c>
      <c r="D302" s="408" t="b">
        <f>IFERROR(__xludf.DUMMYFUNCTION("arrayformula(sum(--REGEXMATCH(H302,split(REGEXREPLACE(J302,""(.)"",""$1~""),""~""))))=len(J302)"),TRUE)</f>
        <v>1</v>
      </c>
      <c r="E302" s="409" t="s">
        <v>513</v>
      </c>
      <c r="F302" s="410" t="str">
        <f>IFERROR(__xludf.DUMMYFUNCTION("REGEXREPLACE(B302,""[^[:alpha:]]"", """")"),"SRGmPDNS")</f>
        <v>SRGmPDNS</v>
      </c>
      <c r="G302" s="411" t="str">
        <f>IFERROR(__xludf.DUMMYFUNCTION("REGEXREPLACE(C302,""[^[:alpha:]]"", """")"),"GmGmGmDPmGGPmmGGGmNDPmPGGmNDPmPmGGPmmGGRNSNNDNDNS")</f>
        <v>GmGmGmDPmGGPmmGGGmNDPmPGGmNDPmPmGGPmmGGRNSNNDNDNS</v>
      </c>
      <c r="H302" s="410" t="str">
        <f>IFERROR(__xludf.DUMMYFUNCTION("ArrayFormula(join(,unique(mid(F302,sequence(len(F302)),1))))"),"SRGmPDN")</f>
        <v>SRGmPDN</v>
      </c>
      <c r="I302" s="410">
        <f t="shared" si="1"/>
        <v>7</v>
      </c>
      <c r="J302" s="412" t="str">
        <f>IFERROR(__xludf.DUMMYFUNCTION("ArrayFormula(join(,unique(mid(G302,sequence(len(G302)),1))))"),"GmDPNRS")</f>
        <v>GmDPNRS</v>
      </c>
      <c r="K302" s="411">
        <f t="shared" si="2"/>
        <v>7</v>
      </c>
    </row>
    <row r="303">
      <c r="A303" s="406" t="s">
        <v>1208</v>
      </c>
      <c r="B303" s="407" t="s">
        <v>339</v>
      </c>
      <c r="C303" s="222" t="s">
        <v>1209</v>
      </c>
      <c r="D303" s="408" t="b">
        <f>IFERROR(__xludf.DUMMYFUNCTION("arrayformula(sum(--REGEXMATCH(H303,split(REGEXREPLACE(J303,""(.)"",""$1~""),""~""))))=len(J303)"),TRUE)</f>
        <v>1</v>
      </c>
      <c r="E303" s="409" t="s">
        <v>513</v>
      </c>
      <c r="F303" s="410" t="str">
        <f>IFERROR(__xludf.DUMMYFUNCTION("REGEXREPLACE(B303,""[^[:alpha:]]"", """")"),"SrGMPdNS")</f>
        <v>SrGMPdNS</v>
      </c>
      <c r="G303" s="411" t="str">
        <f>IFERROR(__xludf.DUMMYFUNCTION("REGEXREPLACE(C303,""[^[:alpha:]]"", """")"),"rSrSNSGGrPGPMGPGGGrSPGPGGGrSPGPGrSNNdNdNdSNSrSddPGPGSGPGrS")</f>
        <v>rSrSNSGGrPGPMGPGGGrSPGPGGGrSPGPGrSNNdNdNdSNSrSddPGPGSGPGrS</v>
      </c>
      <c r="H303" s="410" t="str">
        <f>IFERROR(__xludf.DUMMYFUNCTION("ArrayFormula(join(,unique(mid(F303,sequence(len(F303)),1))))"),"SrGMPdN")</f>
        <v>SrGMPdN</v>
      </c>
      <c r="I303" s="410">
        <f t="shared" si="1"/>
        <v>7</v>
      </c>
      <c r="J303" s="412" t="str">
        <f>IFERROR(__xludf.DUMMYFUNCTION("ArrayFormula(join(,unique(mid(G303,sequence(len(G303)),1))))"),"rSNGPMd")</f>
        <v>rSNGPMd</v>
      </c>
      <c r="K303" s="411">
        <f t="shared" si="2"/>
        <v>7</v>
      </c>
    </row>
    <row r="304">
      <c r="A304" s="406" t="s">
        <v>1210</v>
      </c>
      <c r="B304" s="407" t="s">
        <v>1211</v>
      </c>
      <c r="C304" s="222" t="s">
        <v>1213</v>
      </c>
      <c r="D304" s="408" t="b">
        <f>IFERROR(__xludf.DUMMYFUNCTION("arrayformula(sum(--REGEXMATCH(H304,split(REGEXREPLACE(J304,""(.)"",""$1~""),""~""))))=len(J304)"),TRUE)</f>
        <v>1</v>
      </c>
      <c r="E304" s="409" t="s">
        <v>513</v>
      </c>
      <c r="F304" s="410" t="str">
        <f>IFERROR(__xludf.DUMMYFUNCTION("REGEXREPLACE(B304,""[^[:alpha:]]"", """")"),"SRgMPDnNS")</f>
        <v>SRgMPDnNS</v>
      </c>
      <c r="G304" s="411" t="str">
        <f>IFERROR(__xludf.DUMMYFUNCTION("REGEXREPLACE(C304,""[^[:alpha:]]"", """")"),"MDPMggRSMMPPMDPMgRSMgMPMDPMggRSMgMP")</f>
        <v>MDPMggRSMMPPMDPMgRSMgMPMDPMggRSMgMP</v>
      </c>
      <c r="H304" s="410" t="str">
        <f>IFERROR(__xludf.DUMMYFUNCTION("ArrayFormula(join(,unique(mid(F304,sequence(len(F304)),1))))"),"SRgMPDnN")</f>
        <v>SRgMPDnN</v>
      </c>
      <c r="I304" s="410">
        <f t="shared" si="1"/>
        <v>8</v>
      </c>
      <c r="J304" s="412" t="str">
        <f>IFERROR(__xludf.DUMMYFUNCTION("ArrayFormula(join(,unique(mid(G304,sequence(len(G304)),1))))"),"MDPgRS")</f>
        <v>MDPgRS</v>
      </c>
      <c r="K304" s="411">
        <f t="shared" si="2"/>
        <v>6</v>
      </c>
    </row>
    <row r="305">
      <c r="A305" s="406" t="s">
        <v>1215</v>
      </c>
      <c r="B305" s="407" t="s">
        <v>1216</v>
      </c>
      <c r="C305" s="222" t="s">
        <v>1217</v>
      </c>
      <c r="D305" s="408" t="b">
        <f>IFERROR(__xludf.DUMMYFUNCTION("arrayformula(sum(--REGEXMATCH(H305,split(REGEXREPLACE(J305,""(.)"",""$1~""),""~""))))=len(J305)"),TRUE)</f>
        <v>1</v>
      </c>
      <c r="E305" s="409" t="s">
        <v>513</v>
      </c>
      <c r="F305" s="410" t="str">
        <f>IFERROR(__xludf.DUMMYFUNCTION("REGEXREPLACE(B305,""[^[:alpha:]]"", """")"),"SrRGmPdDNS")</f>
        <v>SrRGmPdDNS</v>
      </c>
      <c r="G305" s="411" t="str">
        <f>IFERROR(__xludf.DUMMYFUNCTION("REGEXREPLACE(C305,""[^[:alpha:]]"", """")"),"NRSNPSSGRRmPGGRSGRGSGPmGrSSmRmGPGPGmGdPPdmPmPDmPmGSGRGrS")</f>
        <v>NRSNPSSGRRmPGGRSGRGSGPmGrSSmRmGPGPGmGdPPdmPmPDmPmGSGRGrS</v>
      </c>
      <c r="H305" s="410" t="str">
        <f>IFERROR(__xludf.DUMMYFUNCTION("ArrayFormula(join(,unique(mid(F305,sequence(len(F305)),1))))"),"SrRGmPdDN")</f>
        <v>SrRGmPdDN</v>
      </c>
      <c r="I305" s="410">
        <f t="shared" si="1"/>
        <v>9</v>
      </c>
      <c r="J305" s="412" t="str">
        <f>IFERROR(__xludf.DUMMYFUNCTION("ArrayFormula(join(,unique(mid(G305,sequence(len(G305)),1))))"),"NRSPGmrdD")</f>
        <v>NRSPGmrdD</v>
      </c>
      <c r="K305" s="411">
        <f t="shared" si="2"/>
        <v>9</v>
      </c>
    </row>
    <row r="306">
      <c r="A306" s="413" t="s">
        <v>1218</v>
      </c>
      <c r="B306" s="407" t="s">
        <v>554</v>
      </c>
      <c r="C306" s="222" t="s">
        <v>554</v>
      </c>
      <c r="D306" s="408" t="b">
        <f>IFERROR(__xludf.DUMMYFUNCTION("arrayformula(sum(--REGEXMATCH(H306,split(REGEXREPLACE(J306,""(.)"",""$1~""),""~""))))=len(J306)"),TRUE)</f>
        <v>1</v>
      </c>
      <c r="E306" s="409" t="s">
        <v>513</v>
      </c>
      <c r="F306" s="410" t="str">
        <f>IFERROR(__xludf.DUMMYFUNCTION("REGEXREPLACE(B306,""[^[:alpha:]]"", """")"),"SRGmPDNS")</f>
        <v>SRGmPDNS</v>
      </c>
      <c r="G306" s="411" t="str">
        <f>IFERROR(__xludf.DUMMYFUNCTION("REGEXREPLACE(C306,""[^[:alpha:]]"", """")"),"SRGmPDNS")</f>
        <v>SRGmPDNS</v>
      </c>
      <c r="H306" s="410" t="str">
        <f>IFERROR(__xludf.DUMMYFUNCTION("ArrayFormula(join(,unique(mid(F306,sequence(len(F306)),1))))"),"SRGmPDN")</f>
        <v>SRGmPDN</v>
      </c>
      <c r="I306" s="410">
        <f t="shared" si="1"/>
        <v>7</v>
      </c>
      <c r="J306" s="412" t="str">
        <f>IFERROR(__xludf.DUMMYFUNCTION("ArrayFormula(join(,unique(mid(G306,sequence(len(G306)),1))))"),"SRGmPDN")</f>
        <v>SRGmPDN</v>
      </c>
      <c r="K306" s="411">
        <f t="shared" si="2"/>
        <v>7</v>
      </c>
    </row>
    <row r="307">
      <c r="A307" s="406" t="s">
        <v>1220</v>
      </c>
      <c r="B307" s="407" t="s">
        <v>530</v>
      </c>
      <c r="C307" s="222" t="s">
        <v>1221</v>
      </c>
      <c r="D307" s="408" t="b">
        <f>IFERROR(__xludf.DUMMYFUNCTION("arrayformula(sum(--REGEXMATCH(H307,split(REGEXREPLACE(J307,""(.)"",""$1~""),""~""))))=len(J307)"),TRUE)</f>
        <v>1</v>
      </c>
      <c r="E307" s="409" t="s">
        <v>513</v>
      </c>
      <c r="F307" s="410" t="str">
        <f>IFERROR(__xludf.DUMMYFUNCTION("REGEXREPLACE(B307,""[^[:alpha:]]"", """")"),"SRGmPDnNS")</f>
        <v>SRGmPDnNS</v>
      </c>
      <c r="G307" s="411" t="str">
        <f>IFERROR(__xludf.DUMMYFUNCTION("REGEXREPLACE(C307,""[^[:alpha:]]"", """")"),"SRPDnPmGGRSGRGRGRSRmGRSSRPDSPmGGRSGR")</f>
        <v>SRPDnPmGGRSGRGRGRSRmGRSSRPDSPmGGRSGR</v>
      </c>
      <c r="H307" s="410" t="str">
        <f>IFERROR(__xludf.DUMMYFUNCTION("ArrayFormula(join(,unique(mid(F307,sequence(len(F307)),1))))"),"SRGmPDnN")</f>
        <v>SRGmPDnN</v>
      </c>
      <c r="I307" s="410">
        <f t="shared" si="1"/>
        <v>8</v>
      </c>
      <c r="J307" s="412" t="str">
        <f>IFERROR(__xludf.DUMMYFUNCTION("ArrayFormula(join(,unique(mid(G307,sequence(len(G307)),1))))"),"SRPDnmG")</f>
        <v>SRPDnmG</v>
      </c>
      <c r="K307" s="411">
        <f t="shared" si="2"/>
        <v>7</v>
      </c>
    </row>
    <row r="308">
      <c r="A308" s="406" t="s">
        <v>1222</v>
      </c>
      <c r="B308" s="407" t="s">
        <v>1223</v>
      </c>
      <c r="C308" s="222" t="s">
        <v>1224</v>
      </c>
      <c r="D308" s="408" t="b">
        <f>IFERROR(__xludf.DUMMYFUNCTION("arrayformula(sum(--REGEXMATCH(H308,split(REGEXREPLACE(J308,""(.)"",""$1~""),""~""))))=len(J308)"),TRUE)</f>
        <v>1</v>
      </c>
      <c r="E308" s="409" t="s">
        <v>513</v>
      </c>
      <c r="F308" s="410" t="str">
        <f>IFERROR(__xludf.DUMMYFUNCTION("REGEXREPLACE(B308,""[^[:alpha:]]"", """")"),"SGmPnNS")</f>
        <v>SGmPnNS</v>
      </c>
      <c r="G308" s="411" t="str">
        <f>IFERROR(__xludf.DUMMYFUNCTION("REGEXREPLACE(C308,""[^[:alpha:]]"", """")"),"GmPNSNSnPPnPGmG")</f>
        <v>GmPNSNSnPPnPGmG</v>
      </c>
      <c r="H308" s="410" t="str">
        <f>IFERROR(__xludf.DUMMYFUNCTION("ArrayFormula(join(,unique(mid(F308,sequence(len(F308)),1))))"),"SGmPnN")</f>
        <v>SGmPnN</v>
      </c>
      <c r="I308" s="410">
        <f t="shared" si="1"/>
        <v>6</v>
      </c>
      <c r="J308" s="412" t="str">
        <f>IFERROR(__xludf.DUMMYFUNCTION("ArrayFormula(join(,unique(mid(G308,sequence(len(G308)),1))))"),"GmPNSn")</f>
        <v>GmPNSn</v>
      </c>
      <c r="K308" s="411">
        <f t="shared" si="2"/>
        <v>6</v>
      </c>
    </row>
    <row r="309">
      <c r="A309" s="406" t="s">
        <v>1225</v>
      </c>
      <c r="B309" s="407" t="s">
        <v>741</v>
      </c>
      <c r="C309" s="222" t="s">
        <v>1226</v>
      </c>
      <c r="D309" s="408" t="b">
        <f>IFERROR(__xludf.DUMMYFUNCTION("arrayformula(sum(--REGEXMATCH(H309,split(REGEXREPLACE(J309,""(.)"",""$1~""),""~""))))=len(J309)"),TRUE)</f>
        <v>1</v>
      </c>
      <c r="E309" s="409" t="s">
        <v>513</v>
      </c>
      <c r="F309" s="410" t="str">
        <f>IFERROR(__xludf.DUMMYFUNCTION("REGEXREPLACE(B309,""[^[:alpha:]]"", """")"),"SRgGmPDnNS")</f>
        <v>SRgGmPDnNS</v>
      </c>
      <c r="G309" s="411" t="str">
        <f>IFERROR(__xludf.DUMMYFUNCTION("REGEXREPLACE(C309,""[^[:alpha:]]"", """")"),"SNNSNNPnPnPmPgmNSNNSNN")</f>
        <v>SNNSNNPnPnPmPgmNSNNSNN</v>
      </c>
      <c r="H309" s="410" t="str">
        <f>IFERROR(__xludf.DUMMYFUNCTION("ArrayFormula(join(,unique(mid(F309,sequence(len(F309)),1))))"),"SRgGmPDnN")</f>
        <v>SRgGmPDnN</v>
      </c>
      <c r="I309" s="410">
        <f t="shared" si="1"/>
        <v>9</v>
      </c>
      <c r="J309" s="412" t="str">
        <f>IFERROR(__xludf.DUMMYFUNCTION("ArrayFormula(join(,unique(mid(G309,sequence(len(G309)),1))))"),"SNPnmg")</f>
        <v>SNPnmg</v>
      </c>
      <c r="K309" s="411">
        <f t="shared" si="2"/>
        <v>6</v>
      </c>
    </row>
    <row r="310">
      <c r="A310" s="406" t="s">
        <v>1227</v>
      </c>
      <c r="B310" s="407" t="s">
        <v>1228</v>
      </c>
      <c r="C310" s="222" t="s">
        <v>1229</v>
      </c>
      <c r="D310" s="408" t="b">
        <f>IFERROR(__xludf.DUMMYFUNCTION("arrayformula(sum(--REGEXMATCH(H310,split(REGEXREPLACE(J310,""(.)"",""$1~""),""~""))))=len(J310)"),TRUE)</f>
        <v>1</v>
      </c>
      <c r="E310" s="409" t="s">
        <v>513</v>
      </c>
      <c r="F310" s="410" t="str">
        <f>IFERROR(__xludf.DUMMYFUNCTION("REGEXREPLACE(B310,""[^[:alpha:]]"", """")"),"SgMdnS")</f>
        <v>SgMdnS</v>
      </c>
      <c r="G310" s="411" t="str">
        <f>IFERROR(__xludf.DUMMYFUNCTION("REGEXREPLACE(C310,""[^[:alpha:]]"", """")"),"MdgSMdMdgSSgSndndSgMMdgSMdMdgSSgSndndSdMdnMgnndnddMdndMggMdMgSgSSSgSndnS")</f>
        <v>MdgSMdMdgSSgSndndSgMMdgSMdMdgSSgSndndSdMdnMgnndnddMdndMggMdMgSgSSSgSndnS</v>
      </c>
      <c r="H310" s="410" t="str">
        <f>IFERROR(__xludf.DUMMYFUNCTION("ArrayFormula(join(,unique(mid(F310,sequence(len(F310)),1))))"),"SgMdn")</f>
        <v>SgMdn</v>
      </c>
      <c r="I310" s="410">
        <f t="shared" si="1"/>
        <v>5</v>
      </c>
      <c r="J310" s="412" t="str">
        <f>IFERROR(__xludf.DUMMYFUNCTION("ArrayFormula(join(,unique(mid(G310,sequence(len(G310)),1))))"),"MdgSn")</f>
        <v>MdgSn</v>
      </c>
      <c r="K310" s="411">
        <f t="shared" si="2"/>
        <v>5</v>
      </c>
    </row>
    <row r="311">
      <c r="A311" s="413" t="s">
        <v>127</v>
      </c>
      <c r="B311" s="407" t="s">
        <v>401</v>
      </c>
      <c r="C311" s="222" t="s">
        <v>401</v>
      </c>
      <c r="D311" s="408" t="b">
        <f>IFERROR(__xludf.DUMMYFUNCTION("arrayformula(sum(--REGEXMATCH(H311,split(REGEXREPLACE(J311,""(.)"",""$1~""),""~""))))=len(J311)"),TRUE)</f>
        <v>1</v>
      </c>
      <c r="E311" s="409" t="s">
        <v>513</v>
      </c>
      <c r="F311" s="410" t="str">
        <f>IFERROR(__xludf.DUMMYFUNCTION("REGEXREPLACE(B311,""[^[:alpha:]]"", """")"),"SrgMPdNS")</f>
        <v>SrgMPdNS</v>
      </c>
      <c r="G311" s="411" t="str">
        <f>IFERROR(__xludf.DUMMYFUNCTION("REGEXREPLACE(C311,""[^[:alpha:]]"", """")"),"SrgMPdNS")</f>
        <v>SrgMPdNS</v>
      </c>
      <c r="H311" s="410" t="str">
        <f>IFERROR(__xludf.DUMMYFUNCTION("ArrayFormula(join(,unique(mid(F311,sequence(len(F311)),1))))"),"SrgMPdN")</f>
        <v>SrgMPdN</v>
      </c>
      <c r="I311" s="410">
        <f t="shared" si="1"/>
        <v>7</v>
      </c>
      <c r="J311" s="412" t="str">
        <f>IFERROR(__xludf.DUMMYFUNCTION("ArrayFormula(join(,unique(mid(G311,sequence(len(G311)),1))))"),"SrgMPdN")</f>
        <v>SrgMPdN</v>
      </c>
      <c r="K311" s="411">
        <f t="shared" si="2"/>
        <v>7</v>
      </c>
    </row>
    <row r="312">
      <c r="A312" s="406" t="s">
        <v>1230</v>
      </c>
      <c r="B312" s="407" t="s">
        <v>1231</v>
      </c>
      <c r="C312" s="222" t="s">
        <v>1232</v>
      </c>
      <c r="D312" s="408" t="b">
        <f>IFERROR(__xludf.DUMMYFUNCTION("arrayformula(sum(--REGEXMATCH(H312,split(REGEXREPLACE(J312,""(.)"",""$1~""),""~""))))=len(J312)"),TRUE)</f>
        <v>1</v>
      </c>
      <c r="E312" s="409" t="s">
        <v>513</v>
      </c>
      <c r="F312" s="410" t="str">
        <f>IFERROR(__xludf.DUMMYFUNCTION("REGEXREPLACE(B312,""[^[:alpha:]]"", """")"),"SrGPdNS")</f>
        <v>SrGPdNS</v>
      </c>
      <c r="G312" s="411" t="str">
        <f>IFERROR(__xludf.DUMMYFUNCTION("REGEXREPLACE(C312,""[^[:alpha:]]"", """")"),"rrrGrSSrGrSSrrGrSSNrrGrSSrrrrGPGrrrrrGPGrSSNSPPPPdPrSSPPPPdPPSPPGPdPPGSNrGrSSNrGrSSNr")</f>
        <v>rrrGrSSrGrSSrrGrSSNrrGrSSrrrrGPGrrrrrGPGrSSNSPPPPdPrSSPPPPdPPSPPGPdPPGSNrGrSSNrGrSSNr</v>
      </c>
      <c r="H312" s="410" t="str">
        <f>IFERROR(__xludf.DUMMYFUNCTION("ArrayFormula(join(,unique(mid(F312,sequence(len(F312)),1))))"),"SrGPdN")</f>
        <v>SrGPdN</v>
      </c>
      <c r="I312" s="410">
        <f t="shared" si="1"/>
        <v>6</v>
      </c>
      <c r="J312" s="412" t="str">
        <f>IFERROR(__xludf.DUMMYFUNCTION("ArrayFormula(join(,unique(mid(G312,sequence(len(G312)),1))))"),"rGSNPd")</f>
        <v>rGSNPd</v>
      </c>
      <c r="K312" s="411">
        <f t="shared" si="2"/>
        <v>6</v>
      </c>
    </row>
    <row r="313">
      <c r="A313" s="406" t="s">
        <v>1233</v>
      </c>
      <c r="B313" s="407" t="s">
        <v>1234</v>
      </c>
      <c r="C313" s="222" t="s">
        <v>1235</v>
      </c>
      <c r="D313" s="408" t="b">
        <f>IFERROR(__xludf.DUMMYFUNCTION("arrayformula(sum(--REGEXMATCH(H313,split(REGEXREPLACE(J313,""(.)"",""$1~""),""~""))))=len(J313)"),TRUE)</f>
        <v>1</v>
      </c>
      <c r="E313" s="409" t="s">
        <v>513</v>
      </c>
      <c r="F313" s="410" t="str">
        <f>IFERROR(__xludf.DUMMYFUNCTION("REGEXREPLACE(B313,""[^[:alpha:]]"", """")"),"SgmdnNS")</f>
        <v>SgmdnNS</v>
      </c>
      <c r="G313" s="411" t="str">
        <f>IFERROR(__xludf.DUMMYFUNCTION("REGEXREPLACE(C313,""[^[:alpha:]]"", """")"),"dddNNSggmmdnNndggNSmggSSSnSgSndNSgm")</f>
        <v>dddNNSggmmdnNndggNSmggSSSnSgSndNSgm</v>
      </c>
      <c r="H313" s="410" t="str">
        <f>IFERROR(__xludf.DUMMYFUNCTION("ArrayFormula(join(,unique(mid(F313,sequence(len(F313)),1))))"),"SgmdnN")</f>
        <v>SgmdnN</v>
      </c>
      <c r="I313" s="410">
        <f t="shared" si="1"/>
        <v>6</v>
      </c>
      <c r="J313" s="412" t="str">
        <f>IFERROR(__xludf.DUMMYFUNCTION("ArrayFormula(join(,unique(mid(G313,sequence(len(G313)),1))))"),"dNSgmn")</f>
        <v>dNSgmn</v>
      </c>
      <c r="K313" s="411">
        <f t="shared" si="2"/>
        <v>6</v>
      </c>
    </row>
    <row r="314">
      <c r="A314" s="413" t="s">
        <v>412</v>
      </c>
      <c r="B314" s="407" t="s">
        <v>413</v>
      </c>
      <c r="C314" s="222" t="s">
        <v>413</v>
      </c>
      <c r="D314" s="408" t="b">
        <f>IFERROR(__xludf.DUMMYFUNCTION("arrayformula(sum(--REGEXMATCH(H314,split(REGEXREPLACE(J314,""(.)"",""$1~""),""~""))))=len(J314)"),TRUE)</f>
        <v>1</v>
      </c>
      <c r="E314" s="409" t="s">
        <v>513</v>
      </c>
      <c r="F314" s="410" t="str">
        <f>IFERROR(__xludf.DUMMYFUNCTION("REGEXREPLACE(B314,""[^[:alpha:]]"", """")"),"SRGMPDnS")</f>
        <v>SRGMPDnS</v>
      </c>
      <c r="G314" s="411" t="str">
        <f>IFERROR(__xludf.DUMMYFUNCTION("REGEXREPLACE(C314,""[^[:alpha:]]"", """")"),"SRGMPDnS")</f>
        <v>SRGMPDnS</v>
      </c>
      <c r="H314" s="410" t="str">
        <f>IFERROR(__xludf.DUMMYFUNCTION("ArrayFormula(join(,unique(mid(F314,sequence(len(F314)),1))))"),"SRGMPDn")</f>
        <v>SRGMPDn</v>
      </c>
      <c r="I314" s="410">
        <f t="shared" si="1"/>
        <v>7</v>
      </c>
      <c r="J314" s="412" t="str">
        <f>IFERROR(__xludf.DUMMYFUNCTION("ArrayFormula(join(,unique(mid(G314,sequence(len(G314)),1))))"),"SRGMPDn")</f>
        <v>SRGMPDn</v>
      </c>
      <c r="K314" s="411">
        <f t="shared" si="2"/>
        <v>7</v>
      </c>
    </row>
    <row r="315">
      <c r="A315" s="406" t="s">
        <v>1236</v>
      </c>
      <c r="B315" s="407" t="s">
        <v>489</v>
      </c>
      <c r="C315" s="222" t="s">
        <v>1237</v>
      </c>
      <c r="D315" s="408" t="b">
        <f>IFERROR(__xludf.DUMMYFUNCTION("arrayformula(sum(--REGEXMATCH(H315,split(REGEXREPLACE(J315,""(.)"",""$1~""),""~""))))=len(J315)"),TRUE)</f>
        <v>1</v>
      </c>
      <c r="E315" s="409" t="s">
        <v>513</v>
      </c>
      <c r="F315" s="410" t="str">
        <f>IFERROR(__xludf.DUMMYFUNCTION("REGEXREPLACE(B315,""[^[:alpha:]]"", """")"),"SgGmPdnS")</f>
        <v>SgGmPdnS</v>
      </c>
      <c r="G315" s="411" t="str">
        <f>IFERROR(__xludf.DUMMYFUNCTION("REGEXREPLACE(C315,""[^[:alpha:]]"", """")"),"dndndSnSGGmGPGGPGGmmgSSGndGGmdnSGGGGGmmmm")</f>
        <v>dndndSnSGGmGPGGPGGmmgSSGndGGmdnSGGGGGmmmm</v>
      </c>
      <c r="H315" s="410" t="str">
        <f>IFERROR(__xludf.DUMMYFUNCTION("ArrayFormula(join(,unique(mid(F315,sequence(len(F315)),1))))"),"SgGmPdn")</f>
        <v>SgGmPdn</v>
      </c>
      <c r="I315" s="410">
        <f t="shared" si="1"/>
        <v>7</v>
      </c>
      <c r="J315" s="412" t="str">
        <f>IFERROR(__xludf.DUMMYFUNCTION("ArrayFormula(join(,unique(mid(G315,sequence(len(G315)),1))))"),"dnSGmPg")</f>
        <v>dnSGmPg</v>
      </c>
      <c r="K315" s="411">
        <f t="shared" si="2"/>
        <v>7</v>
      </c>
    </row>
    <row r="316">
      <c r="A316" s="406" t="s">
        <v>1238</v>
      </c>
      <c r="B316" s="407" t="s">
        <v>597</v>
      </c>
      <c r="C316" s="222" t="s">
        <v>1239</v>
      </c>
      <c r="D316" s="408" t="b">
        <f>IFERROR(__xludf.DUMMYFUNCTION("arrayformula(sum(--REGEXMATCH(H316,split(REGEXREPLACE(J316,""(.)"",""$1~""),""~""))))=len(J316)"),TRUE)</f>
        <v>1</v>
      </c>
      <c r="E316" s="409" t="s">
        <v>513</v>
      </c>
      <c r="F316" s="410" t="str">
        <f>IFERROR(__xludf.DUMMYFUNCTION("REGEXREPLACE(B316,""[^[:alpha:]]"", """")"),"SrGmMPDNS")</f>
        <v>SrGmMPDNS</v>
      </c>
      <c r="G316" s="411" t="str">
        <f>IFERROR(__xludf.DUMMYFUNCTION("REGEXREPLACE(C316,""[^[:alpha:]]"", """")"),"GPMPPMPMPGMrMGNrSNrSrNDNDSNSGrrMGGPMPGrGrSNSrSrGrGMGMPMPMPMPMPMGMrMG")</f>
        <v>GPMPPMPMPGMrMGNrSNrSrNDNDSNSGrrMGGPMPGrGrSNSrSrGrGMGMPMPMPMPMPMGMrMG</v>
      </c>
      <c r="H316" s="410" t="str">
        <f>IFERROR(__xludf.DUMMYFUNCTION("ArrayFormula(join(,unique(mid(F316,sequence(len(F316)),1))))"),"SrGmMPDN")</f>
        <v>SrGmMPDN</v>
      </c>
      <c r="I316" s="410">
        <f t="shared" si="1"/>
        <v>8</v>
      </c>
      <c r="J316" s="412" t="str">
        <f>IFERROR(__xludf.DUMMYFUNCTION("ArrayFormula(join(,unique(mid(G316,sequence(len(G316)),1))))"),"GPMrNSD")</f>
        <v>GPMrNSD</v>
      </c>
      <c r="K316" s="411">
        <f t="shared" si="2"/>
        <v>7</v>
      </c>
    </row>
    <row r="317">
      <c r="A317" s="406" t="s">
        <v>1240</v>
      </c>
      <c r="B317" s="407" t="s">
        <v>1152</v>
      </c>
      <c r="C317" s="222" t="s">
        <v>1241</v>
      </c>
      <c r="D317" s="408" t="b">
        <f>IFERROR(__xludf.DUMMYFUNCTION("arrayformula(sum(--REGEXMATCH(H317,split(REGEXREPLACE(J317,""(.)"",""$1~""),""~""))))=len(J317)"),TRUE)</f>
        <v>1</v>
      </c>
      <c r="E317" s="409"/>
      <c r="F317" s="410" t="str">
        <f>IFERROR(__xludf.DUMMYFUNCTION("REGEXREPLACE(B317,""[^[:alpha:]]"", """")"),"SRgMPDS")</f>
        <v>SRgMPDS</v>
      </c>
      <c r="G317" s="411" t="str">
        <f>IFERROR(__xludf.DUMMYFUNCTION("REGEXREPLACE(C317,""[^[:alpha:]]"", """")"),"SRSDSDSDSDRSDSDSDDPPSDSRSRRPgRPgRSRSSMPPMgMgRSSRSRRgRSSDSDSDPSDS")</f>
        <v>SRSDSDSDSDRSDSDSDDPPSDSRSRRPgRPgRSRSSMPPMgMgRSSRSRRgRSSDSDSDPSDS</v>
      </c>
      <c r="H317" s="410" t="str">
        <f>IFERROR(__xludf.DUMMYFUNCTION("ArrayFormula(join(,unique(mid(F317,sequence(len(F317)),1))))"),"SRgMPD")</f>
        <v>SRgMPD</v>
      </c>
      <c r="I317" s="410">
        <f t="shared" si="1"/>
        <v>6</v>
      </c>
      <c r="J317" s="412" t="str">
        <f>IFERROR(__xludf.DUMMYFUNCTION("ArrayFormula(join(,unique(mid(G317,sequence(len(G317)),1))))"),"SRDPgM")</f>
        <v>SRDPgM</v>
      </c>
      <c r="K317" s="411">
        <f t="shared" si="2"/>
        <v>6</v>
      </c>
    </row>
    <row r="318">
      <c r="A318" s="406" t="s">
        <v>1242</v>
      </c>
      <c r="B318" s="407" t="s">
        <v>1243</v>
      </c>
      <c r="C318" s="222" t="s">
        <v>1244</v>
      </c>
      <c r="D318" s="408" t="b">
        <f>IFERROR(__xludf.DUMMYFUNCTION("arrayformula(sum(--REGEXMATCH(H318,split(REGEXREPLACE(J318,""(.)"",""$1~""),""~""))))=len(J318)"),TRUE)</f>
        <v>1</v>
      </c>
      <c r="E318" s="409"/>
      <c r="F318" s="410" t="str">
        <f>IFERROR(__xludf.DUMMYFUNCTION("REGEXREPLACE(B318,""[^[:alpha:]]"", """")"),"SrGmPdDnS")</f>
        <v>SrGmPdDnS</v>
      </c>
      <c r="G318" s="411" t="str">
        <f>IFERROR(__xludf.DUMMYFUNCTION("REGEXREPLACE(C318,""[^[:alpha:]]"", """")"),"nSSnrSnddnSrSrSdnSSrrrSrSnSndnSrnnSrSnSrGrGrrnDnDSnrnrnnSnddnSnSnnDSnDdnSnSnDnS")</f>
        <v>nSSnrSnddnSrSrSdnSSrrrSrSnSndnSrnnSrSnSrGrGrrnDnDSnrnrnnSnddnSnSnnDSnDdnSnSnDnS</v>
      </c>
      <c r="H318" s="410" t="str">
        <f>IFERROR(__xludf.DUMMYFUNCTION("ArrayFormula(join(,unique(mid(F318,sequence(len(F318)),1))))"),"SrGmPdDn")</f>
        <v>SrGmPdDn</v>
      </c>
      <c r="I318" s="410">
        <f t="shared" si="1"/>
        <v>8</v>
      </c>
      <c r="J318" s="412" t="str">
        <f>IFERROR(__xludf.DUMMYFUNCTION("ArrayFormula(join(,unique(mid(G318,sequence(len(G318)),1))))"),"nSrdGD")</f>
        <v>nSrdGD</v>
      </c>
      <c r="K318" s="411">
        <f t="shared" si="2"/>
        <v>6</v>
      </c>
    </row>
    <row r="319">
      <c r="A319" s="406" t="s">
        <v>1245</v>
      </c>
      <c r="B319" s="407" t="s">
        <v>553</v>
      </c>
      <c r="C319" s="222" t="s">
        <v>1246</v>
      </c>
      <c r="D319" s="408" t="b">
        <f>IFERROR(__xludf.DUMMYFUNCTION("arrayformula(sum(--REGEXMATCH(H319,split(REGEXREPLACE(J319,""(.)"",""$1~""),""~""))))=len(J319)"),TRUE)</f>
        <v>1</v>
      </c>
      <c r="E319" s="409" t="s">
        <v>513</v>
      </c>
      <c r="F319" s="410" t="str">
        <f>IFERROR(__xludf.DUMMYFUNCTION("REGEXREPLACE(B319,""[^[:alpha:]]"", """")"),"SrgmdNS")</f>
        <v>SrgmdNS</v>
      </c>
      <c r="G319" s="411" t="str">
        <f>IFERROR(__xludf.DUMMYFUNCTION("REGEXREPLACE(C319,""[^[:alpha:]]"", """")"),"dmgrgrSmdSNSNdgrgrrSSrrgrSrmmdNSrSgrSgrgrrSdmgrgrS")</f>
        <v>dmgrgrSmdSNSNdgrgrrSSrrgrSrmmdNSrSgrSgrgrrSdmgrgrS</v>
      </c>
      <c r="H319" s="410" t="str">
        <f>IFERROR(__xludf.DUMMYFUNCTION("ArrayFormula(join(,unique(mid(F319,sequence(len(F319)),1))))"),"SrgmdN")</f>
        <v>SrgmdN</v>
      </c>
      <c r="I319" s="410">
        <f t="shared" si="1"/>
        <v>6</v>
      </c>
      <c r="J319" s="412" t="str">
        <f>IFERROR(__xludf.DUMMYFUNCTION("ArrayFormula(join(,unique(mid(G319,sequence(len(G319)),1))))"),"dmgrSN")</f>
        <v>dmgrSN</v>
      </c>
      <c r="K319" s="411">
        <f t="shared" si="2"/>
        <v>6</v>
      </c>
    </row>
    <row r="320">
      <c r="A320" s="413" t="s">
        <v>1247</v>
      </c>
      <c r="B320" s="407" t="s">
        <v>208</v>
      </c>
      <c r="C320" s="222" t="s">
        <v>208</v>
      </c>
      <c r="D320" s="408" t="b">
        <f>IFERROR(__xludf.DUMMYFUNCTION("arrayformula(sum(--REGEXMATCH(H320,split(REGEXREPLACE(J320,""(.)"",""$1~""),""~""))))=len(J320)"),TRUE)</f>
        <v>1</v>
      </c>
      <c r="E320" s="409" t="s">
        <v>513</v>
      </c>
      <c r="F320" s="410" t="str">
        <f>IFERROR(__xludf.DUMMYFUNCTION("REGEXREPLACE(B320,""[^[:alpha:]]"", """")"),"SRGMPDNS")</f>
        <v>SRGMPDNS</v>
      </c>
      <c r="G320" s="411" t="str">
        <f>IFERROR(__xludf.DUMMYFUNCTION("REGEXREPLACE(C320,""[^[:alpha:]]"", """")"),"SRGMPDNS")</f>
        <v>SRGMPDNS</v>
      </c>
      <c r="H320" s="410" t="str">
        <f>IFERROR(__xludf.DUMMYFUNCTION("ArrayFormula(join(,unique(mid(F320,sequence(len(F320)),1))))"),"SRGMPDN")</f>
        <v>SRGMPDN</v>
      </c>
      <c r="I320" s="410">
        <f t="shared" si="1"/>
        <v>7</v>
      </c>
      <c r="J320" s="412" t="str">
        <f>IFERROR(__xludf.DUMMYFUNCTION("ArrayFormula(join(,unique(mid(G320,sequence(len(G320)),1))))"),"SRGMPDN")</f>
        <v>SRGMPDN</v>
      </c>
      <c r="K320" s="411">
        <f t="shared" si="2"/>
        <v>7</v>
      </c>
    </row>
    <row r="321">
      <c r="A321" s="406" t="s">
        <v>1248</v>
      </c>
      <c r="B321" s="407" t="s">
        <v>1249</v>
      </c>
      <c r="C321" s="222" t="s">
        <v>1250</v>
      </c>
      <c r="D321" s="408" t="b">
        <f>IFERROR(__xludf.DUMMYFUNCTION("arrayformula(sum(--REGEXMATCH(H321,split(REGEXREPLACE(J321,""(.)"",""$1~""),""~""))))=len(J321)"),TRUE)</f>
        <v>1</v>
      </c>
      <c r="E321" s="409" t="s">
        <v>513</v>
      </c>
      <c r="F321" s="410" t="str">
        <f>IFERROR(__xludf.DUMMYFUNCTION("REGEXREPLACE(B321,""[^[:alpha:]]"", """")"),"SGmPdS")</f>
        <v>SGmPdS</v>
      </c>
      <c r="G321" s="411" t="str">
        <f>IFERROR(__xludf.DUMMYFUNCTION("REGEXREPLACE(C321,""[^[:alpha:]]"", """")"),"dPPdPmmPGmGSdP")</f>
        <v>dPPdPmmPGmGSdP</v>
      </c>
      <c r="H321" s="410" t="str">
        <f>IFERROR(__xludf.DUMMYFUNCTION("ArrayFormula(join(,unique(mid(F321,sequence(len(F321)),1))))"),"SGmPd")</f>
        <v>SGmPd</v>
      </c>
      <c r="I321" s="410">
        <f t="shared" si="1"/>
        <v>5</v>
      </c>
      <c r="J321" s="412" t="str">
        <f>IFERROR(__xludf.DUMMYFUNCTION("ArrayFormula(join(,unique(mid(G321,sequence(len(G321)),1))))"),"dPmGS")</f>
        <v>dPmGS</v>
      </c>
      <c r="K321" s="411">
        <f t="shared" si="2"/>
        <v>5</v>
      </c>
    </row>
    <row r="322">
      <c r="A322" s="406" t="s">
        <v>1251</v>
      </c>
      <c r="B322" s="407" t="s">
        <v>741</v>
      </c>
      <c r="C322" s="222" t="s">
        <v>1252</v>
      </c>
      <c r="D322" s="408" t="b">
        <f>IFERROR(__xludf.DUMMYFUNCTION("arrayformula(sum(--REGEXMATCH(H322,split(REGEXREPLACE(J322,""(.)"",""$1~""),""~""))))=len(J322)"),TRUE)</f>
        <v>1</v>
      </c>
      <c r="E322" s="409" t="s">
        <v>513</v>
      </c>
      <c r="F322" s="410" t="str">
        <f>IFERROR(__xludf.DUMMYFUNCTION("REGEXREPLACE(B322,""[^[:alpha:]]"", """")"),"SRgGmPDnNS")</f>
        <v>SRgGmPDnNS</v>
      </c>
      <c r="G322" s="411" t="str">
        <f>IFERROR(__xludf.DUMMYFUNCTION("REGEXREPLACE(C322,""[^[:alpha:]]"", """")"),"nPSRgRSRPPPPmGmmmgRgggRSRRRnPSgRgRnPSGRGRnPSgRgR")</f>
        <v>nPSRgRSRPPPPmGmmmgRgggRSRRRnPSgRgRnPSGRGRnPSgRgR</v>
      </c>
      <c r="H322" s="410" t="str">
        <f>IFERROR(__xludf.DUMMYFUNCTION("ArrayFormula(join(,unique(mid(F322,sequence(len(F322)),1))))"),"SRgGmPDnN")</f>
        <v>SRgGmPDnN</v>
      </c>
      <c r="I322" s="410">
        <f t="shared" si="1"/>
        <v>9</v>
      </c>
      <c r="J322" s="412" t="str">
        <f>IFERROR(__xludf.DUMMYFUNCTION("ArrayFormula(join(,unique(mid(G322,sequence(len(G322)),1))))"),"nPSRgmG")</f>
        <v>nPSRgmG</v>
      </c>
      <c r="K322" s="411">
        <f t="shared" si="2"/>
        <v>7</v>
      </c>
    </row>
    <row r="323">
      <c r="A323" s="417" t="s">
        <v>1253</v>
      </c>
      <c r="B323" s="407" t="s">
        <v>665</v>
      </c>
      <c r="C323" s="222" t="s">
        <v>665</v>
      </c>
      <c r="D323" s="408" t="b">
        <f>IFERROR(__xludf.DUMMYFUNCTION("arrayformula(sum(--REGEXMATCH(H323,split(REGEXREPLACE(J323,""(.)"",""$1~""),""~""))))=len(J323)"),TRUE)</f>
        <v>1</v>
      </c>
      <c r="E323" s="409" t="s">
        <v>513</v>
      </c>
      <c r="F323" s="410" t="str">
        <f>IFERROR(__xludf.DUMMYFUNCTION("REGEXREPLACE(B323,""[^[:alpha:]]"", """")"),"SrRgGmMPdDnNS")</f>
        <v>SrRgGmMPdDnNS</v>
      </c>
      <c r="G323" s="411" t="str">
        <f>IFERROR(__xludf.DUMMYFUNCTION("REGEXREPLACE(C323,""[^[:alpha:]]"", """")"),"SrRgGmMPdDnNS")</f>
        <v>SrRgGmMPdDnNS</v>
      </c>
      <c r="H323" s="410" t="str">
        <f>IFERROR(__xludf.DUMMYFUNCTION("ArrayFormula(join(,unique(mid(F323,sequence(len(F323)),1))))"),"SrRgGmMPdDnN")</f>
        <v>SrRgGmMPdDnN</v>
      </c>
      <c r="I323" s="410">
        <f t="shared" si="1"/>
        <v>12</v>
      </c>
      <c r="J323" s="412" t="str">
        <f>IFERROR(__xludf.DUMMYFUNCTION("ArrayFormula(join(,unique(mid(G323,sequence(len(G323)),1))))"),"SrRgGmMPdDnN")</f>
        <v>SrRgGmMPdDnN</v>
      </c>
      <c r="K323" s="411">
        <f t="shared" si="2"/>
        <v>12</v>
      </c>
    </row>
    <row r="324">
      <c r="A324" s="418"/>
      <c r="B324" s="407"/>
      <c r="C324" s="222"/>
      <c r="D324" s="408"/>
      <c r="E324" s="409"/>
      <c r="F324" s="410"/>
      <c r="G324" s="411"/>
      <c r="H324" s="410"/>
      <c r="I324" s="410"/>
      <c r="J324" s="412"/>
      <c r="K324" s="411"/>
    </row>
  </sheetData>
  <autoFilter ref="$A$2:$J$323"/>
  <drawing r:id="rId1"/>
</worksheet>
</file>